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comments/comment8.xml" ContentType="application/vnd.openxmlformats-officedocument.spreadsheetml.comments+xml"/>
  <Override PartName="/xl/worksheets/sheet17.xml" ContentType="application/vnd.openxmlformats-officedocument.spreadsheetml.worksheet+xml"/>
  <Override PartName="/xl/worksheets/sheet18.xml" ContentType="application/vnd.openxmlformats-officedocument.spreadsheetml.worksheet+xml"/>
  <Override PartName="/xl/comments/comment9.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comments/comment10.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21.xml" ContentType="application/vnd.openxmlformats-officedocument.spreadsheetml.worksheet+xml"/>
  <Override PartName="/xl/comments/comment11.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ables/table61.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comments/comment12.xml" ContentType="application/vnd.openxmlformats-officedocument.spreadsheetml.comments+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drawings/drawing1.xml" ContentType="application/vnd.openxmlformats-officedocument.drawing+xml"/>
  <Override PartName="/xl/worksheets/sheet37.xml" ContentType="application/vnd.openxmlformats-officedocument.spreadsheetml.worksheet+xml"/>
  <Override PartName="/xl/comments/comment13.xml" ContentType="application/vnd.openxmlformats-officedocument.spreadsheetml.comments+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comments/comment14.xml" ContentType="application/vnd.openxmlformats-officedocument.spreadsheetml.comments+xml"/>
  <Override PartName="/xl/worksheets/sheet45.xml" ContentType="application/vnd.openxmlformats-officedocument.spreadsheetml.worksheet+xml"/>
  <Override PartName="/xl/comments/comment1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880" windowWidth="36000" windowHeight="22500" tabRatio="915" firstSheet="0" activeTab="24" autoFilterDateGrouping="1"/>
  </bookViews>
  <sheets>
    <sheet name="0.Start" sheetId="1" state="visible" r:id="rId1"/>
    <sheet name="1.Description" sheetId="2" state="visible" r:id="rId2"/>
    <sheet name="affo" sheetId="3" state="hidden" r:id="rId3"/>
    <sheet name="defo" sheetId="4" state="hidden" r:id="rId4"/>
    <sheet name="luc" sheetId="5" state="hidden" r:id="rId5"/>
    <sheet name="2.LUC" sheetId="6" state="visible" r:id="rId6"/>
    <sheet name="3.Cropland" sheetId="7" state="visible" r:id="rId7"/>
    <sheet name="crop H2O" sheetId="8" state="hidden" r:id="rId8"/>
    <sheet name="annual" sheetId="9" state="hidden" r:id="rId9"/>
    <sheet name="perennial" sheetId="10" state="hidden" r:id="rId10"/>
    <sheet name="rice" sheetId="11" state="hidden" r:id="rId11"/>
    <sheet name="4.Grassland" sheetId="12" state="visible" r:id="rId12"/>
    <sheet name="grass" sheetId="13" state="hidden" r:id="rId13"/>
    <sheet name="Livestock" sheetId="14" state="hidden" r:id="rId14"/>
    <sheet name="5.Management" sheetId="15" state="visible" r:id="rId15"/>
    <sheet name="degradation" sheetId="16" state="hidden" r:id="rId16"/>
    <sheet name="6.Inland wetlands" sheetId="17" state="visible" r:id="rId17"/>
    <sheet name="Inl. wetlands" sheetId="18" state="hidden" r:id="rId18"/>
    <sheet name="Sheet1" sheetId="19" state="hidden" r:id="rId19"/>
    <sheet name="list" sheetId="20" state="hidden" r:id="rId20"/>
    <sheet name="IPCC" sheetId="21" state="visible" r:id="rId21"/>
    <sheet name="7.Coastal wetlands" sheetId="22" state="visible" r:id="rId22"/>
    <sheet name="Coastal" sheetId="23" state="hidden" r:id="rId23"/>
    <sheet name="Fish and aqua" sheetId="24" state="visible" r:id="rId24"/>
    <sheet name="8. Fisheries and aquaculture" sheetId="25" state="visible" r:id="rId25"/>
    <sheet name="Database fish" sheetId="26" state="visible" r:id="rId26"/>
    <sheet name="Atwood" sheetId="27" state="hidden" r:id="rId27"/>
    <sheet name="List countries GLEAM" sheetId="28" state="hidden" r:id="rId28"/>
    <sheet name="9.Inputs" sheetId="29" state="visible" r:id="rId29"/>
    <sheet name="Inputs" sheetId="30" state="hidden" r:id="rId30"/>
    <sheet name="Energy DB" sheetId="31" state="hidden" r:id="rId31"/>
    <sheet name="BALANCE" sheetId="32" state="hidden" r:id="rId32"/>
    <sheet name="Gross results" sheetId="33" state="hidden" r:id="rId33"/>
    <sheet name="Graph" sheetId="34" state="hidden" r:id="rId34"/>
    <sheet name="Elec" sheetId="35" state="visible" r:id="rId35"/>
    <sheet name="10.Results" sheetId="36" state="visible" r:id="rId36"/>
    <sheet name="Matrix" sheetId="37" state="hidden" r:id="rId37"/>
    <sheet name="YEARLY" sheetId="38" state="hidden" r:id="rId38"/>
    <sheet name="Languages" sheetId="39" state="hidden" r:id="rId39"/>
    <sheet name="Calculations" sheetId="40" state="visible" r:id="rId40"/>
    <sheet name="Earth Map" sheetId="41" state="visible" r:id="rId41"/>
    <sheet name="Definitions" sheetId="42" state="visible" r:id="rId42"/>
    <sheet name="HELP" sheetId="43" state="visible" r:id="rId43"/>
    <sheet name="Stats_yield_ton_per_ha" sheetId="44" state="visible" r:id="rId44"/>
    <sheet name="list_region_country" sheetId="45" state="visible" r:id="rId45"/>
  </sheets>
  <externalReferences>
    <externalReference r:id="rId46"/>
    <externalReference r:id="rId47"/>
  </externalReferences>
  <definedNames>
    <definedName name="Activitiesbalance">Graph!$G$29:INDEX(Graph!$G$29:$G$40,COUNT(Graph!$G$29:$G$40))</definedName>
    <definedName name="ActivitiesWith">Graph!$G$59:INDEX(Graph!$G$59:$G$70,COUNT(Graph!$G$59:$G$70))</definedName>
    <definedName name="ActivitiesWithout">Graph!$G$44:INDEX(Graph!$G$44:$G$55,COUNT(Graph!$G$44:$G$55))</definedName>
    <definedName name="AMWS_Breeding_Swine_HP_titles">IPCC!$A$2487:$P$2487</definedName>
    <definedName name="AMWS_Chicken_broiler_LP_titles">IPCC!$A$2640:$P$2640</definedName>
    <definedName name="AMWS_Growing_Swine_HP_titles">IPCC!$A$2521:$P$2521</definedName>
    <definedName name="AWMS_Breeding_Swine_LP_titles">IPCC!$A$2504:$P$2504</definedName>
    <definedName name="AWMS_Chicken_broiler_HP_titles">IPCC!$A$2623:$P$2623</definedName>
    <definedName name="AWMS_Chicken_Layer_Default_titles">IPCC!$A$2606:$P$2606</definedName>
    <definedName name="AWMS_Dairy_Buffalo_titles">IPCC!$A$2453:$P$2453</definedName>
    <definedName name="AWMS_Dairy_Cattle_titles">IPCC!$A$2419:$P$2419</definedName>
    <definedName name="AWMS_Deer_titles">IPCC!$A$2691:$P$2691</definedName>
    <definedName name="AWMS_Goat_titles">IPCC!$A$2589:$P$2589</definedName>
    <definedName name="AWMS_Growing_Swine_LP_titles">IPCC!$A$2538:$P$2538</definedName>
    <definedName name="AWMS_Ostrich_titles">IPCC!$A$2674:$P$2674</definedName>
    <definedName name="AWMS_Other_Buffalo_titles">IPCC!$A$2470:$P$2470</definedName>
    <definedName name="AWMS_Other_Cattle_titles">IPCC!$A$2436:$P$2436</definedName>
    <definedName name="AWMS_Other_Grazing_titles">IPCC!$A$2657:$P$2657</definedName>
    <definedName name="AWMS_Other_Sheep_titles">IPCC!$A$2555:$P$2555</definedName>
    <definedName name="AWMS_Sheep_dairy_titles">IPCC!$A$2572:$P$2572</definedName>
    <definedName name="Boreal">defo!$D$9:$D$14</definedName>
    <definedName name="Boreal2">affo!$D$8:$D$13</definedName>
    <definedName name="CH4_man_Camel_HP_titles">IPCC!$A$2912:$P$2912</definedName>
    <definedName name="CH4_man_Camel_LP_titles">IPCC!$A$2929:$P$2929</definedName>
    <definedName name="CH4_man_Dairy_Cattle_HP_titles">IPCC!$A$2708:$P$2708</definedName>
    <definedName name="CH4_man_Dairy_Cattle_LP_titles">IPCC!$A$2725:$P$2725</definedName>
    <definedName name="CH4_man_Goat_HP_titles">IPCC!$A$2878:$P$2878</definedName>
    <definedName name="CH4_man_Goat_LP_titles">IPCC!$A$2895:$P$2895</definedName>
    <definedName name="CH4_man_Horse_HP_titles">IPCC!$A$2946:$P$2946</definedName>
    <definedName name="CH4_man_Horse_LP_titles">IPCC!$A$2963:$P$2963</definedName>
    <definedName name="CH4_man_Mule_HP_titles">IPCC!$A$2980:$P$2980</definedName>
    <definedName name="CH4_man_Mule_LP_titles">IPCC!$A$2997:$P$2997</definedName>
    <definedName name="CH4_man_Other_Cattle_HP_titles">IPCC!$A$2742:$P$2742</definedName>
    <definedName name="CH4_man_Other_Cattle_LP_titles">IPCC!$A$2759:$P$2759</definedName>
    <definedName name="CH4_man_Poultry_HP_titles">IPCC!$A$2810:$P$2810</definedName>
    <definedName name="CH4_man_Poultry_LP_titles">IPCC!$A$2827:$P$2827</definedName>
    <definedName name="CH4_man_Sheep_HP_titles">IPCC!$A$2844:$P$2844</definedName>
    <definedName name="CH4_man_Sheep_LP_titles">IPCC!$A$2861:$P$2861</definedName>
    <definedName name="CH4_man_Swine_HP_titles">IPCC!$A$2776:$P$2776</definedName>
    <definedName name="CH4_man_Swine_LP_titles">IPCC!$A$2793:$P$2793</definedName>
    <definedName name="clim_moist">list!$I$8</definedName>
    <definedName name="clim_moist_cont">list!$I$9</definedName>
    <definedName name="clim3">list!$I$12</definedName>
    <definedName name="climate">'1.Description'!$Q$10</definedName>
    <definedName name="climate2">list!$I$11</definedName>
    <definedName name="continent">'1.Description'!$Q$8</definedName>
    <definedName name="continent_selected">'1.Description'!$Q$8</definedName>
    <definedName name="CoolTemperate">defo!$C$9:$C$18</definedName>
    <definedName name="CoolTemperate2">affo!$C$8:$C$17</definedName>
    <definedName name="country_selected">'1.Description'!$Q$9</definedName>
    <definedName name="EF_DIRECT_N2O_manure_mngt_cattle_poultry_pigs_titles">IPCC!$A$3065:$P$3065</definedName>
    <definedName name="EF_DIRECT_N2O_manure_mngt_Sheeps_others_titles">IPCC!$A$3082:$P$3082</definedName>
    <definedName name="eq_agrof_systems">OFFSET(list!$F$73, 1, MATCH(clim_moist, list!$F$73:$O$73,0)-1,COUNTA(OFFSET(list!$F$73, 1,MATCH(clim_moist, list!$F$73:$O$73,0)-1,10,1)),1)</definedName>
    <definedName name="equation">INDEX((TabBoreal[Boreal],Tabcooltemp[Cool Temperate],TabTrop[Tropical],TabTrMon[Tropical Montane],TabWarm[Warm Temperate]),,,MATCH(climate, list!$F$21:$J$21,0))</definedName>
    <definedName name="Error_Message" comment="Total area must remain the same at the start, without and with the project scenario.  Please correct areas!">'3.Cropland'!$R$37</definedName>
    <definedName name="fluxesbalance">Graph!$H$29:INDEX(Graph!$H$29:$H$40,COUNT(Graph!$H$29:$H$40))</definedName>
    <definedName name="Frac_leach_all_categories_titles">IPCC!$A$3184:$P$3184</definedName>
    <definedName name="Frac_vol_dairy_cow_titles">IPCC!$A$3116:$P$3116</definedName>
    <definedName name="Frac_vol_Other_Animal_titles">IPCC!$A$3167:$P$3167</definedName>
    <definedName name="Frac_vol_Other_Cattle_titles">IPCC!$A$3150:$P$3150</definedName>
    <definedName name="Frac_vol_swine_titles">IPCC!$A$3099:$P$3099</definedName>
    <definedName name="GFWith">Graph!$H$59:INDEX(Graph!$H$59:$H$70,COUNT(Graph!$H$59:$H$70))</definedName>
    <definedName name="GFWithout">Graph!$H$44:INDEX(Graph!$H$44:$H$55,COUNT(Graph!$H$44:$H$55))</definedName>
    <definedName name="Lab.Without">Graph!$K$44:INDEX(Graph!$K$44:$K$55,COUNT(Graph!$K$44:$K$55))</definedName>
    <definedName name="labelsbalance">Graph!$K$29:INDEX(Graph!$K$29:$K$40,COUNT(Graph!$K$29:$K$40))</definedName>
    <definedName name="labelwith">Graph!$K$59:INDEX(Graph!$K$59:$K$70,COUNT(Graph!$K$59:$K$70))</definedName>
    <definedName name="methane">'1.Description'!$G$26</definedName>
    <definedName name="methanefossil">'1.Description'!$G$28</definedName>
    <definedName name="moist_type">'1.Description'!$Q$11</definedName>
    <definedName name="N2O_N_conversion">list!$G$57</definedName>
    <definedName name="negativefluxesbalance">Graph!$J$29:INDEX(Graph!$J$29:$J$40,COUNT(Graph!$J$29:$J$40))</definedName>
    <definedName name="negativefluxeswith">Graph!$J$59:INDEX(Graph!$J$59:$J$70,COUNT(Graph!$J$59:$J$70))</definedName>
    <definedName name="negativefluxeswithout">Graph!$J$44:INDEX(Graph!$J$44:$J$55,COUNT(Graph!$J$44:$J$55))</definedName>
    <definedName name="Nitrous">'1.Description'!$G$27</definedName>
    <definedName name="positivefluxesbalance">Graph!$I$29:INDEX(Graph!$I$29:$I$40,COUNT(Graph!$I$29:$I$40))</definedName>
    <definedName name="positivefluxeswith">Graph!$I$59:INDEX(Graph!$I$59:$I$70,COUNT(Graph!$I$59:$I$70))</definedName>
    <definedName name="positivefluxeswithout">Graph!$I$44:INDEX(Graph!$I$44:$I$55,COUNT(Graph!$I$44:$I$55))</definedName>
    <definedName name="SOCref">list!$I$14</definedName>
    <definedName name="soil">list!$I$13</definedName>
    <definedName name="soil_full">'1.Description'!$Q$12</definedName>
    <definedName name="till_?">list!$I$67:$I$70</definedName>
    <definedName name="till_conv">list!$H$67:$H$70</definedName>
    <definedName name="till_impr">list!$G$67:$G$70</definedName>
    <definedName name="time">'1.Description'!$T$13</definedName>
    <definedName name="time_cap">'1.Description'!$T$14</definedName>
    <definedName name="time_tot">'1.Description'!$T$15</definedName>
    <definedName name="Tropical">defo!$A$9:$A$17</definedName>
    <definedName name="Tropical2">affo!$A$8:$A$15</definedName>
    <definedName name="TropicalMontane">defo!$E$9:$E$10</definedName>
    <definedName name="TropicalMontane2">affo!$E$8:$E$9</definedName>
    <definedName name="WarmTemperate">defo!$B$9:$B$17</definedName>
    <definedName name="WarmTemperate2">affo!$B$8:$B$15</definedName>
    <definedName name="_xlnm._FilterDatabase" localSheetId="43" hidden="1">'Stats_yield_ton_per_ha'!$C$1:$C$2640</definedName>
  </definedNames>
  <calcPr calcId="181029" fullCalcOnLoad="1"/>
</workbook>
</file>

<file path=xl/styles.xml><?xml version="1.0" encoding="utf-8"?>
<styleSheet xmlns="http://schemas.openxmlformats.org/spreadsheetml/2006/main">
  <numFmts count="19">
    <numFmt numFmtId="164" formatCode="0.0"/>
    <numFmt numFmtId="165" formatCode="_-* #,##0_-;\-* #,##0_-;_-* &quot;-&quot;??_-;_-@_-"/>
    <numFmt numFmtId="166" formatCode="0.000"/>
    <numFmt numFmtId="167" formatCode="0.000000"/>
    <numFmt numFmtId="168" formatCode="#,##0.0"/>
    <numFmt numFmtId="169" formatCode="0.00000000000"/>
    <numFmt numFmtId="170" formatCode="#,##0.000"/>
    <numFmt numFmtId="171" formatCode="#,##0.00000000"/>
    <numFmt numFmtId="172" formatCode="#,##0_ ;\-#,##0\ "/>
    <numFmt numFmtId="173" formatCode="_-* #,##0.00_-;\-* #,##0.00_-;_-* &quot;-&quot;??_-;_-@_-"/>
    <numFmt numFmtId="174" formatCode="_-* #,##0.0_-;\-* #,##0.0_-;_-* &quot;-&quot;??_-;_-@_-"/>
    <numFmt numFmtId="175" formatCode="#,##0.00000"/>
    <numFmt numFmtId="176" formatCode="#,##0.0000000000"/>
    <numFmt numFmtId="177" formatCode="0.00000000"/>
    <numFmt numFmtId="178" formatCode="#,##0.0000000"/>
    <numFmt numFmtId="179" formatCode="#,##0.0000"/>
    <numFmt numFmtId="180" formatCode="0.0000"/>
    <numFmt numFmtId="181" formatCode="0.0%"/>
    <numFmt numFmtId="182" formatCode="mm/dd/yy;@"/>
  </numFmts>
  <fonts count="326">
    <font>
      <name val="Calibri"/>
      <family val="2"/>
      <color theme="1"/>
      <sz val="11"/>
      <scheme val="minor"/>
    </font>
    <font>
      <name val="Calibri"/>
      <family val="2"/>
      <color theme="1"/>
      <sz val="11"/>
      <scheme val="minor"/>
    </font>
    <font>
      <name val="Calibri"/>
      <charset val="161"/>
      <family val="2"/>
      <color theme="1"/>
      <sz val="11"/>
      <scheme val="minor"/>
    </font>
    <font>
      <name val="Calibri"/>
      <family val="2"/>
      <b val="1"/>
      <color theme="1"/>
      <sz val="11"/>
      <scheme val="minor"/>
    </font>
    <font>
      <name val="Arial"/>
      <family val="2"/>
      <sz val="10"/>
    </font>
    <font>
      <name val="Arial"/>
      <family val="2"/>
      <b val="1"/>
      <sz val="10"/>
    </font>
    <font>
      <name val="Arial"/>
      <family val="2"/>
      <color rgb="FFFF0000"/>
      <sz val="10"/>
    </font>
    <font>
      <name val="Arial"/>
      <family val="2"/>
      <b val="1"/>
      <color rgb="FFFF0000"/>
      <sz val="10"/>
    </font>
    <font>
      <name val="Arial"/>
      <family val="2"/>
      <b val="1"/>
      <color indexed="43"/>
      <sz val="10"/>
    </font>
    <font>
      <name val="Calibri"/>
      <family val="2"/>
      <color rgb="FFFF0000"/>
      <sz val="11"/>
      <scheme val="minor"/>
    </font>
    <font>
      <name val="Arial"/>
      <family val="2"/>
      <color theme="1"/>
      <sz val="10"/>
    </font>
    <font>
      <name val="Arial"/>
      <family val="2"/>
      <sz val="10"/>
      <vertAlign val="superscript"/>
    </font>
    <font>
      <name val="Arial"/>
      <family val="2"/>
      <b val="1"/>
      <sz val="10"/>
      <vertAlign val="subscript"/>
    </font>
    <font>
      <name val="Arial"/>
      <family val="2"/>
      <color indexed="12"/>
      <sz val="10"/>
    </font>
    <font>
      <name val="Arial"/>
      <family val="2"/>
      <sz val="10"/>
      <vertAlign val="subscript"/>
    </font>
    <font>
      <name val="Arial"/>
      <charset val="161"/>
      <family val="2"/>
      <sz val="10"/>
    </font>
    <font>
      <name val="Calibri"/>
      <charset val="161"/>
      <family val="2"/>
      <color theme="1"/>
      <sz val="11"/>
      <vertAlign val="subscript"/>
      <scheme val="minor"/>
    </font>
    <font>
      <name val="Tahoma"/>
      <charset val="161"/>
      <family val="2"/>
      <color indexed="81"/>
      <sz val="9"/>
    </font>
    <font>
      <name val="Calibri"/>
      <family val="2"/>
      <color theme="1"/>
      <sz val="11"/>
      <vertAlign val="subscript"/>
      <scheme val="minor"/>
    </font>
    <font>
      <name val="Tahoma"/>
      <charset val="161"/>
      <family val="2"/>
      <b val="1"/>
      <color indexed="81"/>
      <sz val="9"/>
    </font>
    <font>
      <name val="Calibri"/>
      <charset val="161"/>
      <family val="2"/>
      <b val="1"/>
      <color theme="1"/>
      <sz val="12"/>
      <scheme val="minor"/>
    </font>
    <font>
      <name val="Calibri"/>
      <charset val="161"/>
      <family val="2"/>
      <b val="1"/>
      <color theme="1"/>
      <sz val="14"/>
      <scheme val="minor"/>
    </font>
    <font>
      <name val="Calibri"/>
      <family val="2"/>
      <b val="1"/>
      <sz val="11"/>
      <scheme val="minor"/>
    </font>
    <font>
      <name val="Arial"/>
      <family val="2"/>
      <color indexed="12"/>
      <sz val="10"/>
      <u val="single"/>
    </font>
    <font>
      <name val="Arial"/>
      <family val="2"/>
      <b val="1"/>
      <sz val="14"/>
    </font>
    <font>
      <name val="Calibri"/>
      <family val="2"/>
      <color theme="1"/>
      <sz val="14"/>
      <scheme val="minor"/>
    </font>
    <font>
      <name val="Calibri"/>
      <family val="2"/>
      <b val="1"/>
      <color theme="1"/>
      <sz val="11"/>
      <vertAlign val="subscript"/>
      <scheme val="minor"/>
    </font>
    <font>
      <name val="Calibri"/>
      <family val="2"/>
      <b val="1"/>
      <color theme="1"/>
      <sz val="11"/>
      <vertAlign val="superscript"/>
      <scheme val="minor"/>
    </font>
    <font>
      <name val="Arial"/>
      <family val="2"/>
      <b val="1"/>
      <color indexed="12"/>
      <sz val="10"/>
    </font>
    <font>
      <name val="Calibri"/>
      <family val="2"/>
      <color theme="1"/>
      <sz val="10"/>
      <scheme val="minor"/>
    </font>
    <font>
      <name val="Calibri"/>
      <family val="2"/>
      <color theme="1"/>
      <sz val="9"/>
      <scheme val="minor"/>
    </font>
    <font>
      <name val="Calibri"/>
      <family val="2"/>
      <color theme="1"/>
      <sz val="8"/>
      <scheme val="minor"/>
    </font>
    <font>
      <name val="Arial"/>
      <family val="2"/>
      <b val="1"/>
      <color rgb="FF0000FF"/>
      <sz val="10"/>
    </font>
    <font>
      <name val="Calibri"/>
      <family val="2"/>
      <b val="1"/>
      <color rgb="FF0000FF"/>
      <sz val="10"/>
      <scheme val="minor"/>
    </font>
    <font>
      <name val="Arial"/>
      <family val="2"/>
      <b val="1"/>
      <color indexed="12"/>
      <sz val="10"/>
      <vertAlign val="subscript"/>
    </font>
    <font>
      <name val="Tahoma"/>
      <family val="2"/>
      <color indexed="81"/>
      <sz val="9"/>
    </font>
    <font>
      <name val="Tahoma"/>
      <family val="2"/>
      <b val="1"/>
      <color indexed="81"/>
      <sz val="9"/>
    </font>
    <font>
      <name val="Calibri"/>
      <family val="2"/>
      <sz val="11"/>
      <scheme val="minor"/>
    </font>
    <font>
      <name val="Calibri"/>
      <family val="2"/>
      <color theme="1"/>
      <sz val="11"/>
      <scheme val="minor"/>
    </font>
    <font>
      <name val="Arial"/>
      <family val="2"/>
      <color theme="1"/>
      <sz val="11"/>
    </font>
    <font>
      <name val="Arial"/>
      <family val="2"/>
      <b val="1"/>
      <color theme="1"/>
      <sz val="11"/>
    </font>
    <font>
      <name val="Calibri"/>
      <family val="2"/>
      <b val="1"/>
      <color rgb="FFFF0000"/>
      <sz val="18"/>
      <scheme val="minor"/>
    </font>
    <font>
      <name val="Arial"/>
      <family val="2"/>
      <b val="1"/>
      <color rgb="FFFF0000"/>
      <sz val="18"/>
    </font>
    <font>
      <name val="Calibri"/>
      <family val="2"/>
      <b val="1"/>
      <sz val="11"/>
      <vertAlign val="subscript"/>
      <scheme val="minor"/>
    </font>
    <font>
      <name val="Arial"/>
      <family val="2"/>
      <b val="1"/>
      <color theme="1"/>
      <sz val="10"/>
    </font>
    <font>
      <name val="Arial"/>
      <family val="2"/>
      <color theme="1"/>
      <sz val="9"/>
    </font>
    <font>
      <name val="Arial"/>
      <family val="2"/>
      <b val="1"/>
      <color theme="1"/>
      <sz val="10"/>
      <vertAlign val="subscript"/>
    </font>
    <font>
      <name val="Arial"/>
      <family val="2"/>
      <color theme="1"/>
      <sz val="10"/>
      <vertAlign val="subscript"/>
    </font>
    <font>
      <name val="Arial"/>
      <family val="2"/>
      <color theme="1"/>
      <sz val="8"/>
    </font>
    <font>
      <name val="Arial"/>
      <family val="2"/>
      <color theme="1"/>
      <sz val="10"/>
      <vertAlign val="superscript"/>
    </font>
    <font>
      <name val="Calibri"/>
      <family val="2"/>
      <b val="1"/>
      <color rgb="FFFF0000"/>
      <sz val="11"/>
      <scheme val="minor"/>
    </font>
    <font>
      <name val="Calibri"/>
      <charset val="161"/>
      <family val="2"/>
      <b val="1"/>
      <color theme="1"/>
      <sz val="16"/>
      <scheme val="minor"/>
    </font>
    <font>
      <name val="Calibri"/>
      <charset val="161"/>
      <family val="2"/>
      <color rgb="FFFF0000"/>
      <sz val="11"/>
      <scheme val="minor"/>
    </font>
    <font>
      <name val="Arial"/>
      <family val="2"/>
      <b val="1"/>
      <color rgb="FFFF0000"/>
      <sz val="10"/>
      <vertAlign val="subscript"/>
    </font>
    <font>
      <name val="Calibri"/>
      <family val="2"/>
      <strike val="1"/>
      <color theme="1"/>
      <sz val="11"/>
      <scheme val="minor"/>
    </font>
    <font>
      <name val="Century Gothic"/>
      <family val="2"/>
      <sz val="10"/>
    </font>
    <font>
      <name val="Century Gothic"/>
      <family val="2"/>
      <b val="1"/>
      <sz val="11"/>
    </font>
    <font>
      <name val="Tahoma"/>
      <family val="2"/>
      <b val="1"/>
      <color indexed="81"/>
      <sz val="8"/>
    </font>
    <font>
      <name val="Arial"/>
      <family val="2"/>
      <b val="1"/>
      <color indexed="12"/>
      <sz val="10"/>
      <vertAlign val="superscript"/>
    </font>
    <font>
      <name val="Arial"/>
      <family val="2"/>
      <color rgb="FF111111"/>
      <sz val="10"/>
    </font>
    <font>
      <name val="Calibri"/>
      <family val="2"/>
      <color theme="1"/>
      <sz val="11"/>
      <vertAlign val="superscript"/>
      <scheme val="minor"/>
    </font>
    <font>
      <name val="Calibri"/>
      <family val="2"/>
      <b val="1"/>
      <color rgb="FF0000FF"/>
      <sz val="11"/>
      <vertAlign val="superscript"/>
      <scheme val="minor"/>
    </font>
    <font>
      <name val="Calibri"/>
      <family val="2"/>
      <b val="1"/>
      <color rgb="FF0000FF"/>
      <sz val="11"/>
      <scheme val="minor"/>
    </font>
    <font>
      <name val="Calibri"/>
      <family val="2"/>
      <color rgb="FFFF0000"/>
      <sz val="10"/>
      <scheme val="minor"/>
    </font>
    <font>
      <name val="Calibri"/>
      <family val="2"/>
      <color rgb="FFFF0000"/>
      <sz val="9"/>
      <scheme val="minor"/>
    </font>
    <font>
      <name val="Helvetica"/>
      <family val="2"/>
      <b val="1"/>
      <color indexed="43"/>
      <sz val="11"/>
    </font>
    <font>
      <name val="Helvetica"/>
      <family val="2"/>
      <b val="1"/>
      <color indexed="43"/>
      <sz val="11"/>
      <vertAlign val="subscript"/>
    </font>
    <font>
      <name val="Calibri"/>
      <family val="2"/>
      <b val="1"/>
      <color theme="0"/>
      <sz val="11"/>
      <scheme val="minor"/>
    </font>
    <font>
      <name val="Century Gothic"/>
      <family val="2"/>
      <b val="1"/>
      <sz val="12"/>
    </font>
    <font>
      <name val="Century Gothic"/>
      <family val="2"/>
      <color theme="1"/>
      <sz val="11"/>
    </font>
    <font>
      <name val="Century Gothic"/>
      <family val="2"/>
      <sz val="11"/>
    </font>
    <font>
      <name val="Century Gothic"/>
      <family val="2"/>
      <b val="1"/>
      <sz val="14"/>
    </font>
    <font>
      <name val="Century Gothic"/>
      <family val="2"/>
      <color theme="1"/>
      <sz val="10"/>
    </font>
    <font>
      <name val="Century Gothic"/>
      <family val="2"/>
      <sz val="12"/>
    </font>
    <font>
      <name val="Century Gothic"/>
      <family val="2"/>
      <b val="1"/>
      <color theme="1"/>
      <sz val="11"/>
    </font>
    <font>
      <name val="Century Gothic"/>
      <family val="2"/>
      <b val="1"/>
      <color theme="0"/>
      <sz val="11"/>
    </font>
    <font>
      <name val="Century Gothic"/>
      <family val="2"/>
      <b val="1"/>
      <color rgb="FFFF0000"/>
      <sz val="12"/>
    </font>
    <font>
      <name val="Century Gothic"/>
      <family val="2"/>
      <color theme="0"/>
      <sz val="11"/>
    </font>
    <font>
      <name val="Century Gothic"/>
      <family val="2"/>
      <b val="1"/>
      <color theme="1"/>
      <sz val="10"/>
    </font>
    <font>
      <name val="Century Gothic"/>
      <family val="2"/>
      <b val="1"/>
      <color theme="1"/>
      <sz val="12"/>
    </font>
    <font>
      <name val="Century Gothic"/>
      <family val="2"/>
      <b val="1"/>
      <color rgb="FFFF0000"/>
      <sz val="11"/>
    </font>
    <font>
      <name val="Century Gothic"/>
      <family val="2"/>
      <color rgb="FFFF0000"/>
      <sz val="11"/>
    </font>
    <font>
      <name val="Century Gothic"/>
      <family val="2"/>
      <color theme="0"/>
      <sz val="10"/>
    </font>
    <font>
      <name val="Century Gothic"/>
      <family val="2"/>
      <color theme="1"/>
      <sz val="12"/>
    </font>
    <font>
      <name val="Century Gothic"/>
      <family val="2"/>
      <sz val="9"/>
    </font>
    <font>
      <name val="Century Gothic"/>
      <family val="2"/>
      <b val="1"/>
      <color theme="1"/>
      <sz val="12"/>
      <vertAlign val="subscript"/>
    </font>
    <font>
      <name val="Century Gothic"/>
      <family val="2"/>
      <b val="1"/>
      <color theme="1" tint="0.249977111117893"/>
      <sz val="11"/>
    </font>
    <font>
      <name val="Century Gothic"/>
      <family val="2"/>
      <color theme="1" tint="0.249977111117893"/>
      <sz val="11"/>
    </font>
    <font>
      <name val="Century Gothic"/>
      <family val="2"/>
      <b val="1"/>
      <sz val="10"/>
    </font>
    <font>
      <name val="Calibri"/>
      <family val="2"/>
      <color theme="0"/>
      <sz val="11"/>
      <scheme val="minor"/>
    </font>
    <font>
      <name val="Calibri"/>
      <family val="2"/>
      <b val="1"/>
      <color theme="1"/>
      <sz val="12"/>
      <scheme val="minor"/>
    </font>
    <font>
      <name val="Tahoma"/>
      <family val="2"/>
      <color indexed="81"/>
      <sz val="8"/>
    </font>
    <font>
      <name val="Calibri"/>
      <family val="2"/>
      <b val="1"/>
      <color theme="1"/>
      <sz val="9"/>
      <scheme val="minor"/>
    </font>
    <font>
      <name val="Calibri"/>
      <family val="2"/>
      <b val="1"/>
      <color theme="1"/>
      <sz val="14"/>
      <scheme val="minor"/>
    </font>
    <font>
      <name val="Arial"/>
      <family val="2"/>
      <sz val="10"/>
      <u val="single"/>
    </font>
    <font>
      <name val="Calibri"/>
      <family val="2"/>
      <b val="1"/>
      <color rgb="FFFF0000"/>
      <sz val="14"/>
      <scheme val="minor"/>
    </font>
    <font>
      <name val="Arial"/>
      <family val="2"/>
      <color theme="0"/>
      <sz val="10"/>
    </font>
    <font>
      <name val="Arial"/>
      <family val="2"/>
      <b val="1"/>
      <color theme="0"/>
      <sz val="10"/>
    </font>
    <font>
      <name val="Arial"/>
      <family val="2"/>
      <color rgb="FFFF0000"/>
      <sz val="8"/>
    </font>
    <font>
      <name val="Calibri"/>
      <family val="2"/>
      <b val="1"/>
      <color theme="0"/>
      <sz val="14"/>
      <scheme val="minor"/>
    </font>
    <font>
      <name val="Arial"/>
      <family val="2"/>
      <sz val="11"/>
    </font>
    <font>
      <name val="Arial"/>
      <family val="2"/>
      <b val="1"/>
      <sz val="11"/>
    </font>
    <font>
      <name val="Helvetica"/>
      <family val="2"/>
      <b val="1"/>
      <sz val="11"/>
    </font>
    <font>
      <name val="Calibri"/>
      <family val="2"/>
      <b val="1"/>
      <color rgb="FF0000FF"/>
      <sz val="12"/>
      <scheme val="minor"/>
    </font>
    <font>
      <name val="Arial"/>
      <family val="2"/>
      <b val="1"/>
      <color rgb="FF0000FF"/>
      <sz val="10"/>
      <vertAlign val="subscript"/>
    </font>
    <font>
      <name val="Arial"/>
      <family val="2"/>
      <b val="1"/>
      <color rgb="FFFF0000"/>
      <sz val="12"/>
    </font>
    <font>
      <name val="Arial"/>
      <family val="2"/>
      <b val="1"/>
      <color rgb="FFFF0000"/>
      <sz val="11"/>
    </font>
    <font>
      <name val="Arial"/>
      <family val="2"/>
      <b val="1"/>
      <color rgb="FF0000FF"/>
      <sz val="12"/>
    </font>
    <font>
      <name val="Calibri"/>
      <family val="2"/>
      <b val="1"/>
      <color theme="1"/>
      <sz val="8"/>
      <scheme val="minor"/>
    </font>
    <font>
      <name val="Century Gothic"/>
      <family val="2"/>
      <b val="1"/>
      <sz val="11"/>
      <vertAlign val="subscript"/>
    </font>
    <font>
      <name val="Century Gothic"/>
      <family val="2"/>
      <color theme="1"/>
      <sz val="9"/>
    </font>
    <font>
      <name val="Arial"/>
      <family val="2"/>
      <sz val="9"/>
    </font>
    <font>
      <name val="Calibri"/>
      <family val="2"/>
      <b val="1"/>
      <color theme="0"/>
      <sz val="18"/>
      <scheme val="minor"/>
    </font>
    <font>
      <name val="Century Gothic"/>
      <family val="2"/>
      <color rgb="FFFF0000"/>
      <sz val="10"/>
    </font>
    <font>
      <name val="Arial"/>
      <family val="2"/>
      <b val="1"/>
      <color theme="1"/>
      <sz val="11"/>
      <vertAlign val="subscript"/>
    </font>
    <font>
      <name val="Calibri"/>
      <family val="2"/>
      <color theme="0"/>
      <sz val="14"/>
      <scheme val="minor"/>
    </font>
    <font>
      <name val="Calibri"/>
      <family val="2"/>
      <b val="1"/>
      <i val="1"/>
      <color theme="0"/>
      <sz val="14"/>
      <scheme val="minor"/>
    </font>
    <font>
      <name val="Calibri"/>
      <family val="2"/>
      <i val="1"/>
      <color theme="0"/>
      <sz val="14"/>
      <scheme val="minor"/>
    </font>
    <font>
      <name val="Arial"/>
      <family val="2"/>
      <b val="1"/>
      <sz val="12"/>
    </font>
    <font>
      <name val="Arial"/>
      <family val="2"/>
      <sz val="16"/>
    </font>
    <font>
      <name val="Arial"/>
      <family val="2"/>
      <b val="1"/>
      <color theme="0"/>
      <sz val="12"/>
    </font>
    <font>
      <name val="Arial"/>
      <family val="2"/>
      <sz val="8"/>
    </font>
    <font>
      <name val="Arial"/>
      <family val="2"/>
      <sz val="22"/>
    </font>
    <font>
      <name val="Arial"/>
      <family val="2"/>
      <sz val="14"/>
    </font>
    <font>
      <name val="Arial"/>
      <family val="2"/>
      <b val="1"/>
      <color theme="0"/>
      <sz val="16"/>
    </font>
    <font>
      <name val="Arial"/>
      <family val="2"/>
      <color theme="0"/>
      <sz val="16"/>
    </font>
    <font>
      <name val="Century Gothic"/>
      <family val="2"/>
      <color theme="0"/>
      <sz val="18"/>
    </font>
    <font>
      <name val="Century Gothic"/>
      <family val="2"/>
      <b val="1"/>
      <color theme="1"/>
      <sz val="14"/>
    </font>
    <font>
      <name val="Century Gothic"/>
      <family val="2"/>
      <b val="1"/>
      <color theme="0"/>
      <sz val="18"/>
    </font>
    <font>
      <name val="Century Gothic"/>
      <family val="2"/>
      <b val="1"/>
      <sz val="16"/>
    </font>
    <font>
      <name val="Arial"/>
      <family val="2"/>
      <b val="1"/>
      <sz val="9"/>
    </font>
    <font>
      <name val="Century Gothic"/>
      <family val="2"/>
      <color theme="0"/>
      <sz val="9"/>
    </font>
    <font>
      <name val="Century Gothic"/>
      <family val="2"/>
      <b val="1"/>
      <color theme="0"/>
      <sz val="24"/>
    </font>
    <font>
      <name val="Century Gothic"/>
      <family val="2"/>
      <color theme="1"/>
      <sz val="14"/>
    </font>
    <font>
      <name val="Century Gothic"/>
      <family val="2"/>
      <b val="1"/>
      <color rgb="FF0000FF"/>
      <sz val="10"/>
    </font>
    <font>
      <name val="Century Gothic"/>
      <family val="2"/>
      <b val="1"/>
      <sz val="8"/>
    </font>
    <font>
      <name val="Century Gothic"/>
      <family val="2"/>
      <b val="1"/>
      <color theme="0"/>
      <sz val="20"/>
    </font>
    <font>
      <name val="Century Gothic"/>
      <family val="2"/>
      <color theme="1"/>
      <sz val="16"/>
    </font>
    <font>
      <name val="Century Gothic"/>
      <family val="2"/>
      <color theme="0"/>
      <sz val="14"/>
    </font>
    <font>
      <name val="Century Gothic"/>
      <family val="2"/>
      <b val="1"/>
      <color rgb="FF0000FF"/>
      <sz val="16"/>
    </font>
    <font>
      <name val="Century Gothic"/>
      <family val="2"/>
      <b val="1"/>
      <color rgb="FF0000FF"/>
      <sz val="14"/>
    </font>
    <font>
      <name val="Century Gothic"/>
      <family val="2"/>
      <b val="1"/>
      <color indexed="43"/>
      <sz val="10"/>
    </font>
    <font>
      <name val="Century Gothic"/>
      <family val="2"/>
      <b val="1"/>
      <sz val="10"/>
      <vertAlign val="subscript"/>
    </font>
    <font>
      <name val="Century Gothic"/>
      <family val="2"/>
      <color indexed="12"/>
      <sz val="11"/>
      <u val="single"/>
    </font>
    <font>
      <name val="Calibri"/>
      <family val="2"/>
      <b val="1"/>
      <color theme="0"/>
      <sz val="12"/>
      <scheme val="minor"/>
    </font>
    <font>
      <name val="Century Gothic"/>
      <family val="2"/>
      <b val="1"/>
      <color theme="0"/>
      <sz val="26"/>
    </font>
    <font>
      <name val="Century Gothic"/>
      <family val="2"/>
      <b val="1"/>
      <color theme="1"/>
      <sz val="9"/>
    </font>
    <font>
      <name val="Century Gothic"/>
      <family val="2"/>
      <b val="1"/>
      <color rgb="FFFF0000"/>
      <sz val="16"/>
    </font>
    <font>
      <name val="Century Gothic"/>
      <family val="2"/>
      <b val="1"/>
      <color rgb="FFFF0000"/>
      <sz val="10"/>
    </font>
    <font>
      <name val="Roboto Light"/>
      <b val="1"/>
      <color theme="0"/>
      <sz val="11"/>
    </font>
    <font>
      <name val="Roboto Light"/>
      <color theme="1"/>
      <sz val="11"/>
    </font>
    <font>
      <name val="Roboto Light"/>
      <color theme="2" tint="-0.09997863704336681"/>
      <sz val="12"/>
    </font>
    <font>
      <name val="Roboto Light"/>
      <b val="1"/>
      <color theme="0"/>
      <sz val="14"/>
    </font>
    <font>
      <name val="Roboto Light"/>
      <color theme="8" tint="0.3999755851924192"/>
      <sz val="11"/>
    </font>
    <font>
      <name val="Roboto Light"/>
      <b val="1"/>
      <color theme="0"/>
      <sz val="10"/>
    </font>
    <font>
      <name val="Roboto Light"/>
      <b val="1"/>
      <color theme="0"/>
      <sz val="12"/>
    </font>
    <font>
      <name val="Roboto Light"/>
      <color theme="0"/>
      <sz val="12"/>
    </font>
    <font>
      <name val="Roboto Light"/>
      <i val="1"/>
      <sz val="12"/>
    </font>
    <font>
      <name val="Roboto Light"/>
      <b val="1"/>
      <i val="1"/>
      <sz val="13"/>
    </font>
    <font>
      <name val="Roboto Light"/>
      <b val="1"/>
      <sz val="14"/>
    </font>
    <font>
      <name val="Roboto Light"/>
      <b val="1"/>
      <color theme="1"/>
      <sz val="11"/>
    </font>
    <font>
      <name val="Roboto Light"/>
      <sz val="11"/>
    </font>
    <font>
      <name val="Roboto Light"/>
      <b val="1"/>
      <color theme="1"/>
      <sz val="12"/>
    </font>
    <font>
      <name val="Roboto Light"/>
      <b val="1"/>
      <color theme="1"/>
      <sz val="11"/>
      <vertAlign val="subscript"/>
    </font>
    <font>
      <name val="Roboto Light"/>
      <sz val="12"/>
    </font>
    <font>
      <name val="Roboto Light"/>
      <sz val="11"/>
      <u val="single"/>
    </font>
    <font>
      <name val="Roboto Light"/>
      <b val="1"/>
      <i val="1"/>
      <sz val="14"/>
    </font>
    <font>
      <name val="Roboto Light"/>
      <b val="1"/>
      <sz val="11"/>
    </font>
    <font>
      <name val="Roboto Light"/>
      <b val="1"/>
      <sz val="12"/>
      <u val="single"/>
    </font>
    <font>
      <name val="Roboto Light"/>
      <b val="1"/>
      <sz val="14"/>
      <u val="single"/>
    </font>
    <font>
      <name val="Roboto Light"/>
      <sz val="14"/>
    </font>
    <font>
      <name val="Roboto Light"/>
      <b val="1"/>
      <color theme="1"/>
      <sz val="18"/>
    </font>
    <font>
      <name val="Roboto Light"/>
      <color theme="1"/>
      <sz val="18"/>
    </font>
    <font>
      <name val="Roboto Light"/>
      <color theme="0"/>
      <sz val="11"/>
    </font>
    <font>
      <name val="Roboto Light"/>
      <color theme="1"/>
      <sz val="10"/>
    </font>
    <font>
      <name val="Roboto Light"/>
      <color rgb="FF000000"/>
      <sz val="11"/>
    </font>
    <font>
      <name val="Roboto Light"/>
      <color theme="1"/>
      <sz val="12"/>
    </font>
    <font>
      <name val="Roboto Light"/>
      <b val="1"/>
      <color theme="1"/>
      <sz val="11"/>
      <u val="single"/>
    </font>
    <font>
      <name val="Roboto Light"/>
      <color theme="1"/>
      <sz val="11"/>
      <u val="single"/>
    </font>
    <font>
      <name val="Roboto Light"/>
      <color theme="0"/>
      <sz val="10"/>
    </font>
    <font>
      <name val="Roboto Light"/>
      <b val="1"/>
      <color rgb="FFFF0000"/>
      <sz val="12"/>
    </font>
    <font>
      <name val="Roboto Light"/>
      <b val="1"/>
      <color rgb="FF993300"/>
      <sz val="11"/>
    </font>
    <font>
      <name val="Roboto Light"/>
      <b val="1"/>
      <color theme="4" tint="-0.499984740745262"/>
      <sz val="11"/>
    </font>
    <font>
      <name val="Roboto Light"/>
      <b val="1"/>
      <color theme="4" tint="-0.499984740745262"/>
      <sz val="12"/>
    </font>
    <font>
      <name val="Roboto Light"/>
      <color rgb="FF2E2E2E"/>
      <sz val="10"/>
    </font>
    <font>
      <name val="Roboto Light"/>
      <i val="1"/>
      <sz val="14"/>
    </font>
    <font>
      <name val="Roboto Light"/>
      <b val="1"/>
      <sz val="12"/>
    </font>
    <font>
      <name val="Roboto Light"/>
      <color theme="2" tint="-0.09997863704336681"/>
      <sz val="11"/>
    </font>
    <font>
      <name val="Roboto Light"/>
      <b val="1"/>
      <color theme="2" tint="-0.09997863704336681"/>
      <sz val="11"/>
    </font>
    <font>
      <name val="Roboto Light"/>
      <b val="1"/>
      <color theme="5"/>
      <sz val="14"/>
    </font>
    <font>
      <name val="Roboto Light"/>
      <sz val="10"/>
    </font>
    <font>
      <name val="Roboto Light"/>
      <b val="1"/>
      <color theme="2" tint="-0.09997863704336681"/>
      <sz val="11"/>
      <u val="single"/>
    </font>
    <font>
      <name val="Roboto Light"/>
      <b val="1"/>
      <color rgb="FFFF0000"/>
      <sz val="11"/>
    </font>
    <font>
      <name val="Roboto Light"/>
      <color rgb="FFFF0000"/>
      <sz val="11"/>
    </font>
    <font>
      <name val="Roboto Light"/>
      <b val="1"/>
      <color theme="1"/>
      <sz val="10"/>
    </font>
    <font>
      <name val="Roboto Light"/>
      <b val="1"/>
      <sz val="11"/>
      <u val="single"/>
    </font>
    <font>
      <name val="Roboto Light"/>
      <color theme="8" tint="0.3999755851924192"/>
      <sz val="12"/>
    </font>
    <font>
      <name val="Roboto Light"/>
      <b val="1"/>
      <color theme="0"/>
      <sz val="16"/>
    </font>
    <font>
      <name val="Roboto Light"/>
      <b val="1"/>
      <color rgb="FFFF0000"/>
      <sz val="14"/>
    </font>
    <font>
      <name val="Roboto Light"/>
      <color theme="1"/>
      <sz val="16"/>
    </font>
    <font>
      <name val="Roboto Light"/>
      <b val="1"/>
      <color rgb="FFC00000"/>
      <sz val="11"/>
    </font>
    <font>
      <name val="Roboto Light"/>
      <b val="1"/>
      <color rgb="FFC00000"/>
      <sz val="12"/>
    </font>
    <font>
      <name val="Roboto Light"/>
      <b val="1"/>
      <color theme="0"/>
      <sz val="18"/>
    </font>
    <font>
      <name val="Roboto Light"/>
      <b val="1"/>
      <color theme="0" tint="-0.1499984740745262"/>
      <sz val="12"/>
    </font>
    <font>
      <name val="Roboto Light"/>
      <b val="1"/>
      <color theme="8" tint="0.5999938962981048"/>
      <sz val="12"/>
    </font>
    <font>
      <name val="Roboto Light"/>
      <color theme="8" tint="0.5999938962981048"/>
      <sz val="12"/>
    </font>
    <font>
      <name val="Roboto Light"/>
      <color theme="0" tint="-0.1499984740745262"/>
      <sz val="11"/>
    </font>
    <font>
      <name val="Roboto Light"/>
      <b val="1"/>
      <color theme="0"/>
      <sz val="24"/>
    </font>
    <font>
      <name val="Roboto Light"/>
      <i val="1"/>
      <color theme="0"/>
      <sz val="12"/>
    </font>
    <font>
      <name val="Roboto Light"/>
      <b val="1"/>
      <color theme="0"/>
      <sz val="20"/>
    </font>
    <font>
      <name val="Roboto Light"/>
      <color theme="1"/>
      <sz val="9"/>
    </font>
    <font>
      <name val="Roboto Light"/>
      <color theme="1"/>
      <sz val="14"/>
    </font>
    <font>
      <name val="Roboto Light"/>
      <color theme="8" tint="0.7999816888943144"/>
      <sz val="11"/>
    </font>
    <font>
      <name val="Roboto Light"/>
      <color theme="1"/>
      <sz val="12"/>
      <u val="single"/>
    </font>
    <font>
      <name val="Roboto Light"/>
      <b val="1"/>
      <color theme="1"/>
      <sz val="12"/>
      <u val="single"/>
    </font>
    <font>
      <name val="Roboto Light"/>
      <b val="1"/>
      <i val="1"/>
      <sz val="11"/>
    </font>
    <font>
      <name val="Roboto Light"/>
      <b val="1"/>
      <sz val="13"/>
    </font>
    <font>
      <name val="Roboto Light"/>
      <b val="1"/>
      <color theme="1"/>
      <sz val="16"/>
    </font>
    <font>
      <name val="Roboto Light"/>
      <b val="1"/>
      <sz val="16"/>
    </font>
    <font>
      <name val="Roboto Light"/>
      <i val="1"/>
      <sz val="11"/>
    </font>
    <font>
      <name val="Roboto Light"/>
      <color theme="1"/>
      <sz val="13"/>
    </font>
    <font>
      <name val="Roboto Light"/>
      <sz val="13"/>
    </font>
    <font>
      <name val="Roboto Light"/>
      <color theme="9" tint="0.5999938962981048"/>
      <sz val="11"/>
    </font>
    <font>
      <name val="Roboto Light"/>
      <color rgb="FFFF0000"/>
      <sz val="10"/>
    </font>
    <font>
      <name val="Roboto Light"/>
      <b val="1"/>
      <color theme="1"/>
      <sz val="8"/>
    </font>
    <font>
      <name val="Roboto Light"/>
      <b val="1"/>
      <sz val="10"/>
    </font>
    <font>
      <name val="Roboto Light"/>
      <b val="1"/>
      <color theme="1"/>
      <sz val="14"/>
    </font>
    <font>
      <name val="Roboto Light"/>
      <color theme="0"/>
      <sz val="14"/>
    </font>
    <font>
      <name val="Roboto Light"/>
      <color theme="0"/>
      <sz val="16"/>
    </font>
    <font>
      <name val="Roboto Light"/>
      <b val="1"/>
      <color theme="0" tint="-0.1499984740745262"/>
      <sz val="11"/>
    </font>
    <font>
      <name val="Century Gothic"/>
      <family val="2"/>
      <color theme="8" tint="0.7999816888943144"/>
      <sz val="10"/>
    </font>
    <font>
      <name val="Century Gothic"/>
      <family val="2"/>
      <b val="1"/>
      <color theme="0"/>
      <sz val="16"/>
    </font>
    <font>
      <name val="Roboto Light"/>
      <color theme="0" tint="-0.1499984740745262"/>
      <sz val="12"/>
    </font>
    <font>
      <name val="Century Gothic"/>
      <family val="2"/>
      <b val="1"/>
      <color theme="1"/>
      <sz val="11"/>
      <u val="single"/>
    </font>
    <font>
      <name val="Calibri"/>
      <family val="2"/>
      <color theme="1"/>
      <sz val="11"/>
    </font>
    <font>
      <name val="Calibri"/>
      <family val="2"/>
      <color theme="1"/>
      <sz val="14"/>
    </font>
    <font>
      <name val="Times New Roman"/>
      <family val="1"/>
      <color rgb="FF000000"/>
      <sz val="11"/>
    </font>
    <font>
      <name val="Times New Roman"/>
      <family val="1"/>
      <i val="1"/>
      <color rgb="FF44536A"/>
      <sz val="11"/>
    </font>
    <font>
      <name val="Times New Roman"/>
      <family val="1"/>
      <color rgb="FF44536A"/>
      <sz val="11"/>
    </font>
    <font>
      <name val="Times New Roman"/>
      <family val="1"/>
      <color rgb="FF000000"/>
      <sz val="11"/>
      <vertAlign val="superscript"/>
    </font>
    <font>
      <name val="Century Gothic"/>
      <family val="2"/>
      <color theme="0"/>
      <sz val="22"/>
    </font>
    <font>
      <name val="Century Gothic"/>
      <family val="2"/>
      <b val="1"/>
      <color theme="1"/>
      <sz val="16"/>
    </font>
    <font>
      <name val="Century Gothic"/>
      <family val="2"/>
      <sz val="10"/>
      <vertAlign val="subscript"/>
    </font>
    <font>
      <name val="Century Gothic"/>
      <family val="2"/>
      <b val="1"/>
      <color theme="0"/>
      <sz val="10"/>
    </font>
    <font>
      <name val="Century Gothic"/>
      <family val="2"/>
      <b val="1"/>
      <color theme="1" tint="0.0499893185216834"/>
      <sz val="11"/>
    </font>
    <font>
      <name val="Calibri"/>
      <family val="2"/>
      <b val="1"/>
      <color theme="0"/>
      <sz val="16"/>
      <scheme val="minor"/>
    </font>
    <font>
      <name val="Roboto"/>
      <b val="1"/>
      <sz val="10"/>
    </font>
    <font>
      <name val="Roboto"/>
      <sz val="10"/>
    </font>
    <font>
      <name val="Calibri"/>
      <family val="2"/>
      <sz val="10"/>
    </font>
    <font>
      <name val="Century Gothic"/>
      <family val="2"/>
      <color theme="1"/>
      <sz val="8"/>
    </font>
    <font>
      <name val="Calibri"/>
      <family val="2"/>
      <sz val="8.5"/>
    </font>
    <font>
      <name val="Century Gothic"/>
      <family val="2"/>
      <b val="1"/>
      <color rgb="FFFF0000"/>
      <sz val="20"/>
    </font>
    <font>
      <name val="Century Gothic"/>
      <family val="2"/>
      <b val="1"/>
      <color rgb="FFFF0000"/>
      <sz val="18"/>
    </font>
    <font>
      <name val="Century Gothic"/>
      <family val="2"/>
      <sz val="10"/>
      <vertAlign val="superscript"/>
    </font>
    <font>
      <name val="Century Gothic"/>
      <family val="2"/>
      <color theme="1"/>
      <sz val="11"/>
      <vertAlign val="subscript"/>
    </font>
    <font>
      <name val="Century Gothic"/>
      <family val="2"/>
      <color theme="0"/>
      <sz val="12"/>
    </font>
    <font>
      <name val="Calibri"/>
      <family val="2"/>
      <b val="1"/>
      <color theme="0"/>
      <sz val="22"/>
      <scheme val="minor"/>
    </font>
    <font>
      <name val="Calibri"/>
      <family val="2"/>
      <b val="1"/>
      <sz val="16"/>
      <scheme val="minor"/>
    </font>
    <font>
      <name val="Century Gothic"/>
      <family val="2"/>
      <b val="1"/>
      <sz val="11"/>
      <u val="single"/>
    </font>
    <font>
      <name val="Century Gothic"/>
      <family val="2"/>
      <b val="1"/>
      <color theme="5"/>
      <sz val="11"/>
    </font>
    <font>
      <name val="Roboto"/>
      <b val="1"/>
      <color theme="0"/>
      <sz val="14"/>
    </font>
    <font>
      <name val="Roboto"/>
      <color theme="1"/>
      <sz val="14"/>
    </font>
    <font>
      <name val="Roboto"/>
      <sz val="12"/>
    </font>
    <font>
      <name val="Roboto"/>
      <color theme="0"/>
      <sz val="12"/>
    </font>
    <font>
      <name val="Roboto"/>
      <color theme="1"/>
      <sz val="12"/>
    </font>
    <font>
      <name val="Roboto"/>
      <color theme="1"/>
      <sz val="11"/>
    </font>
    <font>
      <name val="Roboto"/>
      <b val="1"/>
      <color theme="1"/>
      <sz val="12"/>
    </font>
    <font>
      <name val="Roboto"/>
      <color theme="1"/>
      <sz val="16"/>
    </font>
    <font>
      <name val="Roboto"/>
      <b val="1"/>
      <color theme="1"/>
      <sz val="14"/>
    </font>
    <font>
      <name val="Roboto"/>
      <b val="1"/>
      <color theme="1"/>
      <sz val="16"/>
    </font>
    <font>
      <name val="Roboto"/>
      <b val="1"/>
      <color theme="1"/>
      <sz val="18"/>
    </font>
    <font>
      <name val="Roboto"/>
      <color theme="1"/>
      <sz val="11"/>
      <vertAlign val="subscript"/>
    </font>
    <font>
      <name val="Roboto"/>
      <b val="1"/>
      <color theme="0"/>
      <sz val="14"/>
      <vertAlign val="subscript"/>
    </font>
    <font>
      <name val="Roboto"/>
      <sz val="14"/>
    </font>
    <font>
      <name val="Roboto"/>
      <color theme="0"/>
      <sz val="14"/>
    </font>
    <font>
      <name val="Roboto"/>
      <b val="1"/>
      <sz val="14"/>
    </font>
    <font>
      <name val="Roboto"/>
      <sz val="14"/>
      <vertAlign val="subscript"/>
    </font>
    <font>
      <name val="Roboto"/>
      <b val="1"/>
      <color theme="1"/>
      <sz val="11"/>
    </font>
    <font>
      <name val="Roboto"/>
      <color theme="0"/>
      <sz val="28"/>
    </font>
    <font>
      <name val="Roboto"/>
      <color theme="0"/>
      <sz val="36"/>
    </font>
    <font>
      <name val="Roboto Light"/>
      <color theme="1"/>
      <sz val="8"/>
    </font>
    <font>
      <name val="Roboto Light"/>
      <b val="1"/>
      <color rgb="FFFF0000"/>
      <sz val="8"/>
    </font>
    <font>
      <name val="Roboto Light"/>
      <sz val="8"/>
    </font>
    <font>
      <name val="Roboto"/>
      <b val="1"/>
      <color theme="0"/>
      <sz val="12"/>
    </font>
    <font>
      <name val="Roboto"/>
      <color theme="1"/>
      <sz val="14"/>
      <u val="single"/>
    </font>
    <font>
      <name val="Roboto"/>
      <b val="1"/>
      <color theme="1"/>
      <sz val="12"/>
      <vertAlign val="subscript"/>
    </font>
    <font>
      <name val="Roboto"/>
      <b val="1"/>
      <color theme="0"/>
      <sz val="11"/>
    </font>
    <font>
      <name val="Roboto"/>
      <b val="1"/>
      <color theme="0"/>
      <sz val="11"/>
      <vertAlign val="subscript"/>
    </font>
    <font>
      <name val="Calibri"/>
      <family val="2"/>
      <color theme="0"/>
      <sz val="36"/>
      <scheme val="minor"/>
    </font>
    <font>
      <name val="Calibri"/>
      <family val="2"/>
      <b val="1"/>
      <color theme="0"/>
      <sz val="36"/>
      <scheme val="minor"/>
    </font>
    <font>
      <name val="Arial"/>
      <family val="2"/>
      <b val="1"/>
      <color theme="0"/>
      <sz val="36"/>
    </font>
    <font>
      <name val="Arial"/>
      <family val="2"/>
      <color theme="0"/>
      <sz val="36"/>
    </font>
    <font>
      <name val="Calibri"/>
      <family val="2"/>
      <i val="1"/>
      <color theme="1"/>
      <sz val="11"/>
      <scheme val="minor"/>
    </font>
    <font>
      <name val="Century Gothic"/>
      <family val="2"/>
      <b val="1"/>
      <i val="1"/>
      <color theme="1"/>
      <sz val="12"/>
    </font>
    <font>
      <name val="Roboto Light"/>
      <color rgb="FFD9D9D9"/>
      <sz val="11"/>
    </font>
    <font>
      <name val="Century Gothic"/>
      <family val="2"/>
      <color rgb="FF000000"/>
      <sz val="11"/>
    </font>
    <font>
      <name val="Century Gothic"/>
      <family val="2"/>
      <b val="1"/>
      <color rgb="FF000000"/>
      <sz val="11"/>
    </font>
    <font>
      <name val="Roboto Light"/>
      <b val="1"/>
      <i val="1"/>
      <color theme="1"/>
      <sz val="11"/>
    </font>
    <font>
      <name val="Roboto Light"/>
      <b val="1"/>
      <color theme="1" tint="0.249977111117893"/>
      <sz val="20"/>
    </font>
    <font>
      <name val="Calibri"/>
      <family val="2"/>
      <b val="1"/>
      <color rgb="FFFF0000"/>
      <sz val="11"/>
    </font>
    <font>
      <name val="Century Gothic"/>
      <family val="2"/>
      <color theme="1"/>
      <sz val="20"/>
    </font>
    <font>
      <name val="Verdana"/>
      <family val="2"/>
      <color indexed="60"/>
      <sz val="8"/>
    </font>
    <font>
      <name val="Verdana"/>
      <family val="2"/>
      <sz val="8"/>
    </font>
    <font>
      <name val="Calibri"/>
      <family val="2"/>
      <sz val="8"/>
      <scheme val="minor"/>
    </font>
    <font>
      <name val="Calibri"/>
      <family val="2"/>
      <color theme="10"/>
      <sz val="11"/>
      <u val="single"/>
      <scheme val="minor"/>
    </font>
    <font>
      <name val="Roboto Light"/>
      <color theme="1"/>
      <sz val="7"/>
    </font>
    <font>
      <name val="Roboto Light"/>
      <color indexed="12"/>
      <sz val="10"/>
      <u val="single"/>
    </font>
    <font>
      <name val="Tahoma"/>
      <family val="2"/>
      <b val="1"/>
      <color indexed="81"/>
      <sz val="9"/>
    </font>
    <font>
      <name val="Roboto Light"/>
      <b val="1"/>
      <color theme="1"/>
      <sz val="9"/>
    </font>
    <font>
      <name val="Century Gothic"/>
      <family val="2"/>
      <b val="1"/>
      <color theme="0"/>
      <sz val="12"/>
    </font>
    <font>
      <name val="Roboto Light"/>
      <b val="1"/>
      <color theme="4"/>
      <sz val="11"/>
    </font>
    <font>
      <name val="Roboto"/>
      <color indexed="12"/>
      <sz val="12"/>
      <u val="single"/>
    </font>
    <font>
      <name val="Century Gothic"/>
      <family val="2"/>
      <color theme="1"/>
      <sz val="9"/>
      <u val="single"/>
    </font>
    <font>
      <name val="Century Gothic"/>
      <family val="2"/>
      <color rgb="FFFF0000"/>
      <sz val="9"/>
    </font>
    <font>
      <name val="Roboto"/>
      <b val="1"/>
      <color rgb="FFFF0000"/>
      <sz val="14"/>
      <vertAlign val="subscript"/>
    </font>
    <font>
      <name val="Roboto"/>
      <b val="1"/>
      <color rgb="FFFF0000"/>
      <sz val="14"/>
    </font>
    <font>
      <name val="Calibri"/>
      <family val="2"/>
      <color theme="1"/>
      <sz val="16"/>
      <scheme val="minor"/>
    </font>
    <font>
      <name val="Calibri"/>
      <family val="2"/>
      <b val="1"/>
      <color theme="1"/>
      <sz val="16"/>
      <scheme val="minor"/>
    </font>
    <font>
      <name val="Calibri"/>
      <family val="2"/>
      <b val="1"/>
      <color theme="9" tint="-0.499984740745262"/>
      <sz val="16"/>
      <scheme val="minor"/>
    </font>
    <font>
      <name val="Calibri"/>
      <family val="2"/>
      <color rgb="FFFF0000"/>
      <sz val="16"/>
      <scheme val="minor"/>
    </font>
    <font>
      <name val="Calibri"/>
      <family val="2"/>
      <b val="1"/>
      <color theme="9" tint="-0.499984740745262"/>
      <sz val="14"/>
      <scheme val="minor"/>
    </font>
    <font>
      <name val="Liberation Sans"/>
      <b val="1"/>
      <color theme="1"/>
      <sz val="11"/>
    </font>
    <font>
      <name val="Liberation Sans"/>
      <color theme="1"/>
      <sz val="10"/>
    </font>
    <font>
      <name val="Liberation Sans"/>
      <b val="1"/>
      <color theme="1"/>
      <sz val="10"/>
    </font>
    <font>
      <name val="Liberation Sans"/>
      <color rgb="FF000000"/>
      <sz val="11"/>
    </font>
    <font>
      <name val="Liberation Sans"/>
      <color rgb="FF000000"/>
      <sz val="10"/>
    </font>
  </fonts>
  <fills count="54">
    <fill>
      <patternFill/>
    </fill>
    <fill>
      <patternFill patternType="gray125"/>
    </fill>
    <fill>
      <patternFill patternType="solid">
        <fgColor theme="0" tint="-0.0499893185216834"/>
        <bgColor indexed="64"/>
      </patternFill>
    </fill>
    <fill>
      <patternFill patternType="solid">
        <fgColor theme="4" tint="0.7999816888943144"/>
        <bgColor indexed="64"/>
      </patternFill>
    </fill>
    <fill>
      <patternFill patternType="solid">
        <fgColor rgb="FFCCFFFF"/>
        <bgColor indexed="64"/>
      </patternFill>
    </fill>
    <fill>
      <patternFill patternType="solid">
        <fgColor indexed="50"/>
        <bgColor indexed="64"/>
      </patternFill>
    </fill>
    <fill>
      <patternFill patternType="solid">
        <fgColor rgb="FFFFFF00"/>
        <bgColor indexed="64"/>
      </patternFill>
    </fill>
    <fill>
      <patternFill patternType="solid">
        <fgColor indexed="8"/>
        <bgColor indexed="64"/>
      </patternFill>
    </fill>
    <fill>
      <patternFill patternType="solid">
        <fgColor indexed="22"/>
        <bgColor indexed="64"/>
      </patternFill>
    </fill>
    <fill>
      <patternFill patternType="solid">
        <fgColor theme="0" tint="-0.249977111117893"/>
        <bgColor indexed="64"/>
      </patternFill>
    </fill>
    <fill>
      <patternFill patternType="solid">
        <fgColor theme="8" tint="0.7999816888943144"/>
        <bgColor indexed="64"/>
      </patternFill>
    </fill>
    <fill>
      <patternFill patternType="solid">
        <fgColor rgb="FFFF0000"/>
        <bgColor indexed="64"/>
      </patternFill>
    </fill>
    <fill>
      <patternFill patternType="solid">
        <fgColor theme="0" tint="-0.1499984740745262"/>
        <bgColor indexed="64"/>
      </patternFill>
    </fill>
    <fill>
      <patternFill patternType="solid">
        <fgColor theme="9" tint="0.5999938962981048"/>
        <bgColor indexed="64"/>
      </patternFill>
    </fill>
    <fill>
      <patternFill patternType="solid">
        <fgColor theme="9" tint="0.7999816888943144"/>
        <bgColor indexed="64"/>
      </patternFill>
    </fill>
    <fill>
      <patternFill patternType="solid">
        <fgColor indexed="43"/>
        <bgColor indexed="64"/>
      </patternFill>
    </fill>
    <fill>
      <patternFill patternType="solid">
        <fgColor indexed="47"/>
        <bgColor indexed="64"/>
      </patternFill>
    </fill>
    <fill>
      <patternFill patternType="solid">
        <fgColor indexed="45"/>
        <bgColor indexed="64"/>
      </patternFill>
    </fill>
    <fill>
      <patternFill patternType="solid">
        <fgColor indexed="9"/>
        <bgColor indexed="64"/>
      </patternFill>
    </fill>
    <fill>
      <patternFill patternType="solid">
        <fgColor theme="1"/>
        <bgColor indexed="64"/>
      </patternFill>
    </fill>
    <fill>
      <patternFill patternType="solid">
        <fgColor theme="4" tint="0.7999816888943144"/>
        <bgColor theme="4" tint="0.7999816888943144"/>
      </patternFill>
    </fill>
    <fill>
      <patternFill patternType="solid">
        <fgColor rgb="FFFFC000"/>
        <bgColor indexed="64"/>
      </patternFill>
    </fill>
    <fill>
      <patternFill patternType="solid">
        <fgColor theme="0"/>
        <bgColor indexed="64"/>
      </patternFill>
    </fill>
    <fill>
      <patternFill patternType="solid">
        <fgColor rgb="FFF68B32"/>
        <bgColor indexed="64"/>
      </patternFill>
    </fill>
    <fill>
      <patternFill patternType="solid">
        <fgColor theme="8" tint="0.5999938962981048"/>
        <bgColor indexed="64"/>
      </patternFill>
    </fill>
    <fill>
      <patternFill patternType="solid">
        <fgColor rgb="FF92D050"/>
        <bgColor indexed="64"/>
      </patternFill>
    </fill>
    <fill>
      <patternFill patternType="solid">
        <fgColor theme="1" tint="0.0499893185216834"/>
        <bgColor indexed="64"/>
      </patternFill>
    </fill>
    <fill>
      <patternFill patternType="solid">
        <fgColor theme="3" tint="0.5999938962981048"/>
        <bgColor indexed="64"/>
      </patternFill>
    </fill>
    <fill>
      <patternFill patternType="solid">
        <fgColor theme="7" tint="0.7999816888943144"/>
        <bgColor indexed="64"/>
      </patternFill>
    </fill>
    <fill>
      <patternFill patternType="solid">
        <fgColor theme="9"/>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2"/>
        <bgColor indexed="64"/>
      </patternFill>
    </fill>
    <fill>
      <patternFill patternType="solid">
        <fgColor theme="5" tint="0.7999816888943144"/>
        <bgColor indexed="64"/>
      </patternFill>
    </fill>
    <fill>
      <patternFill patternType="solid">
        <fgColor theme="2" tint="-0.749992370372631"/>
        <bgColor indexed="64"/>
      </patternFill>
    </fill>
    <fill>
      <patternFill patternType="solid">
        <fgColor theme="3" tint="0.7999816888943144"/>
        <bgColor indexed="64"/>
      </patternFill>
    </fill>
    <fill>
      <patternFill patternType="solid">
        <fgColor rgb="FF172735"/>
        <bgColor indexed="64"/>
      </patternFill>
    </fill>
    <fill>
      <patternFill patternType="solid">
        <fgColor rgb="FFFFCC99"/>
        <bgColor indexed="64"/>
      </patternFill>
    </fill>
    <fill>
      <patternFill patternType="solid">
        <fgColor rgb="FFFF99CC"/>
        <bgColor indexed="64"/>
      </patternFill>
    </fill>
    <fill>
      <patternFill patternType="solid">
        <fgColor theme="5"/>
        <bgColor indexed="64"/>
      </patternFill>
    </fill>
    <fill>
      <patternFill patternType="solid">
        <fgColor theme="4"/>
        <bgColor indexed="64"/>
      </patternFill>
    </fill>
    <fill>
      <patternFill patternType="solid">
        <fgColor theme="2" tint="-0.09997863704336681"/>
        <bgColor indexed="64"/>
      </patternFill>
    </fill>
    <fill>
      <patternFill patternType="solid">
        <fgColor theme="4" tint="0.5999938962981048"/>
        <bgColor indexed="64"/>
      </patternFill>
    </fill>
    <fill>
      <patternFill patternType="solid">
        <fgColor rgb="FFEEA54C"/>
        <bgColor indexed="64"/>
      </patternFill>
    </fill>
    <fill>
      <patternFill patternType="solid">
        <fgColor rgb="FFF2F2F2"/>
        <bgColor indexed="64"/>
      </patternFill>
    </fill>
    <fill>
      <patternFill patternType="solid">
        <fgColor theme="5" tint="0.3999755851924192"/>
        <bgColor indexed="64"/>
      </patternFill>
    </fill>
    <fill>
      <patternFill patternType="solid">
        <fgColor theme="6" tint="0.7999816888943144"/>
        <bgColor indexed="64"/>
      </patternFill>
    </fill>
    <fill>
      <patternFill patternType="solid">
        <fgColor theme="6" tint="0.5999938962981048"/>
        <bgColor indexed="64"/>
      </patternFill>
    </fill>
    <fill>
      <patternFill patternType="solid">
        <fgColor theme="5" tint="0.5999938962981048"/>
        <bgColor indexed="64"/>
      </patternFill>
    </fill>
    <fill>
      <patternFill patternType="solid">
        <fgColor theme="1" tint="0.499984740745262"/>
        <bgColor indexed="64"/>
      </patternFill>
    </fill>
    <fill>
      <patternFill patternType="solid">
        <fgColor rgb="FFCDFFCF"/>
        <bgColor indexed="64"/>
      </patternFill>
    </fill>
    <fill>
      <patternFill patternType="solid">
        <fgColor rgb="FF00B050"/>
        <bgColor indexed="64"/>
      </patternFill>
    </fill>
    <fill>
      <patternFill patternType="solid">
        <fgColor rgb="FFFEFFFF"/>
        <bgColor indexed="64"/>
      </patternFill>
    </fill>
    <fill>
      <patternFill patternType="solid">
        <fgColor theme="0" tint="-0.3499862666707358"/>
        <bgColor indexed="64"/>
      </patternFill>
    </fill>
  </fills>
  <borders count="14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bottom style="thin">
        <color theme="4" tint="0.3999755851924192"/>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dotted">
        <color indexed="64"/>
      </right>
      <top/>
      <bottom/>
      <diagonal/>
    </border>
    <border>
      <left/>
      <right style="dashed">
        <color indexed="64"/>
      </right>
      <top/>
      <bottom/>
      <diagonal/>
    </border>
    <border>
      <left style="dashed">
        <color indexed="64"/>
      </left>
      <right style="dashed">
        <color indexed="64"/>
      </right>
      <top/>
      <bottom/>
      <diagonal/>
    </border>
    <border>
      <left style="medium">
        <color indexed="64"/>
      </left>
      <right/>
      <top style="medium">
        <color indexed="64"/>
      </top>
      <bottom style="thin">
        <color indexed="64"/>
      </bottom>
      <diagonal/>
    </border>
    <border>
      <left/>
      <right style="hair">
        <color auto="1"/>
      </right>
      <top/>
      <bottom/>
      <diagonal/>
    </border>
    <border>
      <left/>
      <right/>
      <top/>
      <bottom style="dotted">
        <color theme="0" tint="-0.499984740745262"/>
      </bottom>
      <diagonal/>
    </border>
    <border>
      <left/>
      <right/>
      <top style="dotted">
        <color theme="0" tint="-0.499984740745262"/>
      </top>
      <bottom style="dotted">
        <color theme="0" tint="-0.499984740745262"/>
      </bottom>
      <diagonal/>
    </border>
    <border>
      <left/>
      <right/>
      <top style="dotted">
        <color theme="0" tint="-0.499984740745262"/>
      </top>
      <bottom/>
      <diagonal/>
    </border>
    <border>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top style="hair">
        <color theme="0" tint="-0.249946592608417"/>
      </top>
      <bottom style="hair">
        <color theme="0" tint="-0.249946592608417"/>
      </bottom>
      <diagonal/>
    </border>
    <border>
      <left/>
      <right/>
      <top/>
      <bottom style="thin">
        <color theme="0"/>
      </bottom>
      <diagonal/>
    </border>
    <border>
      <left/>
      <right style="dotted">
        <color theme="0" tint="-0.249946592608417"/>
      </right>
      <top/>
      <bottom/>
      <diagonal/>
    </border>
    <border>
      <left/>
      <right style="dotted">
        <color theme="0" tint="-0.1499679555650502"/>
      </right>
      <top/>
      <bottom/>
      <diagonal/>
    </border>
    <border>
      <left style="dotted">
        <color theme="0" tint="-0.1499679555650502"/>
      </left>
      <right/>
      <top/>
      <bottom/>
      <diagonal/>
    </border>
    <border>
      <left/>
      <right style="dotted">
        <color theme="0"/>
      </right>
      <top/>
      <bottom style="dotted">
        <color theme="0"/>
      </bottom>
      <diagonal/>
    </border>
    <border>
      <left style="dotted">
        <color theme="0"/>
      </left>
      <right style="dotted">
        <color theme="0"/>
      </right>
      <top/>
      <bottom style="dotted">
        <color theme="0"/>
      </bottom>
      <diagonal/>
    </border>
    <border>
      <left style="dotted">
        <color theme="0"/>
      </left>
      <right/>
      <top/>
      <bottom style="dotted">
        <color theme="0"/>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right style="dotted">
        <color theme="0" tint="-0.1499679555650502"/>
      </right>
      <top style="thin">
        <color indexed="64"/>
      </top>
      <bottom/>
      <diagonal/>
    </border>
    <border>
      <left style="thin">
        <color indexed="64"/>
      </left>
      <right style="dotted">
        <color theme="0" tint="-0.1499679555650502"/>
      </right>
      <top style="thin">
        <color indexed="64"/>
      </top>
      <bottom/>
      <diagonal/>
    </border>
    <border>
      <left style="thin">
        <color indexed="64"/>
      </left>
      <right style="dotted">
        <color theme="0" tint="-0.1499679555650502"/>
      </right>
      <top/>
      <bottom/>
      <diagonal/>
    </border>
    <border>
      <left style="thin">
        <color indexed="64"/>
      </left>
      <right style="dotted">
        <color theme="0"/>
      </right>
      <top style="thin">
        <color indexed="64"/>
      </top>
      <bottom/>
      <diagonal/>
    </border>
    <border>
      <left/>
      <right style="thin">
        <color theme="0"/>
      </right>
      <top/>
      <bottom style="thin">
        <color indexed="64"/>
      </bottom>
      <diagonal/>
    </border>
    <border>
      <left/>
      <right/>
      <top style="thin">
        <color theme="0"/>
      </top>
      <bottom style="thin">
        <color indexed="64"/>
      </bottom>
      <diagonal/>
    </border>
    <border>
      <left/>
      <right/>
      <top/>
      <bottom style="hair">
        <color theme="0" tint="-0.1499679555650502"/>
      </bottom>
      <diagonal/>
    </border>
    <border>
      <left/>
      <right/>
      <top style="hair">
        <color theme="0" tint="-0.1499679555650502"/>
      </top>
      <bottom style="hair">
        <color theme="0" tint="-0.1499679555650502"/>
      </bottom>
      <diagonal/>
    </border>
    <border>
      <left/>
      <right/>
      <top style="hair">
        <color theme="0" tint="-0.1499679555650502"/>
      </top>
      <bottom/>
      <diagonal/>
    </border>
    <border>
      <left/>
      <right/>
      <top/>
      <bottom style="dotted">
        <color theme="0" tint="-0.249946592608417"/>
      </bottom>
      <diagonal/>
    </border>
    <border>
      <left/>
      <right/>
      <top style="dotted">
        <color theme="0" tint="-0.249946592608417"/>
      </top>
      <bottom style="dotted">
        <color theme="0" tint="-0.249946592608417"/>
      </bottom>
      <diagonal/>
    </border>
    <border>
      <left/>
      <right/>
      <top style="dotted">
        <color theme="0" tint="-0.249946592608417"/>
      </top>
      <bottom/>
      <diagonal/>
    </border>
    <border>
      <left style="dotted">
        <color theme="0" tint="-0.249946592608417"/>
      </left>
      <right style="dotted">
        <color theme="0" tint="-0.249946592608417"/>
      </right>
      <top/>
      <bottom/>
      <diagonal/>
    </border>
    <border>
      <left style="dotted">
        <color theme="0" tint="-0.249946592608417"/>
      </left>
      <right/>
      <top/>
      <bottom/>
      <diagonal/>
    </border>
    <border>
      <left style="thin">
        <color indexed="64"/>
      </left>
      <right style="thin">
        <color indexed="64"/>
      </right>
      <top style="thin">
        <color theme="1"/>
      </top>
      <bottom style="thin">
        <color indexed="64"/>
      </bottom>
      <diagonal/>
    </border>
    <border>
      <left style="dotted">
        <color theme="0" tint="-0.1499679555650502"/>
      </left>
      <right style="dotted">
        <color theme="0" tint="-0.1499679555650502"/>
      </right>
      <top/>
      <bottom/>
      <diagonal/>
    </border>
    <border>
      <left style="dotted">
        <color auto="1"/>
      </left>
      <right style="dotted">
        <color auto="1"/>
      </right>
      <top/>
      <bottom/>
      <diagonal/>
    </border>
    <border>
      <left style="dotted">
        <color auto="1"/>
      </left>
      <right/>
      <top/>
      <bottom/>
      <diagonal/>
    </border>
    <border>
      <left/>
      <right/>
      <top/>
      <bottom style="double">
        <color indexed="64"/>
      </bottom>
      <diagonal/>
    </border>
    <border>
      <left/>
      <right/>
      <top style="double">
        <color indexed="64"/>
      </top>
      <bottom/>
      <diagonal/>
    </border>
    <border>
      <left/>
      <right/>
      <top/>
      <bottom style="dotted">
        <color indexed="64"/>
      </bottom>
      <diagonal/>
    </border>
    <border>
      <left/>
      <right/>
      <top/>
      <bottom style="hair">
        <color auto="1"/>
      </bottom>
      <diagonal/>
    </border>
    <border>
      <left/>
      <right/>
      <top style="thin">
        <color theme="0"/>
      </top>
      <bottom style="thin">
        <color theme="0"/>
      </bottom>
      <diagonal/>
    </border>
    <border>
      <left/>
      <right/>
      <top style="thin">
        <color theme="0"/>
      </top>
      <bottom/>
      <diagonal/>
    </border>
    <border>
      <left/>
      <right/>
      <top/>
      <bottom style="dotted">
        <color theme="0" tint="-0.1499679555650502"/>
      </bottom>
      <diagonal/>
    </border>
    <border>
      <left/>
      <right/>
      <top style="dotted">
        <color theme="0" tint="-0.1499679555650502"/>
      </top>
      <bottom style="dotted">
        <color theme="0" tint="-0.1499679555650502"/>
      </bottom>
      <diagonal/>
    </border>
    <border>
      <left/>
      <right/>
      <top/>
      <bottom style="thin">
        <color theme="1"/>
      </bottom>
      <diagonal/>
    </border>
    <border>
      <left/>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bottom style="medium">
        <color indexed="64"/>
      </bottom>
      <diagonal/>
    </border>
    <border>
      <left/>
      <right style="thin">
        <color theme="0"/>
      </right>
      <top style="thin">
        <color indexed="64"/>
      </top>
      <bottom style="thin">
        <color theme="0"/>
      </bottom>
      <diagonal/>
    </border>
    <border>
      <left style="thin">
        <color theme="0"/>
      </left>
      <right/>
      <top style="thin">
        <color indexed="64"/>
      </top>
      <bottom style="thin">
        <color theme="0"/>
      </bottom>
      <diagonal/>
    </border>
    <border>
      <left style="dotted">
        <color theme="8" tint="0.5999633777886288"/>
      </left>
      <right style="dotted">
        <color theme="8" tint="0.5999633777886288"/>
      </right>
      <top/>
      <bottom/>
      <diagonal/>
    </border>
    <border>
      <left style="dotted">
        <color indexed="64"/>
      </left>
      <right/>
      <top style="thin">
        <color indexed="64"/>
      </top>
      <bottom/>
      <diagonal/>
    </border>
    <border>
      <left style="dotted">
        <color auto="1"/>
      </left>
      <right/>
      <top/>
      <bottom style="thin">
        <color indexed="64"/>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style="thin">
        <color indexed="64"/>
      </bottom>
      <diagonal/>
    </border>
    <border>
      <left/>
      <right style="thin">
        <color theme="0"/>
      </right>
      <top style="thin">
        <color indexed="64"/>
      </top>
      <bottom/>
      <diagonal/>
    </border>
    <border>
      <left style="thin">
        <color theme="0"/>
      </left>
      <right style="thin">
        <color theme="0"/>
      </right>
      <top style="thin">
        <color indexed="64"/>
      </top>
      <bottom/>
      <diagonal/>
    </border>
    <border>
      <left style="thin">
        <color theme="0"/>
      </left>
      <right/>
      <top style="thin">
        <color indexed="64"/>
      </top>
      <bottom/>
      <diagonal/>
    </border>
    <border>
      <left/>
      <right/>
      <top style="thin">
        <color indexed="64"/>
      </top>
      <bottom style="thin">
        <color theme="0"/>
      </bottom>
      <diagonal/>
    </border>
    <border>
      <left style="thin">
        <color indexed="64"/>
      </left>
      <right style="thin">
        <color theme="0"/>
      </right>
      <top style="thin">
        <color theme="0"/>
      </top>
      <bottom/>
      <diagonal/>
    </border>
    <border>
      <left style="thin">
        <color indexed="64"/>
      </left>
      <right style="thin">
        <color theme="0"/>
      </right>
      <top/>
      <bottom style="thin">
        <color theme="0"/>
      </bottom>
      <diagonal/>
    </border>
    <border>
      <left style="thick">
        <color theme="0"/>
      </left>
      <right/>
      <top/>
      <bottom/>
      <diagonal/>
    </border>
    <border>
      <left/>
      <right style="medium">
        <color rgb="FFFFFFFF"/>
      </right>
      <top/>
      <bottom style="medium">
        <color rgb="FFFFFFFF"/>
      </bottom>
      <diagonal/>
    </border>
    <border>
      <left/>
      <right/>
      <top/>
      <bottom style="medium">
        <color rgb="FFFFFFFF"/>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diagonal/>
    </border>
    <border>
      <left style="thin">
        <color rgb="FF000000"/>
      </left>
      <right style="thin">
        <color rgb="FF000000"/>
      </right>
      <top style="thin">
        <color rgb="FF000000"/>
      </top>
      <bottom style="thin">
        <color rgb="FF000000"/>
      </bottom>
      <diagonal/>
    </border>
    <border>
      <left/>
      <right/>
      <top style="hair">
        <color theme="0" tint="-0.249946592608417"/>
      </top>
      <bottom/>
      <diagonal/>
    </border>
    <border>
      <left/>
      <right/>
      <top style="dotted">
        <color theme="0" tint="-0.1499679555650502"/>
      </top>
      <bottom/>
      <diagonal/>
    </border>
    <border>
      <left style="medium">
        <color indexed="64"/>
      </left>
      <right style="medium">
        <color indexed="64"/>
      </right>
      <top style="medium">
        <color indexed="64"/>
      </top>
      <bottom style="medium">
        <color indexed="64"/>
      </bottom>
      <diagonal/>
    </border>
  </borders>
  <cellStyleXfs count="8">
    <xf numFmtId="0" fontId="38" fillId="0" borderId="0"/>
    <xf numFmtId="0" fontId="4" fillId="0" borderId="0"/>
    <xf numFmtId="0" fontId="4" fillId="0" borderId="0"/>
    <xf numFmtId="0" fontId="23" fillId="0" borderId="0" applyAlignment="1" applyProtection="1">
      <alignment vertical="top"/>
      <protection locked="0" hidden="0"/>
    </xf>
    <xf numFmtId="43" fontId="38" fillId="0" borderId="0"/>
    <xf numFmtId="43" fontId="38" fillId="0" borderId="0"/>
    <xf numFmtId="9" fontId="38" fillId="0" borderId="0"/>
    <xf numFmtId="0" fontId="304" fillId="0" borderId="0"/>
  </cellStyleXfs>
  <cellXfs count="4848">
    <xf numFmtId="0" fontId="0" fillId="0" borderId="0" pivotButton="0" quotePrefix="0" xfId="0"/>
    <xf numFmtId="0" fontId="0" fillId="2" borderId="3" pivotButton="0" quotePrefix="0" xfId="0"/>
    <xf numFmtId="0" fontId="0" fillId="2" borderId="5" pivotButton="0" quotePrefix="0" xfId="0"/>
    <xf numFmtId="0" fontId="3" fillId="2" borderId="7" pivotButton="0" quotePrefix="0" xfId="0"/>
    <xf numFmtId="0" fontId="0" fillId="4" borderId="0" pivotButton="0" quotePrefix="0" xfId="0"/>
    <xf numFmtId="0" fontId="5" fillId="2" borderId="2" pivotButton="0" quotePrefix="0" xfId="0"/>
    <xf numFmtId="0" fontId="0" fillId="0" borderId="10" pivotButton="0" quotePrefix="0" xfId="0"/>
    <xf numFmtId="0" fontId="4" fillId="0" borderId="10" pivotButton="0" quotePrefix="0" xfId="2"/>
    <xf numFmtId="0" fontId="8" fillId="7" borderId="7" pivotButton="0" quotePrefix="0" xfId="0"/>
    <xf numFmtId="0" fontId="4" fillId="9" borderId="0" pivotButton="0" quotePrefix="0" xfId="0"/>
    <xf numFmtId="0" fontId="0" fillId="10" borderId="17" applyAlignment="1" pivotButton="0" quotePrefix="0" xfId="0">
      <alignment horizontal="center"/>
    </xf>
    <xf numFmtId="0" fontId="4" fillId="10" borderId="17" pivotButton="0" quotePrefix="0" xfId="0"/>
    <xf numFmtId="0" fontId="0" fillId="10" borderId="17" pivotButton="0" quotePrefix="0" xfId="0"/>
    <xf numFmtId="0" fontId="0" fillId="10" borderId="18" applyAlignment="1" pivotButton="0" quotePrefix="0" xfId="0">
      <alignment horizontal="center"/>
    </xf>
    <xf numFmtId="0" fontId="0" fillId="10" borderId="18" pivotButton="0" quotePrefix="0" xfId="0"/>
    <xf numFmtId="0" fontId="0" fillId="10" borderId="0" applyAlignment="1" pivotButton="0" quotePrefix="0" xfId="0">
      <alignment horizontal="center"/>
    </xf>
    <xf numFmtId="164" fontId="0" fillId="0" borderId="0" pivotButton="0" quotePrefix="0" xfId="0"/>
    <xf numFmtId="1" fontId="0" fillId="0" borderId="0" pivotButton="0" quotePrefix="0" xfId="0"/>
    <xf numFmtId="0" fontId="0" fillId="10" borderId="0" pivotButton="0" quotePrefix="0" xfId="0"/>
    <xf numFmtId="0" fontId="4" fillId="6" borderId="8" applyAlignment="1" pivotButton="0" quotePrefix="0" xfId="0">
      <alignment horizontal="center" wrapText="1"/>
    </xf>
    <xf numFmtId="0" fontId="0" fillId="6" borderId="8" pivotButton="0" quotePrefix="0" xfId="0"/>
    <xf numFmtId="0" fontId="0" fillId="6" borderId="0" pivotButton="0" quotePrefix="0" xfId="0"/>
    <xf numFmtId="0" fontId="4" fillId="6" borderId="0" applyAlignment="1" pivotButton="0" quotePrefix="0" xfId="0">
      <alignment horizontal="center" wrapText="1"/>
    </xf>
    <xf numFmtId="0" fontId="4" fillId="6" borderId="0" applyAlignment="1" pivotButton="0" quotePrefix="0" xfId="0">
      <alignment horizontal="center"/>
    </xf>
    <xf numFmtId="0" fontId="2" fillId="6" borderId="10" applyAlignment="1" pivotButton="0" quotePrefix="0" xfId="0">
      <alignment horizontal="center" vertical="top"/>
    </xf>
    <xf numFmtId="0" fontId="15" fillId="6" borderId="10" applyAlignment="1" pivotButton="0" quotePrefix="0" xfId="0">
      <alignment horizontal="center" vertical="top"/>
    </xf>
    <xf numFmtId="0" fontId="2" fillId="6" borderId="12" applyAlignment="1" pivotButton="0" quotePrefix="0" xfId="0">
      <alignment horizontal="left" vertical="center" indent="1"/>
    </xf>
    <xf numFmtId="0" fontId="2" fillId="6" borderId="13" applyAlignment="1" pivotButton="0" quotePrefix="0" xfId="0">
      <alignment horizontal="left" vertical="center"/>
    </xf>
    <xf numFmtId="0" fontId="4" fillId="6" borderId="10" applyAlignment="1" pivotButton="0" quotePrefix="0" xfId="0">
      <alignment horizontal="center" vertical="top" wrapText="1"/>
    </xf>
    <xf numFmtId="0" fontId="2" fillId="6" borderId="10" applyAlignment="1" pivotButton="0" quotePrefix="0" xfId="0">
      <alignment horizontal="center" vertical="center"/>
    </xf>
    <xf numFmtId="0" fontId="0" fillId="6" borderId="10" applyAlignment="1" pivotButton="0" quotePrefix="0" xfId="0">
      <alignment horizontal="center" vertical="top" wrapText="1"/>
    </xf>
    <xf numFmtId="0" fontId="0" fillId="6" borderId="10" applyAlignment="1" pivotButton="0" quotePrefix="0" xfId="0">
      <alignment horizontal="center" wrapText="1"/>
    </xf>
    <xf numFmtId="0" fontId="3" fillId="6" borderId="10" applyAlignment="1" pivotButton="0" quotePrefix="0" xfId="0">
      <alignment horizontal="center" vertical="center"/>
    </xf>
    <xf numFmtId="0" fontId="3" fillId="6" borderId="10" applyAlignment="1" pivotButton="0" quotePrefix="0" xfId="0">
      <alignment horizontal="left" vertical="center"/>
    </xf>
    <xf numFmtId="0" fontId="2" fillId="6" borderId="7" applyAlignment="1" pivotButton="0" quotePrefix="0" xfId="0">
      <alignment horizontal="left" vertical="center"/>
    </xf>
    <xf numFmtId="0" fontId="0" fillId="6" borderId="8" applyAlignment="1" pivotButton="0" quotePrefix="0" xfId="0">
      <alignment vertical="top"/>
    </xf>
    <xf numFmtId="0" fontId="4" fillId="6" borderId="8" applyAlignment="1" pivotButton="0" quotePrefix="0" xfId="0">
      <alignment vertical="top"/>
    </xf>
    <xf numFmtId="0" fontId="0" fillId="6" borderId="9" pivotButton="0" quotePrefix="0" xfId="0"/>
    <xf numFmtId="0" fontId="2" fillId="6" borderId="7" applyAlignment="1" pivotButton="0" quotePrefix="0" xfId="0">
      <alignment horizontal="center" vertical="center"/>
    </xf>
    <xf numFmtId="0" fontId="0" fillId="6" borderId="8" applyAlignment="1" pivotButton="0" quotePrefix="0" xfId="0">
      <alignment horizontal="center" vertical="top" wrapText="1"/>
    </xf>
    <xf numFmtId="0" fontId="0" fillId="6" borderId="8" applyAlignment="1" pivotButton="0" quotePrefix="0" xfId="0">
      <alignment horizontal="center" vertical="top"/>
    </xf>
    <xf numFmtId="0" fontId="0" fillId="6" borderId="8" applyAlignment="1" pivotButton="0" quotePrefix="0" xfId="0">
      <alignment horizontal="center"/>
    </xf>
    <xf numFmtId="0" fontId="0" fillId="6" borderId="9" applyAlignment="1" pivotButton="0" quotePrefix="0" xfId="0">
      <alignment horizontal="center"/>
    </xf>
    <xf numFmtId="0" fontId="4" fillId="6" borderId="8" applyAlignment="1" pivotButton="0" quotePrefix="0" xfId="0">
      <alignment horizontal="center" vertical="top" wrapText="1"/>
    </xf>
    <xf numFmtId="0" fontId="0" fillId="6" borderId="7" applyAlignment="1" pivotButton="0" quotePrefix="0" xfId="0">
      <alignment horizontal="center"/>
    </xf>
    <xf numFmtId="2" fontId="0" fillId="6" borderId="7" applyAlignment="1" pivotButton="0" quotePrefix="0" xfId="0">
      <alignment horizontal="center" wrapText="1"/>
    </xf>
    <xf numFmtId="2" fontId="0" fillId="6" borderId="8" applyAlignment="1" pivotButton="0" quotePrefix="0" xfId="0">
      <alignment horizontal="center" wrapText="1"/>
    </xf>
    <xf numFmtId="2" fontId="0" fillId="6" borderId="8" applyAlignment="1" pivotButton="0" quotePrefix="0" xfId="0">
      <alignment horizontal="center"/>
    </xf>
    <xf numFmtId="2" fontId="0" fillId="6" borderId="9" applyAlignment="1" pivotButton="0" quotePrefix="0" xfId="0">
      <alignment horizontal="center"/>
    </xf>
    <xf numFmtId="0" fontId="5" fillId="10" borderId="16" applyAlignment="1" pivotButton="0" quotePrefix="0" xfId="0">
      <alignment horizontal="left"/>
    </xf>
    <xf numFmtId="0" fontId="5" fillId="10" borderId="15" applyAlignment="1" pivotButton="0" quotePrefix="0" xfId="0">
      <alignment horizontal="left"/>
    </xf>
    <xf numFmtId="0" fontId="3" fillId="10" borderId="17" pivotButton="0" quotePrefix="0" xfId="0"/>
    <xf numFmtId="0" fontId="33" fillId="6" borderId="20" pivotButton="0" quotePrefix="0" xfId="0"/>
    <xf numFmtId="0" fontId="29" fillId="6" borderId="18" pivotButton="0" quotePrefix="0" xfId="0"/>
    <xf numFmtId="0" fontId="28" fillId="10" borderId="7" applyAlignment="1" pivotButton="0" quotePrefix="0" xfId="0">
      <alignment horizontal="center"/>
    </xf>
    <xf numFmtId="0" fontId="0" fillId="6" borderId="8" applyAlignment="1" pivotButton="0" quotePrefix="0" xfId="0">
      <alignment horizontal="left"/>
    </xf>
    <xf numFmtId="0" fontId="0" fillId="6" borderId="8" applyAlignment="1" pivotButton="0" quotePrefix="0" xfId="0">
      <alignment horizontal="right"/>
    </xf>
    <xf numFmtId="0" fontId="0" fillId="6" borderId="9" applyAlignment="1" pivotButton="0" quotePrefix="0" xfId="0">
      <alignment horizontal="right"/>
    </xf>
    <xf numFmtId="2" fontId="0" fillId="0" borderId="0" pivotButton="0" quotePrefix="0" xfId="0"/>
    <xf numFmtId="0" fontId="28" fillId="10" borderId="7" applyAlignment="1" pivotButton="0" quotePrefix="0" xfId="0">
      <alignment horizontal="left"/>
    </xf>
    <xf numFmtId="2" fontId="0" fillId="6" borderId="9" pivotButton="0" quotePrefix="0" xfId="0"/>
    <xf numFmtId="2" fontId="0" fillId="6" borderId="8" pivotButton="0" quotePrefix="0" xfId="0"/>
    <xf numFmtId="0" fontId="28" fillId="10" borderId="10" applyAlignment="1" pivotButton="0" quotePrefix="0" xfId="0">
      <alignment horizontal="center"/>
    </xf>
    <xf numFmtId="0" fontId="0" fillId="6" borderId="7" pivotButton="0" quotePrefix="0" xfId="0"/>
    <xf numFmtId="0" fontId="0" fillId="0" borderId="10" applyAlignment="1" pivotButton="0" quotePrefix="0" xfId="0">
      <alignment horizontal="center"/>
    </xf>
    <xf numFmtId="0" fontId="28" fillId="10" borderId="10" applyAlignment="1" pivotButton="0" quotePrefix="0" xfId="0">
      <alignment horizontal="left"/>
    </xf>
    <xf numFmtId="0" fontId="8" fillId="7" borderId="1" pivotButton="0" quotePrefix="0" xfId="0"/>
    <xf numFmtId="0" fontId="3" fillId="12" borderId="10" pivotButton="0" quotePrefix="0" xfId="0"/>
    <xf numFmtId="0" fontId="3" fillId="12" borderId="14" pivotButton="0" quotePrefix="0" xfId="0"/>
    <xf numFmtId="0" fontId="3" fillId="12" borderId="13" applyAlignment="1" pivotButton="0" quotePrefix="0" xfId="0">
      <alignment horizontal="left"/>
    </xf>
    <xf numFmtId="0" fontId="3" fillId="12" borderId="10" applyAlignment="1" pivotButton="0" quotePrefix="0" xfId="0">
      <alignment horizontal="left"/>
    </xf>
    <xf numFmtId="0" fontId="9" fillId="0" borderId="0" pivotButton="0" quotePrefix="0" xfId="0"/>
    <xf numFmtId="0" fontId="10" fillId="9" borderId="7" pivotButton="0" quotePrefix="0" xfId="0"/>
    <xf numFmtId="0" fontId="10" fillId="9" borderId="9" pivotButton="0" quotePrefix="0" xfId="0"/>
    <xf numFmtId="0" fontId="10" fillId="9" borderId="7" applyAlignment="1" pivotButton="0" quotePrefix="0" xfId="0">
      <alignment horizontal="center"/>
    </xf>
    <xf numFmtId="0" fontId="10" fillId="9" borderId="9" applyAlignment="1" pivotButton="0" quotePrefix="0" xfId="0">
      <alignment horizontal="center"/>
    </xf>
    <xf numFmtId="0" fontId="45" fillId="9" borderId="7" applyAlignment="1" pivotButton="0" quotePrefix="0" xfId="0">
      <alignment horizontal="center"/>
    </xf>
    <xf numFmtId="0" fontId="45" fillId="9" borderId="9" applyAlignment="1" pivotButton="0" quotePrefix="0" xfId="0">
      <alignment horizontal="center"/>
    </xf>
    <xf numFmtId="0" fontId="4" fillId="8" borderId="7" applyAlignment="1" pivotButton="0" quotePrefix="0" xfId="0">
      <alignment horizontal="center"/>
    </xf>
    <xf numFmtId="0" fontId="4" fillId="8" borderId="9" applyAlignment="1" pivotButton="0" quotePrefix="0" xfId="0">
      <alignment horizontal="center"/>
    </xf>
    <xf numFmtId="0" fontId="4" fillId="14" borderId="12" applyAlignment="1" pivotButton="0" quotePrefix="0" xfId="0">
      <alignment horizontal="left" vertical="center" indent="7"/>
    </xf>
    <xf numFmtId="0" fontId="4" fillId="14" borderId="14" applyAlignment="1" pivotButton="0" quotePrefix="0" xfId="0">
      <alignment horizontal="left" vertical="center" indent="7"/>
    </xf>
    <xf numFmtId="0" fontId="4" fillId="14" borderId="13" applyAlignment="1" pivotButton="0" quotePrefix="0" xfId="0">
      <alignment horizontal="left" vertical="center" indent="7"/>
    </xf>
    <xf numFmtId="1" fontId="10" fillId="12" borderId="8" applyAlignment="1" pivotButton="0" quotePrefix="0" xfId="0">
      <alignment horizontal="center"/>
    </xf>
    <xf numFmtId="0" fontId="30" fillId="0" borderId="0" pivotButton="0" quotePrefix="0" xfId="0"/>
    <xf numFmtId="2" fontId="10" fillId="12" borderId="8" applyAlignment="1" pivotButton="0" quotePrefix="0" xfId="0">
      <alignment horizontal="center"/>
    </xf>
    <xf numFmtId="2" fontId="10" fillId="12" borderId="9" applyAlignment="1" pivotButton="0" quotePrefix="0" xfId="0">
      <alignment horizontal="center"/>
    </xf>
    <xf numFmtId="165" fontId="0" fillId="0" borderId="0" pivotButton="0" quotePrefix="0" xfId="4"/>
    <xf numFmtId="2" fontId="10" fillId="12" borderId="8" pivotButton="0" quotePrefix="0" xfId="0"/>
    <xf numFmtId="2" fontId="10" fillId="12" borderId="3" pivotButton="0" quotePrefix="0" xfId="0"/>
    <xf numFmtId="2" fontId="10" fillId="12" borderId="4" pivotButton="0" quotePrefix="0" xfId="0"/>
    <xf numFmtId="2" fontId="10" fillId="12" borderId="5" pivotButton="0" quotePrefix="0" xfId="0"/>
    <xf numFmtId="2" fontId="10" fillId="12" borderId="6" pivotButton="0" quotePrefix="0" xfId="0"/>
    <xf numFmtId="2" fontId="10" fillId="12" borderId="9" pivotButton="0" quotePrefix="0" xfId="0"/>
    <xf numFmtId="2" fontId="44" fillId="12" borderId="8" applyAlignment="1" pivotButton="0" quotePrefix="0" xfId="0">
      <alignment horizontal="center"/>
    </xf>
    <xf numFmtId="2" fontId="44" fillId="12" borderId="3" applyAlignment="1" pivotButton="0" quotePrefix="0" xfId="0">
      <alignment horizontal="center"/>
    </xf>
    <xf numFmtId="2" fontId="10" fillId="12" borderId="4" applyAlignment="1" pivotButton="0" quotePrefix="0" xfId="0">
      <alignment horizontal="center"/>
    </xf>
    <xf numFmtId="2" fontId="48" fillId="12" borderId="4" applyAlignment="1" pivotButton="0" quotePrefix="0" xfId="0">
      <alignment horizontal="center"/>
    </xf>
    <xf numFmtId="2" fontId="45" fillId="12" borderId="10" pivotButton="0" quotePrefix="0" xfId="0"/>
    <xf numFmtId="2" fontId="44" fillId="12" borderId="5" applyAlignment="1" pivotButton="0" quotePrefix="0" xfId="0">
      <alignment horizontal="left" vertical="top" indent="11"/>
    </xf>
    <xf numFmtId="2" fontId="10" fillId="12" borderId="10" applyAlignment="1" pivotButton="0" quotePrefix="0" xfId="0">
      <alignment horizontal="center"/>
    </xf>
    <xf numFmtId="2" fontId="44" fillId="12" borderId="9" applyAlignment="1" pivotButton="0" quotePrefix="0" xfId="0">
      <alignment horizontal="center"/>
    </xf>
    <xf numFmtId="0" fontId="3" fillId="10" borderId="16" pivotButton="0" quotePrefix="0" xfId="0"/>
    <xf numFmtId="0" fontId="0" fillId="10" borderId="22" pivotButton="0" quotePrefix="0" xfId="0"/>
    <xf numFmtId="0" fontId="3" fillId="10" borderId="15" pivotButton="0" quotePrefix="0" xfId="0"/>
    <xf numFmtId="0" fontId="3" fillId="10" borderId="25" pivotButton="0" quotePrefix="0" xfId="0"/>
    <xf numFmtId="0" fontId="0" fillId="10" borderId="21" pivotButton="0" quotePrefix="0" xfId="0"/>
    <xf numFmtId="0" fontId="0" fillId="10" borderId="26" pivotButton="0" quotePrefix="0" xfId="0"/>
    <xf numFmtId="0" fontId="0" fillId="10" borderId="27" pivotButton="0" quotePrefix="0" xfId="0"/>
    <xf numFmtId="2" fontId="0" fillId="6" borderId="7" pivotButton="0" quotePrefix="0" xfId="0"/>
    <xf numFmtId="0" fontId="20" fillId="13" borderId="19" applyAlignment="1" pivotButton="0" quotePrefix="0" xfId="0">
      <alignment vertical="center"/>
    </xf>
    <xf numFmtId="2" fontId="44" fillId="12" borderId="3" applyAlignment="1" pivotButton="0" quotePrefix="0" xfId="0">
      <alignment horizontal="left" vertical="top" indent="10"/>
    </xf>
    <xf numFmtId="0" fontId="5" fillId="12" borderId="8" applyAlignment="1" pivotButton="0" quotePrefix="0" xfId="0">
      <alignment horizontal="center"/>
    </xf>
    <xf numFmtId="0" fontId="5" fillId="12" borderId="8" applyAlignment="1" pivotButton="0" quotePrefix="0" xfId="0">
      <alignment horizontal="center" vertical="center" wrapText="1"/>
    </xf>
    <xf numFmtId="49" fontId="5" fillId="12" borderId="8" applyAlignment="1" pivotButton="0" quotePrefix="0" xfId="0">
      <alignment horizontal="center" vertical="center"/>
    </xf>
    <xf numFmtId="49" fontId="5" fillId="12" borderId="8" applyAlignment="1" pivotButton="0" quotePrefix="0" xfId="0">
      <alignment horizontal="center" vertical="center" wrapText="1"/>
    </xf>
    <xf numFmtId="0" fontId="15" fillId="12" borderId="8" applyAlignment="1" pivotButton="0" quotePrefix="0" xfId="0">
      <alignment horizontal="center" vertical="center" wrapText="1"/>
    </xf>
    <xf numFmtId="2" fontId="10" fillId="12" borderId="7" applyAlignment="1" pivotButton="0" quotePrefix="0" xfId="0">
      <alignment horizontal="center"/>
    </xf>
    <xf numFmtId="2" fontId="10" fillId="12" borderId="6" applyAlignment="1" pivotButton="0" quotePrefix="0" xfId="0">
      <alignment horizontal="center"/>
    </xf>
    <xf numFmtId="2" fontId="44" fillId="12" borderId="5" applyAlignment="1" pivotButton="0" quotePrefix="0" xfId="0">
      <alignment horizontal="left" vertical="top" indent="14"/>
    </xf>
    <xf numFmtId="2" fontId="10" fillId="12" borderId="6" applyAlignment="1" pivotButton="0" quotePrefix="0" xfId="0">
      <alignment horizontal="left" indent="14"/>
    </xf>
    <xf numFmtId="0" fontId="5" fillId="12" borderId="10" applyAlignment="1" pivotButton="0" quotePrefix="0" xfId="0">
      <alignment horizontal="center" vertical="center" wrapText="1"/>
    </xf>
    <xf numFmtId="2" fontId="44" fillId="12" borderId="4" applyAlignment="1" pivotButton="0" quotePrefix="0" xfId="0">
      <alignment horizontal="center"/>
    </xf>
    <xf numFmtId="2" fontId="10" fillId="12" borderId="9" applyAlignment="1" pivotButton="0" quotePrefix="0" xfId="0">
      <alignment horizontal="left"/>
    </xf>
    <xf numFmtId="0" fontId="0" fillId="10" borderId="23" pivotButton="0" quotePrefix="0" xfId="0"/>
    <xf numFmtId="0" fontId="0" fillId="10" borderId="14" pivotButton="0" quotePrefix="0" xfId="0"/>
    <xf numFmtId="0" fontId="0" fillId="10" borderId="28" pivotButton="0" quotePrefix="0" xfId="0"/>
    <xf numFmtId="0" fontId="0" fillId="6" borderId="15" pivotButton="0" quotePrefix="0" xfId="0"/>
    <xf numFmtId="0" fontId="0" fillId="6" borderId="23" pivotButton="0" quotePrefix="0" xfId="0"/>
    <xf numFmtId="0" fontId="0" fillId="6" borderId="20" pivotButton="0" quotePrefix="0" xfId="0"/>
    <xf numFmtId="0" fontId="0" fillId="6" borderId="18" pivotButton="0" quotePrefix="0" xfId="0"/>
    <xf numFmtId="0" fontId="0" fillId="6" borderId="24" pivotButton="0" quotePrefix="0" xfId="0"/>
    <xf numFmtId="166" fontId="0" fillId="6" borderId="7" applyAlignment="1" pivotButton="0" quotePrefix="0" xfId="0">
      <alignment horizontal="right"/>
    </xf>
    <xf numFmtId="0" fontId="28" fillId="6" borderId="31" pivotButton="0" quotePrefix="0" xfId="0"/>
    <xf numFmtId="0" fontId="0" fillId="6" borderId="30" applyAlignment="1" pivotButton="0" quotePrefix="0" xfId="0">
      <alignment horizontal="left"/>
    </xf>
    <xf numFmtId="0" fontId="0" fillId="6" borderId="31" applyAlignment="1" pivotButton="0" quotePrefix="0" xfId="0">
      <alignment horizontal="left"/>
    </xf>
    <xf numFmtId="0" fontId="0" fillId="6" borderId="32" applyAlignment="1" pivotButton="0" quotePrefix="0" xfId="0">
      <alignment horizontal="left"/>
    </xf>
    <xf numFmtId="0" fontId="0" fillId="6" borderId="29" pivotButton="0" quotePrefix="0" xfId="0"/>
    <xf numFmtId="0" fontId="4" fillId="8" borderId="3" pivotButton="0" quotePrefix="0" xfId="0"/>
    <xf numFmtId="0" fontId="4" fillId="8" borderId="4" pivotButton="0" quotePrefix="0" xfId="0"/>
    <xf numFmtId="0" fontId="4" fillId="8" borderId="6" pivotButton="0" quotePrefix="0" xfId="0"/>
    <xf numFmtId="0" fontId="0" fillId="9" borderId="5" pivotButton="0" quotePrefix="0" xfId="0"/>
    <xf numFmtId="0" fontId="5" fillId="8" borderId="12" pivotButton="0" quotePrefix="0" xfId="0"/>
    <xf numFmtId="0" fontId="5" fillId="8" borderId="13" pivotButton="0" quotePrefix="0" xfId="0"/>
    <xf numFmtId="0" fontId="4" fillId="0" borderId="0" applyAlignment="1" pivotButton="0" quotePrefix="0" xfId="0">
      <alignment horizontal="right"/>
    </xf>
    <xf numFmtId="0" fontId="23" fillId="0" borderId="0" pivotButton="0" quotePrefix="0" xfId="3"/>
    <xf numFmtId="0" fontId="5" fillId="12" borderId="10" pivotButton="0" quotePrefix="0" xfId="0"/>
    <xf numFmtId="0" fontId="5" fillId="9" borderId="1" pivotButton="0" quotePrefix="0" xfId="0"/>
    <xf numFmtId="0" fontId="5" fillId="9" borderId="11" pivotButton="0" quotePrefix="0" xfId="0"/>
    <xf numFmtId="0" fontId="0" fillId="9" borderId="2" pivotButton="0" quotePrefix="0" xfId="0"/>
    <xf numFmtId="0" fontId="0" fillId="9" borderId="3" pivotButton="0" quotePrefix="0" xfId="0"/>
    <xf numFmtId="0" fontId="0" fillId="9" borderId="0" pivotButton="0" quotePrefix="0" xfId="0"/>
    <xf numFmtId="0" fontId="0" fillId="9" borderId="4" pivotButton="0" quotePrefix="0" xfId="0"/>
    <xf numFmtId="0" fontId="0" fillId="9" borderId="6" pivotButton="0" quotePrefix="0" xfId="0"/>
    <xf numFmtId="0" fontId="5" fillId="9" borderId="3" pivotButton="0" quotePrefix="0" xfId="0"/>
    <xf numFmtId="0" fontId="5" fillId="9" borderId="0" pivotButton="0" quotePrefix="0" xfId="0"/>
    <xf numFmtId="0" fontId="5" fillId="9" borderId="4" pivotButton="0" quotePrefix="0" xfId="0"/>
    <xf numFmtId="2" fontId="44" fillId="12" borderId="3" applyAlignment="1" pivotButton="0" quotePrefix="0" xfId="0">
      <alignment horizontal="left" vertical="top" indent="14"/>
    </xf>
    <xf numFmtId="2" fontId="10" fillId="12" borderId="4" applyAlignment="1" pivotButton="0" quotePrefix="0" xfId="0">
      <alignment horizontal="left" indent="14"/>
    </xf>
    <xf numFmtId="0" fontId="20" fillId="13" borderId="37" pivotButton="0" quotePrefix="0" xfId="0"/>
    <xf numFmtId="0" fontId="51" fillId="13" borderId="37" applyAlignment="1" pivotButton="0" quotePrefix="0" xfId="0">
      <alignment vertical="center"/>
    </xf>
    <xf numFmtId="0" fontId="20" fillId="13" borderId="38" pivotButton="0" quotePrefix="0" xfId="0"/>
    <xf numFmtId="2" fontId="52" fillId="6" borderId="8" applyAlignment="1" pivotButton="0" quotePrefix="0" xfId="0">
      <alignment horizontal="center" vertical="center"/>
    </xf>
    <xf numFmtId="0" fontId="9" fillId="6" borderId="8" applyAlignment="1" pivotButton="0" quotePrefix="0" xfId="0">
      <alignment horizontal="center"/>
    </xf>
    <xf numFmtId="2" fontId="9" fillId="6" borderId="8" applyAlignment="1" pivotButton="0" quotePrefix="0" xfId="0">
      <alignment horizontal="center"/>
    </xf>
    <xf numFmtId="0" fontId="37" fillId="6" borderId="8" applyAlignment="1" pivotButton="0" quotePrefix="0" xfId="0">
      <alignment vertical="top"/>
    </xf>
    <xf numFmtId="0" fontId="0" fillId="11" borderId="4" applyAlignment="1" pivotButton="0" quotePrefix="0" xfId="0">
      <alignment horizontal="center"/>
    </xf>
    <xf numFmtId="0" fontId="0" fillId="6" borderId="2" applyAlignment="1" pivotButton="0" quotePrefix="0" xfId="0">
      <alignment horizontal="center" wrapText="1"/>
    </xf>
    <xf numFmtId="0" fontId="0" fillId="6" borderId="4" applyAlignment="1" pivotButton="0" quotePrefix="0" xfId="0">
      <alignment horizontal="center" wrapText="1"/>
    </xf>
    <xf numFmtId="0" fontId="0" fillId="6" borderId="4" applyAlignment="1" pivotButton="0" quotePrefix="0" xfId="0">
      <alignment horizontal="center"/>
    </xf>
    <xf numFmtId="0" fontId="9" fillId="6" borderId="4" applyAlignment="1" pivotButton="0" quotePrefix="0" xfId="0">
      <alignment horizontal="center"/>
    </xf>
    <xf numFmtId="0" fontId="0" fillId="6" borderId="6" applyAlignment="1" pivotButton="0" quotePrefix="0" xfId="0">
      <alignment horizontal="center"/>
    </xf>
    <xf numFmtId="2" fontId="9" fillId="6" borderId="8" applyAlignment="1" pivotButton="0" quotePrefix="0" xfId="0">
      <alignment horizontal="center" wrapText="1"/>
    </xf>
    <xf numFmtId="0" fontId="52" fillId="6" borderId="4" applyAlignment="1" pivotButton="0" quotePrefix="0" xfId="0">
      <alignment horizontal="center" vertical="center"/>
    </xf>
    <xf numFmtId="166" fontId="0" fillId="0" borderId="0" pivotButton="0" quotePrefix="0" xfId="0"/>
    <xf numFmtId="167" fontId="30" fillId="0" borderId="0" pivotButton="0" quotePrefix="0" xfId="0"/>
    <xf numFmtId="0" fontId="5" fillId="0" borderId="10" applyAlignment="1" pivotButton="0" quotePrefix="0" xfId="2">
      <alignment horizontal="center"/>
    </xf>
    <xf numFmtId="0" fontId="5" fillId="0" borderId="10" applyAlignment="1" pivotButton="0" quotePrefix="0" xfId="2">
      <alignment horizontal="left"/>
    </xf>
    <xf numFmtId="0" fontId="4" fillId="0" borderId="0" pivotButton="0" quotePrefix="0" xfId="2"/>
    <xf numFmtId="0" fontId="10" fillId="0" borderId="0" pivotButton="0" quotePrefix="0" xfId="0"/>
    <xf numFmtId="0" fontId="10" fillId="0" borderId="19" pivotButton="0" quotePrefix="0" xfId="0"/>
    <xf numFmtId="0" fontId="10" fillId="0" borderId="37" pivotButton="0" quotePrefix="0" xfId="0"/>
    <xf numFmtId="0" fontId="10" fillId="0" borderId="38" pivotButton="0" quotePrefix="0" xfId="0"/>
    <xf numFmtId="1" fontId="10" fillId="0" borderId="10" pivotButton="0" quotePrefix="0" xfId="0"/>
    <xf numFmtId="1" fontId="10" fillId="0" borderId="0" pivotButton="0" quotePrefix="0" xfId="0"/>
    <xf numFmtId="0" fontId="5" fillId="2" borderId="9" pivotButton="0" quotePrefix="0" xfId="0"/>
    <xf numFmtId="0" fontId="44" fillId="2" borderId="9" pivotButton="0" quotePrefix="0" xfId="0"/>
    <xf numFmtId="1" fontId="44" fillId="2" borderId="9" pivotButton="0" quotePrefix="0" xfId="0"/>
    <xf numFmtId="0" fontId="4" fillId="0" borderId="10" applyAlignment="1" pivotButton="0" quotePrefix="0" xfId="2">
      <alignment horizontal="left"/>
    </xf>
    <xf numFmtId="0" fontId="54" fillId="0" borderId="0" pivotButton="0" quotePrefix="0" xfId="0"/>
    <xf numFmtId="0" fontId="5" fillId="0" borderId="42" applyAlignment="1" pivotButton="0" quotePrefix="0" xfId="2">
      <alignment horizontal="left"/>
    </xf>
    <xf numFmtId="0" fontId="5" fillId="0" borderId="36" applyAlignment="1" pivotButton="0" quotePrefix="0" xfId="2">
      <alignment horizontal="center"/>
    </xf>
    <xf numFmtId="0" fontId="4" fillId="0" borderId="42" pivotButton="0" quotePrefix="0" xfId="2"/>
    <xf numFmtId="0" fontId="4" fillId="0" borderId="36" applyAlignment="1" pivotButton="0" quotePrefix="0" xfId="2">
      <alignment horizontal="left"/>
    </xf>
    <xf numFmtId="1" fontId="0" fillId="5" borderId="23" pivotButton="0" quotePrefix="0" xfId="0"/>
    <xf numFmtId="0" fontId="4" fillId="0" borderId="42" applyAlignment="1" pivotButton="0" quotePrefix="0" xfId="2">
      <alignment horizontal="left"/>
    </xf>
    <xf numFmtId="1" fontId="0" fillId="5" borderId="36" pivotButton="0" quotePrefix="0" xfId="0"/>
    <xf numFmtId="1" fontId="10" fillId="0" borderId="42" pivotButton="0" quotePrefix="0" xfId="0"/>
    <xf numFmtId="1" fontId="0" fillId="5" borderId="43" pivotButton="0" quotePrefix="0" xfId="0"/>
    <xf numFmtId="0" fontId="7" fillId="0" borderId="39" applyAlignment="1" pivotButton="0" quotePrefix="0" xfId="2">
      <alignment horizontal="left" indent="22"/>
    </xf>
    <xf numFmtId="0" fontId="6" fillId="0" borderId="40" applyAlignment="1" pivotButton="0" quotePrefix="0" xfId="1">
      <alignment horizontal="left" indent="11"/>
    </xf>
    <xf numFmtId="0" fontId="6" fillId="0" borderId="40" applyAlignment="1" pivotButton="0" quotePrefix="0" xfId="2">
      <alignment horizontal="left" indent="11"/>
    </xf>
    <xf numFmtId="0" fontId="6" fillId="0" borderId="41" applyAlignment="1" pivotButton="0" quotePrefix="0" xfId="2">
      <alignment horizontal="left" indent="11"/>
    </xf>
    <xf numFmtId="0" fontId="4" fillId="19" borderId="36" applyAlignment="1" pivotButton="0" quotePrefix="0" xfId="2">
      <alignment horizontal="left"/>
    </xf>
    <xf numFmtId="1" fontId="10" fillId="19" borderId="36" pivotButton="0" quotePrefix="0" xfId="0"/>
    <xf numFmtId="0" fontId="3" fillId="20" borderId="44" pivotButton="0" quotePrefix="0" xfId="0"/>
    <xf numFmtId="0" fontId="0" fillId="0" borderId="0" applyAlignment="1" pivotButton="0" quotePrefix="0" xfId="0">
      <alignment horizontal="left"/>
    </xf>
    <xf numFmtId="0" fontId="4" fillId="0" borderId="0" pivotButton="0" quotePrefix="0" xfId="1"/>
    <xf numFmtId="0" fontId="37" fillId="0" borderId="0" pivotButton="0" quotePrefix="0" xfId="0"/>
    <xf numFmtId="1" fontId="0" fillId="5" borderId="10" pivotButton="0" quotePrefix="0" xfId="0"/>
    <xf numFmtId="1" fontId="4" fillId="5" borderId="10" pivotButton="0" quotePrefix="0" xfId="0"/>
    <xf numFmtId="1" fontId="0" fillId="6" borderId="10" pivotButton="0" quotePrefix="0" xfId="0"/>
    <xf numFmtId="0" fontId="4" fillId="19" borderId="45" applyAlignment="1" pivotButton="0" quotePrefix="0" xfId="2">
      <alignment horizontal="left"/>
    </xf>
    <xf numFmtId="0" fontId="4" fillId="19" borderId="46" applyAlignment="1" pivotButton="0" quotePrefix="0" xfId="2">
      <alignment horizontal="left"/>
    </xf>
    <xf numFmtId="0" fontId="4" fillId="19" borderId="43" applyAlignment="1" pivotButton="0" quotePrefix="0" xfId="2">
      <alignment horizontal="left"/>
    </xf>
    <xf numFmtId="0" fontId="4" fillId="0" borderId="10" pivotButton="0" quotePrefix="0" xfId="0"/>
    <xf numFmtId="0" fontId="5" fillId="0" borderId="39" applyAlignment="1" pivotButton="0" quotePrefix="0" xfId="1">
      <alignment horizontal="left" indent="16"/>
    </xf>
    <xf numFmtId="0" fontId="3" fillId="0" borderId="47" pivotButton="0" quotePrefix="0" xfId="0"/>
    <xf numFmtId="0" fontId="3" fillId="0" borderId="48" pivotButton="0" quotePrefix="0" xfId="0"/>
    <xf numFmtId="0" fontId="5" fillId="0" borderId="42" applyAlignment="1" pivotButton="0" quotePrefix="0" xfId="2">
      <alignment horizontal="center"/>
    </xf>
    <xf numFmtId="0" fontId="4" fillId="0" borderId="49" applyAlignment="1" pivotButton="0" quotePrefix="0" xfId="2">
      <alignment horizontal="left"/>
    </xf>
    <xf numFmtId="0" fontId="4" fillId="0" borderId="50" pivotButton="0" quotePrefix="0" xfId="0"/>
    <xf numFmtId="0" fontId="4" fillId="0" borderId="10" pivotButton="0" quotePrefix="0" xfId="1"/>
    <xf numFmtId="0" fontId="4" fillId="0" borderId="0" pivotButton="0" quotePrefix="0" xfId="0"/>
    <xf numFmtId="2" fontId="45" fillId="12" borderId="10" applyAlignment="1" pivotButton="0" quotePrefix="0" xfId="0">
      <alignment horizontal="center"/>
    </xf>
    <xf numFmtId="0" fontId="3" fillId="2" borderId="10" applyAlignment="1" pivotButton="0" quotePrefix="0" xfId="0">
      <alignment horizontal="center"/>
    </xf>
    <xf numFmtId="49" fontId="44" fillId="12" borderId="3" applyAlignment="1" pivotButton="0" quotePrefix="0" xfId="0">
      <alignment horizontal="center"/>
    </xf>
    <xf numFmtId="2" fontId="4" fillId="12" borderId="0" applyAlignment="1" pivotButton="0" quotePrefix="0" xfId="0">
      <alignment horizontal="right"/>
    </xf>
    <xf numFmtId="0" fontId="20" fillId="13" borderId="19" pivotButton="0" quotePrefix="0" xfId="0"/>
    <xf numFmtId="0" fontId="21" fillId="13" borderId="37" applyAlignment="1" pivotButton="0" quotePrefix="0" xfId="0">
      <alignment horizontal="left" vertical="center"/>
    </xf>
    <xf numFmtId="0" fontId="20" fillId="13" borderId="51" pivotButton="0" quotePrefix="0" xfId="0"/>
    <xf numFmtId="9" fontId="0" fillId="0" borderId="0" pivotButton="0" quotePrefix="0" xfId="0"/>
    <xf numFmtId="0" fontId="0" fillId="21" borderId="0" pivotButton="0" quotePrefix="0" xfId="0"/>
    <xf numFmtId="2" fontId="0" fillId="21" borderId="0" pivotButton="0" quotePrefix="0" xfId="0"/>
    <xf numFmtId="0" fontId="3" fillId="2" borderId="10" applyAlignment="1" pivotButton="0" quotePrefix="0" xfId="0">
      <alignment horizontal="left"/>
    </xf>
    <xf numFmtId="0" fontId="0" fillId="0" borderId="0" applyAlignment="1" pivotButton="0" quotePrefix="0" xfId="0">
      <alignment horizontal="center"/>
    </xf>
    <xf numFmtId="0" fontId="0" fillId="0" borderId="8" pivotButton="0" quotePrefix="0" xfId="0"/>
    <xf numFmtId="0" fontId="0" fillId="0" borderId="9" pivotButton="0" quotePrefix="0" xfId="0"/>
    <xf numFmtId="0" fontId="0" fillId="0" borderId="7" pivotButton="0" quotePrefix="0" xfId="0"/>
    <xf numFmtId="0" fontId="50" fillId="10" borderId="22" pivotButton="0" quotePrefix="0" xfId="0"/>
    <xf numFmtId="0" fontId="50" fillId="10" borderId="17" pivotButton="0" quotePrefix="0" xfId="0"/>
    <xf numFmtId="2" fontId="9" fillId="6" borderId="7" pivotButton="0" quotePrefix="0" xfId="0"/>
    <xf numFmtId="2" fontId="9" fillId="6" borderId="8" pivotButton="0" quotePrefix="0" xfId="0"/>
    <xf numFmtId="2" fontId="9" fillId="6" borderId="9" pivotButton="0" quotePrefix="0" xfId="0"/>
    <xf numFmtId="2" fontId="0" fillId="6" borderId="4" pivotButton="0" quotePrefix="0" xfId="0"/>
    <xf numFmtId="2" fontId="4" fillId="6" borderId="8" pivotButton="0" quotePrefix="0" xfId="0"/>
    <xf numFmtId="2" fontId="37" fillId="6" borderId="8" pivotButton="0" quotePrefix="0" xfId="0"/>
    <xf numFmtId="2" fontId="0" fillId="6" borderId="6" pivotButton="0" quotePrefix="0" xfId="0"/>
    <xf numFmtId="2" fontId="0" fillId="6" borderId="1" pivotButton="0" quotePrefix="0" xfId="0"/>
    <xf numFmtId="2" fontId="0" fillId="6" borderId="3" pivotButton="0" quotePrefix="0" xfId="0"/>
    <xf numFmtId="2" fontId="9" fillId="6" borderId="3" pivotButton="0" quotePrefix="0" xfId="0"/>
    <xf numFmtId="2" fontId="0" fillId="6" borderId="0" pivotButton="0" quotePrefix="0" xfId="0"/>
    <xf numFmtId="2" fontId="0" fillId="6" borderId="5" pivotButton="0" quotePrefix="0" xfId="0"/>
    <xf numFmtId="2" fontId="9" fillId="6" borderId="1" pivotButton="0" quotePrefix="0" xfId="0"/>
    <xf numFmtId="2" fontId="0" fillId="6" borderId="11" pivotButton="0" quotePrefix="0" xfId="0"/>
    <xf numFmtId="0" fontId="28" fillId="10" borderId="10" pivotButton="0" quotePrefix="0" xfId="0"/>
    <xf numFmtId="2" fontId="0" fillId="12" borderId="7" pivotButton="0" quotePrefix="0" xfId="0"/>
    <xf numFmtId="2" fontId="0" fillId="12" borderId="8" pivotButton="0" quotePrefix="0" xfId="0"/>
    <xf numFmtId="2" fontId="0" fillId="12" borderId="9" pivotButton="0" quotePrefix="0" xfId="0"/>
    <xf numFmtId="2" fontId="0" fillId="6" borderId="2" pivotButton="0" quotePrefix="0" xfId="0"/>
    <xf numFmtId="0" fontId="0" fillId="12" borderId="7" pivotButton="0" quotePrefix="0" xfId="0"/>
    <xf numFmtId="0" fontId="0" fillId="12" borderId="8" pivotButton="0" quotePrefix="0" xfId="0"/>
    <xf numFmtId="0" fontId="0" fillId="12" borderId="9" pivotButton="0" quotePrefix="0" xfId="0"/>
    <xf numFmtId="0" fontId="0" fillId="6" borderId="1" pivotButton="0" quotePrefix="0" xfId="0"/>
    <xf numFmtId="0" fontId="0" fillId="6" borderId="3" pivotButton="0" quotePrefix="0" xfId="0"/>
    <xf numFmtId="0" fontId="0" fillId="6" borderId="5" pivotButton="0" quotePrefix="0" xfId="0"/>
    <xf numFmtId="0" fontId="0" fillId="6" borderId="2" pivotButton="0" quotePrefix="0" xfId="0"/>
    <xf numFmtId="0" fontId="9" fillId="6" borderId="7" pivotButton="0" quotePrefix="0" xfId="0"/>
    <xf numFmtId="0" fontId="9" fillId="6" borderId="1" pivotButton="0" quotePrefix="0" xfId="0"/>
    <xf numFmtId="0" fontId="0" fillId="6" borderId="4" pivotButton="0" quotePrefix="0" xfId="0"/>
    <xf numFmtId="0" fontId="9" fillId="6" borderId="8" pivotButton="0" quotePrefix="0" xfId="0"/>
    <xf numFmtId="0" fontId="9" fillId="6" borderId="3" pivotButton="0" quotePrefix="0" xfId="0"/>
    <xf numFmtId="0" fontId="0" fillId="6" borderId="6" pivotButton="0" quotePrefix="0" xfId="0"/>
    <xf numFmtId="0" fontId="9" fillId="6" borderId="9" pivotButton="0" quotePrefix="0" xfId="0"/>
    <xf numFmtId="0" fontId="9" fillId="6" borderId="5" pivotButton="0" quotePrefix="0" xfId="0"/>
    <xf numFmtId="0" fontId="9" fillId="6" borderId="2" pivotButton="0" quotePrefix="0" xfId="0"/>
    <xf numFmtId="0" fontId="9" fillId="6" borderId="4" pivotButton="0" quotePrefix="0" xfId="0"/>
    <xf numFmtId="0" fontId="9" fillId="6" borderId="6" pivotButton="0" quotePrefix="0" xfId="0"/>
    <xf numFmtId="0" fontId="3" fillId="10" borderId="0" pivotButton="0" quotePrefix="0" xfId="0"/>
    <xf numFmtId="0" fontId="9" fillId="6" borderId="0" pivotButton="0" quotePrefix="0" xfId="0"/>
    <xf numFmtId="0" fontId="9" fillId="6" borderId="21" pivotButton="0" quotePrefix="0" xfId="0"/>
    <xf numFmtId="0" fontId="9" fillId="6" borderId="11" pivotButton="0" quotePrefix="0" xfId="0"/>
    <xf numFmtId="0" fontId="0" fillId="6" borderId="0" applyAlignment="1" pivotButton="0" quotePrefix="0" xfId="0">
      <alignment horizontal="right"/>
    </xf>
    <xf numFmtId="0" fontId="37" fillId="12" borderId="8" pivotButton="0" quotePrefix="0" xfId="0"/>
    <xf numFmtId="0" fontId="0" fillId="22" borderId="0" pivotButton="0" quotePrefix="0" xfId="0"/>
    <xf numFmtId="0" fontId="0" fillId="22" borderId="11" pivotButton="0" quotePrefix="0" xfId="0"/>
    <xf numFmtId="0" fontId="50" fillId="12" borderId="10" pivotButton="0" quotePrefix="0" xfId="0"/>
    <xf numFmtId="0" fontId="0" fillId="22" borderId="10" pivotButton="0" quotePrefix="0" xfId="0"/>
    <xf numFmtId="0" fontId="3" fillId="0" borderId="14" pivotButton="0" quotePrefix="0" xfId="0"/>
    <xf numFmtId="0" fontId="0" fillId="22" borderId="14" pivotButton="0" quotePrefix="0" xfId="0"/>
    <xf numFmtId="0" fontId="50" fillId="12" borderId="21" pivotButton="0" quotePrefix="0" xfId="0"/>
    <xf numFmtId="0" fontId="0" fillId="6" borderId="11" pivotButton="0" quotePrefix="0" xfId="0"/>
    <xf numFmtId="0" fontId="0" fillId="6" borderId="21" pivotButton="0" quotePrefix="0" xfId="0"/>
    <xf numFmtId="0" fontId="32" fillId="10" borderId="10" pivotButton="0" quotePrefix="0" xfId="0"/>
    <xf numFmtId="0" fontId="32" fillId="10" borderId="10" applyAlignment="1" pivotButton="0" quotePrefix="0" xfId="0">
      <alignment horizontal="left"/>
    </xf>
    <xf numFmtId="0" fontId="3" fillId="20" borderId="10" pivotButton="0" quotePrefix="0" xfId="0"/>
    <xf numFmtId="0" fontId="28" fillId="10" borderId="7" pivotButton="0" quotePrefix="0" xfId="0"/>
    <xf numFmtId="2" fontId="4" fillId="6" borderId="4" pivotButton="0" quotePrefix="0" xfId="0"/>
    <xf numFmtId="2" fontId="0" fillId="6" borderId="21" pivotButton="0" quotePrefix="0" xfId="0"/>
    <xf numFmtId="2" fontId="0" fillId="12" borderId="3" pivotButton="0" quotePrefix="0" xfId="0"/>
    <xf numFmtId="2" fontId="9" fillId="6" borderId="5" pivotButton="0" quotePrefix="0" xfId="0"/>
    <xf numFmtId="2" fontId="9" fillId="12" borderId="7" pivotButton="0" quotePrefix="0" xfId="0"/>
    <xf numFmtId="2" fontId="9" fillId="12" borderId="8" pivotButton="0" quotePrefix="0" xfId="0"/>
    <xf numFmtId="2" fontId="9" fillId="12" borderId="9" pivotButton="0" quotePrefix="0" xfId="0"/>
    <xf numFmtId="2" fontId="9" fillId="12" borderId="4" pivotButton="0" quotePrefix="0" xfId="0"/>
    <xf numFmtId="0" fontId="9" fillId="12" borderId="8" pivotButton="0" quotePrefix="0" xfId="0"/>
    <xf numFmtId="0" fontId="9" fillId="12" borderId="7" pivotButton="0" quotePrefix="0" xfId="0"/>
    <xf numFmtId="0" fontId="9" fillId="12" borderId="9" pivotButton="0" quotePrefix="0" xfId="0"/>
    <xf numFmtId="0" fontId="9" fillId="12" borderId="3" pivotButton="0" quotePrefix="0" xfId="0"/>
    <xf numFmtId="2" fontId="4" fillId="6" borderId="0" pivotButton="0" quotePrefix="0" xfId="0"/>
    <xf numFmtId="2" fontId="4" fillId="6" borderId="3" pivotButton="0" quotePrefix="0" xfId="0"/>
    <xf numFmtId="0" fontId="0" fillId="12" borderId="0" applyAlignment="1" pivotButton="0" quotePrefix="0" xfId="0">
      <alignment horizontal="right" vertical="center" wrapText="1"/>
    </xf>
    <xf numFmtId="0" fontId="3" fillId="2" borderId="10" pivotButton="0" quotePrefix="0" xfId="0"/>
    <xf numFmtId="0" fontId="0" fillId="2" borderId="10" pivotButton="0" quotePrefix="0" xfId="0"/>
    <xf numFmtId="0" fontId="28" fillId="10" borderId="1" applyAlignment="1" pivotButton="0" quotePrefix="0" xfId="0">
      <alignment horizontal="center"/>
    </xf>
    <xf numFmtId="0" fontId="28" fillId="10" borderId="2" applyAlignment="1" pivotButton="0" quotePrefix="0" xfId="0">
      <alignment horizontal="center"/>
    </xf>
    <xf numFmtId="0" fontId="28" fillId="10" borderId="52" applyAlignment="1" pivotButton="0" quotePrefix="0" xfId="0">
      <alignment horizontal="center"/>
    </xf>
    <xf numFmtId="0" fontId="59" fillId="0" borderId="0" applyAlignment="1" pivotButton="0" quotePrefix="0" xfId="0">
      <alignment horizontal="left" vertical="center"/>
    </xf>
    <xf numFmtId="0" fontId="0" fillId="0" borderId="10" applyAlignment="1" pivotButton="0" quotePrefix="0" xfId="0">
      <alignment wrapText="1"/>
    </xf>
    <xf numFmtId="0" fontId="0" fillId="12" borderId="1" pivotButton="0" quotePrefix="0" xfId="0"/>
    <xf numFmtId="0" fontId="0" fillId="12" borderId="3" pivotButton="0" quotePrefix="0" xfId="0"/>
    <xf numFmtId="0" fontId="32" fillId="10" borderId="31" pivotButton="0" quotePrefix="0" xfId="0"/>
    <xf numFmtId="0" fontId="28" fillId="10" borderId="8" applyAlignment="1" pivotButton="0" quotePrefix="0" xfId="0">
      <alignment horizontal="center"/>
    </xf>
    <xf numFmtId="0" fontId="28" fillId="10" borderId="3" applyAlignment="1" pivotButton="0" quotePrefix="0" xfId="0">
      <alignment horizontal="center"/>
    </xf>
    <xf numFmtId="0" fontId="28" fillId="10" borderId="53" applyAlignment="1" pivotButton="0" quotePrefix="0" xfId="0">
      <alignment horizontal="center"/>
    </xf>
    <xf numFmtId="0" fontId="28" fillId="10" borderId="4" applyAlignment="1" pivotButton="0" quotePrefix="0" xfId="0">
      <alignment horizontal="center"/>
    </xf>
    <xf numFmtId="0" fontId="28" fillId="10" borderId="35" applyAlignment="1" pivotButton="0" quotePrefix="0" xfId="0">
      <alignment horizontal="center"/>
    </xf>
    <xf numFmtId="0" fontId="5" fillId="10" borderId="1" applyAlignment="1" pivotButton="0" quotePrefix="0" xfId="0">
      <alignment horizontal="left"/>
    </xf>
    <xf numFmtId="0" fontId="3" fillId="10" borderId="11" pivotButton="0" quotePrefix="0" xfId="0"/>
    <xf numFmtId="0" fontId="0" fillId="10" borderId="11" pivotButton="0" quotePrefix="0" xfId="0"/>
    <xf numFmtId="0" fontId="31" fillId="10" borderId="11" pivotButton="0" quotePrefix="0" xfId="0"/>
    <xf numFmtId="0" fontId="30" fillId="10" borderId="11" pivotButton="0" quotePrefix="0" xfId="0"/>
    <xf numFmtId="0" fontId="0" fillId="10" borderId="2" pivotButton="0" quotePrefix="0" xfId="0"/>
    <xf numFmtId="0" fontId="5" fillId="10" borderId="5" applyAlignment="1" pivotButton="0" quotePrefix="0" xfId="0">
      <alignment horizontal="left"/>
    </xf>
    <xf numFmtId="0" fontId="31" fillId="10" borderId="21" pivotButton="0" quotePrefix="0" xfId="0"/>
    <xf numFmtId="0" fontId="0" fillId="10" borderId="6" pivotButton="0" quotePrefix="0" xfId="0"/>
    <xf numFmtId="0" fontId="0" fillId="0" borderId="0" applyAlignment="1" pivotButton="0" quotePrefix="0" xfId="0">
      <alignment horizontal="right"/>
    </xf>
    <xf numFmtId="165" fontId="0" fillId="0" borderId="0" pivotButton="0" quotePrefix="0" xfId="4"/>
    <xf numFmtId="0" fontId="28" fillId="10" borderId="34" applyAlignment="1" pivotButton="0" quotePrefix="0" xfId="0">
      <alignment horizontal="left"/>
    </xf>
    <xf numFmtId="0" fontId="7" fillId="0" borderId="5" pivotButton="0" quotePrefix="0" xfId="0"/>
    <xf numFmtId="0" fontId="50" fillId="0" borderId="21" pivotButton="0" quotePrefix="0" xfId="0"/>
    <xf numFmtId="0" fontId="0" fillId="0" borderId="21" pivotButton="0" quotePrefix="0" xfId="0"/>
    <xf numFmtId="0" fontId="7" fillId="0" borderId="10" applyAlignment="1" pivotButton="0" quotePrefix="0" xfId="0">
      <alignment horizontal="left" indent="2"/>
    </xf>
    <xf numFmtId="0" fontId="4" fillId="0" borderId="13" applyAlignment="1" pivotButton="0" quotePrefix="0" xfId="0">
      <alignment horizontal="center"/>
    </xf>
    <xf numFmtId="0" fontId="6" fillId="0" borderId="10" applyAlignment="1" pivotButton="0" quotePrefix="0" xfId="0">
      <alignment horizontal="center"/>
    </xf>
    <xf numFmtId="0" fontId="32" fillId="10" borderId="7" applyAlignment="1" pivotButton="0" quotePrefix="0" xfId="0">
      <alignment horizontal="center"/>
    </xf>
    <xf numFmtId="0" fontId="32" fillId="10" borderId="2" applyAlignment="1" pivotButton="0" quotePrefix="0" xfId="0">
      <alignment horizontal="center"/>
    </xf>
    <xf numFmtId="0" fontId="32" fillId="10" borderId="8" pivotButton="0" quotePrefix="0" xfId="0"/>
    <xf numFmtId="0" fontId="32" fillId="10" borderId="8" applyAlignment="1" pivotButton="0" quotePrefix="0" xfId="0">
      <alignment horizontal="center"/>
    </xf>
    <xf numFmtId="0" fontId="3" fillId="10" borderId="0" applyAlignment="1" pivotButton="0" quotePrefix="0" xfId="0">
      <alignment vertical="center"/>
    </xf>
    <xf numFmtId="0" fontId="3" fillId="10" borderId="16" applyAlignment="1" pivotButton="0" quotePrefix="0" xfId="0">
      <alignment vertical="center"/>
    </xf>
    <xf numFmtId="0" fontId="3" fillId="10" borderId="17" applyAlignment="1" pivotButton="0" quotePrefix="0" xfId="0">
      <alignment vertical="center"/>
    </xf>
    <xf numFmtId="0" fontId="3" fillId="10" borderId="22" applyAlignment="1" pivotButton="0" quotePrefix="0" xfId="0">
      <alignment vertical="center"/>
    </xf>
    <xf numFmtId="0" fontId="3" fillId="10" borderId="15" applyAlignment="1" pivotButton="0" quotePrefix="0" xfId="0">
      <alignment vertical="center"/>
    </xf>
    <xf numFmtId="0" fontId="3" fillId="10" borderId="23" applyAlignment="1" pivotButton="0" quotePrefix="0" xfId="0">
      <alignment vertical="center"/>
    </xf>
    <xf numFmtId="0" fontId="63" fillId="6" borderId="1" applyAlignment="1" pivotButton="0" quotePrefix="0" xfId="0">
      <alignment horizontal="left" vertical="center"/>
    </xf>
    <xf numFmtId="0" fontId="64" fillId="6" borderId="11" applyAlignment="1" pivotButton="0" quotePrefix="0" xfId="0">
      <alignment wrapText="1"/>
    </xf>
    <xf numFmtId="0" fontId="64" fillId="6" borderId="2" applyAlignment="1" pivotButton="0" quotePrefix="0" xfId="0">
      <alignment wrapText="1"/>
    </xf>
    <xf numFmtId="0" fontId="3" fillId="10" borderId="12" pivotButton="0" quotePrefix="0" xfId="0"/>
    <xf numFmtId="0" fontId="3" fillId="10" borderId="14" pivotButton="0" quotePrefix="0" xfId="0"/>
    <xf numFmtId="0" fontId="0" fillId="10" borderId="13" pivotButton="0" quotePrefix="0" xfId="0"/>
    <xf numFmtId="0" fontId="3" fillId="12" borderId="7" pivotButton="0" quotePrefix="0" xfId="0"/>
    <xf numFmtId="0" fontId="0" fillId="0" borderId="11" pivotButton="0" quotePrefix="0" xfId="0"/>
    <xf numFmtId="0" fontId="0" fillId="9" borderId="8" applyAlignment="1" pivotButton="0" quotePrefix="0" xfId="0">
      <alignment horizontal="center"/>
    </xf>
    <xf numFmtId="0" fontId="0" fillId="9" borderId="9" applyAlignment="1" pivotButton="0" quotePrefix="0" xfId="0">
      <alignment horizontal="center"/>
    </xf>
    <xf numFmtId="0" fontId="0" fillId="0" borderId="2" pivotButton="0" quotePrefix="0" xfId="0"/>
    <xf numFmtId="0" fontId="0" fillId="0" borderId="4" pivotButton="0" quotePrefix="0" xfId="0"/>
    <xf numFmtId="0" fontId="0" fillId="0" borderId="6" pivotButton="0" quotePrefix="0" xfId="0"/>
    <xf numFmtId="0" fontId="0" fillId="0" borderId="7" applyAlignment="1" pivotButton="0" quotePrefix="0" xfId="0">
      <alignment horizontal="left"/>
    </xf>
    <xf numFmtId="0" fontId="0" fillId="0" borderId="8" applyAlignment="1" pivotButton="0" quotePrefix="0" xfId="0">
      <alignment horizontal="left"/>
    </xf>
    <xf numFmtId="0" fontId="0" fillId="0" borderId="9" applyAlignment="1" pivotButton="0" quotePrefix="0" xfId="0">
      <alignment horizontal="left"/>
    </xf>
    <xf numFmtId="0" fontId="32" fillId="10" borderId="10" applyAlignment="1" pivotButton="0" quotePrefix="0" xfId="0">
      <alignment horizontal="center"/>
    </xf>
    <xf numFmtId="0" fontId="3" fillId="10" borderId="3" applyAlignment="1" pivotButton="0" quotePrefix="0" xfId="0">
      <alignment vertical="center"/>
    </xf>
    <xf numFmtId="0" fontId="3" fillId="10" borderId="4" applyAlignment="1" pivotButton="0" quotePrefix="0" xfId="0">
      <alignment vertical="center"/>
    </xf>
    <xf numFmtId="0" fontId="32" fillId="10" borderId="3" pivotButton="0" quotePrefix="0" xfId="0"/>
    <xf numFmtId="0" fontId="32" fillId="10" borderId="4" applyAlignment="1" pivotButton="0" quotePrefix="0" xfId="0">
      <alignment horizontal="center"/>
    </xf>
    <xf numFmtId="0" fontId="3" fillId="10" borderId="12" applyAlignment="1" pivotButton="0" quotePrefix="0" xfId="0">
      <alignment vertical="center"/>
    </xf>
    <xf numFmtId="0" fontId="32" fillId="10" borderId="12" pivotButton="0" quotePrefix="0" xfId="0"/>
    <xf numFmtId="0" fontId="32" fillId="10" borderId="13" applyAlignment="1" pivotButton="0" quotePrefix="0" xfId="0">
      <alignment horizontal="center"/>
    </xf>
    <xf numFmtId="0" fontId="3" fillId="10" borderId="14" applyAlignment="1" pivotButton="0" quotePrefix="0" xfId="0">
      <alignment vertical="center"/>
    </xf>
    <xf numFmtId="0" fontId="3" fillId="10" borderId="2" applyAlignment="1" pivotButton="0" quotePrefix="0" xfId="0">
      <alignment horizontal="center" vertical="top" wrapText="1"/>
    </xf>
    <xf numFmtId="0" fontId="3" fillId="10" borderId="1" applyAlignment="1" pivotButton="0" quotePrefix="0" xfId="0">
      <alignment horizontal="left" vertical="top"/>
    </xf>
    <xf numFmtId="0" fontId="3" fillId="10" borderId="10" applyAlignment="1" pivotButton="0" quotePrefix="0" xfId="0">
      <alignment horizontal="left" vertical="top"/>
    </xf>
    <xf numFmtId="0" fontId="0" fillId="19" borderId="0" pivotButton="0" quotePrefix="0" xfId="0"/>
    <xf numFmtId="0" fontId="8" fillId="7" borderId="11" pivotButton="0" quotePrefix="0" xfId="0"/>
    <xf numFmtId="0" fontId="8" fillId="7" borderId="2" pivotButton="0" quotePrefix="0" xfId="0"/>
    <xf numFmtId="165" fontId="0" fillId="0" borderId="0" pivotButton="0" quotePrefix="0" xfId="0"/>
    <xf numFmtId="0" fontId="0" fillId="23" borderId="0" pivotButton="0" quotePrefix="0" xfId="0"/>
    <xf numFmtId="3" fontId="0" fillId="0" borderId="0" pivotButton="0" quotePrefix="0" xfId="0"/>
    <xf numFmtId="0" fontId="6" fillId="18" borderId="0" pivotButton="0" quotePrefix="0" xfId="0"/>
    <xf numFmtId="1" fontId="6" fillId="18" borderId="0" applyAlignment="1" pivotButton="0" quotePrefix="0" xfId="0">
      <alignment horizontal="left"/>
    </xf>
    <xf numFmtId="0" fontId="0" fillId="17" borderId="0" applyAlignment="1" pivotButton="0" quotePrefix="0" xfId="0">
      <alignment horizontal="center" vertical="center"/>
    </xf>
    <xf numFmtId="164" fontId="0" fillId="6" borderId="8" pivotButton="0" quotePrefix="0" xfId="0"/>
    <xf numFmtId="0" fontId="3" fillId="10" borderId="1" applyAlignment="1" pivotButton="0" quotePrefix="0" xfId="0">
      <alignment vertical="center"/>
    </xf>
    <xf numFmtId="0" fontId="3" fillId="10" borderId="11" applyAlignment="1" pivotButton="0" quotePrefix="0" xfId="0">
      <alignment vertical="center"/>
    </xf>
    <xf numFmtId="0" fontId="3" fillId="10" borderId="5" applyAlignment="1" pivotButton="0" quotePrefix="0" xfId="0">
      <alignment vertical="center"/>
    </xf>
    <xf numFmtId="0" fontId="3" fillId="10" borderId="21" applyAlignment="1" pivotButton="0" quotePrefix="0" xfId="0">
      <alignment vertical="center"/>
    </xf>
    <xf numFmtId="0" fontId="0" fillId="10" borderId="27" applyAlignment="1" pivotButton="0" quotePrefix="0" xfId="0">
      <alignment horizontal="left"/>
    </xf>
    <xf numFmtId="0" fontId="0" fillId="10" borderId="8" pivotButton="0" quotePrefix="0" xfId="0"/>
    <xf numFmtId="2" fontId="0" fillId="10" borderId="8" applyAlignment="1" pivotButton="0" quotePrefix="0" xfId="0">
      <alignment horizontal="center"/>
    </xf>
    <xf numFmtId="0" fontId="0" fillId="6" borderId="8" applyAlignment="1" pivotButton="0" quotePrefix="0" xfId="0">
      <alignment wrapText="1"/>
    </xf>
    <xf numFmtId="0" fontId="4" fillId="6" borderId="8" applyAlignment="1" pivotButton="0" quotePrefix="0" xfId="2">
      <alignment horizontal="left"/>
    </xf>
    <xf numFmtId="1" fontId="10" fillId="6" borderId="9" pivotButton="0" quotePrefix="0" xfId="0"/>
    <xf numFmtId="0" fontId="4" fillId="6" borderId="3" applyAlignment="1" pivotButton="0" quotePrefix="0" xfId="2">
      <alignment horizontal="left"/>
    </xf>
    <xf numFmtId="1" fontId="10" fillId="6" borderId="5" pivotButton="0" quotePrefix="0" xfId="0"/>
    <xf numFmtId="0" fontId="4" fillId="6" borderId="0" applyAlignment="1" pivotButton="0" quotePrefix="0" xfId="2">
      <alignment horizontal="left"/>
    </xf>
    <xf numFmtId="1" fontId="10" fillId="6" borderId="21" pivotButton="0" quotePrefix="0" xfId="0"/>
    <xf numFmtId="0" fontId="4" fillId="6" borderId="11" applyAlignment="1" pivotButton="0" quotePrefix="0" xfId="2">
      <alignment horizontal="left"/>
    </xf>
    <xf numFmtId="0" fontId="4" fillId="6" borderId="7" applyAlignment="1" pivotButton="0" quotePrefix="0" xfId="2">
      <alignment horizontal="left"/>
    </xf>
    <xf numFmtId="1" fontId="10" fillId="6" borderId="8" pivotButton="0" quotePrefix="0" xfId="0"/>
    <xf numFmtId="0" fontId="4" fillId="6" borderId="2" applyAlignment="1" pivotButton="0" quotePrefix="0" xfId="2">
      <alignment horizontal="left"/>
    </xf>
    <xf numFmtId="0" fontId="4" fillId="6" borderId="4" applyAlignment="1" pivotButton="0" quotePrefix="0" xfId="2">
      <alignment horizontal="left"/>
    </xf>
    <xf numFmtId="1" fontId="10" fillId="6" borderId="6" pivotButton="0" quotePrefix="0" xfId="0"/>
    <xf numFmtId="0" fontId="4" fillId="6" borderId="1" applyAlignment="1" pivotButton="0" quotePrefix="0" xfId="2">
      <alignment horizontal="left"/>
    </xf>
    <xf numFmtId="1" fontId="10" fillId="6" borderId="3" pivotButton="0" quotePrefix="0" xfId="0"/>
    <xf numFmtId="0" fontId="3" fillId="10" borderId="7" applyAlignment="1" pivotButton="0" quotePrefix="0" xfId="0">
      <alignment horizontal="center" vertical="center"/>
    </xf>
    <xf numFmtId="0" fontId="3" fillId="10" borderId="9" applyAlignment="1" pivotButton="0" quotePrefix="0" xfId="0">
      <alignment horizontal="center" vertical="center"/>
    </xf>
    <xf numFmtId="0" fontId="0" fillId="10" borderId="5" pivotButton="0" quotePrefix="0" xfId="0"/>
    <xf numFmtId="0" fontId="0" fillId="6" borderId="1" applyAlignment="1" pivotButton="0" quotePrefix="0" xfId="0">
      <alignment horizontal="center"/>
    </xf>
    <xf numFmtId="0" fontId="0" fillId="6" borderId="11" applyAlignment="1" pivotButton="0" quotePrefix="0" xfId="0">
      <alignment horizontal="center"/>
    </xf>
    <xf numFmtId="0" fontId="0" fillId="6" borderId="5" applyAlignment="1" pivotButton="0" quotePrefix="0" xfId="0">
      <alignment horizontal="left"/>
    </xf>
    <xf numFmtId="0" fontId="0" fillId="6" borderId="21" applyAlignment="1" pivotButton="0" quotePrefix="0" xfId="0">
      <alignment horizontal="center"/>
    </xf>
    <xf numFmtId="0" fontId="37" fillId="6" borderId="0" applyAlignment="1" pivotButton="0" quotePrefix="0" xfId="0">
      <alignment horizontal="left"/>
    </xf>
    <xf numFmtId="0" fontId="37" fillId="6" borderId="8" pivotButton="0" quotePrefix="0" xfId="0"/>
    <xf numFmtId="0" fontId="37" fillId="6" borderId="18" applyAlignment="1" pivotButton="0" quotePrefix="0" xfId="0">
      <alignment horizontal="left"/>
    </xf>
    <xf numFmtId="0" fontId="37" fillId="6" borderId="33" pivotButton="0" quotePrefix="0" xfId="0"/>
    <xf numFmtId="0" fontId="0" fillId="6" borderId="10" applyAlignment="1" pivotButton="0" quotePrefix="0" xfId="0">
      <alignment horizontal="center"/>
    </xf>
    <xf numFmtId="0" fontId="4" fillId="8" borderId="8" applyAlignment="1" pivotButton="0" quotePrefix="0" xfId="0">
      <alignment horizontal="center"/>
    </xf>
    <xf numFmtId="0" fontId="5" fillId="8" borderId="10" applyAlignment="1" pivotButton="0" quotePrefix="0" xfId="0">
      <alignment horizontal="center" wrapText="1"/>
    </xf>
    <xf numFmtId="0" fontId="5" fillId="8" borderId="10" applyAlignment="1" pivotButton="0" quotePrefix="0" xfId="0">
      <alignment horizontal="center" vertical="center"/>
    </xf>
    <xf numFmtId="0" fontId="3" fillId="20" borderId="7" pivotButton="0" quotePrefix="0" xfId="0"/>
    <xf numFmtId="0" fontId="9" fillId="6" borderId="15" pivotButton="0" quotePrefix="0" xfId="0"/>
    <xf numFmtId="0" fontId="9" fillId="6" borderId="20" pivotButton="0" quotePrefix="0" xfId="0"/>
    <xf numFmtId="2" fontId="4" fillId="0" borderId="0" pivotButton="0" quotePrefix="0" xfId="0"/>
    <xf numFmtId="0" fontId="13" fillId="10" borderId="0" pivotButton="0" quotePrefix="0" xfId="0"/>
    <xf numFmtId="0" fontId="13" fillId="10" borderId="0" applyAlignment="1" pivotButton="0" quotePrefix="0" xfId="0">
      <alignment horizontal="center"/>
    </xf>
    <xf numFmtId="0" fontId="4" fillId="10" borderId="0" applyAlignment="1" pivotButton="0" quotePrefix="0" xfId="0">
      <alignment horizontal="center"/>
    </xf>
    <xf numFmtId="0" fontId="4" fillId="10" borderId="0" pivotButton="0" quotePrefix="0" xfId="0"/>
    <xf numFmtId="0" fontId="13" fillId="10" borderId="11" applyAlignment="1" pivotButton="0" quotePrefix="0" xfId="0">
      <alignment horizontal="center"/>
    </xf>
    <xf numFmtId="0" fontId="4" fillId="10" borderId="11" applyAlignment="1" pivotButton="0" quotePrefix="0" xfId="0">
      <alignment horizontal="center"/>
    </xf>
    <xf numFmtId="0" fontId="4" fillId="10" borderId="11" pivotButton="0" quotePrefix="0" xfId="0"/>
    <xf numFmtId="0" fontId="32" fillId="10" borderId="12" applyAlignment="1" pivotButton="0" quotePrefix="0" xfId="0">
      <alignment horizontal="center"/>
    </xf>
    <xf numFmtId="0" fontId="32" fillId="10" borderId="14" applyAlignment="1" pivotButton="0" quotePrefix="0" xfId="0">
      <alignment horizontal="center"/>
    </xf>
    <xf numFmtId="0" fontId="4" fillId="10" borderId="14" pivotButton="0" quotePrefix="0" xfId="0"/>
    <xf numFmtId="0" fontId="13" fillId="10" borderId="14" pivotButton="0" quotePrefix="0" xfId="0"/>
    <xf numFmtId="0" fontId="37" fillId="6" borderId="0" pivotButton="0" quotePrefix="0" xfId="0"/>
    <xf numFmtId="0" fontId="32" fillId="10" borderId="1" applyAlignment="1" pivotButton="0" quotePrefix="0" xfId="0">
      <alignment horizontal="center"/>
    </xf>
    <xf numFmtId="0" fontId="32" fillId="10" borderId="11" applyAlignment="1" pivotButton="0" quotePrefix="0" xfId="0">
      <alignment horizontal="center"/>
    </xf>
    <xf numFmtId="0" fontId="32" fillId="10" borderId="12" applyAlignment="1" pivotButton="0" quotePrefix="0" xfId="0">
      <alignment horizontal="left"/>
    </xf>
    <xf numFmtId="0" fontId="32" fillId="10" borderId="1" applyAlignment="1" pivotButton="0" quotePrefix="0" xfId="0">
      <alignment horizontal="left"/>
    </xf>
    <xf numFmtId="0" fontId="32" fillId="10" borderId="5" applyAlignment="1" pivotButton="0" quotePrefix="0" xfId="0">
      <alignment horizontal="left"/>
    </xf>
    <xf numFmtId="0" fontId="0" fillId="6" borderId="3" applyAlignment="1" pivotButton="0" quotePrefix="0" xfId="0">
      <alignment horizontal="center"/>
    </xf>
    <xf numFmtId="0" fontId="0" fillId="24" borderId="0" pivotButton="0" quotePrefix="0" xfId="0"/>
    <xf numFmtId="0" fontId="0" fillId="6" borderId="0" applyAlignment="1" pivotButton="0" quotePrefix="0" xfId="0">
      <alignment horizontal="center"/>
    </xf>
    <xf numFmtId="1" fontId="0" fillId="6" borderId="0" pivotButton="0" quotePrefix="0" xfId="0"/>
    <xf numFmtId="0" fontId="0" fillId="11" borderId="0" pivotButton="0" quotePrefix="0" xfId="0"/>
    <xf numFmtId="0" fontId="0" fillId="21" borderId="7" pivotButton="0" quotePrefix="0" xfId="0"/>
    <xf numFmtId="0" fontId="0" fillId="6" borderId="2" applyAlignment="1" pivotButton="0" quotePrefix="0" xfId="0">
      <alignment horizontal="center"/>
    </xf>
    <xf numFmtId="1" fontId="7" fillId="6" borderId="1" pivotButton="0" quotePrefix="0" xfId="0"/>
    <xf numFmtId="1" fontId="4" fillId="6" borderId="3" pivotButton="0" quotePrefix="0" xfId="0"/>
    <xf numFmtId="0" fontId="0" fillId="6" borderId="5" applyAlignment="1" pivotButton="0" quotePrefix="0" xfId="0">
      <alignment horizontal="center"/>
    </xf>
    <xf numFmtId="0" fontId="0" fillId="12" borderId="0" pivotButton="0" quotePrefix="0" xfId="0"/>
    <xf numFmtId="0" fontId="4" fillId="6" borderId="10" applyAlignment="1" pivotButton="0" quotePrefix="0" xfId="2">
      <alignment horizontal="left"/>
    </xf>
    <xf numFmtId="1" fontId="10" fillId="6" borderId="10" pivotButton="0" quotePrefix="0" xfId="0"/>
    <xf numFmtId="0" fontId="9" fillId="6" borderId="7" applyAlignment="1" pivotButton="0" quotePrefix="0" xfId="0">
      <alignment horizontal="center"/>
    </xf>
    <xf numFmtId="0" fontId="9" fillId="6" borderId="0" applyAlignment="1" pivotButton="0" quotePrefix="0" xfId="0">
      <alignment horizontal="center"/>
    </xf>
    <xf numFmtId="0" fontId="9" fillId="6" borderId="9" applyAlignment="1" pivotButton="0" quotePrefix="0" xfId="0">
      <alignment horizontal="center"/>
    </xf>
    <xf numFmtId="0" fontId="37" fillId="6" borderId="8" applyAlignment="1" pivotButton="0" quotePrefix="0" xfId="0">
      <alignment horizontal="center"/>
    </xf>
    <xf numFmtId="0" fontId="37" fillId="6" borderId="3" applyAlignment="1" pivotButton="0" quotePrefix="0" xfId="0">
      <alignment horizontal="center"/>
    </xf>
    <xf numFmtId="0" fontId="37" fillId="6" borderId="4" applyAlignment="1" pivotButton="0" quotePrefix="0" xfId="0">
      <alignment horizontal="center"/>
    </xf>
    <xf numFmtId="0" fontId="37" fillId="6" borderId="7" applyAlignment="1" pivotButton="0" quotePrefix="0" xfId="0">
      <alignment horizontal="center"/>
    </xf>
    <xf numFmtId="164" fontId="0" fillId="6" borderId="8" applyAlignment="1" pivotButton="0" quotePrefix="0" xfId="0">
      <alignment horizontal="center"/>
    </xf>
    <xf numFmtId="0" fontId="37" fillId="6" borderId="21" pivotButton="0" quotePrefix="0" xfId="0"/>
    <xf numFmtId="0" fontId="0" fillId="6" borderId="32" pivotButton="0" quotePrefix="0" xfId="0"/>
    <xf numFmtId="0" fontId="37" fillId="6" borderId="2" applyAlignment="1" pivotButton="0" quotePrefix="0" xfId="0">
      <alignment horizontal="center"/>
    </xf>
    <xf numFmtId="166" fontId="37" fillId="6" borderId="8" applyAlignment="1" pivotButton="0" quotePrefix="0" xfId="0">
      <alignment horizontal="center"/>
    </xf>
    <xf numFmtId="164" fontId="9" fillId="6" borderId="2" applyAlignment="1" pivotButton="0" quotePrefix="0" xfId="0">
      <alignment horizontal="center"/>
    </xf>
    <xf numFmtId="164" fontId="9" fillId="6" borderId="4" applyAlignment="1" pivotButton="0" quotePrefix="0" xfId="0">
      <alignment horizontal="center"/>
    </xf>
    <xf numFmtId="0" fontId="32" fillId="2" borderId="5" applyAlignment="1" pivotButton="0" quotePrefix="0" xfId="0">
      <alignment horizontal="left"/>
    </xf>
    <xf numFmtId="0" fontId="0" fillId="2" borderId="21" pivotButton="0" quotePrefix="0" xfId="0"/>
    <xf numFmtId="0" fontId="0" fillId="2" borderId="0" pivotButton="0" quotePrefix="0" xfId="0"/>
    <xf numFmtId="0" fontId="32" fillId="2" borderId="10" applyAlignment="1" pivotButton="0" quotePrefix="0" xfId="0">
      <alignment horizontal="left"/>
    </xf>
    <xf numFmtId="0" fontId="32" fillId="2" borderId="0" applyAlignment="1" pivotButton="0" quotePrefix="0" xfId="0">
      <alignment horizontal="left"/>
    </xf>
    <xf numFmtId="0" fontId="0" fillId="2" borderId="0" applyAlignment="1" pivotButton="0" quotePrefix="0" xfId="0">
      <alignment horizontal="left"/>
    </xf>
    <xf numFmtId="0" fontId="32" fillId="2" borderId="7" applyAlignment="1" pivotButton="0" quotePrefix="0" xfId="0">
      <alignment horizontal="left"/>
    </xf>
    <xf numFmtId="0" fontId="32" fillId="2" borderId="1" applyAlignment="1" pivotButton="0" quotePrefix="0" xfId="0">
      <alignment horizontal="center"/>
    </xf>
    <xf numFmtId="0" fontId="32" fillId="2" borderId="7" applyAlignment="1" pivotButton="0" quotePrefix="0" xfId="0">
      <alignment horizontal="center"/>
    </xf>
    <xf numFmtId="0" fontId="32" fillId="2" borderId="10" applyAlignment="1" pivotButton="0" quotePrefix="0" xfId="0">
      <alignment horizontal="center"/>
    </xf>
    <xf numFmtId="0" fontId="32" fillId="2" borderId="11" applyAlignment="1" pivotButton="0" quotePrefix="0" xfId="0">
      <alignment horizontal="center"/>
    </xf>
    <xf numFmtId="0" fontId="0" fillId="2" borderId="0" applyAlignment="1" pivotButton="0" quotePrefix="0" xfId="0">
      <alignment horizontal="center"/>
    </xf>
    <xf numFmtId="164" fontId="0" fillId="6" borderId="1" applyAlignment="1" pivotButton="0" quotePrefix="0" xfId="0">
      <alignment horizontal="center"/>
    </xf>
    <xf numFmtId="164" fontId="0" fillId="6" borderId="7" applyAlignment="1" pivotButton="0" quotePrefix="0" xfId="0">
      <alignment horizontal="center"/>
    </xf>
    <xf numFmtId="164" fontId="0" fillId="6" borderId="3" applyAlignment="1" pivotButton="0" quotePrefix="0" xfId="0">
      <alignment horizontal="center"/>
    </xf>
    <xf numFmtId="2" fontId="37" fillId="6" borderId="8" applyAlignment="1" pivotButton="0" quotePrefix="0" xfId="0">
      <alignment horizontal="center"/>
    </xf>
    <xf numFmtId="0" fontId="32" fillId="22" borderId="10" applyAlignment="1" pivotButton="0" quotePrefix="0" xfId="0">
      <alignment horizontal="center"/>
    </xf>
    <xf numFmtId="166" fontId="37" fillId="6" borderId="7" applyAlignment="1" pivotButton="0" quotePrefix="0" xfId="0">
      <alignment horizontal="center"/>
    </xf>
    <xf numFmtId="2" fontId="37" fillId="6" borderId="7" applyAlignment="1" pivotButton="0" quotePrefix="0" xfId="0">
      <alignment horizontal="center"/>
    </xf>
    <xf numFmtId="0" fontId="32" fillId="11" borderId="11" applyAlignment="1" pivotButton="0" quotePrefix="0" xfId="0">
      <alignment horizontal="center"/>
    </xf>
    <xf numFmtId="0" fontId="32" fillId="11" borderId="2" applyAlignment="1" pivotButton="0" quotePrefix="0" xfId="0">
      <alignment horizontal="center"/>
    </xf>
    <xf numFmtId="0" fontId="32" fillId="22" borderId="7" applyAlignment="1" pivotButton="0" quotePrefix="0" xfId="0">
      <alignment horizontal="center"/>
    </xf>
    <xf numFmtId="0" fontId="32" fillId="2" borderId="2" applyAlignment="1" pivotButton="0" quotePrefix="0" xfId="0">
      <alignment horizontal="center"/>
    </xf>
    <xf numFmtId="0" fontId="0" fillId="11" borderId="8" applyAlignment="1" pivotButton="0" quotePrefix="0" xfId="0">
      <alignment horizontal="center"/>
    </xf>
    <xf numFmtId="0" fontId="0" fillId="11" borderId="9" applyAlignment="1" pivotButton="0" quotePrefix="0" xfId="0">
      <alignment horizontal="center"/>
    </xf>
    <xf numFmtId="1" fontId="0" fillId="6" borderId="11" pivotButton="0" quotePrefix="0" xfId="0"/>
    <xf numFmtId="0" fontId="32" fillId="2" borderId="1" applyAlignment="1" pivotButton="0" quotePrefix="0" xfId="0">
      <alignment horizontal="left"/>
    </xf>
    <xf numFmtId="0" fontId="32" fillId="2" borderId="12" applyAlignment="1" pivotButton="0" quotePrefix="0" xfId="0">
      <alignment horizontal="left"/>
    </xf>
    <xf numFmtId="0" fontId="32" fillId="2" borderId="13" applyAlignment="1" pivotButton="0" quotePrefix="0" xfId="0">
      <alignment horizontal="left"/>
    </xf>
    <xf numFmtId="0" fontId="0" fillId="2" borderId="13" pivotButton="0" quotePrefix="0" xfId="0"/>
    <xf numFmtId="0" fontId="32" fillId="11" borderId="10" applyAlignment="1" pivotButton="0" quotePrefix="0" xfId="0">
      <alignment horizontal="center"/>
    </xf>
    <xf numFmtId="0" fontId="0" fillId="2" borderId="11" pivotButton="0" quotePrefix="0" xfId="0"/>
    <xf numFmtId="0" fontId="32" fillId="6" borderId="10" applyAlignment="1" pivotButton="0" quotePrefix="0" xfId="0">
      <alignment horizontal="left"/>
    </xf>
    <xf numFmtId="0" fontId="32" fillId="6" borderId="10" applyAlignment="1" pivotButton="0" quotePrefix="0" xfId="0">
      <alignment horizontal="center"/>
    </xf>
    <xf numFmtId="0" fontId="37" fillId="11" borderId="8" applyAlignment="1" pivotButton="0" quotePrefix="0" xfId="0">
      <alignment horizontal="center"/>
    </xf>
    <xf numFmtId="0" fontId="89" fillId="11" borderId="8" applyAlignment="1" pivotButton="0" quotePrefix="0" xfId="0">
      <alignment horizontal="center"/>
    </xf>
    <xf numFmtId="0" fontId="89" fillId="11" borderId="8" pivotButton="0" quotePrefix="0" xfId="0"/>
    <xf numFmtId="0" fontId="28" fillId="6" borderId="3" pivotButton="0" quotePrefix="0" xfId="0"/>
    <xf numFmtId="0" fontId="37" fillId="6" borderId="5" pivotButton="0" quotePrefix="0" xfId="0"/>
    <xf numFmtId="2" fontId="0" fillId="6" borderId="7" applyAlignment="1" pivotButton="0" quotePrefix="0" xfId="0">
      <alignment horizontal="center"/>
    </xf>
    <xf numFmtId="0" fontId="50" fillId="6" borderId="12" pivotButton="0" quotePrefix="0" xfId="0"/>
    <xf numFmtId="0" fontId="9" fillId="6" borderId="14" applyAlignment="1" pivotButton="0" quotePrefix="0" xfId="0">
      <alignment horizontal="right"/>
    </xf>
    <xf numFmtId="0" fontId="9" fillId="6" borderId="14" pivotButton="0" quotePrefix="0" xfId="0"/>
    <xf numFmtId="2" fontId="9" fillId="6" borderId="14" pivotButton="0" quotePrefix="0" xfId="0"/>
    <xf numFmtId="0" fontId="32" fillId="10" borderId="9" pivotButton="0" quotePrefix="0" xfId="0"/>
    <xf numFmtId="0" fontId="32" fillId="10" borderId="11" pivotButton="0" quotePrefix="0" xfId="0"/>
    <xf numFmtId="0" fontId="32" fillId="10" borderId="5" pivotButton="0" quotePrefix="0" xfId="0"/>
    <xf numFmtId="0" fontId="32" fillId="10" borderId="21" pivotButton="0" quotePrefix="0" xfId="0"/>
    <xf numFmtId="0" fontId="32" fillId="10" borderId="6" pivotButton="0" quotePrefix="0" xfId="0"/>
    <xf numFmtId="0" fontId="50" fillId="6" borderId="1" pivotButton="0" quotePrefix="0" xfId="0"/>
    <xf numFmtId="0" fontId="32" fillId="10" borderId="0" applyAlignment="1" pivotButton="0" quotePrefix="0" xfId="0">
      <alignment horizontal="center"/>
    </xf>
    <xf numFmtId="0" fontId="32" fillId="10" borderId="3" applyAlignment="1" pivotButton="0" quotePrefix="0" xfId="0">
      <alignment horizontal="left"/>
    </xf>
    <xf numFmtId="0" fontId="32" fillId="10" borderId="9" applyAlignment="1" pivotButton="0" quotePrefix="0" xfId="0">
      <alignment horizontal="left"/>
    </xf>
    <xf numFmtId="0" fontId="32" fillId="10" borderId="9" applyAlignment="1" pivotButton="0" quotePrefix="0" xfId="0">
      <alignment horizontal="center"/>
    </xf>
    <xf numFmtId="0" fontId="32" fillId="10" borderId="14" pivotButton="0" quotePrefix="0" xfId="0"/>
    <xf numFmtId="0" fontId="32" fillId="10" borderId="13" pivotButton="0" quotePrefix="0" xfId="0"/>
    <xf numFmtId="0" fontId="0" fillId="6" borderId="12" pivotButton="0" quotePrefix="0" xfId="0"/>
    <xf numFmtId="0" fontId="0" fillId="6" borderId="14" pivotButton="0" quotePrefix="0" xfId="0"/>
    <xf numFmtId="164" fontId="0" fillId="6" borderId="9" applyAlignment="1" pivotButton="0" quotePrefix="0" xfId="0">
      <alignment horizontal="center"/>
    </xf>
    <xf numFmtId="0" fontId="0" fillId="6" borderId="13" applyAlignment="1" pivotButton="0" quotePrefix="0" xfId="0">
      <alignment horizontal="center"/>
    </xf>
    <xf numFmtId="0" fontId="32" fillId="10" borderId="0" pivotButton="0" quotePrefix="0" xfId="0"/>
    <xf numFmtId="0" fontId="32" fillId="10" borderId="0" applyAlignment="1" pivotButton="0" quotePrefix="0" xfId="0">
      <alignment horizontal="left"/>
    </xf>
    <xf numFmtId="0" fontId="32" fillId="24" borderId="12" pivotButton="0" quotePrefix="0" xfId="0"/>
    <xf numFmtId="0" fontId="32" fillId="24" borderId="1" pivotButton="0" quotePrefix="0" xfId="0"/>
    <xf numFmtId="0" fontId="3" fillId="24" borderId="3" applyAlignment="1" pivotButton="0" quotePrefix="0" xfId="0">
      <alignment horizontal="left"/>
    </xf>
    <xf numFmtId="0" fontId="50" fillId="6" borderId="31" applyAlignment="1" pivotButton="0" quotePrefix="0" xfId="0">
      <alignment horizontal="left"/>
    </xf>
    <xf numFmtId="0" fontId="32" fillId="10" borderId="1" pivotButton="0" quotePrefix="0" xfId="0"/>
    <xf numFmtId="0" fontId="0" fillId="10" borderId="1" pivotButton="0" quotePrefix="0" xfId="0"/>
    <xf numFmtId="0" fontId="94" fillId="6" borderId="0" applyAlignment="1" pivotButton="0" quotePrefix="0" xfId="0">
      <alignment horizontal="center"/>
    </xf>
    <xf numFmtId="0" fontId="0" fillId="10" borderId="21" applyAlignment="1" pivotButton="0" quotePrefix="0" xfId="0">
      <alignment horizontal="center"/>
    </xf>
    <xf numFmtId="0" fontId="4" fillId="10" borderId="21" pivotButton="0" quotePrefix="0" xfId="0"/>
    <xf numFmtId="0" fontId="0" fillId="6" borderId="54" applyAlignment="1" pivotButton="0" quotePrefix="0" xfId="0">
      <alignment horizontal="right"/>
    </xf>
    <xf numFmtId="0" fontId="0" fillId="6" borderId="55" pivotButton="0" quotePrefix="0" xfId="0"/>
    <xf numFmtId="0" fontId="0" fillId="6" borderId="57" applyAlignment="1" pivotButton="0" quotePrefix="0" xfId="0">
      <alignment horizontal="right"/>
    </xf>
    <xf numFmtId="164" fontId="0" fillId="11" borderId="7" applyAlignment="1" pivotButton="0" quotePrefix="0" xfId="0">
      <alignment horizontal="center"/>
    </xf>
    <xf numFmtId="164" fontId="0" fillId="11" borderId="8" applyAlignment="1" pivotButton="0" quotePrefix="0" xfId="0">
      <alignment horizontal="center"/>
    </xf>
    <xf numFmtId="164" fontId="0" fillId="11" borderId="9" applyAlignment="1" pivotButton="0" quotePrefix="0" xfId="0">
      <alignment horizontal="center"/>
    </xf>
    <xf numFmtId="0" fontId="32" fillId="10" borderId="7" pivotButton="0" quotePrefix="0" xfId="0"/>
    <xf numFmtId="0" fontId="37" fillId="2" borderId="8" pivotButton="0" quotePrefix="0" xfId="0"/>
    <xf numFmtId="0" fontId="37" fillId="2" borderId="4" pivotButton="0" quotePrefix="0" xfId="0"/>
    <xf numFmtId="0" fontId="37" fillId="2" borderId="9" pivotButton="0" quotePrefix="0" xfId="0"/>
    <xf numFmtId="0" fontId="37" fillId="2" borderId="6" pivotButton="0" quotePrefix="0" xfId="0"/>
    <xf numFmtId="0" fontId="37" fillId="2" borderId="3" pivotButton="0" quotePrefix="0" xfId="0"/>
    <xf numFmtId="0" fontId="37" fillId="2" borderId="5" pivotButton="0" quotePrefix="0" xfId="0"/>
    <xf numFmtId="0" fontId="3" fillId="10" borderId="10" pivotButton="0" quotePrefix="0" xfId="0"/>
    <xf numFmtId="2" fontId="0" fillId="6" borderId="4" applyAlignment="1" pivotButton="0" quotePrefix="0" xfId="0">
      <alignment horizontal="left"/>
    </xf>
    <xf numFmtId="2" fontId="0" fillId="6" borderId="8" applyAlignment="1" pivotButton="0" quotePrefix="0" xfId="0">
      <alignment horizontal="left"/>
    </xf>
    <xf numFmtId="2" fontId="9" fillId="6" borderId="8" applyAlignment="1" pivotButton="0" quotePrefix="0" xfId="0">
      <alignment horizontal="left"/>
    </xf>
    <xf numFmtId="2" fontId="9" fillId="6" borderId="3" applyAlignment="1" pivotButton="0" quotePrefix="0" xfId="0">
      <alignment horizontal="left"/>
    </xf>
    <xf numFmtId="0" fontId="0" fillId="6" borderId="7" applyAlignment="1" pivotButton="0" quotePrefix="0" xfId="0">
      <alignment horizontal="left"/>
    </xf>
    <xf numFmtId="0" fontId="0" fillId="6" borderId="11" applyAlignment="1" pivotButton="0" quotePrefix="0" xfId="0">
      <alignment horizontal="left"/>
    </xf>
    <xf numFmtId="0" fontId="0" fillId="6" borderId="1" applyAlignment="1" pivotButton="0" quotePrefix="0" xfId="0">
      <alignment horizontal="left"/>
    </xf>
    <xf numFmtId="0" fontId="0" fillId="6" borderId="2" applyAlignment="1" pivotButton="0" quotePrefix="0" xfId="0">
      <alignment horizontal="left"/>
    </xf>
    <xf numFmtId="0" fontId="0" fillId="6" borderId="0" applyAlignment="1" pivotButton="0" quotePrefix="0" xfId="0">
      <alignment horizontal="left"/>
    </xf>
    <xf numFmtId="0" fontId="0" fillId="6" borderId="3" applyAlignment="1" pivotButton="0" quotePrefix="0" xfId="0">
      <alignment horizontal="left"/>
    </xf>
    <xf numFmtId="0" fontId="0" fillId="6" borderId="4" applyAlignment="1" pivotButton="0" quotePrefix="0" xfId="0">
      <alignment horizontal="left"/>
    </xf>
    <xf numFmtId="2" fontId="0" fillId="6" borderId="3" applyAlignment="1" pivotButton="0" quotePrefix="0" xfId="0">
      <alignment horizontal="left"/>
    </xf>
    <xf numFmtId="2" fontId="37" fillId="6" borderId="8" applyAlignment="1" pivotButton="0" quotePrefix="0" xfId="0">
      <alignment horizontal="left"/>
    </xf>
    <xf numFmtId="2" fontId="0" fillId="6" borderId="6" applyAlignment="1" pivotButton="0" quotePrefix="0" xfId="0">
      <alignment horizontal="left"/>
    </xf>
    <xf numFmtId="2" fontId="0" fillId="6" borderId="9" applyAlignment="1" pivotButton="0" quotePrefix="0" xfId="0">
      <alignment horizontal="left"/>
    </xf>
    <xf numFmtId="2" fontId="9" fillId="6" borderId="9" applyAlignment="1" pivotButton="0" quotePrefix="0" xfId="0">
      <alignment horizontal="left"/>
    </xf>
    <xf numFmtId="0" fontId="0" fillId="6" borderId="9" applyAlignment="1" pivotButton="0" quotePrefix="0" xfId="0">
      <alignment horizontal="left"/>
    </xf>
    <xf numFmtId="0" fontId="0" fillId="6" borderId="21" applyAlignment="1" pivotButton="0" quotePrefix="0" xfId="0">
      <alignment horizontal="left"/>
    </xf>
    <xf numFmtId="0" fontId="0" fillId="6" borderId="6" applyAlignment="1" pivotButton="0" quotePrefix="0" xfId="0">
      <alignment horizontal="left"/>
    </xf>
    <xf numFmtId="2" fontId="9" fillId="6" borderId="7" applyAlignment="1" pivotButton="0" quotePrefix="0" xfId="0">
      <alignment horizontal="left"/>
    </xf>
    <xf numFmtId="2" fontId="0" fillId="6" borderId="7" applyAlignment="1" pivotButton="0" quotePrefix="0" xfId="0">
      <alignment horizontal="left"/>
    </xf>
    <xf numFmtId="2" fontId="0" fillId="6" borderId="1" applyAlignment="1" pivotButton="0" quotePrefix="0" xfId="0">
      <alignment horizontal="left"/>
    </xf>
    <xf numFmtId="2" fontId="0" fillId="6" borderId="2" applyAlignment="1" pivotButton="0" quotePrefix="0" xfId="0">
      <alignment horizontal="left"/>
    </xf>
    <xf numFmtId="2" fontId="9" fillId="6" borderId="11" applyAlignment="1" pivotButton="0" quotePrefix="0" xfId="0">
      <alignment horizontal="left"/>
    </xf>
    <xf numFmtId="2" fontId="9" fillId="6" borderId="0" applyAlignment="1" pivotButton="0" quotePrefix="0" xfId="0">
      <alignment horizontal="left"/>
    </xf>
    <xf numFmtId="2" fontId="0" fillId="6" borderId="0" applyAlignment="1" pivotButton="0" quotePrefix="0" xfId="0">
      <alignment horizontal="left"/>
    </xf>
    <xf numFmtId="2" fontId="9" fillId="6" borderId="4" applyAlignment="1" pivotButton="0" quotePrefix="0" xfId="0">
      <alignment horizontal="left"/>
    </xf>
    <xf numFmtId="2" fontId="9" fillId="6" borderId="1" applyAlignment="1" pivotButton="0" quotePrefix="0" xfId="0">
      <alignment horizontal="left"/>
    </xf>
    <xf numFmtId="2" fontId="0" fillId="6" borderId="11" applyAlignment="1" pivotButton="0" quotePrefix="0" xfId="0">
      <alignment horizontal="left"/>
    </xf>
    <xf numFmtId="2" fontId="9" fillId="6" borderId="5" applyAlignment="1" pivotButton="0" quotePrefix="0" xfId="0">
      <alignment horizontal="left"/>
    </xf>
    <xf numFmtId="2" fontId="9" fillId="6" borderId="21" applyAlignment="1" pivotButton="0" quotePrefix="0" xfId="0">
      <alignment horizontal="left"/>
    </xf>
    <xf numFmtId="0" fontId="9" fillId="12" borderId="2" applyAlignment="1" pivotButton="0" quotePrefix="0" xfId="0">
      <alignment horizontal="left"/>
    </xf>
    <xf numFmtId="0" fontId="9" fillId="12" borderId="1" applyAlignment="1" pivotButton="0" quotePrefix="0" xfId="0">
      <alignment horizontal="left"/>
    </xf>
    <xf numFmtId="2" fontId="9" fillId="12" borderId="7" applyAlignment="1" pivotButton="0" quotePrefix="0" xfId="0">
      <alignment horizontal="left"/>
    </xf>
    <xf numFmtId="2" fontId="9" fillId="12" borderId="2" applyAlignment="1" pivotButton="0" quotePrefix="0" xfId="0">
      <alignment horizontal="left"/>
    </xf>
    <xf numFmtId="0" fontId="9" fillId="12" borderId="11" applyAlignment="1" pivotButton="0" quotePrefix="0" xfId="0">
      <alignment horizontal="left"/>
    </xf>
    <xf numFmtId="0" fontId="9" fillId="12" borderId="7" applyAlignment="1" pivotButton="0" quotePrefix="0" xfId="0">
      <alignment horizontal="left"/>
    </xf>
    <xf numFmtId="0" fontId="9" fillId="12" borderId="4" applyAlignment="1" pivotButton="0" quotePrefix="0" xfId="0">
      <alignment horizontal="left"/>
    </xf>
    <xf numFmtId="0" fontId="9" fillId="12" borderId="3" applyAlignment="1" pivotButton="0" quotePrefix="0" xfId="0">
      <alignment horizontal="left"/>
    </xf>
    <xf numFmtId="2" fontId="9" fillId="12" borderId="8" applyAlignment="1" pivotButton="0" quotePrefix="0" xfId="0">
      <alignment horizontal="left"/>
    </xf>
    <xf numFmtId="2" fontId="9" fillId="12" borderId="4" applyAlignment="1" pivotButton="0" quotePrefix="0" xfId="0">
      <alignment horizontal="left"/>
    </xf>
    <xf numFmtId="0" fontId="9" fillId="12" borderId="0" applyAlignment="1" pivotButton="0" quotePrefix="0" xfId="0">
      <alignment horizontal="left"/>
    </xf>
    <xf numFmtId="0" fontId="9" fillId="12" borderId="8" applyAlignment="1" pivotButton="0" quotePrefix="0" xfId="0">
      <alignment horizontal="left"/>
    </xf>
    <xf numFmtId="0" fontId="9" fillId="12" borderId="6" applyAlignment="1" pivotButton="0" quotePrefix="0" xfId="0">
      <alignment horizontal="left"/>
    </xf>
    <xf numFmtId="0" fontId="9" fillId="12" borderId="5" applyAlignment="1" pivotButton="0" quotePrefix="0" xfId="0">
      <alignment horizontal="left"/>
    </xf>
    <xf numFmtId="2" fontId="9" fillId="12" borderId="9" applyAlignment="1" pivotButton="0" quotePrefix="0" xfId="0">
      <alignment horizontal="left"/>
    </xf>
    <xf numFmtId="2" fontId="9" fillId="12" borderId="6" applyAlignment="1" pivotButton="0" quotePrefix="0" xfId="0">
      <alignment horizontal="left"/>
    </xf>
    <xf numFmtId="0" fontId="9" fillId="12" borderId="21" applyAlignment="1" pivotButton="0" quotePrefix="0" xfId="0">
      <alignment horizontal="left"/>
    </xf>
    <xf numFmtId="0" fontId="9" fillId="12" borderId="9" applyAlignment="1" pivotButton="0" quotePrefix="0" xfId="0">
      <alignment horizontal="left"/>
    </xf>
    <xf numFmtId="2" fontId="9" fillId="6" borderId="2" applyAlignment="1" pivotButton="0" quotePrefix="0" xfId="0">
      <alignment horizontal="left"/>
    </xf>
    <xf numFmtId="2" fontId="9" fillId="6" borderId="6" applyAlignment="1" pivotButton="0" quotePrefix="0" xfId="0">
      <alignment horizontal="left"/>
    </xf>
    <xf numFmtId="0" fontId="9" fillId="6" borderId="7" applyAlignment="1" pivotButton="0" quotePrefix="0" xfId="0">
      <alignment horizontal="left"/>
    </xf>
    <xf numFmtId="0" fontId="9" fillId="6" borderId="8" applyAlignment="1" pivotButton="0" quotePrefix="0" xfId="0">
      <alignment horizontal="left"/>
    </xf>
    <xf numFmtId="2" fontId="0" fillId="6" borderId="5" applyAlignment="1" pivotButton="0" quotePrefix="0" xfId="0">
      <alignment horizontal="left"/>
    </xf>
    <xf numFmtId="0" fontId="9" fillId="6" borderId="9" applyAlignment="1" pivotButton="0" quotePrefix="0" xfId="0">
      <alignment horizontal="left"/>
    </xf>
    <xf numFmtId="0" fontId="9" fillId="6" borderId="2" applyAlignment="1" pivotButton="0" quotePrefix="0" xfId="0">
      <alignment horizontal="left"/>
    </xf>
    <xf numFmtId="0" fontId="9" fillId="6" borderId="4" applyAlignment="1" pivotButton="0" quotePrefix="0" xfId="0">
      <alignment horizontal="left"/>
    </xf>
    <xf numFmtId="0" fontId="9" fillId="6" borderId="6" applyAlignment="1" pivotButton="0" quotePrefix="0" xfId="0">
      <alignment horizontal="left"/>
    </xf>
    <xf numFmtId="0" fontId="97" fillId="11" borderId="2" pivotButton="0" quotePrefix="0" xfId="0"/>
    <xf numFmtId="0" fontId="97" fillId="11" borderId="7" pivotButton="0" quotePrefix="0" xfId="0"/>
    <xf numFmtId="0" fontId="97" fillId="11" borderId="4" pivotButton="0" quotePrefix="0" xfId="0"/>
    <xf numFmtId="0" fontId="97" fillId="11" borderId="8" pivotButton="0" quotePrefix="0" xfId="0"/>
    <xf numFmtId="2" fontId="97" fillId="11" borderId="8" pivotButton="0" quotePrefix="0" xfId="0"/>
    <xf numFmtId="0" fontId="97" fillId="11" borderId="8" applyAlignment="1" pivotButton="0" quotePrefix="0" xfId="0">
      <alignment horizontal="left"/>
    </xf>
    <xf numFmtId="0" fontId="10" fillId="0" borderId="7" applyAlignment="1" pivotButton="0" quotePrefix="0" xfId="0">
      <alignment horizontal="center"/>
    </xf>
    <xf numFmtId="0" fontId="10" fillId="0" borderId="9" applyAlignment="1" pivotButton="0" quotePrefix="0" xfId="0">
      <alignment horizontal="center"/>
    </xf>
    <xf numFmtId="0" fontId="37" fillId="0" borderId="10" pivotButton="0" quotePrefix="0" xfId="0"/>
    <xf numFmtId="0" fontId="89" fillId="11" borderId="7" applyAlignment="1" pivotButton="0" quotePrefix="0" xfId="0">
      <alignment horizontal="center"/>
    </xf>
    <xf numFmtId="0" fontId="0" fillId="6" borderId="10" pivotButton="0" quotePrefix="0" xfId="0"/>
    <xf numFmtId="0" fontId="50" fillId="12" borderId="13" pivotButton="0" quotePrefix="0" xfId="0"/>
    <xf numFmtId="0" fontId="94" fillId="6" borderId="3" pivotButton="0" quotePrefix="0" xfId="0"/>
    <xf numFmtId="0" fontId="4" fillId="6" borderId="21" applyAlignment="1" pivotButton="0" quotePrefix="0" xfId="0">
      <alignment horizontal="center"/>
    </xf>
    <xf numFmtId="0" fontId="0" fillId="2" borderId="14" pivotButton="0" quotePrefix="0" xfId="0"/>
    <xf numFmtId="0" fontId="32" fillId="2" borderId="10" pivotButton="0" quotePrefix="0" xfId="0"/>
    <xf numFmtId="0" fontId="32" fillId="2" borderId="13" pivotButton="0" quotePrefix="0" xfId="0"/>
    <xf numFmtId="0" fontId="28" fillId="2" borderId="9" pivotButton="0" quotePrefix="0" xfId="0"/>
    <xf numFmtId="0" fontId="28" fillId="2" borderId="10" applyAlignment="1" pivotButton="0" quotePrefix="0" xfId="0">
      <alignment horizontal="center"/>
    </xf>
    <xf numFmtId="0" fontId="28" fillId="6" borderId="8" pivotButton="0" quotePrefix="0" xfId="0"/>
    <xf numFmtId="0" fontId="50" fillId="6" borderId="7" applyAlignment="1" pivotButton="0" quotePrefix="0" xfId="0">
      <alignment horizontal="center"/>
    </xf>
    <xf numFmtId="0" fontId="7" fillId="10" borderId="1" pivotButton="0" quotePrefix="0" xfId="0"/>
    <xf numFmtId="164" fontId="9" fillId="6" borderId="8" applyAlignment="1" pivotButton="0" quotePrefix="0" xfId="0">
      <alignment horizontal="center"/>
    </xf>
    <xf numFmtId="164" fontId="9" fillId="6" borderId="3" applyAlignment="1" pivotButton="0" quotePrefix="0" xfId="0">
      <alignment horizontal="center"/>
    </xf>
    <xf numFmtId="164" fontId="9" fillId="6" borderId="7" applyAlignment="1" pivotButton="0" quotePrefix="0" xfId="0">
      <alignment horizontal="center"/>
    </xf>
    <xf numFmtId="1" fontId="0" fillId="5" borderId="2" pivotButton="0" quotePrefix="0" xfId="0"/>
    <xf numFmtId="1" fontId="0" fillId="5" borderId="4" pivotButton="0" quotePrefix="0" xfId="0"/>
    <xf numFmtId="164" fontId="0" fillId="9" borderId="3" applyAlignment="1" pivotButton="0" quotePrefix="0" xfId="0">
      <alignment horizontal="center"/>
    </xf>
    <xf numFmtId="164" fontId="0" fillId="9" borderId="8" applyAlignment="1" pivotButton="0" quotePrefix="0" xfId="0">
      <alignment horizontal="center"/>
    </xf>
    <xf numFmtId="0" fontId="0" fillId="9" borderId="4" applyAlignment="1" pivotButton="0" quotePrefix="0" xfId="0">
      <alignment horizontal="center"/>
    </xf>
    <xf numFmtId="164" fontId="0" fillId="6" borderId="4" applyAlignment="1" pivotButton="0" quotePrefix="0" xfId="0">
      <alignment horizontal="center"/>
    </xf>
    <xf numFmtId="164" fontId="0" fillId="9" borderId="4" applyAlignment="1" pivotButton="0" quotePrefix="0" xfId="0">
      <alignment horizontal="center"/>
    </xf>
    <xf numFmtId="0" fontId="37" fillId="6" borderId="6" applyAlignment="1" pivotButton="0" quotePrefix="0" xfId="0">
      <alignment horizontal="center"/>
    </xf>
    <xf numFmtId="0" fontId="37" fillId="6" borderId="9" applyAlignment="1" pivotButton="0" quotePrefix="0" xfId="0">
      <alignment horizontal="center"/>
    </xf>
    <xf numFmtId="1" fontId="4" fillId="6" borderId="5" pivotButton="0" quotePrefix="0" xfId="0"/>
    <xf numFmtId="0" fontId="89" fillId="11" borderId="10" applyAlignment="1" pivotButton="0" quotePrefix="0" xfId="0">
      <alignment horizontal="center"/>
    </xf>
    <xf numFmtId="2" fontId="89" fillId="11" borderId="8" applyAlignment="1" pivotButton="0" quotePrefix="0" xfId="0">
      <alignment horizontal="center"/>
    </xf>
    <xf numFmtId="164" fontId="89" fillId="11" borderId="1" applyAlignment="1" pivotButton="0" quotePrefix="0" xfId="0">
      <alignment horizontal="center"/>
    </xf>
    <xf numFmtId="164" fontId="89" fillId="11" borderId="3" applyAlignment="1" pivotButton="0" quotePrefix="0" xfId="0">
      <alignment horizontal="center"/>
    </xf>
    <xf numFmtId="164" fontId="89" fillId="11" borderId="5" applyAlignment="1" pivotButton="0" quotePrefix="0" xfId="0">
      <alignment horizontal="center"/>
    </xf>
    <xf numFmtId="0" fontId="0" fillId="12" borderId="0" applyAlignment="1" pivotButton="0" quotePrefix="0" xfId="0">
      <alignment vertical="center"/>
    </xf>
    <xf numFmtId="0" fontId="3" fillId="12" borderId="0" pivotButton="0" quotePrefix="0" xfId="0"/>
    <xf numFmtId="0" fontId="37" fillId="6" borderId="8" applyAlignment="1" pivotButton="0" quotePrefix="0" xfId="0">
      <alignment horizontal="left"/>
    </xf>
    <xf numFmtId="164" fontId="37" fillId="6" borderId="23" pivotButton="0" quotePrefix="0" xfId="0"/>
    <xf numFmtId="0" fontId="22" fillId="6" borderId="8" applyAlignment="1" pivotButton="0" quotePrefix="0" xfId="0">
      <alignment horizontal="left"/>
    </xf>
    <xf numFmtId="0" fontId="22" fillId="6" borderId="0" applyAlignment="1" pivotButton="0" quotePrefix="0" xfId="0">
      <alignment horizontal="left"/>
    </xf>
    <xf numFmtId="0" fontId="22" fillId="6" borderId="8" pivotButton="0" quotePrefix="0" xfId="0"/>
    <xf numFmtId="0" fontId="37" fillId="6" borderId="33" applyAlignment="1" pivotButton="0" quotePrefix="0" xfId="0">
      <alignment horizontal="left"/>
    </xf>
    <xf numFmtId="164" fontId="37" fillId="6" borderId="24" pivotButton="0" quotePrefix="0" xfId="0"/>
    <xf numFmtId="0" fontId="4" fillId="6" borderId="8" applyAlignment="1" pivotButton="0" quotePrefix="0" xfId="0">
      <alignment horizontal="left"/>
    </xf>
    <xf numFmtId="0" fontId="3" fillId="2" borderId="1" pivotButton="0" quotePrefix="0" xfId="0"/>
    <xf numFmtId="0" fontId="37" fillId="6" borderId="9" applyAlignment="1" pivotButton="0" quotePrefix="0" xfId="0">
      <alignment horizontal="left"/>
    </xf>
    <xf numFmtId="0" fontId="0" fillId="2" borderId="8" pivotButton="0" quotePrefix="0" xfId="0"/>
    <xf numFmtId="0" fontId="0" fillId="22" borderId="0" applyAlignment="1" pivotButton="0" quotePrefix="0" xfId="0">
      <alignment horizontal="left"/>
    </xf>
    <xf numFmtId="0" fontId="0" fillId="2" borderId="7" pivotButton="0" quotePrefix="0" xfId="0"/>
    <xf numFmtId="0" fontId="7" fillId="0" borderId="11" pivotButton="0" quotePrefix="0" xfId="0"/>
    <xf numFmtId="0" fontId="0" fillId="2" borderId="9" pivotButton="0" quotePrefix="0" xfId="0"/>
    <xf numFmtId="0" fontId="0" fillId="2" borderId="3" applyAlignment="1" pivotButton="0" quotePrefix="0" xfId="0">
      <alignment horizontal="center"/>
    </xf>
    <xf numFmtId="0" fontId="0" fillId="2" borderId="1" applyAlignment="1" pivotButton="0" quotePrefix="0" xfId="0">
      <alignment horizontal="center"/>
    </xf>
    <xf numFmtId="0" fontId="0" fillId="2" borderId="5" applyAlignment="1" pivotButton="0" quotePrefix="0" xfId="0">
      <alignment horizontal="center"/>
    </xf>
    <xf numFmtId="3" fontId="0" fillId="22" borderId="0" pivotButton="0" quotePrefix="0" xfId="0"/>
    <xf numFmtId="0" fontId="0" fillId="22" borderId="0" applyAlignment="1" pivotButton="0" quotePrefix="0" xfId="0">
      <alignment horizontal="center"/>
    </xf>
    <xf numFmtId="164" fontId="0" fillId="22" borderId="0" applyAlignment="1" pivotButton="0" quotePrefix="0" xfId="0">
      <alignment horizontal="left"/>
    </xf>
    <xf numFmtId="0" fontId="0" fillId="21" borderId="14" pivotButton="0" quotePrefix="0" xfId="0"/>
    <xf numFmtId="0" fontId="0" fillId="2" borderId="1" applyAlignment="1" pivotButton="0" quotePrefix="0" xfId="0">
      <alignment horizontal="left"/>
    </xf>
    <xf numFmtId="0" fontId="10" fillId="25" borderId="8" pivotButton="0" quotePrefix="0" xfId="0"/>
    <xf numFmtId="0" fontId="10" fillId="25" borderId="8" applyAlignment="1" pivotButton="0" quotePrefix="0" xfId="0">
      <alignment horizontal="left"/>
    </xf>
    <xf numFmtId="0" fontId="10" fillId="25" borderId="4" pivotButton="0" quotePrefix="0" xfId="0"/>
    <xf numFmtId="0" fontId="7" fillId="0" borderId="1" pivotButton="0" quotePrefix="0" xfId="0"/>
    <xf numFmtId="0" fontId="3" fillId="0" borderId="11" pivotButton="0" quotePrefix="0" xfId="0"/>
    <xf numFmtId="0" fontId="4" fillId="0" borderId="7" applyAlignment="1" pivotButton="0" quotePrefix="0" xfId="0">
      <alignment horizontal="center"/>
    </xf>
    <xf numFmtId="0" fontId="4" fillId="0" borderId="9" applyAlignment="1" pivotButton="0" quotePrefix="0" xfId="0">
      <alignment horizontal="center"/>
    </xf>
    <xf numFmtId="0" fontId="7" fillId="0" borderId="21" pivotButton="0" quotePrefix="0" xfId="0"/>
    <xf numFmtId="0" fontId="3" fillId="0" borderId="2" pivotButton="0" quotePrefix="0" xfId="0"/>
    <xf numFmtId="0" fontId="50" fillId="0" borderId="6" pivotButton="0" quotePrefix="0" xfId="0"/>
    <xf numFmtId="0" fontId="10" fillId="12" borderId="8" pivotButton="0" quotePrefix="0" xfId="0"/>
    <xf numFmtId="0" fontId="10" fillId="12" borderId="8" applyAlignment="1" pivotButton="0" quotePrefix="0" xfId="0">
      <alignment horizontal="center"/>
    </xf>
    <xf numFmtId="0" fontId="10" fillId="12" borderId="10" applyAlignment="1" pivotButton="0" quotePrefix="0" xfId="0">
      <alignment horizontal="center"/>
    </xf>
    <xf numFmtId="0" fontId="10" fillId="12" borderId="7" applyAlignment="1" pivotButton="0" quotePrefix="0" xfId="0">
      <alignment horizontal="center"/>
    </xf>
    <xf numFmtId="0" fontId="67" fillId="11" borderId="0" applyAlignment="1" pivotButton="0" quotePrefix="0" xfId="0">
      <alignment horizontal="left"/>
    </xf>
    <xf numFmtId="0" fontId="22" fillId="25" borderId="0" applyAlignment="1" pivotButton="0" quotePrefix="0" xfId="0">
      <alignment horizontal="left"/>
    </xf>
    <xf numFmtId="0" fontId="10" fillId="2" borderId="7" applyAlignment="1" pivotButton="0" quotePrefix="0" xfId="0">
      <alignment horizontal="left"/>
    </xf>
    <xf numFmtId="0" fontId="10" fillId="2" borderId="8" applyAlignment="1" pivotButton="0" quotePrefix="0" xfId="0">
      <alignment horizontal="left"/>
    </xf>
    <xf numFmtId="0" fontId="10" fillId="2" borderId="9" applyAlignment="1" pivotButton="0" quotePrefix="0" xfId="0">
      <alignment horizontal="left"/>
    </xf>
    <xf numFmtId="0" fontId="10" fillId="2" borderId="4" pivotButton="0" quotePrefix="0" xfId="0"/>
    <xf numFmtId="0" fontId="10" fillId="2" borderId="6" pivotButton="0" quotePrefix="0" xfId="0"/>
    <xf numFmtId="166" fontId="10" fillId="2" borderId="7" applyAlignment="1" pivotButton="0" quotePrefix="0" xfId="0">
      <alignment horizontal="left"/>
    </xf>
    <xf numFmtId="0" fontId="10" fillId="2" borderId="1" applyAlignment="1" pivotButton="0" quotePrefix="0" xfId="0">
      <alignment horizontal="left"/>
    </xf>
    <xf numFmtId="0" fontId="0" fillId="2" borderId="7" applyAlignment="1" pivotButton="0" quotePrefix="0" xfId="0">
      <alignment horizontal="left" vertical="center" wrapText="1"/>
    </xf>
    <xf numFmtId="166" fontId="10" fillId="2" borderId="8" applyAlignment="1" pivotButton="0" quotePrefix="0" xfId="0">
      <alignment horizontal="left"/>
    </xf>
    <xf numFmtId="0" fontId="10" fillId="2" borderId="3" applyAlignment="1" pivotButton="0" quotePrefix="0" xfId="0">
      <alignment horizontal="left"/>
    </xf>
    <xf numFmtId="0" fontId="0" fillId="2" borderId="8" applyAlignment="1" pivotButton="0" quotePrefix="0" xfId="0">
      <alignment horizontal="left" vertical="center" wrapText="1"/>
    </xf>
    <xf numFmtId="166" fontId="10" fillId="2" borderId="9" applyAlignment="1" pivotButton="0" quotePrefix="0" xfId="0">
      <alignment horizontal="left"/>
    </xf>
    <xf numFmtId="0" fontId="10" fillId="2" borderId="5" applyAlignment="1" pivotButton="0" quotePrefix="0" xfId="0">
      <alignment horizontal="left"/>
    </xf>
    <xf numFmtId="0" fontId="0" fillId="2" borderId="9" applyAlignment="1" pivotButton="0" quotePrefix="0" xfId="0">
      <alignment horizontal="left" vertical="center" wrapText="1"/>
    </xf>
    <xf numFmtId="2" fontId="97" fillId="11" borderId="8" applyAlignment="1" pivotButton="0" quotePrefix="0" xfId="0">
      <alignment horizontal="left"/>
    </xf>
    <xf numFmtId="0" fontId="4" fillId="25" borderId="8" pivotButton="0" quotePrefix="0" xfId="0"/>
    <xf numFmtId="2" fontId="4" fillId="25" borderId="8" pivotButton="0" quotePrefix="0" xfId="0"/>
    <xf numFmtId="0" fontId="5" fillId="25" borderId="8" applyAlignment="1" pivotButton="0" quotePrefix="0" xfId="0">
      <alignment horizontal="center"/>
    </xf>
    <xf numFmtId="0" fontId="22" fillId="11" borderId="0" applyAlignment="1" pivotButton="0" quotePrefix="0" xfId="0">
      <alignment horizontal="left"/>
    </xf>
    <xf numFmtId="0" fontId="4" fillId="11" borderId="7" applyAlignment="1" pivotButton="0" quotePrefix="0" xfId="0">
      <alignment horizontal="center"/>
    </xf>
    <xf numFmtId="0" fontId="4" fillId="11" borderId="4" applyAlignment="1" pivotButton="0" quotePrefix="0" xfId="0">
      <alignment horizontal="center"/>
    </xf>
    <xf numFmtId="0" fontId="5" fillId="11" borderId="8" pivotButton="0" quotePrefix="0" xfId="0"/>
    <xf numFmtId="2" fontId="5" fillId="11" borderId="8" pivotButton="0" quotePrefix="0" xfId="0"/>
    <xf numFmtId="0" fontId="5" fillId="11" borderId="8" applyAlignment="1" pivotButton="0" quotePrefix="0" xfId="0">
      <alignment horizontal="center"/>
    </xf>
    <xf numFmtId="0" fontId="4" fillId="25" borderId="10" applyAlignment="1" pivotButton="0" quotePrefix="0" xfId="0">
      <alignment horizontal="center"/>
    </xf>
    <xf numFmtId="0" fontId="4" fillId="25" borderId="8" applyAlignment="1" pivotButton="0" quotePrefix="0" xfId="0">
      <alignment horizontal="center"/>
    </xf>
    <xf numFmtId="0" fontId="4" fillId="2" borderId="8" applyAlignment="1" pivotButton="0" quotePrefix="0" xfId="0">
      <alignment horizontal="left"/>
    </xf>
    <xf numFmtId="0" fontId="9" fillId="6" borderId="1" applyAlignment="1" pivotButton="0" quotePrefix="0" xfId="0">
      <alignment horizontal="left"/>
    </xf>
    <xf numFmtId="0" fontId="9" fillId="6" borderId="3" applyAlignment="1" pivotButton="0" quotePrefix="0" xfId="0">
      <alignment horizontal="left"/>
    </xf>
    <xf numFmtId="0" fontId="9" fillId="6" borderId="5" applyAlignment="1" pivotButton="0" quotePrefix="0" xfId="0">
      <alignment horizontal="left"/>
    </xf>
    <xf numFmtId="0" fontId="37" fillId="6" borderId="10" applyAlignment="1" pivotButton="0" quotePrefix="0" xfId="0">
      <alignment horizontal="center"/>
    </xf>
    <xf numFmtId="0" fontId="28" fillId="10" borderId="9" applyAlignment="1" pivotButton="0" quotePrefix="0" xfId="0">
      <alignment horizontal="center"/>
    </xf>
    <xf numFmtId="0" fontId="3" fillId="6" borderId="1" pivotButton="0" quotePrefix="0" xfId="0"/>
    <xf numFmtId="0" fontId="3" fillId="6" borderId="3" applyAlignment="1" pivotButton="0" quotePrefix="0" xfId="0">
      <alignment horizontal="left"/>
    </xf>
    <xf numFmtId="0" fontId="28" fillId="10" borderId="13" applyAlignment="1" pivotButton="0" quotePrefix="0" xfId="0">
      <alignment horizontal="left"/>
    </xf>
    <xf numFmtId="0" fontId="28" fillId="10" borderId="6" applyAlignment="1" pivotButton="0" quotePrefix="0" xfId="0">
      <alignment horizontal="center"/>
    </xf>
    <xf numFmtId="0" fontId="37" fillId="22" borderId="0" applyAlignment="1" pivotButton="0" quotePrefix="0" xfId="0">
      <alignment horizontal="left"/>
    </xf>
    <xf numFmtId="0" fontId="4" fillId="2" borderId="7" applyAlignment="1" pivotButton="0" quotePrefix="0" xfId="0">
      <alignment horizontal="left"/>
    </xf>
    <xf numFmtId="0" fontId="62" fillId="2" borderId="14" pivotButton="0" quotePrefix="0" xfId="0"/>
    <xf numFmtId="0" fontId="37" fillId="11" borderId="8" pivotButton="0" quotePrefix="0" xfId="0"/>
    <xf numFmtId="0" fontId="99" fillId="11" borderId="7" pivotButton="0" quotePrefix="0" xfId="0"/>
    <xf numFmtId="0" fontId="0" fillId="21" borderId="13" pivotButton="0" quotePrefix="0" xfId="0"/>
    <xf numFmtId="0" fontId="3" fillId="21" borderId="12" pivotButton="0" quotePrefix="0" xfId="0"/>
    <xf numFmtId="0" fontId="0" fillId="21" borderId="8" pivotButton="0" quotePrefix="0" xfId="0"/>
    <xf numFmtId="0" fontId="0" fillId="21" borderId="9" pivotButton="0" quotePrefix="0" xfId="0"/>
    <xf numFmtId="0" fontId="37" fillId="21" borderId="8" pivotButton="0" quotePrefix="0" xfId="0"/>
    <xf numFmtId="0" fontId="7" fillId="10" borderId="13" applyAlignment="1" pivotButton="0" quotePrefix="0" xfId="0">
      <alignment horizontal="center"/>
    </xf>
    <xf numFmtId="164" fontId="0" fillId="11" borderId="0" applyAlignment="1" pivotButton="0" quotePrefix="0" xfId="0">
      <alignment horizontal="center"/>
    </xf>
    <xf numFmtId="164" fontId="0" fillId="11" borderId="1" applyAlignment="1" pivotButton="0" quotePrefix="0" xfId="0">
      <alignment horizontal="center"/>
    </xf>
    <xf numFmtId="164" fontId="0" fillId="11" borderId="3" applyAlignment="1" pivotButton="0" quotePrefix="0" xfId="0">
      <alignment horizontal="center"/>
    </xf>
    <xf numFmtId="164" fontId="0" fillId="11" borderId="5" applyAlignment="1" pivotButton="0" quotePrefix="0" xfId="0">
      <alignment horizontal="center"/>
    </xf>
    <xf numFmtId="0" fontId="7" fillId="10" borderId="12" pivotButton="0" quotePrefix="0" xfId="0"/>
    <xf numFmtId="0" fontId="32" fillId="10" borderId="6" applyAlignment="1" pivotButton="0" quotePrefix="0" xfId="0">
      <alignment horizontal="center"/>
    </xf>
    <xf numFmtId="2" fontId="0" fillId="12" borderId="7" applyAlignment="1" pivotButton="0" quotePrefix="0" xfId="0">
      <alignment horizontal="left"/>
    </xf>
    <xf numFmtId="164" fontId="0" fillId="6" borderId="7" applyAlignment="1" pivotButton="0" quotePrefix="0" xfId="0">
      <alignment horizontal="left"/>
    </xf>
    <xf numFmtId="164" fontId="0" fillId="11" borderId="0" applyAlignment="1" pivotButton="0" quotePrefix="0" xfId="0">
      <alignment horizontal="left"/>
    </xf>
    <xf numFmtId="2" fontId="0" fillId="12" borderId="8" applyAlignment="1" pivotButton="0" quotePrefix="0" xfId="0">
      <alignment horizontal="left"/>
    </xf>
    <xf numFmtId="164" fontId="0" fillId="6" borderId="8" applyAlignment="1" pivotButton="0" quotePrefix="0" xfId="0">
      <alignment horizontal="left"/>
    </xf>
    <xf numFmtId="2" fontId="0" fillId="12" borderId="9" applyAlignment="1" pivotButton="0" quotePrefix="0" xfId="0">
      <alignment horizontal="left"/>
    </xf>
    <xf numFmtId="164" fontId="0" fillId="6" borderId="9" applyAlignment="1" pivotButton="0" quotePrefix="0" xfId="0">
      <alignment horizontal="left"/>
    </xf>
    <xf numFmtId="164" fontId="0" fillId="11" borderId="11" applyAlignment="1" pivotButton="0" quotePrefix="0" xfId="0">
      <alignment horizontal="left"/>
    </xf>
    <xf numFmtId="164" fontId="0" fillId="11" borderId="21" applyAlignment="1" pivotButton="0" quotePrefix="0" xfId="0">
      <alignment horizontal="left"/>
    </xf>
    <xf numFmtId="164" fontId="0" fillId="11" borderId="7" applyAlignment="1" pivotButton="0" quotePrefix="0" xfId="0">
      <alignment horizontal="left"/>
    </xf>
    <xf numFmtId="164" fontId="0" fillId="11" borderId="8" applyAlignment="1" pivotButton="0" quotePrefix="0" xfId="0">
      <alignment horizontal="left"/>
    </xf>
    <xf numFmtId="164" fontId="0" fillId="11" borderId="9" applyAlignment="1" pivotButton="0" quotePrefix="0" xfId="0">
      <alignment horizontal="left"/>
    </xf>
    <xf numFmtId="164" fontId="0" fillId="11" borderId="1" applyAlignment="1" pivotButton="0" quotePrefix="0" xfId="0">
      <alignment horizontal="left"/>
    </xf>
    <xf numFmtId="164" fontId="0" fillId="11" borderId="3" applyAlignment="1" pivotButton="0" quotePrefix="0" xfId="0">
      <alignment horizontal="left"/>
    </xf>
    <xf numFmtId="164" fontId="0" fillId="11" borderId="5" applyAlignment="1" pivotButton="0" quotePrefix="0" xfId="0">
      <alignment horizontal="left"/>
    </xf>
    <xf numFmtId="0" fontId="106" fillId="10" borderId="12" pivotButton="0" quotePrefix="0" xfId="0"/>
    <xf numFmtId="0" fontId="107" fillId="10" borderId="9" pivotButton="0" quotePrefix="0" xfId="0"/>
    <xf numFmtId="0" fontId="7" fillId="10" borderId="12" applyAlignment="1" pivotButton="0" quotePrefix="0" xfId="0">
      <alignment horizontal="left"/>
    </xf>
    <xf numFmtId="0" fontId="0" fillId="0" borderId="14" pivotButton="0" quotePrefix="0" xfId="0"/>
    <xf numFmtId="0" fontId="89" fillId="11" borderId="10" applyAlignment="1" pivotButton="0" quotePrefix="0" xfId="0">
      <alignment horizontal="left"/>
    </xf>
    <xf numFmtId="0" fontId="37" fillId="11" borderId="7" pivotButton="0" quotePrefix="0" xfId="0"/>
    <xf numFmtId="0" fontId="0" fillId="11" borderId="9" applyAlignment="1" pivotButton="0" quotePrefix="0" xfId="0">
      <alignment horizontal="left"/>
    </xf>
    <xf numFmtId="0" fontId="3" fillId="2" borderId="7" applyAlignment="1" pivotButton="0" quotePrefix="0" xfId="0">
      <alignment horizontal="center"/>
    </xf>
    <xf numFmtId="168" fontId="0" fillId="22" borderId="0" applyAlignment="1" pivotButton="0" quotePrefix="0" xfId="0">
      <alignment horizontal="left"/>
    </xf>
    <xf numFmtId="0" fontId="3" fillId="21" borderId="7" pivotButton="0" quotePrefix="0" xfId="0"/>
    <xf numFmtId="0" fontId="37" fillId="21" borderId="9" pivotButton="0" quotePrefix="0" xfId="0"/>
    <xf numFmtId="0" fontId="3" fillId="2" borderId="8" pivotButton="0" quotePrefix="0" xfId="0"/>
    <xf numFmtId="0" fontId="3" fillId="21" borderId="8" applyAlignment="1" pivotButton="0" quotePrefix="0" xfId="0">
      <alignment horizontal="center"/>
    </xf>
    <xf numFmtId="0" fontId="3" fillId="2" borderId="9" pivotButton="0" quotePrefix="0" xfId="0"/>
    <xf numFmtId="0" fontId="0" fillId="3" borderId="0" pivotButton="0" quotePrefix="0" xfId="0"/>
    <xf numFmtId="0" fontId="10" fillId="21" borderId="8" pivotButton="0" quotePrefix="0" xfId="0"/>
    <xf numFmtId="0" fontId="10" fillId="21" borderId="8" applyAlignment="1" pivotButton="0" quotePrefix="0" xfId="0">
      <alignment horizontal="center"/>
    </xf>
    <xf numFmtId="0" fontId="3" fillId="21" borderId="0" pivotButton="0" quotePrefix="0" xfId="0"/>
    <xf numFmtId="0" fontId="10" fillId="21" borderId="8" applyAlignment="1" pivotButton="0" quotePrefix="0" xfId="0">
      <alignment horizontal="left"/>
    </xf>
    <xf numFmtId="2" fontId="10" fillId="21" borderId="8" pivotButton="0" quotePrefix="0" xfId="0"/>
    <xf numFmtId="0" fontId="10" fillId="21" borderId="4" pivotButton="0" quotePrefix="0" xfId="0"/>
    <xf numFmtId="0" fontId="44" fillId="12" borderId="8" pivotButton="0" quotePrefix="0" xfId="0"/>
    <xf numFmtId="166" fontId="97" fillId="11" borderId="8" pivotButton="0" quotePrefix="0" xfId="0"/>
    <xf numFmtId="3" fontId="10" fillId="12" borderId="9" applyAlignment="1" pivotButton="0" quotePrefix="0" xfId="0">
      <alignment horizontal="center"/>
    </xf>
    <xf numFmtId="0" fontId="0" fillId="2" borderId="10" applyAlignment="1" pivotButton="0" quotePrefix="0" xfId="0">
      <alignment horizontal="left"/>
    </xf>
    <xf numFmtId="0" fontId="3" fillId="2" borderId="12" applyAlignment="1" pivotButton="0" quotePrefix="0" xfId="0">
      <alignment horizontal="center"/>
    </xf>
    <xf numFmtId="0" fontId="3" fillId="2" borderId="9" applyAlignment="1" pivotButton="0" quotePrefix="0" xfId="0">
      <alignment horizontal="center" vertical="center"/>
    </xf>
    <xf numFmtId="0" fontId="3" fillId="2" borderId="7" applyAlignment="1" pivotButton="0" quotePrefix="0" xfId="0">
      <alignment horizontal="center" vertical="center"/>
    </xf>
    <xf numFmtId="0" fontId="3" fillId="2" borderId="8" applyAlignment="1" pivotButton="0" quotePrefix="0" xfId="0">
      <alignment horizontal="center" vertical="center"/>
    </xf>
    <xf numFmtId="0" fontId="31" fillId="2" borderId="7" pivotButton="0" quotePrefix="0" xfId="0"/>
    <xf numFmtId="0" fontId="31" fillId="2" borderId="2" pivotButton="0" quotePrefix="0" xfId="0"/>
    <xf numFmtId="0" fontId="31" fillId="2" borderId="10" pivotButton="0" quotePrefix="0" xfId="0"/>
    <xf numFmtId="164" fontId="0" fillId="0" borderId="0" applyAlignment="1" pivotButton="0" quotePrefix="0" xfId="0">
      <alignment horizontal="left"/>
    </xf>
    <xf numFmtId="164" fontId="0" fillId="2" borderId="7" applyAlignment="1" pivotButton="0" quotePrefix="0" xfId="0">
      <alignment horizontal="left"/>
    </xf>
    <xf numFmtId="164" fontId="0" fillId="2" borderId="8" applyAlignment="1" pivotButton="0" quotePrefix="0" xfId="0">
      <alignment horizontal="left"/>
    </xf>
    <xf numFmtId="164" fontId="0" fillId="2" borderId="9" applyAlignment="1" pivotButton="0" quotePrefix="0" xfId="0">
      <alignment horizontal="left"/>
    </xf>
    <xf numFmtId="0" fontId="3" fillId="2" borderId="13" applyAlignment="1" pivotButton="0" quotePrefix="0" xfId="0">
      <alignment horizontal="center"/>
    </xf>
    <xf numFmtId="0" fontId="22" fillId="2" borderId="13" applyAlignment="1" pivotButton="0" quotePrefix="0" xfId="0">
      <alignment horizontal="center"/>
    </xf>
    <xf numFmtId="0" fontId="22" fillId="2" borderId="10" applyAlignment="1" pivotButton="0" quotePrefix="0" xfId="0">
      <alignment horizontal="center"/>
    </xf>
    <xf numFmtId="0" fontId="22" fillId="2" borderId="12" applyAlignment="1" pivotButton="0" quotePrefix="0" xfId="0">
      <alignment horizontal="center"/>
    </xf>
    <xf numFmtId="0" fontId="22" fillId="2" borderId="8" applyAlignment="1" pivotButton="0" quotePrefix="0" xfId="0">
      <alignment horizontal="center"/>
    </xf>
    <xf numFmtId="0" fontId="22" fillId="22" borderId="0" applyAlignment="1" pivotButton="0" quotePrefix="0" xfId="0">
      <alignment horizontal="center"/>
    </xf>
    <xf numFmtId="0" fontId="0" fillId="11" borderId="8" applyAlignment="1" pivotButton="0" quotePrefix="0" xfId="0">
      <alignment horizontal="left"/>
    </xf>
    <xf numFmtId="0" fontId="31" fillId="24" borderId="9" pivotButton="0" quotePrefix="0" xfId="0"/>
    <xf numFmtId="164" fontId="0" fillId="2" borderId="11" applyAlignment="1" pivotButton="0" quotePrefix="0" xfId="0">
      <alignment horizontal="center"/>
    </xf>
    <xf numFmtId="164" fontId="0" fillId="2" borderId="0" applyAlignment="1" pivotButton="0" quotePrefix="0" xfId="0">
      <alignment horizontal="center"/>
    </xf>
    <xf numFmtId="164" fontId="0" fillId="2" borderId="21" applyAlignment="1" pivotButton="0" quotePrefix="0" xfId="0">
      <alignment horizontal="center"/>
    </xf>
    <xf numFmtId="0" fontId="7" fillId="2" borderId="7" applyAlignment="1" pivotButton="0" quotePrefix="0" xfId="0">
      <alignment horizontal="center"/>
    </xf>
    <xf numFmtId="0" fontId="112" fillId="11" borderId="0" pivotButton="0" quotePrefix="0" xfId="0"/>
    <xf numFmtId="0" fontId="89" fillId="6" borderId="9" applyAlignment="1" pivotButton="0" quotePrefix="0" xfId="0">
      <alignment horizontal="center"/>
    </xf>
    <xf numFmtId="0" fontId="0" fillId="11" borderId="7" pivotButton="0" quotePrefix="0" xfId="0"/>
    <xf numFmtId="0" fontId="0" fillId="11" borderId="7" applyAlignment="1" pivotButton="0" quotePrefix="0" xfId="0">
      <alignment horizontal="center"/>
    </xf>
    <xf numFmtId="0" fontId="37" fillId="11" borderId="7" applyAlignment="1" pivotButton="0" quotePrefix="0" xfId="0">
      <alignment horizontal="left"/>
    </xf>
    <xf numFmtId="0" fontId="0" fillId="11" borderId="7" applyAlignment="1" pivotButton="0" quotePrefix="0" xfId="0">
      <alignment horizontal="left"/>
    </xf>
    <xf numFmtId="0" fontId="0" fillId="11" borderId="8" pivotButton="0" quotePrefix="0" xfId="0"/>
    <xf numFmtId="0" fontId="37" fillId="11" borderId="8" applyAlignment="1" pivotButton="0" quotePrefix="0" xfId="0">
      <alignment horizontal="left"/>
    </xf>
    <xf numFmtId="0" fontId="10" fillId="2" borderId="9" applyAlignment="1" pivotButton="0" quotePrefix="0" xfId="0">
      <alignment horizontal="center"/>
    </xf>
    <xf numFmtId="0" fontId="44" fillId="2" borderId="1" applyAlignment="1" pivotButton="0" quotePrefix="0" xfId="0">
      <alignment horizontal="left" indent="12"/>
    </xf>
    <xf numFmtId="0" fontId="40" fillId="2" borderId="3" applyAlignment="1" pivotButton="0" quotePrefix="0" xfId="0">
      <alignment horizontal="center"/>
    </xf>
    <xf numFmtId="0" fontId="10" fillId="2" borderId="5" applyAlignment="1" pivotButton="0" quotePrefix="0" xfId="0">
      <alignment horizontal="center"/>
    </xf>
    <xf numFmtId="0" fontId="44" fillId="2" borderId="3" applyAlignment="1" pivotButton="0" quotePrefix="0" xfId="0">
      <alignment horizontal="center"/>
    </xf>
    <xf numFmtId="0" fontId="44" fillId="2" borderId="3" pivotButton="0" quotePrefix="0" xfId="0"/>
    <xf numFmtId="0" fontId="44" fillId="2" borderId="11" applyAlignment="1" pivotButton="0" quotePrefix="0" xfId="0">
      <alignment horizontal="left" indent="12"/>
    </xf>
    <xf numFmtId="0" fontId="44" fillId="2" borderId="7" applyAlignment="1" pivotButton="0" quotePrefix="0" xfId="0">
      <alignment horizontal="center"/>
    </xf>
    <xf numFmtId="0" fontId="44" fillId="2" borderId="1" applyAlignment="1" pivotButton="0" quotePrefix="0" xfId="0">
      <alignment horizontal="center"/>
    </xf>
    <xf numFmtId="0" fontId="44" fillId="2" borderId="11" applyAlignment="1" pivotButton="0" quotePrefix="0" xfId="0">
      <alignment horizontal="left" indent="10"/>
    </xf>
    <xf numFmtId="0" fontId="10" fillId="2" borderId="2" applyAlignment="1" pivotButton="0" quotePrefix="0" xfId="0">
      <alignment horizontal="left" indent="10"/>
    </xf>
    <xf numFmtId="0" fontId="44" fillId="12" borderId="5" applyAlignment="1" pivotButton="0" quotePrefix="0" xfId="0">
      <alignment horizontal="left" indent="12"/>
    </xf>
    <xf numFmtId="0" fontId="44" fillId="12" borderId="21" applyAlignment="1" pivotButton="0" quotePrefix="0" xfId="0">
      <alignment horizontal="left" indent="10"/>
    </xf>
    <xf numFmtId="0" fontId="10" fillId="12" borderId="6" applyAlignment="1" pivotButton="0" quotePrefix="0" xfId="0">
      <alignment horizontal="left" indent="10"/>
    </xf>
    <xf numFmtId="0" fontId="89" fillId="19" borderId="14" pivotButton="0" quotePrefix="0" xfId="0"/>
    <xf numFmtId="0" fontId="89" fillId="19" borderId="13" pivotButton="0" quotePrefix="0" xfId="0"/>
    <xf numFmtId="0" fontId="99" fillId="19" borderId="11" pivotButton="0" quotePrefix="0" xfId="0"/>
    <xf numFmtId="0" fontId="115" fillId="19" borderId="14" pivotButton="0" quotePrefix="0" xfId="0"/>
    <xf numFmtId="0" fontId="115" fillId="19" borderId="13" pivotButton="0" quotePrefix="0" xfId="0"/>
    <xf numFmtId="0" fontId="3" fillId="17" borderId="9" applyAlignment="1" pivotButton="0" quotePrefix="0" xfId="0">
      <alignment horizontal="center" vertical="center"/>
    </xf>
    <xf numFmtId="0" fontId="117" fillId="19" borderId="14" pivotButton="0" quotePrefix="0" xfId="0"/>
    <xf numFmtId="0" fontId="116" fillId="19" borderId="1" pivotButton="0" quotePrefix="0" xfId="0"/>
    <xf numFmtId="2" fontId="10" fillId="2" borderId="1" applyAlignment="1" pivotButton="0" quotePrefix="0" xfId="0">
      <alignment horizontal="left"/>
    </xf>
    <xf numFmtId="2" fontId="10" fillId="2" borderId="3" applyAlignment="1" pivotButton="0" quotePrefix="0" xfId="0">
      <alignment horizontal="left"/>
    </xf>
    <xf numFmtId="2" fontId="10" fillId="2" borderId="5" applyAlignment="1" pivotButton="0" quotePrefix="0" xfId="0">
      <alignment horizontal="left"/>
    </xf>
    <xf numFmtId="0" fontId="4" fillId="2" borderId="3" applyAlignment="1" pivotButton="0" quotePrefix="0" xfId="0">
      <alignment horizontal="left"/>
    </xf>
    <xf numFmtId="164" fontId="90" fillId="15" borderId="1" applyAlignment="1" pivotButton="0" quotePrefix="0" xfId="0">
      <alignment horizontal="center" vertical="center"/>
    </xf>
    <xf numFmtId="0" fontId="90" fillId="16" borderId="1" applyAlignment="1" pivotButton="0" quotePrefix="0" xfId="0">
      <alignment horizontal="center" vertical="center"/>
    </xf>
    <xf numFmtId="0" fontId="90" fillId="17" borderId="7" applyAlignment="1" pivotButton="0" quotePrefix="0" xfId="0">
      <alignment horizontal="center" vertical="center"/>
    </xf>
    <xf numFmtId="164" fontId="90" fillId="15" borderId="3" applyAlignment="1" pivotButton="0" quotePrefix="0" xfId="0">
      <alignment horizontal="center" vertical="center"/>
    </xf>
    <xf numFmtId="0" fontId="90" fillId="16" borderId="3" applyAlignment="1" pivotButton="0" quotePrefix="0" xfId="0">
      <alignment horizontal="center" vertical="center"/>
    </xf>
    <xf numFmtId="0" fontId="90" fillId="17" borderId="8" applyAlignment="1" pivotButton="0" quotePrefix="0" xfId="0">
      <alignment horizontal="center" vertical="center"/>
    </xf>
    <xf numFmtId="164" fontId="90" fillId="15" borderId="5" applyAlignment="1" pivotButton="0" quotePrefix="0" xfId="0">
      <alignment horizontal="center" vertical="center"/>
    </xf>
    <xf numFmtId="0" fontId="90" fillId="16" borderId="5" applyAlignment="1" pivotButton="0" quotePrefix="0" xfId="0">
      <alignment horizontal="center" vertical="center"/>
    </xf>
    <xf numFmtId="0" fontId="90" fillId="17" borderId="9" applyAlignment="1" pivotButton="0" quotePrefix="0" xfId="0">
      <alignment horizontal="left" vertical="center" indent="3"/>
    </xf>
    <xf numFmtId="0" fontId="116" fillId="19" borderId="14" pivotButton="0" quotePrefix="0" xfId="0"/>
    <xf numFmtId="0" fontId="10" fillId="2" borderId="10" applyAlignment="1" pivotButton="0" quotePrefix="0" xfId="0">
      <alignment horizontal="left"/>
    </xf>
    <xf numFmtId="0" fontId="4" fillId="2" borderId="10" applyAlignment="1" pivotButton="0" quotePrefix="0" xfId="0">
      <alignment horizontal="left"/>
    </xf>
    <xf numFmtId="0" fontId="9" fillId="12" borderId="0" pivotButton="0" quotePrefix="0" xfId="0"/>
    <xf numFmtId="0" fontId="9" fillId="26" borderId="0" pivotButton="0" quotePrefix="0" xfId="0"/>
    <xf numFmtId="0" fontId="118" fillId="14" borderId="14" applyAlignment="1" pivotButton="0" quotePrefix="0" xfId="0">
      <alignment vertical="center"/>
    </xf>
    <xf numFmtId="0" fontId="5" fillId="14" borderId="2" pivotButton="0" quotePrefix="0" xfId="0"/>
    <xf numFmtId="0" fontId="90" fillId="16" borderId="7" applyAlignment="1" pivotButton="0" quotePrefix="0" xfId="0">
      <alignment horizontal="center" vertical="center"/>
    </xf>
    <xf numFmtId="0" fontId="3" fillId="16" borderId="9" applyAlignment="1" pivotButton="0" quotePrefix="0" xfId="0">
      <alignment horizontal="center" vertical="center"/>
    </xf>
    <xf numFmtId="0" fontId="3" fillId="9" borderId="0" applyAlignment="1" pivotButton="0" quotePrefix="0" xfId="0">
      <alignment horizontal="center"/>
    </xf>
    <xf numFmtId="0" fontId="5" fillId="9" borderId="0" applyAlignment="1" pivotButton="0" quotePrefix="0" xfId="0">
      <alignment horizontal="center"/>
    </xf>
    <xf numFmtId="0" fontId="89" fillId="19" borderId="0" pivotButton="0" quotePrefix="0" xfId="0"/>
    <xf numFmtId="0" fontId="6" fillId="22" borderId="0" applyAlignment="1" pivotButton="0" quotePrefix="0" xfId="0">
      <alignment horizontal="left"/>
    </xf>
    <xf numFmtId="0" fontId="6" fillId="22" borderId="0" pivotButton="0" quotePrefix="0" xfId="0"/>
    <xf numFmtId="0" fontId="4" fillId="22" borderId="0" pivotButton="0" quotePrefix="0" xfId="0"/>
    <xf numFmtId="0" fontId="4" fillId="31" borderId="0" pivotButton="0" quotePrefix="0" xfId="0"/>
    <xf numFmtId="0" fontId="24" fillId="31" borderId="0" applyAlignment="1" pivotButton="0" quotePrefix="0" xfId="0">
      <alignment vertical="center"/>
    </xf>
    <xf numFmtId="0" fontId="24" fillId="31" borderId="0" applyAlignment="1" pivotButton="0" quotePrefix="0" xfId="0">
      <alignment vertical="center" wrapText="1"/>
    </xf>
    <xf numFmtId="0" fontId="4" fillId="31" borderId="0" applyAlignment="1" pivotButton="0" quotePrefix="0" xfId="0">
      <alignment wrapText="1"/>
    </xf>
    <xf numFmtId="0" fontId="4" fillId="31" borderId="1" pivotButton="0" quotePrefix="0" xfId="0"/>
    <xf numFmtId="0" fontId="4" fillId="31" borderId="11" pivotButton="0" quotePrefix="0" xfId="0"/>
    <xf numFmtId="0" fontId="4" fillId="31" borderId="2" pivotButton="0" quotePrefix="0" xfId="0"/>
    <xf numFmtId="0" fontId="4" fillId="31" borderId="12" pivotButton="0" quotePrefix="0" xfId="0"/>
    <xf numFmtId="0" fontId="4" fillId="31" borderId="14" pivotButton="0" quotePrefix="0" xfId="0"/>
    <xf numFmtId="0" fontId="4" fillId="31" borderId="13" pivotButton="0" quotePrefix="0" xfId="0"/>
    <xf numFmtId="0" fontId="4" fillId="31" borderId="0" applyAlignment="1" pivotButton="0" quotePrefix="0" xfId="0">
      <alignment horizontal="center"/>
    </xf>
    <xf numFmtId="0" fontId="4" fillId="31" borderId="4" pivotButton="0" quotePrefix="0" xfId="0"/>
    <xf numFmtId="0" fontId="4" fillId="31" borderId="1" applyAlignment="1" pivotButton="0" quotePrefix="0" xfId="0">
      <alignment horizontal="left"/>
    </xf>
    <xf numFmtId="0" fontId="4" fillId="31" borderId="3" pivotButton="0" quotePrefix="0" xfId="0"/>
    <xf numFmtId="0" fontId="4" fillId="31" borderId="0" applyAlignment="1" pivotButton="0" quotePrefix="0" xfId="0">
      <alignment horizontal="right"/>
    </xf>
    <xf numFmtId="0" fontId="23" fillId="31" borderId="0" pivotButton="0" quotePrefix="0" xfId="3"/>
    <xf numFmtId="0" fontId="5" fillId="31" borderId="0" applyAlignment="1" pivotButton="0" quotePrefix="0" xfId="0">
      <alignment horizontal="center" wrapText="1"/>
    </xf>
    <xf numFmtId="0" fontId="5" fillId="31" borderId="3" applyAlignment="1" pivotButton="0" quotePrefix="0" xfId="0">
      <alignment horizontal="left"/>
    </xf>
    <xf numFmtId="0" fontId="0" fillId="31" borderId="0" applyAlignment="1" pivotButton="0" quotePrefix="0" xfId="0">
      <alignment horizontal="center"/>
    </xf>
    <xf numFmtId="0" fontId="5" fillId="31" borderId="0" applyAlignment="1" pivotButton="0" quotePrefix="0" xfId="0">
      <alignment horizontal="center"/>
    </xf>
    <xf numFmtId="0" fontId="4" fillId="31" borderId="4" applyAlignment="1" pivotButton="0" quotePrefix="0" xfId="0">
      <alignment horizontal="center"/>
    </xf>
    <xf numFmtId="0" fontId="23" fillId="31" borderId="3" pivotButton="0" quotePrefix="0" xfId="3"/>
    <xf numFmtId="0" fontId="5" fillId="31" borderId="0" applyAlignment="1" pivotButton="0" quotePrefix="0" xfId="0">
      <alignment wrapText="1"/>
    </xf>
    <xf numFmtId="0" fontId="5" fillId="31" borderId="0" pivotButton="0" quotePrefix="0" xfId="0"/>
    <xf numFmtId="0" fontId="4" fillId="31" borderId="5" pivotButton="0" quotePrefix="0" xfId="0"/>
    <xf numFmtId="169" fontId="4" fillId="31" borderId="6" pivotButton="0" quotePrefix="0" xfId="0"/>
    <xf numFmtId="166" fontId="120" fillId="31" borderId="6" applyAlignment="1" pivotButton="0" quotePrefix="0" xfId="0">
      <alignment horizontal="center"/>
    </xf>
    <xf numFmtId="0" fontId="5" fillId="31" borderId="0" applyAlignment="1" pivotButton="0" quotePrefix="0" xfId="0">
      <alignment horizontal="center" vertical="center"/>
    </xf>
    <xf numFmtId="0" fontId="5" fillId="31" borderId="21" applyAlignment="1" pivotButton="0" quotePrefix="0" xfId="0">
      <alignment horizontal="center" wrapText="1"/>
    </xf>
    <xf numFmtId="0" fontId="121" fillId="31" borderId="0" applyAlignment="1" pivotButton="0" quotePrefix="0" xfId="0">
      <alignment horizontal="center" vertical="top"/>
    </xf>
    <xf numFmtId="0" fontId="111" fillId="31" borderId="0" applyAlignment="1" pivotButton="0" quotePrefix="0" xfId="0">
      <alignment horizontal="center"/>
    </xf>
    <xf numFmtId="0" fontId="121" fillId="31" borderId="0" applyAlignment="1" pivotButton="0" quotePrefix="0" xfId="0">
      <alignment horizontal="center"/>
    </xf>
    <xf numFmtId="0" fontId="101" fillId="31" borderId="3" applyAlignment="1" pivotButton="0" quotePrefix="0" xfId="0">
      <alignment horizontal="left"/>
    </xf>
    <xf numFmtId="0" fontId="4" fillId="31" borderId="0" applyAlignment="1" pivotButton="0" quotePrefix="0" xfId="0">
      <alignment horizontal="center" wrapText="1"/>
    </xf>
    <xf numFmtId="0" fontId="5" fillId="31" borderId="21" applyAlignment="1" pivotButton="0" quotePrefix="0" xfId="0">
      <alignment horizontal="center"/>
    </xf>
    <xf numFmtId="164" fontId="111" fillId="31" borderId="21" applyAlignment="1" pivotButton="0" quotePrefix="0" xfId="0">
      <alignment horizontal="center"/>
    </xf>
    <xf numFmtId="0" fontId="111" fillId="31" borderId="21" applyAlignment="1" pivotButton="0" quotePrefix="0" xfId="0">
      <alignment horizontal="center"/>
    </xf>
    <xf numFmtId="0" fontId="4" fillId="31" borderId="6" applyAlignment="1" pivotButton="0" quotePrefix="0" xfId="0">
      <alignment horizontal="center"/>
    </xf>
    <xf numFmtId="0" fontId="5" fillId="31" borderId="4" applyAlignment="1" pivotButton="0" quotePrefix="0" xfId="0">
      <alignment horizontal="center" wrapText="1"/>
    </xf>
    <xf numFmtId="0" fontId="4" fillId="31" borderId="0" applyAlignment="1" pivotButton="0" quotePrefix="1" xfId="0">
      <alignment horizontal="center" wrapText="1"/>
    </xf>
    <xf numFmtId="0" fontId="4" fillId="32" borderId="0" pivotButton="0" quotePrefix="0" xfId="0"/>
    <xf numFmtId="164" fontId="5" fillId="32" borderId="0" applyAlignment="1" pivotButton="0" quotePrefix="0" xfId="0">
      <alignment horizontal="center"/>
    </xf>
    <xf numFmtId="0" fontId="4" fillId="32" borderId="0" applyAlignment="1" pivotButton="0" quotePrefix="0" xfId="0">
      <alignment horizontal="center"/>
    </xf>
    <xf numFmtId="164" fontId="4" fillId="32" borderId="0" applyAlignment="1" pivotButton="0" quotePrefix="0" xfId="0">
      <alignment horizontal="center"/>
    </xf>
    <xf numFmtId="164" fontId="4" fillId="32" borderId="0" applyAlignment="1" pivotButton="0" quotePrefix="0" xfId="0">
      <alignment horizontal="left"/>
    </xf>
    <xf numFmtId="0" fontId="0" fillId="32" borderId="0" pivotButton="0" quotePrefix="0" xfId="0"/>
    <xf numFmtId="166" fontId="0" fillId="32" borderId="0" applyAlignment="1" pivotButton="0" quotePrefix="0" xfId="0">
      <alignment horizontal="center"/>
    </xf>
    <xf numFmtId="0" fontId="4" fillId="32" borderId="3" pivotButton="0" quotePrefix="0" xfId="0"/>
    <xf numFmtId="2" fontId="4" fillId="32" borderId="0" applyAlignment="1" pivotButton="0" quotePrefix="1" xfId="0">
      <alignment horizontal="center"/>
    </xf>
    <xf numFmtId="2" fontId="4" fillId="32" borderId="4" applyAlignment="1" pivotButton="0" quotePrefix="1" xfId="0">
      <alignment horizontal="center"/>
    </xf>
    <xf numFmtId="164" fontId="4" fillId="31" borderId="3" applyAlignment="1" pivotButton="0" quotePrefix="0" xfId="0">
      <alignment horizontal="left"/>
    </xf>
    <xf numFmtId="0" fontId="5" fillId="31" borderId="3" applyAlignment="1" pivotButton="0" quotePrefix="0" xfId="0">
      <alignment horizontal="center" vertical="center"/>
    </xf>
    <xf numFmtId="0" fontId="5" fillId="31" borderId="3" applyAlignment="1" pivotButton="0" quotePrefix="0" xfId="0">
      <alignment horizontal="center"/>
    </xf>
    <xf numFmtId="0" fontId="0" fillId="32" borderId="4" pivotButton="0" quotePrefix="0" xfId="0"/>
    <xf numFmtId="0" fontId="0" fillId="32" borderId="3" pivotButton="0" quotePrefix="0" xfId="0"/>
    <xf numFmtId="0" fontId="0" fillId="32" borderId="5" pivotButton="0" quotePrefix="0" xfId="0"/>
    <xf numFmtId="0" fontId="0" fillId="32" borderId="21" pivotButton="0" quotePrefix="0" xfId="0"/>
    <xf numFmtId="0" fontId="0" fillId="32" borderId="6" pivotButton="0" quotePrefix="0" xfId="0"/>
    <xf numFmtId="0" fontId="4" fillId="32" borderId="10" pivotButton="0" quotePrefix="0" xfId="0"/>
    <xf numFmtId="2" fontId="5" fillId="32" borderId="10" applyAlignment="1" pivotButton="0" quotePrefix="0" xfId="0">
      <alignment horizontal="center"/>
    </xf>
    <xf numFmtId="0" fontId="4" fillId="22" borderId="10" applyAlignment="1" pivotButton="0" quotePrefix="0" xfId="0">
      <alignment vertical="center" wrapText="1"/>
    </xf>
    <xf numFmtId="0" fontId="4" fillId="22" borderId="10" applyAlignment="1" pivotButton="0" quotePrefix="0" xfId="0">
      <alignment horizontal="center" vertical="center" wrapText="1"/>
    </xf>
    <xf numFmtId="1" fontId="4" fillId="22" borderId="10" applyAlignment="1" pivotButton="0" quotePrefix="0" xfId="0">
      <alignment horizontal="center" vertical="center" wrapText="1"/>
    </xf>
    <xf numFmtId="3" fontId="4" fillId="22" borderId="10" applyAlignment="1" pivotButton="0" quotePrefix="0" xfId="0">
      <alignment horizontal="center" vertical="center" wrapText="1"/>
    </xf>
    <xf numFmtId="0" fontId="5" fillId="22" borderId="0" pivotButton="0" quotePrefix="0" xfId="0"/>
    <xf numFmtId="3" fontId="5" fillId="22" borderId="0" pivotButton="0" quotePrefix="0" xfId="0"/>
    <xf numFmtId="0" fontId="5" fillId="32" borderId="0" applyAlignment="1" pivotButton="0" quotePrefix="0" xfId="0">
      <alignment vertical="center" wrapText="1"/>
    </xf>
    <xf numFmtId="0" fontId="5" fillId="32" borderId="0" pivotButton="0" quotePrefix="0" xfId="0"/>
    <xf numFmtId="3" fontId="5" fillId="32" borderId="0" pivotButton="0" quotePrefix="0" xfId="0"/>
    <xf numFmtId="0" fontId="5" fillId="32" borderId="0" applyAlignment="1" pivotButton="0" quotePrefix="0" xfId="0">
      <alignment horizontal="center" vertical="center" wrapText="1"/>
    </xf>
    <xf numFmtId="0" fontId="0" fillId="31" borderId="0" pivotButton="0" quotePrefix="0" xfId="0"/>
    <xf numFmtId="0" fontId="5" fillId="22" borderId="10" applyAlignment="1" pivotButton="0" quotePrefix="0" xfId="0">
      <alignment vertical="center" wrapText="1"/>
    </xf>
    <xf numFmtId="0" fontId="3" fillId="22" borderId="10" pivotButton="0" quotePrefix="0" xfId="0"/>
    <xf numFmtId="3" fontId="3" fillId="22" borderId="10" applyAlignment="1" pivotButton="0" quotePrefix="0" xfId="0">
      <alignment horizontal="center"/>
    </xf>
    <xf numFmtId="3" fontId="5" fillId="22" borderId="10" applyAlignment="1" pivotButton="0" quotePrefix="0" xfId="0">
      <alignment horizontal="center" vertical="center" wrapText="1"/>
    </xf>
    <xf numFmtId="0" fontId="5" fillId="32" borderId="10" applyAlignment="1" pivotButton="0" quotePrefix="0" xfId="0">
      <alignment horizontal="center" vertical="center" wrapText="1"/>
    </xf>
    <xf numFmtId="0" fontId="90" fillId="32" borderId="0" pivotButton="0" quotePrefix="0" xfId="0"/>
    <xf numFmtId="0" fontId="5" fillId="32" borderId="21" applyAlignment="1" pivotButton="0" quotePrefix="0" xfId="0">
      <alignment vertical="center" wrapText="1"/>
    </xf>
    <xf numFmtId="0" fontId="0" fillId="33" borderId="0" pivotButton="0" quotePrefix="0" xfId="0"/>
    <xf numFmtId="0" fontId="0" fillId="33" borderId="0" applyAlignment="1" pivotButton="0" quotePrefix="0" xfId="0">
      <alignment horizontal="center"/>
    </xf>
    <xf numFmtId="0" fontId="4" fillId="33" borderId="0" pivotButton="0" quotePrefix="0" xfId="0"/>
    <xf numFmtId="0" fontId="4" fillId="33" borderId="0" applyAlignment="1" pivotButton="0" quotePrefix="0" xfId="0">
      <alignment horizontal="center"/>
    </xf>
    <xf numFmtId="0" fontId="4" fillId="33" borderId="0" applyAlignment="1" pivotButton="0" quotePrefix="0" xfId="0">
      <alignment horizontal="left"/>
    </xf>
    <xf numFmtId="0" fontId="124" fillId="30" borderId="0" applyAlignment="1" pivotButton="0" quotePrefix="0" xfId="0">
      <alignment vertical="center"/>
    </xf>
    <xf numFmtId="0" fontId="125" fillId="30" borderId="0" applyAlignment="1" pivotButton="0" quotePrefix="0" xfId="0">
      <alignment vertical="top" wrapText="1"/>
    </xf>
    <xf numFmtId="0" fontId="125" fillId="30" borderId="0" pivotButton="0" quotePrefix="0" xfId="0"/>
    <xf numFmtId="0" fontId="89" fillId="30" borderId="0" pivotButton="0" quotePrefix="0" xfId="0"/>
    <xf numFmtId="0" fontId="96" fillId="30" borderId="0" pivotButton="0" quotePrefix="0" xfId="0"/>
    <xf numFmtId="0" fontId="96" fillId="30" borderId="0" applyAlignment="1" pivotButton="0" quotePrefix="0" xfId="0">
      <alignment horizontal="center"/>
    </xf>
    <xf numFmtId="0" fontId="89" fillId="30" borderId="0" applyAlignment="1" pivotButton="0" quotePrefix="0" xfId="0">
      <alignment horizontal="center"/>
    </xf>
    <xf numFmtId="0" fontId="89" fillId="30" borderId="10" pivotButton="0" quotePrefix="0" xfId="0"/>
    <xf numFmtId="0" fontId="89" fillId="30" borderId="10" applyAlignment="1" pivotButton="0" quotePrefix="0" xfId="0">
      <alignment horizontal="left"/>
    </xf>
    <xf numFmtId="0" fontId="0" fillId="33" borderId="10" pivotButton="0" quotePrefix="0" xfId="0"/>
    <xf numFmtId="1" fontId="0" fillId="33" borderId="10" applyAlignment="1" pivotButton="0" quotePrefix="0" xfId="0">
      <alignment horizontal="center"/>
    </xf>
    <xf numFmtId="0" fontId="100" fillId="33" borderId="10" pivotButton="0" quotePrefix="0" xfId="0"/>
    <xf numFmtId="0" fontId="0" fillId="33" borderId="10" applyAlignment="1" pivotButton="0" quotePrefix="0" xfId="0">
      <alignment horizontal="center"/>
    </xf>
    <xf numFmtId="0" fontId="6" fillId="33" borderId="10" applyAlignment="1" pivotButton="0" quotePrefix="0" xfId="0">
      <alignment horizontal="center"/>
    </xf>
    <xf numFmtId="0" fontId="69" fillId="22" borderId="0" pivotButton="0" quotePrefix="0" xfId="0"/>
    <xf numFmtId="0" fontId="81" fillId="22" borderId="0" pivotButton="0" quotePrefix="0" xfId="0"/>
    <xf numFmtId="0" fontId="126" fillId="19" borderId="0" applyAlignment="1" pivotButton="0" quotePrefix="0" xfId="0">
      <alignment vertical="center"/>
    </xf>
    <xf numFmtId="0" fontId="56" fillId="2" borderId="0" applyAlignment="1" pivotButton="0" quotePrefix="0" xfId="0">
      <alignment horizontal="center"/>
    </xf>
    <xf numFmtId="0" fontId="56" fillId="12" borderId="0" applyAlignment="1" pivotButton="0" quotePrefix="0" xfId="0">
      <alignment horizontal="left"/>
    </xf>
    <xf numFmtId="0" fontId="70" fillId="12" borderId="0" pivotButton="0" quotePrefix="0" xfId="0"/>
    <xf numFmtId="0" fontId="69" fillId="13" borderId="0" pivotButton="0" quotePrefix="0" xfId="0"/>
    <xf numFmtId="164" fontId="69" fillId="15" borderId="0" applyAlignment="1" pivotButton="0" quotePrefix="0" xfId="0">
      <alignment horizontal="center" vertical="center"/>
    </xf>
    <xf numFmtId="0" fontId="70" fillId="16" borderId="0" applyAlignment="1" pivotButton="0" quotePrefix="0" xfId="0">
      <alignment horizontal="left" indent="10"/>
    </xf>
    <xf numFmtId="0" fontId="74" fillId="17" borderId="0" applyAlignment="1" pivotButton="0" quotePrefix="0" xfId="0">
      <alignment horizontal="left" vertical="center" indent="7"/>
    </xf>
    <xf numFmtId="0" fontId="55" fillId="16" borderId="0" applyAlignment="1" pivotButton="0" quotePrefix="0" xfId="0">
      <alignment horizontal="center" vertical="center"/>
    </xf>
    <xf numFmtId="0" fontId="55" fillId="17" borderId="0" applyAlignment="1" pivotButton="0" quotePrefix="0" xfId="0">
      <alignment horizontal="center" vertical="center"/>
    </xf>
    <xf numFmtId="0" fontId="69" fillId="13" borderId="0" applyAlignment="1" pivotButton="0" quotePrefix="0" xfId="0">
      <alignment horizontal="center"/>
    </xf>
    <xf numFmtId="0" fontId="69" fillId="16" borderId="0" applyAlignment="1" pivotButton="0" quotePrefix="0" xfId="0">
      <alignment horizontal="center" vertical="center"/>
    </xf>
    <xf numFmtId="0" fontId="69" fillId="16" borderId="0" applyAlignment="1" pivotButton="0" quotePrefix="0" xfId="0">
      <alignment horizontal="center" vertical="center" wrapText="1"/>
    </xf>
    <xf numFmtId="0" fontId="69" fillId="17" borderId="0" applyAlignment="1" pivotButton="0" quotePrefix="0" xfId="0">
      <alignment horizontal="center" vertical="center"/>
    </xf>
    <xf numFmtId="164" fontId="74" fillId="15" borderId="0" applyAlignment="1" pivotButton="0" quotePrefix="0" xfId="0">
      <alignment horizontal="center" vertical="center"/>
    </xf>
    <xf numFmtId="0" fontId="88" fillId="16" borderId="0" applyAlignment="1" pivotButton="0" quotePrefix="0" xfId="0">
      <alignment horizontal="left" vertical="center"/>
    </xf>
    <xf numFmtId="0" fontId="88" fillId="17" borderId="0" applyAlignment="1" pivotButton="0" quotePrefix="0" xfId="0">
      <alignment horizontal="left" vertical="center" indent="1"/>
    </xf>
    <xf numFmtId="3" fontId="69" fillId="22" borderId="0" applyAlignment="1" pivotButton="0" quotePrefix="0" xfId="0">
      <alignment horizontal="center"/>
    </xf>
    <xf numFmtId="3" fontId="69" fillId="6" borderId="21" applyAlignment="1" pivotButton="0" quotePrefix="0" xfId="0">
      <alignment horizontal="center"/>
    </xf>
    <xf numFmtId="0" fontId="55" fillId="16" borderId="0" applyAlignment="1" pivotButton="0" quotePrefix="0" xfId="0">
      <alignment horizontal="left" vertical="center"/>
    </xf>
    <xf numFmtId="0" fontId="55" fillId="16" borderId="0" applyAlignment="1" pivotButton="0" quotePrefix="0" xfId="0">
      <alignment horizontal="center"/>
    </xf>
    <xf numFmtId="0" fontId="55" fillId="17" borderId="0" applyAlignment="1" pivotButton="0" quotePrefix="0" xfId="0">
      <alignment horizontal="left" vertical="center"/>
    </xf>
    <xf numFmtId="0" fontId="74" fillId="17" borderId="0" applyAlignment="1" pivotButton="0" quotePrefix="0" xfId="0">
      <alignment horizontal="center" vertical="center"/>
    </xf>
    <xf numFmtId="0" fontId="56" fillId="12" borderId="0" applyAlignment="1" pivotButton="0" quotePrefix="0" xfId="0">
      <alignment horizontal="center"/>
    </xf>
    <xf numFmtId="0" fontId="55" fillId="16" borderId="0" applyAlignment="1" pivotButton="0" quotePrefix="0" xfId="0">
      <alignment horizontal="left" indent="10"/>
    </xf>
    <xf numFmtId="0" fontId="55" fillId="17" borderId="0" applyAlignment="1" pivotButton="0" quotePrefix="0" xfId="0">
      <alignment horizontal="left" vertical="center" indent="1"/>
    </xf>
    <xf numFmtId="1" fontId="69" fillId="22" borderId="0" applyAlignment="1" pivotButton="0" quotePrefix="0" xfId="0">
      <alignment horizontal="center"/>
    </xf>
    <xf numFmtId="166" fontId="77" fillId="19" borderId="0" applyAlignment="1" pivotButton="0" quotePrefix="0" xfId="0">
      <alignment horizontal="center"/>
    </xf>
    <xf numFmtId="166" fontId="69" fillId="2" borderId="0" applyAlignment="1" pivotButton="0" quotePrefix="0" xfId="0">
      <alignment horizontal="center"/>
    </xf>
    <xf numFmtId="164" fontId="77" fillId="19" borderId="0" applyAlignment="1" pivotButton="0" quotePrefix="0" xfId="0">
      <alignment horizontal="center"/>
    </xf>
    <xf numFmtId="0" fontId="127" fillId="6" borderId="0" pivotButton="0" quotePrefix="0" xfId="0"/>
    <xf numFmtId="3" fontId="127" fillId="6" borderId="0" applyAlignment="1" pivotButton="0" quotePrefix="0" xfId="0">
      <alignment horizontal="center"/>
    </xf>
    <xf numFmtId="170" fontId="77" fillId="19" borderId="0" applyAlignment="1" pivotButton="0" quotePrefix="0" xfId="0">
      <alignment horizontal="center"/>
    </xf>
    <xf numFmtId="170" fontId="69" fillId="2" borderId="0" applyAlignment="1" pivotButton="0" quotePrefix="0" xfId="0">
      <alignment horizontal="center"/>
    </xf>
    <xf numFmtId="170" fontId="69" fillId="22" borderId="0" applyAlignment="1" pivotButton="0" quotePrefix="0" xfId="0">
      <alignment horizontal="center"/>
    </xf>
    <xf numFmtId="0" fontId="9" fillId="6" borderId="5" applyAlignment="1" pivotButton="0" quotePrefix="0" xfId="0">
      <alignment horizontal="center"/>
    </xf>
    <xf numFmtId="0" fontId="37" fillId="2" borderId="0" pivotButton="0" quotePrefix="0" xfId="0"/>
    <xf numFmtId="0" fontId="5" fillId="2" borderId="0" applyAlignment="1" pivotButton="0" quotePrefix="0" xfId="0">
      <alignment horizontal="center"/>
    </xf>
    <xf numFmtId="0" fontId="4" fillId="2" borderId="0" applyAlignment="1" pivotButton="0" quotePrefix="0" xfId="0">
      <alignment horizontal="center"/>
    </xf>
    <xf numFmtId="0" fontId="130" fillId="2" borderId="0" applyAlignment="1" pivotButton="0" quotePrefix="0" xfId="0">
      <alignment horizontal="center"/>
    </xf>
    <xf numFmtId="0" fontId="4" fillId="2" borderId="0" pivotButton="0" quotePrefix="0" xfId="0"/>
    <xf numFmtId="0" fontId="121" fillId="2" borderId="0" applyAlignment="1" pivotButton="0" quotePrefix="0" xfId="0">
      <alignment horizontal="center" vertical="top"/>
    </xf>
    <xf numFmtId="0" fontId="111" fillId="2" borderId="0" applyAlignment="1" pivotButton="0" quotePrefix="0" xfId="0">
      <alignment horizontal="center"/>
    </xf>
    <xf numFmtId="0" fontId="121" fillId="2" borderId="0" applyAlignment="1" pivotButton="0" quotePrefix="0" xfId="0">
      <alignment horizontal="center"/>
    </xf>
    <xf numFmtId="0" fontId="4" fillId="6" borderId="0" pivotButton="0" quotePrefix="0" xfId="0"/>
    <xf numFmtId="0" fontId="4" fillId="6" borderId="10" applyAlignment="1" pivotButton="0" quotePrefix="0" xfId="0">
      <alignment horizontal="center"/>
    </xf>
    <xf numFmtId="164" fontId="111" fillId="6" borderId="10" applyAlignment="1" pivotButton="0" quotePrefix="0" xfId="0">
      <alignment horizontal="center"/>
    </xf>
    <xf numFmtId="0" fontId="111" fillId="6" borderId="10" applyAlignment="1" pivotButton="0" quotePrefix="0" xfId="0">
      <alignment horizontal="center"/>
    </xf>
    <xf numFmtId="0" fontId="4" fillId="6" borderId="10" pivotButton="0" quotePrefix="0" xfId="0"/>
    <xf numFmtId="164" fontId="4" fillId="6" borderId="0" applyAlignment="1" pivotButton="0" quotePrefix="0" xfId="0">
      <alignment horizontal="left"/>
    </xf>
    <xf numFmtId="166" fontId="0" fillId="6" borderId="10" applyAlignment="1" pivotButton="0" quotePrefix="0" xfId="0">
      <alignment horizontal="center"/>
    </xf>
    <xf numFmtId="0" fontId="6" fillId="6" borderId="10" applyAlignment="1" pivotButton="0" quotePrefix="0" xfId="0">
      <alignment horizontal="center"/>
    </xf>
    <xf numFmtId="164" fontId="6" fillId="6" borderId="10" applyAlignment="1" pivotButton="0" quotePrefix="0" xfId="0">
      <alignment horizontal="center"/>
    </xf>
    <xf numFmtId="0" fontId="6" fillId="35" borderId="10" applyAlignment="1" pivotButton="0" quotePrefix="0" xfId="0">
      <alignment horizontal="center"/>
    </xf>
    <xf numFmtId="0" fontId="4" fillId="6" borderId="14" pivotButton="0" quotePrefix="0" xfId="0"/>
    <xf numFmtId="0" fontId="4" fillId="6" borderId="13" pivotButton="0" quotePrefix="0" xfId="0"/>
    <xf numFmtId="0" fontId="4" fillId="35" borderId="5" applyAlignment="1" pivotButton="0" quotePrefix="0" xfId="0">
      <alignment horizontal="center"/>
    </xf>
    <xf numFmtId="0" fontId="4" fillId="35" borderId="21" applyAlignment="1" pivotButton="0" quotePrefix="0" xfId="0">
      <alignment horizontal="center"/>
    </xf>
    <xf numFmtId="0" fontId="4" fillId="35" borderId="4" applyAlignment="1" pivotButton="0" quotePrefix="0" xfId="0">
      <alignment horizontal="center"/>
    </xf>
    <xf numFmtId="0" fontId="32" fillId="2" borderId="14" pivotButton="0" quotePrefix="0" xfId="0"/>
    <xf numFmtId="0" fontId="6" fillId="6" borderId="0" applyAlignment="1" pivotButton="0" quotePrefix="0" xfId="0">
      <alignment horizontal="center"/>
    </xf>
    <xf numFmtId="0" fontId="6" fillId="6" borderId="5" applyAlignment="1" pivotButton="0" quotePrefix="0" xfId="0">
      <alignment horizontal="center"/>
    </xf>
    <xf numFmtId="0" fontId="6" fillId="6" borderId="21" applyAlignment="1" pivotButton="0" quotePrefix="0" xfId="0">
      <alignment horizontal="center"/>
    </xf>
    <xf numFmtId="0" fontId="3" fillId="6" borderId="10" applyAlignment="1" pivotButton="0" quotePrefix="0" xfId="0">
      <alignment horizontal="center"/>
    </xf>
    <xf numFmtId="166" fontId="69" fillId="22" borderId="0" pivotButton="0" quotePrefix="0" xfId="0"/>
    <xf numFmtId="166" fontId="9" fillId="6" borderId="10" applyAlignment="1" pivotButton="0" quotePrefix="0" xfId="0">
      <alignment horizontal="center"/>
    </xf>
    <xf numFmtId="0" fontId="77" fillId="22" borderId="0" applyAlignment="1" pivotButton="0" quotePrefix="0" xfId="0">
      <alignment horizontal="center"/>
    </xf>
    <xf numFmtId="166" fontId="77" fillId="2" borderId="0" applyAlignment="1" pivotButton="0" quotePrefix="0" xfId="0">
      <alignment horizontal="center"/>
    </xf>
    <xf numFmtId="9" fontId="77" fillId="19" borderId="0" applyAlignment="1" pivotButton="0" quotePrefix="0" xfId="6">
      <alignment horizontal="center"/>
    </xf>
    <xf numFmtId="4" fontId="77" fillId="19" borderId="0" applyAlignment="1" pivotButton="0" quotePrefix="0" xfId="0">
      <alignment horizontal="center"/>
    </xf>
    <xf numFmtId="4" fontId="69" fillId="2" borderId="0" applyAlignment="1" pivotButton="0" quotePrefix="0" xfId="0">
      <alignment horizontal="center"/>
    </xf>
    <xf numFmtId="3" fontId="0" fillId="32" borderId="0" pivotButton="0" quotePrefix="0" xfId="0"/>
    <xf numFmtId="0" fontId="0" fillId="32" borderId="0" applyAlignment="1" pivotButton="0" quotePrefix="0" xfId="0">
      <alignment horizontal="center"/>
    </xf>
    <xf numFmtId="3" fontId="0" fillId="32" borderId="0" applyAlignment="1" pivotButton="0" quotePrefix="0" xfId="0">
      <alignment horizontal="center"/>
    </xf>
    <xf numFmtId="0" fontId="0" fillId="32" borderId="0" applyAlignment="1" pivotButton="0" quotePrefix="0" xfId="0">
      <alignment horizontal="right"/>
    </xf>
    <xf numFmtId="171" fontId="0" fillId="32" borderId="0" applyAlignment="1" pivotButton="0" quotePrefix="0" xfId="0">
      <alignment horizontal="center"/>
    </xf>
    <xf numFmtId="4" fontId="69" fillId="22" borderId="0" pivotButton="0" quotePrefix="0" xfId="0"/>
    <xf numFmtId="170" fontId="0" fillId="32" borderId="0" applyAlignment="1" pivotButton="0" quotePrefix="0" xfId="0">
      <alignment horizontal="center"/>
    </xf>
    <xf numFmtId="170" fontId="0" fillId="32" borderId="0" pivotButton="0" quotePrefix="0" xfId="0"/>
    <xf numFmtId="0" fontId="89" fillId="30" borderId="0" applyAlignment="1" pivotButton="0" quotePrefix="0" xfId="0">
      <alignment horizontal="left"/>
    </xf>
    <xf numFmtId="1" fontId="0" fillId="33" borderId="0" applyAlignment="1" pivotButton="0" quotePrefix="0" xfId="0">
      <alignment horizontal="center"/>
    </xf>
    <xf numFmtId="0" fontId="6" fillId="33" borderId="0" applyAlignment="1" pivotButton="0" quotePrefix="0" xfId="0">
      <alignment horizontal="center"/>
    </xf>
    <xf numFmtId="0" fontId="69" fillId="22" borderId="0" applyAlignment="1" pivotButton="0" quotePrefix="0" xfId="0">
      <alignment horizontal="left"/>
    </xf>
    <xf numFmtId="0" fontId="70" fillId="22" borderId="0" pivotButton="0" quotePrefix="0" xfId="0"/>
    <xf numFmtId="0" fontId="23" fillId="22" borderId="0" pivotButton="0" quotePrefix="0" xfId="3"/>
    <xf numFmtId="0" fontId="131" fillId="34" borderId="10" applyAlignment="1" pivotButton="0" quotePrefix="0" xfId="0">
      <alignment horizontal="center" vertical="center"/>
    </xf>
    <xf numFmtId="0" fontId="131" fillId="34" borderId="10" applyAlignment="1" pivotButton="0" quotePrefix="0" xfId="0">
      <alignment horizontal="center" vertical="center" wrapText="1"/>
    </xf>
    <xf numFmtId="0" fontId="84" fillId="22" borderId="8" applyAlignment="1" pivotButton="0" quotePrefix="0" xfId="0">
      <alignment horizontal="left" vertical="center"/>
    </xf>
    <xf numFmtId="0" fontId="110" fillId="22" borderId="8" applyAlignment="1" pivotButton="0" quotePrefix="0" xfId="0">
      <alignment horizontal="left" vertical="center"/>
    </xf>
    <xf numFmtId="0" fontId="110" fillId="22" borderId="8" applyAlignment="1" pivotButton="0" quotePrefix="0" xfId="0">
      <alignment vertical="center"/>
    </xf>
    <xf numFmtId="0" fontId="110" fillId="22" borderId="0" applyAlignment="1" pivotButton="0" quotePrefix="0" xfId="0">
      <alignment vertical="center"/>
    </xf>
    <xf numFmtId="0" fontId="84" fillId="22" borderId="0" applyAlignment="1" pivotButton="0" quotePrefix="0" xfId="0">
      <alignment vertical="center" wrapText="1"/>
    </xf>
    <xf numFmtId="0" fontId="110" fillId="9" borderId="8" applyAlignment="1" pivotButton="0" quotePrefix="0" xfId="0">
      <alignment vertical="center"/>
    </xf>
    <xf numFmtId="0" fontId="110" fillId="9" borderId="0" applyAlignment="1" pivotButton="0" quotePrefix="0" xfId="0">
      <alignment vertical="center"/>
    </xf>
    <xf numFmtId="0" fontId="69" fillId="12" borderId="0" applyAlignment="1" pivotButton="0" quotePrefix="0" xfId="0">
      <alignment horizontal="center"/>
    </xf>
    <xf numFmtId="9" fontId="77" fillId="19" borderId="0" applyAlignment="1" pivotButton="0" quotePrefix="0" xfId="0">
      <alignment horizontal="center"/>
    </xf>
    <xf numFmtId="9" fontId="69" fillId="22" borderId="0" applyAlignment="1" pivotButton="0" quotePrefix="0" xfId="6">
      <alignment horizontal="center"/>
    </xf>
    <xf numFmtId="0" fontId="32" fillId="10" borderId="14" applyAlignment="1" pivotButton="0" quotePrefix="0" xfId="0">
      <alignment horizontal="left"/>
    </xf>
    <xf numFmtId="0" fontId="50" fillId="6" borderId="5" pivotButton="0" quotePrefix="0" xfId="0"/>
    <xf numFmtId="2" fontId="9" fillId="6" borderId="21" applyAlignment="1" pivotButton="0" quotePrefix="0" xfId="0">
      <alignment horizontal="center"/>
    </xf>
    <xf numFmtId="0" fontId="0" fillId="10" borderId="14" applyAlignment="1" pivotButton="0" quotePrefix="0" xfId="0">
      <alignment horizontal="left"/>
    </xf>
    <xf numFmtId="0" fontId="9" fillId="10" borderId="14" applyAlignment="1" pivotButton="0" quotePrefix="0" xfId="0">
      <alignment horizontal="right"/>
    </xf>
    <xf numFmtId="0" fontId="0" fillId="36" borderId="0" pivotButton="0" quotePrefix="0" xfId="0"/>
    <xf numFmtId="0" fontId="93" fillId="0" borderId="0" pivotButton="0" quotePrefix="0" xfId="0"/>
    <xf numFmtId="0" fontId="89" fillId="36" borderId="0" pivotButton="0" quotePrefix="0" xfId="0"/>
    <xf numFmtId="0" fontId="69" fillId="22" borderId="0" applyAlignment="1" pivotButton="0" quotePrefix="0" xfId="0">
      <alignment vertical="center"/>
    </xf>
    <xf numFmtId="0" fontId="69" fillId="12" borderId="0" pivotButton="0" quotePrefix="0" xfId="0"/>
    <xf numFmtId="0" fontId="74" fillId="12" borderId="0" applyAlignment="1" pivotButton="0" quotePrefix="0" xfId="0">
      <alignment horizontal="center"/>
    </xf>
    <xf numFmtId="0" fontId="70" fillId="12" borderId="0" applyAlignment="1" pivotButton="0" quotePrefix="0" xfId="0">
      <alignment horizontal="center"/>
    </xf>
    <xf numFmtId="0" fontId="70" fillId="12" borderId="0" applyAlignment="1" pivotButton="0" quotePrefix="0" xfId="0">
      <alignment horizontal="right"/>
    </xf>
    <xf numFmtId="0" fontId="74" fillId="12" borderId="0" applyAlignment="1" pivotButton="0" quotePrefix="0" xfId="0">
      <alignment horizontal="left"/>
    </xf>
    <xf numFmtId="0" fontId="112" fillId="19" borderId="0" applyAlignment="1" pivotButton="0" quotePrefix="0" xfId="0">
      <alignment vertical="center"/>
    </xf>
    <xf numFmtId="0" fontId="126" fillId="22" borderId="0" applyAlignment="1" pivotButton="0" quotePrefix="0" xfId="0">
      <alignment vertical="center"/>
    </xf>
    <xf numFmtId="0" fontId="89" fillId="36" borderId="10" applyAlignment="1" pivotButton="0" quotePrefix="0" xfId="0">
      <alignment wrapText="1"/>
    </xf>
    <xf numFmtId="0" fontId="133" fillId="22" borderId="0" applyAlignment="1" pivotButton="0" quotePrefix="0" xfId="0">
      <alignment vertical="center"/>
    </xf>
    <xf numFmtId="0" fontId="28" fillId="10" borderId="10" applyAlignment="1" pivotButton="0" quotePrefix="0" xfId="0">
      <alignment wrapText="1"/>
    </xf>
    <xf numFmtId="0" fontId="0" fillId="6" borderId="3" applyAlignment="1" pivotButton="0" quotePrefix="0" xfId="0">
      <alignment horizontal="center" wrapText="1"/>
    </xf>
    <xf numFmtId="0" fontId="0" fillId="6" borderId="0" applyAlignment="1" pivotButton="0" quotePrefix="0" xfId="0">
      <alignment horizontal="center" wrapText="1"/>
    </xf>
    <xf numFmtId="0" fontId="0" fillId="6" borderId="0" applyAlignment="1" pivotButton="0" quotePrefix="0" xfId="0">
      <alignment wrapText="1"/>
    </xf>
    <xf numFmtId="0" fontId="89" fillId="36" borderId="0" applyAlignment="1" pivotButton="0" quotePrefix="0" xfId="0">
      <alignment wrapText="1"/>
    </xf>
    <xf numFmtId="0" fontId="89" fillId="11" borderId="0" pivotButton="0" quotePrefix="0" xfId="0"/>
    <xf numFmtId="0" fontId="0" fillId="6" borderId="10" applyAlignment="1" pivotButton="0" quotePrefix="0" xfId="0">
      <alignment horizontal="left" wrapText="1"/>
    </xf>
    <xf numFmtId="0" fontId="69" fillId="22" borderId="0" applyAlignment="1" pivotButton="0" quotePrefix="0" xfId="0">
      <alignment wrapText="1"/>
    </xf>
    <xf numFmtId="0" fontId="70" fillId="37" borderId="0" applyAlignment="1" pivotButton="0" quotePrefix="0" xfId="0">
      <alignment horizontal="left" vertical="center"/>
    </xf>
    <xf numFmtId="0" fontId="70" fillId="38" borderId="0" applyAlignment="1" pivotButton="0" quotePrefix="0" xfId="0">
      <alignment horizontal="left" vertical="center" indent="1"/>
    </xf>
    <xf numFmtId="0" fontId="69" fillId="37" borderId="0" pivotButton="0" quotePrefix="0" xfId="0"/>
    <xf numFmtId="0" fontId="69" fillId="38" borderId="0" pivotButton="0" quotePrefix="0" xfId="0"/>
    <xf numFmtId="0" fontId="69" fillId="37" borderId="0" applyAlignment="1" pivotButton="0" quotePrefix="0" xfId="0">
      <alignment horizontal="center"/>
    </xf>
    <xf numFmtId="0" fontId="69" fillId="38" borderId="0" applyAlignment="1" pivotButton="0" quotePrefix="0" xfId="0">
      <alignment horizontal="center"/>
    </xf>
    <xf numFmtId="0" fontId="69" fillId="2" borderId="0" applyAlignment="1" pivotButton="0" quotePrefix="0" xfId="0">
      <alignment horizontal="center"/>
    </xf>
    <xf numFmtId="0" fontId="74" fillId="37" borderId="0" pivotButton="0" quotePrefix="0" xfId="0"/>
    <xf numFmtId="0" fontId="74" fillId="38" borderId="0" pivotButton="0" quotePrefix="0" xfId="0"/>
    <xf numFmtId="0" fontId="69" fillId="37" borderId="0" applyAlignment="1" pivotButton="0" quotePrefix="0" xfId="0">
      <alignment horizontal="center" wrapText="1"/>
    </xf>
    <xf numFmtId="0" fontId="69" fillId="38" borderId="0" applyAlignment="1" pivotButton="0" quotePrefix="0" xfId="0">
      <alignment horizontal="center" wrapText="1"/>
    </xf>
    <xf numFmtId="0" fontId="69" fillId="10" borderId="0" pivotButton="0" quotePrefix="0" xfId="0"/>
    <xf numFmtId="0" fontId="77" fillId="19" borderId="0" applyAlignment="1" pivotButton="0" quotePrefix="0" xfId="0">
      <alignment horizontal="center"/>
    </xf>
    <xf numFmtId="3" fontId="77" fillId="19" borderId="0" applyAlignment="1" pivotButton="0" quotePrefix="0" xfId="0">
      <alignment horizontal="center"/>
    </xf>
    <xf numFmtId="0" fontId="127" fillId="10" borderId="0" applyAlignment="1" pivotButton="0" quotePrefix="0" xfId="0">
      <alignment vertical="center"/>
    </xf>
    <xf numFmtId="0" fontId="133" fillId="10" borderId="0" applyAlignment="1" pivotButton="0" quotePrefix="0" xfId="0">
      <alignment vertical="center"/>
    </xf>
    <xf numFmtId="0" fontId="55" fillId="22" borderId="0" applyAlignment="1" pivotButton="0" quotePrefix="0" xfId="0">
      <alignment horizontal="center" vertical="center"/>
    </xf>
    <xf numFmtId="0" fontId="74" fillId="2" borderId="0" pivotButton="0" quotePrefix="0" xfId="0"/>
    <xf numFmtId="0" fontId="69" fillId="2" borderId="0" pivotButton="0" quotePrefix="0" xfId="0"/>
    <xf numFmtId="0" fontId="86" fillId="22" borderId="0" applyAlignment="1" pivotButton="0" quotePrefix="0" xfId="0">
      <alignment horizontal="center" vertical="center"/>
    </xf>
    <xf numFmtId="0" fontId="86" fillId="22" borderId="0" applyAlignment="1" pivotButton="0" quotePrefix="0" xfId="0">
      <alignment vertical="center"/>
    </xf>
    <xf numFmtId="0" fontId="87" fillId="22" borderId="0" pivotButton="0" quotePrefix="0" xfId="0"/>
    <xf numFmtId="0" fontId="80" fillId="22" borderId="0" pivotButton="0" quotePrefix="0" xfId="0"/>
    <xf numFmtId="0" fontId="69" fillId="28" borderId="0" pivotButton="0" quotePrefix="0" xfId="0"/>
    <xf numFmtId="0" fontId="134" fillId="22" borderId="0" applyAlignment="1" pivotButton="0" quotePrefix="0" xfId="0">
      <alignment horizontal="left"/>
    </xf>
    <xf numFmtId="0" fontId="70" fillId="19" borderId="0" pivotButton="0" quotePrefix="0" xfId="0"/>
    <xf numFmtId="0" fontId="74" fillId="12" borderId="10" applyAlignment="1" pivotButton="0" quotePrefix="0" xfId="0">
      <alignment horizontal="center" vertical="center"/>
    </xf>
    <xf numFmtId="0" fontId="75" fillId="11" borderId="11" applyAlignment="1" pivotButton="0" quotePrefix="0" xfId="0">
      <alignment horizontal="center"/>
    </xf>
    <xf numFmtId="0" fontId="69" fillId="21" borderId="17" pivotButton="0" quotePrefix="0" xfId="0"/>
    <xf numFmtId="0" fontId="69" fillId="21" borderId="56" pivotButton="0" quotePrefix="0" xfId="0"/>
    <xf numFmtId="0" fontId="56" fillId="22" borderId="0" pivotButton="0" quotePrefix="0" xfId="0"/>
    <xf numFmtId="0" fontId="70" fillId="28" borderId="0" pivotButton="0" quotePrefix="0" xfId="0"/>
    <xf numFmtId="168" fontId="70" fillId="22" borderId="0" applyAlignment="1" pivotButton="0" quotePrefix="0" xfId="0">
      <alignment horizontal="center"/>
    </xf>
    <xf numFmtId="0" fontId="72" fillId="12" borderId="0" pivotButton="0" quotePrefix="0" xfId="0"/>
    <xf numFmtId="0" fontId="72" fillId="12" borderId="0" applyAlignment="1" pivotButton="0" quotePrefix="0" xfId="0">
      <alignment horizontal="center" vertical="center"/>
    </xf>
    <xf numFmtId="0" fontId="72" fillId="12" borderId="0" applyAlignment="1" pivotButton="0" quotePrefix="0" xfId="0">
      <alignment horizontal="left" vertical="center"/>
    </xf>
    <xf numFmtId="0" fontId="72" fillId="12" borderId="0" applyAlignment="1" pivotButton="0" quotePrefix="0" xfId="0">
      <alignment horizontal="left"/>
    </xf>
    <xf numFmtId="0" fontId="55" fillId="12" borderId="0" applyAlignment="1" pivotButton="0" quotePrefix="0" xfId="0">
      <alignment horizontal="center"/>
    </xf>
    <xf numFmtId="0" fontId="78" fillId="12" borderId="0" applyAlignment="1" pivotButton="0" quotePrefix="0" xfId="0">
      <alignment horizontal="left" indent="2"/>
    </xf>
    <xf numFmtId="0" fontId="72" fillId="12" borderId="0" applyAlignment="1" pivotButton="0" quotePrefix="0" xfId="0">
      <alignment horizontal="center"/>
    </xf>
    <xf numFmtId="0" fontId="72" fillId="12" borderId="21" applyAlignment="1" pivotButton="0" quotePrefix="0" xfId="0">
      <alignment horizontal="left"/>
    </xf>
    <xf numFmtId="0" fontId="72" fillId="12" borderId="21" applyAlignment="1" pivotButton="0" quotePrefix="0" xfId="0">
      <alignment horizontal="left" indent="2"/>
    </xf>
    <xf numFmtId="0" fontId="72" fillId="12" borderId="0" applyAlignment="1" pivotButton="0" quotePrefix="0" xfId="0">
      <alignment horizontal="left" indent="2"/>
    </xf>
    <xf numFmtId="0" fontId="69" fillId="0" borderId="4" applyAlignment="1" pivotButton="0" quotePrefix="0" xfId="0">
      <alignment horizontal="center"/>
    </xf>
    <xf numFmtId="0" fontId="79" fillId="6" borderId="0" pivotButton="0" quotePrefix="0" xfId="0"/>
    <xf numFmtId="0" fontId="79" fillId="6" borderId="0" applyAlignment="1" pivotButton="0" quotePrefix="0" xfId="0">
      <alignment horizontal="right"/>
    </xf>
    <xf numFmtId="164" fontId="69" fillId="2" borderId="66" applyAlignment="1" pivotButton="0" quotePrefix="0" xfId="0">
      <alignment horizontal="center"/>
    </xf>
    <xf numFmtId="164" fontId="69" fillId="2" borderId="72" applyAlignment="1" pivotButton="0" quotePrefix="0" xfId="0">
      <alignment horizontal="center"/>
    </xf>
    <xf numFmtId="168" fontId="69" fillId="2" borderId="72" applyAlignment="1" pivotButton="0" quotePrefix="0" xfId="0">
      <alignment horizontal="center"/>
    </xf>
    <xf numFmtId="164" fontId="69" fillId="2" borderId="73" applyAlignment="1" pivotButton="0" quotePrefix="0" xfId="0">
      <alignment horizontal="center"/>
    </xf>
    <xf numFmtId="168" fontId="69" fillId="2" borderId="73" applyAlignment="1" pivotButton="0" quotePrefix="0" xfId="0">
      <alignment horizontal="center"/>
    </xf>
    <xf numFmtId="164" fontId="69" fillId="2" borderId="74" applyAlignment="1" pivotButton="0" quotePrefix="0" xfId="0">
      <alignment horizontal="center"/>
    </xf>
    <xf numFmtId="168" fontId="69" fillId="2" borderId="74" applyAlignment="1" pivotButton="0" quotePrefix="0" xfId="0">
      <alignment horizontal="center"/>
    </xf>
    <xf numFmtId="3" fontId="69" fillId="2" borderId="72" applyAlignment="1" pivotButton="0" quotePrefix="0" xfId="0">
      <alignment horizontal="center"/>
    </xf>
    <xf numFmtId="3" fontId="69" fillId="2" borderId="73" applyAlignment="1" pivotButton="0" quotePrefix="0" xfId="0">
      <alignment horizontal="center"/>
    </xf>
    <xf numFmtId="3" fontId="69" fillId="2" borderId="74" applyAlignment="1" pivotButton="0" quotePrefix="0" xfId="0">
      <alignment horizontal="center"/>
    </xf>
    <xf numFmtId="0" fontId="69" fillId="2" borderId="72" applyAlignment="1" pivotButton="0" quotePrefix="0" xfId="0">
      <alignment horizontal="center"/>
    </xf>
    <xf numFmtId="9" fontId="69" fillId="2" borderId="72" applyAlignment="1" pivotButton="0" quotePrefix="0" xfId="6">
      <alignment horizontal="center"/>
    </xf>
    <xf numFmtId="9" fontId="69" fillId="2" borderId="67" applyAlignment="1" pivotButton="0" quotePrefix="0" xfId="6">
      <alignment horizontal="center"/>
    </xf>
    <xf numFmtId="0" fontId="69" fillId="2" borderId="73" applyAlignment="1" pivotButton="0" quotePrefix="0" xfId="0">
      <alignment horizontal="center"/>
    </xf>
    <xf numFmtId="0" fontId="69" fillId="2" borderId="74" applyAlignment="1" pivotButton="0" quotePrefix="0" xfId="0">
      <alignment horizontal="center"/>
    </xf>
    <xf numFmtId="3" fontId="69" fillId="6" borderId="69" applyAlignment="1" pivotButton="0" quotePrefix="0" xfId="0">
      <alignment horizontal="center"/>
    </xf>
    <xf numFmtId="3" fontId="69" fillId="6" borderId="77" applyAlignment="1" pivotButton="0" quotePrefix="0" xfId="0">
      <alignment horizontal="center"/>
    </xf>
    <xf numFmtId="1" fontId="69" fillId="2" borderId="0" applyAlignment="1" pivotButton="0" quotePrefix="0" xfId="0">
      <alignment horizontal="center"/>
    </xf>
    <xf numFmtId="2" fontId="69" fillId="2" borderId="0" applyAlignment="1" pivotButton="0" quotePrefix="0" xfId="0">
      <alignment horizontal="center"/>
    </xf>
    <xf numFmtId="0" fontId="69" fillId="6" borderId="0" pivotButton="0" quotePrefix="0" xfId="0"/>
    <xf numFmtId="9" fontId="69" fillId="22" borderId="0" pivotButton="0" quotePrefix="0" xfId="6"/>
    <xf numFmtId="3" fontId="77" fillId="22" borderId="0" applyAlignment="1" pivotButton="0" quotePrefix="0" xfId="0">
      <alignment horizontal="center"/>
    </xf>
    <xf numFmtId="0" fontId="69" fillId="22" borderId="1" pivotButton="0" quotePrefix="0" xfId="0"/>
    <xf numFmtId="0" fontId="69" fillId="22" borderId="3" pivotButton="0" quotePrefix="0" xfId="0"/>
    <xf numFmtId="0" fontId="69" fillId="22" borderId="4" pivotButton="0" quotePrefix="0" xfId="0"/>
    <xf numFmtId="0" fontId="69" fillId="22" borderId="5" pivotButton="0" quotePrefix="0" xfId="0"/>
    <xf numFmtId="0" fontId="56" fillId="22" borderId="0" applyAlignment="1" pivotButton="0" quotePrefix="0" xfId="0">
      <alignment horizontal="left" vertical="center" indent="1"/>
    </xf>
    <xf numFmtId="0" fontId="88" fillId="22" borderId="2" applyAlignment="1" pivotButton="0" quotePrefix="0" xfId="0">
      <alignment horizontal="center"/>
    </xf>
    <xf numFmtId="168" fontId="69" fillId="22" borderId="0" applyAlignment="1" pivotButton="0" quotePrefix="0" xfId="0">
      <alignment horizontal="center"/>
    </xf>
    <xf numFmtId="0" fontId="0" fillId="6" borderId="10" applyAlignment="1" pivotButton="0" quotePrefix="0" xfId="0">
      <alignment horizontal="left"/>
    </xf>
    <xf numFmtId="0" fontId="74" fillId="22" borderId="11" applyAlignment="1" pivotButton="0" quotePrefix="0" xfId="0">
      <alignment horizontal="left" indent="12"/>
    </xf>
    <xf numFmtId="0" fontId="69" fillId="22" borderId="11" applyAlignment="1" pivotButton="0" quotePrefix="0" xfId="0">
      <alignment horizontal="left" indent="7"/>
    </xf>
    <xf numFmtId="0" fontId="74" fillId="22" borderId="11" applyAlignment="1" pivotButton="0" quotePrefix="0" xfId="0">
      <alignment horizontal="center"/>
    </xf>
    <xf numFmtId="0" fontId="69" fillId="6" borderId="3" pivotButton="0" quotePrefix="0" xfId="0"/>
    <xf numFmtId="0" fontId="74" fillId="6" borderId="0" applyAlignment="1" pivotButton="0" quotePrefix="0" xfId="0">
      <alignment horizontal="center"/>
    </xf>
    <xf numFmtId="0" fontId="74" fillId="6" borderId="4" applyAlignment="1" pivotButton="0" quotePrefix="0" xfId="0">
      <alignment horizontal="center"/>
    </xf>
    <xf numFmtId="0" fontId="75" fillId="11" borderId="3" applyAlignment="1" pivotButton="0" quotePrefix="0" xfId="0">
      <alignment horizontal="center"/>
    </xf>
    <xf numFmtId="0" fontId="75" fillId="11" borderId="0" applyAlignment="1" pivotButton="0" quotePrefix="0" xfId="0">
      <alignment horizontal="center"/>
    </xf>
    <xf numFmtId="0" fontId="69" fillId="6" borderId="0" applyAlignment="1" pivotButton="0" quotePrefix="0" xfId="0">
      <alignment horizontal="center"/>
    </xf>
    <xf numFmtId="0" fontId="69" fillId="6" borderId="4" pivotButton="0" quotePrefix="0" xfId="0"/>
    <xf numFmtId="0" fontId="69" fillId="22" borderId="4" applyAlignment="1" pivotButton="0" quotePrefix="0" xfId="0">
      <alignment horizontal="center"/>
    </xf>
    <xf numFmtId="0" fontId="69" fillId="22" borderId="6" applyAlignment="1" pivotButton="0" quotePrefix="0" xfId="0">
      <alignment horizontal="center"/>
    </xf>
    <xf numFmtId="0" fontId="74" fillId="12" borderId="0" applyAlignment="1" pivotButton="0" quotePrefix="0" xfId="0">
      <alignment horizontal="left" indent="1"/>
    </xf>
    <xf numFmtId="164" fontId="69" fillId="22" borderId="0" applyAlignment="1" pivotButton="0" quotePrefix="0" xfId="0">
      <alignment horizontal="center"/>
    </xf>
    <xf numFmtId="0" fontId="55" fillId="16" borderId="0" pivotButton="0" quotePrefix="0" xfId="0"/>
    <xf numFmtId="0" fontId="55" fillId="17" borderId="0" pivotButton="0" quotePrefix="0" xfId="0"/>
    <xf numFmtId="0" fontId="69" fillId="12" borderId="0" applyAlignment="1" pivotButton="0" quotePrefix="0" xfId="0">
      <alignment horizontal="left" indent="1"/>
    </xf>
    <xf numFmtId="0" fontId="110" fillId="12" borderId="0" applyAlignment="1" pivotButton="0" quotePrefix="0" xfId="0">
      <alignment horizontal="center"/>
    </xf>
    <xf numFmtId="3" fontId="79" fillId="6" borderId="0" applyAlignment="1" pivotButton="0" quotePrefix="0" xfId="0">
      <alignment horizontal="center"/>
    </xf>
    <xf numFmtId="0" fontId="74" fillId="12" borderId="0" applyAlignment="1" pivotButton="0" quotePrefix="0" xfId="0">
      <alignment horizontal="left" indent="13"/>
    </xf>
    <xf numFmtId="0" fontId="69" fillId="2" borderId="66" applyAlignment="1" pivotButton="0" quotePrefix="0" xfId="0">
      <alignment horizontal="center"/>
    </xf>
    <xf numFmtId="2" fontId="69" fillId="2" borderId="67" applyAlignment="1" pivotButton="0" quotePrefix="0" xfId="0">
      <alignment horizontal="center"/>
    </xf>
    <xf numFmtId="0" fontId="69" fillId="2" borderId="68" applyAlignment="1" pivotButton="0" quotePrefix="0" xfId="0">
      <alignment horizontal="center"/>
    </xf>
    <xf numFmtId="2" fontId="69" fillId="2" borderId="69" applyAlignment="1" pivotButton="0" quotePrefix="0" xfId="0">
      <alignment horizontal="center"/>
    </xf>
    <xf numFmtId="0" fontId="69" fillId="2" borderId="70" applyAlignment="1" pivotButton="0" quotePrefix="0" xfId="0">
      <alignment horizontal="center"/>
    </xf>
    <xf numFmtId="2" fontId="69" fillId="2" borderId="71" applyAlignment="1" pivotButton="0" quotePrefix="0" xfId="0">
      <alignment horizontal="center"/>
    </xf>
    <xf numFmtId="164" fontId="55" fillId="22" borderId="0" applyAlignment="1" pivotButton="0" quotePrefix="0" xfId="0">
      <alignment horizontal="center"/>
    </xf>
    <xf numFmtId="164" fontId="82" fillId="22" borderId="0" applyAlignment="1" pivotButton="0" quotePrefix="0" xfId="0">
      <alignment horizontal="center"/>
    </xf>
    <xf numFmtId="0" fontId="3" fillId="22" borderId="0" pivotButton="0" quotePrefix="0" xfId="0"/>
    <xf numFmtId="0" fontId="70" fillId="22" borderId="0" applyAlignment="1" pivotButton="0" quotePrefix="0" xfId="0">
      <alignment vertical="center"/>
    </xf>
    <xf numFmtId="0" fontId="70" fillId="22" borderId="0" applyAlignment="1" pivotButton="0" quotePrefix="0" xfId="0">
      <alignment vertical="top" wrapText="1"/>
    </xf>
    <xf numFmtId="0" fontId="70" fillId="22" borderId="0" applyAlignment="1" pivotButton="0" quotePrefix="0" xfId="0">
      <alignment wrapText="1"/>
    </xf>
    <xf numFmtId="0" fontId="70" fillId="22" borderId="0" applyAlignment="1" pivotButton="0" quotePrefix="0" xfId="0">
      <alignment vertical="center" wrapText="1"/>
    </xf>
    <xf numFmtId="0" fontId="70" fillId="22" borderId="0" applyAlignment="1" pivotButton="0" quotePrefix="0" xfId="0">
      <alignment vertical="top"/>
    </xf>
    <xf numFmtId="0" fontId="70" fillId="22" borderId="0" applyAlignment="1" pivotButton="0" quotePrefix="0" xfId="0">
      <alignment horizontal="left" vertical="center"/>
    </xf>
    <xf numFmtId="0" fontId="56" fillId="2" borderId="66" applyAlignment="1" pivotButton="0" quotePrefix="0" xfId="0">
      <alignment horizontal="left" vertical="center" wrapText="1"/>
    </xf>
    <xf numFmtId="0" fontId="70" fillId="2" borderId="67" applyAlignment="1" pivotButton="0" quotePrefix="0" xfId="0">
      <alignment horizontal="left" vertical="center" wrapText="1"/>
    </xf>
    <xf numFmtId="0" fontId="70" fillId="2" borderId="67" applyAlignment="1" pivotButton="0" quotePrefix="0" xfId="0">
      <alignment vertical="center" wrapText="1"/>
    </xf>
    <xf numFmtId="0" fontId="56" fillId="2" borderId="68" applyAlignment="1" pivotButton="0" quotePrefix="0" xfId="0">
      <alignment horizontal="left" vertical="center" wrapText="1"/>
    </xf>
    <xf numFmtId="0" fontId="56" fillId="2" borderId="68" applyAlignment="1" pivotButton="0" quotePrefix="0" xfId="0">
      <alignment vertical="center" wrapText="1"/>
    </xf>
    <xf numFmtId="0" fontId="56" fillId="2" borderId="70" applyAlignment="1" pivotButton="0" quotePrefix="0" xfId="0">
      <alignment horizontal="left" vertical="center" wrapText="1"/>
    </xf>
    <xf numFmtId="0" fontId="56" fillId="22" borderId="0" applyAlignment="1" pivotButton="0" quotePrefix="0" xfId="0">
      <alignment horizontal="left" vertical="center" wrapText="1"/>
    </xf>
    <xf numFmtId="0" fontId="56" fillId="22" borderId="75" applyAlignment="1" pivotButton="0" quotePrefix="0" xfId="0">
      <alignment horizontal="left" vertical="center" wrapText="1"/>
    </xf>
    <xf numFmtId="0" fontId="70" fillId="22" borderId="77" applyAlignment="1" pivotButton="0" quotePrefix="0" xfId="0">
      <alignment horizontal="left" vertical="center" wrapText="1"/>
    </xf>
    <xf numFmtId="0" fontId="70" fillId="2" borderId="69" applyAlignment="1" pivotButton="0" quotePrefix="0" xfId="0">
      <alignment horizontal="left" vertical="center" wrapText="1"/>
    </xf>
    <xf numFmtId="0" fontId="70" fillId="2" borderId="71" applyAlignment="1" pivotButton="0" quotePrefix="0" xfId="0">
      <alignment horizontal="left" vertical="center" wrapText="1"/>
    </xf>
    <xf numFmtId="0" fontId="74" fillId="22" borderId="0" applyAlignment="1" pivotButton="0" quotePrefix="0" xfId="0">
      <alignment vertical="center" wrapText="1"/>
    </xf>
    <xf numFmtId="0" fontId="74" fillId="36" borderId="0" applyAlignment="1" pivotButton="0" quotePrefix="0" xfId="0">
      <alignment vertical="center" wrapText="1"/>
    </xf>
    <xf numFmtId="0" fontId="69" fillId="22" borderId="0" applyAlignment="1" pivotButton="0" quotePrefix="0" xfId="0">
      <alignment vertical="center" wrapText="1"/>
    </xf>
    <xf numFmtId="0" fontId="128" fillId="36" borderId="0" applyAlignment="1" pivotButton="0" quotePrefix="0" xfId="0">
      <alignment vertical="center" wrapText="1"/>
    </xf>
    <xf numFmtId="0" fontId="70" fillId="36" borderId="0" pivotButton="0" quotePrefix="0" xfId="0"/>
    <xf numFmtId="0" fontId="131" fillId="34" borderId="0" applyAlignment="1" pivotButton="0" quotePrefix="0" xfId="0">
      <alignment vertical="center"/>
    </xf>
    <xf numFmtId="168" fontId="69" fillId="22" borderId="66" applyAlignment="1" pivotButton="0" quotePrefix="0" xfId="0">
      <alignment horizontal="center"/>
    </xf>
    <xf numFmtId="168" fontId="69" fillId="22" borderId="79" applyAlignment="1" pivotButton="0" quotePrefix="0" xfId="0">
      <alignment horizontal="center"/>
    </xf>
    <xf numFmtId="0" fontId="127" fillId="22" borderId="0" applyAlignment="1" pivotButton="0" quotePrefix="0" xfId="0">
      <alignment vertical="center"/>
    </xf>
    <xf numFmtId="0" fontId="74" fillId="2" borderId="0" applyAlignment="1" pivotButton="0" quotePrefix="0" xfId="0">
      <alignment horizontal="left" indent="6"/>
    </xf>
    <xf numFmtId="3" fontId="69" fillId="22" borderId="0" applyAlignment="1" pivotButton="0" quotePrefix="0" xfId="0">
      <alignment horizontal="left"/>
    </xf>
    <xf numFmtId="0" fontId="79" fillId="22" borderId="0" pivotButton="0" quotePrefix="0" xfId="0"/>
    <xf numFmtId="0" fontId="74" fillId="12" borderId="21" applyAlignment="1" pivotButton="0" quotePrefix="0" xfId="0">
      <alignment horizontal="left"/>
    </xf>
    <xf numFmtId="0" fontId="56" fillId="22" borderId="0" applyAlignment="1" pivotButton="0" quotePrefix="0" xfId="0">
      <alignment horizontal="left" vertical="center"/>
    </xf>
    <xf numFmtId="0" fontId="74" fillId="2" borderId="0" applyAlignment="1" pivotButton="0" quotePrefix="0" xfId="0">
      <alignment horizontal="left" indent="1"/>
    </xf>
    <xf numFmtId="168" fontId="77" fillId="19" borderId="0" applyAlignment="1" pivotButton="0" quotePrefix="0" xfId="0">
      <alignment horizontal="center"/>
    </xf>
    <xf numFmtId="0" fontId="56" fillId="2" borderId="0" applyAlignment="1" pivotButton="0" quotePrefix="0" xfId="0">
      <alignment horizontal="left" vertical="center" indent="1"/>
    </xf>
    <xf numFmtId="0" fontId="56" fillId="2" borderId="0" applyAlignment="1" pivotButton="0" quotePrefix="0" xfId="0">
      <alignment horizontal="left" vertical="center" indent="12"/>
    </xf>
    <xf numFmtId="0" fontId="56" fillId="2" borderId="0" applyAlignment="1" pivotButton="0" quotePrefix="0" xfId="0">
      <alignment horizontal="left" vertical="center" indent="4"/>
    </xf>
    <xf numFmtId="0" fontId="70" fillId="2" borderId="0" applyAlignment="1" pivotButton="0" quotePrefix="0" xfId="0">
      <alignment horizontal="left" vertical="top"/>
    </xf>
    <xf numFmtId="0" fontId="70" fillId="2" borderId="0" applyAlignment="1" pivotButton="0" quotePrefix="0" xfId="0">
      <alignment horizontal="center" vertical="top"/>
    </xf>
    <xf numFmtId="9" fontId="69" fillId="22" borderId="0" applyAlignment="1" pivotButton="0" quotePrefix="0" xfId="0">
      <alignment horizontal="center"/>
    </xf>
    <xf numFmtId="164" fontId="0" fillId="2" borderId="7" applyAlignment="1" pivotButton="0" quotePrefix="0" xfId="0">
      <alignment horizontal="center"/>
    </xf>
    <xf numFmtId="164" fontId="0" fillId="2" borderId="8" applyAlignment="1" pivotButton="0" quotePrefix="0" xfId="0">
      <alignment horizontal="center"/>
    </xf>
    <xf numFmtId="164" fontId="0" fillId="2" borderId="9" applyAlignment="1" pivotButton="0" quotePrefix="0" xfId="0">
      <alignment horizontal="center"/>
    </xf>
    <xf numFmtId="9" fontId="0" fillId="2" borderId="10" applyAlignment="1" pivotButton="0" quotePrefix="0" xfId="6">
      <alignment horizontal="left"/>
    </xf>
    <xf numFmtId="3" fontId="69" fillId="22" borderId="0" pivotButton="0" quotePrefix="0" xfId="0"/>
    <xf numFmtId="0" fontId="74" fillId="22" borderId="11" applyAlignment="1" pivotButton="0" quotePrefix="0" xfId="0">
      <alignment horizontal="left"/>
    </xf>
    <xf numFmtId="168" fontId="70" fillId="28" borderId="0" applyAlignment="1" pivotButton="0" quotePrefix="0" xfId="0">
      <alignment horizontal="center"/>
    </xf>
    <xf numFmtId="0" fontId="74" fillId="22" borderId="0" applyAlignment="1" pivotButton="0" quotePrefix="0" xfId="0">
      <alignment vertical="center"/>
    </xf>
    <xf numFmtId="0" fontId="127" fillId="12" borderId="0" pivotButton="0" quotePrefix="0" xfId="0"/>
    <xf numFmtId="0" fontId="127" fillId="12" borderId="0" applyAlignment="1" pivotButton="0" quotePrefix="0" xfId="0">
      <alignment vertical="center"/>
    </xf>
    <xf numFmtId="0" fontId="138" fillId="22" borderId="0" applyAlignment="1" pivotButton="0" quotePrefix="0" xfId="0">
      <alignment vertical="center"/>
    </xf>
    <xf numFmtId="0" fontId="71" fillId="12" borderId="0" applyAlignment="1" pivotButton="0" quotePrefix="0" xfId="0">
      <alignment vertical="center"/>
    </xf>
    <xf numFmtId="0" fontId="69" fillId="22" borderId="72" applyAlignment="1" pivotButton="0" quotePrefix="0" xfId="0">
      <alignment horizontal="center"/>
    </xf>
    <xf numFmtId="9" fontId="69" fillId="22" borderId="72" applyAlignment="1" pivotButton="0" quotePrefix="0" xfId="6">
      <alignment horizontal="center"/>
    </xf>
    <xf numFmtId="0" fontId="79" fillId="2" borderId="0" applyAlignment="1" pivotButton="0" quotePrefix="0" xfId="0">
      <alignment horizontal="center"/>
    </xf>
    <xf numFmtId="0" fontId="127" fillId="22" borderId="0" pivotButton="0" quotePrefix="0" xfId="0"/>
    <xf numFmtId="0" fontId="74" fillId="22" borderId="0" applyAlignment="1" pivotButton="0" quotePrefix="0" xfId="0">
      <alignment horizontal="left" indent="2"/>
    </xf>
    <xf numFmtId="164" fontId="70" fillId="22" borderId="0" applyAlignment="1" pivotButton="0" quotePrefix="0" xfId="0">
      <alignment horizontal="center"/>
    </xf>
    <xf numFmtId="2" fontId="77" fillId="19" borderId="0" applyAlignment="1" pivotButton="0" quotePrefix="0" xfId="0">
      <alignment horizontal="center"/>
    </xf>
    <xf numFmtId="0" fontId="69" fillId="27" borderId="0" pivotButton="0" quotePrefix="0" xfId="0"/>
    <xf numFmtId="0" fontId="79" fillId="22" borderId="21" pivotButton="0" quotePrefix="0" xfId="0"/>
    <xf numFmtId="0" fontId="79" fillId="12" borderId="0" applyAlignment="1" pivotButton="0" quotePrefix="0" xfId="0">
      <alignment vertical="center"/>
    </xf>
    <xf numFmtId="0" fontId="69" fillId="35" borderId="0" pivotButton="0" quotePrefix="0" xfId="0"/>
    <xf numFmtId="0" fontId="127" fillId="22" borderId="21" pivotButton="0" quotePrefix="0" xfId="0"/>
    <xf numFmtId="0" fontId="74" fillId="37" borderId="0" applyAlignment="1" pivotButton="0" quotePrefix="0" xfId="0">
      <alignment horizontal="left" indent="15"/>
    </xf>
    <xf numFmtId="0" fontId="74" fillId="37" borderId="0" applyAlignment="1" pivotButton="0" quotePrefix="0" xfId="0">
      <alignment horizontal="center"/>
    </xf>
    <xf numFmtId="0" fontId="74" fillId="38" borderId="0" applyAlignment="1" pivotButton="0" quotePrefix="0" xfId="0">
      <alignment horizontal="left" indent="7"/>
    </xf>
    <xf numFmtId="0" fontId="74" fillId="38" borderId="0" applyAlignment="1" pivotButton="0" quotePrefix="0" xfId="0">
      <alignment horizontal="center"/>
    </xf>
    <xf numFmtId="0" fontId="79" fillId="2" borderId="0" pivotButton="0" quotePrefix="0" xfId="0"/>
    <xf numFmtId="0" fontId="74" fillId="35" borderId="0" pivotButton="0" quotePrefix="0" xfId="0"/>
    <xf numFmtId="0" fontId="69" fillId="35" borderId="0" applyAlignment="1" pivotButton="0" quotePrefix="0" xfId="0">
      <alignment horizontal="center"/>
    </xf>
    <xf numFmtId="0" fontId="74" fillId="27" borderId="0" pivotButton="0" quotePrefix="0" xfId="0"/>
    <xf numFmtId="0" fontId="69" fillId="27" borderId="0" applyAlignment="1" pivotButton="0" quotePrefix="0" xfId="0">
      <alignment horizontal="center"/>
    </xf>
    <xf numFmtId="0" fontId="74" fillId="33" borderId="0" pivotButton="0" quotePrefix="0" xfId="0"/>
    <xf numFmtId="0" fontId="69" fillId="33" borderId="0" pivotButton="0" quotePrefix="0" xfId="0"/>
    <xf numFmtId="0" fontId="69" fillId="33" borderId="0" applyAlignment="1" pivotButton="0" quotePrefix="0" xfId="0">
      <alignment horizontal="center"/>
    </xf>
    <xf numFmtId="0" fontId="79" fillId="12" borderId="0" pivotButton="0" quotePrefix="0" xfId="0"/>
    <xf numFmtId="0" fontId="74" fillId="27" borderId="0" applyAlignment="1" pivotButton="0" quotePrefix="0" xfId="0">
      <alignment vertical="center"/>
    </xf>
    <xf numFmtId="168" fontId="69" fillId="2" borderId="0" applyAlignment="1" pivotButton="0" quotePrefix="0" xfId="0">
      <alignment horizontal="center"/>
    </xf>
    <xf numFmtId="0" fontId="74" fillId="22" borderId="0" pivotButton="0" quotePrefix="0" xfId="0"/>
    <xf numFmtId="3" fontId="70" fillId="2" borderId="66" applyAlignment="1" pivotButton="0" quotePrefix="0" xfId="0">
      <alignment horizontal="center" wrapText="1"/>
    </xf>
    <xf numFmtId="3" fontId="70" fillId="2" borderId="72" applyAlignment="1" pivotButton="0" quotePrefix="0" xfId="0">
      <alignment horizontal="center" wrapText="1"/>
    </xf>
    <xf numFmtId="3" fontId="70" fillId="6" borderId="67" applyAlignment="1" pivotButton="0" quotePrefix="0" xfId="0">
      <alignment horizontal="center"/>
    </xf>
    <xf numFmtId="3" fontId="70" fillId="6" borderId="69" applyAlignment="1" pivotButton="0" quotePrefix="0" xfId="0">
      <alignment horizontal="center"/>
    </xf>
    <xf numFmtId="3" fontId="70" fillId="6" borderId="71" applyAlignment="1" pivotButton="0" quotePrefix="0" xfId="0">
      <alignment horizontal="center"/>
    </xf>
    <xf numFmtId="0" fontId="79" fillId="35" borderId="0" pivotButton="0" quotePrefix="0" xfId="0"/>
    <xf numFmtId="168" fontId="69" fillId="28" borderId="0" pivotButton="0" quotePrefix="0" xfId="0"/>
    <xf numFmtId="0" fontId="68" fillId="22" borderId="0" applyAlignment="1" pivotButton="0" quotePrefix="0" xfId="0">
      <alignment vertical="center"/>
    </xf>
    <xf numFmtId="0" fontId="69" fillId="12" borderId="10" applyAlignment="1" pivotButton="0" quotePrefix="0" xfId="0">
      <alignment horizontal="center"/>
    </xf>
    <xf numFmtId="0" fontId="69" fillId="12" borderId="12" applyAlignment="1" pivotButton="0" quotePrefix="0" xfId="0">
      <alignment horizontal="center"/>
    </xf>
    <xf numFmtId="0" fontId="69" fillId="12" borderId="13" applyAlignment="1" pivotButton="0" quotePrefix="0" xfId="0">
      <alignment horizontal="center"/>
    </xf>
    <xf numFmtId="0" fontId="69" fillId="12" borderId="14" applyAlignment="1" pivotButton="0" quotePrefix="0" xfId="0">
      <alignment horizontal="center"/>
    </xf>
    <xf numFmtId="0" fontId="70" fillId="12" borderId="13" applyAlignment="1" pivotButton="0" quotePrefix="0" xfId="0">
      <alignment horizontal="center"/>
    </xf>
    <xf numFmtId="0" fontId="70" fillId="12" borderId="12" applyAlignment="1" pivotButton="0" quotePrefix="0" xfId="0">
      <alignment horizontal="center"/>
    </xf>
    <xf numFmtId="0" fontId="70" fillId="12" borderId="7" applyAlignment="1" pivotButton="0" quotePrefix="0" xfId="0">
      <alignment horizontal="center"/>
    </xf>
    <xf numFmtId="0" fontId="77" fillId="19" borderId="8" applyAlignment="1" pivotButton="0" quotePrefix="0" xfId="0">
      <alignment horizontal="center"/>
    </xf>
    <xf numFmtId="164" fontId="77" fillId="19" borderId="8" applyAlignment="1" pivotButton="0" quotePrefix="0" xfId="0">
      <alignment horizontal="center"/>
    </xf>
    <xf numFmtId="0" fontId="74" fillId="22" borderId="1" applyAlignment="1" pivotButton="0" quotePrefix="0" xfId="0">
      <alignment horizontal="center" vertical="center"/>
    </xf>
    <xf numFmtId="0" fontId="69" fillId="22" borderId="11" applyAlignment="1" pivotButton="0" quotePrefix="0" xfId="0">
      <alignment horizontal="center"/>
    </xf>
    <xf numFmtId="0" fontId="74" fillId="22" borderId="11" applyAlignment="1" pivotButton="0" quotePrefix="0" xfId="0">
      <alignment horizontal="center" vertical="center"/>
    </xf>
    <xf numFmtId="0" fontId="56" fillId="22" borderId="5" applyAlignment="1" pivotButton="0" quotePrefix="0" xfId="0">
      <alignment horizontal="center"/>
    </xf>
    <xf numFmtId="0" fontId="56" fillId="22" borderId="21" applyAlignment="1" pivotButton="0" quotePrefix="0" xfId="0">
      <alignment horizontal="center"/>
    </xf>
    <xf numFmtId="0" fontId="70" fillId="22" borderId="21" applyAlignment="1" pivotButton="0" quotePrefix="0" xfId="0">
      <alignment horizontal="center"/>
    </xf>
    <xf numFmtId="0" fontId="70" fillId="22" borderId="6" applyAlignment="1" pivotButton="0" quotePrefix="0" xfId="0">
      <alignment horizontal="center"/>
    </xf>
    <xf numFmtId="0" fontId="69" fillId="3" borderId="0" pivotButton="0" quotePrefix="0" xfId="0"/>
    <xf numFmtId="0" fontId="74" fillId="35" borderId="0" applyAlignment="1" pivotButton="0" quotePrefix="0" xfId="0">
      <alignment vertical="center"/>
    </xf>
    <xf numFmtId="0" fontId="69" fillId="35" borderId="0" applyAlignment="1" pivotButton="0" quotePrefix="0" xfId="0">
      <alignment wrapText="1"/>
    </xf>
    <xf numFmtId="0" fontId="79" fillId="33" borderId="0" applyAlignment="1" pivotButton="0" quotePrefix="0" xfId="0">
      <alignment vertical="center"/>
    </xf>
    <xf numFmtId="0" fontId="133" fillId="28" borderId="0" applyAlignment="1" pivotButton="0" quotePrefix="0" xfId="0">
      <alignment vertical="center"/>
    </xf>
    <xf numFmtId="0" fontId="127" fillId="28" borderId="0" applyAlignment="1" pivotButton="0" quotePrefix="0" xfId="0">
      <alignment vertical="center"/>
    </xf>
    <xf numFmtId="3" fontId="70" fillId="2" borderId="66" applyAlignment="1" pivotButton="0" quotePrefix="0" xfId="0">
      <alignment horizontal="center"/>
    </xf>
    <xf numFmtId="3" fontId="70" fillId="2" borderId="67" applyAlignment="1" pivotButton="0" quotePrefix="0" xfId="0">
      <alignment horizontal="center"/>
    </xf>
    <xf numFmtId="3" fontId="70" fillId="2" borderId="68" applyAlignment="1" pivotButton="0" quotePrefix="0" xfId="0">
      <alignment horizontal="center"/>
    </xf>
    <xf numFmtId="3" fontId="70" fillId="2" borderId="69" applyAlignment="1" pivotButton="0" quotePrefix="0" xfId="0">
      <alignment horizontal="center"/>
    </xf>
    <xf numFmtId="1" fontId="88" fillId="18" borderId="0" pivotButton="0" quotePrefix="0" xfId="0"/>
    <xf numFmtId="0" fontId="70" fillId="12" borderId="14" applyAlignment="1" pivotButton="0" quotePrefix="0" xfId="0">
      <alignment horizontal="center"/>
    </xf>
    <xf numFmtId="3" fontId="70" fillId="12" borderId="14" applyAlignment="1" pivotButton="0" quotePrefix="0" xfId="0">
      <alignment horizontal="center"/>
    </xf>
    <xf numFmtId="3" fontId="70" fillId="2" borderId="86" applyAlignment="1" pivotButton="0" quotePrefix="0" xfId="0">
      <alignment horizontal="center"/>
    </xf>
    <xf numFmtId="3" fontId="70" fillId="2" borderId="87" applyAlignment="1" pivotButton="0" quotePrefix="0" xfId="0">
      <alignment horizontal="center"/>
    </xf>
    <xf numFmtId="0" fontId="70" fillId="12" borderId="14" applyAlignment="1" pivotButton="0" quotePrefix="0" xfId="0">
      <alignment horizontal="left"/>
    </xf>
    <xf numFmtId="0" fontId="70" fillId="12" borderId="0" applyAlignment="1" pivotButton="0" quotePrefix="0" xfId="0">
      <alignment horizontal="left"/>
    </xf>
    <xf numFmtId="0" fontId="70" fillId="12" borderId="21" applyAlignment="1" pivotButton="0" quotePrefix="0" xfId="0">
      <alignment horizontal="left"/>
    </xf>
    <xf numFmtId="0" fontId="69" fillId="0" borderId="0" pivotButton="0" quotePrefix="0" xfId="0"/>
    <xf numFmtId="0" fontId="80" fillId="3" borderId="7" pivotButton="0" quotePrefix="0" xfId="0"/>
    <xf numFmtId="0" fontId="69" fillId="2" borderId="1" pivotButton="0" quotePrefix="0" xfId="0"/>
    <xf numFmtId="0" fontId="69" fillId="2" borderId="2" pivotButton="0" quotePrefix="0" xfId="0"/>
    <xf numFmtId="0" fontId="74" fillId="2" borderId="1" applyAlignment="1" pivotButton="0" quotePrefix="0" xfId="0">
      <alignment horizontal="left" indent="18"/>
    </xf>
    <xf numFmtId="0" fontId="74" fillId="2" borderId="11" applyAlignment="1" pivotButton="0" quotePrefix="0" xfId="0">
      <alignment horizontal="left" indent="10"/>
    </xf>
    <xf numFmtId="0" fontId="74" fillId="2" borderId="11" applyAlignment="1" pivotButton="0" quotePrefix="0" xfId="0">
      <alignment horizontal="center"/>
    </xf>
    <xf numFmtId="0" fontId="69" fillId="2" borderId="11" pivotButton="0" quotePrefix="0" xfId="0"/>
    <xf numFmtId="0" fontId="74" fillId="2" borderId="3" applyAlignment="1" pivotButton="0" quotePrefix="0" xfId="0">
      <alignment horizontal="left" indent="7"/>
    </xf>
    <xf numFmtId="0" fontId="140" fillId="2" borderId="0" pivotButton="0" quotePrefix="0" xfId="0"/>
    <xf numFmtId="0" fontId="56" fillId="22" borderId="7" applyAlignment="1" pivotButton="0" quotePrefix="0" xfId="0">
      <alignment horizontal="center"/>
    </xf>
    <xf numFmtId="0" fontId="68" fillId="2" borderId="3" applyAlignment="1" pivotButton="0" quotePrefix="0" xfId="0">
      <alignment horizontal="center"/>
    </xf>
    <xf numFmtId="0" fontId="56" fillId="2" borderId="5" applyAlignment="1" pivotButton="0" quotePrefix="0" xfId="0">
      <alignment horizontal="left" indent="10"/>
    </xf>
    <xf numFmtId="0" fontId="70" fillId="2" borderId="21" applyAlignment="1" pivotButton="0" quotePrefix="0" xfId="0">
      <alignment horizontal="center"/>
    </xf>
    <xf numFmtId="0" fontId="70" fillId="2" borderId="21" pivotButton="0" quotePrefix="0" xfId="0"/>
    <xf numFmtId="0" fontId="70" fillId="2" borderId="6" pivotButton="0" quotePrefix="0" xfId="0"/>
    <xf numFmtId="0" fontId="56" fillId="22" borderId="9" applyAlignment="1" pivotButton="0" quotePrefix="0" xfId="0">
      <alignment horizontal="center"/>
    </xf>
    <xf numFmtId="0" fontId="70" fillId="2" borderId="10" pivotButton="0" quotePrefix="0" xfId="0"/>
    <xf numFmtId="0" fontId="56" fillId="2" borderId="8" applyAlignment="1" pivotButton="0" quotePrefix="0" xfId="0">
      <alignment horizontal="center"/>
    </xf>
    <xf numFmtId="0" fontId="70" fillId="2" borderId="4" pivotButton="0" quotePrefix="0" xfId="0"/>
    <xf numFmtId="0" fontId="70" fillId="2" borderId="9" pivotButton="0" quotePrefix="0" xfId="0"/>
    <xf numFmtId="0" fontId="69" fillId="3" borderId="8" pivotButton="0" quotePrefix="0" xfId="0"/>
    <xf numFmtId="0" fontId="69" fillId="2" borderId="8" applyAlignment="1" pivotButton="0" quotePrefix="0" xfId="0">
      <alignment horizontal="center" vertical="top"/>
    </xf>
    <xf numFmtId="0" fontId="70" fillId="2" borderId="8" pivotButton="0" quotePrefix="0" xfId="0"/>
    <xf numFmtId="0" fontId="70" fillId="2" borderId="8" applyAlignment="1" pivotButton="0" quotePrefix="0" xfId="0">
      <alignment wrapText="1"/>
    </xf>
    <xf numFmtId="0" fontId="56" fillId="2" borderId="9" applyAlignment="1" pivotButton="0" quotePrefix="0" xfId="0">
      <alignment horizontal="center"/>
    </xf>
    <xf numFmtId="0" fontId="70" fillId="2" borderId="8" applyAlignment="1" pivotButton="0" quotePrefix="0" xfId="0">
      <alignment horizontal="center"/>
    </xf>
    <xf numFmtId="0" fontId="69" fillId="2" borderId="7" pivotButton="0" quotePrefix="0" xfId="0"/>
    <xf numFmtId="0" fontId="74" fillId="2" borderId="10" applyAlignment="1" pivotButton="0" quotePrefix="0" xfId="0">
      <alignment horizontal="left"/>
    </xf>
    <xf numFmtId="0" fontId="74" fillId="2" borderId="9" applyAlignment="1" pivotButton="0" quotePrefix="0" xfId="0">
      <alignment horizontal="center"/>
    </xf>
    <xf numFmtId="0" fontId="69" fillId="2" borderId="8" applyAlignment="1" pivotButton="0" quotePrefix="0" xfId="0">
      <alignment horizontal="center"/>
    </xf>
    <xf numFmtId="0" fontId="69" fillId="2" borderId="3" applyAlignment="1" pivotButton="0" quotePrefix="0" xfId="0">
      <alignment horizontal="center"/>
    </xf>
    <xf numFmtId="0" fontId="69" fillId="2" borderId="7" applyAlignment="1" pivotButton="0" quotePrefix="0" xfId="0">
      <alignment horizontal="center"/>
    </xf>
    <xf numFmtId="0" fontId="69" fillId="2" borderId="4" applyAlignment="1" pivotButton="0" quotePrefix="0" xfId="0">
      <alignment horizontal="center"/>
    </xf>
    <xf numFmtId="0" fontId="69" fillId="2" borderId="2" applyAlignment="1" pivotButton="0" quotePrefix="0" xfId="0">
      <alignment horizontal="center"/>
    </xf>
    <xf numFmtId="0" fontId="69" fillId="2" borderId="3" pivotButton="0" quotePrefix="0" xfId="0"/>
    <xf numFmtId="0" fontId="69" fillId="2" borderId="1" applyAlignment="1" pivotButton="0" quotePrefix="0" xfId="0">
      <alignment horizontal="center"/>
    </xf>
    <xf numFmtId="0" fontId="69" fillId="2" borderId="11" applyAlignment="1" pivotButton="0" quotePrefix="0" xfId="0">
      <alignment horizontal="center"/>
    </xf>
    <xf numFmtId="0" fontId="74" fillId="2" borderId="8" applyAlignment="1" pivotButton="0" quotePrefix="0" xfId="0">
      <alignment horizontal="center"/>
    </xf>
    <xf numFmtId="0" fontId="74" fillId="2" borderId="12" applyAlignment="1" pivotButton="0" quotePrefix="0" xfId="0">
      <alignment horizontal="left"/>
    </xf>
    <xf numFmtId="0" fontId="69" fillId="2" borderId="10" pivotButton="0" quotePrefix="0" xfId="0"/>
    <xf numFmtId="0" fontId="74" fillId="2" borderId="3" applyAlignment="1" pivotButton="0" quotePrefix="0" xfId="0">
      <alignment horizontal="center"/>
    </xf>
    <xf numFmtId="0" fontId="74" fillId="2" borderId="1" applyAlignment="1" pivotButton="0" quotePrefix="0" xfId="0">
      <alignment horizontal="left"/>
    </xf>
    <xf numFmtId="0" fontId="74" fillId="2" borderId="3" applyAlignment="1" pivotButton="0" quotePrefix="0" xfId="0">
      <alignment horizontal="left"/>
    </xf>
    <xf numFmtId="0" fontId="69" fillId="2" borderId="8" pivotButton="0" quotePrefix="0" xfId="0"/>
    <xf numFmtId="0" fontId="74" fillId="2" borderId="5" applyAlignment="1" pivotButton="0" quotePrefix="0" xfId="0">
      <alignment horizontal="left"/>
    </xf>
    <xf numFmtId="0" fontId="69" fillId="2" borderId="9" pivotButton="0" quotePrefix="0" xfId="0"/>
    <xf numFmtId="0" fontId="69" fillId="2" borderId="5" pivotButton="0" quotePrefix="0" xfId="0"/>
    <xf numFmtId="0" fontId="74" fillId="2" borderId="21" applyAlignment="1" pivotButton="0" quotePrefix="0" xfId="0">
      <alignment horizontal="left" indent="4"/>
    </xf>
    <xf numFmtId="0" fontId="74" fillId="2" borderId="21" applyAlignment="1" pivotButton="0" quotePrefix="0" xfId="0">
      <alignment horizontal="center"/>
    </xf>
    <xf numFmtId="0" fontId="74" fillId="2" borderId="10" applyAlignment="1" pivotButton="0" quotePrefix="0" xfId="0">
      <alignment horizontal="center"/>
    </xf>
    <xf numFmtId="0" fontId="69" fillId="2" borderId="6" applyAlignment="1" pivotButton="0" quotePrefix="0" xfId="0">
      <alignment horizontal="center"/>
    </xf>
    <xf numFmtId="0" fontId="69" fillId="2" borderId="9" applyAlignment="1" pivotButton="0" quotePrefix="0" xfId="0">
      <alignment horizontal="center"/>
    </xf>
    <xf numFmtId="0" fontId="69" fillId="2" borderId="5" applyAlignment="1" pivotButton="0" quotePrefix="0" xfId="0">
      <alignment horizontal="center"/>
    </xf>
    <xf numFmtId="0" fontId="69" fillId="2" borderId="21" applyAlignment="1" pivotButton="0" quotePrefix="0" xfId="0">
      <alignment horizontal="center"/>
    </xf>
    <xf numFmtId="0" fontId="74" fillId="3" borderId="9" applyAlignment="1" pivotButton="0" quotePrefix="0" xfId="0">
      <alignment horizontal="center"/>
    </xf>
    <xf numFmtId="0" fontId="74" fillId="3" borderId="10" applyAlignment="1" pivotButton="0" quotePrefix="0" xfId="0">
      <alignment horizontal="center"/>
    </xf>
    <xf numFmtId="0" fontId="69" fillId="3" borderId="10" applyAlignment="1" pivotButton="0" quotePrefix="0" xfId="0">
      <alignment horizontal="center"/>
    </xf>
    <xf numFmtId="0" fontId="69" fillId="3" borderId="9" applyAlignment="1" pivotButton="0" quotePrefix="0" xfId="0">
      <alignment horizontal="center"/>
    </xf>
    <xf numFmtId="0" fontId="69" fillId="3" borderId="5" applyAlignment="1" pivotButton="0" quotePrefix="0" xfId="0">
      <alignment horizontal="center"/>
    </xf>
    <xf numFmtId="0" fontId="69" fillId="3" borderId="9" pivotButton="0" quotePrefix="0" xfId="0"/>
    <xf numFmtId="0" fontId="56" fillId="22" borderId="1" applyAlignment="1" pivotButton="0" quotePrefix="0" xfId="0">
      <alignment horizontal="center"/>
    </xf>
    <xf numFmtId="0" fontId="69" fillId="2" borderId="13" pivotButton="0" quotePrefix="0" xfId="0"/>
    <xf numFmtId="0" fontId="69" fillId="0" borderId="10" pivotButton="0" quotePrefix="0" xfId="0"/>
    <xf numFmtId="0" fontId="74" fillId="2" borderId="7" applyAlignment="1" pivotButton="0" quotePrefix="0" xfId="0">
      <alignment horizontal="left"/>
    </xf>
    <xf numFmtId="0" fontId="74" fillId="2" borderId="8" applyAlignment="1" pivotButton="0" quotePrefix="0" xfId="0">
      <alignment horizontal="left"/>
    </xf>
    <xf numFmtId="0" fontId="69" fillId="2" borderId="4" pivotButton="0" quotePrefix="0" xfId="0"/>
    <xf numFmtId="0" fontId="74" fillId="2" borderId="9" applyAlignment="1" pivotButton="0" quotePrefix="0" xfId="0">
      <alignment horizontal="left"/>
    </xf>
    <xf numFmtId="0" fontId="69" fillId="2" borderId="6" pivotButton="0" quotePrefix="0" xfId="0"/>
    <xf numFmtId="0" fontId="74" fillId="2" borderId="5" applyAlignment="1" pivotButton="0" quotePrefix="0" xfId="0">
      <alignment horizontal="left" indent="3"/>
    </xf>
    <xf numFmtId="0" fontId="74" fillId="2" borderId="6" applyAlignment="1" pivotButton="0" quotePrefix="0" xfId="0">
      <alignment horizontal="center"/>
    </xf>
    <xf numFmtId="0" fontId="69" fillId="0" borderId="10" applyAlignment="1" pivotButton="0" quotePrefix="0" xfId="0">
      <alignment horizontal="right"/>
    </xf>
    <xf numFmtId="0" fontId="69" fillId="0" borderId="10" applyAlignment="1" pivotButton="0" quotePrefix="0" xfId="0">
      <alignment horizontal="left"/>
    </xf>
    <xf numFmtId="0" fontId="69" fillId="0" borderId="0" pivotButton="0" quotePrefix="1" xfId="0"/>
    <xf numFmtId="0" fontId="69" fillId="36" borderId="0" pivotButton="0" quotePrefix="0" xfId="0"/>
    <xf numFmtId="0" fontId="136" fillId="36" borderId="0" pivotButton="0" quotePrefix="0" xfId="0"/>
    <xf numFmtId="0" fontId="69" fillId="22" borderId="12" pivotButton="0" quotePrefix="0" xfId="0"/>
    <xf numFmtId="0" fontId="81" fillId="22" borderId="14" pivotButton="0" quotePrefix="0" xfId="0"/>
    <xf numFmtId="0" fontId="80" fillId="22" borderId="14" applyAlignment="1" pivotButton="0" quotePrefix="0" xfId="0">
      <alignment horizontal="left" indent="10"/>
    </xf>
    <xf numFmtId="0" fontId="80" fillId="22" borderId="14" pivotButton="0" quotePrefix="0" xfId="0"/>
    <xf numFmtId="0" fontId="81" fillId="22" borderId="13" pivotButton="0" quotePrefix="0" xfId="0"/>
    <xf numFmtId="0" fontId="56" fillId="29" borderId="11" applyAlignment="1" pivotButton="0" quotePrefix="0" xfId="0">
      <alignment horizontal="left" indent="10"/>
    </xf>
    <xf numFmtId="0" fontId="70" fillId="29" borderId="11" applyAlignment="1" pivotButton="0" quotePrefix="0" xfId="0">
      <alignment horizontal="center"/>
    </xf>
    <xf numFmtId="0" fontId="70" fillId="29" borderId="11" pivotButton="0" quotePrefix="0" xfId="0"/>
    <xf numFmtId="0" fontId="56" fillId="40" borderId="12" applyAlignment="1" pivotButton="0" quotePrefix="0" xfId="0">
      <alignment horizontal="left" indent="10"/>
    </xf>
    <xf numFmtId="0" fontId="70" fillId="40" borderId="14" applyAlignment="1" pivotButton="0" quotePrefix="0" xfId="0">
      <alignment horizontal="center"/>
    </xf>
    <xf numFmtId="0" fontId="70" fillId="40" borderId="14" pivotButton="0" quotePrefix="0" xfId="0"/>
    <xf numFmtId="0" fontId="70" fillId="40" borderId="13" pivotButton="0" quotePrefix="0" xfId="0"/>
    <xf numFmtId="0" fontId="56" fillId="22" borderId="8" applyAlignment="1" pivotButton="0" quotePrefix="0" xfId="0">
      <alignment horizontal="center"/>
    </xf>
    <xf numFmtId="0" fontId="70" fillId="29" borderId="2" pivotButton="0" quotePrefix="0" xfId="0"/>
    <xf numFmtId="0" fontId="69" fillId="22" borderId="3" applyAlignment="1" pivotButton="0" quotePrefix="0" xfId="0">
      <alignment horizontal="center"/>
    </xf>
    <xf numFmtId="0" fontId="69" fillId="2" borderId="88" applyAlignment="1" pivotButton="0" quotePrefix="0" xfId="0">
      <alignment horizontal="center" vertical="center"/>
    </xf>
    <xf numFmtId="0" fontId="69" fillId="2" borderId="89" applyAlignment="1" pivotButton="0" quotePrefix="0" xfId="0">
      <alignment horizontal="center" vertical="center"/>
    </xf>
    <xf numFmtId="0" fontId="69" fillId="2" borderId="90" applyAlignment="1" pivotButton="0" quotePrefix="0" xfId="0">
      <alignment horizontal="center" vertical="center"/>
    </xf>
    <xf numFmtId="0" fontId="74" fillId="22" borderId="4" applyAlignment="1" pivotButton="0" quotePrefix="0" xfId="0">
      <alignment horizontal="center"/>
    </xf>
    <xf numFmtId="0" fontId="69" fillId="22" borderId="7" applyAlignment="1" pivotButton="0" quotePrefix="0" xfId="0">
      <alignment horizontal="center"/>
    </xf>
    <xf numFmtId="0" fontId="69" fillId="2" borderId="91" applyAlignment="1" pivotButton="0" quotePrefix="0" xfId="0">
      <alignment horizontal="center" vertical="center"/>
    </xf>
    <xf numFmtId="0" fontId="69" fillId="2" borderId="73" applyAlignment="1" pivotButton="0" quotePrefix="0" xfId="0">
      <alignment horizontal="center" vertical="center"/>
    </xf>
    <xf numFmtId="0" fontId="69" fillId="2" borderId="92" applyAlignment="1" pivotButton="0" quotePrefix="0" xfId="0">
      <alignment horizontal="center" vertical="center"/>
    </xf>
    <xf numFmtId="0" fontId="69" fillId="22" borderId="8" applyAlignment="1" pivotButton="0" quotePrefix="0" xfId="0">
      <alignment horizontal="center"/>
    </xf>
    <xf numFmtId="0" fontId="69" fillId="2" borderId="93" applyAlignment="1" pivotButton="0" quotePrefix="0" xfId="0">
      <alignment horizontal="center" vertical="center"/>
    </xf>
    <xf numFmtId="0" fontId="69" fillId="2" borderId="94" applyAlignment="1" pivotButton="0" quotePrefix="0" xfId="0">
      <alignment horizontal="center" vertical="center"/>
    </xf>
    <xf numFmtId="0" fontId="69" fillId="2" borderId="95" applyAlignment="1" pivotButton="0" quotePrefix="0" xfId="0">
      <alignment horizontal="center" vertical="center"/>
    </xf>
    <xf numFmtId="0" fontId="69" fillId="0" borderId="10" applyAlignment="1" pivotButton="0" quotePrefix="0" xfId="0">
      <alignment horizontal="center"/>
    </xf>
    <xf numFmtId="0" fontId="70" fillId="2" borderId="10" applyAlignment="1" pivotButton="0" quotePrefix="0" xfId="0">
      <alignment horizontal="center"/>
    </xf>
    <xf numFmtId="0" fontId="139" fillId="22" borderId="0" applyAlignment="1" pivotButton="0" quotePrefix="0" xfId="0">
      <alignment horizontal="center" vertical="center"/>
    </xf>
    <xf numFmtId="0" fontId="69" fillId="12" borderId="10" applyAlignment="1" pivotButton="0" quotePrefix="0" xfId="0">
      <alignment horizontal="center" wrapText="1"/>
    </xf>
    <xf numFmtId="0" fontId="129" fillId="22" borderId="0" applyAlignment="1" pivotButton="0" quotePrefix="0" xfId="0">
      <alignment vertical="center"/>
    </xf>
    <xf numFmtId="0" fontId="74" fillId="2" borderId="10" pivotButton="0" quotePrefix="0" xfId="0"/>
    <xf numFmtId="0" fontId="74" fillId="9" borderId="10" applyAlignment="1" pivotButton="0" quotePrefix="0" xfId="0">
      <alignment horizontal="center"/>
    </xf>
    <xf numFmtId="0" fontId="69" fillId="2" borderId="21" pivotButton="0" quotePrefix="0" xfId="0"/>
    <xf numFmtId="0" fontId="139" fillId="2" borderId="21" applyAlignment="1" pivotButton="0" quotePrefix="0" xfId="0">
      <alignment vertical="center"/>
    </xf>
    <xf numFmtId="0" fontId="71" fillId="2" borderId="8" pivotButton="0" quotePrefix="0" xfId="0"/>
    <xf numFmtId="0" fontId="129" fillId="2" borderId="21" applyAlignment="1" pivotButton="0" quotePrefix="0" xfId="0">
      <alignment vertical="center"/>
    </xf>
    <xf numFmtId="3" fontId="69" fillId="28" borderId="10" applyAlignment="1" pivotButton="0" quotePrefix="0" xfId="0">
      <alignment horizontal="center"/>
    </xf>
    <xf numFmtId="0" fontId="56" fillId="40" borderId="10" pivotButton="0" quotePrefix="0" xfId="0"/>
    <xf numFmtId="0" fontId="71" fillId="40" borderId="2" pivotButton="0" quotePrefix="0" xfId="0"/>
    <xf numFmtId="0" fontId="56" fillId="29" borderId="12" applyAlignment="1" pivotButton="0" quotePrefix="0" xfId="0">
      <alignment horizontal="left"/>
    </xf>
    <xf numFmtId="0" fontId="56" fillId="29" borderId="13" applyAlignment="1" pivotButton="0" quotePrefix="0" xfId="0">
      <alignment horizontal="center"/>
    </xf>
    <xf numFmtId="0" fontId="56" fillId="22" borderId="5" pivotButton="0" quotePrefix="0" xfId="0"/>
    <xf numFmtId="0" fontId="56" fillId="22" borderId="6" pivotButton="0" quotePrefix="0" xfId="0"/>
    <xf numFmtId="0" fontId="77" fillId="36" borderId="0" pivotButton="0" quotePrefix="0" xfId="0"/>
    <xf numFmtId="0" fontId="126" fillId="35" borderId="0" applyAlignment="1" pivotButton="0" quotePrefix="0" xfId="0">
      <alignment vertical="center"/>
    </xf>
    <xf numFmtId="0" fontId="133" fillId="35" borderId="0" applyAlignment="1" pivotButton="0" quotePrefix="0" xfId="0">
      <alignment vertical="center"/>
    </xf>
    <xf numFmtId="0" fontId="74" fillId="35" borderId="0" applyAlignment="1" pivotButton="0" quotePrefix="0" xfId="0">
      <alignment vertical="center" wrapText="1"/>
    </xf>
    <xf numFmtId="3" fontId="69" fillId="35" borderId="0" applyAlignment="1" pivotButton="0" quotePrefix="0" xfId="0">
      <alignment horizontal="center"/>
    </xf>
    <xf numFmtId="0" fontId="74" fillId="35" borderId="21" applyAlignment="1" pivotButton="0" quotePrefix="0" xfId="0">
      <alignment vertical="center" wrapText="1"/>
    </xf>
    <xf numFmtId="3" fontId="69" fillId="35" borderId="0" pivotButton="0" quotePrefix="0" xfId="0"/>
    <xf numFmtId="0" fontId="69" fillId="35" borderId="21" pivotButton="0" quotePrefix="0" xfId="0"/>
    <xf numFmtId="3" fontId="70" fillId="2" borderId="79" applyAlignment="1" pivotButton="0" quotePrefix="0" xfId="0">
      <alignment horizontal="center"/>
    </xf>
    <xf numFmtId="0" fontId="70" fillId="22" borderId="0" applyAlignment="1" pivotButton="0" quotePrefix="0" xfId="0">
      <alignment horizontal="center"/>
    </xf>
    <xf numFmtId="3" fontId="70" fillId="22" borderId="0" applyAlignment="1" pivotButton="0" quotePrefix="0" xfId="0">
      <alignment horizontal="center"/>
    </xf>
    <xf numFmtId="0" fontId="0" fillId="6" borderId="11" applyAlignment="1" pivotButton="0" quotePrefix="0" xfId="0">
      <alignment horizontal="center" wrapText="1"/>
    </xf>
    <xf numFmtId="0" fontId="79" fillId="22" borderId="0" applyAlignment="1" pivotButton="0" quotePrefix="0" xfId="0">
      <alignment horizontal="right"/>
    </xf>
    <xf numFmtId="3" fontId="79" fillId="22" borderId="0" pivotButton="0" quotePrefix="0" xfId="0"/>
    <xf numFmtId="0" fontId="70" fillId="12" borderId="21" applyAlignment="1" pivotButton="0" quotePrefix="0" xfId="0">
      <alignment horizontal="right"/>
    </xf>
    <xf numFmtId="3" fontId="70" fillId="18" borderId="0" applyAlignment="1" pivotButton="0" quotePrefix="0" xfId="0">
      <alignment horizontal="center"/>
    </xf>
    <xf numFmtId="3" fontId="69" fillId="35" borderId="0" applyAlignment="1" pivotButton="0" quotePrefix="0" xfId="0">
      <alignment horizontal="center" vertical="center" wrapText="1"/>
    </xf>
    <xf numFmtId="0" fontId="69" fillId="32" borderId="0" pivotButton="0" quotePrefix="0" xfId="0"/>
    <xf numFmtId="0" fontId="74" fillId="35" borderId="0" applyAlignment="1" pivotButton="0" quotePrefix="0" xfId="0">
      <alignment horizontal="left"/>
    </xf>
    <xf numFmtId="3" fontId="70" fillId="2" borderId="94" applyAlignment="1" pivotButton="0" quotePrefix="0" xfId="0">
      <alignment horizontal="center"/>
    </xf>
    <xf numFmtId="3" fontId="70" fillId="6" borderId="0" applyAlignment="1" pivotButton="0" quotePrefix="0" xfId="0">
      <alignment horizontal="center"/>
    </xf>
    <xf numFmtId="0" fontId="69" fillId="3" borderId="0" applyAlignment="1" pivotButton="0" quotePrefix="0" xfId="0">
      <alignment horizontal="right"/>
    </xf>
    <xf numFmtId="0" fontId="69" fillId="35" borderId="0" applyAlignment="1" pivotButton="0" quotePrefix="0" xfId="0">
      <alignment horizontal="right"/>
    </xf>
    <xf numFmtId="3" fontId="69" fillId="22" borderId="72" applyAlignment="1" pivotButton="0" quotePrefix="0" xfId="0">
      <alignment horizontal="center"/>
    </xf>
    <xf numFmtId="0" fontId="69" fillId="22" borderId="0" applyAlignment="1" pivotButton="0" quotePrefix="0" xfId="0">
      <alignment horizontal="right"/>
    </xf>
    <xf numFmtId="0" fontId="69" fillId="41" borderId="0" pivotButton="0" quotePrefix="0" xfId="0"/>
    <xf numFmtId="0" fontId="74" fillId="41" borderId="0" pivotButton="0" quotePrefix="0" xfId="0"/>
    <xf numFmtId="0" fontId="69" fillId="41" borderId="0" applyAlignment="1" pivotButton="0" quotePrefix="0" xfId="0">
      <alignment horizontal="center"/>
    </xf>
    <xf numFmtId="0" fontId="88" fillId="32" borderId="0" applyAlignment="1" pivotButton="0" quotePrefix="0" xfId="0">
      <alignment vertical="center"/>
    </xf>
    <xf numFmtId="0" fontId="69" fillId="32" borderId="0" applyAlignment="1" pivotButton="0" quotePrefix="0" xfId="0">
      <alignment horizontal="center" vertical="center"/>
    </xf>
    <xf numFmtId="0" fontId="88" fillId="32" borderId="0" applyAlignment="1" pivotButton="0" quotePrefix="0" xfId="0">
      <alignment horizontal="left" vertical="center"/>
    </xf>
    <xf numFmtId="0" fontId="69" fillId="32" borderId="0" applyAlignment="1" pivotButton="0" quotePrefix="0" xfId="0">
      <alignment vertical="center"/>
    </xf>
    <xf numFmtId="0" fontId="69" fillId="32" borderId="0" applyAlignment="1" pivotButton="0" quotePrefix="0" xfId="0">
      <alignment horizontal="left"/>
    </xf>
    <xf numFmtId="0" fontId="69" fillId="32" borderId="0" applyAlignment="1" pivotButton="0" quotePrefix="0" xfId="0">
      <alignment horizontal="center"/>
    </xf>
    <xf numFmtId="0" fontId="55" fillId="32" borderId="0" applyAlignment="1" pivotButton="0" quotePrefix="0" xfId="0">
      <alignment horizontal="center" vertical="center"/>
    </xf>
    <xf numFmtId="0" fontId="55" fillId="32" borderId="0" applyAlignment="1" pivotButton="0" quotePrefix="0" xfId="0">
      <alignment horizontal="center"/>
    </xf>
    <xf numFmtId="0" fontId="79" fillId="32" borderId="0" pivotButton="0" quotePrefix="0" xfId="0"/>
    <xf numFmtId="0" fontId="74" fillId="32" borderId="0" pivotButton="0" quotePrefix="0" xfId="0"/>
    <xf numFmtId="164" fontId="77" fillId="19" borderId="4" applyAlignment="1" pivotButton="0" quotePrefix="0" xfId="0">
      <alignment horizontal="center"/>
    </xf>
    <xf numFmtId="164" fontId="77" fillId="19" borderId="97" applyAlignment="1" pivotButton="0" quotePrefix="0" xfId="0">
      <alignment horizontal="center"/>
    </xf>
    <xf numFmtId="164" fontId="77" fillId="19" borderId="98" applyAlignment="1" pivotButton="0" quotePrefix="0" xfId="0">
      <alignment horizontal="center"/>
    </xf>
    <xf numFmtId="164" fontId="77" fillId="19" borderId="96" applyAlignment="1" pivotButton="0" quotePrefix="0" xfId="0">
      <alignment horizontal="center"/>
    </xf>
    <xf numFmtId="164" fontId="77" fillId="19" borderId="81" applyAlignment="1" pivotButton="0" quotePrefix="0" xfId="0">
      <alignment horizontal="center"/>
    </xf>
    <xf numFmtId="0" fontId="88" fillId="22" borderId="7" applyAlignment="1" pivotButton="0" quotePrefix="0" xfId="0">
      <alignment horizontal="center"/>
    </xf>
    <xf numFmtId="0" fontId="70" fillId="22" borderId="9" applyAlignment="1" pivotButton="0" quotePrefix="0" xfId="0">
      <alignment horizontal="center"/>
    </xf>
    <xf numFmtId="0" fontId="77" fillId="19" borderId="96" applyAlignment="1" pivotButton="0" quotePrefix="0" xfId="0">
      <alignment horizontal="center"/>
    </xf>
    <xf numFmtId="0" fontId="77" fillId="19" borderId="99" applyAlignment="1" pivotButton="0" quotePrefix="0" xfId="0">
      <alignment horizontal="center"/>
    </xf>
    <xf numFmtId="0" fontId="69" fillId="32" borderId="0" applyAlignment="1" pivotButton="0" quotePrefix="0" xfId="0">
      <alignment wrapText="1"/>
    </xf>
    <xf numFmtId="0" fontId="69" fillId="32" borderId="0" applyAlignment="1" pivotButton="0" quotePrefix="0" xfId="0">
      <alignment horizontal="right"/>
    </xf>
    <xf numFmtId="1" fontId="69" fillId="22" borderId="0" pivotButton="0" quotePrefix="0" xfId="0"/>
    <xf numFmtId="0" fontId="55" fillId="32" borderId="0" pivotButton="0" quotePrefix="0" xfId="0"/>
    <xf numFmtId="0" fontId="69" fillId="33" borderId="0" applyAlignment="1" pivotButton="0" quotePrefix="0" xfId="0">
      <alignment horizontal="right"/>
    </xf>
    <xf numFmtId="0" fontId="79" fillId="33" borderId="0" pivotButton="0" quotePrefix="0" xfId="0"/>
    <xf numFmtId="0" fontId="83" fillId="2" borderId="0" pivotButton="0" quotePrefix="0" xfId="0"/>
    <xf numFmtId="3" fontId="70" fillId="2" borderId="100" applyAlignment="1" pivotButton="0" quotePrefix="0" xfId="0">
      <alignment horizontal="center"/>
    </xf>
    <xf numFmtId="3" fontId="70" fillId="2" borderId="101" applyAlignment="1" pivotButton="0" quotePrefix="0" xfId="0">
      <alignment horizontal="center"/>
    </xf>
    <xf numFmtId="0" fontId="83" fillId="35" borderId="0" pivotButton="0" quotePrefix="0" xfId="0"/>
    <xf numFmtId="0" fontId="79" fillId="35" borderId="21" applyAlignment="1" pivotButton="0" quotePrefix="0" xfId="0">
      <alignment vertical="center" wrapText="1"/>
    </xf>
    <xf numFmtId="0" fontId="79" fillId="35" borderId="21" applyAlignment="1" pivotButton="0" quotePrefix="0" xfId="0">
      <alignment vertical="center"/>
    </xf>
    <xf numFmtId="0" fontId="69" fillId="35" borderId="0" applyAlignment="1" pivotButton="0" quotePrefix="0" xfId="0">
      <alignment vertical="center"/>
    </xf>
    <xf numFmtId="0" fontId="79" fillId="41" borderId="0" pivotButton="0" quotePrefix="0" xfId="0"/>
    <xf numFmtId="0" fontId="83" fillId="33" borderId="0" pivotButton="0" quotePrefix="0" xfId="0"/>
    <xf numFmtId="0" fontId="83" fillId="33" borderId="0" applyAlignment="1" pivotButton="0" quotePrefix="0" xfId="0">
      <alignment horizontal="center"/>
    </xf>
    <xf numFmtId="0" fontId="79" fillId="27" borderId="0" pivotButton="0" quotePrefix="0" xfId="0"/>
    <xf numFmtId="0" fontId="83" fillId="27" borderId="0" pivotButton="0" quotePrefix="0" xfId="0"/>
    <xf numFmtId="0" fontId="79" fillId="27" borderId="0" applyAlignment="1" pivotButton="0" quotePrefix="0" xfId="0">
      <alignment vertical="center"/>
    </xf>
    <xf numFmtId="0" fontId="83" fillId="35" borderId="0" applyAlignment="1" pivotButton="0" quotePrefix="0" xfId="0">
      <alignment horizontal="center"/>
    </xf>
    <xf numFmtId="0" fontId="83" fillId="27" borderId="0" applyAlignment="1" pivotButton="0" quotePrefix="0" xfId="0">
      <alignment horizontal="center"/>
    </xf>
    <xf numFmtId="0" fontId="68" fillId="32" borderId="0" applyAlignment="1" pivotButton="0" quotePrefix="0" xfId="0">
      <alignment vertical="center"/>
    </xf>
    <xf numFmtId="0" fontId="83" fillId="32" borderId="0" applyAlignment="1" pivotButton="0" quotePrefix="0" xfId="0">
      <alignment horizontal="center" vertical="center"/>
    </xf>
    <xf numFmtId="0" fontId="68" fillId="32" borderId="0" applyAlignment="1" pivotButton="0" quotePrefix="0" xfId="0">
      <alignment horizontal="left" vertical="center"/>
    </xf>
    <xf numFmtId="0" fontId="83" fillId="32" borderId="0" applyAlignment="1" pivotButton="0" quotePrefix="0" xfId="0">
      <alignment vertical="center"/>
    </xf>
    <xf numFmtId="0" fontId="83" fillId="32" borderId="0" applyAlignment="1" pivotButton="0" quotePrefix="0" xfId="0">
      <alignment horizontal="left"/>
    </xf>
    <xf numFmtId="0" fontId="83" fillId="32" borderId="0" applyAlignment="1" pivotButton="0" quotePrefix="0" xfId="0">
      <alignment horizontal="center"/>
    </xf>
    <xf numFmtId="0" fontId="73" fillId="32" borderId="0" applyAlignment="1" pivotButton="0" quotePrefix="0" xfId="0">
      <alignment horizontal="center" vertical="center"/>
    </xf>
    <xf numFmtId="0" fontId="73" fillId="32" borderId="0" applyAlignment="1" pivotButton="0" quotePrefix="0" xfId="0">
      <alignment horizontal="center"/>
    </xf>
    <xf numFmtId="0" fontId="79" fillId="37" borderId="0" pivotButton="0" quotePrefix="0" xfId="0"/>
    <xf numFmtId="0" fontId="79" fillId="38" borderId="0" pivotButton="0" quotePrefix="0" xfId="0"/>
    <xf numFmtId="0" fontId="79" fillId="37" borderId="0" applyAlignment="1" pivotButton="0" quotePrefix="0" xfId="0">
      <alignment horizontal="center"/>
    </xf>
    <xf numFmtId="0" fontId="79" fillId="38" borderId="0" applyAlignment="1" pivotButton="0" quotePrefix="0" xfId="0">
      <alignment horizontal="center"/>
    </xf>
    <xf numFmtId="0" fontId="83" fillId="37" borderId="0" pivotButton="0" quotePrefix="0" xfId="0"/>
    <xf numFmtId="0" fontId="83" fillId="38" borderId="0" pivotButton="0" quotePrefix="0" xfId="0"/>
    <xf numFmtId="0" fontId="79" fillId="16" borderId="0" applyAlignment="1" pivotButton="0" quotePrefix="0" xfId="0">
      <alignment horizontal="center" vertical="center"/>
    </xf>
    <xf numFmtId="0" fontId="79" fillId="17" borderId="0" applyAlignment="1" pivotButton="0" quotePrefix="0" xfId="0">
      <alignment horizontal="center"/>
    </xf>
    <xf numFmtId="0" fontId="79" fillId="2" borderId="0" applyAlignment="1" pivotButton="0" quotePrefix="0" xfId="0">
      <alignment horizontal="left" indent="2"/>
    </xf>
    <xf numFmtId="0" fontId="83" fillId="16" borderId="0" applyAlignment="1" pivotButton="0" quotePrefix="0" xfId="0">
      <alignment horizontal="center"/>
    </xf>
    <xf numFmtId="0" fontId="83" fillId="17" borderId="0" applyAlignment="1" pivotButton="0" quotePrefix="0" xfId="0">
      <alignment horizontal="center"/>
    </xf>
    <xf numFmtId="0" fontId="83" fillId="37" borderId="0" applyAlignment="1" pivotButton="0" quotePrefix="0" xfId="0">
      <alignment horizontal="center"/>
    </xf>
    <xf numFmtId="0" fontId="83" fillId="37" borderId="0" applyAlignment="1" pivotButton="0" quotePrefix="0" xfId="0">
      <alignment horizontal="center" wrapText="1"/>
    </xf>
    <xf numFmtId="0" fontId="83" fillId="38" borderId="0" applyAlignment="1" pivotButton="0" quotePrefix="0" xfId="0">
      <alignment horizontal="center"/>
    </xf>
    <xf numFmtId="0" fontId="83" fillId="38" borderId="0" applyAlignment="1" pivotButton="0" quotePrefix="0" xfId="0">
      <alignment horizontal="center" wrapText="1"/>
    </xf>
    <xf numFmtId="0" fontId="83" fillId="22" borderId="0" pivotButton="0" quotePrefix="0" xfId="0"/>
    <xf numFmtId="0" fontId="141" fillId="7" borderId="12" pivotButton="0" quotePrefix="0" xfId="0"/>
    <xf numFmtId="0" fontId="74" fillId="22" borderId="21" applyAlignment="1" pivotButton="0" quotePrefix="0" xfId="0">
      <alignment horizontal="left" indent="1"/>
    </xf>
    <xf numFmtId="0" fontId="74" fillId="22" borderId="21" applyAlignment="1" pivotButton="0" quotePrefix="0" xfId="0">
      <alignment horizontal="left" indent="4"/>
    </xf>
    <xf numFmtId="0" fontId="79" fillId="2" borderId="0" applyAlignment="1" pivotButton="0" quotePrefix="0" xfId="0">
      <alignment horizontal="left"/>
    </xf>
    <xf numFmtId="0" fontId="83" fillId="2" borderId="0" applyAlignment="1" pivotButton="0" quotePrefix="0" xfId="0">
      <alignment horizontal="left"/>
    </xf>
    <xf numFmtId="0" fontId="83" fillId="2" borderId="0" applyAlignment="1" pivotButton="0" quotePrefix="0" xfId="0">
      <alignment horizontal="center"/>
    </xf>
    <xf numFmtId="4" fontId="69" fillId="2" borderId="66" applyAlignment="1" pivotButton="0" quotePrefix="0" xfId="0">
      <alignment horizontal="center"/>
    </xf>
    <xf numFmtId="1" fontId="69" fillId="2" borderId="72" applyAlignment="1" pivotButton="0" quotePrefix="0" xfId="0">
      <alignment horizontal="center"/>
    </xf>
    <xf numFmtId="0" fontId="74" fillId="2" borderId="0" applyAlignment="1" pivotButton="0" quotePrefix="0" xfId="0">
      <alignment horizontal="left"/>
    </xf>
    <xf numFmtId="0" fontId="88" fillId="15" borderId="0" applyAlignment="1" pivotButton="0" quotePrefix="0" xfId="0">
      <alignment horizontal="center" vertical="center"/>
    </xf>
    <xf numFmtId="0" fontId="88" fillId="16" borderId="0" applyAlignment="1" pivotButton="0" quotePrefix="0" xfId="0">
      <alignment horizontal="center"/>
    </xf>
    <xf numFmtId="0" fontId="74" fillId="17" borderId="0" applyAlignment="1" pivotButton="0" quotePrefix="0" xfId="0">
      <alignment horizontal="center"/>
    </xf>
    <xf numFmtId="0" fontId="75" fillId="11" borderId="0" pivotButton="0" quotePrefix="0" xfId="0"/>
    <xf numFmtId="0" fontId="56" fillId="2" borderId="0" applyAlignment="1" pivotButton="0" quotePrefix="0" xfId="0">
      <alignment horizontal="left"/>
    </xf>
    <xf numFmtId="0" fontId="88" fillId="16" borderId="0" pivotButton="0" quotePrefix="0" xfId="0"/>
    <xf numFmtId="0" fontId="88" fillId="38" borderId="0" applyAlignment="1" pivotButton="0" quotePrefix="0" xfId="0">
      <alignment horizontal="center"/>
    </xf>
    <xf numFmtId="0" fontId="88" fillId="37" borderId="0" applyAlignment="1" pivotButton="0" quotePrefix="0" xfId="0">
      <alignment horizontal="center"/>
    </xf>
    <xf numFmtId="0" fontId="84" fillId="16" borderId="0" applyAlignment="1" pivotButton="0" quotePrefix="0" xfId="0">
      <alignment horizontal="center"/>
    </xf>
    <xf numFmtId="0" fontId="110" fillId="17" borderId="0" applyAlignment="1" pivotButton="0" quotePrefix="0" xfId="0">
      <alignment horizontal="center"/>
    </xf>
    <xf numFmtId="0" fontId="72" fillId="17" borderId="0" applyAlignment="1" pivotButton="0" quotePrefix="0" xfId="0">
      <alignment horizontal="center"/>
    </xf>
    <xf numFmtId="0" fontId="70" fillId="37" borderId="0" applyAlignment="1" pivotButton="0" quotePrefix="0" xfId="0">
      <alignment horizontal="center"/>
    </xf>
    <xf numFmtId="0" fontId="70" fillId="38" borderId="0" applyAlignment="1" pivotButton="0" quotePrefix="0" xfId="0">
      <alignment horizontal="center"/>
    </xf>
    <xf numFmtId="164" fontId="69" fillId="2" borderId="83" applyAlignment="1" pivotButton="0" quotePrefix="0" xfId="0">
      <alignment horizontal="center"/>
    </xf>
    <xf numFmtId="164" fontId="69" fillId="2" borderId="84" applyAlignment="1" pivotButton="0" quotePrefix="0" xfId="0">
      <alignment horizontal="center"/>
    </xf>
    <xf numFmtId="164" fontId="69" fillId="2" borderId="85" applyAlignment="1" pivotButton="0" quotePrefix="0" xfId="0">
      <alignment horizontal="center"/>
    </xf>
    <xf numFmtId="164" fontId="69" fillId="2" borderId="67" applyAlignment="1" pivotButton="0" quotePrefix="0" xfId="0">
      <alignment horizontal="center"/>
    </xf>
    <xf numFmtId="1" fontId="69" fillId="2" borderId="66" applyAlignment="1" pivotButton="0" quotePrefix="0" xfId="0">
      <alignment horizontal="center"/>
    </xf>
    <xf numFmtId="1" fontId="69" fillId="2" borderId="67" applyAlignment="1" pivotButton="0" quotePrefix="0" xfId="0">
      <alignment horizontal="center"/>
    </xf>
    <xf numFmtId="1" fontId="69" fillId="2" borderId="73" applyAlignment="1" pivotButton="0" quotePrefix="0" xfId="0">
      <alignment horizontal="center"/>
    </xf>
    <xf numFmtId="1" fontId="69" fillId="2" borderId="69" applyAlignment="1" pivotButton="0" quotePrefix="0" xfId="0">
      <alignment horizontal="center"/>
    </xf>
    <xf numFmtId="1" fontId="69" fillId="2" borderId="79" applyAlignment="1" pivotButton="0" quotePrefix="0" xfId="0">
      <alignment horizontal="center"/>
    </xf>
    <xf numFmtId="1" fontId="69" fillId="2" borderId="68" applyAlignment="1" pivotButton="0" quotePrefix="0" xfId="0">
      <alignment horizontal="center"/>
    </xf>
    <xf numFmtId="1" fontId="69" fillId="2" borderId="70" applyAlignment="1" pivotButton="0" quotePrefix="0" xfId="0">
      <alignment horizontal="center"/>
    </xf>
    <xf numFmtId="1" fontId="69" fillId="2" borderId="74" applyAlignment="1" pivotButton="0" quotePrefix="0" xfId="0">
      <alignment horizontal="center"/>
    </xf>
    <xf numFmtId="1" fontId="69" fillId="2" borderId="71" applyAlignment="1" pivotButton="0" quotePrefix="0" xfId="0">
      <alignment horizontal="center"/>
    </xf>
    <xf numFmtId="0" fontId="79" fillId="35" borderId="21" pivotButton="0" quotePrefix="0" xfId="0"/>
    <xf numFmtId="0" fontId="141" fillId="7" borderId="0" pivotButton="0" quotePrefix="0" xfId="0"/>
    <xf numFmtId="0" fontId="77" fillId="22" borderId="0" pivotButton="0" quotePrefix="0" xfId="0"/>
    <xf numFmtId="0" fontId="88" fillId="22" borderId="0" applyAlignment="1" pivotButton="0" quotePrefix="0" xfId="0">
      <alignment horizontal="center"/>
    </xf>
    <xf numFmtId="0" fontId="74" fillId="22" borderId="0" applyAlignment="1" pivotButton="0" quotePrefix="0" xfId="0">
      <alignment horizontal="center"/>
    </xf>
    <xf numFmtId="0" fontId="56" fillId="22" borderId="0" applyAlignment="1" pivotButton="0" quotePrefix="0" xfId="0">
      <alignment horizontal="center"/>
    </xf>
    <xf numFmtId="0" fontId="88" fillId="35" borderId="0" applyAlignment="1" pivotButton="0" quotePrefix="0" xfId="0">
      <alignment horizontal="center"/>
    </xf>
    <xf numFmtId="0" fontId="70" fillId="35" borderId="0" applyAlignment="1" pivotButton="0" quotePrefix="0" xfId="0">
      <alignment horizontal="center"/>
    </xf>
    <xf numFmtId="9" fontId="69" fillId="22" borderId="0" applyAlignment="1" pivotButton="0" quotePrefix="0" xfId="6">
      <alignment horizontal="center"/>
    </xf>
    <xf numFmtId="4" fontId="69" fillId="22" borderId="0" applyAlignment="1" pivotButton="0" quotePrefix="0" xfId="0">
      <alignment horizontal="center"/>
    </xf>
    <xf numFmtId="0" fontId="70" fillId="22" borderId="0" applyAlignment="1" pivotButton="0" quotePrefix="0" xfId="0">
      <alignment horizontal="right"/>
    </xf>
    <xf numFmtId="3" fontId="70" fillId="22" borderId="68" applyAlignment="1" pivotButton="0" quotePrefix="0" xfId="0">
      <alignment horizontal="center"/>
    </xf>
    <xf numFmtId="3" fontId="70" fillId="22" borderId="79" applyAlignment="1" pivotButton="0" quotePrefix="0" xfId="0">
      <alignment horizontal="center"/>
    </xf>
    <xf numFmtId="3" fontId="70" fillId="22" borderId="66" applyAlignment="1" pivotButton="0" quotePrefix="0" xfId="0">
      <alignment horizontal="center"/>
    </xf>
    <xf numFmtId="0" fontId="79" fillId="3" borderId="0" applyAlignment="1" pivotButton="0" quotePrefix="0" xfId="0">
      <alignment horizontal="center"/>
    </xf>
    <xf numFmtId="0" fontId="79" fillId="40" borderId="0" pivotButton="0" quotePrefix="0" xfId="0"/>
    <xf numFmtId="0" fontId="69" fillId="40" borderId="0" pivotButton="0" quotePrefix="0" xfId="0"/>
    <xf numFmtId="0" fontId="79" fillId="40" borderId="0" applyAlignment="1" pivotButton="0" quotePrefix="0" xfId="0">
      <alignment horizontal="center"/>
    </xf>
    <xf numFmtId="0" fontId="69" fillId="42" borderId="0" pivotButton="0" quotePrefix="0" xfId="0"/>
    <xf numFmtId="0" fontId="79" fillId="42" borderId="0" pivotButton="0" quotePrefix="0" xfId="0"/>
    <xf numFmtId="0" fontId="79" fillId="42" borderId="0" applyAlignment="1" pivotButton="0" quotePrefix="0" xfId="0">
      <alignment horizontal="center"/>
    </xf>
    <xf numFmtId="0" fontId="74" fillId="42" borderId="0" pivotButton="0" quotePrefix="0" xfId="0"/>
    <xf numFmtId="0" fontId="74" fillId="3" borderId="0" pivotButton="0" quotePrefix="0" xfId="0"/>
    <xf numFmtId="0" fontId="74" fillId="42" borderId="0" applyAlignment="1" pivotButton="0" quotePrefix="0" xfId="0">
      <alignment horizontal="center"/>
    </xf>
    <xf numFmtId="0" fontId="74" fillId="40" borderId="0" pivotButton="0" quotePrefix="0" xfId="0"/>
    <xf numFmtId="0" fontId="74" fillId="3" borderId="0" applyAlignment="1" pivotButton="0" quotePrefix="0" xfId="0">
      <alignment vertical="center"/>
    </xf>
    <xf numFmtId="4" fontId="77" fillId="22" borderId="0" applyAlignment="1" pivotButton="0" quotePrefix="0" xfId="0">
      <alignment horizontal="center"/>
    </xf>
    <xf numFmtId="0" fontId="69" fillId="40" borderId="0" applyAlignment="1" pivotButton="0" quotePrefix="0" xfId="0">
      <alignment horizontal="center"/>
    </xf>
    <xf numFmtId="3" fontId="69" fillId="40" borderId="75" applyAlignment="1" pivotButton="0" quotePrefix="0" xfId="0">
      <alignment horizontal="center"/>
    </xf>
    <xf numFmtId="3" fontId="83" fillId="40" borderId="75" applyAlignment="1" pivotButton="0" quotePrefix="0" xfId="0">
      <alignment horizontal="left"/>
    </xf>
    <xf numFmtId="0" fontId="76" fillId="22" borderId="0" pivotButton="0" quotePrefix="0" xfId="0"/>
    <xf numFmtId="166" fontId="69" fillId="22" borderId="4" applyAlignment="1" pivotButton="0" quotePrefix="0" xfId="0">
      <alignment horizontal="center"/>
    </xf>
    <xf numFmtId="0" fontId="3" fillId="0" borderId="0" pivotButton="0" quotePrefix="0" xfId="0"/>
    <xf numFmtId="0" fontId="132" fillId="36" borderId="0" applyAlignment="1" pivotButton="0" quotePrefix="0" xfId="0">
      <alignment vertical="center"/>
    </xf>
    <xf numFmtId="0" fontId="55" fillId="22" borderId="21" pivotButton="0" quotePrefix="0" xfId="0"/>
    <xf numFmtId="0" fontId="55" fillId="22" borderId="0" pivotButton="0" quotePrefix="0" xfId="0"/>
    <xf numFmtId="0" fontId="88" fillId="22" borderId="21" pivotButton="0" quotePrefix="0" xfId="0"/>
    <xf numFmtId="0" fontId="88" fillId="22" borderId="0" pivotButton="0" quotePrefix="0" xfId="0"/>
    <xf numFmtId="0" fontId="143" fillId="22" borderId="0" pivotButton="0" quotePrefix="0" xfId="3"/>
    <xf numFmtId="0" fontId="99" fillId="36" borderId="0" applyAlignment="1" pivotButton="0" quotePrefix="0" xfId="0">
      <alignment vertical="center"/>
    </xf>
    <xf numFmtId="0" fontId="144" fillId="36" borderId="0" applyAlignment="1" pivotButton="0" quotePrefix="0" xfId="0">
      <alignment horizontal="left" vertical="center"/>
    </xf>
    <xf numFmtId="0" fontId="37" fillId="36" borderId="0" pivotButton="0" quotePrefix="0" xfId="0"/>
    <xf numFmtId="0" fontId="56" fillId="2" borderId="69" applyAlignment="1" pivotButton="0" quotePrefix="0" xfId="0">
      <alignment horizontal="left" vertical="center" wrapText="1"/>
    </xf>
    <xf numFmtId="0" fontId="10" fillId="0" borderId="0" applyAlignment="1" pivotButton="0" quotePrefix="0" xfId="0">
      <alignment horizontal="left"/>
    </xf>
    <xf numFmtId="0" fontId="89" fillId="6" borderId="0" applyAlignment="1" pivotButton="0" quotePrefix="0" xfId="0">
      <alignment horizontal="center"/>
    </xf>
    <xf numFmtId="2" fontId="89" fillId="6" borderId="0" applyAlignment="1" pivotButton="0" quotePrefix="0" xfId="0">
      <alignment horizontal="center"/>
    </xf>
    <xf numFmtId="2" fontId="89" fillId="6" borderId="21" applyAlignment="1" pivotButton="0" quotePrefix="0" xfId="0">
      <alignment horizontal="center"/>
    </xf>
    <xf numFmtId="0" fontId="56" fillId="2" borderId="71" applyAlignment="1" pivotButton="0" quotePrefix="0" xfId="0">
      <alignment horizontal="left" vertical="center" wrapText="1"/>
    </xf>
    <xf numFmtId="1" fontId="44" fillId="2" borderId="0" applyAlignment="1" pivotButton="0" quotePrefix="0" xfId="0">
      <alignment horizontal="center"/>
    </xf>
    <xf numFmtId="0" fontId="3" fillId="22" borderId="0" applyAlignment="1" pivotButton="0" quotePrefix="0" xfId="0">
      <alignment horizontal="left"/>
    </xf>
    <xf numFmtId="0" fontId="0" fillId="3" borderId="0" applyAlignment="1" pivotButton="0" quotePrefix="0" xfId="0">
      <alignment horizontal="center"/>
    </xf>
    <xf numFmtId="0" fontId="10" fillId="22" borderId="0" applyAlignment="1" pivotButton="0" quotePrefix="0" xfId="0">
      <alignment horizontal="center"/>
    </xf>
    <xf numFmtId="0" fontId="0" fillId="6" borderId="14" applyAlignment="1" pivotButton="0" quotePrefix="0" xfId="0">
      <alignment horizontal="center"/>
    </xf>
    <xf numFmtId="0" fontId="56" fillId="2" borderId="70" applyAlignment="1" pivotButton="0" quotePrefix="0" xfId="0">
      <alignment horizontal="left" vertical="center"/>
    </xf>
    <xf numFmtId="0" fontId="74" fillId="2" borderId="0" applyAlignment="1" pivotButton="0" quotePrefix="0" xfId="0">
      <alignment vertical="center" wrapText="1"/>
    </xf>
    <xf numFmtId="0" fontId="70" fillId="22" borderId="0" applyAlignment="1" pivotButton="0" quotePrefix="0" xfId="0">
      <alignment horizontal="left" vertical="center" wrapText="1"/>
    </xf>
    <xf numFmtId="0" fontId="95" fillId="6" borderId="7" applyAlignment="1" pivotButton="0" quotePrefix="0" xfId="0">
      <alignment horizontal="center"/>
    </xf>
    <xf numFmtId="0" fontId="145" fillId="19" borderId="0" applyAlignment="1" pivotButton="0" quotePrefix="0" xfId="0">
      <alignment horizontal="left" vertical="center"/>
    </xf>
    <xf numFmtId="0" fontId="28" fillId="10" borderId="13" applyAlignment="1" pivotButton="0" quotePrefix="0" xfId="0">
      <alignment wrapText="1"/>
    </xf>
    <xf numFmtId="0" fontId="0" fillId="6" borderId="12" applyAlignment="1" pivotButton="0" quotePrefix="0" xfId="0">
      <alignment horizontal="center" wrapText="1"/>
    </xf>
    <xf numFmtId="0" fontId="28" fillId="10" borderId="6" applyAlignment="1" pivotButton="0" quotePrefix="0" xfId="0">
      <alignment wrapText="1"/>
    </xf>
    <xf numFmtId="0" fontId="0" fillId="6" borderId="9" applyAlignment="1" pivotButton="0" quotePrefix="0" xfId="0">
      <alignment horizontal="center" wrapText="1"/>
    </xf>
    <xf numFmtId="0" fontId="0" fillId="6" borderId="5" applyAlignment="1" pivotButton="0" quotePrefix="0" xfId="0">
      <alignment horizontal="center" wrapText="1"/>
    </xf>
    <xf numFmtId="0" fontId="0" fillId="6" borderId="7" applyAlignment="1" pivotButton="0" quotePrefix="0" xfId="0">
      <alignment horizontal="center" wrapText="1"/>
    </xf>
    <xf numFmtId="0" fontId="0" fillId="6" borderId="1" applyAlignment="1" pivotButton="0" quotePrefix="0" xfId="0">
      <alignment horizontal="center" wrapText="1"/>
    </xf>
    <xf numFmtId="0" fontId="4" fillId="6" borderId="4" applyAlignment="1" pivotButton="0" quotePrefix="0" xfId="2">
      <alignment horizontal="center"/>
    </xf>
    <xf numFmtId="0" fontId="95" fillId="6" borderId="8" applyAlignment="1" pivotButton="0" quotePrefix="0" xfId="0">
      <alignment horizontal="center"/>
    </xf>
    <xf numFmtId="0" fontId="3" fillId="6" borderId="1" applyAlignment="1" pivotButton="0" quotePrefix="0" xfId="0">
      <alignment horizontal="center" wrapText="1"/>
    </xf>
    <xf numFmtId="0" fontId="37" fillId="6" borderId="1" applyAlignment="1" pivotButton="0" quotePrefix="0" xfId="0">
      <alignment horizontal="center"/>
    </xf>
    <xf numFmtId="0" fontId="28" fillId="10" borderId="0" applyAlignment="1" pivotButton="0" quotePrefix="0" xfId="0">
      <alignment wrapText="1"/>
    </xf>
    <xf numFmtId="0" fontId="3" fillId="6" borderId="3" applyAlignment="1" pivotButton="0" quotePrefix="0" xfId="0">
      <alignment horizontal="center" wrapText="1"/>
    </xf>
    <xf numFmtId="0" fontId="4" fillId="0" borderId="0" applyAlignment="1" pivotButton="0" quotePrefix="0" xfId="2">
      <alignment horizontal="left"/>
    </xf>
    <xf numFmtId="0" fontId="110" fillId="22" borderId="0" pivotButton="0" quotePrefix="0" xfId="0"/>
    <xf numFmtId="0" fontId="110" fillId="22" borderId="21" pivotButton="0" quotePrefix="0" xfId="0"/>
    <xf numFmtId="0" fontId="37" fillId="6" borderId="5" applyAlignment="1" pivotButton="0" quotePrefix="0" xfId="0">
      <alignment horizontal="center"/>
    </xf>
    <xf numFmtId="0" fontId="110" fillId="3" borderId="0" pivotButton="0" quotePrefix="0" xfId="0"/>
    <xf numFmtId="0" fontId="4" fillId="6" borderId="6" applyAlignment="1" pivotButton="0" quotePrefix="0" xfId="2">
      <alignment horizontal="left"/>
    </xf>
    <xf numFmtId="0" fontId="146" fillId="22" borderId="14" pivotButton="0" quotePrefix="0" xfId="0"/>
    <xf numFmtId="0" fontId="30" fillId="22" borderId="0" applyAlignment="1" pivotButton="0" quotePrefix="0" xfId="0">
      <alignment horizontal="left" wrapText="1"/>
    </xf>
    <xf numFmtId="0" fontId="110" fillId="40" borderId="0" pivotButton="0" quotePrefix="0" xfId="0"/>
    <xf numFmtId="0" fontId="74" fillId="10" borderId="21" pivotButton="0" quotePrefix="0" xfId="0"/>
    <xf numFmtId="0" fontId="74" fillId="6" borderId="0" applyAlignment="1" pivotButton="0" quotePrefix="0" xfId="0">
      <alignment horizontal="right"/>
    </xf>
    <xf numFmtId="0" fontId="74" fillId="6" borderId="0" pivotButton="0" quotePrefix="0" xfId="0"/>
    <xf numFmtId="0" fontId="0" fillId="11" borderId="3" applyAlignment="1" pivotButton="0" quotePrefix="0" xfId="0">
      <alignment horizontal="center"/>
    </xf>
    <xf numFmtId="0" fontId="3" fillId="6" borderId="7" applyAlignment="1" pivotButton="0" quotePrefix="0" xfId="0">
      <alignment horizontal="center" wrapText="1"/>
    </xf>
    <xf numFmtId="0" fontId="0" fillId="6" borderId="110" applyAlignment="1" pivotButton="0" quotePrefix="0" xfId="0">
      <alignment horizontal="center"/>
    </xf>
    <xf numFmtId="0" fontId="3" fillId="6" borderId="10" applyAlignment="1" pivotButton="0" quotePrefix="0" xfId="0">
      <alignment horizontal="center" wrapText="1"/>
    </xf>
    <xf numFmtId="0" fontId="74" fillId="22" borderId="0" applyAlignment="1" pivotButton="0" quotePrefix="0" xfId="0">
      <alignment horizontal="center" vertical="center" wrapText="1"/>
    </xf>
    <xf numFmtId="0" fontId="72" fillId="22" borderId="0" applyAlignment="1" pivotButton="0" quotePrefix="0" xfId="0">
      <alignment horizontal="center" vertical="center" wrapText="1"/>
    </xf>
    <xf numFmtId="0" fontId="72" fillId="22" borderId="0" applyAlignment="1" pivotButton="0" quotePrefix="0" xfId="0">
      <alignment horizontal="center"/>
    </xf>
    <xf numFmtId="2" fontId="69" fillId="22" borderId="0" pivotButton="0" quotePrefix="0" xfId="0"/>
    <xf numFmtId="2" fontId="69" fillId="22" borderId="0" applyAlignment="1" pivotButton="0" quotePrefix="0" xfId="0">
      <alignment horizontal="center"/>
    </xf>
    <xf numFmtId="0" fontId="110" fillId="22" borderId="0" applyAlignment="1" pivotButton="0" quotePrefix="0" xfId="0">
      <alignment horizontal="left"/>
    </xf>
    <xf numFmtId="0" fontId="110" fillId="22" borderId="0" applyAlignment="1" pivotButton="0" quotePrefix="0" xfId="0">
      <alignment horizontal="left" wrapText="1"/>
    </xf>
    <xf numFmtId="0" fontId="110" fillId="22" borderId="21" applyAlignment="1" pivotButton="0" quotePrefix="0" xfId="0">
      <alignment horizontal="left" wrapText="1"/>
    </xf>
    <xf numFmtId="0" fontId="110" fillId="22" borderId="11" applyAlignment="1" pivotButton="0" quotePrefix="0" xfId="0">
      <alignment horizontal="left" wrapText="1"/>
    </xf>
    <xf numFmtId="0" fontId="110" fillId="40" borderId="0" applyAlignment="1" pivotButton="0" quotePrefix="0" xfId="0">
      <alignment horizontal="left" wrapText="1"/>
    </xf>
    <xf numFmtId="2" fontId="74" fillId="22" borderId="0" applyAlignment="1" pivotButton="0" quotePrefix="0" xfId="0">
      <alignment horizontal="center"/>
    </xf>
    <xf numFmtId="0" fontId="74" fillId="22" borderId="21" applyAlignment="1" pivotButton="0" quotePrefix="0" xfId="0">
      <alignment horizontal="left"/>
    </xf>
    <xf numFmtId="0" fontId="146" fillId="22" borderId="0" applyAlignment="1" pivotButton="0" quotePrefix="0" xfId="0">
      <alignment horizontal="left"/>
    </xf>
    <xf numFmtId="0" fontId="146" fillId="22" borderId="0" applyAlignment="1" pivotButton="0" quotePrefix="0" xfId="0">
      <alignment horizontal="center"/>
    </xf>
    <xf numFmtId="4" fontId="37" fillId="6" borderId="7" applyAlignment="1" pivotButton="0" quotePrefix="0" xfId="0">
      <alignment horizontal="center"/>
    </xf>
    <xf numFmtId="4" fontId="37" fillId="6" borderId="8" applyAlignment="1" pivotButton="0" quotePrefix="0" xfId="0">
      <alignment horizontal="center"/>
    </xf>
    <xf numFmtId="4" fontId="37" fillId="6" borderId="9" applyAlignment="1" pivotButton="0" quotePrefix="0" xfId="0">
      <alignment horizontal="center"/>
    </xf>
    <xf numFmtId="0" fontId="0" fillId="0" borderId="0" applyAlignment="1" pivotButton="0" quotePrefix="0" xfId="0">
      <alignment vertical="center"/>
    </xf>
    <xf numFmtId="0" fontId="112" fillId="22" borderId="0" applyAlignment="1" pivotButton="0" quotePrefix="0" xfId="0">
      <alignment vertical="center"/>
    </xf>
    <xf numFmtId="164" fontId="0" fillId="12" borderId="7" applyAlignment="1" pivotButton="0" quotePrefix="0" xfId="0">
      <alignment horizontal="center"/>
    </xf>
    <xf numFmtId="164" fontId="0" fillId="12" borderId="8" applyAlignment="1" pivotButton="0" quotePrefix="0" xfId="0">
      <alignment horizontal="center"/>
    </xf>
    <xf numFmtId="0" fontId="132" fillId="19" borderId="0" pivotButton="0" quotePrefix="0" xfId="0"/>
    <xf numFmtId="0" fontId="77" fillId="19" borderId="0" pivotButton="0" quotePrefix="0" xfId="0"/>
    <xf numFmtId="0" fontId="74" fillId="9" borderId="13" applyAlignment="1" pivotButton="0" quotePrefix="0" xfId="0">
      <alignment horizontal="center"/>
    </xf>
    <xf numFmtId="0" fontId="88" fillId="9" borderId="7" applyAlignment="1" pivotButton="0" quotePrefix="0" xfId="0">
      <alignment horizontal="center"/>
    </xf>
    <xf numFmtId="0" fontId="148" fillId="18" borderId="0" pivotButton="0" quotePrefix="0" xfId="0"/>
    <xf numFmtId="0" fontId="69" fillId="0" borderId="7" pivotButton="0" quotePrefix="0" xfId="0"/>
    <xf numFmtId="0" fontId="56" fillId="9" borderId="7" applyAlignment="1" pivotButton="0" quotePrefix="0" xfId="0">
      <alignment horizontal="center"/>
    </xf>
    <xf numFmtId="0" fontId="70" fillId="9" borderId="7" applyAlignment="1" pivotButton="0" quotePrefix="0" xfId="0">
      <alignment horizontal="center"/>
    </xf>
    <xf numFmtId="0" fontId="69" fillId="22" borderId="0" applyAlignment="1" pivotButton="0" quotePrefix="0" xfId="0">
      <alignment horizontal="center"/>
    </xf>
    <xf numFmtId="164" fontId="55" fillId="22" borderId="7" applyAlignment="1" pivotButton="0" quotePrefix="0" xfId="0">
      <alignment horizontal="center"/>
    </xf>
    <xf numFmtId="0" fontId="69" fillId="0" borderId="8" applyAlignment="1" pivotButton="0" quotePrefix="0" xfId="0">
      <alignment horizontal="center"/>
    </xf>
    <xf numFmtId="164" fontId="55" fillId="22" borderId="8" applyAlignment="1" pivotButton="0" quotePrefix="0" xfId="0">
      <alignment horizontal="center"/>
    </xf>
    <xf numFmtId="164" fontId="55" fillId="22" borderId="9" applyAlignment="1" pivotButton="0" quotePrefix="0" xfId="0">
      <alignment horizontal="center"/>
    </xf>
    <xf numFmtId="0" fontId="74" fillId="12" borderId="12" applyAlignment="1" pivotButton="0" quotePrefix="0" xfId="0">
      <alignment horizontal="left" indent="16"/>
    </xf>
    <xf numFmtId="0" fontId="74" fillId="12" borderId="13" applyAlignment="1" pivotButton="0" quotePrefix="0" xfId="0">
      <alignment horizontal="left" indent="16"/>
    </xf>
    <xf numFmtId="0" fontId="74" fillId="12" borderId="10" applyAlignment="1" pivotButton="0" quotePrefix="0" xfId="0">
      <alignment horizontal="left" indent="16"/>
    </xf>
    <xf numFmtId="0" fontId="74" fillId="12" borderId="7" applyAlignment="1" pivotButton="0" quotePrefix="0" xfId="0">
      <alignment horizontal="center" vertical="center"/>
    </xf>
    <xf numFmtId="0" fontId="74" fillId="12" borderId="3" applyAlignment="1" pivotButton="0" quotePrefix="0" xfId="0">
      <alignment horizontal="center"/>
    </xf>
    <xf numFmtId="0" fontId="74" fillId="12" borderId="5" applyAlignment="1" pivotButton="0" quotePrefix="0" xfId="0">
      <alignment horizontal="left" indent="2"/>
    </xf>
    <xf numFmtId="0" fontId="74" fillId="12" borderId="5" applyAlignment="1" pivotButton="0" quotePrefix="0" xfId="0">
      <alignment horizontal="center"/>
    </xf>
    <xf numFmtId="0" fontId="74" fillId="12" borderId="21" applyAlignment="1" pivotButton="0" quotePrefix="0" xfId="0">
      <alignment horizontal="center"/>
    </xf>
    <xf numFmtId="0" fontId="69" fillId="12" borderId="7" applyAlignment="1" pivotButton="0" quotePrefix="0" xfId="0">
      <alignment horizontal="center"/>
    </xf>
    <xf numFmtId="0" fontId="69" fillId="12" borderId="5" applyAlignment="1" pivotButton="0" quotePrefix="0" xfId="0">
      <alignment horizontal="center"/>
    </xf>
    <xf numFmtId="0" fontId="69" fillId="22" borderId="7" pivotButton="0" quotePrefix="0" xfId="0"/>
    <xf numFmtId="0" fontId="69" fillId="22" borderId="1" applyAlignment="1" pivotButton="0" quotePrefix="0" xfId="0">
      <alignment horizontal="center"/>
    </xf>
    <xf numFmtId="164" fontId="69" fillId="22" borderId="7" applyAlignment="1" pivotButton="0" quotePrefix="0" xfId="0">
      <alignment horizontal="center"/>
    </xf>
    <xf numFmtId="2" fontId="69" fillId="22" borderId="8" applyAlignment="1" pivotButton="0" quotePrefix="0" xfId="0">
      <alignment horizontal="center"/>
    </xf>
    <xf numFmtId="0" fontId="69" fillId="22" borderId="8" pivotButton="0" quotePrefix="0" xfId="0"/>
    <xf numFmtId="164" fontId="69" fillId="22" borderId="8" applyAlignment="1" pivotButton="0" quotePrefix="0" xfId="0">
      <alignment horizontal="center"/>
    </xf>
    <xf numFmtId="0" fontId="69" fillId="22" borderId="9" applyAlignment="1" pivotButton="0" quotePrefix="0" xfId="0">
      <alignment horizontal="center"/>
    </xf>
    <xf numFmtId="0" fontId="69" fillId="22" borderId="5" applyAlignment="1" pivotButton="0" quotePrefix="0" xfId="0">
      <alignment horizontal="center"/>
    </xf>
    <xf numFmtId="0" fontId="74" fillId="25" borderId="1" applyAlignment="1" pivotButton="0" quotePrefix="0" xfId="0">
      <alignment horizontal="left" indent="15"/>
    </xf>
    <xf numFmtId="0" fontId="74" fillId="25" borderId="11" applyAlignment="1" pivotButton="0" quotePrefix="0" xfId="0">
      <alignment horizontal="left" indent="15"/>
    </xf>
    <xf numFmtId="0" fontId="75" fillId="11" borderId="1" applyAlignment="1" pivotButton="0" quotePrefix="0" xfId="0">
      <alignment horizontal="left" indent="5"/>
    </xf>
    <xf numFmtId="0" fontId="75" fillId="11" borderId="2" applyAlignment="1" pivotButton="0" quotePrefix="0" xfId="0">
      <alignment horizontal="center"/>
    </xf>
    <xf numFmtId="0" fontId="74" fillId="8" borderId="11" applyAlignment="1" pivotButton="0" quotePrefix="0" xfId="0">
      <alignment horizontal="left" indent="2"/>
    </xf>
    <xf numFmtId="0" fontId="74" fillId="8" borderId="1" applyAlignment="1" pivotButton="0" quotePrefix="0" xfId="0">
      <alignment horizontal="left"/>
    </xf>
    <xf numFmtId="0" fontId="74" fillId="8" borderId="2" applyAlignment="1" pivotButton="0" quotePrefix="0" xfId="0">
      <alignment horizontal="left"/>
    </xf>
    <xf numFmtId="0" fontId="74" fillId="8" borderId="1" applyAlignment="1" pivotButton="0" quotePrefix="0" xfId="0">
      <alignment horizontal="left" indent="2"/>
    </xf>
    <xf numFmtId="0" fontId="88" fillId="9" borderId="7" applyAlignment="1" pivotButton="0" quotePrefix="0" xfId="0">
      <alignment horizontal="left"/>
    </xf>
    <xf numFmtId="0" fontId="88" fillId="8" borderId="1" applyAlignment="1" pivotButton="0" quotePrefix="0" xfId="0">
      <alignment horizontal="left" indent="1"/>
    </xf>
    <xf numFmtId="0" fontId="88" fillId="8" borderId="2" applyAlignment="1" pivotButton="0" quotePrefix="0" xfId="0">
      <alignment horizontal="center"/>
    </xf>
    <xf numFmtId="0" fontId="74" fillId="9" borderId="3" applyAlignment="1" pivotButton="0" quotePrefix="0" xfId="0">
      <alignment horizontal="left"/>
    </xf>
    <xf numFmtId="0" fontId="55" fillId="15" borderId="7" applyAlignment="1" pivotButton="0" quotePrefix="0" xfId="0">
      <alignment horizontal="center" vertical="center"/>
    </xf>
    <xf numFmtId="0" fontId="88" fillId="16" borderId="1" applyAlignment="1" pivotButton="0" quotePrefix="0" xfId="0">
      <alignment horizontal="left" indent="1"/>
    </xf>
    <xf numFmtId="0" fontId="88" fillId="16" borderId="2" applyAlignment="1" pivotButton="0" quotePrefix="0" xfId="0">
      <alignment horizontal="left" indent="10"/>
    </xf>
    <xf numFmtId="0" fontId="88" fillId="17" borderId="1" applyAlignment="1" pivotButton="0" quotePrefix="0" xfId="0">
      <alignment horizontal="center"/>
    </xf>
    <xf numFmtId="0" fontId="88" fillId="17" borderId="11" applyAlignment="1" pivotButton="0" quotePrefix="0" xfId="0">
      <alignment horizontal="left" indent="5"/>
    </xf>
    <xf numFmtId="0" fontId="69" fillId="16" borderId="7" applyAlignment="1" pivotButton="0" quotePrefix="0" xfId="0">
      <alignment horizontal="center"/>
    </xf>
    <xf numFmtId="0" fontId="69" fillId="17" borderId="2" applyAlignment="1" pivotButton="0" quotePrefix="0" xfId="0">
      <alignment horizontal="center"/>
    </xf>
    <xf numFmtId="0" fontId="69" fillId="17" borderId="1" applyAlignment="1" pivotButton="0" quotePrefix="0" xfId="0">
      <alignment horizontal="center"/>
    </xf>
    <xf numFmtId="0" fontId="69" fillId="17" borderId="7" applyAlignment="1" pivotButton="0" quotePrefix="0" xfId="0">
      <alignment horizontal="center"/>
    </xf>
    <xf numFmtId="0" fontId="74" fillId="9" borderId="5" applyAlignment="1" pivotButton="0" quotePrefix="0" xfId="0">
      <alignment horizontal="center"/>
    </xf>
    <xf numFmtId="0" fontId="69" fillId="15" borderId="9" applyAlignment="1" pivotButton="0" quotePrefix="0" xfId="0">
      <alignment horizontal="center" vertical="center"/>
    </xf>
    <xf numFmtId="0" fontId="69" fillId="16" borderId="12" applyAlignment="1" pivotButton="0" quotePrefix="0" xfId="0">
      <alignment horizontal="center" vertical="center"/>
    </xf>
    <xf numFmtId="0" fontId="69" fillId="16" borderId="13" applyAlignment="1" pivotButton="0" quotePrefix="0" xfId="0">
      <alignment horizontal="left" vertical="center" wrapText="1"/>
    </xf>
    <xf numFmtId="0" fontId="69" fillId="17" borderId="12" applyAlignment="1" pivotButton="0" quotePrefix="0" xfId="0">
      <alignment horizontal="center" vertical="center"/>
    </xf>
    <xf numFmtId="0" fontId="69" fillId="17" borderId="14" applyAlignment="1" pivotButton="0" quotePrefix="0" xfId="0">
      <alignment vertical="center"/>
    </xf>
    <xf numFmtId="0" fontId="69" fillId="16" borderId="9" applyAlignment="1" pivotButton="0" quotePrefix="0" xfId="0">
      <alignment horizontal="center"/>
    </xf>
    <xf numFmtId="0" fontId="69" fillId="17" borderId="6" applyAlignment="1" pivotButton="0" quotePrefix="0" xfId="0">
      <alignment horizontal="center"/>
    </xf>
    <xf numFmtId="0" fontId="69" fillId="17" borderId="5" applyAlignment="1" pivotButton="0" quotePrefix="0" xfId="0">
      <alignment horizontal="center"/>
    </xf>
    <xf numFmtId="0" fontId="69" fillId="17" borderId="9" applyAlignment="1" pivotButton="0" quotePrefix="0" xfId="0">
      <alignment horizontal="center"/>
    </xf>
    <xf numFmtId="0" fontId="69" fillId="8" borderId="6" applyAlignment="1" pivotButton="0" quotePrefix="0" xfId="0">
      <alignment horizontal="center"/>
    </xf>
    <xf numFmtId="172" fontId="69" fillId="0" borderId="0" pivotButton="0" quotePrefix="0" xfId="0"/>
    <xf numFmtId="164" fontId="82" fillId="19" borderId="7" applyAlignment="1" pivotButton="0" quotePrefix="0" xfId="0">
      <alignment horizontal="center"/>
    </xf>
    <xf numFmtId="0" fontId="77" fillId="19" borderId="7" applyAlignment="1" pivotButton="0" quotePrefix="0" xfId="0">
      <alignment horizontal="center"/>
    </xf>
    <xf numFmtId="164" fontId="77" fillId="19" borderId="7" applyAlignment="1" pivotButton="0" quotePrefix="0" xfId="0">
      <alignment horizontal="center"/>
    </xf>
    <xf numFmtId="0" fontId="69" fillId="22" borderId="9" pivotButton="0" quotePrefix="0" xfId="0"/>
    <xf numFmtId="164" fontId="69" fillId="22" borderId="9" applyAlignment="1" pivotButton="0" quotePrefix="0" xfId="0">
      <alignment horizontal="center"/>
    </xf>
    <xf numFmtId="0" fontId="74" fillId="2" borderId="13" applyAlignment="1" pivotButton="0" quotePrefix="0" xfId="0">
      <alignment horizontal="center"/>
    </xf>
    <xf numFmtId="0" fontId="69" fillId="12" borderId="10" applyAlignment="1" pivotButton="0" quotePrefix="0" xfId="0">
      <alignment horizontal="center" vertical="center"/>
    </xf>
    <xf numFmtId="0" fontId="69" fillId="12" borderId="10" applyAlignment="1" pivotButton="0" quotePrefix="0" xfId="0">
      <alignment horizontal="center" vertical="center" wrapText="1"/>
    </xf>
    <xf numFmtId="0" fontId="70" fillId="22" borderId="10" applyAlignment="1" pivotButton="0" quotePrefix="0" xfId="0">
      <alignment vertical="center"/>
    </xf>
    <xf numFmtId="0" fontId="70" fillId="22" borderId="10" applyAlignment="1" pivotButton="0" quotePrefix="0" xfId="0">
      <alignment vertical="center" wrapText="1"/>
    </xf>
    <xf numFmtId="0" fontId="70" fillId="0" borderId="7" applyAlignment="1" pivotButton="0" quotePrefix="0" xfId="0">
      <alignment vertical="center"/>
    </xf>
    <xf numFmtId="0" fontId="70" fillId="0" borderId="7" applyAlignment="1" pivotButton="0" quotePrefix="0" xfId="0">
      <alignment vertical="center" wrapText="1"/>
    </xf>
    <xf numFmtId="0" fontId="68" fillId="22" borderId="8" applyAlignment="1" pivotButton="0" quotePrefix="0" xfId="0">
      <alignment horizontal="center"/>
    </xf>
    <xf numFmtId="0" fontId="68" fillId="22" borderId="9" applyAlignment="1" pivotButton="0" quotePrefix="0" xfId="0">
      <alignment horizontal="center"/>
    </xf>
    <xf numFmtId="0" fontId="73" fillId="22" borderId="9" applyAlignment="1" pivotButton="0" quotePrefix="0" xfId="0">
      <alignment horizontal="center"/>
    </xf>
    <xf numFmtId="0" fontId="74" fillId="12" borderId="10" applyAlignment="1" pivotButton="0" quotePrefix="0" xfId="0">
      <alignment horizontal="center"/>
    </xf>
    <xf numFmtId="0" fontId="70" fillId="22" borderId="2" applyAlignment="1" pivotButton="0" quotePrefix="0" xfId="0">
      <alignment horizontal="center" vertical="center"/>
    </xf>
    <xf numFmtId="0" fontId="70" fillId="0" borderId="2" applyAlignment="1" pivotButton="0" quotePrefix="0" xfId="0">
      <alignment horizontal="center" vertical="center"/>
    </xf>
    <xf numFmtId="0" fontId="70" fillId="12" borderId="2" applyAlignment="1" pivotButton="0" quotePrefix="0" xfId="0">
      <alignment horizontal="center" vertical="center"/>
    </xf>
    <xf numFmtId="0" fontId="70" fillId="12" borderId="10" applyAlignment="1" pivotButton="0" quotePrefix="0" xfId="0">
      <alignment vertical="center"/>
    </xf>
    <xf numFmtId="0" fontId="70" fillId="12" borderId="10" applyAlignment="1" pivotButton="0" quotePrefix="0" xfId="0">
      <alignment vertical="center" wrapText="1"/>
    </xf>
    <xf numFmtId="0" fontId="81" fillId="0" borderId="0" pivotButton="0" quotePrefix="0" xfId="0"/>
    <xf numFmtId="0" fontId="149" fillId="36" borderId="0" applyAlignment="1" pivotButton="0" quotePrefix="0" xfId="0">
      <alignment vertical="center"/>
    </xf>
    <xf numFmtId="0" fontId="150" fillId="36" borderId="0" pivotButton="0" quotePrefix="0" xfId="0"/>
    <xf numFmtId="0" fontId="151" fillId="36" borderId="0" applyAlignment="1" pivotButton="0" quotePrefix="0" xfId="0">
      <alignment horizontal="center"/>
    </xf>
    <xf numFmtId="0" fontId="152" fillId="36" borderId="0" applyAlignment="1" pivotButton="0" quotePrefix="0" xfId="0">
      <alignment horizontal="left" vertical="center"/>
    </xf>
    <xf numFmtId="0" fontId="149" fillId="36" borderId="0" applyAlignment="1" pivotButton="0" quotePrefix="0" xfId="0">
      <alignment horizontal="right" vertical="center"/>
    </xf>
    <xf numFmtId="0" fontId="150" fillId="22" borderId="0" pivotButton="0" quotePrefix="0" xfId="0"/>
    <xf numFmtId="0" fontId="153" fillId="22" borderId="0" pivotButton="0" quotePrefix="0" xfId="0"/>
    <xf numFmtId="0" fontId="154" fillId="36" borderId="0" applyAlignment="1" pivotButton="0" quotePrefix="0" xfId="0">
      <alignment vertical="center"/>
    </xf>
    <xf numFmtId="0" fontId="155" fillId="36" borderId="0" applyAlignment="1" pivotButton="0" quotePrefix="0" xfId="0">
      <alignment vertical="center"/>
    </xf>
    <xf numFmtId="0" fontId="156" fillId="36" borderId="0" applyAlignment="1" pivotButton="0" quotePrefix="0" xfId="0">
      <alignment horizontal="left" vertical="center"/>
    </xf>
    <xf numFmtId="0" fontId="157" fillId="36" borderId="0" applyAlignment="1" pivotButton="0" quotePrefix="0" xfId="0">
      <alignment horizontal="left" vertical="center" indent="57"/>
    </xf>
    <xf numFmtId="0" fontId="158" fillId="36" borderId="0" applyAlignment="1" pivotButton="0" quotePrefix="0" xfId="0">
      <alignment horizontal="left" vertical="center" indent="57"/>
    </xf>
    <xf numFmtId="0" fontId="159" fillId="36" borderId="0" applyAlignment="1" pivotButton="0" quotePrefix="0" xfId="0">
      <alignment vertical="center"/>
    </xf>
    <xf numFmtId="0" fontId="160" fillId="12" borderId="0" applyAlignment="1" pivotButton="0" quotePrefix="0" xfId="0">
      <alignment horizontal="left"/>
    </xf>
    <xf numFmtId="0" fontId="160" fillId="12" borderId="0" applyAlignment="1" pivotButton="0" quotePrefix="0" xfId="0">
      <alignment horizontal="center"/>
    </xf>
    <xf numFmtId="0" fontId="150" fillId="12" borderId="0" pivotButton="0" quotePrefix="0" xfId="0"/>
    <xf numFmtId="0" fontId="150" fillId="10" borderId="0" pivotButton="0" quotePrefix="0" xfId="0"/>
    <xf numFmtId="0" fontId="160" fillId="10" borderId="0" pivotButton="0" quotePrefix="0" xfId="0"/>
    <xf numFmtId="0" fontId="159" fillId="10" borderId="0" applyAlignment="1" pivotButton="0" quotePrefix="0" xfId="0">
      <alignment vertical="center"/>
    </xf>
    <xf numFmtId="0" fontId="150" fillId="10" borderId="21" pivotButton="0" quotePrefix="0" xfId="0"/>
    <xf numFmtId="0" fontId="161" fillId="10" borderId="21" applyAlignment="1" pivotButton="0" quotePrefix="0" xfId="0">
      <alignment horizontal="left" vertical="center" indent="2"/>
    </xf>
    <xf numFmtId="0" fontId="161" fillId="10" borderId="21" applyAlignment="1" pivotButton="0" quotePrefix="0" xfId="0">
      <alignment vertical="center"/>
    </xf>
    <xf numFmtId="0" fontId="162" fillId="12" borderId="21" applyAlignment="1" pivotButton="0" quotePrefix="0" xfId="0">
      <alignment horizontal="left" indent="7"/>
    </xf>
    <xf numFmtId="0" fontId="150" fillId="12" borderId="21" pivotButton="0" quotePrefix="0" xfId="0"/>
    <xf numFmtId="0" fontId="150" fillId="12" borderId="0" applyAlignment="1" pivotButton="0" quotePrefix="0" xfId="0">
      <alignment wrapText="1"/>
    </xf>
    <xf numFmtId="0" fontId="160" fillId="12" borderId="21" applyAlignment="1" pivotButton="0" quotePrefix="0" xfId="0">
      <alignment horizontal="left" indent="2"/>
    </xf>
    <xf numFmtId="0" fontId="160" fillId="12" borderId="0" applyAlignment="1" pivotButton="0" quotePrefix="0" xfId="0">
      <alignment horizontal="left" indent="1"/>
    </xf>
    <xf numFmtId="0" fontId="150" fillId="12" borderId="0" applyAlignment="1" pivotButton="0" quotePrefix="0" xfId="0">
      <alignment horizontal="left" indent="7"/>
    </xf>
    <xf numFmtId="0" fontId="164" fillId="10" borderId="0" applyAlignment="1" pivotButton="0" quotePrefix="0" xfId="0">
      <alignment vertical="center"/>
    </xf>
    <xf numFmtId="0" fontId="161" fillId="10" borderId="0" applyAlignment="1" pivotButton="0" quotePrefix="0" xfId="0">
      <alignment horizontal="center" vertical="center"/>
    </xf>
    <xf numFmtId="0" fontId="161" fillId="10" borderId="0" applyAlignment="1" pivotButton="0" quotePrefix="0" xfId="0">
      <alignment horizontal="left" vertical="center" indent="18"/>
    </xf>
    <xf numFmtId="0" fontId="161" fillId="10" borderId="0" applyAlignment="1" pivotButton="0" quotePrefix="0" xfId="0">
      <alignment horizontal="left" vertical="center" indent="1"/>
    </xf>
    <xf numFmtId="0" fontId="165" fillId="10" borderId="0" applyAlignment="1" pivotButton="0" quotePrefix="0" xfId="0">
      <alignment vertical="center"/>
    </xf>
    <xf numFmtId="0" fontId="161" fillId="10" borderId="0" applyAlignment="1" pivotButton="0" quotePrefix="0" xfId="0">
      <alignment horizontal="left" vertical="center" indent="3"/>
    </xf>
    <xf numFmtId="0" fontId="161" fillId="10" borderId="0" applyAlignment="1" pivotButton="0" quotePrefix="0" xfId="0">
      <alignment vertical="center"/>
    </xf>
    <xf numFmtId="0" fontId="161" fillId="10" borderId="0" applyAlignment="1" pivotButton="0" quotePrefix="0" xfId="0">
      <alignment horizontal="left" vertical="center"/>
    </xf>
    <xf numFmtId="0" fontId="161" fillId="10" borderId="11" applyAlignment="1" pivotButton="0" quotePrefix="0" xfId="0">
      <alignment horizontal="left" vertical="center"/>
    </xf>
    <xf numFmtId="0" fontId="166" fillId="22" borderId="0" applyAlignment="1" pivotButton="0" quotePrefix="0" xfId="0">
      <alignment horizontal="left" vertical="center" indent="57"/>
    </xf>
    <xf numFmtId="0" fontId="160" fillId="12" borderId="0" applyAlignment="1" pivotButton="0" quotePrefix="0" xfId="0">
      <alignment horizontal="left" indent="3"/>
    </xf>
    <xf numFmtId="0" fontId="167" fillId="12" borderId="0" applyAlignment="1" pivotButton="0" quotePrefix="0" xfId="0">
      <alignment horizontal="center"/>
    </xf>
    <xf numFmtId="0" fontId="150" fillId="12" borderId="0" applyAlignment="1" pivotButton="0" quotePrefix="0" xfId="0">
      <alignment horizontal="center"/>
    </xf>
    <xf numFmtId="0" fontId="168" fillId="10" borderId="0" applyAlignment="1" pivotButton="0" quotePrefix="0" xfId="0">
      <alignment vertical="center"/>
    </xf>
    <xf numFmtId="0" fontId="169" fillId="10" borderId="0" applyAlignment="1" pivotButton="0" quotePrefix="0" xfId="0">
      <alignment vertical="center"/>
    </xf>
    <xf numFmtId="0" fontId="170" fillId="10" borderId="0" applyAlignment="1" pivotButton="0" quotePrefix="0" xfId="0">
      <alignment vertical="center"/>
    </xf>
    <xf numFmtId="0" fontId="171" fillId="12" borderId="0" pivotButton="0" quotePrefix="0" xfId="0"/>
    <xf numFmtId="0" fontId="172" fillId="12" borderId="0" pivotButton="0" quotePrefix="0" xfId="0"/>
    <xf numFmtId="0" fontId="161" fillId="12" borderId="0" applyAlignment="1" pivotButton="0" quotePrefix="0" xfId="0">
      <alignment horizontal="center"/>
    </xf>
    <xf numFmtId="0" fontId="173" fillId="22" borderId="0" pivotButton="0" quotePrefix="0" xfId="0"/>
    <xf numFmtId="0" fontId="150" fillId="12" borderId="0" applyAlignment="1" pivotButton="0" quotePrefix="0" xfId="0">
      <alignment horizontal="left" vertical="center"/>
    </xf>
    <xf numFmtId="3" fontId="161" fillId="12" borderId="0" applyAlignment="1" pivotButton="0" quotePrefix="0" xfId="0">
      <alignment horizontal="center" vertical="center"/>
    </xf>
    <xf numFmtId="0" fontId="161" fillId="12" borderId="0" applyAlignment="1" pivotButton="0" quotePrefix="0" xfId="0">
      <alignment horizontal="center" vertical="center"/>
    </xf>
    <xf numFmtId="2" fontId="161" fillId="10" borderId="0" applyAlignment="1" pivotButton="0" quotePrefix="0" xfId="0">
      <alignment horizontal="center" vertical="center"/>
    </xf>
    <xf numFmtId="0" fontId="161" fillId="22" borderId="0" applyAlignment="1" pivotButton="0" quotePrefix="0" xfId="0">
      <alignment vertical="center"/>
    </xf>
    <xf numFmtId="0" fontId="151" fillId="22" borderId="0" applyAlignment="1" pivotButton="0" quotePrefix="0" xfId="0">
      <alignment horizontal="center"/>
    </xf>
    <xf numFmtId="0" fontId="174" fillId="12" borderId="0" pivotButton="0" quotePrefix="0" xfId="0"/>
    <xf numFmtId="0" fontId="154" fillId="22" borderId="0" applyAlignment="1" pivotButton="0" quotePrefix="0" xfId="0">
      <alignment vertical="center"/>
    </xf>
    <xf numFmtId="0" fontId="176" fillId="36" borderId="0" pivotButton="0" quotePrefix="0" xfId="0"/>
    <xf numFmtId="0" fontId="162" fillId="12" borderId="21" applyAlignment="1" pivotButton="0" quotePrefix="0" xfId="0">
      <alignment horizontal="left" indent="11"/>
    </xf>
    <xf numFmtId="0" fontId="177" fillId="12" borderId="0" applyAlignment="1" pivotButton="0" quotePrefix="0" xfId="0">
      <alignment wrapText="1"/>
    </xf>
    <xf numFmtId="0" fontId="177" fillId="12" borderId="0" pivotButton="0" quotePrefix="0" xfId="0"/>
    <xf numFmtId="0" fontId="160" fillId="12" borderId="0" pivotButton="0" quotePrefix="0" xfId="0"/>
    <xf numFmtId="0" fontId="160" fillId="12" borderId="0" applyAlignment="1" pivotButton="0" quotePrefix="0" xfId="0">
      <alignment horizontal="left" indent="4"/>
    </xf>
    <xf numFmtId="0" fontId="177" fillId="12" borderId="0" applyAlignment="1" pivotButton="0" quotePrefix="0" xfId="0">
      <alignment horizontal="left" indent="7"/>
    </xf>
    <xf numFmtId="0" fontId="161" fillId="12" borderId="0" applyAlignment="1" pivotButton="0" quotePrefix="0" xfId="0">
      <alignment horizontal="right"/>
    </xf>
    <xf numFmtId="0" fontId="178" fillId="12" borderId="0" applyAlignment="1" pivotButton="0" quotePrefix="0" xfId="0">
      <alignment horizontal="left" indent="1"/>
    </xf>
    <xf numFmtId="0" fontId="150" fillId="12" borderId="0" applyAlignment="1" pivotButton="0" quotePrefix="0" xfId="0">
      <alignment horizontal="left" indent="2"/>
    </xf>
    <xf numFmtId="0" fontId="177" fillId="12" borderId="0" applyAlignment="1" pivotButton="0" quotePrefix="0" xfId="0">
      <alignment horizontal="center"/>
    </xf>
    <xf numFmtId="0" fontId="161" fillId="10" borderId="0" applyAlignment="1" pivotButton="0" quotePrefix="0" xfId="0">
      <alignment horizontal="left" vertical="center" indent="2"/>
    </xf>
    <xf numFmtId="0" fontId="160" fillId="12" borderId="0" applyAlignment="1" pivotButton="0" quotePrefix="0" xfId="0">
      <alignment horizontal="center" vertical="center"/>
    </xf>
    <xf numFmtId="0" fontId="161" fillId="12" borderId="0" applyAlignment="1" pivotButton="0" quotePrefix="0" xfId="0">
      <alignment horizontal="left"/>
    </xf>
    <xf numFmtId="0" fontId="160" fillId="12" borderId="0" applyAlignment="1" pivotButton="0" quotePrefix="0" xfId="0">
      <alignment horizontal="left" indent="2"/>
    </xf>
    <xf numFmtId="0" fontId="161" fillId="12" borderId="0" applyAlignment="1" pivotButton="0" quotePrefix="0" xfId="0">
      <alignment horizontal="center" vertical="center" wrapText="1"/>
    </xf>
    <xf numFmtId="0" fontId="150" fillId="12" borderId="0" applyAlignment="1" pivotButton="0" quotePrefix="0" xfId="0">
      <alignment horizontal="center" vertical="center"/>
    </xf>
    <xf numFmtId="0" fontId="161" fillId="12" borderId="0" pivotButton="0" quotePrefix="0" xfId="0"/>
    <xf numFmtId="2" fontId="150" fillId="22" borderId="0" pivotButton="0" quotePrefix="0" xfId="0"/>
    <xf numFmtId="3" fontId="150" fillId="12" borderId="0" applyAlignment="1" pivotButton="0" quotePrefix="0" xfId="0">
      <alignment horizontal="center"/>
    </xf>
    <xf numFmtId="3" fontId="150" fillId="12" borderId="0" applyAlignment="1" pivotButton="0" quotePrefix="0" xfId="0">
      <alignment horizontal="center" wrapText="1"/>
    </xf>
    <xf numFmtId="3" fontId="160" fillId="12" borderId="0" applyAlignment="1" pivotButton="0" quotePrefix="0" xfId="0">
      <alignment horizontal="center"/>
    </xf>
    <xf numFmtId="3" fontId="160" fillId="12" borderId="0" applyAlignment="1" pivotButton="0" quotePrefix="0" xfId="0">
      <alignment horizontal="right"/>
    </xf>
    <xf numFmtId="3" fontId="180" fillId="12" borderId="0" applyAlignment="1" pivotButton="0" quotePrefix="0" xfId="0">
      <alignment horizontal="left" vertical="center" indent="1"/>
    </xf>
    <xf numFmtId="3" fontId="150" fillId="12" borderId="0" applyAlignment="1" pivotButton="0" quotePrefix="0" xfId="0">
      <alignment horizontal="right"/>
    </xf>
    <xf numFmtId="0" fontId="158" fillId="10" borderId="0" applyAlignment="1" pivotButton="0" quotePrefix="0" xfId="0">
      <alignment horizontal="left" vertical="center" indent="57"/>
    </xf>
    <xf numFmtId="0" fontId="181" fillId="12" borderId="0" pivotButton="0" quotePrefix="0" xfId="0"/>
    <xf numFmtId="0" fontId="150" fillId="12" borderId="0" applyAlignment="1" pivotButton="0" quotePrefix="0" xfId="0">
      <alignment horizontal="left"/>
    </xf>
    <xf numFmtId="0" fontId="150" fillId="12" borderId="0" applyAlignment="1" pivotButton="0" quotePrefix="0" xfId="0">
      <alignment horizontal="right"/>
    </xf>
    <xf numFmtId="0" fontId="167" fillId="12" borderId="0" pivotButton="0" quotePrefix="0" xfId="0"/>
    <xf numFmtId="0" fontId="150" fillId="12" borderId="0" applyAlignment="1" pivotButton="0" quotePrefix="0" xfId="0">
      <alignment vertical="top" wrapText="1"/>
    </xf>
    <xf numFmtId="0" fontId="150" fillId="12" borderId="11" pivotButton="0" quotePrefix="0" xfId="0"/>
    <xf numFmtId="0" fontId="182" fillId="12" borderId="11" pivotButton="0" quotePrefix="0" xfId="0"/>
    <xf numFmtId="0" fontId="183" fillId="12" borderId="11" pivotButton="0" quotePrefix="0" xfId="0"/>
    <xf numFmtId="0" fontId="176" fillId="12" borderId="11" pivotButton="0" quotePrefix="0" xfId="0"/>
    <xf numFmtId="0" fontId="162" fillId="12" borderId="11" applyAlignment="1" pivotButton="0" quotePrefix="0" xfId="0">
      <alignment horizontal="right" indent="4"/>
    </xf>
    <xf numFmtId="3" fontId="167" fillId="12" borderId="11" applyAlignment="1" pivotButton="0" quotePrefix="0" xfId="0">
      <alignment horizontal="center" vertical="center"/>
    </xf>
    <xf numFmtId="0" fontId="161" fillId="12" borderId="11" pivotButton="0" quotePrefix="0" xfId="0"/>
    <xf numFmtId="0" fontId="167" fillId="12" borderId="11" applyAlignment="1" pivotButton="0" quotePrefix="0" xfId="0">
      <alignment horizontal="center" vertical="center"/>
    </xf>
    <xf numFmtId="0" fontId="184" fillId="12" borderId="0" pivotButton="0" quotePrefix="0" xfId="0"/>
    <xf numFmtId="0" fontId="153" fillId="10" borderId="0" pivotButton="0" quotePrefix="0" xfId="0"/>
    <xf numFmtId="0" fontId="150" fillId="22" borderId="0" applyAlignment="1" pivotButton="0" quotePrefix="0" xfId="0">
      <alignment vertical="top" wrapText="1"/>
    </xf>
    <xf numFmtId="0" fontId="150" fillId="22" borderId="0" applyAlignment="1" pivotButton="0" quotePrefix="0" xfId="0">
      <alignment wrapText="1"/>
    </xf>
    <xf numFmtId="0" fontId="153" fillId="22" borderId="0" applyAlignment="1" pivotButton="0" quotePrefix="0" xfId="0">
      <alignment vertical="top" wrapText="1"/>
    </xf>
    <xf numFmtId="0" fontId="153" fillId="22" borderId="0" applyAlignment="1" pivotButton="0" quotePrefix="0" xfId="0">
      <alignment wrapText="1"/>
    </xf>
    <xf numFmtId="0" fontId="166" fillId="22" borderId="0" applyAlignment="1" pivotButton="0" quotePrefix="0" xfId="0">
      <alignment horizontal="left" vertical="center" indent="52"/>
    </xf>
    <xf numFmtId="0" fontId="158" fillId="22" borderId="0" applyAlignment="1" pivotButton="0" quotePrefix="0" xfId="0">
      <alignment horizontal="left" vertical="center" indent="57"/>
    </xf>
    <xf numFmtId="0" fontId="161" fillId="36" borderId="0" applyAlignment="1" pivotButton="0" quotePrefix="0" xfId="0">
      <alignment horizontal="center" vertical="center"/>
    </xf>
    <xf numFmtId="0" fontId="185" fillId="22" borderId="0" applyAlignment="1" pivotButton="0" quotePrefix="0" xfId="0">
      <alignment horizontal="left" vertical="center" indent="32"/>
    </xf>
    <xf numFmtId="0" fontId="161" fillId="22" borderId="0" applyAlignment="1" pivotButton="0" quotePrefix="0" xfId="0">
      <alignment horizontal="left" vertical="center" indent="32"/>
    </xf>
    <xf numFmtId="0" fontId="186" fillId="22" borderId="0" applyAlignment="1" pivotButton="0" quotePrefix="0" xfId="0">
      <alignment horizontal="left" vertical="center" indent="32"/>
    </xf>
    <xf numFmtId="0" fontId="181" fillId="36" borderId="0" applyAlignment="1" pivotButton="0" quotePrefix="0" xfId="0">
      <alignment vertical="center"/>
    </xf>
    <xf numFmtId="0" fontId="155" fillId="36" borderId="0" applyAlignment="1" pivotButton="0" quotePrefix="0" xfId="0">
      <alignment horizontal="left" vertical="center"/>
    </xf>
    <xf numFmtId="0" fontId="166" fillId="36" borderId="0" applyAlignment="1" pivotButton="0" quotePrefix="0" xfId="0">
      <alignment horizontal="left" vertical="center" indent="32"/>
    </xf>
    <xf numFmtId="0" fontId="166" fillId="22" borderId="0" applyAlignment="1" pivotButton="0" quotePrefix="0" xfId="0">
      <alignment horizontal="left" vertical="center" indent="32"/>
    </xf>
    <xf numFmtId="0" fontId="162" fillId="12" borderId="21" applyAlignment="1" pivotButton="0" quotePrefix="0" xfId="0">
      <alignment horizontal="left" indent="12"/>
    </xf>
    <xf numFmtId="0" fontId="187" fillId="12" borderId="0" applyAlignment="1" pivotButton="0" quotePrefix="0" xfId="0">
      <alignment horizontal="center"/>
    </xf>
    <xf numFmtId="0" fontId="167" fillId="12" borderId="0" applyAlignment="1" pivotButton="0" quotePrefix="0" xfId="0">
      <alignment horizontal="left" indent="11"/>
    </xf>
    <xf numFmtId="0" fontId="160" fillId="12" borderId="0" applyAlignment="1" pivotButton="0" quotePrefix="0" xfId="0">
      <alignment horizontal="left" indent="11"/>
    </xf>
    <xf numFmtId="0" fontId="151" fillId="10" borderId="0" applyAlignment="1" pivotButton="0" quotePrefix="0" xfId="0">
      <alignment horizontal="center"/>
    </xf>
    <xf numFmtId="0" fontId="152" fillId="10" borderId="0" applyAlignment="1" pivotButton="0" quotePrefix="0" xfId="0">
      <alignment horizontal="left" vertical="center"/>
    </xf>
    <xf numFmtId="0" fontId="167" fillId="12" borderId="21" applyAlignment="1" pivotButton="0" quotePrefix="0" xfId="0">
      <alignment horizontal="left" indent="11"/>
    </xf>
    <xf numFmtId="0" fontId="160" fillId="12" borderId="21" applyAlignment="1" pivotButton="0" quotePrefix="0" xfId="0">
      <alignment horizontal="left" indent="11"/>
    </xf>
    <xf numFmtId="0" fontId="167" fillId="12" borderId="0" applyAlignment="1" pivotButton="0" quotePrefix="0" xfId="0">
      <alignment horizontal="left" indent="1"/>
    </xf>
    <xf numFmtId="0" fontId="158" fillId="10" borderId="0" applyAlignment="1" pivotButton="0" quotePrefix="0" xfId="0">
      <alignment horizontal="center" vertical="center"/>
    </xf>
    <xf numFmtId="0" fontId="167" fillId="10" borderId="0" applyAlignment="1" pivotButton="0" quotePrefix="0" xfId="0">
      <alignment horizontal="left" vertical="center"/>
    </xf>
    <xf numFmtId="0" fontId="167" fillId="10" borderId="0" applyAlignment="1" pivotButton="0" quotePrefix="0" xfId="0">
      <alignment horizontal="left" vertical="center" indent="1"/>
    </xf>
    <xf numFmtId="0" fontId="167" fillId="10" borderId="0" applyAlignment="1" pivotButton="0" quotePrefix="0" xfId="0">
      <alignment horizontal="left" vertical="center" indent="2"/>
    </xf>
    <xf numFmtId="0" fontId="167" fillId="10" borderId="0" applyAlignment="1" pivotButton="0" quotePrefix="0" xfId="0">
      <alignment vertical="center"/>
    </xf>
    <xf numFmtId="0" fontId="188" fillId="12" borderId="0" applyAlignment="1" pivotButton="0" quotePrefix="0" xfId="0">
      <alignment horizontal="center"/>
    </xf>
    <xf numFmtId="0" fontId="167" fillId="10" borderId="0" applyAlignment="1" pivotButton="0" quotePrefix="0" xfId="0">
      <alignment horizontal="left" vertical="center" indent="13"/>
    </xf>
    <xf numFmtId="0" fontId="189" fillId="10" borderId="0" applyAlignment="1" pivotButton="0" quotePrefix="0" xfId="0">
      <alignment vertical="center"/>
    </xf>
    <xf numFmtId="0" fontId="190" fillId="10" borderId="0" applyAlignment="1" pivotButton="0" quotePrefix="0" xfId="0">
      <alignment horizontal="center" vertical="center"/>
    </xf>
    <xf numFmtId="0" fontId="190" fillId="10" borderId="0" applyAlignment="1" pivotButton="0" quotePrefix="0" xfId="0">
      <alignment horizontal="left" vertical="center" indent="2"/>
    </xf>
    <xf numFmtId="0" fontId="190" fillId="10" borderId="0" applyAlignment="1" pivotButton="0" quotePrefix="0" xfId="0">
      <alignment vertical="center"/>
    </xf>
    <xf numFmtId="3" fontId="161" fillId="12" borderId="0" applyAlignment="1" pivotButton="0" quotePrefix="0" xfId="0">
      <alignment horizontal="center"/>
    </xf>
    <xf numFmtId="0" fontId="150" fillId="22" borderId="0" applyAlignment="1" pivotButton="0" quotePrefix="0" xfId="0">
      <alignment horizontal="center"/>
    </xf>
    <xf numFmtId="0" fontId="167" fillId="12" borderId="0" applyAlignment="1" pivotButton="0" quotePrefix="0" xfId="0">
      <alignment horizontal="left"/>
    </xf>
    <xf numFmtId="0" fontId="187" fillId="12" borderId="21" applyAlignment="1" pivotButton="0" quotePrefix="0" xfId="0">
      <alignment horizontal="center"/>
    </xf>
    <xf numFmtId="0" fontId="167" fillId="12" borderId="21" applyAlignment="1" pivotButton="0" quotePrefix="0" xfId="0">
      <alignment horizontal="center"/>
    </xf>
    <xf numFmtId="0" fontId="191" fillId="12" borderId="0" applyAlignment="1" pivotButton="0" quotePrefix="0" xfId="0">
      <alignment horizontal="center"/>
    </xf>
    <xf numFmtId="0" fontId="160" fillId="12" borderId="0" applyAlignment="1" pivotButton="0" quotePrefix="0" xfId="0">
      <alignment horizontal="left" vertical="center"/>
    </xf>
    <xf numFmtId="0" fontId="187" fillId="12" borderId="0" applyAlignment="1" pivotButton="0" quotePrefix="0" xfId="0">
      <alignment horizontal="left" indent="3"/>
    </xf>
    <xf numFmtId="0" fontId="192" fillId="12" borderId="0" pivotButton="0" quotePrefix="0" xfId="0"/>
    <xf numFmtId="0" fontId="150" fillId="12" borderId="0" applyAlignment="1" pivotButton="0" quotePrefix="0" xfId="0">
      <alignment horizontal="left" vertical="center" wrapText="1"/>
    </xf>
    <xf numFmtId="0" fontId="160" fillId="12" borderId="0" applyAlignment="1" pivotButton="0" quotePrefix="0" xfId="0">
      <alignment horizontal="right"/>
    </xf>
    <xf numFmtId="0" fontId="161" fillId="12" borderId="0" applyAlignment="1" pivotButton="0" quotePrefix="0" xfId="0">
      <alignment horizontal="left" indent="20"/>
    </xf>
    <xf numFmtId="0" fontId="173" fillId="12" borderId="0" applyAlignment="1" pivotButton="0" quotePrefix="0" xfId="0">
      <alignment horizontal="center"/>
    </xf>
    <xf numFmtId="0" fontId="173" fillId="12" borderId="0" applyAlignment="1" pivotButton="0" quotePrefix="0" xfId="0">
      <alignment horizontal="left"/>
    </xf>
    <xf numFmtId="0" fontId="192" fillId="12" borderId="0" applyAlignment="1" pivotButton="0" quotePrefix="0" xfId="0">
      <alignment horizontal="center"/>
    </xf>
    <xf numFmtId="0" fontId="161" fillId="12" borderId="11" applyAlignment="1" pivotButton="0" quotePrefix="0" xfId="0">
      <alignment horizontal="left"/>
    </xf>
    <xf numFmtId="0" fontId="167" fillId="12" borderId="11" applyAlignment="1" pivotButton="0" quotePrefix="0" xfId="0">
      <alignment horizontal="right" indent="2"/>
    </xf>
    <xf numFmtId="0" fontId="161" fillId="12" borderId="11" applyAlignment="1" pivotButton="0" quotePrefix="0" xfId="0">
      <alignment horizontal="center"/>
    </xf>
    <xf numFmtId="0" fontId="150" fillId="22" borderId="0" applyAlignment="1" pivotButton="0" quotePrefix="0" xfId="0">
      <alignment horizontal="left"/>
    </xf>
    <xf numFmtId="0" fontId="159" fillId="22" borderId="0" applyAlignment="1" pivotButton="0" quotePrefix="0" xfId="0">
      <alignment vertical="center"/>
    </xf>
    <xf numFmtId="0" fontId="159" fillId="22" borderId="0" applyAlignment="1" pivotButton="0" quotePrefix="0" xfId="0">
      <alignment horizontal="left" vertical="center"/>
    </xf>
    <xf numFmtId="0" fontId="161" fillId="22" borderId="0" applyAlignment="1" pivotButton="0" quotePrefix="0" xfId="0">
      <alignment horizontal="left" vertical="center"/>
    </xf>
    <xf numFmtId="0" fontId="159" fillId="22" borderId="0" applyAlignment="1" pivotButton="0" quotePrefix="0" xfId="0">
      <alignment horizontal="left" vertical="center" indent="32"/>
    </xf>
    <xf numFmtId="0" fontId="152" fillId="22" borderId="0" applyAlignment="1" pivotButton="0" quotePrefix="0" xfId="0">
      <alignment horizontal="left" vertical="center"/>
    </xf>
    <xf numFmtId="0" fontId="150" fillId="36" borderId="0" applyAlignment="1" pivotButton="0" quotePrefix="0" xfId="0">
      <alignment horizontal="left" indent="7"/>
    </xf>
    <xf numFmtId="0" fontId="193" fillId="22" borderId="0" pivotButton="0" quotePrefix="0" xfId="0"/>
    <xf numFmtId="0" fontId="155" fillId="22" borderId="0" applyAlignment="1" pivotButton="0" quotePrefix="0" xfId="0">
      <alignment vertical="center"/>
    </xf>
    <xf numFmtId="0" fontId="194" fillId="10" borderId="21" applyAlignment="1" pivotButton="0" quotePrefix="0" xfId="0">
      <alignment vertical="center"/>
    </xf>
    <xf numFmtId="0" fontId="160" fillId="12" borderId="0" applyAlignment="1" pivotButton="0" quotePrefix="0" xfId="0">
      <alignment horizontal="left" indent="5"/>
    </xf>
    <xf numFmtId="0" fontId="160" fillId="12" borderId="21" applyAlignment="1" pivotButton="0" quotePrefix="0" xfId="0">
      <alignment horizontal="left" indent="8"/>
    </xf>
    <xf numFmtId="0" fontId="160" fillId="12" borderId="21" applyAlignment="1" pivotButton="0" quotePrefix="0" xfId="0">
      <alignment horizontal="left" vertical="center" indent="26"/>
    </xf>
    <xf numFmtId="0" fontId="160" fillId="12" borderId="21" applyAlignment="1" pivotButton="0" quotePrefix="0" xfId="0">
      <alignment horizontal="left" indent="26"/>
    </xf>
    <xf numFmtId="0" fontId="176" fillId="12" borderId="0" applyAlignment="1" pivotButton="0" quotePrefix="0" xfId="0">
      <alignment horizontal="center"/>
    </xf>
    <xf numFmtId="0" fontId="160" fillId="12" borderId="0" applyAlignment="1" pivotButton="0" quotePrefix="0" xfId="0">
      <alignment horizontal="center" wrapText="1"/>
    </xf>
    <xf numFmtId="0" fontId="167" fillId="12" borderId="21" applyAlignment="1" pivotButton="0" quotePrefix="0" xfId="0">
      <alignment horizontal="left" indent="6"/>
    </xf>
    <xf numFmtId="0" fontId="167" fillId="12" borderId="21" applyAlignment="1" pivotButton="0" quotePrefix="0" xfId="3">
      <alignment horizontal="center" wrapText="1"/>
    </xf>
    <xf numFmtId="0" fontId="174" fillId="10" borderId="0" applyAlignment="1" pivotButton="0" quotePrefix="0" xfId="0">
      <alignment vertical="center"/>
    </xf>
    <xf numFmtId="0" fontId="167" fillId="12" borderId="0" applyAlignment="1" pivotButton="0" quotePrefix="0" xfId="3">
      <alignment horizontal="center"/>
    </xf>
    <xf numFmtId="0" fontId="167" fillId="10" borderId="0" applyAlignment="1" pivotButton="0" quotePrefix="0" xfId="0">
      <alignment horizontal="left" vertical="center" indent="3"/>
    </xf>
    <xf numFmtId="0" fontId="167" fillId="10" borderId="0" applyAlignment="1" pivotButton="0" quotePrefix="0" xfId="0">
      <alignment horizontal="left" vertical="center" indent="9"/>
    </xf>
    <xf numFmtId="0" fontId="167" fillId="12" borderId="0" applyAlignment="1" pivotButton="0" quotePrefix="0" xfId="3">
      <alignment horizontal="center" wrapText="1"/>
    </xf>
    <xf numFmtId="0" fontId="195" fillId="10" borderId="0" applyAlignment="1" pivotButton="0" quotePrefix="0" xfId="0">
      <alignment vertical="center"/>
    </xf>
    <xf numFmtId="0" fontId="161" fillId="10" borderId="0" applyAlignment="1" pivotButton="0" quotePrefix="0" xfId="0">
      <alignment horizontal="left" vertical="center" indent="4"/>
    </xf>
    <xf numFmtId="0" fontId="167" fillId="10" borderId="0" applyAlignment="1" pivotButton="0" quotePrefix="0" xfId="0">
      <alignment horizontal="left" vertical="center" indent="4"/>
    </xf>
    <xf numFmtId="3" fontId="174" fillId="12" borderId="0" pivotButton="0" quotePrefix="0" xfId="0"/>
    <xf numFmtId="0" fontId="159" fillId="10" borderId="0" applyAlignment="1" pivotButton="0" quotePrefix="0" xfId="0">
      <alignment horizontal="left" vertical="center" indent="32"/>
    </xf>
    <xf numFmtId="2" fontId="161" fillId="10" borderId="0" applyAlignment="1" pivotButton="0" quotePrefix="0" xfId="0">
      <alignment vertical="center"/>
    </xf>
    <xf numFmtId="0" fontId="178" fillId="12" borderId="0" pivotButton="0" quotePrefix="0" xfId="0"/>
    <xf numFmtId="0" fontId="160" fillId="12" borderId="0" applyAlignment="1" pivotButton="0" quotePrefix="0" xfId="0">
      <alignment horizontal="left" indent="15"/>
    </xf>
    <xf numFmtId="0" fontId="160" fillId="12" borderId="0" applyAlignment="1" pivotButton="0" quotePrefix="0" xfId="0">
      <alignment horizontal="left" vertical="center" indent="8"/>
    </xf>
    <xf numFmtId="0" fontId="150" fillId="12" borderId="0" applyAlignment="1" pivotButton="0" quotePrefix="0" xfId="0">
      <alignment horizontal="left" indent="8"/>
    </xf>
    <xf numFmtId="0" fontId="178" fillId="12" borderId="0" applyAlignment="1" pivotButton="0" quotePrefix="0" xfId="0">
      <alignment horizontal="left"/>
    </xf>
    <xf numFmtId="0" fontId="160" fillId="12" borderId="0" applyAlignment="1" pivotButton="0" quotePrefix="0" xfId="0">
      <alignment horizontal="left" indent="26"/>
    </xf>
    <xf numFmtId="0" fontId="160" fillId="12" borderId="0" applyAlignment="1" pivotButton="0" quotePrefix="0" xfId="0">
      <alignment horizontal="left" vertical="center" indent="26"/>
    </xf>
    <xf numFmtId="0" fontId="187" fillId="12" borderId="21" applyAlignment="1" pivotButton="0" quotePrefix="0" xfId="0">
      <alignment horizontal="left" indent="3"/>
    </xf>
    <xf numFmtId="0" fontId="167" fillId="12" borderId="0" applyAlignment="1" pivotButton="0" quotePrefix="0" xfId="0">
      <alignment horizontal="center" vertical="center"/>
    </xf>
    <xf numFmtId="0" fontId="194" fillId="12" borderId="0" applyAlignment="1" pivotButton="0" quotePrefix="0" xfId="0">
      <alignment horizontal="left" vertical="top" indent="4"/>
    </xf>
    <xf numFmtId="0" fontId="150" fillId="12" borderId="0" applyAlignment="1" pivotButton="0" quotePrefix="0" xfId="0">
      <alignment horizontal="center" wrapText="1"/>
    </xf>
    <xf numFmtId="0" fontId="176" fillId="12" borderId="0" applyAlignment="1" pivotButton="0" quotePrefix="0" xfId="0">
      <alignment horizontal="center" vertical="center" wrapText="1"/>
    </xf>
    <xf numFmtId="0" fontId="150" fillId="12" borderId="0" applyAlignment="1" pivotButton="0" quotePrefix="0" xfId="0">
      <alignment horizontal="left" indent="11"/>
    </xf>
    <xf numFmtId="0" fontId="150" fillId="12" borderId="0" applyAlignment="1" pivotButton="0" quotePrefix="0" xfId="0">
      <alignment horizontal="left" indent="1"/>
    </xf>
    <xf numFmtId="0" fontId="164" fillId="12" borderId="0" applyAlignment="1" pivotButton="0" quotePrefix="0" xfId="0">
      <alignment horizontal="left" indent="24"/>
    </xf>
    <xf numFmtId="0" fontId="164" fillId="12" borderId="0" applyAlignment="1" pivotButton="0" quotePrefix="0" xfId="0">
      <alignment horizontal="left"/>
    </xf>
    <xf numFmtId="0" fontId="186" fillId="12" borderId="0" applyAlignment="1" pivotButton="0" quotePrefix="0" xfId="0">
      <alignment horizontal="left" indent="7"/>
    </xf>
    <xf numFmtId="0" fontId="150" fillId="12" borderId="0" applyAlignment="1" pivotButton="0" quotePrefix="0" xfId="0">
      <alignment vertical="center"/>
    </xf>
    <xf numFmtId="0" fontId="167" fillId="12" borderId="11" applyAlignment="1" pivotButton="0" quotePrefix="0" xfId="0">
      <alignment horizontal="right"/>
    </xf>
    <xf numFmtId="0" fontId="167" fillId="12" borderId="11" pivotButton="0" quotePrefix="0" xfId="0"/>
    <xf numFmtId="0" fontId="167" fillId="12" borderId="11" applyAlignment="1" pivotButton="0" quotePrefix="0" xfId="0">
      <alignment horizontal="center"/>
    </xf>
    <xf numFmtId="0" fontId="160" fillId="22" borderId="0" pivotButton="0" quotePrefix="0" xfId="0"/>
    <xf numFmtId="0" fontId="176" fillId="22" borderId="0" pivotButton="0" quotePrefix="0" xfId="0"/>
    <xf numFmtId="0" fontId="176" fillId="22" borderId="0" applyAlignment="1" pivotButton="0" quotePrefix="0" xfId="0">
      <alignment wrapText="1"/>
    </xf>
    <xf numFmtId="0" fontId="196" fillId="22" borderId="0" pivotButton="0" quotePrefix="0" xfId="0"/>
    <xf numFmtId="0" fontId="190" fillId="22" borderId="0" pivotButton="0" quotePrefix="0" xfId="0"/>
    <xf numFmtId="0" fontId="150" fillId="22" borderId="0" applyAlignment="1" pivotButton="0" quotePrefix="0" xfId="0">
      <alignment vertical="center"/>
    </xf>
    <xf numFmtId="0" fontId="153" fillId="22" borderId="0" applyAlignment="1" pivotButton="0" quotePrefix="0" xfId="0">
      <alignment vertical="center"/>
    </xf>
    <xf numFmtId="0" fontId="160" fillId="22" borderId="0" applyAlignment="1" pivotButton="0" quotePrefix="0" xfId="0">
      <alignment vertical="center"/>
    </xf>
    <xf numFmtId="0" fontId="160" fillId="22" borderId="0" applyAlignment="1" pivotButton="0" quotePrefix="0" xfId="0">
      <alignment vertical="center" wrapText="1"/>
    </xf>
    <xf numFmtId="0" fontId="150" fillId="22" borderId="0" applyAlignment="1" pivotButton="0" quotePrefix="0" xfId="0">
      <alignment vertical="top"/>
    </xf>
    <xf numFmtId="0" fontId="152" fillId="36" borderId="0" applyAlignment="1" pivotButton="0" quotePrefix="0" xfId="0">
      <alignment horizontal="center" vertical="center" wrapText="1"/>
    </xf>
    <xf numFmtId="0" fontId="197" fillId="36" borderId="0" applyAlignment="1" pivotButton="0" quotePrefix="0" xfId="0">
      <alignment vertical="center"/>
    </xf>
    <xf numFmtId="0" fontId="150" fillId="36" borderId="0" applyAlignment="1" pivotButton="0" quotePrefix="0" xfId="0">
      <alignment vertical="center"/>
    </xf>
    <xf numFmtId="0" fontId="152" fillId="36" borderId="0" applyAlignment="1" pivotButton="0" quotePrefix="0" xfId="0">
      <alignment vertical="center"/>
    </xf>
    <xf numFmtId="0" fontId="156" fillId="36" borderId="0" applyAlignment="1" pivotButton="0" quotePrefix="0" xfId="0">
      <alignment horizontal="right" vertical="center"/>
    </xf>
    <xf numFmtId="0" fontId="157" fillId="10" borderId="0" applyAlignment="1" pivotButton="0" quotePrefix="0" xfId="0">
      <alignment horizontal="left" vertical="center" indent="13"/>
    </xf>
    <xf numFmtId="0" fontId="167" fillId="12" borderId="21" applyAlignment="1" pivotButton="0" quotePrefix="0" xfId="0">
      <alignment horizontal="left" vertical="center" indent="1"/>
    </xf>
    <xf numFmtId="0" fontId="167" fillId="12" borderId="21" applyAlignment="1" pivotButton="0" quotePrefix="0" xfId="0">
      <alignment horizontal="center" vertical="center"/>
    </xf>
    <xf numFmtId="0" fontId="167" fillId="12" borderId="0" applyAlignment="1" pivotButton="0" quotePrefix="0" xfId="0">
      <alignment horizontal="left" indent="4"/>
    </xf>
    <xf numFmtId="0" fontId="167" fillId="12" borderId="0" applyAlignment="1" pivotButton="0" quotePrefix="0" xfId="0">
      <alignment horizontal="left" vertical="center" indent="1"/>
    </xf>
    <xf numFmtId="0" fontId="190" fillId="12" borderId="0" applyAlignment="1" pivotButton="0" quotePrefix="0" xfId="0">
      <alignment horizontal="center" vertical="center"/>
    </xf>
    <xf numFmtId="0" fontId="159" fillId="12" borderId="0" applyAlignment="1" pivotButton="0" quotePrefix="0" xfId="0">
      <alignment vertical="center"/>
    </xf>
    <xf numFmtId="0" fontId="167" fillId="12" borderId="0" applyAlignment="1" pivotButton="0" quotePrefix="0" xfId="0">
      <alignment vertical="center"/>
    </xf>
    <xf numFmtId="0" fontId="167" fillId="10" borderId="21" applyAlignment="1" pivotButton="0" quotePrefix="0" xfId="0">
      <alignment horizontal="left" vertical="center" indent="1"/>
    </xf>
    <xf numFmtId="0" fontId="161" fillId="10" borderId="21" applyAlignment="1" pivotButton="0" quotePrefix="0" xfId="0">
      <alignment horizontal="left" vertical="center" indent="1"/>
    </xf>
    <xf numFmtId="0" fontId="167" fillId="10" borderId="0" applyAlignment="1" pivotButton="0" quotePrefix="0" xfId="0">
      <alignment horizontal="left" vertical="center" indent="5"/>
    </xf>
    <xf numFmtId="0" fontId="167" fillId="10" borderId="21" applyAlignment="1" pivotButton="0" quotePrefix="0" xfId="0">
      <alignment horizontal="left" vertical="center"/>
    </xf>
    <xf numFmtId="0" fontId="161" fillId="10" borderId="21" applyAlignment="1" pivotButton="0" quotePrefix="0" xfId="0">
      <alignment horizontal="left" vertical="center" indent="4"/>
    </xf>
    <xf numFmtId="0" fontId="167" fillId="10" borderId="0" applyAlignment="1" pivotButton="0" quotePrefix="0" xfId="0">
      <alignment horizontal="left" vertical="center" indent="7"/>
    </xf>
    <xf numFmtId="0" fontId="158" fillId="10" borderId="21" applyAlignment="1" pivotButton="0" quotePrefix="0" xfId="0">
      <alignment horizontal="center" vertical="center"/>
    </xf>
    <xf numFmtId="3" fontId="159" fillId="12" borderId="0" applyAlignment="1" pivotButton="0" quotePrefix="0" xfId="0">
      <alignment vertical="center"/>
    </xf>
    <xf numFmtId="164" fontId="150" fillId="10" borderId="0" pivotButton="0" quotePrefix="0" xfId="0"/>
    <xf numFmtId="0" fontId="190" fillId="10" borderId="0" applyAlignment="1" pivotButton="0" quotePrefix="0" xfId="0">
      <alignment horizontal="right" vertical="center"/>
    </xf>
    <xf numFmtId="0" fontId="198" fillId="12" borderId="0" applyAlignment="1" pivotButton="0" quotePrefix="0" xfId="0">
      <alignment vertical="center"/>
    </xf>
    <xf numFmtId="3" fontId="198" fillId="12" borderId="0" applyAlignment="1" pivotButton="0" quotePrefix="0" xfId="0">
      <alignment horizontal="center" vertical="center"/>
    </xf>
    <xf numFmtId="164" fontId="150" fillId="10" borderId="0" applyAlignment="1" pivotButton="0" quotePrefix="0" xfId="0">
      <alignment horizontal="left"/>
    </xf>
    <xf numFmtId="164" fontId="161" fillId="10" borderId="0" applyAlignment="1" pivotButton="0" quotePrefix="0" xfId="0">
      <alignment horizontal="center" vertical="center"/>
    </xf>
    <xf numFmtId="164" fontId="161" fillId="10" borderId="0" applyAlignment="1" pivotButton="0" quotePrefix="0" xfId="0">
      <alignment horizontal="left" vertical="center"/>
    </xf>
    <xf numFmtId="0" fontId="159" fillId="12" borderId="0" applyAlignment="1" pivotButton="0" quotePrefix="0" xfId="0">
      <alignment horizontal="left" vertical="center" indent="6"/>
    </xf>
    <xf numFmtId="168" fontId="161" fillId="10" borderId="0" applyAlignment="1" pivotButton="0" quotePrefix="0" xfId="0">
      <alignment horizontal="center" vertical="center"/>
    </xf>
    <xf numFmtId="168" fontId="150" fillId="10" borderId="0" applyAlignment="1" pivotButton="0" quotePrefix="0" xfId="0">
      <alignment horizontal="center" vertical="center" wrapText="1"/>
    </xf>
    <xf numFmtId="168" fontId="150" fillId="10" borderId="0" applyAlignment="1" pivotButton="0" quotePrefix="0" xfId="0">
      <alignment horizontal="center" vertical="top"/>
    </xf>
    <xf numFmtId="0" fontId="186" fillId="12" borderId="0" applyAlignment="1" pivotButton="0" quotePrefix="0" xfId="0">
      <alignment vertical="center"/>
    </xf>
    <xf numFmtId="0" fontId="167" fillId="12" borderId="0" applyAlignment="1" pivotButton="0" quotePrefix="0" xfId="0">
      <alignment horizontal="left" vertical="center"/>
    </xf>
    <xf numFmtId="0" fontId="160" fillId="12" borderId="11" pivotButton="0" quotePrefix="0" xfId="0"/>
    <xf numFmtId="0" fontId="159" fillId="12" borderId="11" applyAlignment="1" pivotButton="0" quotePrefix="0" xfId="0">
      <alignment vertical="center"/>
    </xf>
    <xf numFmtId="3" fontId="167" fillId="12" borderId="11" applyAlignment="1" pivotButton="0" quotePrefix="0" xfId="0">
      <alignment horizontal="left" vertical="center"/>
    </xf>
    <xf numFmtId="168" fontId="150" fillId="10" borderId="0" applyAlignment="1" pivotButton="0" quotePrefix="0" xfId="0">
      <alignment horizontal="center"/>
    </xf>
    <xf numFmtId="0" fontId="164" fillId="12" borderId="0" applyAlignment="1" pivotButton="0" quotePrefix="0" xfId="0">
      <alignment horizontal="left" vertical="top"/>
    </xf>
    <xf numFmtId="0" fontId="199" fillId="22" borderId="0" pivotButton="0" quotePrefix="0" xfId="0"/>
    <xf numFmtId="0" fontId="167" fillId="10" borderId="21" applyAlignment="1" pivotButton="0" quotePrefix="0" xfId="0">
      <alignment vertical="center"/>
    </xf>
    <xf numFmtId="0" fontId="167" fillId="10" borderId="21" applyAlignment="1" pivotButton="0" quotePrefix="0" xfId="0">
      <alignment horizontal="left" vertical="center" indent="5"/>
    </xf>
    <xf numFmtId="0" fontId="160" fillId="12" borderId="0" applyAlignment="1" pivotButton="0" quotePrefix="0" xfId="0">
      <alignment horizontal="left" indent="7"/>
    </xf>
    <xf numFmtId="3" fontId="198" fillId="12" borderId="0" applyAlignment="1" pivotButton="0" quotePrefix="0" xfId="0">
      <alignment vertical="center"/>
    </xf>
    <xf numFmtId="0" fontId="160" fillId="12" borderId="11" applyAlignment="1" pivotButton="0" quotePrefix="0" xfId="0">
      <alignment horizontal="right"/>
    </xf>
    <xf numFmtId="0" fontId="152" fillId="36" borderId="0" applyAlignment="1" pivotButton="0" quotePrefix="0" xfId="0">
      <alignment horizontal="left" vertical="center" indent="38"/>
    </xf>
    <xf numFmtId="0" fontId="152" fillId="22" borderId="0" applyAlignment="1" pivotButton="0" quotePrefix="0" xfId="0">
      <alignment vertical="center"/>
    </xf>
    <xf numFmtId="0" fontId="159" fillId="22" borderId="0" applyAlignment="1" pivotButton="0" quotePrefix="0" xfId="0">
      <alignment horizontal="left" vertical="center" indent="15"/>
    </xf>
    <xf numFmtId="0" fontId="159" fillId="22" borderId="0" applyAlignment="1" pivotButton="0" quotePrefix="0" xfId="0">
      <alignment horizontal="left" vertical="center" indent="3"/>
    </xf>
    <xf numFmtId="0" fontId="161" fillId="10" borderId="0" applyAlignment="1" pivotButton="0" quotePrefix="0" xfId="0">
      <alignment horizontal="left" vertical="center" indent="16"/>
    </xf>
    <xf numFmtId="0" fontId="167" fillId="12" borderId="0" applyAlignment="1" pivotButton="0" quotePrefix="0" xfId="0">
      <alignment horizontal="left" indent="2"/>
    </xf>
    <xf numFmtId="0" fontId="161" fillId="10" borderId="0" applyAlignment="1" pivotButton="0" quotePrefix="0" xfId="0">
      <alignment horizontal="left" vertical="top"/>
    </xf>
    <xf numFmtId="0" fontId="167" fillId="10" borderId="0" applyAlignment="1" pivotButton="0" quotePrefix="0" xfId="0">
      <alignment horizontal="center" vertical="top"/>
    </xf>
    <xf numFmtId="0" fontId="167" fillId="10" borderId="0" applyAlignment="1" pivotButton="0" quotePrefix="0" xfId="0">
      <alignment horizontal="left" vertical="top"/>
    </xf>
    <xf numFmtId="0" fontId="167" fillId="10" borderId="21" applyAlignment="1" pivotButton="0" quotePrefix="0" xfId="0">
      <alignment horizontal="left" vertical="top"/>
    </xf>
    <xf numFmtId="0" fontId="161" fillId="10" borderId="21" applyAlignment="1" pivotButton="0" quotePrefix="0" xfId="0">
      <alignment horizontal="left" vertical="top"/>
    </xf>
    <xf numFmtId="0" fontId="167" fillId="10" borderId="21" applyAlignment="1" pivotButton="0" quotePrefix="0" xfId="0">
      <alignment horizontal="left" vertical="top" indent="2"/>
    </xf>
    <xf numFmtId="0" fontId="161" fillId="10" borderId="0" applyAlignment="1" pivotButton="0" quotePrefix="0" xfId="0">
      <alignment horizontal="center" vertical="top"/>
    </xf>
    <xf numFmtId="0" fontId="161" fillId="22" borderId="0" applyAlignment="1" pivotButton="0" quotePrefix="0" xfId="0">
      <alignment horizontal="left" vertical="top"/>
    </xf>
    <xf numFmtId="164" fontId="161" fillId="10" borderId="0" applyAlignment="1" pivotButton="0" quotePrefix="0" xfId="0">
      <alignment horizontal="center" vertical="top"/>
    </xf>
    <xf numFmtId="168" fontId="161" fillId="10" borderId="0" applyAlignment="1" pivotButton="0" quotePrefix="0" xfId="0">
      <alignment horizontal="center" vertical="top"/>
    </xf>
    <xf numFmtId="0" fontId="200" fillId="12" borderId="0" applyAlignment="1" pivotButton="0" quotePrefix="0" xfId="0">
      <alignment horizontal="left" indent="21"/>
    </xf>
    <xf numFmtId="0" fontId="201" fillId="12" borderId="0" applyAlignment="1" pivotButton="0" quotePrefix="0" xfId="0">
      <alignment horizontal="left" indent="8"/>
    </xf>
    <xf numFmtId="0" fontId="150" fillId="12" borderId="11" applyAlignment="1" pivotButton="0" quotePrefix="0" xfId="0">
      <alignment horizontal="center"/>
    </xf>
    <xf numFmtId="3" fontId="160" fillId="12" borderId="11" applyAlignment="1" pivotButton="0" quotePrefix="0" xfId="0">
      <alignment horizontal="center"/>
    </xf>
    <xf numFmtId="0" fontId="160" fillId="12" borderId="11" applyAlignment="1" pivotButton="0" quotePrefix="0" xfId="0">
      <alignment horizontal="center"/>
    </xf>
    <xf numFmtId="0" fontId="174" fillId="12" borderId="0" applyAlignment="1" pivotButton="0" quotePrefix="0" xfId="0">
      <alignment horizontal="left"/>
    </xf>
    <xf numFmtId="0" fontId="202" fillId="36" borderId="0" applyAlignment="1" pivotButton="0" quotePrefix="0" xfId="0">
      <alignment horizontal="left" vertical="center"/>
    </xf>
    <xf numFmtId="0" fontId="186" fillId="12" borderId="0" applyAlignment="1" pivotButton="0" quotePrefix="0" xfId="0">
      <alignment horizontal="center" vertical="center"/>
    </xf>
    <xf numFmtId="0" fontId="186" fillId="12" borderId="0" applyAlignment="1" pivotButton="0" quotePrefix="0" xfId="0">
      <alignment horizontal="left" vertical="center" indent="1"/>
    </xf>
    <xf numFmtId="0" fontId="203" fillId="12" borderId="0" applyAlignment="1" pivotButton="0" quotePrefix="0" xfId="0">
      <alignment vertical="center"/>
    </xf>
    <xf numFmtId="0" fontId="204" fillId="12" borderId="0" applyAlignment="1" pivotButton="0" quotePrefix="0" xfId="0">
      <alignment vertical="center"/>
    </xf>
    <xf numFmtId="0" fontId="206" fillId="12" borderId="0" pivotButton="0" quotePrefix="0" xfId="0"/>
    <xf numFmtId="0" fontId="164" fillId="12" borderId="0" pivotButton="0" quotePrefix="0" xfId="0"/>
    <xf numFmtId="0" fontId="164" fillId="22" borderId="0" pivotButton="0" quotePrefix="0" xfId="0"/>
    <xf numFmtId="0" fontId="161" fillId="22" borderId="0" pivotButton="0" quotePrefix="0" xfId="0"/>
    <xf numFmtId="0" fontId="159" fillId="22" borderId="0" applyAlignment="1" pivotButton="0" quotePrefix="0" xfId="0">
      <alignment horizontal="left" indent="11"/>
    </xf>
    <xf numFmtId="0" fontId="161" fillId="36" borderId="0" pivotButton="0" quotePrefix="0" xfId="0"/>
    <xf numFmtId="0" fontId="175" fillId="36" borderId="0" pivotButton="0" quotePrefix="0" xfId="0"/>
    <xf numFmtId="0" fontId="159" fillId="22" borderId="0" applyAlignment="1" pivotButton="0" quotePrefix="0" xfId="0">
      <alignment horizontal="left" vertical="center" indent="12"/>
    </xf>
    <xf numFmtId="0" fontId="161" fillId="22" borderId="0" applyAlignment="1" pivotButton="0" quotePrefix="0" xfId="0">
      <alignment horizontal="left" vertical="center" indent="22"/>
    </xf>
    <xf numFmtId="0" fontId="164" fillId="22" borderId="0" applyAlignment="1" pivotButton="0" quotePrefix="0" xfId="0">
      <alignment horizontal="left" vertical="center" indent="3"/>
    </xf>
    <xf numFmtId="0" fontId="207" fillId="36" borderId="0" applyAlignment="1" pivotButton="0" quotePrefix="0" xfId="0">
      <alignment horizontal="left" vertical="center"/>
    </xf>
    <xf numFmtId="0" fontId="208" fillId="36" borderId="0" applyAlignment="1" pivotButton="0" quotePrefix="0" xfId="0">
      <alignment horizontal="left" vertical="center"/>
    </xf>
    <xf numFmtId="0" fontId="209" fillId="36" borderId="0" applyAlignment="1" pivotButton="0" quotePrefix="0" xfId="0">
      <alignment horizontal="left" vertical="center"/>
    </xf>
    <xf numFmtId="0" fontId="159" fillId="10" borderId="0" applyAlignment="1" pivotButton="0" quotePrefix="0" xfId="0">
      <alignment horizontal="left" vertical="center" indent="12"/>
    </xf>
    <xf numFmtId="0" fontId="170" fillId="10" borderId="0" applyAlignment="1" pivotButton="0" quotePrefix="0" xfId="0">
      <alignment horizontal="left" vertical="center"/>
    </xf>
    <xf numFmtId="0" fontId="161" fillId="10" borderId="0" applyAlignment="1" pivotButton="0" quotePrefix="0" xfId="0">
      <alignment horizontal="left" vertical="center" indent="12"/>
    </xf>
    <xf numFmtId="0" fontId="159" fillId="10" borderId="21" applyAlignment="1" pivotButton="0" quotePrefix="0" xfId="0">
      <alignment horizontal="left" vertical="center" indent="15"/>
    </xf>
    <xf numFmtId="0" fontId="159" fillId="10" borderId="21" applyAlignment="1" pivotButton="0" quotePrefix="0" xfId="0">
      <alignment horizontal="left" vertical="center" indent="12"/>
    </xf>
    <xf numFmtId="0" fontId="170" fillId="10" borderId="21" applyAlignment="1" pivotButton="0" quotePrefix="0" xfId="0">
      <alignment horizontal="left" vertical="center"/>
    </xf>
    <xf numFmtId="0" fontId="161" fillId="10" borderId="21" applyAlignment="1" pivotButton="0" quotePrefix="0" xfId="0">
      <alignment horizontal="left" vertical="center" indent="12"/>
    </xf>
    <xf numFmtId="0" fontId="160" fillId="12" borderId="21" applyAlignment="1" pivotButton="0" quotePrefix="0" xfId="0">
      <alignment horizontal="left" indent="9"/>
    </xf>
    <xf numFmtId="0" fontId="150" fillId="12" borderId="21" applyAlignment="1" pivotButton="0" quotePrefix="0" xfId="0">
      <alignment horizontal="left" indent="9"/>
    </xf>
    <xf numFmtId="0" fontId="150" fillId="12" borderId="0" applyAlignment="1" pivotButton="0" quotePrefix="0" xfId="0">
      <alignment horizontal="left" indent="4"/>
    </xf>
    <xf numFmtId="0" fontId="160" fillId="12" borderId="21" applyAlignment="1" pivotButton="0" quotePrefix="0" xfId="0">
      <alignment horizontal="left" indent="3"/>
    </xf>
    <xf numFmtId="0" fontId="160" fillId="12" borderId="0" applyAlignment="1" pivotButton="0" quotePrefix="0" xfId="0">
      <alignment horizontal="left" indent="6"/>
    </xf>
    <xf numFmtId="0" fontId="167" fillId="10" borderId="0" applyAlignment="1" pivotButton="0" quotePrefix="0" xfId="0">
      <alignment horizontal="center" vertical="center"/>
    </xf>
    <xf numFmtId="0" fontId="161" fillId="10" borderId="0" applyAlignment="1" pivotButton="0" quotePrefix="0" xfId="0">
      <alignment horizontal="left" vertical="center" indent="5"/>
    </xf>
    <xf numFmtId="0" fontId="167" fillId="10" borderId="0" applyAlignment="1" pivotButton="0" quotePrefix="0" xfId="0">
      <alignment horizontal="left" vertical="center" indent="12"/>
    </xf>
    <xf numFmtId="0" fontId="210" fillId="12" borderId="0" applyAlignment="1" pivotButton="0" quotePrefix="0" xfId="0">
      <alignment horizontal="center" vertical="top"/>
    </xf>
    <xf numFmtId="0" fontId="173" fillId="36" borderId="0" applyAlignment="1" pivotButton="0" quotePrefix="0" xfId="0">
      <alignment vertical="center"/>
    </xf>
    <xf numFmtId="0" fontId="202" fillId="36" borderId="0" applyAlignment="1" pivotButton="0" quotePrefix="0" xfId="0">
      <alignment vertical="center"/>
    </xf>
    <xf numFmtId="0" fontId="202" fillId="22" borderId="0" applyAlignment="1" pivotButton="0" quotePrefix="0" xfId="0">
      <alignment vertical="center"/>
    </xf>
    <xf numFmtId="0" fontId="190" fillId="22" borderId="0" applyAlignment="1" applyProtection="1" pivotButton="0" quotePrefix="0" xfId="0">
      <alignment horizontal="center"/>
      <protection locked="0" hidden="0"/>
    </xf>
    <xf numFmtId="0" fontId="173" fillId="36" borderId="0" pivotButton="0" quotePrefix="0" xfId="0"/>
    <xf numFmtId="0" fontId="162" fillId="12" borderId="0" applyAlignment="1" pivotButton="0" quotePrefix="0" xfId="0">
      <alignment horizontal="center"/>
    </xf>
    <xf numFmtId="0" fontId="162" fillId="12" borderId="0" applyAlignment="1" pivotButton="0" quotePrefix="0" xfId="0">
      <alignment horizontal="left" indent="4"/>
    </xf>
    <xf numFmtId="0" fontId="162" fillId="12" borderId="0" applyAlignment="1" pivotButton="0" quotePrefix="0" xfId="0">
      <alignment horizontal="left" indent="25"/>
    </xf>
    <xf numFmtId="0" fontId="186" fillId="12" borderId="0" applyAlignment="1" pivotButton="0" quotePrefix="1" xfId="3">
      <alignment horizontal="center"/>
    </xf>
    <xf numFmtId="0" fontId="213" fillId="12" borderId="0" pivotButton="0" quotePrefix="0" xfId="0"/>
    <xf numFmtId="0" fontId="176" fillId="12" borderId="0" pivotButton="0" quotePrefix="0" xfId="0"/>
    <xf numFmtId="0" fontId="162" fillId="12" borderId="0" applyAlignment="1" pivotButton="0" quotePrefix="0" xfId="0">
      <alignment horizontal="left" indent="3"/>
    </xf>
    <xf numFmtId="0" fontId="176" fillId="12" borderId="0" applyAlignment="1" pivotButton="0" quotePrefix="0" xfId="0">
      <alignment horizontal="left" indent="3"/>
    </xf>
    <xf numFmtId="0" fontId="214" fillId="12" borderId="0" applyAlignment="1" pivotButton="0" quotePrefix="0" xfId="0">
      <alignment horizontal="left" indent="4"/>
    </xf>
    <xf numFmtId="0" fontId="214" fillId="12" borderId="0" applyAlignment="1" pivotButton="0" quotePrefix="0" xfId="0">
      <alignment horizontal="center"/>
    </xf>
    <xf numFmtId="0" fontId="162" fillId="12" borderId="0" applyAlignment="1" pivotButton="0" quotePrefix="0" xfId="0">
      <alignment horizontal="left" indent="8"/>
    </xf>
    <xf numFmtId="0" fontId="217" fillId="12" borderId="0" applyAlignment="1" pivotButton="0" quotePrefix="0" xfId="0">
      <alignment horizontal="left"/>
    </xf>
    <xf numFmtId="0" fontId="176" fillId="12" borderId="21" applyAlignment="1" pivotButton="0" quotePrefix="0" xfId="0">
      <alignment horizontal="left"/>
    </xf>
    <xf numFmtId="0" fontId="162" fillId="12" borderId="21" applyAlignment="1" pivotButton="0" quotePrefix="0" xfId="0">
      <alignment horizontal="center"/>
    </xf>
    <xf numFmtId="0" fontId="150" fillId="12" borderId="21" applyAlignment="1" pivotButton="0" quotePrefix="0" xfId="0">
      <alignment horizontal="center"/>
    </xf>
    <xf numFmtId="0" fontId="176" fillId="12" borderId="21" applyAlignment="1" pivotButton="0" quotePrefix="0" xfId="0">
      <alignment horizontal="center"/>
    </xf>
    <xf numFmtId="0" fontId="214" fillId="12" borderId="21" applyAlignment="1" pivotButton="0" quotePrefix="0" xfId="0">
      <alignment horizontal="center"/>
    </xf>
    <xf numFmtId="0" fontId="176" fillId="12" borderId="21" applyAlignment="1" pivotButton="0" quotePrefix="0" xfId="0">
      <alignment horizontal="left" indent="1"/>
    </xf>
    <xf numFmtId="0" fontId="213" fillId="12" borderId="21" applyAlignment="1" pivotButton="0" quotePrefix="0" xfId="0">
      <alignment horizontal="center"/>
    </xf>
    <xf numFmtId="0" fontId="176" fillId="12" borderId="0" applyAlignment="1" pivotButton="0" quotePrefix="0" xfId="0">
      <alignment horizontal="left"/>
    </xf>
    <xf numFmtId="0" fontId="173" fillId="12" borderId="21" pivotButton="0" quotePrefix="0" xfId="0"/>
    <xf numFmtId="0" fontId="162" fillId="12" borderId="0" applyAlignment="1" pivotButton="0" quotePrefix="0" xfId="0">
      <alignment horizontal="left" indent="1"/>
    </xf>
    <xf numFmtId="0" fontId="176" fillId="12" borderId="0" applyAlignment="1" pivotButton="0" quotePrefix="0" xfId="0">
      <alignment horizontal="left" indent="8"/>
    </xf>
    <xf numFmtId="0" fontId="176" fillId="12" borderId="0" applyAlignment="1" pivotButton="0" quotePrefix="0" xfId="0">
      <alignment horizontal="left" indent="1"/>
    </xf>
    <xf numFmtId="0" fontId="213" fillId="12" borderId="0" applyAlignment="1" pivotButton="0" quotePrefix="0" xfId="0">
      <alignment horizontal="center"/>
    </xf>
    <xf numFmtId="3" fontId="150" fillId="22" borderId="62" applyAlignment="1" applyProtection="1" pivotButton="0" quotePrefix="0" xfId="0">
      <alignment horizontal="center"/>
      <protection locked="0" hidden="0"/>
    </xf>
    <xf numFmtId="3" fontId="150" fillId="22" borderId="0" applyAlignment="1" applyProtection="1" pivotButton="0" quotePrefix="0" xfId="0">
      <alignment horizontal="center"/>
      <protection locked="0" hidden="0"/>
    </xf>
    <xf numFmtId="0" fontId="173" fillId="36" borderId="0" applyAlignment="1" applyProtection="1" pivotButton="0" quotePrefix="0" xfId="0">
      <alignment horizontal="center" vertical="center"/>
      <protection locked="0" hidden="0"/>
    </xf>
    <xf numFmtId="3" fontId="176" fillId="12" borderId="0" applyAlignment="1" pivotButton="0" quotePrefix="0" xfId="0">
      <alignment horizontal="center"/>
    </xf>
    <xf numFmtId="3" fontId="214" fillId="12" borderId="0" applyAlignment="1" pivotButton="0" quotePrefix="0" xfId="0">
      <alignment horizontal="center"/>
    </xf>
    <xf numFmtId="3" fontId="150" fillId="12" borderId="0" applyAlignment="1" pivotButton="0" quotePrefix="0" xfId="0">
      <alignment horizontal="center" vertical="center"/>
    </xf>
    <xf numFmtId="0" fontId="222" fillId="12" borderId="0" applyAlignment="1" pivotButton="0" quotePrefix="0" xfId="0">
      <alignment horizontal="left"/>
    </xf>
    <xf numFmtId="0" fontId="173" fillId="12" borderId="0" applyAlignment="1" pivotButton="0" quotePrefix="0" xfId="0">
      <alignment vertical="center"/>
    </xf>
    <xf numFmtId="0" fontId="173" fillId="12" borderId="0" applyAlignment="1" pivotButton="0" quotePrefix="0" xfId="0">
      <alignment horizontal="center" vertical="center"/>
    </xf>
    <xf numFmtId="3" fontId="162" fillId="12" borderId="11" applyAlignment="1" pivotButton="0" quotePrefix="0" xfId="0">
      <alignment horizontal="center"/>
    </xf>
    <xf numFmtId="0" fontId="162" fillId="12" borderId="11" applyAlignment="1" pivotButton="0" quotePrefix="0" xfId="0">
      <alignment horizontal="center"/>
    </xf>
    <xf numFmtId="0" fontId="162" fillId="12" borderId="0" applyAlignment="1" pivotButton="0" quotePrefix="0" xfId="0">
      <alignment horizontal="left"/>
    </xf>
    <xf numFmtId="0" fontId="214" fillId="12" borderId="0" applyAlignment="1" pivotButton="0" quotePrefix="0" xfId="0">
      <alignment horizontal="left" indent="1"/>
    </xf>
    <xf numFmtId="0" fontId="176" fillId="22" borderId="62" applyAlignment="1" applyProtection="1" pivotButton="0" quotePrefix="0" xfId="0">
      <alignment horizontal="left"/>
      <protection locked="0" hidden="0"/>
    </xf>
    <xf numFmtId="3" fontId="176" fillId="22" borderId="0" applyAlignment="1" applyProtection="1" pivotButton="0" quotePrefix="0" xfId="0">
      <alignment horizontal="center"/>
      <protection locked="0" hidden="0"/>
    </xf>
    <xf numFmtId="0" fontId="162" fillId="12" borderId="0" pivotButton="0" quotePrefix="0" xfId="0"/>
    <xf numFmtId="0" fontId="156" fillId="12" borderId="0" applyAlignment="1" pivotButton="0" quotePrefix="0" xfId="0">
      <alignment vertical="center"/>
    </xf>
    <xf numFmtId="0" fontId="176" fillId="22" borderId="0" applyAlignment="1" applyProtection="1" pivotButton="0" quotePrefix="0" xfId="0">
      <alignment horizontal="left"/>
      <protection locked="0" hidden="0"/>
    </xf>
    <xf numFmtId="3" fontId="156" fillId="12" borderId="0" applyAlignment="1" pivotButton="0" quotePrefix="0" xfId="0">
      <alignment horizontal="center" vertical="center"/>
    </xf>
    <xf numFmtId="4" fontId="161" fillId="22" borderId="0" applyAlignment="1" applyProtection="1" pivotButton="0" quotePrefix="0" xfId="0">
      <alignment horizontal="center" vertical="center"/>
      <protection locked="0" hidden="0"/>
    </xf>
    <xf numFmtId="0" fontId="176" fillId="12" borderId="21" applyAlignment="1" pivotButton="0" quotePrefix="0" xfId="0">
      <alignment horizontal="left" indent="7"/>
    </xf>
    <xf numFmtId="0" fontId="176" fillId="12" borderId="21" pivotButton="0" quotePrefix="0" xfId="0"/>
    <xf numFmtId="3" fontId="176" fillId="12" borderId="21" applyAlignment="1" pivotButton="0" quotePrefix="0" xfId="0">
      <alignment horizontal="center"/>
    </xf>
    <xf numFmtId="0" fontId="150" fillId="22" borderId="0" applyProtection="1" pivotButton="0" quotePrefix="0" xfId="0">
      <protection locked="0" hidden="0"/>
    </xf>
    <xf numFmtId="3" fontId="161" fillId="22" borderId="0" applyAlignment="1" applyProtection="1" pivotButton="0" quotePrefix="0" xfId="0">
      <alignment horizontal="center"/>
      <protection locked="0" hidden="0"/>
    </xf>
    <xf numFmtId="170" fontId="161" fillId="22" borderId="0" applyAlignment="1" applyProtection="1" pivotButton="0" quotePrefix="0" xfId="0">
      <alignment horizontal="center" vertical="center"/>
      <protection locked="0" hidden="0"/>
    </xf>
    <xf numFmtId="3" fontId="150" fillId="22" borderId="0" applyAlignment="1" applyProtection="1" pivotButton="0" quotePrefix="0" xfId="0">
      <alignment horizontal="center" vertical="center"/>
      <protection locked="0" hidden="0"/>
    </xf>
    <xf numFmtId="0" fontId="150" fillId="22" borderId="0" applyAlignment="1" applyProtection="1" pivotButton="0" quotePrefix="0" xfId="0">
      <alignment horizontal="center" vertical="center"/>
      <protection locked="0" hidden="0"/>
    </xf>
    <xf numFmtId="3" fontId="150" fillId="12" borderId="0" pivotButton="0" quotePrefix="0" xfId="0"/>
    <xf numFmtId="0" fontId="150" fillId="22" borderId="0" applyAlignment="1" applyProtection="1" pivotButton="0" quotePrefix="0" xfId="0">
      <alignment horizontal="center"/>
      <protection locked="0" hidden="0"/>
    </xf>
    <xf numFmtId="0" fontId="173" fillId="12" borderId="0" pivotButton="0" quotePrefix="0" xfId="0"/>
    <xf numFmtId="0" fontId="176" fillId="22" borderId="0" applyProtection="1" pivotButton="0" quotePrefix="0" xfId="0">
      <protection locked="0" hidden="0"/>
    </xf>
    <xf numFmtId="3" fontId="164" fillId="22" borderId="0" applyAlignment="1" applyProtection="1" pivotButton="0" quotePrefix="0" xfId="0">
      <alignment horizontal="center"/>
      <protection locked="0" hidden="0"/>
    </xf>
    <xf numFmtId="0" fontId="186" fillId="12" borderId="21" applyAlignment="1" pivotButton="0" quotePrefix="1" xfId="3">
      <alignment horizontal="center"/>
    </xf>
    <xf numFmtId="0" fontId="186" fillId="12" borderId="21" applyAlignment="1" pivotButton="0" quotePrefix="1" xfId="3">
      <alignment horizontal="left" indent="19"/>
    </xf>
    <xf numFmtId="0" fontId="164" fillId="12" borderId="0" applyAlignment="1" pivotButton="0" quotePrefix="1" xfId="3">
      <alignment horizontal="center"/>
    </xf>
    <xf numFmtId="0" fontId="206" fillId="12" borderId="0" applyAlignment="1" applyProtection="1" pivotButton="0" quotePrefix="0" xfId="0">
      <alignment horizontal="center" wrapText="1"/>
      <protection locked="0" hidden="0"/>
    </xf>
    <xf numFmtId="0" fontId="149" fillId="36" borderId="0" applyAlignment="1" pivotButton="0" quotePrefix="0" xfId="0">
      <alignment horizontal="center" vertical="center"/>
    </xf>
    <xf numFmtId="0" fontId="174" fillId="22" borderId="105" applyProtection="1" pivotButton="0" quotePrefix="0" xfId="0">
      <protection locked="0" hidden="0"/>
    </xf>
    <xf numFmtId="0" fontId="174" fillId="22" borderId="0" applyAlignment="1" applyProtection="1" pivotButton="0" quotePrefix="0" xfId="0">
      <alignment horizontal="center" wrapText="1"/>
      <protection locked="0" hidden="0"/>
    </xf>
    <xf numFmtId="0" fontId="225" fillId="12" borderId="0" applyAlignment="1" pivotButton="0" quotePrefix="1" xfId="3">
      <alignment horizontal="center"/>
    </xf>
    <xf numFmtId="0" fontId="174" fillId="22" borderId="0" applyAlignment="1" applyProtection="1" pivotButton="0" quotePrefix="0" xfId="0">
      <alignment horizontal="center"/>
      <protection locked="0" hidden="0"/>
    </xf>
    <xf numFmtId="0" fontId="150" fillId="22" borderId="58" applyAlignment="1" applyProtection="1" pivotButton="0" quotePrefix="0" xfId="0">
      <alignment horizontal="center" vertical="center"/>
      <protection locked="0" hidden="0"/>
    </xf>
    <xf numFmtId="0" fontId="150" fillId="2" borderId="80" applyAlignment="1" applyProtection="1" pivotButton="0" quotePrefix="0" xfId="0">
      <alignment horizontal="center"/>
      <protection locked="0" hidden="0"/>
    </xf>
    <xf numFmtId="0" fontId="150" fillId="2" borderId="108" applyAlignment="1" applyProtection="1" pivotButton="0" quotePrefix="0" xfId="0">
      <alignment horizontal="center"/>
      <protection locked="0" hidden="0"/>
    </xf>
    <xf numFmtId="0" fontId="150" fillId="2" borderId="109" applyAlignment="1" applyProtection="1" pivotButton="0" quotePrefix="0" xfId="0">
      <alignment horizontal="center"/>
      <protection locked="0" hidden="0"/>
    </xf>
    <xf numFmtId="0" fontId="174" fillId="22" borderId="106" applyProtection="1" pivotButton="0" quotePrefix="0" xfId="0">
      <protection locked="0" hidden="0"/>
    </xf>
    <xf numFmtId="0" fontId="174" fillId="22" borderId="107" applyProtection="1" pivotButton="0" quotePrefix="0" xfId="0">
      <protection locked="0" hidden="0"/>
    </xf>
    <xf numFmtId="0" fontId="160" fillId="10" borderId="0" applyAlignment="1" pivotButton="0" quotePrefix="0" xfId="0">
      <alignment horizontal="center"/>
    </xf>
    <xf numFmtId="0" fontId="150" fillId="10" borderId="0" applyAlignment="1" pivotButton="0" quotePrefix="0" xfId="0">
      <alignment horizontal="center"/>
    </xf>
    <xf numFmtId="0" fontId="3" fillId="6" borderId="8" applyAlignment="1" pivotButton="0" quotePrefix="0" xfId="0">
      <alignment horizontal="center" wrapText="1"/>
    </xf>
    <xf numFmtId="0" fontId="3" fillId="6" borderId="0" applyAlignment="1" pivotButton="0" quotePrefix="0" xfId="0">
      <alignment horizontal="center" wrapText="1"/>
    </xf>
    <xf numFmtId="2" fontId="69" fillId="2" borderId="66" applyAlignment="1" pivotButton="0" quotePrefix="0" xfId="0">
      <alignment horizontal="center"/>
    </xf>
    <xf numFmtId="2" fontId="69" fillId="2" borderId="72" applyAlignment="1" pivotButton="0" quotePrefix="0" xfId="0">
      <alignment horizontal="center"/>
    </xf>
    <xf numFmtId="166" fontId="69" fillId="2" borderId="66" applyAlignment="1" pivotButton="0" quotePrefix="0" xfId="0">
      <alignment horizontal="center"/>
    </xf>
    <xf numFmtId="3" fontId="70" fillId="2" borderId="70" applyAlignment="1" pivotButton="0" quotePrefix="0" xfId="0">
      <alignment horizontal="center"/>
    </xf>
    <xf numFmtId="3" fontId="70" fillId="2" borderId="75" applyAlignment="1" pivotButton="0" quotePrefix="0" xfId="0">
      <alignment horizontal="center"/>
    </xf>
    <xf numFmtId="3" fontId="70" fillId="2" borderId="0" applyAlignment="1" pivotButton="0" quotePrefix="0" xfId="0">
      <alignment horizontal="center"/>
    </xf>
    <xf numFmtId="0" fontId="69" fillId="22" borderId="11" applyAlignment="1" pivotButton="0" quotePrefix="0" xfId="0">
      <alignment horizontal="right"/>
    </xf>
    <xf numFmtId="3" fontId="70" fillId="18" borderId="11" applyAlignment="1" pivotButton="0" quotePrefix="0" xfId="0">
      <alignment horizontal="center"/>
    </xf>
    <xf numFmtId="3" fontId="69" fillId="6" borderId="68" applyAlignment="1" pivotButton="0" quotePrefix="0" xfId="0">
      <alignment horizontal="center"/>
    </xf>
    <xf numFmtId="0" fontId="74" fillId="22" borderId="21" pivotButton="0" quotePrefix="0" xfId="0"/>
    <xf numFmtId="170" fontId="69" fillId="22" borderId="0" pivotButton="0" quotePrefix="0" xfId="0"/>
    <xf numFmtId="0" fontId="74" fillId="22" borderId="0" applyAlignment="1" pivotButton="0" quotePrefix="0" xfId="0">
      <alignment horizontal="center" wrapText="1"/>
    </xf>
    <xf numFmtId="0" fontId="74" fillId="22" borderId="0" applyAlignment="1" pivotButton="0" quotePrefix="0" xfId="0">
      <alignment horizontal="left"/>
    </xf>
    <xf numFmtId="0" fontId="69" fillId="11" borderId="0" pivotButton="0" quotePrefix="0" xfId="0"/>
    <xf numFmtId="0" fontId="197" fillId="36" borderId="0" applyAlignment="1" pivotButton="0" quotePrefix="0" xfId="0">
      <alignment horizontal="left" vertical="center"/>
    </xf>
    <xf numFmtId="0" fontId="3" fillId="22" borderId="21" pivotButton="0" quotePrefix="0" xfId="0"/>
    <xf numFmtId="0" fontId="167" fillId="12" borderId="21" applyAlignment="1" pivotButton="0" quotePrefix="1" xfId="3">
      <alignment horizontal="left"/>
    </xf>
    <xf numFmtId="0" fontId="167" fillId="12" borderId="21" applyAlignment="1" pivotButton="0" quotePrefix="1" xfId="3">
      <alignment horizontal="center"/>
    </xf>
    <xf numFmtId="0" fontId="167" fillId="12" borderId="0" applyAlignment="1" pivotButton="0" quotePrefix="1" xfId="3">
      <alignment horizontal="center"/>
    </xf>
    <xf numFmtId="0" fontId="161" fillId="12" borderId="0" applyAlignment="1" pivotButton="0" quotePrefix="1" xfId="3">
      <alignment horizontal="center"/>
    </xf>
    <xf numFmtId="0" fontId="150" fillId="22" borderId="106" applyProtection="1" pivotButton="0" quotePrefix="0" xfId="0">
      <protection locked="0" hidden="0"/>
    </xf>
    <xf numFmtId="0" fontId="155" fillId="36" borderId="0" applyAlignment="1" pivotButton="0" quotePrefix="0" xfId="0">
      <alignment horizontal="right" vertical="center"/>
    </xf>
    <xf numFmtId="0" fontId="4" fillId="22" borderId="0" applyAlignment="1" pivotButton="0" quotePrefix="0" xfId="0">
      <alignment horizontal="left"/>
    </xf>
    <xf numFmtId="1" fontId="0" fillId="22" borderId="0" applyAlignment="1" pivotButton="0" quotePrefix="0" xfId="0">
      <alignment horizontal="center"/>
    </xf>
    <xf numFmtId="1" fontId="4" fillId="22" borderId="0" applyAlignment="1" pivotButton="0" quotePrefix="0" xfId="0">
      <alignment horizontal="center"/>
    </xf>
    <xf numFmtId="0" fontId="4" fillId="22" borderId="21" applyAlignment="1" pivotButton="0" quotePrefix="0" xfId="0">
      <alignment horizontal="center"/>
    </xf>
    <xf numFmtId="0" fontId="5" fillId="22" borderId="14" applyAlignment="1" pivotButton="0" quotePrefix="0" xfId="0">
      <alignment horizontal="left"/>
    </xf>
    <xf numFmtId="1" fontId="5" fillId="22" borderId="14" applyAlignment="1" pivotButton="0" quotePrefix="0" xfId="0">
      <alignment horizontal="center"/>
    </xf>
    <xf numFmtId="0" fontId="5" fillId="22" borderId="14" applyAlignment="1" pivotButton="0" quotePrefix="0" xfId="0">
      <alignment horizontal="center"/>
    </xf>
    <xf numFmtId="0" fontId="0" fillId="22" borderId="21" applyAlignment="1" pivotButton="0" quotePrefix="0" xfId="0">
      <alignment horizontal="center"/>
    </xf>
    <xf numFmtId="0" fontId="0" fillId="22" borderId="11" applyAlignment="1" pivotButton="0" quotePrefix="0" xfId="0">
      <alignment horizontal="center"/>
    </xf>
    <xf numFmtId="3" fontId="0" fillId="22" borderId="21" applyAlignment="1" pivotButton="0" quotePrefix="0" xfId="0">
      <alignment horizontal="center"/>
    </xf>
    <xf numFmtId="0" fontId="3" fillId="22" borderId="14" pivotButton="0" quotePrefix="0" xfId="0"/>
    <xf numFmtId="0" fontId="72" fillId="19" borderId="0" pivotButton="0" quotePrefix="0" xfId="0"/>
    <xf numFmtId="0" fontId="72" fillId="22" borderId="0" pivotButton="0" quotePrefix="0" xfId="0"/>
    <xf numFmtId="0" fontId="78" fillId="22" borderId="21" pivotButton="0" quotePrefix="0" xfId="0"/>
    <xf numFmtId="0" fontId="72" fillId="22" borderId="21" pivotButton="0" quotePrefix="0" xfId="0"/>
    <xf numFmtId="0" fontId="78" fillId="22" borderId="0" pivotButton="0" quotePrefix="0" xfId="0"/>
    <xf numFmtId="0" fontId="55" fillId="12" borderId="14" applyAlignment="1" pivotButton="0" quotePrefix="0" xfId="0">
      <alignment horizontal="left"/>
    </xf>
    <xf numFmtId="0" fontId="55" fillId="12" borderId="14" applyAlignment="1" pivotButton="0" quotePrefix="0" xfId="0">
      <alignment horizontal="center"/>
    </xf>
    <xf numFmtId="3" fontId="55" fillId="12" borderId="14" applyAlignment="1" pivotButton="0" quotePrefix="0" xfId="0">
      <alignment horizontal="center"/>
    </xf>
    <xf numFmtId="168" fontId="82" fillId="19" borderId="0" applyAlignment="1" pivotButton="0" quotePrefix="0" xfId="0">
      <alignment horizontal="center" vertical="center"/>
    </xf>
    <xf numFmtId="168" fontId="72" fillId="2" borderId="0" applyAlignment="1" pivotButton="0" quotePrefix="0" xfId="0">
      <alignment horizontal="center"/>
    </xf>
    <xf numFmtId="3" fontId="82" fillId="19" borderId="0" applyAlignment="1" pivotButton="0" quotePrefix="0" xfId="0">
      <alignment horizontal="center" vertical="center"/>
    </xf>
    <xf numFmtId="3" fontId="72" fillId="2" borderId="0" applyAlignment="1" pivotButton="0" quotePrefix="0" xfId="0">
      <alignment horizontal="center"/>
    </xf>
    <xf numFmtId="9" fontId="82" fillId="19" borderId="0" applyAlignment="1" pivotButton="0" quotePrefix="0" xfId="6">
      <alignment horizontal="center" vertical="center"/>
    </xf>
    <xf numFmtId="9" fontId="72" fillId="2" borderId="0" applyAlignment="1" pivotButton="0" quotePrefix="0" xfId="6">
      <alignment horizontal="center"/>
    </xf>
    <xf numFmtId="0" fontId="72" fillId="22" borderId="10" pivotButton="0" quotePrefix="0" xfId="0"/>
    <xf numFmtId="0" fontId="72" fillId="22" borderId="10" applyAlignment="1" pivotButton="0" quotePrefix="0" xfId="0">
      <alignment horizontal="center"/>
    </xf>
    <xf numFmtId="0" fontId="55" fillId="12" borderId="0" applyAlignment="1" pivotButton="0" quotePrefix="0" xfId="0">
      <alignment horizontal="right"/>
    </xf>
    <xf numFmtId="3" fontId="55" fillId="2" borderId="66" applyAlignment="1" pivotButton="0" quotePrefix="0" xfId="0">
      <alignment horizontal="center"/>
    </xf>
    <xf numFmtId="3" fontId="72" fillId="22" borderId="0" applyAlignment="1" pivotButton="0" quotePrefix="0" xfId="0">
      <alignment horizontal="left"/>
    </xf>
    <xf numFmtId="3" fontId="55" fillId="2" borderId="79" applyAlignment="1" pivotButton="0" quotePrefix="0" xfId="0">
      <alignment horizontal="center"/>
    </xf>
    <xf numFmtId="3" fontId="55" fillId="2" borderId="0" applyAlignment="1" pivotButton="0" quotePrefix="0" xfId="0">
      <alignment horizontal="center"/>
    </xf>
    <xf numFmtId="0" fontId="72" fillId="22" borderId="11" applyAlignment="1" pivotButton="0" quotePrefix="0" xfId="0">
      <alignment horizontal="right"/>
    </xf>
    <xf numFmtId="3" fontId="72" fillId="22" borderId="11" applyAlignment="1" pivotButton="0" quotePrefix="0" xfId="0">
      <alignment horizontal="center"/>
    </xf>
    <xf numFmtId="3" fontId="55" fillId="18" borderId="11" applyAlignment="1" pivotButton="0" quotePrefix="0" xfId="0">
      <alignment horizontal="center"/>
    </xf>
    <xf numFmtId="0" fontId="72" fillId="21" borderId="0" applyAlignment="1" pivotButton="0" quotePrefix="0" xfId="0">
      <alignment horizontal="center"/>
    </xf>
    <xf numFmtId="0" fontId="72" fillId="38" borderId="0" applyAlignment="1" pivotButton="0" quotePrefix="0" xfId="0">
      <alignment horizontal="center"/>
    </xf>
    <xf numFmtId="0" fontId="72" fillId="6" borderId="0" applyAlignment="1" pivotButton="0" quotePrefix="0" xfId="0">
      <alignment horizontal="center"/>
    </xf>
    <xf numFmtId="3" fontId="72" fillId="2" borderId="66" applyAlignment="1" pivotButton="0" quotePrefix="0" xfId="0">
      <alignment horizontal="center"/>
    </xf>
    <xf numFmtId="0" fontId="72" fillId="2" borderId="72" applyAlignment="1" pivotButton="0" quotePrefix="0" xfId="0">
      <alignment horizontal="center"/>
    </xf>
    <xf numFmtId="0" fontId="72" fillId="2" borderId="67" applyAlignment="1" pivotButton="0" quotePrefix="0" xfId="0">
      <alignment horizontal="center"/>
    </xf>
    <xf numFmtId="3" fontId="72" fillId="2" borderId="67" applyAlignment="1" pivotButton="0" quotePrefix="0" xfId="0">
      <alignment horizontal="center"/>
    </xf>
    <xf numFmtId="3" fontId="72" fillId="2" borderId="72" applyAlignment="1" pivotButton="0" quotePrefix="0" xfId="0">
      <alignment horizontal="center"/>
    </xf>
    <xf numFmtId="3" fontId="72" fillId="6" borderId="67" applyAlignment="1" pivotButton="0" quotePrefix="0" xfId="0">
      <alignment horizontal="center"/>
    </xf>
    <xf numFmtId="3" fontId="72" fillId="22" borderId="0" pivotButton="0" quotePrefix="0" xfId="0"/>
    <xf numFmtId="3" fontId="72" fillId="22" borderId="0" applyAlignment="1" pivotButton="0" quotePrefix="0" xfId="0">
      <alignment horizontal="center"/>
    </xf>
    <xf numFmtId="3" fontId="72" fillId="2" borderId="68" applyAlignment="1" pivotButton="0" quotePrefix="0" xfId="0">
      <alignment horizontal="center"/>
    </xf>
    <xf numFmtId="0" fontId="72" fillId="2" borderId="73" applyAlignment="1" pivotButton="0" quotePrefix="0" xfId="0">
      <alignment horizontal="center"/>
    </xf>
    <xf numFmtId="0" fontId="72" fillId="2" borderId="69" applyAlignment="1" pivotButton="0" quotePrefix="0" xfId="0">
      <alignment horizontal="center"/>
    </xf>
    <xf numFmtId="3" fontId="72" fillId="2" borderId="69" applyAlignment="1" pivotButton="0" quotePrefix="0" xfId="0">
      <alignment horizontal="center"/>
    </xf>
    <xf numFmtId="3" fontId="72" fillId="2" borderId="73" applyAlignment="1" pivotButton="0" quotePrefix="0" xfId="0">
      <alignment horizontal="center"/>
    </xf>
    <xf numFmtId="3" fontId="72" fillId="6" borderId="69" applyAlignment="1" pivotButton="0" quotePrefix="0" xfId="0">
      <alignment horizontal="center"/>
    </xf>
    <xf numFmtId="3" fontId="72" fillId="2" borderId="70" applyAlignment="1" pivotButton="0" quotePrefix="0" xfId="0">
      <alignment horizontal="center"/>
    </xf>
    <xf numFmtId="0" fontId="72" fillId="2" borderId="74" applyAlignment="1" pivotButton="0" quotePrefix="0" xfId="0">
      <alignment horizontal="center"/>
    </xf>
    <xf numFmtId="0" fontId="72" fillId="2" borderId="71" applyAlignment="1" pivotButton="0" quotePrefix="0" xfId="0">
      <alignment horizontal="center"/>
    </xf>
    <xf numFmtId="3" fontId="72" fillId="2" borderId="71" applyAlignment="1" pivotButton="0" quotePrefix="0" xfId="0">
      <alignment horizontal="center"/>
    </xf>
    <xf numFmtId="3" fontId="72" fillId="2" borderId="74" applyAlignment="1" pivotButton="0" quotePrefix="0" xfId="0">
      <alignment horizontal="center"/>
    </xf>
    <xf numFmtId="3" fontId="72" fillId="6" borderId="71" applyAlignment="1" pivotButton="0" quotePrefix="0" xfId="0">
      <alignment horizontal="center"/>
    </xf>
    <xf numFmtId="3" fontId="72" fillId="6" borderId="0" pivotButton="0" quotePrefix="0" xfId="0"/>
    <xf numFmtId="3" fontId="72" fillId="6" borderId="0" applyAlignment="1" pivotButton="0" quotePrefix="0" xfId="0">
      <alignment horizontal="right"/>
    </xf>
    <xf numFmtId="3" fontId="72" fillId="6" borderId="0" applyAlignment="1" pivotButton="0" quotePrefix="0" xfId="0">
      <alignment horizontal="center"/>
    </xf>
    <xf numFmtId="2" fontId="82" fillId="19" borderId="0" applyAlignment="1" pivotButton="0" quotePrefix="0" xfId="6">
      <alignment horizontal="center" vertical="center"/>
    </xf>
    <xf numFmtId="2" fontId="72" fillId="2" borderId="0" applyAlignment="1" pivotButton="0" quotePrefix="0" xfId="6">
      <alignment horizontal="center"/>
    </xf>
    <xf numFmtId="0" fontId="72" fillId="2" borderId="66" applyAlignment="1" pivotButton="0" quotePrefix="0" xfId="0">
      <alignment horizontal="center"/>
    </xf>
    <xf numFmtId="1" fontId="72" fillId="2" borderId="67" applyAlignment="1" pivotButton="0" quotePrefix="0" xfId="0">
      <alignment horizontal="center"/>
    </xf>
    <xf numFmtId="0" fontId="72" fillId="2" borderId="68" applyAlignment="1" pivotButton="0" quotePrefix="0" xfId="0">
      <alignment horizontal="center"/>
    </xf>
    <xf numFmtId="1" fontId="72" fillId="2" borderId="69" applyAlignment="1" pivotButton="0" quotePrefix="0" xfId="0">
      <alignment horizontal="center"/>
    </xf>
    <xf numFmtId="0" fontId="72" fillId="2" borderId="70" applyAlignment="1" pivotButton="0" quotePrefix="0" xfId="0">
      <alignment horizontal="center"/>
    </xf>
    <xf numFmtId="1" fontId="72" fillId="2" borderId="71" applyAlignment="1" pivotButton="0" quotePrefix="0" xfId="0">
      <alignment horizontal="center"/>
    </xf>
    <xf numFmtId="0" fontId="72" fillId="22" borderId="116" pivotButton="0" quotePrefix="0" xfId="0"/>
    <xf numFmtId="0" fontId="72" fillId="22" borderId="117" pivotButton="0" quotePrefix="0" xfId="0"/>
    <xf numFmtId="0" fontId="78" fillId="22" borderId="0" applyAlignment="1" pivotButton="0" quotePrefix="0" xfId="0">
      <alignment horizontal="center"/>
    </xf>
    <xf numFmtId="0" fontId="72" fillId="22" borderId="0" applyAlignment="1" pivotButton="0" quotePrefix="0" xfId="0">
      <alignment horizontal="right"/>
    </xf>
    <xf numFmtId="4" fontId="82" fillId="19" borderId="0" applyAlignment="1" pivotButton="0" quotePrefix="0" xfId="0">
      <alignment horizontal="center"/>
    </xf>
    <xf numFmtId="4" fontId="72" fillId="22" borderId="0" applyAlignment="1" pivotButton="0" quotePrefix="0" xfId="0">
      <alignment horizontal="center"/>
    </xf>
    <xf numFmtId="3" fontId="82" fillId="19" borderId="79" applyAlignment="1" pivotButton="0" quotePrefix="0" xfId="0">
      <alignment horizontal="center"/>
    </xf>
    <xf numFmtId="3" fontId="82" fillId="19" borderId="118" applyAlignment="1" pivotButton="0" quotePrefix="0" xfId="0">
      <alignment horizontal="center"/>
    </xf>
    <xf numFmtId="3" fontId="82" fillId="19" borderId="119" applyAlignment="1" pivotButton="0" quotePrefix="0" xfId="0">
      <alignment horizontal="center"/>
    </xf>
    <xf numFmtId="0" fontId="230" fillId="19" borderId="0" applyAlignment="1" pivotButton="0" quotePrefix="0" xfId="0">
      <alignment horizontal="center"/>
    </xf>
    <xf numFmtId="168" fontId="72" fillId="2" borderId="66" applyAlignment="1" pivotButton="0" quotePrefix="0" xfId="0">
      <alignment horizontal="center"/>
    </xf>
    <xf numFmtId="0" fontId="72" fillId="2" borderId="0" applyAlignment="1" pivotButton="0" quotePrefix="0" xfId="0">
      <alignment horizontal="center"/>
    </xf>
    <xf numFmtId="0" fontId="150" fillId="22" borderId="0" applyAlignment="1" applyProtection="1" pivotButton="0" quotePrefix="0" xfId="0">
      <alignment horizontal="left"/>
      <protection locked="0" hidden="0"/>
    </xf>
    <xf numFmtId="2" fontId="72" fillId="22" borderId="0" applyAlignment="1" pivotButton="0" quotePrefix="0" xfId="0">
      <alignment horizontal="center"/>
    </xf>
    <xf numFmtId="0" fontId="231" fillId="19" borderId="0" applyAlignment="1" pivotButton="0" quotePrefix="0" xfId="0">
      <alignment horizontal="left" vertical="center"/>
    </xf>
    <xf numFmtId="0" fontId="128" fillId="19" borderId="0" applyAlignment="1" pivotButton="0" quotePrefix="0" xfId="0">
      <alignment horizontal="left" vertical="center"/>
    </xf>
    <xf numFmtId="170" fontId="69" fillId="2" borderId="73" applyAlignment="1" pivotButton="0" quotePrefix="0" xfId="0">
      <alignment horizontal="center"/>
    </xf>
    <xf numFmtId="0" fontId="110" fillId="22" borderId="3" applyAlignment="1" pivotButton="0" quotePrefix="0" xfId="0">
      <alignment vertical="center"/>
    </xf>
    <xf numFmtId="165" fontId="9" fillId="0" borderId="0" pivotButton="0" quotePrefix="0" xfId="4"/>
    <xf numFmtId="173" fontId="9" fillId="0" borderId="0" pivotButton="0" quotePrefix="0" xfId="0"/>
    <xf numFmtId="0" fontId="9" fillId="0" borderId="0" applyAlignment="1" pivotButton="0" quotePrefix="0" xfId="0">
      <alignment horizontal="center"/>
    </xf>
    <xf numFmtId="3" fontId="9" fillId="0" borderId="0" pivotButton="0" quotePrefix="0" xfId="0"/>
    <xf numFmtId="2" fontId="9" fillId="0" borderId="0" pivotButton="0" quotePrefix="0" xfId="0"/>
    <xf numFmtId="165" fontId="9" fillId="0" borderId="0" pivotButton="0" quotePrefix="0" xfId="0"/>
    <xf numFmtId="174" fontId="9" fillId="0" borderId="0" pivotButton="0" quotePrefix="0" xfId="4"/>
    <xf numFmtId="0" fontId="232" fillId="12" borderId="0" applyAlignment="1" pivotButton="0" quotePrefix="0" xfId="0">
      <alignment horizontal="left" indent="24"/>
    </xf>
    <xf numFmtId="0" fontId="232" fillId="12" borderId="0" applyAlignment="1" pivotButton="0" quotePrefix="0" xfId="0">
      <alignment horizontal="left" indent="15"/>
    </xf>
    <xf numFmtId="3" fontId="74" fillId="6" borderId="0" applyAlignment="1" pivotButton="0" quotePrefix="0" xfId="0">
      <alignment horizontal="center"/>
    </xf>
    <xf numFmtId="0" fontId="233" fillId="22" borderId="0" pivotButton="0" quotePrefix="0" xfId="0"/>
    <xf numFmtId="0" fontId="207" fillId="36" borderId="0" applyAlignment="1" pivotButton="0" quotePrefix="0" xfId="0">
      <alignment horizontal="center" vertical="center"/>
    </xf>
    <xf numFmtId="0" fontId="110" fillId="12" borderId="8" applyAlignment="1" pivotButton="0" quotePrefix="0" xfId="0">
      <alignment vertical="center"/>
    </xf>
    <xf numFmtId="0" fontId="110" fillId="12" borderId="0" applyAlignment="1" pivotButton="0" quotePrefix="0" xfId="0">
      <alignment vertical="center"/>
    </xf>
    <xf numFmtId="0" fontId="84" fillId="12" borderId="8" applyAlignment="1" pivotButton="0" quotePrefix="0" xfId="0">
      <alignment horizontal="left" vertical="center"/>
    </xf>
    <xf numFmtId="0" fontId="84" fillId="12" borderId="0" applyAlignment="1" pivotButton="0" quotePrefix="0" xfId="0">
      <alignment vertical="center"/>
    </xf>
    <xf numFmtId="0" fontId="162" fillId="12" borderId="11" applyAlignment="1" pivotButton="0" quotePrefix="0" xfId="0">
      <alignment horizontal="right"/>
    </xf>
    <xf numFmtId="0" fontId="167" fillId="12" borderId="11" applyAlignment="1" pivotButton="0" quotePrefix="0" xfId="0">
      <alignment horizontal="right" vertical="center"/>
    </xf>
    <xf numFmtId="166" fontId="37" fillId="6" borderId="9" applyAlignment="1" pivotButton="0" quotePrefix="0" xfId="0">
      <alignment horizontal="center"/>
    </xf>
    <xf numFmtId="0" fontId="150" fillId="36" borderId="0" applyAlignment="1" pivotButton="0" quotePrefix="0" xfId="0">
      <alignment horizontal="center"/>
    </xf>
    <xf numFmtId="0" fontId="166" fillId="22" borderId="0" applyAlignment="1" pivotButton="0" quotePrefix="0" xfId="0">
      <alignment horizontal="left" vertical="center" indent="1"/>
    </xf>
    <xf numFmtId="0" fontId="158" fillId="22" borderId="0" applyAlignment="1" pivotButton="0" quotePrefix="0" xfId="0">
      <alignment horizontal="center" vertical="center"/>
    </xf>
    <xf numFmtId="0" fontId="215" fillId="36" borderId="0" applyAlignment="1" pivotButton="0" quotePrefix="0" xfId="0">
      <alignment horizontal="left" vertical="top" indent="57"/>
    </xf>
    <xf numFmtId="0" fontId="174" fillId="12" borderId="0" applyAlignment="1" pivotButton="0" quotePrefix="0" xfId="0">
      <alignment horizontal="left" indent="5"/>
    </xf>
    <xf numFmtId="0" fontId="215" fillId="10" borderId="0" applyAlignment="1" pivotButton="0" quotePrefix="0" xfId="0">
      <alignment horizontal="left" vertical="top" indent="57"/>
    </xf>
    <xf numFmtId="0" fontId="216" fillId="12" borderId="0" applyAlignment="1" pivotButton="0" quotePrefix="0" xfId="0">
      <alignment horizontal="left" vertical="center"/>
    </xf>
    <xf numFmtId="0" fontId="162" fillId="12" borderId="21" applyAlignment="1" pivotButton="0" quotePrefix="0" xfId="0">
      <alignment horizontal="left"/>
    </xf>
    <xf numFmtId="0" fontId="213" fillId="12" borderId="21" pivotButton="0" quotePrefix="0" xfId="0"/>
    <xf numFmtId="0" fontId="162" fillId="12" borderId="21" applyAlignment="1" pivotButton="0" quotePrefix="0" xfId="0">
      <alignment horizontal="left" indent="3"/>
    </xf>
    <xf numFmtId="0" fontId="176" fillId="12" borderId="21" applyAlignment="1" pivotButton="0" quotePrefix="0" xfId="0">
      <alignment horizontal="left" indent="3"/>
    </xf>
    <xf numFmtId="0" fontId="162" fillId="12" borderId="21" pivotButton="0" quotePrefix="0" xfId="0"/>
    <xf numFmtId="0" fontId="216" fillId="10" borderId="0" applyAlignment="1" pivotButton="0" quotePrefix="0" xfId="0">
      <alignment horizontal="left" vertical="center"/>
    </xf>
    <xf numFmtId="0" fontId="215" fillId="10" borderId="21" applyAlignment="1" pivotButton="0" quotePrefix="0" xfId="0">
      <alignment horizontal="left" vertical="top" indent="60"/>
    </xf>
    <xf numFmtId="0" fontId="161" fillId="10" borderId="21" applyAlignment="1" pivotButton="0" quotePrefix="0" xfId="0">
      <alignment horizontal="center" vertical="top"/>
    </xf>
    <xf numFmtId="0" fontId="215" fillId="10" borderId="21" applyAlignment="1" pivotButton="0" quotePrefix="0" xfId="0">
      <alignment horizontal="center" vertical="top"/>
    </xf>
    <xf numFmtId="0" fontId="167" fillId="10" borderId="21" applyAlignment="1" pivotButton="0" quotePrefix="0" xfId="0">
      <alignment horizontal="center" vertical="top"/>
    </xf>
    <xf numFmtId="0" fontId="158" fillId="12" borderId="0" applyAlignment="1" pivotButton="0" quotePrefix="0" xfId="0">
      <alignment horizontal="left" vertical="center" indent="57"/>
    </xf>
    <xf numFmtId="0" fontId="176" fillId="10" borderId="0" applyAlignment="1" pivotButton="0" quotePrefix="0" xfId="0">
      <alignment horizontal="left" vertical="top" indent="4"/>
    </xf>
    <xf numFmtId="0" fontId="176" fillId="10" borderId="0" applyAlignment="1" pivotButton="0" quotePrefix="0" xfId="0">
      <alignment horizontal="left" vertical="top" indent="3"/>
    </xf>
    <xf numFmtId="0" fontId="195" fillId="12" borderId="0" applyAlignment="1" pivotButton="0" quotePrefix="0" xfId="0">
      <alignment horizontal="left" vertical="center"/>
    </xf>
    <xf numFmtId="0" fontId="176" fillId="12" borderId="0" applyAlignment="1" pivotButton="0" quotePrefix="0" xfId="0">
      <alignment horizontal="left" indent="4"/>
    </xf>
    <xf numFmtId="0" fontId="176" fillId="12" borderId="0" applyAlignment="1" pivotButton="0" quotePrefix="0" xfId="0">
      <alignment horizontal="left" indent="5"/>
    </xf>
    <xf numFmtId="0" fontId="195" fillId="10" borderId="0" applyAlignment="1" pivotButton="0" quotePrefix="0" xfId="0">
      <alignment horizontal="left" vertical="center"/>
    </xf>
    <xf numFmtId="0" fontId="215" fillId="10" borderId="0" applyAlignment="1" pivotButton="0" quotePrefix="0" xfId="0">
      <alignment horizontal="left" vertical="top"/>
    </xf>
    <xf numFmtId="0" fontId="161" fillId="10" borderId="0" applyAlignment="1" pivotButton="0" quotePrefix="0" xfId="0">
      <alignment horizontal="left" vertical="top" indent="57"/>
    </xf>
    <xf numFmtId="0" fontId="156" fillId="36" borderId="0" pivotButton="0" quotePrefix="0" xfId="0"/>
    <xf numFmtId="0" fontId="156" fillId="36" borderId="0" applyAlignment="1" pivotButton="0" quotePrefix="0" xfId="0">
      <alignment horizontal="center"/>
    </xf>
    <xf numFmtId="0" fontId="162" fillId="12" borderId="21" applyAlignment="1" pivotButton="0" quotePrefix="0" xfId="0">
      <alignment horizontal="left" indent="1"/>
    </xf>
    <xf numFmtId="0" fontId="162" fillId="12" borderId="0" applyAlignment="1" pivotButton="0" quotePrefix="0" xfId="0">
      <alignment horizontal="left" indent="28"/>
    </xf>
    <xf numFmtId="0" fontId="161" fillId="10" borderId="0" applyAlignment="1" pivotButton="0" quotePrefix="0" xfId="0">
      <alignment horizontal="left" vertical="top" indent="4"/>
    </xf>
    <xf numFmtId="0" fontId="161" fillId="10" borderId="0" applyAlignment="1" pivotButton="0" quotePrefix="0" xfId="0">
      <alignment horizontal="left" vertical="top" indent="3"/>
    </xf>
    <xf numFmtId="0" fontId="176" fillId="12" borderId="0" applyAlignment="1" pivotButton="0" quotePrefix="0" xfId="0">
      <alignment horizontal="left" indent="25"/>
    </xf>
    <xf numFmtId="0" fontId="161" fillId="10" borderId="0" pivotButton="0" quotePrefix="0" xfId="0"/>
    <xf numFmtId="0" fontId="223" fillId="10" borderId="0" pivotButton="0" quotePrefix="0" xfId="0"/>
    <xf numFmtId="0" fontId="215" fillId="10" borderId="0" applyAlignment="1" pivotButton="0" quotePrefix="0" xfId="0">
      <alignment horizontal="center" vertical="top"/>
    </xf>
    <xf numFmtId="0" fontId="153" fillId="10" borderId="0" applyAlignment="1" pivotButton="0" quotePrefix="0" xfId="0">
      <alignment horizontal="center"/>
    </xf>
    <xf numFmtId="0" fontId="150" fillId="10" borderId="0" applyAlignment="1" pivotButton="0" quotePrefix="0" xfId="0">
      <alignment horizontal="left" vertical="center"/>
    </xf>
    <xf numFmtId="0" fontId="153" fillId="22" borderId="0" applyAlignment="1" pivotButton="0" quotePrefix="0" xfId="0">
      <alignment horizontal="center"/>
    </xf>
    <xf numFmtId="0" fontId="186" fillId="12" borderId="0" applyAlignment="1" pivotButton="0" quotePrefix="0" xfId="0">
      <alignment horizontal="left" indent="4"/>
    </xf>
    <xf numFmtId="0" fontId="160" fillId="10" borderId="0" applyAlignment="1" pivotButton="0" quotePrefix="0" xfId="0">
      <alignment horizontal="center" vertical="center"/>
    </xf>
    <xf numFmtId="0" fontId="226" fillId="10" borderId="114" pivotButton="0" quotePrefix="0" xfId="0"/>
    <xf numFmtId="0" fontId="160" fillId="10" borderId="114" pivotButton="0" quotePrefix="0" xfId="0"/>
    <xf numFmtId="0" fontId="150" fillId="10" borderId="114" pivotButton="0" quotePrefix="0" xfId="0"/>
    <xf numFmtId="0" fontId="150" fillId="10" borderId="115" pivotButton="0" quotePrefix="0" xfId="0"/>
    <xf numFmtId="0" fontId="177" fillId="12" borderId="0" applyAlignment="1" pivotButton="0" quotePrefix="0" xfId="0">
      <alignment horizontal="left" indent="1"/>
    </xf>
    <xf numFmtId="0" fontId="177" fillId="12" borderId="0" applyAlignment="1" pivotButton="0" quotePrefix="0" xfId="0">
      <alignment horizontal="left" indent="4"/>
    </xf>
    <xf numFmtId="0" fontId="162" fillId="10" borderId="116" pivotButton="0" quotePrefix="0" xfId="0"/>
    <xf numFmtId="0" fontId="150" fillId="10" borderId="116" pivotButton="0" quotePrefix="0" xfId="0"/>
    <xf numFmtId="0" fontId="160" fillId="10" borderId="116" pivotButton="0" quotePrefix="0" xfId="0"/>
    <xf numFmtId="0" fontId="160" fillId="12" borderId="0" applyAlignment="1" pivotButton="0" quotePrefix="0" xfId="0">
      <alignment horizontal="left" indent="25"/>
    </xf>
    <xf numFmtId="0" fontId="162" fillId="10" borderId="0" pivotButton="0" quotePrefix="0" xfId="0"/>
    <xf numFmtId="0" fontId="160" fillId="10" borderId="21" pivotButton="0" quotePrefix="0" xfId="0"/>
    <xf numFmtId="0" fontId="161" fillId="10" borderId="21" pivotButton="0" quotePrefix="0" xfId="0"/>
    <xf numFmtId="0" fontId="150" fillId="12" borderId="0" applyAlignment="1" pivotButton="0" quotePrefix="0" xfId="0">
      <alignment horizontal="left" indent="5"/>
    </xf>
    <xf numFmtId="0" fontId="161" fillId="10" borderId="0" applyAlignment="1" pivotButton="0" quotePrefix="0" xfId="0">
      <alignment horizontal="center"/>
    </xf>
    <xf numFmtId="168" fontId="161" fillId="10" borderId="0" applyAlignment="1" pivotButton="0" quotePrefix="0" xfId="0">
      <alignment horizontal="center"/>
    </xf>
    <xf numFmtId="9" fontId="150" fillId="10" borderId="0" applyAlignment="1" pivotButton="0" quotePrefix="0" xfId="6">
      <alignment horizontal="center"/>
    </xf>
    <xf numFmtId="4" fontId="150" fillId="10" borderId="0" applyAlignment="1" pivotButton="0" quotePrefix="0" xfId="0">
      <alignment horizontal="center"/>
    </xf>
    <xf numFmtId="2" fontId="150" fillId="10" borderId="0" applyAlignment="1" pivotButton="0" quotePrefix="0" xfId="0">
      <alignment horizontal="center"/>
    </xf>
    <xf numFmtId="4" fontId="161" fillId="10" borderId="0" applyAlignment="1" pivotButton="0" quotePrefix="0" xfId="0">
      <alignment horizontal="center"/>
    </xf>
    <xf numFmtId="0" fontId="226" fillId="22" borderId="0" applyAlignment="1" pivotButton="0" quotePrefix="0" xfId="0">
      <alignment horizontal="left"/>
    </xf>
    <xf numFmtId="0" fontId="226" fillId="22" borderId="0" applyAlignment="1" pivotButton="0" quotePrefix="0" xfId="0">
      <alignment horizontal="left" vertical="center"/>
    </xf>
    <xf numFmtId="0" fontId="160" fillId="22" borderId="0" applyAlignment="1" pivotButton="0" quotePrefix="0" xfId="0">
      <alignment horizontal="left" indent="3"/>
    </xf>
    <xf numFmtId="0" fontId="160" fillId="22" borderId="0" applyAlignment="1" pivotButton="0" quotePrefix="0" xfId="0">
      <alignment horizontal="left" indent="2"/>
    </xf>
    <xf numFmtId="0" fontId="160" fillId="22" borderId="0" applyAlignment="1" pivotButton="0" quotePrefix="0" xfId="0">
      <alignment horizontal="left" indent="4"/>
    </xf>
    <xf numFmtId="0" fontId="160" fillId="22" borderId="0" applyAlignment="1" pivotButton="0" quotePrefix="0" xfId="0">
      <alignment horizontal="left" indent="1"/>
    </xf>
    <xf numFmtId="0" fontId="161" fillId="22" borderId="0" applyAlignment="1" applyProtection="1" pivotButton="0" quotePrefix="0" xfId="0">
      <alignment vertical="top"/>
      <protection locked="0" hidden="0"/>
    </xf>
    <xf numFmtId="0" fontId="161" fillId="22" borderId="0" applyAlignment="1" applyProtection="1" pivotButton="0" quotePrefix="0" xfId="0">
      <alignment horizontal="center" vertical="top"/>
      <protection locked="0" hidden="0"/>
    </xf>
    <xf numFmtId="0" fontId="174" fillId="10" borderId="0" applyAlignment="1" pivotButton="0" quotePrefix="0" xfId="0">
      <alignment horizontal="center" vertical="center"/>
    </xf>
    <xf numFmtId="168" fontId="150" fillId="22" borderId="58" applyProtection="1" pivotButton="0" quotePrefix="0" xfId="0">
      <protection locked="0" hidden="0"/>
    </xf>
    <xf numFmtId="168" fontId="150" fillId="22" borderId="112" applyProtection="1" pivotButton="0" quotePrefix="0" xfId="0">
      <protection locked="0" hidden="0"/>
    </xf>
    <xf numFmtId="168" fontId="150" fillId="22" borderId="113" applyProtection="1" pivotButton="0" quotePrefix="0" xfId="0">
      <protection locked="0" hidden="0"/>
    </xf>
    <xf numFmtId="9" fontId="150" fillId="22" borderId="58" applyAlignment="1" applyProtection="1" pivotButton="0" quotePrefix="0" xfId="6">
      <alignment horizontal="center"/>
      <protection locked="0" hidden="0"/>
    </xf>
    <xf numFmtId="9" fontId="150" fillId="22" borderId="112" applyAlignment="1" applyProtection="1" pivotButton="0" quotePrefix="0" xfId="6">
      <alignment horizontal="center"/>
      <protection locked="0" hidden="0"/>
    </xf>
    <xf numFmtId="9" fontId="150" fillId="22" borderId="113" applyAlignment="1" applyProtection="1" pivotButton="0" quotePrefix="0" xfId="6">
      <alignment horizontal="center"/>
      <protection locked="0" hidden="0"/>
    </xf>
    <xf numFmtId="4" fontId="150" fillId="22" borderId="58" applyAlignment="1" applyProtection="1" pivotButton="0" quotePrefix="0" xfId="0">
      <alignment horizontal="center"/>
      <protection locked="0" hidden="0"/>
    </xf>
    <xf numFmtId="4" fontId="150" fillId="22" borderId="112" applyAlignment="1" applyProtection="1" pivotButton="0" quotePrefix="0" xfId="0">
      <alignment horizontal="center"/>
      <protection locked="0" hidden="0"/>
    </xf>
    <xf numFmtId="4" fontId="150" fillId="22" borderId="113" applyAlignment="1" applyProtection="1" pivotButton="0" quotePrefix="0" xfId="0">
      <alignment horizontal="center"/>
      <protection locked="0" hidden="0"/>
    </xf>
    <xf numFmtId="0" fontId="164" fillId="22" borderId="0" applyAlignment="1" applyProtection="1" pivotButton="0" quotePrefix="0" xfId="0">
      <alignment horizontal="center"/>
      <protection locked="0" hidden="0"/>
    </xf>
    <xf numFmtId="4" fontId="161" fillId="22" borderId="0" applyAlignment="1" applyProtection="1" pivotButton="0" quotePrefix="0" xfId="0">
      <alignment horizontal="center"/>
      <protection locked="0" hidden="0"/>
    </xf>
    <xf numFmtId="0" fontId="214" fillId="10" borderId="0" applyAlignment="1" pivotButton="0" quotePrefix="0" xfId="0">
      <alignment vertical="center"/>
    </xf>
    <xf numFmtId="0" fontId="28" fillId="10" borderId="1" applyAlignment="1" pivotButton="0" quotePrefix="0" xfId="0">
      <alignment wrapText="1"/>
    </xf>
    <xf numFmtId="0" fontId="4" fillId="6" borderId="5" applyAlignment="1" pivotButton="0" quotePrefix="0" xfId="2">
      <alignment horizontal="left"/>
    </xf>
    <xf numFmtId="0" fontId="3" fillId="6" borderId="11" pivotButton="0" quotePrefix="0" xfId="0"/>
    <xf numFmtId="0" fontId="3" fillId="6" borderId="11" applyAlignment="1" pivotButton="0" quotePrefix="0" xfId="0">
      <alignment horizontal="center" wrapText="1"/>
    </xf>
    <xf numFmtId="0" fontId="37" fillId="6" borderId="0" applyAlignment="1" pivotButton="0" quotePrefix="0" xfId="0">
      <alignment horizontal="center"/>
    </xf>
    <xf numFmtId="0" fontId="79" fillId="3" borderId="21" pivotButton="0" quotePrefix="0" xfId="0"/>
    <xf numFmtId="0" fontId="69" fillId="3" borderId="21" pivotButton="0" quotePrefix="0" xfId="0"/>
    <xf numFmtId="0" fontId="74" fillId="3" borderId="21" pivotButton="0" quotePrefix="0" xfId="0"/>
    <xf numFmtId="0" fontId="4" fillId="6" borderId="9" applyAlignment="1" pivotButton="0" quotePrefix="0" xfId="2">
      <alignment horizontal="left"/>
    </xf>
    <xf numFmtId="0" fontId="72" fillId="37" borderId="0" applyAlignment="1" pivotButton="0" quotePrefix="0" xfId="0">
      <alignment horizontal="center"/>
    </xf>
    <xf numFmtId="0" fontId="231" fillId="41" borderId="0" applyAlignment="1" pivotButton="0" quotePrefix="0" xfId="0">
      <alignment horizontal="center" vertical="center"/>
    </xf>
    <xf numFmtId="0" fontId="231" fillId="22" borderId="0" applyAlignment="1" pivotButton="0" quotePrefix="0" xfId="0">
      <alignment horizontal="center" vertical="center"/>
    </xf>
    <xf numFmtId="0" fontId="231" fillId="22" borderId="21" applyAlignment="1" pivotButton="0" quotePrefix="0" xfId="0">
      <alignment horizontal="center" vertical="center"/>
    </xf>
    <xf numFmtId="0" fontId="70" fillId="22" borderId="14" applyAlignment="1" pivotButton="0" quotePrefix="0" xfId="0">
      <alignment horizontal="left"/>
    </xf>
    <xf numFmtId="0" fontId="70" fillId="22" borderId="14" applyAlignment="1" pivotButton="0" quotePrefix="0" xfId="0">
      <alignment horizontal="center"/>
    </xf>
    <xf numFmtId="3" fontId="70" fillId="22" borderId="14" applyAlignment="1" pivotButton="0" quotePrefix="0" xfId="0">
      <alignment horizontal="center"/>
    </xf>
    <xf numFmtId="1" fontId="88" fillId="22" borderId="0" pivotButton="0" quotePrefix="0" xfId="0"/>
    <xf numFmtId="175" fontId="82" fillId="19" borderId="66" applyAlignment="1" pivotButton="0" quotePrefix="0" xfId="0">
      <alignment horizontal="center" vertical="center"/>
    </xf>
    <xf numFmtId="175" fontId="82" fillId="19" borderId="68" applyAlignment="1" pivotButton="0" quotePrefix="0" xfId="0">
      <alignment horizontal="center" vertical="center"/>
    </xf>
    <xf numFmtId="175" fontId="82" fillId="19" borderId="70" applyAlignment="1" pivotButton="0" quotePrefix="0" xfId="0">
      <alignment horizontal="center" vertical="center"/>
    </xf>
    <xf numFmtId="0" fontId="72" fillId="2" borderId="67" pivotButton="0" quotePrefix="0" xfId="0"/>
    <xf numFmtId="0" fontId="72" fillId="2" borderId="69" pivotButton="0" quotePrefix="0" xfId="0"/>
    <xf numFmtId="0" fontId="72" fillId="2" borderId="71" pivotButton="0" quotePrefix="0" xfId="0"/>
    <xf numFmtId="168" fontId="82" fillId="19" borderId="79" applyAlignment="1" pivotButton="0" quotePrefix="0" xfId="0">
      <alignment horizontal="center"/>
    </xf>
    <xf numFmtId="168" fontId="82" fillId="19" borderId="118" applyAlignment="1" pivotButton="0" quotePrefix="0" xfId="0">
      <alignment horizontal="center"/>
    </xf>
    <xf numFmtId="168" fontId="82" fillId="19" borderId="119" applyAlignment="1" pivotButton="0" quotePrefix="0" xfId="0">
      <alignment horizontal="center"/>
    </xf>
    <xf numFmtId="0" fontId="72" fillId="22" borderId="79" pivotButton="0" quotePrefix="0" xfId="0"/>
    <xf numFmtId="0" fontId="72" fillId="22" borderId="118" pivotButton="0" quotePrefix="0" xfId="0"/>
    <xf numFmtId="0" fontId="72" fillId="22" borderId="119" pivotButton="0" quotePrefix="0" xfId="0"/>
    <xf numFmtId="164" fontId="72" fillId="22" borderId="79" applyAlignment="1" pivotButton="0" quotePrefix="0" xfId="0">
      <alignment horizontal="center"/>
    </xf>
    <xf numFmtId="164" fontId="72" fillId="22" borderId="118" applyAlignment="1" pivotButton="0" quotePrefix="0" xfId="0">
      <alignment horizontal="center"/>
    </xf>
    <xf numFmtId="164" fontId="72" fillId="22" borderId="119" applyAlignment="1" pivotButton="0" quotePrefix="0" xfId="0">
      <alignment horizontal="center"/>
    </xf>
    <xf numFmtId="4" fontId="72" fillId="2" borderId="66" applyAlignment="1" pivotButton="0" quotePrefix="0" xfId="0">
      <alignment horizontal="center"/>
    </xf>
    <xf numFmtId="4" fontId="72" fillId="2" borderId="72" applyAlignment="1" pivotButton="0" quotePrefix="0" xfId="0">
      <alignment horizontal="center"/>
    </xf>
    <xf numFmtId="4" fontId="72" fillId="2" borderId="67" applyAlignment="1" pivotButton="0" quotePrefix="0" xfId="0">
      <alignment horizontal="center"/>
    </xf>
    <xf numFmtId="0" fontId="236" fillId="0" borderId="0" applyAlignment="1" pivotButton="0" quotePrefix="0" xfId="0">
      <alignment horizontal="left" vertical="center" wrapText="1"/>
    </xf>
    <xf numFmtId="168" fontId="0" fillId="22" borderId="0" applyAlignment="1" pivotButton="0" quotePrefix="0" xfId="0">
      <alignment horizontal="center"/>
    </xf>
    <xf numFmtId="0" fontId="0" fillId="2" borderId="68" applyAlignment="1" pivotButton="0" quotePrefix="0" xfId="0">
      <alignment horizontal="center"/>
    </xf>
    <xf numFmtId="0" fontId="0" fillId="2" borderId="73" applyAlignment="1" pivotButton="0" quotePrefix="0" xfId="0">
      <alignment horizontal="center"/>
    </xf>
    <xf numFmtId="0" fontId="0" fillId="2" borderId="69" applyAlignment="1" pivotButton="0" quotePrefix="0" xfId="0">
      <alignment horizontal="center"/>
    </xf>
    <xf numFmtId="0" fontId="0" fillId="2" borderId="70" applyAlignment="1" pivotButton="0" quotePrefix="0" xfId="0">
      <alignment horizontal="center"/>
    </xf>
    <xf numFmtId="0" fontId="0" fillId="2" borderId="74" applyAlignment="1" pivotButton="0" quotePrefix="0" xfId="0">
      <alignment horizontal="center"/>
    </xf>
    <xf numFmtId="0" fontId="0" fillId="2" borderId="71" applyAlignment="1" pivotButton="0" quotePrefix="0" xfId="0">
      <alignment horizontal="center"/>
    </xf>
    <xf numFmtId="0" fontId="99" fillId="29" borderId="0" applyAlignment="1" pivotButton="0" quotePrefix="0" xfId="0">
      <alignment vertical="center"/>
    </xf>
    <xf numFmtId="168" fontId="99" fillId="29" borderId="0" applyAlignment="1" pivotButton="0" quotePrefix="0" xfId="0">
      <alignment horizontal="center" vertical="center"/>
    </xf>
    <xf numFmtId="0" fontId="0" fillId="13" borderId="66" applyAlignment="1" pivotButton="0" quotePrefix="0" xfId="0">
      <alignment horizontal="center"/>
    </xf>
    <xf numFmtId="0" fontId="0" fillId="13" borderId="72" applyAlignment="1" pivotButton="0" quotePrefix="0" xfId="0">
      <alignment horizontal="center"/>
    </xf>
    <xf numFmtId="168" fontId="0" fillId="13" borderId="72" applyAlignment="1" pivotButton="0" quotePrefix="0" xfId="0">
      <alignment horizontal="center"/>
    </xf>
    <xf numFmtId="0" fontId="0" fillId="13" borderId="67" applyAlignment="1" pivotButton="0" quotePrefix="0" xfId="0">
      <alignment horizontal="center"/>
    </xf>
    <xf numFmtId="0" fontId="0" fillId="22" borderId="122" applyAlignment="1" pivotButton="0" quotePrefix="0" xfId="0">
      <alignment horizontal="center"/>
    </xf>
    <xf numFmtId="0" fontId="69" fillId="22" borderId="47" pivotButton="0" quotePrefix="0" xfId="0"/>
    <xf numFmtId="164" fontId="77" fillId="22" borderId="0" applyAlignment="1" pivotButton="0" quotePrefix="0" xfId="0">
      <alignment horizontal="center"/>
    </xf>
    <xf numFmtId="0" fontId="74" fillId="9" borderId="10" applyAlignment="1" pivotButton="0" quotePrefix="0" xfId="0">
      <alignment horizontal="center" vertical="center"/>
    </xf>
    <xf numFmtId="0" fontId="56" fillId="9" borderId="10" applyAlignment="1" pivotButton="0" quotePrefix="0" xfId="0">
      <alignment horizontal="center"/>
    </xf>
    <xf numFmtId="168" fontId="69" fillId="2" borderId="9" applyAlignment="1" pivotButton="0" quotePrefix="0" xfId="0">
      <alignment horizontal="center"/>
    </xf>
    <xf numFmtId="0" fontId="70" fillId="9" borderId="10" applyAlignment="1" pivotButton="0" quotePrefix="0" xfId="0">
      <alignment horizontal="center"/>
    </xf>
    <xf numFmtId="168" fontId="69" fillId="2" borderId="7" applyAlignment="1" pivotButton="0" quotePrefix="0" xfId="0">
      <alignment horizontal="center"/>
    </xf>
    <xf numFmtId="168" fontId="69" fillId="2" borderId="8" applyAlignment="1" pivotButton="0" quotePrefix="0" xfId="0">
      <alignment horizontal="center"/>
    </xf>
    <xf numFmtId="164" fontId="82" fillId="19" borderId="10" applyAlignment="1" pivotButton="0" quotePrefix="0" xfId="0">
      <alignment horizontal="center"/>
    </xf>
    <xf numFmtId="168" fontId="69" fillId="2" borderId="21" applyAlignment="1" pivotButton="0" quotePrefix="0" xfId="0">
      <alignment horizontal="center"/>
    </xf>
    <xf numFmtId="0" fontId="77" fillId="19" borderId="10" applyAlignment="1" pivotButton="0" quotePrefix="0" xfId="0">
      <alignment horizontal="center"/>
    </xf>
    <xf numFmtId="164" fontId="77" fillId="19" borderId="10" applyAlignment="1" pivotButton="0" quotePrefix="0" xfId="0">
      <alignment horizontal="center"/>
    </xf>
    <xf numFmtId="0" fontId="69" fillId="0" borderId="9" pivotButton="0" quotePrefix="0" xfId="0"/>
    <xf numFmtId="0" fontId="159" fillId="12" borderId="11" applyAlignment="1" pivotButton="0" quotePrefix="0" xfId="0">
      <alignment horizontal="center" vertical="center"/>
    </xf>
    <xf numFmtId="0" fontId="161" fillId="10" borderId="0" applyAlignment="1" pivotButton="0" quotePrefix="0" xfId="0">
      <alignment horizontal="left" vertical="center" indent="8"/>
    </xf>
    <xf numFmtId="0" fontId="240" fillId="22" borderId="0" pivotButton="0" quotePrefix="0" xfId="0"/>
    <xf numFmtId="0" fontId="74" fillId="22" borderId="61" applyAlignment="1" pivotButton="0" quotePrefix="0" xfId="0">
      <alignment horizontal="left" indent="12"/>
    </xf>
    <xf numFmtId="0" fontId="74" fillId="22" borderId="47" applyAlignment="1" pivotButton="0" quotePrefix="0" xfId="0">
      <alignment horizontal="left" indent="12"/>
    </xf>
    <xf numFmtId="0" fontId="69" fillId="22" borderId="47" applyAlignment="1" pivotButton="0" quotePrefix="0" xfId="0">
      <alignment horizontal="left" indent="7"/>
    </xf>
    <xf numFmtId="0" fontId="69" fillId="22" borderId="48" pivotButton="0" quotePrefix="0" xfId="0"/>
    <xf numFmtId="0" fontId="74" fillId="22" borderId="61" applyAlignment="1" pivotButton="0" quotePrefix="0" xfId="0">
      <alignment horizontal="center"/>
    </xf>
    <xf numFmtId="0" fontId="74" fillId="22" borderId="61" applyAlignment="1" pivotButton="0" quotePrefix="0" xfId="0">
      <alignment horizontal="left"/>
    </xf>
    <xf numFmtId="0" fontId="74" fillId="32" borderId="42" applyAlignment="1" pivotButton="0" quotePrefix="0" xfId="0">
      <alignment horizontal="left" indent="12"/>
    </xf>
    <xf numFmtId="0" fontId="74" fillId="32" borderId="10" applyAlignment="1" pivotButton="0" quotePrefix="0" xfId="0">
      <alignment horizontal="left" indent="12"/>
    </xf>
    <xf numFmtId="0" fontId="74" fillId="32" borderId="12" applyAlignment="1" pivotButton="0" quotePrefix="0" xfId="0">
      <alignment horizontal="center"/>
    </xf>
    <xf numFmtId="0" fontId="74" fillId="32" borderId="12" applyAlignment="1" pivotButton="0" quotePrefix="0" xfId="0">
      <alignment horizontal="left" indent="12"/>
    </xf>
    <xf numFmtId="0" fontId="69" fillId="32" borderId="13" applyAlignment="1" pivotButton="0" quotePrefix="0" xfId="0">
      <alignment horizontal="left" indent="7"/>
    </xf>
    <xf numFmtId="0" fontId="74" fillId="32" borderId="36" applyAlignment="1" pivotButton="0" quotePrefix="0" xfId="0">
      <alignment horizontal="center"/>
    </xf>
    <xf numFmtId="0" fontId="74" fillId="32" borderId="25" applyAlignment="1" pivotButton="0" quotePrefix="0" xfId="0">
      <alignment horizontal="left" indent="12"/>
    </xf>
    <xf numFmtId="0" fontId="74" fillId="32" borderId="9" applyAlignment="1" pivotButton="0" quotePrefix="0" xfId="0">
      <alignment horizontal="left" indent="12"/>
    </xf>
    <xf numFmtId="0" fontId="74" fillId="32" borderId="5" applyAlignment="1" pivotButton="0" quotePrefix="0" xfId="0">
      <alignment horizontal="center"/>
    </xf>
    <xf numFmtId="0" fontId="74" fillId="32" borderId="5" applyAlignment="1" pivotButton="0" quotePrefix="0" xfId="0">
      <alignment horizontal="left" indent="12"/>
    </xf>
    <xf numFmtId="0" fontId="69" fillId="32" borderId="6" applyAlignment="1" pivotButton="0" quotePrefix="0" xfId="0">
      <alignment horizontal="left" indent="7"/>
    </xf>
    <xf numFmtId="0" fontId="74" fillId="32" borderId="124" applyAlignment="1" pivotButton="0" quotePrefix="0" xfId="0">
      <alignment horizontal="center"/>
    </xf>
    <xf numFmtId="0" fontId="74" fillId="32" borderId="42" applyAlignment="1" pivotButton="0" quotePrefix="0" xfId="0">
      <alignment horizontal="center"/>
    </xf>
    <xf numFmtId="0" fontId="74" fillId="32" borderId="36" pivotButton="0" quotePrefix="0" xfId="0"/>
    <xf numFmtId="0" fontId="147" fillId="32" borderId="12" applyAlignment="1" pivotButton="0" quotePrefix="0" xfId="0">
      <alignment horizontal="left"/>
    </xf>
    <xf numFmtId="0" fontId="147" fillId="32" borderId="14" applyAlignment="1" pivotButton="0" quotePrefix="0" xfId="0">
      <alignment horizontal="left"/>
    </xf>
    <xf numFmtId="0" fontId="147" fillId="32" borderId="13" applyAlignment="1" pivotButton="0" quotePrefix="0" xfId="0">
      <alignment horizontal="left"/>
    </xf>
    <xf numFmtId="0" fontId="74" fillId="0" borderId="7" applyAlignment="1" pivotButton="0" quotePrefix="0" xfId="0">
      <alignment horizontal="center"/>
    </xf>
    <xf numFmtId="0" fontId="69" fillId="32" borderId="13" pivotButton="0" quotePrefix="0" xfId="0"/>
    <xf numFmtId="0" fontId="69" fillId="32" borderId="12" pivotButton="0" quotePrefix="0" xfId="0"/>
    <xf numFmtId="0" fontId="74" fillId="32" borderId="10" applyAlignment="1" pivotButton="0" quotePrefix="0" xfId="0">
      <alignment horizontal="center"/>
    </xf>
    <xf numFmtId="0" fontId="74" fillId="32" borderId="28" applyAlignment="1" pivotButton="0" quotePrefix="0" xfId="0">
      <alignment horizontal="center"/>
    </xf>
    <xf numFmtId="0" fontId="88" fillId="32" borderId="3" applyAlignment="1" pivotButton="0" quotePrefix="0" xfId="0">
      <alignment horizontal="left"/>
    </xf>
    <xf numFmtId="0" fontId="88" fillId="32" borderId="5" applyAlignment="1" pivotButton="0" quotePrefix="0" xfId="0">
      <alignment horizontal="left"/>
    </xf>
    <xf numFmtId="0" fontId="88" fillId="32" borderId="9" applyAlignment="1" pivotButton="0" quotePrefix="0" xfId="0">
      <alignment horizontal="left"/>
    </xf>
    <xf numFmtId="0" fontId="75" fillId="11" borderId="1" applyAlignment="1" pivotButton="0" quotePrefix="0" xfId="0">
      <alignment horizontal="center"/>
    </xf>
    <xf numFmtId="0" fontId="69" fillId="32" borderId="42" applyAlignment="1" pivotButton="0" quotePrefix="0" xfId="0">
      <alignment horizontal="center"/>
    </xf>
    <xf numFmtId="0" fontId="69" fillId="32" borderId="10" applyAlignment="1" pivotButton="0" quotePrefix="0" xfId="0">
      <alignment horizontal="center"/>
    </xf>
    <xf numFmtId="0" fontId="69" fillId="32" borderId="36" applyAlignment="1" pivotButton="0" quotePrefix="0" xfId="0">
      <alignment horizontal="center"/>
    </xf>
    <xf numFmtId="0" fontId="69" fillId="32" borderId="42" pivotButton="0" quotePrefix="0" xfId="0"/>
    <xf numFmtId="0" fontId="69" fillId="32" borderId="28" pivotButton="0" quotePrefix="0" xfId="0"/>
    <xf numFmtId="0" fontId="69" fillId="22" borderId="2" pivotButton="0" quotePrefix="0" xfId="0"/>
    <xf numFmtId="0" fontId="88" fillId="10" borderId="12" applyAlignment="1" pivotButton="0" quotePrefix="0" xfId="0">
      <alignment horizontal="center"/>
    </xf>
    <xf numFmtId="0" fontId="69" fillId="32" borderId="7" applyAlignment="1" pivotButton="0" quotePrefix="0" xfId="0">
      <alignment horizontal="left" vertical="top"/>
    </xf>
    <xf numFmtId="0" fontId="69" fillId="32" borderId="11" pivotButton="0" quotePrefix="0" xfId="0"/>
    <xf numFmtId="2" fontId="77" fillId="19" borderId="30" applyAlignment="1" pivotButton="0" quotePrefix="0" xfId="0">
      <alignment horizontal="center"/>
    </xf>
    <xf numFmtId="2" fontId="69" fillId="22" borderId="7" applyAlignment="1" pivotButton="0" quotePrefix="0" xfId="0">
      <alignment horizontal="center"/>
    </xf>
    <xf numFmtId="4" fontId="69" fillId="2" borderId="7" applyAlignment="1" pivotButton="0" quotePrefix="0" xfId="0">
      <alignment horizontal="center"/>
    </xf>
    <xf numFmtId="2" fontId="77" fillId="19" borderId="7" applyAlignment="1" pivotButton="0" quotePrefix="0" xfId="0">
      <alignment horizontal="center"/>
    </xf>
    <xf numFmtId="4" fontId="69" fillId="2" borderId="34" applyAlignment="1" pivotButton="0" quotePrefix="0" xfId="0">
      <alignment horizontal="center"/>
    </xf>
    <xf numFmtId="2" fontId="77" fillId="19" borderId="2" applyAlignment="1" pivotButton="0" quotePrefix="0" xfId="0">
      <alignment horizontal="center"/>
    </xf>
    <xf numFmtId="2" fontId="69" fillId="22" borderId="2" applyAlignment="1" pivotButton="0" quotePrefix="0" xfId="0">
      <alignment horizontal="center"/>
    </xf>
    <xf numFmtId="2" fontId="69" fillId="2" borderId="34" applyAlignment="1" pivotButton="0" quotePrefix="0" xfId="0">
      <alignment horizontal="center"/>
    </xf>
    <xf numFmtId="164" fontId="69" fillId="2" borderId="34" applyAlignment="1" pivotButton="0" quotePrefix="0" xfId="0">
      <alignment horizontal="center"/>
    </xf>
    <xf numFmtId="2" fontId="77" fillId="19" borderId="31" applyAlignment="1" pivotButton="0" quotePrefix="0" xfId="0">
      <alignment horizontal="center"/>
    </xf>
    <xf numFmtId="4" fontId="69" fillId="2" borderId="8" applyAlignment="1" pivotButton="0" quotePrefix="0" xfId="0">
      <alignment horizontal="center"/>
    </xf>
    <xf numFmtId="2" fontId="77" fillId="19" borderId="8" applyAlignment="1" pivotButton="0" quotePrefix="0" xfId="0">
      <alignment horizontal="center"/>
    </xf>
    <xf numFmtId="4" fontId="69" fillId="2" borderId="35" applyAlignment="1" pivotButton="0" quotePrefix="0" xfId="0">
      <alignment horizontal="center"/>
    </xf>
    <xf numFmtId="2" fontId="77" fillId="19" borderId="4" applyAlignment="1" pivotButton="0" quotePrefix="0" xfId="0">
      <alignment horizontal="center"/>
    </xf>
    <xf numFmtId="2" fontId="69" fillId="22" borderId="4" applyAlignment="1" pivotButton="0" quotePrefix="0" xfId="0">
      <alignment horizontal="center"/>
    </xf>
    <xf numFmtId="2" fontId="69" fillId="2" borderId="35" applyAlignment="1" pivotButton="0" quotePrefix="0" xfId="0">
      <alignment horizontal="center"/>
    </xf>
    <xf numFmtId="164" fontId="69" fillId="2" borderId="35" applyAlignment="1" pivotButton="0" quotePrefix="0" xfId="0">
      <alignment horizontal="center"/>
    </xf>
    <xf numFmtId="0" fontId="88" fillId="10" borderId="1" applyAlignment="1" pivotButton="0" quotePrefix="0" xfId="0">
      <alignment horizontal="center"/>
    </xf>
    <xf numFmtId="0" fontId="69" fillId="32" borderId="50" applyAlignment="1" pivotButton="0" quotePrefix="0" xfId="0">
      <alignment horizontal="left" vertical="top"/>
    </xf>
    <xf numFmtId="0" fontId="69" fillId="32" borderId="123" pivotButton="0" quotePrefix="0" xfId="0"/>
    <xf numFmtId="2" fontId="77" fillId="19" borderId="32" applyAlignment="1" pivotButton="0" quotePrefix="0" xfId="0">
      <alignment horizontal="center"/>
    </xf>
    <xf numFmtId="2" fontId="69" fillId="22" borderId="33" applyAlignment="1" pivotButton="0" quotePrefix="0" xfId="0">
      <alignment horizontal="center"/>
    </xf>
    <xf numFmtId="4" fontId="69" fillId="2" borderId="33" applyAlignment="1" pivotButton="0" quotePrefix="0" xfId="0">
      <alignment horizontal="center"/>
    </xf>
    <xf numFmtId="2" fontId="77" fillId="19" borderId="33" applyAlignment="1" pivotButton="0" quotePrefix="0" xfId="0">
      <alignment horizontal="center"/>
    </xf>
    <xf numFmtId="4" fontId="69" fillId="2" borderId="54" applyAlignment="1" pivotButton="0" quotePrefix="0" xfId="0">
      <alignment horizontal="center"/>
    </xf>
    <xf numFmtId="2" fontId="77" fillId="19" borderId="125" applyAlignment="1" pivotButton="0" quotePrefix="0" xfId="0">
      <alignment horizontal="center"/>
    </xf>
    <xf numFmtId="2" fontId="69" fillId="22" borderId="125" applyAlignment="1" pivotButton="0" quotePrefix="0" xfId="0">
      <alignment horizontal="center"/>
    </xf>
    <xf numFmtId="2" fontId="69" fillId="2" borderId="54" applyAlignment="1" pivotButton="0" quotePrefix="0" xfId="0">
      <alignment horizontal="center"/>
    </xf>
    <xf numFmtId="164" fontId="69" fillId="2" borderId="54" applyAlignment="1" pivotButton="0" quotePrefix="0" xfId="0">
      <alignment horizontal="center"/>
    </xf>
    <xf numFmtId="0" fontId="134" fillId="22" borderId="11" applyAlignment="1" pivotButton="0" quotePrefix="0" xfId="0">
      <alignment horizontal="center"/>
    </xf>
    <xf numFmtId="0" fontId="69" fillId="22" borderId="0" applyAlignment="1" pivotButton="0" quotePrefix="0" xfId="0">
      <alignment horizontal="left" vertical="top"/>
    </xf>
    <xf numFmtId="0" fontId="69" fillId="22" borderId="6" pivotButton="0" quotePrefix="0" xfId="0"/>
    <xf numFmtId="0" fontId="134" fillId="22" borderId="0" applyAlignment="1" pivotButton="0" quotePrefix="0" xfId="0">
      <alignment horizontal="center"/>
    </xf>
    <xf numFmtId="0" fontId="74" fillId="32" borderId="0" applyAlignment="1" pivotButton="0" quotePrefix="0" xfId="0">
      <alignment horizontal="center"/>
    </xf>
    <xf numFmtId="2" fontId="69" fillId="32" borderId="0" applyAlignment="1" pivotButton="0" quotePrefix="0" xfId="0">
      <alignment horizontal="center"/>
    </xf>
    <xf numFmtId="0" fontId="70" fillId="32" borderId="0" pivotButton="0" quotePrefix="0" xfId="0"/>
    <xf numFmtId="0" fontId="146" fillId="32" borderId="0" applyAlignment="1" pivotButton="0" quotePrefix="0" xfId="0">
      <alignment horizontal="center"/>
    </xf>
    <xf numFmtId="0" fontId="74" fillId="32" borderId="0" applyAlignment="1" pivotButton="0" quotePrefix="0" xfId="0">
      <alignment horizontal="left" indent="1"/>
    </xf>
    <xf numFmtId="0" fontId="74" fillId="19" borderId="0" pivotButton="0" quotePrefix="0" xfId="0"/>
    <xf numFmtId="2" fontId="74" fillId="32" borderId="0" applyAlignment="1" pivotButton="0" quotePrefix="0" xfId="0">
      <alignment horizontal="center"/>
    </xf>
    <xf numFmtId="0" fontId="74" fillId="11" borderId="0" applyAlignment="1" pivotButton="0" quotePrefix="0" xfId="0">
      <alignment horizontal="center"/>
    </xf>
    <xf numFmtId="0" fontId="74" fillId="32" borderId="0" applyAlignment="1" pivotButton="0" quotePrefix="0" xfId="0">
      <alignment horizontal="left" indent="2"/>
    </xf>
    <xf numFmtId="0" fontId="74" fillId="32" borderId="0" applyAlignment="1" pivotButton="0" quotePrefix="0" xfId="0">
      <alignment horizontal="left"/>
    </xf>
    <xf numFmtId="0" fontId="69" fillId="19" borderId="0" pivotButton="0" quotePrefix="0" xfId="0"/>
    <xf numFmtId="0" fontId="70" fillId="32" borderId="0" applyAlignment="1" pivotButton="0" quotePrefix="0" xfId="0">
      <alignment horizontal="center"/>
    </xf>
    <xf numFmtId="0" fontId="56" fillId="32" borderId="0" pivotButton="0" quotePrefix="0" xfId="0"/>
    <xf numFmtId="0" fontId="69" fillId="10" borderId="0" applyAlignment="1" pivotButton="0" quotePrefix="0" xfId="0">
      <alignment horizontal="left"/>
    </xf>
    <xf numFmtId="1" fontId="88" fillId="12" borderId="14" applyAlignment="1" pivotButton="0" quotePrefix="0" xfId="0">
      <alignment horizontal="left"/>
    </xf>
    <xf numFmtId="1" fontId="88" fillId="12" borderId="14" applyAlignment="1" pivotButton="0" quotePrefix="0" xfId="0">
      <alignment horizontal="center"/>
    </xf>
    <xf numFmtId="2" fontId="69" fillId="2" borderId="73" applyAlignment="1" pivotButton="0" quotePrefix="0" xfId="0">
      <alignment horizontal="center"/>
    </xf>
    <xf numFmtId="3" fontId="70" fillId="2" borderId="126" applyAlignment="1" pivotButton="0" quotePrefix="0" xfId="0">
      <alignment horizontal="center" vertical="center" wrapText="1"/>
    </xf>
    <xf numFmtId="3" fontId="70" fillId="2" borderId="89" applyAlignment="1" pivotButton="0" quotePrefix="0" xfId="0">
      <alignment horizontal="center" vertical="center" wrapText="1"/>
    </xf>
    <xf numFmtId="3" fontId="70" fillId="2" borderId="127" applyAlignment="1" pivotButton="0" quotePrefix="0" xfId="0">
      <alignment horizontal="center" vertical="center" wrapText="1"/>
    </xf>
    <xf numFmtId="3" fontId="70" fillId="2" borderId="73" applyAlignment="1" pivotButton="0" quotePrefix="0" xfId="0">
      <alignment horizontal="center"/>
    </xf>
    <xf numFmtId="2" fontId="69" fillId="2" borderId="74" applyAlignment="1" pivotButton="0" quotePrefix="0" xfId="0">
      <alignment horizontal="center"/>
    </xf>
    <xf numFmtId="2" fontId="69" fillId="22" borderId="0" applyAlignment="1" pivotButton="0" quotePrefix="0" xfId="0">
      <alignment horizontal="left"/>
    </xf>
    <xf numFmtId="0" fontId="74" fillId="25" borderId="0" applyAlignment="1" pivotButton="0" quotePrefix="0" xfId="0">
      <alignment horizontal="left" indent="16"/>
    </xf>
    <xf numFmtId="0" fontId="69" fillId="8" borderId="0" applyAlignment="1" pivotButton="0" quotePrefix="0" xfId="0">
      <alignment horizontal="left"/>
    </xf>
    <xf numFmtId="0" fontId="69" fillId="8" borderId="0" applyAlignment="1" pivotButton="0" quotePrefix="0" xfId="0">
      <alignment horizontal="center"/>
    </xf>
    <xf numFmtId="0" fontId="77" fillId="39" borderId="0" applyAlignment="1" pivotButton="0" quotePrefix="0" xfId="0">
      <alignment horizontal="left"/>
    </xf>
    <xf numFmtId="0" fontId="77" fillId="39" borderId="0" applyAlignment="1" pivotButton="0" quotePrefix="0" xfId="0">
      <alignment horizontal="center"/>
    </xf>
    <xf numFmtId="0" fontId="74" fillId="9" borderId="0" applyAlignment="1" pivotButton="0" quotePrefix="0" xfId="0">
      <alignment horizontal="center"/>
    </xf>
    <xf numFmtId="0" fontId="88" fillId="16" borderId="0" applyAlignment="1" pivotButton="0" quotePrefix="0" xfId="0">
      <alignment horizontal="left" indent="1"/>
    </xf>
    <xf numFmtId="0" fontId="88" fillId="16" borderId="0" applyAlignment="1" pivotButton="0" quotePrefix="0" xfId="0">
      <alignment horizontal="left"/>
    </xf>
    <xf numFmtId="0" fontId="88" fillId="17" borderId="0" applyAlignment="1" pivotButton="0" quotePrefix="0" xfId="0">
      <alignment horizontal="left" indent="4"/>
    </xf>
    <xf numFmtId="0" fontId="88" fillId="17" borderId="0" applyAlignment="1" pivotButton="0" quotePrefix="0" xfId="0">
      <alignment horizontal="center"/>
    </xf>
    <xf numFmtId="0" fontId="243" fillId="39" borderId="0" applyAlignment="1" pivotButton="0" quotePrefix="0" xfId="0">
      <alignment horizontal="left" indent="1"/>
    </xf>
    <xf numFmtId="0" fontId="243" fillId="39" borderId="0" applyAlignment="1" pivotButton="0" quotePrefix="0" xfId="0">
      <alignment horizontal="center"/>
    </xf>
    <xf numFmtId="0" fontId="74" fillId="9" borderId="0" applyAlignment="1" pivotButton="0" quotePrefix="0" xfId="0">
      <alignment horizontal="left"/>
    </xf>
    <xf numFmtId="3" fontId="70" fillId="2" borderId="72" applyAlignment="1" pivotButton="0" quotePrefix="0" xfId="0">
      <alignment horizontal="center"/>
    </xf>
    <xf numFmtId="3" fontId="70" fillId="2" borderId="74" applyAlignment="1" pivotButton="0" quotePrefix="0" xfId="0">
      <alignment horizontal="center"/>
    </xf>
    <xf numFmtId="3" fontId="70" fillId="2" borderId="71" applyAlignment="1" pivotButton="0" quotePrefix="0" xfId="0">
      <alignment horizontal="center"/>
    </xf>
    <xf numFmtId="0" fontId="74" fillId="8" borderId="0" applyAlignment="1" pivotButton="0" quotePrefix="0" xfId="0">
      <alignment horizontal="left"/>
    </xf>
    <xf numFmtId="0" fontId="70" fillId="22" borderId="21" pivotButton="0" quotePrefix="0" xfId="0"/>
    <xf numFmtId="0" fontId="228" fillId="36" borderId="0" applyAlignment="1" pivotButton="0" quotePrefix="0" xfId="0">
      <alignment horizontal="left" vertical="center"/>
    </xf>
    <xf numFmtId="2" fontId="69" fillId="22" borderId="11" applyAlignment="1" pivotButton="0" quotePrefix="0" xfId="0">
      <alignment horizontal="center"/>
    </xf>
    <xf numFmtId="0" fontId="31" fillId="6" borderId="1" applyAlignment="1" pivotButton="0" quotePrefix="0" xfId="0">
      <alignment horizontal="center"/>
    </xf>
    <xf numFmtId="0" fontId="31" fillId="6" borderId="11" applyAlignment="1" pivotButton="0" quotePrefix="0" xfId="0">
      <alignment horizontal="center"/>
    </xf>
    <xf numFmtId="0" fontId="111" fillId="6" borderId="11" applyAlignment="1" pivotButton="0" quotePrefix="0" xfId="0">
      <alignment horizontal="center"/>
    </xf>
    <xf numFmtId="0" fontId="4" fillId="6" borderId="3" applyAlignment="1" pivotButton="0" quotePrefix="0" xfId="0">
      <alignment horizontal="center"/>
    </xf>
    <xf numFmtId="0" fontId="6" fillId="6" borderId="3" applyAlignment="1" pivotButton="0" quotePrefix="0" xfId="0">
      <alignment horizontal="center"/>
    </xf>
    <xf numFmtId="0" fontId="4" fillId="6" borderId="11" pivotButton="0" quotePrefix="0" xfId="0"/>
    <xf numFmtId="0" fontId="167" fillId="10" borderId="21" applyAlignment="1" pivotButton="0" quotePrefix="0" xfId="0">
      <alignment horizontal="left" vertical="center" indent="12"/>
    </xf>
    <xf numFmtId="0" fontId="3" fillId="2" borderId="12" pivotButton="0" quotePrefix="0" xfId="0"/>
    <xf numFmtId="168" fontId="89" fillId="19" borderId="0" applyAlignment="1" pivotButton="0" quotePrefix="0" xfId="0">
      <alignment horizontal="center"/>
    </xf>
    <xf numFmtId="168" fontId="0" fillId="2" borderId="0" applyAlignment="1" pivotButton="0" quotePrefix="0" xfId="0">
      <alignment horizontal="center"/>
    </xf>
    <xf numFmtId="0" fontId="3" fillId="3" borderId="21" pivotButton="0" quotePrefix="0" xfId="0"/>
    <xf numFmtId="0" fontId="136" fillId="36" borderId="0" applyAlignment="1" pivotButton="0" quotePrefix="0" xfId="0">
      <alignment vertical="center"/>
    </xf>
    <xf numFmtId="3" fontId="56" fillId="6" borderId="0" applyAlignment="1" pivotButton="0" quotePrefix="0" xfId="0">
      <alignment horizontal="center"/>
    </xf>
    <xf numFmtId="0" fontId="56" fillId="6" borderId="0" applyAlignment="1" pivotButton="0" quotePrefix="0" xfId="0">
      <alignment horizontal="right"/>
    </xf>
    <xf numFmtId="0" fontId="214" fillId="10" borderId="0" applyAlignment="1" pivotButton="0" quotePrefix="0" xfId="0">
      <alignment horizontal="left" indent="4"/>
    </xf>
    <xf numFmtId="0" fontId="176" fillId="10" borderId="0" applyAlignment="1" pivotButton="0" quotePrefix="0" xfId="0">
      <alignment horizontal="right"/>
    </xf>
    <xf numFmtId="0" fontId="150" fillId="10" borderId="0" applyAlignment="1" pivotButton="0" quotePrefix="0" xfId="0">
      <alignment horizontal="center" vertical="center"/>
    </xf>
    <xf numFmtId="0" fontId="162" fillId="10" borderId="0" applyAlignment="1" pivotButton="0" quotePrefix="0" xfId="0">
      <alignment horizontal="center"/>
    </xf>
    <xf numFmtId="0" fontId="162" fillId="10" borderId="0" applyAlignment="1" pivotButton="0" quotePrefix="0" xfId="0">
      <alignment horizontal="left" indent="4"/>
    </xf>
    <xf numFmtId="0" fontId="162" fillId="10" borderId="0" applyAlignment="1" pivotButton="0" quotePrefix="0" xfId="0">
      <alignment horizontal="left" indent="25"/>
    </xf>
    <xf numFmtId="0" fontId="186" fillId="10" borderId="0" applyAlignment="1" pivotButton="0" quotePrefix="1" xfId="3">
      <alignment horizontal="center"/>
    </xf>
    <xf numFmtId="0" fontId="213" fillId="10" borderId="0" pivotButton="0" quotePrefix="0" xfId="0"/>
    <xf numFmtId="0" fontId="176" fillId="10" borderId="0" pivotButton="0" quotePrefix="0" xfId="0"/>
    <xf numFmtId="0" fontId="162" fillId="10" borderId="0" applyAlignment="1" pivotButton="0" quotePrefix="0" xfId="0">
      <alignment horizontal="left" indent="3"/>
    </xf>
    <xf numFmtId="0" fontId="176" fillId="10" borderId="0" applyAlignment="1" pivotButton="0" quotePrefix="0" xfId="0">
      <alignment horizontal="left" indent="3"/>
    </xf>
    <xf numFmtId="0" fontId="162" fillId="10" borderId="0" applyAlignment="1" pivotButton="0" quotePrefix="0" xfId="0">
      <alignment horizontal="left"/>
    </xf>
    <xf numFmtId="0" fontId="162" fillId="10" borderId="0" applyAlignment="1" pivotButton="0" quotePrefix="0" xfId="0">
      <alignment horizontal="left" indent="8"/>
    </xf>
    <xf numFmtId="0" fontId="217" fillId="10" borderId="0" applyAlignment="1" pivotButton="0" quotePrefix="0" xfId="0">
      <alignment horizontal="left"/>
    </xf>
    <xf numFmtId="0" fontId="176" fillId="10" borderId="0" applyAlignment="1" pivotButton="0" quotePrefix="0" xfId="0">
      <alignment horizontal="left"/>
    </xf>
    <xf numFmtId="0" fontId="176" fillId="10" borderId="0" applyAlignment="1" pivotButton="0" quotePrefix="0" xfId="0">
      <alignment horizontal="center"/>
    </xf>
    <xf numFmtId="0" fontId="214" fillId="10" borderId="0" applyAlignment="1" pivotButton="0" quotePrefix="0" xfId="0">
      <alignment horizontal="center"/>
    </xf>
    <xf numFmtId="0" fontId="162" fillId="10" borderId="0" applyAlignment="1" pivotButton="0" quotePrefix="0" xfId="0">
      <alignment horizontal="left" indent="1"/>
    </xf>
    <xf numFmtId="0" fontId="213" fillId="10" borderId="0" applyAlignment="1" pivotButton="0" quotePrefix="0" xfId="0">
      <alignment horizontal="center"/>
    </xf>
    <xf numFmtId="0" fontId="214" fillId="10" borderId="0" applyAlignment="1" pivotButton="0" quotePrefix="0" xfId="0">
      <alignment horizontal="left" indent="1"/>
    </xf>
    <xf numFmtId="3" fontId="214" fillId="10" borderId="0" applyAlignment="1" pivotButton="0" quotePrefix="0" xfId="0">
      <alignment horizontal="center"/>
    </xf>
    <xf numFmtId="3" fontId="160" fillId="10" borderId="0" applyAlignment="1" pivotButton="0" quotePrefix="0" xfId="0">
      <alignment horizontal="center"/>
    </xf>
    <xf numFmtId="0" fontId="176" fillId="10" borderId="0" applyAlignment="1" pivotButton="0" quotePrefix="0" xfId="0">
      <alignment horizontal="left" indent="1"/>
    </xf>
    <xf numFmtId="2" fontId="214" fillId="10" borderId="0" applyAlignment="1" pivotButton="0" quotePrefix="0" xfId="0">
      <alignment horizontal="center"/>
    </xf>
    <xf numFmtId="3" fontId="150" fillId="10" borderId="0" applyAlignment="1" pivotButton="0" quotePrefix="0" xfId="0">
      <alignment horizontal="center"/>
    </xf>
    <xf numFmtId="3" fontId="176" fillId="10" borderId="0" applyAlignment="1" pivotButton="0" quotePrefix="0" xfId="0">
      <alignment horizontal="center"/>
    </xf>
    <xf numFmtId="0" fontId="150" fillId="10" borderId="0" applyAlignment="1" pivotButton="0" quotePrefix="0" xfId="0">
      <alignment horizontal="left"/>
    </xf>
    <xf numFmtId="3" fontId="150" fillId="10" borderId="0" applyAlignment="1" pivotButton="0" quotePrefix="0" xfId="0">
      <alignment horizontal="center" vertical="center"/>
    </xf>
    <xf numFmtId="0" fontId="222" fillId="10" borderId="0" applyAlignment="1" pivotButton="0" quotePrefix="0" xfId="0">
      <alignment horizontal="left"/>
    </xf>
    <xf numFmtId="0" fontId="176" fillId="10" borderId="0" applyAlignment="1" pivotButton="0" quotePrefix="0" xfId="0">
      <alignment horizontal="left" indent="8"/>
    </xf>
    <xf numFmtId="0" fontId="160" fillId="10" borderId="0" applyAlignment="1" pivotButton="0" quotePrefix="0" xfId="0">
      <alignment horizontal="left"/>
    </xf>
    <xf numFmtId="0" fontId="176" fillId="10" borderId="0" applyAlignment="1" pivotButton="0" quotePrefix="0" xfId="0">
      <alignment horizontal="center" vertical="center"/>
    </xf>
    <xf numFmtId="9" fontId="150" fillId="10" borderId="0" applyAlignment="1" pivotButton="0" quotePrefix="0" xfId="6">
      <alignment horizontal="center" vertical="center"/>
    </xf>
    <xf numFmtId="0" fontId="150" fillId="10" borderId="0" applyAlignment="1" pivotButton="0" quotePrefix="0" xfId="0">
      <alignment vertical="center"/>
    </xf>
    <xf numFmtId="0" fontId="173" fillId="10" borderId="0" applyAlignment="1" pivotButton="0" quotePrefix="0" xfId="0">
      <alignment vertical="center"/>
    </xf>
    <xf numFmtId="0" fontId="173" fillId="10" borderId="0" applyAlignment="1" pivotButton="0" quotePrefix="0" xfId="0">
      <alignment horizontal="center" vertical="center"/>
    </xf>
    <xf numFmtId="9" fontId="176" fillId="10" borderId="0" applyAlignment="1" pivotButton="0" quotePrefix="0" xfId="6">
      <alignment horizontal="center" vertical="center"/>
    </xf>
    <xf numFmtId="0" fontId="176" fillId="10" borderId="0" applyAlignment="1" pivotButton="0" quotePrefix="0" xfId="0">
      <alignment horizontal="left" vertical="center"/>
    </xf>
    <xf numFmtId="170" fontId="150" fillId="10" borderId="0" applyAlignment="1" pivotButton="0" quotePrefix="0" xfId="0">
      <alignment horizontal="center" vertical="center"/>
    </xf>
    <xf numFmtId="0" fontId="173" fillId="10" borderId="0" pivotButton="0" quotePrefix="0" xfId="0"/>
    <xf numFmtId="166" fontId="150" fillId="10" borderId="0" applyAlignment="1" pivotButton="0" quotePrefix="0" xfId="0">
      <alignment horizontal="center"/>
    </xf>
    <xf numFmtId="166" fontId="161" fillId="10" borderId="0" applyAlignment="1" pivotButton="0" quotePrefix="0" xfId="0">
      <alignment horizontal="center"/>
    </xf>
    <xf numFmtId="0" fontId="174" fillId="10" borderId="21" pivotButton="0" quotePrefix="0" xfId="0"/>
    <xf numFmtId="170" fontId="150" fillId="10" borderId="0" applyAlignment="1" pivotButton="0" quotePrefix="0" xfId="0">
      <alignment horizontal="center"/>
    </xf>
    <xf numFmtId="0" fontId="150" fillId="10" borderId="0" applyAlignment="1" pivotButton="0" quotePrefix="0" xfId="0">
      <alignment horizontal="right"/>
    </xf>
    <xf numFmtId="9" fontId="150" fillId="10" borderId="0" applyAlignment="1" pivotButton="0" quotePrefix="0" xfId="0">
      <alignment horizontal="center"/>
    </xf>
    <xf numFmtId="0" fontId="172" fillId="10" borderId="0" applyAlignment="1" pivotButton="0" quotePrefix="0" xfId="0">
      <alignment horizontal="left"/>
    </xf>
    <xf numFmtId="0" fontId="171" fillId="10" borderId="0" applyAlignment="1" pivotButton="0" quotePrefix="0" xfId="0">
      <alignment horizontal="left"/>
    </xf>
    <xf numFmtId="0" fontId="174" fillId="10" borderId="21" applyAlignment="1" pivotButton="0" quotePrefix="0" xfId="0">
      <alignment horizontal="left"/>
    </xf>
    <xf numFmtId="0" fontId="176" fillId="10" borderId="21" applyAlignment="1" pivotButton="0" quotePrefix="0" xfId="0">
      <alignment horizontal="center"/>
    </xf>
    <xf numFmtId="0" fontId="176" fillId="10" borderId="21" applyAlignment="1" pivotButton="0" quotePrefix="0" xfId="0">
      <alignment horizontal="left"/>
    </xf>
    <xf numFmtId="3" fontId="174" fillId="10" borderId="21" applyAlignment="1" pivotButton="0" quotePrefix="0" xfId="0">
      <alignment horizontal="left"/>
    </xf>
    <xf numFmtId="0" fontId="150" fillId="10" borderId="21" applyAlignment="1" pivotButton="0" quotePrefix="0" xfId="0">
      <alignment horizontal="center"/>
    </xf>
    <xf numFmtId="4" fontId="176" fillId="10" borderId="0" applyAlignment="1" pivotButton="0" quotePrefix="0" xfId="0">
      <alignment horizontal="center"/>
    </xf>
    <xf numFmtId="168" fontId="150" fillId="10" borderId="0" applyAlignment="1" pivotButton="0" quotePrefix="0" xfId="0">
      <alignment horizontal="center" vertical="center"/>
    </xf>
    <xf numFmtId="9" fontId="176" fillId="10" borderId="0" applyAlignment="1" pivotButton="0" quotePrefix="0" xfId="6">
      <alignment horizontal="center"/>
    </xf>
    <xf numFmtId="0" fontId="171" fillId="10" borderId="0" pivotButton="0" quotePrefix="0" xfId="0"/>
    <xf numFmtId="0" fontId="216" fillId="10" borderId="0" applyAlignment="1" pivotButton="0" quotePrefix="0" xfId="0">
      <alignment horizontal="left" vertical="center" indent="1"/>
    </xf>
    <xf numFmtId="0" fontId="167" fillId="10" borderId="0" applyAlignment="1" pivotButton="0" quotePrefix="0" xfId="0">
      <alignment horizontal="left" vertical="top" indent="12"/>
    </xf>
    <xf numFmtId="0" fontId="215" fillId="10" borderId="0" applyAlignment="1" pivotButton="0" quotePrefix="0" xfId="0">
      <alignment horizontal="left" vertical="top" indent="60"/>
    </xf>
    <xf numFmtId="0" fontId="218" fillId="10" borderId="0" applyAlignment="1" pivotButton="0" quotePrefix="0" xfId="0">
      <alignment horizontal="left"/>
    </xf>
    <xf numFmtId="0" fontId="219" fillId="10" borderId="0" applyAlignment="1" pivotButton="0" quotePrefix="0" xfId="0">
      <alignment horizontal="left" vertical="center" indent="57"/>
    </xf>
    <xf numFmtId="0" fontId="220" fillId="10" borderId="21" pivotButton="0" quotePrefix="0" xfId="0"/>
    <xf numFmtId="0" fontId="221" fillId="10" borderId="21" applyAlignment="1" pivotButton="0" quotePrefix="0" xfId="0">
      <alignment horizontal="left" vertical="center"/>
    </xf>
    <xf numFmtId="0" fontId="158" fillId="10" borderId="21" applyAlignment="1" pivotButton="0" quotePrefix="0" xfId="0">
      <alignment horizontal="left" vertical="center" indent="57"/>
    </xf>
    <xf numFmtId="0" fontId="161" fillId="10" borderId="21" applyAlignment="1" pivotButton="0" quotePrefix="0" xfId="0">
      <alignment horizontal="left" vertical="center"/>
    </xf>
    <xf numFmtId="0" fontId="176" fillId="10" borderId="21" applyAlignment="1" pivotButton="0" quotePrefix="0" xfId="0">
      <alignment horizontal="left" vertical="top" indent="4"/>
    </xf>
    <xf numFmtId="0" fontId="176" fillId="10" borderId="0" applyAlignment="1" pivotButton="0" quotePrefix="0" xfId="0">
      <alignment horizontal="left" vertical="top" indent="2"/>
    </xf>
    <xf numFmtId="0" fontId="219" fillId="10" borderId="0" applyAlignment="1" pivotButton="0" quotePrefix="0" xfId="0">
      <alignment horizontal="left" vertical="top"/>
    </xf>
    <xf numFmtId="0" fontId="162" fillId="10" borderId="0" applyAlignment="1" pivotButton="0" quotePrefix="0" xfId="0">
      <alignment horizontal="right"/>
    </xf>
    <xf numFmtId="0" fontId="210" fillId="10" borderId="0" pivotButton="0" quotePrefix="0" xfId="0"/>
    <xf numFmtId="4" fontId="223" fillId="10" borderId="0" pivotButton="0" quotePrefix="0" xfId="0"/>
    <xf numFmtId="0" fontId="224" fillId="10" borderId="0" applyAlignment="1" pivotButton="0" quotePrefix="0" xfId="0">
      <alignment horizontal="left"/>
    </xf>
    <xf numFmtId="0" fontId="164" fillId="10" borderId="0" applyAlignment="1" pivotButton="0" quotePrefix="0" xfId="0">
      <alignment horizontal="center" vertical="center"/>
    </xf>
    <xf numFmtId="0" fontId="161" fillId="10" borderId="0" applyAlignment="1" pivotButton="0" quotePrefix="0" xfId="0">
      <alignment vertical="top"/>
    </xf>
    <xf numFmtId="0" fontId="69" fillId="0" borderId="21" pivotButton="0" quotePrefix="0" xfId="0"/>
    <xf numFmtId="0" fontId="132" fillId="19" borderId="0" applyAlignment="1" pivotButton="0" quotePrefix="0" xfId="0">
      <alignment vertical="center"/>
    </xf>
    <xf numFmtId="0" fontId="69" fillId="0" borderId="4" pivotButton="0" quotePrefix="0" xfId="0"/>
    <xf numFmtId="0" fontId="245" fillId="36" borderId="0" applyAlignment="1" pivotButton="0" quotePrefix="0" xfId="0">
      <alignment horizontal="left"/>
    </xf>
    <xf numFmtId="164" fontId="55" fillId="22" borderId="4" applyAlignment="1" pivotButton="0" quotePrefix="0" xfId="0">
      <alignment horizontal="center"/>
    </xf>
    <xf numFmtId="0" fontId="0" fillId="2" borderId="66" pivotButton="0" quotePrefix="0" xfId="0"/>
    <xf numFmtId="0" fontId="0" fillId="2" borderId="72" pivotButton="0" quotePrefix="0" xfId="0"/>
    <xf numFmtId="0" fontId="0" fillId="2" borderId="67" pivotButton="0" quotePrefix="0" xfId="0"/>
    <xf numFmtId="0" fontId="0" fillId="2" borderId="68" pivotButton="0" quotePrefix="0" xfId="0"/>
    <xf numFmtId="0" fontId="0" fillId="2" borderId="73" pivotButton="0" quotePrefix="0" xfId="0"/>
    <xf numFmtId="0" fontId="0" fillId="2" borderId="69" pivotButton="0" quotePrefix="0" xfId="0"/>
    <xf numFmtId="0" fontId="37" fillId="2" borderId="73" pivotButton="0" quotePrefix="0" xfId="0"/>
    <xf numFmtId="0" fontId="0" fillId="2" borderId="70" pivotButton="0" quotePrefix="0" xfId="0"/>
    <xf numFmtId="0" fontId="0" fillId="2" borderId="74" pivotButton="0" quotePrefix="0" xfId="0"/>
    <xf numFmtId="0" fontId="0" fillId="2" borderId="71" pivotButton="0" quotePrefix="0" xfId="0"/>
    <xf numFmtId="0" fontId="97" fillId="36" borderId="73" applyAlignment="1" pivotButton="0" quotePrefix="0" xfId="0">
      <alignment horizontal="left"/>
    </xf>
    <xf numFmtId="0" fontId="74" fillId="28" borderId="7" applyAlignment="1" pivotButton="0" quotePrefix="0" xfId="0">
      <alignment horizontal="left" indent="16"/>
    </xf>
    <xf numFmtId="0" fontId="74" fillId="28" borderId="8" applyAlignment="1" pivotButton="0" quotePrefix="0" xfId="0">
      <alignment horizontal="center"/>
    </xf>
    <xf numFmtId="0" fontId="74" fillId="28" borderId="9" applyAlignment="1" pivotButton="0" quotePrefix="0" xfId="0">
      <alignment horizontal="center"/>
    </xf>
    <xf numFmtId="0" fontId="69" fillId="28" borderId="3" applyAlignment="1" pivotButton="0" quotePrefix="0" xfId="0">
      <alignment horizontal="left"/>
    </xf>
    <xf numFmtId="0" fontId="69" fillId="28" borderId="5" applyAlignment="1" pivotButton="0" quotePrefix="0" xfId="0">
      <alignment horizontal="left"/>
    </xf>
    <xf numFmtId="0" fontId="56" fillId="10" borderId="2" applyAlignment="1" pivotButton="0" quotePrefix="0" xfId="0">
      <alignment vertical="center"/>
    </xf>
    <xf numFmtId="0" fontId="70" fillId="10" borderId="0" applyAlignment="1" pivotButton="0" quotePrefix="0" xfId="0">
      <alignment horizontal="center"/>
    </xf>
    <xf numFmtId="0" fontId="70" fillId="10" borderId="0" pivotButton="0" quotePrefix="0" xfId="0"/>
    <xf numFmtId="0" fontId="70" fillId="10" borderId="7" pivotButton="0" quotePrefix="0" xfId="0"/>
    <xf numFmtId="0" fontId="70" fillId="10" borderId="8" pivotButton="0" quotePrefix="0" xfId="0"/>
    <xf numFmtId="0" fontId="70" fillId="10" borderId="9" pivotButton="0" quotePrefix="0" xfId="0"/>
    <xf numFmtId="0" fontId="56" fillId="10" borderId="1" applyAlignment="1" pivotButton="0" quotePrefix="0" xfId="0">
      <alignment vertical="center"/>
    </xf>
    <xf numFmtId="0" fontId="56" fillId="10" borderId="11" applyAlignment="1" pivotButton="0" quotePrefix="0" xfId="0">
      <alignment vertical="center"/>
    </xf>
    <xf numFmtId="0" fontId="74" fillId="10" borderId="3" applyAlignment="1" pivotButton="0" quotePrefix="0" xfId="0">
      <alignment horizontal="center"/>
    </xf>
    <xf numFmtId="0" fontId="56" fillId="10" borderId="0" applyAlignment="1" pivotButton="0" quotePrefix="0" xfId="0">
      <alignment horizontal="center"/>
    </xf>
    <xf numFmtId="0" fontId="74" fillId="10" borderId="5" applyAlignment="1" pivotButton="0" quotePrefix="0" xfId="0">
      <alignment horizontal="center"/>
    </xf>
    <xf numFmtId="0" fontId="74" fillId="10" borderId="21" applyAlignment="1" pivotButton="0" quotePrefix="0" xfId="0">
      <alignment horizontal="center"/>
    </xf>
    <xf numFmtId="0" fontId="69" fillId="10" borderId="21" applyAlignment="1" pivotButton="0" quotePrefix="0" xfId="0">
      <alignment horizontal="left"/>
    </xf>
    <xf numFmtId="164" fontId="69" fillId="2" borderId="89" applyAlignment="1" pivotButton="0" quotePrefix="0" xfId="0">
      <alignment horizontal="center"/>
    </xf>
    <xf numFmtId="2" fontId="69" fillId="2" borderId="89" applyAlignment="1" pivotButton="0" quotePrefix="0" xfId="0">
      <alignment horizontal="center"/>
    </xf>
    <xf numFmtId="168" fontId="69" fillId="2" borderId="89" applyAlignment="1" pivotButton="0" quotePrefix="0" xfId="0">
      <alignment horizontal="center"/>
    </xf>
    <xf numFmtId="164" fontId="69" fillId="2" borderId="94" applyAlignment="1" pivotButton="0" quotePrefix="0" xfId="0">
      <alignment horizontal="center"/>
    </xf>
    <xf numFmtId="2" fontId="69" fillId="2" borderId="94" applyAlignment="1" pivotButton="0" quotePrefix="0" xfId="0">
      <alignment horizontal="center"/>
    </xf>
    <xf numFmtId="168" fontId="69" fillId="2" borderId="94" applyAlignment="1" pivotButton="0" quotePrefix="0" xfId="0">
      <alignment horizontal="center"/>
    </xf>
    <xf numFmtId="164" fontId="69" fillId="21" borderId="90" applyAlignment="1" pivotButton="0" quotePrefix="0" xfId="0">
      <alignment horizontal="center"/>
    </xf>
    <xf numFmtId="164" fontId="69" fillId="21" borderId="92" applyAlignment="1" pivotButton="0" quotePrefix="0" xfId="0">
      <alignment horizontal="center"/>
    </xf>
    <xf numFmtId="164" fontId="69" fillId="21" borderId="95" applyAlignment="1" pivotButton="0" quotePrefix="0" xfId="0">
      <alignment horizontal="center"/>
    </xf>
    <xf numFmtId="0" fontId="74" fillId="41" borderId="14" applyAlignment="1" pivotButton="0" quotePrefix="0" xfId="0">
      <alignment horizontal="left" vertical="center" indent="2"/>
    </xf>
    <xf numFmtId="0" fontId="69" fillId="41" borderId="14" pivotButton="0" quotePrefix="0" xfId="0"/>
    <xf numFmtId="0" fontId="69" fillId="41" borderId="13" pivotButton="0" quotePrefix="0" xfId="0"/>
    <xf numFmtId="0" fontId="74" fillId="41" borderId="12" applyAlignment="1" pivotButton="0" quotePrefix="0" xfId="0">
      <alignment horizontal="center"/>
    </xf>
    <xf numFmtId="0" fontId="74" fillId="41" borderId="12" applyAlignment="1" pivotButton="0" quotePrefix="0" xfId="0">
      <alignment horizontal="left" indent="2"/>
    </xf>
    <xf numFmtId="0" fontId="74" fillId="41" borderId="10" applyAlignment="1" pivotButton="0" quotePrefix="0" xfId="0">
      <alignment horizontal="left" indent="2"/>
    </xf>
    <xf numFmtId="0" fontId="88" fillId="41" borderId="12" applyAlignment="1" pivotButton="0" quotePrefix="0" xfId="0">
      <alignment horizontal="left" vertical="center"/>
    </xf>
    <xf numFmtId="0" fontId="88" fillId="41" borderId="10" applyAlignment="1" pivotButton="0" quotePrefix="0" xfId="0">
      <alignment horizontal="left" vertical="center"/>
    </xf>
    <xf numFmtId="0" fontId="88" fillId="41" borderId="7" applyAlignment="1" pivotButton="0" quotePrefix="0" xfId="0">
      <alignment horizontal="center" vertical="center" wrapText="1"/>
    </xf>
    <xf numFmtId="0" fontId="56" fillId="41" borderId="5" applyAlignment="1" pivotButton="0" quotePrefix="0" xfId="0">
      <alignment horizontal="left" indent="6"/>
    </xf>
    <xf numFmtId="0" fontId="56" fillId="41" borderId="6" applyAlignment="1" pivotButton="0" quotePrefix="0" xfId="0">
      <alignment horizontal="left" indent="3"/>
    </xf>
    <xf numFmtId="0" fontId="69" fillId="41" borderId="6" pivotButton="0" quotePrefix="0" xfId="0"/>
    <xf numFmtId="0" fontId="56" fillId="41" borderId="2" applyAlignment="1" pivotButton="0" quotePrefix="0" xfId="0">
      <alignment horizontal="center"/>
    </xf>
    <xf numFmtId="0" fontId="79" fillId="41" borderId="10" applyAlignment="1" pivotButton="0" quotePrefix="0" xfId="0">
      <alignment horizontal="center"/>
    </xf>
    <xf numFmtId="0" fontId="88" fillId="41" borderId="7" applyAlignment="1" pivotButton="0" quotePrefix="0" xfId="0">
      <alignment horizontal="center" vertical="center"/>
    </xf>
    <xf numFmtId="0" fontId="74" fillId="41" borderId="10" applyAlignment="1" pivotButton="0" quotePrefix="0" xfId="0">
      <alignment horizontal="center"/>
    </xf>
    <xf numFmtId="0" fontId="55" fillId="41" borderId="10" applyAlignment="1" pivotButton="0" quotePrefix="0" xfId="0">
      <alignment horizontal="center" wrapText="1"/>
    </xf>
    <xf numFmtId="0" fontId="69" fillId="41" borderId="10" applyAlignment="1" pivotButton="0" quotePrefix="0" xfId="0">
      <alignment horizontal="center"/>
    </xf>
    <xf numFmtId="0" fontId="70" fillId="41" borderId="10" applyAlignment="1" pivotButton="0" quotePrefix="0" xfId="0">
      <alignment horizontal="center"/>
    </xf>
    <xf numFmtId="0" fontId="70" fillId="41" borderId="21" applyAlignment="1" pivotButton="0" quotePrefix="0" xfId="0">
      <alignment horizontal="center"/>
    </xf>
    <xf numFmtId="0" fontId="70" fillId="41" borderId="9" applyAlignment="1" pivotButton="0" quotePrefix="0" xfId="0">
      <alignment horizontal="center"/>
    </xf>
    <xf numFmtId="0" fontId="70" fillId="41" borderId="6" applyAlignment="1" pivotButton="0" quotePrefix="0" xfId="0">
      <alignment horizontal="center"/>
    </xf>
    <xf numFmtId="0" fontId="56" fillId="41" borderId="10" applyAlignment="1" pivotButton="0" quotePrefix="0" xfId="0">
      <alignment horizontal="center"/>
    </xf>
    <xf numFmtId="0" fontId="74" fillId="41" borderId="2" applyAlignment="1" pivotButton="0" quotePrefix="0" xfId="0">
      <alignment horizontal="center"/>
    </xf>
    <xf numFmtId="0" fontId="74" fillId="41" borderId="7" applyAlignment="1" pivotButton="0" quotePrefix="0" xfId="0">
      <alignment horizontal="center"/>
    </xf>
    <xf numFmtId="0" fontId="69" fillId="41" borderId="7" applyAlignment="1" pivotButton="0" quotePrefix="0" xfId="0">
      <alignment horizontal="center"/>
    </xf>
    <xf numFmtId="0" fontId="127" fillId="41" borderId="1" applyAlignment="1" pivotButton="0" quotePrefix="0" xfId="0">
      <alignment horizontal="left" vertical="center"/>
    </xf>
    <xf numFmtId="0" fontId="74" fillId="41" borderId="12" applyAlignment="1" pivotButton="0" quotePrefix="0" xfId="0">
      <alignment horizontal="left"/>
    </xf>
    <xf numFmtId="0" fontId="79" fillId="41" borderId="12" applyAlignment="1" pivotButton="0" quotePrefix="0" xfId="0">
      <alignment horizontal="left" vertical="center"/>
    </xf>
    <xf numFmtId="0" fontId="79" fillId="41" borderId="14" applyAlignment="1" pivotButton="0" quotePrefix="0" xfId="0">
      <alignment horizontal="center" vertical="center"/>
    </xf>
    <xf numFmtId="0" fontId="79" fillId="41" borderId="12" pivotButton="0" quotePrefix="0" xfId="0"/>
    <xf numFmtId="3" fontId="69" fillId="2" borderId="88" applyAlignment="1" pivotButton="0" quotePrefix="0" xfId="4">
      <alignment horizontal="center"/>
    </xf>
    <xf numFmtId="3" fontId="69" fillId="2" borderId="89" applyAlignment="1" pivotButton="0" quotePrefix="0" xfId="0">
      <alignment horizontal="center"/>
    </xf>
    <xf numFmtId="3" fontId="69" fillId="2" borderId="90" applyAlignment="1" pivotButton="0" quotePrefix="0" xfId="0">
      <alignment horizontal="center"/>
    </xf>
    <xf numFmtId="3" fontId="69" fillId="2" borderId="91" applyAlignment="1" pivotButton="0" quotePrefix="0" xfId="4">
      <alignment horizontal="center"/>
    </xf>
    <xf numFmtId="3" fontId="69" fillId="2" borderId="92" applyAlignment="1" pivotButton="0" quotePrefix="0" xfId="0">
      <alignment horizontal="center"/>
    </xf>
    <xf numFmtId="3" fontId="69" fillId="2" borderId="93" applyAlignment="1" pivotButton="0" quotePrefix="0" xfId="4">
      <alignment horizontal="center"/>
    </xf>
    <xf numFmtId="3" fontId="69" fillId="2" borderId="94" applyAlignment="1" pivotButton="0" quotePrefix="0" xfId="0">
      <alignment horizontal="center"/>
    </xf>
    <xf numFmtId="3" fontId="69" fillId="2" borderId="95" applyAlignment="1" pivotButton="0" quotePrefix="0" xfId="0">
      <alignment horizontal="center"/>
    </xf>
    <xf numFmtId="3" fontId="72" fillId="6" borderId="131" applyAlignment="1" pivotButton="0" quotePrefix="0" xfId="0">
      <alignment horizontal="center"/>
    </xf>
    <xf numFmtId="3" fontId="72" fillId="6" borderId="132" applyAlignment="1" pivotButton="0" quotePrefix="0" xfId="0">
      <alignment horizontal="center"/>
    </xf>
    <xf numFmtId="3" fontId="72" fillId="6" borderId="133" applyAlignment="1" pivotButton="0" quotePrefix="0" xfId="0">
      <alignment horizontal="center"/>
    </xf>
    <xf numFmtId="168" fontId="89" fillId="22" borderId="0" applyAlignment="1" pivotButton="0" quotePrefix="0" xfId="0">
      <alignment horizontal="center"/>
    </xf>
    <xf numFmtId="170" fontId="4" fillId="6" borderId="7" applyAlignment="1" pivotButton="0" quotePrefix="0" xfId="2">
      <alignment horizontal="left"/>
    </xf>
    <xf numFmtId="170" fontId="0" fillId="6" borderId="7" applyAlignment="1" pivotButton="0" quotePrefix="0" xfId="0">
      <alignment horizontal="center"/>
    </xf>
    <xf numFmtId="170" fontId="9" fillId="6" borderId="7" applyAlignment="1" pivotButton="0" quotePrefix="0" xfId="0">
      <alignment horizontal="center"/>
    </xf>
    <xf numFmtId="170" fontId="9" fillId="6" borderId="1" applyAlignment="1" pivotButton="0" quotePrefix="0" xfId="0">
      <alignment horizontal="center"/>
    </xf>
    <xf numFmtId="170" fontId="37" fillId="6" borderId="1" applyAlignment="1" pivotButton="0" quotePrefix="0" xfId="0">
      <alignment horizontal="center"/>
    </xf>
    <xf numFmtId="170" fontId="37" fillId="6" borderId="7" applyAlignment="1" pivotButton="0" quotePrefix="0" xfId="0">
      <alignment horizontal="center"/>
    </xf>
    <xf numFmtId="170" fontId="0" fillId="11" borderId="7" pivotButton="0" quotePrefix="0" xfId="0"/>
    <xf numFmtId="170" fontId="9" fillId="11" borderId="7" applyAlignment="1" pivotButton="0" quotePrefix="0" xfId="0">
      <alignment horizontal="center"/>
    </xf>
    <xf numFmtId="170" fontId="0" fillId="6" borderId="0" pivotButton="0" quotePrefix="0" xfId="0"/>
    <xf numFmtId="170" fontId="4" fillId="6" borderId="8" applyAlignment="1" pivotButton="0" quotePrefix="0" xfId="2">
      <alignment horizontal="left"/>
    </xf>
    <xf numFmtId="170" fontId="0" fillId="6" borderId="8" applyAlignment="1" pivotButton="0" quotePrefix="0" xfId="0">
      <alignment horizontal="center"/>
    </xf>
    <xf numFmtId="170" fontId="9" fillId="6" borderId="8" applyAlignment="1" pivotButton="0" quotePrefix="0" xfId="0">
      <alignment horizontal="center"/>
    </xf>
    <xf numFmtId="170" fontId="9" fillId="6" borderId="3" applyAlignment="1" pivotButton="0" quotePrefix="0" xfId="0">
      <alignment horizontal="center"/>
    </xf>
    <xf numFmtId="170" fontId="37" fillId="6" borderId="3" applyAlignment="1" pivotButton="0" quotePrefix="0" xfId="0">
      <alignment horizontal="center"/>
    </xf>
    <xf numFmtId="170" fontId="37" fillId="6" borderId="8" applyAlignment="1" pivotButton="0" quotePrefix="0" xfId="0">
      <alignment horizontal="center"/>
    </xf>
    <xf numFmtId="170" fontId="0" fillId="11" borderId="8" pivotButton="0" quotePrefix="0" xfId="0"/>
    <xf numFmtId="170" fontId="9" fillId="11" borderId="8" applyAlignment="1" pivotButton="0" quotePrefix="0" xfId="0">
      <alignment horizontal="center"/>
    </xf>
    <xf numFmtId="170" fontId="37" fillId="44" borderId="8" applyAlignment="1" pivotButton="0" quotePrefix="0" xfId="0">
      <alignment horizontal="center"/>
    </xf>
    <xf numFmtId="170" fontId="37" fillId="2" borderId="8" applyAlignment="1" pivotButton="0" quotePrefix="0" xfId="0">
      <alignment horizontal="center"/>
    </xf>
    <xf numFmtId="170" fontId="37" fillId="2" borderId="3" applyAlignment="1" pivotButton="0" quotePrefix="0" xfId="0">
      <alignment horizontal="center"/>
    </xf>
    <xf numFmtId="170" fontId="0" fillId="11" borderId="8" applyAlignment="1" pivotButton="0" quotePrefix="0" xfId="0">
      <alignment horizontal="center"/>
    </xf>
    <xf numFmtId="170" fontId="10" fillId="6" borderId="8" pivotButton="0" quotePrefix="0" xfId="0"/>
    <xf numFmtId="170" fontId="0" fillId="44" borderId="8" applyAlignment="1" pivotButton="0" quotePrefix="0" xfId="0">
      <alignment horizontal="center"/>
    </xf>
    <xf numFmtId="168" fontId="4" fillId="6" borderId="7" applyAlignment="1" pivotButton="0" quotePrefix="0" xfId="2">
      <alignment horizontal="left"/>
    </xf>
    <xf numFmtId="168" fontId="37" fillId="6" borderId="7" applyAlignment="1" pivotButton="0" quotePrefix="0" xfId="0">
      <alignment horizontal="center"/>
    </xf>
    <xf numFmtId="168" fontId="0" fillId="11" borderId="0" pivotButton="0" quotePrefix="0" xfId="0"/>
    <xf numFmtId="168" fontId="0" fillId="6" borderId="7" applyAlignment="1" pivotButton="0" quotePrefix="0" xfId="0">
      <alignment horizontal="center"/>
    </xf>
    <xf numFmtId="168" fontId="9" fillId="6" borderId="7" applyAlignment="1" pivotButton="0" quotePrefix="0" xfId="0">
      <alignment horizontal="center"/>
    </xf>
    <xf numFmtId="168" fontId="9" fillId="11" borderId="7" applyAlignment="1" pivotButton="0" quotePrefix="0" xfId="0">
      <alignment horizontal="center"/>
    </xf>
    <xf numFmtId="168" fontId="0" fillId="6" borderId="0" pivotButton="0" quotePrefix="0" xfId="0"/>
    <xf numFmtId="168" fontId="4" fillId="6" borderId="8" applyAlignment="1" pivotButton="0" quotePrefix="0" xfId="2">
      <alignment horizontal="left"/>
    </xf>
    <xf numFmtId="168" fontId="37" fillId="6" borderId="8" applyAlignment="1" pivotButton="0" quotePrefix="0" xfId="0">
      <alignment horizontal="center"/>
    </xf>
    <xf numFmtId="168" fontId="0" fillId="6" borderId="8" applyAlignment="1" pivotButton="0" quotePrefix="0" xfId="0">
      <alignment horizontal="center"/>
    </xf>
    <xf numFmtId="168" fontId="9" fillId="6" borderId="8" applyAlignment="1" pivotButton="0" quotePrefix="0" xfId="0">
      <alignment horizontal="center"/>
    </xf>
    <xf numFmtId="168" fontId="9" fillId="11" borderId="8" applyAlignment="1" pivotButton="0" quotePrefix="0" xfId="0">
      <alignment horizontal="center"/>
    </xf>
    <xf numFmtId="168" fontId="0" fillId="11" borderId="8" applyAlignment="1" pivotButton="0" quotePrefix="0" xfId="0">
      <alignment horizontal="center"/>
    </xf>
    <xf numFmtId="168" fontId="10" fillId="6" borderId="8" pivotButton="0" quotePrefix="0" xfId="0"/>
    <xf numFmtId="0" fontId="10" fillId="0" borderId="10" applyAlignment="1" pivotButton="0" quotePrefix="0" xfId="0">
      <alignment wrapText="1"/>
    </xf>
    <xf numFmtId="0" fontId="4" fillId="0" borderId="9" applyAlignment="1" pivotButton="0" quotePrefix="0" xfId="0">
      <alignment wrapText="1"/>
    </xf>
    <xf numFmtId="0" fontId="10" fillId="0" borderId="9" applyAlignment="1" pivotButton="0" quotePrefix="0" xfId="0">
      <alignment wrapText="1"/>
    </xf>
    <xf numFmtId="1" fontId="10" fillId="0" borderId="9" applyAlignment="1" pivotButton="0" quotePrefix="0" xfId="0">
      <alignment wrapText="1"/>
    </xf>
    <xf numFmtId="0" fontId="10" fillId="0" borderId="10" applyAlignment="1" pivotButton="0" quotePrefix="0" xfId="0">
      <alignment horizontal="left" wrapText="1"/>
    </xf>
    <xf numFmtId="0" fontId="4" fillId="0" borderId="10" applyAlignment="1" pivotButton="0" quotePrefix="0" xfId="0">
      <alignment wrapText="1"/>
    </xf>
    <xf numFmtId="1" fontId="10" fillId="0" borderId="10" applyAlignment="1" pivotButton="0" quotePrefix="0" xfId="0">
      <alignment wrapText="1"/>
    </xf>
    <xf numFmtId="0" fontId="5" fillId="0" borderId="0" pivotButton="0" quotePrefix="0" xfId="0"/>
    <xf numFmtId="0" fontId="44" fillId="0" borderId="0" pivotButton="0" quotePrefix="0" xfId="0"/>
    <xf numFmtId="1" fontId="44" fillId="0" borderId="0" pivotButton="0" quotePrefix="0" xfId="0"/>
    <xf numFmtId="164" fontId="0" fillId="6" borderId="7" pivotButton="0" quotePrefix="0" xfId="0"/>
    <xf numFmtId="164" fontId="4" fillId="6" borderId="7" applyAlignment="1" pivotButton="0" quotePrefix="0" xfId="2">
      <alignment horizontal="left"/>
    </xf>
    <xf numFmtId="164" fontId="0" fillId="6" borderId="1" applyAlignment="1" pivotButton="0" quotePrefix="0" xfId="0">
      <alignment horizontal="left"/>
    </xf>
    <xf numFmtId="164" fontId="9" fillId="6" borderId="3" applyAlignment="1" pivotButton="0" quotePrefix="0" xfId="0">
      <alignment horizontal="left"/>
    </xf>
    <xf numFmtId="164" fontId="9" fillId="6" borderId="1" applyAlignment="1" pivotButton="0" quotePrefix="0" xfId="0">
      <alignment horizontal="left"/>
    </xf>
    <xf numFmtId="164" fontId="0" fillId="22" borderId="1" applyAlignment="1" pivotButton="0" quotePrefix="0" xfId="0">
      <alignment horizontal="center"/>
    </xf>
    <xf numFmtId="164" fontId="0" fillId="6" borderId="1" pivotButton="0" quotePrefix="0" xfId="0"/>
    <xf numFmtId="164" fontId="0" fillId="0" borderId="11" pivotButton="0" quotePrefix="0" xfId="0"/>
    <xf numFmtId="164" fontId="4" fillId="6" borderId="8" applyAlignment="1" pivotButton="0" quotePrefix="0" xfId="2">
      <alignment horizontal="left"/>
    </xf>
    <xf numFmtId="164" fontId="0" fillId="6" borderId="3" applyAlignment="1" pivotButton="0" quotePrefix="0" xfId="0">
      <alignment horizontal="left"/>
    </xf>
    <xf numFmtId="164" fontId="0" fillId="6" borderId="3" pivotButton="0" quotePrefix="0" xfId="0"/>
    <xf numFmtId="164" fontId="0" fillId="6" borderId="9" pivotButton="0" quotePrefix="0" xfId="0"/>
    <xf numFmtId="164" fontId="10" fillId="6" borderId="9" pivotButton="0" quotePrefix="0" xfId="0"/>
    <xf numFmtId="164" fontId="0" fillId="6" borderId="5" applyAlignment="1" pivotButton="0" quotePrefix="0" xfId="0">
      <alignment horizontal="left"/>
    </xf>
    <xf numFmtId="164" fontId="9" fillId="6" borderId="5" applyAlignment="1" pivotButton="0" quotePrefix="0" xfId="0">
      <alignment horizontal="left"/>
    </xf>
    <xf numFmtId="164" fontId="0" fillId="6" borderId="5" applyAlignment="1" pivotButton="0" quotePrefix="0" xfId="0">
      <alignment horizontal="center"/>
    </xf>
    <xf numFmtId="164" fontId="0" fillId="6" borderId="5" pivotButton="0" quotePrefix="0" xfId="0"/>
    <xf numFmtId="164" fontId="0" fillId="0" borderId="21" pivotButton="0" quotePrefix="0" xfId="0"/>
    <xf numFmtId="164" fontId="4" fillId="6" borderId="1" applyAlignment="1" pivotButton="0" quotePrefix="0" xfId="2">
      <alignment horizontal="left"/>
    </xf>
    <xf numFmtId="164" fontId="9" fillId="6" borderId="7" applyAlignment="1" pivotButton="0" quotePrefix="0" xfId="0">
      <alignment horizontal="left"/>
    </xf>
    <xf numFmtId="164" fontId="4" fillId="6" borderId="3" applyAlignment="1" pivotButton="0" quotePrefix="0" xfId="2">
      <alignment horizontal="left"/>
    </xf>
    <xf numFmtId="164" fontId="9" fillId="6" borderId="8" applyAlignment="1" pivotButton="0" quotePrefix="0" xfId="0">
      <alignment horizontal="left"/>
    </xf>
    <xf numFmtId="164" fontId="10" fillId="6" borderId="5" pivotButton="0" quotePrefix="0" xfId="0"/>
    <xf numFmtId="164" fontId="9" fillId="6" borderId="9" applyAlignment="1" pivotButton="0" quotePrefix="0" xfId="0">
      <alignment horizontal="left"/>
    </xf>
    <xf numFmtId="164" fontId="4" fillId="6" borderId="11" applyAlignment="1" pivotButton="0" quotePrefix="0" xfId="2">
      <alignment horizontal="left"/>
    </xf>
    <xf numFmtId="164" fontId="4" fillId="6" borderId="0" applyAlignment="1" pivotButton="0" quotePrefix="0" xfId="2">
      <alignment horizontal="left"/>
    </xf>
    <xf numFmtId="164" fontId="10" fillId="6" borderId="21" pivotButton="0" quotePrefix="0" xfId="0"/>
    <xf numFmtId="164" fontId="4" fillId="6" borderId="2" applyAlignment="1" pivotButton="0" quotePrefix="0" xfId="2">
      <alignment horizontal="left"/>
    </xf>
    <xf numFmtId="164" fontId="0" fillId="6" borderId="2" pivotButton="0" quotePrefix="0" xfId="0"/>
    <xf numFmtId="164" fontId="0" fillId="6" borderId="4" pivotButton="0" quotePrefix="0" xfId="0"/>
    <xf numFmtId="164" fontId="4" fillId="6" borderId="4" applyAlignment="1" pivotButton="0" quotePrefix="0" xfId="2">
      <alignment horizontal="left"/>
    </xf>
    <xf numFmtId="164" fontId="10" fillId="6" borderId="6" pivotButton="0" quotePrefix="0" xfId="0"/>
    <xf numFmtId="164" fontId="0" fillId="6" borderId="6" pivotButton="0" quotePrefix="0" xfId="0"/>
    <xf numFmtId="0" fontId="186" fillId="12" borderId="0" applyAlignment="1" pivotButton="0" quotePrefix="0" xfId="0">
      <alignment horizontal="right" vertical="top" indent="1"/>
    </xf>
    <xf numFmtId="0" fontId="157" fillId="12" borderId="0" applyAlignment="1" pivotButton="0" quotePrefix="0" xfId="0">
      <alignment horizontal="right" vertical="center"/>
    </xf>
    <xf numFmtId="0" fontId="157" fillId="12" borderId="0" applyAlignment="1" pivotButton="0" quotePrefix="0" xfId="0">
      <alignment horizontal="right" vertical="center" indent="1"/>
    </xf>
    <xf numFmtId="164" fontId="37" fillId="6" borderId="8" applyAlignment="1" pivotButton="0" quotePrefix="0" xfId="0">
      <alignment horizontal="center"/>
    </xf>
    <xf numFmtId="164" fontId="0" fillId="9" borderId="9" applyAlignment="1" pivotButton="0" quotePrefix="0" xfId="0">
      <alignment horizontal="center"/>
    </xf>
    <xf numFmtId="164" fontId="0" fillId="9" borderId="6" applyAlignment="1" pivotButton="0" quotePrefix="0" xfId="0">
      <alignment horizontal="center"/>
    </xf>
    <xf numFmtId="0" fontId="0" fillId="9" borderId="6" applyAlignment="1" pivotButton="0" quotePrefix="0" xfId="0">
      <alignment horizontal="center"/>
    </xf>
    <xf numFmtId="0" fontId="89" fillId="22" borderId="0" pivotButton="0" quotePrefix="0" xfId="0"/>
    <xf numFmtId="0" fontId="9" fillId="22" borderId="0" pivotButton="0" quotePrefix="0" xfId="0"/>
    <xf numFmtId="0" fontId="41" fillId="22" borderId="0" pivotButton="0" quotePrefix="0" xfId="0"/>
    <xf numFmtId="2" fontId="0" fillId="2" borderId="73" applyAlignment="1" pivotButton="0" quotePrefix="0" xfId="0">
      <alignment horizontal="center"/>
    </xf>
    <xf numFmtId="1" fontId="0" fillId="2" borderId="73" applyAlignment="1" pivotButton="0" quotePrefix="0" xfId="0">
      <alignment horizontal="center"/>
    </xf>
    <xf numFmtId="0" fontId="3" fillId="6" borderId="0" applyAlignment="1" pivotButton="0" quotePrefix="0" xfId="0">
      <alignment horizontal="center"/>
    </xf>
    <xf numFmtId="0" fontId="3" fillId="32" borderId="0" applyAlignment="1" pivotButton="0" quotePrefix="0" xfId="0">
      <alignment horizontal="center"/>
    </xf>
    <xf numFmtId="0" fontId="3" fillId="32" borderId="0" applyAlignment="1" pivotButton="0" quotePrefix="0" xfId="0">
      <alignment horizontal="left" indent="2"/>
    </xf>
    <xf numFmtId="0" fontId="3" fillId="32" borderId="0" applyAlignment="1" pivotButton="0" quotePrefix="0" xfId="0">
      <alignment horizontal="left"/>
    </xf>
    <xf numFmtId="0" fontId="50" fillId="32" borderId="0" applyAlignment="1" pivotButton="0" quotePrefix="0" xfId="0">
      <alignment horizontal="center"/>
    </xf>
    <xf numFmtId="0" fontId="108" fillId="32" borderId="0" applyAlignment="1" pivotButton="0" quotePrefix="0" xfId="0">
      <alignment horizontal="left" indent="1"/>
    </xf>
    <xf numFmtId="0" fontId="9" fillId="32" borderId="0" pivotButton="0" quotePrefix="0" xfId="0"/>
    <xf numFmtId="0" fontId="3" fillId="32" borderId="0" applyAlignment="1" pivotButton="0" quotePrefix="0" xfId="0">
      <alignment horizontal="left" indent="4"/>
    </xf>
    <xf numFmtId="0" fontId="30" fillId="32" borderId="0" applyAlignment="1" pivotButton="0" quotePrefix="0" xfId="0">
      <alignment horizontal="center"/>
    </xf>
    <xf numFmtId="0" fontId="3" fillId="41" borderId="0" applyAlignment="1" pivotButton="0" quotePrefix="0" xfId="0">
      <alignment horizontal="left" indent="4"/>
    </xf>
    <xf numFmtId="0" fontId="3" fillId="41" borderId="0" applyAlignment="1" pivotButton="0" quotePrefix="0" xfId="0">
      <alignment horizontal="center"/>
    </xf>
    <xf numFmtId="0" fontId="3" fillId="41" borderId="0" applyAlignment="1" pivotButton="0" quotePrefix="0" xfId="0">
      <alignment horizontal="center" vertical="top"/>
    </xf>
    <xf numFmtId="0" fontId="3" fillId="30" borderId="0" applyAlignment="1" pivotButton="0" quotePrefix="0" xfId="0">
      <alignment horizontal="center"/>
    </xf>
    <xf numFmtId="0" fontId="3" fillId="30" borderId="0" applyAlignment="1" pivotButton="0" quotePrefix="0" xfId="0">
      <alignment horizontal="left" indent="4"/>
    </xf>
    <xf numFmtId="0" fontId="3" fillId="30" borderId="0" pivotButton="0" quotePrefix="0" xfId="0"/>
    <xf numFmtId="0" fontId="0" fillId="30" borderId="0" pivotButton="0" quotePrefix="0" xfId="0"/>
    <xf numFmtId="2" fontId="0" fillId="2" borderId="72" applyAlignment="1" pivotButton="0" quotePrefix="0" xfId="0">
      <alignment horizontal="center"/>
    </xf>
    <xf numFmtId="1" fontId="0" fillId="2" borderId="72" applyAlignment="1" pivotButton="0" quotePrefix="0" xfId="0">
      <alignment horizontal="center"/>
    </xf>
    <xf numFmtId="4" fontId="0" fillId="2" borderId="67" applyAlignment="1" pivotButton="0" quotePrefix="0" xfId="0">
      <alignment horizontal="center"/>
    </xf>
    <xf numFmtId="4" fontId="0" fillId="2" borderId="69" applyAlignment="1" pivotButton="0" quotePrefix="0" xfId="0">
      <alignment horizontal="center"/>
    </xf>
    <xf numFmtId="2" fontId="0" fillId="2" borderId="74" applyAlignment="1" pivotButton="0" quotePrefix="0" xfId="0">
      <alignment horizontal="center"/>
    </xf>
    <xf numFmtId="1" fontId="0" fillId="2" borderId="74" applyAlignment="1" pivotButton="0" quotePrefix="0" xfId="0">
      <alignment horizontal="center"/>
    </xf>
    <xf numFmtId="4" fontId="0" fillId="2" borderId="71" applyAlignment="1" pivotButton="0" quotePrefix="0" xfId="0">
      <alignment horizontal="center"/>
    </xf>
    <xf numFmtId="0" fontId="8" fillId="19" borderId="0" pivotButton="0" quotePrefix="0" xfId="0"/>
    <xf numFmtId="0" fontId="3" fillId="2" borderId="0" pivotButton="0" quotePrefix="0" xfId="0"/>
    <xf numFmtId="0" fontId="3" fillId="2" borderId="0" applyAlignment="1" pivotButton="0" quotePrefix="0" xfId="0">
      <alignment horizontal="left" indent="9"/>
    </xf>
    <xf numFmtId="0" fontId="3" fillId="2" borderId="0" applyAlignment="1" pivotButton="0" quotePrefix="0" xfId="0">
      <alignment horizontal="left" indent="6"/>
    </xf>
    <xf numFmtId="0" fontId="3" fillId="16" borderId="0" applyAlignment="1" pivotButton="0" quotePrefix="0" xfId="0">
      <alignment horizontal="left" vertical="center" indent="6"/>
    </xf>
    <xf numFmtId="0" fontId="3" fillId="17" borderId="0" applyAlignment="1" pivotButton="0" quotePrefix="0" xfId="0">
      <alignment horizontal="left" indent="9"/>
    </xf>
    <xf numFmtId="0" fontId="0" fillId="17" borderId="0" applyAlignment="1" pivotButton="0" quotePrefix="0" xfId="0">
      <alignment horizontal="center"/>
    </xf>
    <xf numFmtId="0" fontId="0" fillId="16" borderId="0" applyAlignment="1" pivotButton="0" quotePrefix="0" xfId="0">
      <alignment horizontal="center" vertical="center"/>
    </xf>
    <xf numFmtId="3" fontId="0" fillId="2" borderId="70" applyAlignment="1" pivotButton="0" quotePrefix="0" xfId="0">
      <alignment horizontal="center"/>
    </xf>
    <xf numFmtId="3" fontId="0" fillId="6" borderId="71" applyAlignment="1" pivotButton="0" quotePrefix="0" xfId="0">
      <alignment horizontal="center"/>
    </xf>
    <xf numFmtId="3" fontId="69" fillId="24" borderId="10" applyAlignment="1" pivotButton="0" quotePrefix="0" xfId="0">
      <alignment horizontal="center" vertical="center"/>
    </xf>
    <xf numFmtId="1" fontId="4" fillId="12" borderId="0" pivotButton="0" quotePrefix="0" xfId="0"/>
    <xf numFmtId="1" fontId="4" fillId="12" borderId="0" applyAlignment="1" pivotButton="0" quotePrefix="0" xfId="0">
      <alignment horizontal="left"/>
    </xf>
    <xf numFmtId="0" fontId="37" fillId="12" borderId="21" pivotButton="0" quotePrefix="0" xfId="0"/>
    <xf numFmtId="1" fontId="5" fillId="12" borderId="14" applyAlignment="1" pivotButton="0" quotePrefix="0" xfId="0">
      <alignment horizontal="left"/>
    </xf>
    <xf numFmtId="1" fontId="5" fillId="12" borderId="14" applyAlignment="1" pivotButton="0" quotePrefix="0" xfId="0">
      <alignment horizontal="center"/>
    </xf>
    <xf numFmtId="1" fontId="4" fillId="12" borderId="21" pivotButton="0" quotePrefix="0" xfId="0"/>
    <xf numFmtId="0" fontId="5" fillId="12" borderId="21" applyAlignment="1" pivotButton="0" quotePrefix="0" xfId="0">
      <alignment horizontal="left"/>
    </xf>
    <xf numFmtId="1" fontId="37" fillId="22" borderId="0" applyAlignment="1" pivotButton="0" quotePrefix="0" xfId="0">
      <alignment horizontal="left" vertical="center" wrapText="1"/>
    </xf>
    <xf numFmtId="1" fontId="5" fillId="2" borderId="14" applyAlignment="1" pivotButton="0" quotePrefix="0" xfId="0">
      <alignment horizontal="center"/>
    </xf>
    <xf numFmtId="0" fontId="5" fillId="2" borderId="14" applyAlignment="1" pivotButton="0" quotePrefix="0" xfId="0">
      <alignment horizontal="center"/>
    </xf>
    <xf numFmtId="1" fontId="37" fillId="2" borderId="126" applyAlignment="1" pivotButton="0" quotePrefix="0" xfId="0">
      <alignment horizontal="center" vertical="center" wrapText="1"/>
    </xf>
    <xf numFmtId="1" fontId="37" fillId="2" borderId="127" applyAlignment="1" pivotButton="0" quotePrefix="0" xfId="0">
      <alignment horizontal="center" vertical="center" wrapText="1"/>
    </xf>
    <xf numFmtId="1" fontId="37" fillId="2" borderId="68" applyAlignment="1" pivotButton="0" quotePrefix="0" xfId="0">
      <alignment horizontal="center" vertical="center" wrapText="1"/>
    </xf>
    <xf numFmtId="1" fontId="37" fillId="2" borderId="69" applyAlignment="1" pivotButton="0" quotePrefix="0" xfId="0">
      <alignment horizontal="center" vertical="center" wrapText="1"/>
    </xf>
    <xf numFmtId="1" fontId="37" fillId="2" borderId="86" applyAlignment="1" pivotButton="0" quotePrefix="0" xfId="0">
      <alignment horizontal="center" vertical="center" wrapText="1"/>
    </xf>
    <xf numFmtId="1" fontId="37" fillId="2" borderId="87" applyAlignment="1" pivotButton="0" quotePrefix="0" xfId="0">
      <alignment horizontal="center" vertical="center" wrapText="1"/>
    </xf>
    <xf numFmtId="3" fontId="37" fillId="2" borderId="126" applyAlignment="1" pivotButton="0" quotePrefix="0" xfId="0">
      <alignment horizontal="center" vertical="center" wrapText="1"/>
    </xf>
    <xf numFmtId="3" fontId="37" fillId="2" borderId="89" applyAlignment="1" pivotButton="0" quotePrefix="0" xfId="0">
      <alignment horizontal="center" vertical="center" wrapText="1"/>
    </xf>
    <xf numFmtId="3" fontId="37" fillId="2" borderId="127" applyAlignment="1" pivotButton="0" quotePrefix="0" xfId="0">
      <alignment horizontal="center" vertical="center" wrapText="1"/>
    </xf>
    <xf numFmtId="3" fontId="37" fillId="2" borderId="68" applyAlignment="1" pivotButton="0" quotePrefix="0" xfId="0">
      <alignment horizontal="center" vertical="center" wrapText="1"/>
    </xf>
    <xf numFmtId="1" fontId="37" fillId="2" borderId="73" applyAlignment="1" pivotButton="0" quotePrefix="0" xfId="0">
      <alignment horizontal="center" vertical="center" wrapText="1"/>
    </xf>
    <xf numFmtId="3" fontId="37" fillId="2" borderId="69" applyAlignment="1" pivotButton="0" quotePrefix="0" xfId="0">
      <alignment horizontal="center" vertical="center" wrapText="1"/>
    </xf>
    <xf numFmtId="3" fontId="22" fillId="2" borderId="86" applyAlignment="1" pivotButton="0" quotePrefix="0" xfId="0">
      <alignment horizontal="center" vertical="center" wrapText="1"/>
    </xf>
    <xf numFmtId="3" fontId="22" fillId="2" borderId="94" applyAlignment="1" pivotButton="0" quotePrefix="0" xfId="0">
      <alignment horizontal="center" vertical="center" wrapText="1"/>
    </xf>
    <xf numFmtId="3" fontId="22" fillId="2" borderId="87" applyAlignment="1" pivotButton="0" quotePrefix="0" xfId="0">
      <alignment horizontal="center" vertical="center" wrapText="1"/>
    </xf>
    <xf numFmtId="172" fontId="70" fillId="2" borderId="126" applyAlignment="1" pivotButton="0" quotePrefix="0" xfId="0">
      <alignment horizontal="center" vertical="center" wrapText="1"/>
    </xf>
    <xf numFmtId="172" fontId="70" fillId="2" borderId="89" applyAlignment="1" pivotButton="0" quotePrefix="0" xfId="0">
      <alignment horizontal="center" vertical="center" wrapText="1"/>
    </xf>
    <xf numFmtId="172" fontId="70" fillId="2" borderId="127" applyAlignment="1" pivotButton="0" quotePrefix="0" xfId="0">
      <alignment horizontal="center" vertical="center" wrapText="1"/>
    </xf>
    <xf numFmtId="172" fontId="70" fillId="2" borderId="68" applyAlignment="1" pivotButton="0" quotePrefix="0" xfId="0">
      <alignment horizontal="center" vertical="center" wrapText="1"/>
    </xf>
    <xf numFmtId="172" fontId="70" fillId="2" borderId="73" applyAlignment="1" pivotButton="0" quotePrefix="0" xfId="0">
      <alignment horizontal="center" vertical="center" wrapText="1"/>
    </xf>
    <xf numFmtId="1" fontId="70" fillId="2" borderId="69" applyAlignment="1" pivotButton="0" quotePrefix="0" xfId="0">
      <alignment horizontal="center"/>
    </xf>
    <xf numFmtId="1" fontId="70" fillId="2" borderId="68" applyAlignment="1" pivotButton="0" quotePrefix="0" xfId="0">
      <alignment horizontal="center" vertical="center" wrapText="1"/>
    </xf>
    <xf numFmtId="1" fontId="70" fillId="2" borderId="73" applyAlignment="1" pivotButton="0" quotePrefix="0" xfId="0">
      <alignment horizontal="center" vertical="center" wrapText="1"/>
    </xf>
    <xf numFmtId="1" fontId="70" fillId="2" borderId="69" applyAlignment="1" pivotButton="0" quotePrefix="0" xfId="0">
      <alignment horizontal="center" vertical="center" wrapText="1"/>
    </xf>
    <xf numFmtId="0" fontId="70" fillId="45" borderId="0" pivotButton="0" quotePrefix="0" xfId="0"/>
    <xf numFmtId="0" fontId="70" fillId="45" borderId="0" applyAlignment="1" pivotButton="0" quotePrefix="0" xfId="0">
      <alignment horizontal="center"/>
    </xf>
    <xf numFmtId="0" fontId="70" fillId="45" borderId="21" applyAlignment="1" pivotButton="0" quotePrefix="0" xfId="0">
      <alignment horizontal="center"/>
    </xf>
    <xf numFmtId="0" fontId="56" fillId="45" borderId="11" applyAlignment="1" pivotButton="0" quotePrefix="0" xfId="0">
      <alignment horizontal="left" indent="6"/>
    </xf>
    <xf numFmtId="0" fontId="70" fillId="45" borderId="11" pivotButton="0" quotePrefix="0" xfId="0"/>
    <xf numFmtId="0" fontId="56" fillId="45" borderId="11" applyAlignment="1" pivotButton="0" quotePrefix="0" xfId="0">
      <alignment horizontal="left" indent="5"/>
    </xf>
    <xf numFmtId="1" fontId="70" fillId="33" borderId="66" applyAlignment="1" pivotButton="0" quotePrefix="0" xfId="0">
      <alignment horizontal="center"/>
    </xf>
    <xf numFmtId="1" fontId="70" fillId="33" borderId="72" applyAlignment="1" pivotButton="0" quotePrefix="0" xfId="0">
      <alignment horizontal="center"/>
    </xf>
    <xf numFmtId="1" fontId="70" fillId="33" borderId="67" applyAlignment="1" pivotButton="0" quotePrefix="0" xfId="0">
      <alignment horizontal="center"/>
    </xf>
    <xf numFmtId="1" fontId="70" fillId="33" borderId="68" applyAlignment="1" pivotButton="0" quotePrefix="0" xfId="0">
      <alignment horizontal="center"/>
    </xf>
    <xf numFmtId="1" fontId="70" fillId="33" borderId="73" applyAlignment="1" pivotButton="0" quotePrefix="0" xfId="0">
      <alignment horizontal="center"/>
    </xf>
    <xf numFmtId="1" fontId="70" fillId="33" borderId="69" applyAlignment="1" pivotButton="0" quotePrefix="0" xfId="0">
      <alignment horizontal="center"/>
    </xf>
    <xf numFmtId="1" fontId="70" fillId="33" borderId="70" applyAlignment="1" pivotButton="0" quotePrefix="0" xfId="0">
      <alignment horizontal="center"/>
    </xf>
    <xf numFmtId="1" fontId="70" fillId="33" borderId="74" applyAlignment="1" pivotButton="0" quotePrefix="0" xfId="0">
      <alignment horizontal="center"/>
    </xf>
    <xf numFmtId="1" fontId="70" fillId="33" borderId="71" applyAlignment="1" pivotButton="0" quotePrefix="0" xfId="0">
      <alignment horizontal="center"/>
    </xf>
    <xf numFmtId="0" fontId="56" fillId="33" borderId="134" applyAlignment="1" pivotButton="0" quotePrefix="0" xfId="0">
      <alignment horizontal="center"/>
    </xf>
    <xf numFmtId="0" fontId="56" fillId="33" borderId="135" applyAlignment="1" pivotButton="0" quotePrefix="0" xfId="0">
      <alignment horizontal="center"/>
    </xf>
    <xf numFmtId="0" fontId="56" fillId="33" borderId="136" applyAlignment="1" pivotButton="0" quotePrefix="0" xfId="0">
      <alignment horizontal="center"/>
    </xf>
    <xf numFmtId="0" fontId="56" fillId="45" borderId="11" applyAlignment="1" pivotButton="0" quotePrefix="0" xfId="0">
      <alignment horizontal="left"/>
    </xf>
    <xf numFmtId="0" fontId="56" fillId="45" borderId="11" applyAlignment="1" pivotButton="0" quotePrefix="0" xfId="0">
      <alignment horizontal="center"/>
    </xf>
    <xf numFmtId="0" fontId="70" fillId="16" borderId="0" applyAlignment="1" pivotButton="0" quotePrefix="0" xfId="0">
      <alignment horizontal="center" vertical="center"/>
    </xf>
    <xf numFmtId="0" fontId="70" fillId="17" borderId="0" applyAlignment="1" pivotButton="0" quotePrefix="0" xfId="0">
      <alignment horizontal="center" vertical="center"/>
    </xf>
    <xf numFmtId="0" fontId="70" fillId="22" borderId="0" applyAlignment="1" pivotButton="0" quotePrefix="0" xfId="0">
      <alignment horizontal="left"/>
    </xf>
    <xf numFmtId="1" fontId="55" fillId="33" borderId="66" applyAlignment="1" pivotButton="0" quotePrefix="0" xfId="0">
      <alignment horizontal="center"/>
    </xf>
    <xf numFmtId="1" fontId="55" fillId="33" borderId="72" applyAlignment="1" pivotButton="0" quotePrefix="0" xfId="0">
      <alignment horizontal="center"/>
    </xf>
    <xf numFmtId="3" fontId="70" fillId="33" borderId="72" applyAlignment="1" pivotButton="0" quotePrefix="0" xfId="0">
      <alignment horizontal="center"/>
    </xf>
    <xf numFmtId="0" fontId="70" fillId="33" borderId="72" applyAlignment="1" pivotButton="0" quotePrefix="0" xfId="0">
      <alignment horizontal="center"/>
    </xf>
    <xf numFmtId="3" fontId="70" fillId="33" borderId="67" applyAlignment="1" pivotButton="0" quotePrefix="0" xfId="0">
      <alignment horizontal="center"/>
    </xf>
    <xf numFmtId="1" fontId="55" fillId="33" borderId="68" applyAlignment="1" pivotButton="0" quotePrefix="0" xfId="0">
      <alignment horizontal="center"/>
    </xf>
    <xf numFmtId="1" fontId="55" fillId="33" borderId="73" applyAlignment="1" pivotButton="0" quotePrefix="0" xfId="0">
      <alignment horizontal="center"/>
    </xf>
    <xf numFmtId="3" fontId="70" fillId="33" borderId="73" applyAlignment="1" pivotButton="0" quotePrefix="0" xfId="0">
      <alignment horizontal="center"/>
    </xf>
    <xf numFmtId="0" fontId="70" fillId="33" borderId="73" applyAlignment="1" pivotButton="0" quotePrefix="0" xfId="0">
      <alignment horizontal="center"/>
    </xf>
    <xf numFmtId="3" fontId="70" fillId="33" borderId="69" applyAlignment="1" pivotButton="0" quotePrefix="0" xfId="0">
      <alignment horizontal="center"/>
    </xf>
    <xf numFmtId="1" fontId="55" fillId="33" borderId="70" applyAlignment="1" pivotButton="0" quotePrefix="0" xfId="0">
      <alignment horizontal="center"/>
    </xf>
    <xf numFmtId="1" fontId="55" fillId="33" borderId="74" applyAlignment="1" pivotButton="0" quotePrefix="0" xfId="0">
      <alignment horizontal="center"/>
    </xf>
    <xf numFmtId="3" fontId="70" fillId="33" borderId="74" applyAlignment="1" pivotButton="0" quotePrefix="0" xfId="0">
      <alignment horizontal="center"/>
    </xf>
    <xf numFmtId="0" fontId="70" fillId="33" borderId="74" applyAlignment="1" pivotButton="0" quotePrefix="0" xfId="0">
      <alignment horizontal="center"/>
    </xf>
    <xf numFmtId="3" fontId="70" fillId="33" borderId="71" applyAlignment="1" pivotButton="0" quotePrefix="0" xfId="0">
      <alignment horizontal="center"/>
    </xf>
    <xf numFmtId="0" fontId="70" fillId="45" borderId="0" applyAlignment="1" pivotButton="0" quotePrefix="0" xfId="0">
      <alignment horizontal="left" indent="13"/>
    </xf>
    <xf numFmtId="0" fontId="88" fillId="45" borderId="0" pivotButton="0" quotePrefix="0" xfId="0"/>
    <xf numFmtId="0" fontId="88" fillId="45" borderId="0" applyAlignment="1" pivotButton="0" quotePrefix="0" xfId="0">
      <alignment horizontal="left" indent="8"/>
    </xf>
    <xf numFmtId="0" fontId="88" fillId="45" borderId="0" applyAlignment="1" pivotButton="0" quotePrefix="0" xfId="0">
      <alignment horizontal="left" indent="2"/>
    </xf>
    <xf numFmtId="0" fontId="55" fillId="45" borderId="0" applyAlignment="1" pivotButton="0" quotePrefix="0" xfId="0">
      <alignment horizontal="left" indent="6"/>
    </xf>
    <xf numFmtId="0" fontId="55" fillId="45" borderId="0" pivotButton="0" quotePrefix="0" xfId="0"/>
    <xf numFmtId="0" fontId="88" fillId="45" borderId="0" applyAlignment="1" pivotButton="0" quotePrefix="0" xfId="0">
      <alignment horizontal="left"/>
    </xf>
    <xf numFmtId="0" fontId="56" fillId="45" borderId="0" pivotButton="0" quotePrefix="0" xfId="0"/>
    <xf numFmtId="0" fontId="56" fillId="45" borderId="11" applyAlignment="1" pivotButton="0" quotePrefix="0" xfId="0">
      <alignment horizontal="left" indent="13"/>
    </xf>
    <xf numFmtId="0" fontId="70" fillId="45" borderId="11" applyAlignment="1" pivotButton="0" quotePrefix="0" xfId="0">
      <alignment horizontal="left" indent="13"/>
    </xf>
    <xf numFmtId="0" fontId="88" fillId="45" borderId="11" applyAlignment="1" pivotButton="0" quotePrefix="0" xfId="0">
      <alignment horizontal="left" vertical="center" indent="9"/>
    </xf>
    <xf numFmtId="0" fontId="88" fillId="45" borderId="11" pivotButton="0" quotePrefix="0" xfId="0"/>
    <xf numFmtId="1" fontId="0" fillId="22" borderId="0" pivotButton="0" quotePrefix="0" xfId="0"/>
    <xf numFmtId="0" fontId="5" fillId="45" borderId="0" pivotButton="0" quotePrefix="0" xfId="0"/>
    <xf numFmtId="0" fontId="22" fillId="45" borderId="0" applyAlignment="1" pivotButton="0" quotePrefix="0" xfId="0">
      <alignment horizontal="left" indent="10"/>
    </xf>
    <xf numFmtId="0" fontId="37" fillId="45" borderId="0" pivotButton="0" quotePrefix="0" xfId="0"/>
    <xf numFmtId="0" fontId="5" fillId="45" borderId="0" applyAlignment="1" pivotButton="0" quotePrefix="0" xfId="0">
      <alignment horizontal="left" vertical="center"/>
    </xf>
    <xf numFmtId="0" fontId="5" fillId="45" borderId="0" applyAlignment="1" pivotButton="0" quotePrefix="0" xfId="0">
      <alignment horizontal="left" indent="3"/>
    </xf>
    <xf numFmtId="0" fontId="22" fillId="45" borderId="0" applyAlignment="1" pivotButton="0" quotePrefix="0" xfId="0">
      <alignment horizontal="left" indent="6"/>
    </xf>
    <xf numFmtId="0" fontId="22" fillId="45" borderId="0" applyAlignment="1" pivotButton="0" quotePrefix="0" xfId="0">
      <alignment horizontal="left" indent="5"/>
    </xf>
    <xf numFmtId="0" fontId="5" fillId="45" borderId="0" applyAlignment="1" pivotButton="0" quotePrefix="0" xfId="0">
      <alignment horizontal="left"/>
    </xf>
    <xf numFmtId="0" fontId="37" fillId="45" borderId="0" applyAlignment="1" pivotButton="0" quotePrefix="0" xfId="0">
      <alignment horizontal="center"/>
    </xf>
    <xf numFmtId="0" fontId="22" fillId="45" borderId="0" applyAlignment="1" pivotButton="0" quotePrefix="0" xfId="0">
      <alignment horizontal="center" vertical="center"/>
    </xf>
    <xf numFmtId="0" fontId="22" fillId="45" borderId="0" applyAlignment="1" pivotButton="0" quotePrefix="0" xfId="0">
      <alignment horizontal="center"/>
    </xf>
    <xf numFmtId="0" fontId="3" fillId="45" borderId="0" applyAlignment="1" pivotButton="0" quotePrefix="0" xfId="0">
      <alignment horizontal="center"/>
    </xf>
    <xf numFmtId="3" fontId="37" fillId="33" borderId="66" applyAlignment="1" pivotButton="0" quotePrefix="0" xfId="0">
      <alignment horizontal="center"/>
    </xf>
    <xf numFmtId="3" fontId="37" fillId="33" borderId="72" applyAlignment="1" pivotButton="0" quotePrefix="0" xfId="0">
      <alignment horizontal="center"/>
    </xf>
    <xf numFmtId="3" fontId="37" fillId="33" borderId="67" applyAlignment="1" pivotButton="0" quotePrefix="0" xfId="0">
      <alignment horizontal="center"/>
    </xf>
    <xf numFmtId="3" fontId="37" fillId="33" borderId="68" applyAlignment="1" pivotButton="0" quotePrefix="0" xfId="0">
      <alignment horizontal="center"/>
    </xf>
    <xf numFmtId="3" fontId="37" fillId="33" borderId="73" applyAlignment="1" pivotButton="0" quotePrefix="0" xfId="0">
      <alignment horizontal="center"/>
    </xf>
    <xf numFmtId="3" fontId="37" fillId="33" borderId="69" applyAlignment="1" pivotButton="0" quotePrefix="0" xfId="0">
      <alignment horizontal="center"/>
    </xf>
    <xf numFmtId="3" fontId="37" fillId="33" borderId="70" applyAlignment="1" pivotButton="0" quotePrefix="0" xfId="0">
      <alignment horizontal="center"/>
    </xf>
    <xf numFmtId="3" fontId="37" fillId="33" borderId="74" applyAlignment="1" pivotButton="0" quotePrefix="0" xfId="0">
      <alignment horizontal="center"/>
    </xf>
    <xf numFmtId="3" fontId="37" fillId="33" borderId="71" applyAlignment="1" pivotButton="0" quotePrefix="0" xfId="0">
      <alignment horizontal="center"/>
    </xf>
    <xf numFmtId="0" fontId="246" fillId="22" borderId="0" pivotButton="0" quotePrefix="0" xfId="0"/>
    <xf numFmtId="0" fontId="247" fillId="22" borderId="0" pivotButton="0" quotePrefix="0" xfId="0"/>
    <xf numFmtId="0" fontId="246" fillId="22" borderId="21" pivotButton="0" quotePrefix="0" xfId="0"/>
    <xf numFmtId="0" fontId="247" fillId="22" borderId="0" applyAlignment="1" pivotButton="0" quotePrefix="0" xfId="0">
      <alignment horizontal="center"/>
    </xf>
    <xf numFmtId="0" fontId="69" fillId="2" borderId="0" applyAlignment="1" pivotButton="0" quotePrefix="0" xfId="0">
      <alignment horizontal="right"/>
    </xf>
    <xf numFmtId="0" fontId="167" fillId="22" borderId="0" applyAlignment="1" pivotButton="0" quotePrefix="0" xfId="0">
      <alignment vertical="center"/>
    </xf>
    <xf numFmtId="0" fontId="247" fillId="22" borderId="0" pivotButton="0" quotePrefix="1" xfId="0"/>
    <xf numFmtId="0" fontId="170" fillId="10" borderId="116" applyAlignment="1" pivotButton="0" quotePrefix="0" xfId="0">
      <alignment vertical="center"/>
    </xf>
    <xf numFmtId="0" fontId="159" fillId="10" borderId="116" applyAlignment="1" pivotButton="0" quotePrefix="0" xfId="0">
      <alignment vertical="center"/>
    </xf>
    <xf numFmtId="0" fontId="157" fillId="10" borderId="116" applyAlignment="1" pivotButton="0" quotePrefix="0" xfId="0">
      <alignment vertical="center"/>
    </xf>
    <xf numFmtId="0" fontId="157" fillId="10" borderId="116" applyAlignment="1" pivotButton="0" quotePrefix="0" xfId="0">
      <alignment horizontal="left" vertical="center"/>
    </xf>
    <xf numFmtId="0" fontId="186" fillId="10" borderId="116" applyAlignment="1" pivotButton="0" quotePrefix="0" xfId="0">
      <alignment horizontal="left" vertical="center"/>
    </xf>
    <xf numFmtId="0" fontId="71" fillId="22" borderId="0" pivotButton="0" quotePrefix="0" xfId="0"/>
    <xf numFmtId="0" fontId="251" fillId="22" borderId="0" pivotButton="0" quotePrefix="0" xfId="0"/>
    <xf numFmtId="0" fontId="133" fillId="22" borderId="0" pivotButton="0" quotePrefix="0" xfId="0"/>
    <xf numFmtId="0" fontId="252" fillId="36" borderId="0" applyAlignment="1" pivotButton="0" quotePrefix="0" xfId="0">
      <alignment horizontal="left" indent="2"/>
    </xf>
    <xf numFmtId="0" fontId="69" fillId="36" borderId="0" applyAlignment="1" pivotButton="0" quotePrefix="0" xfId="0">
      <alignment horizontal="center"/>
    </xf>
    <xf numFmtId="0" fontId="252" fillId="36" borderId="0" applyAlignment="1" pivotButton="0" quotePrefix="0" xfId="0">
      <alignment vertical="top"/>
    </xf>
    <xf numFmtId="0" fontId="69" fillId="22" borderId="10" pivotButton="0" quotePrefix="0" xfId="0"/>
    <xf numFmtId="0" fontId="141" fillId="7" borderId="1" pivotButton="0" quotePrefix="0" xfId="0"/>
    <xf numFmtId="0" fontId="141" fillId="7" borderId="14" applyAlignment="1" pivotButton="0" quotePrefix="0" xfId="0">
      <alignment horizontal="center"/>
    </xf>
    <xf numFmtId="0" fontId="141" fillId="7" borderId="11" applyAlignment="1" pivotButton="0" quotePrefix="0" xfId="0">
      <alignment horizontal="center"/>
    </xf>
    <xf numFmtId="0" fontId="141" fillId="7" borderId="14" pivotButton="0" quotePrefix="0" xfId="0"/>
    <xf numFmtId="0" fontId="80" fillId="8" borderId="7" applyAlignment="1" pivotButton="0" quotePrefix="0" xfId="0">
      <alignment horizontal="center"/>
    </xf>
    <xf numFmtId="0" fontId="80" fillId="8" borderId="1" applyAlignment="1" pivotButton="0" quotePrefix="0" xfId="0">
      <alignment horizontal="center"/>
    </xf>
    <xf numFmtId="0" fontId="80" fillId="8" borderId="12" applyAlignment="1" pivotButton="0" quotePrefix="0" xfId="0">
      <alignment horizontal="left" indent="5"/>
    </xf>
    <xf numFmtId="0" fontId="80" fillId="8" borderId="14" applyAlignment="1" pivotButton="0" quotePrefix="0" xfId="0">
      <alignment horizontal="left" indent="12"/>
    </xf>
    <xf numFmtId="0" fontId="72" fillId="9" borderId="7" pivotButton="0" quotePrefix="0" xfId="0"/>
    <xf numFmtId="0" fontId="72" fillId="9" borderId="1" pivotButton="0" quotePrefix="0" xfId="0"/>
    <xf numFmtId="0" fontId="74" fillId="12" borderId="1" applyAlignment="1" pivotButton="0" quotePrefix="0" xfId="0">
      <alignment horizontal="center"/>
    </xf>
    <xf numFmtId="0" fontId="78" fillId="12" borderId="12" applyAlignment="1" pivotButton="0" quotePrefix="0" xfId="0">
      <alignment horizontal="left" indent="3"/>
    </xf>
    <xf numFmtId="0" fontId="74" fillId="12" borderId="13" applyAlignment="1" pivotButton="0" quotePrefix="0" xfId="0">
      <alignment horizontal="left" indent="7"/>
    </xf>
    <xf numFmtId="0" fontId="69" fillId="9" borderId="14" applyAlignment="1" pivotButton="0" quotePrefix="0" xfId="0">
      <alignment horizontal="left" indent="6"/>
    </xf>
    <xf numFmtId="0" fontId="69" fillId="9" borderId="13" applyAlignment="1" pivotButton="0" quotePrefix="0" xfId="0">
      <alignment horizontal="left" indent="13"/>
    </xf>
    <xf numFmtId="0" fontId="69" fillId="9" borderId="14" applyAlignment="1" pivotButton="0" quotePrefix="0" xfId="0">
      <alignment horizontal="left" indent="7"/>
    </xf>
    <xf numFmtId="0" fontId="69" fillId="9" borderId="13" applyAlignment="1" pivotButton="0" quotePrefix="0" xfId="0">
      <alignment horizontal="left" indent="7"/>
    </xf>
    <xf numFmtId="0" fontId="69" fillId="8" borderId="12" applyAlignment="1" pivotButton="0" quotePrefix="0" xfId="0">
      <alignment horizontal="left" indent="2"/>
    </xf>
    <xf numFmtId="0" fontId="69" fillId="8" borderId="13" applyAlignment="1" pivotButton="0" quotePrefix="0" xfId="0">
      <alignment horizontal="center"/>
    </xf>
    <xf numFmtId="0" fontId="69" fillId="8" borderId="12" applyAlignment="1" pivotButton="0" quotePrefix="0" xfId="0">
      <alignment horizontal="center"/>
    </xf>
    <xf numFmtId="0" fontId="69" fillId="8" borderId="14" applyAlignment="1" pivotButton="0" quotePrefix="0" xfId="0">
      <alignment horizontal="center"/>
    </xf>
    <xf numFmtId="0" fontId="69" fillId="8" borderId="7" applyAlignment="1" pivotButton="0" quotePrefix="0" xfId="0">
      <alignment horizontal="center"/>
    </xf>
    <xf numFmtId="0" fontId="69" fillId="9" borderId="9" applyAlignment="1" pivotButton="0" quotePrefix="0" xfId="0">
      <alignment horizontal="center"/>
    </xf>
    <xf numFmtId="0" fontId="72" fillId="9" borderId="8" pivotButton="0" quotePrefix="0" xfId="0"/>
    <xf numFmtId="0" fontId="72" fillId="9" borderId="3" pivotButton="0" quotePrefix="0" xfId="0"/>
    <xf numFmtId="0" fontId="78" fillId="37" borderId="7" applyAlignment="1" pivotButton="0" quotePrefix="0" xfId="0">
      <alignment horizontal="center"/>
    </xf>
    <xf numFmtId="0" fontId="74" fillId="38" borderId="7" pivotButton="0" quotePrefix="0" xfId="0"/>
    <xf numFmtId="0" fontId="69" fillId="15" borderId="7" applyAlignment="1" pivotButton="0" quotePrefix="0" xfId="0">
      <alignment horizontal="center" vertical="center"/>
    </xf>
    <xf numFmtId="0" fontId="69" fillId="16" borderId="2" applyAlignment="1" pivotButton="0" quotePrefix="0" xfId="0">
      <alignment horizontal="center" vertical="center"/>
    </xf>
    <xf numFmtId="0" fontId="69" fillId="17" borderId="2" applyAlignment="1" pivotButton="0" quotePrefix="0" xfId="0">
      <alignment horizontal="center" vertical="center"/>
    </xf>
    <xf numFmtId="2" fontId="55" fillId="8" borderId="10" applyAlignment="1" pivotButton="0" quotePrefix="0" xfId="0">
      <alignment horizontal="center"/>
    </xf>
    <xf numFmtId="0" fontId="69" fillId="9" borderId="10" applyAlignment="1" pivotButton="0" quotePrefix="0" xfId="0">
      <alignment horizontal="center"/>
    </xf>
    <xf numFmtId="0" fontId="69" fillId="9" borderId="12" applyAlignment="1" pivotButton="0" quotePrefix="0" xfId="0">
      <alignment horizontal="center"/>
    </xf>
    <xf numFmtId="0" fontId="78" fillId="37" borderId="9" applyAlignment="1" pivotButton="0" quotePrefix="0" xfId="0">
      <alignment horizontal="center"/>
    </xf>
    <xf numFmtId="0" fontId="74" fillId="38" borderId="9" applyAlignment="1" pivotButton="0" quotePrefix="0" xfId="0">
      <alignment horizontal="center"/>
    </xf>
    <xf numFmtId="0" fontId="69" fillId="16" borderId="21" applyAlignment="1" pivotButton="0" quotePrefix="0" xfId="0">
      <alignment horizontal="center" vertical="center"/>
    </xf>
    <xf numFmtId="0" fontId="69" fillId="16" borderId="6" applyAlignment="1" pivotButton="0" quotePrefix="0" xfId="0">
      <alignment horizontal="center" vertical="center"/>
    </xf>
    <xf numFmtId="0" fontId="69" fillId="17" borderId="5" applyAlignment="1" pivotButton="0" quotePrefix="0" xfId="0">
      <alignment horizontal="center" vertical="center"/>
    </xf>
    <xf numFmtId="0" fontId="69" fillId="16" borderId="14" applyAlignment="1" pivotButton="0" quotePrefix="0" xfId="0">
      <alignment horizontal="left" vertical="center"/>
    </xf>
    <xf numFmtId="0" fontId="69" fillId="16" borderId="13" applyAlignment="1" pivotButton="0" quotePrefix="0" xfId="0">
      <alignment horizontal="left" vertical="center" indent="5"/>
    </xf>
    <xf numFmtId="0" fontId="69" fillId="9" borderId="10" pivotButton="0" quotePrefix="0" xfId="0"/>
    <xf numFmtId="0" fontId="56" fillId="11" borderId="0" applyAlignment="1" pivotButton="0" quotePrefix="0" xfId="0">
      <alignment horizontal="left"/>
    </xf>
    <xf numFmtId="0" fontId="243" fillId="11" borderId="8" applyAlignment="1" pivotButton="0" quotePrefix="0" xfId="0">
      <alignment horizontal="left"/>
    </xf>
    <xf numFmtId="0" fontId="243" fillId="11" borderId="8" pivotButton="0" quotePrefix="0" xfId="0"/>
    <xf numFmtId="0" fontId="243" fillId="11" borderId="8" applyAlignment="1" pivotButton="0" quotePrefix="0" xfId="0">
      <alignment horizontal="center"/>
    </xf>
    <xf numFmtId="0" fontId="243" fillId="11" borderId="12" applyAlignment="1" pivotButton="0" quotePrefix="0" xfId="0">
      <alignment horizontal="center"/>
    </xf>
    <xf numFmtId="168" fontId="243" fillId="36" borderId="0" applyAlignment="1" pivotButton="0" quotePrefix="0" xfId="0">
      <alignment horizontal="center"/>
    </xf>
    <xf numFmtId="168" fontId="82" fillId="36" borderId="0" applyAlignment="1" pivotButton="0" quotePrefix="0" xfId="0">
      <alignment horizontal="center"/>
    </xf>
    <xf numFmtId="168" fontId="243" fillId="11" borderId="13" applyAlignment="1" pivotButton="0" quotePrefix="0" xfId="0">
      <alignment horizontal="center"/>
    </xf>
    <xf numFmtId="168" fontId="243" fillId="11" borderId="10" applyAlignment="1" pivotButton="0" quotePrefix="0" xfId="0">
      <alignment horizontal="center"/>
    </xf>
    <xf numFmtId="0" fontId="243" fillId="11" borderId="10" applyAlignment="1" pivotButton="0" quotePrefix="0" xfId="0">
      <alignment horizontal="center"/>
    </xf>
    <xf numFmtId="0" fontId="74" fillId="21" borderId="0" pivotButton="0" quotePrefix="0" xfId="0"/>
    <xf numFmtId="0" fontId="72" fillId="21" borderId="8" applyAlignment="1" pivotButton="0" quotePrefix="0" xfId="0">
      <alignment horizontal="left"/>
    </xf>
    <xf numFmtId="0" fontId="72" fillId="21" borderId="8" applyAlignment="1" pivotButton="0" quotePrefix="0" xfId="0">
      <alignment horizontal="center"/>
    </xf>
    <xf numFmtId="0" fontId="72" fillId="21" borderId="8" pivotButton="0" quotePrefix="0" xfId="0"/>
    <xf numFmtId="0" fontId="72" fillId="21" borderId="3" applyAlignment="1" pivotButton="0" quotePrefix="0" xfId="0">
      <alignment horizontal="center"/>
    </xf>
    <xf numFmtId="168" fontId="72" fillId="21" borderId="8" applyAlignment="1" pivotButton="0" quotePrefix="0" xfId="0">
      <alignment horizontal="center"/>
    </xf>
    <xf numFmtId="0" fontId="56" fillId="25" borderId="0" applyAlignment="1" pivotButton="0" quotePrefix="0" xfId="0">
      <alignment horizontal="left"/>
    </xf>
    <xf numFmtId="0" fontId="72" fillId="25" borderId="8" applyAlignment="1" pivotButton="0" quotePrefix="0" xfId="0">
      <alignment horizontal="left"/>
    </xf>
    <xf numFmtId="0" fontId="72" fillId="25" borderId="8" pivotButton="0" quotePrefix="0" xfId="0"/>
    <xf numFmtId="0" fontId="72" fillId="25" borderId="8" applyAlignment="1" pivotButton="0" quotePrefix="0" xfId="0">
      <alignment horizontal="center"/>
    </xf>
    <xf numFmtId="0" fontId="72" fillId="25" borderId="3" applyAlignment="1" pivotButton="0" quotePrefix="0" xfId="0">
      <alignment horizontal="center"/>
    </xf>
    <xf numFmtId="168" fontId="72" fillId="25" borderId="8" applyAlignment="1" pivotButton="0" quotePrefix="0" xfId="0">
      <alignment horizontal="center"/>
    </xf>
    <xf numFmtId="0" fontId="74" fillId="12" borderId="0" pivotButton="0" quotePrefix="0" xfId="0"/>
    <xf numFmtId="0" fontId="72" fillId="12" borderId="8" applyAlignment="1" pivotButton="0" quotePrefix="0" xfId="0">
      <alignment horizontal="left"/>
    </xf>
    <xf numFmtId="0" fontId="72" fillId="12" borderId="8" applyAlignment="1" pivotButton="0" quotePrefix="0" xfId="0">
      <alignment horizontal="center"/>
    </xf>
    <xf numFmtId="0" fontId="72" fillId="12" borderId="8" pivotButton="0" quotePrefix="0" xfId="0"/>
    <xf numFmtId="0" fontId="72" fillId="12" borderId="3" applyAlignment="1" pivotButton="0" quotePrefix="0" xfId="0">
      <alignment horizontal="center"/>
    </xf>
    <xf numFmtId="168" fontId="82" fillId="36" borderId="21" applyAlignment="1" pivotButton="0" quotePrefix="0" xfId="0">
      <alignment horizontal="center"/>
    </xf>
    <xf numFmtId="168" fontId="72" fillId="12" borderId="8" applyAlignment="1" pivotButton="0" quotePrefix="0" xfId="0">
      <alignment horizontal="center"/>
    </xf>
    <xf numFmtId="168" fontId="77" fillId="36" borderId="0" applyAlignment="1" pivotButton="0" quotePrefix="0" xfId="0">
      <alignment horizontal="center" vertical="center"/>
    </xf>
    <xf numFmtId="0" fontId="69" fillId="0" borderId="0" applyAlignment="1" pivotButton="0" quotePrefix="0" xfId="0">
      <alignment horizontal="center"/>
    </xf>
    <xf numFmtId="0" fontId="56" fillId="45" borderId="0" applyAlignment="1" pivotButton="0" quotePrefix="0" xfId="0">
      <alignment horizontal="left" indent="9"/>
    </xf>
    <xf numFmtId="0" fontId="88" fillId="45" borderId="0" applyAlignment="1" pivotButton="0" quotePrefix="0" xfId="0">
      <alignment horizontal="left" vertical="center" indent="9"/>
    </xf>
    <xf numFmtId="0" fontId="88" fillId="45" borderId="0" applyAlignment="1" pivotButton="0" quotePrefix="0" xfId="0">
      <alignment horizontal="left" indent="6"/>
    </xf>
    <xf numFmtId="3" fontId="70" fillId="33" borderId="66" applyAlignment="1" pivotButton="0" quotePrefix="0" xfId="0">
      <alignment horizontal="center" vertical="center"/>
    </xf>
    <xf numFmtId="3" fontId="70" fillId="33" borderId="72" applyAlignment="1" pivotButton="0" quotePrefix="0" xfId="0">
      <alignment horizontal="center" vertical="center"/>
    </xf>
    <xf numFmtId="3" fontId="70" fillId="33" borderId="67" applyAlignment="1" pivotButton="0" quotePrefix="0" xfId="0">
      <alignment horizontal="center" vertical="center"/>
    </xf>
    <xf numFmtId="3" fontId="70" fillId="33" borderId="68" applyAlignment="1" pivotButton="0" quotePrefix="0" xfId="0">
      <alignment horizontal="center" vertical="center"/>
    </xf>
    <xf numFmtId="3" fontId="70" fillId="33" borderId="73" applyAlignment="1" pivotButton="0" quotePrefix="0" xfId="0">
      <alignment horizontal="center" vertical="center"/>
    </xf>
    <xf numFmtId="3" fontId="70" fillId="33" borderId="69" applyAlignment="1" pivotButton="0" quotePrefix="0" xfId="0">
      <alignment horizontal="center" vertical="center"/>
    </xf>
    <xf numFmtId="3" fontId="70" fillId="33" borderId="70" applyAlignment="1" pivotButton="0" quotePrefix="0" xfId="0">
      <alignment horizontal="center" vertical="center"/>
    </xf>
    <xf numFmtId="3" fontId="70" fillId="33" borderId="74" applyAlignment="1" pivotButton="0" quotePrefix="0" xfId="0">
      <alignment horizontal="center" vertical="center"/>
    </xf>
    <xf numFmtId="3" fontId="70" fillId="33" borderId="71" applyAlignment="1" pivotButton="0" quotePrefix="0" xfId="0">
      <alignment horizontal="center" vertical="center"/>
    </xf>
    <xf numFmtId="0" fontId="243" fillId="11" borderId="3" pivotButton="0" quotePrefix="0" xfId="0"/>
    <xf numFmtId="0" fontId="72" fillId="21" borderId="3" pivotButton="0" quotePrefix="0" xfId="0"/>
    <xf numFmtId="0" fontId="72" fillId="25" borderId="3" pivotButton="0" quotePrefix="0" xfId="0"/>
    <xf numFmtId="0" fontId="72" fillId="12" borderId="3" pivotButton="0" quotePrefix="0" xfId="0"/>
    <xf numFmtId="0" fontId="69" fillId="16" borderId="66" applyAlignment="1" pivotButton="0" quotePrefix="0" xfId="0">
      <alignment horizontal="center" vertical="center"/>
    </xf>
    <xf numFmtId="0" fontId="69" fillId="17" borderId="72" applyAlignment="1" pivotButton="0" quotePrefix="0" xfId="0">
      <alignment horizontal="center" vertical="center"/>
    </xf>
    <xf numFmtId="0" fontId="69" fillId="16" borderId="72" applyAlignment="1" pivotButton="0" quotePrefix="0" xfId="0">
      <alignment horizontal="center" vertical="center"/>
    </xf>
    <xf numFmtId="0" fontId="69" fillId="17" borderId="67" applyAlignment="1" pivotButton="0" quotePrefix="0" xfId="0">
      <alignment horizontal="center" vertical="center"/>
    </xf>
    <xf numFmtId="3" fontId="88" fillId="11" borderId="68" applyAlignment="1" pivotButton="0" quotePrefix="0" xfId="0">
      <alignment horizontal="center"/>
    </xf>
    <xf numFmtId="3" fontId="88" fillId="11" borderId="73" applyAlignment="1" pivotButton="0" quotePrefix="0" xfId="0">
      <alignment horizontal="center"/>
    </xf>
    <xf numFmtId="3" fontId="88" fillId="11" borderId="69" applyAlignment="1" pivotButton="0" quotePrefix="0" xfId="0">
      <alignment horizontal="center"/>
    </xf>
    <xf numFmtId="3" fontId="72" fillId="21" borderId="68" applyAlignment="1" pivotButton="0" quotePrefix="0" xfId="0">
      <alignment horizontal="center"/>
    </xf>
    <xf numFmtId="3" fontId="72" fillId="21" borderId="73" applyAlignment="1" pivotButton="0" quotePrefix="0" xfId="0">
      <alignment horizontal="center"/>
    </xf>
    <xf numFmtId="3" fontId="72" fillId="21" borderId="69" applyAlignment="1" pivotButton="0" quotePrefix="0" xfId="0">
      <alignment horizontal="center"/>
    </xf>
    <xf numFmtId="3" fontId="72" fillId="25" borderId="68" applyAlignment="1" pivotButton="0" quotePrefix="0" xfId="0">
      <alignment horizontal="center"/>
    </xf>
    <xf numFmtId="3" fontId="72" fillId="25" borderId="73" applyAlignment="1" pivotButton="0" quotePrefix="0" xfId="0">
      <alignment horizontal="center"/>
    </xf>
    <xf numFmtId="3" fontId="72" fillId="25" borderId="69" applyAlignment="1" pivotButton="0" quotePrefix="0" xfId="0">
      <alignment horizontal="center"/>
    </xf>
    <xf numFmtId="0" fontId="88" fillId="45" borderId="0" applyAlignment="1" pivotButton="0" quotePrefix="0" xfId="0">
      <alignment horizontal="left" indent="1"/>
    </xf>
    <xf numFmtId="0" fontId="69" fillId="13" borderId="11" pivotButton="0" quotePrefix="0" xfId="0"/>
    <xf numFmtId="0" fontId="69" fillId="13" borderId="11" applyAlignment="1" pivotButton="0" quotePrefix="0" xfId="0">
      <alignment horizontal="center"/>
    </xf>
    <xf numFmtId="0" fontId="69" fillId="13" borderId="21" pivotButton="0" quotePrefix="0" xfId="0"/>
    <xf numFmtId="0" fontId="69" fillId="13" borderId="21" applyAlignment="1" pivotButton="0" quotePrefix="0" xfId="0">
      <alignment horizontal="center"/>
    </xf>
    <xf numFmtId="2" fontId="55" fillId="13" borderId="137" pivotButton="0" quotePrefix="0" xfId="0"/>
    <xf numFmtId="2" fontId="55" fillId="13" borderId="118" pivotButton="0" quotePrefix="0" xfId="0"/>
    <xf numFmtId="2" fontId="55" fillId="13" borderId="119" pivotButton="0" quotePrefix="0" xfId="0"/>
    <xf numFmtId="164" fontId="69" fillId="14" borderId="137" applyAlignment="1" pivotButton="0" quotePrefix="0" xfId="0">
      <alignment horizontal="center"/>
    </xf>
    <xf numFmtId="164" fontId="69" fillId="14" borderId="118" applyAlignment="1" pivotButton="0" quotePrefix="0" xfId="0">
      <alignment horizontal="center"/>
    </xf>
    <xf numFmtId="164" fontId="69" fillId="14" borderId="119" applyAlignment="1" pivotButton="0" quotePrefix="0" xfId="0">
      <alignment horizontal="center"/>
    </xf>
    <xf numFmtId="0" fontId="74" fillId="13" borderId="21" pivotButton="0" quotePrefix="0" xfId="0"/>
    <xf numFmtId="0" fontId="56" fillId="12" borderId="0" applyAlignment="1" pivotButton="0" quotePrefix="0" xfId="0">
      <alignment horizontal="left" vertical="top" indent="9"/>
    </xf>
    <xf numFmtId="0" fontId="56" fillId="12" borderId="0" applyAlignment="1" pivotButton="0" quotePrefix="0" xfId="0">
      <alignment horizontal="left" indent="2"/>
    </xf>
    <xf numFmtId="0" fontId="70" fillId="12" borderId="0" applyAlignment="1" pivotButton="0" quotePrefix="0" xfId="0">
      <alignment horizontal="left" indent="12"/>
    </xf>
    <xf numFmtId="0" fontId="56" fillId="12" borderId="0" applyAlignment="1" pivotButton="0" quotePrefix="0" xfId="0">
      <alignment horizontal="left" indent="1"/>
    </xf>
    <xf numFmtId="0" fontId="56" fillId="12" borderId="0" pivotButton="0" quotePrefix="0" xfId="0"/>
    <xf numFmtId="0" fontId="70" fillId="12" borderId="0" applyAlignment="1" pivotButton="0" quotePrefix="0" xfId="0">
      <alignment horizontal="left" indent="4"/>
    </xf>
    <xf numFmtId="0" fontId="74" fillId="8" borderId="0" applyAlignment="1" pivotButton="0" quotePrefix="0" xfId="0">
      <alignment horizontal="center"/>
    </xf>
    <xf numFmtId="0" fontId="74" fillId="15" borderId="0" applyAlignment="1" pivotButton="0" quotePrefix="0" xfId="0">
      <alignment horizontal="center" vertical="center"/>
    </xf>
    <xf numFmtId="0" fontId="88" fillId="16" borderId="0" applyAlignment="1" pivotButton="0" quotePrefix="0" xfId="0">
      <alignment horizontal="left" vertical="top" indent="8"/>
    </xf>
    <xf numFmtId="0" fontId="88" fillId="16" borderId="0" applyAlignment="1" pivotButton="0" quotePrefix="0" xfId="0">
      <alignment horizontal="left" indent="10"/>
    </xf>
    <xf numFmtId="0" fontId="88" fillId="17" borderId="0" applyAlignment="1" pivotButton="0" quotePrefix="0" xfId="0">
      <alignment horizontal="left" indent="5"/>
    </xf>
    <xf numFmtId="0" fontId="74" fillId="16" borderId="0" applyAlignment="1" pivotButton="0" quotePrefix="0" xfId="0">
      <alignment horizontal="center"/>
    </xf>
    <xf numFmtId="0" fontId="69" fillId="15" borderId="0" applyAlignment="1" pivotButton="0" quotePrefix="0" xfId="0">
      <alignment horizontal="center" vertical="center"/>
    </xf>
    <xf numFmtId="0" fontId="74" fillId="16" borderId="0" applyAlignment="1" pivotButton="0" quotePrefix="0" xfId="0">
      <alignment horizontal="center" vertical="center"/>
    </xf>
    <xf numFmtId="0" fontId="74" fillId="16" borderId="0" applyAlignment="1" pivotButton="0" quotePrefix="0" xfId="0">
      <alignment horizontal="left" vertical="center" wrapText="1"/>
    </xf>
    <xf numFmtId="0" fontId="69" fillId="16" borderId="0" applyAlignment="1" pivotButton="0" quotePrefix="0" xfId="0">
      <alignment horizontal="center"/>
    </xf>
    <xf numFmtId="0" fontId="69" fillId="17" borderId="0" applyAlignment="1" pivotButton="0" quotePrefix="0" xfId="0">
      <alignment horizontal="center"/>
    </xf>
    <xf numFmtId="0" fontId="243" fillId="11" borderId="0" applyAlignment="1" pivotButton="0" quotePrefix="0" xfId="0">
      <alignment horizontal="center"/>
    </xf>
    <xf numFmtId="0" fontId="82" fillId="11" borderId="0" applyAlignment="1" pivotButton="0" quotePrefix="0" xfId="0">
      <alignment horizontal="center"/>
    </xf>
    <xf numFmtId="3" fontId="243" fillId="11" borderId="0" applyAlignment="1" pivotButton="0" quotePrefix="0" xfId="0">
      <alignment horizontal="center"/>
    </xf>
    <xf numFmtId="3" fontId="72" fillId="21" borderId="0" applyAlignment="1" pivotButton="0" quotePrefix="0" xfId="0">
      <alignment horizontal="center"/>
    </xf>
    <xf numFmtId="0" fontId="72" fillId="25" borderId="0" applyAlignment="1" pivotButton="0" quotePrefix="0" xfId="0">
      <alignment horizontal="center"/>
    </xf>
    <xf numFmtId="3" fontId="72" fillId="25" borderId="0" applyAlignment="1" pivotButton="0" quotePrefix="0" xfId="0">
      <alignment horizontal="center"/>
    </xf>
    <xf numFmtId="0" fontId="69" fillId="26" borderId="0" pivotButton="0" quotePrefix="0" xfId="0"/>
    <xf numFmtId="3" fontId="78" fillId="6" borderId="0" applyAlignment="1" pivotButton="0" quotePrefix="0" xfId="0">
      <alignment horizontal="left"/>
    </xf>
    <xf numFmtId="0" fontId="69" fillId="22" borderId="0" applyAlignment="1" pivotButton="0" quotePrefix="0" xfId="0">
      <alignment horizontal="center" vertical="center"/>
    </xf>
    <xf numFmtId="168" fontId="77" fillId="36" borderId="11" applyAlignment="1" pivotButton="0" quotePrefix="0" xfId="0">
      <alignment horizontal="center" vertical="center"/>
    </xf>
    <xf numFmtId="168" fontId="69" fillId="2" borderId="11" applyAlignment="1" pivotButton="0" quotePrefix="0" xfId="0">
      <alignment horizontal="center"/>
    </xf>
    <xf numFmtId="0" fontId="55" fillId="22" borderId="11" applyAlignment="1" pivotButton="0" quotePrefix="0" xfId="0">
      <alignment horizontal="center"/>
    </xf>
    <xf numFmtId="0" fontId="69" fillId="22" borderId="11" applyAlignment="1" pivotButton="0" quotePrefix="0" xfId="0">
      <alignment horizontal="center" vertical="center"/>
    </xf>
    <xf numFmtId="0" fontId="55" fillId="22" borderId="0" applyAlignment="1" pivotButton="0" quotePrefix="0" xfId="0">
      <alignment horizontal="center"/>
    </xf>
    <xf numFmtId="168" fontId="69" fillId="2" borderId="126" applyAlignment="1" pivotButton="0" quotePrefix="0" xfId="0">
      <alignment horizontal="center" vertical="center"/>
    </xf>
    <xf numFmtId="168" fontId="69" fillId="2" borderId="127" applyAlignment="1" pivotButton="0" quotePrefix="0" xfId="0">
      <alignment horizontal="center" vertical="center"/>
    </xf>
    <xf numFmtId="168" fontId="69" fillId="2" borderId="68" applyAlignment="1" pivotButton="0" quotePrefix="0" xfId="0">
      <alignment horizontal="center" vertical="center"/>
    </xf>
    <xf numFmtId="168" fontId="69" fillId="2" borderId="69" applyAlignment="1" pivotButton="0" quotePrefix="0" xfId="0">
      <alignment horizontal="center" vertical="center"/>
    </xf>
    <xf numFmtId="168" fontId="69" fillId="2" borderId="70" applyAlignment="1" pivotButton="0" quotePrefix="0" xfId="0">
      <alignment horizontal="center" vertical="center"/>
    </xf>
    <xf numFmtId="168" fontId="69" fillId="2" borderId="71" applyAlignment="1" pivotButton="0" quotePrefix="0" xfId="0">
      <alignment horizontal="center" vertical="center"/>
    </xf>
    <xf numFmtId="166" fontId="69" fillId="2" borderId="11" applyAlignment="1" pivotButton="0" quotePrefix="0" xfId="0">
      <alignment horizontal="center"/>
    </xf>
    <xf numFmtId="0" fontId="243" fillId="11" borderId="7" applyAlignment="1" pivotButton="0" quotePrefix="0" xfId="0">
      <alignment horizontal="center"/>
    </xf>
    <xf numFmtId="2" fontId="243" fillId="11" borderId="7" applyAlignment="1" pivotButton="0" quotePrefix="0" xfId="0">
      <alignment horizontal="center"/>
    </xf>
    <xf numFmtId="2" fontId="243" fillId="11" borderId="1" applyAlignment="1" pivotButton="0" quotePrefix="0" xfId="0">
      <alignment horizontal="center"/>
    </xf>
    <xf numFmtId="2" fontId="72" fillId="21" borderId="8" applyAlignment="1" pivotButton="0" quotePrefix="0" xfId="0">
      <alignment horizontal="center"/>
    </xf>
    <xf numFmtId="2" fontId="72" fillId="25" borderId="8" applyAlignment="1" pivotButton="0" quotePrefix="0" xfId="0">
      <alignment horizontal="center"/>
    </xf>
    <xf numFmtId="2" fontId="72" fillId="12" borderId="8" applyAlignment="1" pivotButton="0" quotePrefix="0" xfId="0">
      <alignment horizontal="center"/>
    </xf>
    <xf numFmtId="0" fontId="74" fillId="0" borderId="0" applyAlignment="1" pivotButton="0" quotePrefix="0" xfId="0">
      <alignment horizontal="right"/>
    </xf>
    <xf numFmtId="0" fontId="0" fillId="22" borderId="21" applyAlignment="1" pivotButton="0" quotePrefix="0" xfId="0">
      <alignment vertical="center"/>
    </xf>
    <xf numFmtId="3" fontId="74" fillId="2" borderId="0" applyAlignment="1" pivotButton="0" quotePrefix="0" xfId="0">
      <alignment horizontal="center"/>
    </xf>
    <xf numFmtId="3" fontId="70" fillId="40" borderId="10" applyAlignment="1" pivotButton="0" quotePrefix="0" xfId="0">
      <alignment horizontal="center"/>
    </xf>
    <xf numFmtId="3" fontId="69" fillId="0" borderId="10" applyAlignment="1" pivotButton="0" quotePrefix="0" xfId="0">
      <alignment horizontal="center"/>
    </xf>
    <xf numFmtId="3" fontId="69" fillId="29" borderId="10" applyAlignment="1" pivotButton="0" quotePrefix="0" xfId="0">
      <alignment horizontal="center"/>
    </xf>
    <xf numFmtId="3" fontId="74" fillId="12" borderId="9" applyAlignment="1" pivotButton="0" quotePrefix="0" xfId="0">
      <alignment horizontal="center"/>
    </xf>
    <xf numFmtId="3" fontId="74" fillId="12" borderId="6" applyAlignment="1" pivotButton="0" quotePrefix="0" xfId="0">
      <alignment horizontal="center"/>
    </xf>
    <xf numFmtId="3" fontId="70" fillId="40" borderId="10" applyAlignment="1" pivotButton="0" quotePrefix="0" xfId="0">
      <alignment horizontal="center" vertical="center"/>
    </xf>
    <xf numFmtId="3" fontId="69" fillId="0" borderId="10" applyAlignment="1" pivotButton="0" quotePrefix="0" xfId="0">
      <alignment horizontal="center" vertical="center"/>
    </xf>
    <xf numFmtId="3" fontId="69" fillId="29" borderId="10" applyAlignment="1" pivotButton="0" quotePrefix="0" xfId="0">
      <alignment horizontal="center" vertical="center"/>
    </xf>
    <xf numFmtId="3" fontId="69" fillId="22" borderId="10" applyAlignment="1" pivotButton="0" quotePrefix="0" xfId="0">
      <alignment horizontal="center" vertical="center"/>
    </xf>
    <xf numFmtId="3" fontId="69" fillId="0" borderId="9" applyAlignment="1" pivotButton="0" quotePrefix="0" xfId="0">
      <alignment horizontal="center"/>
    </xf>
    <xf numFmtId="3" fontId="69" fillId="40" borderId="10" applyAlignment="1" pivotButton="0" quotePrefix="0" xfId="0">
      <alignment horizontal="center" vertical="center"/>
    </xf>
    <xf numFmtId="4" fontId="69" fillId="6" borderId="70" applyAlignment="1" pivotButton="0" quotePrefix="0" xfId="0">
      <alignment horizontal="center"/>
    </xf>
    <xf numFmtId="4" fontId="69" fillId="6" borderId="71" applyAlignment="1" pivotButton="0" quotePrefix="0" xfId="0">
      <alignment horizontal="center"/>
    </xf>
    <xf numFmtId="0" fontId="171" fillId="22" borderId="0" applyAlignment="1" pivotButton="0" quotePrefix="0" xfId="0">
      <alignment vertical="center"/>
    </xf>
    <xf numFmtId="0" fontId="176" fillId="22" borderId="0" applyAlignment="1" pivotButton="0" quotePrefix="0" xfId="0">
      <alignment vertical="center"/>
    </xf>
    <xf numFmtId="0" fontId="69" fillId="10" borderId="3" applyAlignment="1" pivotButton="0" quotePrefix="0" xfId="0">
      <alignment horizontal="center"/>
    </xf>
    <xf numFmtId="0" fontId="69" fillId="10" borderId="5" applyAlignment="1" pivotButton="0" quotePrefix="0" xfId="0">
      <alignment horizontal="center"/>
    </xf>
    <xf numFmtId="3" fontId="69" fillId="6" borderId="0" applyAlignment="1" pivotButton="0" quotePrefix="0" xfId="0">
      <alignment horizontal="center"/>
    </xf>
    <xf numFmtId="0" fontId="89" fillId="36" borderId="0" applyAlignment="1" pivotButton="0" quotePrefix="0" xfId="0">
      <alignment horizontal="right"/>
    </xf>
    <xf numFmtId="0" fontId="255" fillId="36" borderId="0" applyAlignment="1" pivotButton="0" quotePrefix="0" xfId="0">
      <alignment horizontal="right" vertical="center"/>
    </xf>
    <xf numFmtId="0" fontId="69" fillId="36" borderId="0" applyAlignment="1" pivotButton="0" quotePrefix="0" xfId="0">
      <alignment horizontal="right"/>
    </xf>
    <xf numFmtId="0" fontId="83" fillId="36" borderId="0" pivotButton="0" quotePrefix="0" xfId="0"/>
    <xf numFmtId="0" fontId="255" fillId="36" borderId="0" applyAlignment="1" pivotButton="0" quotePrefix="0" xfId="0">
      <alignment horizontal="right"/>
    </xf>
    <xf numFmtId="0" fontId="255" fillId="36" borderId="0" applyAlignment="1" pivotButton="0" quotePrefix="0" xfId="0">
      <alignment horizontal="center"/>
    </xf>
    <xf numFmtId="0" fontId="255" fillId="22" borderId="0" applyAlignment="1" pivotButton="0" quotePrefix="0" xfId="0">
      <alignment horizontal="right"/>
    </xf>
    <xf numFmtId="0" fontId="255" fillId="22" borderId="0" applyAlignment="1" pivotButton="0" quotePrefix="0" xfId="0">
      <alignment horizontal="center"/>
    </xf>
    <xf numFmtId="0" fontId="255" fillId="22" borderId="0" applyAlignment="1" pivotButton="0" quotePrefix="0" xfId="0">
      <alignment horizontal="right" vertical="center"/>
    </xf>
    <xf numFmtId="0" fontId="89" fillId="22" borderId="0" applyAlignment="1" pivotButton="0" quotePrefix="0" xfId="0">
      <alignment horizontal="right"/>
    </xf>
    <xf numFmtId="3" fontId="77" fillId="36" borderId="0" pivotButton="0" quotePrefix="0" xfId="0"/>
    <xf numFmtId="0" fontId="89" fillId="36" borderId="0" applyAlignment="1" pivotButton="0" quotePrefix="0" xfId="0">
      <alignment horizontal="center"/>
    </xf>
    <xf numFmtId="0" fontId="44" fillId="2" borderId="2" applyAlignment="1" pivotButton="0" quotePrefix="0" xfId="0">
      <alignment horizontal="center"/>
    </xf>
    <xf numFmtId="2" fontId="29" fillId="2" borderId="8" applyAlignment="1" pivotButton="0" quotePrefix="0" xfId="0">
      <alignment horizontal="center" vertical="center" wrapText="1"/>
    </xf>
    <xf numFmtId="2" fontId="29" fillId="2" borderId="9" applyAlignment="1" pivotButton="0" quotePrefix="0" xfId="0">
      <alignment horizontal="center" vertical="center" wrapText="1"/>
    </xf>
    <xf numFmtId="0" fontId="44" fillId="12" borderId="0" applyAlignment="1" pivotButton="0" quotePrefix="0" xfId="0">
      <alignment horizontal="left" vertical="center" wrapText="1"/>
    </xf>
    <xf numFmtId="0" fontId="44" fillId="12" borderId="0" applyAlignment="1" pivotButton="0" quotePrefix="0" xfId="0">
      <alignment horizontal="center" vertical="center" wrapText="1"/>
    </xf>
    <xf numFmtId="4" fontId="3" fillId="6" borderId="0" pivotButton="0" quotePrefix="0" xfId="0"/>
    <xf numFmtId="3" fontId="0" fillId="6" borderId="0" applyAlignment="1" pivotButton="0" quotePrefix="0" xfId="0">
      <alignment horizontal="center"/>
    </xf>
    <xf numFmtId="4" fontId="0" fillId="22" borderId="0" pivotButton="0" quotePrefix="0" xfId="0"/>
    <xf numFmtId="3" fontId="10" fillId="6" borderId="73" applyAlignment="1" pivotButton="0" quotePrefix="0" xfId="0">
      <alignment horizontal="center"/>
    </xf>
    <xf numFmtId="3" fontId="10" fillId="6" borderId="74" applyAlignment="1" pivotButton="0" quotePrefix="0" xfId="0">
      <alignment horizontal="center"/>
    </xf>
    <xf numFmtId="1" fontId="4" fillId="25" borderId="73" applyAlignment="1" pivotButton="0" quotePrefix="0" xfId="0">
      <alignment horizontal="center"/>
    </xf>
    <xf numFmtId="1" fontId="10" fillId="21" borderId="73" applyAlignment="1" pivotButton="0" quotePrefix="0" xfId="0">
      <alignment horizontal="center"/>
    </xf>
    <xf numFmtId="3" fontId="10" fillId="2" borderId="72" applyAlignment="1" pivotButton="0" quotePrefix="0" xfId="0">
      <alignment horizontal="center"/>
    </xf>
    <xf numFmtId="3" fontId="10" fillId="6" borderId="72" applyAlignment="1" pivotButton="0" quotePrefix="0" xfId="0">
      <alignment horizontal="center"/>
    </xf>
    <xf numFmtId="1" fontId="4" fillId="11" borderId="72" applyAlignment="1" pivotButton="0" quotePrefix="0" xfId="0">
      <alignment horizontal="center"/>
    </xf>
    <xf numFmtId="1" fontId="4" fillId="11" borderId="67" applyAlignment="1" pivotButton="0" quotePrefix="0" xfId="0">
      <alignment horizontal="center"/>
    </xf>
    <xf numFmtId="1" fontId="4" fillId="25" borderId="68" applyAlignment="1" pivotButton="0" quotePrefix="0" xfId="0">
      <alignment horizontal="center"/>
    </xf>
    <xf numFmtId="1" fontId="4" fillId="25" borderId="69" applyAlignment="1" pivotButton="0" quotePrefix="0" xfId="0">
      <alignment horizontal="center"/>
    </xf>
    <xf numFmtId="1" fontId="10" fillId="21" borderId="69" applyAlignment="1" pivotButton="0" quotePrefix="0" xfId="0">
      <alignment horizontal="center"/>
    </xf>
    <xf numFmtId="1" fontId="10" fillId="12" borderId="74" applyAlignment="1" pivotButton="0" quotePrefix="0" xfId="0">
      <alignment horizontal="center"/>
    </xf>
    <xf numFmtId="1" fontId="10" fillId="12" borderId="71" applyAlignment="1" pivotButton="0" quotePrefix="0" xfId="0">
      <alignment horizontal="center"/>
    </xf>
    <xf numFmtId="0" fontId="37" fillId="12" borderId="0" pivotButton="0" quotePrefix="0" xfId="0"/>
    <xf numFmtId="0" fontId="22" fillId="12" borderId="0" applyAlignment="1" pivotButton="0" quotePrefix="0" xfId="0">
      <alignment horizontal="left" indent="12"/>
    </xf>
    <xf numFmtId="0" fontId="3" fillId="8" borderId="0" pivotButton="0" quotePrefix="0" xfId="0"/>
    <xf numFmtId="164" fontId="40" fillId="15" borderId="0" applyAlignment="1" pivotButton="0" quotePrefix="0" xfId="0">
      <alignment horizontal="center" vertical="center"/>
    </xf>
    <xf numFmtId="0" fontId="5" fillId="16" borderId="0" applyAlignment="1" pivotButton="0" quotePrefix="0" xfId="0">
      <alignment horizontal="left" vertical="center"/>
    </xf>
    <xf numFmtId="0" fontId="5" fillId="16" borderId="0" applyAlignment="1" pivotButton="0" quotePrefix="0" xfId="0">
      <alignment horizontal="left" indent="10"/>
    </xf>
    <xf numFmtId="0" fontId="5" fillId="17" borderId="0" applyAlignment="1" pivotButton="0" quotePrefix="0" xfId="0">
      <alignment horizontal="center" vertical="center"/>
    </xf>
    <xf numFmtId="0" fontId="40" fillId="17" borderId="0" applyAlignment="1" pivotButton="0" quotePrefix="0" xfId="0">
      <alignment horizontal="left" vertical="center" indent="7"/>
    </xf>
    <xf numFmtId="0" fontId="40" fillId="16" borderId="0" applyAlignment="1" pivotButton="0" quotePrefix="0" xfId="0">
      <alignment horizontal="center" vertical="center"/>
    </xf>
    <xf numFmtId="0" fontId="40" fillId="16" borderId="0" applyAlignment="1" pivotButton="0" quotePrefix="0" xfId="0">
      <alignment horizontal="left" vertical="center" wrapText="1"/>
    </xf>
    <xf numFmtId="0" fontId="39" fillId="17" borderId="0" applyAlignment="1" pivotButton="0" quotePrefix="0" xfId="0">
      <alignment horizontal="center" vertical="center"/>
    </xf>
    <xf numFmtId="0" fontId="5" fillId="11" borderId="0" pivotButton="0" quotePrefix="0" xfId="0"/>
    <xf numFmtId="0" fontId="44" fillId="12" borderId="0" pivotButton="0" quotePrefix="0" xfId="0"/>
    <xf numFmtId="0" fontId="5" fillId="11" borderId="0" applyAlignment="1" pivotButton="0" quotePrefix="0" xfId="0">
      <alignment horizontal="center"/>
    </xf>
    <xf numFmtId="0" fontId="5" fillId="25" borderId="0" applyAlignment="1" pivotButton="0" quotePrefix="0" xfId="0">
      <alignment horizontal="center"/>
    </xf>
    <xf numFmtId="0" fontId="10" fillId="21" borderId="0" applyAlignment="1" pivotButton="0" quotePrefix="0" xfId="0">
      <alignment horizontal="center"/>
    </xf>
    <xf numFmtId="0" fontId="10" fillId="12" borderId="0" applyAlignment="1" pivotButton="0" quotePrefix="0" xfId="0">
      <alignment horizontal="center"/>
    </xf>
    <xf numFmtId="0" fontId="39" fillId="22" borderId="139" applyAlignment="1" pivotButton="0" quotePrefix="0" xfId="0">
      <alignment horizontal="center" vertical="center"/>
    </xf>
    <xf numFmtId="0" fontId="39" fillId="22" borderId="72" applyAlignment="1" pivotButton="0" quotePrefix="0" xfId="0">
      <alignment horizontal="center" vertical="center"/>
    </xf>
    <xf numFmtId="0" fontId="39" fillId="22" borderId="91" applyAlignment="1" pivotButton="0" quotePrefix="0" xfId="0">
      <alignment horizontal="center" vertical="center"/>
    </xf>
    <xf numFmtId="0" fontId="39" fillId="22" borderId="73" applyAlignment="1" pivotButton="0" quotePrefix="0" xfId="0">
      <alignment horizontal="center" vertical="center"/>
    </xf>
    <xf numFmtId="0" fontId="39" fillId="22" borderId="138" applyAlignment="1" pivotButton="0" quotePrefix="0" xfId="0">
      <alignment horizontal="center" vertical="center"/>
    </xf>
    <xf numFmtId="0" fontId="39" fillId="22" borderId="74" applyAlignment="1" pivotButton="0" quotePrefix="0" xfId="0">
      <alignment horizontal="center" vertical="center"/>
    </xf>
    <xf numFmtId="0" fontId="22" fillId="12" borderId="0" applyAlignment="1" pivotButton="0" quotePrefix="0" xfId="0">
      <alignment horizontal="left"/>
    </xf>
    <xf numFmtId="0" fontId="37" fillId="12" borderId="0" applyAlignment="1" pivotButton="0" quotePrefix="0" xfId="0">
      <alignment horizontal="left" indent="12"/>
    </xf>
    <xf numFmtId="0" fontId="22" fillId="12" borderId="0" applyAlignment="1" pivotButton="0" quotePrefix="0" xfId="0">
      <alignment horizontal="left" indent="3"/>
    </xf>
    <xf numFmtId="0" fontId="22" fillId="12" borderId="0" pivotButton="0" quotePrefix="0" xfId="0"/>
    <xf numFmtId="0" fontId="37" fillId="12" borderId="0" applyAlignment="1" pivotButton="0" quotePrefix="0" xfId="0">
      <alignment horizontal="left" indent="4"/>
    </xf>
    <xf numFmtId="0" fontId="22" fillId="12" borderId="0" applyAlignment="1" pivotButton="0" quotePrefix="0" xfId="0">
      <alignment horizontal="left" indent="4"/>
    </xf>
    <xf numFmtId="0" fontId="0" fillId="16" borderId="0" applyAlignment="1" pivotButton="0" quotePrefix="0" xfId="0">
      <alignment horizontal="center"/>
    </xf>
    <xf numFmtId="0" fontId="39" fillId="22" borderId="67" applyAlignment="1" pivotButton="0" quotePrefix="0" xfId="0">
      <alignment horizontal="center" vertical="center"/>
    </xf>
    <xf numFmtId="0" fontId="39" fillId="22" borderId="69" applyAlignment="1" pivotButton="0" quotePrefix="0" xfId="0">
      <alignment horizontal="center" vertical="center"/>
    </xf>
    <xf numFmtId="0" fontId="39" fillId="22" borderId="71" applyAlignment="1" pivotButton="0" quotePrefix="0" xfId="0">
      <alignment horizontal="center" vertical="center"/>
    </xf>
    <xf numFmtId="2" fontId="5" fillId="11" borderId="13" applyAlignment="1" pivotButton="0" quotePrefix="0" xfId="0">
      <alignment horizontal="center"/>
    </xf>
    <xf numFmtId="2" fontId="5" fillId="11" borderId="10" applyAlignment="1" pivotButton="0" quotePrefix="0" xfId="0">
      <alignment horizontal="center"/>
    </xf>
    <xf numFmtId="2" fontId="4" fillId="25" borderId="13" applyAlignment="1" pivotButton="0" quotePrefix="0" xfId="0">
      <alignment horizontal="center"/>
    </xf>
    <xf numFmtId="2" fontId="4" fillId="25" borderId="10" applyAlignment="1" pivotButton="0" quotePrefix="0" xfId="0">
      <alignment horizontal="center"/>
    </xf>
    <xf numFmtId="2" fontId="10" fillId="21" borderId="10" applyAlignment="1" pivotButton="0" quotePrefix="0" xfId="0">
      <alignment horizontal="center"/>
    </xf>
    <xf numFmtId="0" fontId="7" fillId="0" borderId="0" applyAlignment="1" pivotButton="0" quotePrefix="0" xfId="0">
      <alignment horizontal="center"/>
    </xf>
    <xf numFmtId="0" fontId="7" fillId="0" borderId="0" applyAlignment="1" pivotButton="0" quotePrefix="0" xfId="0">
      <alignment horizontal="center" vertical="top"/>
    </xf>
    <xf numFmtId="3" fontId="37" fillId="25" borderId="73" applyAlignment="1" pivotButton="0" quotePrefix="0" xfId="0">
      <alignment horizontal="center"/>
    </xf>
    <xf numFmtId="3" fontId="3" fillId="21" borderId="73" applyAlignment="1" pivotButton="0" quotePrefix="0" xfId="0">
      <alignment horizontal="center"/>
    </xf>
    <xf numFmtId="0" fontId="44" fillId="22" borderId="11" pivotButton="0" quotePrefix="0" xfId="0"/>
    <xf numFmtId="1" fontId="10" fillId="12" borderId="14" applyAlignment="1" pivotButton="0" quotePrefix="0" xfId="0">
      <alignment horizontal="left"/>
    </xf>
    <xf numFmtId="1" fontId="10" fillId="12" borderId="14" applyAlignment="1" pivotButton="0" quotePrefix="0" xfId="0">
      <alignment horizontal="center"/>
    </xf>
    <xf numFmtId="1" fontId="10" fillId="12" borderId="0" applyAlignment="1" pivotButton="0" quotePrefix="0" xfId="0">
      <alignment horizontal="left"/>
    </xf>
    <xf numFmtId="3" fontId="0" fillId="2" borderId="126" applyAlignment="1" pivotButton="0" quotePrefix="0" xfId="0">
      <alignment horizontal="center" vertical="center" wrapText="1"/>
    </xf>
    <xf numFmtId="3" fontId="0" fillId="2" borderId="89" applyAlignment="1" pivotButton="0" quotePrefix="0" xfId="0">
      <alignment horizontal="center" vertical="center" wrapText="1"/>
    </xf>
    <xf numFmtId="3" fontId="0" fillId="2" borderId="127" applyAlignment="1" pivotButton="0" quotePrefix="0" xfId="0">
      <alignment horizontal="center" vertical="center" wrapText="1"/>
    </xf>
    <xf numFmtId="3" fontId="0" fillId="2" borderId="68" applyAlignment="1" pivotButton="0" quotePrefix="0" xfId="0">
      <alignment horizontal="center" vertical="center" wrapText="1"/>
    </xf>
    <xf numFmtId="3" fontId="0" fillId="2" borderId="73" applyAlignment="1" pivotButton="0" quotePrefix="0" xfId="0">
      <alignment horizontal="center" vertical="center" wrapText="1"/>
    </xf>
    <xf numFmtId="3" fontId="0" fillId="2" borderId="69" applyAlignment="1" pivotButton="0" quotePrefix="0" xfId="0">
      <alignment horizontal="center" vertical="center" wrapText="1"/>
    </xf>
    <xf numFmtId="3" fontId="0" fillId="2" borderId="86" applyAlignment="1" pivotButton="0" quotePrefix="0" xfId="0">
      <alignment horizontal="center" vertical="center" wrapText="1"/>
    </xf>
    <xf numFmtId="3" fontId="0" fillId="2" borderId="94" applyAlignment="1" pivotButton="0" quotePrefix="0" xfId="0">
      <alignment horizontal="center" vertical="center" wrapText="1"/>
    </xf>
    <xf numFmtId="3" fontId="0" fillId="2" borderId="87" applyAlignment="1" pivotButton="0" quotePrefix="0" xfId="0">
      <alignment horizontal="center" vertical="center" wrapText="1"/>
    </xf>
    <xf numFmtId="3" fontId="3" fillId="22" borderId="11" applyAlignment="1" pivotButton="0" quotePrefix="0" xfId="0">
      <alignment horizontal="center" vertical="center" wrapText="1"/>
    </xf>
    <xf numFmtId="3" fontId="0" fillId="2" borderId="68" applyAlignment="1" pivotButton="0" quotePrefix="0" xfId="0">
      <alignment horizontal="center"/>
    </xf>
    <xf numFmtId="3" fontId="0" fillId="2" borderId="73" applyAlignment="1" pivotButton="0" quotePrefix="0" xfId="0">
      <alignment horizontal="center"/>
    </xf>
    <xf numFmtId="0" fontId="3" fillId="16" borderId="0" applyAlignment="1" pivotButton="0" quotePrefix="0" xfId="0">
      <alignment horizontal="center" vertical="center"/>
    </xf>
    <xf numFmtId="0" fontId="3" fillId="17" borderId="0" applyAlignment="1" pivotButton="0" quotePrefix="0" xfId="0">
      <alignment horizontal="center" vertical="center"/>
    </xf>
    <xf numFmtId="0" fontId="22" fillId="12" borderId="0" applyAlignment="1" pivotButton="0" quotePrefix="0" xfId="0">
      <alignment horizontal="center" vertical="center"/>
    </xf>
    <xf numFmtId="1" fontId="5" fillId="11" borderId="66" applyAlignment="1" pivotButton="0" quotePrefix="0" xfId="0">
      <alignment horizontal="center"/>
    </xf>
    <xf numFmtId="1" fontId="5" fillId="11" borderId="72" applyAlignment="1" pivotButton="0" quotePrefix="0" xfId="0">
      <alignment horizontal="center"/>
    </xf>
    <xf numFmtId="1" fontId="5" fillId="11" borderId="67" applyAlignment="1" pivotButton="0" quotePrefix="0" xfId="0">
      <alignment horizontal="center"/>
    </xf>
    <xf numFmtId="0" fontId="4" fillId="25" borderId="69" applyAlignment="1" pivotButton="0" quotePrefix="0" xfId="0">
      <alignment horizontal="center"/>
    </xf>
    <xf numFmtId="3" fontId="10" fillId="21" borderId="68" applyAlignment="1" pivotButton="0" quotePrefix="0" xfId="0">
      <alignment horizontal="center"/>
    </xf>
    <xf numFmtId="3" fontId="10" fillId="21" borderId="73" applyAlignment="1" pivotButton="0" quotePrefix="0" xfId="0">
      <alignment horizontal="center"/>
    </xf>
    <xf numFmtId="3" fontId="10" fillId="21" borderId="69" applyAlignment="1" pivotButton="0" quotePrefix="0" xfId="0">
      <alignment horizontal="center"/>
    </xf>
    <xf numFmtId="37" fontId="0" fillId="2" borderId="68" applyAlignment="1" pivotButton="0" quotePrefix="0" xfId="0">
      <alignment horizontal="center"/>
    </xf>
    <xf numFmtId="37" fontId="0" fillId="2" borderId="73" applyAlignment="1" pivotButton="0" quotePrefix="0" xfId="0">
      <alignment horizontal="center"/>
    </xf>
    <xf numFmtId="37" fontId="0" fillId="2" borderId="69" applyAlignment="1" pivotButton="0" quotePrefix="0" xfId="0">
      <alignment horizontal="center"/>
    </xf>
    <xf numFmtId="37" fontId="0" fillId="2" borderId="70" applyAlignment="1" pivotButton="0" quotePrefix="0" xfId="0">
      <alignment horizontal="center"/>
    </xf>
    <xf numFmtId="37" fontId="0" fillId="2" borderId="74" applyAlignment="1" pivotButton="0" quotePrefix="0" xfId="0">
      <alignment horizontal="center"/>
    </xf>
    <xf numFmtId="37" fontId="0" fillId="2" borderId="71" applyAlignment="1" pivotButton="0" quotePrefix="0" xfId="0">
      <alignment horizontal="center"/>
    </xf>
    <xf numFmtId="37" fontId="3" fillId="22" borderId="11" applyAlignment="1" pivotButton="0" quotePrefix="0" xfId="0">
      <alignment horizontal="center"/>
    </xf>
    <xf numFmtId="37" fontId="0" fillId="2" borderId="66" applyAlignment="1" pivotButton="0" quotePrefix="0" xfId="0">
      <alignment horizontal="center"/>
    </xf>
    <xf numFmtId="37" fontId="0" fillId="2" borderId="72" applyAlignment="1" pivotButton="0" quotePrefix="0" xfId="0">
      <alignment horizontal="center"/>
    </xf>
    <xf numFmtId="37" fontId="0" fillId="2" borderId="67" applyAlignment="1" pivotButton="0" quotePrefix="0" xfId="0">
      <alignment horizontal="center"/>
    </xf>
    <xf numFmtId="3" fontId="10" fillId="12" borderId="86" applyAlignment="1" pivotButton="0" quotePrefix="0" xfId="0">
      <alignment horizontal="center"/>
    </xf>
    <xf numFmtId="0" fontId="4" fillId="11" borderId="72" applyAlignment="1" pivotButton="0" quotePrefix="0" xfId="0">
      <alignment horizontal="center"/>
    </xf>
    <xf numFmtId="0" fontId="10" fillId="21" borderId="73" applyAlignment="1" pivotButton="0" quotePrefix="0" xfId="0">
      <alignment horizontal="center"/>
    </xf>
    <xf numFmtId="3" fontId="4" fillId="2" borderId="73" applyAlignment="1" pivotButton="0" quotePrefix="0" xfId="0">
      <alignment horizontal="center"/>
    </xf>
    <xf numFmtId="3" fontId="5" fillId="11" borderId="72" applyAlignment="1" pivotButton="0" quotePrefix="0" xfId="0">
      <alignment horizontal="center"/>
    </xf>
    <xf numFmtId="3" fontId="4" fillId="11" borderId="72" applyAlignment="1" pivotButton="0" quotePrefix="0" xfId="0">
      <alignment horizontal="center"/>
    </xf>
    <xf numFmtId="3" fontId="4" fillId="11" borderId="67" applyAlignment="1" pivotButton="0" quotePrefix="0" xfId="0">
      <alignment horizontal="center"/>
    </xf>
    <xf numFmtId="3" fontId="4" fillId="2" borderId="69" applyAlignment="1" pivotButton="0" quotePrefix="0" xfId="0">
      <alignment horizontal="center"/>
    </xf>
    <xf numFmtId="3" fontId="4" fillId="2" borderId="74" applyAlignment="1" pivotButton="0" quotePrefix="0" xfId="0">
      <alignment horizontal="center"/>
    </xf>
    <xf numFmtId="3" fontId="4" fillId="2" borderId="71" applyAlignment="1" pivotButton="0" quotePrefix="0" xfId="0">
      <alignment horizontal="center"/>
    </xf>
    <xf numFmtId="0" fontId="3" fillId="6" borderId="0" pivotButton="0" quotePrefix="0" xfId="0"/>
    <xf numFmtId="0" fontId="40" fillId="15" borderId="0" applyAlignment="1" pivotButton="0" quotePrefix="0" xfId="0">
      <alignment horizontal="center" vertical="center"/>
    </xf>
    <xf numFmtId="0" fontId="5" fillId="16" borderId="0" applyAlignment="1" pivotButton="0" quotePrefix="0" xfId="0">
      <alignment horizontal="left" vertical="top"/>
    </xf>
    <xf numFmtId="0" fontId="5" fillId="17" borderId="0" applyAlignment="1" pivotButton="0" quotePrefix="0" xfId="0">
      <alignment horizontal="left" indent="11"/>
    </xf>
    <xf numFmtId="0" fontId="39" fillId="15" borderId="0" applyAlignment="1" pivotButton="0" quotePrefix="0" xfId="0">
      <alignment horizontal="center" vertical="center"/>
    </xf>
    <xf numFmtId="0" fontId="10" fillId="2" borderId="0" pivotButton="0" quotePrefix="0" xfId="0"/>
    <xf numFmtId="0" fontId="10" fillId="22" borderId="0" pivotButton="0" quotePrefix="0" xfId="0"/>
    <xf numFmtId="0" fontId="100" fillId="22" borderId="0" applyAlignment="1" pivotButton="0" quotePrefix="0" xfId="0">
      <alignment horizontal="center" vertical="center"/>
    </xf>
    <xf numFmtId="3" fontId="4" fillId="2" borderId="66" applyAlignment="1" pivotButton="0" quotePrefix="0" xfId="0">
      <alignment horizontal="center"/>
    </xf>
    <xf numFmtId="3" fontId="4" fillId="2" borderId="72" applyAlignment="1" pivotButton="0" quotePrefix="0" xfId="0">
      <alignment horizontal="center"/>
    </xf>
    <xf numFmtId="0" fontId="4" fillId="22" borderId="0" applyAlignment="1" pivotButton="0" quotePrefix="0" xfId="0">
      <alignment horizontal="center"/>
    </xf>
    <xf numFmtId="3" fontId="4" fillId="2" borderId="67" applyAlignment="1" pivotButton="0" quotePrefix="0" xfId="0">
      <alignment horizontal="center"/>
    </xf>
    <xf numFmtId="0" fontId="4" fillId="0" borderId="0" applyAlignment="1" pivotButton="0" quotePrefix="0" xfId="0">
      <alignment horizontal="center"/>
    </xf>
    <xf numFmtId="0" fontId="4" fillId="0" borderId="0" applyAlignment="1" pivotButton="0" quotePrefix="0" xfId="0">
      <alignment horizontal="center" vertical="top"/>
    </xf>
    <xf numFmtId="3" fontId="37" fillId="11" borderId="66" applyAlignment="1" pivotButton="0" quotePrefix="0" xfId="0">
      <alignment horizontal="center"/>
    </xf>
    <xf numFmtId="3" fontId="37" fillId="11" borderId="72" applyAlignment="1" pivotButton="0" quotePrefix="0" xfId="0">
      <alignment horizontal="center"/>
    </xf>
    <xf numFmtId="3" fontId="37" fillId="11" borderId="67" applyAlignment="1" pivotButton="0" quotePrefix="0" xfId="0">
      <alignment horizontal="center"/>
    </xf>
    <xf numFmtId="2" fontId="37" fillId="11" borderId="66" applyAlignment="1" pivotButton="0" quotePrefix="0" xfId="0">
      <alignment horizontal="center"/>
    </xf>
    <xf numFmtId="2" fontId="37" fillId="11" borderId="72" applyAlignment="1" pivotButton="0" quotePrefix="0" xfId="0">
      <alignment horizontal="center"/>
    </xf>
    <xf numFmtId="2" fontId="4" fillId="2" borderId="73" applyAlignment="1" pivotButton="0" quotePrefix="0" xfId="0">
      <alignment horizontal="center"/>
    </xf>
    <xf numFmtId="3" fontId="0" fillId="21" borderId="68" applyAlignment="1" pivotButton="0" quotePrefix="0" xfId="0">
      <alignment horizontal="center"/>
    </xf>
    <xf numFmtId="3" fontId="0" fillId="21" borderId="73" applyAlignment="1" pivotButton="0" quotePrefix="0" xfId="0">
      <alignment horizontal="center"/>
    </xf>
    <xf numFmtId="3" fontId="0" fillId="21" borderId="69" applyAlignment="1" pivotButton="0" quotePrefix="0" xfId="0">
      <alignment horizontal="center"/>
    </xf>
    <xf numFmtId="164" fontId="0" fillId="22" borderId="0" applyAlignment="1" pivotButton="0" quotePrefix="0" xfId="0">
      <alignment horizontal="center"/>
    </xf>
    <xf numFmtId="0" fontId="37" fillId="22" borderId="0" applyAlignment="1" pivotButton="0" quotePrefix="0" xfId="0">
      <alignment horizontal="center"/>
    </xf>
    <xf numFmtId="3" fontId="4" fillId="22" borderId="0" applyAlignment="1" pivotButton="0" quotePrefix="0" xfId="0">
      <alignment horizontal="center"/>
    </xf>
    <xf numFmtId="2" fontId="4" fillId="2" borderId="73" applyAlignment="1" applyProtection="1" pivotButton="0" quotePrefix="0" xfId="0">
      <alignment horizontal="center"/>
      <protection locked="0" hidden="0"/>
    </xf>
    <xf numFmtId="0" fontId="116" fillId="19" borderId="0" pivotButton="0" quotePrefix="0" xfId="0"/>
    <xf numFmtId="0" fontId="99" fillId="19" borderId="0" pivotButton="0" quotePrefix="0" xfId="0"/>
    <xf numFmtId="164" fontId="37" fillId="2" borderId="69" applyAlignment="1" pivotButton="0" quotePrefix="0" xfId="0">
      <alignment horizontal="center"/>
    </xf>
    <xf numFmtId="2" fontId="4" fillId="2" borderId="74" applyAlignment="1" applyProtection="1" pivotButton="0" quotePrefix="0" xfId="0">
      <alignment horizontal="center"/>
      <protection locked="0" hidden="0"/>
    </xf>
    <xf numFmtId="2" fontId="4" fillId="2" borderId="74" applyAlignment="1" pivotButton="0" quotePrefix="0" xfId="0">
      <alignment horizontal="center"/>
    </xf>
    <xf numFmtId="164" fontId="37" fillId="2" borderId="71" applyAlignment="1" pivotButton="0" quotePrefix="0" xfId="0">
      <alignment horizontal="center"/>
    </xf>
    <xf numFmtId="0" fontId="89" fillId="19" borderId="4" pivotButton="0" quotePrefix="0" xfId="0"/>
    <xf numFmtId="1" fontId="4" fillId="2" borderId="66" applyAlignment="1" pivotButton="0" quotePrefix="0" xfId="0">
      <alignment horizontal="center"/>
    </xf>
    <xf numFmtId="2" fontId="4" fillId="2" borderId="72" applyAlignment="1" applyProtection="1" pivotButton="0" quotePrefix="0" xfId="0">
      <alignment horizontal="center"/>
      <protection locked="0" hidden="0"/>
    </xf>
    <xf numFmtId="2" fontId="4" fillId="2" borderId="72" applyAlignment="1" pivotButton="0" quotePrefix="0" xfId="0">
      <alignment horizontal="center"/>
    </xf>
    <xf numFmtId="164" fontId="37" fillId="2" borderId="67" applyAlignment="1" pivotButton="0" quotePrefix="0" xfId="0">
      <alignment horizontal="center"/>
    </xf>
    <xf numFmtId="0" fontId="10" fillId="25" borderId="73" applyAlignment="1" pivotButton="0" quotePrefix="0" xfId="0">
      <alignment horizontal="center"/>
    </xf>
    <xf numFmtId="0" fontId="10" fillId="25" borderId="0" pivotButton="0" quotePrefix="0" xfId="0"/>
    <xf numFmtId="0" fontId="97" fillId="11" borderId="0" applyAlignment="1" pivotButton="0" quotePrefix="0" xfId="0">
      <alignment horizontal="center"/>
    </xf>
    <xf numFmtId="0" fontId="10" fillId="25" borderId="0" applyAlignment="1" pivotButton="0" quotePrefix="0" xfId="0">
      <alignment horizontal="center"/>
    </xf>
    <xf numFmtId="2" fontId="0" fillId="21" borderId="0" applyAlignment="1" pivotButton="0" quotePrefix="0" xfId="0">
      <alignment horizontal="center"/>
    </xf>
    <xf numFmtId="2" fontId="0" fillId="0" borderId="0" applyAlignment="1" pivotButton="0" quotePrefix="0" xfId="0">
      <alignment horizontal="center"/>
    </xf>
    <xf numFmtId="0" fontId="97" fillId="11" borderId="66" applyAlignment="1" pivotButton="0" quotePrefix="0" xfId="0">
      <alignment horizontal="center"/>
    </xf>
    <xf numFmtId="0" fontId="97" fillId="11" borderId="72" applyAlignment="1" pivotButton="0" quotePrefix="0" xfId="0">
      <alignment horizontal="center"/>
    </xf>
    <xf numFmtId="3" fontId="97" fillId="11" borderId="72" applyAlignment="1" pivotButton="0" quotePrefix="0" xfId="0">
      <alignment horizontal="center"/>
    </xf>
    <xf numFmtId="0" fontId="97" fillId="11" borderId="67" applyAlignment="1" pivotButton="0" quotePrefix="0" xfId="0">
      <alignment horizontal="center"/>
    </xf>
    <xf numFmtId="0" fontId="10" fillId="25" borderId="68" applyAlignment="1" pivotButton="0" quotePrefix="0" xfId="0">
      <alignment horizontal="center"/>
    </xf>
    <xf numFmtId="0" fontId="10" fillId="25" borderId="69" applyAlignment="1" pivotButton="0" quotePrefix="0" xfId="0">
      <alignment horizontal="center"/>
    </xf>
    <xf numFmtId="2" fontId="0" fillId="2" borderId="68" applyAlignment="1" pivotButton="0" quotePrefix="0" xfId="0">
      <alignment horizontal="center"/>
    </xf>
    <xf numFmtId="3" fontId="0" fillId="2" borderId="74" applyAlignment="1" pivotButton="0" quotePrefix="0" xfId="0">
      <alignment horizontal="center"/>
    </xf>
    <xf numFmtId="0" fontId="44" fillId="32" borderId="0" pivotButton="0" quotePrefix="0" xfId="0"/>
    <xf numFmtId="0" fontId="44" fillId="32" borderId="0" applyAlignment="1" pivotButton="0" quotePrefix="0" xfId="0">
      <alignment horizontal="center"/>
    </xf>
    <xf numFmtId="0" fontId="10" fillId="32" borderId="0" applyAlignment="1" pivotButton="0" quotePrefix="0" xfId="0">
      <alignment horizontal="left"/>
    </xf>
    <xf numFmtId="1" fontId="10" fillId="32" borderId="0" applyAlignment="1" pivotButton="0" quotePrefix="0" xfId="0">
      <alignment horizontal="left"/>
    </xf>
    <xf numFmtId="1" fontId="10" fillId="32" borderId="0" applyAlignment="1" pivotButton="0" quotePrefix="0" xfId="0">
      <alignment horizontal="center"/>
    </xf>
    <xf numFmtId="0" fontId="10" fillId="32" borderId="0" pivotButton="0" quotePrefix="0" xfId="0"/>
    <xf numFmtId="2" fontId="0" fillId="21" borderId="0" applyAlignment="1" pivotButton="0" quotePrefix="0" xfId="0">
      <alignment horizontal="left"/>
    </xf>
    <xf numFmtId="0" fontId="5" fillId="11" borderId="66" applyAlignment="1" pivotButton="0" quotePrefix="0" xfId="0">
      <alignment horizontal="center"/>
    </xf>
    <xf numFmtId="0" fontId="10" fillId="32" borderId="0" applyAlignment="1" pivotButton="0" quotePrefix="0" xfId="0">
      <alignment horizontal="left" indent="8"/>
    </xf>
    <xf numFmtId="0" fontId="0" fillId="32" borderId="0" applyAlignment="1" pivotButton="0" quotePrefix="0" xfId="0">
      <alignment horizontal="left" indent="8"/>
    </xf>
    <xf numFmtId="0" fontId="5" fillId="8" borderId="0" pivotButton="0" quotePrefix="0" xfId="0"/>
    <xf numFmtId="4" fontId="97" fillId="11" borderId="0" applyAlignment="1" pivotButton="0" quotePrefix="0" xfId="0">
      <alignment horizontal="center"/>
    </xf>
    <xf numFmtId="4" fontId="10" fillId="25" borderId="0" applyAlignment="1" pivotButton="0" quotePrefix="0" xfId="0">
      <alignment horizontal="center"/>
    </xf>
    <xf numFmtId="4" fontId="0" fillId="21" borderId="0" applyAlignment="1" pivotButton="0" quotePrefix="0" xfId="0">
      <alignment horizontal="center"/>
    </xf>
    <xf numFmtId="4" fontId="10" fillId="2" borderId="21" applyAlignment="1" pivotButton="0" quotePrefix="0" xfId="0">
      <alignment horizontal="center"/>
    </xf>
    <xf numFmtId="4" fontId="37" fillId="2" borderId="126" applyAlignment="1" pivotButton="0" quotePrefix="0" xfId="0">
      <alignment horizontal="center"/>
    </xf>
    <xf numFmtId="4" fontId="37" fillId="2" borderId="89" applyAlignment="1" pivotButton="0" quotePrefix="0" xfId="0">
      <alignment horizontal="center"/>
    </xf>
    <xf numFmtId="4" fontId="37" fillId="2" borderId="127" applyAlignment="1" pivotButton="0" quotePrefix="0" xfId="0">
      <alignment horizontal="center"/>
    </xf>
    <xf numFmtId="4" fontId="37" fillId="2" borderId="68" applyAlignment="1" pivotButton="0" quotePrefix="0" xfId="0">
      <alignment horizontal="center"/>
    </xf>
    <xf numFmtId="4" fontId="37" fillId="2" borderId="73" applyAlignment="1" pivotButton="0" quotePrefix="0" xfId="0">
      <alignment horizontal="center"/>
    </xf>
    <xf numFmtId="4" fontId="37" fillId="2" borderId="69" applyAlignment="1" pivotButton="0" quotePrefix="0" xfId="0">
      <alignment horizontal="center"/>
    </xf>
    <xf numFmtId="4" fontId="37" fillId="2" borderId="70" applyAlignment="1" pivotButton="0" quotePrefix="0" xfId="0">
      <alignment horizontal="center"/>
    </xf>
    <xf numFmtId="4" fontId="37" fillId="2" borderId="74" applyAlignment="1" pivotButton="0" quotePrefix="0" xfId="0">
      <alignment horizontal="center"/>
    </xf>
    <xf numFmtId="4" fontId="37" fillId="2" borderId="71" applyAlignment="1" pivotButton="0" quotePrefix="0" xfId="0">
      <alignment horizontal="center"/>
    </xf>
    <xf numFmtId="0" fontId="65" fillId="7" borderId="0" pivotButton="0" quotePrefix="0" xfId="0"/>
    <xf numFmtId="0" fontId="22" fillId="12" borderId="0" applyAlignment="1" pivotButton="0" quotePrefix="0" xfId="0">
      <alignment horizontal="left" indent="14"/>
    </xf>
    <xf numFmtId="0" fontId="50" fillId="12" borderId="0" applyAlignment="1" pivotButton="0" quotePrefix="0" xfId="0">
      <alignment horizontal="left"/>
    </xf>
    <xf numFmtId="0" fontId="50" fillId="12" borderId="0" applyAlignment="1" pivotButton="0" quotePrefix="0" xfId="0">
      <alignment horizontal="left" indent="4"/>
    </xf>
    <xf numFmtId="0" fontId="37" fillId="12" borderId="0" applyAlignment="1" pivotButton="0" quotePrefix="0" xfId="0">
      <alignment horizontal="left" vertical="center"/>
    </xf>
    <xf numFmtId="0" fontId="3" fillId="8" borderId="0" applyAlignment="1" pivotButton="0" quotePrefix="0" xfId="0">
      <alignment horizontal="left" indent="5"/>
    </xf>
    <xf numFmtId="0" fontId="3" fillId="9" borderId="0" pivotButton="0" quotePrefix="0" xfId="0"/>
    <xf numFmtId="0" fontId="3" fillId="8" borderId="0" applyAlignment="1" pivotButton="0" quotePrefix="0" xfId="0">
      <alignment horizontal="left" indent="1"/>
    </xf>
    <xf numFmtId="0" fontId="3" fillId="9" borderId="0" applyAlignment="1" pivotButton="0" quotePrefix="0" xfId="0">
      <alignment horizontal="left"/>
    </xf>
    <xf numFmtId="0" fontId="3" fillId="9" borderId="0" applyAlignment="1" pivotButton="0" quotePrefix="0" xfId="0">
      <alignment horizontal="left" indent="6"/>
    </xf>
    <xf numFmtId="0" fontId="5" fillId="16" borderId="0" applyAlignment="1" pivotButton="0" quotePrefix="0" xfId="0">
      <alignment horizontal="left" vertical="center" indent="7"/>
    </xf>
    <xf numFmtId="0" fontId="5" fillId="16" borderId="0" applyAlignment="1" pivotButton="0" quotePrefix="0" xfId="0">
      <alignment horizontal="center"/>
    </xf>
    <xf numFmtId="0" fontId="5" fillId="17" borderId="0" applyAlignment="1" pivotButton="0" quotePrefix="0" xfId="0">
      <alignment horizontal="left" indent="12"/>
    </xf>
    <xf numFmtId="0" fontId="9" fillId="8" borderId="0" applyAlignment="1" pivotButton="0" quotePrefix="0" xfId="0">
      <alignment horizontal="center"/>
    </xf>
    <xf numFmtId="0" fontId="22" fillId="2" borderId="0" pivotButton="0" quotePrefix="0" xfId="0"/>
    <xf numFmtId="1" fontId="97" fillId="11" borderId="72" applyAlignment="1" pivotButton="0" quotePrefix="0" xfId="0">
      <alignment horizontal="center"/>
    </xf>
    <xf numFmtId="3" fontId="37" fillId="2" borderId="71" applyAlignment="1" pivotButton="0" quotePrefix="0" xfId="0">
      <alignment horizontal="center"/>
    </xf>
    <xf numFmtId="3" fontId="37" fillId="2" borderId="67" applyAlignment="1" pivotButton="0" quotePrefix="0" xfId="0">
      <alignment horizontal="center"/>
    </xf>
    <xf numFmtId="3" fontId="0" fillId="21" borderId="0" applyAlignment="1" pivotButton="0" quotePrefix="0" xfId="0">
      <alignment horizontal="center"/>
    </xf>
    <xf numFmtId="1" fontId="97" fillId="6" borderId="67" applyAlignment="1" pivotButton="0" quotePrefix="0" xfId="0">
      <alignment horizontal="center"/>
    </xf>
    <xf numFmtId="0" fontId="10" fillId="6" borderId="69" applyAlignment="1" pivotButton="0" quotePrefix="0" xfId="0">
      <alignment horizontal="center"/>
    </xf>
    <xf numFmtId="2" fontId="0" fillId="6" borderId="69" applyAlignment="1" pivotButton="0" quotePrefix="0" xfId="0">
      <alignment horizontal="center"/>
    </xf>
    <xf numFmtId="0" fontId="10" fillId="6" borderId="87" applyAlignment="1" pivotButton="0" quotePrefix="0" xfId="0">
      <alignment horizontal="center"/>
    </xf>
    <xf numFmtId="3" fontId="37" fillId="6" borderId="67" applyAlignment="1" pivotButton="0" quotePrefix="0" xfId="0">
      <alignment horizontal="center"/>
    </xf>
    <xf numFmtId="3" fontId="37" fillId="6" borderId="69" applyAlignment="1" pivotButton="0" quotePrefix="0" xfId="0">
      <alignment horizontal="center"/>
    </xf>
    <xf numFmtId="3" fontId="37" fillId="6" borderId="71" applyAlignment="1" pivotButton="0" quotePrefix="0" xfId="0">
      <alignment horizontal="center"/>
    </xf>
    <xf numFmtId="0" fontId="22" fillId="6" borderId="0" applyAlignment="1" pivotButton="0" quotePrefix="0" xfId="0">
      <alignment horizontal="center"/>
    </xf>
    <xf numFmtId="3" fontId="22" fillId="6" borderId="0" applyAlignment="1" pivotButton="0" quotePrefix="0" xfId="0">
      <alignment horizontal="center"/>
    </xf>
    <xf numFmtId="0" fontId="0" fillId="2" borderId="72" applyAlignment="1" pivotButton="0" quotePrefix="0" xfId="0">
      <alignment horizontal="center"/>
    </xf>
    <xf numFmtId="0" fontId="5" fillId="9" borderId="0" applyAlignment="1" pivotButton="0" quotePrefix="0" xfId="0">
      <alignment horizontal="left" indent="14"/>
    </xf>
    <xf numFmtId="0" fontId="4" fillId="9" borderId="0" applyAlignment="1" pivotButton="0" quotePrefix="0" xfId="0">
      <alignment horizontal="left"/>
    </xf>
    <xf numFmtId="0" fontId="44" fillId="9" borderId="0" applyAlignment="1" pivotButton="0" quotePrefix="0" xfId="0">
      <alignment horizontal="center"/>
    </xf>
    <xf numFmtId="0" fontId="22" fillId="9" borderId="0" pivotButton="0" quotePrefix="0" xfId="0"/>
    <xf numFmtId="0" fontId="6" fillId="9" borderId="0" applyAlignment="1" pivotButton="0" quotePrefix="0" xfId="0">
      <alignment horizontal="center"/>
    </xf>
    <xf numFmtId="0" fontId="37" fillId="9" borderId="0" applyAlignment="1" pivotButton="0" quotePrefix="0" xfId="0">
      <alignment horizontal="left"/>
    </xf>
    <xf numFmtId="0" fontId="37" fillId="9" borderId="0" applyAlignment="1" pivotButton="0" quotePrefix="0" xfId="0">
      <alignment horizontal="center"/>
    </xf>
    <xf numFmtId="0" fontId="22" fillId="9" borderId="0" applyAlignment="1" pivotButton="0" quotePrefix="0" xfId="0">
      <alignment horizontal="center"/>
    </xf>
    <xf numFmtId="0" fontId="0" fillId="9" borderId="0" applyAlignment="1" pivotButton="0" quotePrefix="0" xfId="0">
      <alignment horizontal="center"/>
    </xf>
    <xf numFmtId="164" fontId="0" fillId="8" borderId="0" applyAlignment="1" pivotButton="0" quotePrefix="0" xfId="0">
      <alignment horizontal="center"/>
    </xf>
    <xf numFmtId="0" fontId="44" fillId="9" borderId="0" applyAlignment="1" pivotButton="0" quotePrefix="0" xfId="0">
      <alignment horizontal="left"/>
    </xf>
    <xf numFmtId="0" fontId="0" fillId="2" borderId="67" applyAlignment="1" pivotButton="0" quotePrefix="0" xfId="0">
      <alignment horizontal="center"/>
    </xf>
    <xf numFmtId="0" fontId="116" fillId="19" borderId="3" pivotButton="0" quotePrefix="0" xfId="0"/>
    <xf numFmtId="0" fontId="5" fillId="9" borderId="0" applyAlignment="1" pivotButton="0" quotePrefix="0" xfId="0">
      <alignment horizontal="left"/>
    </xf>
    <xf numFmtId="0" fontId="90" fillId="17" borderId="0" applyAlignment="1" pivotButton="0" quotePrefix="0" xfId="0">
      <alignment horizontal="left" vertical="center" indent="3"/>
    </xf>
    <xf numFmtId="2" fontId="0" fillId="11" borderId="0" applyAlignment="1" pivotButton="0" quotePrefix="0" xfId="0">
      <alignment horizontal="center" vertical="center"/>
    </xf>
    <xf numFmtId="0" fontId="5" fillId="22" borderId="0" applyAlignment="1" pivotButton="0" quotePrefix="0" xfId="0">
      <alignment horizontal="left" indent="14"/>
    </xf>
    <xf numFmtId="2" fontId="0" fillId="22" borderId="0" applyAlignment="1" pivotButton="0" quotePrefix="0" xfId="0">
      <alignment horizontal="left"/>
    </xf>
    <xf numFmtId="0" fontId="99" fillId="22" borderId="0" pivotButton="0" quotePrefix="0" xfId="0"/>
    <xf numFmtId="3" fontId="0" fillId="11" borderId="0" applyAlignment="1" pivotButton="0" quotePrefix="0" xfId="0">
      <alignment horizontal="center" vertical="center"/>
    </xf>
    <xf numFmtId="3" fontId="10" fillId="25" borderId="0" applyAlignment="1" pivotButton="0" quotePrefix="0" xfId="0">
      <alignment horizontal="center"/>
    </xf>
    <xf numFmtId="3" fontId="0" fillId="0" borderId="0" applyAlignment="1" pivotButton="0" quotePrefix="0" xfId="0">
      <alignment horizontal="center"/>
    </xf>
    <xf numFmtId="0" fontId="102" fillId="22" borderId="0" pivotButton="0" quotePrefix="0" xfId="0"/>
    <xf numFmtId="3" fontId="22" fillId="2" borderId="0" applyAlignment="1" pivotButton="0" quotePrefix="0" xfId="0">
      <alignment horizontal="center"/>
    </xf>
    <xf numFmtId="165" fontId="102" fillId="2" borderId="0" applyAlignment="1" pivotButton="0" quotePrefix="0" xfId="4">
      <alignment horizontal="center"/>
    </xf>
    <xf numFmtId="165" fontId="102" fillId="2" borderId="0" pivotButton="0" quotePrefix="0" xfId="4"/>
    <xf numFmtId="0" fontId="102" fillId="2" borderId="0" pivotButton="0" quotePrefix="0" xfId="0"/>
    <xf numFmtId="0" fontId="74" fillId="12" borderId="0" applyAlignment="1" pivotButton="0" quotePrefix="0" xfId="0">
      <alignment horizontal="left" indent="2"/>
    </xf>
    <xf numFmtId="0" fontId="74" fillId="12" borderId="0" applyAlignment="1" pivotButton="0" quotePrefix="0" xfId="0">
      <alignment horizontal="left" indent="5"/>
    </xf>
    <xf numFmtId="0" fontId="69" fillId="12" borderId="0" applyAlignment="1" pivotButton="0" quotePrefix="0" xfId="0">
      <alignment horizontal="left"/>
    </xf>
    <xf numFmtId="0" fontId="243" fillId="11" borderId="66" applyAlignment="1" pivotButton="0" quotePrefix="0" xfId="0">
      <alignment horizontal="center"/>
    </xf>
    <xf numFmtId="0" fontId="243" fillId="11" borderId="72" applyAlignment="1" pivotButton="0" quotePrefix="0" xfId="0">
      <alignment horizontal="center"/>
    </xf>
    <xf numFmtId="0" fontId="243" fillId="11" borderId="67" applyAlignment="1" pivotButton="0" quotePrefix="0" xfId="0">
      <alignment horizontal="center"/>
    </xf>
    <xf numFmtId="3" fontId="72" fillId="12" borderId="21" applyAlignment="1" pivotButton="0" quotePrefix="0" xfId="0">
      <alignment horizontal="center"/>
    </xf>
    <xf numFmtId="3" fontId="72" fillId="6" borderId="87" applyAlignment="1" pivotButton="0" quotePrefix="0" xfId="0">
      <alignment horizontal="center"/>
    </xf>
    <xf numFmtId="4" fontId="69" fillId="2" borderId="11" applyAlignment="1" pivotButton="0" quotePrefix="0" xfId="0">
      <alignment horizontal="center" vertical="center"/>
    </xf>
    <xf numFmtId="4" fontId="69" fillId="2" borderId="0" applyAlignment="1" pivotButton="0" quotePrefix="0" xfId="0">
      <alignment horizontal="center" vertical="center"/>
    </xf>
    <xf numFmtId="3" fontId="4" fillId="46" borderId="86" applyAlignment="1" pivotButton="0" quotePrefix="0" xfId="0">
      <alignment horizontal="center"/>
    </xf>
    <xf numFmtId="3" fontId="4" fillId="46" borderId="94" applyAlignment="1" pivotButton="0" quotePrefix="0" xfId="0">
      <alignment horizontal="center"/>
    </xf>
    <xf numFmtId="3" fontId="4" fillId="46" borderId="87" applyAlignment="1" pivotButton="0" quotePrefix="0" xfId="0">
      <alignment horizontal="center"/>
    </xf>
    <xf numFmtId="3" fontId="4" fillId="46" borderId="66" applyAlignment="1" pivotButton="0" quotePrefix="0" xfId="0">
      <alignment horizontal="center"/>
    </xf>
    <xf numFmtId="3" fontId="4" fillId="46" borderId="72" applyAlignment="1" pivotButton="0" quotePrefix="0" xfId="0">
      <alignment horizontal="center"/>
    </xf>
    <xf numFmtId="3" fontId="4" fillId="46" borderId="67" applyAlignment="1" pivotButton="0" quotePrefix="0" xfId="0">
      <alignment horizontal="center"/>
    </xf>
    <xf numFmtId="3" fontId="4" fillId="46" borderId="68" applyAlignment="1" pivotButton="0" quotePrefix="0" xfId="0">
      <alignment horizontal="center"/>
    </xf>
    <xf numFmtId="3" fontId="4" fillId="46" borderId="73" applyAlignment="1" pivotButton="0" quotePrefix="0" xfId="0">
      <alignment horizontal="center"/>
    </xf>
    <xf numFmtId="3" fontId="4" fillId="46" borderId="69" applyAlignment="1" pivotButton="0" quotePrefix="0" xfId="0">
      <alignment horizontal="center"/>
    </xf>
    <xf numFmtId="3" fontId="4" fillId="46" borderId="70" applyAlignment="1" pivotButton="0" quotePrefix="0" xfId="0">
      <alignment horizontal="center"/>
    </xf>
    <xf numFmtId="3" fontId="4" fillId="46" borderId="74" applyAlignment="1" pivotButton="0" quotePrefix="0" xfId="0">
      <alignment horizontal="center"/>
    </xf>
    <xf numFmtId="3" fontId="4" fillId="46" borderId="71" applyAlignment="1" pivotButton="0" quotePrefix="0" xfId="0">
      <alignment horizontal="center"/>
    </xf>
    <xf numFmtId="1" fontId="10" fillId="2" borderId="73" applyAlignment="1" pivotButton="0" quotePrefix="0" xfId="0">
      <alignment horizontal="center" vertical="center" wrapText="1"/>
    </xf>
    <xf numFmtId="3" fontId="0" fillId="46" borderId="73" applyAlignment="1" pivotButton="0" quotePrefix="0" xfId="0">
      <alignment horizontal="center" vertical="center" wrapText="1"/>
    </xf>
    <xf numFmtId="1" fontId="10" fillId="46" borderId="73" applyAlignment="1" pivotButton="0" quotePrefix="0" xfId="0">
      <alignment horizontal="center" vertical="center" wrapText="1"/>
    </xf>
    <xf numFmtId="0" fontId="7" fillId="0" borderId="0" applyAlignment="1" pivotButton="0" quotePrefix="0" xfId="0">
      <alignment horizontal="left" indent="6"/>
    </xf>
    <xf numFmtId="0" fontId="6" fillId="0" borderId="0" applyAlignment="1" pivotButton="0" quotePrefix="0" xfId="0">
      <alignment horizontal="left" indent="6"/>
    </xf>
    <xf numFmtId="3" fontId="0" fillId="46" borderId="72" applyAlignment="1" pivotButton="0" quotePrefix="0" xfId="0">
      <alignment horizontal="center" vertical="center" wrapText="1"/>
    </xf>
    <xf numFmtId="3" fontId="37" fillId="25" borderId="68" applyAlignment="1" pivotButton="0" quotePrefix="0" xfId="0">
      <alignment horizontal="center"/>
    </xf>
    <xf numFmtId="3" fontId="37" fillId="25" borderId="69" applyAlignment="1" pivotButton="0" quotePrefix="0" xfId="0">
      <alignment horizontal="center"/>
    </xf>
    <xf numFmtId="3" fontId="3" fillId="21" borderId="68" applyAlignment="1" pivotButton="0" quotePrefix="0" xfId="0">
      <alignment horizontal="center"/>
    </xf>
    <xf numFmtId="3" fontId="3" fillId="21" borderId="69" applyAlignment="1" pivotButton="0" quotePrefix="0" xfId="0">
      <alignment horizontal="center"/>
    </xf>
    <xf numFmtId="3" fontId="22" fillId="11" borderId="66" applyAlignment="1" pivotButton="0" quotePrefix="0" xfId="0">
      <alignment horizontal="center"/>
    </xf>
    <xf numFmtId="3" fontId="22" fillId="11" borderId="72" applyAlignment="1" pivotButton="0" quotePrefix="0" xfId="0">
      <alignment horizontal="center"/>
    </xf>
    <xf numFmtId="3" fontId="22" fillId="11" borderId="67" applyAlignment="1" pivotButton="0" quotePrefix="0" xfId="0">
      <alignment horizontal="center"/>
    </xf>
    <xf numFmtId="0" fontId="44" fillId="32" borderId="0" applyAlignment="1" pivotButton="0" quotePrefix="0" xfId="0">
      <alignment horizontal="left" indent="8"/>
    </xf>
    <xf numFmtId="0" fontId="10" fillId="32" borderId="0" applyAlignment="1" pivotButton="0" quotePrefix="0" xfId="0">
      <alignment horizontal="left" indent="6"/>
    </xf>
    <xf numFmtId="0" fontId="44" fillId="32" borderId="0" applyAlignment="1" pivotButton="0" quotePrefix="0" xfId="0">
      <alignment horizontal="left" indent="6"/>
    </xf>
    <xf numFmtId="0" fontId="44" fillId="32" borderId="0" applyAlignment="1" pivotButton="0" quotePrefix="0" xfId="0">
      <alignment horizontal="center" vertical="top"/>
    </xf>
    <xf numFmtId="3" fontId="0" fillId="46" borderId="66" applyAlignment="1" pivotButton="0" quotePrefix="0" xfId="0">
      <alignment horizontal="center" vertical="center" wrapText="1"/>
    </xf>
    <xf numFmtId="3" fontId="0" fillId="46" borderId="67" applyAlignment="1" pivotButton="0" quotePrefix="0" xfId="0">
      <alignment horizontal="center" vertical="center" wrapText="1"/>
    </xf>
    <xf numFmtId="3" fontId="0" fillId="46" borderId="68" applyAlignment="1" pivotButton="0" quotePrefix="0" xfId="0">
      <alignment horizontal="center" vertical="center" wrapText="1"/>
    </xf>
    <xf numFmtId="3" fontId="0" fillId="46" borderId="69" applyAlignment="1" pivotButton="0" quotePrefix="0" xfId="0">
      <alignment horizontal="center" vertical="center" wrapText="1"/>
    </xf>
    <xf numFmtId="3" fontId="0" fillId="46" borderId="70" applyAlignment="1" pivotButton="0" quotePrefix="0" xfId="0">
      <alignment horizontal="center" vertical="center" wrapText="1"/>
    </xf>
    <xf numFmtId="3" fontId="0" fillId="46" borderId="74" applyAlignment="1" pivotButton="0" quotePrefix="0" xfId="0">
      <alignment horizontal="center" vertical="center" wrapText="1"/>
    </xf>
    <xf numFmtId="3" fontId="0" fillId="46" borderId="71" applyAlignment="1" pivotButton="0" quotePrefix="0" xfId="0">
      <alignment horizontal="center" vertical="center" wrapText="1"/>
    </xf>
    <xf numFmtId="1" fontId="10" fillId="25" borderId="73" applyAlignment="1" pivotButton="0" quotePrefix="0" xfId="0">
      <alignment horizontal="center"/>
    </xf>
    <xf numFmtId="1" fontId="10" fillId="25" borderId="69" applyAlignment="1" pivotButton="0" quotePrefix="0" xfId="0">
      <alignment horizontal="center"/>
    </xf>
    <xf numFmtId="1" fontId="10" fillId="46" borderId="68" applyAlignment="1" pivotButton="0" quotePrefix="0" xfId="0">
      <alignment horizontal="center" vertical="center" wrapText="1"/>
    </xf>
    <xf numFmtId="1" fontId="10" fillId="46" borderId="69" applyAlignment="1" pivotButton="0" quotePrefix="0" xfId="0">
      <alignment horizontal="center" vertical="center" wrapText="1"/>
    </xf>
    <xf numFmtId="1" fontId="10" fillId="46" borderId="70" applyAlignment="1" pivotButton="0" quotePrefix="0" xfId="0">
      <alignment horizontal="center" vertical="center" wrapText="1"/>
    </xf>
    <xf numFmtId="1" fontId="10" fillId="46" borderId="74" applyAlignment="1" pivotButton="0" quotePrefix="0" xfId="0">
      <alignment horizontal="center" vertical="center" wrapText="1"/>
    </xf>
    <xf numFmtId="1" fontId="10" fillId="46" borderId="71" applyAlignment="1" pivotButton="0" quotePrefix="0" xfId="0">
      <alignment horizontal="center" vertical="center" wrapText="1"/>
    </xf>
    <xf numFmtId="0" fontId="4" fillId="11" borderId="8" applyAlignment="1" pivotButton="0" quotePrefix="0" xfId="0">
      <alignment horizontal="center"/>
    </xf>
    <xf numFmtId="0" fontId="0" fillId="21" borderId="8" applyAlignment="1" pivotButton="0" quotePrefix="0" xfId="0">
      <alignment horizontal="center"/>
    </xf>
    <xf numFmtId="37" fontId="0" fillId="2" borderId="7" applyAlignment="1" pivotButton="0" quotePrefix="0" xfId="0">
      <alignment horizontal="center"/>
    </xf>
    <xf numFmtId="37" fontId="0" fillId="2" borderId="2" applyAlignment="1" pivotButton="0" quotePrefix="0" xfId="0">
      <alignment horizontal="center"/>
    </xf>
    <xf numFmtId="37" fontId="0" fillId="2" borderId="8" applyAlignment="1" pivotButton="0" quotePrefix="0" xfId="0">
      <alignment horizontal="center"/>
    </xf>
    <xf numFmtId="37" fontId="0" fillId="2" borderId="4" applyAlignment="1" pivotButton="0" quotePrefix="0" xfId="0">
      <alignment horizontal="center"/>
    </xf>
    <xf numFmtId="37" fontId="0" fillId="2" borderId="9" applyAlignment="1" pivotButton="0" quotePrefix="0" xfId="0">
      <alignment horizontal="center"/>
    </xf>
    <xf numFmtId="37" fontId="0" fillId="2" borderId="6" applyAlignment="1" pivotButton="0" quotePrefix="0" xfId="0">
      <alignment horizontal="center"/>
    </xf>
    <xf numFmtId="0" fontId="3" fillId="0" borderId="10" applyAlignment="1" pivotButton="0" quotePrefix="0" xfId="0">
      <alignment horizontal="center"/>
    </xf>
    <xf numFmtId="37" fontId="3" fillId="0" borderId="10" applyAlignment="1" pivotButton="0" quotePrefix="0" xfId="0">
      <alignment horizontal="center"/>
    </xf>
    <xf numFmtId="0" fontId="3" fillId="0" borderId="13" applyAlignment="1" pivotButton="0" quotePrefix="0" xfId="0">
      <alignment horizontal="center"/>
    </xf>
    <xf numFmtId="1" fontId="10" fillId="46" borderId="66" applyAlignment="1" pivotButton="0" quotePrefix="0" xfId="0">
      <alignment horizontal="center" vertical="center" wrapText="1"/>
    </xf>
    <xf numFmtId="1" fontId="10" fillId="46" borderId="72" applyAlignment="1" pivotButton="0" quotePrefix="0" xfId="0">
      <alignment horizontal="center" vertical="center" wrapText="1"/>
    </xf>
    <xf numFmtId="1" fontId="10" fillId="46" borderId="67" applyAlignment="1" pivotButton="0" quotePrefix="0" xfId="0">
      <alignment horizontal="center" vertical="center" wrapText="1"/>
    </xf>
    <xf numFmtId="1" fontId="88" fillId="11" borderId="0" applyAlignment="1" pivotButton="0" quotePrefix="0" xfId="0">
      <alignment horizontal="center"/>
    </xf>
    <xf numFmtId="1" fontId="243" fillId="11" borderId="0" applyAlignment="1" pivotButton="0" quotePrefix="0" xfId="0">
      <alignment horizontal="left"/>
    </xf>
    <xf numFmtId="3" fontId="69" fillId="0" borderId="0" pivotButton="0" quotePrefix="0" xfId="0"/>
    <xf numFmtId="0" fontId="5" fillId="14" borderId="0" pivotButton="0" quotePrefix="0" xfId="0"/>
    <xf numFmtId="0" fontId="22" fillId="0" borderId="0" applyAlignment="1" pivotButton="0" quotePrefix="0" xfId="0">
      <alignment horizontal="center"/>
    </xf>
    <xf numFmtId="0" fontId="37" fillId="2" borderId="21" pivotButton="0" quotePrefix="0" xfId="0"/>
    <xf numFmtId="0" fontId="97" fillId="11" borderId="0" pivotButton="0" quotePrefix="0" xfId="0"/>
    <xf numFmtId="0" fontId="4" fillId="25" borderId="0" pivotButton="0" quotePrefix="0" xfId="0"/>
    <xf numFmtId="0" fontId="5" fillId="16" borderId="0" pivotButton="0" quotePrefix="0" xfId="0"/>
    <xf numFmtId="0" fontId="3" fillId="22" borderId="0" applyAlignment="1" pivotButton="0" quotePrefix="0" xfId="0">
      <alignment horizontal="center"/>
    </xf>
    <xf numFmtId="0" fontId="3" fillId="2" borderId="0" applyAlignment="1" pivotButton="0" quotePrefix="0" xfId="0">
      <alignment horizontal="left"/>
    </xf>
    <xf numFmtId="0" fontId="89" fillId="19" borderId="11" pivotButton="0" quotePrefix="0" xfId="0"/>
    <xf numFmtId="0" fontId="117" fillId="19" borderId="11" pivotButton="0" quotePrefix="0" xfId="0"/>
    <xf numFmtId="0" fontId="89" fillId="19" borderId="2" pivotButton="0" quotePrefix="0" xfId="0"/>
    <xf numFmtId="0" fontId="69" fillId="22" borderId="21" pivotButton="0" quotePrefix="0" xfId="0"/>
    <xf numFmtId="3" fontId="69" fillId="22" borderId="21" applyAlignment="1" pivotButton="0" quotePrefix="0" xfId="0">
      <alignment horizontal="center"/>
    </xf>
    <xf numFmtId="0" fontId="69" fillId="22" borderId="11" pivotButton="0" quotePrefix="0" xfId="0"/>
    <xf numFmtId="3" fontId="69" fillId="2" borderId="0" applyAlignment="1" pivotButton="0" quotePrefix="0" xfId="0">
      <alignment horizontal="center"/>
    </xf>
    <xf numFmtId="3" fontId="69" fillId="2" borderId="66" applyAlignment="1" pivotButton="0" quotePrefix="0" xfId="0">
      <alignment horizontal="center"/>
    </xf>
    <xf numFmtId="3" fontId="69" fillId="2" borderId="67" applyAlignment="1" pivotButton="0" quotePrefix="0" xfId="0">
      <alignment horizontal="center"/>
    </xf>
    <xf numFmtId="3" fontId="69" fillId="2" borderId="68" applyAlignment="1" pivotButton="0" quotePrefix="0" xfId="0">
      <alignment horizontal="center"/>
    </xf>
    <xf numFmtId="3" fontId="69" fillId="2" borderId="70" applyAlignment="1" pivotButton="0" quotePrefix="0" xfId="0">
      <alignment horizontal="center"/>
    </xf>
    <xf numFmtId="3" fontId="69" fillId="2" borderId="75" applyAlignment="1" pivotButton="0" quotePrefix="0" xfId="0">
      <alignment horizontal="center"/>
    </xf>
    <xf numFmtId="3" fontId="69" fillId="6" borderId="67" applyAlignment="1" pivotButton="0" quotePrefix="0" xfId="0">
      <alignment horizontal="center"/>
    </xf>
    <xf numFmtId="3" fontId="69" fillId="6" borderId="71" applyAlignment="1" pivotButton="0" quotePrefix="0" xfId="0">
      <alignment horizontal="center"/>
    </xf>
    <xf numFmtId="0" fontId="74" fillId="22" borderId="11" pivotButton="0" quotePrefix="0" xfId="0"/>
    <xf numFmtId="3" fontId="69" fillId="22" borderId="66" applyAlignment="1" pivotButton="0" quotePrefix="0" xfId="0">
      <alignment horizontal="center"/>
    </xf>
    <xf numFmtId="0" fontId="69" fillId="22" borderId="21" applyAlignment="1" pivotButton="0" quotePrefix="0" xfId="0">
      <alignment horizontal="center"/>
    </xf>
    <xf numFmtId="3" fontId="69" fillId="6" borderId="72" applyAlignment="1" pivotButton="0" quotePrefix="0" xfId="0">
      <alignment horizontal="center"/>
    </xf>
    <xf numFmtId="3" fontId="69" fillId="2" borderId="69" applyAlignment="1" pivotButton="0" quotePrefix="0" xfId="0">
      <alignment horizontal="center"/>
    </xf>
    <xf numFmtId="3" fontId="69" fillId="2" borderId="71" applyAlignment="1" pivotButton="0" quotePrefix="0" xfId="0">
      <alignment horizontal="center"/>
    </xf>
    <xf numFmtId="3" fontId="69" fillId="22" borderId="75" applyAlignment="1" pivotButton="0" quotePrefix="0" xfId="0">
      <alignment horizontal="center"/>
    </xf>
    <xf numFmtId="3" fontId="69" fillId="22" borderId="76" applyAlignment="1" pivotButton="0" quotePrefix="0" xfId="0">
      <alignment horizontal="center"/>
    </xf>
    <xf numFmtId="3" fontId="69" fillId="22" borderId="68" applyAlignment="1" pivotButton="0" quotePrefix="0" xfId="0">
      <alignment horizontal="center"/>
    </xf>
    <xf numFmtId="3" fontId="69" fillId="22" borderId="69" applyAlignment="1" pivotButton="0" quotePrefix="0" xfId="0">
      <alignment horizontal="center"/>
    </xf>
    <xf numFmtId="3" fontId="69" fillId="22" borderId="71" applyAlignment="1" pivotButton="0" quotePrefix="0" xfId="0">
      <alignment horizontal="center"/>
    </xf>
    <xf numFmtId="0" fontId="56" fillId="22" borderId="11" applyAlignment="1" pivotButton="0" quotePrefix="0" xfId="0">
      <alignment horizontal="center"/>
    </xf>
    <xf numFmtId="0" fontId="161" fillId="22" borderId="0" applyAlignment="1" pivotButton="0" quotePrefix="0" xfId="0">
      <alignment horizontal="center" vertical="center"/>
    </xf>
    <xf numFmtId="3" fontId="150" fillId="22" borderId="0" applyAlignment="1" pivotButton="0" quotePrefix="0" xfId="0">
      <alignment horizontal="center" vertical="center"/>
    </xf>
    <xf numFmtId="0" fontId="174" fillId="22" borderId="0" pivotButton="0" quotePrefix="0" xfId="0"/>
    <xf numFmtId="3" fontId="69" fillId="22" borderId="11" applyAlignment="1" pivotButton="0" quotePrefix="0" xfId="0">
      <alignment horizontal="center"/>
    </xf>
    <xf numFmtId="3" fontId="69" fillId="6" borderId="66" applyAlignment="1" pivotButton="0" quotePrefix="0" xfId="0">
      <alignment horizontal="center"/>
    </xf>
    <xf numFmtId="3" fontId="69" fillId="6" borderId="70" applyAlignment="1" pivotButton="0" quotePrefix="0" xfId="0">
      <alignment horizontal="center"/>
    </xf>
    <xf numFmtId="3" fontId="0" fillId="22" borderId="0" applyAlignment="1" pivotButton="0" quotePrefix="0" xfId="0">
      <alignment horizontal="center"/>
    </xf>
    <xf numFmtId="3" fontId="69" fillId="22" borderId="77" applyAlignment="1" pivotButton="0" quotePrefix="0" xfId="0">
      <alignment horizontal="center"/>
    </xf>
    <xf numFmtId="168" fontId="0" fillId="2" borderId="73" applyAlignment="1" pivotButton="0" quotePrefix="0" xfId="0">
      <alignment horizontal="center"/>
    </xf>
    <xf numFmtId="168" fontId="0" fillId="2" borderId="74" applyAlignment="1" pivotButton="0" quotePrefix="0" xfId="0">
      <alignment horizontal="center"/>
    </xf>
    <xf numFmtId="0" fontId="56" fillId="32" borderId="0" applyAlignment="1" pivotButton="0" quotePrefix="0" xfId="0">
      <alignment horizontal="left"/>
    </xf>
    <xf numFmtId="0" fontId="56" fillId="32" borderId="0" applyAlignment="1" pivotButton="0" quotePrefix="0" xfId="0">
      <alignment horizontal="center"/>
    </xf>
    <xf numFmtId="1" fontId="55" fillId="12" borderId="0" applyAlignment="1" pivotButton="0" quotePrefix="0" xfId="0">
      <alignment horizontal="left"/>
    </xf>
    <xf numFmtId="3" fontId="70" fillId="2" borderId="68" applyAlignment="1" pivotButton="0" quotePrefix="0" xfId="0">
      <alignment horizontal="center" vertical="center" wrapText="1"/>
    </xf>
    <xf numFmtId="3" fontId="70" fillId="2" borderId="73" applyAlignment="1" pivotButton="0" quotePrefix="0" xfId="0">
      <alignment horizontal="center" vertical="center" wrapText="1"/>
    </xf>
    <xf numFmtId="3" fontId="70" fillId="2" borderId="69" applyAlignment="1" pivotButton="0" quotePrefix="0" xfId="0">
      <alignment horizontal="center" vertical="center" wrapText="1"/>
    </xf>
    <xf numFmtId="0" fontId="69" fillId="25" borderId="0" pivotButton="0" quotePrefix="0" xfId="0"/>
    <xf numFmtId="3" fontId="74" fillId="22" borderId="0" applyAlignment="1" pivotButton="0" quotePrefix="0" xfId="0">
      <alignment horizontal="center"/>
    </xf>
    <xf numFmtId="0" fontId="69" fillId="22" borderId="129" pivotButton="0" quotePrefix="0" xfId="0"/>
    <xf numFmtId="0" fontId="69" fillId="22" borderId="113" pivotButton="0" quotePrefix="0" xfId="0"/>
    <xf numFmtId="0" fontId="69" fillId="22" borderId="130" pivotButton="0" quotePrefix="0" xfId="0"/>
    <xf numFmtId="3" fontId="69" fillId="2" borderId="118" applyAlignment="1" pivotButton="0" quotePrefix="0" xfId="0">
      <alignment horizontal="center"/>
    </xf>
    <xf numFmtId="3" fontId="69" fillId="2" borderId="119" applyAlignment="1" pivotButton="0" quotePrefix="0" xfId="0">
      <alignment horizontal="center"/>
    </xf>
    <xf numFmtId="3" fontId="69" fillId="6" borderId="74" applyAlignment="1" pivotButton="0" quotePrefix="0" xfId="0">
      <alignment horizontal="center"/>
    </xf>
    <xf numFmtId="3" fontId="69" fillId="2" borderId="79" applyAlignment="1" pivotButton="0" quotePrefix="0" xfId="0">
      <alignment horizontal="center"/>
    </xf>
    <xf numFmtId="3" fontId="69" fillId="2" borderId="77" applyAlignment="1" pivotButton="0" quotePrefix="0" xfId="0">
      <alignment horizontal="center"/>
    </xf>
    <xf numFmtId="0" fontId="244" fillId="21" borderId="21" pivotButton="0" quotePrefix="0" xfId="0"/>
    <xf numFmtId="0" fontId="89" fillId="19" borderId="0" applyAlignment="1" pivotButton="0" quotePrefix="0" xfId="0">
      <alignment vertical="center"/>
    </xf>
    <xf numFmtId="164" fontId="0" fillId="2" borderId="73" applyAlignment="1" pivotButton="0" quotePrefix="0" xfId="0">
      <alignment horizontal="center"/>
    </xf>
    <xf numFmtId="3" fontId="3" fillId="6" borderId="0" applyAlignment="1" pivotButton="0" quotePrefix="0" xfId="0">
      <alignment horizontal="center"/>
    </xf>
    <xf numFmtId="164" fontId="0" fillId="2" borderId="66" applyAlignment="1" pivotButton="0" quotePrefix="0" xfId="0">
      <alignment horizontal="center"/>
    </xf>
    <xf numFmtId="168" fontId="0" fillId="2" borderId="72" applyAlignment="1" pivotButton="0" quotePrefix="0" xfId="0">
      <alignment horizontal="center"/>
    </xf>
    <xf numFmtId="3" fontId="0" fillId="2" borderId="72" applyAlignment="1" pivotButton="0" quotePrefix="0" xfId="0">
      <alignment horizontal="center"/>
    </xf>
    <xf numFmtId="164" fontId="0" fillId="2" borderId="72" applyAlignment="1" pivotButton="0" quotePrefix="0" xfId="0">
      <alignment horizontal="center"/>
    </xf>
    <xf numFmtId="164" fontId="0" fillId="2" borderId="74" applyAlignment="1" pivotButton="0" quotePrefix="0" xfId="0">
      <alignment horizontal="center"/>
    </xf>
    <xf numFmtId="0" fontId="3" fillId="2" borderId="0" applyAlignment="1" pivotButton="0" quotePrefix="0" xfId="0">
      <alignment horizontal="left" indent="3"/>
    </xf>
    <xf numFmtId="0" fontId="3" fillId="17" borderId="0" applyAlignment="1" pivotButton="0" quotePrefix="0" xfId="0">
      <alignment horizontal="center"/>
    </xf>
    <xf numFmtId="0" fontId="3" fillId="2" borderId="0" applyAlignment="1" pivotButton="0" quotePrefix="0" xfId="0">
      <alignment horizontal="center"/>
    </xf>
    <xf numFmtId="3" fontId="0" fillId="2" borderId="66" applyAlignment="1" pivotButton="0" quotePrefix="0" xfId="0">
      <alignment horizontal="center"/>
    </xf>
    <xf numFmtId="3" fontId="0" fillId="6" borderId="67" applyAlignment="1" pivotButton="0" quotePrefix="0" xfId="0">
      <alignment horizontal="center"/>
    </xf>
    <xf numFmtId="3" fontId="0" fillId="6" borderId="69" applyAlignment="1" pivotButton="0" quotePrefix="0" xfId="0">
      <alignment horizontal="center"/>
    </xf>
    <xf numFmtId="0" fontId="37" fillId="22" borderId="0" pivotButton="0" quotePrefix="0" xfId="0"/>
    <xf numFmtId="3" fontId="37" fillId="2" borderId="69" applyAlignment="1" pivotButton="0" quotePrefix="0" xfId="0">
      <alignment horizontal="center"/>
    </xf>
    <xf numFmtId="3" fontId="37" fillId="2" borderId="68" applyAlignment="1" pivotButton="0" quotePrefix="0" xfId="0">
      <alignment horizontal="center"/>
    </xf>
    <xf numFmtId="0" fontId="69" fillId="22" borderId="70" applyAlignment="1" pivotButton="0" quotePrefix="0" xfId="0">
      <alignment horizontal="center"/>
    </xf>
    <xf numFmtId="0" fontId="69" fillId="22" borderId="71" applyAlignment="1" pivotButton="0" quotePrefix="0" xfId="0">
      <alignment horizontal="center"/>
    </xf>
    <xf numFmtId="3" fontId="69" fillId="22" borderId="67" applyAlignment="1" pivotButton="0" quotePrefix="0" xfId="0">
      <alignment horizontal="center"/>
    </xf>
    <xf numFmtId="3" fontId="69" fillId="22" borderId="70" applyAlignment="1" pivotButton="0" quotePrefix="0" xfId="0">
      <alignment horizontal="center"/>
    </xf>
    <xf numFmtId="3" fontId="69" fillId="22" borderId="74" applyAlignment="1" pivotButton="0" quotePrefix="0" xfId="0">
      <alignment horizontal="center"/>
    </xf>
    <xf numFmtId="0" fontId="150" fillId="2" borderId="0" pivotButton="0" quotePrefix="0" xfId="0"/>
    <xf numFmtId="0" fontId="249" fillId="22" borderId="0" pivotButton="0" quotePrefix="0" xfId="0"/>
    <xf numFmtId="0" fontId="88" fillId="12" borderId="11" pivotButton="0" quotePrefix="0" xfId="0"/>
    <xf numFmtId="1" fontId="55" fillId="12" borderId="14" applyAlignment="1" pivotButton="0" quotePrefix="0" xfId="0">
      <alignment horizontal="left"/>
    </xf>
    <xf numFmtId="1" fontId="55" fillId="12" borderId="14" applyAlignment="1" pivotButton="0" quotePrefix="0" xfId="0">
      <alignment horizontal="center"/>
    </xf>
    <xf numFmtId="0" fontId="243" fillId="11" borderId="0" pivotButton="0" quotePrefix="0" xfId="0"/>
    <xf numFmtId="0" fontId="72" fillId="21" borderId="0" pivotButton="0" quotePrefix="0" xfId="0"/>
    <xf numFmtId="0" fontId="72" fillId="25" borderId="0" pivotButton="0" quotePrefix="0" xfId="0"/>
    <xf numFmtId="3" fontId="70" fillId="2" borderId="66" applyAlignment="1" pivotButton="0" quotePrefix="0" xfId="0">
      <alignment horizontal="center" vertical="center" wrapText="1"/>
    </xf>
    <xf numFmtId="3" fontId="70" fillId="2" borderId="72" applyAlignment="1" pivotButton="0" quotePrefix="0" xfId="0">
      <alignment horizontal="center" vertical="center" wrapText="1"/>
    </xf>
    <xf numFmtId="3" fontId="70" fillId="2" borderId="67" applyAlignment="1" pivotButton="0" quotePrefix="0" xfId="0">
      <alignment horizontal="center" vertical="center" wrapText="1"/>
    </xf>
    <xf numFmtId="3" fontId="70" fillId="2" borderId="70" applyAlignment="1" pivotButton="0" quotePrefix="0" xfId="0">
      <alignment horizontal="center" vertical="center" wrapText="1"/>
    </xf>
    <xf numFmtId="3" fontId="70" fillId="2" borderId="74" applyAlignment="1" pivotButton="0" quotePrefix="0" xfId="0">
      <alignment horizontal="center" vertical="center" wrapText="1"/>
    </xf>
    <xf numFmtId="3" fontId="70" fillId="2" borderId="71" applyAlignment="1" pivotButton="0" quotePrefix="0" xfId="0">
      <alignment horizontal="center" vertical="center" wrapText="1"/>
    </xf>
    <xf numFmtId="3" fontId="70" fillId="2" borderId="134" applyAlignment="1" pivotButton="0" quotePrefix="0" xfId="0">
      <alignment horizontal="center" vertical="center" wrapText="1"/>
    </xf>
    <xf numFmtId="3" fontId="70" fillId="2" borderId="135" applyAlignment="1" pivotButton="0" quotePrefix="0" xfId="0">
      <alignment horizontal="center" vertical="center" wrapText="1"/>
    </xf>
    <xf numFmtId="3" fontId="70" fillId="2" borderId="136" applyAlignment="1" pivotButton="0" quotePrefix="0" xfId="0">
      <alignment horizontal="center" vertical="center" wrapText="1"/>
    </xf>
    <xf numFmtId="3" fontId="69" fillId="22" borderId="73" applyAlignment="1" pivotButton="0" quotePrefix="0" xfId="0">
      <alignment horizontal="center"/>
    </xf>
    <xf numFmtId="0" fontId="155" fillId="36" borderId="76" applyAlignment="1" pivotButton="0" quotePrefix="0" xfId="0">
      <alignment horizontal="center" vertical="center"/>
    </xf>
    <xf numFmtId="0" fontId="164" fillId="2" borderId="0" pivotButton="0" quotePrefix="0" xfId="0"/>
    <xf numFmtId="0" fontId="176" fillId="2" borderId="0" pivotButton="0" quotePrefix="0" xfId="0"/>
    <xf numFmtId="0" fontId="155" fillId="36" borderId="77" applyAlignment="1" pivotButton="0" quotePrefix="0" xfId="0">
      <alignment vertical="center"/>
    </xf>
    <xf numFmtId="0" fontId="69" fillId="3" borderId="0" applyAlignment="1" pivotButton="0" quotePrefix="0" xfId="0">
      <alignment horizontal="center"/>
    </xf>
    <xf numFmtId="0" fontId="77" fillId="36" borderId="73" applyAlignment="1" pivotButton="0" quotePrefix="0" xfId="0">
      <alignment horizontal="center" vertical="center"/>
    </xf>
    <xf numFmtId="0" fontId="69" fillId="46" borderId="0" applyAlignment="1" pivotButton="0" quotePrefix="0" xfId="0">
      <alignment horizontal="center"/>
    </xf>
    <xf numFmtId="0" fontId="74" fillId="3" borderId="0" applyAlignment="1" pivotButton="0" quotePrefix="0" xfId="0">
      <alignment horizontal="center"/>
    </xf>
    <xf numFmtId="3" fontId="69" fillId="3" borderId="66" applyAlignment="1" pivotButton="0" quotePrefix="0" xfId="0">
      <alignment horizontal="center"/>
    </xf>
    <xf numFmtId="3" fontId="69" fillId="3" borderId="67" applyAlignment="1" pivotButton="0" quotePrefix="0" xfId="0">
      <alignment horizontal="center"/>
    </xf>
    <xf numFmtId="3" fontId="69" fillId="3" borderId="68" applyAlignment="1" pivotButton="0" quotePrefix="0" xfId="0">
      <alignment horizontal="center"/>
    </xf>
    <xf numFmtId="3" fontId="69" fillId="3" borderId="69" applyAlignment="1" pivotButton="0" quotePrefix="0" xfId="0">
      <alignment horizontal="center"/>
    </xf>
    <xf numFmtId="3" fontId="69" fillId="3" borderId="70" applyAlignment="1" pivotButton="0" quotePrefix="0" xfId="0">
      <alignment horizontal="center"/>
    </xf>
    <xf numFmtId="3" fontId="69" fillId="3" borderId="71" applyAlignment="1" pivotButton="0" quotePrefix="0" xfId="0">
      <alignment horizontal="center"/>
    </xf>
    <xf numFmtId="3" fontId="69" fillId="3" borderId="0" applyAlignment="1" pivotButton="0" quotePrefix="0" xfId="0">
      <alignment horizontal="center"/>
    </xf>
    <xf numFmtId="0" fontId="69" fillId="42" borderId="0" applyAlignment="1" pivotButton="0" quotePrefix="0" xfId="0">
      <alignment horizontal="center"/>
    </xf>
    <xf numFmtId="3" fontId="69" fillId="42" borderId="66" applyAlignment="1" pivotButton="0" quotePrefix="0" xfId="0">
      <alignment horizontal="center"/>
    </xf>
    <xf numFmtId="3" fontId="69" fillId="42" borderId="72" applyAlignment="1" pivotButton="0" quotePrefix="0" xfId="0">
      <alignment horizontal="center"/>
    </xf>
    <xf numFmtId="3" fontId="69" fillId="42" borderId="67" applyAlignment="1" pivotButton="0" quotePrefix="0" xfId="0">
      <alignment horizontal="center"/>
    </xf>
    <xf numFmtId="3" fontId="69" fillId="42" borderId="68" applyAlignment="1" pivotButton="0" quotePrefix="0" xfId="0">
      <alignment horizontal="center"/>
    </xf>
    <xf numFmtId="3" fontId="69" fillId="42" borderId="73" applyAlignment="1" pivotButton="0" quotePrefix="0" xfId="0">
      <alignment horizontal="center"/>
    </xf>
    <xf numFmtId="3" fontId="69" fillId="42" borderId="69" applyAlignment="1" pivotButton="0" quotePrefix="0" xfId="0">
      <alignment horizontal="center"/>
    </xf>
    <xf numFmtId="3" fontId="69" fillId="42" borderId="70" applyAlignment="1" pivotButton="0" quotePrefix="0" xfId="0">
      <alignment horizontal="center"/>
    </xf>
    <xf numFmtId="3" fontId="69" fillId="42" borderId="74" applyAlignment="1" pivotButton="0" quotePrefix="0" xfId="0">
      <alignment horizontal="center"/>
    </xf>
    <xf numFmtId="3" fontId="69" fillId="42" borderId="71" applyAlignment="1" pivotButton="0" quotePrefix="0" xfId="0">
      <alignment horizontal="center"/>
    </xf>
    <xf numFmtId="3" fontId="69" fillId="42" borderId="75" applyAlignment="1" pivotButton="0" quotePrefix="0" xfId="0">
      <alignment horizontal="center"/>
    </xf>
    <xf numFmtId="3" fontId="69" fillId="42" borderId="76" applyAlignment="1" pivotButton="0" quotePrefix="0" xfId="0">
      <alignment horizontal="center"/>
    </xf>
    <xf numFmtId="3" fontId="69" fillId="42" borderId="77" applyAlignment="1" pivotButton="0" quotePrefix="0" xfId="0">
      <alignment horizontal="center"/>
    </xf>
    <xf numFmtId="0" fontId="69" fillId="22" borderId="76" applyAlignment="1" pivotButton="0" quotePrefix="0" xfId="0">
      <alignment horizontal="center"/>
    </xf>
    <xf numFmtId="0" fontId="69" fillId="3" borderId="73" applyAlignment="1" pivotButton="0" quotePrefix="0" xfId="0">
      <alignment horizontal="center"/>
    </xf>
    <xf numFmtId="0" fontId="69" fillId="42" borderId="73" applyAlignment="1" pivotButton="0" quotePrefix="0" xfId="0">
      <alignment horizontal="center"/>
    </xf>
    <xf numFmtId="0" fontId="69" fillId="46" borderId="73" applyAlignment="1" pivotButton="0" quotePrefix="0" xfId="0">
      <alignment horizontal="center"/>
    </xf>
    <xf numFmtId="3" fontId="69" fillId="46" borderId="72" applyAlignment="1" pivotButton="0" quotePrefix="0" xfId="0">
      <alignment horizontal="center"/>
    </xf>
    <xf numFmtId="3" fontId="69" fillId="46" borderId="73" applyAlignment="1" pivotButton="0" quotePrefix="0" xfId="0">
      <alignment horizontal="center"/>
    </xf>
    <xf numFmtId="3" fontId="69" fillId="46" borderId="74" applyAlignment="1" pivotButton="0" quotePrefix="0" xfId="0">
      <alignment horizontal="center"/>
    </xf>
    <xf numFmtId="3" fontId="69" fillId="46" borderId="68" applyAlignment="1" pivotButton="0" quotePrefix="0" xfId="0">
      <alignment horizontal="center"/>
    </xf>
    <xf numFmtId="3" fontId="69" fillId="46" borderId="75" applyAlignment="1" pivotButton="0" quotePrefix="0" xfId="0">
      <alignment horizontal="center"/>
    </xf>
    <xf numFmtId="3" fontId="69" fillId="46" borderId="76" applyAlignment="1" pivotButton="0" quotePrefix="0" xfId="0">
      <alignment horizontal="center"/>
    </xf>
    <xf numFmtId="3" fontId="69" fillId="46" borderId="77" applyAlignment="1" pivotButton="0" quotePrefix="0" xfId="0">
      <alignment horizontal="center"/>
    </xf>
    <xf numFmtId="3" fontId="69" fillId="46" borderId="70" applyAlignment="1" pivotButton="0" quotePrefix="0" xfId="0">
      <alignment horizontal="center"/>
    </xf>
    <xf numFmtId="3" fontId="69" fillId="46" borderId="71" applyAlignment="1" pivotButton="0" quotePrefix="0" xfId="0">
      <alignment horizontal="center"/>
    </xf>
    <xf numFmtId="3" fontId="69" fillId="46" borderId="66" applyAlignment="1" pivotButton="0" quotePrefix="0" xfId="0">
      <alignment horizontal="center"/>
    </xf>
    <xf numFmtId="3" fontId="69" fillId="46" borderId="67" applyAlignment="1" pivotButton="0" quotePrefix="0" xfId="0">
      <alignment horizontal="center"/>
    </xf>
    <xf numFmtId="3" fontId="69" fillId="46" borderId="69" applyAlignment="1" pivotButton="0" quotePrefix="0" xfId="0">
      <alignment horizontal="center"/>
    </xf>
    <xf numFmtId="0" fontId="69" fillId="46" borderId="0" applyAlignment="1" pivotButton="0" quotePrefix="0" xfId="0">
      <alignment horizontal="center" wrapText="1"/>
    </xf>
    <xf numFmtId="3" fontId="69" fillId="14" borderId="72" applyAlignment="1" pivotButton="0" quotePrefix="0" xfId="0">
      <alignment horizontal="center"/>
    </xf>
    <xf numFmtId="3" fontId="69" fillId="14" borderId="73" applyAlignment="1" pivotButton="0" quotePrefix="0" xfId="0">
      <alignment horizontal="center"/>
    </xf>
    <xf numFmtId="3" fontId="69" fillId="14" borderId="74" applyAlignment="1" pivotButton="0" quotePrefix="0" xfId="0">
      <alignment horizontal="center"/>
    </xf>
    <xf numFmtId="3" fontId="69" fillId="14" borderId="75" applyAlignment="1" pivotButton="0" quotePrefix="0" xfId="0">
      <alignment horizontal="center"/>
    </xf>
    <xf numFmtId="0" fontId="74" fillId="46" borderId="77" applyAlignment="1" pivotButton="0" quotePrefix="0" xfId="0">
      <alignment horizontal="center"/>
    </xf>
    <xf numFmtId="0" fontId="69" fillId="46" borderId="77" applyAlignment="1" pivotButton="0" quotePrefix="0" xfId="0">
      <alignment horizontal="center"/>
    </xf>
    <xf numFmtId="0" fontId="74" fillId="14" borderId="77" applyAlignment="1" pivotButton="0" quotePrefix="0" xfId="0">
      <alignment horizontal="center"/>
    </xf>
    <xf numFmtId="0" fontId="69" fillId="3" borderId="68" applyAlignment="1" pivotButton="0" quotePrefix="0" xfId="0">
      <alignment horizontal="center"/>
    </xf>
    <xf numFmtId="0" fontId="69" fillId="22" borderId="69" applyAlignment="1" pivotButton="0" quotePrefix="0" xfId="0">
      <alignment horizontal="center"/>
    </xf>
    <xf numFmtId="0" fontId="69" fillId="22" borderId="68" applyAlignment="1" pivotButton="0" quotePrefix="0" xfId="0">
      <alignment horizontal="center"/>
    </xf>
    <xf numFmtId="0" fontId="69" fillId="22" borderId="73" applyAlignment="1" pivotButton="0" quotePrefix="0" xfId="0">
      <alignment horizontal="center"/>
    </xf>
    <xf numFmtId="0" fontId="69" fillId="14" borderId="69" applyAlignment="1" pivotButton="0" quotePrefix="0" xfId="0">
      <alignment horizontal="center"/>
    </xf>
    <xf numFmtId="0" fontId="69" fillId="22" borderId="73" applyAlignment="1" pivotButton="0" quotePrefix="1" xfId="0">
      <alignment horizontal="center"/>
    </xf>
    <xf numFmtId="0" fontId="69" fillId="22" borderId="68" pivotButton="0" quotePrefix="1" xfId="0"/>
    <xf numFmtId="0" fontId="69" fillId="22" borderId="73" pivotButton="0" quotePrefix="0" xfId="0"/>
    <xf numFmtId="0" fontId="69" fillId="22" borderId="68" pivotButton="0" quotePrefix="0" xfId="0"/>
    <xf numFmtId="3" fontId="69" fillId="3" borderId="73" applyAlignment="1" pivotButton="0" quotePrefix="0" xfId="0">
      <alignment horizontal="center"/>
    </xf>
    <xf numFmtId="3" fontId="69" fillId="14" borderId="69" applyAlignment="1" pivotButton="0" quotePrefix="0" xfId="0">
      <alignment horizontal="center"/>
    </xf>
    <xf numFmtId="3" fontId="69" fillId="14" borderId="71" applyAlignment="1" pivotButton="0" quotePrefix="0" xfId="0">
      <alignment horizontal="center"/>
    </xf>
    <xf numFmtId="0" fontId="155" fillId="36" borderId="77" applyAlignment="1" pivotButton="0" quotePrefix="0" xfId="0">
      <alignment horizontal="center" vertical="center"/>
    </xf>
    <xf numFmtId="0" fontId="8" fillId="7" borderId="0" pivotButton="0" quotePrefix="0" xfId="0"/>
    <xf numFmtId="0" fontId="22" fillId="2" borderId="0" applyAlignment="1" pivotButton="0" quotePrefix="0" xfId="0">
      <alignment horizontal="center"/>
    </xf>
    <xf numFmtId="0" fontId="22" fillId="12" borderId="0" applyAlignment="1" pivotButton="0" quotePrefix="0" xfId="0">
      <alignment horizontal="center"/>
    </xf>
    <xf numFmtId="0" fontId="10" fillId="21" borderId="0" pivotButton="0" quotePrefix="0" xfId="0"/>
    <xf numFmtId="0" fontId="3" fillId="16" borderId="0" applyAlignment="1" pivotButton="0" quotePrefix="0" xfId="0">
      <alignment horizontal="center"/>
    </xf>
    <xf numFmtId="0" fontId="0" fillId="12" borderId="0" applyAlignment="1" pivotButton="0" quotePrefix="0" xfId="0">
      <alignment horizontal="center"/>
    </xf>
    <xf numFmtId="3" fontId="10" fillId="12" borderId="94" applyAlignment="1" pivotButton="0" quotePrefix="0" xfId="0">
      <alignment horizontal="center"/>
    </xf>
    <xf numFmtId="0" fontId="4" fillId="8" borderId="0" pivotButton="0" quotePrefix="0" xfId="0"/>
    <xf numFmtId="0" fontId="4" fillId="25" borderId="68" applyAlignment="1" pivotButton="0" quotePrefix="0" xfId="0">
      <alignment horizontal="center"/>
    </xf>
    <xf numFmtId="0" fontId="4" fillId="25" borderId="73" applyAlignment="1" pivotButton="0" quotePrefix="0" xfId="0">
      <alignment horizontal="center"/>
    </xf>
    <xf numFmtId="3" fontId="10" fillId="12" borderId="87" applyAlignment="1" pivotButton="0" quotePrefix="0" xfId="0">
      <alignment horizontal="center"/>
    </xf>
    <xf numFmtId="0" fontId="5" fillId="11" borderId="72" applyAlignment="1" pivotButton="0" quotePrefix="0" xfId="0">
      <alignment horizontal="center"/>
    </xf>
    <xf numFmtId="3" fontId="4" fillId="25" borderId="73" applyAlignment="1" pivotButton="0" quotePrefix="0" xfId="0">
      <alignment horizontal="center"/>
    </xf>
    <xf numFmtId="3" fontId="4" fillId="25" borderId="68" applyAlignment="1" pivotButton="0" quotePrefix="0" xfId="0">
      <alignment horizontal="center"/>
    </xf>
    <xf numFmtId="3" fontId="4" fillId="25" borderId="69" applyAlignment="1" pivotButton="0" quotePrefix="0" xfId="0">
      <alignment horizontal="center"/>
    </xf>
    <xf numFmtId="0" fontId="4" fillId="25" borderId="0" applyAlignment="1" pivotButton="0" quotePrefix="0" xfId="0">
      <alignment horizontal="center"/>
    </xf>
    <xf numFmtId="0" fontId="10" fillId="2" borderId="0" applyAlignment="1" pivotButton="0" quotePrefix="0" xfId="0">
      <alignment horizontal="center"/>
    </xf>
    <xf numFmtId="0" fontId="3" fillId="12" borderId="0" applyAlignment="1" pivotButton="0" quotePrefix="0" xfId="0">
      <alignment horizontal="center"/>
    </xf>
    <xf numFmtId="2" fontId="0" fillId="21" borderId="68" applyAlignment="1" pivotButton="0" quotePrefix="0" xfId="0">
      <alignment horizontal="center"/>
    </xf>
    <xf numFmtId="2" fontId="0" fillId="21" borderId="73" applyAlignment="1" pivotButton="0" quotePrefix="0" xfId="0">
      <alignment horizontal="center"/>
    </xf>
    <xf numFmtId="2" fontId="0" fillId="21" borderId="69" applyAlignment="1" pivotButton="0" quotePrefix="0" xfId="0">
      <alignment horizontal="center"/>
    </xf>
    <xf numFmtId="0" fontId="10" fillId="2" borderId="94" applyAlignment="1" pivotButton="0" quotePrefix="0" xfId="0">
      <alignment horizontal="center"/>
    </xf>
    <xf numFmtId="3" fontId="37" fillId="2" borderId="72" applyAlignment="1" pivotButton="0" quotePrefix="0" xfId="0">
      <alignment horizontal="center"/>
    </xf>
    <xf numFmtId="3" fontId="37" fillId="2" borderId="73" applyAlignment="1" pivotButton="0" quotePrefix="0" xfId="0">
      <alignment horizontal="center"/>
    </xf>
    <xf numFmtId="2" fontId="0" fillId="2" borderId="69" applyAlignment="1" pivotButton="0" quotePrefix="0" xfId="0">
      <alignment horizontal="center"/>
    </xf>
    <xf numFmtId="0" fontId="10" fillId="32" borderId="0" applyAlignment="1" pivotButton="0" quotePrefix="0" xfId="0">
      <alignment horizontal="center"/>
    </xf>
    <xf numFmtId="0" fontId="5" fillId="11" borderId="67" applyAlignment="1" pivotButton="0" quotePrefix="0" xfId="0">
      <alignment horizontal="center"/>
    </xf>
    <xf numFmtId="0" fontId="37" fillId="2" borderId="68" applyAlignment="1" pivotButton="0" quotePrefix="0" xfId="0">
      <alignment horizontal="center"/>
    </xf>
    <xf numFmtId="0" fontId="37" fillId="2" borderId="73" applyAlignment="1" pivotButton="0" quotePrefix="0" xfId="0">
      <alignment horizontal="center"/>
    </xf>
    <xf numFmtId="0" fontId="37" fillId="2" borderId="69" applyAlignment="1" pivotButton="0" quotePrefix="0" xfId="0">
      <alignment horizontal="center"/>
    </xf>
    <xf numFmtId="0" fontId="37" fillId="2" borderId="70" applyAlignment="1" pivotButton="0" quotePrefix="0" xfId="0">
      <alignment horizontal="center"/>
    </xf>
    <xf numFmtId="0" fontId="37" fillId="2" borderId="74" applyAlignment="1" pivotButton="0" quotePrefix="0" xfId="0">
      <alignment horizontal="center"/>
    </xf>
    <xf numFmtId="0" fontId="37" fillId="2" borderId="71" applyAlignment="1" pivotButton="0" quotePrefix="0" xfId="0">
      <alignment horizontal="center"/>
    </xf>
    <xf numFmtId="0" fontId="37" fillId="2" borderId="66" applyAlignment="1" pivotButton="0" quotePrefix="0" xfId="0">
      <alignment horizontal="center"/>
    </xf>
    <xf numFmtId="0" fontId="37" fillId="2" borderId="72" applyAlignment="1" pivotButton="0" quotePrefix="0" xfId="0">
      <alignment horizontal="center"/>
    </xf>
    <xf numFmtId="0" fontId="37" fillId="2" borderId="67" applyAlignment="1" pivotButton="0" quotePrefix="0" xfId="0">
      <alignment horizontal="center"/>
    </xf>
    <xf numFmtId="0" fontId="10" fillId="2" borderId="86" applyAlignment="1" pivotButton="0" quotePrefix="0" xfId="0">
      <alignment horizontal="center"/>
    </xf>
    <xf numFmtId="0" fontId="10" fillId="2" borderId="87" applyAlignment="1" pivotButton="0" quotePrefix="0" xfId="0">
      <alignment horizontal="center"/>
    </xf>
    <xf numFmtId="3" fontId="37" fillId="2" borderId="74" applyAlignment="1" pivotButton="0" quotePrefix="0" xfId="0">
      <alignment horizontal="center"/>
    </xf>
    <xf numFmtId="164" fontId="0" fillId="2" borderId="68" applyAlignment="1" pivotButton="0" quotePrefix="0" xfId="0">
      <alignment horizontal="center"/>
    </xf>
    <xf numFmtId="164" fontId="0" fillId="2" borderId="70" applyAlignment="1" pivotButton="0" quotePrefix="0" xfId="0">
      <alignment horizontal="center"/>
    </xf>
    <xf numFmtId="164" fontId="90" fillId="15" borderId="0" applyAlignment="1" pivotButton="0" quotePrefix="0" xfId="0">
      <alignment horizontal="center" vertical="center"/>
    </xf>
    <xf numFmtId="0" fontId="90" fillId="16" borderId="0" applyAlignment="1" pivotButton="0" quotePrefix="0" xfId="0">
      <alignment horizontal="center" vertical="center"/>
    </xf>
    <xf numFmtId="0" fontId="90" fillId="17" borderId="0" applyAlignment="1" pivotButton="0" quotePrefix="0" xfId="0">
      <alignment horizontal="center" vertical="center"/>
    </xf>
    <xf numFmtId="3" fontId="72" fillId="12" borderId="86" applyAlignment="1" pivotButton="0" quotePrefix="0" xfId="0">
      <alignment horizontal="center"/>
    </xf>
    <xf numFmtId="3" fontId="72" fillId="12" borderId="94" applyAlignment="1" pivotButton="0" quotePrefix="0" xfId="0">
      <alignment horizontal="center"/>
    </xf>
    <xf numFmtId="3" fontId="72" fillId="12" borderId="87" applyAlignment="1" pivotButton="0" quotePrefix="0" xfId="0">
      <alignment horizontal="center"/>
    </xf>
    <xf numFmtId="0" fontId="55" fillId="25" borderId="0" applyAlignment="1" pivotButton="0" quotePrefix="0" xfId="0">
      <alignment horizontal="center"/>
    </xf>
    <xf numFmtId="0" fontId="69" fillId="21" borderId="0" pivotButton="0" quotePrefix="0" xfId="0"/>
    <xf numFmtId="0" fontId="55" fillId="21" borderId="0" applyAlignment="1" pivotButton="0" quotePrefix="0" xfId="0">
      <alignment horizontal="center"/>
    </xf>
    <xf numFmtId="37" fontId="70" fillId="0" borderId="0" applyAlignment="1" pivotButton="0" quotePrefix="0" xfId="0">
      <alignment horizontal="center"/>
    </xf>
    <xf numFmtId="0" fontId="69" fillId="12" borderId="21" pivotButton="0" quotePrefix="0" xfId="0"/>
    <xf numFmtId="0" fontId="55" fillId="12" borderId="21" applyAlignment="1" pivotButton="0" quotePrefix="0" xfId="0">
      <alignment horizontal="center"/>
    </xf>
    <xf numFmtId="0" fontId="72" fillId="0" borderId="0" applyAlignment="1" pivotButton="0" quotePrefix="0" xfId="0">
      <alignment horizontal="center"/>
    </xf>
    <xf numFmtId="0" fontId="69" fillId="0" borderId="0" applyAlignment="1" pivotButton="0" quotePrefix="0" xfId="0">
      <alignment horizontal="left"/>
    </xf>
    <xf numFmtId="0" fontId="74" fillId="0" borderId="11" applyAlignment="1" pivotButton="0" quotePrefix="0" xfId="0">
      <alignment horizontal="center"/>
    </xf>
    <xf numFmtId="37" fontId="74" fillId="0" borderId="11" applyAlignment="1" pivotButton="0" quotePrefix="0" xfId="0">
      <alignment horizontal="center"/>
    </xf>
    <xf numFmtId="0" fontId="22" fillId="47" borderId="0" applyAlignment="1" pivotButton="0" quotePrefix="0" xfId="0">
      <alignment horizontal="left" indent="21"/>
    </xf>
    <xf numFmtId="0" fontId="37" fillId="47" borderId="0" applyAlignment="1" pivotButton="0" quotePrefix="0" xfId="0">
      <alignment horizontal="left" indent="21"/>
    </xf>
    <xf numFmtId="0" fontId="5" fillId="47" borderId="0" applyAlignment="1" pivotButton="0" quotePrefix="0" xfId="0">
      <alignment horizontal="left" indent="5"/>
    </xf>
    <xf numFmtId="0" fontId="22" fillId="47" borderId="0" applyAlignment="1" pivotButton="0" quotePrefix="0" xfId="0">
      <alignment horizontal="left" indent="5"/>
    </xf>
    <xf numFmtId="1" fontId="5" fillId="47" borderId="0" applyAlignment="1" pivotButton="0" quotePrefix="0" xfId="0">
      <alignment horizontal="left" indent="5"/>
    </xf>
    <xf numFmtId="0" fontId="5" fillId="47" borderId="0" applyAlignment="1" pivotButton="0" quotePrefix="0" xfId="0">
      <alignment horizontal="left"/>
    </xf>
    <xf numFmtId="1" fontId="5" fillId="47" borderId="0" applyAlignment="1" pivotButton="0" quotePrefix="0" xfId="0">
      <alignment horizontal="left" indent="11"/>
    </xf>
    <xf numFmtId="0" fontId="22" fillId="47" borderId="0" applyAlignment="1" pivotButton="0" quotePrefix="0" xfId="0">
      <alignment horizontal="left"/>
    </xf>
    <xf numFmtId="0" fontId="4" fillId="47" borderId="0" applyAlignment="1" pivotButton="0" quotePrefix="0" xfId="0">
      <alignment horizontal="center"/>
    </xf>
    <xf numFmtId="0" fontId="4" fillId="47" borderId="0" applyAlignment="1" pivotButton="0" quotePrefix="0" xfId="0">
      <alignment horizontal="center" vertical="top"/>
    </xf>
    <xf numFmtId="1" fontId="4" fillId="47" borderId="0" applyAlignment="1" pivotButton="0" quotePrefix="0" xfId="0">
      <alignment horizontal="center"/>
    </xf>
    <xf numFmtId="0" fontId="3" fillId="0" borderId="0" applyAlignment="1" pivotButton="0" quotePrefix="0" xfId="0">
      <alignment horizontal="left" indent="11"/>
    </xf>
    <xf numFmtId="0" fontId="44" fillId="18" borderId="0" applyAlignment="1" pivotButton="0" quotePrefix="0" xfId="0">
      <alignment horizontal="left" indent="13"/>
    </xf>
    <xf numFmtId="0" fontId="44" fillId="18" borderId="0" applyAlignment="1" pivotButton="0" quotePrefix="0" xfId="0">
      <alignment horizontal="left" indent="11"/>
    </xf>
    <xf numFmtId="0" fontId="10" fillId="18" borderId="0" applyAlignment="1" pivotButton="0" quotePrefix="0" xfId="0">
      <alignment horizontal="center"/>
    </xf>
    <xf numFmtId="0" fontId="0" fillId="11" borderId="0" applyAlignment="1" pivotButton="0" quotePrefix="0" xfId="0">
      <alignment horizontal="center"/>
    </xf>
    <xf numFmtId="0" fontId="44" fillId="25" borderId="0" applyAlignment="1" pivotButton="0" quotePrefix="0" xfId="0">
      <alignment horizontal="center"/>
    </xf>
    <xf numFmtId="0" fontId="3" fillId="21" borderId="0" applyAlignment="1" pivotButton="0" quotePrefix="0" xfId="0">
      <alignment horizontal="center"/>
    </xf>
    <xf numFmtId="0" fontId="3" fillId="0" borderId="11" applyAlignment="1" pivotButton="0" quotePrefix="0" xfId="0">
      <alignment horizontal="center"/>
    </xf>
    <xf numFmtId="0" fontId="44" fillId="2" borderId="21" applyAlignment="1" pivotButton="0" quotePrefix="0" xfId="0">
      <alignment horizontal="center"/>
    </xf>
    <xf numFmtId="0" fontId="3" fillId="0" borderId="0" applyAlignment="1" pivotButton="0" quotePrefix="0" xfId="0">
      <alignment horizontal="left" indent="5"/>
    </xf>
    <xf numFmtId="0" fontId="3" fillId="0" borderId="0" applyAlignment="1" pivotButton="0" quotePrefix="0" xfId="0">
      <alignment horizontal="left" indent="1"/>
    </xf>
    <xf numFmtId="0" fontId="5" fillId="0" borderId="0" applyAlignment="1" pivotButton="0" quotePrefix="0" xfId="0">
      <alignment horizontal="left" indent="2"/>
    </xf>
    <xf numFmtId="0" fontId="5" fillId="0" borderId="0" applyAlignment="1" pivotButton="0" quotePrefix="0" xfId="0">
      <alignment horizontal="left" indent="1"/>
    </xf>
    <xf numFmtId="1" fontId="4" fillId="11" borderId="0" applyAlignment="1" pivotButton="0" quotePrefix="0" xfId="0">
      <alignment horizontal="center"/>
    </xf>
    <xf numFmtId="0" fontId="4" fillId="11" borderId="0" applyAlignment="1" pivotButton="0" quotePrefix="0" xfId="0">
      <alignment horizontal="center"/>
    </xf>
    <xf numFmtId="0" fontId="0" fillId="21" borderId="0" applyAlignment="1" pivotButton="0" quotePrefix="0" xfId="0">
      <alignment horizontal="center"/>
    </xf>
    <xf numFmtId="3" fontId="4" fillId="0" borderId="0" applyAlignment="1" pivotButton="0" quotePrefix="0" xfId="0">
      <alignment horizontal="center"/>
    </xf>
    <xf numFmtId="0" fontId="4" fillId="2" borderId="21" applyAlignment="1" pivotButton="0" quotePrefix="0" xfId="0">
      <alignment horizontal="left"/>
    </xf>
    <xf numFmtId="0" fontId="4" fillId="2" borderId="21" applyAlignment="1" pivotButton="0" quotePrefix="0" xfId="0">
      <alignment horizontal="center"/>
    </xf>
    <xf numFmtId="0" fontId="4" fillId="11" borderId="66" applyAlignment="1" pivotButton="0" quotePrefix="0" xfId="0">
      <alignment horizontal="center"/>
    </xf>
    <xf numFmtId="0" fontId="10" fillId="21" borderId="68" applyAlignment="1" pivotButton="0" quotePrefix="0" xfId="0">
      <alignment horizontal="center"/>
    </xf>
    <xf numFmtId="0" fontId="10" fillId="21" borderId="69" applyAlignment="1" pivotButton="0" quotePrefix="0" xfId="0">
      <alignment horizontal="center"/>
    </xf>
    <xf numFmtId="37" fontId="37" fillId="2" borderId="68" applyAlignment="1" pivotButton="0" quotePrefix="0" xfId="0">
      <alignment horizontal="center"/>
    </xf>
    <xf numFmtId="37" fontId="37" fillId="2" borderId="73" applyAlignment="1" pivotButton="0" quotePrefix="0" xfId="0">
      <alignment horizontal="center"/>
    </xf>
    <xf numFmtId="37" fontId="37" fillId="2" borderId="69" applyAlignment="1" pivotButton="0" quotePrefix="0" xfId="0">
      <alignment horizontal="center"/>
    </xf>
    <xf numFmtId="37" fontId="37" fillId="2" borderId="70" applyAlignment="1" pivotButton="0" quotePrefix="0" xfId="0">
      <alignment horizontal="center"/>
    </xf>
    <xf numFmtId="37" fontId="37" fillId="2" borderId="74" applyAlignment="1" pivotButton="0" quotePrefix="0" xfId="0">
      <alignment horizontal="center"/>
    </xf>
    <xf numFmtId="37" fontId="37" fillId="2" borderId="71" applyAlignment="1" pivotButton="0" quotePrefix="0" xfId="0">
      <alignment horizontal="center"/>
    </xf>
    <xf numFmtId="37" fontId="37" fillId="2" borderId="66" applyAlignment="1" pivotButton="0" quotePrefix="0" xfId="0">
      <alignment horizontal="center"/>
    </xf>
    <xf numFmtId="37" fontId="37" fillId="2" borderId="72" applyAlignment="1" pivotButton="0" quotePrefix="0" xfId="0">
      <alignment horizontal="center"/>
    </xf>
    <xf numFmtId="37" fontId="37" fillId="2" borderId="67" applyAlignment="1" pivotButton="0" quotePrefix="0" xfId="0">
      <alignment horizontal="center"/>
    </xf>
    <xf numFmtId="37" fontId="22" fillId="2" borderId="11" applyAlignment="1" pivotButton="0" quotePrefix="0" xfId="0">
      <alignment horizontal="center"/>
    </xf>
    <xf numFmtId="0" fontId="44" fillId="32" borderId="0" applyAlignment="1" pivotButton="0" quotePrefix="0" xfId="0">
      <alignment horizontal="left" indent="5"/>
    </xf>
    <xf numFmtId="0" fontId="44" fillId="32" borderId="0" applyAlignment="1" pivotButton="0" quotePrefix="0" xfId="0">
      <alignment horizontal="left" indent="10"/>
    </xf>
    <xf numFmtId="0" fontId="10" fillId="32" borderId="0" applyAlignment="1" pivotButton="0" quotePrefix="0" xfId="0">
      <alignment horizontal="left" indent="10"/>
    </xf>
    <xf numFmtId="0" fontId="10" fillId="32" borderId="0" applyAlignment="1" pivotButton="0" quotePrefix="0" xfId="0">
      <alignment horizontal="left" indent="4"/>
    </xf>
    <xf numFmtId="0" fontId="7" fillId="32" borderId="0" applyAlignment="1" pivotButton="0" quotePrefix="0" xfId="0">
      <alignment horizontal="center"/>
    </xf>
    <xf numFmtId="0" fontId="44" fillId="12" borderId="3" pivotButton="0" quotePrefix="0" xfId="0"/>
    <xf numFmtId="0" fontId="115" fillId="19" borderId="11" pivotButton="0" quotePrefix="0" xfId="0"/>
    <xf numFmtId="0" fontId="118" fillId="14" borderId="0" applyAlignment="1" pivotButton="0" quotePrefix="0" xfId="0">
      <alignment vertical="center"/>
    </xf>
    <xf numFmtId="2" fontId="0" fillId="11" borderId="72" applyAlignment="1" pivotButton="0" quotePrefix="0" xfId="0">
      <alignment horizontal="center" vertical="center"/>
    </xf>
    <xf numFmtId="0" fontId="0" fillId="0" borderId="72" applyAlignment="1" pivotButton="0" quotePrefix="0" xfId="0">
      <alignment horizontal="center"/>
    </xf>
    <xf numFmtId="2" fontId="0" fillId="11" borderId="67" applyAlignment="1" pivotButton="0" quotePrefix="0" xfId="0">
      <alignment horizontal="center" vertical="center"/>
    </xf>
    <xf numFmtId="2" fontId="37" fillId="25" borderId="73" applyAlignment="1" pivotButton="0" quotePrefix="0" xfId="0">
      <alignment horizontal="center"/>
    </xf>
    <xf numFmtId="0" fontId="0" fillId="0" borderId="73" applyAlignment="1" pivotButton="0" quotePrefix="0" xfId="0">
      <alignment horizontal="center"/>
    </xf>
    <xf numFmtId="2" fontId="37" fillId="25" borderId="69" applyAlignment="1" pivotButton="0" quotePrefix="0" xfId="0">
      <alignment horizontal="center"/>
    </xf>
    <xf numFmtId="2" fontId="0" fillId="21" borderId="73" applyAlignment="1" pivotButton="0" quotePrefix="0" xfId="0">
      <alignment horizontal="center" vertical="top"/>
    </xf>
    <xf numFmtId="2" fontId="0" fillId="12" borderId="70" applyAlignment="1" pivotButton="0" quotePrefix="0" xfId="0">
      <alignment horizontal="center"/>
    </xf>
    <xf numFmtId="2" fontId="0" fillId="12" borderId="74" applyAlignment="1" pivotButton="0" quotePrefix="0" xfId="0">
      <alignment horizontal="center"/>
    </xf>
    <xf numFmtId="0" fontId="0" fillId="0" borderId="74" applyAlignment="1" pivotButton="0" quotePrefix="0" xfId="0">
      <alignment horizontal="center"/>
    </xf>
    <xf numFmtId="2" fontId="0" fillId="12" borderId="71" applyAlignment="1" pivotButton="0" quotePrefix="0" xfId="0">
      <alignment horizontal="center"/>
    </xf>
    <xf numFmtId="0" fontId="4" fillId="2" borderId="0" applyAlignment="1" pivotButton="0" quotePrefix="0" xfId="0">
      <alignment horizontal="left"/>
    </xf>
    <xf numFmtId="0" fontId="10" fillId="2" borderId="73" applyAlignment="1" applyProtection="1" pivotButton="0" quotePrefix="0" xfId="0">
      <alignment horizontal="center"/>
      <protection locked="0" hidden="0"/>
    </xf>
    <xf numFmtId="2" fontId="10" fillId="2" borderId="73" applyAlignment="1" pivotButton="0" quotePrefix="0" xfId="0">
      <alignment horizontal="center" vertical="center" wrapText="1"/>
    </xf>
    <xf numFmtId="0" fontId="10" fillId="2" borderId="74" applyAlignment="1" applyProtection="1" pivotButton="0" quotePrefix="0" xfId="0">
      <alignment horizontal="center"/>
      <protection locked="0" hidden="0"/>
    </xf>
    <xf numFmtId="2" fontId="10" fillId="2" borderId="74" applyAlignment="1" pivotButton="0" quotePrefix="0" xfId="0">
      <alignment horizontal="center" vertical="center" wrapText="1"/>
    </xf>
    <xf numFmtId="1" fontId="10" fillId="2" borderId="74" applyAlignment="1" pivotButton="0" quotePrefix="0" xfId="0">
      <alignment horizontal="center" vertical="center" wrapText="1"/>
    </xf>
    <xf numFmtId="2" fontId="0" fillId="2" borderId="71" applyAlignment="1" pivotButton="0" quotePrefix="0" xfId="0">
      <alignment horizontal="center"/>
    </xf>
    <xf numFmtId="0" fontId="10" fillId="2" borderId="72" applyAlignment="1" applyProtection="1" pivotButton="0" quotePrefix="0" xfId="0">
      <alignment horizontal="center"/>
      <protection locked="0" hidden="0"/>
    </xf>
    <xf numFmtId="2" fontId="10" fillId="2" borderId="72" applyAlignment="1" pivotButton="0" quotePrefix="0" xfId="0">
      <alignment horizontal="center" vertical="center" wrapText="1"/>
    </xf>
    <xf numFmtId="1" fontId="10" fillId="2" borderId="72" applyAlignment="1" pivotButton="0" quotePrefix="0" xfId="0">
      <alignment horizontal="center" vertical="center" wrapText="1"/>
    </xf>
    <xf numFmtId="2" fontId="0" fillId="2" borderId="67" applyAlignment="1" pivotButton="0" quotePrefix="0" xfId="0">
      <alignment horizontal="center"/>
    </xf>
    <xf numFmtId="0" fontId="10" fillId="2" borderId="21" pivotButton="0" quotePrefix="0" xfId="0"/>
    <xf numFmtId="0" fontId="4" fillId="11" borderId="0" pivotButton="0" quotePrefix="0" xfId="0"/>
    <xf numFmtId="0" fontId="4" fillId="22" borderId="66" applyAlignment="1" pivotButton="0" quotePrefix="0" xfId="0">
      <alignment horizontal="center"/>
    </xf>
    <xf numFmtId="0" fontId="4" fillId="22" borderId="68" applyAlignment="1" pivotButton="0" quotePrefix="0" xfId="0">
      <alignment horizontal="center"/>
    </xf>
    <xf numFmtId="0" fontId="4" fillId="22" borderId="70" applyAlignment="1" pivotButton="0" quotePrefix="0" xfId="0">
      <alignment horizontal="center"/>
    </xf>
    <xf numFmtId="0" fontId="89" fillId="22" borderId="0" applyAlignment="1" pivotButton="0" quotePrefix="0" xfId="0">
      <alignment horizontal="left" vertical="center"/>
    </xf>
    <xf numFmtId="0" fontId="10" fillId="12" borderId="21" pivotButton="0" quotePrefix="0" xfId="0"/>
    <xf numFmtId="0" fontId="10" fillId="12" borderId="21" applyAlignment="1" pivotButton="0" quotePrefix="0" xfId="0">
      <alignment horizontal="center"/>
    </xf>
    <xf numFmtId="0" fontId="22" fillId="22" borderId="0" applyAlignment="1" pivotButton="0" quotePrefix="0" xfId="0">
      <alignment horizontal="left" vertical="top" indent="2"/>
    </xf>
    <xf numFmtId="0" fontId="22" fillId="22" borderId="0" applyAlignment="1" pivotButton="0" quotePrefix="0" xfId="0">
      <alignment horizontal="left" indent="6"/>
    </xf>
    <xf numFmtId="0" fontId="22" fillId="22" borderId="0" applyAlignment="1" pivotButton="0" quotePrefix="0" xfId="0">
      <alignment horizontal="left" indent="1"/>
    </xf>
    <xf numFmtId="0" fontId="37" fillId="22" borderId="0" applyAlignment="1" pivotButton="0" quotePrefix="0" xfId="0">
      <alignment horizontal="left" indent="2"/>
    </xf>
    <xf numFmtId="0" fontId="22" fillId="22" borderId="0" applyAlignment="1" pivotButton="0" quotePrefix="0" xfId="0">
      <alignment horizontal="left" indent="5"/>
    </xf>
    <xf numFmtId="0" fontId="37" fillId="22" borderId="0" applyAlignment="1" pivotButton="0" quotePrefix="0" xfId="0">
      <alignment horizontal="left" indent="12"/>
    </xf>
    <xf numFmtId="0" fontId="22" fillId="22" borderId="0" applyAlignment="1" pivotButton="0" quotePrefix="0" xfId="0">
      <alignment horizontal="left" indent="3"/>
    </xf>
    <xf numFmtId="0" fontId="22" fillId="22" borderId="0" pivotButton="0" quotePrefix="0" xfId="0"/>
    <xf numFmtId="0" fontId="37" fillId="22" borderId="0" applyAlignment="1" pivotButton="0" quotePrefix="0" xfId="0">
      <alignment horizontal="left" indent="4"/>
    </xf>
    <xf numFmtId="0" fontId="4" fillId="2" borderId="0" applyAlignment="1" pivotButton="0" quotePrefix="0" xfId="0">
      <alignment horizontal="left" indent="2"/>
    </xf>
    <xf numFmtId="0" fontId="44" fillId="2" borderId="0" applyAlignment="1" pivotButton="0" quotePrefix="0" xfId="0">
      <alignment horizontal="left" indent="5"/>
    </xf>
    <xf numFmtId="0" fontId="44" fillId="2" borderId="0" applyAlignment="1" pivotButton="0" quotePrefix="0" xfId="0">
      <alignment horizontal="left" indent="10"/>
    </xf>
    <xf numFmtId="0" fontId="10" fillId="2" borderId="0" applyAlignment="1" pivotButton="0" quotePrefix="0" xfId="0">
      <alignment horizontal="left" indent="10"/>
    </xf>
    <xf numFmtId="3" fontId="69" fillId="22" borderId="73" applyAlignment="1" pivotButton="0" quotePrefix="1" xfId="0">
      <alignment horizontal="center"/>
    </xf>
    <xf numFmtId="3" fontId="69" fillId="22" borderId="68" pivotButton="0" quotePrefix="1" xfId="0"/>
    <xf numFmtId="3" fontId="69" fillId="22" borderId="73" pivotButton="0" quotePrefix="0" xfId="0"/>
    <xf numFmtId="3" fontId="69" fillId="22" borderId="68" pivotButton="0" quotePrefix="0" xfId="0"/>
    <xf numFmtId="3" fontId="0" fillId="2" borderId="71" applyAlignment="1" pivotButton="0" quotePrefix="0" xfId="0">
      <alignment horizontal="center"/>
    </xf>
    <xf numFmtId="3" fontId="4" fillId="46" borderId="66" applyAlignment="1" pivotButton="0" quotePrefix="0" xfId="0">
      <alignment horizontal="center" vertical="center" wrapText="1"/>
    </xf>
    <xf numFmtId="3" fontId="4" fillId="46" borderId="72" applyAlignment="1" pivotButton="0" quotePrefix="0" xfId="0">
      <alignment horizontal="center" vertical="center" wrapText="1"/>
    </xf>
    <xf numFmtId="3" fontId="37" fillId="46" borderId="72" applyAlignment="1" pivotButton="0" quotePrefix="0" xfId="0">
      <alignment horizontal="center"/>
    </xf>
    <xf numFmtId="3" fontId="37" fillId="46" borderId="67" applyAlignment="1" pivotButton="0" quotePrefix="0" xfId="0">
      <alignment horizontal="center"/>
    </xf>
    <xf numFmtId="3" fontId="4" fillId="46" borderId="68" applyAlignment="1" pivotButton="0" quotePrefix="0" xfId="0">
      <alignment horizontal="center" vertical="center" wrapText="1"/>
    </xf>
    <xf numFmtId="3" fontId="4" fillId="46" borderId="73" applyAlignment="1" pivotButton="0" quotePrefix="0" xfId="0">
      <alignment horizontal="center" vertical="center" wrapText="1"/>
    </xf>
    <xf numFmtId="3" fontId="37" fillId="46" borderId="73" applyAlignment="1" pivotButton="0" quotePrefix="0" xfId="0">
      <alignment horizontal="center"/>
    </xf>
    <xf numFmtId="3" fontId="37" fillId="46" borderId="69" applyAlignment="1" pivotButton="0" quotePrefix="0" xfId="0">
      <alignment horizontal="center"/>
    </xf>
    <xf numFmtId="0" fontId="37" fillId="32" borderId="0" pivotButton="0" quotePrefix="0" xfId="0"/>
    <xf numFmtId="0" fontId="22" fillId="47" borderId="0" pivotButton="0" quotePrefix="0" xfId="0"/>
    <xf numFmtId="0" fontId="37" fillId="47" borderId="0" pivotButton="0" quotePrefix="0" xfId="0"/>
    <xf numFmtId="0" fontId="5" fillId="47" borderId="0" applyAlignment="1" pivotButton="0" quotePrefix="0" xfId="0">
      <alignment horizontal="left" vertical="center"/>
    </xf>
    <xf numFmtId="0" fontId="5" fillId="47" borderId="0" pivotButton="0" quotePrefix="0" xfId="0"/>
    <xf numFmtId="0" fontId="22" fillId="47" borderId="0" applyAlignment="1" pivotButton="0" quotePrefix="0" xfId="0">
      <alignment horizontal="left" indent="2"/>
    </xf>
    <xf numFmtId="0" fontId="5" fillId="47" borderId="0" applyAlignment="1" pivotButton="0" quotePrefix="0" xfId="0">
      <alignment horizontal="left" indent="6"/>
    </xf>
    <xf numFmtId="0" fontId="4" fillId="47" borderId="0" applyAlignment="1" pivotButton="0" quotePrefix="0" xfId="0">
      <alignment horizontal="left" indent="6"/>
    </xf>
    <xf numFmtId="0" fontId="5" fillId="47" borderId="0" applyAlignment="1" pivotButton="0" quotePrefix="0" xfId="0">
      <alignment horizontal="left" indent="7"/>
    </xf>
    <xf numFmtId="0" fontId="5" fillId="47" borderId="0" applyAlignment="1" pivotButton="0" quotePrefix="0" xfId="0">
      <alignment horizontal="center"/>
    </xf>
    <xf numFmtId="0" fontId="5" fillId="47" borderId="0" applyAlignment="1" pivotButton="0" quotePrefix="0" xfId="0">
      <alignment horizontal="left" indent="4"/>
    </xf>
    <xf numFmtId="0" fontId="5" fillId="47" borderId="0" applyAlignment="1" pivotButton="0" quotePrefix="0" xfId="0">
      <alignment horizontal="center" vertical="top"/>
    </xf>
    <xf numFmtId="0" fontId="22" fillId="47" borderId="0" applyAlignment="1" pivotButton="0" quotePrefix="0" xfId="0">
      <alignment horizontal="center"/>
    </xf>
    <xf numFmtId="3" fontId="0" fillId="22" borderId="70" applyAlignment="1" pivotButton="0" quotePrefix="0" xfId="0">
      <alignment horizontal="center"/>
    </xf>
    <xf numFmtId="3" fontId="0" fillId="22" borderId="74" applyAlignment="1" pivotButton="0" quotePrefix="0" xfId="0">
      <alignment horizontal="center"/>
    </xf>
    <xf numFmtId="3" fontId="3" fillId="2" borderId="74" applyAlignment="1" pivotButton="0" quotePrefix="0" xfId="0">
      <alignment horizontal="center"/>
    </xf>
    <xf numFmtId="0" fontId="8" fillId="7" borderId="0" applyAlignment="1" pivotButton="0" quotePrefix="0" xfId="0">
      <alignment horizontal="center"/>
    </xf>
    <xf numFmtId="0" fontId="5" fillId="15" borderId="0" applyAlignment="1" pivotButton="0" quotePrefix="0" xfId="0">
      <alignment horizontal="center" vertical="center"/>
    </xf>
    <xf numFmtId="0" fontId="3" fillId="2" borderId="0" applyAlignment="1" pivotButton="0" quotePrefix="0" xfId="0">
      <alignment horizontal="left" vertical="center"/>
    </xf>
    <xf numFmtId="0" fontId="0" fillId="22" borderId="0" applyAlignment="1" pivotButton="0" quotePrefix="0" xfId="0">
      <alignment horizontal="center" vertical="center"/>
    </xf>
    <xf numFmtId="0" fontId="0" fillId="0" borderId="68" pivotButton="0" quotePrefix="0" xfId="0"/>
    <xf numFmtId="0" fontId="0" fillId="0" borderId="73" pivotButton="0" quotePrefix="0" xfId="0"/>
    <xf numFmtId="0" fontId="0" fillId="0" borderId="69" pivotButton="0" quotePrefix="0" xfId="0"/>
    <xf numFmtId="0" fontId="0" fillId="0" borderId="70" pivotButton="0" quotePrefix="0" xfId="0"/>
    <xf numFmtId="0" fontId="0" fillId="0" borderId="74" pivotButton="0" quotePrefix="0" xfId="0"/>
    <xf numFmtId="0" fontId="3" fillId="6" borderId="74" pivotButton="0" quotePrefix="0" xfId="0"/>
    <xf numFmtId="3" fontId="3" fillId="6" borderId="74" applyAlignment="1" pivotButton="0" quotePrefix="0" xfId="0">
      <alignment horizontal="left"/>
    </xf>
    <xf numFmtId="3" fontId="3" fillId="6" borderId="71" applyAlignment="1" pivotButton="0" quotePrefix="0" xfId="0">
      <alignment horizontal="left"/>
    </xf>
    <xf numFmtId="0" fontId="3" fillId="2" borderId="0" applyAlignment="1" pivotButton="0" quotePrefix="0" xfId="0">
      <alignment horizontal="left" indent="4"/>
    </xf>
    <xf numFmtId="0" fontId="67" fillId="11" borderId="0" pivotButton="0" quotePrefix="0" xfId="0"/>
    <xf numFmtId="0" fontId="3" fillId="2" borderId="0" applyAlignment="1" pivotButton="0" quotePrefix="0" xfId="0">
      <alignment horizontal="center" vertical="center"/>
    </xf>
    <xf numFmtId="0" fontId="22" fillId="2" borderId="0" applyAlignment="1" pivotButton="0" quotePrefix="0" xfId="0">
      <alignment horizontal="left"/>
    </xf>
    <xf numFmtId="0" fontId="3" fillId="2" borderId="0" applyAlignment="1" pivotButton="0" quotePrefix="0" xfId="0">
      <alignment horizontal="left" indent="5"/>
    </xf>
    <xf numFmtId="0" fontId="31" fillId="2" borderId="0" applyAlignment="1" pivotButton="0" quotePrefix="0" xfId="0">
      <alignment horizontal="left" indent="4"/>
    </xf>
    <xf numFmtId="0" fontId="5" fillId="15" borderId="0" applyAlignment="1" pivotButton="0" quotePrefix="0" xfId="0">
      <alignment horizontal="left" vertical="center"/>
    </xf>
    <xf numFmtId="0" fontId="111" fillId="16" borderId="0" pivotButton="0" quotePrefix="0" xfId="0"/>
    <xf numFmtId="0" fontId="30" fillId="17" borderId="0" applyAlignment="1" pivotButton="0" quotePrefix="0" xfId="0">
      <alignment horizontal="center"/>
    </xf>
    <xf numFmtId="0" fontId="29" fillId="17" borderId="0" applyAlignment="1" pivotButton="0" quotePrefix="0" xfId="0">
      <alignment horizontal="center"/>
    </xf>
    <xf numFmtId="0" fontId="37" fillId="2" borderId="0" applyAlignment="1" pivotButton="0" quotePrefix="0" xfId="0">
      <alignment horizontal="center"/>
    </xf>
    <xf numFmtId="9" fontId="37" fillId="22" borderId="0" applyAlignment="1" pivotButton="0" quotePrefix="0" xfId="6">
      <alignment horizontal="left"/>
    </xf>
    <xf numFmtId="9" fontId="0" fillId="22" borderId="0" applyAlignment="1" pivotButton="0" quotePrefix="0" xfId="6">
      <alignment horizontal="left"/>
    </xf>
    <xf numFmtId="164" fontId="0" fillId="2" borderId="67" applyAlignment="1" pivotButton="0" quotePrefix="0" xfId="0">
      <alignment horizontal="center"/>
    </xf>
    <xf numFmtId="164" fontId="0" fillId="2" borderId="69" applyAlignment="1" pivotButton="0" quotePrefix="0" xfId="0">
      <alignment horizontal="center"/>
    </xf>
    <xf numFmtId="164" fontId="0" fillId="2" borderId="71" applyAlignment="1" pivotButton="0" quotePrefix="0" xfId="0">
      <alignment horizontal="center"/>
    </xf>
    <xf numFmtId="0" fontId="22" fillId="2" borderId="0" applyAlignment="1" pivotButton="0" quotePrefix="0" xfId="0">
      <alignment horizontal="left" indent="10"/>
    </xf>
    <xf numFmtId="0" fontId="22" fillId="2" borderId="21" applyAlignment="1" pivotButton="0" quotePrefix="0" xfId="0">
      <alignment horizontal="left" indent="4"/>
    </xf>
    <xf numFmtId="3" fontId="37" fillId="2" borderId="66" applyAlignment="1" pivotButton="0" quotePrefix="0" xfId="0">
      <alignment horizontal="center"/>
    </xf>
    <xf numFmtId="3" fontId="37" fillId="2" borderId="70" applyAlignment="1" pivotButton="0" quotePrefix="0" xfId="0">
      <alignment horizontal="center"/>
    </xf>
    <xf numFmtId="3" fontId="22" fillId="2" borderId="134" applyAlignment="1" pivotButton="0" quotePrefix="0" xfId="0">
      <alignment horizontal="center"/>
    </xf>
    <xf numFmtId="3" fontId="22" fillId="2" borderId="135" applyAlignment="1" pivotButton="0" quotePrefix="0" xfId="0">
      <alignment horizontal="center"/>
    </xf>
    <xf numFmtId="3" fontId="22" fillId="2" borderId="136" applyAlignment="1" pivotButton="0" quotePrefix="0" xfId="0">
      <alignment horizontal="center"/>
    </xf>
    <xf numFmtId="0" fontId="37" fillId="0" borderId="0" applyAlignment="1" pivotButton="0" quotePrefix="0" xfId="0">
      <alignment horizontal="center"/>
    </xf>
    <xf numFmtId="0" fontId="37" fillId="2" borderId="21" applyAlignment="1" pivotButton="0" quotePrefix="0" xfId="0">
      <alignment horizontal="center"/>
    </xf>
    <xf numFmtId="0" fontId="37" fillId="0" borderId="72" applyAlignment="1" pivotButton="0" quotePrefix="0" xfId="0">
      <alignment horizontal="center"/>
    </xf>
    <xf numFmtId="0" fontId="37" fillId="0" borderId="73" applyAlignment="1" pivotButton="0" quotePrefix="0" xfId="0">
      <alignment horizontal="center"/>
    </xf>
    <xf numFmtId="0" fontId="37" fillId="0" borderId="74" applyAlignment="1" pivotButton="0" quotePrefix="0" xfId="0">
      <alignment horizontal="center"/>
    </xf>
    <xf numFmtId="0" fontId="22" fillId="2" borderId="134" applyAlignment="1" pivotButton="0" quotePrefix="0" xfId="0">
      <alignment horizontal="center"/>
    </xf>
    <xf numFmtId="0" fontId="22" fillId="2" borderId="135" applyAlignment="1" pivotButton="0" quotePrefix="0" xfId="0">
      <alignment horizontal="center"/>
    </xf>
    <xf numFmtId="0" fontId="22" fillId="2" borderId="136" applyAlignment="1" pivotButton="0" quotePrefix="0" xfId="0">
      <alignment horizontal="center"/>
    </xf>
    <xf numFmtId="0" fontId="256" fillId="19" borderId="0" applyAlignment="1" pivotButton="0" quotePrefix="0" xfId="0">
      <alignment vertical="center"/>
    </xf>
    <xf numFmtId="0" fontId="37" fillId="32" borderId="66" pivotButton="0" quotePrefix="0" xfId="0"/>
    <xf numFmtId="0" fontId="37" fillId="32" borderId="72" pivotButton="0" quotePrefix="0" xfId="0"/>
    <xf numFmtId="0" fontId="37" fillId="32" borderId="67" pivotButton="0" quotePrefix="0" xfId="0"/>
    <xf numFmtId="0" fontId="37" fillId="32" borderId="68" pivotButton="0" quotePrefix="0" xfId="0"/>
    <xf numFmtId="0" fontId="37" fillId="32" borderId="73" pivotButton="0" quotePrefix="0" xfId="0"/>
    <xf numFmtId="0" fontId="37" fillId="32" borderId="69" pivotButton="0" quotePrefix="0" xfId="0"/>
    <xf numFmtId="0" fontId="37" fillId="32" borderId="70" pivotButton="0" quotePrefix="0" xfId="0"/>
    <xf numFmtId="0" fontId="37" fillId="32" borderId="74" pivotButton="0" quotePrefix="0" xfId="0"/>
    <xf numFmtId="0" fontId="37" fillId="32" borderId="71" pivotButton="0" quotePrefix="0" xfId="0"/>
    <xf numFmtId="0" fontId="257" fillId="32" borderId="0" applyAlignment="1" pivotButton="0" quotePrefix="0" xfId="0">
      <alignment horizontal="left"/>
    </xf>
    <xf numFmtId="0" fontId="37" fillId="32" borderId="0" applyAlignment="1" pivotButton="0" quotePrefix="0" xfId="0">
      <alignment horizontal="left"/>
    </xf>
    <xf numFmtId="0" fontId="5" fillId="32" borderId="21" applyAlignment="1" pivotButton="0" quotePrefix="0" xfId="0">
      <alignment horizontal="left"/>
    </xf>
    <xf numFmtId="0" fontId="50" fillId="22" borderId="0" applyAlignment="1" pivotButton="0" quotePrefix="0" xfId="0">
      <alignment horizontal="left" indent="23"/>
    </xf>
    <xf numFmtId="0" fontId="22" fillId="41" borderId="0" applyAlignment="1" pivotButton="0" quotePrefix="0" xfId="0">
      <alignment horizontal="center"/>
    </xf>
    <xf numFmtId="0" fontId="37" fillId="41" borderId="0" pivotButton="0" quotePrefix="0" xfId="0"/>
    <xf numFmtId="0" fontId="22" fillId="41" borderId="0" applyAlignment="1" pivotButton="0" quotePrefix="0" xfId="0">
      <alignment horizontal="center" vertical="center"/>
    </xf>
    <xf numFmtId="0" fontId="22" fillId="41" borderId="0" pivotButton="0" quotePrefix="0" xfId="0"/>
    <xf numFmtId="0" fontId="37" fillId="41" borderId="0" applyAlignment="1" pivotButton="0" quotePrefix="0" xfId="0">
      <alignment horizontal="center"/>
    </xf>
    <xf numFmtId="0" fontId="0" fillId="46" borderId="0" pivotButton="0" quotePrefix="0" xfId="0"/>
    <xf numFmtId="0" fontId="3" fillId="2" borderId="14" pivotButton="0" quotePrefix="0" xfId="0"/>
    <xf numFmtId="0" fontId="0" fillId="2" borderId="21" applyAlignment="1" pivotButton="0" quotePrefix="0" xfId="0">
      <alignment horizontal="left"/>
    </xf>
    <xf numFmtId="0" fontId="5" fillId="22" borderId="21" applyAlignment="1" pivotButton="0" quotePrefix="0" xfId="0">
      <alignment horizontal="left" vertical="center"/>
    </xf>
    <xf numFmtId="0" fontId="5" fillId="22" borderId="21" applyAlignment="1" pivotButton="0" quotePrefix="0" xfId="0">
      <alignment horizontal="center"/>
    </xf>
    <xf numFmtId="0" fontId="3" fillId="22" borderId="21" applyAlignment="1" pivotButton="0" quotePrefix="0" xfId="0">
      <alignment horizontal="center"/>
    </xf>
    <xf numFmtId="3" fontId="3" fillId="6" borderId="74" applyAlignment="1" pivotButton="0" quotePrefix="0" xfId="0">
      <alignment horizontal="center"/>
    </xf>
    <xf numFmtId="0" fontId="5" fillId="22" borderId="0" applyAlignment="1" pivotButton="0" quotePrefix="0" xfId="0">
      <alignment horizontal="center" vertical="center" wrapText="1"/>
    </xf>
    <xf numFmtId="0" fontId="44" fillId="22" borderId="0" applyAlignment="1" pivotButton="0" quotePrefix="0" xfId="0">
      <alignment horizontal="center" vertical="center" wrapText="1"/>
    </xf>
    <xf numFmtId="3" fontId="74" fillId="22" borderId="11" applyAlignment="1" pivotButton="0" quotePrefix="0" xfId="0">
      <alignment horizontal="center"/>
    </xf>
    <xf numFmtId="0" fontId="88" fillId="32" borderId="21" applyAlignment="1" pivotButton="0" quotePrefix="0" xfId="0">
      <alignment horizontal="center"/>
    </xf>
    <xf numFmtId="0" fontId="69" fillId="18" borderId="0" pivotButton="0" quotePrefix="0" xfId="0"/>
    <xf numFmtId="0" fontId="69" fillId="18" borderId="0" applyAlignment="1" pivotButton="0" quotePrefix="0" xfId="0">
      <alignment vertical="center" wrapText="1"/>
    </xf>
    <xf numFmtId="0" fontId="69" fillId="18" borderId="0" applyAlignment="1" pivotButton="0" quotePrefix="0" xfId="0">
      <alignment horizontal="center" vertical="top"/>
    </xf>
    <xf numFmtId="0" fontId="69" fillId="18" borderId="0" applyAlignment="1" pivotButton="0" quotePrefix="0" xfId="0">
      <alignment vertical="top"/>
    </xf>
    <xf numFmtId="0" fontId="69" fillId="18" borderId="0" applyAlignment="1" pivotButton="0" quotePrefix="0" xfId="0">
      <alignment horizontal="justify" vertical="top"/>
    </xf>
    <xf numFmtId="0" fontId="69" fillId="18" borderId="0" applyAlignment="1" pivotButton="0" quotePrefix="0" xfId="0">
      <alignment horizontal="center" vertical="top" wrapText="1"/>
    </xf>
    <xf numFmtId="0" fontId="69" fillId="22" borderId="70" pivotButton="0" quotePrefix="0" xfId="0"/>
    <xf numFmtId="0" fontId="69" fillId="22" borderId="74" pivotButton="0" quotePrefix="0" xfId="0"/>
    <xf numFmtId="3" fontId="69" fillId="22" borderId="70" pivotButton="0" quotePrefix="0" xfId="0"/>
    <xf numFmtId="3" fontId="69" fillId="22" borderId="74" pivotButton="0" quotePrefix="0" xfId="0"/>
    <xf numFmtId="0" fontId="258" fillId="18" borderId="0" pivotButton="0" quotePrefix="0" xfId="0"/>
    <xf numFmtId="0" fontId="56" fillId="18" borderId="0" applyAlignment="1" pivotButton="0" quotePrefix="0" xfId="0">
      <alignment horizontal="justify" vertical="top" wrapText="1"/>
    </xf>
    <xf numFmtId="9" fontId="74" fillId="22" borderId="0" applyAlignment="1" pivotButton="0" quotePrefix="0" xfId="6">
      <alignment horizontal="center"/>
    </xf>
    <xf numFmtId="0" fontId="259" fillId="22" borderId="0" applyAlignment="1" pivotButton="0" quotePrefix="0" xfId="0">
      <alignment vertical="center"/>
    </xf>
    <xf numFmtId="3" fontId="74" fillId="22" borderId="0" pivotButton="0" quotePrefix="0" xfId="0"/>
    <xf numFmtId="3" fontId="74" fillId="6" borderId="75" applyAlignment="1" pivotButton="0" quotePrefix="0" xfId="0">
      <alignment horizontal="center"/>
    </xf>
    <xf numFmtId="3" fontId="74" fillId="6" borderId="77" applyAlignment="1" pivotButton="0" quotePrefix="0" xfId="0">
      <alignment horizontal="center"/>
    </xf>
    <xf numFmtId="3" fontId="74" fillId="6" borderId="76" applyAlignment="1" pivotButton="0" quotePrefix="0" xfId="0">
      <alignment horizontal="center"/>
    </xf>
    <xf numFmtId="0" fontId="0" fillId="22" borderId="21" pivotButton="0" quotePrefix="0" xfId="0"/>
    <xf numFmtId="0" fontId="211" fillId="22" borderId="0" pivotButton="0" quotePrefix="0" xfId="0"/>
    <xf numFmtId="0" fontId="260" fillId="36" borderId="76" applyAlignment="1" pivotButton="0" quotePrefix="0" xfId="0">
      <alignment horizontal="center" vertical="center"/>
    </xf>
    <xf numFmtId="0" fontId="261" fillId="22" borderId="0" pivotButton="0" quotePrefix="0" xfId="0"/>
    <xf numFmtId="3" fontId="262" fillId="22" borderId="73" applyAlignment="1" pivotButton="0" quotePrefix="0" xfId="0">
      <alignment horizontal="center" vertical="center"/>
    </xf>
    <xf numFmtId="3" fontId="263" fillId="22" borderId="0" applyAlignment="1" pivotButton="0" quotePrefix="0" xfId="0">
      <alignment vertical="center"/>
    </xf>
    <xf numFmtId="0" fontId="264" fillId="22" borderId="0" applyAlignment="1" pivotButton="0" quotePrefix="0" xfId="0">
      <alignment vertical="center"/>
    </xf>
    <xf numFmtId="0" fontId="265" fillId="22" borderId="0" applyAlignment="1" pivotButton="0" quotePrefix="0" xfId="0">
      <alignment vertical="center"/>
    </xf>
    <xf numFmtId="0" fontId="266" fillId="22" borderId="0" applyAlignment="1" pivotButton="0" quotePrefix="0" xfId="0">
      <alignment vertical="center"/>
    </xf>
    <xf numFmtId="3" fontId="266" fillId="22" borderId="72" applyAlignment="1" pivotButton="0" quotePrefix="0" xfId="0">
      <alignment horizontal="center" vertical="center"/>
    </xf>
    <xf numFmtId="0" fontId="266" fillId="22" borderId="118" applyAlignment="1" pivotButton="0" quotePrefix="0" xfId="0">
      <alignment vertical="center"/>
    </xf>
    <xf numFmtId="0" fontId="266" fillId="22" borderId="68" applyAlignment="1" pivotButton="0" quotePrefix="0" xfId="0">
      <alignment vertical="center"/>
    </xf>
    <xf numFmtId="168" fontId="266" fillId="22" borderId="73" applyAlignment="1" pivotButton="0" quotePrefix="0" xfId="0">
      <alignment horizontal="center" vertical="center"/>
    </xf>
    <xf numFmtId="168" fontId="266" fillId="22" borderId="76" applyAlignment="1" pivotButton="0" quotePrefix="0" xfId="0">
      <alignment horizontal="center" vertical="center"/>
    </xf>
    <xf numFmtId="0" fontId="261" fillId="22" borderId="21" pivotButton="0" quotePrefix="0" xfId="0"/>
    <xf numFmtId="0" fontId="268" fillId="22" borderId="21" pivotButton="0" quotePrefix="0" xfId="0"/>
    <xf numFmtId="0" fontId="268" fillId="22" borderId="0" pivotButton="0" quotePrefix="0" xfId="0"/>
    <xf numFmtId="0" fontId="270" fillId="22" borderId="21" pivotButton="0" quotePrefix="0" xfId="0"/>
    <xf numFmtId="14" fontId="270" fillId="22" borderId="21" pivotButton="0" quotePrefix="0" xfId="0"/>
    <xf numFmtId="0" fontId="270" fillId="22" borderId="0" applyAlignment="1" pivotButton="0" quotePrefix="0" xfId="0">
      <alignment vertical="center"/>
    </xf>
    <xf numFmtId="0" fontId="267" fillId="22" borderId="0" pivotButton="0" quotePrefix="0" xfId="0"/>
    <xf numFmtId="0" fontId="265" fillId="22" borderId="0" pivotButton="0" quotePrefix="0" xfId="0"/>
    <xf numFmtId="0" fontId="265" fillId="2" borderId="0" pivotButton="0" quotePrefix="0" xfId="0"/>
    <xf numFmtId="0" fontId="262" fillId="2" borderId="0" pivotButton="0" quotePrefix="0" xfId="0"/>
    <xf numFmtId="0" fontId="264" fillId="2" borderId="0" pivotButton="0" quotePrefix="0" xfId="0"/>
    <xf numFmtId="0" fontId="273" fillId="22" borderId="74" applyAlignment="1" pivotButton="0" quotePrefix="0" xfId="0">
      <alignment horizontal="right" vertical="center"/>
    </xf>
    <xf numFmtId="3" fontId="273" fillId="22" borderId="73" applyAlignment="1" pivotButton="0" quotePrefix="0" xfId="0">
      <alignment horizontal="center" vertical="center"/>
    </xf>
    <xf numFmtId="3" fontId="274" fillId="22" borderId="0" applyAlignment="1" pivotButton="0" quotePrefix="0" xfId="0">
      <alignment vertical="center"/>
    </xf>
    <xf numFmtId="3" fontId="273" fillId="22" borderId="74" applyAlignment="1" pivotButton="0" quotePrefix="0" xfId="0">
      <alignment horizontal="center" vertical="center"/>
    </xf>
    <xf numFmtId="0" fontId="273" fillId="22" borderId="0" applyAlignment="1" pivotButton="0" quotePrefix="0" xfId="0">
      <alignment vertical="center"/>
    </xf>
    <xf numFmtId="3" fontId="273" fillId="22" borderId="68" applyAlignment="1" pivotButton="0" quotePrefix="0" xfId="0">
      <alignment horizontal="center" vertical="center"/>
    </xf>
    <xf numFmtId="3" fontId="273" fillId="22" borderId="69" applyAlignment="1" pivotButton="0" quotePrefix="0" xfId="0">
      <alignment horizontal="center" vertical="center"/>
    </xf>
    <xf numFmtId="3" fontId="273" fillId="22" borderId="75" applyAlignment="1" pivotButton="0" quotePrefix="0" xfId="0">
      <alignment horizontal="center" vertical="center"/>
    </xf>
    <xf numFmtId="3" fontId="273" fillId="22" borderId="76" applyAlignment="1" pivotButton="0" quotePrefix="0" xfId="0">
      <alignment horizontal="center" vertical="center"/>
    </xf>
    <xf numFmtId="3" fontId="273" fillId="22" borderId="72" applyAlignment="1" pivotButton="0" quotePrefix="0" xfId="0">
      <alignment horizontal="center" vertical="center"/>
    </xf>
    <xf numFmtId="3" fontId="273" fillId="22" borderId="77" applyAlignment="1" pivotButton="0" quotePrefix="0" xfId="0">
      <alignment horizontal="center" vertical="center"/>
    </xf>
    <xf numFmtId="3" fontId="273" fillId="22" borderId="0" applyAlignment="1" pivotButton="0" quotePrefix="0" xfId="0">
      <alignment horizontal="center" vertical="center"/>
    </xf>
    <xf numFmtId="0" fontId="261" fillId="22" borderId="21" applyAlignment="1" pivotButton="0" quotePrefix="0" xfId="0">
      <alignment vertical="center"/>
    </xf>
    <xf numFmtId="0" fontId="261" fillId="22" borderId="0" applyAlignment="1" pivotButton="0" quotePrefix="0" xfId="0">
      <alignment vertical="center"/>
    </xf>
    <xf numFmtId="0" fontId="268" fillId="22" borderId="0" applyAlignment="1" pivotButton="0" quotePrefix="0" xfId="0">
      <alignment vertical="center"/>
    </xf>
    <xf numFmtId="3" fontId="268" fillId="22" borderId="72" applyAlignment="1" pivotButton="0" quotePrefix="0" xfId="0">
      <alignment horizontal="center" vertical="center"/>
    </xf>
    <xf numFmtId="3" fontId="268" fillId="22" borderId="76" applyAlignment="1" pivotButton="0" quotePrefix="0" xfId="0">
      <alignment horizontal="center" vertical="center"/>
    </xf>
    <xf numFmtId="0" fontId="268" fillId="22" borderId="68" applyAlignment="1" pivotButton="0" quotePrefix="0" xfId="0">
      <alignment vertical="center"/>
    </xf>
    <xf numFmtId="168" fontId="268" fillId="22" borderId="73" applyAlignment="1" pivotButton="0" quotePrefix="0" xfId="0">
      <alignment horizontal="center" vertical="center"/>
    </xf>
    <xf numFmtId="168" fontId="268" fillId="22" borderId="76" applyAlignment="1" pivotButton="0" quotePrefix="0" xfId="0">
      <alignment horizontal="center" vertical="center"/>
    </xf>
    <xf numFmtId="168" fontId="268" fillId="22" borderId="74" applyAlignment="1" pivotButton="0" quotePrefix="0" xfId="0">
      <alignment horizontal="center" vertical="center"/>
    </xf>
    <xf numFmtId="3" fontId="261" fillId="22" borderId="70" applyAlignment="1" pivotButton="0" quotePrefix="0" xfId="0">
      <alignment horizontal="center" vertical="center"/>
    </xf>
    <xf numFmtId="3" fontId="261" fillId="22" borderId="74" applyAlignment="1" pivotButton="0" quotePrefix="0" xfId="0">
      <alignment horizontal="center" vertical="center"/>
    </xf>
    <xf numFmtId="3" fontId="261" fillId="22" borderId="71" applyAlignment="1" pivotButton="0" quotePrefix="0" xfId="0">
      <alignment horizontal="center" vertical="center"/>
    </xf>
    <xf numFmtId="3" fontId="261" fillId="22" borderId="75" applyAlignment="1" pivotButton="0" quotePrefix="0" xfId="0">
      <alignment horizontal="center" vertical="center"/>
    </xf>
    <xf numFmtId="3" fontId="261" fillId="22" borderId="76" applyAlignment="1" pivotButton="0" quotePrefix="0" xfId="0">
      <alignment horizontal="center" vertical="center"/>
    </xf>
    <xf numFmtId="0" fontId="176" fillId="22" borderId="0" applyAlignment="1" pivotButton="0" quotePrefix="1" xfId="0">
      <alignment vertical="center"/>
    </xf>
    <xf numFmtId="0" fontId="275" fillId="2" borderId="0" pivotButton="0" quotePrefix="0" xfId="0"/>
    <xf numFmtId="14" fontId="273" fillId="2" borderId="0" pivotButton="0" quotePrefix="0" xfId="0"/>
    <xf numFmtId="0" fontId="273" fillId="2" borderId="0" pivotButton="0" quotePrefix="0" xfId="0"/>
    <xf numFmtId="0" fontId="261" fillId="2" borderId="0" pivotButton="0" quotePrefix="0" xfId="0"/>
    <xf numFmtId="0" fontId="275" fillId="2" borderId="21" pivotButton="0" quotePrefix="0" xfId="0"/>
    <xf numFmtId="0" fontId="273" fillId="2" borderId="21" pivotButton="0" quotePrefix="0" xfId="0"/>
    <xf numFmtId="0" fontId="275" fillId="2" borderId="21" applyAlignment="1" pivotButton="0" quotePrefix="0" xfId="0">
      <alignment horizontal="left"/>
    </xf>
    <xf numFmtId="3" fontId="273" fillId="2" borderId="21" pivotButton="0" quotePrefix="0" xfId="0"/>
    <xf numFmtId="0" fontId="273" fillId="2" borderId="0" applyAlignment="1" pivotButton="0" quotePrefix="0" xfId="0">
      <alignment horizontal="left"/>
    </xf>
    <xf numFmtId="3" fontId="273" fillId="2" borderId="0" pivotButton="0" quotePrefix="0" xfId="0"/>
    <xf numFmtId="0" fontId="273" fillId="2" borderId="0" applyAlignment="1" pivotButton="0" quotePrefix="0" xfId="0">
      <alignment horizontal="right"/>
    </xf>
    <xf numFmtId="0" fontId="155" fillId="22" borderId="0" applyAlignment="1" pivotButton="0" quotePrefix="0" xfId="0">
      <alignment horizontal="center" vertical="center"/>
    </xf>
    <xf numFmtId="0" fontId="277" fillId="22" borderId="0" applyAlignment="1" pivotButton="0" quotePrefix="0" xfId="0">
      <alignment horizontal="right"/>
    </xf>
    <xf numFmtId="0" fontId="269" fillId="22" borderId="0" applyAlignment="1" pivotButton="0" quotePrefix="0" xfId="0">
      <alignment horizontal="right"/>
    </xf>
    <xf numFmtId="3" fontId="261" fillId="22" borderId="0" pivotButton="0" quotePrefix="0" xfId="0"/>
    <xf numFmtId="0" fontId="279" fillId="36" borderId="0" applyAlignment="1" pivotButton="0" quotePrefix="0" xfId="0">
      <alignment vertical="center"/>
    </xf>
    <xf numFmtId="0" fontId="176" fillId="22" borderId="0" applyAlignment="1" pivotButton="0" quotePrefix="1" xfId="0">
      <alignment horizontal="right" vertical="center"/>
    </xf>
    <xf numFmtId="3" fontId="150" fillId="22" borderId="66" applyAlignment="1" pivotButton="0" quotePrefix="0" xfId="0">
      <alignment horizontal="center" vertical="center"/>
    </xf>
    <xf numFmtId="3" fontId="150" fillId="22" borderId="73" applyAlignment="1" pivotButton="0" quotePrefix="0" xfId="0">
      <alignment horizontal="center" vertical="center"/>
    </xf>
    <xf numFmtId="0" fontId="162" fillId="22" borderId="0" applyAlignment="1" pivotButton="0" quotePrefix="0" xfId="0">
      <alignment vertical="center"/>
    </xf>
    <xf numFmtId="3" fontId="268" fillId="22" borderId="21" pivotButton="0" quotePrefix="0" xfId="0"/>
    <xf numFmtId="0" fontId="249" fillId="22" borderId="0" applyAlignment="1" pivotButton="0" quotePrefix="0" xfId="0">
      <alignment wrapText="1"/>
    </xf>
    <xf numFmtId="0" fontId="283" fillId="36" borderId="76" applyAlignment="1" pivotButton="0" quotePrefix="0" xfId="0">
      <alignment horizontal="center" vertical="center"/>
    </xf>
    <xf numFmtId="0" fontId="268" fillId="22" borderId="137" applyAlignment="1" pivotButton="0" quotePrefix="0" xfId="0">
      <alignment vertical="center"/>
    </xf>
    <xf numFmtId="3" fontId="268" fillId="22" borderId="89" applyAlignment="1" pivotButton="0" quotePrefix="0" xfId="0">
      <alignment horizontal="center" vertical="center"/>
    </xf>
    <xf numFmtId="0" fontId="160" fillId="2" borderId="0" applyAlignment="1" pivotButton="0" quotePrefix="0" xfId="0">
      <alignment vertical="center"/>
    </xf>
    <xf numFmtId="3" fontId="160" fillId="2" borderId="72" applyAlignment="1" pivotButton="0" quotePrefix="0" xfId="0">
      <alignment horizontal="center" vertical="center"/>
    </xf>
    <xf numFmtId="3" fontId="160" fillId="2" borderId="76" applyAlignment="1" pivotButton="0" quotePrefix="0" xfId="0">
      <alignment horizontal="center" vertical="center"/>
    </xf>
    <xf numFmtId="0" fontId="160" fillId="2" borderId="118" applyAlignment="1" pivotButton="0" quotePrefix="0" xfId="0">
      <alignment vertical="center"/>
    </xf>
    <xf numFmtId="168" fontId="160" fillId="2" borderId="73" applyAlignment="1" pivotButton="0" quotePrefix="0" xfId="0">
      <alignment horizontal="center" vertical="center"/>
    </xf>
    <xf numFmtId="168" fontId="160" fillId="22" borderId="76" applyAlignment="1" pivotButton="0" quotePrefix="0" xfId="0">
      <alignment horizontal="center" vertical="center"/>
    </xf>
    <xf numFmtId="168" fontId="160" fillId="2" borderId="74" applyAlignment="1" pivotButton="0" quotePrefix="0" xfId="0">
      <alignment horizontal="center" vertical="center"/>
    </xf>
    <xf numFmtId="168" fontId="160" fillId="2" borderId="76" applyAlignment="1" pivotButton="0" quotePrefix="0" xfId="0">
      <alignment horizontal="center" vertical="center"/>
    </xf>
    <xf numFmtId="0" fontId="150" fillId="2" borderId="74" applyAlignment="1" pivotButton="0" quotePrefix="0" xfId="0">
      <alignment horizontal="right" vertical="center"/>
    </xf>
    <xf numFmtId="3" fontId="150" fillId="2" borderId="74" applyAlignment="1" pivotButton="0" quotePrefix="0" xfId="0">
      <alignment horizontal="center" vertical="center"/>
    </xf>
    <xf numFmtId="3" fontId="150" fillId="2" borderId="76" applyAlignment="1" pivotButton="0" quotePrefix="0" xfId="0">
      <alignment horizontal="center" vertical="center"/>
    </xf>
    <xf numFmtId="0" fontId="150" fillId="22" borderId="77" applyAlignment="1" pivotButton="0" quotePrefix="0" xfId="0">
      <alignment horizontal="right" vertical="center"/>
    </xf>
    <xf numFmtId="0" fontId="150" fillId="2" borderId="76" applyAlignment="1" pivotButton="0" quotePrefix="0" xfId="0">
      <alignment horizontal="right" vertical="center"/>
    </xf>
    <xf numFmtId="0" fontId="150" fillId="22" borderId="76" applyAlignment="1" pivotButton="0" quotePrefix="0" xfId="0">
      <alignment horizontal="right" vertical="center"/>
    </xf>
    <xf numFmtId="3" fontId="150" fillId="22" borderId="76" applyAlignment="1" pivotButton="0" quotePrefix="0" xfId="0">
      <alignment horizontal="center" vertical="center"/>
    </xf>
    <xf numFmtId="0" fontId="150" fillId="22" borderId="67" applyAlignment="1" pivotButton="0" quotePrefix="0" xfId="0">
      <alignment horizontal="right" vertical="center"/>
    </xf>
    <xf numFmtId="3" fontId="150" fillId="22" borderId="79" applyAlignment="1" pivotButton="0" quotePrefix="0" xfId="0">
      <alignment horizontal="center" vertical="center"/>
    </xf>
    <xf numFmtId="0" fontId="150" fillId="2" borderId="77" applyAlignment="1" pivotButton="0" quotePrefix="0" xfId="0">
      <alignment vertical="center"/>
    </xf>
    <xf numFmtId="3" fontId="150" fillId="2" borderId="72" applyAlignment="1" pivotButton="0" quotePrefix="0" xfId="0">
      <alignment horizontal="center" vertical="center"/>
    </xf>
    <xf numFmtId="0" fontId="284" fillId="22" borderId="0" pivotButton="0" quotePrefix="0" xfId="0"/>
    <xf numFmtId="168" fontId="268" fillId="22" borderId="0" applyAlignment="1" pivotButton="0" quotePrefix="0" xfId="0">
      <alignment horizontal="center" vertical="center"/>
    </xf>
    <xf numFmtId="0" fontId="176" fillId="22" borderId="0" applyAlignment="1" pivotButton="0" quotePrefix="0" xfId="0">
      <alignment horizontal="center"/>
    </xf>
    <xf numFmtId="0" fontId="266" fillId="22" borderId="137" applyAlignment="1" pivotButton="0" quotePrefix="0" xfId="0">
      <alignment vertical="center"/>
    </xf>
    <xf numFmtId="3" fontId="266" fillId="22" borderId="127" applyAlignment="1" pivotButton="0" quotePrefix="0" xfId="0">
      <alignment horizontal="center" vertical="center"/>
    </xf>
    <xf numFmtId="3" fontId="266" fillId="22" borderId="137" applyAlignment="1" pivotButton="0" quotePrefix="0" xfId="0">
      <alignment horizontal="center" vertical="center"/>
    </xf>
    <xf numFmtId="3" fontId="266" fillId="22" borderId="126" applyAlignment="1" pivotButton="0" quotePrefix="0" xfId="0">
      <alignment horizontal="center" vertical="center"/>
    </xf>
    <xf numFmtId="3" fontId="266" fillId="22" borderId="89" applyAlignment="1" pivotButton="0" quotePrefix="0" xfId="0">
      <alignment horizontal="center" vertical="center"/>
    </xf>
    <xf numFmtId="3" fontId="266" fillId="22" borderId="69" applyAlignment="1" pivotButton="0" quotePrefix="0" xfId="0">
      <alignment horizontal="center" vertical="center"/>
    </xf>
    <xf numFmtId="3" fontId="266" fillId="22" borderId="118" applyAlignment="1" pivotButton="0" quotePrefix="0" xfId="0">
      <alignment horizontal="center" vertical="center"/>
    </xf>
    <xf numFmtId="3" fontId="266" fillId="22" borderId="68" applyAlignment="1" pivotButton="0" quotePrefix="0" xfId="0">
      <alignment horizontal="center" vertical="center"/>
    </xf>
    <xf numFmtId="0" fontId="286" fillId="36" borderId="76" applyAlignment="1" pivotButton="0" quotePrefix="0" xfId="0">
      <alignment horizontal="center" vertical="center"/>
    </xf>
    <xf numFmtId="0" fontId="264" fillId="22" borderId="0" pivotButton="0" quotePrefix="0" xfId="0"/>
    <xf numFmtId="9" fontId="69" fillId="22" borderId="0" pivotButton="0" quotePrefix="0" xfId="0"/>
    <xf numFmtId="0" fontId="69" fillId="0" borderId="0" applyAlignment="1" pivotButton="0" quotePrefix="0" xfId="0">
      <alignment horizontal="right"/>
    </xf>
    <xf numFmtId="0" fontId="75" fillId="40" borderId="0" pivotButton="0" quotePrefix="0" xfId="0"/>
    <xf numFmtId="0" fontId="75" fillId="41" borderId="0" pivotButton="0" quotePrefix="0" xfId="0"/>
    <xf numFmtId="0" fontId="268" fillId="22" borderId="0" applyAlignment="1" pivotButton="0" quotePrefix="0" xfId="0">
      <alignment horizontal="right" vertical="center"/>
    </xf>
    <xf numFmtId="3" fontId="261" fillId="22" borderId="0" applyAlignment="1" pivotButton="0" quotePrefix="0" xfId="0">
      <alignment horizontal="center" vertical="center"/>
    </xf>
    <xf numFmtId="0" fontId="277" fillId="22" borderId="21" pivotButton="0" quotePrefix="0" xfId="0"/>
    <xf numFmtId="3" fontId="265" fillId="22" borderId="0" applyAlignment="1" pivotButton="0" quotePrefix="0" xfId="0">
      <alignment horizontal="center"/>
    </xf>
    <xf numFmtId="9" fontId="265" fillId="22" borderId="0" applyAlignment="1" pivotButton="0" quotePrefix="0" xfId="0">
      <alignment horizontal="center"/>
    </xf>
    <xf numFmtId="0" fontId="277" fillId="22" borderId="0" pivotButton="0" quotePrefix="0" xfId="0"/>
    <xf numFmtId="1" fontId="70" fillId="2" borderId="70" applyAlignment="1" pivotButton="0" quotePrefix="0" xfId="0">
      <alignment horizontal="center" vertical="center" wrapText="1"/>
    </xf>
    <xf numFmtId="1" fontId="70" fillId="2" borderId="74" applyAlignment="1" pivotButton="0" quotePrefix="0" xfId="0">
      <alignment horizontal="center" vertical="center" wrapText="1"/>
    </xf>
    <xf numFmtId="1" fontId="70" fillId="2" borderId="71" applyAlignment="1" pivotButton="0" quotePrefix="0" xfId="0">
      <alignment horizontal="center" vertical="center" wrapText="1"/>
    </xf>
    <xf numFmtId="172" fontId="56" fillId="2" borderId="134" applyAlignment="1" pivotButton="0" quotePrefix="0" xfId="0">
      <alignment horizontal="center" vertical="center" wrapText="1"/>
    </xf>
    <xf numFmtId="172" fontId="56" fillId="2" borderId="135" applyAlignment="1" pivotButton="0" quotePrefix="0" xfId="0">
      <alignment horizontal="center" vertical="center" wrapText="1"/>
    </xf>
    <xf numFmtId="172" fontId="56" fillId="2" borderId="136" applyAlignment="1" pivotButton="0" quotePrefix="0" xfId="0">
      <alignment horizontal="center" vertical="center" wrapText="1"/>
    </xf>
    <xf numFmtId="0" fontId="44" fillId="11" borderId="0" applyAlignment="1" pivotButton="0" quotePrefix="0" xfId="0">
      <alignment horizontal="right"/>
    </xf>
    <xf numFmtId="0" fontId="44" fillId="25" borderId="0" applyAlignment="1" pivotButton="0" quotePrefix="0" xfId="0">
      <alignment horizontal="right"/>
    </xf>
    <xf numFmtId="0" fontId="3" fillId="21" borderId="0" applyAlignment="1" pivotButton="0" quotePrefix="0" xfId="0">
      <alignment horizontal="right"/>
    </xf>
    <xf numFmtId="0" fontId="44" fillId="2" borderId="21" applyAlignment="1" pivotButton="0" quotePrefix="0" xfId="0">
      <alignment horizontal="right"/>
    </xf>
    <xf numFmtId="0" fontId="280" fillId="12" borderId="0" pivotButton="0" quotePrefix="0" xfId="0"/>
    <xf numFmtId="0" fontId="7" fillId="22" borderId="0" applyAlignment="1" pivotButton="0" quotePrefix="0" xfId="0">
      <alignment horizontal="left" vertical="center" indent="20"/>
    </xf>
    <xf numFmtId="0" fontId="7" fillId="22" borderId="0" applyAlignment="1" pivotButton="0" quotePrefix="0" xfId="0">
      <alignment horizontal="left" indent="17"/>
    </xf>
    <xf numFmtId="0" fontId="7" fillId="22" borderId="0" pivotButton="0" quotePrefix="0" xfId="0"/>
    <xf numFmtId="0" fontId="288" fillId="19" borderId="0" pivotButton="0" quotePrefix="0" xfId="0"/>
    <xf numFmtId="0" fontId="25" fillId="22" borderId="0" pivotButton="0" quotePrefix="0" xfId="0"/>
    <xf numFmtId="0" fontId="42" fillId="22" borderId="0" applyAlignment="1" pivotButton="0" quotePrefix="0" xfId="0">
      <alignment vertical="top"/>
    </xf>
    <xf numFmtId="0" fontId="23" fillId="22" borderId="0" applyAlignment="1" applyProtection="1" pivotButton="0" quotePrefix="0" xfId="3">
      <alignment horizontal="center"/>
      <protection locked="0" hidden="0"/>
    </xf>
    <xf numFmtId="0" fontId="5" fillId="22" borderId="0" applyAlignment="1" pivotButton="0" quotePrefix="0" xfId="0">
      <alignment horizontal="center"/>
    </xf>
    <xf numFmtId="0" fontId="289" fillId="19" borderId="0" applyAlignment="1" pivotButton="0" quotePrefix="0" xfId="0">
      <alignment horizontal="left" vertical="center" indent="2"/>
    </xf>
    <xf numFmtId="4" fontId="97" fillId="11" borderId="8" applyAlignment="1" pivotButton="0" quotePrefix="0" xfId="0">
      <alignment horizontal="center"/>
    </xf>
    <xf numFmtId="0" fontId="30" fillId="0" borderId="11" pivotButton="0" quotePrefix="0" xfId="0"/>
    <xf numFmtId="2" fontId="37" fillId="11" borderId="12" applyAlignment="1" pivotButton="0" quotePrefix="0" xfId="0">
      <alignment horizontal="center"/>
    </xf>
    <xf numFmtId="2" fontId="0" fillId="11" borderId="10" applyAlignment="1" pivotButton="0" quotePrefix="0" xfId="0">
      <alignment horizontal="center" vertical="center"/>
    </xf>
    <xf numFmtId="2" fontId="0" fillId="11" borderId="9" applyAlignment="1" pivotButton="0" quotePrefix="0" xfId="0">
      <alignment horizontal="center" vertical="center"/>
    </xf>
    <xf numFmtId="2" fontId="37" fillId="25" borderId="12" applyAlignment="1" pivotButton="0" quotePrefix="0" xfId="0">
      <alignment horizontal="center"/>
    </xf>
    <xf numFmtId="2" fontId="37" fillId="25" borderId="10" applyAlignment="1" pivotButton="0" quotePrefix="0" xfId="0">
      <alignment horizontal="center"/>
    </xf>
    <xf numFmtId="2" fontId="0" fillId="21" borderId="12" applyAlignment="1" pivotButton="0" quotePrefix="0" xfId="0">
      <alignment horizontal="center"/>
    </xf>
    <xf numFmtId="2" fontId="0" fillId="21" borderId="10" applyAlignment="1" pivotButton="0" quotePrefix="0" xfId="0">
      <alignment horizontal="center"/>
    </xf>
    <xf numFmtId="2" fontId="0" fillId="12" borderId="12" applyAlignment="1" pivotButton="0" quotePrefix="0" xfId="0">
      <alignment horizontal="center"/>
    </xf>
    <xf numFmtId="2" fontId="0" fillId="12" borderId="10" applyAlignment="1" pivotButton="0" quotePrefix="0" xfId="0">
      <alignment horizontal="center"/>
    </xf>
    <xf numFmtId="0" fontId="112" fillId="19" borderId="0" applyAlignment="1" pivotButton="0" quotePrefix="0" xfId="0">
      <alignment horizontal="left" vertical="center"/>
    </xf>
    <xf numFmtId="2" fontId="96" fillId="19" borderId="72" applyAlignment="1" applyProtection="1" pivotButton="0" quotePrefix="0" xfId="0">
      <alignment horizontal="center"/>
      <protection locked="0" hidden="0"/>
    </xf>
    <xf numFmtId="0" fontId="288" fillId="36" borderId="0" pivotButton="0" quotePrefix="0" xfId="0"/>
    <xf numFmtId="0" fontId="288" fillId="36" borderId="0" applyAlignment="1" pivotButton="0" quotePrefix="0" xfId="0">
      <alignment horizontal="center"/>
    </xf>
    <xf numFmtId="0" fontId="290" fillId="36" borderId="0" pivotButton="0" quotePrefix="0" xfId="0"/>
    <xf numFmtId="0" fontId="288" fillId="22" borderId="0" pivotButton="0" quotePrefix="0" xfId="0"/>
    <xf numFmtId="0" fontId="291" fillId="22" borderId="0" applyAlignment="1" pivotButton="0" quotePrefix="0" xfId="0">
      <alignment horizontal="center"/>
    </xf>
    <xf numFmtId="0" fontId="288" fillId="22" borderId="0" applyAlignment="1" pivotButton="0" quotePrefix="0" xfId="0">
      <alignment horizontal="center"/>
    </xf>
    <xf numFmtId="0" fontId="3" fillId="6" borderId="8" applyAlignment="1" pivotButton="0" quotePrefix="0" xfId="0">
      <alignment horizontal="center"/>
    </xf>
    <xf numFmtId="0" fontId="22" fillId="6" borderId="8" applyAlignment="1" pivotButton="0" quotePrefix="0" xfId="0">
      <alignment horizontal="center"/>
    </xf>
    <xf numFmtId="2" fontId="96" fillId="19" borderId="72" applyAlignment="1" pivotButton="0" quotePrefix="0" xfId="0">
      <alignment horizontal="center"/>
    </xf>
    <xf numFmtId="0" fontId="4" fillId="11" borderId="0" applyAlignment="1" pivotButton="0" quotePrefix="0" xfId="0">
      <alignment horizontal="center" vertical="center"/>
    </xf>
    <xf numFmtId="1" fontId="10" fillId="2" borderId="94" applyAlignment="1" pivotButton="0" quotePrefix="0" xfId="0">
      <alignment horizontal="center"/>
    </xf>
    <xf numFmtId="1" fontId="96" fillId="19" borderId="72" applyAlignment="1" pivotButton="0" quotePrefix="0" xfId="0">
      <alignment horizontal="center"/>
    </xf>
    <xf numFmtId="4" fontId="4" fillId="11" borderId="72" applyAlignment="1" pivotButton="0" quotePrefix="0" xfId="0">
      <alignment horizontal="center"/>
    </xf>
    <xf numFmtId="4" fontId="4" fillId="11" borderId="67" applyAlignment="1" pivotButton="0" quotePrefix="0" xfId="0">
      <alignment horizontal="center"/>
    </xf>
    <xf numFmtId="4" fontId="4" fillId="25" borderId="73" applyAlignment="1" pivotButton="0" quotePrefix="0" xfId="0">
      <alignment horizontal="center"/>
    </xf>
    <xf numFmtId="4" fontId="4" fillId="25" borderId="69" applyAlignment="1" pivotButton="0" quotePrefix="0" xfId="0">
      <alignment horizontal="center"/>
    </xf>
    <xf numFmtId="4" fontId="10" fillId="21" borderId="73" applyAlignment="1" pivotButton="0" quotePrefix="0" xfId="0">
      <alignment horizontal="center"/>
    </xf>
    <xf numFmtId="4" fontId="10" fillId="21" borderId="69" applyAlignment="1" pivotButton="0" quotePrefix="0" xfId="0">
      <alignment horizontal="center"/>
    </xf>
    <xf numFmtId="4" fontId="10" fillId="2" borderId="94" applyAlignment="1" pivotButton="0" quotePrefix="0" xfId="0">
      <alignment horizontal="center"/>
    </xf>
    <xf numFmtId="4" fontId="10" fillId="2" borderId="87" applyAlignment="1" pivotButton="0" quotePrefix="0" xfId="0">
      <alignment horizontal="center"/>
    </xf>
    <xf numFmtId="0" fontId="50" fillId="6" borderId="21" pivotButton="0" quotePrefix="0" xfId="0"/>
    <xf numFmtId="164" fontId="22" fillId="6" borderId="8" applyAlignment="1" pivotButton="0" quotePrefix="0" xfId="0">
      <alignment horizontal="center"/>
    </xf>
    <xf numFmtId="164" fontId="22" fillId="6" borderId="9" applyAlignment="1" pivotButton="0" quotePrefix="0" xfId="0">
      <alignment horizontal="center"/>
    </xf>
    <xf numFmtId="0" fontId="10" fillId="2" borderId="21" applyAlignment="1" pivotButton="0" quotePrefix="0" xfId="0">
      <alignment horizontal="center"/>
    </xf>
    <xf numFmtId="0" fontId="229" fillId="12" borderId="0" applyAlignment="1" pivotButton="0" quotePrefix="0" xfId="0">
      <alignment horizontal="center"/>
    </xf>
    <xf numFmtId="0" fontId="206" fillId="12" borderId="0" applyAlignment="1" pivotButton="0" quotePrefix="0" xfId="0">
      <alignment horizontal="center"/>
    </xf>
    <xf numFmtId="3" fontId="160" fillId="42" borderId="66" applyAlignment="1" pivotButton="0" quotePrefix="0" xfId="0">
      <alignment horizontal="center" vertical="center"/>
    </xf>
    <xf numFmtId="3" fontId="160" fillId="42" borderId="67" applyAlignment="1" pivotButton="0" quotePrefix="0" xfId="0">
      <alignment horizontal="center" vertical="center"/>
    </xf>
    <xf numFmtId="3" fontId="160" fillId="3" borderId="66" applyAlignment="1" pivotButton="0" quotePrefix="0" xfId="0">
      <alignment horizontal="center" vertical="center"/>
    </xf>
    <xf numFmtId="3" fontId="160" fillId="3" borderId="69" applyAlignment="1" pivotButton="0" quotePrefix="0" xfId="0">
      <alignment horizontal="center" vertical="center"/>
    </xf>
    <xf numFmtId="3" fontId="160" fillId="48" borderId="74" applyAlignment="1" pivotButton="0" quotePrefix="0" xfId="0">
      <alignment horizontal="center" vertical="center"/>
    </xf>
    <xf numFmtId="3" fontId="160" fillId="48" borderId="66" applyAlignment="1" pivotButton="0" quotePrefix="0" xfId="0">
      <alignment horizontal="center" vertical="center"/>
    </xf>
    <xf numFmtId="3" fontId="150" fillId="35" borderId="66" applyAlignment="1" pivotButton="0" quotePrefix="0" xfId="0">
      <alignment horizontal="center" vertical="center"/>
    </xf>
    <xf numFmtId="3" fontId="150" fillId="35" borderId="68" applyAlignment="1" pivotButton="0" quotePrefix="0" xfId="0">
      <alignment horizontal="center" vertical="center"/>
    </xf>
    <xf numFmtId="3" fontId="150" fillId="2" borderId="66" applyAlignment="1" pivotButton="0" quotePrefix="0" xfId="0">
      <alignment horizontal="center" vertical="center"/>
    </xf>
    <xf numFmtId="3" fontId="150" fillId="2" borderId="73" applyAlignment="1" pivotButton="0" quotePrefix="0" xfId="0">
      <alignment horizontal="center" vertical="center"/>
    </xf>
    <xf numFmtId="3" fontId="150" fillId="42" borderId="72" applyAlignment="1" pivotButton="0" quotePrefix="0" xfId="0">
      <alignment horizontal="center" vertical="center"/>
    </xf>
    <xf numFmtId="0" fontId="190" fillId="12" borderId="0" pivotButton="0" quotePrefix="0" xfId="0"/>
    <xf numFmtId="3" fontId="4" fillId="25" borderId="0" applyAlignment="1" pivotButton="0" quotePrefix="0" xfId="0">
      <alignment horizontal="center"/>
    </xf>
    <xf numFmtId="3" fontId="4" fillId="11" borderId="0" applyAlignment="1" pivotButton="0" quotePrefix="0" xfId="0">
      <alignment horizontal="center"/>
    </xf>
    <xf numFmtId="3" fontId="5" fillId="11" borderId="0" applyAlignment="1" pivotButton="0" quotePrefix="0" xfId="0">
      <alignment horizontal="center"/>
    </xf>
    <xf numFmtId="3" fontId="5" fillId="25" borderId="0" applyAlignment="1" pivotButton="0" quotePrefix="0" xfId="0">
      <alignment horizontal="center"/>
    </xf>
    <xf numFmtId="170" fontId="161" fillId="10" borderId="0" applyAlignment="1" pivotButton="0" quotePrefix="0" xfId="0">
      <alignment horizontal="center" vertical="top"/>
    </xf>
    <xf numFmtId="0" fontId="10" fillId="0" borderId="0" applyAlignment="1" pivotButton="0" quotePrefix="0" xfId="0">
      <alignment horizontal="left" wrapText="1"/>
    </xf>
    <xf numFmtId="0" fontId="10" fillId="0" borderId="0" applyAlignment="1" pivotButton="0" quotePrefix="0" xfId="0">
      <alignment wrapText="1"/>
    </xf>
    <xf numFmtId="0" fontId="4" fillId="0" borderId="0" applyAlignment="1" pivotButton="0" quotePrefix="0" xfId="0">
      <alignment wrapText="1"/>
    </xf>
    <xf numFmtId="170" fontId="0" fillId="0" borderId="0" pivotButton="0" quotePrefix="0" xfId="0"/>
    <xf numFmtId="170" fontId="0" fillId="0" borderId="0" applyAlignment="1" pivotButton="0" quotePrefix="0" xfId="0">
      <alignment horizontal="center"/>
    </xf>
    <xf numFmtId="0" fontId="265" fillId="22" borderId="21" applyAlignment="1" pivotButton="0" quotePrefix="0" xfId="0">
      <alignment horizontal="center"/>
    </xf>
    <xf numFmtId="0" fontId="277" fillId="22" borderId="21" applyAlignment="1" pivotButton="0" quotePrefix="0" xfId="0">
      <alignment horizontal="left"/>
    </xf>
    <xf numFmtId="3" fontId="268" fillId="22" borderId="0" pivotButton="0" quotePrefix="0" xfId="0"/>
    <xf numFmtId="3" fontId="81" fillId="22" borderId="0" applyAlignment="1" pivotButton="0" quotePrefix="0" xfId="0">
      <alignment horizontal="center"/>
    </xf>
    <xf numFmtId="0" fontId="176" fillId="22" borderId="0" applyAlignment="1" applyProtection="1" pivotButton="0" quotePrefix="0" xfId="0">
      <alignment horizontal="center"/>
      <protection locked="0" hidden="0"/>
    </xf>
    <xf numFmtId="4" fontId="161" fillId="10" borderId="0" applyAlignment="1" pivotButton="0" quotePrefix="0" xfId="0">
      <alignment horizontal="center" vertical="center"/>
    </xf>
    <xf numFmtId="2" fontId="212" fillId="10" borderId="0" applyAlignment="1" pivotButton="0" quotePrefix="0" xfId="0">
      <alignment horizontal="center" vertical="center"/>
    </xf>
    <xf numFmtId="4" fontId="212" fillId="10" borderId="0" applyAlignment="1" pivotButton="0" quotePrefix="0" xfId="0">
      <alignment horizontal="center" vertical="center"/>
    </xf>
    <xf numFmtId="3" fontId="150" fillId="22" borderId="58" applyAlignment="1" applyProtection="1" pivotButton="0" quotePrefix="0" xfId="0">
      <alignment horizontal="center" vertical="center"/>
      <protection locked="0" hidden="0"/>
    </xf>
    <xf numFmtId="0" fontId="173" fillId="36" borderId="0" applyAlignment="1" applyProtection="1" pivotButton="0" quotePrefix="0" xfId="0">
      <alignment vertical="center"/>
      <protection locked="0" hidden="0"/>
    </xf>
    <xf numFmtId="0" fontId="174" fillId="22" borderId="102" applyAlignment="1" applyProtection="1" pivotButton="0" quotePrefix="0" xfId="0">
      <alignment horizontal="left"/>
      <protection locked="0" hidden="0"/>
    </xf>
    <xf numFmtId="0" fontId="174" fillId="22" borderId="103" applyAlignment="1" applyProtection="1" pivotButton="0" quotePrefix="0" xfId="0">
      <alignment horizontal="left"/>
      <protection locked="0" hidden="0"/>
    </xf>
    <xf numFmtId="0" fontId="174" fillId="22" borderId="104" applyAlignment="1" applyProtection="1" pivotButton="0" quotePrefix="0" xfId="0">
      <alignment horizontal="left"/>
      <protection locked="0" hidden="0"/>
    </xf>
    <xf numFmtId="168" fontId="161" fillId="22" borderId="0" applyAlignment="1" applyProtection="1" pivotButton="0" quotePrefix="0" xfId="0">
      <alignment horizontal="center" vertical="center"/>
      <protection locked="0" hidden="0"/>
    </xf>
    <xf numFmtId="168" fontId="150" fillId="22" borderId="0" applyAlignment="1" applyProtection="1" pivotButton="0" quotePrefix="0" xfId="0">
      <alignment horizontal="center" vertical="center" wrapText="1"/>
      <protection locked="0" hidden="0"/>
    </xf>
    <xf numFmtId="168" fontId="150" fillId="22" borderId="0" applyAlignment="1" applyProtection="1" pivotButton="0" quotePrefix="0" xfId="0">
      <alignment horizontal="center" vertical="top"/>
      <protection locked="0" hidden="0"/>
    </xf>
    <xf numFmtId="168" fontId="161" fillId="22" borderId="0" applyAlignment="1" applyProtection="1" pivotButton="0" quotePrefix="0" xfId="0">
      <alignment horizontal="center" vertical="top"/>
      <protection locked="0" hidden="0"/>
    </xf>
    <xf numFmtId="0" fontId="150" fillId="22" borderId="0" applyAlignment="1" applyProtection="1" pivotButton="0" quotePrefix="0" xfId="0">
      <alignment horizontal="center" vertical="center" wrapText="1"/>
      <protection locked="0" hidden="0"/>
    </xf>
    <xf numFmtId="0" fontId="150" fillId="2" borderId="0" applyProtection="1" pivotButton="0" quotePrefix="0" xfId="0">
      <protection locked="0" hidden="0"/>
    </xf>
    <xf numFmtId="0" fontId="179" fillId="36" borderId="0" applyAlignment="1" applyProtection="1" pivotButton="0" quotePrefix="0" xfId="0">
      <alignment horizontal="center" vertical="center"/>
      <protection locked="0" hidden="0"/>
    </xf>
    <xf numFmtId="0" fontId="150" fillId="22" borderId="0" applyAlignment="1" applyProtection="1" pivotButton="0" quotePrefix="0" xfId="0">
      <alignment horizontal="center" vertical="top" wrapText="1"/>
      <protection locked="0" hidden="0"/>
    </xf>
    <xf numFmtId="0" fontId="161" fillId="22" borderId="0" applyAlignment="1" applyProtection="1" pivotButton="0" quotePrefix="0" xfId="0">
      <alignment horizontal="center"/>
      <protection locked="0" hidden="0"/>
    </xf>
    <xf numFmtId="0" fontId="174" fillId="22" borderId="102" applyProtection="1" pivotButton="0" quotePrefix="0" xfId="0">
      <protection locked="0" hidden="0"/>
    </xf>
    <xf numFmtId="0" fontId="174" fillId="22" borderId="103" applyProtection="1" pivotButton="0" quotePrefix="0" xfId="0">
      <protection locked="0" hidden="0"/>
    </xf>
    <xf numFmtId="0" fontId="174" fillId="22" borderId="104" applyProtection="1" pivotButton="0" quotePrefix="0" xfId="0">
      <protection locked="0" hidden="0"/>
    </xf>
    <xf numFmtId="0" fontId="150" fillId="22" borderId="0" applyAlignment="1" applyProtection="1" pivotButton="0" quotePrefix="0" xfId="0">
      <alignment horizontal="center" vertical="top"/>
      <protection locked="0" hidden="0"/>
    </xf>
    <xf numFmtId="0" fontId="161" fillId="22" borderId="0" applyAlignment="1" applyProtection="1" pivotButton="0" quotePrefix="0" xfId="0">
      <alignment horizontal="center" vertical="center"/>
      <protection locked="0" hidden="0"/>
    </xf>
    <xf numFmtId="0" fontId="174" fillId="22" borderId="59" applyAlignment="1" applyProtection="1" pivotButton="0" quotePrefix="0" xfId="0">
      <alignment horizontal="center" vertical="center"/>
      <protection locked="0" hidden="0"/>
    </xf>
    <xf numFmtId="4" fontId="161" fillId="22" borderId="60" applyAlignment="1" applyProtection="1" pivotButton="0" quotePrefix="0" xfId="0">
      <alignment horizontal="center" vertical="center"/>
      <protection locked="0" hidden="0"/>
    </xf>
    <xf numFmtId="0" fontId="161" fillId="22" borderId="0" applyAlignment="1" applyProtection="1" pivotButton="0" quotePrefix="0" xfId="0">
      <alignment horizontal="left" vertical="center" indent="1"/>
      <protection locked="0" hidden="0"/>
    </xf>
    <xf numFmtId="2" fontId="29" fillId="2" borderId="8" applyAlignment="1" pivotButton="0" quotePrefix="1" xfId="0">
      <alignment horizontal="center" vertical="center" wrapText="1"/>
    </xf>
    <xf numFmtId="2" fontId="29" fillId="2" borderId="8" applyAlignment="1" pivotButton="0" quotePrefix="0" xfId="0">
      <alignment horizontal="center" vertical="top" wrapText="1"/>
    </xf>
    <xf numFmtId="2" fontId="29" fillId="2" borderId="9" applyAlignment="1" pivotButton="0" quotePrefix="1" xfId="0">
      <alignment horizontal="center" vertical="center" wrapText="1"/>
    </xf>
    <xf numFmtId="2" fontId="29" fillId="2" borderId="9" applyAlignment="1" pivotButton="0" quotePrefix="0" xfId="0">
      <alignment horizontal="center" vertical="top" wrapText="1"/>
    </xf>
    <xf numFmtId="0" fontId="10" fillId="2" borderId="8" applyAlignment="1" pivotButton="0" quotePrefix="0" xfId="0">
      <alignment horizontal="center"/>
    </xf>
    <xf numFmtId="2" fontId="10" fillId="2" borderId="8" applyAlignment="1" pivotButton="0" quotePrefix="0" xfId="0">
      <alignment horizontal="center"/>
    </xf>
    <xf numFmtId="164" fontId="10" fillId="2" borderId="8" applyAlignment="1" pivotButton="0" quotePrefix="0" xfId="0">
      <alignment horizontal="center"/>
    </xf>
    <xf numFmtId="2" fontId="10" fillId="2" borderId="8" applyAlignment="1" pivotButton="0" quotePrefix="0" xfId="0">
      <alignment horizontal="center" vertical="center" wrapText="1"/>
    </xf>
    <xf numFmtId="1" fontId="10" fillId="2" borderId="8" applyAlignment="1" pivotButton="0" quotePrefix="0" xfId="0">
      <alignment horizontal="center"/>
    </xf>
    <xf numFmtId="2" fontId="10" fillId="2" borderId="9" applyAlignment="1" pivotButton="0" quotePrefix="0" xfId="0">
      <alignment horizontal="center"/>
    </xf>
    <xf numFmtId="164" fontId="10" fillId="2" borderId="9" applyAlignment="1" pivotButton="0" quotePrefix="0" xfId="0">
      <alignment horizontal="center"/>
    </xf>
    <xf numFmtId="2" fontId="10" fillId="2" borderId="9" applyAlignment="1" pivotButton="0" quotePrefix="0" xfId="0">
      <alignment horizontal="center" vertical="center" wrapText="1"/>
    </xf>
    <xf numFmtId="0" fontId="10" fillId="25" borderId="8" applyAlignment="1" pivotButton="0" quotePrefix="0" xfId="0">
      <alignment horizontal="center"/>
    </xf>
    <xf numFmtId="2" fontId="10" fillId="25" borderId="8" applyAlignment="1" pivotButton="0" quotePrefix="0" xfId="0">
      <alignment horizontal="center"/>
    </xf>
    <xf numFmtId="166" fontId="10" fillId="25" borderId="8" applyAlignment="1" pivotButton="0" quotePrefix="0" xfId="0">
      <alignment horizontal="center"/>
    </xf>
    <xf numFmtId="2" fontId="10" fillId="21" borderId="8" applyAlignment="1" pivotButton="0" quotePrefix="0" xfId="0">
      <alignment horizontal="center"/>
    </xf>
    <xf numFmtId="166" fontId="10" fillId="21" borderId="8" applyAlignment="1" pivotButton="0" quotePrefix="0" xfId="0">
      <alignment horizontal="center"/>
    </xf>
    <xf numFmtId="166" fontId="10" fillId="2" borderId="8" applyAlignment="1" pivotButton="0" quotePrefix="0" xfId="0">
      <alignment horizontal="center"/>
    </xf>
    <xf numFmtId="0" fontId="10" fillId="2" borderId="7" applyAlignment="1" pivotButton="0" quotePrefix="0" xfId="0">
      <alignment horizontal="center"/>
    </xf>
    <xf numFmtId="2" fontId="4" fillId="2" borderId="7" applyAlignment="1" pivotButton="0" quotePrefix="0" xfId="0">
      <alignment horizontal="center"/>
    </xf>
    <xf numFmtId="2" fontId="4" fillId="2" borderId="8" applyAlignment="1" pivotButton="0" quotePrefix="0" xfId="0">
      <alignment horizontal="center"/>
    </xf>
    <xf numFmtId="2" fontId="4" fillId="2" borderId="9" applyAlignment="1" pivotButton="0" quotePrefix="0" xfId="0">
      <alignment horizontal="center"/>
    </xf>
    <xf numFmtId="0" fontId="67" fillId="22" borderId="0" pivotButton="0" quotePrefix="0" xfId="0"/>
    <xf numFmtId="0" fontId="150" fillId="22" borderId="0" applyAlignment="1" pivotButton="0" quotePrefix="0" xfId="0">
      <alignment horizontal="center" vertical="center"/>
    </xf>
    <xf numFmtId="0" fontId="173" fillId="36" borderId="0" applyAlignment="1" pivotButton="0" quotePrefix="0" xfId="0">
      <alignment horizontal="center" vertical="center"/>
    </xf>
    <xf numFmtId="0" fontId="179" fillId="36" borderId="0" applyAlignment="1" applyProtection="1" pivotButton="0" quotePrefix="0" xfId="0">
      <alignment vertical="center"/>
      <protection locked="0" hidden="0"/>
    </xf>
    <xf numFmtId="0" fontId="161" fillId="22" borderId="0" applyAlignment="1" applyProtection="1" pivotButton="0" quotePrefix="0" xfId="0">
      <alignment horizontal="left" vertical="center"/>
      <protection locked="0" hidden="0"/>
    </xf>
    <xf numFmtId="168" fontId="161" fillId="22" borderId="128" applyAlignment="1" applyProtection="1" pivotButton="0" quotePrefix="0" xfId="0">
      <alignment horizontal="center" vertical="center"/>
      <protection locked="0" hidden="0"/>
    </xf>
    <xf numFmtId="3" fontId="150" fillId="22" borderId="0" applyAlignment="1" pivotButton="0" quotePrefix="0" xfId="0">
      <alignment vertical="center"/>
    </xf>
    <xf numFmtId="0" fontId="211" fillId="10" borderId="0" applyAlignment="1" pivotButton="0" quotePrefix="0" xfId="0">
      <alignment horizontal="left" vertical="center" indent="2"/>
    </xf>
    <xf numFmtId="0" fontId="211" fillId="22" borderId="0" applyAlignment="1" pivotButton="0" quotePrefix="0" xfId="0">
      <alignment horizontal="left" vertical="center"/>
    </xf>
    <xf numFmtId="0" fontId="160" fillId="10" borderId="21" applyAlignment="1" pivotButton="0" quotePrefix="0" xfId="0">
      <alignment vertical="center"/>
    </xf>
    <xf numFmtId="0" fontId="150" fillId="10" borderId="21" applyAlignment="1" pivotButton="0" quotePrefix="0" xfId="0">
      <alignment vertical="center"/>
    </xf>
    <xf numFmtId="0" fontId="160" fillId="12" borderId="0" applyAlignment="1" pivotButton="0" quotePrefix="0" xfId="0">
      <alignment vertical="center"/>
    </xf>
    <xf numFmtId="0" fontId="160" fillId="12" borderId="21" applyAlignment="1" pivotButton="0" quotePrefix="0" xfId="0">
      <alignment vertical="center"/>
    </xf>
    <xf numFmtId="0" fontId="150" fillId="12" borderId="21" applyAlignment="1" pivotButton="0" quotePrefix="0" xfId="0">
      <alignment vertical="center"/>
    </xf>
    <xf numFmtId="0" fontId="160" fillId="10" borderId="0" applyAlignment="1" pivotButton="0" quotePrefix="0" xfId="0">
      <alignment vertical="center"/>
    </xf>
    <xf numFmtId="0" fontId="160" fillId="10" borderId="0" applyAlignment="1" pivotButton="0" quotePrefix="0" xfId="0">
      <alignment horizontal="left" vertical="center"/>
    </xf>
    <xf numFmtId="0" fontId="160" fillId="10" borderId="0" applyAlignment="1" pivotButton="0" quotePrefix="0" xfId="0">
      <alignment horizontal="left" vertical="center" indent="4"/>
    </xf>
    <xf numFmtId="0" fontId="160" fillId="10" borderId="0" applyAlignment="1" pivotButton="0" quotePrefix="0" xfId="0">
      <alignment horizontal="left" vertical="center" indent="1"/>
    </xf>
    <xf numFmtId="0" fontId="150" fillId="10" borderId="0" applyAlignment="1" pivotButton="0" quotePrefix="0" xfId="0">
      <alignment horizontal="left" vertical="center" indent="4"/>
    </xf>
    <xf numFmtId="0" fontId="150" fillId="10" borderId="0" applyAlignment="1" pivotButton="0" quotePrefix="0" xfId="0">
      <alignment horizontal="left" vertical="center" indent="6"/>
    </xf>
    <xf numFmtId="0" fontId="150" fillId="10" borderId="0" applyAlignment="1" pivotButton="0" quotePrefix="0" xfId="0">
      <alignment horizontal="left" vertical="center" indent="5"/>
    </xf>
    <xf numFmtId="0" fontId="160" fillId="10" borderId="0" applyAlignment="1" pivotButton="0" quotePrefix="0" xfId="0">
      <alignment horizontal="left" vertical="center" indent="3"/>
    </xf>
    <xf numFmtId="0" fontId="150" fillId="10" borderId="0" applyAlignment="1" pivotButton="0" quotePrefix="0" xfId="0">
      <alignment horizontal="left" vertical="center" indent="1"/>
    </xf>
    <xf numFmtId="0" fontId="150" fillId="10" borderId="0" applyAlignment="1" pivotButton="0" quotePrefix="0" xfId="0">
      <alignment horizontal="left" vertical="center" indent="3"/>
    </xf>
    <xf numFmtId="1" fontId="150" fillId="10" borderId="0" applyAlignment="1" pivotButton="0" quotePrefix="0" xfId="0">
      <alignment horizontal="center" vertical="center"/>
    </xf>
    <xf numFmtId="4" fontId="150" fillId="10" borderId="0" applyAlignment="1" pivotButton="0" quotePrefix="0" xfId="0">
      <alignment horizontal="center" vertical="center"/>
    </xf>
    <xf numFmtId="9" fontId="150" fillId="12" borderId="0" applyAlignment="1" pivotButton="0" quotePrefix="0" xfId="6">
      <alignment horizontal="center" vertical="center"/>
    </xf>
    <xf numFmtId="3" fontId="150" fillId="12" borderId="0" applyAlignment="1" pivotButton="0" quotePrefix="0" xfId="6">
      <alignment horizontal="center" vertical="center"/>
    </xf>
    <xf numFmtId="168" fontId="150" fillId="22" borderId="0" applyAlignment="1" pivotButton="0" quotePrefix="0" xfId="0">
      <alignment horizontal="center" vertical="center"/>
    </xf>
    <xf numFmtId="9" fontId="161" fillId="10" borderId="0" applyAlignment="1" pivotButton="0" quotePrefix="0" xfId="6">
      <alignment horizontal="center" vertical="center"/>
    </xf>
    <xf numFmtId="0" fontId="160" fillId="10" borderId="0" applyAlignment="1" pivotButton="0" quotePrefix="0" xfId="0">
      <alignment horizontal="right" vertical="center"/>
    </xf>
    <xf numFmtId="0" fontId="150" fillId="12" borderId="11" applyAlignment="1" pivotButton="0" quotePrefix="0" xfId="0">
      <alignment horizontal="center" vertical="center"/>
    </xf>
    <xf numFmtId="0" fontId="160" fillId="12" borderId="11" applyAlignment="1" pivotButton="0" quotePrefix="0" xfId="0">
      <alignment horizontal="right" vertical="center"/>
    </xf>
    <xf numFmtId="3" fontId="160" fillId="12" borderId="11" applyAlignment="1" pivotButton="0" quotePrefix="0" xfId="0">
      <alignment horizontal="center" vertical="center"/>
    </xf>
    <xf numFmtId="0" fontId="194" fillId="10" borderId="0" applyAlignment="1" pivotButton="0" quotePrefix="0" xfId="0">
      <alignment vertical="center"/>
    </xf>
    <xf numFmtId="0" fontId="150" fillId="22" borderId="0" applyAlignment="1" pivotButton="0" quotePrefix="0" xfId="0">
      <alignment horizontal="left" vertical="center"/>
    </xf>
    <xf numFmtId="0" fontId="167" fillId="10" borderId="21" applyAlignment="1" pivotButton="0" quotePrefix="0" xfId="0">
      <alignment horizontal="left" vertical="center" indent="2"/>
    </xf>
    <xf numFmtId="0" fontId="161" fillId="22" borderId="0" applyAlignment="1" pivotButton="0" quotePrefix="0" xfId="0">
      <alignment horizontal="left" vertical="center" indent="1"/>
    </xf>
    <xf numFmtId="0" fontId="150" fillId="10" borderId="0" applyAlignment="1" pivotButton="0" quotePrefix="0" xfId="0">
      <alignment horizontal="left" vertical="center" indent="7"/>
    </xf>
    <xf numFmtId="164" fontId="150" fillId="10" borderId="0" applyAlignment="1" pivotButton="0" quotePrefix="0" xfId="0">
      <alignment horizontal="center" vertical="center"/>
    </xf>
    <xf numFmtId="9" fontId="150" fillId="10" borderId="0" applyAlignment="1" pivotButton="0" quotePrefix="0" xfId="6">
      <alignment horizontal="center" vertical="center"/>
    </xf>
    <xf numFmtId="0" fontId="173" fillId="36" borderId="0" applyAlignment="1" pivotButton="0" quotePrefix="0" xfId="0">
      <alignment horizontal="right" vertical="center"/>
    </xf>
    <xf numFmtId="0" fontId="161" fillId="10" borderId="0" applyAlignment="1" pivotButton="0" quotePrefix="1" xfId="0">
      <alignment horizontal="left" vertical="center"/>
    </xf>
    <xf numFmtId="0" fontId="167" fillId="10" borderId="21" applyAlignment="1" pivotButton="0" quotePrefix="0" xfId="0">
      <alignment horizontal="left" vertical="center" indent="10"/>
    </xf>
    <xf numFmtId="0" fontId="160" fillId="12" borderId="21" pivotButton="0" quotePrefix="0" xfId="0"/>
    <xf numFmtId="9" fontId="161" fillId="10" borderId="0" applyAlignment="1" pivotButton="0" quotePrefix="0" xfId="0">
      <alignment horizontal="center" vertical="center"/>
    </xf>
    <xf numFmtId="0" fontId="167" fillId="22" borderId="0" applyAlignment="1" pivotButton="0" quotePrefix="0" xfId="0">
      <alignment horizontal="left" vertical="center"/>
    </xf>
    <xf numFmtId="0" fontId="208" fillId="22" borderId="0" applyAlignment="1" pivotButton="0" quotePrefix="0" xfId="0">
      <alignment horizontal="left" vertical="center"/>
    </xf>
    <xf numFmtId="0" fontId="160" fillId="22" borderId="0" applyAlignment="1" pivotButton="0" quotePrefix="0" xfId="0">
      <alignment horizontal="left" vertical="center"/>
    </xf>
    <xf numFmtId="3" fontId="150" fillId="10" borderId="0" applyAlignment="1" pivotButton="0" quotePrefix="0" xfId="0">
      <alignment vertical="center"/>
    </xf>
    <xf numFmtId="0" fontId="150" fillId="22" borderId="0" applyAlignment="1" pivotButton="0" quotePrefix="0" xfId="0">
      <alignment horizontal="left" vertical="center" indent="4"/>
    </xf>
    <xf numFmtId="3" fontId="206" fillId="12" borderId="0" applyAlignment="1" pivotButton="0" quotePrefix="0" xfId="0">
      <alignment horizontal="center" vertical="center"/>
    </xf>
    <xf numFmtId="0" fontId="206" fillId="12" borderId="0" applyAlignment="1" pivotButton="0" quotePrefix="0" xfId="0">
      <alignment vertical="center"/>
    </xf>
    <xf numFmtId="0" fontId="206" fillId="12" borderId="0" applyAlignment="1" pivotButton="0" quotePrefix="0" xfId="0">
      <alignment horizontal="left" vertical="center" indent="1"/>
    </xf>
    <xf numFmtId="0" fontId="206" fillId="12" borderId="0" applyAlignment="1" pivotButton="0" quotePrefix="0" xfId="0">
      <alignment horizontal="left"/>
    </xf>
    <xf numFmtId="0" fontId="150" fillId="10" borderId="0" applyAlignment="1" pivotButton="0" quotePrefix="0" xfId="0">
      <alignment horizontal="right" vertical="center"/>
    </xf>
    <xf numFmtId="9" fontId="161" fillId="12" borderId="0" applyAlignment="1" pivotButton="0" quotePrefix="0" xfId="6">
      <alignment horizontal="center" vertical="center"/>
    </xf>
    <xf numFmtId="0" fontId="210" fillId="12" borderId="0" applyAlignment="1" pivotButton="0" quotePrefix="0" xfId="0">
      <alignment vertical="center"/>
    </xf>
    <xf numFmtId="0" fontId="160" fillId="12" borderId="21" applyAlignment="1" pivotButton="0" quotePrefix="0" xfId="0">
      <alignment horizontal="center" vertical="center"/>
    </xf>
    <xf numFmtId="0" fontId="235" fillId="10" borderId="0" applyAlignment="1" pivotButton="0" quotePrefix="0" xfId="0">
      <alignment horizontal="center" vertical="center"/>
    </xf>
    <xf numFmtId="0" fontId="150" fillId="22" borderId="0" applyAlignment="1" applyProtection="1" pivotButton="0" quotePrefix="0" xfId="0">
      <alignment horizontal="left" vertical="center"/>
      <protection locked="0" hidden="0"/>
    </xf>
    <xf numFmtId="3" fontId="150" fillId="22" borderId="80" applyAlignment="1" applyProtection="1" pivotButton="0" quotePrefix="0" xfId="6">
      <alignment horizontal="center" vertical="center"/>
      <protection locked="0" hidden="0"/>
    </xf>
    <xf numFmtId="3" fontId="150" fillId="22" borderId="0" applyAlignment="1" applyProtection="1" pivotButton="0" quotePrefix="0" xfId="6">
      <alignment horizontal="center" vertical="center"/>
      <protection locked="0" hidden="0"/>
    </xf>
    <xf numFmtId="0" fontId="150" fillId="22" borderId="80" applyAlignment="1" applyProtection="1" pivotButton="0" quotePrefix="0" xfId="0">
      <alignment horizontal="center" vertical="center"/>
      <protection locked="0" hidden="0"/>
    </xf>
    <xf numFmtId="9" fontId="206" fillId="12" borderId="0" applyAlignment="1" applyProtection="1" pivotButton="0" quotePrefix="0" xfId="6">
      <alignment horizontal="center" vertical="center"/>
      <protection locked="0" hidden="0"/>
    </xf>
    <xf numFmtId="0" fontId="150" fillId="22" borderId="81" applyAlignment="1" applyProtection="1" pivotButton="0" quotePrefix="0" xfId="0">
      <alignment horizontal="center" vertical="center"/>
      <protection locked="0" hidden="0"/>
    </xf>
    <xf numFmtId="0" fontId="152" fillId="36" borderId="0" applyAlignment="1" applyProtection="1" pivotButton="0" quotePrefix="0" xfId="0">
      <alignment horizontal="left" vertical="center"/>
      <protection locked="0" hidden="0"/>
    </xf>
    <xf numFmtId="0" fontId="174" fillId="22" borderId="0" applyAlignment="1" applyProtection="1" pivotButton="0" quotePrefix="0" xfId="0">
      <alignment horizontal="left"/>
      <protection locked="0" hidden="0"/>
    </xf>
    <xf numFmtId="0" fontId="174" fillId="22" borderId="78" applyAlignment="1" applyProtection="1" pivotButton="0" quotePrefix="0" xfId="0">
      <alignment horizontal="left"/>
      <protection locked="0" hidden="0"/>
    </xf>
    <xf numFmtId="3" fontId="150" fillId="22" borderId="80" applyAlignment="1" applyProtection="1" pivotButton="0" quotePrefix="0" xfId="0">
      <alignment horizontal="center" vertical="center"/>
      <protection locked="0" hidden="0"/>
    </xf>
    <xf numFmtId="0" fontId="161" fillId="22" borderId="0" applyAlignment="1" applyProtection="1" pivotButton="0" quotePrefix="0" xfId="0">
      <alignment vertical="center"/>
      <protection locked="0" hidden="0"/>
    </xf>
    <xf numFmtId="9" fontId="161" fillId="22" borderId="0" applyAlignment="1" applyProtection="1" pivotButton="0" quotePrefix="0" xfId="6">
      <alignment horizontal="center" vertical="center"/>
      <protection locked="0" hidden="0"/>
    </xf>
    <xf numFmtId="9" fontId="161" fillId="22" borderId="81" applyAlignment="1" applyProtection="1" pivotButton="0" quotePrefix="0" xfId="6">
      <alignment horizontal="center" vertical="center"/>
      <protection locked="0" hidden="0"/>
    </xf>
    <xf numFmtId="3" fontId="150" fillId="22" borderId="81" applyAlignment="1" applyProtection="1" pivotButton="0" quotePrefix="0" xfId="0">
      <alignment horizontal="center" vertical="center"/>
      <protection locked="0" hidden="0"/>
    </xf>
    <xf numFmtId="0" fontId="150" fillId="22" borderId="0" applyAlignment="1" applyProtection="1" pivotButton="0" quotePrefix="0" xfId="0">
      <alignment vertical="center"/>
      <protection locked="0" hidden="0"/>
    </xf>
    <xf numFmtId="168" fontId="150" fillId="22" borderId="0" applyAlignment="1" applyProtection="1" pivotButton="0" quotePrefix="0" xfId="0">
      <alignment horizontal="center" vertical="center"/>
      <protection locked="0" hidden="0"/>
    </xf>
    <xf numFmtId="3" fontId="161" fillId="22" borderId="0" applyAlignment="1" applyProtection="1" pivotButton="0" quotePrefix="0" xfId="0">
      <alignment horizontal="center" vertical="center"/>
      <protection locked="0" hidden="0"/>
    </xf>
    <xf numFmtId="9" fontId="150" fillId="22" borderId="82" applyAlignment="1" applyProtection="1" pivotButton="0" quotePrefix="0" xfId="6">
      <alignment horizontal="center" vertical="center"/>
      <protection locked="0" hidden="0"/>
    </xf>
    <xf numFmtId="4" fontId="150" fillId="22" borderId="0" applyAlignment="1" applyProtection="1" pivotButton="0" quotePrefix="0" xfId="0">
      <alignment horizontal="center" vertical="center"/>
      <protection locked="0" hidden="0"/>
    </xf>
    <xf numFmtId="9" fontId="150" fillId="22" borderId="0" applyAlignment="1" applyProtection="1" pivotButton="0" quotePrefix="0" xfId="6">
      <alignment horizontal="center" vertical="center"/>
      <protection locked="0" hidden="0"/>
    </xf>
    <xf numFmtId="0" fontId="167" fillId="12" borderId="0" applyAlignment="1" pivotButton="0" quotePrefix="0" xfId="0">
      <alignment horizontal="right"/>
    </xf>
    <xf numFmtId="0" fontId="227" fillId="36" borderId="0" applyAlignment="1" pivotButton="0" quotePrefix="0" xfId="0">
      <alignment vertical="center"/>
    </xf>
    <xf numFmtId="0" fontId="228" fillId="36" borderId="0" applyAlignment="1" pivotButton="0" quotePrefix="0" xfId="0">
      <alignment vertical="center"/>
    </xf>
    <xf numFmtId="0" fontId="176" fillId="10" borderId="21" pivotButton="0" quotePrefix="0" xfId="0"/>
    <xf numFmtId="0" fontId="150" fillId="12" borderId="21" applyAlignment="1" pivotButton="0" quotePrefix="0" xfId="0">
      <alignment horizontal="left"/>
    </xf>
    <xf numFmtId="0" fontId="160" fillId="10" borderId="0" applyAlignment="1" pivotButton="0" quotePrefix="0" xfId="0">
      <alignment horizontal="left" indent="4"/>
    </xf>
    <xf numFmtId="3" fontId="150" fillId="12" borderId="11" applyAlignment="1" pivotButton="0" quotePrefix="0" xfId="0">
      <alignment horizontal="center"/>
    </xf>
    <xf numFmtId="0" fontId="150" fillId="12" borderId="116" pivotButton="0" quotePrefix="0" xfId="0"/>
    <xf numFmtId="9" fontId="206" fillId="12" borderId="0" applyAlignment="1" pivotButton="0" quotePrefix="0" xfId="6">
      <alignment horizontal="center"/>
    </xf>
    <xf numFmtId="164" fontId="150" fillId="10" borderId="0" applyAlignment="1" pivotButton="0" quotePrefix="0" xfId="6">
      <alignment horizontal="center"/>
    </xf>
    <xf numFmtId="3" fontId="150" fillId="12" borderId="0" applyAlignment="1" pivotButton="0" quotePrefix="0" xfId="6">
      <alignment horizontal="center"/>
    </xf>
    <xf numFmtId="0" fontId="150" fillId="10" borderId="117" pivotButton="0" quotePrefix="0" xfId="0"/>
    <xf numFmtId="9" fontId="150" fillId="12" borderId="0" applyAlignment="1" pivotButton="0" quotePrefix="0" xfId="6">
      <alignment horizontal="center"/>
    </xf>
    <xf numFmtId="3" fontId="150" fillId="10" borderId="0" pivotButton="0" quotePrefix="0" xfId="0"/>
    <xf numFmtId="9" fontId="150" fillId="22" borderId="0" applyAlignment="1" applyProtection="1" pivotButton="0" quotePrefix="0" xfId="6">
      <alignment horizontal="center"/>
      <protection locked="0" hidden="0"/>
    </xf>
    <xf numFmtId="3" fontId="150" fillId="22" borderId="0" applyAlignment="1" applyProtection="1" pivotButton="0" quotePrefix="0" xfId="6">
      <alignment horizontal="center"/>
      <protection locked="0" hidden="0"/>
    </xf>
    <xf numFmtId="0" fontId="150" fillId="12" borderId="0" applyProtection="1" pivotButton="0" quotePrefix="0" xfId="0">
      <protection locked="0" hidden="0"/>
    </xf>
    <xf numFmtId="168" fontId="150" fillId="22" borderId="0" applyAlignment="1" applyProtection="1" pivotButton="0" quotePrefix="0" xfId="0">
      <alignment horizontal="center"/>
      <protection locked="0" hidden="0"/>
    </xf>
    <xf numFmtId="164" fontId="150" fillId="22" borderId="0" applyAlignment="1" applyProtection="1" pivotButton="0" quotePrefix="0" xfId="6">
      <alignment horizontal="center"/>
      <protection locked="0" hidden="0"/>
    </xf>
    <xf numFmtId="3" fontId="150" fillId="22" borderId="0" applyProtection="1" pivotButton="0" quotePrefix="0" xfId="0">
      <protection locked="0" hidden="0"/>
    </xf>
    <xf numFmtId="0" fontId="164" fillId="22" borderId="0" applyAlignment="1" applyProtection="1" pivotButton="0" quotePrefix="0" xfId="0">
      <alignment horizontal="center" vertical="top" wrapText="1"/>
      <protection locked="0" hidden="0"/>
    </xf>
    <xf numFmtId="9" fontId="150" fillId="10" borderId="0" applyAlignment="1" pivotButton="0" quotePrefix="0" xfId="6">
      <alignment horizontal="center"/>
    </xf>
    <xf numFmtId="170" fontId="161" fillId="22" borderId="0" applyAlignment="1" applyProtection="1" pivotButton="0" quotePrefix="0" xfId="0">
      <alignment horizontal="center"/>
      <protection locked="0" hidden="0"/>
    </xf>
    <xf numFmtId="170" fontId="164" fillId="22" borderId="0" applyAlignment="1" applyProtection="1" pivotButton="0" quotePrefix="0" xfId="0">
      <alignment horizontal="center" vertical="center"/>
      <protection locked="0" hidden="0"/>
    </xf>
    <xf numFmtId="166" fontId="161" fillId="22" borderId="0" applyAlignment="1" applyProtection="1" pivotButton="0" quotePrefix="0" xfId="0">
      <alignment horizontal="center" vertical="center"/>
      <protection locked="0" hidden="0"/>
    </xf>
    <xf numFmtId="9" fontId="164" fillId="22" borderId="0" applyAlignment="1" applyProtection="1" pivotButton="0" quotePrefix="0" xfId="6">
      <alignment horizontal="center" vertical="center"/>
      <protection locked="0" hidden="0"/>
    </xf>
    <xf numFmtId="9" fontId="161" fillId="22" borderId="0" applyAlignment="1" applyProtection="1" pivotButton="0" quotePrefix="0" xfId="6">
      <alignment horizontal="center" vertical="center"/>
      <protection locked="0" hidden="0"/>
    </xf>
    <xf numFmtId="0" fontId="176" fillId="22" borderId="0" applyAlignment="1" applyProtection="1" pivotButton="0" quotePrefix="0" xfId="0">
      <alignment horizontal="center" vertical="center"/>
      <protection locked="0" hidden="0"/>
    </xf>
    <xf numFmtId="176" fontId="0" fillId="6" borderId="0" applyAlignment="1" pivotButton="0" quotePrefix="0" xfId="0">
      <alignment horizontal="center"/>
    </xf>
    <xf numFmtId="177" fontId="0" fillId="6" borderId="8" applyAlignment="1" pivotButton="0" quotePrefix="0" xfId="0">
      <alignment horizontal="center"/>
    </xf>
    <xf numFmtId="0" fontId="0" fillId="0" borderId="0" applyAlignment="1" pivotButton="0" quotePrefix="0" xfId="0">
      <alignment vertical="top" wrapText="1"/>
    </xf>
    <xf numFmtId="0" fontId="4" fillId="0" borderId="0" applyAlignment="1" pivotButton="0" quotePrefix="0" xfId="0">
      <alignment horizontal="left"/>
    </xf>
    <xf numFmtId="0" fontId="23" fillId="22" borderId="0" applyAlignment="1" pivotButton="0" quotePrefix="0" xfId="3">
      <alignment horizontal="left"/>
    </xf>
    <xf numFmtId="0" fontId="241" fillId="9" borderId="16" pivotButton="0" quotePrefix="0" xfId="0"/>
    <xf numFmtId="0" fontId="69" fillId="9" borderId="17" pivotButton="0" quotePrefix="0" xfId="0"/>
    <xf numFmtId="0" fontId="69" fillId="9" borderId="22" pivotButton="0" quotePrefix="0" xfId="0"/>
    <xf numFmtId="0" fontId="74" fillId="2" borderId="15" pivotButton="0" quotePrefix="0" xfId="0"/>
    <xf numFmtId="168" fontId="69" fillId="22" borderId="0" applyAlignment="1" applyProtection="1" pivotButton="0" quotePrefix="0" xfId="0">
      <alignment horizontal="center"/>
      <protection locked="0" hidden="0"/>
    </xf>
    <xf numFmtId="0" fontId="69" fillId="2" borderId="23" pivotButton="0" quotePrefix="0" xfId="0"/>
    <xf numFmtId="0" fontId="69" fillId="2" borderId="15" pivotButton="0" quotePrefix="0" xfId="0"/>
    <xf numFmtId="3" fontId="69" fillId="22" borderId="0" applyAlignment="1" applyProtection="1" pivotButton="0" quotePrefix="0" xfId="0">
      <alignment horizontal="center"/>
      <protection locked="0" hidden="0"/>
    </xf>
    <xf numFmtId="0" fontId="69" fillId="2" borderId="20" pivotButton="0" quotePrefix="0" xfId="0"/>
    <xf numFmtId="0" fontId="69" fillId="2" borderId="18" pivotButton="0" quotePrefix="0" xfId="0"/>
    <xf numFmtId="0" fontId="69" fillId="2" borderId="24" pivotButton="0" quotePrefix="0" xfId="0"/>
    <xf numFmtId="0" fontId="56" fillId="22" borderId="19" pivotButton="0" quotePrefix="0" xfId="0"/>
    <xf numFmtId="0" fontId="69" fillId="22" borderId="37" pivotButton="0" quotePrefix="0" xfId="0"/>
    <xf numFmtId="0" fontId="69" fillId="22" borderId="38" pivotButton="0" quotePrefix="0" xfId="0"/>
    <xf numFmtId="0" fontId="293" fillId="22" borderId="37" pivotButton="0" quotePrefix="0" xfId="0"/>
    <xf numFmtId="0" fontId="70" fillId="49" borderId="7" applyAlignment="1" pivotButton="0" quotePrefix="0" xfId="0">
      <alignment horizontal="center"/>
    </xf>
    <xf numFmtId="0" fontId="88" fillId="49" borderId="2" applyAlignment="1" pivotButton="0" quotePrefix="0" xfId="0">
      <alignment horizontal="center"/>
    </xf>
    <xf numFmtId="0" fontId="70" fillId="49" borderId="6" applyAlignment="1" pivotButton="0" quotePrefix="0" xfId="0">
      <alignment horizontal="center"/>
    </xf>
    <xf numFmtId="0" fontId="77" fillId="49" borderId="97" applyAlignment="1" pivotButton="0" quotePrefix="0" xfId="0">
      <alignment horizontal="center"/>
    </xf>
    <xf numFmtId="0" fontId="77" fillId="49" borderId="98" applyAlignment="1" pivotButton="0" quotePrefix="0" xfId="0">
      <alignment horizontal="center"/>
    </xf>
    <xf numFmtId="0" fontId="81" fillId="22" borderId="0" applyAlignment="1" pivotButton="0" quotePrefix="0" xfId="0">
      <alignment wrapText="1"/>
    </xf>
    <xf numFmtId="0" fontId="1" fillId="6" borderId="3" applyAlignment="1" pivotButton="0" quotePrefix="0" xfId="0">
      <alignment horizontal="center"/>
    </xf>
    <xf numFmtId="0" fontId="1" fillId="6" borderId="8" applyAlignment="1" pivotButton="0" quotePrefix="0" xfId="0">
      <alignment horizontal="center"/>
    </xf>
    <xf numFmtId="3" fontId="150" fillId="2" borderId="81" applyAlignment="1" applyProtection="1" pivotButton="0" quotePrefix="0" xfId="0">
      <alignment horizontal="left" indent="4"/>
      <protection locked="0" hidden="0"/>
    </xf>
    <xf numFmtId="3" fontId="150" fillId="2" borderId="111" applyAlignment="1" applyProtection="1" pivotButton="0" quotePrefix="0" xfId="0">
      <alignment horizontal="left" indent="4"/>
      <protection locked="0" hidden="0"/>
    </xf>
    <xf numFmtId="3" fontId="150" fillId="2" borderId="82" applyAlignment="1" applyProtection="1" pivotButton="0" quotePrefix="0" xfId="0">
      <alignment horizontal="left" indent="4"/>
      <protection locked="0" hidden="0"/>
    </xf>
    <xf numFmtId="9" fontId="161" fillId="22" borderId="0" applyAlignment="1" applyProtection="1" pivotButton="0" quotePrefix="0" xfId="0">
      <alignment horizontal="left" vertical="center"/>
      <protection locked="0" hidden="0"/>
    </xf>
    <xf numFmtId="0" fontId="50" fillId="0" borderId="0" pivotButton="0" quotePrefix="0" xfId="0"/>
    <xf numFmtId="0" fontId="193" fillId="12" borderId="0" applyAlignment="1" pivotButton="0" quotePrefix="0" xfId="0">
      <alignment horizontal="left" vertical="center"/>
    </xf>
    <xf numFmtId="49" fontId="192" fillId="12" borderId="0" applyAlignment="1" pivotButton="0" quotePrefix="0" xfId="0">
      <alignment horizontal="left" vertical="top"/>
    </xf>
    <xf numFmtId="3" fontId="176" fillId="12" borderId="21" applyAlignment="1" pivotButton="0" quotePrefix="0" xfId="0">
      <alignment horizontal="left"/>
    </xf>
    <xf numFmtId="178" fontId="0" fillId="32" borderId="0" applyAlignment="1" pivotButton="0" quotePrefix="0" xfId="0">
      <alignment horizontal="center"/>
    </xf>
    <xf numFmtId="0" fontId="9" fillId="6" borderId="8" applyAlignment="1" pivotButton="0" quotePrefix="0" xfId="0">
      <alignment horizontal="right"/>
    </xf>
    <xf numFmtId="0" fontId="50" fillId="6" borderId="15" pivotButton="0" quotePrefix="0" xfId="0"/>
    <xf numFmtId="0" fontId="9" fillId="6" borderId="57" applyAlignment="1" pivotButton="0" quotePrefix="0" xfId="0">
      <alignment horizontal="right"/>
    </xf>
    <xf numFmtId="0" fontId="292" fillId="0" borderId="0" pivotButton="0" quotePrefix="0" xfId="0"/>
    <xf numFmtId="0" fontId="192" fillId="12" borderId="0" applyAlignment="1" pivotButton="0" quotePrefix="0" xfId="0">
      <alignment vertical="center"/>
    </xf>
    <xf numFmtId="0" fontId="81" fillId="35" borderId="0" pivotButton="0" quotePrefix="0" xfId="0"/>
    <xf numFmtId="0" fontId="164" fillId="12" borderId="0" applyAlignment="1" pivotButton="0" quotePrefix="0" xfId="0">
      <alignment vertical="center"/>
    </xf>
    <xf numFmtId="0" fontId="164" fillId="12" borderId="0" applyAlignment="1" pivotButton="0" quotePrefix="0" xfId="0">
      <alignment horizontal="left" vertical="center"/>
    </xf>
    <xf numFmtId="0" fontId="3" fillId="8" borderId="0" applyAlignment="1" pivotButton="0" quotePrefix="0" xfId="0">
      <alignment horizontal="center"/>
    </xf>
    <xf numFmtId="164" fontId="69" fillId="15" borderId="3" applyAlignment="1" pivotButton="0" quotePrefix="0" xfId="0">
      <alignment horizontal="center" vertical="center"/>
    </xf>
    <xf numFmtId="164" fontId="69" fillId="15" borderId="4" applyAlignment="1" pivotButton="0" quotePrefix="0" xfId="0">
      <alignment horizontal="center" vertical="center"/>
    </xf>
    <xf numFmtId="0" fontId="74" fillId="22" borderId="21" applyAlignment="1" pivotButton="0" quotePrefix="0" xfId="0">
      <alignment horizontal="center"/>
    </xf>
    <xf numFmtId="0" fontId="74" fillId="22" borderId="21" applyAlignment="1" pivotButton="0" quotePrefix="0" xfId="0">
      <alignment horizontal="center" wrapText="1"/>
    </xf>
    <xf numFmtId="0" fontId="4" fillId="8" borderId="0" applyAlignment="1" pivotButton="0" quotePrefix="0" xfId="0">
      <alignment horizontal="center"/>
    </xf>
    <xf numFmtId="3" fontId="150" fillId="22" borderId="77" applyAlignment="1" pivotButton="0" quotePrefix="0" xfId="0">
      <alignment horizontal="center" vertical="center"/>
    </xf>
    <xf numFmtId="3" fontId="150" fillId="22" borderId="75" applyAlignment="1" pivotButton="0" quotePrefix="0" xfId="0">
      <alignment horizontal="center" vertical="center"/>
    </xf>
    <xf numFmtId="3" fontId="160" fillId="48" borderId="71" applyAlignment="1" pivotButton="0" quotePrefix="0" xfId="0">
      <alignment horizontal="center" vertical="center"/>
    </xf>
    <xf numFmtId="3" fontId="160" fillId="48" borderId="70" applyAlignment="1" pivotButton="0" quotePrefix="0" xfId="0">
      <alignment horizontal="center" vertical="center"/>
    </xf>
    <xf numFmtId="3" fontId="150" fillId="42" borderId="66" applyAlignment="1" pivotButton="0" quotePrefix="0" xfId="0">
      <alignment horizontal="center" vertical="center"/>
    </xf>
    <xf numFmtId="0" fontId="69" fillId="18" borderId="0" applyAlignment="1" pivotButton="0" quotePrefix="0" xfId="0">
      <alignment horizontal="justify" vertical="top" wrapText="1"/>
    </xf>
    <xf numFmtId="9" fontId="161" fillId="10" borderId="0" applyAlignment="1" pivotButton="0" quotePrefix="0" xfId="6">
      <alignment horizontal="center" vertical="center"/>
    </xf>
    <xf numFmtId="0" fontId="260" fillId="36" borderId="76" applyAlignment="1" pivotButton="0" quotePrefix="0" xfId="0">
      <alignment horizontal="center" vertical="center" wrapText="1"/>
    </xf>
    <xf numFmtId="0" fontId="74" fillId="44" borderId="141" applyAlignment="1" pivotButton="0" quotePrefix="0" xfId="0">
      <alignment vertical="center" wrapText="1"/>
    </xf>
    <xf numFmtId="0" fontId="295" fillId="44" borderId="142" applyAlignment="1" pivotButton="0" quotePrefix="0" xfId="0">
      <alignment vertical="center" wrapText="1"/>
    </xf>
    <xf numFmtId="0" fontId="296" fillId="44" borderId="141" applyAlignment="1" pivotButton="0" quotePrefix="0" xfId="0">
      <alignment vertical="center" wrapText="1"/>
    </xf>
    <xf numFmtId="0" fontId="210" fillId="10" borderId="0" applyAlignment="1" pivotButton="0" quotePrefix="0" xfId="0">
      <alignment horizontal="centerContinuous" wrapText="1"/>
    </xf>
    <xf numFmtId="0" fontId="150" fillId="10" borderId="0" applyAlignment="1" pivotButton="0" quotePrefix="0" xfId="0">
      <alignment horizontal="centerContinuous"/>
    </xf>
    <xf numFmtId="0" fontId="150" fillId="10" borderId="0" applyAlignment="1" pivotButton="0" quotePrefix="0" xfId="0">
      <alignment horizontal="centerContinuous" wrapText="1"/>
    </xf>
    <xf numFmtId="0" fontId="298" fillId="43" borderId="0" applyAlignment="1" pivotButton="0" quotePrefix="0" xfId="0">
      <alignment horizontal="center" vertical="center"/>
    </xf>
    <xf numFmtId="0" fontId="234" fillId="0" borderId="0" applyAlignment="1" pivotButton="0" quotePrefix="0" xfId="0">
      <alignment vertical="center"/>
    </xf>
    <xf numFmtId="0" fontId="299" fillId="0" borderId="0" applyAlignment="1" pivotButton="0" quotePrefix="0" xfId="0">
      <alignment vertical="center"/>
    </xf>
    <xf numFmtId="0" fontId="56" fillId="2" borderId="0" applyAlignment="1" pivotButton="0" quotePrefix="0" xfId="0">
      <alignment horizontal="left" vertical="center" wrapText="1"/>
    </xf>
    <xf numFmtId="0" fontId="72" fillId="6" borderId="8" applyAlignment="1" pivotButton="0" quotePrefix="0" xfId="0">
      <alignment horizontal="center"/>
    </xf>
    <xf numFmtId="0" fontId="243" fillId="6" borderId="8" pivotButton="0" quotePrefix="0" xfId="0"/>
    <xf numFmtId="0" fontId="69" fillId="8" borderId="11" pivotButton="0" quotePrefix="0" xfId="0"/>
    <xf numFmtId="4" fontId="150" fillId="22" borderId="62" applyAlignment="1" applyProtection="1" pivotButton="0" quotePrefix="0" xfId="0">
      <alignment horizontal="center"/>
      <protection locked="0" hidden="0"/>
    </xf>
    <xf numFmtId="4" fontId="150" fillId="22" borderId="0" applyAlignment="1" applyProtection="1" pivotButton="0" quotePrefix="0" xfId="0">
      <alignment horizontal="center"/>
      <protection locked="0" hidden="0"/>
    </xf>
    <xf numFmtId="4" fontId="176" fillId="22" borderId="62" applyAlignment="1" applyProtection="1" pivotButton="0" quotePrefix="0" xfId="0">
      <alignment horizontal="center"/>
      <protection locked="0" hidden="0"/>
    </xf>
    <xf numFmtId="4" fontId="176" fillId="22" borderId="0" applyAlignment="1" applyProtection="1" pivotButton="0" quotePrefix="0" xfId="0">
      <alignment horizontal="center"/>
      <protection locked="0" hidden="0"/>
    </xf>
    <xf numFmtId="4" fontId="176" fillId="12" borderId="0" applyAlignment="1" pivotButton="0" quotePrefix="0" xfId="0">
      <alignment horizontal="center"/>
    </xf>
    <xf numFmtId="9" fontId="150" fillId="12" borderId="0" applyAlignment="1" pivotButton="0" quotePrefix="0" xfId="0">
      <alignment horizontal="center"/>
    </xf>
    <xf numFmtId="0" fontId="193" fillId="12" borderId="0" pivotButton="0" quotePrefix="0" xfId="0"/>
    <xf numFmtId="0" fontId="294" fillId="12" borderId="0" applyAlignment="1" pivotButton="0" quotePrefix="0" xfId="0">
      <alignment wrapText="1"/>
    </xf>
    <xf numFmtId="0" fontId="192" fillId="22" borderId="0" pivotButton="0" quotePrefix="0" xfId="0"/>
    <xf numFmtId="0" fontId="206" fillId="10" borderId="0" applyAlignment="1" applyProtection="1" pivotButton="0" quotePrefix="0" xfId="0">
      <alignment horizontal="center" wrapText="1"/>
      <protection locked="0" hidden="0"/>
    </xf>
    <xf numFmtId="0" fontId="74" fillId="22" borderId="48" pivotButton="0" quotePrefix="0" xfId="0"/>
    <xf numFmtId="0" fontId="160" fillId="12" borderId="0" applyAlignment="1" pivotButton="0" quotePrefix="0" xfId="0">
      <alignment horizontal="right" vertical="center"/>
    </xf>
    <xf numFmtId="3" fontId="160" fillId="12" borderId="0" applyAlignment="1" pivotButton="0" quotePrefix="0" xfId="0">
      <alignment horizontal="center" vertical="center"/>
    </xf>
    <xf numFmtId="4" fontId="69" fillId="2" borderId="72" applyAlignment="1" pivotButton="0" quotePrefix="0" xfId="0">
      <alignment horizontal="center"/>
    </xf>
    <xf numFmtId="3" fontId="75" fillId="41" borderId="0" pivotButton="0" quotePrefix="0" xfId="0"/>
    <xf numFmtId="2" fontId="77" fillId="19" borderId="99" applyAlignment="1" pivotButton="0" quotePrefix="0" xfId="0">
      <alignment horizontal="center"/>
    </xf>
    <xf numFmtId="0" fontId="5" fillId="22" borderId="0" applyAlignment="1" pivotButton="0" quotePrefix="0" xfId="0">
      <alignment horizontal="left"/>
    </xf>
    <xf numFmtId="1" fontId="5" fillId="22" borderId="0" applyAlignment="1" pivotButton="0" quotePrefix="0" xfId="0">
      <alignment horizontal="center"/>
    </xf>
    <xf numFmtId="0" fontId="4" fillId="22" borderId="14" pivotButton="0" quotePrefix="0" xfId="0"/>
    <xf numFmtId="0" fontId="4" fillId="22" borderId="14" applyAlignment="1" pivotButton="0" quotePrefix="0" xfId="0">
      <alignment wrapText="1"/>
    </xf>
    <xf numFmtId="1" fontId="3" fillId="22" borderId="0" pivotButton="0" quotePrefix="0" xfId="0"/>
    <xf numFmtId="0" fontId="5" fillId="22" borderId="14" pivotButton="0" quotePrefix="0" xfId="0"/>
    <xf numFmtId="1" fontId="3" fillId="22" borderId="14" pivotButton="0" quotePrefix="0" xfId="0"/>
    <xf numFmtId="0" fontId="72" fillId="14" borderId="0" pivotButton="0" quotePrefix="0" xfId="0"/>
    <xf numFmtId="0" fontId="231" fillId="14" borderId="0" applyAlignment="1" pivotButton="0" quotePrefix="0" xfId="0">
      <alignment horizontal="left" vertical="center"/>
    </xf>
    <xf numFmtId="0" fontId="300" fillId="14" borderId="0" pivotButton="0" quotePrefix="0" xfId="0"/>
    <xf numFmtId="0" fontId="150" fillId="22" borderId="0" applyAlignment="1" applyProtection="1" pivotButton="0" quotePrefix="0" xfId="6">
      <alignment horizontal="center"/>
      <protection locked="0" hidden="0"/>
    </xf>
    <xf numFmtId="0" fontId="150" fillId="14" borderId="0" applyAlignment="1" pivotButton="0" quotePrefix="0" xfId="6">
      <alignment horizontal="center"/>
    </xf>
    <xf numFmtId="0" fontId="193" fillId="12" borderId="0" applyAlignment="1" pivotButton="0" quotePrefix="0" xfId="0">
      <alignment horizontal="center" vertical="center"/>
    </xf>
    <xf numFmtId="0" fontId="193" fillId="12" borderId="0" applyAlignment="1" pivotButton="0" quotePrefix="0" xfId="0">
      <alignment vertical="center"/>
    </xf>
    <xf numFmtId="0" fontId="193" fillId="12" borderId="0" applyAlignment="1" pivotButton="0" quotePrefix="0" xfId="0">
      <alignment horizontal="right" vertical="center"/>
    </xf>
    <xf numFmtId="0" fontId="0" fillId="0" borderId="0" applyAlignment="1" pivotButton="0" quotePrefix="0" xfId="0">
      <alignment vertical="top"/>
    </xf>
    <xf numFmtId="0" fontId="301" fillId="15" borderId="143" applyAlignment="1" pivotButton="0" quotePrefix="0" xfId="0">
      <alignment vertical="top" wrapText="1"/>
    </xf>
    <xf numFmtId="0" fontId="301" fillId="15" borderId="143" applyAlignment="1" pivotButton="0" quotePrefix="0" xfId="0">
      <alignment vertical="top"/>
    </xf>
    <xf numFmtId="0" fontId="180" fillId="12" borderId="0" applyAlignment="1" pivotButton="0" quotePrefix="0" xfId="0">
      <alignment vertical="center"/>
    </xf>
    <xf numFmtId="0" fontId="167" fillId="10" borderId="21" applyAlignment="1" pivotButton="0" quotePrefix="0" xfId="0">
      <alignment horizontal="center" vertical="center"/>
    </xf>
    <xf numFmtId="0" fontId="165" fillId="10" borderId="21" applyAlignment="1" pivotButton="0" quotePrefix="0" xfId="0">
      <alignment vertical="center"/>
    </xf>
    <xf numFmtId="168" fontId="160" fillId="10" borderId="0" applyAlignment="1" pivotButton="0" quotePrefix="0" xfId="0">
      <alignment horizontal="center" vertical="center"/>
    </xf>
    <xf numFmtId="3" fontId="150" fillId="22" borderId="58" applyAlignment="1" applyProtection="1" pivotButton="0" quotePrefix="0" xfId="0">
      <alignment horizontal="center"/>
      <protection locked="0" hidden="0"/>
    </xf>
    <xf numFmtId="0" fontId="150" fillId="22" borderId="58" applyAlignment="1" applyProtection="1" pivotButton="0" quotePrefix="0" xfId="6">
      <alignment horizontal="center"/>
      <protection locked="0" hidden="0"/>
    </xf>
    <xf numFmtId="3" fontId="160" fillId="12" borderId="11" applyAlignment="1" pivotButton="0" quotePrefix="0" xfId="0">
      <alignment horizontal="right" vertical="center"/>
    </xf>
    <xf numFmtId="0" fontId="150" fillId="12" borderId="0" applyAlignment="1" pivotButton="0" quotePrefix="0" xfId="0">
      <alignment horizontal="centerContinuous" vertical="center"/>
    </xf>
    <xf numFmtId="0" fontId="150" fillId="12" borderId="21" applyAlignment="1" pivotButton="0" quotePrefix="0" xfId="0">
      <alignment horizontal="center" vertical="center"/>
    </xf>
    <xf numFmtId="0" fontId="160" fillId="12" borderId="21" applyAlignment="1" pivotButton="0" quotePrefix="0" xfId="0">
      <alignment horizontal="centerContinuous" vertical="center"/>
    </xf>
    <xf numFmtId="3" fontId="160" fillId="12" borderId="11" applyAlignment="1" pivotButton="0" quotePrefix="0" xfId="0">
      <alignment horizontal="right"/>
    </xf>
    <xf numFmtId="0" fontId="160" fillId="12" borderId="21" applyAlignment="1" pivotButton="0" quotePrefix="0" xfId="0">
      <alignment horizontal="centerContinuous"/>
    </xf>
    <xf numFmtId="0" fontId="150" fillId="12" borderId="21" applyAlignment="1" pivotButton="0" quotePrefix="0" xfId="0">
      <alignment horizontal="centerContinuous"/>
    </xf>
    <xf numFmtId="0" fontId="167" fillId="10" borderId="21" applyAlignment="1" pivotButton="0" quotePrefix="0" xfId="0">
      <alignment horizontal="center" vertical="top" wrapText="1"/>
    </xf>
    <xf numFmtId="0" fontId="0" fillId="0" borderId="0" applyAlignment="1" pivotButton="0" quotePrefix="0" xfId="0">
      <alignment wrapText="1"/>
    </xf>
    <xf numFmtId="0" fontId="0" fillId="3" borderId="0" applyAlignment="1" pivotButton="0" quotePrefix="0" xfId="0">
      <alignment wrapText="1"/>
    </xf>
    <xf numFmtId="3" fontId="0" fillId="3" borderId="0" applyAlignment="1" pivotButton="0" quotePrefix="0" xfId="0">
      <alignment wrapText="1"/>
    </xf>
    <xf numFmtId="3" fontId="0" fillId="0" borderId="0" applyAlignment="1" pivotButton="0" quotePrefix="0" xfId="0">
      <alignment wrapText="1"/>
    </xf>
    <xf numFmtId="0" fontId="0" fillId="50" borderId="0" applyAlignment="1" pivotButton="0" quotePrefix="0" xfId="0">
      <alignment wrapText="1"/>
    </xf>
    <xf numFmtId="0" fontId="0" fillId="50" borderId="0" pivotButton="0" quotePrefix="0" xfId="0"/>
    <xf numFmtId="1" fontId="161" fillId="10" borderId="0" applyAlignment="1" pivotButton="0" quotePrefix="0" xfId="0">
      <alignment horizontal="center" vertical="center"/>
    </xf>
    <xf numFmtId="3" fontId="150" fillId="22" borderId="0" applyAlignment="1" applyProtection="1" pivotButton="0" quotePrefix="0" xfId="0">
      <alignment horizontal="center" vertical="center" wrapText="1"/>
      <protection locked="0" hidden="0"/>
    </xf>
    <xf numFmtId="0" fontId="160" fillId="12" borderId="21" applyAlignment="1" pivotButton="0" quotePrefix="0" xfId="0">
      <alignment horizontal="center"/>
    </xf>
    <xf numFmtId="0" fontId="152" fillId="36" borderId="0" applyAlignment="1" pivotButton="0" quotePrefix="0" xfId="0">
      <alignment horizontal="centerContinuous" vertical="center" wrapText="1"/>
    </xf>
    <xf numFmtId="0" fontId="260" fillId="36" borderId="77" applyAlignment="1" pivotButton="0" quotePrefix="0" xfId="0">
      <alignment vertical="center"/>
    </xf>
    <xf numFmtId="1" fontId="302" fillId="0" borderId="143" applyAlignment="1" pivotButton="0" quotePrefix="0" xfId="0">
      <alignment horizontal="right"/>
    </xf>
    <xf numFmtId="1" fontId="121" fillId="0" borderId="143" applyAlignment="1" pivotButton="0" quotePrefix="0" xfId="1">
      <alignment horizontal="right"/>
    </xf>
    <xf numFmtId="2" fontId="261" fillId="22" borderId="0" pivotButton="0" quotePrefix="0" xfId="0"/>
    <xf numFmtId="4" fontId="273" fillId="22" borderId="72" applyAlignment="1" pivotButton="0" quotePrefix="0" xfId="0">
      <alignment horizontal="center" vertical="center"/>
    </xf>
    <xf numFmtId="0" fontId="0" fillId="0" borderId="0" applyAlignment="1" pivotButton="0" quotePrefix="0" xfId="0">
      <alignment horizontal="center" wrapText="1"/>
    </xf>
    <xf numFmtId="170" fontId="0" fillId="51" borderId="0" applyAlignment="1" pivotButton="0" quotePrefix="0" xfId="0">
      <alignment wrapText="1"/>
    </xf>
    <xf numFmtId="0" fontId="301" fillId="15" borderId="144" applyAlignment="1" pivotButton="0" quotePrefix="0" xfId="0">
      <alignment vertical="top" wrapText="1"/>
    </xf>
    <xf numFmtId="3" fontId="192" fillId="12" borderId="0" applyAlignment="1" pivotButton="0" quotePrefix="0" xfId="0">
      <alignment horizontal="left"/>
    </xf>
    <xf numFmtId="164" fontId="150" fillId="10" borderId="0" applyAlignment="1" pivotButton="0" quotePrefix="0" xfId="0">
      <alignment vertical="center"/>
    </xf>
    <xf numFmtId="179" fontId="0" fillId="0" borderId="0" applyAlignment="1" pivotButton="0" quotePrefix="0" xfId="0">
      <alignment horizontal="center"/>
    </xf>
    <xf numFmtId="175" fontId="0" fillId="0" borderId="0" applyAlignment="1" pivotButton="0" quotePrefix="0" xfId="0">
      <alignment horizontal="center"/>
    </xf>
    <xf numFmtId="0" fontId="150" fillId="22" borderId="0" applyAlignment="1" pivotButton="0" quotePrefix="0" xfId="0">
      <alignment horizontal="left" vertical="center" indent="5"/>
    </xf>
    <xf numFmtId="0" fontId="306" fillId="22" borderId="0" applyAlignment="1" pivotButton="0" quotePrefix="0" xfId="3">
      <alignment horizontal="left" vertical="center" indent="7"/>
    </xf>
    <xf numFmtId="0" fontId="150" fillId="22" borderId="0" applyAlignment="1" pivotButton="0" quotePrefix="0" xfId="0">
      <alignment horizontal="left" vertical="center" indent="7"/>
    </xf>
    <xf numFmtId="0" fontId="306" fillId="22" borderId="0" applyAlignment="1" pivotButton="0" quotePrefix="0" xfId="3">
      <alignment horizontal="left" vertical="center" indent="5"/>
    </xf>
    <xf numFmtId="0" fontId="305" fillId="22" borderId="0" applyAlignment="1" pivotButton="0" quotePrefix="0" xfId="0">
      <alignment horizontal="left" vertical="center" indent="7"/>
    </xf>
    <xf numFmtId="0" fontId="305" fillId="22" borderId="0" applyAlignment="1" pivotButton="0" quotePrefix="0" xfId="0">
      <alignment horizontal="left" vertical="center" indent="5"/>
    </xf>
    <xf numFmtId="164" fontId="161" fillId="10" borderId="0" applyAlignment="1" pivotButton="0" quotePrefix="0" xfId="0">
      <alignment vertical="center" wrapText="1"/>
    </xf>
    <xf numFmtId="0" fontId="173" fillId="22" borderId="0" applyAlignment="1" pivotButton="0" quotePrefix="0" xfId="0">
      <alignment vertical="center"/>
    </xf>
    <xf numFmtId="9" fontId="161" fillId="10" borderId="0" applyAlignment="1" pivotButton="0" quotePrefix="0" xfId="6">
      <alignment horizontal="center" vertical="top"/>
    </xf>
    <xf numFmtId="9" fontId="161" fillId="22" borderId="0" applyAlignment="1" applyProtection="1" pivotButton="0" quotePrefix="0" xfId="6">
      <alignment horizontal="center" vertical="top"/>
      <protection locked="0" hidden="0"/>
    </xf>
    <xf numFmtId="180" fontId="150" fillId="10" borderId="0" applyAlignment="1" pivotButton="0" quotePrefix="0" xfId="0">
      <alignment horizontal="center" vertical="center"/>
    </xf>
    <xf numFmtId="0" fontId="5" fillId="8" borderId="10" applyAlignment="1" pivotButton="0" quotePrefix="0" xfId="0">
      <alignment horizontal="center" vertical="center" wrapText="1"/>
    </xf>
    <xf numFmtId="0" fontId="150" fillId="52" borderId="0" applyProtection="1" pivotButton="0" quotePrefix="0" xfId="0">
      <protection locked="0" hidden="0"/>
    </xf>
    <xf numFmtId="0" fontId="193" fillId="22" borderId="0" applyProtection="1" pivotButton="0" quotePrefix="0" xfId="0">
      <protection locked="1" hidden="1"/>
    </xf>
    <xf numFmtId="0" fontId="10" fillId="0" borderId="0" pivotButton="0" quotePrefix="0" xfId="1"/>
    <xf numFmtId="0" fontId="4" fillId="2" borderId="0" pivotButton="0" quotePrefix="0" xfId="1"/>
    <xf numFmtId="0" fontId="37" fillId="2" borderId="0" applyAlignment="1" pivotButton="0" quotePrefix="0" xfId="0">
      <alignment horizontal="left"/>
    </xf>
    <xf numFmtId="0" fontId="3" fillId="0" borderId="44" pivotButton="0" quotePrefix="0" xfId="0"/>
    <xf numFmtId="2" fontId="0" fillId="2" borderId="0" pivotButton="0" quotePrefix="0" xfId="0"/>
    <xf numFmtId="2" fontId="37" fillId="2" borderId="0" pivotButton="0" quotePrefix="0" xfId="0"/>
    <xf numFmtId="0" fontId="0" fillId="14" borderId="0" pivotButton="0" quotePrefix="0" xfId="0"/>
    <xf numFmtId="0" fontId="4" fillId="14" borderId="0" pivotButton="0" quotePrefix="0" xfId="1"/>
    <xf numFmtId="0" fontId="0" fillId="14" borderId="0" applyAlignment="1" pivotButton="0" quotePrefix="0" xfId="0">
      <alignment horizontal="left"/>
    </xf>
    <xf numFmtId="2" fontId="0" fillId="14" borderId="0" pivotButton="0" quotePrefix="0" xfId="0"/>
    <xf numFmtId="1" fontId="10" fillId="12" borderId="10" applyAlignment="1" pivotButton="0" quotePrefix="0" xfId="0">
      <alignment horizontal="center" wrapText="1"/>
    </xf>
    <xf numFmtId="0" fontId="4" fillId="0" borderId="8" pivotButton="0" quotePrefix="0" xfId="0"/>
    <xf numFmtId="0" fontId="4" fillId="0" borderId="31" applyAlignment="1" pivotButton="0" quotePrefix="0" xfId="2">
      <alignment horizontal="left"/>
    </xf>
    <xf numFmtId="0" fontId="10" fillId="2" borderId="4" applyAlignment="1" pivotButton="0" quotePrefix="0" xfId="0">
      <alignment horizontal="center"/>
    </xf>
    <xf numFmtId="0" fontId="10" fillId="2" borderId="6" applyAlignment="1" pivotButton="0" quotePrefix="0" xfId="0">
      <alignment horizontal="center"/>
    </xf>
    <xf numFmtId="2" fontId="4" fillId="2" borderId="1" applyAlignment="1" pivotButton="0" quotePrefix="0" xfId="0">
      <alignment horizontal="center"/>
    </xf>
    <xf numFmtId="2" fontId="4" fillId="2" borderId="3" applyAlignment="1" pivotButton="0" quotePrefix="0" xfId="0">
      <alignment horizontal="center"/>
    </xf>
    <xf numFmtId="2" fontId="4" fillId="2" borderId="5" applyAlignment="1" pivotButton="0" quotePrefix="0" xfId="0">
      <alignment horizontal="center"/>
    </xf>
    <xf numFmtId="166" fontId="0" fillId="2" borderId="2" applyAlignment="1" pivotButton="0" quotePrefix="0" xfId="0">
      <alignment horizontal="center" vertical="center" wrapText="1"/>
    </xf>
    <xf numFmtId="166" fontId="0" fillId="2" borderId="4" applyAlignment="1" pivotButton="0" quotePrefix="0" xfId="0">
      <alignment horizontal="center" vertical="center" wrapText="1"/>
    </xf>
    <xf numFmtId="166" fontId="0" fillId="2" borderId="6" applyAlignment="1" pivotButton="0" quotePrefix="0" xfId="0">
      <alignment horizontal="center" vertical="center" wrapText="1"/>
    </xf>
    <xf numFmtId="164" fontId="167" fillId="10" borderId="0" applyAlignment="1" pivotButton="0" quotePrefix="0" xfId="0">
      <alignment horizontal="left" vertical="top"/>
    </xf>
    <xf numFmtId="164" fontId="167" fillId="10" borderId="21" applyAlignment="1" pivotButton="0" quotePrefix="0" xfId="0">
      <alignment vertical="center"/>
    </xf>
    <xf numFmtId="0" fontId="206" fillId="12" borderId="0" applyProtection="1" pivotButton="0" quotePrefix="0" xfId="0">
      <protection locked="1" hidden="1"/>
    </xf>
    <xf numFmtId="0" fontId="150" fillId="12" borderId="0" applyProtection="1" pivotButton="0" quotePrefix="0" xfId="0">
      <protection locked="1" hidden="1"/>
    </xf>
    <xf numFmtId="0" fontId="173" fillId="22" borderId="0" applyAlignment="1" applyProtection="1" pivotButton="0" quotePrefix="0" xfId="0">
      <alignment shrinkToFit="1"/>
      <protection locked="1" hidden="1"/>
    </xf>
    <xf numFmtId="0" fontId="309" fillId="36" borderId="0" applyAlignment="1" pivotButton="0" quotePrefix="0" xfId="0">
      <alignment vertical="center" wrapText="1"/>
    </xf>
    <xf numFmtId="181" fontId="150" fillId="22" borderId="0" applyAlignment="1" applyProtection="1" pivotButton="0" quotePrefix="0" xfId="0">
      <alignment horizontal="center"/>
      <protection locked="0" hidden="0"/>
    </xf>
    <xf numFmtId="0" fontId="310" fillId="12" borderId="0" applyAlignment="1" applyProtection="1" pivotButton="0" quotePrefix="0" xfId="0">
      <alignment horizontal="center"/>
      <protection locked="1" hidden="1"/>
    </xf>
    <xf numFmtId="0" fontId="5" fillId="11" borderId="0" applyAlignment="1" pivotButton="0" quotePrefix="0" xfId="0">
      <alignment horizontal="center" wrapText="1"/>
    </xf>
    <xf numFmtId="3" fontId="0" fillId="11" borderId="0" applyAlignment="1" pivotButton="0" quotePrefix="0" xfId="0">
      <alignment horizontal="right"/>
    </xf>
    <xf numFmtId="3" fontId="0" fillId="11" borderId="0" applyAlignment="1" pivotButton="0" quotePrefix="0" xfId="0">
      <alignment horizontal="center"/>
    </xf>
    <xf numFmtId="3" fontId="0" fillId="11" borderId="0" pivotButton="0" quotePrefix="0" xfId="0"/>
    <xf numFmtId="0" fontId="122" fillId="11" borderId="0" pivotButton="0" quotePrefix="0" xfId="0"/>
    <xf numFmtId="0" fontId="123" fillId="31" borderId="0" applyAlignment="1" pivotButton="0" quotePrefix="0" xfId="0">
      <alignment wrapText="1"/>
    </xf>
    <xf numFmtId="0" fontId="23" fillId="22" borderId="0" applyAlignment="1" pivotButton="0" quotePrefix="0" xfId="3">
      <alignment wrapText="1"/>
    </xf>
    <xf numFmtId="0" fontId="311" fillId="12" borderId="0" pivotButton="0" quotePrefix="0" xfId="3"/>
    <xf numFmtId="164" fontId="190" fillId="10" borderId="0" applyAlignment="1" pivotButton="0" quotePrefix="0" xfId="0">
      <alignment horizontal="center" vertical="center"/>
    </xf>
    <xf numFmtId="164" fontId="161" fillId="10" borderId="0" applyAlignment="1" pivotButton="0" quotePrefix="0" xfId="0">
      <alignment horizontal="left" vertical="top"/>
    </xf>
    <xf numFmtId="0" fontId="167" fillId="12" borderId="11" applyAlignment="1" pivotButton="0" quotePrefix="1" xfId="3">
      <alignment horizontal="left"/>
    </xf>
    <xf numFmtId="0" fontId="273" fillId="22" borderId="74" applyAlignment="1" pivotButton="0" quotePrefix="0" xfId="0">
      <alignment horizontal="center" vertical="center"/>
    </xf>
    <xf numFmtId="0" fontId="84" fillId="12" borderId="8" applyAlignment="1" pivotButton="0" quotePrefix="0" xfId="0">
      <alignment vertical="center"/>
    </xf>
    <xf numFmtId="0" fontId="84" fillId="9" borderId="8" applyAlignment="1" pivotButton="0" quotePrefix="0" xfId="0">
      <alignment vertical="center"/>
    </xf>
    <xf numFmtId="0" fontId="297" fillId="12" borderId="0" pivotButton="0" quotePrefix="0" xfId="0"/>
    <xf numFmtId="0" fontId="312" fillId="22" borderId="8" applyAlignment="1" pivotButton="0" quotePrefix="0" xfId="0">
      <alignment vertical="center"/>
    </xf>
    <xf numFmtId="0" fontId="312" fillId="22" borderId="0" applyAlignment="1" pivotButton="0" quotePrefix="0" xfId="0">
      <alignment vertical="center"/>
    </xf>
    <xf numFmtId="0" fontId="110" fillId="13" borderId="8" applyAlignment="1" pivotButton="0" quotePrefix="0" xfId="0">
      <alignment vertical="center"/>
    </xf>
    <xf numFmtId="0" fontId="313" fillId="22" borderId="3" applyAlignment="1" pivotButton="0" quotePrefix="0" xfId="0">
      <alignment vertical="center"/>
    </xf>
    <xf numFmtId="0" fontId="143" fillId="2" borderId="67" applyAlignment="1" pivotButton="0" quotePrefix="0" xfId="3">
      <alignment vertical="center" wrapText="1"/>
    </xf>
    <xf numFmtId="0" fontId="150" fillId="12" borderId="0" applyAlignment="1" pivotButton="0" quotePrefix="0" xfId="0">
      <alignment horizontal="right" vertical="center"/>
    </xf>
    <xf numFmtId="0" fontId="161" fillId="12" borderId="0" applyAlignment="1" pivotButton="0" quotePrefix="0" xfId="0">
      <alignment horizontal="right" vertical="center"/>
    </xf>
    <xf numFmtId="0" fontId="199" fillId="22" borderId="0" applyAlignment="1" applyProtection="1" pivotButton="0" quotePrefix="0" xfId="0">
      <alignment horizontal="center" vertical="center"/>
      <protection locked="0" hidden="0"/>
    </xf>
    <xf numFmtId="0" fontId="150" fillId="12" borderId="0" applyAlignment="1" applyProtection="1" pivotButton="0" quotePrefix="0" xfId="0">
      <alignment vertical="center"/>
      <protection locked="1" hidden="1"/>
    </xf>
    <xf numFmtId="3" fontId="161" fillId="12" borderId="0" applyAlignment="1" applyProtection="1" pivotButton="0" quotePrefix="0" xfId="0">
      <alignment horizontal="center" vertical="center"/>
      <protection locked="1" hidden="1"/>
    </xf>
    <xf numFmtId="0" fontId="110" fillId="9" borderId="3" applyAlignment="1" pivotButton="0" quotePrefix="0" xfId="0">
      <alignment vertical="center"/>
    </xf>
    <xf numFmtId="0" fontId="160" fillId="12" borderId="21" applyAlignment="1" pivotButton="0" quotePrefix="0" xfId="0">
      <alignment horizontal="left" vertical="center"/>
    </xf>
    <xf numFmtId="0" fontId="150" fillId="12" borderId="0" applyAlignment="1" pivotButton="0" quotePrefix="0" xfId="0">
      <alignment horizontal="left" wrapText="1"/>
    </xf>
    <xf numFmtId="0" fontId="316" fillId="0" borderId="0" pivotButton="0" quotePrefix="0" xfId="0"/>
    <xf numFmtId="0" fontId="316" fillId="46" borderId="10" applyAlignment="1" pivotButton="0" quotePrefix="0" xfId="0">
      <alignment vertical="center" wrapText="1"/>
    </xf>
    <xf numFmtId="0" fontId="316" fillId="0" borderId="10" applyAlignment="1" pivotButton="0" quotePrefix="0" xfId="0">
      <alignment horizontal="right" wrapText="1"/>
    </xf>
    <xf numFmtId="0" fontId="317" fillId="46" borderId="10" applyAlignment="1" pivotButton="0" quotePrefix="0" xfId="0">
      <alignment wrapText="1"/>
    </xf>
    <xf numFmtId="0" fontId="316" fillId="46" borderId="10" applyAlignment="1" pivotButton="0" quotePrefix="0" xfId="0">
      <alignment wrapText="1"/>
    </xf>
    <xf numFmtId="0" fontId="316" fillId="0" borderId="10" applyAlignment="1" pivotButton="0" quotePrefix="0" xfId="0">
      <alignment wrapText="1"/>
    </xf>
    <xf numFmtId="0" fontId="316" fillId="53" borderId="10" applyAlignment="1" pivotButton="0" quotePrefix="0" xfId="0">
      <alignment horizontal="right" wrapText="1"/>
    </xf>
    <xf numFmtId="0" fontId="316" fillId="53" borderId="10" applyAlignment="1" pivotButton="0" quotePrefix="0" xfId="0">
      <alignment wrapText="1"/>
    </xf>
    <xf numFmtId="0" fontId="317" fillId="0" borderId="10" applyAlignment="1" pivotButton="0" quotePrefix="0" xfId="0">
      <alignment horizontal="right" wrapText="1"/>
    </xf>
    <xf numFmtId="0" fontId="317" fillId="0" borderId="10" applyAlignment="1" pivotButton="0" quotePrefix="0" xfId="0">
      <alignment wrapText="1"/>
    </xf>
    <xf numFmtId="0" fontId="317" fillId="53" borderId="10" applyAlignment="1" pivotButton="0" quotePrefix="0" xfId="0">
      <alignment wrapText="1"/>
    </xf>
    <xf numFmtId="0" fontId="318" fillId="0" borderId="10" applyAlignment="1" pivotButton="0" quotePrefix="0" xfId="0">
      <alignment wrapText="1"/>
    </xf>
    <xf numFmtId="0" fontId="318" fillId="0" borderId="0" pivotButton="0" quotePrefix="0" xfId="0"/>
    <xf numFmtId="0" fontId="319" fillId="0" borderId="0" pivotButton="0" quotePrefix="0" xfId="0"/>
    <xf numFmtId="0" fontId="316" fillId="0" borderId="0" applyAlignment="1" pivotButton="0" quotePrefix="0" xfId="0">
      <alignment wrapText="1"/>
    </xf>
    <xf numFmtId="0" fontId="25" fillId="0" borderId="10" applyAlignment="1" pivotButton="0" quotePrefix="0" xfId="0">
      <alignment wrapText="1"/>
    </xf>
    <xf numFmtId="0" fontId="25" fillId="0" borderId="12" applyAlignment="1" pivotButton="0" quotePrefix="0" xfId="0">
      <alignment wrapText="1"/>
    </xf>
    <xf numFmtId="0" fontId="25" fillId="0" borderId="0" applyAlignment="1" pivotButton="0" quotePrefix="0" xfId="0">
      <alignment wrapText="1"/>
    </xf>
    <xf numFmtId="0" fontId="320" fillId="0" borderId="10" applyAlignment="1" pivotButton="0" quotePrefix="0" xfId="0">
      <alignment wrapText="1"/>
    </xf>
    <xf numFmtId="0" fontId="317" fillId="3" borderId="10" applyAlignment="1" pivotButton="0" quotePrefix="0" xfId="0">
      <alignment wrapText="1"/>
    </xf>
    <xf numFmtId="0" fontId="93" fillId="0" borderId="10" applyAlignment="1" pivotButton="0" quotePrefix="0" xfId="0">
      <alignment wrapText="1"/>
    </xf>
    <xf numFmtId="0" fontId="93" fillId="0" borderId="12" applyAlignment="1" pivotButton="0" quotePrefix="0" xfId="0">
      <alignment wrapText="1"/>
    </xf>
    <xf numFmtId="0" fontId="25" fillId="6" borderId="0" applyAlignment="1" pivotButton="0" quotePrefix="0" xfId="0">
      <alignment wrapText="1"/>
    </xf>
    <xf numFmtId="0" fontId="25" fillId="6" borderId="10" applyAlignment="1" pivotButton="0" quotePrefix="0" xfId="0">
      <alignment wrapText="1"/>
    </xf>
    <xf numFmtId="0" fontId="0" fillId="0" borderId="145" applyAlignment="1" pivotButton="0" quotePrefix="0" xfId="0">
      <alignment horizontal="center"/>
    </xf>
    <xf numFmtId="10" fontId="0" fillId="0" borderId="0" pivotButton="0" quotePrefix="0" xfId="0"/>
    <xf numFmtId="9" fontId="0" fillId="0" borderId="0" pivotButton="0" quotePrefix="0" xfId="6"/>
    <xf numFmtId="1" fontId="3" fillId="0" borderId="0" pivotButton="0" quotePrefix="0" xfId="0"/>
    <xf numFmtId="0" fontId="321" fillId="0" borderId="0" pivotButton="0" quotePrefix="0" xfId="0"/>
    <xf numFmtId="0" fontId="0" fillId="0" borderId="145" applyAlignment="1" pivotButton="0" quotePrefix="0" xfId="0">
      <alignment vertical="center" wrapText="1"/>
    </xf>
    <xf numFmtId="0" fontId="322" fillId="0" borderId="0" applyAlignment="1" pivotButton="0" quotePrefix="0" xfId="0">
      <alignment vertical="center" wrapText="1"/>
    </xf>
    <xf numFmtId="0" fontId="322" fillId="0" borderId="0" pivotButton="0" quotePrefix="0" xfId="0"/>
    <xf numFmtId="1" fontId="321" fillId="0" borderId="0" pivotButton="0" quotePrefix="0" xfId="0"/>
    <xf numFmtId="0" fontId="322" fillId="0" borderId="0" applyAlignment="1" pivotButton="0" quotePrefix="0" xfId="0">
      <alignment horizontal="right"/>
    </xf>
    <xf numFmtId="0" fontId="324" fillId="0" borderId="0" applyAlignment="1" pivotButton="0" quotePrefix="0" xfId="0">
      <alignment vertical="center" wrapText="1"/>
    </xf>
    <xf numFmtId="0" fontId="325" fillId="0" borderId="0" pivotButton="0" quotePrefix="0" xfId="0"/>
    <xf numFmtId="0" fontId="324" fillId="0" borderId="0" pivotButton="0" quotePrefix="0" xfId="0"/>
    <xf numFmtId="0" fontId="150" fillId="22" borderId="0" applyAlignment="1" pivotButton="0" quotePrefix="0" xfId="0">
      <alignment horizontal="left" wrapText="1"/>
    </xf>
    <xf numFmtId="0" fontId="150" fillId="22" borderId="0" applyAlignment="1" pivotButton="0" quotePrefix="0" xfId="0">
      <alignment horizontal="left"/>
    </xf>
    <xf numFmtId="0" fontId="280" fillId="22" borderId="0" applyAlignment="1" pivotButton="0" quotePrefix="0" xfId="0">
      <alignment horizontal="left" vertical="top" wrapText="1"/>
    </xf>
    <xf numFmtId="0" fontId="280" fillId="22" borderId="0" applyAlignment="1" pivotButton="0" quotePrefix="0" xfId="0">
      <alignment horizontal="left"/>
    </xf>
    <xf numFmtId="0" fontId="164" fillId="22" borderId="63" applyAlignment="1" applyProtection="1" pivotButton="0" quotePrefix="0" xfId="0">
      <alignment vertical="center"/>
      <protection locked="0" hidden="0"/>
    </xf>
    <xf numFmtId="182" fontId="205" fillId="12" borderId="0" applyAlignment="1" pivotButton="0" quotePrefix="0" xfId="0">
      <alignment horizontal="center" vertical="top" wrapText="1"/>
    </xf>
    <xf numFmtId="0" fontId="164" fillId="22" borderId="64" applyAlignment="1" applyProtection="1" pivotButton="0" quotePrefix="0" xfId="0">
      <alignment horizontal="center" vertical="center" wrapText="1"/>
      <protection locked="0" hidden="0"/>
    </xf>
    <xf numFmtId="0" fontId="186" fillId="22" borderId="64" applyAlignment="1" applyProtection="1" pivotButton="0" quotePrefix="0" xfId="0">
      <alignment horizontal="center" vertical="center" wrapText="1"/>
      <protection locked="0" hidden="0"/>
    </xf>
    <xf numFmtId="0" fontId="164" fillId="12" borderId="0" applyAlignment="1" pivotButton="0" quotePrefix="0" xfId="0">
      <alignment vertical="center"/>
    </xf>
    <xf numFmtId="0" fontId="164" fillId="12" borderId="0" applyAlignment="1" pivotButton="0" quotePrefix="0" xfId="0">
      <alignment horizontal="left" vertical="center"/>
    </xf>
    <xf numFmtId="165" fontId="164" fillId="22" borderId="64" applyAlignment="1" applyProtection="1" pivotButton="0" quotePrefix="0" xfId="4">
      <alignment horizontal="center" vertical="center" wrapText="1"/>
      <protection locked="0" hidden="0"/>
    </xf>
    <xf numFmtId="0" fontId="186" fillId="12" borderId="0" applyAlignment="1" pivotButton="0" quotePrefix="0" xfId="0">
      <alignment horizontal="left" vertical="center" indent="2"/>
    </xf>
    <xf numFmtId="0" fontId="164" fillId="22" borderId="63" applyAlignment="1" applyProtection="1" pivotButton="0" quotePrefix="0" xfId="0">
      <alignment horizontal="left" vertical="center" indent="2"/>
      <protection locked="0" hidden="0"/>
    </xf>
    <xf numFmtId="0" fontId="164" fillId="22" borderId="64" applyAlignment="1" applyProtection="1" pivotButton="0" quotePrefix="0" xfId="0">
      <alignment horizontal="left" vertical="top" wrapText="1" indent="2"/>
      <protection locked="0" hidden="0"/>
    </xf>
    <xf numFmtId="0" fontId="164" fillId="22" borderId="64" applyAlignment="1" applyProtection="1" pivotButton="0" quotePrefix="0" xfId="0">
      <alignment horizontal="left" vertical="center" indent="2"/>
      <protection locked="0" hidden="0"/>
    </xf>
    <xf numFmtId="0" fontId="164" fillId="22" borderId="65" applyAlignment="1" applyProtection="1" pivotButton="0" quotePrefix="0" xfId="0">
      <alignment horizontal="left" vertical="center" indent="2"/>
      <protection locked="0" hidden="0"/>
    </xf>
    <xf numFmtId="0" fontId="186" fillId="22" borderId="63" applyAlignment="1" applyProtection="1" pivotButton="0" quotePrefix="0" xfId="0">
      <alignment horizontal="center" vertical="center" wrapText="1"/>
      <protection locked="0" hidden="0"/>
    </xf>
    <xf numFmtId="14" fontId="164" fillId="22" borderId="64" applyAlignment="1" applyProtection="1" pivotButton="0" quotePrefix="0" xfId="0">
      <alignment horizontal="center" vertical="center" wrapText="1"/>
      <protection locked="0" hidden="0"/>
    </xf>
    <xf numFmtId="0" fontId="74" fillId="32" borderId="16" applyAlignment="1" pivotButton="0" quotePrefix="0" xfId="0">
      <alignment horizontal="left" wrapText="1"/>
    </xf>
    <xf numFmtId="0" fontId="74" fillId="32" borderId="15" applyAlignment="1" pivotButton="0" quotePrefix="0" xfId="0">
      <alignment horizontal="left" wrapText="1"/>
    </xf>
    <xf numFmtId="0" fontId="74" fillId="32" borderId="25" applyAlignment="1" pivotButton="0" quotePrefix="0" xfId="0">
      <alignment horizontal="left" wrapText="1"/>
    </xf>
    <xf numFmtId="0" fontId="74" fillId="8" borderId="11" applyAlignment="1" pivotButton="0" quotePrefix="0" xfId="0">
      <alignment horizontal="center"/>
    </xf>
    <xf numFmtId="0" fontId="74" fillId="8" borderId="2" applyAlignment="1" pivotButton="0" quotePrefix="0" xfId="0">
      <alignment horizontal="center"/>
    </xf>
    <xf numFmtId="164" fontId="161" fillId="10" borderId="0" applyAlignment="1" pivotButton="0" quotePrefix="0" xfId="0">
      <alignment horizontal="left" vertical="center" wrapText="1"/>
    </xf>
    <xf numFmtId="0" fontId="44" fillId="32" borderId="0" applyAlignment="1" pivotButton="0" quotePrefix="0" xfId="0">
      <alignment horizontal="center" wrapText="1"/>
    </xf>
    <xf numFmtId="0" fontId="44" fillId="2" borderId="7" applyAlignment="1" pivotButton="0" quotePrefix="0" xfId="0">
      <alignment horizontal="center" wrapText="1"/>
    </xf>
    <xf numFmtId="0" fontId="44" fillId="2" borderId="8" applyAlignment="1" pivotButton="0" quotePrefix="0" xfId="0">
      <alignment horizontal="center" wrapText="1"/>
    </xf>
    <xf numFmtId="0" fontId="4" fillId="2" borderId="0" applyAlignment="1" pivotButton="0" quotePrefix="0" xfId="0">
      <alignment horizontal="center"/>
    </xf>
    <xf numFmtId="0" fontId="3" fillId="8" borderId="0" applyAlignment="1" pivotButton="0" quotePrefix="0" xfId="0">
      <alignment horizontal="center"/>
    </xf>
    <xf numFmtId="0" fontId="167" fillId="10" borderId="0" applyAlignment="1" pivotButton="0" quotePrefix="0" xfId="0">
      <alignment horizontal="center" vertical="top" wrapText="1"/>
    </xf>
    <xf numFmtId="0" fontId="69" fillId="8" borderId="1" applyAlignment="1" pivotButton="0" quotePrefix="0" xfId="0">
      <alignment horizontal="center"/>
    </xf>
    <xf numFmtId="0" fontId="69" fillId="8" borderId="11" applyAlignment="1" pivotButton="0" quotePrefix="0" xfId="0">
      <alignment horizontal="center"/>
    </xf>
    <xf numFmtId="0" fontId="69" fillId="8" borderId="2" applyAlignment="1" pivotButton="0" quotePrefix="0" xfId="0">
      <alignment horizontal="center"/>
    </xf>
    <xf numFmtId="0" fontId="69" fillId="37" borderId="3" applyAlignment="1" pivotButton="0" quotePrefix="0" xfId="0">
      <alignment horizontal="center" vertical="center"/>
    </xf>
    <xf numFmtId="0" fontId="69" fillId="37" borderId="4" applyAlignment="1" pivotButton="0" quotePrefix="0" xfId="0">
      <alignment horizontal="center" vertical="center"/>
    </xf>
    <xf numFmtId="0" fontId="69" fillId="17" borderId="3" applyAlignment="1" pivotButton="0" quotePrefix="0" xfId="0">
      <alignment horizontal="center" vertical="center"/>
    </xf>
    <xf numFmtId="0" fontId="69" fillId="17" borderId="4" applyAlignment="1" pivotButton="0" quotePrefix="0" xfId="0">
      <alignment horizontal="center" vertical="center"/>
    </xf>
    <xf numFmtId="164" fontId="69" fillId="15" borderId="3" applyAlignment="1" pivotButton="0" quotePrefix="0" xfId="0">
      <alignment horizontal="center" vertical="center"/>
    </xf>
    <xf numFmtId="164" fontId="69" fillId="15" borderId="4" applyAlignment="1" pivotButton="0" quotePrefix="0" xfId="0">
      <alignment horizontal="center" vertical="center"/>
    </xf>
    <xf numFmtId="0" fontId="69" fillId="16" borderId="3" applyAlignment="1" pivotButton="0" quotePrefix="0" xfId="0">
      <alignment horizontal="center" vertical="center"/>
    </xf>
    <xf numFmtId="0" fontId="69" fillId="16" borderId="4" applyAlignment="1" pivotButton="0" quotePrefix="0" xfId="0">
      <alignment horizontal="center" vertical="center"/>
    </xf>
    <xf numFmtId="0" fontId="74" fillId="22" borderId="21" applyAlignment="1" pivotButton="0" quotePrefix="0" xfId="0">
      <alignment horizontal="center"/>
    </xf>
    <xf numFmtId="0" fontId="74" fillId="22" borderId="21" applyAlignment="1" pivotButton="0" quotePrefix="0" xfId="0">
      <alignment horizontal="center" wrapText="1"/>
    </xf>
    <xf numFmtId="0" fontId="160" fillId="12" borderId="0" applyAlignment="1" pivotButton="0" quotePrefix="0" xfId="0">
      <alignment horizontal="center" vertical="center" wrapText="1"/>
    </xf>
    <xf numFmtId="0" fontId="160" fillId="12" borderId="21" applyAlignment="1" pivotButton="0" quotePrefix="0" xfId="0">
      <alignment horizontal="center" vertical="center" wrapText="1"/>
    </xf>
    <xf numFmtId="0" fontId="174" fillId="22" borderId="78" applyAlignment="1" applyProtection="1" pivotButton="0" quotePrefix="0" xfId="0">
      <alignment horizontal="center"/>
      <protection locked="0" hidden="0"/>
    </xf>
    <xf numFmtId="0" fontId="174" fillId="10" borderId="0" applyAlignment="1" pivotButton="0" quotePrefix="0" xfId="0">
      <alignment horizontal="center" vertical="center" wrapText="1"/>
    </xf>
    <xf numFmtId="0" fontId="4" fillId="8" borderId="0" applyAlignment="1" pivotButton="0" quotePrefix="0" xfId="0">
      <alignment horizontal="center"/>
    </xf>
    <xf numFmtId="0" fontId="3" fillId="10" borderId="12" applyAlignment="1" pivotButton="0" quotePrefix="0" xfId="0">
      <alignment horizontal="left" vertical="top" wrapText="1"/>
    </xf>
    <xf numFmtId="0" fontId="3" fillId="10" borderId="13" applyAlignment="1" pivotButton="0" quotePrefix="0" xfId="0">
      <alignment horizontal="left" vertical="top" wrapText="1"/>
    </xf>
    <xf numFmtId="0" fontId="9" fillId="6" borderId="12" applyAlignment="1" pivotButton="0" quotePrefix="0" xfId="0">
      <alignment horizontal="left"/>
    </xf>
    <xf numFmtId="0" fontId="9" fillId="6" borderId="13" applyAlignment="1" pivotButton="0" quotePrefix="0" xfId="0">
      <alignment horizontal="left"/>
    </xf>
    <xf numFmtId="0" fontId="150" fillId="22" borderId="121" applyAlignment="1" applyProtection="1" pivotButton="0" quotePrefix="0" xfId="0">
      <alignment horizontal="center"/>
      <protection locked="0" hidden="0"/>
    </xf>
    <xf numFmtId="0" fontId="150" fillId="10" borderId="0" applyAlignment="1" pivotButton="0" quotePrefix="0" xfId="0">
      <alignment horizontal="left" vertical="top" wrapText="1"/>
    </xf>
    <xf numFmtId="0" fontId="150" fillId="10" borderId="0" applyAlignment="1" pivotButton="0" quotePrefix="0" xfId="0">
      <alignment horizontal="center" wrapText="1"/>
    </xf>
    <xf numFmtId="0" fontId="150" fillId="22" borderId="120" applyAlignment="1" applyProtection="1" pivotButton="0" quotePrefix="0" xfId="0">
      <alignment horizontal="center"/>
      <protection locked="0" hidden="0"/>
    </xf>
    <xf numFmtId="0" fontId="4" fillId="22" borderId="0" applyAlignment="1" pivotButton="0" quotePrefix="0" xfId="0">
      <alignment horizontal="center"/>
    </xf>
    <xf numFmtId="0" fontId="4" fillId="22" borderId="11" applyAlignment="1" pivotButton="0" quotePrefix="0" xfId="0">
      <alignment horizontal="center"/>
    </xf>
    <xf numFmtId="0" fontId="4" fillId="22" borderId="11" applyAlignment="1" pivotButton="0" quotePrefix="0" xfId="0">
      <alignment horizontal="left" wrapText="1"/>
    </xf>
    <xf numFmtId="0" fontId="99" fillId="29" borderId="0" applyAlignment="1" pivotButton="0" quotePrefix="0" xfId="0">
      <alignment horizontal="center" vertical="center"/>
    </xf>
    <xf numFmtId="0" fontId="96" fillId="30" borderId="16" applyAlignment="1" pivotButton="0" quotePrefix="0" xfId="0">
      <alignment horizontal="left" vertical="top" wrapText="1"/>
    </xf>
    <xf numFmtId="0" fontId="96" fillId="30" borderId="17" applyAlignment="1" pivotButton="0" quotePrefix="0" xfId="0">
      <alignment horizontal="left" vertical="top" wrapText="1"/>
    </xf>
    <xf numFmtId="0" fontId="96" fillId="30" borderId="22" applyAlignment="1" pivotButton="0" quotePrefix="0" xfId="0">
      <alignment horizontal="left" vertical="top" wrapText="1"/>
    </xf>
    <xf numFmtId="0" fontId="96" fillId="30" borderId="15" applyAlignment="1" pivotButton="0" quotePrefix="0" xfId="0">
      <alignment horizontal="left" vertical="top" wrapText="1"/>
    </xf>
    <xf numFmtId="0" fontId="96" fillId="30" borderId="0" applyAlignment="1" pivotButton="0" quotePrefix="0" xfId="0">
      <alignment horizontal="left" vertical="top" wrapText="1"/>
    </xf>
    <xf numFmtId="0" fontId="96" fillId="30" borderId="23" applyAlignment="1" pivotButton="0" quotePrefix="0" xfId="0">
      <alignment horizontal="left" vertical="top" wrapText="1"/>
    </xf>
    <xf numFmtId="0" fontId="96" fillId="30" borderId="18" applyAlignment="1" pivotButton="0" quotePrefix="0" xfId="0">
      <alignment horizontal="left" vertical="top" wrapText="1"/>
    </xf>
    <xf numFmtId="0" fontId="96" fillId="30" borderId="24" applyAlignment="1" pivotButton="0" quotePrefix="0" xfId="0">
      <alignment horizontal="left" vertical="top" wrapText="1"/>
    </xf>
    <xf numFmtId="164" fontId="24" fillId="31" borderId="1" applyAlignment="1" pivotButton="0" quotePrefix="0" xfId="0">
      <alignment horizontal="left" vertical="center"/>
    </xf>
    <xf numFmtId="164" fontId="24" fillId="31" borderId="11" applyAlignment="1" pivotButton="0" quotePrefix="0" xfId="0">
      <alignment horizontal="left" vertical="center"/>
    </xf>
    <xf numFmtId="164" fontId="24" fillId="31" borderId="2" applyAlignment="1" pivotButton="0" quotePrefix="0" xfId="0">
      <alignment horizontal="left" vertical="center"/>
    </xf>
    <xf numFmtId="0" fontId="5" fillId="31" borderId="11" applyAlignment="1" pivotButton="0" quotePrefix="0" xfId="0">
      <alignment horizontal="center"/>
    </xf>
    <xf numFmtId="0" fontId="5" fillId="31" borderId="2" applyAlignment="1" pivotButton="0" quotePrefix="0" xfId="0">
      <alignment horizontal="center"/>
    </xf>
    <xf numFmtId="0" fontId="5" fillId="31" borderId="0" applyAlignment="1" pivotButton="0" quotePrefix="0" xfId="0">
      <alignment horizontal="center" vertical="center" wrapText="1"/>
    </xf>
    <xf numFmtId="0" fontId="122" fillId="11" borderId="21" applyAlignment="1" pivotButton="0" quotePrefix="0" xfId="0">
      <alignment horizontal="center" vertical="center" wrapText="1"/>
    </xf>
    <xf numFmtId="0" fontId="122" fillId="11" borderId="21" applyAlignment="1" pivotButton="0" quotePrefix="0" xfId="0">
      <alignment horizontal="center" vertical="center"/>
    </xf>
    <xf numFmtId="0" fontId="4" fillId="31" borderId="21" applyAlignment="1" pivotButton="0" quotePrefix="0" xfId="0">
      <alignment horizontal="center"/>
    </xf>
    <xf numFmtId="0" fontId="4" fillId="31" borderId="0" applyAlignment="1" pivotButton="0" quotePrefix="0" xfId="0">
      <alignment horizontal="center"/>
    </xf>
    <xf numFmtId="169" fontId="119" fillId="31" borderId="0" applyAlignment="1" pivotButton="0" quotePrefix="0" xfId="0">
      <alignment horizontal="center"/>
    </xf>
    <xf numFmtId="0" fontId="69" fillId="18" borderId="0" applyAlignment="1" pivotButton="0" quotePrefix="0" xfId="0">
      <alignment horizontal="justify" vertical="top" wrapText="1"/>
    </xf>
    <xf numFmtId="0" fontId="279" fillId="36" borderId="0" applyAlignment="1" pivotButton="0" quotePrefix="0" xfId="0">
      <alignment horizontal="center" vertical="center"/>
    </xf>
    <xf numFmtId="0" fontId="286" fillId="36" borderId="77" applyAlignment="1" pivotButton="0" quotePrefix="0" xfId="0">
      <alignment horizontal="center" vertical="center"/>
    </xf>
    <xf numFmtId="0" fontId="286" fillId="36" borderId="75" applyAlignment="1" pivotButton="0" quotePrefix="0" xfId="0">
      <alignment horizontal="center" vertical="center"/>
    </xf>
    <xf numFmtId="0" fontId="0" fillId="0" borderId="0" applyAlignment="1" pivotButton="0" quotePrefix="0" xfId="0">
      <alignment horizontal="center"/>
    </xf>
    <xf numFmtId="3" fontId="150" fillId="22" borderId="77" applyAlignment="1" pivotButton="0" quotePrefix="0" xfId="0">
      <alignment horizontal="center" vertical="center"/>
    </xf>
    <xf numFmtId="3" fontId="150" fillId="22" borderId="75" applyAlignment="1" pivotButton="0" quotePrefix="0" xfId="0">
      <alignment horizontal="center" vertical="center"/>
    </xf>
    <xf numFmtId="3" fontId="160" fillId="48" borderId="77" applyAlignment="1" pivotButton="0" quotePrefix="0" xfId="0">
      <alignment horizontal="center" vertical="center"/>
    </xf>
    <xf numFmtId="3" fontId="160" fillId="48" borderId="75" applyAlignment="1" pivotButton="0" quotePrefix="0" xfId="0">
      <alignment horizontal="center" vertical="center"/>
    </xf>
    <xf numFmtId="3" fontId="150" fillId="42" borderId="77" applyAlignment="1" pivotButton="0" quotePrefix="0" xfId="0">
      <alignment horizontal="center" vertical="center"/>
    </xf>
    <xf numFmtId="3" fontId="150" fillId="42" borderId="75" applyAlignment="1" pivotButton="0" quotePrefix="0" xfId="0">
      <alignment horizontal="center" vertical="center"/>
    </xf>
    <xf numFmtId="3" fontId="150" fillId="2" borderId="77" applyAlignment="1" pivotButton="0" quotePrefix="0" xfId="0">
      <alignment horizontal="center" vertical="center"/>
    </xf>
    <xf numFmtId="3" fontId="150" fillId="2" borderId="75" applyAlignment="1" pivotButton="0" quotePrefix="0" xfId="0">
      <alignment horizontal="center" vertical="center"/>
    </xf>
    <xf numFmtId="0" fontId="283" fillId="36" borderId="77" applyAlignment="1" pivotButton="0" quotePrefix="0" xfId="0">
      <alignment horizontal="center" vertical="center"/>
    </xf>
    <xf numFmtId="0" fontId="283" fillId="36" borderId="75" applyAlignment="1" pivotButton="0" quotePrefix="0" xfId="0">
      <alignment horizontal="center" vertical="center"/>
    </xf>
    <xf numFmtId="0" fontId="260" fillId="36" borderId="77" applyAlignment="1" pivotButton="0" quotePrefix="0" xfId="0">
      <alignment horizontal="center" vertical="center"/>
    </xf>
    <xf numFmtId="0" fontId="260" fillId="36" borderId="75" applyAlignment="1" pivotButton="0" quotePrefix="0" xfId="0">
      <alignment horizontal="center" vertical="center"/>
    </xf>
    <xf numFmtId="0" fontId="278" fillId="36" borderId="0" applyAlignment="1" pivotButton="0" quotePrefix="0" xfId="0">
      <alignment horizontal="center" vertical="center"/>
    </xf>
    <xf numFmtId="0" fontId="278" fillId="36" borderId="140" applyAlignment="1" pivotButton="0" quotePrefix="0" xfId="0">
      <alignment horizontal="center" vertical="center"/>
    </xf>
    <xf numFmtId="3" fontId="150" fillId="2" borderId="69" applyAlignment="1" pivotButton="0" quotePrefix="0" xfId="0">
      <alignment horizontal="center" vertical="center"/>
    </xf>
    <xf numFmtId="3" fontId="150" fillId="2" borderId="68" applyAlignment="1" pivotButton="0" quotePrefix="0" xfId="0">
      <alignment horizontal="center" vertical="center"/>
    </xf>
    <xf numFmtId="3" fontId="150" fillId="22" borderId="69" applyAlignment="1" pivotButton="0" quotePrefix="0" xfId="0">
      <alignment horizontal="center" vertical="center"/>
    </xf>
    <xf numFmtId="3" fontId="150" fillId="22" borderId="68" applyAlignment="1" pivotButton="0" quotePrefix="0" xfId="0">
      <alignment horizontal="center" vertical="center"/>
    </xf>
    <xf numFmtId="3" fontId="160" fillId="48" borderId="71" applyAlignment="1" pivotButton="0" quotePrefix="0" xfId="0">
      <alignment horizontal="center" vertical="center"/>
    </xf>
    <xf numFmtId="3" fontId="160" fillId="48" borderId="70" applyAlignment="1" pivotButton="0" quotePrefix="0" xfId="0">
      <alignment horizontal="center" vertical="center"/>
    </xf>
    <xf numFmtId="3" fontId="150" fillId="42" borderId="67" applyAlignment="1" pivotButton="0" quotePrefix="0" xfId="0">
      <alignment horizontal="center" vertical="center"/>
    </xf>
    <xf numFmtId="3" fontId="150" fillId="42" borderId="66" applyAlignment="1" pivotButton="0" quotePrefix="0" xfId="0">
      <alignment horizontal="center" vertical="center"/>
    </xf>
    <xf numFmtId="0" fontId="273" fillId="22" borderId="73" applyAlignment="1" pivotButton="0" quotePrefix="0" xfId="0">
      <alignment horizontal="center" vertical="center" wrapText="1"/>
    </xf>
    <xf numFmtId="0" fontId="316" fillId="0" borderId="0" applyAlignment="1" pivotButton="0" quotePrefix="0" xfId="0">
      <alignment horizontal="center"/>
    </xf>
    <xf numFmtId="0" fontId="137" fillId="22" borderId="0" applyAlignment="1" pivotButton="0" quotePrefix="0" xfId="0">
      <alignment horizontal="left" vertical="center" wrapText="1"/>
    </xf>
    <xf numFmtId="0" fontId="0" fillId="0" borderId="63" applyProtection="1" pivotButton="0" quotePrefix="0" xfId="0">
      <protection locked="0" hidden="0"/>
    </xf>
    <xf numFmtId="0" fontId="0" fillId="0" borderId="64" applyProtection="1" pivotButton="0" quotePrefix="0" xfId="0">
      <protection locked="0" hidden="0"/>
    </xf>
    <xf numFmtId="165" fontId="164" fillId="22" borderId="64" applyAlignment="1" applyProtection="1" pivotButton="0" quotePrefix="0" xfId="4">
      <alignment horizontal="center" vertical="center" wrapText="1"/>
      <protection locked="0" hidden="0"/>
    </xf>
    <xf numFmtId="0" fontId="0" fillId="0" borderId="65" applyProtection="1" pivotButton="0" quotePrefix="0" xfId="0">
      <protection locked="0" hidden="0"/>
    </xf>
    <xf numFmtId="182" fontId="205" fillId="12" borderId="0" applyAlignment="1" pivotButton="0" quotePrefix="0" xfId="0">
      <alignment horizontal="center" vertical="top" wrapText="1"/>
    </xf>
    <xf numFmtId="0" fontId="74" fillId="32" borderId="61" applyAlignment="1" pivotButton="0" quotePrefix="0" xfId="0">
      <alignment horizontal="left" wrapText="1"/>
    </xf>
    <xf numFmtId="0" fontId="0" fillId="0" borderId="15" pivotButton="0" quotePrefix="0" xfId="0"/>
    <xf numFmtId="0" fontId="0" fillId="0" borderId="25" pivotButton="0" quotePrefix="0" xfId="0"/>
    <xf numFmtId="168" fontId="69" fillId="2" borderId="0" applyAlignment="1" pivotButton="0" quotePrefix="0" xfId="0">
      <alignment horizontal="center"/>
    </xf>
    <xf numFmtId="168" fontId="69" fillId="2" borderId="7" applyAlignment="1" pivotButton="0" quotePrefix="0" xfId="0">
      <alignment horizontal="center"/>
    </xf>
    <xf numFmtId="168" fontId="69" fillId="2" borderId="8" applyAlignment="1" pivotButton="0" quotePrefix="0" xfId="0">
      <alignment horizontal="center"/>
    </xf>
    <xf numFmtId="168" fontId="69" fillId="2" borderId="21" applyAlignment="1" pivotButton="0" quotePrefix="0" xfId="0">
      <alignment horizontal="center"/>
    </xf>
    <xf numFmtId="168" fontId="69" fillId="2" borderId="9" applyAlignment="1" pivotButton="0" quotePrefix="0" xfId="0">
      <alignment horizontal="center"/>
    </xf>
    <xf numFmtId="168" fontId="69" fillId="2" borderId="89" applyAlignment="1" pivotButton="0" quotePrefix="0" xfId="0">
      <alignment horizontal="center"/>
    </xf>
    <xf numFmtId="168" fontId="69" fillId="2" borderId="73" applyAlignment="1" pivotButton="0" quotePrefix="0" xfId="0">
      <alignment horizontal="center"/>
    </xf>
    <xf numFmtId="168" fontId="69" fillId="2" borderId="94" applyAlignment="1" pivotButton="0" quotePrefix="0" xfId="0">
      <alignment horizontal="center"/>
    </xf>
    <xf numFmtId="172" fontId="70" fillId="2" borderId="126" applyAlignment="1" pivotButton="0" quotePrefix="0" xfId="0">
      <alignment horizontal="center" vertical="center" wrapText="1"/>
    </xf>
    <xf numFmtId="172" fontId="70" fillId="2" borderId="89" applyAlignment="1" pivotButton="0" quotePrefix="0" xfId="0">
      <alignment horizontal="center" vertical="center" wrapText="1"/>
    </xf>
    <xf numFmtId="172" fontId="70" fillId="2" borderId="127" applyAlignment="1" pivotButton="0" quotePrefix="0" xfId="0">
      <alignment horizontal="center" vertical="center" wrapText="1"/>
    </xf>
    <xf numFmtId="172" fontId="70" fillId="2" borderId="68" applyAlignment="1" pivotButton="0" quotePrefix="0" xfId="0">
      <alignment horizontal="center" vertical="center" wrapText="1"/>
    </xf>
    <xf numFmtId="172" fontId="70" fillId="2" borderId="73" applyAlignment="1" pivotButton="0" quotePrefix="0" xfId="0">
      <alignment horizontal="center" vertical="center" wrapText="1"/>
    </xf>
    <xf numFmtId="172" fontId="56" fillId="2" borderId="134" applyAlignment="1" pivotButton="0" quotePrefix="0" xfId="0">
      <alignment horizontal="center" vertical="center" wrapText="1"/>
    </xf>
    <xf numFmtId="172" fontId="56" fillId="2" borderId="135" applyAlignment="1" pivotButton="0" quotePrefix="0" xfId="0">
      <alignment horizontal="center" vertical="center" wrapText="1"/>
    </xf>
    <xf numFmtId="172" fontId="56" fillId="2" borderId="136" applyAlignment="1" pivotButton="0" quotePrefix="0" xfId="0">
      <alignment horizontal="center" vertical="center" wrapText="1"/>
    </xf>
    <xf numFmtId="172" fontId="69" fillId="0" borderId="0" pivotButton="0" quotePrefix="0" xfId="0"/>
    <xf numFmtId="168" fontId="89" fillId="19" borderId="0" applyAlignment="1" pivotButton="0" quotePrefix="0" xfId="0">
      <alignment horizontal="center"/>
    </xf>
    <xf numFmtId="168" fontId="0" fillId="2" borderId="0" applyAlignment="1" pivotButton="0" quotePrefix="0" xfId="0">
      <alignment horizontal="center"/>
    </xf>
    <xf numFmtId="168" fontId="0" fillId="22" borderId="0" applyAlignment="1" pivotButton="0" quotePrefix="0" xfId="0">
      <alignment horizontal="left"/>
    </xf>
    <xf numFmtId="168" fontId="0" fillId="2" borderId="72" applyAlignment="1" pivotButton="0" quotePrefix="0" xfId="0">
      <alignment horizontal="center"/>
    </xf>
    <xf numFmtId="168" fontId="161" fillId="22" borderId="0" applyAlignment="1" applyProtection="1" pivotButton="0" quotePrefix="0" xfId="0">
      <alignment horizontal="center" vertical="center"/>
      <protection locked="0" hidden="0"/>
    </xf>
    <xf numFmtId="168" fontId="150" fillId="22" borderId="0" applyAlignment="1" applyProtection="1" pivotButton="0" quotePrefix="0" xfId="0">
      <alignment horizontal="center" vertical="center" wrapText="1"/>
      <protection locked="0" hidden="0"/>
    </xf>
    <xf numFmtId="168" fontId="150" fillId="22" borderId="0" applyAlignment="1" applyProtection="1" pivotButton="0" quotePrefix="0" xfId="0">
      <alignment horizontal="center" vertical="top"/>
      <protection locked="0" hidden="0"/>
    </xf>
    <xf numFmtId="168" fontId="161" fillId="10" borderId="0" applyAlignment="1" pivotButton="0" quotePrefix="0" xfId="0">
      <alignment horizontal="center" vertical="center"/>
    </xf>
    <xf numFmtId="168" fontId="150" fillId="10" borderId="0" applyAlignment="1" pivotButton="0" quotePrefix="0" xfId="0">
      <alignment horizontal="center" vertical="center" wrapText="1"/>
    </xf>
    <xf numFmtId="168" fontId="150" fillId="10" borderId="0" applyAlignment="1" pivotButton="0" quotePrefix="0" xfId="0">
      <alignment horizontal="center" vertical="top"/>
    </xf>
    <xf numFmtId="168" fontId="150" fillId="10" borderId="0" applyAlignment="1" pivotButton="0" quotePrefix="0" xfId="0">
      <alignment horizontal="center"/>
    </xf>
    <xf numFmtId="168" fontId="161" fillId="22" borderId="0" applyAlignment="1" applyProtection="1" pivotButton="0" quotePrefix="0" xfId="0">
      <alignment horizontal="center" vertical="top"/>
      <protection locked="0" hidden="0"/>
    </xf>
    <xf numFmtId="168" fontId="161" fillId="10" borderId="0" applyAlignment="1" pivotButton="0" quotePrefix="0" xfId="0">
      <alignment horizontal="center" vertical="top"/>
    </xf>
    <xf numFmtId="166" fontId="0" fillId="0" borderId="0" pivotButton="0" quotePrefix="0" xfId="0"/>
    <xf numFmtId="165" fontId="0" fillId="0" borderId="0" pivotButton="0" quotePrefix="0" xfId="4"/>
    <xf numFmtId="166" fontId="97" fillId="11" borderId="8" pivotButton="0" quotePrefix="0" xfId="0"/>
    <xf numFmtId="166" fontId="10" fillId="25" borderId="8" applyAlignment="1" pivotButton="0" quotePrefix="0" xfId="0">
      <alignment horizontal="center"/>
    </xf>
    <xf numFmtId="166" fontId="10" fillId="21" borderId="8" applyAlignment="1" pivotButton="0" quotePrefix="0" xfId="0">
      <alignment horizontal="center"/>
    </xf>
    <xf numFmtId="166" fontId="10" fillId="2" borderId="8" applyAlignment="1" pivotButton="0" quotePrefix="0" xfId="0">
      <alignment horizontal="center"/>
    </xf>
    <xf numFmtId="166" fontId="0" fillId="2" borderId="2" applyAlignment="1" pivotButton="0" quotePrefix="0" xfId="0">
      <alignment horizontal="center" vertical="center" wrapText="1"/>
    </xf>
    <xf numFmtId="166" fontId="10" fillId="2" borderId="7" applyAlignment="1" pivotButton="0" quotePrefix="0" xfId="0">
      <alignment horizontal="left"/>
    </xf>
    <xf numFmtId="166" fontId="0" fillId="2" borderId="4" applyAlignment="1" pivotButton="0" quotePrefix="0" xfId="0">
      <alignment horizontal="center" vertical="center" wrapText="1"/>
    </xf>
    <xf numFmtId="166" fontId="10" fillId="2" borderId="8" applyAlignment="1" pivotButton="0" quotePrefix="0" xfId="0">
      <alignment horizontal="left"/>
    </xf>
    <xf numFmtId="166" fontId="0" fillId="2" borderId="6" applyAlignment="1" pivotButton="0" quotePrefix="0" xfId="0">
      <alignment horizontal="center" vertical="center" wrapText="1"/>
    </xf>
    <xf numFmtId="166" fontId="10" fillId="2" borderId="9" applyAlignment="1" pivotButton="0" quotePrefix="0" xfId="0">
      <alignment horizontal="left"/>
    </xf>
    <xf numFmtId="165" fontId="102" fillId="2" borderId="0" applyAlignment="1" pivotButton="0" quotePrefix="0" xfId="4">
      <alignment horizontal="center"/>
    </xf>
    <xf numFmtId="165" fontId="102" fillId="2" borderId="0" pivotButton="0" quotePrefix="0" xfId="4"/>
    <xf numFmtId="165" fontId="0" fillId="0" borderId="0" pivotButton="0" quotePrefix="0" xfId="0"/>
    <xf numFmtId="165" fontId="9" fillId="0" borderId="0" pivotButton="0" quotePrefix="0" xfId="4"/>
    <xf numFmtId="173" fontId="9" fillId="0" borderId="0" pivotButton="0" quotePrefix="0" xfId="0"/>
    <xf numFmtId="165" fontId="9" fillId="0" borderId="0" pivotButton="0" quotePrefix="0" xfId="0"/>
    <xf numFmtId="174" fontId="9" fillId="0" borderId="0" pivotButton="0" quotePrefix="0" xfId="4"/>
    <xf numFmtId="168" fontId="161" fillId="10" borderId="0" applyAlignment="1" pivotButton="0" quotePrefix="0" xfId="0">
      <alignment horizontal="center"/>
    </xf>
    <xf numFmtId="168" fontId="150" fillId="22" borderId="58" applyProtection="1" pivotButton="0" quotePrefix="0" xfId="0">
      <protection locked="0" hidden="0"/>
    </xf>
    <xf numFmtId="168" fontId="150" fillId="22" borderId="112" applyProtection="1" pivotButton="0" quotePrefix="0" xfId="0">
      <protection locked="0" hidden="0"/>
    </xf>
    <xf numFmtId="168" fontId="150" fillId="22" borderId="113" applyProtection="1" pivotButton="0" quotePrefix="0" xfId="0">
      <protection locked="0" hidden="0"/>
    </xf>
    <xf numFmtId="0" fontId="69" fillId="37" borderId="8" applyAlignment="1" pivotButton="0" quotePrefix="0" xfId="0">
      <alignment horizontal="center" vertical="center"/>
    </xf>
    <xf numFmtId="0" fontId="69" fillId="17" borderId="8" applyAlignment="1" pivotButton="0" quotePrefix="0" xfId="0">
      <alignment horizontal="center" vertical="center"/>
    </xf>
    <xf numFmtId="164" fontId="69" fillId="15" borderId="8" applyAlignment="1" pivotButton="0" quotePrefix="0" xfId="0">
      <alignment horizontal="center" vertical="center"/>
    </xf>
    <xf numFmtId="0" fontId="69" fillId="16" borderId="8" applyAlignment="1" pivotButton="0" quotePrefix="0" xfId="0">
      <alignment horizontal="center" vertical="center"/>
    </xf>
    <xf numFmtId="168" fontId="243" fillId="36" borderId="0" applyAlignment="1" pivotButton="0" quotePrefix="0" xfId="0">
      <alignment horizontal="center"/>
    </xf>
    <xf numFmtId="168" fontId="82" fillId="36" borderId="0" applyAlignment="1" pivotButton="0" quotePrefix="0" xfId="0">
      <alignment horizontal="center"/>
    </xf>
    <xf numFmtId="168" fontId="243" fillId="11" borderId="13" applyAlignment="1" pivotButton="0" quotePrefix="0" xfId="0">
      <alignment horizontal="center"/>
    </xf>
    <xf numFmtId="168" fontId="243" fillId="11" borderId="10" applyAlignment="1" pivotButton="0" quotePrefix="0" xfId="0">
      <alignment horizontal="center"/>
    </xf>
    <xf numFmtId="168" fontId="72" fillId="25" borderId="8" applyAlignment="1" pivotButton="0" quotePrefix="0" xfId="0">
      <alignment horizontal="center"/>
    </xf>
    <xf numFmtId="168" fontId="72" fillId="21" borderId="8" applyAlignment="1" pivotButton="0" quotePrefix="0" xfId="0">
      <alignment horizontal="center"/>
    </xf>
    <xf numFmtId="168" fontId="82" fillId="36" borderId="21" applyAlignment="1" pivotButton="0" quotePrefix="0" xfId="0">
      <alignment horizontal="center"/>
    </xf>
    <xf numFmtId="168" fontId="72" fillId="12" borderId="8" applyAlignment="1" pivotButton="0" quotePrefix="0" xfId="0">
      <alignment horizontal="center"/>
    </xf>
    <xf numFmtId="168" fontId="77" fillId="36" borderId="11" applyAlignment="1" pivotButton="0" quotePrefix="0" xfId="0">
      <alignment horizontal="center" vertical="center"/>
    </xf>
    <xf numFmtId="168" fontId="69" fillId="2" borderId="11" applyAlignment="1" pivotButton="0" quotePrefix="0" xfId="0">
      <alignment horizontal="center"/>
    </xf>
    <xf numFmtId="168" fontId="69" fillId="2" borderId="126" applyAlignment="1" pivotButton="0" quotePrefix="0" xfId="0">
      <alignment horizontal="center" vertical="center"/>
    </xf>
    <xf numFmtId="168" fontId="69" fillId="2" borderId="127" applyAlignment="1" pivotButton="0" quotePrefix="0" xfId="0">
      <alignment horizontal="center" vertical="center"/>
    </xf>
    <xf numFmtId="166" fontId="69" fillId="2" borderId="11" applyAlignment="1" pivotButton="0" quotePrefix="0" xfId="0">
      <alignment horizontal="center"/>
    </xf>
    <xf numFmtId="168" fontId="77" fillId="36" borderId="0" applyAlignment="1" pivotButton="0" quotePrefix="0" xfId="0">
      <alignment horizontal="center" vertical="center"/>
    </xf>
    <xf numFmtId="168" fontId="69" fillId="2" borderId="68" applyAlignment="1" pivotButton="0" quotePrefix="0" xfId="0">
      <alignment horizontal="center" vertical="center"/>
    </xf>
    <xf numFmtId="168" fontId="69" fillId="2" borderId="69" applyAlignment="1" pivotButton="0" quotePrefix="0" xfId="0">
      <alignment horizontal="center" vertical="center"/>
    </xf>
    <xf numFmtId="166" fontId="69" fillId="2" borderId="0" applyAlignment="1" pivotButton="0" quotePrefix="0" xfId="0">
      <alignment horizontal="center"/>
    </xf>
    <xf numFmtId="168" fontId="69" fillId="2" borderId="70" applyAlignment="1" pivotButton="0" quotePrefix="0" xfId="0">
      <alignment horizontal="center" vertical="center"/>
    </xf>
    <xf numFmtId="168" fontId="69" fillId="2" borderId="71" applyAlignment="1" pivotButton="0" quotePrefix="0" xfId="0">
      <alignment horizontal="center" vertical="center"/>
    </xf>
    <xf numFmtId="168" fontId="77" fillId="19" borderId="0" applyAlignment="1" pivotButton="0" quotePrefix="0" xfId="0">
      <alignment horizontal="center"/>
    </xf>
    <xf numFmtId="170" fontId="69" fillId="22" borderId="0" pivotButton="0" quotePrefix="0" xfId="0"/>
    <xf numFmtId="170" fontId="77" fillId="19" borderId="0" applyAlignment="1" pivotButton="0" quotePrefix="0" xfId="0">
      <alignment horizontal="center"/>
    </xf>
    <xf numFmtId="166" fontId="69" fillId="2" borderId="66" applyAlignment="1" pivotButton="0" quotePrefix="0" xfId="0">
      <alignment horizontal="center"/>
    </xf>
    <xf numFmtId="170" fontId="69" fillId="2" borderId="73" applyAlignment="1" pivotButton="0" quotePrefix="0" xfId="0">
      <alignment horizontal="center"/>
    </xf>
    <xf numFmtId="168" fontId="161" fillId="22" borderId="128" applyAlignment="1" applyProtection="1" pivotButton="0" quotePrefix="0" xfId="0">
      <alignment horizontal="center" vertical="center"/>
      <protection locked="0" hidden="0"/>
    </xf>
    <xf numFmtId="168" fontId="0" fillId="22" borderId="0" applyAlignment="1" pivotButton="0" quotePrefix="0" xfId="0">
      <alignment horizontal="center"/>
    </xf>
    <xf numFmtId="168" fontId="89" fillId="22" borderId="0" applyAlignment="1" pivotButton="0" quotePrefix="0" xfId="0">
      <alignment horizontal="center"/>
    </xf>
    <xf numFmtId="168" fontId="0" fillId="2" borderId="73" applyAlignment="1" pivotButton="0" quotePrefix="0" xfId="0">
      <alignment horizontal="center"/>
    </xf>
    <xf numFmtId="168" fontId="0" fillId="2" borderId="74" applyAlignment="1" pivotButton="0" quotePrefix="0" xfId="0">
      <alignment horizontal="center"/>
    </xf>
    <xf numFmtId="168" fontId="150" fillId="10" borderId="0" applyAlignment="1" pivotButton="0" quotePrefix="0" xfId="0">
      <alignment horizontal="center" vertical="center"/>
    </xf>
    <xf numFmtId="168" fontId="150" fillId="22" borderId="0" applyAlignment="1" applyProtection="1" pivotButton="0" quotePrefix="0" xfId="0">
      <alignment horizontal="center" vertical="center"/>
      <protection locked="0" hidden="0"/>
    </xf>
    <xf numFmtId="0" fontId="0" fillId="0" borderId="78" applyProtection="1" pivotButton="0" quotePrefix="0" xfId="0">
      <protection locked="0" hidden="0"/>
    </xf>
    <xf numFmtId="168" fontId="150" fillId="22" borderId="0" applyAlignment="1" pivotButton="0" quotePrefix="0" xfId="0">
      <alignment horizontal="center" vertical="center"/>
    </xf>
    <xf numFmtId="170" fontId="150" fillId="10" borderId="0" applyAlignment="1" pivotButton="0" quotePrefix="0" xfId="0">
      <alignment horizontal="center" vertical="center"/>
    </xf>
    <xf numFmtId="168" fontId="70" fillId="22" borderId="0" applyAlignment="1" pivotButton="0" quotePrefix="0" xfId="0">
      <alignment horizontal="center"/>
    </xf>
    <xf numFmtId="168" fontId="69" fillId="2" borderId="72" applyAlignment="1" pivotButton="0" quotePrefix="0" xfId="0">
      <alignment horizontal="center"/>
    </xf>
    <xf numFmtId="168" fontId="69" fillId="2" borderId="74" applyAlignment="1" pivotButton="0" quotePrefix="0" xfId="0">
      <alignment horizontal="center"/>
    </xf>
    <xf numFmtId="168" fontId="69" fillId="22" borderId="0" applyAlignment="1" pivotButton="0" quotePrefix="0" xfId="0">
      <alignment horizontal="center"/>
    </xf>
    <xf numFmtId="168" fontId="69" fillId="22" borderId="66" applyAlignment="1" pivotButton="0" quotePrefix="0" xfId="0">
      <alignment horizontal="center"/>
    </xf>
    <xf numFmtId="168" fontId="69" fillId="22" borderId="79" applyAlignment="1" pivotButton="0" quotePrefix="0" xfId="0">
      <alignment horizontal="center"/>
    </xf>
    <xf numFmtId="168" fontId="70" fillId="28" borderId="0" applyAlignment="1" pivotButton="0" quotePrefix="0" xfId="0">
      <alignment horizontal="center"/>
    </xf>
    <xf numFmtId="168" fontId="69" fillId="28" borderId="0" pivotButton="0" quotePrefix="0" xfId="0"/>
    <xf numFmtId="166" fontId="77" fillId="19" borderId="0" applyAlignment="1" pivotButton="0" quotePrefix="0" xfId="0">
      <alignment horizontal="center"/>
    </xf>
    <xf numFmtId="166" fontId="69" fillId="22" borderId="4" applyAlignment="1" pivotButton="0" quotePrefix="0" xfId="0">
      <alignment horizontal="center"/>
    </xf>
    <xf numFmtId="166" fontId="0" fillId="6" borderId="7" applyAlignment="1" pivotButton="0" quotePrefix="0" xfId="0">
      <alignment horizontal="right"/>
    </xf>
    <xf numFmtId="0" fontId="3" fillId="10" borderId="10" applyAlignment="1" pivotButton="0" quotePrefix="0" xfId="0">
      <alignment horizontal="left" vertical="top" wrapText="1"/>
    </xf>
    <xf numFmtId="0" fontId="0" fillId="0" borderId="13" pivotButton="0" quotePrefix="0" xfId="0"/>
    <xf numFmtId="0" fontId="9" fillId="6" borderId="10" applyAlignment="1" pivotButton="0" quotePrefix="0" xfId="0">
      <alignment horizontal="left"/>
    </xf>
    <xf numFmtId="168" fontId="0" fillId="6" borderId="0" pivotButton="0" quotePrefix="0" xfId="0"/>
    <xf numFmtId="168" fontId="4" fillId="6" borderId="7" applyAlignment="1" pivotButton="0" quotePrefix="0" xfId="2">
      <alignment horizontal="left"/>
    </xf>
    <xf numFmtId="168" fontId="37" fillId="6" borderId="7" applyAlignment="1" pivotButton="0" quotePrefix="0" xfId="0">
      <alignment horizontal="center"/>
    </xf>
    <xf numFmtId="168" fontId="0" fillId="11" borderId="0" pivotButton="0" quotePrefix="0" xfId="0"/>
    <xf numFmtId="168" fontId="0" fillId="6" borderId="7" applyAlignment="1" pivotButton="0" quotePrefix="0" xfId="0">
      <alignment horizontal="center"/>
    </xf>
    <xf numFmtId="168" fontId="9" fillId="6" borderId="7" applyAlignment="1" pivotButton="0" quotePrefix="0" xfId="0">
      <alignment horizontal="center"/>
    </xf>
    <xf numFmtId="168" fontId="9" fillId="11" borderId="7" applyAlignment="1" pivotButton="0" quotePrefix="0" xfId="0">
      <alignment horizontal="center"/>
    </xf>
    <xf numFmtId="168" fontId="4" fillId="6" borderId="8" applyAlignment="1" pivotButton="0" quotePrefix="0" xfId="2">
      <alignment horizontal="left"/>
    </xf>
    <xf numFmtId="168" fontId="37" fillId="6" borderId="8" applyAlignment="1" pivotButton="0" quotePrefix="0" xfId="0">
      <alignment horizontal="center"/>
    </xf>
    <xf numFmtId="168" fontId="0" fillId="6" borderId="8" applyAlignment="1" pivotButton="0" quotePrefix="0" xfId="0">
      <alignment horizontal="center"/>
    </xf>
    <xf numFmtId="168" fontId="9" fillId="6" borderId="8" applyAlignment="1" pivotButton="0" quotePrefix="0" xfId="0">
      <alignment horizontal="center"/>
    </xf>
    <xf numFmtId="168" fontId="9" fillId="11" borderId="8" applyAlignment="1" pivotButton="0" quotePrefix="0" xfId="0">
      <alignment horizontal="center"/>
    </xf>
    <xf numFmtId="168" fontId="0" fillId="11" borderId="8" applyAlignment="1" pivotButton="0" quotePrefix="0" xfId="0">
      <alignment horizontal="center"/>
    </xf>
    <xf numFmtId="168" fontId="10" fillId="6" borderId="8" pivotButton="0" quotePrefix="0" xfId="0"/>
    <xf numFmtId="170" fontId="0" fillId="6" borderId="0" pivotButton="0" quotePrefix="0" xfId="0"/>
    <xf numFmtId="170" fontId="4" fillId="6" borderId="7" applyAlignment="1" pivotButton="0" quotePrefix="0" xfId="2">
      <alignment horizontal="left"/>
    </xf>
    <xf numFmtId="170" fontId="0" fillId="6" borderId="7" applyAlignment="1" pivotButton="0" quotePrefix="0" xfId="0">
      <alignment horizontal="center"/>
    </xf>
    <xf numFmtId="170" fontId="9" fillId="6" borderId="7" applyAlignment="1" pivotButton="0" quotePrefix="0" xfId="0">
      <alignment horizontal="center"/>
    </xf>
    <xf numFmtId="170" fontId="9" fillId="6" borderId="1" applyAlignment="1" pivotButton="0" quotePrefix="0" xfId="0">
      <alignment horizontal="center"/>
    </xf>
    <xf numFmtId="170" fontId="37" fillId="6" borderId="1" applyAlignment="1" pivotButton="0" quotePrefix="0" xfId="0">
      <alignment horizontal="center"/>
    </xf>
    <xf numFmtId="170" fontId="37" fillId="6" borderId="7" applyAlignment="1" pivotButton="0" quotePrefix="0" xfId="0">
      <alignment horizontal="center"/>
    </xf>
    <xf numFmtId="170" fontId="0" fillId="11" borderId="7" pivotButton="0" quotePrefix="0" xfId="0"/>
    <xf numFmtId="170" fontId="9" fillId="11" borderId="7" applyAlignment="1" pivotButton="0" quotePrefix="0" xfId="0">
      <alignment horizontal="center"/>
    </xf>
    <xf numFmtId="170" fontId="4" fillId="6" borderId="8" applyAlignment="1" pivotButton="0" quotePrefix="0" xfId="2">
      <alignment horizontal="left"/>
    </xf>
    <xf numFmtId="170" fontId="0" fillId="6" borderId="8" applyAlignment="1" pivotButton="0" quotePrefix="0" xfId="0">
      <alignment horizontal="center"/>
    </xf>
    <xf numFmtId="170" fontId="9" fillId="6" borderId="8" applyAlignment="1" pivotButton="0" quotePrefix="0" xfId="0">
      <alignment horizontal="center"/>
    </xf>
    <xf numFmtId="170" fontId="9" fillId="6" borderId="3" applyAlignment="1" pivotButton="0" quotePrefix="0" xfId="0">
      <alignment horizontal="center"/>
    </xf>
    <xf numFmtId="170" fontId="37" fillId="6" borderId="3" applyAlignment="1" pivotButton="0" quotePrefix="0" xfId="0">
      <alignment horizontal="center"/>
    </xf>
    <xf numFmtId="170" fontId="37" fillId="6" borderId="8" applyAlignment="1" pivotButton="0" quotePrefix="0" xfId="0">
      <alignment horizontal="center"/>
    </xf>
    <xf numFmtId="170" fontId="0" fillId="11" borderId="8" pivotButton="0" quotePrefix="0" xfId="0"/>
    <xf numFmtId="170" fontId="9" fillId="11" borderId="8" applyAlignment="1" pivotButton="0" quotePrefix="0" xfId="0">
      <alignment horizontal="center"/>
    </xf>
    <xf numFmtId="170" fontId="37" fillId="44" borderId="8" applyAlignment="1" pivotButton="0" quotePrefix="0" xfId="0">
      <alignment horizontal="center"/>
    </xf>
    <xf numFmtId="170" fontId="37" fillId="2" borderId="8" applyAlignment="1" pivotButton="0" quotePrefix="0" xfId="0">
      <alignment horizontal="center"/>
    </xf>
    <xf numFmtId="170" fontId="37" fillId="2" borderId="3" applyAlignment="1" pivotButton="0" quotePrefix="0" xfId="0">
      <alignment horizontal="center"/>
    </xf>
    <xf numFmtId="170" fontId="0" fillId="44" borderId="8" applyAlignment="1" pivotButton="0" quotePrefix="0" xfId="0">
      <alignment horizontal="center"/>
    </xf>
    <xf numFmtId="170" fontId="0" fillId="11" borderId="8" applyAlignment="1" pivotButton="0" quotePrefix="0" xfId="0">
      <alignment horizontal="center"/>
    </xf>
    <xf numFmtId="170" fontId="10" fillId="6" borderId="8" pivotButton="0" quotePrefix="0" xfId="0"/>
    <xf numFmtId="166" fontId="9" fillId="6" borderId="10" applyAlignment="1" pivotButton="0" quotePrefix="0" xfId="0">
      <alignment horizontal="center"/>
    </xf>
    <xf numFmtId="166" fontId="0" fillId="6" borderId="10" applyAlignment="1" pivotButton="0" quotePrefix="0" xfId="0">
      <alignment horizontal="center"/>
    </xf>
    <xf numFmtId="166" fontId="37" fillId="6" borderId="7" applyAlignment="1" pivotButton="0" quotePrefix="0" xfId="0">
      <alignment horizontal="center"/>
    </xf>
    <xf numFmtId="166" fontId="37" fillId="6" borderId="8" applyAlignment="1" pivotButton="0" quotePrefix="0" xfId="0">
      <alignment horizontal="center"/>
    </xf>
    <xf numFmtId="166" fontId="37" fillId="6" borderId="9" applyAlignment="1" pivotButton="0" quotePrefix="0" xfId="0">
      <alignment horizontal="center"/>
    </xf>
    <xf numFmtId="168" fontId="150" fillId="22" borderId="0" applyAlignment="1" applyProtection="1" pivotButton="0" quotePrefix="0" xfId="0">
      <alignment horizontal="center"/>
      <protection locked="0" hidden="0"/>
    </xf>
    <xf numFmtId="168" fontId="160" fillId="10" borderId="0" applyAlignment="1" pivotButton="0" quotePrefix="0" xfId="0">
      <alignment horizontal="center" vertical="center"/>
    </xf>
    <xf numFmtId="168" fontId="82" fillId="19" borderId="0" applyAlignment="1" pivotButton="0" quotePrefix="0" xfId="0">
      <alignment horizontal="center" vertical="center"/>
    </xf>
    <xf numFmtId="168" fontId="72" fillId="2" borderId="0" applyAlignment="1" pivotButton="0" quotePrefix="0" xfId="0">
      <alignment horizontal="center"/>
    </xf>
    <xf numFmtId="168" fontId="82" fillId="19" borderId="79" applyAlignment="1" pivotButton="0" quotePrefix="0" xfId="0">
      <alignment horizontal="center"/>
    </xf>
    <xf numFmtId="168" fontId="82" fillId="19" borderId="118" applyAlignment="1" pivotButton="0" quotePrefix="0" xfId="0">
      <alignment horizontal="center"/>
    </xf>
    <xf numFmtId="168" fontId="82" fillId="19" borderId="119" applyAlignment="1" pivotButton="0" quotePrefix="0" xfId="0">
      <alignment horizontal="center"/>
    </xf>
    <xf numFmtId="168" fontId="72" fillId="2" borderId="66" applyAlignment="1" pivotButton="0" quotePrefix="0" xfId="0">
      <alignment horizontal="center"/>
    </xf>
    <xf numFmtId="0" fontId="0" fillId="0" borderId="120" applyProtection="1" pivotButton="0" quotePrefix="0" xfId="0">
      <protection locked="0" hidden="0"/>
    </xf>
    <xf numFmtId="0" fontId="0" fillId="0" borderId="121" applyProtection="1" pivotButton="0" quotePrefix="0" xfId="0">
      <protection locked="0" hidden="0"/>
    </xf>
    <xf numFmtId="168" fontId="99" fillId="29" borderId="0" applyAlignment="1" pivotButton="0" quotePrefix="0" xfId="0">
      <alignment horizontal="center" vertical="center"/>
    </xf>
    <xf numFmtId="168" fontId="0" fillId="13" borderId="72" applyAlignment="1" pivotButton="0" quotePrefix="0" xfId="0">
      <alignment horizontal="center"/>
    </xf>
    <xf numFmtId="170" fontId="150" fillId="10" borderId="0" applyAlignment="1" pivotButton="0" quotePrefix="0" xfId="0">
      <alignment horizontal="center"/>
    </xf>
    <xf numFmtId="170" fontId="161" fillId="22" borderId="0" applyAlignment="1" applyProtection="1" pivotButton="0" quotePrefix="0" xfId="0">
      <alignment horizontal="center"/>
      <protection locked="0" hidden="0"/>
    </xf>
    <xf numFmtId="170" fontId="161" fillId="22" borderId="0" applyAlignment="1" applyProtection="1" pivotButton="0" quotePrefix="0" xfId="0">
      <alignment horizontal="center" vertical="center"/>
      <protection locked="0" hidden="0"/>
    </xf>
    <xf numFmtId="170" fontId="164" fillId="22" borderId="0" applyAlignment="1" applyProtection="1" pivotButton="0" quotePrefix="0" xfId="0">
      <alignment horizontal="center" vertical="center"/>
      <protection locked="0" hidden="0"/>
    </xf>
    <xf numFmtId="170" fontId="161" fillId="10" borderId="0" applyAlignment="1" pivotButton="0" quotePrefix="0" xfId="0">
      <alignment horizontal="center" vertical="top"/>
    </xf>
    <xf numFmtId="166" fontId="161" fillId="22" borderId="0" applyAlignment="1" applyProtection="1" pivotButton="0" quotePrefix="0" xfId="0">
      <alignment horizontal="center" vertical="center"/>
      <protection locked="0" hidden="0"/>
    </xf>
    <xf numFmtId="166" fontId="150" fillId="10" borderId="0" applyAlignment="1" pivotButton="0" quotePrefix="0" xfId="0">
      <alignment horizontal="center"/>
    </xf>
    <xf numFmtId="166" fontId="161" fillId="10" borderId="0" applyAlignment="1" pivotButton="0" quotePrefix="0" xfId="0">
      <alignment horizontal="center"/>
    </xf>
    <xf numFmtId="166" fontId="69" fillId="22" borderId="0" pivotButton="0" quotePrefix="0" xfId="0"/>
    <xf numFmtId="170" fontId="69" fillId="2" borderId="0" applyAlignment="1" pivotButton="0" quotePrefix="0" xfId="0">
      <alignment horizontal="center"/>
    </xf>
    <xf numFmtId="170" fontId="69" fillId="22" borderId="0" applyAlignment="1" pivotButton="0" quotePrefix="0" xfId="0">
      <alignment horizontal="center"/>
    </xf>
    <xf numFmtId="166" fontId="77" fillId="2" borderId="0" applyAlignment="1" pivotButton="0" quotePrefix="0" xfId="0">
      <alignment horizontal="center"/>
    </xf>
    <xf numFmtId="164" fontId="24" fillId="31" borderId="7" applyAlignment="1" pivotButton="0" quotePrefix="0" xfId="0">
      <alignment horizontal="left" vertical="center"/>
    </xf>
    <xf numFmtId="169" fontId="119" fillId="31" borderId="0" applyAlignment="1" pivotButton="0" quotePrefix="0" xfId="0">
      <alignment horizontal="center"/>
    </xf>
    <xf numFmtId="169" fontId="4" fillId="31" borderId="6" pivotButton="0" quotePrefix="0" xfId="0"/>
    <xf numFmtId="166" fontId="120" fillId="31" borderId="6" applyAlignment="1" pivotButton="0" quotePrefix="0" xfId="0">
      <alignment horizontal="center"/>
    </xf>
    <xf numFmtId="166" fontId="0" fillId="32" borderId="0" applyAlignment="1" pivotButton="0" quotePrefix="0" xfId="0">
      <alignment horizontal="center"/>
    </xf>
    <xf numFmtId="171" fontId="0" fillId="32" borderId="0" applyAlignment="1" pivotButton="0" quotePrefix="0" xfId="0">
      <alignment horizontal="center"/>
    </xf>
    <xf numFmtId="170" fontId="0" fillId="32" borderId="0" applyAlignment="1" pivotButton="0" quotePrefix="0" xfId="0">
      <alignment horizontal="center"/>
    </xf>
    <xf numFmtId="170" fontId="0" fillId="32" borderId="0" pivotButton="0" quotePrefix="0" xfId="0"/>
    <xf numFmtId="0" fontId="96" fillId="30" borderId="148" applyAlignment="1" pivotButton="0" quotePrefix="0" xfId="0">
      <alignment horizontal="left" vertical="top" wrapText="1"/>
    </xf>
    <xf numFmtId="0" fontId="0" fillId="0" borderId="17" pivotButton="0" quotePrefix="0" xfId="0"/>
    <xf numFmtId="0" fontId="0" fillId="0" borderId="22" pivotButton="0" quotePrefix="0" xfId="0"/>
    <xf numFmtId="0" fontId="0" fillId="0" borderId="23" pivotButton="0" quotePrefix="0" xfId="0"/>
    <xf numFmtId="0" fontId="0" fillId="0" borderId="20" pivotButton="0" quotePrefix="0" xfId="0"/>
    <xf numFmtId="0" fontId="0" fillId="0" borderId="18" pivotButton="0" quotePrefix="0" xfId="0"/>
    <xf numFmtId="0" fontId="0" fillId="0" borderId="24" pivotButton="0" quotePrefix="0" xfId="0"/>
    <xf numFmtId="168" fontId="160" fillId="2" borderId="73" applyAlignment="1" pivotButton="0" quotePrefix="0" xfId="0">
      <alignment horizontal="center" vertical="center"/>
    </xf>
    <xf numFmtId="168" fontId="160" fillId="22" borderId="76" applyAlignment="1" pivotButton="0" quotePrefix="0" xfId="0">
      <alignment horizontal="center" vertical="center"/>
    </xf>
    <xf numFmtId="168" fontId="160" fillId="2" borderId="74" applyAlignment="1" pivotButton="0" quotePrefix="0" xfId="0">
      <alignment horizontal="center" vertical="center"/>
    </xf>
    <xf numFmtId="168" fontId="160" fillId="2" borderId="76" applyAlignment="1" pivotButton="0" quotePrefix="0" xfId="0">
      <alignment horizontal="center" vertical="center"/>
    </xf>
    <xf numFmtId="0" fontId="0" fillId="0" borderId="75" pivotButton="0" quotePrefix="0" xfId="0"/>
    <xf numFmtId="168" fontId="266" fillId="22" borderId="73" applyAlignment="1" pivotButton="0" quotePrefix="0" xfId="0">
      <alignment horizontal="center" vertical="center"/>
    </xf>
    <xf numFmtId="168" fontId="266" fillId="22" borderId="76" applyAlignment="1" pivotButton="0" quotePrefix="0" xfId="0">
      <alignment horizontal="center" vertical="center"/>
    </xf>
    <xf numFmtId="170" fontId="0" fillId="0" borderId="0" pivotButton="0" quotePrefix="0" xfId="0"/>
    <xf numFmtId="170" fontId="0" fillId="51" borderId="0" applyAlignment="1" pivotButton="0" quotePrefix="0" xfId="0">
      <alignment wrapText="1"/>
    </xf>
    <xf numFmtId="170" fontId="0" fillId="0" borderId="0" applyAlignment="1" pivotButton="0" quotePrefix="0" xfId="0">
      <alignment horizontal="center"/>
    </xf>
    <xf numFmtId="0" fontId="0" fillId="0" borderId="76" pivotButton="0" quotePrefix="0" xfId="0"/>
    <xf numFmtId="0" fontId="0" fillId="0" borderId="72" pivotButton="0" quotePrefix="0" xfId="0"/>
    <xf numFmtId="168" fontId="268" fillId="22" borderId="73" applyAlignment="1" pivotButton="0" quotePrefix="0" xfId="0">
      <alignment horizontal="center" vertical="center"/>
    </xf>
    <xf numFmtId="168" fontId="268" fillId="22" borderId="76" applyAlignment="1" pivotButton="0" quotePrefix="0" xfId="0">
      <alignment horizontal="center" vertical="center"/>
    </xf>
    <xf numFmtId="168" fontId="268" fillId="22" borderId="74" applyAlignment="1" pivotButton="0" quotePrefix="0" xfId="0">
      <alignment horizontal="center" vertical="center"/>
    </xf>
    <xf numFmtId="0" fontId="0" fillId="0" borderId="66" pivotButton="0" quotePrefix="0" xfId="0"/>
    <xf numFmtId="3" fontId="150" fillId="42" borderId="76" applyAlignment="1" pivotButton="0" quotePrefix="0" xfId="0">
      <alignment horizontal="center" vertical="center"/>
    </xf>
    <xf numFmtId="3" fontId="160" fillId="48" borderId="76" applyAlignment="1" pivotButton="0" quotePrefix="0" xfId="0">
      <alignment horizontal="center" vertical="center"/>
    </xf>
    <xf numFmtId="168" fontId="268" fillId="22" borderId="0" applyAlignment="1" pivotButton="0" quotePrefix="0" xfId="0">
      <alignment horizontal="center" vertical="center"/>
    </xf>
    <xf numFmtId="168" fontId="69" fillId="22" borderId="0" applyAlignment="1" applyProtection="1" pivotButton="0" quotePrefix="0" xfId="0">
      <alignment horizontal="center"/>
      <protection locked="0" hidden="0"/>
    </xf>
  </cellXfs>
  <cellStyles count="8">
    <cellStyle name="Normal" xfId="0" builtinId="0"/>
    <cellStyle name="Normal 2" xfId="1"/>
    <cellStyle name="Normal 2 2" xfId="2"/>
    <cellStyle name="Hyperlink" xfId="3" builtinId="8"/>
    <cellStyle name="Comma" xfId="4" builtinId="3"/>
    <cellStyle name="Comma 2" xfId="5"/>
    <cellStyle name="Per cent" xfId="6" builtinId="5"/>
    <cellStyle name="Hyperlink 2" xfId="7"/>
  </cellStyles>
  <dxfs count="139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BECAB"/>
        </patternFill>
      </fill>
    </dxf>
    <dxf>
      <fill>
        <patternFill>
          <bgColor rgb="FFFBECAB"/>
        </patternFill>
      </fill>
    </dxf>
    <dxf>
      <fill>
        <patternFill>
          <bgColor rgb="FFFFC000"/>
        </patternFill>
      </fill>
    </dxf>
    <dxf>
      <fill>
        <patternFill>
          <bgColor rgb="FFFFC000"/>
        </patternFill>
      </fill>
    </dxf>
    <dxf>
      <font>
        <color rgb="FFFF0000"/>
      </font>
    </dxf>
    <dxf>
      <font>
        <color rgb="FFFF0000"/>
      </font>
    </dxf>
    <dxf>
      <fill>
        <patternFill>
          <bgColor theme="0" tint="-0.0499893185216834"/>
        </patternFill>
      </fill>
      <border>
        <left/>
        <right/>
        <top/>
        <bottom/>
        <vertical/>
        <horizontal/>
      </border>
    </dxf>
    <dxf>
      <fill>
        <patternFill>
          <bgColor rgb="FFFFFF00"/>
        </patternFill>
      </fill>
    </dxf>
    <dxf>
      <font>
        <color theme="4"/>
      </font>
    </dxf>
    <dxf>
      <font>
        <color theme="4"/>
      </font>
    </dxf>
    <dxf>
      <font>
        <color theme="4"/>
      </font>
    </dxf>
    <dxf>
      <font>
        <color theme="4"/>
      </font>
    </dxf>
    <dxf>
      <font>
        <color theme="4"/>
      </font>
    </dxf>
    <dxf>
      <border>
        <left/>
        <right/>
        <top/>
        <bottom style="thin">
          <color rgb="FFEA8C1C"/>
        </bottom>
        <vertical/>
        <horizontal/>
      </border>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auto="1"/>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b val="1"/>
        <color rgb="FFFF0000"/>
      </font>
      <fill>
        <patternFill>
          <bgColor theme="0" tint="-0.1499679555650502"/>
        </patternFill>
      </fill>
    </dxf>
    <dxf>
      <font>
        <b val="1"/>
        <color rgb="FFFF0000"/>
      </font>
    </dxf>
    <dxf>
      <font>
        <b val="1"/>
        <color rgb="FFFF0000"/>
      </font>
      <fill>
        <patternFill>
          <bgColor theme="0" tint="-0.1499679555650502"/>
        </patternFill>
      </fill>
    </dxf>
    <dxf>
      <font>
        <color theme="0"/>
      </font>
      <fill>
        <patternFill>
          <bgColor rgb="FFFF0000"/>
        </patternFill>
      </fill>
    </dxf>
    <dxf>
      <font>
        <color theme="8" tint="0.7999816888943144"/>
      </font>
      <fill>
        <patternFill>
          <bgColor theme="8" tint="0.7999816888943144"/>
        </patternFill>
      </fill>
    </dxf>
    <dxf>
      <font>
        <color theme="8" tint="0.7999816888943144"/>
      </font>
      <fill>
        <patternFill>
          <bgColor theme="8" tint="0.7999816888943144"/>
        </patternFill>
      </fill>
    </dxf>
    <dxf>
      <font>
        <color theme="8" tint="0.7999816888943144"/>
      </font>
      <fill>
        <patternFill>
          <bgColor theme="8" tint="0.7999816888943144"/>
        </patternFill>
      </fill>
    </dxf>
    <dxf>
      <font>
        <color theme="8" tint="0.7999816888943144"/>
      </font>
      <fill>
        <patternFill>
          <bgColor theme="8" tint="0.7999816888943144"/>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theme="0"/>
      </font>
      <fill>
        <patternFill>
          <bgColor theme="5"/>
        </patternFill>
      </fill>
    </dxf>
    <dxf>
      <font>
        <b val="1"/>
        <color theme="0"/>
      </font>
      <fill>
        <patternFill>
          <bgColor theme="5"/>
        </patternFill>
      </fill>
    </dxf>
    <dxf>
      <font>
        <color theme="0"/>
      </font>
      <fill>
        <patternFill>
          <bgColor theme="5"/>
        </patternFill>
      </fill>
    </dxf>
    <dxf>
      <font>
        <color theme="0"/>
      </font>
      <fill>
        <patternFill>
          <bgColor rgb="FFFF0000"/>
        </patternFill>
      </fill>
    </dxf>
    <dxf>
      <font>
        <b val="1"/>
        <color rgb="FFFF0000"/>
      </font>
    </dxf>
    <dxf>
      <font>
        <color rgb="FFFF0000"/>
      </font>
    </dxf>
    <dxf>
      <font>
        <b val="1"/>
        <color rgb="FFFF0000"/>
      </font>
    </dxf>
    <dxf>
      <font>
        <color theme="0" tint="-0.1499679555650502"/>
      </font>
      <fill>
        <patternFill>
          <bgColor theme="0" tint="-0.1499679555650502"/>
        </patternFill>
      </fill>
    </dxf>
    <dxf>
      <font>
        <color theme="0" tint="-0.1499679555650502"/>
      </font>
    </dxf>
    <dxf>
      <fill>
        <patternFill>
          <bgColor theme="0"/>
        </patternFill>
      </fill>
    </dxf>
    <dxf>
      <fill>
        <patternFill>
          <bgColor theme="8" tint="0.5999633777886288"/>
        </patternFill>
      </fill>
    </dxf>
    <dxf>
      <font>
        <color theme="0" tint="-0.1499679555650502"/>
      </font>
    </dxf>
    <dxf>
      <font>
        <b val="1"/>
        <color theme="1"/>
      </font>
      <fill>
        <patternFill>
          <bgColor theme="0" tint="-0.1499679555650502"/>
        </patternFill>
      </fill>
    </dxf>
    <dxf>
      <fill>
        <patternFill patternType="solid">
          <fgColor indexed="64"/>
          <bgColor theme="0"/>
        </patternFill>
      </fill>
      <alignment horizontal="center" vertical="bottom"/>
    </dxf>
    <dxf>
      <fill>
        <patternFill patternType="solid">
          <fgColor indexed="64"/>
          <bgColor theme="0"/>
        </patternFill>
      </fill>
      <alignment horizontal="center" vertical="bottom"/>
    </dxf>
    <dxf>
      <fill>
        <patternFill patternType="solid">
          <fgColor indexed="64"/>
          <bgColor theme="0"/>
        </patternFill>
      </fill>
      <alignment horizontal="center" vertical="bottom"/>
    </dxf>
    <dxf>
      <fill>
        <patternFill patternType="solid">
          <fgColor indexed="64"/>
          <bgColor theme="0"/>
        </patternFill>
      </fill>
      <alignment horizontal="center" vertical="bottom"/>
    </dxf>
    <dxf>
      <fill>
        <patternFill patternType="solid">
          <fgColor indexed="64"/>
          <bgColor theme="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theme="0"/>
        </patternFill>
      </fill>
      <alignment horizontal="center" vertical="bottom"/>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numFmt numFmtId="0" formatCode="General"/>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dxf>
    <dxf>
      <border outline="0">
        <left style="thin">
          <color indexed="64"/>
        </left>
        <right style="thin">
          <color indexed="64"/>
        </right>
        <top style="thin">
          <color indexed="64"/>
        </top>
        <bottom style="thin">
          <color indexed="64"/>
        </bottom>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numFmt numFmtId="0" formatCode="General"/>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center" vertical="bottom"/>
    </dxf>
    <dxf>
      <border outline="0">
        <bottom style="thin">
          <color indexed="64"/>
        </bottom>
      </border>
    </dxf>
    <dxf>
      <fill>
        <patternFill patternType="solid">
          <fgColor indexed="64"/>
          <bgColor rgb="FFFFFF00"/>
        </patternFill>
      </fill>
      <alignment horizontal="center" vertical="bottom" wrapText="1"/>
      <border outline="0">
        <left style="thin">
          <color indexed="64"/>
        </left>
        <right style="thin">
          <color indexed="64"/>
        </right>
        <top/>
        <bottom/>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center" vertical="bottom"/>
    </dxf>
    <dxf>
      <border outline="0">
        <bottom style="thin">
          <color indexed="64"/>
        </bottom>
      </border>
    </dxf>
    <dxf>
      <fill>
        <patternFill patternType="solid">
          <fgColor indexed="64"/>
          <bgColor rgb="FFFFFF00"/>
        </patternFill>
      </fill>
      <alignment horizontal="center" vertical="bottom" wrapText="1"/>
      <border outline="0">
        <left style="thin">
          <color indexed="64"/>
        </left>
        <right style="thin">
          <color indexed="64"/>
        </right>
        <top/>
        <bottom/>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center" vertical="bottom"/>
    </dxf>
    <dxf>
      <border outline="0">
        <bottom style="thin">
          <color indexed="64"/>
        </bottom>
      </border>
    </dxf>
    <dxf>
      <fill>
        <patternFill patternType="solid">
          <fgColor indexed="64"/>
          <bgColor rgb="FFFFFF00"/>
        </patternFill>
      </fill>
      <alignment horizontal="center" vertical="bottom" wrapText="1"/>
      <border outline="0">
        <left style="thin">
          <color indexed="64"/>
        </left>
        <right style="thin">
          <color indexed="64"/>
        </right>
        <top/>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dxf>
    <dxf>
      <border outline="0">
        <left style="thin">
          <color indexed="64"/>
        </left>
        <right style="thin">
          <color indexed="64"/>
        </right>
        <top style="thin">
          <color indexed="64"/>
        </top>
        <bottom style="thin">
          <color indexed="64"/>
        </bottom>
      </border>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border outline="0">
        <left style="thin">
          <color indexed="64"/>
        </left>
        <right style="thin">
          <color indexed="64"/>
        </right>
        <top/>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outline="0">
        <left style="thin">
          <color indexed="64"/>
        </left>
        <right style="thin">
          <color indexed="64"/>
        </right>
        <top/>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outline="0">
        <left style="thin">
          <color indexed="64"/>
        </left>
        <right style="thin">
          <color indexed="64"/>
        </right>
        <top/>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dxf>
    <dxf>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dxf>
    <dxf>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dxf>
    <dxf>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dxf>
    <dxf>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dxf>
    <dxf>
      <border outline="0">
        <left style="thin">
          <color indexed="64"/>
        </left>
        <right style="thin">
          <color indexed="64"/>
        </right>
        <top style="thin">
          <color indexed="64"/>
        </top>
        <bottom style="thin">
          <color indexed="64"/>
        </bottom>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dxf>
    <dxf>
      <border outline="0">
        <left style="thin">
          <color indexed="64"/>
        </left>
        <right style="thin">
          <color indexed="64"/>
        </right>
        <top style="thin">
          <color indexed="64"/>
        </top>
        <bottom style="thin">
          <color indexed="64"/>
        </bottom>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dxf>
    <dxf>
      <border outline="0">
        <left style="thin">
          <color indexed="64"/>
        </left>
        <right style="thin">
          <color indexed="64"/>
        </right>
        <top style="thin">
          <color indexed="64"/>
        </top>
        <bottom style="thin">
          <color indexed="64"/>
        </bottom>
      </border>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border outline="0">
        <left style="thin">
          <color indexed="64"/>
        </left>
        <right style="thin">
          <color indexed="64"/>
        </right>
        <top/>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dxf>
    <dxf>
      <border outline="0">
        <left style="thin">
          <color indexed="64"/>
        </left>
        <right style="thin">
          <color indexed="64"/>
        </right>
        <top style="thin">
          <color indexed="64"/>
        </top>
        <bottom style="thin">
          <color indexed="64"/>
        </bottom>
      </border>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border outline="0">
        <left style="thin">
          <color indexed="64"/>
        </left>
        <right style="thin">
          <color indexed="64"/>
        </right>
        <top/>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dxf>
    <dxf>
      <border outline="0">
        <left style="thin">
          <color indexed="64"/>
        </left>
        <right style="thin">
          <color indexed="64"/>
        </right>
        <top style="thin">
          <color indexed="64"/>
        </top>
        <bottom style="thin">
          <color indexed="64"/>
        </bottom>
      </border>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border outline="0">
        <left style="thin">
          <color indexed="64"/>
        </left>
        <right style="thin">
          <color indexed="64"/>
        </right>
        <top/>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dxf>
    <dxf>
      <border outline="0">
        <left style="thin">
          <color indexed="64"/>
        </left>
        <right style="thin">
          <color indexed="64"/>
        </right>
        <top style="thin">
          <color indexed="64"/>
        </top>
        <bottom style="thin">
          <color indexed="64"/>
        </bottom>
      </border>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border outline="0">
        <left style="thin">
          <color indexed="64"/>
        </left>
        <right style="thin">
          <color indexed="64"/>
        </right>
        <top/>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dxf>
    <dxf>
      <border outline="0">
        <left style="thin">
          <color indexed="64"/>
        </left>
        <right style="thin">
          <color indexed="64"/>
        </right>
        <top style="thin">
          <color indexed="64"/>
        </top>
        <bottom style="thin">
          <color indexed="64"/>
        </bottom>
      </border>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border outline="0">
        <left style="thin">
          <color indexed="64"/>
        </left>
        <right style="thin">
          <color indexed="64"/>
        </right>
        <top/>
        <bottom/>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dxf>
    <dxf>
      <border outline="0">
        <left style="thin">
          <color indexed="64"/>
        </left>
        <right style="thin">
          <color indexed="64"/>
        </right>
        <top style="thin">
          <color indexed="64"/>
        </top>
        <bottom style="thin">
          <color indexed="64"/>
        </bottom>
      </border>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dxf>
    <dxf>
      <border outline="0">
        <left style="thin">
          <color indexed="64"/>
        </left>
        <right style="thin">
          <color indexed="64"/>
        </right>
        <top style="thin">
          <color indexed="64"/>
        </top>
        <bottom style="thin">
          <color indexed="64"/>
        </bottom>
      </border>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dxf>
    <dxf>
      <border outline="0">
        <left style="thin">
          <color indexed="64"/>
        </left>
        <right style="thin">
          <color indexed="64"/>
        </right>
        <top style="thin">
          <color indexed="64"/>
        </top>
        <bottom style="thin">
          <color indexed="64"/>
        </bottom>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dxf>
    <dxf>
      <border outline="0">
        <left style="thin">
          <color indexed="64"/>
        </left>
        <right style="thin">
          <color indexed="64"/>
        </right>
        <top style="thin">
          <color indexed="64"/>
        </top>
        <bottom style="thin">
          <color indexed="64"/>
        </bottom>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dxf>
    <dxf>
      <border outline="0">
        <left style="thin">
          <color indexed="64"/>
        </left>
        <right style="thin">
          <color indexed="64"/>
        </right>
        <top style="thin">
          <color indexed="64"/>
        </top>
        <bottom style="thin">
          <color indexed="64"/>
        </bottom>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dxf>
    <dxf>
      <border outline="0">
        <left style="thin">
          <color indexed="64"/>
        </left>
        <right style="thin">
          <color indexed="64"/>
        </right>
        <top style="thin">
          <color indexed="64"/>
        </top>
        <bottom style="thin">
          <color indexed="64"/>
        </bottom>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dxf>
    <dxf>
      <border outline="0">
        <left style="thin">
          <color indexed="64"/>
        </left>
        <right style="thin">
          <color indexed="64"/>
        </right>
        <top style="thin">
          <color indexed="64"/>
        </top>
        <bottom style="thin">
          <color indexed="64"/>
        </bottom>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auto="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dxf>
    <dxf>
      <border outline="0">
        <left style="thin">
          <color indexed="64"/>
        </left>
        <right style="thin">
          <color indexed="64"/>
        </right>
        <top style="thin">
          <color indexed="64"/>
        </top>
        <bottom style="thin">
          <color indexed="64"/>
        </bottom>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dxf>
    <dxf>
      <border outline="0">
        <left style="thin">
          <color indexed="64"/>
        </left>
        <right style="thin">
          <color indexed="64"/>
        </right>
        <top style="thin">
          <color indexed="64"/>
        </top>
        <bottom style="thin">
          <color indexed="64"/>
        </bottom>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dxf>
    <dxf>
      <border outline="0">
        <left style="thin">
          <color indexed="64"/>
        </left>
        <right style="thin">
          <color indexed="64"/>
        </right>
        <top style="thin">
          <color indexed="64"/>
        </top>
        <bottom style="thin">
          <color indexed="64"/>
        </bottom>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dxf>
    <dxf>
      <border outline="0">
        <left style="thin">
          <color indexed="64"/>
        </left>
        <right style="thin">
          <color indexed="64"/>
        </right>
        <top style="thin">
          <color indexed="64"/>
        </top>
        <bottom style="thin">
          <color indexed="64"/>
        </bottom>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dxf>
    <dxf>
      <font>
        <name val="Calibri"/>
        <b val="1"/>
        <strike val="0"/>
        <outline val="0"/>
        <shadow val="0"/>
        <condense val="0"/>
        <color theme="1"/>
        <extend val="0"/>
        <sz val="11"/>
        <vertAlign val="baseline"/>
        <scheme val="minor"/>
      </font>
      <fill>
        <patternFill patternType="solid">
          <fgColor indexed="64"/>
          <bgColor rgb="FFFFFF00"/>
        </patternFill>
      </fill>
      <alignment horizontal="center" vertical="bottom" wrapText="1"/>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center" vertical="bottom"/>
    </dxf>
    <dxf>
      <border outline="0">
        <bottom style="thin">
          <color indexed="64"/>
        </bottom>
      </border>
    </dxf>
    <dxf>
      <fill>
        <patternFill patternType="solid">
          <fgColor indexed="64"/>
          <bgColor rgb="FFFFFF00"/>
        </patternFill>
      </fill>
      <alignment horizontal="center" vertical="bottom" wrapText="1"/>
      <border outline="0">
        <left style="thin">
          <color indexed="64"/>
        </left>
        <right style="thin">
          <color indexed="64"/>
        </right>
        <top/>
        <bottom/>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center" vertical="bottom"/>
    </dxf>
    <dxf>
      <border outline="0">
        <bottom style="thin">
          <color indexed="64"/>
        </bottom>
      </border>
    </dxf>
    <dxf>
      <fill>
        <patternFill patternType="solid">
          <fgColor indexed="64"/>
          <bgColor rgb="FFFFFF00"/>
        </patternFill>
      </fill>
      <alignment horizontal="center" vertical="bottom" wrapText="1"/>
      <border outline="0">
        <left style="thin">
          <color indexed="64"/>
        </left>
        <right style="thin">
          <color indexed="64"/>
        </right>
        <top/>
        <bottom/>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numFmt numFmtId="0" formatCode="General"/>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center" vertical="bottom"/>
    </dxf>
    <dxf>
      <border outline="0">
        <bottom style="thin">
          <color indexed="64"/>
        </bottom>
      </border>
    </dxf>
    <dxf>
      <fill>
        <patternFill patternType="solid">
          <fgColor indexed="64"/>
          <bgColor rgb="FFFFFF00"/>
        </patternFill>
      </fill>
      <alignment horizontal="center" vertical="bottom" wrapText="1"/>
      <border outline="0">
        <left style="thin">
          <color indexed="64"/>
        </left>
        <right style="thin">
          <color indexed="64"/>
        </right>
        <top/>
        <bottom/>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0000"/>
        </patternFill>
      </fill>
      <alignment horizontal="center" vertical="bottom"/>
      <border>
        <left style="thin">
          <color indexed="64"/>
        </left>
        <right style="thin">
          <color indexed="64"/>
        </right>
        <top/>
        <bottom/>
        <vertical/>
        <horizontal/>
      </border>
    </dxf>
    <dxf>
      <fill>
        <patternFill patternType="solid">
          <fgColor indexed="64"/>
          <bgColor rgb="FFFF00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center" vertical="bottom"/>
    </dxf>
    <dxf>
      <border outline="0">
        <bottom style="thin">
          <color indexed="64"/>
        </bottom>
      </border>
    </dxf>
    <dxf>
      <fill>
        <patternFill patternType="solid">
          <fgColor indexed="64"/>
          <bgColor rgb="FFFFFF00"/>
        </patternFill>
      </fill>
      <alignment horizontal="center" vertical="bottom" wrapText="1"/>
      <border outline="0">
        <left style="thin">
          <color indexed="64"/>
        </left>
        <right style="thin">
          <color indexed="64"/>
        </right>
        <top/>
        <bottom/>
      </border>
    </dxf>
    <dxf>
      <fill>
        <patternFill patternType="solid">
          <fgColor indexed="64"/>
          <bgColor rgb="FFFFFF00"/>
        </patternFill>
      </fill>
      <alignment horizontal="center" vertical="bottom"/>
      <border outline="0">
        <left style="thin">
          <color indexed="64"/>
        </left>
        <right style="thin">
          <color indexed="64"/>
        </right>
        <top/>
        <bottom/>
      </border>
    </dxf>
    <dxf>
      <fill>
        <patternFill patternType="solid">
          <fgColor indexed="64"/>
          <bgColor rgb="FFFFFF00"/>
        </patternFill>
      </fill>
      <alignment horizontal="center" vertical="bottom"/>
      <border outline="0">
        <left style="thin">
          <color indexed="64"/>
        </left>
        <right style="thin">
          <color indexed="64"/>
        </right>
        <top/>
        <bottom/>
      </border>
    </dxf>
    <dxf>
      <fill>
        <patternFill patternType="solid">
          <fgColor indexed="64"/>
          <bgColor rgb="FFFFFF00"/>
        </patternFill>
      </fill>
      <alignment horizontal="center" vertical="bottom"/>
      <border outline="0">
        <left style="thin">
          <color indexed="64"/>
        </left>
        <right style="thin">
          <color indexed="64"/>
        </right>
        <top/>
        <bottom/>
      </border>
    </dxf>
    <dxf>
      <fill>
        <patternFill patternType="solid">
          <fgColor indexed="64"/>
          <bgColor rgb="FFFFFF00"/>
        </patternFill>
      </fill>
      <alignment horizontal="center" vertical="bottom"/>
      <border outline="0">
        <left style="thin">
          <color indexed="64"/>
        </left>
        <right style="thin">
          <color indexed="64"/>
        </right>
        <top/>
        <bottom/>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center" vertical="bottom"/>
    </dxf>
    <dxf>
      <border outline="0">
        <bottom style="thin">
          <color indexed="64"/>
        </bottom>
      </border>
    </dxf>
    <dxf>
      <fill>
        <patternFill patternType="solid">
          <fgColor indexed="64"/>
          <bgColor rgb="FFFFFF00"/>
        </patternFill>
      </fill>
      <alignment horizontal="center" vertical="bottom" wrapText="1"/>
      <border outline="0">
        <left style="thin">
          <color indexed="64"/>
        </left>
        <right style="thin">
          <color indexed="64"/>
        </right>
        <top/>
        <bottom/>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0000"/>
        </patternFill>
      </fill>
      <alignment horizontal="center" vertical="bottom"/>
      <border>
        <left style="thin">
          <color indexed="64"/>
        </left>
        <right style="thin">
          <color indexed="64"/>
        </right>
        <top/>
        <bottom/>
        <vertical/>
        <horizontal/>
      </border>
    </dxf>
    <dxf>
      <fill>
        <patternFill patternType="solid">
          <fgColor indexed="64"/>
          <bgColor rgb="FFFF00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ont>
        <name val="Calibri"/>
        <strike val="0"/>
        <outline val="0"/>
        <shadow val="0"/>
        <condense val="0"/>
        <color theme="1"/>
        <extend val="0"/>
        <sz val="11"/>
        <vertAlign val="baseline"/>
        <scheme val="minor"/>
      </font>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ill>
        <patternFill patternType="solid">
          <fgColor indexed="64"/>
          <bgColor rgb="FFFFFF00"/>
        </patternFill>
      </fill>
      <alignment horizontal="center" vertical="bottom"/>
      <border>
        <left style="thin">
          <color indexed="64"/>
        </left>
        <right style="thin">
          <color indexed="64"/>
        </right>
        <top/>
        <bottom/>
        <vertical/>
        <horizontal/>
      </border>
    </dxf>
    <dxf>
      <font>
        <name val="Arial"/>
        <strike val="0"/>
        <outline val="0"/>
        <shadow val="0"/>
        <condense val="0"/>
        <color auto="1"/>
        <extend val="0"/>
        <sz val="10"/>
        <vertAlign val="baseline"/>
      </font>
      <fill>
        <patternFill patternType="solid">
          <fgColor indexed="64"/>
          <bgColor rgb="FFFFFF00"/>
        </patternFill>
      </fill>
      <alignment horizontal="left" vertical="bottom"/>
      <border>
        <left/>
        <right style="thin">
          <color indexed="64"/>
        </right>
        <top/>
        <bottom/>
        <vertical/>
        <horizontal/>
      </border>
    </dxf>
    <dxf>
      <border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center" vertical="bottom"/>
    </dxf>
    <dxf>
      <border outline="0">
        <bottom style="thin">
          <color indexed="64"/>
        </bottom>
      </border>
    </dxf>
    <dxf>
      <fill>
        <patternFill patternType="solid">
          <fgColor indexed="64"/>
          <bgColor rgb="FFFFFF00"/>
        </patternFill>
      </fill>
      <alignment horizontal="center" vertical="bottom" wrapText="1"/>
      <border outline="0">
        <left style="thin">
          <color indexed="64"/>
        </left>
        <right style="thin">
          <color indexed="64"/>
        </right>
        <top/>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name val="Calibri"/>
        <b val="1"/>
        <strike val="0"/>
        <outline val="0"/>
        <shadow val="0"/>
        <condense val="0"/>
        <color rgb="FFFF0000"/>
        <extend val="0"/>
        <sz val="11"/>
        <vertAlign val="baseline"/>
        <scheme val="minor"/>
      </font>
      <fill>
        <patternFill patternType="solid">
          <fgColor indexed="64"/>
          <bgColor theme="0" tint="-0.1499984740745262"/>
        </patternFill>
      </fill>
    </dxf>
    <dxf>
      <font>
        <name val="Calibri"/>
        <b val="1"/>
        <strike val="0"/>
        <outline val="0"/>
        <shadow val="0"/>
        <condense val="0"/>
        <color theme="1"/>
        <extend val="0"/>
        <sz val="11"/>
        <vertAlign val="baseline"/>
        <scheme val="minor"/>
      </font>
      <fill>
        <patternFill patternType="solid">
          <fgColor indexed="64"/>
          <bgColor theme="0"/>
        </patternFill>
      </fill>
      <border>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name val="Calibri"/>
        <b val="1"/>
        <strike val="0"/>
        <outline val="0"/>
        <shadow val="0"/>
        <condense val="0"/>
        <color theme="1"/>
        <extend val="0"/>
        <sz val="11"/>
        <vertAlign val="baseline"/>
        <scheme val="minor"/>
      </font>
      <fill>
        <patternFill patternType="solid">
          <fgColor indexed="64"/>
          <bgColor theme="0"/>
        </patternFill>
      </fill>
    </dxf>
    <dxf>
      <border outline="0">
        <bottom style="thin">
          <color indexed="64"/>
        </bottom>
      </border>
    </dxf>
    <dxf>
      <font>
        <name val="Calibri"/>
        <b val="1"/>
        <strike val="0"/>
        <outline val="0"/>
        <shadow val="0"/>
        <condense val="0"/>
        <color rgb="FFFF0000"/>
        <extend val="0"/>
        <sz val="11"/>
        <vertAlign val="baseline"/>
        <scheme val="minor"/>
      </font>
      <fill>
        <patternFill patternType="solid">
          <fgColor indexed="64"/>
          <bgColor theme="0" tint="-0.1499984740745262"/>
        </patternFill>
      </fill>
    </dxf>
    <dxf>
      <fill>
        <patternFill patternType="solid">
          <fgColor indexed="64"/>
          <bgColor theme="0"/>
        </patternFill>
      </fill>
      <border>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dxf>
    <dxf>
      <border outline="0">
        <bottom style="thin">
          <color indexed="64"/>
        </bottom>
      </border>
    </dxf>
    <dxf>
      <font>
        <name val="Calibri"/>
        <b val="1"/>
        <strike val="0"/>
        <outline val="0"/>
        <shadow val="0"/>
        <condense val="0"/>
        <color rgb="FFFF0000"/>
        <extend val="0"/>
        <sz val="11"/>
        <vertAlign val="baseline"/>
        <scheme val="minor"/>
      </font>
      <fill>
        <patternFill patternType="solid">
          <fgColor indexed="64"/>
          <bgColor theme="0" tint="-0.1499984740745262"/>
        </patternFill>
      </fill>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name val="Calibri"/>
        <b val="1"/>
        <strike val="0"/>
        <outline val="0"/>
        <shadow val="0"/>
        <condense val="0"/>
        <color rgb="FFFF0000"/>
        <extend val="0"/>
        <sz val="11"/>
        <vertAlign val="baseline"/>
        <scheme val="minor"/>
      </font>
      <fill>
        <patternFill patternType="solid">
          <fgColor indexed="64"/>
          <bgColor theme="0" tint="-0.1499984740745262"/>
        </patternFill>
      </fill>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name val="Calibri"/>
        <b val="1"/>
        <strike val="0"/>
        <outline val="0"/>
        <shadow val="0"/>
        <condense val="0"/>
        <color rgb="FFFF0000"/>
        <extend val="0"/>
        <sz val="11"/>
        <vertAlign val="baseline"/>
        <scheme val="minor"/>
      </font>
      <fill>
        <patternFill patternType="solid">
          <fgColor indexed="64"/>
          <bgColor theme="0" tint="-0.1499984740745262"/>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externalLink" Target="/xl/externalLinks/externalLink1.xml" Id="rId46" /><Relationship Type="http://schemas.openxmlformats.org/officeDocument/2006/relationships/externalLink" Target="/xl/externalLinks/externalLink2.xml" Id="rId47" /><Relationship Type="http://schemas.openxmlformats.org/officeDocument/2006/relationships/styles" Target="styles.xml" Id="rId48" /><Relationship Type="http://schemas.openxmlformats.org/officeDocument/2006/relationships/theme" Target="theme/theme1.xml" Id="rId49"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04126729798049221"/>
          <y val="0.07933337623903859"/>
          <w val="0.9528403001071811"/>
          <h val="0.8364285714285714"/>
        </manualLayout>
      </layout>
      <barChart>
        <barDir val="bar"/>
        <grouping val="clustered"/>
        <varyColors val="0"/>
        <ser>
          <idx val="0"/>
          <order val="0"/>
          <tx>
            <strRef>
              <f>[0]!Activitiesbalance</f>
              <strCache>
                <ptCount val="12"/>
                <pt idx="0">
                  <v>Afforestation</v>
                </pt>
                <pt idx="1">
                  <v>Perennial</v>
                </pt>
                <pt idx="2">
                  <v>Forest mngt.</v>
                </pt>
                <pt idx="3">
                  <v xml:space="preserve">Other land-use </v>
                </pt>
                <pt idx="4">
                  <v xml:space="preserve">Grasslands </v>
                </pt>
                <pt idx="5">
                  <v>Annual</v>
                </pt>
                <pt idx="6">
                  <v>Deforestation</v>
                </pt>
                <pt idx="7">
                  <v>Flooded rice</v>
                </pt>
              </strCache>
            </strRef>
          </tx>
          <spPr>
            <a:solidFill>
              <a:srgbClr val="238823"/>
            </a:solidFill>
            <a:ln>
              <a:noFill/>
              <a:prstDash val="solid"/>
            </a:ln>
          </spPr>
          <invertIfNegative val="0"/>
          <dLbls>
            <delete val="1"/>
          </dLbls>
          <cat>
            <strRef>
              <f>Graph!$G$29:$G$40</f>
              <strCache>
                <ptCount val="8"/>
                <pt idx="0">
                  <v>Afforestation</v>
                </pt>
                <pt idx="1">
                  <v>Perennial</v>
                </pt>
                <pt idx="2">
                  <v>Forest mngt.</v>
                </pt>
                <pt idx="3">
                  <v xml:space="preserve">Other land-use </v>
                </pt>
                <pt idx="4">
                  <v xml:space="preserve">Grasslands </v>
                </pt>
                <pt idx="5">
                  <v>Annual</v>
                </pt>
                <pt idx="6">
                  <v>Deforestation</v>
                </pt>
                <pt idx="7">
                  <v>Flooded rice</v>
                </pt>
              </strCache>
            </strRef>
          </cat>
          <val>
            <numRef>
              <f>[0]!fluxesbalance</f>
              <numCache>
                <formatCode>#,##0</formatCode>
                <ptCount val="8"/>
                <pt idx="0">
                  <v>-1109384.466666667</v>
                </pt>
                <pt idx="1">
                  <v>-437167.7485243687</v>
                </pt>
                <pt idx="2">
                  <v>-372165.9333333335</v>
                </pt>
                <pt idx="3">
                  <v>-252733.4791666667</v>
                </pt>
                <pt idx="4">
                  <v>-30318.74999999999</v>
                </pt>
                <pt idx="5">
                  <v>1554.147888642154</v>
                </pt>
                <pt idx="6">
                  <v>38801.87523333333</v>
                </pt>
                <pt idx="7">
                  <v>225777.8544</v>
                </pt>
              </numCache>
            </numRef>
          </val>
        </ser>
        <ser>
          <idx val="1"/>
          <order val="1"/>
          <tx>
            <strRef>
              <f>[0]!Activitiesbalance</f>
              <strCache>
                <ptCount val="12"/>
                <pt idx="0">
                  <v>Afforestation</v>
                </pt>
                <pt idx="1">
                  <v>Perennial</v>
                </pt>
                <pt idx="2">
                  <v>Forest mngt.</v>
                </pt>
                <pt idx="3">
                  <v xml:space="preserve">Other land-use </v>
                </pt>
                <pt idx="4">
                  <v xml:space="preserve">Grasslands </v>
                </pt>
                <pt idx="5">
                  <v>Annual</v>
                </pt>
                <pt idx="6">
                  <v>Deforestation</v>
                </pt>
                <pt idx="7">
                  <v>Flooded rice</v>
                </pt>
              </strCache>
            </strRef>
          </tx>
          <spPr>
            <a:solidFill>
              <a:schemeClr val="bg1"/>
            </a:solidFill>
            <a:ln>
              <a:noFill/>
              <a:prstDash val="solid"/>
            </a:ln>
          </spPr>
          <invertIfNegative val="0"/>
          <dLbls>
            <spPr>
              <a:noFill/>
              <a:ln>
                <a:noFill/>
                <a:prstDash val="solid"/>
              </a:ln>
            </spPr>
            <txPr>
              <a:bodyPr rot="0" spcFirstLastPara="1" vertOverflow="ellipsis" vert="horz" wrap="square" lIns="38100" tIns="19050" rIns="38100" bIns="19050" anchor="ctr" anchorCtr="1">
                <a:spAutoFit/>
              </a:bodyPr>
              <a:lstStyle/>
              <a:p>
                <a:pPr>
                  <a:defRPr sz="1600" b="0" i="0" strike="noStrike" kern="1200" baseline="0">
                    <a:solidFill>
                      <a:schemeClr val="tx1"/>
                    </a:solidFill>
                    <a:latin typeface="Roboto" panose="02000000000000000000" pitchFamily="2" charset="0"/>
                    <a:ea typeface="Roboto" panose="02000000000000000000" pitchFamily="2" charset="0"/>
                    <a:cs typeface="+mn-cs"/>
                  </a:defRPr>
                </a:pPr>
                <a:r>
                  <a:t>None</a:t>
                </a:r>
                <a:endParaRPr lang="en-IT"/>
              </a:p>
            </txPr>
            <dLblPos val="inBase"/>
            <showLegendKey val="0"/>
            <showVal val="0"/>
            <showCatName val="1"/>
            <showSerName val="0"/>
            <showPercent val="0"/>
            <showBubbleSize val="0"/>
            <showLeaderLines val="0"/>
          </dLbls>
          <cat>
            <strRef>
              <f>Graph!$G$29:$G$40</f>
              <strCache>
                <ptCount val="8"/>
                <pt idx="0">
                  <v>Afforestation</v>
                </pt>
                <pt idx="1">
                  <v>Perennial</v>
                </pt>
                <pt idx="2">
                  <v>Forest mngt.</v>
                </pt>
                <pt idx="3">
                  <v xml:space="preserve">Other land-use </v>
                </pt>
                <pt idx="4">
                  <v xml:space="preserve">Grasslands </v>
                </pt>
                <pt idx="5">
                  <v>Annual</v>
                </pt>
                <pt idx="6">
                  <v>Deforestation</v>
                </pt>
                <pt idx="7">
                  <v>Flooded rice</v>
                </pt>
              </strCache>
            </strRef>
          </cat>
          <val>
            <numRef>
              <f>[0]!labelsbalance</f>
              <numCache>
                <formatCode>General</formatCode>
                <ptCount val="8"/>
                <pt idx="0">
                  <v>1</v>
                </pt>
                <pt idx="1">
                  <v>1</v>
                </pt>
                <pt idx="2">
                  <v>1</v>
                </pt>
                <pt idx="3">
                  <v>1</v>
                </pt>
                <pt idx="4">
                  <v>1</v>
                </pt>
                <pt idx="5">
                  <v>-1</v>
                </pt>
                <pt idx="6">
                  <v>-1</v>
                </pt>
                <pt idx="7">
                  <v>-1</v>
                </pt>
              </numCache>
            </numRef>
          </val>
        </ser>
        <ser>
          <idx val="2"/>
          <order val="2"/>
          <tx>
            <strRef>
              <f>[0]!Activitiesbalance</f>
              <strCache>
                <ptCount val="12"/>
                <pt idx="0">
                  <v>Afforestation</v>
                </pt>
                <pt idx="1">
                  <v>Perennial</v>
                </pt>
                <pt idx="2">
                  <v>Forest mngt.</v>
                </pt>
                <pt idx="3">
                  <v xml:space="preserve">Other land-use </v>
                </pt>
                <pt idx="4">
                  <v xml:space="preserve">Grasslands </v>
                </pt>
                <pt idx="5">
                  <v>Annual</v>
                </pt>
                <pt idx="6">
                  <v>Deforestation</v>
                </pt>
                <pt idx="7">
                  <v>Flooded rice</v>
                </pt>
              </strCache>
            </strRef>
          </tx>
          <spPr>
            <a:solidFill>
              <a:srgbClr val="C00000"/>
            </a:solidFill>
            <a:ln>
              <a:noFill/>
              <a:prstDash val="solid"/>
            </a:ln>
          </spPr>
          <invertIfNegative val="0"/>
          <dLbls>
            <delete val="1"/>
          </dLbls>
          <cat>
            <strRef>
              <f>Graph!$G$29:$G$40</f>
              <strCache>
                <ptCount val="8"/>
                <pt idx="0">
                  <v>Afforestation</v>
                </pt>
                <pt idx="1">
                  <v>Perennial</v>
                </pt>
                <pt idx="2">
                  <v>Forest mngt.</v>
                </pt>
                <pt idx="3">
                  <v xml:space="preserve">Other land-use </v>
                </pt>
                <pt idx="4">
                  <v xml:space="preserve">Grasslands </v>
                </pt>
                <pt idx="5">
                  <v>Annual</v>
                </pt>
                <pt idx="6">
                  <v>Deforestation</v>
                </pt>
                <pt idx="7">
                  <v>Flooded rice</v>
                </pt>
              </strCache>
            </strRef>
          </cat>
          <val>
            <numRef>
              <f>[0]!positivefluxesbalance</f>
              <numCache>
                <formatCode>#,##0</formatCode>
                <ptCount val="8"/>
                <pt idx="0">
                  <v>0</v>
                </pt>
                <pt idx="1">
                  <v>0</v>
                </pt>
                <pt idx="2">
                  <v>0</v>
                </pt>
                <pt idx="3">
                  <v>0</v>
                </pt>
                <pt idx="4">
                  <v>0</v>
                </pt>
                <pt idx="5">
                  <v>1554.147888642154</v>
                </pt>
                <pt idx="6">
                  <v>38801.87523333333</v>
                </pt>
                <pt idx="7">
                  <v>225777.8544</v>
                </pt>
              </numCache>
            </numRef>
          </val>
        </ser>
        <dLbls>
          <dLblPos val="inBase"/>
          <showLegendKey val="0"/>
          <showVal val="1"/>
          <showCatName val="0"/>
          <showSerName val="0"/>
          <showPercent val="0"/>
          <showBubbleSize val="0"/>
        </dLbls>
        <gapWidth val="10"/>
        <overlap val="100"/>
        <axId val="584202896"/>
        <axId val="584203880"/>
      </barChart>
      <catAx>
        <axId val="584202896"/>
        <scaling>
          <orientation val="minMax"/>
        </scaling>
        <delete val="1"/>
        <axPos val="l"/>
        <numFmt formatCode="General" sourceLinked="1"/>
        <majorTickMark val="out"/>
        <minorTickMark val="none"/>
        <tickLblPos val="nextTo"/>
        <crossAx val="584203880"/>
        <crosses val="autoZero"/>
        <auto val="1"/>
        <lblAlgn val="ctr"/>
        <lblOffset val="100"/>
        <noMultiLvlLbl val="0"/>
      </catAx>
      <valAx>
        <axId val="584203880"/>
        <scaling>
          <orientation val="minMax"/>
        </scaling>
        <delete val="0"/>
        <axPos val="b"/>
        <numFmt formatCode="#,##0" sourceLinked="1"/>
        <majorTickMark val="out"/>
        <minorTickMark val="none"/>
        <tickLblPos val="nextTo"/>
        <spPr>
          <a:noFill/>
          <a:ln>
            <a:solidFill>
              <a:schemeClr val="tx1"/>
            </a:solidFill>
            <a:prstDash val="solid"/>
          </a:ln>
        </spPr>
        <txPr>
          <a:bodyPr rot="-60000000" spcFirstLastPara="1" vertOverflow="ellipsis" vert="horz" wrap="square" anchor="ctr" anchorCtr="1"/>
          <a:lstStyle/>
          <a:p>
            <a:pPr>
              <a:defRPr sz="1200" b="0" i="0" strike="noStrike" kern="1200" baseline="0">
                <a:solidFill>
                  <a:sysClr val="windowText" lastClr="000000"/>
                </a:solidFill>
                <a:latin typeface="Roboto" panose="02000000000000000000" pitchFamily="2" charset="0"/>
                <a:ea typeface="Roboto" panose="02000000000000000000" pitchFamily="2" charset="0"/>
                <a:cs typeface="+mn-cs"/>
              </a:defRPr>
            </a:pPr>
            <a:r>
              <a:t>None</a:t>
            </a:r>
            <a:endParaRPr lang="en-IT"/>
          </a:p>
        </txPr>
        <crossAx val="584202896"/>
        <crosses val="autoZero"/>
        <crossBetween val="between"/>
      </valAx>
    </plotArea>
    <plotVisOnly val="1"/>
    <dispBlanksAs val="zero"/>
  </chart>
  <spPr>
    <a:solidFill>
      <a:schemeClr val="bg1"/>
    </a:solidFill>
    <a:ln w="9525" cap="flat" cmpd="sng" algn="ctr">
      <a:noFill/>
      <a:prstDash val="solid"/>
      <a:roun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05591340065542655"/>
          <y val="0.01840437451101879"/>
          <w val="0.8982371625747723"/>
          <h val="0.9005625146499773"/>
        </manualLayout>
      </layout>
      <barChart>
        <barDir val="bar"/>
        <grouping val="clustered"/>
        <varyColors val="0"/>
        <ser>
          <idx val="0"/>
          <order val="0"/>
          <tx>
            <v>Net fluxes</v>
          </tx>
          <spPr>
            <a:solidFill>
              <a:srgbClr val="238823"/>
            </a:solidFill>
            <a:ln>
              <a:noFill/>
              <a:prstDash val="solid"/>
            </a:ln>
          </spPr>
          <invertIfNegative val="0"/>
          <dPt>
            <idx val="2"/>
            <invertIfNegative val="0"/>
            <bubble3D val="0"/>
            <spPr>
              <a:solidFill>
                <a:srgbClr val="238823"/>
              </a:solidFill>
              <a:ln>
                <a:noFill/>
                <a:prstDash val="solid"/>
              </a:ln>
            </spPr>
          </dPt>
          <cat>
            <strRef>
              <f>Graph!$C$6:$E$6</f>
              <strCache>
                <ptCount val="3"/>
                <pt idx="0">
                  <v>WITHOUT</v>
                </pt>
                <pt idx="1">
                  <v>WITH</v>
                </pt>
                <pt idx="2">
                  <v>BALANCE</v>
                </pt>
              </strCache>
            </strRef>
          </cat>
          <val>
            <numRef>
              <f>Graph!$C$20:$E$20</f>
              <numCache>
                <formatCode>#,##0</formatCode>
                <ptCount val="3"/>
                <pt idx="0">
                  <v>-1886646.851758369</v>
                </pt>
                <pt idx="1">
                  <v>-3822283.351927429</v>
                </pt>
                <pt idx="2">
                  <v>-1935636.50016906</v>
                </pt>
              </numCache>
            </numRef>
          </val>
        </ser>
        <ser>
          <idx val="1"/>
          <order val="1"/>
          <tx>
            <v>postivenetfluxes</v>
          </tx>
          <spPr>
            <a:solidFill>
              <a:srgbClr val="C00000"/>
            </a:solidFill>
            <a:ln>
              <a:noFill/>
              <a:prstDash val="solid"/>
            </a:ln>
          </spPr>
          <invertIfNegative val="0"/>
          <cat>
            <strRef>
              <f>Graph!$C$6:$E$6</f>
              <strCache>
                <ptCount val="3"/>
                <pt idx="0">
                  <v>WITHOUT</v>
                </pt>
                <pt idx="1">
                  <v>WITH</v>
                </pt>
                <pt idx="2">
                  <v>BALANCE</v>
                </pt>
              </strCache>
            </strRef>
          </cat>
          <val>
            <numRef>
              <f>Graph!$C$23:$E$23</f>
              <numCache>
                <formatCode>#,##0</formatCode>
                <ptCount val="3"/>
                <pt idx="0">
                  <v>0</v>
                </pt>
                <pt idx="1">
                  <v>0</v>
                </pt>
                <pt idx="2">
                  <v>0</v>
                </pt>
              </numCache>
            </numRef>
          </val>
        </ser>
        <ser>
          <idx val="2"/>
          <order val="2"/>
          <tx>
            <v>Label</v>
          </tx>
          <spPr>
            <a:solidFill>
              <a:schemeClr val="bg1"/>
            </a:solidFill>
            <a:ln>
              <a:noFill/>
              <a:prstDash val="solid"/>
            </a:ln>
          </spPr>
          <invertIfNegative val="0"/>
          <dLbls>
            <spPr>
              <a:noFill/>
              <a:ln>
                <a:noFill/>
                <a:prstDash val="solid"/>
              </a:ln>
            </spPr>
            <txPr>
              <a:bodyPr rot="0" spcFirstLastPara="1" vertOverflow="ellipsis" vert="horz" wrap="square" lIns="38100" tIns="19050" rIns="38100" bIns="19050" anchor="ctr" anchorCtr="1">
                <a:spAutoFit/>
              </a:bodyPr>
              <a:lstStyle/>
              <a:p>
                <a:pPr>
                  <a:defRPr sz="1600" b="0" i="0" strike="noStrike" kern="1200" baseline="0">
                    <a:solidFill>
                      <a:sysClr val="windowText" lastClr="000000"/>
                    </a:solidFill>
                    <a:latin typeface="Roboto" panose="02000000000000000000" pitchFamily="2" charset="0"/>
                    <a:ea typeface="Roboto" panose="02000000000000000000" pitchFamily="2" charset="0"/>
                    <a:cs typeface="+mn-cs"/>
                  </a:defRPr>
                </a:pPr>
                <a:r>
                  <a:t>None</a:t>
                </a:r>
                <a:endParaRPr lang="en-IT"/>
              </a:p>
            </txPr>
            <dLblPos val="inEnd"/>
            <showLegendKey val="0"/>
            <showVal val="0"/>
            <showCatName val="1"/>
            <showSerName val="0"/>
            <showPercent val="0"/>
            <showBubbleSize val="0"/>
            <showLeaderLines val="0"/>
          </dLbls>
          <cat>
            <strRef>
              <f>Graph!$C$6:$E$6</f>
              <strCache>
                <ptCount val="3"/>
                <pt idx="0">
                  <v>WITHOUT</v>
                </pt>
                <pt idx="1">
                  <v>WITH</v>
                </pt>
                <pt idx="2">
                  <v>BALANCE</v>
                </pt>
              </strCache>
            </strRef>
          </cat>
          <val>
            <numRef>
              <f>Graph!$C$24:$E$24</f>
              <numCache>
                <formatCode>General</formatCode>
                <ptCount val="3"/>
                <pt idx="0">
                  <v>1.5</v>
                </pt>
                <pt idx="1">
                  <v>1.5</v>
                </pt>
                <pt idx="2">
                  <v>1.5</v>
                </pt>
              </numCache>
            </numRef>
          </val>
        </ser>
        <dLbls>
          <showLegendKey val="0"/>
          <showVal val="0"/>
          <showCatName val="0"/>
          <showSerName val="0"/>
          <showPercent val="0"/>
          <showBubbleSize val="0"/>
        </dLbls>
        <gapWidth val="15"/>
        <overlap val="100"/>
        <axId val="844109320"/>
        <axId val="844110632"/>
      </barChart>
      <catAx>
        <axId val="844109320"/>
        <scaling>
          <orientation val="minMax"/>
        </scaling>
        <delete val="1"/>
        <axPos val="l"/>
        <numFmt formatCode="General" sourceLinked="1"/>
        <majorTickMark val="none"/>
        <minorTickMark val="none"/>
        <tickLblPos val="nextTo"/>
        <crossAx val="844110632"/>
        <crosses val="autoZero"/>
        <auto val="1"/>
        <lblAlgn val="ctr"/>
        <lblOffset val="100"/>
        <noMultiLvlLbl val="0"/>
      </catAx>
      <valAx>
        <axId val="844110632"/>
        <scaling>
          <orientation val="minMax"/>
        </scaling>
        <delete val="0"/>
        <axPos val="b"/>
        <numFmt formatCode="#,##0" sourceLinked="1"/>
        <majorTickMark val="out"/>
        <minorTickMark val="none"/>
        <tickLblPos val="nextTo"/>
        <spPr>
          <a:noFill/>
          <a:ln>
            <a:solidFill>
              <a:schemeClr val="tx1"/>
            </a:solidFill>
            <a:prstDash val="solid"/>
          </a:ln>
        </spPr>
        <txPr>
          <a:bodyPr rot="-60000000" spcFirstLastPara="1" vertOverflow="ellipsis" vert="horz" wrap="square" anchor="ctr" anchorCtr="1"/>
          <a:lstStyle/>
          <a:p>
            <a:pPr>
              <a:defRPr sz="1050" b="0" i="0" strike="noStrike" kern="1200" baseline="0">
                <a:solidFill>
                  <a:sysClr val="windowText" lastClr="000000"/>
                </a:solidFill>
                <a:latin typeface="Roboto" panose="02000000000000000000" pitchFamily="2" charset="0"/>
                <a:ea typeface="Roboto" panose="02000000000000000000" pitchFamily="2" charset="0"/>
                <a:cs typeface="+mn-cs"/>
              </a:defRPr>
            </a:pPr>
            <a:r>
              <a:t>None</a:t>
            </a:r>
            <a:endParaRPr lang="en-IT"/>
          </a:p>
        </txPr>
        <crossAx val="844109320"/>
        <crosses val="autoZero"/>
        <crossBetween val="between"/>
      </valAx>
    </plotArea>
    <plotVisOnly val="1"/>
    <dispBlanksAs val="gap"/>
  </chart>
  <spPr>
    <a:solidFill>
      <a:schemeClr val="bg1"/>
    </a:solidFill>
    <a:ln w="9525" cap="flat" cmpd="sng" algn="ctr">
      <a:noFill/>
      <a:prstDash val="solid"/>
      <a:round/>
    </a:ln>
  </spPr>
</chartSpace>
</file>

<file path=xl/charts/chart3.xml><?xml version="1.0" encoding="utf-8"?>
<chartSpace xmlns:a="http://schemas.openxmlformats.org/drawingml/2006/main" xmlns="http://schemas.openxmlformats.org/drawingml/2006/chart">
  <chart>
    <plotArea>
      <layout>
        <manualLayout>
          <layoutTarget val="inner"/>
          <xMode val="edge"/>
          <yMode val="edge"/>
          <wMode val="factor"/>
          <hMode val="factor"/>
          <x val="0.05591340065542655"/>
          <y val="0.03842804769781687"/>
          <w val="0.9072071797076434"/>
          <h val="0.8805388322621549"/>
        </manualLayout>
      </layout>
      <barChart>
        <barDir val="bar"/>
        <grouping val="clustered"/>
        <varyColors val="0"/>
        <ser>
          <idx val="0"/>
          <order val="0"/>
          <tx>
            <v>GHG share</v>
          </tx>
          <spPr>
            <a:solidFill>
              <a:srgbClr val="238823"/>
            </a:solidFill>
            <a:ln>
              <a:noFill/>
              <a:prstDash val="solid"/>
            </a:ln>
          </spPr>
          <invertIfNegative val="0"/>
          <cat>
            <strRef>
              <f>Graph!$G$6:$K$6</f>
              <strCache>
                <ptCount val="5"/>
                <pt idx="0">
                  <v>CO2 BIOMASS</v>
                </pt>
                <pt idx="1">
                  <v>CO2 SOIL</v>
                </pt>
                <pt idx="2">
                  <v>N2O</v>
                </pt>
                <pt idx="3">
                  <v>CH4</v>
                </pt>
                <pt idx="4">
                  <v>OTHER</v>
                </pt>
              </strCache>
            </strRef>
          </cat>
          <val>
            <numRef>
              <f>Graph!$G$20:$K$20</f>
              <numCache>
                <formatCode>#,##0</formatCode>
                <ptCount val="5"/>
                <pt idx="0">
                  <v>-1781179.158598774</v>
                </pt>
                <pt idx="1">
                  <v>-382351.303125</v>
                </pt>
                <pt idx="2">
                  <v>43642.31355471358</v>
                </pt>
                <pt idx="3">
                  <v>184251.648</v>
                </pt>
                <pt idx="4">
                  <v>0</v>
                </pt>
              </numCache>
            </numRef>
          </val>
        </ser>
        <ser>
          <idx val="1"/>
          <order val="1"/>
          <tx>
            <v>postivenetfluxes</v>
          </tx>
          <spPr>
            <a:solidFill>
              <a:srgbClr val="C00000"/>
            </a:solidFill>
            <a:ln>
              <a:noFill/>
              <a:prstDash val="solid"/>
            </a:ln>
          </spPr>
          <invertIfNegative val="0"/>
          <cat>
            <strRef>
              <f>Graph!$G$6:$K$6</f>
              <strCache>
                <ptCount val="5"/>
                <pt idx="0">
                  <v>CO2 BIOMASS</v>
                </pt>
                <pt idx="1">
                  <v>CO2 SOIL</v>
                </pt>
                <pt idx="2">
                  <v>N2O</v>
                </pt>
                <pt idx="3">
                  <v>CH4</v>
                </pt>
                <pt idx="4">
                  <v>OTHER</v>
                </pt>
              </strCache>
            </strRef>
          </cat>
          <val>
            <numRef>
              <f>Graph!$G$23:$K$23</f>
              <numCache>
                <formatCode>#,##0</formatCode>
                <ptCount val="5"/>
                <pt idx="0">
                  <v>0</v>
                </pt>
                <pt idx="1">
                  <v>0</v>
                </pt>
                <pt idx="2">
                  <v>43642.31355471358</v>
                </pt>
                <pt idx="3">
                  <v>184251.648</v>
                </pt>
                <pt idx="4">
                  <v>0</v>
                </pt>
              </numCache>
            </numRef>
          </val>
        </ser>
        <ser>
          <idx val="2"/>
          <order val="2"/>
          <tx>
            <v>Label</v>
          </tx>
          <spPr>
            <a:solidFill>
              <a:schemeClr val="bg1"/>
            </a:solidFill>
            <a:ln>
              <a:noFill/>
              <a:prstDash val="solid"/>
            </a:ln>
          </spPr>
          <invertIfNegative val="0"/>
          <dLbls>
            <spPr>
              <a:noFill/>
              <a:ln>
                <a:noFill/>
                <a:prstDash val="solid"/>
              </a:ln>
            </spPr>
            <txPr>
              <a:bodyPr rot="0" spcFirstLastPara="1" vertOverflow="ellipsis" vert="horz" wrap="square" lIns="38100" tIns="19050" rIns="38100" bIns="19050" anchor="ctr" anchorCtr="1">
                <a:spAutoFit/>
              </a:bodyPr>
              <a:lstStyle/>
              <a:p>
                <a:pPr>
                  <a:defRPr sz="1600" b="0" i="0" strike="noStrike" kern="1200" baseline="0">
                    <a:solidFill>
                      <a:sysClr val="windowText" lastClr="000000"/>
                    </a:solidFill>
                    <a:latin typeface="Roboto" panose="02000000000000000000" pitchFamily="2" charset="0"/>
                    <a:ea typeface="Roboto" panose="02000000000000000000" pitchFamily="2" charset="0"/>
                    <a:cs typeface="+mn-cs"/>
                  </a:defRPr>
                </a:pPr>
                <a:r>
                  <a:t>None</a:t>
                </a:r>
                <a:endParaRPr lang="en-IT"/>
              </a:p>
            </txPr>
            <dLblPos val="inBase"/>
            <showLegendKey val="0"/>
            <showVal val="0"/>
            <showCatName val="1"/>
            <showSerName val="0"/>
            <showPercent val="0"/>
            <showBubbleSize val="0"/>
            <showLeaderLines val="0"/>
          </dLbls>
          <cat>
            <strRef>
              <f>Graph!$G$6:$K$6</f>
              <strCache>
                <ptCount val="5"/>
                <pt idx="0">
                  <v>CO2 BIOMASS</v>
                </pt>
                <pt idx="1">
                  <v>CO2 SOIL</v>
                </pt>
                <pt idx="2">
                  <v>N2O</v>
                </pt>
                <pt idx="3">
                  <v>CH4</v>
                </pt>
                <pt idx="4">
                  <v>OTHER</v>
                </pt>
              </strCache>
            </strRef>
          </cat>
          <val>
            <numRef>
              <f>Graph!$G$24:$K$24</f>
              <numCache>
                <formatCode>General</formatCode>
                <ptCount val="5"/>
                <pt idx="0">
                  <v>1.5</v>
                </pt>
                <pt idx="1">
                  <v>1.5</v>
                </pt>
                <pt idx="2">
                  <v>-1.5</v>
                </pt>
                <pt idx="3">
                  <v>-1.5</v>
                </pt>
                <pt idx="4">
                  <v>1.5</v>
                </pt>
              </numCache>
            </numRef>
          </val>
        </ser>
        <dLbls>
          <showLegendKey val="0"/>
          <showVal val="0"/>
          <showCatName val="0"/>
          <showSerName val="0"/>
          <showPercent val="0"/>
          <showBubbleSize val="0"/>
        </dLbls>
        <gapWidth val="15"/>
        <overlap val="100"/>
        <axId val="844109320"/>
        <axId val="844110632"/>
      </barChart>
      <catAx>
        <axId val="844109320"/>
        <scaling>
          <orientation val="minMax"/>
        </scaling>
        <delete val="1"/>
        <axPos val="l"/>
        <numFmt formatCode="General" sourceLinked="1"/>
        <majorTickMark val="none"/>
        <minorTickMark val="none"/>
        <tickLblPos val="nextTo"/>
        <crossAx val="844110632"/>
        <crosses val="autoZero"/>
        <auto val="1"/>
        <lblAlgn val="ctr"/>
        <lblOffset val="100"/>
        <noMultiLvlLbl val="0"/>
      </catAx>
      <valAx>
        <axId val="844110632"/>
        <scaling>
          <orientation val="minMax"/>
        </scaling>
        <delete val="0"/>
        <axPos val="b"/>
        <numFmt formatCode="#,##0" sourceLinked="1"/>
        <majorTickMark val="out"/>
        <minorTickMark val="none"/>
        <tickLblPos val="nextTo"/>
        <spPr>
          <a:noFill/>
          <a:ln>
            <a:solidFill>
              <a:schemeClr val="tx1"/>
            </a:solidFill>
            <a:prstDash val="solid"/>
          </a:ln>
        </spPr>
        <txPr>
          <a:bodyPr rot="-60000000" spcFirstLastPara="1" vertOverflow="ellipsis" vert="horz" wrap="square" anchor="ctr" anchorCtr="1"/>
          <a:lstStyle/>
          <a:p>
            <a:pPr>
              <a:defRPr sz="1200" b="0" i="0" strike="noStrike" kern="1200" baseline="0">
                <a:solidFill>
                  <a:sysClr val="windowText" lastClr="000000"/>
                </a:solidFill>
                <a:latin typeface="Roboto" panose="02000000000000000000" pitchFamily="2" charset="0"/>
                <a:ea typeface="Roboto" panose="02000000000000000000" pitchFamily="2" charset="0"/>
                <a:cs typeface="+mn-cs"/>
              </a:defRPr>
            </a:pPr>
            <a:r>
              <a:t>None</a:t>
            </a:r>
            <a:endParaRPr lang="en-IT"/>
          </a:p>
        </txPr>
        <crossAx val="844109320"/>
        <crosses val="autoZero"/>
        <crossBetween val="between"/>
      </valAx>
    </plotArea>
    <plotVisOnly val="1"/>
    <dispBlanksAs val="gap"/>
  </chart>
  <spPr>
    <a:solidFill>
      <a:schemeClr val="bg1"/>
    </a:solidFill>
    <a:ln w="9525" cap="flat" cmpd="sng" algn="ctr">
      <a:noFill/>
      <a:prstDash val="solid"/>
      <a:round/>
    </a:ln>
  </spPr>
</chartSpace>
</file>

<file path=xl/charts/chart4.xml><?xml version="1.0" encoding="utf-8"?>
<chartSpace xmlns:a="http://schemas.openxmlformats.org/drawingml/2006/main" xmlns="http://schemas.openxmlformats.org/drawingml/2006/chart">
  <chart>
    <plotArea>
      <layout>
        <manualLayout>
          <layoutTarget val="inner"/>
          <xMode val="edge"/>
          <yMode val="edge"/>
          <wMode val="factor"/>
          <hMode val="factor"/>
          <x val="0.06404928550597844"/>
          <y val="0.04756892367620714"/>
          <w val="0.8780731208335217"/>
          <h val="0.9011585604503056"/>
        </manualLayout>
      </layout>
      <barChart>
        <barDir val="bar"/>
        <grouping val="clustered"/>
        <varyColors val="0"/>
        <ser>
          <idx val="0"/>
          <order val="0"/>
          <tx>
            <v>fluxeswithout</v>
          </tx>
          <spPr>
            <a:solidFill>
              <a:schemeClr val="accent1"/>
            </a:solidFill>
            <a:ln>
              <a:noFill/>
              <a:prstDash val="solid"/>
            </a:ln>
          </spPr>
          <invertIfNegative val="0"/>
          <cat>
            <strRef>
              <f>Graph!$B$105:$B$108</f>
              <strCache>
                <ptCount val="4"/>
                <pt idx="0">
                  <v>Drainage</v>
                </pt>
                <pt idx="1">
                  <v>Rewetting</v>
                </pt>
                <pt idx="2">
                  <v>Fire</v>
                </pt>
                <pt idx="3">
                  <v>Biomass management</v>
                </pt>
              </strCache>
            </strRef>
          </cat>
          <val>
            <numRef>
              <f>Graph!$D$105:$D$108</f>
              <numCache>
                <formatCode>#,##0</formatCode>
                <ptCount val="4"/>
                <pt idx="0">
                  <v>0</v>
                </pt>
                <pt idx="1">
                  <v>0</v>
                </pt>
                <pt idx="2">
                  <v>0</v>
                </pt>
                <pt idx="3">
                  <v>0</v>
                </pt>
              </numCache>
            </numRef>
          </val>
        </ser>
        <ser>
          <idx val="1"/>
          <order val="1"/>
          <tx>
            <strRef>
              <f>[0]!ActivitiesWithout</f>
              <strCache>
                <ptCount val="12"/>
                <pt idx="0">
                  <v>Perennial</v>
                </pt>
                <pt idx="1">
                  <v>Forest mngt.</v>
                </pt>
              </strCache>
            </strRef>
          </tx>
          <spPr>
            <a:solidFill>
              <a:srgbClr val="C00000"/>
            </a:solidFill>
            <a:ln>
              <a:noFill/>
              <a:prstDash val="solid"/>
            </a:ln>
          </spPr>
          <invertIfNegative val="1"/>
          <cat>
            <strRef>
              <f>Graph!$B$105:$B$108</f>
              <strCache>
                <ptCount val="4"/>
                <pt idx="0">
                  <v>Drainage</v>
                </pt>
                <pt idx="1">
                  <v>Rewetting</v>
                </pt>
                <pt idx="2">
                  <v>Fire</v>
                </pt>
                <pt idx="3">
                  <v>Biomass management</v>
                </pt>
              </strCache>
            </strRef>
          </cat>
          <val>
            <numRef>
              <f>Graph!$E$105:$E$108</f>
              <numCache>
                <formatCode>#,##0</formatCode>
                <ptCount val="4"/>
                <pt idx="0">
                  <v>0</v>
                </pt>
                <pt idx="1">
                  <v>0</v>
                </pt>
                <pt idx="2">
                  <v>0</v>
                </pt>
                <pt idx="3">
                  <v>0</v>
                </pt>
              </numCache>
            </numRef>
          </val>
        </ser>
        <ser>
          <idx val="2"/>
          <order val="2"/>
          <tx>
            <v>labels</v>
          </tx>
          <spPr>
            <a:solidFill>
              <a:schemeClr val="bg1"/>
            </a:solidFill>
            <a:ln>
              <a:noFill/>
              <a:prstDash val="solid"/>
            </a:ln>
          </spPr>
          <invertIfNegative val="0"/>
          <dLbls>
            <spPr>
              <a:noFill/>
              <a:ln>
                <a:noFill/>
                <a:prstDash val="solid"/>
              </a:ln>
            </spPr>
            <txPr>
              <a:bodyPr rot="0" spcFirstLastPara="1" vertOverflow="ellipsis" vert="horz" wrap="square" lIns="38100" tIns="19050" rIns="38100" bIns="19050" anchor="ctr" anchorCtr="1">
                <a:spAutoFit/>
              </a:bodyPr>
              <a:lstStyle/>
              <a:p>
                <a:pPr>
                  <a:defRPr sz="1200" b="0" i="0" strike="noStrike" kern="1200" baseline="0">
                    <a:solidFill>
                      <a:sysClr val="windowText" lastClr="000000"/>
                    </a:solidFill>
                    <a:latin typeface="Roboto" panose="02000000000000000000" pitchFamily="2" charset="0"/>
                    <a:ea typeface="Roboto" panose="02000000000000000000" pitchFamily="2" charset="0"/>
                    <a:cs typeface="+mn-cs"/>
                  </a:defRPr>
                </a:pPr>
                <a:r>
                  <a:t>None</a:t>
                </a:r>
                <a:endParaRPr lang="en-IT"/>
              </a:p>
            </txPr>
            <dLblPos val="inBase"/>
            <showLegendKey val="0"/>
            <showVal val="0"/>
            <showCatName val="1"/>
            <showSerName val="0"/>
            <showPercent val="0"/>
            <showBubbleSize val="0"/>
            <showLeaderLines val="0"/>
          </dLbls>
          <cat>
            <strRef>
              <f>Graph!$B$105:$B$108</f>
              <strCache>
                <ptCount val="4"/>
                <pt idx="0">
                  <v>Drainage</v>
                </pt>
                <pt idx="1">
                  <v>Rewetting</v>
                </pt>
                <pt idx="2">
                  <v>Fire</v>
                </pt>
                <pt idx="3">
                  <v>Biomass management</v>
                </pt>
              </strCache>
            </strRef>
          </cat>
          <val>
            <numRef>
              <f>Graph!$F$105:$F$108</f>
              <numCache>
                <formatCode>General</formatCode>
                <ptCount val="4"/>
                <pt idx="0">
                  <v>1</v>
                </pt>
                <pt idx="1">
                  <v>1</v>
                </pt>
                <pt idx="2">
                  <v>1</v>
                </pt>
                <pt idx="3">
                  <v>1</v>
                </pt>
              </numCache>
            </numRef>
          </val>
        </ser>
        <dLbls>
          <showLegendKey val="0"/>
          <showVal val="0"/>
          <showCatName val="0"/>
          <showSerName val="0"/>
          <showPercent val="0"/>
          <showBubbleSize val="0"/>
        </dLbls>
        <gapWidth val="10"/>
        <overlap val="100"/>
        <axId val="636120928"/>
        <axId val="636115024"/>
      </barChart>
      <catAx>
        <axId val="636120928"/>
        <scaling>
          <orientation val="minMax"/>
        </scaling>
        <delete val="1"/>
        <axPos val="l"/>
        <numFmt formatCode="General" sourceLinked="1"/>
        <majorTickMark val="out"/>
        <minorTickMark val="none"/>
        <tickLblPos val="nextTo"/>
        <crossAx val="636115024"/>
        <crosses val="autoZero"/>
        <auto val="1"/>
        <lblAlgn val="ctr"/>
        <lblOffset val="100"/>
        <noMultiLvlLbl val="0"/>
      </catAx>
      <valAx>
        <axId val="636115024"/>
        <scaling>
          <orientation val="minMax"/>
        </scaling>
        <delete val="0"/>
        <axPos val="b"/>
        <numFmt formatCode="#,##0" sourceLinked="1"/>
        <majorTickMark val="out"/>
        <minorTickMark val="none"/>
        <tickLblPos val="nextTo"/>
        <spPr>
          <a:noFill/>
          <a:ln>
            <a:solidFill>
              <a:schemeClr val="tx1"/>
            </a:solidFill>
            <a:prstDash val="solid"/>
          </a:ln>
        </spPr>
        <txPr>
          <a:bodyPr rot="-60000000" spcFirstLastPara="1" vertOverflow="ellipsis" vert="horz" wrap="square" anchor="ctr" anchorCtr="1"/>
          <a:lstStyle/>
          <a:p>
            <a:pPr>
              <a:defRPr sz="1050" b="0" i="0" strike="noStrike" kern="1200" baseline="0">
                <a:solidFill>
                  <a:sysClr val="windowText" lastClr="000000"/>
                </a:solidFill>
                <a:latin typeface="Roboto" panose="02000000000000000000" pitchFamily="2" charset="0"/>
                <a:ea typeface="Roboto" panose="02000000000000000000" pitchFamily="2" charset="0"/>
                <a:cs typeface="+mn-cs"/>
              </a:defRPr>
            </a:pPr>
            <a:r>
              <a:t>None</a:t>
            </a:r>
            <a:endParaRPr lang="en-IT"/>
          </a:p>
        </txPr>
        <crossAx val="636120928"/>
        <crosses val="autoZero"/>
        <crossBetween val="between"/>
      </valAx>
    </plotArea>
    <plotVisOnly val="1"/>
    <dispBlanksAs val="zero"/>
  </chart>
  <spPr>
    <a:noFill/>
    <a:ln w="9525" cap="flat" cmpd="sng" algn="ctr">
      <a:noFill/>
      <a:prstDash val="solid"/>
      <a:round/>
    </a:ln>
  </spPr>
</chartSpace>
</file>

<file path=xl/charts/chart5.xml><?xml version="1.0" encoding="utf-8"?>
<chartSpace xmlns:a="http://schemas.openxmlformats.org/drawingml/2006/main" xmlns="http://schemas.openxmlformats.org/drawingml/2006/chart">
  <chart>
    <plotArea>
      <layout>
        <manualLayout>
          <layoutTarget val="inner"/>
          <xMode val="edge"/>
          <yMode val="edge"/>
          <wMode val="factor"/>
          <hMode val="factor"/>
          <x val="0.0572674796105134"/>
          <y val="0.03842804769781687"/>
          <w val="0.9072071797076434"/>
          <h val="0.8805388322621549"/>
        </manualLayout>
      </layout>
      <barChart>
        <barDir val="bar"/>
        <grouping val="clustered"/>
        <varyColors val="0"/>
        <ser>
          <idx val="0"/>
          <order val="0"/>
          <tx>
            <v>GHG share</v>
          </tx>
          <spPr>
            <a:solidFill>
              <a:srgbClr val="C00000"/>
            </a:solidFill>
            <a:ln>
              <a:noFill/>
              <a:prstDash val="solid"/>
            </a:ln>
          </spPr>
          <invertIfNegative val="1"/>
          <cat>
            <strRef>
              <f>Graph!$H$79:$L$79</f>
              <strCache>
                <ptCount val="5"/>
                <pt idx="0">
                  <v>CO2 BIOMASS</v>
                </pt>
                <pt idx="1">
                  <v>CO2 SOIL</v>
                </pt>
                <pt idx="2">
                  <v>N2O SOIL</v>
                </pt>
                <pt idx="3">
                  <v>CH4 SOIL</v>
                </pt>
                <pt idx="4">
                  <v>FIRE</v>
                </pt>
              </strCache>
            </strRef>
          </cat>
          <val>
            <numRef>
              <f>Graph!$H$87:$L$87</f>
              <numCache>
                <formatCode>#,##0</formatCode>
                <ptCount val="5"/>
                <pt idx="0">
                  <v>0</v>
                </pt>
                <pt idx="1">
                  <v>0</v>
                </pt>
                <pt idx="2">
                  <v>0</v>
                </pt>
                <pt idx="3">
                  <v>0</v>
                </pt>
                <pt idx="4">
                  <v>0</v>
                </pt>
              </numCache>
            </numRef>
          </val>
        </ser>
        <ser>
          <idx val="1"/>
          <order val="1"/>
          <tx>
            <v>postivenetfluxes</v>
          </tx>
          <spPr>
            <a:solidFill>
              <a:srgbClr val="C00000"/>
            </a:solidFill>
            <a:ln>
              <a:noFill/>
              <a:prstDash val="solid"/>
            </a:ln>
          </spPr>
          <invertIfNegative val="1"/>
          <cat>
            <strRef>
              <f>Graph!$H$79:$L$79</f>
              <strCache>
                <ptCount val="5"/>
                <pt idx="0">
                  <v>CO2 BIOMASS</v>
                </pt>
                <pt idx="1">
                  <v>CO2 SOIL</v>
                </pt>
                <pt idx="2">
                  <v>N2O SOIL</v>
                </pt>
                <pt idx="3">
                  <v>CH4 SOIL</v>
                </pt>
                <pt idx="4">
                  <v>FIRE</v>
                </pt>
              </strCache>
            </strRef>
          </cat>
          <val>
            <numRef>
              <f>Graph!$H$90:$L$90</f>
              <numCache>
                <formatCode>#,##0</formatCode>
                <ptCount val="5"/>
                <pt idx="0">
                  <v>0</v>
                </pt>
                <pt idx="1">
                  <v>0</v>
                </pt>
                <pt idx="2">
                  <v>0</v>
                </pt>
                <pt idx="3">
                  <v>0</v>
                </pt>
                <pt idx="4">
                  <v>0</v>
                </pt>
              </numCache>
            </numRef>
          </val>
        </ser>
        <ser>
          <idx val="2"/>
          <order val="2"/>
          <tx>
            <v>Label</v>
          </tx>
          <spPr>
            <a:solidFill>
              <a:schemeClr val="bg1"/>
            </a:solidFill>
            <a:ln>
              <a:noFill/>
              <a:prstDash val="solid"/>
            </a:ln>
          </spPr>
          <invertIfNegative val="0"/>
          <dLbls>
            <spPr>
              <a:noFill/>
              <a:ln>
                <a:noFill/>
                <a:prstDash val="solid"/>
              </a:ln>
            </spPr>
            <txPr>
              <a:bodyPr rot="0" spcFirstLastPara="1" vertOverflow="ellipsis" vert="horz" wrap="square" lIns="38100" tIns="19050" rIns="38100" bIns="19050" anchor="ctr" anchorCtr="1">
                <a:spAutoFit/>
              </a:bodyPr>
              <a:lstStyle/>
              <a:p>
                <a:pPr>
                  <a:defRPr sz="1200" b="0" i="0" strike="noStrike" kern="1200" baseline="0">
                    <a:solidFill>
                      <a:sysClr val="windowText" lastClr="000000"/>
                    </a:solidFill>
                    <a:latin typeface="Roboto" panose="02000000000000000000" pitchFamily="2" charset="0"/>
                    <a:ea typeface="Roboto" panose="02000000000000000000" pitchFamily="2" charset="0"/>
                    <a:cs typeface="+mn-cs"/>
                  </a:defRPr>
                </a:pPr>
                <a:r>
                  <a:t>None</a:t>
                </a:r>
                <a:endParaRPr lang="en-IT"/>
              </a:p>
            </txPr>
            <dLblPos val="inBase"/>
            <showLegendKey val="0"/>
            <showVal val="0"/>
            <showCatName val="1"/>
            <showSerName val="0"/>
            <showPercent val="0"/>
            <showBubbleSize val="0"/>
            <showLeaderLines val="0"/>
          </dLbls>
          <cat>
            <strRef>
              <f>Graph!$H$79:$L$79</f>
              <strCache>
                <ptCount val="5"/>
                <pt idx="0">
                  <v>CO2 BIOMASS</v>
                </pt>
                <pt idx="1">
                  <v>CO2 SOIL</v>
                </pt>
                <pt idx="2">
                  <v>N2O SOIL</v>
                </pt>
                <pt idx="3">
                  <v>CH4 SOIL</v>
                </pt>
                <pt idx="4">
                  <v>FIRE</v>
                </pt>
              </strCache>
            </strRef>
          </cat>
          <val>
            <numRef>
              <f>Graph!$H$91:$L$91</f>
              <numCache>
                <formatCode>General</formatCode>
                <ptCount val="5"/>
                <pt idx="0">
                  <v>1.5</v>
                </pt>
                <pt idx="1">
                  <v>1.5</v>
                </pt>
                <pt idx="2">
                  <v>1.5</v>
                </pt>
                <pt idx="3">
                  <v>1.5</v>
                </pt>
                <pt idx="4">
                  <v>1.5</v>
                </pt>
              </numCache>
            </numRef>
          </val>
        </ser>
        <dLbls>
          <showLegendKey val="0"/>
          <showVal val="0"/>
          <showCatName val="0"/>
          <showSerName val="0"/>
          <showPercent val="0"/>
          <showBubbleSize val="0"/>
        </dLbls>
        <gapWidth val="15"/>
        <overlap val="100"/>
        <axId val="844109320"/>
        <axId val="844110632"/>
      </barChart>
      <catAx>
        <axId val="844109320"/>
        <scaling>
          <orientation val="minMax"/>
        </scaling>
        <delete val="1"/>
        <axPos val="l"/>
        <numFmt formatCode="General" sourceLinked="1"/>
        <majorTickMark val="none"/>
        <minorTickMark val="none"/>
        <tickLblPos val="nextTo"/>
        <crossAx val="844110632"/>
        <crosses val="autoZero"/>
        <auto val="1"/>
        <lblAlgn val="ctr"/>
        <lblOffset val="100"/>
        <noMultiLvlLbl val="0"/>
      </catAx>
      <valAx>
        <axId val="844110632"/>
        <scaling>
          <orientation val="minMax"/>
        </scaling>
        <delete val="0"/>
        <axPos val="b"/>
        <numFmt formatCode="#,##0" sourceLinked="1"/>
        <majorTickMark val="out"/>
        <minorTickMark val="none"/>
        <tickLblPos val="nextTo"/>
        <spPr>
          <a:noFill/>
          <a:ln>
            <a:solidFill>
              <a:schemeClr val="tx1"/>
            </a:solidFill>
            <a:prstDash val="solid"/>
          </a:ln>
        </spPr>
        <txPr>
          <a:bodyPr rot="-60000000" spcFirstLastPara="1" vertOverflow="ellipsis" vert="horz" wrap="square" anchor="ctr" anchorCtr="1"/>
          <a:lstStyle/>
          <a:p>
            <a:pPr>
              <a:defRPr sz="1050" b="0" i="0" strike="noStrike" kern="1200" baseline="0">
                <a:solidFill>
                  <a:sysClr val="windowText" lastClr="000000"/>
                </a:solidFill>
                <a:latin typeface="Roboto" panose="02000000000000000000" pitchFamily="2" charset="0"/>
                <a:ea typeface="Roboto" panose="02000000000000000000" pitchFamily="2" charset="0"/>
                <a:cs typeface="+mn-cs"/>
              </a:defRPr>
            </a:pPr>
            <a:r>
              <a:t>None</a:t>
            </a:r>
            <a:endParaRPr lang="en-IT"/>
          </a:p>
        </txPr>
        <crossAx val="844109320"/>
        <crosses val="autoZero"/>
        <crossBetween val="between"/>
      </valAx>
    </plotArea>
    <plotVisOnly val="1"/>
    <dispBlanksAs val="gap"/>
  </chart>
  <spPr>
    <a:solidFill>
      <a:schemeClr val="bg1"/>
    </a:solidFill>
    <a:ln w="9525" cap="flat" cmpd="sng" algn="ctr">
      <a:noFill/>
      <a:prstDash val="solid"/>
      <a:round/>
    </a:ln>
  </spPr>
</chartSpace>
</file>

<file path=xl/charts/chart6.xml><?xml version="1.0" encoding="utf-8"?>
<chartSpace xmlns:a="http://schemas.openxmlformats.org/drawingml/2006/main" xmlns="http://schemas.openxmlformats.org/drawingml/2006/chart">
  <chart>
    <plotArea>
      <layout>
        <manualLayout>
          <layoutTarget val="inner"/>
          <xMode val="edge"/>
          <yMode val="edge"/>
          <wMode val="factor"/>
          <hMode val="factor"/>
          <x val="0.05726745949574399"/>
          <y val="0.03842804769781687"/>
          <w val="0.9072071797076434"/>
          <h val="0.8805388322621549"/>
        </manualLayout>
      </layout>
      <barChart>
        <barDir val="bar"/>
        <grouping val="clustered"/>
        <varyColors val="0"/>
        <ser>
          <idx val="0"/>
          <order val="0"/>
          <tx>
            <v>fluxes</v>
          </tx>
          <spPr>
            <a:solidFill>
              <a:srgbClr val="C00000"/>
            </a:solidFill>
            <a:ln>
              <a:noFill/>
              <a:prstDash val="solid"/>
            </a:ln>
          </spPr>
          <invertIfNegative val="1"/>
          <cat>
            <strRef>
              <f>Graph!$D$94:$F$94</f>
              <strCache>
                <ptCount val="3"/>
                <pt idx="0">
                  <v>WITHOUT</v>
                </pt>
                <pt idx="1">
                  <v>WITH</v>
                </pt>
                <pt idx="2">
                  <v>BALANCE</v>
                </pt>
              </strCache>
            </strRef>
          </cat>
          <val>
            <numRef>
              <f>Graph!$D$100:$F$100</f>
              <numCache>
                <formatCode>#,##0</formatCode>
                <ptCount val="3"/>
                <pt idx="0">
                  <v>0</v>
                </pt>
                <pt idx="1">
                  <v>0</v>
                </pt>
                <pt idx="2">
                  <v>0</v>
                </pt>
              </numCache>
            </numRef>
          </val>
        </ser>
        <ser>
          <idx val="1"/>
          <order val="1"/>
          <tx>
            <v>postivenetfluxes</v>
          </tx>
          <spPr>
            <a:solidFill>
              <a:srgbClr val="C00000"/>
            </a:solidFill>
            <a:ln>
              <a:noFill/>
              <a:prstDash val="solid"/>
            </a:ln>
          </spPr>
          <invertIfNegative val="1"/>
          <cat>
            <strRef>
              <f>Graph!$D$94:$F$94</f>
              <strCache>
                <ptCount val="3"/>
                <pt idx="0">
                  <v>WITHOUT</v>
                </pt>
                <pt idx="1">
                  <v>WITH</v>
                </pt>
                <pt idx="2">
                  <v>BALANCE</v>
                </pt>
              </strCache>
            </strRef>
          </cat>
          <val>
            <numRef>
              <f>Graph!$D$101:$F$101</f>
              <numCache>
                <formatCode>#,##0</formatCode>
                <ptCount val="3"/>
                <pt idx="0">
                  <v>0</v>
                </pt>
                <pt idx="1">
                  <v>0</v>
                </pt>
                <pt idx="2">
                  <v>0</v>
                </pt>
              </numCache>
            </numRef>
          </val>
        </ser>
        <ser>
          <idx val="2"/>
          <order val="2"/>
          <tx>
            <v>Label</v>
          </tx>
          <spPr>
            <a:solidFill>
              <a:schemeClr val="bg1"/>
            </a:solidFill>
            <a:ln>
              <a:noFill/>
              <a:prstDash val="solid"/>
            </a:ln>
          </spPr>
          <invertIfNegative val="0"/>
          <dLbls>
            <spPr>
              <a:noFill/>
              <a:ln>
                <a:noFill/>
                <a:prstDash val="solid"/>
              </a:ln>
            </spPr>
            <txPr>
              <a:bodyPr rot="0" spcFirstLastPara="1" vertOverflow="ellipsis" vert="horz" wrap="square" lIns="38100" tIns="19050" rIns="38100" bIns="19050" anchor="ctr" anchorCtr="1">
                <a:spAutoFit/>
              </a:bodyPr>
              <a:lstStyle/>
              <a:p>
                <a:pPr>
                  <a:defRPr sz="1200" b="0" i="0" strike="noStrike" kern="1200" baseline="0">
                    <a:solidFill>
                      <a:sysClr val="windowText" lastClr="000000"/>
                    </a:solidFill>
                    <a:latin typeface="Roboto" panose="02000000000000000000" pitchFamily="2" charset="0"/>
                    <a:ea typeface="Roboto" panose="02000000000000000000" pitchFamily="2" charset="0"/>
                    <a:cs typeface="+mn-cs"/>
                  </a:defRPr>
                </a:pPr>
                <a:r>
                  <a:t>None</a:t>
                </a:r>
                <a:endParaRPr lang="en-IT"/>
              </a:p>
            </txPr>
            <dLblPos val="inBase"/>
            <showLegendKey val="0"/>
            <showVal val="0"/>
            <showCatName val="1"/>
            <showSerName val="0"/>
            <showPercent val="0"/>
            <showBubbleSize val="0"/>
            <showLeaderLines val="0"/>
          </dLbls>
          <cat>
            <strRef>
              <f>Graph!$D$94:$F$94</f>
              <strCache>
                <ptCount val="3"/>
                <pt idx="0">
                  <v>WITHOUT</v>
                </pt>
                <pt idx="1">
                  <v>WITH</v>
                </pt>
                <pt idx="2">
                  <v>BALANCE</v>
                </pt>
              </strCache>
            </strRef>
          </cat>
          <val>
            <numRef>
              <f>Graph!$D$102:$F$102</f>
              <numCache>
                <formatCode>General</formatCode>
                <ptCount val="3"/>
                <pt idx="0">
                  <v>1.5</v>
                </pt>
                <pt idx="1">
                  <v>1.5</v>
                </pt>
                <pt idx="2">
                  <v>1.5</v>
                </pt>
              </numCache>
            </numRef>
          </val>
        </ser>
        <dLbls>
          <showLegendKey val="0"/>
          <showVal val="0"/>
          <showCatName val="0"/>
          <showSerName val="0"/>
          <showPercent val="0"/>
          <showBubbleSize val="0"/>
        </dLbls>
        <gapWidth val="15"/>
        <overlap val="100"/>
        <axId val="844109320"/>
        <axId val="844110632"/>
      </barChart>
      <catAx>
        <axId val="844109320"/>
        <scaling>
          <orientation val="minMax"/>
        </scaling>
        <delete val="1"/>
        <axPos val="l"/>
        <numFmt formatCode="General" sourceLinked="1"/>
        <majorTickMark val="none"/>
        <minorTickMark val="none"/>
        <tickLblPos val="nextTo"/>
        <crossAx val="844110632"/>
        <crosses val="autoZero"/>
        <auto val="1"/>
        <lblAlgn val="ctr"/>
        <lblOffset val="100"/>
        <noMultiLvlLbl val="0"/>
      </catAx>
      <valAx>
        <axId val="844110632"/>
        <scaling>
          <orientation val="minMax"/>
        </scaling>
        <delete val="0"/>
        <axPos val="b"/>
        <numFmt formatCode="#,##0" sourceLinked="1"/>
        <majorTickMark val="out"/>
        <minorTickMark val="none"/>
        <tickLblPos val="nextTo"/>
        <spPr>
          <a:noFill/>
          <a:ln>
            <a:solidFill>
              <a:schemeClr val="tx1"/>
            </a:solidFill>
            <a:prstDash val="solid"/>
          </a:ln>
        </spPr>
        <txPr>
          <a:bodyPr rot="-60000000" spcFirstLastPara="1" vertOverflow="ellipsis" vert="horz" wrap="square" anchor="ctr" anchorCtr="1"/>
          <a:lstStyle/>
          <a:p>
            <a:pPr>
              <a:defRPr sz="1050" b="0" i="0" strike="noStrike" kern="1200" baseline="0">
                <a:solidFill>
                  <a:sysClr val="windowText" lastClr="000000"/>
                </a:solidFill>
                <a:latin typeface="Roboto" panose="02000000000000000000" pitchFamily="2" charset="0"/>
                <a:ea typeface="Roboto" panose="02000000000000000000" pitchFamily="2" charset="0"/>
                <a:cs typeface="+mn-cs"/>
              </a:defRPr>
            </a:pPr>
            <a:r>
              <a:t>None</a:t>
            </a:r>
            <a:endParaRPr lang="en-IT"/>
          </a:p>
        </txPr>
        <crossAx val="844109320"/>
        <crosses val="autoZero"/>
        <crossBetween val="between"/>
      </valAx>
    </plotArea>
    <plotVisOnly val="1"/>
    <dispBlanksAs val="gap"/>
  </chart>
  <spPr>
    <a:solidFill>
      <a:schemeClr val="bg1"/>
    </a:solidFill>
    <a:ln w="9525" cap="flat" cmpd="sng" algn="ctr">
      <a:noFill/>
      <a:prstDash val="solid"/>
      <a:round/>
    </a:ln>
  </spPr>
</chartSpace>
</file>

<file path=xl/charts/chart7.xml><?xml version="1.0" encoding="utf-8"?>
<chartSpace xmlns:a="http://schemas.openxmlformats.org/drawingml/2006/main" xmlns="http://schemas.openxmlformats.org/drawingml/2006/chart">
  <chart>
    <plotArea>
      <layout>
        <manualLayout>
          <layoutTarget val="inner"/>
          <xMode val="edge"/>
          <yMode val="edge"/>
          <wMode val="factor"/>
          <hMode val="factor"/>
          <x val="0.06404928550597844"/>
          <y val="0.04756892367620714"/>
          <w val="0.8780731208335217"/>
          <h val="0.9011585604503056"/>
        </manualLayout>
      </layout>
      <barChart>
        <barDir val="bar"/>
        <grouping val="clustered"/>
        <varyColors val="0"/>
        <ser>
          <idx val="0"/>
          <order val="0"/>
          <tx>
            <v>fluxeswith</v>
          </tx>
          <spPr>
            <a:solidFill>
              <a:srgbClr val="EEA54C"/>
            </a:solidFill>
            <a:ln>
              <a:noFill/>
              <a:prstDash val="solid"/>
            </a:ln>
          </spPr>
          <invertIfNegative val="0"/>
          <cat>
            <strRef>
              <f>Graph!$B$112:$B$115</f>
              <strCache>
                <ptCount val="4"/>
                <pt idx="0">
                  <v>Drainage</v>
                </pt>
                <pt idx="1">
                  <v>Rewetting</v>
                </pt>
                <pt idx="2">
                  <v>Fire</v>
                </pt>
                <pt idx="3">
                  <v>Biomass management</v>
                </pt>
              </strCache>
            </strRef>
          </cat>
          <val>
            <numRef>
              <f>Graph!$D$112:$D$115</f>
              <numCache>
                <formatCode>#,##0</formatCode>
                <ptCount val="4"/>
                <pt idx="0">
                  <v>0</v>
                </pt>
                <pt idx="1">
                  <v>0</v>
                </pt>
                <pt idx="2">
                  <v>0</v>
                </pt>
                <pt idx="3">
                  <v>0</v>
                </pt>
              </numCache>
            </numRef>
          </val>
        </ser>
        <ser>
          <idx val="1"/>
          <order val="1"/>
          <tx>
            <strRef>
              <f>[0]!ActivitiesWithout</f>
              <strCache>
                <ptCount val="12"/>
                <pt idx="0">
                  <v>Perennial</v>
                </pt>
                <pt idx="1">
                  <v>Forest mngt.</v>
                </pt>
              </strCache>
            </strRef>
          </tx>
          <spPr>
            <a:solidFill>
              <a:srgbClr val="C00000"/>
            </a:solidFill>
            <a:ln>
              <a:noFill/>
              <a:prstDash val="solid"/>
            </a:ln>
          </spPr>
          <invertIfNegative val="1"/>
          <cat>
            <strRef>
              <f>Graph!$B$112:$B$115</f>
              <strCache>
                <ptCount val="4"/>
                <pt idx="0">
                  <v>Drainage</v>
                </pt>
                <pt idx="1">
                  <v>Rewetting</v>
                </pt>
                <pt idx="2">
                  <v>Fire</v>
                </pt>
                <pt idx="3">
                  <v>Biomass management</v>
                </pt>
              </strCache>
            </strRef>
          </cat>
          <val>
            <numRef>
              <f>Graph!$E$112:$E$115</f>
              <numCache>
                <formatCode>#,##0</formatCode>
                <ptCount val="4"/>
                <pt idx="0">
                  <v>0</v>
                </pt>
                <pt idx="1">
                  <v>0</v>
                </pt>
                <pt idx="2">
                  <v>0</v>
                </pt>
                <pt idx="3">
                  <v>0</v>
                </pt>
              </numCache>
            </numRef>
          </val>
        </ser>
        <ser>
          <idx val="2"/>
          <order val="2"/>
          <tx>
            <v>labels</v>
          </tx>
          <spPr>
            <a:solidFill>
              <a:schemeClr val="bg1"/>
            </a:solidFill>
            <a:ln>
              <a:noFill/>
              <a:prstDash val="solid"/>
            </a:ln>
          </spPr>
          <invertIfNegative val="0"/>
          <dLbls>
            <spPr>
              <a:noFill/>
              <a:ln>
                <a:noFill/>
                <a:prstDash val="solid"/>
              </a:ln>
            </spPr>
            <txPr>
              <a:bodyPr rot="0" spcFirstLastPara="1" vertOverflow="ellipsis" vert="horz" wrap="square" lIns="38100" tIns="19050" rIns="38100" bIns="19050" anchor="ctr" anchorCtr="1">
                <a:spAutoFit/>
              </a:bodyPr>
              <a:lstStyle/>
              <a:p>
                <a:pPr>
                  <a:defRPr sz="1200" b="0" i="0" strike="noStrike" kern="1200" baseline="0">
                    <a:solidFill>
                      <a:sysClr val="windowText" lastClr="000000"/>
                    </a:solidFill>
                    <a:latin typeface="Roboto" panose="02000000000000000000" pitchFamily="2" charset="0"/>
                    <a:ea typeface="Roboto" panose="02000000000000000000" pitchFamily="2" charset="0"/>
                    <a:cs typeface="+mn-cs"/>
                  </a:defRPr>
                </a:pPr>
                <a:r>
                  <a:t>None</a:t>
                </a:r>
                <a:endParaRPr lang="en-IT"/>
              </a:p>
            </txPr>
            <dLblPos val="inBase"/>
            <showLegendKey val="0"/>
            <showVal val="0"/>
            <showCatName val="1"/>
            <showSerName val="0"/>
            <showPercent val="0"/>
            <showBubbleSize val="0"/>
            <showLeaderLines val="0"/>
          </dLbls>
          <cat>
            <strRef>
              <f>Graph!$B$112:$B$115</f>
              <strCache>
                <ptCount val="4"/>
                <pt idx="0">
                  <v>Drainage</v>
                </pt>
                <pt idx="1">
                  <v>Rewetting</v>
                </pt>
                <pt idx="2">
                  <v>Fire</v>
                </pt>
                <pt idx="3">
                  <v>Biomass management</v>
                </pt>
              </strCache>
            </strRef>
          </cat>
          <val>
            <numRef>
              <f>Graph!$F$112:$F$115</f>
              <numCache>
                <formatCode>General</formatCode>
                <ptCount val="4"/>
                <pt idx="0">
                  <v>1</v>
                </pt>
                <pt idx="1">
                  <v>1</v>
                </pt>
                <pt idx="2">
                  <v>1</v>
                </pt>
                <pt idx="3">
                  <v>1</v>
                </pt>
              </numCache>
            </numRef>
          </val>
        </ser>
        <dLbls>
          <showLegendKey val="0"/>
          <showVal val="0"/>
          <showCatName val="0"/>
          <showSerName val="0"/>
          <showPercent val="0"/>
          <showBubbleSize val="0"/>
        </dLbls>
        <gapWidth val="10"/>
        <overlap val="100"/>
        <axId val="636120928"/>
        <axId val="636115024"/>
      </barChart>
      <catAx>
        <axId val="636120928"/>
        <scaling>
          <orientation val="minMax"/>
        </scaling>
        <delete val="1"/>
        <axPos val="l"/>
        <numFmt formatCode="General" sourceLinked="1"/>
        <majorTickMark val="out"/>
        <minorTickMark val="none"/>
        <tickLblPos val="nextTo"/>
        <crossAx val="636115024"/>
        <crosses val="autoZero"/>
        <auto val="1"/>
        <lblAlgn val="ctr"/>
        <lblOffset val="100"/>
        <noMultiLvlLbl val="0"/>
      </catAx>
      <valAx>
        <axId val="636115024"/>
        <scaling>
          <orientation val="minMax"/>
        </scaling>
        <delete val="0"/>
        <axPos val="b"/>
        <numFmt formatCode="#,##0" sourceLinked="1"/>
        <majorTickMark val="out"/>
        <minorTickMark val="none"/>
        <tickLblPos val="nextTo"/>
        <spPr>
          <a:noFill/>
          <a:ln>
            <a:solidFill>
              <a:schemeClr val="tx1"/>
            </a:solidFill>
            <a:prstDash val="solid"/>
          </a:ln>
        </spPr>
        <txPr>
          <a:bodyPr rot="-60000000" spcFirstLastPara="1" vertOverflow="ellipsis" vert="horz" wrap="square" anchor="ctr" anchorCtr="1"/>
          <a:lstStyle/>
          <a:p>
            <a:pPr>
              <a:defRPr sz="1050" b="0" i="0" strike="noStrike" kern="1200" baseline="0">
                <a:solidFill>
                  <a:sysClr val="windowText" lastClr="000000"/>
                </a:solidFill>
                <a:latin typeface="Roboto" panose="02000000000000000000" pitchFamily="2" charset="0"/>
                <a:ea typeface="Roboto" panose="02000000000000000000" pitchFamily="2" charset="0"/>
                <a:cs typeface="+mn-cs"/>
              </a:defRPr>
            </a:pPr>
            <a:r>
              <a:t>None</a:t>
            </a:r>
            <a:endParaRPr lang="en-IT"/>
          </a:p>
        </txPr>
        <crossAx val="636120928"/>
        <crosses val="autoZero"/>
        <crossBetween val="between"/>
      </valAx>
    </plotArea>
    <plotVisOnly val="1"/>
    <dispBlanksAs val="zero"/>
  </chart>
  <spPr>
    <a:noFill/>
    <a:ln w="9525" cap="flat" cmpd="sng" algn="ctr">
      <a:noFill/>
      <a:prstDash val="solid"/>
      <a:round/>
    </a:ln>
  </spPr>
</chartSpace>
</file>

<file path=xl/charts/chart8.xml><?xml version="1.0" encoding="utf-8"?>
<chartSpace xmlns:a="http://schemas.openxmlformats.org/drawingml/2006/main" xmlns="http://schemas.openxmlformats.org/drawingml/2006/chart">
  <chart>
    <plotArea>
      <layout/>
      <barChart>
        <barDir val="col"/>
        <grouping val="clustered"/>
        <varyColors val="0"/>
        <ser>
          <idx val="0"/>
          <order val="0"/>
          <tx>
            <strRef>
              <f>'10.Results'!$W$67:$X$67</f>
              <strCache>
                <ptCount val="2"/>
                <pt idx="0">
                  <v>Annual carbon balance</v>
                </pt>
              </strCache>
            </strRef>
          </tx>
          <spPr>
            <a:solidFill>
              <a:schemeClr val="accent1"/>
            </a:solidFill>
            <a:ln>
              <a:noFill/>
              <a:prstDash val="solid"/>
            </a:ln>
          </spPr>
          <invertIfNegative val="0"/>
          <cat>
            <strRef>
              <f>('10.Results'!$Y$66:$AA$66,'10.Results'!$AB$66:$AF$66,'10.Results'!$AG$66:$AR$66)</f>
              <strCache>
                <ptCount val="20"/>
                <pt idx="0">
                  <v>Year 1</v>
                </pt>
                <pt idx="1">
                  <v>Year 2</v>
                </pt>
                <pt idx="2">
                  <v>Year 3</v>
                </pt>
                <pt idx="3">
                  <v>Year 4</v>
                </pt>
                <pt idx="4">
                  <v>Year 5</v>
                </pt>
                <pt idx="5">
                  <v>Year 6</v>
                </pt>
                <pt idx="6">
                  <v>Year 7</v>
                </pt>
                <pt idx="7">
                  <v>Year 8</v>
                </pt>
                <pt idx="8">
                  <v>Year 9</v>
                </pt>
                <pt idx="9">
                  <v>Year 10</v>
                </pt>
                <pt idx="10">
                  <v>Year 11</v>
                </pt>
                <pt idx="11">
                  <v>Year 12</v>
                </pt>
                <pt idx="12">
                  <v>Year 13</v>
                </pt>
                <pt idx="13">
                  <v>Year 14</v>
                </pt>
                <pt idx="14">
                  <v>Year 15</v>
                </pt>
                <pt idx="15">
                  <v>Year 16</v>
                </pt>
                <pt idx="16">
                  <v>Year 17</v>
                </pt>
                <pt idx="17">
                  <v>Year 18</v>
                </pt>
                <pt idx="18">
                  <v>Year 19</v>
                </pt>
                <pt idx="19">
                  <v>Year 20</v>
                </pt>
              </strCache>
            </strRef>
          </cat>
          <val>
            <numRef>
              <f>('10.Results'!$Y$67:$AA$67,'10.Results'!$AB$67:$AF$67,'10.Results'!$AG$67:$AR$67)</f>
              <numCache>
                <formatCode>General</formatCode>
                <ptCount val="20"/>
              </numCache>
            </numRef>
          </val>
        </ser>
        <ser>
          <idx val="1"/>
          <order val="1"/>
          <tx>
            <strRef>
              <f>'10.Results'!$W$68:$X$68</f>
              <strCache>
                <ptCount val="2"/>
                <pt idx="0">
                  <v>Yearly carbon balance</v>
                </pt>
              </strCache>
            </strRef>
          </tx>
          <spPr>
            <a:solidFill>
              <a:srgbClr val="C00000"/>
            </a:solidFill>
            <a:ln>
              <a:noFill/>
              <a:prstDash val="solid"/>
            </a:ln>
          </spPr>
          <invertIfNegative val="1"/>
          <cat>
            <strRef>
              <f>('10.Results'!$Y$66:$AA$66,'10.Results'!$AB$66:$AF$66,'10.Results'!$AG$66:$AR$66)</f>
              <strCache>
                <ptCount val="20"/>
                <pt idx="0">
                  <v>Year 1</v>
                </pt>
                <pt idx="1">
                  <v>Year 2</v>
                </pt>
                <pt idx="2">
                  <v>Year 3</v>
                </pt>
                <pt idx="3">
                  <v>Year 4</v>
                </pt>
                <pt idx="4">
                  <v>Year 5</v>
                </pt>
                <pt idx="5">
                  <v>Year 6</v>
                </pt>
                <pt idx="6">
                  <v>Year 7</v>
                </pt>
                <pt idx="7">
                  <v>Year 8</v>
                </pt>
                <pt idx="8">
                  <v>Year 9</v>
                </pt>
                <pt idx="9">
                  <v>Year 10</v>
                </pt>
                <pt idx="10">
                  <v>Year 11</v>
                </pt>
                <pt idx="11">
                  <v>Year 12</v>
                </pt>
                <pt idx="12">
                  <v>Year 13</v>
                </pt>
                <pt idx="13">
                  <v>Year 14</v>
                </pt>
                <pt idx="14">
                  <v>Year 15</v>
                </pt>
                <pt idx="15">
                  <v>Year 16</v>
                </pt>
                <pt idx="16">
                  <v>Year 17</v>
                </pt>
                <pt idx="17">
                  <v>Year 18</v>
                </pt>
                <pt idx="18">
                  <v>Year 19</v>
                </pt>
                <pt idx="19">
                  <v>Year 20</v>
                </pt>
              </strCache>
            </strRef>
          </cat>
          <val>
            <numRef>
              <f>('10.Results'!$Y$68:$AA$68,'10.Results'!$AB$68:$AF$68,'10.Results'!$AG$68:$AR$68)</f>
              <numCache>
                <formatCode>#,##0.00</formatCode>
                <ptCount val="20"/>
                <pt idx="0">
                  <v>-8799.119815151746</v>
                </pt>
                <pt idx="1">
                  <v>-17598.23963030349</v>
                </pt>
                <pt idx="2">
                  <v>-26397.35944545524</v>
                </pt>
                <pt idx="3">
                  <v>-35196.47926060698</v>
                </pt>
                <pt idx="4">
                  <v>-43995.59907575874</v>
                </pt>
                <pt idx="5">
                  <v>-52794.71889091049</v>
                </pt>
                <pt idx="6">
                  <v>-61593.83870606222</v>
                </pt>
                <pt idx="7">
                  <v>-70392.95852121396</v>
                </pt>
                <pt idx="8">
                  <v>-79192.07833636571</v>
                </pt>
                <pt idx="9">
                  <v>-87991.19815151747</v>
                </pt>
                <pt idx="10">
                  <v>-96790.31796666923</v>
                </pt>
                <pt idx="11">
                  <v>-96790.31796666923</v>
                </pt>
                <pt idx="12">
                  <v>-96790.31796666923</v>
                </pt>
                <pt idx="13">
                  <v>-96790.31796666923</v>
                </pt>
                <pt idx="14">
                  <v>-96790.31796666923</v>
                </pt>
                <pt idx="15">
                  <v>-96790.31796666923</v>
                </pt>
                <pt idx="16">
                  <v>-96790.31796666923</v>
                </pt>
                <pt idx="17">
                  <v>-96790.31796666923</v>
                </pt>
                <pt idx="18">
                  <v>-96790.31796666923</v>
                </pt>
                <pt idx="19">
                  <v>-96790.31796666923</v>
                </pt>
              </numCache>
            </numRef>
          </val>
        </ser>
        <dLbls>
          <showLegendKey val="0"/>
          <showVal val="0"/>
          <showCatName val="0"/>
          <showSerName val="0"/>
          <showPercent val="0"/>
          <showBubbleSize val="0"/>
        </dLbls>
        <gapWidth val="219"/>
        <overlap val="-27"/>
        <axId val="186133215"/>
        <axId val="186125727"/>
      </barChart>
      <catAx>
        <axId val="186133215"/>
        <scaling>
          <orientation val="minMax"/>
        </scaling>
        <delete val="0"/>
        <axPos val="b"/>
        <numFmt formatCode="General" sourceLinked="1"/>
        <majorTickMark val="out"/>
        <minorTickMark val="none"/>
        <tickLblPos val="low"/>
        <spPr>
          <a:noFill/>
          <a:ln w="9525" cap="flat" cmpd="sng" algn="ctr">
            <a:solidFill>
              <a:schemeClr val="tx1"/>
            </a:solidFill>
            <a:prstDash val="solid"/>
            <a:round/>
          </a:ln>
        </spPr>
        <txPr>
          <a:bodyPr rot="-5400000" spcFirstLastPara="1" vertOverflow="ellipsis" wrap="square" anchor="ctr" anchorCtr="1"/>
          <a:lstStyle/>
          <a:p>
            <a:pPr>
              <a:defRPr sz="1200" b="0" i="0" strike="noStrike" kern="1200" baseline="0">
                <a:solidFill>
                  <a:schemeClr val="tx1"/>
                </a:solidFill>
                <a:latin typeface="Roboto" panose="02000000000000000000" pitchFamily="2" charset="0"/>
                <a:ea typeface="Roboto" panose="02000000000000000000" pitchFamily="2" charset="0"/>
                <a:cs typeface="+mn-cs"/>
              </a:defRPr>
            </a:pPr>
            <a:r>
              <a:t>None</a:t>
            </a:r>
            <a:endParaRPr lang="en-IT"/>
          </a:p>
        </txPr>
        <crossAx val="186125727"/>
        <crosses val="autoZero"/>
        <auto val="1"/>
        <lblAlgn val="ctr"/>
        <lblOffset val="100"/>
        <noMultiLvlLbl val="0"/>
      </catAx>
      <valAx>
        <axId val="186125727"/>
        <scaling>
          <orientation val="minMax"/>
        </scaling>
        <delete val="0"/>
        <axPos val="l"/>
        <majorGridlines>
          <spPr>
            <a:ln w="9525" cap="flat" cmpd="sng" algn="ctr">
              <a:noFill/>
              <a:prstDash val="solid"/>
              <a:round/>
            </a:ln>
          </spPr>
        </majorGridlines>
        <numFmt formatCode="#,##0" sourceLinked="0"/>
        <majorTickMark val="none"/>
        <minorTickMark val="none"/>
        <tickLblPos val="nextTo"/>
        <spPr>
          <a:noFill/>
          <a:ln>
            <a:noFill/>
            <a:prstDash val="solid"/>
          </a:ln>
        </spPr>
        <txPr>
          <a:bodyPr rot="-60000000" spcFirstLastPara="1" vertOverflow="ellipsis" vert="horz" wrap="square" anchor="ctr" anchorCtr="1"/>
          <a:lstStyle/>
          <a:p>
            <a:pPr>
              <a:defRPr sz="1200" b="0" i="0" strike="noStrike" kern="1200" baseline="0">
                <a:solidFill>
                  <a:schemeClr val="tx1"/>
                </a:solidFill>
                <a:latin typeface="Roboto" panose="02000000000000000000" pitchFamily="2" charset="0"/>
                <a:ea typeface="Roboto" panose="02000000000000000000" pitchFamily="2" charset="0"/>
                <a:cs typeface="+mn-cs"/>
              </a:defRPr>
            </a:pPr>
            <a:r>
              <a:t>None</a:t>
            </a:r>
            <a:endParaRPr lang="en-IT"/>
          </a:p>
        </txPr>
        <crossAx val="186133215"/>
        <crossesAt val="0"/>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9.xml><?xml version="1.0" encoding="utf-8"?>
<chartSpace xmlns:a="http://schemas.openxmlformats.org/drawingml/2006/main" xmlns="http://schemas.openxmlformats.org/drawingml/2006/chart">
  <chart>
    <plotArea>
      <layout/>
      <barChart>
        <barDir val="col"/>
        <grouping val="clustered"/>
        <varyColors val="0"/>
        <ser>
          <idx val="0"/>
          <order val="0"/>
          <tx>
            <strRef>
              <f>'10.Results'!$W$70</f>
              <strCache>
                <ptCount val="1"/>
                <pt idx="0">
                  <v>Cumulative carbon balance</v>
                </pt>
              </strCache>
            </strRef>
          </tx>
          <spPr>
            <a:solidFill>
              <a:srgbClr val="C00000"/>
            </a:solidFill>
            <a:ln>
              <a:noFill/>
              <a:prstDash val="solid"/>
            </a:ln>
          </spPr>
          <invertIfNegative val="1"/>
          <cat>
            <strRef>
              <f>('10.Results'!$Y$66:$AA$66,'10.Results'!$AB$66:$AF$66,'10.Results'!$AG$66:$AR$66)</f>
              <strCache>
                <ptCount val="20"/>
                <pt idx="0">
                  <v>Year 1</v>
                </pt>
                <pt idx="1">
                  <v>Year 2</v>
                </pt>
                <pt idx="2">
                  <v>Year 3</v>
                </pt>
                <pt idx="3">
                  <v>Year 4</v>
                </pt>
                <pt idx="4">
                  <v>Year 5</v>
                </pt>
                <pt idx="5">
                  <v>Year 6</v>
                </pt>
                <pt idx="6">
                  <v>Year 7</v>
                </pt>
                <pt idx="7">
                  <v>Year 8</v>
                </pt>
                <pt idx="8">
                  <v>Year 9</v>
                </pt>
                <pt idx="9">
                  <v>Year 10</v>
                </pt>
                <pt idx="10">
                  <v>Year 11</v>
                </pt>
                <pt idx="11">
                  <v>Year 12</v>
                </pt>
                <pt idx="12">
                  <v>Year 13</v>
                </pt>
                <pt idx="13">
                  <v>Year 14</v>
                </pt>
                <pt idx="14">
                  <v>Year 15</v>
                </pt>
                <pt idx="15">
                  <v>Year 16</v>
                </pt>
                <pt idx="16">
                  <v>Year 17</v>
                </pt>
                <pt idx="17">
                  <v>Year 18</v>
                </pt>
                <pt idx="18">
                  <v>Year 19</v>
                </pt>
                <pt idx="19">
                  <v>Year 20</v>
                </pt>
              </strCache>
            </strRef>
          </cat>
          <val>
            <numRef>
              <f>('10.Results'!$Y$70:$AA$70,'10.Results'!$AB$70:$AF$70,'10.Results'!$AG$70:$AR$70)</f>
              <numCache>
                <formatCode>#,##0.00</formatCode>
                <ptCount val="20"/>
                <pt idx="0">
                  <v>-8799.119815151746</v>
                </pt>
                <pt idx="1">
                  <v>-26397.35944545524</v>
                </pt>
                <pt idx="2">
                  <v>-52794.71889091048</v>
                </pt>
                <pt idx="3">
                  <v>-87991.19815151746</v>
                </pt>
                <pt idx="4">
                  <v>-131986.7972272762</v>
                </pt>
                <pt idx="5">
                  <v>-184781.5161181867</v>
                </pt>
                <pt idx="6">
                  <v>-246375.3548242489</v>
                </pt>
                <pt idx="7">
                  <v>-316768.3133454629</v>
                </pt>
                <pt idx="8">
                  <v>-395960.3916818286</v>
                </pt>
                <pt idx="9">
                  <v>-483951.5898333461</v>
                </pt>
                <pt idx="10">
                  <v>-580741.9078000153</v>
                </pt>
                <pt idx="11">
                  <v>-677532.2257666845</v>
                </pt>
                <pt idx="12">
                  <v>-774322.5437333537</v>
                </pt>
                <pt idx="13">
                  <v>-871112.8617000229</v>
                </pt>
                <pt idx="14">
                  <v>-967903.1796666922</v>
                </pt>
                <pt idx="15">
                  <v>-1064693.497633361</v>
                </pt>
                <pt idx="16">
                  <v>-1161483.815600031</v>
                </pt>
                <pt idx="17">
                  <v>-1258274.1335667</v>
                </pt>
                <pt idx="18">
                  <v>-1355064.451533369</v>
                </pt>
                <pt idx="19">
                  <v>-1451854.769500039</v>
                </pt>
              </numCache>
            </numRef>
          </val>
        </ser>
        <dLbls>
          <showLegendKey val="0"/>
          <showVal val="0"/>
          <showCatName val="0"/>
          <showSerName val="0"/>
          <showPercent val="0"/>
          <showBubbleSize val="0"/>
        </dLbls>
        <gapWidth val="219"/>
        <overlap val="-27"/>
        <axId val="186171487"/>
        <axId val="186156927"/>
      </barChart>
      <catAx>
        <axId val="186171487"/>
        <scaling>
          <orientation val="minMax"/>
        </scaling>
        <delete val="0"/>
        <axPos val="b"/>
        <numFmt formatCode="General" sourceLinked="1"/>
        <majorTickMark val="out"/>
        <minorTickMark val="none"/>
        <tickLblPos val="low"/>
        <spPr>
          <a:noFill/>
          <a:ln w="9525" cap="flat" cmpd="sng" algn="ctr">
            <a:solidFill>
              <a:schemeClr val="tx1"/>
            </a:solidFill>
            <a:prstDash val="solid"/>
            <a:round/>
          </a:ln>
        </spPr>
        <txPr>
          <a:bodyPr rot="-5400000" spcFirstLastPara="1" vertOverflow="ellipsis" wrap="square" anchor="ctr" anchorCtr="1"/>
          <a:lstStyle/>
          <a:p>
            <a:pPr>
              <a:defRPr sz="1200" b="0" i="0" strike="noStrike" kern="1200" baseline="0">
                <a:solidFill>
                  <a:schemeClr val="tx1"/>
                </a:solidFill>
                <a:latin typeface="Roboto" panose="02000000000000000000" pitchFamily="2" charset="0"/>
                <a:ea typeface="Roboto" panose="02000000000000000000" pitchFamily="2" charset="0"/>
                <a:cs typeface="+mn-cs"/>
              </a:defRPr>
            </a:pPr>
            <a:r>
              <a:t>None</a:t>
            </a:r>
            <a:endParaRPr lang="en-IT"/>
          </a:p>
        </txPr>
        <crossAx val="186156927"/>
        <crosses val="autoZero"/>
        <auto val="1"/>
        <lblAlgn val="ctr"/>
        <lblOffset val="100"/>
        <noMultiLvlLbl val="0"/>
      </catAx>
      <valAx>
        <axId val="186156927"/>
        <scaling>
          <orientation val="minMax"/>
        </scaling>
        <delete val="0"/>
        <axPos val="l"/>
        <majorGridlines>
          <spPr>
            <a:ln w="9525" cap="flat" cmpd="sng" algn="ctr">
              <a:noFill/>
              <a:prstDash val="solid"/>
              <a:round/>
            </a:ln>
          </spPr>
        </majorGridlines>
        <numFmt formatCode="#,##0" sourceLinked="0"/>
        <majorTickMark val="none"/>
        <minorTickMark val="none"/>
        <tickLblPos val="nextTo"/>
        <spPr>
          <a:noFill/>
          <a:ln>
            <a:noFill/>
            <a:prstDash val="solid"/>
          </a:ln>
        </spPr>
        <txPr>
          <a:bodyPr rot="-60000000" spcFirstLastPara="1" vertOverflow="ellipsis" vert="horz" wrap="square" anchor="ctr" anchorCtr="1"/>
          <a:lstStyle/>
          <a:p>
            <a:pPr>
              <a:defRPr sz="1200" b="0" i="0" strike="noStrike" kern="1200" baseline="0">
                <a:solidFill>
                  <a:schemeClr val="tx1"/>
                </a:solidFill>
                <a:latin typeface="Roboto" panose="02000000000000000000" pitchFamily="2" charset="0"/>
                <a:ea typeface="Roboto" panose="02000000000000000000" pitchFamily="2" charset="0"/>
                <a:cs typeface="+mn-cs"/>
              </a:defRPr>
            </a:pPr>
            <a:r>
              <a:t>None</a:t>
            </a:r>
            <a:endParaRPr lang="en-IT"/>
          </a:p>
        </txPr>
        <crossAx val="186171487"/>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omments/comment1.xml><?xml version="1.0" encoding="utf-8"?>
<comments xmlns="http://schemas.openxmlformats.org/spreadsheetml/2006/main">
  <authors>
    <author>Anatoli Poultouchidou (ESA)</author>
  </authors>
  <commentList>
    <comment ref="Z4" authorId="0" shapeId="0">
      <text>
        <t>Anatoli Poultouchidou (ESA):
SOC in the  final land use --&gt; SOC in Forest after afforestation</t>
      </text>
    </comment>
    <comment ref="N20" authorId="0" shapeId="0">
      <text>
        <t>Anatoli Poultouchidou (ESA):
For crop it is estimated that residues after crop is 40% [ assumptuion made din EX-ACT v7)
Carbon fraction is 0.4</t>
      </text>
    </comment>
    <comment ref="O20" authorId="0" shapeId="0">
      <text>
        <t>Anatoli Poultouchidou (ESA):
Please double check these values!!!</t>
      </text>
    </comment>
    <comment ref="V20" authorId="0" shapeId="0">
      <text>
        <t xml:space="preserve">Anatoli Poultouchidou (ESA):
To be double checked!!!
</t>
      </text>
    </comment>
    <comment ref="H22" authorId="0" shapeId="0">
      <text>
        <t>Anatoli Poultouchidou (ESA):
double check the LUs converted to FL. Should we keep the class other land non-vegetated?</t>
      </text>
    </comment>
    <comment ref="I22" authorId="0" shapeId="0">
      <text>
        <t>Anatoli Poultouchidou (ESA):
For Grassland: Total (above-ground and below-ground) non-woody
biomass2 (tonnes d.m./ha).
For Annual crops = Rice = Annual Fallow = only AGB  (tonnes d.m./ha/year). 
For agroforestry : the Lmean was used
Countries should use Lmean in updated Table 5.1 and 5.3 in the case that carbon removal has occurred by land use change where the age of the perennial crop removed is unknown. Carbon losses are estimated by multiplying the annual area of land conversion by Lmean. [ See page 5.14 in IPCC 2019]</t>
      </text>
    </comment>
    <comment ref="J22" authorId="0" shapeId="0">
      <text>
        <t>Anatoli Poultouchidou (ESA):
FLU of land uses converted to FL</t>
      </text>
    </comment>
    <comment ref="K22" authorId="0" shapeId="0">
      <text>
        <t>Anatoli Poultouchidou (ESA):
SOC in the initial land use BEFORE afforestation</t>
      </text>
    </comment>
    <comment ref="P22" authorId="0" shapeId="0">
      <text>
        <t>Anatoli Poultouchidou (ESA):
Please double check!!!! Numbers are higher than EX-ACT v7</t>
      </text>
    </comment>
    <comment ref="Q22" authorId="0" shapeId="0">
      <text>
        <t>Anatoli Poultouchidou (ESA):
Please double check!!!! Numbers are higher than EX-ACT v7</t>
      </text>
    </comment>
    <comment ref="J34" authorId="0" shapeId="0">
      <text>
        <t>Anatoli Poultouchidou (ESA):
For DOM we consider the removals occcuring the first 20 years! 
DOM &gt; 20 years is not taken into account
To be revised</t>
      </text>
    </comment>
  </commentList>
</comments>
</file>

<file path=xl/comments/comment2.xml><?xml version="1.0" encoding="utf-8"?>
<comments xmlns="http://schemas.openxmlformats.org/spreadsheetml/2006/main">
  <authors>
    <author>Anatoli Poultouchidou (ESA)</author>
  </authors>
  <commentList>
    <comment ref="I7" authorId="0" shapeId="0">
      <text>
        <t>Anatoli Poultouchidou (ESA):
TABLE 4.12. (UPDATED), page 4.47</t>
      </text>
    </comment>
    <comment ref="S7" authorId="0" shapeId="0">
      <text>
        <t>Anatoli Poultouchidou (ESA):
SOC before deforestation, SOC forest</t>
      </text>
    </comment>
    <comment ref="F20" authorId="0" shapeId="0">
      <text>
        <t>Anatoli Poultouchidou (ESA):
represents the % of fuel that has actually been combusted</t>
      </text>
    </comment>
    <comment ref="J21" authorId="0" shapeId="0">
      <text>
        <t xml:space="preserve">Anatoli Poultouchidou (ESA):
For annual crops, annual fallow, flooded rice --&gt; AGB
For grassland, perennial agroforestry systems --&gt; Total biomass (AGB + BGB)
For perennial monocultures --&gt; AGB (BGB is not available, pls see Tab 5.3 (Updated)
</t>
      </text>
    </comment>
    <comment ref="P21" authorId="0" shapeId="0">
      <text>
        <t>Anatoli Poultouchidou (ESA):
ΔC Mineral= SOC in the final land use after def - SOC forest
When ΔC Mineral&lt;0 =&gt; Fsom needs to be estimated
When ΔC Mineral &gt;0 =&gt; no need to estimate Fsom</t>
      </text>
    </comment>
    <comment ref="Q21" authorId="0" shapeId="0">
      <text>
        <t xml:space="preserve">Anatoli Poultouchidou (ESA):
SOC final land use - SOCforest
</t>
      </text>
    </comment>
    <comment ref="R21" authorId="0" shapeId="0">
      <text>
        <t>Anatoli Poultouchidou (ESA):
Mass of fuel available for combustion</t>
      </text>
    </comment>
    <comment ref="U21" authorId="0" shapeId="0">
      <text>
        <t>Anatoli Poultouchidou (ESA):
N mineralised in mineral soils as a result of loss of soil C through LU change
Fsom: Should ALWAYS be a (+) value</t>
      </text>
    </comment>
    <comment ref="D22" authorId="0" shapeId="0">
      <text>
        <t>Anatoli Poultouchidou (ESA):
Not considered in the final C balance</t>
      </text>
    </comment>
  </commentList>
</comments>
</file>

<file path=xl/comments/comment3.xml><?xml version="1.0" encoding="utf-8"?>
<comments xmlns="http://schemas.openxmlformats.org/spreadsheetml/2006/main">
  <authors>
    <author>Anatoli Poultouchidou (ESA)</author>
  </authors>
  <commentList>
    <comment ref="J20" authorId="0" shapeId="0">
      <text>
        <t>Anatoli Poultouchidou (ESA):
For crop it is estimated that residues after crop is 40%
Assumption taken from EX-ACTv7</t>
      </text>
    </comment>
    <comment ref="E21" authorId="0" shapeId="0">
      <text>
        <t>Anatoli Poultouchidou (ESA):
(+ ) values --&gt; emissions
 ( - ) values --&gt; removals</t>
      </text>
    </comment>
    <comment ref="F21" authorId="0" shapeId="0">
      <text>
        <t>Anatoli Poultouchidou (ESA):
(+ ) values --&gt; CO2 emissions
 ( - ) values --&gt; CO2 removals</t>
      </text>
    </comment>
    <comment ref="G21" authorId="0" shapeId="0">
      <text>
        <t>Anatoli Poultouchidou (ESA):
(-) values =&gt; SOC loss
(+) values =&gt; SOC gain
ΔC soil = SOC final - SOC initial</t>
      </text>
    </comment>
    <comment ref="K21" authorId="0" shapeId="0">
      <text>
        <t>Anatoli Poultouchidou (ESA):
Double check Cf and Gef!!!</t>
      </text>
    </comment>
    <comment ref="M21" authorId="0" shapeId="0">
      <text>
        <t>Anatoli Poultouchidou (ESA):
Double check Cf and Gef!!!</t>
      </text>
    </comment>
    <comment ref="H23" authorId="0" shapeId="0">
      <text>
        <t>Anatoli Poultouchidou (ESA):
som: Should ALWAYS be a (+) value</t>
      </text>
    </comment>
  </commentList>
</comments>
</file>

<file path=xl/comments/comment4.xml><?xml version="1.0" encoding="utf-8"?>
<comments xmlns="http://schemas.openxmlformats.org/spreadsheetml/2006/main">
  <authors>
    <author>LaureSophie Schiettecatte (ESA)</author>
    <author>Anatoli Poultouchidou (ESA)</author>
  </authors>
  <commentList>
    <comment ref="M34" authorId="0" shapeId="0">
      <text>
        <t>LaureSophie Schiettecatte (ESA):
TO BE CHECKED IF METHODOLOGICAL APPROACH IS CORRECT</t>
      </text>
    </comment>
    <comment ref="M58" authorId="1" shapeId="0">
      <text>
        <t xml:space="preserve">Anatoli Poultouchidou (ESA):
to be checked
much higher than EX-ACT v7.2
</t>
      </text>
    </comment>
    <comment ref="X58" authorId="1" shapeId="0">
      <text>
        <t xml:space="preserve">Anatoli Poultouchidou (ESA):
to be checked
much higher than EX-ACT v7.2
</t>
      </text>
    </comment>
  </commentList>
</comments>
</file>

<file path=xl/comments/comment5.xml><?xml version="1.0" encoding="utf-8"?>
<comments xmlns="http://schemas.openxmlformats.org/spreadsheetml/2006/main">
  <authors>
    <author>Anatoli Poultouchidou (ESA)</author>
    <author>Martial Bernoux</author>
  </authors>
  <commentList>
    <comment ref="E10" authorId="0" shapeId="0">
      <text>
        <t>Anatoli Poultouchidou (ESA):
Number of episodes of residue burning each year
e.g. 1 indicates one episode of residue burning each year</t>
      </text>
    </comment>
    <comment ref="F10" authorId="1" shapeId="0">
      <text>
        <t xml:space="preserve">Need to be informed just if Burning is set to "yes"
Default value is 10 tonnes dry matter per ha
</t>
      </text>
    </comment>
  </commentList>
</comments>
</file>

<file path=xl/comments/comment6.xml><?xml version="1.0" encoding="utf-8"?>
<comments xmlns="http://schemas.openxmlformats.org/spreadsheetml/2006/main">
  <authors>
    <author>Anatoli Poultouchidou (ESA)</author>
  </authors>
  <commentList>
    <comment ref="Q7" authorId="0" shapeId="0">
      <text>
        <t>Anatoli Poultouchidou (ESA):
*Soil effect limited to 20 years</t>
      </text>
    </comment>
  </commentList>
</comments>
</file>

<file path=xl/comments/comment7.xml><?xml version="1.0" encoding="utf-8"?>
<comments xmlns="http://schemas.openxmlformats.org/spreadsheetml/2006/main">
  <authors>
    <author>LaureSophie Schiettecatte (ESA)</author>
  </authors>
  <commentList>
    <comment ref="E61" authorId="0" shapeId="0">
      <text>
        <t>LaureSophie Schiettecatte (ESA):
Default values for all countries other than North America, Europe and Oceania are based on LP.
For Oceania, America and Europe (including Russia) HP is used for default</t>
      </text>
    </comment>
    <comment ref="Q61" authorId="0" shapeId="0">
      <text>
        <t>LaureSophie Schiettecatte (ESA):
EF according to regional MMS</t>
      </text>
    </comment>
    <comment ref="V87" authorId="0" shapeId="0">
      <text>
        <t>LaureSophie Schiettecatte (ESA):
Equation 10.25</t>
      </text>
    </comment>
    <comment ref="E89" authorId="0" shapeId="0">
      <text>
        <t>LaureSophie Schiettecatte (ESA):
from table 10.21</t>
      </text>
    </comment>
    <comment ref="V115" authorId="0" shapeId="0">
      <text>
        <t>LaureSophie Schiettecatte (ESA):
Equation 10.28</t>
      </text>
    </comment>
    <comment ref="V141" authorId="0" shapeId="0">
      <text>
        <t xml:space="preserve">LaureSophie Schiettecatte (ESA):
Equation 10.29
</t>
      </text>
    </comment>
  </commentList>
</comments>
</file>

<file path=xl/comments/comment8.xml><?xml version="1.0" encoding="utf-8"?>
<comments xmlns="http://schemas.openxmlformats.org/spreadsheetml/2006/main">
  <authors>
    <author>LaureSophie Schiettecatte (ESA)</author>
    <author>Anatoli Poultouchidou (ESA)</author>
  </authors>
  <commentList>
    <comment ref="T21" authorId="0" shapeId="0">
      <text>
        <t>LaureSophie Schiettecatte (ESA):
Adapted from table 5.10</t>
      </text>
    </comment>
    <comment ref="Y38" authorId="1" shapeId="0">
      <text>
        <t>Anatoli Poultouchidou (ESA):
(+) values --&gt; emissions
 (-) values --&gt; removals</t>
      </text>
    </comment>
    <comment ref="AD39" authorId="1" shapeId="0">
      <text>
        <t>Anatoli Poultouchidou (ESA):
same equation as EX-ACT v7</t>
      </text>
    </comment>
  </commentList>
</comments>
</file>

<file path=xl/comments/comment9.xml><?xml version="1.0" encoding="utf-8"?>
<comments xmlns="http://schemas.openxmlformats.org/spreadsheetml/2006/main">
  <authors>
    <author>LaureSophie Schiettecatte (ESA)</author>
    <author>Anatoli Poultouchidou (ESA)</author>
  </authors>
  <commentList>
    <comment ref="J115" authorId="0" shapeId="0">
      <text>
        <t>LaureSophie Schiettecatte (ESA):
to be kept in case future methodologies provide the C stock and drainage emissions can be made depedent on it</t>
      </text>
    </comment>
    <comment ref="F130" authorId="0" shapeId="0">
      <text>
        <t>LaureSophie Schiettecatte (ESA):
For crop (annual) it is estimated that residues after crop is 40%
Assumption taken from EX-ACTv7</t>
      </text>
    </comment>
    <comment ref="G130" authorId="1" shapeId="0">
      <text>
        <t>Anatoli Poultouchidou (ESA):
Please double check these values!!!</t>
      </text>
    </comment>
    <comment ref="E132" authorId="1" shapeId="0">
      <text>
        <t>Anatoli Poultouchidou (ESA):
For Grassland: Total (above-ground and below-ground) non-woody
biomass2 (tonnes d.m./ha).
For Annual crops = Rice = Annual Fallow = only AGB  (tonnes d.m./ha/year). 
For agroforestry : the Lmean was used
Countries should use Lmean in updated Table 5.1 and 5.3 in the case that carbon removal has occurred by land use change where the age of the perennial crop removed is unknown. Carbon losses are estimated by multiplying the annual area of land conversion by Lmean. [ See page 5.14 in IPCC 2019]</t>
      </text>
    </comment>
    <comment ref="H132" authorId="1" shapeId="0">
      <text>
        <t>Anatoli Poultouchidou (ESA):
Please double check!!!! Numbers are higher than EX-ACT v7</t>
      </text>
    </comment>
    <comment ref="I132" authorId="1" shapeId="0">
      <text>
        <t>Anatoli Poultouchidou (ESA):
Please double check!!!! Numbers are higher than EX-ACT v7</t>
      </text>
    </comment>
    <comment ref="Q220" authorId="1" shapeId="0">
      <text>
        <t>Anatoli Poultouchidou (ESA):
For crop it is estimated that residues after crop is 40%
Assumption taken from EX-ACTv7</t>
      </text>
    </comment>
    <comment ref="P221" authorId="1" shapeId="0">
      <text>
        <t>Anatoli Poultouchidou (ESA):
(+ ) values --&gt; emissions
 ( - ) values --&gt; removals</t>
      </text>
    </comment>
    <comment ref="R221" authorId="1" shapeId="0">
      <text>
        <t>Anatoli Poultouchidou (ESA):
Double check Cf and Gef!!!</t>
      </text>
    </comment>
    <comment ref="T221" authorId="1" shapeId="0">
      <text>
        <t>Anatoli Poultouchidou (ESA):
Double check Cf and Gef!!!</t>
      </text>
    </comment>
    <comment ref="AD324" authorId="1" shapeId="0">
      <text>
        <t>Anatoli Poultouchidou (ESA):
same equation as EX-ACT v7</t>
      </text>
    </comment>
    <comment ref="N409" authorId="1" shapeId="0">
      <text>
        <t>Anatoli Poultouchidou (ESA):
For crop it is estimated that residues after crop is 40%
Assumption taken from EX-ACTv7</t>
      </text>
    </comment>
    <comment ref="O410" authorId="1" shapeId="0">
      <text>
        <t>Anatoli Poultouchidou (ESA):
Double check Cf and Gef!!!</t>
      </text>
    </comment>
    <comment ref="Q410" authorId="1" shapeId="0">
      <text>
        <t>Anatoli Poultouchidou (ESA):
Double check Cf and Gef!!!</t>
      </text>
    </comment>
  </commentList>
</comments>
</file>

<file path=xl/comments/comment10.xml><?xml version="1.0" encoding="utf-8"?>
<comments xmlns="http://schemas.openxmlformats.org/spreadsheetml/2006/main">
  <authors>
    <author>Anatoli Poultouchidou (ESA)</author>
    <author>Berling, Laure (ESA)</author>
  </authors>
  <commentList>
    <comment ref="F37" authorId="0" shapeId="0">
      <text>
        <t>Anatoli Poultouchidou (ESA):
onstructions, roads, parking lots or any kind of land use where no vegetation will be present</t>
      </text>
    </comment>
    <comment ref="G49" authorId="1" shapeId="0">
      <text>
        <t>Berling, Laure (ESA): Not IPCC crop, added on 04/2022 from FAOSTAT</t>
      </text>
    </comment>
    <comment ref="J59" authorId="0" shapeId="0">
      <text>
        <t>Anatoli Poultouchidou (ESA):
Table 8.7 https://www.ipcc.ch/site/assets/uploads/2018/02/WG1AR5_Chapter08_FINAL.pdf
Myhre, G., D. Shindell, F.-M. Bréon, W. Collins, J. Fuglestvedt, J. Huang, D. Koch, J.-F. Lamarque, D. Lee, B. Mendoza, T. Nakajima, A. Robock, G. Stephens, T. Takemura and H. Zhang, 2013: Anthropogenic and Natural Radiative Forcing. In: Climate Change 2013: The Physical Science Basis. Contribution of Working Group I to the Fifth Assessment Report of the Intergovernmental Panel on Climate Change [Stocker, T.F., D. Qin, G.-K. Plattner, M. Tignor, S.K. Allen, J. Boschung, A. Nauels, Y. Xia, V. Bex and P.M. Midgley (eds.)]. Cambridge University Press, Cambridge, United Kingdom and New York, NY, USA.
These values inlcude climate–carbon feedbacks (cc fb) in response to emissions of the indicated non-CO2 gases (climate-carbon feedbacks in response to the reference gas CO2 are always included).</t>
      </text>
    </comment>
    <comment ref="F62" authorId="0" shapeId="0">
      <text>
        <t>Anatoli Poultouchidou (ESA):
Table 8.7 https://www.ipcc.ch/site/assets/uploads/2018/02/WG1AR5_Chapter08_FINAL.pdf
Myhre, G., D. Shindell, F.-M. Bréon, W. Collins, J. Fuglestvedt, J. Huang, D. Koch, J.-F. Lamarque, D. Lee, B. Mendoza, T. Nakajima, A. Robock, G. Stephens, T. Takemura and H. Zhang, 2013: Anthropogenic and Natural Radiative Forcing. In: Climate Change 2013: The Physical Science Basis. Contribution of Working Group I to the Fifth Assessment Report of the Intergovernmental Panel on Climate Change [Stocker, T.F., D. Qin, G.-K. Plattner, M. Tignor, S.K. Allen, J. Boschung, A. Nauels, Y. Xia, V. Bex and P.M. Midgley (eds.)]. Cambridge University Press, Cambridge, United Kingdom and New York, NY, USA.
These values inlcude climate–carbon feedbacks (cc fb) in response to emissions of the indicated non-CO2 gases (climate-carbon feedbacks in response to the reference gas CO2 are always included).</t>
      </text>
    </comment>
    <comment ref="F63" authorId="0" shapeId="0">
      <text>
        <t>Anatoli Poultouchidou (ESA):
Table 8.7 https://www.ipcc.ch/site/assets/uploads/2018/02/WG1AR5_Chapter08_FINAL.pdf
Myhre, G., D. Shindell, F.-M. Bréon, W. Collins, J. Fuglestvedt, J. Huang, D. Koch, J.-F. Lamarque, D. Lee, B. Mendoza, T. Nakajima, A. Robock, G. Stephens, T. Takemura and H. Zhang, 2013: Anthropogenic and Natural Radiative Forcing. In: Climate Change 2013: The Physical Science Basis. Contribution of Working Group I to the Fifth Assessment Report of the Intergovernmental Panel on Climate Change [Stocker, T.F., D. Qin, G.-K. Plattner, M. Tignor, S.K. Allen, J. Boschung, A. Nauels, Y. Xia, V. Bex and P.M. Midgley (eds.)]. Cambridge University Press, Cambridge, United Kingdom and New York, NY, USA.
These values inlcude climate–carbon feedbacks (cc fb) in response to emissions of the indicated non-CO2 gases (climate-carbon feedbacks in response to the reference gas CO2 are always included).</t>
      </text>
    </comment>
    <comment ref="F138" authorId="0" shapeId="0">
      <text>
        <t>Anatoli Poultouchidou (ESA):
onstructions, roads, parking lots or any kind of land use where no vegetation will be present</t>
      </text>
    </comment>
    <comment ref="G138" authorId="0" shapeId="0">
      <text>
        <t>Anatoli Poultouchidou (ESA):
onstructions, roads, parking lots or any kind of land use where no vegetation will be present</t>
      </text>
    </comment>
    <comment ref="H138" authorId="0" shapeId="0">
      <text>
        <t>Anatoli Poultouchidou (ESA):
onstructions, roads, parking lots or any kind of land use where no vegetation will be present</t>
      </text>
    </comment>
    <comment ref="I138" authorId="0" shapeId="0">
      <text>
        <t>Anatoli Poultouchidou (ESA):
onstructions, roads, parking lots or any kind of land use where no vegetation will be present</t>
      </text>
    </comment>
    <comment ref="J138" authorId="0" shapeId="0">
      <text>
        <t>Anatoli Poultouchidou (ESA):
onstructions, roads, parking lots or any kind of land use where no vegetation will be present</t>
      </text>
    </comment>
    <comment ref="K138" authorId="0" shapeId="0">
      <text>
        <t>Anatoli Poultouchidou (ESA):
onstructions, roads, parking lots or any kind of land use where no vegetation will be present</t>
      </text>
    </comment>
    <comment ref="L138" authorId="0" shapeId="0">
      <text>
        <t>Anatoli Poultouchidou (ESA):
onstructions, roads, parking lots or any kind of land use where no vegetation will be present</t>
      </text>
    </comment>
    <comment ref="M138" authorId="0" shapeId="0">
      <text>
        <t>Anatoli Poultouchidou (ESA):
onstructions, roads, parking lots or any kind of land use where no vegetation will be present</t>
      </text>
    </comment>
    <comment ref="N138" authorId="0" shapeId="0">
      <text>
        <t>Anatoli Poultouchidou (ESA):
onstructions, roads, parking lots or any kind of land use where no vegetation will be present</t>
      </text>
    </comment>
    <comment ref="O138" authorId="0" shapeId="0">
      <text>
        <t>Anatoli Poultouchidou (ESA):
onstructions, roads, parking lots or any kind of land use where no vegetation will be present</t>
      </text>
    </comment>
    <comment ref="M139" authorId="0" shapeId="0">
      <text>
        <t>Anatoli Poultouchidou (ESA):
Tropical montane has the agroforestry types for Tropical - ALL regions</t>
      </text>
    </comment>
    <comment ref="N139" authorId="0" shapeId="0">
      <text>
        <t>Anatoli Poultouchidou (ESA):
Same agroforestry types as Temperate</t>
      </text>
    </comment>
    <comment ref="C218" authorId="0" shapeId="0">
      <text>
        <t>Anatoli Poultouchidou (ESA):
onstructions, roads, parking lots or any kind of land use where no vegetation will be present</t>
      </text>
    </comment>
  </commentList>
</comments>
</file>

<file path=xl/comments/comment11.xml><?xml version="1.0" encoding="utf-8"?>
<comments xmlns="http://schemas.openxmlformats.org/spreadsheetml/2006/main">
  <authors>
    <author>Anatoli Poultouchidou (ESA)</author>
    <author>DELL</author>
    <author>LaureSophie Schiettecatte (ESA)</author>
  </authors>
  <commentList>
    <comment ref="D14" authorId="0" shapeId="0">
      <text>
        <t xml:space="preserve">Anatoli Poultouchidou (ESA):
The value of "Potatoes and Tubers" was used
</t>
      </text>
    </comment>
    <comment ref="E14" authorId="0" shapeId="0">
      <text>
        <t>Anatoli Poultouchidou (ESA):
The value of "Potatoes and Tubers" was used</t>
      </text>
    </comment>
    <comment ref="F14" authorId="0" shapeId="0">
      <text>
        <t>Anatoli Poultouchidou (ESA):
The value of "Potatoes and Tubers" was used</t>
      </text>
    </comment>
    <comment ref="D18" authorId="0" shapeId="0">
      <text>
        <t>Anatoli Poultouchidou (ESA):
From 2006 IPCC, Table 11.2, page 11.17</t>
      </text>
    </comment>
    <comment ref="E18" authorId="0" shapeId="0">
      <text>
        <t>Anatoli Poultouchidou (ESA):
From 2006 IPCC, Table 11.2, page 11.17</t>
      </text>
    </comment>
    <comment ref="F18" authorId="0" shapeId="0">
      <text>
        <t>Anatoli Poultouchidou (ESA):
From 2006 IPCC, Table 11.2, page 11.17</t>
      </text>
    </comment>
    <comment ref="F21" authorId="0" shapeId="0">
      <text>
        <t xml:space="preserve">Anatoli Poultouchidou (ESA):
The generic value for grains was used
</t>
      </text>
    </comment>
    <comment ref="E24" authorId="0" shapeId="0">
      <text>
        <t>Anatoli Poultouchidou (ESA):
No estimate is available in 2019 IPCC. Generic value was used</t>
      </text>
    </comment>
    <comment ref="F24" authorId="0" shapeId="0">
      <text>
        <t>Anatoli Poultouchidou (ESA):
The generic value 
was used</t>
      </text>
    </comment>
    <comment ref="E25" authorId="0" shapeId="0">
      <text>
        <t>Anatoli Poultouchidou (ESA):
No estimate is available in 2019 IPCC. Generic value was used</t>
      </text>
    </comment>
    <comment ref="E26" authorId="0" shapeId="0">
      <text>
        <t>Anatoli Poultouchidou (ESA):
No estimate is available in 2019 IPCC. Generic value was used</t>
      </text>
    </comment>
    <comment ref="D28" authorId="0" shapeId="0">
      <text>
        <t>Anatoli Poultouchidou (ESA):
From 2006 IPCC, Table 11.2, page 11.17</t>
      </text>
    </comment>
    <comment ref="E28" authorId="0" shapeId="0">
      <text>
        <t>Anatoli Poultouchidou (ESA):
Generic value was used</t>
      </text>
    </comment>
    <comment ref="F28" authorId="1" shapeId="0">
      <text>
        <t>DELL:
ipcc 2006, Table 11.2, page 11.17</t>
      </text>
    </comment>
    <comment ref="E30" authorId="0" shapeId="0">
      <text>
        <t>Anatoli Poultouchidou (ESA):
No estimate is available in 2019 IPCC. Generic value was used</t>
      </text>
    </comment>
    <comment ref="F30" authorId="0" shapeId="0">
      <text>
        <t>Anatoli Poultouchidou (ESA):
Generic value was used</t>
      </text>
    </comment>
    <comment ref="A36" authorId="0" shapeId="0">
      <text>
        <t>Anatoli Poultouchidou (ESA):
for mineral soils under native vegetations and for the topsoil 0-30 cm</t>
      </text>
    </comment>
    <comment ref="B57" authorId="0" shapeId="0">
      <text>
        <t>Anatoli Poultouchidou (ESA):
Represents area that has been converted from native conditions and continuously managed for predominantly annual crops over 50 yrs. Land-use factor has been estimated under a baseline condition of full tillage and nominal (‘medium”) carbon input levels. Input and tillage factors are also applied to estimate carbon stock changes, which incudes changes from full tillage and medium input</t>
      </text>
    </comment>
    <comment ref="A68" authorId="0" shapeId="0">
      <text>
        <t>Anatoli Poultouchidou (ESA):
There were not enough studies to estimate some of the stock change factors for mineral soils in the tropical montane climate region. As an approximation, the average stock change between the temperate and tropical regions was used to approximate the stock change for the tropical montane climate.</t>
      </text>
    </comment>
    <comment ref="A99" authorId="0" shapeId="0">
      <text>
        <t>Anatoli Poultouchidou (ESA):
refers to organic amendments, animal manures (e.g. slurries, digested manures), N in crop residues and mineralised N from soil organic matter decomposition.</t>
      </text>
    </comment>
    <comment ref="A100" authorId="0" shapeId="0">
      <text>
        <t>Anatoli Poultouchidou (ESA):
refers to organic amendments, animal manures (e.g. slurries, digested manures), N in crop residues and mineralised N from soil organic matter decomposition.</t>
      </text>
    </comment>
    <comment ref="B551" authorId="0" shapeId="0">
      <text>
        <t>Anatoli Poultouchidou (ESA):
Peak above-ground
biomass1 (tonnes d.m. ha-1)</t>
      </text>
    </comment>
    <comment ref="B589" authorId="0" shapeId="0">
      <text>
        <t xml:space="preserve">Anatoli Poultouchidou (ESA):
Red values are taken from Table 4.12 in IPCC 2006, Chapter 4, page 4.63 </t>
      </text>
    </comment>
    <comment ref="C589" authorId="0" shapeId="0">
      <text>
        <t xml:space="preserve">Anatoli Poultouchidou (ESA):
Red values are taken from Table 4.12 in IPCC 2006, Chapter 4, page 4.63 </t>
      </text>
    </comment>
    <comment ref="D589" authorId="0" shapeId="0">
      <text>
        <t xml:space="preserve">Anatoli Poultouchidou (ESA):
Red values are taken from Table 4.12 in IPCC 2006, Chapter 4, page 4.63 </t>
      </text>
    </comment>
    <comment ref="E589" authorId="0" shapeId="0">
      <text>
        <t xml:space="preserve">Anatoli Poultouchidou (ESA):
Red values are taken from Table 4.12 in IPCC 2006, Chapter 4, page 4.63 </t>
      </text>
    </comment>
    <comment ref="G589" authorId="0" shapeId="0">
      <text>
        <t xml:space="preserve">Anatoli Poultouchidou (ESA):
Red values are taken from Table 4.12 in IPCC 2006, Chapter 4, page 4.63 </t>
      </text>
    </comment>
    <comment ref="H589" authorId="0" shapeId="0">
      <text>
        <t xml:space="preserve">Anatoli Poultouchidou (ESA):
Red values are taken from Table 4.12 in IPCC 2006, Chapter 4, page 4.63 </t>
      </text>
    </comment>
    <comment ref="I589" authorId="0" shapeId="0">
      <text>
        <t xml:space="preserve">Anatoli Poultouchidou (ESA):
Red values are taken from Table 4.12 in IPCC 2006, Chapter 4, page 4.63 </t>
      </text>
    </comment>
    <comment ref="J589" authorId="0" shapeId="0">
      <text>
        <t xml:space="preserve">Anatoli Poultouchidou (ESA):
Red values are taken from Table 4.12 in IPCC 2006, Chapter 4, page 4.63 </t>
      </text>
    </comment>
    <comment ref="K589" authorId="0" shapeId="0">
      <text>
        <t xml:space="preserve">Anatoli Poultouchidou (ESA):
Red values are taken from Table 4.12 in IPCC 2006, Chapter 4, page 4.63 </t>
      </text>
    </comment>
    <comment ref="L589" authorId="0" shapeId="0">
      <text>
        <t xml:space="preserve">Anatoli Poultouchidou (ESA):
Red values are taken from Table 4.12 in IPCC 2006, Chapter 4, page 4.63 </t>
      </text>
    </comment>
    <comment ref="M589" authorId="0" shapeId="0">
      <text>
        <t xml:space="preserve">Anatoli Poultouchidou (ESA):
Red values are taken from Table 4.12 in IPCC 2006, Chapter 4, page 4.63 </t>
      </text>
    </comment>
    <comment ref="N589" authorId="0" shapeId="0">
      <text>
        <t xml:space="preserve">Anatoli Poultouchidou (ESA):
Red values are taken from Table 4.12 in IPCC 2006, Chapter 4, page 4.63 </t>
      </text>
    </comment>
    <comment ref="O589" authorId="0" shapeId="0">
      <text>
        <t xml:space="preserve">Anatoli Poultouchidou (ESA):
Red values are taken from Table 4.12 in IPCC 2006, Chapter 4, page 4.63 </t>
      </text>
    </comment>
    <comment ref="P589" authorId="0" shapeId="0">
      <text>
        <t xml:space="preserve">Anatoli Poultouchidou (ESA):
Red values are taken from Table 4.12 in IPCC 2006, Chapter 4, page 4.63 </t>
      </text>
    </comment>
    <comment ref="Q589" authorId="0" shapeId="0">
      <text>
        <t xml:space="preserve">Anatoli Poultouchidou (ESA):
Red values are taken from Table 4.12 in IPCC 2006, Chapter 4, page 4.63 </t>
      </text>
    </comment>
    <comment ref="R589" authorId="0" shapeId="0">
      <text>
        <t xml:space="preserve">Anatoli Poultouchidou (ESA):
Red values are taken from Table 4.12 in IPCC 2006, Chapter 4, page 4.63 </t>
      </text>
    </comment>
    <comment ref="T589" authorId="0" shapeId="0">
      <text>
        <t xml:space="preserve">Anatoli Poultouchidou (ESA):
Red values are taken from Table 4.12 in IPCC 2006, Chapter 4, page 4.63 </t>
      </text>
    </comment>
    <comment ref="U589" authorId="0" shapeId="0">
      <text>
        <t xml:space="preserve">Anatoli Poultouchidou (ESA):
Red values are taken from Table 4.12 in IPCC 2006, Chapter 4, page 4.63 </t>
      </text>
    </comment>
    <comment ref="V589" authorId="0" shapeId="0">
      <text>
        <t xml:space="preserve">Anatoli Poultouchidou (ESA):
Red values are taken from Table 4.7 and 4.12  in IPCC 2006, Chapter 4, page 4.63 </t>
      </text>
    </comment>
    <comment ref="Y589" authorId="0" shapeId="0">
      <text>
        <t>Anatoli Poultouchidou (ESA):
Red values from Table 4.12 in IPCC 2006</t>
      </text>
    </comment>
    <comment ref="Z589" authorId="0" shapeId="0">
      <text>
        <t>Anatoli Poultouchidou (ESA):
Red values are taken from Table 4.12 in IPCC 2006</t>
      </text>
    </comment>
    <comment ref="AA589" authorId="0" shapeId="0">
      <text>
        <t>Anatoli Poultouchidou (ESA):
Red values are taken from Table 4.12 in IPCC 2006</t>
      </text>
    </comment>
    <comment ref="AD589" authorId="0" shapeId="0">
      <text>
        <t xml:space="preserve">Anatoli Poultouchidou (ESA):
Red values are taken from Table 4.12 in IPCC 2006, Chapter 4, page 4.63 </t>
      </text>
    </comment>
    <comment ref="AE589" authorId="0" shapeId="0">
      <text>
        <t xml:space="preserve">Anatoli Poultouchidou (ESA):
Red values are taken from Table 4.12 in IPCC 2006, Chapter 4, page 4.63 </t>
      </text>
    </comment>
    <comment ref="AF589" authorId="0" shapeId="0">
      <text>
        <t xml:space="preserve">Anatoli Poultouchidou (ESA):
Red values are taken from Table 4.12 in IPCC 2006, Chapter 4, page 4.63 </t>
      </text>
    </comment>
    <comment ref="AG589" authorId="0" shapeId="0">
      <text>
        <t>Anatoli Poultouchidou (ESA):
Red values from Table 4.12, in IPCC 2006</t>
      </text>
    </comment>
    <comment ref="AH589" authorId="0" shapeId="0">
      <text>
        <t>Anatoli Poultouchidou (ESA):
RED values are taken from Table 4.12 in IPCC 2006</t>
      </text>
    </comment>
    <comment ref="AI589" authorId="0" shapeId="0">
      <text>
        <t>Anatoli Poultouchidou (ESA):
Red values are taken from Table 4.12 in IPCC 2006</t>
      </text>
    </comment>
    <comment ref="AJ589" authorId="0" shapeId="0">
      <text>
        <t xml:space="preserve">Anatoli Poultouchidou (ESA):
Red values are taken from Table 4.12 in IPCC 2006, Chapter 4, page 4.63 </t>
      </text>
    </comment>
    <comment ref="AK589" authorId="0" shapeId="0">
      <text>
        <t>Anatoli Poultouchidou (ESA):
RED values from Table 4.12 in IPCC 2006</t>
      </text>
    </comment>
    <comment ref="W590" authorId="0" shapeId="0">
      <text>
        <t xml:space="preserve">Anatoli Poultouchidou (ESA):
New class in IPCC 2019 
Value for Secondary &gt;20 was used given the NA  
for natural and planted forest in Temperate Desert </t>
      </text>
    </comment>
    <comment ref="X590" authorId="0" shapeId="0">
      <text>
        <t xml:space="preserve">Anatoli Poultouchidou (ESA):
New forest class in IPCC 2019. 
NA for primary forest. The value for secondary forest was used </t>
      </text>
    </comment>
    <comment ref="AB590" authorId="0" shapeId="0">
      <text>
        <t xml:space="preserve">Anatoli Poultouchidou (ESA):
New class in IPCC 2019 
Value for Secondary &gt;20 was used given the NA  
for natural and planted forest in Temperate Desert </t>
      </text>
    </comment>
    <comment ref="M616" authorId="0" shapeId="0">
      <text>
        <t>Anatoli Poultouchidou (ESA):
no estimate available
Took the same value as Tropical mountain systems</t>
      </text>
    </comment>
    <comment ref="BB616" authorId="0" shapeId="0">
      <text>
        <t xml:space="preserve">Anatoli Poultouchidou (ESA):
values innred taken from ex-act v.7
</t>
      </text>
    </comment>
    <comment ref="C649" authorId="0" shapeId="0">
      <text>
        <t xml:space="preserve">Anatoli Poultouchidou (ESA):
subtropical desert = 64.4 tC/ha
The class 'Subtropical dry forest' is mising from table 2.2 
</t>
      </text>
    </comment>
    <comment ref="C666" authorId="0" shapeId="0">
      <text>
        <t xml:space="preserve">Anatoli Poultouchidou (ESA):
subtropical desert = 64.4 tC/ha
The class 'Subtropical dry forest' is mising from table 2.2 
</t>
      </text>
    </comment>
    <comment ref="E682" authorId="0" shapeId="0">
      <text>
        <t xml:space="preserve">Anatoli Poultouchidou (ESA):
represents temporary annual fallow and so it is set same biomass as annual cropland
</t>
      </text>
    </comment>
    <comment ref="F682" authorId="0" shapeId="0">
      <text>
        <t>Anatoli Poultouchidou (ESA):
 same as annual cropland</t>
      </text>
    </comment>
    <comment ref="G682" authorId="0" shapeId="0">
      <text>
        <t>Anatoli Poultouchidou (ESA):
Total biomass = AGB + BGB</t>
      </text>
    </comment>
    <comment ref="R682" authorId="0" shapeId="0">
      <text>
        <t xml:space="preserve">Anatoli Poultouchidou (ESA):
To be double checked!!!
Native vegetation that has been heavily disturbed. Land with low levels of biomass and soil carbon </t>
      </text>
    </comment>
    <comment ref="D683" authorId="0" shapeId="0">
      <text>
        <t>Anatoli Poultouchidou (ESA):
Carbon stock in biomass after one year</t>
      </text>
    </comment>
    <comment ref="E683" authorId="0" shapeId="0">
      <text>
        <t>Anatoli Poultouchidou (ESA):
Carbon stock in biomass after one year</t>
      </text>
    </comment>
    <comment ref="F683" authorId="0" shapeId="0">
      <text>
        <t>Anatoli Poultouchidou (ESA):
Carbon stock in biomass after one year</t>
      </text>
    </comment>
    <comment ref="G683" authorId="0" shapeId="0">
      <text>
        <t>Anatoli Poultouchidou (ESA):
Carbon stock in biomass after one year</t>
      </text>
    </comment>
    <comment ref="H683" authorId="0" shapeId="0">
      <text>
        <t>Anatoli Poultouchidou (ESA):
Carbon stock in biomass after one year</t>
      </text>
    </comment>
    <comment ref="I683" authorId="0" shapeId="0">
      <text>
        <t>Anatoli Poultouchidou (ESA):
Carbon stock in biomass after one year</t>
      </text>
    </comment>
    <comment ref="J683" authorId="0" shapeId="0">
      <text>
        <t>Anatoli Poultouchidou (ESA):
Carbon stock in biomass after one year</t>
      </text>
    </comment>
    <comment ref="K683" authorId="0" shapeId="0">
      <text>
        <t>Anatoli Poultouchidou (ESA):
Carbon stock in biomass after one year</t>
      </text>
    </comment>
    <comment ref="L683" authorId="0" shapeId="0">
      <text>
        <t>Anatoli Poultouchidou (ESA):
Carbon stock in biomass after one year</t>
      </text>
    </comment>
    <comment ref="M683" authorId="0" shapeId="0">
      <text>
        <t>Anatoli Poultouchidou (ESA):
Carbon stock in biomass after one year</t>
      </text>
    </comment>
    <comment ref="N683" authorId="0" shapeId="0">
      <text>
        <t>Anatoli Poultouchidou (ESA):
Carbon stock in biomass after one year</t>
      </text>
    </comment>
    <comment ref="O683" authorId="0" shapeId="0">
      <text>
        <t>Anatoli Poultouchidou (ESA):
Carbon stock in biomass after one year</t>
      </text>
    </comment>
    <comment ref="P683" authorId="0" shapeId="0">
      <text>
        <t>Anatoli Poultouchidou (ESA):
Carbon stock in biomass after one year</t>
      </text>
    </comment>
    <comment ref="Q683" authorId="0" shapeId="0">
      <text>
        <t>Anatoli Poultouchidou (ESA):
Carbon stock in biomass after one year</t>
      </text>
    </comment>
    <comment ref="R683" authorId="0" shapeId="0">
      <text>
        <t>Anatoli Poultouchidou (ESA):
Carbon stock in biomass after one year</t>
      </text>
    </comment>
    <comment ref="S683" authorId="0" shapeId="0">
      <text>
        <t>Anatoli Poultouchidou (ESA):
Carbon stock in biomass after one year</t>
      </text>
    </comment>
    <comment ref="T683" authorId="0" shapeId="0">
      <text>
        <t>Anatoli Poultouchidou (ESA):
Carbon stock in biomass after one year</t>
      </text>
    </comment>
    <comment ref="U683" authorId="0" shapeId="0">
      <text>
        <t>Anatoli Poultouchidou (ESA):
Carbon stock in biomass after one year</t>
      </text>
    </comment>
    <comment ref="V683" authorId="0" shapeId="0">
      <text>
        <t>Anatoli Poultouchidou (ESA):
Carbon stock in biomass after one year</t>
      </text>
    </comment>
    <comment ref="W683" authorId="0" shapeId="0">
      <text>
        <t>Anatoli Poultouchidou (ESA):
Carbon stock in biomass after one year</t>
      </text>
    </comment>
    <comment ref="X683" authorId="0" shapeId="0">
      <text>
        <t>Anatoli Poultouchidou (ESA):
Carbon stock in biomass after one year</t>
      </text>
    </comment>
    <comment ref="Y683" authorId="0" shapeId="0">
      <text>
        <t>Anatoli Poultouchidou (ESA):
Carbon stock in biomass after one year</t>
      </text>
    </comment>
    <comment ref="C852" authorId="0" shapeId="0">
      <text>
        <t>Anatoli Poultouchidou (ESA):
Set aside (&lt; 20 yrs)</t>
      </text>
    </comment>
    <comment ref="F852" authorId="0" shapeId="0">
      <text>
        <t>Anatoli Poultouchidou (ESA):
To be double checked!!!</t>
      </text>
    </comment>
    <comment ref="P852" authorId="0" shapeId="0">
      <text>
        <t>Anatoli Poultouchidou (ESA):
Check with Martial  FLU in degraded land
EX-ACT v7: FLU degraded in Afforestation and Deforestation are not the same 
In A-R: FLU degraded = 0.33
In Defo: FLU degraded = 50% FLU annual</t>
      </text>
    </comment>
    <comment ref="B1472" authorId="0" shapeId="0">
      <text>
        <t>Anatoli Poultouchidou (ESA):
same values as in EX-ACT v7 To be checked!!!</t>
      </text>
    </comment>
    <comment ref="A1488" authorId="0" shapeId="0">
      <text>
        <t xml:space="preserve">Anatoli Poultouchidou (ESA):
Native vegetation that has been heavily disturbed. Land with low levels of biomass and soil carbon </t>
      </text>
    </comment>
    <comment ref="E1517" authorId="0" shapeId="0">
      <text>
        <t xml:space="preserve">Anatoli Poultouchidou (ESA):
represents temporary annual fallow and so it is set same biomass as annual cropland
</t>
      </text>
    </comment>
    <comment ref="F1517" authorId="0" shapeId="0">
      <text>
        <t>Anatoli Poultouchidou (ESA):
 same as annual cropland</t>
      </text>
    </comment>
    <comment ref="G1517" authorId="0" shapeId="0">
      <text>
        <t>Anatoli Poultouchidou (ESA):
Total biomass = AGB + BGB</t>
      </text>
    </comment>
    <comment ref="R1517" authorId="0" shapeId="0">
      <text>
        <t xml:space="preserve">Anatoli Poultouchidou (ESA):
Native vegetation that has been heavily disturbed. Land with low levels of biomass and soil carbon </t>
      </text>
    </comment>
    <comment ref="J1518" authorId="0" shapeId="0">
      <text>
        <t>Anatoli Poultouchidou (ESA):
Countries should use Lmean in updated Table 5.1 and 5.3 in the case that carbon removal has occurred by land use change where the age of the perennial crop removed is unknown. Carbon losses are estimated by multiplying the annual area of land conversion by Lmean.</t>
      </text>
    </comment>
    <comment ref="K1518" authorId="0" shapeId="0">
      <text>
        <t>Anatoli Poultouchidou (ESA):
Countries should use Lmean in updated Table 5.1 and 5.3 in the case that carbon removal has occurred by land use change where the age of the perennial crop removed is unknown. Carbon losses are estimated by multiplying the annual area of land conversion by Lmean.</t>
      </text>
    </comment>
    <comment ref="L1518" authorId="0" shapeId="0">
      <text>
        <t>Anatoli Poultouchidou (ESA):
Countries should use Lmean in updated Table 5.1 and 5.3 in the case that carbon removal has occurred by land use change where the age of the perennial crop removed is unknown. Carbon losses are estimated by multiplying the annual area of land conversion by Lmean.</t>
      </text>
    </comment>
    <comment ref="M1518" authorId="0" shapeId="0">
      <text>
        <t>Anatoli Poultouchidou (ESA):
Countries should use Lmean in updated Table 5.1 and 5.3 in the case that carbon removal has occurred by land use change where the age of the perennial crop removed is unknown. Carbon losses are estimated by multiplying the annual area of land conversion by Lmean.</t>
      </text>
    </comment>
    <comment ref="N1518" authorId="0" shapeId="0">
      <text>
        <t>Anatoli Poultouchidou (ESA):
Countries should use Lmean in updated Table 5.1 and 5.3 in the case that carbon removal has occurred by land use change where the age of the perennial crop removed is unknown. Carbon losses are estimated by multiplying the annual area of land conversion by Lmean.</t>
      </text>
    </comment>
    <comment ref="O1518" authorId="0" shapeId="0">
      <text>
        <t>Anatoli Poultouchidou (ESA):
Countries should use Lmean in updated Table 5.1 and 5.3 in the case that carbon removal has occurred by land use change where the age of the perennial crop removed is unknown. Carbon losses are estimated by multiplying the annual area of land conversion by Lmean.</t>
      </text>
    </comment>
    <comment ref="P1518" authorId="0" shapeId="0">
      <text>
        <t>Anatoli Poultouchidou (ESA):
Countries should use Lmean in updated Table 5.1 and 5.3 in the case that carbon removal has occurred by land use change where the age of the perennial crop removed is unknown. Carbon losses are estimated by multiplying the annual area of land conversion by Lmean.</t>
      </text>
    </comment>
    <comment ref="Q1518" authorId="0" shapeId="0">
      <text>
        <t>Anatoli Poultouchidou (ESA):
Countries should use Lmean in updated Table 5.1 and 5.3 in the case that carbon removal has occurred by land use change where the age of the perennial crop removed is unknown. Carbon losses are estimated by multiplying the annual area of land conversion by Lmean.</t>
      </text>
    </comment>
    <comment ref="S1518" authorId="0" shapeId="0">
      <text>
        <t>Anatoli Poultouchidou (ESA):
Countries should use Lmean in updated Table 5.1 and 5.3 in the case that carbon removal has occurred by land use change where the age of the perennial crop removed is unknown. Carbon losses are estimated by multiplying the annual area of land conversion by Lmean.</t>
      </text>
    </comment>
    <comment ref="T1518" authorId="0" shapeId="0">
      <text>
        <t>Anatoli Poultouchidou (ESA):
Countries should use Lmean in updated Table 5.1 and 5.3 in the case that carbon removal has occurred by land use change where the age of the perennial crop removed is unknown. Carbon losses are estimated by multiplying the annual area of land conversion by Lmean.</t>
      </text>
    </comment>
    <comment ref="U1518" authorId="0" shapeId="0">
      <text>
        <t>Anatoli Poultouchidou (ESA):
Countries should use Lmean in updated Table 5.1 and 5.3 in the case that carbon removal has occurred by land use change where the age of the perennial crop removed is unknown. Carbon losses are estimated by multiplying the annual area of land conversion by Lmean.</t>
      </text>
    </comment>
    <comment ref="V1518" authorId="0" shapeId="0">
      <text>
        <t>Anatoli Poultouchidou (ESA):
Countries should use Lmean in updated Table 5.1 and 5.3 in the case that carbon removal has occurred by land use change where the age of the perennial crop removed is unknown. Carbon losses are estimated by multiplying the annual area of land conversion by Lmean.</t>
      </text>
    </comment>
    <comment ref="W1518" authorId="0" shapeId="0">
      <text>
        <t>Anatoli Poultouchidou (ESA):
Countries should use Lmean in updated Table 5.1 and 5.3 in the case that carbon removal has occurred by land use change where the age of the perennial crop removed is unknown. Carbon losses are estimated by multiplying the annual area of land conversion by Lmean.</t>
      </text>
    </comment>
    <comment ref="X1518" authorId="0" shapeId="0">
      <text>
        <t>Anatoli Poultouchidou (ESA):
Countries should use Lmean in updated Table 5.1 and 5.3 in the case that carbon removal has occurred by land use change where the age of the perennial crop removed is unknown. Carbon losses are estimated by multiplying the annual area of land conversion by Lmean.</t>
      </text>
    </comment>
    <comment ref="Y1518" authorId="0" shapeId="0">
      <text>
        <t>Anatoli Poultouchidou (ESA):
Countries should use Lmean in updated Table 5.1 and 5.3 in the case that carbon removal has occurred by land use change where the age of the perennial crop removed is unknown. Carbon losses are estimated by multiplying the annual area of land conversion by Lmean.</t>
      </text>
    </comment>
    <comment ref="F1520" authorId="0" shapeId="0">
      <text>
        <t>Anatoli Poultouchidou (ESA):
 same as annual cropland</t>
      </text>
    </comment>
    <comment ref="C1687" authorId="0" shapeId="0">
      <text>
        <t>Anatoli Poultouchidou (ESA):
Set aside (&lt; 20 yrs)</t>
      </text>
    </comment>
    <comment ref="F1687" authorId="0" shapeId="0">
      <text>
        <t>Anatoli Poultouchidou (ESA):
To be double checked!!!</t>
      </text>
    </comment>
    <comment ref="P1687" authorId="0" shapeId="0">
      <text>
        <t>Anatoli Poultouchidou (ESA):
Check with Martial  FLU in degraded land
EX-ACT v7: FLU degraded in Afforestation and Deforestation are not the same 
In A-R: FLU degraded = 0.33
In Defo: FLU degraded = 50% FLU annual</t>
      </text>
    </comment>
    <comment ref="C2328" authorId="2" shapeId="0">
      <text>
        <t xml:space="preserve">LaureSophie Schiettecatte (ESA):
check with GLEAM
</t>
      </text>
    </comment>
  </commentList>
</comments>
</file>

<file path=xl/comments/comment12.xml><?xml version="1.0" encoding="utf-8"?>
<comments xmlns="http://schemas.openxmlformats.org/spreadsheetml/2006/main">
  <authors>
    <author>LaureSophie Schiettecatte (ESA)</author>
  </authors>
  <commentList>
    <comment ref="I81" authorId="0" shapeId="0">
      <text>
        <t>LaureSophie Schiettecatte (ESA):
OTHER for Inland wetland only refers for Fire emissions where the uncertainties if higher</t>
      </text>
    </comment>
  </commentList>
</comments>
</file>

<file path=xl/comments/comment13.xml><?xml version="1.0" encoding="utf-8"?>
<comments xmlns="http://schemas.openxmlformats.org/spreadsheetml/2006/main">
  <authors>
    <author>Anatoli Poultouchidou (ESA)</author>
  </authors>
  <commentList>
    <comment ref="AM66" authorId="0" shapeId="0">
      <text>
        <t>Anatoli Poultouchidou (ESA):
onstructions, roads, parking lots or any kind of land use where no vegetation will be present</t>
      </text>
    </comment>
  </commentList>
</comments>
</file>

<file path=xl/comments/comment14.xml><?xml version="1.0" encoding="utf-8"?>
<comments xmlns="http://schemas.openxmlformats.org/spreadsheetml/2006/main">
  <authors>
    <author>Berling, Laure (ESA)</author>
  </authors>
  <commentList>
    <comment ref="F1" authorId="0" shapeId="0">
      <text>
        <t>Berling, Laure (ESA):
Yields from FAOSTAT expressed in hectogrammes/hectare</t>
      </text>
    </comment>
    <comment ref="L1" authorId="0" shapeId="0">
      <text>
        <t>Berling, Laure (ESA):Yields converted into tonnes</t>
      </text>
    </comment>
  </commentList>
</comments>
</file>

<file path=xl/comments/comment15.xml><?xml version="1.0" encoding="utf-8"?>
<comments xmlns="http://schemas.openxmlformats.org/spreadsheetml/2006/main">
  <authors>
    <author>Anatoli Poultouchidou (ESA)</author>
  </authors>
  <commentList>
    <comment ref="C27" authorId="0" shapeId="0">
      <text>
        <t>Anatoli Poultouchidou (ESA):
TABLE 11.1A, page 11.15
TABLE 11.2, page 11.18</t>
      </text>
    </comment>
    <comment ref="C28" authorId="0" shapeId="0">
      <text>
        <t>Anatoli Poultouchidou (ESA):
Generic value for crops not indicated belowc</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col>
      <colOff>2229</colOff>
      <row>26</row>
      <rowOff>154402</rowOff>
    </from>
    <to>
      <col>9</col>
      <colOff>0</colOff>
      <row>58</row>
      <rowOff>203170</rowOff>
    </to>
    <graphicFrame>
      <nvGraphicFramePr>
        <cNvPr id="1" name="Chart 1"/>
        <cNvGraphicFramePr/>
      </nvGraphicFramePr>
      <xfrm/>
      <a:graphic>
        <a:graphicData uri="http://schemas.openxmlformats.org/drawingml/2006/chart">
          <c:chart r:id="rId1"/>
        </a:graphicData>
      </a:graphic>
    </graphicFrame>
    <clientData/>
  </twoCellAnchor>
  <twoCellAnchor>
    <from>
      <col>9</col>
      <colOff>396874</colOff>
      <row>4</row>
      <rowOff>158750</rowOff>
    </from>
    <to>
      <col>16</col>
      <colOff>746124</colOff>
      <row>24</row>
      <rowOff>47625</rowOff>
    </to>
    <graphicFrame>
      <nvGraphicFramePr>
        <cNvPr id="2" name="Chart 2"/>
        <cNvGraphicFramePr/>
      </nvGraphicFramePr>
      <xfrm/>
      <a:graphic>
        <a:graphicData uri="http://schemas.openxmlformats.org/drawingml/2006/chart">
          <c:chart r:id="rId2"/>
        </a:graphicData>
      </a:graphic>
    </graphicFrame>
    <clientData/>
  </twoCellAnchor>
  <twoCellAnchor>
    <from>
      <col>9</col>
      <colOff>0</colOff>
      <row>28</row>
      <rowOff>0</rowOff>
    </from>
    <to>
      <col>17</col>
      <colOff>11206</colOff>
      <row>58</row>
      <rowOff>156883</rowOff>
    </to>
    <graphicFrame>
      <nvGraphicFramePr>
        <cNvPr id="3" name="Chart 3"/>
        <cNvGraphicFramePr/>
      </nvGraphicFramePr>
      <xfrm/>
      <a:graphic>
        <a:graphicData uri="http://schemas.openxmlformats.org/drawingml/2006/chart">
          <c:chart r:id="rId3"/>
        </a:graphicData>
      </a:graphic>
    </graphicFrame>
    <clientData/>
  </twoCellAnchor>
  <twoCellAnchor>
    <from>
      <col>1</col>
      <colOff>54561</colOff>
      <row>232</row>
      <rowOff>133736</rowOff>
    </from>
    <to>
      <col>9</col>
      <colOff>26748</colOff>
      <row>264</row>
      <rowOff>182504</rowOff>
    </to>
    <graphicFrame>
      <nvGraphicFramePr>
        <cNvPr id="4" name="Chart 4"/>
        <cNvGraphicFramePr/>
      </nvGraphicFramePr>
      <xfrm/>
      <a:graphic>
        <a:graphicData uri="http://schemas.openxmlformats.org/drawingml/2006/chart">
          <c:chart r:id="rId4"/>
        </a:graphicData>
      </a:graphic>
    </graphicFrame>
    <clientData/>
  </twoCellAnchor>
  <twoCellAnchor>
    <from>
      <col>0</col>
      <colOff>560295</colOff>
      <row>197</row>
      <rowOff>70037</rowOff>
    </from>
    <to>
      <col>8</col>
      <colOff>1299883</colOff>
      <row>228</row>
      <rowOff>36420</rowOff>
    </to>
    <graphicFrame>
      <nvGraphicFramePr>
        <cNvPr id="5" name="Chart 5"/>
        <cNvGraphicFramePr/>
      </nvGraphicFramePr>
      <xfrm/>
      <a:graphic>
        <a:graphicData uri="http://schemas.openxmlformats.org/drawingml/2006/chart">
          <c:chart r:id="rId5"/>
        </a:graphicData>
      </a:graphic>
    </graphicFrame>
    <clientData/>
  </twoCellAnchor>
  <twoCellAnchor>
    <from>
      <col>9</col>
      <colOff>0</colOff>
      <row>197</row>
      <rowOff>70037</rowOff>
    </from>
    <to>
      <col>17</col>
      <colOff>13307</colOff>
      <row>228</row>
      <rowOff>36420</rowOff>
    </to>
    <graphicFrame>
      <nvGraphicFramePr>
        <cNvPr id="6" name="Chart 6"/>
        <cNvGraphicFramePr/>
      </nvGraphicFramePr>
      <xfrm/>
      <a:graphic>
        <a:graphicData uri="http://schemas.openxmlformats.org/drawingml/2006/chart">
          <c:chart r:id="rId6"/>
        </a:graphicData>
      </a:graphic>
    </graphicFrame>
    <clientData/>
  </twoCellAnchor>
  <twoCellAnchor>
    <from>
      <col>9</col>
      <colOff>0</colOff>
      <row>232</row>
      <rowOff>133736</rowOff>
    </from>
    <to>
      <col>16</col>
      <colOff>1269968</colOff>
      <row>264</row>
      <rowOff>182504</rowOff>
    </to>
    <graphicFrame>
      <nvGraphicFramePr>
        <cNvPr id="7" name="Chart 7"/>
        <cNvGraphicFramePr/>
      </nvGraphicFramePr>
      <xfrm/>
      <a:graphic>
        <a:graphicData uri="http://schemas.openxmlformats.org/drawingml/2006/chart">
          <c:chart r:id="rId7"/>
        </a:graphicData>
      </a:graphic>
    </graphicFrame>
    <clientData/>
  </twoCellAnchor>
  <twoCellAnchor>
    <from>
      <col>1</col>
      <colOff>155864</colOff>
      <row>62</row>
      <rowOff>138544</rowOff>
    </from>
    <to>
      <col>8</col>
      <colOff>1073727</colOff>
      <row>99</row>
      <rowOff>190499</rowOff>
    </to>
    <graphicFrame>
      <nvGraphicFramePr>
        <cNvPr id="8" name="Chart 8"/>
        <cNvGraphicFramePr/>
      </nvGraphicFramePr>
      <xfrm/>
      <a:graphic>
        <a:graphicData uri="http://schemas.openxmlformats.org/drawingml/2006/chart">
          <c:chart r:id="rId8"/>
        </a:graphicData>
      </a:graphic>
    </graphicFrame>
    <clientData/>
  </twoCellAnchor>
  <twoCellAnchor>
    <from>
      <col>9</col>
      <colOff>43292</colOff>
      <row>62</row>
      <rowOff>152400</rowOff>
    </from>
    <to>
      <col>17</col>
      <colOff>0</colOff>
      <row>100</row>
      <rowOff>0</rowOff>
    </to>
    <graphicFrame>
      <nvGraphicFramePr>
        <cNvPr id="9" name="Chart 9"/>
        <cNvGraphicFramePr/>
      </nvGraphicFramePr>
      <xfrm/>
      <a:graphic>
        <a:graphicData uri="http://schemas.openxmlformats.org/drawingml/2006/chart">
          <c:chart r:id="rId9"/>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5846BAA7/ex-act_18022020.xlsx" TargetMode="External" Id="rId1" /></Relationships>
</file>

<file path=xl/externalLinks/_rels/externalLink2.xml.rels><Relationships xmlns="http://schemas.openxmlformats.org/package/2006/relationships"><Relationship Type="http://schemas.openxmlformats.org/officeDocument/2006/relationships/externalLinkPath" Target="https://unfao-my.sharepoint.com/personal/laure_berling_fao_org/Documents/Documenti/(2)EX-ACT_V9.3_21.04_TESTYIELDS_Veg.xlsb"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list"/>
      <sheetName val="Crop H2O"/>
    </sheetNames>
    <sheetDataSet>
      <sheetData sheetId="0" refreshError="1"/>
      <sheetData sheetId="1"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0.Start"/>
      <sheetName val="1.Description"/>
      <sheetName val="2.LUC"/>
      <sheetName val="defo"/>
      <sheetName val="affo"/>
      <sheetName val="luc"/>
      <sheetName val="3.Cropland"/>
      <sheetName val="crop H2O"/>
      <sheetName val="annual"/>
      <sheetName val="perennial"/>
      <sheetName val="rice"/>
      <sheetName val="4.Grassland"/>
      <sheetName val="grass"/>
      <sheetName val="Livestock"/>
      <sheetName val="5.Management"/>
      <sheetName val="degradation"/>
      <sheetName val="6.Inland wetlands"/>
      <sheetName val="Inl. wetlands"/>
      <sheetName val="Sheet1"/>
      <sheetName val="list"/>
      <sheetName val="IPCC"/>
      <sheetName val="7.Coastal wetlands"/>
      <sheetName val="Coastal"/>
      <sheetName val="Fish and aqua"/>
      <sheetName val="8. Fisheries and aquaculture"/>
      <sheetName val="Database fish"/>
      <sheetName val="Atwood"/>
      <sheetName val="List countries GLEAM"/>
      <sheetName val="9.Inputs"/>
      <sheetName val="Inputs"/>
      <sheetName val="Energy DB"/>
      <sheetName val="BALANCE"/>
      <sheetName val="Gross results"/>
      <sheetName val="Graph"/>
      <sheetName val="10.Results"/>
      <sheetName val="Elec"/>
      <sheetName val="Matrix"/>
      <sheetName val="YEARLY"/>
      <sheetName val="Calculations"/>
      <sheetName val="Earth Map"/>
      <sheetName val="Definitions"/>
      <sheetName val="HELP"/>
      <sheetName val="Languages"/>
      <sheetName val="Stats_yield_ton_per_ha"/>
      <sheetName val="list_region_count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ow r="3">
          <cell r="B3" t="str">
            <v>Region (FAOSTAT)</v>
          </cell>
          <cell r="C3" t="str">
            <v>FAOSTAT (Total)</v>
          </cell>
          <cell r="D3" t="str">
            <v xml:space="preserve">EX-ACT region </v>
          </cell>
        </row>
        <row r="4">
          <cell r="B4" t="str">
            <v>?</v>
          </cell>
          <cell r="C4" t="str">
            <v>?</v>
          </cell>
          <cell r="D4" t="str">
            <v>Please select</v>
          </cell>
        </row>
        <row r="5">
          <cell r="B5" t="str">
            <v>Eastern Africa</v>
          </cell>
          <cell r="C5" t="str">
            <v>Eastern Africa + (Total)</v>
          </cell>
          <cell r="D5" t="str">
            <v>Eastern Africa</v>
          </cell>
        </row>
        <row r="6">
          <cell r="B6" t="str">
            <v>Central Africa</v>
          </cell>
          <cell r="C6" t="str">
            <v>Central Africa + (Total)</v>
          </cell>
          <cell r="D6" t="str">
            <v>Central Africa</v>
          </cell>
        </row>
        <row r="7">
          <cell r="B7" t="str">
            <v>Northern Africa</v>
          </cell>
          <cell r="C7" t="str">
            <v>Northern Africa + (Total)</v>
          </cell>
          <cell r="D7" t="str">
            <v>Northern Africa</v>
          </cell>
        </row>
        <row r="8">
          <cell r="B8" t="str">
            <v>Southern Africa</v>
          </cell>
          <cell r="C8" t="str">
            <v>Southern Africa + (Total)</v>
          </cell>
          <cell r="D8" t="str">
            <v>Southern Africa</v>
          </cell>
        </row>
        <row r="9">
          <cell r="B9" t="str">
            <v>Western Africa</v>
          </cell>
          <cell r="C9" t="str">
            <v>Western Africa + (Total)</v>
          </cell>
          <cell r="D9" t="str">
            <v>Western Africa</v>
          </cell>
        </row>
        <row r="10">
          <cell r="B10" t="str">
            <v>Central Asia</v>
          </cell>
          <cell r="C10" t="str">
            <v>Central Asia + (Total)</v>
          </cell>
          <cell r="D10" t="str">
            <v>Central Asia</v>
          </cell>
        </row>
        <row r="11">
          <cell r="B11" t="str">
            <v>Eastern Asia</v>
          </cell>
          <cell r="C11" t="str">
            <v>Eastern Asia + (Total)</v>
          </cell>
          <cell r="D11" t="str">
            <v>Eastern Asia</v>
          </cell>
        </row>
        <row r="12">
          <cell r="B12" t="str">
            <v>South-eastern Asia</v>
          </cell>
          <cell r="C12" t="str">
            <v>South-eastern Asia + (Total)</v>
          </cell>
          <cell r="D12" t="str">
            <v>South-eastern Asia</v>
          </cell>
        </row>
        <row r="13">
          <cell r="B13" t="str">
            <v>Southern Asia</v>
          </cell>
          <cell r="C13" t="str">
            <v>Southern Asia + (Total)</v>
          </cell>
          <cell r="D13" t="str">
            <v>Southern Asia</v>
          </cell>
        </row>
        <row r="14">
          <cell r="B14" t="str">
            <v>Western Asia</v>
          </cell>
          <cell r="C14" t="str">
            <v>Western Asia + (Total)</v>
          </cell>
          <cell r="D14" t="str">
            <v>Western Asia</v>
          </cell>
        </row>
        <row r="15">
          <cell r="B15" t="str">
            <v>Europe</v>
          </cell>
          <cell r="C15" t="str">
            <v>Europe + (Total)</v>
          </cell>
          <cell r="D15" t="str">
            <v>Europe</v>
          </cell>
        </row>
        <row r="16">
          <cell r="B16" t="str">
            <v>Oceania</v>
          </cell>
          <cell r="C16" t="str">
            <v>Oceania + (Total)</v>
          </cell>
          <cell r="D16" t="str">
            <v>Oceania</v>
          </cell>
        </row>
        <row r="17">
          <cell r="B17" t="str">
            <v>Northern America</v>
          </cell>
          <cell r="C17" t="str">
            <v>North America + (Total)</v>
          </cell>
          <cell r="D17" t="str">
            <v>North America</v>
          </cell>
        </row>
        <row r="18">
          <cell r="B18" t="str">
            <v>South America</v>
          </cell>
          <cell r="C18" t="str">
            <v>South America + (Total)</v>
          </cell>
          <cell r="D18" t="str">
            <v>South America</v>
          </cell>
        </row>
        <row r="19">
          <cell r="B19" t="str">
            <v>Central America</v>
          </cell>
          <cell r="C19" t="str">
            <v>Central America + (Total)</v>
          </cell>
          <cell r="D19" t="str">
            <v>Central America</v>
          </cell>
        </row>
        <row r="20">
          <cell r="B20" t="str">
            <v>Caribbean</v>
          </cell>
          <cell r="C20" t="str">
            <v>Caribbean + (Total)</v>
          </cell>
          <cell r="D20" t="str">
            <v>Caribbean</v>
          </cell>
        </row>
      </sheetData>
    </sheetDataSet>
  </externalBook>
</externalLink>
</file>

<file path=xl/tables/table1.xml><?xml version="1.0" encoding="utf-8"?>
<table xmlns="http://schemas.openxmlformats.org/spreadsheetml/2006/main" id="1" name="TabBoreal" displayName="TabBoreal" ref="F21:F24" headerRowCount="1" totalsRowShown="0" headerRowDxfId="1398" headerRowBorderDxfId="1397" tableBorderDxfId="1396" totalsRowBorderDxfId="1395">
  <autoFilter ref="F21:F24"/>
  <tableColumns count="1">
    <tableColumn id="1" name="Boreal"/>
  </tableColumns>
  <tableStyleInfo name="TableStyleMedium2" showFirstColumn="0" showLastColumn="0" showRowStripes="1" showColumnStripes="0"/>
</table>
</file>

<file path=xl/tables/table2.xml><?xml version="1.0" encoding="utf-8"?>
<table xmlns="http://schemas.openxmlformats.org/spreadsheetml/2006/main" id="2" name="Tabcooltemp" displayName="Tabcooltemp" ref="G21:G24" headerRowCount="1" totalsRowShown="0" headerRowDxfId="1394" headerRowBorderDxfId="1393" tableBorderDxfId="1392" totalsRowBorderDxfId="1391">
  <autoFilter ref="G21:G24"/>
  <tableColumns count="1">
    <tableColumn id="1" name="Cool Temperate"/>
  </tableColumns>
  <tableStyleInfo name="TableStyleMedium2" showFirstColumn="0" showLastColumn="0" showRowStripes="1" showColumnStripes="0"/>
</table>
</file>

<file path=xl/tables/table3.xml><?xml version="1.0" encoding="utf-8"?>
<table xmlns="http://schemas.openxmlformats.org/spreadsheetml/2006/main" id="3" name="TabTrop" displayName="TabTrop" ref="H21:H25" headerRowCount="1" totalsRowShown="0" headerRowDxfId="1390" dataDxfId="1388" headerRowBorderDxfId="1389" tableBorderDxfId="1387" totalsRowBorderDxfId="1386">
  <autoFilter ref="H21:H25"/>
  <tableColumns count="1">
    <tableColumn id="1" name="Tropical" dataDxfId="1385"/>
  </tableColumns>
  <tableStyleInfo name="TableStyleMedium2" showFirstColumn="0" showLastColumn="0" showRowStripes="1" showColumnStripes="0"/>
</table>
</file>

<file path=xl/tables/table4.xml><?xml version="1.0" encoding="utf-8"?>
<table xmlns="http://schemas.openxmlformats.org/spreadsheetml/2006/main" id="4" name="TabTrMon" displayName="TabTrMon" ref="I21:I23" headerRowCount="1" totalsRowShown="0" headerRowDxfId="1384" dataDxfId="1382" headerRowBorderDxfId="1383" tableBorderDxfId="1381" totalsRowBorderDxfId="1380">
  <autoFilter ref="I21:I23"/>
  <tableColumns count="1">
    <tableColumn id="1" name="Tropical Montane" dataDxfId="1379"/>
  </tableColumns>
  <tableStyleInfo name="TableStyleMedium2" showFirstColumn="0" showLastColumn="0" showRowStripes="1" showColumnStripes="0"/>
</table>
</file>

<file path=xl/tables/table5.xml><?xml version="1.0" encoding="utf-8"?>
<table xmlns="http://schemas.openxmlformats.org/spreadsheetml/2006/main" id="5" name="TabWarm" displayName="TabWarm" ref="J21:J24" headerRowCount="1" totalsRowShown="0" headerRowDxfId="1378" headerRowBorderDxfId="1377" tableBorderDxfId="1376" totalsRowBorderDxfId="1375">
  <autoFilter ref="J21:J24"/>
  <tableColumns count="1">
    <tableColumn id="1" name="Warm Temperate"/>
  </tableColumns>
  <tableStyleInfo name="TableStyleMedium2" showFirstColumn="0" showLastColumn="0" showRowStripes="1" showColumnStripes="0"/>
</table>
</file>

<file path=xl/tables/table6.xml><?xml version="1.0" encoding="utf-8"?>
<table xmlns="http://schemas.openxmlformats.org/spreadsheetml/2006/main" id="6" name="CH4_Ent_HP" displayName="CH4_Ent_HP" ref="A2266:R2277" headerRowCount="1" totalsRowShown="0" headerRowDxfId="1374" dataDxfId="1372" headerRowBorderDxfId="1373" tableBorderDxfId="1371">
  <autoFilter ref="A2266:R2277"/>
  <tableColumns count="18">
    <tableColumn id="1" name="Please select" dataDxfId="1370" dataCellStyle="Normal 2 2"/>
    <tableColumn id="2" name="Dairy cattle" dataDxfId="1369"/>
    <tableColumn id="3" name="Other cattle" dataDxfId="1368"/>
    <tableColumn id="4" name="Dairy buffalo" dataDxfId="1367"/>
    <tableColumn id="16" name="Other buffalo" dataDxfId="1366"/>
    <tableColumn id="5" name="Dairy sheep" dataDxfId="1365"/>
    <tableColumn id="6" name="Other Sheep" dataDxfId="1364"/>
    <tableColumn id="7" name="Growing swine" dataDxfId="1363"/>
    <tableColumn id="8" name="Breeding swine" dataDxfId="1362"/>
    <tableColumn id="9" name="Goats" dataDxfId="1361"/>
    <tableColumn id="10" name="Horses" dataDxfId="1360"/>
    <tableColumn id="11" name="Camels" dataDxfId="1359"/>
    <tableColumn id="12" name="Mules and Asses" dataDxfId="1358"/>
    <tableColumn id="13" name="Deer" dataDxfId="1357"/>
    <tableColumn id="14" name="Ostrich" dataDxfId="1356"/>
    <tableColumn id="18" name="Chicken layer" dataDxfId="1355"/>
    <tableColumn id="15" name="Chicken broiler" dataDxfId="1354"/>
    <tableColumn id="17" name="Llamas and Alpacas" dataDxfId="1353"/>
  </tableColumns>
  <tableStyleInfo name="TableStyleLight1" showFirstColumn="0" showLastColumn="0" showRowStripes="1" showColumnStripes="0"/>
</table>
</file>

<file path=xl/tables/table7.xml><?xml version="1.0" encoding="utf-8"?>
<table xmlns="http://schemas.openxmlformats.org/spreadsheetml/2006/main" id="7" name="CH4_Ent_LP" displayName="CH4_Ent_LP" ref="A2283:R2294" headerRowCount="1" totalsRowShown="0" headerRowDxfId="1352" dataDxfId="1350" headerRowBorderDxfId="1351" tableBorderDxfId="1349">
  <autoFilter ref="A2283:R2294"/>
  <tableColumns count="18">
    <tableColumn id="1" name="IPCC Region" dataDxfId="1348" dataCellStyle="Normal 2 2"/>
    <tableColumn id="2" name="Dairy cattle" dataDxfId="1347"/>
    <tableColumn id="3" name="Other cattle" dataDxfId="1346"/>
    <tableColumn id="4" name="Dairy buffalo" dataDxfId="1345"/>
    <tableColumn id="16" name="Other buffalo" dataDxfId="1344"/>
    <tableColumn id="5" name="Dairy sheep" dataDxfId="1343"/>
    <tableColumn id="6" name="Other sheep" dataDxfId="1342"/>
    <tableColumn id="7" name="Growing swine" dataDxfId="1341"/>
    <tableColumn id="8" name="Breeding swine" dataDxfId="1340"/>
    <tableColumn id="9" name="Goats" dataDxfId="1339"/>
    <tableColumn id="10" name="Horses" dataDxfId="1338"/>
    <tableColumn id="11" name="Camels" dataDxfId="1337"/>
    <tableColumn id="12" name="Mules and Asses" dataDxfId="1336"/>
    <tableColumn id="13" name="Deer" dataDxfId="1335"/>
    <tableColumn id="14" name="Ostrich" dataDxfId="1334"/>
    <tableColumn id="18" name="Chicken layer" dataDxfId="1333"/>
    <tableColumn id="15" name="Chicken broiler" dataDxfId="1332"/>
    <tableColumn id="17" name="Llamas and Alpacas" dataDxfId="1331"/>
  </tableColumns>
  <tableStyleInfo name="TableStyleLight1" showFirstColumn="0" showLastColumn="0" showRowStripes="1" showColumnStripes="0"/>
</table>
</file>

<file path=xl/tables/table8.xml><?xml version="1.0" encoding="utf-8"?>
<table xmlns="http://schemas.openxmlformats.org/spreadsheetml/2006/main" id="8" name="CH4_Ent_Default" displayName="CH4_Ent_Default" ref="A2300:S2311" headerRowCount="1" totalsRowShown="0" headerRowDxfId="1330" dataDxfId="1328" headerRowBorderDxfId="1329" tableBorderDxfId="1327">
  <autoFilter ref="A2300:S2311"/>
  <tableColumns count="19">
    <tableColumn id="1" name="IPCC Region" dataDxfId="1326" dataCellStyle="Normal 2 2"/>
    <tableColumn id="2" name="Dairy cattle" dataDxfId="1325"/>
    <tableColumn id="3" name="Other cattle" dataDxfId="1324"/>
    <tableColumn id="4" name="Dairy buffalo" dataDxfId="1323"/>
    <tableColumn id="16" name="Other buffalo" dataDxfId="1322"/>
    <tableColumn id="5" name="Dairy sheep" dataDxfId="1321"/>
    <tableColumn id="6" name="Other sheep" dataDxfId="1320"/>
    <tableColumn id="7" name="Growing swine" dataDxfId="1319"/>
    <tableColumn id="8" name="Breeding swine" dataDxfId="1318"/>
    <tableColumn id="9" name="Goats" dataDxfId="1317"/>
    <tableColumn id="10" name="Horses" dataDxfId="1316"/>
    <tableColumn id="11" name="Camels" dataDxfId="1315"/>
    <tableColumn id="12" name="Mules and Asses" dataDxfId="1314"/>
    <tableColumn id="13" name="Deer" dataDxfId="1313"/>
    <tableColumn id="14" name="Ostrich" dataDxfId="1312"/>
    <tableColumn id="15" name="Chicken layer" dataDxfId="1311"/>
    <tableColumn id="17" name="Chicken broiler" dataDxfId="1310"/>
    <tableColumn id="18" name="Llamas and Alpacas" dataDxfId="1309"/>
    <tableColumn id="19" name="Other (Please specify in Tier 2)" dataDxfId="1308"/>
  </tableColumns>
  <tableStyleInfo name="TableStyleLight1" showFirstColumn="0" showLastColumn="0" showRowStripes="1" showColumnStripes="0"/>
</table>
</file>

<file path=xl/tables/table9.xml><?xml version="1.0" encoding="utf-8"?>
<table xmlns="http://schemas.openxmlformats.org/spreadsheetml/2006/main" id="9" name="TAM_Default" displayName="TAM_Default" ref="A2351:R2362" headerRowCount="1" totalsRowShown="0" headerRowDxfId="1307" dataDxfId="1305" headerRowBorderDxfId="1306" tableBorderDxfId="1304">
  <autoFilter ref="A2351:R2362"/>
  <tableColumns count="18">
    <tableColumn id="1" name="Please select" dataDxfId="1303" dataCellStyle="Normal 2 2"/>
    <tableColumn id="2" name="Dairy cattle" dataDxfId="1302"/>
    <tableColumn id="3" name="Other cattle" dataDxfId="1301"/>
    <tableColumn id="4" name="Dairy buffalo" dataDxfId="1300"/>
    <tableColumn id="5" name="Other buffalo" dataDxfId="1299"/>
    <tableColumn id="6" name="Dairy sheep" dataDxfId="1298"/>
    <tableColumn id="7" name="Other sheep" dataDxfId="1297"/>
    <tableColumn id="8" name="Growing swine" dataDxfId="1296"/>
    <tableColumn id="9" name="Breeding swine" dataDxfId="1295"/>
    <tableColumn id="10" name="Goats" dataDxfId="1294"/>
    <tableColumn id="11" name="Horses" dataDxfId="1293"/>
    <tableColumn id="12" name="Camels" dataDxfId="1292"/>
    <tableColumn id="13" name="Mules and Asses" dataDxfId="1291"/>
    <tableColumn id="14" name="Deer" dataDxfId="1290"/>
    <tableColumn id="15" name="Ostrich" dataDxfId="1289"/>
    <tableColumn id="18" name="Chicken layer" dataDxfId="1288"/>
    <tableColumn id="16" name="Chicken broiler" dataDxfId="1287"/>
    <tableColumn id="17" name="Llamas and Alpacas" dataDxfId="1286"/>
  </tableColumns>
  <tableStyleInfo name="TableStyleLight1" showFirstColumn="0" showLastColumn="0" showRowStripes="1" showColumnStripes="0"/>
</table>
</file>

<file path=xl/tables/table10.xml><?xml version="1.0" encoding="utf-8"?>
<table xmlns="http://schemas.openxmlformats.org/spreadsheetml/2006/main" id="10" name="TAM_LP" displayName="TAM_LP" ref="A2334:S2345" headerRowCount="1" totalsRowShown="0" headerRowDxfId="1285" dataDxfId="1283" headerRowBorderDxfId="1284" tableBorderDxfId="1282">
  <autoFilter ref="A2334:S2345"/>
  <tableColumns count="19">
    <tableColumn id="1" name="Please select" dataDxfId="1281" dataCellStyle="Normal 2 2"/>
    <tableColumn id="2" name="Dairy cattle" dataDxfId="1280"/>
    <tableColumn id="3" name="Other cattle" dataDxfId="1279"/>
    <tableColumn id="4" name="Dairy buffalo" dataDxfId="1278"/>
    <tableColumn id="5" name="Other buffalo" dataDxfId="1277"/>
    <tableColumn id="6" name="Dairy sheep" dataDxfId="1276"/>
    <tableColumn id="7" name="Other sheep" dataDxfId="1275"/>
    <tableColumn id="8" name="Growing swine" dataDxfId="1274"/>
    <tableColumn id="9" name="Breeding swine" dataDxfId="1273"/>
    <tableColumn id="10" name="Goats" dataDxfId="1272"/>
    <tableColumn id="11" name="Horses" dataDxfId="1271"/>
    <tableColumn id="12" name="Camels" dataDxfId="1270"/>
    <tableColumn id="13" name="Mules and Asses" dataDxfId="1269"/>
    <tableColumn id="14" name="Deer" dataDxfId="1268"/>
    <tableColumn id="15" name="Ostrich" dataDxfId="1267"/>
    <tableColumn id="16" name="Chicken layer" dataDxfId="1266"/>
    <tableColumn id="17" name="Chicken broiler" dataDxfId="1265"/>
    <tableColumn id="18" name="Llamas and Alpacas" dataDxfId="1264"/>
    <tableColumn id="19" name="Other (Please specify in Tier 2)" dataDxfId="1263"/>
  </tableColumns>
  <tableStyleInfo name="TableStyleLight1" showFirstColumn="0" showLastColumn="0" showRowStripes="1" showColumnStripes="0"/>
</table>
</file>

<file path=xl/tables/table11.xml><?xml version="1.0" encoding="utf-8"?>
<table xmlns="http://schemas.openxmlformats.org/spreadsheetml/2006/main" id="11" name="TAM_HP" displayName="TAM_HP" ref="A2317:R2328" headerRowCount="1" totalsRowShown="0" headerRowDxfId="1262" dataDxfId="1260" headerRowBorderDxfId="1261" tableBorderDxfId="1259">
  <autoFilter ref="A2317:R2328"/>
  <tableColumns count="18">
    <tableColumn id="1" name="Please select" dataDxfId="1258" dataCellStyle="Normal 2 2"/>
    <tableColumn id="2" name="Dairy cattle" dataDxfId="1257"/>
    <tableColumn id="3" name="Other cattle" dataDxfId="1256"/>
    <tableColumn id="4" name="Dairy buffalo" dataDxfId="1255"/>
    <tableColumn id="5" name="Other buffalo" dataDxfId="1254"/>
    <tableColumn id="6" name="Dairy sheep" dataDxfId="1253"/>
    <tableColumn id="7" name="Other sheep" dataDxfId="1252"/>
    <tableColumn id="8" name="Growing swine" dataDxfId="1251"/>
    <tableColumn id="9" name="Breeding swine" dataDxfId="1250"/>
    <tableColumn id="10" name="Goats" dataDxfId="1249"/>
    <tableColumn id="11" name="Horses" dataDxfId="1248"/>
    <tableColumn id="12" name="Camels" dataDxfId="1247"/>
    <tableColumn id="13" name="Mules and Asses" dataDxfId="1246"/>
    <tableColumn id="14" name="Deer" dataDxfId="1245"/>
    <tableColumn id="15" name="Ostrich" dataDxfId="1244"/>
    <tableColumn id="18" name="Chicken layer" dataDxfId="1243"/>
    <tableColumn id="16" name="Chicken broiler" dataDxfId="1242"/>
    <tableColumn id="17" name="Llamas and Alpacas" dataDxfId="1241"/>
  </tableColumns>
  <tableStyleInfo name="TableStyleLight1" showFirstColumn="0" showLastColumn="0" showRowStripes="1" showColumnStripes="0"/>
</table>
</file>

<file path=xl/tables/table12.xml><?xml version="1.0" encoding="utf-8"?>
<table xmlns="http://schemas.openxmlformats.org/spreadsheetml/2006/main" id="12" name="VS_rate_Default" displayName="VS_rate_Default" ref="A2368:R2379" headerRowCount="1" totalsRowShown="0" headerRowDxfId="1240" dataDxfId="1239" tableBorderDxfId="1238">
  <autoFilter ref="A2368:R2379"/>
  <tableColumns count="18">
    <tableColumn id="1" name="Please select" dataDxfId="1237" dataCellStyle="Normal 2 2"/>
    <tableColumn id="2" name="Dairy cattle" dataDxfId="1236"/>
    <tableColumn id="3" name="Other cattle" dataDxfId="1235"/>
    <tableColumn id="4" name="Dairy buffalo" dataDxfId="1234"/>
    <tableColumn id="5" name="Other buffalo" dataDxfId="1233"/>
    <tableColumn id="6" name="Dairy sheep" dataDxfId="1232"/>
    <tableColumn id="7" name="Other sheep" dataDxfId="1231"/>
    <tableColumn id="8" name="Growing swine" dataDxfId="1230"/>
    <tableColumn id="9" name="Breeding swine" dataDxfId="1229"/>
    <tableColumn id="10" name="Goats" dataDxfId="1228"/>
    <tableColumn id="11" name="Horses" dataDxfId="1227"/>
    <tableColumn id="12" name="Camels" dataDxfId="1226"/>
    <tableColumn id="13" name="Mules and Asses" dataDxfId="1225"/>
    <tableColumn id="14" name="Deer" dataDxfId="1224"/>
    <tableColumn id="15" name="Ostrich" dataDxfId="1223"/>
    <tableColumn id="18" name="Chicken layer" dataDxfId="1222"/>
    <tableColumn id="16" name="Chicken broiler" dataDxfId="1221"/>
    <tableColumn id="17" name="Llamas and Alpacas" dataDxfId="1220"/>
  </tableColumns>
  <tableStyleInfo name="TableStyleLight1" showFirstColumn="0" showLastColumn="0" showRowStripes="1" showColumnStripes="0"/>
</table>
</file>

<file path=xl/tables/table13.xml><?xml version="1.0" encoding="utf-8"?>
<table xmlns="http://schemas.openxmlformats.org/spreadsheetml/2006/main" id="13" name="VS_rate_HP" displayName="VS_rate_HP" ref="A2385:R2396" headerRowCount="1" totalsRowShown="0" headerRowDxfId="1219" dataDxfId="1218" tableBorderDxfId="1217">
  <autoFilter ref="A2385:R2396"/>
  <tableColumns count="18">
    <tableColumn id="1" name="Please select" dataDxfId="1216" dataCellStyle="Normal 2 2"/>
    <tableColumn id="2" name="Dairy cattle" dataDxfId="1215"/>
    <tableColumn id="3" name="Other cattle" dataDxfId="1214"/>
    <tableColumn id="4" name="Dairy buffalo" dataDxfId="1213"/>
    <tableColumn id="5" name="Other buffalo" dataDxfId="1212"/>
    <tableColumn id="6" name="Dairy sheep" dataDxfId="1211"/>
    <tableColumn id="7" name="Other sheep" dataDxfId="1210"/>
    <tableColumn id="8" name="Growing swine" dataDxfId="1209"/>
    <tableColumn id="9" name="Breeding swine" dataDxfId="1208"/>
    <tableColumn id="10" name="Goats" dataDxfId="1207"/>
    <tableColumn id="11" name="Horses" dataDxfId="1206"/>
    <tableColumn id="12" name="Camels" dataDxfId="1205"/>
    <tableColumn id="13" name="Mules and Asses" dataDxfId="1204"/>
    <tableColumn id="14" name="Deer" dataDxfId="1203"/>
    <tableColumn id="15" name="Ostrich" dataDxfId="1202"/>
    <tableColumn id="16" name="Chicken layer" dataDxfId="1201"/>
    <tableColumn id="17" name="Chicken broiler" dataDxfId="1200"/>
    <tableColumn id="18" name="Llamas and Alpacas" dataDxfId="1199"/>
  </tableColumns>
  <tableStyleInfo name="TableStyleLight1" showFirstColumn="0" showLastColumn="0" showRowStripes="1" showColumnStripes="0"/>
</table>
</file>

<file path=xl/tables/table14.xml><?xml version="1.0" encoding="utf-8"?>
<table xmlns="http://schemas.openxmlformats.org/spreadsheetml/2006/main" id="14" name="VS_rate_LP" displayName="VS_rate_LP" ref="A2402:R2413" headerRowCount="1" totalsRowShown="0" headerRowDxfId="1198" dataDxfId="1197" tableBorderDxfId="1196">
  <autoFilter ref="A2402:R2413"/>
  <tableColumns count="18">
    <tableColumn id="1" name="Please select" dataDxfId="1195" dataCellStyle="Normal 2 2"/>
    <tableColumn id="2" name="Dairy cattle" dataDxfId="1194"/>
    <tableColumn id="3" name="Other cattle" dataDxfId="1193"/>
    <tableColumn id="4" name="Dairy buffalo" dataDxfId="1192"/>
    <tableColumn id="5" name="Other buffalo" dataDxfId="1191"/>
    <tableColumn id="6" name="Dairy sheep" dataDxfId="1190"/>
    <tableColumn id="7" name="Other sheep" dataDxfId="1189"/>
    <tableColumn id="8" name="Growing swine" dataDxfId="1188"/>
    <tableColumn id="9" name="Breeding swine" dataDxfId="1187"/>
    <tableColumn id="10" name="Goats" dataDxfId="1186"/>
    <tableColumn id="11" name="Horses" dataDxfId="1185"/>
    <tableColumn id="12" name="Camels" dataDxfId="1184"/>
    <tableColumn id="13" name="Mules and Asses" dataDxfId="1183"/>
    <tableColumn id="14" name="Deer" dataDxfId="1182"/>
    <tableColumn id="15" name="Ostrich" dataDxfId="1181"/>
    <tableColumn id="16" name="Chicken layer" dataDxfId="1180"/>
    <tableColumn id="17" name="Chicken broiler" dataDxfId="1179"/>
    <tableColumn id="18" name="Llamas and Alpacas" dataDxfId="1178"/>
  </tableColumns>
  <tableStyleInfo name="TableStyleLight1" showFirstColumn="0" showLastColumn="0" showRowStripes="1" showColumnStripes="0"/>
</table>
</file>

<file path=xl/tables/table15.xml><?xml version="1.0" encoding="utf-8"?>
<table xmlns="http://schemas.openxmlformats.org/spreadsheetml/2006/main" id="15" name="AWMS_Other_Cattle" displayName="AWMS_Other_Cattle" ref="A2436:O2447" headerRowCount="1" totalsRowShown="0" headerRowDxfId="1177" dataDxfId="1176" tableBorderDxfId="1175">
  <autoFilter ref="A2436:O2447"/>
  <tableColumns count="15">
    <tableColumn id="1" name="Please select" dataDxfId="1174" dataCellStyle="Normal 2 2"/>
    <tableColumn id="2" name="Lagoon" dataDxfId="1173"/>
    <tableColumn id="3" name="Liquid/slurry" dataDxfId="1172"/>
    <tableColumn id="4" name="Solid storage" dataDxfId="1171"/>
    <tableColumn id="5" name="Dry lot" dataDxfId="1170"/>
    <tableColumn id="6" name="Pasture/Range/Paddock" dataDxfId="1169"/>
    <tableColumn id="7" name="Daily spread" dataDxfId="1168"/>
    <tableColumn id="8" name="Digester" dataDxfId="1167"/>
    <tableColumn id="9" name="Burned for fuel" dataDxfId="1166"/>
    <tableColumn id="10" name="Pit&lt;1Month" dataDxfId="1165"/>
    <tableColumn id="11" name="Pit&gt;1 month" dataDxfId="1164"/>
    <tableColumn id="12" name="Poultry manure" dataDxfId="1163"/>
    <tableColumn id="13" name="Deep bedding" dataDxfId="1162"/>
    <tableColumn id="14" name="Composting" dataDxfId="1161"/>
    <tableColumn id="15" name="Aerobic treatment" dataDxfId="1160"/>
  </tableColumns>
  <tableStyleInfo name="TableStyleLight1" showFirstColumn="0" showLastColumn="0" showRowStripes="1" showColumnStripes="0"/>
</table>
</file>

<file path=xl/tables/table16.xml><?xml version="1.0" encoding="utf-8"?>
<table xmlns="http://schemas.openxmlformats.org/spreadsheetml/2006/main" id="16" name="AWMS_Dairy_Buffalo" displayName="AWMS_Dairy_Buffalo" ref="A2453:O2464" headerRowCount="1" totalsRowShown="0" headerRowDxfId="1159" dataDxfId="1158" tableBorderDxfId="1157">
  <autoFilter ref="A2453:O2464"/>
  <tableColumns count="15">
    <tableColumn id="1" name="Please select" dataDxfId="1156" dataCellStyle="Normal 2 2"/>
    <tableColumn id="2" name="Lagoon" dataDxfId="1155"/>
    <tableColumn id="3" name="Liquid/slurry" dataDxfId="1154"/>
    <tableColumn id="4" name="Solid storage" dataDxfId="1153"/>
    <tableColumn id="5" name="Dry lot" dataDxfId="1152"/>
    <tableColumn id="6" name="Pasture/Range/Paddock" dataDxfId="1151"/>
    <tableColumn id="7" name="Daily spread" dataDxfId="1150"/>
    <tableColumn id="8" name="Digester" dataDxfId="1149"/>
    <tableColumn id="9" name="Burned for fuel" dataDxfId="1148"/>
    <tableColumn id="10" name="Pit&lt;1Month" dataDxfId="1147"/>
    <tableColumn id="11" name="Pit&gt;1 month" dataDxfId="1146"/>
    <tableColumn id="12" name="Poultry manure" dataDxfId="1145"/>
    <tableColumn id="13" name="Deep bedding" dataDxfId="1144"/>
    <tableColumn id="14" name="Composting" dataDxfId="1143"/>
    <tableColumn id="15" name="Aerobic treatment" dataDxfId="1142"/>
  </tableColumns>
  <tableStyleInfo name="TableStyleLight1" showFirstColumn="0" showLastColumn="0" showRowStripes="1" showColumnStripes="0"/>
</table>
</file>

<file path=xl/tables/table17.xml><?xml version="1.0" encoding="utf-8"?>
<table xmlns="http://schemas.openxmlformats.org/spreadsheetml/2006/main" id="17" name="AWMS_Other_Buffalo" displayName="AWMS_Other_Buffalo" ref="A2470:O2481" headerRowCount="1" totalsRowShown="0" headerRowDxfId="1141" dataDxfId="1140" tableBorderDxfId="1139">
  <autoFilter ref="A2470:O2481"/>
  <tableColumns count="15">
    <tableColumn id="1" name="Please select" dataDxfId="1138" dataCellStyle="Normal 2 2"/>
    <tableColumn id="2" name="Lagoon" dataDxfId="1137"/>
    <tableColumn id="3" name="Liquid/slurry" dataDxfId="1136"/>
    <tableColumn id="4" name="Solid storage" dataDxfId="1135"/>
    <tableColumn id="5" name="Dry lot" dataDxfId="1134"/>
    <tableColumn id="6" name="Pasture/Range/Paddock" dataDxfId="1133"/>
    <tableColumn id="7" name="Daily spread" dataDxfId="1132"/>
    <tableColumn id="8" name="Digester" dataDxfId="1131"/>
    <tableColumn id="9" name="Burned for fuel" dataDxfId="1130"/>
    <tableColumn id="10" name="Pit&lt;1Month" dataDxfId="1129"/>
    <tableColumn id="11" name="Pit&gt;1 month" dataDxfId="1128"/>
    <tableColumn id="12" name="Poultry manure" dataDxfId="1127"/>
    <tableColumn id="13" name="Deep bedding" dataDxfId="1126"/>
    <tableColumn id="14" name="Composting" dataDxfId="1125"/>
    <tableColumn id="15" name="Aerobic treatment" dataDxfId="1124"/>
  </tableColumns>
  <tableStyleInfo name="TableStyleLight1" showFirstColumn="0" showLastColumn="0" showRowStripes="1" showColumnStripes="0"/>
</table>
</file>

<file path=xl/tables/table18.xml><?xml version="1.0" encoding="utf-8"?>
<table xmlns="http://schemas.openxmlformats.org/spreadsheetml/2006/main" id="18" name="AMWS_Breeding_Swine_HP" displayName="AMWS_Breeding_Swine_HP" ref="A2487:O2498" headerRowCount="1" totalsRowShown="0" headerRowDxfId="1123" dataDxfId="1122" tableBorderDxfId="1121">
  <autoFilter ref="A2487:O2498"/>
  <tableColumns count="15">
    <tableColumn id="1" name="Please select" dataDxfId="1120" dataCellStyle="Normal 2 2"/>
    <tableColumn id="2" name="Lagoon" dataDxfId="1119"/>
    <tableColumn id="3" name="Liquid/slurry" dataDxfId="1118"/>
    <tableColumn id="4" name="Solid storage" dataDxfId="1117"/>
    <tableColumn id="5" name="Dry lot" dataDxfId="1116"/>
    <tableColumn id="6" name="Pasture/Range/Paddock" dataDxfId="1115"/>
    <tableColumn id="7" name="Daily spread" dataDxfId="1114"/>
    <tableColumn id="8" name="Digester" dataDxfId="1113"/>
    <tableColumn id="9" name="Burned for fuel" dataDxfId="1112"/>
    <tableColumn id="10" name="Pit&lt;1Month" dataDxfId="1111"/>
    <tableColumn id="11" name="Pit&gt;1 month" dataDxfId="1110"/>
    <tableColumn id="12" name="Poultry manure" dataDxfId="1109"/>
    <tableColumn id="13" name="Deep bedding" dataDxfId="1108"/>
    <tableColumn id="14" name="Composting" dataDxfId="1107"/>
    <tableColumn id="15" name="Aerobic treatment" dataDxfId="1106"/>
  </tableColumns>
  <tableStyleInfo name="TableStyleLight1" showFirstColumn="0" showLastColumn="0" showRowStripes="1" showColumnStripes="0"/>
</table>
</file>

<file path=xl/tables/table19.xml><?xml version="1.0" encoding="utf-8"?>
<table xmlns="http://schemas.openxmlformats.org/spreadsheetml/2006/main" id="19" name="AWMS_Breeding_Swine_LP" displayName="AWMS_Breeding_Swine_LP" ref="A2504:O2516" headerRowCount="1" totalsRowShown="0" headerRowDxfId="1105" dataDxfId="1104" tableBorderDxfId="1103">
  <autoFilter ref="A2504:O2516"/>
  <tableColumns count="15">
    <tableColumn id="1" name="Please select" dataDxfId="1102" dataCellStyle="Normal 2 2"/>
    <tableColumn id="2" name="Lagoon" dataDxfId="1101"/>
    <tableColumn id="3" name="Liquid/slurry" dataDxfId="1100"/>
    <tableColumn id="4" name="Solid storage" dataDxfId="1099"/>
    <tableColumn id="5" name="Dry lot" dataDxfId="1098"/>
    <tableColumn id="6" name="Pasture/Range/Paddock" dataDxfId="1097"/>
    <tableColumn id="7" name="Daily spread" dataDxfId="1096"/>
    <tableColumn id="8" name="Digester" dataDxfId="1095"/>
    <tableColumn id="9" name="Burned for fuel" dataDxfId="1094"/>
    <tableColumn id="10" name="Pit&lt;1Month" dataDxfId="1093"/>
    <tableColumn id="11" name="Pit&gt;1 month" dataDxfId="1092"/>
    <tableColumn id="12" name="Poultry manure" dataDxfId="1091"/>
    <tableColumn id="13" name="Deep bedding" dataDxfId="1090"/>
    <tableColumn id="14" name="Composting" dataDxfId="1089"/>
    <tableColumn id="15" name="Aerobic treatment" dataDxfId="1088"/>
  </tableColumns>
  <tableStyleInfo name="TableStyleLight1" showFirstColumn="0" showLastColumn="0" showRowStripes="1" showColumnStripes="0"/>
</table>
</file>

<file path=xl/tables/table20.xml><?xml version="1.0" encoding="utf-8"?>
<table xmlns="http://schemas.openxmlformats.org/spreadsheetml/2006/main" id="20" name="AWMS_Other_Sheep" displayName="AWMS_Other_Sheep" ref="A2555:O2566" headerRowCount="1" totalsRowShown="0" headerRowDxfId="1087" dataDxfId="1086" tableBorderDxfId="1085">
  <autoFilter ref="A2555:O2566"/>
  <tableColumns count="15">
    <tableColumn id="1" name="Please select" dataDxfId="1084" dataCellStyle="Normal 2 2"/>
    <tableColumn id="2" name="Lagoon" dataDxfId="1083"/>
    <tableColumn id="3" name="Liquid/slurry" dataDxfId="1082"/>
    <tableColumn id="4" name="Solid storage" dataDxfId="1081"/>
    <tableColumn id="5" name="Dry lot" dataDxfId="1080"/>
    <tableColumn id="6" name="Pasture/Range/Paddock" dataDxfId="1079"/>
    <tableColumn id="7" name="Daily spread" dataDxfId="1078"/>
    <tableColumn id="8" name="Digester" dataDxfId="1077"/>
    <tableColumn id="9" name="Burned for fuel" dataDxfId="1076"/>
    <tableColumn id="10" name="Pit&lt;1Month" dataDxfId="1075"/>
    <tableColumn id="11" name="Pit&gt;1 month" dataDxfId="1074"/>
    <tableColumn id="12" name="Poultry manure" dataDxfId="1073"/>
    <tableColumn id="13" name="Deep bedding" dataDxfId="1072"/>
    <tableColumn id="14" name="Composting" dataDxfId="1071"/>
    <tableColumn id="15" name="Aerobic treatment" dataDxfId="1070"/>
  </tableColumns>
  <tableStyleInfo name="TableStyleLight1" showFirstColumn="0" showLastColumn="0" showRowStripes="1" showColumnStripes="0"/>
</table>
</file>

<file path=xl/tables/table21.xml><?xml version="1.0" encoding="utf-8"?>
<table xmlns="http://schemas.openxmlformats.org/spreadsheetml/2006/main" id="21" name="AWMS_Sheep_dairy" displayName="AWMS_Sheep_dairy" ref="A2572:O2583" headerRowCount="1" totalsRowShown="0" headerRowDxfId="1069" tableBorderDxfId="1068">
  <autoFilter ref="A2572:O2583"/>
  <tableColumns count="15">
    <tableColumn id="1" name="Please select" dataDxfId="1067" dataCellStyle="Normal 2 2"/>
    <tableColumn id="2" name="Lagoon" dataDxfId="1066"/>
    <tableColumn id="3" name="Liquid/slurry" dataDxfId="1065"/>
    <tableColumn id="4" name="Solid storage" dataDxfId="1064"/>
    <tableColumn id="5" name="Dry lot" dataDxfId="1063"/>
    <tableColumn id="6" name="Pasture/Range/Paddock" dataDxfId="1062"/>
    <tableColumn id="7" name="Daily spread" dataDxfId="1061"/>
    <tableColumn id="8" name="Digester" dataDxfId="1060"/>
    <tableColumn id="9" name="Burned for fuel" dataDxfId="1059"/>
    <tableColumn id="10" name="Pit&lt;1Month" dataDxfId="1058"/>
    <tableColumn id="11" name="Pit&gt;1 month" dataDxfId="1057"/>
    <tableColumn id="12" name="Poultry manure" dataDxfId="1056"/>
    <tableColumn id="13" name="Deep bedding" dataDxfId="1055"/>
    <tableColumn id="14" name="Composting" dataDxfId="1054"/>
    <tableColumn id="15" name="Aerobic treatment" dataDxfId="1053"/>
  </tableColumns>
  <tableStyleInfo name="TableStyleLight1" showFirstColumn="0" showLastColumn="0" showRowStripes="1" showColumnStripes="0"/>
</table>
</file>

<file path=xl/tables/table22.xml><?xml version="1.0" encoding="utf-8"?>
<table xmlns="http://schemas.openxmlformats.org/spreadsheetml/2006/main" id="22" name="AWMS_Goat" displayName="AWMS_Goat" ref="A2589:O2600" headerRowCount="1" totalsRowShown="0" headerRowDxfId="1052" tableBorderDxfId="1051">
  <autoFilter ref="A2589:O2600"/>
  <tableColumns count="15">
    <tableColumn id="1" name="Please select" dataDxfId="1050" dataCellStyle="Normal 2 2"/>
    <tableColumn id="2" name="Lagoon" dataDxfId="1049"/>
    <tableColumn id="3" name="Liquid/slurry" dataDxfId="1048"/>
    <tableColumn id="4" name="Solid storage" dataDxfId="1047"/>
    <tableColumn id="5" name="Dry lot" dataDxfId="1046"/>
    <tableColumn id="6" name="Pasture/Range/Paddock" dataDxfId="1045"/>
    <tableColumn id="7" name="Daily spread" dataDxfId="1044"/>
    <tableColumn id="8" name="Digester" dataDxfId="1043"/>
    <tableColumn id="9" name="Burned for fuel" dataDxfId="1042"/>
    <tableColumn id="10" name="Pit&lt;1Month" dataDxfId="1041"/>
    <tableColumn id="11" name="Pit&gt;1 month" dataDxfId="1040"/>
    <tableColumn id="12" name="Poultry manure" dataDxfId="1039"/>
    <tableColumn id="13" name="Deep bedding" dataDxfId="1038"/>
    <tableColumn id="14" name="Composting" dataDxfId="1037"/>
    <tableColumn id="15" name="Aerobic treatment" dataDxfId="1036"/>
  </tableColumns>
  <tableStyleInfo name="TableStyleLight1" showFirstColumn="0" showLastColumn="0" showRowStripes="1" showColumnStripes="0"/>
</table>
</file>

<file path=xl/tables/table23.xml><?xml version="1.0" encoding="utf-8"?>
<table xmlns="http://schemas.openxmlformats.org/spreadsheetml/2006/main" id="23" name="AWMS_Chicken_Layer_Default" displayName="AWMS_Chicken_Layer_Default" ref="A2606:O2617" headerRowCount="1" totalsRowShown="0" headerRowDxfId="1035" tableBorderDxfId="1034">
  <autoFilter ref="A2606:O2617"/>
  <tableColumns count="15">
    <tableColumn id="1" name="Please select" dataDxfId="1033" dataCellStyle="Normal 2 2"/>
    <tableColumn id="2" name="Lagoon" dataDxfId="1032"/>
    <tableColumn id="3" name="Liquid/slurry" dataDxfId="1031"/>
    <tableColumn id="4" name="Solid storage" dataDxfId="1030"/>
    <tableColumn id="5" name="Dry lot" dataDxfId="1029"/>
    <tableColumn id="6" name="Pasture/Range/Paddock" dataDxfId="1028"/>
    <tableColumn id="7" name="Daily spread" dataDxfId="1027"/>
    <tableColumn id="8" name="Digester" dataDxfId="1026"/>
    <tableColumn id="9" name="Burned for fuel" dataDxfId="1025"/>
    <tableColumn id="10" name="Pit&lt;1Month" dataDxfId="1024"/>
    <tableColumn id="11" name="Pit&gt;1 month" dataDxfId="1023"/>
    <tableColumn id="12" name="Poultry manure" dataDxfId="1022"/>
    <tableColumn id="13" name="Deep bedding" dataDxfId="1021"/>
    <tableColumn id="14" name="Composting" dataDxfId="1020"/>
    <tableColumn id="15" name="Aerobic treatment" dataDxfId="1019"/>
  </tableColumns>
  <tableStyleInfo name="TableStyleLight1" showFirstColumn="0" showLastColumn="0" showRowStripes="1" showColumnStripes="0"/>
</table>
</file>

<file path=xl/tables/table24.xml><?xml version="1.0" encoding="utf-8"?>
<table xmlns="http://schemas.openxmlformats.org/spreadsheetml/2006/main" id="24" name="AMWS_Chicken_broiler_LP" displayName="AMWS_Chicken_broiler_LP" ref="A2640:O2651" headerRowCount="1" totalsRowShown="0" headerRowDxfId="1018" tableBorderDxfId="1017">
  <autoFilter ref="A2640:O2651"/>
  <tableColumns count="15">
    <tableColumn id="1" name="Please select" dataDxfId="1016" dataCellStyle="Normal 2 2"/>
    <tableColumn id="2" name="Lagoon" dataDxfId="1015"/>
    <tableColumn id="3" name="Liquid/slurry" dataDxfId="1014"/>
    <tableColumn id="4" name="Solid storage" dataDxfId="1013"/>
    <tableColumn id="5" name="Dry lot" dataDxfId="1012"/>
    <tableColumn id="6" name="Pasture/Range/Paddock" dataDxfId="1011"/>
    <tableColumn id="7" name="Daily spread" dataDxfId="1010"/>
    <tableColumn id="8" name="Digester" dataDxfId="1009"/>
    <tableColumn id="9" name="Burned for fuel" dataDxfId="1008"/>
    <tableColumn id="10" name="Pit&lt;1Month" dataDxfId="1007"/>
    <tableColumn id="11" name="Pit&gt;1 month" dataDxfId="1006"/>
    <tableColumn id="12" name="Poultry manure" dataDxfId="1005"/>
    <tableColumn id="13" name="Deep bedding" dataDxfId="1004"/>
    <tableColumn id="14" name="Composting" dataDxfId="1003"/>
    <tableColumn id="15" name="Aerobic treatment" dataDxfId="1002"/>
  </tableColumns>
  <tableStyleInfo name="TableStyleLight1" showFirstColumn="0" showLastColumn="0" showRowStripes="1" showColumnStripes="0"/>
</table>
</file>

<file path=xl/tables/table25.xml><?xml version="1.0" encoding="utf-8"?>
<table xmlns="http://schemas.openxmlformats.org/spreadsheetml/2006/main" id="25" name="AWMS_Chicken_broiler_HP" displayName="AWMS_Chicken_broiler_HP" ref="A2623:O2634" headerRowCount="1" totalsRowShown="0" headerRowDxfId="1001" tableBorderDxfId="1000">
  <autoFilter ref="A2623:O2634"/>
  <tableColumns count="15">
    <tableColumn id="1" name="Please select" dataDxfId="999" dataCellStyle="Normal 2 2"/>
    <tableColumn id="2" name="Lagoon" dataDxfId="998"/>
    <tableColumn id="3" name="Liquid/slurry" dataDxfId="997"/>
    <tableColumn id="4" name="Solid storage" dataDxfId="996"/>
    <tableColumn id="5" name="Dry lot" dataDxfId="995"/>
    <tableColumn id="6" name="Pasture/Range/Paddock" dataDxfId="994"/>
    <tableColumn id="7" name="Daily spread" dataDxfId="993"/>
    <tableColumn id="8" name="Digester" dataDxfId="992"/>
    <tableColumn id="9" name="Burned for fuel" dataDxfId="991"/>
    <tableColumn id="10" name="Pit&lt;1Month" dataDxfId="990"/>
    <tableColumn id="11" name="Pit&gt;1 month" dataDxfId="989"/>
    <tableColumn id="12" name="Poultry manure" dataDxfId="988"/>
    <tableColumn id="13" name="Deep bedding" dataDxfId="987"/>
    <tableColumn id="14" name="Composting" dataDxfId="986"/>
    <tableColumn id="15" name="Aerobic treatment" dataDxfId="985"/>
  </tableColumns>
  <tableStyleInfo name="TableStyleLight1" showFirstColumn="0" showLastColumn="0" showRowStripes="1" showColumnStripes="0"/>
</table>
</file>

<file path=xl/tables/table26.xml><?xml version="1.0" encoding="utf-8"?>
<table xmlns="http://schemas.openxmlformats.org/spreadsheetml/2006/main" id="26" name="AWMS_Other_Grazing" displayName="AWMS_Other_Grazing" ref="A2657:O2668" headerRowCount="1" totalsRowShown="0" headerRowDxfId="984" tableBorderDxfId="983">
  <autoFilter ref="A2657:O2668"/>
  <tableColumns count="15">
    <tableColumn id="1" name="Please select" dataDxfId="982" dataCellStyle="Normal 2 2"/>
    <tableColumn id="2" name="Lagoon" dataDxfId="981"/>
    <tableColumn id="3" name="Liquid/slurry" dataDxfId="980"/>
    <tableColumn id="4" name="Solid storage" dataDxfId="979"/>
    <tableColumn id="5" name="Dry lot" dataDxfId="978"/>
    <tableColumn id="6" name="Pasture/Range/Paddock" dataDxfId="977"/>
    <tableColumn id="7" name="Daily spread" dataDxfId="976"/>
    <tableColumn id="8" name="Digester" dataDxfId="975"/>
    <tableColumn id="9" name="Burned for fuel" dataDxfId="974"/>
    <tableColumn id="10" name="Pit&lt;1Month" dataDxfId="973"/>
    <tableColumn id="11" name="Pit&gt;1 month" dataDxfId="972"/>
    <tableColumn id="12" name="Poultry manure" dataDxfId="971"/>
    <tableColumn id="13" name="Deep bedding" dataDxfId="970"/>
    <tableColumn id="14" name="Composting" dataDxfId="969"/>
    <tableColumn id="15" name="Aerobic treatment" dataDxfId="968"/>
  </tableColumns>
  <tableStyleInfo name="TableStyleLight1" showFirstColumn="0" showLastColumn="0" showRowStripes="1" showColumnStripes="0"/>
</table>
</file>

<file path=xl/tables/table27.xml><?xml version="1.0" encoding="utf-8"?>
<table xmlns="http://schemas.openxmlformats.org/spreadsheetml/2006/main" id="27" name="AWMS_Ostrich" displayName="AWMS_Ostrich" ref="A2674:O2685" headerRowCount="1" totalsRowShown="0" headerRowDxfId="967" tableBorderDxfId="966">
  <autoFilter ref="A2674:O2685"/>
  <tableColumns count="15">
    <tableColumn id="1" name="Please select" dataDxfId="965" dataCellStyle="Normal 2 2"/>
    <tableColumn id="2" name="Lagoon" dataDxfId="964"/>
    <tableColumn id="3" name="Liquid/slurry" dataDxfId="963"/>
    <tableColumn id="4" name="Solid storage" dataDxfId="962"/>
    <tableColumn id="5" name="Dry lot" dataDxfId="961"/>
    <tableColumn id="6" name="Pasture/Range/Paddock" dataDxfId="960"/>
    <tableColumn id="7" name="Daily spread" dataDxfId="959"/>
    <tableColumn id="8" name="Digester" dataDxfId="958"/>
    <tableColumn id="9" name="Burned for fuel" dataDxfId="957"/>
    <tableColumn id="10" name="Pit&lt;1Month" dataDxfId="956"/>
    <tableColumn id="11" name="Pit&gt;1 month" dataDxfId="955"/>
    <tableColumn id="12" name="Poultry manure" dataDxfId="954"/>
    <tableColumn id="13" name="Deep bedding" dataDxfId="953"/>
    <tableColumn id="14" name="Composting" dataDxfId="952"/>
    <tableColumn id="15" name="Aerobic treatment" dataDxfId="951"/>
  </tableColumns>
  <tableStyleInfo name="TableStyleLight1" showFirstColumn="0" showLastColumn="0" showRowStripes="1" showColumnStripes="0"/>
</table>
</file>

<file path=xl/tables/table28.xml><?xml version="1.0" encoding="utf-8"?>
<table xmlns="http://schemas.openxmlformats.org/spreadsheetml/2006/main" id="28" name="AMWS_Growing_Swine_HP" displayName="AMWS_Growing_Swine_HP" ref="A2521:M2532" headerRowCount="1" totalsRowShown="0" headerRowDxfId="950" dataDxfId="949" tableBorderDxfId="948">
  <autoFilter ref="A2521:M2532"/>
  <tableColumns count="13">
    <tableColumn id="1" name="Please select" dataDxfId="947" dataCellStyle="Normal 2 2"/>
    <tableColumn id="2" name="Lagoon" dataDxfId="946"/>
    <tableColumn id="3" name="Liquid/slurry" dataDxfId="945"/>
    <tableColumn id="4" name="Solid storage" dataDxfId="944"/>
    <tableColumn id="5" name="Dry lot" dataDxfId="943"/>
    <tableColumn id="6" name="Pasture/Range/Paddock" dataDxfId="942"/>
    <tableColumn id="7" name="Daily spread" dataDxfId="941"/>
    <tableColumn id="8" name="Digester" dataDxfId="940"/>
    <tableColumn id="9" name="Burned for fuel" dataDxfId="939"/>
    <tableColumn id="10" name="Pit&lt;1Month" dataDxfId="938"/>
    <tableColumn id="11" name="Pit&gt;1 month" dataDxfId="937"/>
    <tableColumn id="12" name="Poultry manure" dataDxfId="936"/>
    <tableColumn id="13" name="Deep bedding" dataDxfId="935"/>
  </tableColumns>
  <tableStyleInfo name="TableStyleLight1" showFirstColumn="0" showLastColumn="0" showRowStripes="1" showColumnStripes="0"/>
</table>
</file>

<file path=xl/tables/table29.xml><?xml version="1.0" encoding="utf-8"?>
<table xmlns="http://schemas.openxmlformats.org/spreadsheetml/2006/main" id="29" name="AWMS_Growing_Swine_LP" displayName="AWMS_Growing_Swine_LP" ref="A2538:O2549" headerRowCount="1" totalsRowShown="0" headerRowDxfId="934" dataDxfId="933" tableBorderDxfId="932">
  <autoFilter ref="A2538:O2549"/>
  <tableColumns count="15">
    <tableColumn id="1" name="Please select" dataDxfId="931" dataCellStyle="Normal 2 2"/>
    <tableColumn id="2" name="Lagoon" dataDxfId="930"/>
    <tableColumn id="3" name="Liquid/slurry" dataDxfId="929"/>
    <tableColumn id="4" name="Solid storage" dataDxfId="928"/>
    <tableColumn id="5" name="Dry lot" dataDxfId="927"/>
    <tableColumn id="6" name="Pasture/Range/Paddock" dataDxfId="926"/>
    <tableColumn id="7" name="Daily spread" dataDxfId="925"/>
    <tableColumn id="8" name="Digester" dataDxfId="924"/>
    <tableColumn id="9" name="Burned for fuel" dataDxfId="923"/>
    <tableColumn id="10" name="Pit&lt;1Month" dataDxfId="922"/>
    <tableColumn id="11" name="Pit&gt;1 month" dataDxfId="921"/>
    <tableColumn id="12" name="Poultry manure" dataDxfId="920"/>
    <tableColumn id="13" name="Deep bedding" dataDxfId="919"/>
    <tableColumn id="14" name="Composting" dataDxfId="918"/>
    <tableColumn id="15" name="Aerobic treatment" dataDxfId="917"/>
  </tableColumns>
  <tableStyleInfo name="TableStyleLight1" showFirstColumn="0" showLastColumn="0" showRowStripes="1" showColumnStripes="0"/>
</table>
</file>

<file path=xl/tables/table30.xml><?xml version="1.0" encoding="utf-8"?>
<table xmlns="http://schemas.openxmlformats.org/spreadsheetml/2006/main" id="30" name="CH4_man_Dairy_Cattle_HP" displayName="CH4_man_Dairy_Cattle_HP" ref="A2708:O2719" headerRowCount="1" totalsRowShown="0" headerRowDxfId="916" dataDxfId="915" tableBorderDxfId="914">
  <autoFilter ref="A2708:O2719"/>
  <tableColumns count="15">
    <tableColumn id="1" name="Please select" dataDxfId="913" dataCellStyle="Normal 2 2"/>
    <tableColumn id="2" name="Lagoon" dataDxfId="912"/>
    <tableColumn id="3" name="Liquid/slurry" dataDxfId="911"/>
    <tableColumn id="4" name="Solid storage" dataDxfId="910"/>
    <tableColumn id="5" name="Dry lot" dataDxfId="909"/>
    <tableColumn id="6" name="Pasture/Range/Paddock" dataDxfId="908"/>
    <tableColumn id="7" name="Daily spread" dataDxfId="907"/>
    <tableColumn id="8" name="Digester" dataDxfId="906"/>
    <tableColumn id="9" name="Burned for fuel" dataDxfId="905"/>
    <tableColumn id="10" name="Pit&lt;1Month" dataDxfId="904"/>
    <tableColumn id="11" name="Pit&gt;1 month" dataDxfId="903"/>
    <tableColumn id="12" name="Poultry manure" dataDxfId="902"/>
    <tableColumn id="13" name="Deep bedding" dataDxfId="901"/>
    <tableColumn id="14" name="Composting" dataDxfId="900"/>
    <tableColumn id="15" name="Aerobic treatment" dataDxfId="899"/>
  </tableColumns>
  <tableStyleInfo name="TableStyleLight1" showFirstColumn="0" showLastColumn="0" showRowStripes="1" showColumnStripes="0"/>
</table>
</file>

<file path=xl/tables/table31.xml><?xml version="1.0" encoding="utf-8"?>
<table xmlns="http://schemas.openxmlformats.org/spreadsheetml/2006/main" id="31" name="CH4_man_Dairy_Cattle_LP" displayName="CH4_man_Dairy_Cattle_LP" ref="A2725:O2736" headerRowCount="1" totalsRowShown="0" headerRowDxfId="898" dataDxfId="897" tableBorderDxfId="896">
  <autoFilter ref="A2725:O2736"/>
  <tableColumns count="15">
    <tableColumn id="1" name="Please select" dataDxfId="895" dataCellStyle="Normal 2 2"/>
    <tableColumn id="2" name="Lagoon" dataDxfId="894"/>
    <tableColumn id="3" name="Liquid/slurry" dataDxfId="893"/>
    <tableColumn id="4" name="Solid storage" dataDxfId="892"/>
    <tableColumn id="5" name="Dry lot" dataDxfId="891"/>
    <tableColumn id="6" name="Pasture/Range/Paddock" dataDxfId="890"/>
    <tableColumn id="7" name="Daily spread" dataDxfId="889"/>
    <tableColumn id="8" name="Digester" dataDxfId="888"/>
    <tableColumn id="9" name="Burned for fuel" dataDxfId="887"/>
    <tableColumn id="10" name="Pit&lt;1Month" dataDxfId="886"/>
    <tableColumn id="11" name="Pit&gt;1 month" dataDxfId="885"/>
    <tableColumn id="12" name="Poultry manure" dataDxfId="884"/>
    <tableColumn id="13" name="Deep bedding" dataDxfId="883"/>
    <tableColumn id="14" name="Composting" dataDxfId="882"/>
    <tableColumn id="15" name="Aerobic treatment" dataDxfId="881"/>
  </tableColumns>
  <tableStyleInfo name="TableStyleLight1" showFirstColumn="0" showLastColumn="0" showRowStripes="1" showColumnStripes="0"/>
</table>
</file>

<file path=xl/tables/table32.xml><?xml version="1.0" encoding="utf-8"?>
<table xmlns="http://schemas.openxmlformats.org/spreadsheetml/2006/main" id="32" name="CH4_man_Other_Cattle_HP" displayName="CH4_man_Other_Cattle_HP" ref="A2742:O2753" headerRowCount="1" totalsRowShown="0" headerRowDxfId="880" dataDxfId="879" tableBorderDxfId="878">
  <autoFilter ref="A2742:O2753"/>
  <tableColumns count="15">
    <tableColumn id="1" name="Please select" dataDxfId="877" dataCellStyle="Normal 2 2"/>
    <tableColumn id="2" name="Lagoon" dataDxfId="876"/>
    <tableColumn id="3" name="Liquid/slurry" dataDxfId="875"/>
    <tableColumn id="4" name="Solid storage" dataDxfId="874"/>
    <tableColumn id="5" name="Dry lot" dataDxfId="873"/>
    <tableColumn id="6" name="Pasture/Range/Paddock" dataDxfId="872"/>
    <tableColumn id="7" name="Daily spread" dataDxfId="871"/>
    <tableColumn id="8" name="Digester" dataDxfId="870"/>
    <tableColumn id="9" name="Burned for fuel" dataDxfId="869"/>
    <tableColumn id="10" name="Pit&lt;1Month" dataDxfId="868"/>
    <tableColumn id="11" name="Pit&gt;1 month" dataDxfId="867"/>
    <tableColumn id="12" name="Poultry manure" dataDxfId="866"/>
    <tableColumn id="13" name="Deep bedding" dataDxfId="865"/>
    <tableColumn id="14" name="Composting" dataDxfId="864"/>
    <tableColumn id="15" name="Aerobic treatment" dataDxfId="863"/>
  </tableColumns>
  <tableStyleInfo name="TableStyleLight1" showFirstColumn="0" showLastColumn="0" showRowStripes="1" showColumnStripes="0"/>
</table>
</file>

<file path=xl/tables/table33.xml><?xml version="1.0" encoding="utf-8"?>
<table xmlns="http://schemas.openxmlformats.org/spreadsheetml/2006/main" id="33" name="CH4_man_Other_Cattle_LP" displayName="CH4_man_Other_Cattle_LP" ref="A2759:O2770" headerRowCount="1" totalsRowShown="0" headerRowDxfId="862" dataDxfId="861" tableBorderDxfId="860">
  <autoFilter ref="A2759:O2770"/>
  <tableColumns count="15">
    <tableColumn id="1" name="Please select" dataDxfId="859" dataCellStyle="Normal 2 2"/>
    <tableColumn id="2" name="Lagoon" dataDxfId="858"/>
    <tableColumn id="3" name="Liquid/slurry" dataDxfId="857"/>
    <tableColumn id="4" name="Solid storage" dataDxfId="856"/>
    <tableColumn id="5" name="Dry lot" dataDxfId="855"/>
    <tableColumn id="6" name="Pasture/Range/Paddock" dataDxfId="854"/>
    <tableColumn id="7" name="Daily spread" dataDxfId="853"/>
    <tableColumn id="8" name="Digester" dataDxfId="852"/>
    <tableColumn id="9" name="Burned for fuel" dataDxfId="851"/>
    <tableColumn id="10" name="Pit&lt;1Month" dataDxfId="850"/>
    <tableColumn id="11" name="Pit&gt;1 month" dataDxfId="849"/>
    <tableColumn id="12" name="Poultry manure" dataDxfId="848"/>
    <tableColumn id="13" name="Deep bedding" dataDxfId="847"/>
    <tableColumn id="14" name="Composting" dataDxfId="846"/>
    <tableColumn id="15" name="Aerobic treatment" dataDxfId="845"/>
  </tableColumns>
  <tableStyleInfo name="TableStyleLight1" showFirstColumn="0" showLastColumn="0" showRowStripes="1" showColumnStripes="0"/>
</table>
</file>

<file path=xl/tables/table34.xml><?xml version="1.0" encoding="utf-8"?>
<table xmlns="http://schemas.openxmlformats.org/spreadsheetml/2006/main" id="34" name="CH4_man_Swine_HP" displayName="CH4_man_Swine_HP" ref="A2776:O2787" headerRowCount="1" totalsRowShown="0" headerRowDxfId="844" dataDxfId="843" tableBorderDxfId="842">
  <autoFilter ref="A2776:O2787"/>
  <tableColumns count="15">
    <tableColumn id="1" name="Please select" dataDxfId="841" dataCellStyle="Normal 2 2"/>
    <tableColumn id="2" name="Lagoon" dataDxfId="840"/>
    <tableColumn id="3" name="Liquid/slurry" dataDxfId="839"/>
    <tableColumn id="4" name="Solid storage" dataDxfId="838"/>
    <tableColumn id="5" name="Dry lot" dataDxfId="837"/>
    <tableColumn id="6" name="Pasture/Range/Paddock" dataDxfId="836"/>
    <tableColumn id="7" name="Daily spread" dataDxfId="835"/>
    <tableColumn id="8" name="Digester" dataDxfId="834"/>
    <tableColumn id="9" name="Burned for fuel" dataDxfId="833"/>
    <tableColumn id="10" name="Pit&lt;1Month" dataDxfId="832"/>
    <tableColumn id="11" name="Pit&gt;1 month" dataDxfId="831"/>
    <tableColumn id="12" name="Poultry manure" dataDxfId="830"/>
    <tableColumn id="13" name="Deep bedding" dataDxfId="829"/>
    <tableColumn id="14" name="Composting" dataDxfId="828"/>
    <tableColumn id="15" name="Aerobic treatment" dataDxfId="827"/>
  </tableColumns>
  <tableStyleInfo name="TableStyleLight1" showFirstColumn="0" showLastColumn="0" showRowStripes="1" showColumnStripes="0"/>
</table>
</file>

<file path=xl/tables/table35.xml><?xml version="1.0" encoding="utf-8"?>
<table xmlns="http://schemas.openxmlformats.org/spreadsheetml/2006/main" id="35" name="CH4_man_Swine_LP" displayName="CH4_man_Swine_LP" ref="A2793:O2804" headerRowCount="1" totalsRowShown="0" headerRowDxfId="826" dataDxfId="825" tableBorderDxfId="824">
  <autoFilter ref="A2793:O2804"/>
  <tableColumns count="15">
    <tableColumn id="1" name="Please select" dataDxfId="823" dataCellStyle="Normal 2 2"/>
    <tableColumn id="2" name="Lagoon" dataDxfId="822"/>
    <tableColumn id="3" name="Liquid/slurry" dataDxfId="821"/>
    <tableColumn id="4" name="Solid storage" dataDxfId="820"/>
    <tableColumn id="5" name="Dry lot" dataDxfId="819"/>
    <tableColumn id="6" name="Pasture/Range/Paddock" dataDxfId="818"/>
    <tableColumn id="7" name="Daily spread" dataDxfId="817"/>
    <tableColumn id="8" name="Digester" dataDxfId="816"/>
    <tableColumn id="9" name="Burned for fuel" dataDxfId="815"/>
    <tableColumn id="10" name="Pit&lt;1Month" dataDxfId="814"/>
    <tableColumn id="11" name="Pit&gt;1 month" dataDxfId="813"/>
    <tableColumn id="12" name="Poultry manure" dataDxfId="812"/>
    <tableColumn id="13" name="Deep bedding" dataDxfId="811"/>
    <tableColumn id="14" name="Composting" dataDxfId="810"/>
    <tableColumn id="15" name="Aerobic treatment" dataDxfId="809"/>
  </tableColumns>
  <tableStyleInfo name="TableStyleLight1" showFirstColumn="0" showLastColumn="0" showRowStripes="1" showColumnStripes="0"/>
</table>
</file>

<file path=xl/tables/table36.xml><?xml version="1.0" encoding="utf-8"?>
<table xmlns="http://schemas.openxmlformats.org/spreadsheetml/2006/main" id="36" name="CH4_man_Poultry_HP" displayName="CH4_man_Poultry_HP" ref="A2810:O2821" headerRowCount="1" totalsRowShown="0" headerRowDxfId="808" dataDxfId="807" tableBorderDxfId="806">
  <autoFilter ref="A2810:O2821"/>
  <tableColumns count="15">
    <tableColumn id="1" name="Please select" dataDxfId="805" dataCellStyle="Normal 2 2"/>
    <tableColumn id="2" name="Lagoon" dataDxfId="804"/>
    <tableColumn id="3" name="Liquid/slurry" dataDxfId="803"/>
    <tableColumn id="4" name="Solid storage" dataDxfId="802"/>
    <tableColumn id="5" name="Dry lot" dataDxfId="801"/>
    <tableColumn id="6" name="Pasture/Range/Paddock" dataDxfId="800"/>
    <tableColumn id="7" name="Daily spread" dataDxfId="799"/>
    <tableColumn id="8" name="Digester" dataDxfId="798"/>
    <tableColumn id="9" name="Burned for fuel" dataDxfId="797"/>
    <tableColumn id="10" name="Pit&lt;1Month" dataDxfId="796"/>
    <tableColumn id="11" name="Pit&gt;1 month" dataDxfId="795"/>
    <tableColumn id="12" name="Poultry manure" dataDxfId="794"/>
    <tableColumn id="13" name="Deep bedding" dataDxfId="793"/>
    <tableColumn id="14" name="Composting" dataDxfId="792"/>
    <tableColumn id="15" name="Aerobic treatment" dataDxfId="791"/>
  </tableColumns>
  <tableStyleInfo name="TableStyleLight1" showFirstColumn="0" showLastColumn="0" showRowStripes="1" showColumnStripes="0"/>
</table>
</file>

<file path=xl/tables/table37.xml><?xml version="1.0" encoding="utf-8"?>
<table xmlns="http://schemas.openxmlformats.org/spreadsheetml/2006/main" id="37" name="CH4_man_Poultry_LP" displayName="CH4_man_Poultry_LP" ref="A2827:O2838" headerRowCount="1" totalsRowShown="0" headerRowDxfId="790" dataDxfId="789" tableBorderDxfId="788">
  <autoFilter ref="A2827:O2838"/>
  <tableColumns count="15">
    <tableColumn id="1" name="Please select" dataDxfId="787" dataCellStyle="Normal 2 2"/>
    <tableColumn id="2" name="Lagoon" dataDxfId="786"/>
    <tableColumn id="3" name="Liquid/slurry" dataDxfId="785"/>
    <tableColumn id="4" name="Solid storage" dataDxfId="784"/>
    <tableColumn id="5" name="Dry lot" dataDxfId="783"/>
    <tableColumn id="6" name="Pasture/Range/Paddock" dataDxfId="782"/>
    <tableColumn id="7" name="Daily spread" dataDxfId="781"/>
    <tableColumn id="8" name="Digester" dataDxfId="780"/>
    <tableColumn id="9" name="Burned for fuel" dataDxfId="779"/>
    <tableColumn id="10" name="Pit&lt;1Month" dataDxfId="778"/>
    <tableColumn id="11" name="Pit&gt;1 month" dataDxfId="777"/>
    <tableColumn id="12" name="Poultry manure" dataDxfId="776"/>
    <tableColumn id="13" name="Deep bedding" dataDxfId="775"/>
    <tableColumn id="14" name="Composting" dataDxfId="774"/>
    <tableColumn id="15" name="Aerobic treatment" dataDxfId="773"/>
  </tableColumns>
  <tableStyleInfo name="TableStyleLight1" showFirstColumn="0" showLastColumn="0" showRowStripes="1" showColumnStripes="0"/>
</table>
</file>

<file path=xl/tables/table38.xml><?xml version="1.0" encoding="utf-8"?>
<table xmlns="http://schemas.openxmlformats.org/spreadsheetml/2006/main" id="38" name="CH4_man_Sheep_HP" displayName="CH4_man_Sheep_HP" ref="A2844:O2855" headerRowCount="1" totalsRowShown="0" headerRowDxfId="772" dataDxfId="771" tableBorderDxfId="770">
  <autoFilter ref="A2844:O2855"/>
  <tableColumns count="15">
    <tableColumn id="1" name="Please select" dataDxfId="769" dataCellStyle="Normal 2 2"/>
    <tableColumn id="2" name="Lagoon" dataDxfId="768"/>
    <tableColumn id="3" name="Liquid/slurry" dataDxfId="767"/>
    <tableColumn id="4" name="Solid storage" dataDxfId="766"/>
    <tableColumn id="5" name="Dry lot" dataDxfId="765"/>
    <tableColumn id="6" name="Pasture/Range/Paddock" dataDxfId="764"/>
    <tableColumn id="7" name="Daily spread" dataDxfId="763"/>
    <tableColumn id="8" name="Digester" dataDxfId="762"/>
    <tableColumn id="9" name="Burned for fuel" dataDxfId="761"/>
    <tableColumn id="10" name="Pit&lt;1Month" dataDxfId="760"/>
    <tableColumn id="11" name="Pit&gt;1 month" dataDxfId="759"/>
    <tableColumn id="12" name="Poultry manure" dataDxfId="758"/>
    <tableColumn id="13" name="Deep bedding" dataDxfId="757"/>
    <tableColumn id="14" name="Composting" dataDxfId="756"/>
    <tableColumn id="15" name="Aerobic treatment" dataDxfId="755"/>
  </tableColumns>
  <tableStyleInfo name="TableStyleLight1" showFirstColumn="0" showLastColumn="0" showRowStripes="1" showColumnStripes="0"/>
</table>
</file>

<file path=xl/tables/table39.xml><?xml version="1.0" encoding="utf-8"?>
<table xmlns="http://schemas.openxmlformats.org/spreadsheetml/2006/main" id="39" name="CH4_man_Sheep_LP" displayName="CH4_man_Sheep_LP" ref="A2861:O2872" headerRowCount="1" totalsRowShown="0" headerRowDxfId="754" dataDxfId="753" tableBorderDxfId="752">
  <autoFilter ref="A2861:O2872"/>
  <tableColumns count="15">
    <tableColumn id="1" name="Please select" dataDxfId="751" dataCellStyle="Normal 2 2"/>
    <tableColumn id="2" name="Lagoon" dataDxfId="750"/>
    <tableColumn id="3" name="Liquid/slurry" dataDxfId="749"/>
    <tableColumn id="4" name="Solid storage" dataDxfId="748"/>
    <tableColumn id="5" name="Dry lot" dataDxfId="747"/>
    <tableColumn id="6" name="Pasture/Range/Paddock" dataDxfId="746"/>
    <tableColumn id="7" name="Daily spread" dataDxfId="745"/>
    <tableColumn id="8" name="Digester" dataDxfId="744"/>
    <tableColumn id="9" name="Burned for fuel" dataDxfId="743"/>
    <tableColumn id="10" name="Pit&lt;1Month" dataDxfId="742"/>
    <tableColumn id="11" name="Pit&gt;1 month" dataDxfId="741"/>
    <tableColumn id="12" name="Poultry manure" dataDxfId="740"/>
    <tableColumn id="13" name="Deep bedding" dataDxfId="739"/>
    <tableColumn id="14" name="Composting" dataDxfId="738"/>
    <tableColumn id="15" name="Aerobic treatment" dataDxfId="737"/>
  </tableColumns>
  <tableStyleInfo name="TableStyleLight1" showFirstColumn="0" showLastColumn="0" showRowStripes="1" showColumnStripes="0"/>
</table>
</file>

<file path=xl/tables/table40.xml><?xml version="1.0" encoding="utf-8"?>
<table xmlns="http://schemas.openxmlformats.org/spreadsheetml/2006/main" id="40" name="CH4_man_Goat_HP" displayName="CH4_man_Goat_HP" ref="A2878:O2889" headerRowCount="1" totalsRowShown="0" headerRowDxfId="736" dataDxfId="735" tableBorderDxfId="734">
  <autoFilter ref="A2878:O2889"/>
  <tableColumns count="15">
    <tableColumn id="1" name="Please select" dataDxfId="733" dataCellStyle="Normal 2 2"/>
    <tableColumn id="2" name="Lagoon" dataDxfId="732"/>
    <tableColumn id="3" name="Liquid/slurry" dataDxfId="731"/>
    <tableColumn id="4" name="Solid storage" dataDxfId="730"/>
    <tableColumn id="5" name="Dry lot" dataDxfId="729"/>
    <tableColumn id="6" name="Pasture/Range/Paddock" dataDxfId="728"/>
    <tableColumn id="7" name="Daily spread" dataDxfId="727"/>
    <tableColumn id="8" name="Digester" dataDxfId="726"/>
    <tableColumn id="9" name="Burned for fuel" dataDxfId="725"/>
    <tableColumn id="10" name="Pit&lt;1Month" dataDxfId="724"/>
    <tableColumn id="11" name="Pit&gt;1 month" dataDxfId="723"/>
    <tableColumn id="12" name="Poultry manure" dataDxfId="722"/>
    <tableColumn id="13" name="Deep bedding" dataDxfId="721"/>
    <tableColumn id="14" name="Composting" dataDxfId="720"/>
    <tableColumn id="15" name="Aerobic treatment" dataDxfId="719"/>
  </tableColumns>
  <tableStyleInfo name="TableStyleLight1" showFirstColumn="0" showLastColumn="0" showRowStripes="1" showColumnStripes="0"/>
</table>
</file>

<file path=xl/tables/table41.xml><?xml version="1.0" encoding="utf-8"?>
<table xmlns="http://schemas.openxmlformats.org/spreadsheetml/2006/main" id="41" name="CH4_man_Goat_LP" displayName="CH4_man_Goat_LP" ref="A2895:O2906" headerRowCount="1" totalsRowShown="0" headerRowDxfId="718" dataDxfId="717" tableBorderDxfId="716">
  <autoFilter ref="A2895:O2906"/>
  <tableColumns count="15">
    <tableColumn id="1" name="Please select" dataDxfId="715" dataCellStyle="Normal 2 2"/>
    <tableColumn id="2" name="Lagoon" dataDxfId="714"/>
    <tableColumn id="3" name="Liquid/slurry" dataDxfId="713"/>
    <tableColumn id="4" name="Solid storage" dataDxfId="712"/>
    <tableColumn id="5" name="Dry lot" dataDxfId="711"/>
    <tableColumn id="6" name="Pasture/Range/Paddock" dataDxfId="710"/>
    <tableColumn id="7" name="Daily spread" dataDxfId="709"/>
    <tableColumn id="8" name="Digester" dataDxfId="708"/>
    <tableColumn id="9" name="Burned for fuel" dataDxfId="707"/>
    <tableColumn id="10" name="Pit&lt;1Month" dataDxfId="706"/>
    <tableColumn id="11" name="Pit&gt;1 month" dataDxfId="705"/>
    <tableColumn id="12" name="Poultry manure" dataDxfId="704"/>
    <tableColumn id="13" name="Deep bedding" dataDxfId="703"/>
    <tableColumn id="14" name="Composting" dataDxfId="702"/>
    <tableColumn id="15" name="Aerobic treatment" dataDxfId="701"/>
  </tableColumns>
  <tableStyleInfo name="TableStyleLight1" showFirstColumn="0" showLastColumn="0" showRowStripes="1" showColumnStripes="0"/>
</table>
</file>

<file path=xl/tables/table42.xml><?xml version="1.0" encoding="utf-8"?>
<table xmlns="http://schemas.openxmlformats.org/spreadsheetml/2006/main" id="42" name="CH4_man_Camel_HP" displayName="CH4_man_Camel_HP" ref="A2912:O2923" headerRowCount="1" totalsRowShown="0" headerRowDxfId="700" dataDxfId="699" tableBorderDxfId="698">
  <autoFilter ref="A2912:O2923"/>
  <tableColumns count="15">
    <tableColumn id="1" name="Please select" dataDxfId="697" dataCellStyle="Normal 2 2"/>
    <tableColumn id="2" name="Lagoon" dataDxfId="696"/>
    <tableColumn id="3" name="Liquid/slurry" dataDxfId="695"/>
    <tableColumn id="4" name="Solid storage" dataDxfId="694"/>
    <tableColumn id="5" name="Dry lot" dataDxfId="693"/>
    <tableColumn id="6" name="Pasture/Range/Paddock" dataDxfId="692"/>
    <tableColumn id="7" name="Daily spread" dataDxfId="691"/>
    <tableColumn id="8" name="Digester" dataDxfId="690"/>
    <tableColumn id="9" name="Burned for fuel" dataDxfId="689"/>
    <tableColumn id="10" name="Pit&lt;1Month" dataDxfId="688"/>
    <tableColumn id="11" name="Pit&gt;1 month" dataDxfId="687"/>
    <tableColumn id="12" name="Poultry manure" dataDxfId="686"/>
    <tableColumn id="13" name="Deep bedding" dataDxfId="685"/>
    <tableColumn id="14" name="Composting" dataDxfId="684"/>
    <tableColumn id="15" name="Aerobic treatment" dataDxfId="683"/>
  </tableColumns>
  <tableStyleInfo name="TableStyleLight1" showFirstColumn="0" showLastColumn="0" showRowStripes="1" showColumnStripes="0"/>
</table>
</file>

<file path=xl/tables/table43.xml><?xml version="1.0" encoding="utf-8"?>
<table xmlns="http://schemas.openxmlformats.org/spreadsheetml/2006/main" id="43" name="CH4_man_Camel_LP" displayName="CH4_man_Camel_LP" ref="A2929:O2940" headerRowCount="1" totalsRowShown="0" headerRowDxfId="682" dataDxfId="681" tableBorderDxfId="680">
  <autoFilter ref="A2929:O2940"/>
  <tableColumns count="15">
    <tableColumn id="1" name="Please select" dataDxfId="679" dataCellStyle="Normal 2 2"/>
    <tableColumn id="2" name="Lagoon" dataDxfId="678"/>
    <tableColumn id="3" name="Liquid/slurry" dataDxfId="677"/>
    <tableColumn id="4" name="Solid storage" dataDxfId="676"/>
    <tableColumn id="5" name="Dry lot" dataDxfId="675"/>
    <tableColumn id="6" name="Pasture/Range/Paddock" dataDxfId="674"/>
    <tableColumn id="7" name="Daily spread" dataDxfId="673"/>
    <tableColumn id="8" name="Digester" dataDxfId="672"/>
    <tableColumn id="9" name="Burned for fuel" dataDxfId="671"/>
    <tableColumn id="10" name="Pit&lt;1Month" dataDxfId="670"/>
    <tableColumn id="11" name="Pit&gt;1 month" dataDxfId="669"/>
    <tableColumn id="12" name="Poultry manure" dataDxfId="668"/>
    <tableColumn id="13" name="Deep bedding" dataDxfId="667"/>
    <tableColumn id="14" name="Composting" dataDxfId="666"/>
    <tableColumn id="15" name="Aerobic treatment" dataDxfId="665"/>
  </tableColumns>
  <tableStyleInfo name="TableStyleLight1" showFirstColumn="0" showLastColumn="0" showRowStripes="1" showColumnStripes="0"/>
</table>
</file>

<file path=xl/tables/table44.xml><?xml version="1.0" encoding="utf-8"?>
<table xmlns="http://schemas.openxmlformats.org/spreadsheetml/2006/main" id="44" name="CH4_man_Horse_HP" displayName="CH4_man_Horse_HP" ref="A2946:O2957" headerRowCount="1" totalsRowShown="0" headerRowDxfId="664" dataDxfId="663" tableBorderDxfId="662">
  <autoFilter ref="A2946:O2957"/>
  <tableColumns count="15">
    <tableColumn id="1" name="Please select" dataDxfId="661" dataCellStyle="Normal 2 2"/>
    <tableColumn id="2" name="Lagoon" dataDxfId="660"/>
    <tableColumn id="3" name="Liquid/slurry" dataDxfId="659"/>
    <tableColumn id="4" name="Solid storage" dataDxfId="658"/>
    <tableColumn id="5" name="Dry lot" dataDxfId="657"/>
    <tableColumn id="6" name="Pasture/Range/Paddock" dataDxfId="656"/>
    <tableColumn id="7" name="Daily spread" dataDxfId="655"/>
    <tableColumn id="8" name="Digester" dataDxfId="654"/>
    <tableColumn id="9" name="Burned for fuel" dataDxfId="653"/>
    <tableColumn id="10" name="Pit&lt;1Month" dataDxfId="652"/>
    <tableColumn id="11" name="Pit&gt;1 month" dataDxfId="651"/>
    <tableColumn id="12" name="Poultry manure" dataDxfId="650"/>
    <tableColumn id="13" name="Deep bedding" dataDxfId="649"/>
    <tableColumn id="14" name="Composting" dataDxfId="648"/>
    <tableColumn id="15" name="Aerobic treatment" dataDxfId="647"/>
  </tableColumns>
  <tableStyleInfo name="TableStyleLight1" showFirstColumn="0" showLastColumn="0" showRowStripes="1" showColumnStripes="0"/>
</table>
</file>

<file path=xl/tables/table45.xml><?xml version="1.0" encoding="utf-8"?>
<table xmlns="http://schemas.openxmlformats.org/spreadsheetml/2006/main" id="45" name="CH4_man_Horse_LP" displayName="CH4_man_Horse_LP" ref="A2963:O2974" headerRowCount="1" totalsRowShown="0" headerRowDxfId="646" dataDxfId="645" tableBorderDxfId="644">
  <autoFilter ref="A2963:O2974"/>
  <tableColumns count="15">
    <tableColumn id="1" name="Please select" dataDxfId="643" dataCellStyle="Normal 2 2"/>
    <tableColumn id="2" name="Lagoon" dataDxfId="642"/>
    <tableColumn id="3" name="Liquid/slurry" dataDxfId="641"/>
    <tableColumn id="4" name="Solid storage" dataDxfId="640"/>
    <tableColumn id="5" name="Dry lot" dataDxfId="639"/>
    <tableColumn id="6" name="Pasture/Range/Paddock" dataDxfId="638"/>
    <tableColumn id="7" name="Daily spread" dataDxfId="637"/>
    <tableColumn id="8" name="Digester" dataDxfId="636"/>
    <tableColumn id="9" name="Burned for fuel" dataDxfId="635"/>
    <tableColumn id="10" name="Pit&lt;1Month" dataDxfId="634"/>
    <tableColumn id="11" name="Pit&gt;1 month" dataDxfId="633"/>
    <tableColumn id="12" name="Poultry manure" dataDxfId="632"/>
    <tableColumn id="13" name="Deep bedding" dataDxfId="631"/>
    <tableColumn id="14" name="Composting" dataDxfId="630"/>
    <tableColumn id="15" name="Aerobic treatment" dataDxfId="629"/>
  </tableColumns>
  <tableStyleInfo name="TableStyleLight1" showFirstColumn="0" showLastColumn="0" showRowStripes="1" showColumnStripes="0"/>
</table>
</file>

<file path=xl/tables/table46.xml><?xml version="1.0" encoding="utf-8"?>
<table xmlns="http://schemas.openxmlformats.org/spreadsheetml/2006/main" id="46" name="CH4_man_Mule_HP" displayName="CH4_man_Mule_HP" ref="A2980:O2991" headerRowCount="1" totalsRowShown="0" headerRowDxfId="628" dataDxfId="627" tableBorderDxfId="626">
  <autoFilter ref="A2980:O2991"/>
  <tableColumns count="15">
    <tableColumn id="1" name="Please select" dataDxfId="625" dataCellStyle="Normal 2 2"/>
    <tableColumn id="2" name="Lagoon" dataDxfId="624"/>
    <tableColumn id="3" name="Liquid/slurry" dataDxfId="623"/>
    <tableColumn id="4" name="Solid storage" dataDxfId="622"/>
    <tableColumn id="5" name="Dry lot" dataDxfId="621"/>
    <tableColumn id="6" name="Pasture/Range/Paddock" dataDxfId="620"/>
    <tableColumn id="7" name="Daily spread" dataDxfId="619"/>
    <tableColumn id="8" name="Digester" dataDxfId="618"/>
    <tableColumn id="9" name="Burned for fuel" dataDxfId="617"/>
    <tableColumn id="10" name="Pit&lt;1Month" dataDxfId="616"/>
    <tableColumn id="11" name="Pit&gt;1 month" dataDxfId="615"/>
    <tableColumn id="12" name="Poultry manure" dataDxfId="614"/>
    <tableColumn id="13" name="Deep bedding" dataDxfId="613"/>
    <tableColumn id="14" name="Composting" dataDxfId="612"/>
    <tableColumn id="15" name="Aerobic treatment" dataDxfId="611"/>
  </tableColumns>
  <tableStyleInfo name="TableStyleLight1" showFirstColumn="0" showLastColumn="0" showRowStripes="1" showColumnStripes="0"/>
</table>
</file>

<file path=xl/tables/table47.xml><?xml version="1.0" encoding="utf-8"?>
<table xmlns="http://schemas.openxmlformats.org/spreadsheetml/2006/main" id="47" name="CH4_man_Mule_LP" displayName="CH4_man_Mule_LP" ref="A2997:O3008" headerRowCount="1" totalsRowShown="0" headerRowDxfId="610" dataDxfId="609" tableBorderDxfId="608">
  <autoFilter ref="A2997:O3008"/>
  <tableColumns count="15">
    <tableColumn id="1" name="Please select" dataDxfId="607" dataCellStyle="Normal 2 2"/>
    <tableColumn id="2" name="Lagoon" dataDxfId="606"/>
    <tableColumn id="3" name="Liquid/slurry" dataDxfId="605"/>
    <tableColumn id="4" name="Solid storage" dataDxfId="604"/>
    <tableColumn id="5" name="Dry lot" dataDxfId="603"/>
    <tableColumn id="6" name="Pasture/Range/Paddock" dataDxfId="602"/>
    <tableColumn id="7" name="Daily spread" dataDxfId="601"/>
    <tableColumn id="8" name="Digester" dataDxfId="600"/>
    <tableColumn id="9" name="Burned for fuel" dataDxfId="599"/>
    <tableColumn id="10" name="Pit&lt;1Month" dataDxfId="598"/>
    <tableColumn id="11" name="Pit&gt;1 month" dataDxfId="597"/>
    <tableColumn id="12" name="Poultry manure" dataDxfId="596"/>
    <tableColumn id="13" name="Deep bedding" dataDxfId="595"/>
    <tableColumn id="14" name="Composting" dataDxfId="594"/>
    <tableColumn id="15" name="Aerobic treatment" dataDxfId="593"/>
  </tableColumns>
  <tableStyleInfo name="TableStyleLight1" showFirstColumn="0" showLastColumn="0" showRowStripes="1" showColumnStripes="0"/>
</table>
</file>

<file path=xl/tables/table48.xml><?xml version="1.0" encoding="utf-8"?>
<table xmlns="http://schemas.openxmlformats.org/spreadsheetml/2006/main" id="48" name="AWMS_Deer" displayName="AWMS_Deer" ref="A2691:O2702" headerRowCount="1" totalsRowShown="0" headerRowDxfId="592" tableBorderDxfId="591">
  <autoFilter ref="A2691:O2702"/>
  <tableColumns count="15">
    <tableColumn id="1" name="Please select" dataDxfId="590" dataCellStyle="Normal 2 2"/>
    <tableColumn id="2" name="Lagoon" dataDxfId="589"/>
    <tableColumn id="3" name="Liquid/slurry" dataDxfId="588"/>
    <tableColumn id="4" name="Solid storage" dataDxfId="587"/>
    <tableColumn id="5" name="Dry lot" dataDxfId="586"/>
    <tableColumn id="6" name="Pasture/Range/Paddock" dataDxfId="585"/>
    <tableColumn id="7" name="Daily spread" dataDxfId="584"/>
    <tableColumn id="8" name="Digester" dataDxfId="583"/>
    <tableColumn id="9" name="Burned for fuel" dataDxfId="582"/>
    <tableColumn id="10" name="Pit&lt;1Month" dataDxfId="581"/>
    <tableColumn id="11" name="Pit&gt;1 month" dataDxfId="580"/>
    <tableColumn id="12" name="Poultry manure" dataDxfId="579"/>
    <tableColumn id="13" name="Deep bedding" dataDxfId="578"/>
    <tableColumn id="14" name="Composting" dataDxfId="577"/>
    <tableColumn id="15" name="Aerobic treatment" dataDxfId="576"/>
  </tableColumns>
  <tableStyleInfo name="TableStyleLight1" showFirstColumn="0" showLastColumn="0" showRowStripes="1" showColumnStripes="0"/>
</table>
</file>

<file path=xl/tables/table49.xml><?xml version="1.0" encoding="utf-8"?>
<table xmlns="http://schemas.openxmlformats.org/spreadsheetml/2006/main" id="49" name="N_excretion_rate_Default" displayName="N_excretion_rate_Default" ref="A3014:R3025" headerRowCount="1" totalsRowShown="0" headerRowDxfId="575" dataDxfId="573" headerRowBorderDxfId="574" tableBorderDxfId="572">
  <autoFilter ref="A3014:R3025"/>
  <tableColumns count="18">
    <tableColumn id="1" name="Please select" dataDxfId="571" dataCellStyle="Normal 2 2"/>
    <tableColumn id="2" name="Dairy cattle" dataDxfId="570"/>
    <tableColumn id="3" name="Other cattle" dataDxfId="569"/>
    <tableColumn id="4" name="Dairy buffalo" dataDxfId="568"/>
    <tableColumn id="5" name="Other buffalo" dataDxfId="567"/>
    <tableColumn id="6" name="Dairy sheep" dataDxfId="566"/>
    <tableColumn id="7" name="Other sheep" dataDxfId="565"/>
    <tableColumn id="8" name="Growing swine" dataDxfId="564"/>
    <tableColumn id="9" name="Breeding swine" dataDxfId="563"/>
    <tableColumn id="10" name="Goats" dataDxfId="562"/>
    <tableColumn id="11" name="Horses" dataDxfId="561"/>
    <tableColumn id="12" name="Camels" dataDxfId="560"/>
    <tableColumn id="13" name="Mules and Asses" dataDxfId="559"/>
    <tableColumn id="14" name="Deer" dataDxfId="558"/>
    <tableColumn id="15" name="Ostrich" dataDxfId="557"/>
    <tableColumn id="16" name="Chicken layer" dataDxfId="556"/>
    <tableColumn id="17" name="Chicken broiler" dataDxfId="555"/>
    <tableColumn id="18" name="Llamas and Alpacas" dataDxfId="554"/>
  </tableColumns>
  <tableStyleInfo name="TableStyleLight1" showFirstColumn="0" showLastColumn="0" showRowStripes="1" showColumnStripes="0"/>
</table>
</file>

<file path=xl/tables/table50.xml><?xml version="1.0" encoding="utf-8"?>
<table xmlns="http://schemas.openxmlformats.org/spreadsheetml/2006/main" id="50" name="N_excretion_rate_LP" displayName="N_excretion_rate_LP" ref="A3031:R3042" headerRowCount="1" totalsRowShown="0" headerRowDxfId="553" dataDxfId="551" headerRowBorderDxfId="552" tableBorderDxfId="550">
  <autoFilter ref="A3031:R3042"/>
  <tableColumns count="18">
    <tableColumn id="1" name="Please select" dataDxfId="549" dataCellStyle="Normal 2 2"/>
    <tableColumn id="2" name="Dairy cattle" dataDxfId="548"/>
    <tableColumn id="3" name="Other cattle" dataDxfId="547"/>
    <tableColumn id="4" name="Dairy buffalo" dataDxfId="546"/>
    <tableColumn id="5" name="Other buffalo" dataDxfId="545"/>
    <tableColumn id="6" name="Dairy sheep" dataDxfId="544"/>
    <tableColumn id="7" name="Other sheep" dataDxfId="543"/>
    <tableColumn id="8" name="Growing swine" dataDxfId="542"/>
    <tableColumn id="9" name="Breeding swine" dataDxfId="541"/>
    <tableColumn id="10" name="Goats" dataDxfId="540"/>
    <tableColumn id="11" name="Horses" dataDxfId="539"/>
    <tableColumn id="12" name="Camels" dataDxfId="538"/>
    <tableColumn id="13" name="Mules and Asses" dataDxfId="537"/>
    <tableColumn id="14" name="Deer" dataDxfId="536"/>
    <tableColumn id="15" name="Ostrich" dataDxfId="535"/>
    <tableColumn id="16" name="Chicken layer" dataDxfId="534"/>
    <tableColumn id="17" name="Chicken broiler" dataDxfId="533"/>
    <tableColumn id="18" name="Llamas and Alpacas" dataDxfId="532"/>
  </tableColumns>
  <tableStyleInfo name="TableStyleLight1" showFirstColumn="0" showLastColumn="0" showRowStripes="1" showColumnStripes="0"/>
</table>
</file>

<file path=xl/tables/table51.xml><?xml version="1.0" encoding="utf-8"?>
<table xmlns="http://schemas.openxmlformats.org/spreadsheetml/2006/main" id="51" name="N_excretion_rate_HP" displayName="N_excretion_rate_HP" ref="A3048:R3059" headerRowCount="1" totalsRowShown="0" headerRowDxfId="531" dataDxfId="529" headerRowBorderDxfId="530" tableBorderDxfId="528">
  <autoFilter ref="A3048:R3059"/>
  <tableColumns count="18">
    <tableColumn id="1" name="Please select" dataDxfId="527" dataCellStyle="Normal 2 2"/>
    <tableColumn id="2" name="Dairy cattle" dataDxfId="526"/>
    <tableColumn id="3" name="Other cattle" dataDxfId="525"/>
    <tableColumn id="4" name="Dairy buffalo" dataDxfId="524"/>
    <tableColumn id="5" name="Other buffalo" dataDxfId="523"/>
    <tableColumn id="6" name="Dairy sheep" dataDxfId="522"/>
    <tableColumn id="7" name="Other sheep" dataDxfId="521"/>
    <tableColumn id="8" name="Growing swine" dataDxfId="520"/>
    <tableColumn id="9" name="Breeding swine" dataDxfId="519"/>
    <tableColumn id="10" name="Goats" dataDxfId="518"/>
    <tableColumn id="11" name="Horses" dataDxfId="517"/>
    <tableColumn id="12" name="Camels" dataDxfId="516"/>
    <tableColumn id="13" name="Mules and Asses" dataDxfId="515"/>
    <tableColumn id="14" name="Deer" dataDxfId="514"/>
    <tableColumn id="15" name="Ostrich" dataDxfId="513"/>
    <tableColumn id="16" name="Chicken layer" dataDxfId="512"/>
    <tableColumn id="17" name="Chicken broiler" dataDxfId="511"/>
    <tableColumn id="18" name="Llamas and Alpacas" dataDxfId="510"/>
  </tableColumns>
  <tableStyleInfo name="TableStyleLight1" showFirstColumn="0" showLastColumn="0" showRowStripes="1" showColumnStripes="0"/>
</table>
</file>

<file path=xl/tables/table52.xml><?xml version="1.0" encoding="utf-8"?>
<table xmlns="http://schemas.openxmlformats.org/spreadsheetml/2006/main" id="52" name="EF_DIRECT_N2O_manure_mngt_cattle_poultry_pigs" displayName="EF_DIRECT_N2O_manure_mngt_cattle_poultry_pigs" ref="A3065:O3076" headerRowCount="1" totalsRowShown="0" headerRowDxfId="509" dataDxfId="508" tableBorderDxfId="507">
  <autoFilter ref="A3065:O3076"/>
  <tableColumns count="15">
    <tableColumn id="1" name="Please select" dataDxfId="506" dataCellStyle="Normal 2 2"/>
    <tableColumn id="2" name="Lagoon" dataDxfId="505"/>
    <tableColumn id="3" name="Liquid/slurry" dataDxfId="504"/>
    <tableColumn id="4" name="Solid storage" dataDxfId="503"/>
    <tableColumn id="5" name="Dry lot" dataDxfId="502"/>
    <tableColumn id="6" name="Pasture/Range/Paddock" dataDxfId="501"/>
    <tableColumn id="7" name="Daily spread" dataDxfId="500"/>
    <tableColumn id="8" name="Digester" dataDxfId="499"/>
    <tableColumn id="9" name="Burned for fuel" dataDxfId="498"/>
    <tableColumn id="10" name="Pit&lt;1Month" dataDxfId="497"/>
    <tableColumn id="11" name="Pit&gt;1 month" dataDxfId="496"/>
    <tableColumn id="12" name="Poultry manure" dataDxfId="495"/>
    <tableColumn id="13" name="Deep bedding" dataDxfId="494"/>
    <tableColumn id="14" name="Composting" dataDxfId="493"/>
    <tableColumn id="15" name="Aerobic treatment" dataDxfId="492"/>
  </tableColumns>
  <tableStyleInfo name="TableStyleLight1" showFirstColumn="0" showLastColumn="0" showRowStripes="1" showColumnStripes="0"/>
</table>
</file>

<file path=xl/tables/table53.xml><?xml version="1.0" encoding="utf-8"?>
<table xmlns="http://schemas.openxmlformats.org/spreadsheetml/2006/main" id="53" name="Frac_vol_swine" displayName="Frac_vol_swine" ref="A3099:O3110" headerRowCount="1" totalsRowShown="0" headerRowDxfId="491" dataDxfId="490" tableBorderDxfId="489">
  <autoFilter ref="A3099:O3110"/>
  <tableColumns count="15">
    <tableColumn id="1" name="Please select" dataDxfId="488" dataCellStyle="Normal 2 2"/>
    <tableColumn id="2" name="Lagoon" dataDxfId="487"/>
    <tableColumn id="3" name="Liquid/slurry" dataDxfId="486"/>
    <tableColumn id="4" name="Solid storage" dataDxfId="485"/>
    <tableColumn id="5" name="Dry lot" dataDxfId="484"/>
    <tableColumn id="6" name="Pasture/Range/Paddock" dataDxfId="483"/>
    <tableColumn id="7" name="Daily spread" dataDxfId="482"/>
    <tableColumn id="8" name="Digester" dataDxfId="481"/>
    <tableColumn id="9" name="Burned for fuel" dataDxfId="480"/>
    <tableColumn id="10" name="Pit&lt;1Month" dataDxfId="479"/>
    <tableColumn id="11" name="Pit&gt;1 month" dataDxfId="478"/>
    <tableColumn id="12" name="Poultry manure" dataDxfId="477"/>
    <tableColumn id="13" name="Deep bedding" dataDxfId="476"/>
    <tableColumn id="14" name="Composting" dataDxfId="475">
      <calculatedColumnFormula>AVERAGE(0.006,0.01,0.005,0.005)</calculatedColumnFormula>
    </tableColumn>
    <tableColumn id="15" name="Aerobic treatment" dataDxfId="474"/>
  </tableColumns>
  <tableStyleInfo name="TableStyleLight1" showFirstColumn="0" showLastColumn="0" showRowStripes="1" showColumnStripes="0"/>
</table>
</file>

<file path=xl/tables/table54.xml><?xml version="1.0" encoding="utf-8"?>
<table xmlns="http://schemas.openxmlformats.org/spreadsheetml/2006/main" id="54" name="Frac_vol_dairy_cow" displayName="Frac_vol_dairy_cow" ref="A3116:O3127" headerRowCount="1" totalsRowShown="0" headerRowDxfId="473" dataDxfId="472" tableBorderDxfId="471">
  <autoFilter ref="A3116:O3127"/>
  <tableColumns count="15">
    <tableColumn id="1" name="Please select" dataDxfId="470" dataCellStyle="Normal 2 2"/>
    <tableColumn id="2" name="Lagoon" dataDxfId="469"/>
    <tableColumn id="3" name="Liquid/slurry" dataDxfId="468"/>
    <tableColumn id="4" name="Solid storage" dataDxfId="467"/>
    <tableColumn id="5" name="Dry lot" dataDxfId="466"/>
    <tableColumn id="6" name="Pasture/Range/Paddock" dataDxfId="465"/>
    <tableColumn id="7" name="Daily spread" dataDxfId="464"/>
    <tableColumn id="8" name="Digester" dataDxfId="463"/>
    <tableColumn id="9" name="Burned for fuel" dataDxfId="462"/>
    <tableColumn id="10" name="Pit&lt;1Month" dataDxfId="461"/>
    <tableColumn id="11" name="Pit&gt;1 month" dataDxfId="460"/>
    <tableColumn id="12" name="Poultry manure" dataDxfId="459"/>
    <tableColumn id="13" name="Deep bedding" dataDxfId="458"/>
    <tableColumn id="14" name="Composting" dataDxfId="457">
      <calculatedColumnFormula>AVERAGE(0.6,0.65,0.65,0.6)</calculatedColumnFormula>
    </tableColumn>
    <tableColumn id="15" name="Aerobic treatment" dataDxfId="456"/>
  </tableColumns>
  <tableStyleInfo name="TableStyleLight1" showFirstColumn="0" showLastColumn="0" showRowStripes="1" showColumnStripes="0"/>
</table>
</file>

<file path=xl/tables/table55.xml><?xml version="1.0" encoding="utf-8"?>
<table xmlns="http://schemas.openxmlformats.org/spreadsheetml/2006/main" id="55" name="Frac_vol_Poultry" displayName="Frac_vol_Poultry" ref="A3133:O3144" headerRowCount="1" totalsRowShown="0" headerRowDxfId="455" dataDxfId="454" tableBorderDxfId="453">
  <autoFilter ref="A3133:O3144"/>
  <tableColumns count="15">
    <tableColumn id="1" name="Please select" dataDxfId="452" dataCellStyle="Normal 2 2"/>
    <tableColumn id="2" name="Lagoon" dataDxfId="451"/>
    <tableColumn id="3" name="Liquid/slurry" dataDxfId="450"/>
    <tableColumn id="4" name="Solid storage" dataDxfId="449"/>
    <tableColumn id="5" name="Dry lot" dataDxfId="448"/>
    <tableColumn id="6" name="Pasture/Range/Paddock" dataDxfId="447"/>
    <tableColumn id="7" name="Daily spread" dataDxfId="446"/>
    <tableColumn id="8" name="Digester" dataDxfId="445"/>
    <tableColumn id="9" name="Burned for fuel" dataDxfId="444"/>
    <tableColumn id="10" name="Pit&lt;1Month" dataDxfId="443"/>
    <tableColumn id="11" name="Pit&gt;1 month" dataDxfId="442"/>
    <tableColumn id="12" name="Poultry manure" dataDxfId="441"/>
    <tableColumn id="13" name="Deep bedding" dataDxfId="440"/>
    <tableColumn id="14" name="Composting" dataDxfId="439">
      <calculatedColumnFormula>AVERAGE(0.45,0.5,0.5,0.45)</calculatedColumnFormula>
    </tableColumn>
    <tableColumn id="15" name="Aerobic treatment" dataDxfId="438"/>
  </tableColumns>
  <tableStyleInfo name="TableStyleLight1" showFirstColumn="0" showLastColumn="0" showRowStripes="1" showColumnStripes="0"/>
</table>
</file>

<file path=xl/tables/table56.xml><?xml version="1.0" encoding="utf-8"?>
<table xmlns="http://schemas.openxmlformats.org/spreadsheetml/2006/main" id="56" name="Frac_vol_Other_Cattle" displayName="Frac_vol_Other_Cattle" ref="A3150:O3161" headerRowCount="1" totalsRowShown="0" headerRowDxfId="437" dataDxfId="436" tableBorderDxfId="435">
  <autoFilter ref="A3150:O3161"/>
  <tableColumns count="15">
    <tableColumn id="1" name="Please select" dataDxfId="434" dataCellStyle="Normal 2 2"/>
    <tableColumn id="2" name="Lagoon" dataDxfId="433"/>
    <tableColumn id="3" name="Liquid/slurry" dataDxfId="432"/>
    <tableColumn id="4" name="Solid storage" dataDxfId="431"/>
    <tableColumn id="5" name="Dry lot" dataDxfId="430"/>
    <tableColumn id="6" name="Pasture/Range/Paddock" dataDxfId="429"/>
    <tableColumn id="7" name="Daily spread" dataDxfId="428"/>
    <tableColumn id="8" name="Digester" dataDxfId="427"/>
    <tableColumn id="9" name="Burned for fuel" dataDxfId="426"/>
    <tableColumn id="10" name="Pit&lt;1Month" dataDxfId="425"/>
    <tableColumn id="11" name="Pit&gt;1 month" dataDxfId="424"/>
    <tableColumn id="12" name="Poultry manure" dataDxfId="423"/>
    <tableColumn id="13" name="Deep bedding" dataDxfId="422"/>
    <tableColumn id="14" name="Composting" dataDxfId="421"/>
    <tableColumn id="15" name="Aerobic treatment" dataDxfId="420"/>
  </tableColumns>
  <tableStyleInfo name="TableStyleLight1" showFirstColumn="0" showLastColumn="0" showRowStripes="1" showColumnStripes="0"/>
</table>
</file>

<file path=xl/tables/table57.xml><?xml version="1.0" encoding="utf-8"?>
<table xmlns="http://schemas.openxmlformats.org/spreadsheetml/2006/main" id="57" name="Frac_vol_Other_Animal" displayName="Frac_vol_Other_Animal" ref="A3167:O3178" headerRowCount="1" totalsRowShown="0" headerRowDxfId="419" dataDxfId="418" tableBorderDxfId="417">
  <autoFilter ref="A3167:O3178"/>
  <tableColumns count="15">
    <tableColumn id="1" name="Please select" dataDxfId="416" dataCellStyle="Normal 2 2"/>
    <tableColumn id="2" name="Lagoon" dataDxfId="415"/>
    <tableColumn id="3" name="Liquid/slurry" dataDxfId="414"/>
    <tableColumn id="4" name="Solid storage" dataDxfId="413"/>
    <tableColumn id="5" name="Dry lot" dataDxfId="412"/>
    <tableColumn id="6" name="Pasture/Range/Paddock" dataDxfId="411"/>
    <tableColumn id="7" name="Daily spread" dataDxfId="410"/>
    <tableColumn id="8" name="Digester" dataDxfId="409"/>
    <tableColumn id="9" name="Burned for fuel" dataDxfId="408"/>
    <tableColumn id="10" name="Pit&lt;1Month" dataDxfId="407"/>
    <tableColumn id="11" name="Pit&gt;1 month" dataDxfId="406"/>
    <tableColumn id="12" name="Poultry manure" dataDxfId="405"/>
    <tableColumn id="13" name="Deep bedding" dataDxfId="404"/>
    <tableColumn id="14" name="Composting" dataDxfId="403">
      <calculatedColumnFormula>AVERAGE(0.6,0.65,0.65,0.6)</calculatedColumnFormula>
    </tableColumn>
    <tableColumn id="15" name="Aerobic treatment" dataDxfId="402"/>
  </tableColumns>
  <tableStyleInfo name="TableStyleLight1" showFirstColumn="0" showLastColumn="0" showRowStripes="1" showColumnStripes="0"/>
</table>
</file>

<file path=xl/tables/table58.xml><?xml version="1.0" encoding="utf-8"?>
<table xmlns="http://schemas.openxmlformats.org/spreadsheetml/2006/main" id="58" name="EF_DIRECT_N2O_manure_mngt_Sheeps_others" displayName="EF_DIRECT_N2O_manure_mngt_Sheeps_others" ref="A3082:O3093" headerRowCount="1" totalsRowShown="0" headerRowDxfId="401" dataDxfId="400" tableBorderDxfId="399">
  <autoFilter ref="A3082:O3093"/>
  <tableColumns count="15">
    <tableColumn id="1" name="Please select" dataDxfId="398" dataCellStyle="Normal 2 2"/>
    <tableColumn id="2" name="Lagoon" dataDxfId="397"/>
    <tableColumn id="3" name="Liquid/slurry" dataDxfId="396"/>
    <tableColumn id="4" name="Solid storage" dataDxfId="395"/>
    <tableColumn id="5" name="Dry lot" dataDxfId="394"/>
    <tableColumn id="6" name="Pasture/Range/Paddock" dataDxfId="393"/>
    <tableColumn id="7" name="Daily spread" dataDxfId="392"/>
    <tableColumn id="8" name="Digester" dataDxfId="391"/>
    <tableColumn id="9" name="Burned for fuel" dataDxfId="390"/>
    <tableColumn id="10" name="Pit&lt;1Month" dataDxfId="389"/>
    <tableColumn id="11" name="Pit&gt;1 month" dataDxfId="388"/>
    <tableColumn id="12" name="Poultry manure" dataDxfId="387"/>
    <tableColumn id="13" name="Deep bedding" dataDxfId="386"/>
    <tableColumn id="14" name="Composting" dataDxfId="385">
      <calculatedColumnFormula>AVERAGE(0.006,0.01,0.005,0.005)</calculatedColumnFormula>
    </tableColumn>
    <tableColumn id="15" name="Aerobic treatment" dataDxfId="384"/>
  </tableColumns>
  <tableStyleInfo name="TableStyleLight1" showFirstColumn="0" showLastColumn="0" showRowStripes="1" showColumnStripes="0"/>
</table>
</file>

<file path=xl/tables/table59.xml><?xml version="1.0" encoding="utf-8"?>
<table xmlns="http://schemas.openxmlformats.org/spreadsheetml/2006/main" id="59" name="AWMS_Dairy_Cattle" displayName="AWMS_Dairy_Cattle" ref="A2419:O2430" headerRowCount="1" totalsRowShown="0" headerRowDxfId="383" dataDxfId="382" tableBorderDxfId="381">
  <autoFilter ref="A2419:O2430"/>
  <tableColumns count="15">
    <tableColumn id="1" name="Please select" dataDxfId="380" dataCellStyle="Normal 2 2"/>
    <tableColumn id="2" name="Lagoon" dataDxfId="379"/>
    <tableColumn id="3" name="Liquid/slurry" dataDxfId="378"/>
    <tableColumn id="4" name="Solid storage" dataDxfId="377"/>
    <tableColumn id="5" name="Dry lot" dataDxfId="376"/>
    <tableColumn id="6" name="Pasture/Range/Paddock" dataDxfId="375"/>
    <tableColumn id="7" name="Daily spread" dataDxfId="374"/>
    <tableColumn id="8" name="Digester" dataDxfId="373"/>
    <tableColumn id="9" name="Burned for fuel" dataDxfId="372"/>
    <tableColumn id="10" name="Pit&lt;1Month" dataDxfId="371"/>
    <tableColumn id="11" name="Pit&gt;1 month" dataDxfId="370"/>
    <tableColumn id="12" name="Poultry manure" dataDxfId="369"/>
    <tableColumn id="13" name="Deep bedding" dataDxfId="368"/>
    <tableColumn id="14" name="Composting" dataDxfId="367"/>
    <tableColumn id="15" name="Aerobic treatment" dataDxfId="366"/>
  </tableColumns>
  <tableStyleInfo name="TableStyleLight1" showFirstColumn="0" showLastColumn="0" showRowStripes="1" showColumnStripes="0"/>
</table>
</file>

<file path=xl/tables/table60.xml><?xml version="1.0" encoding="utf-8"?>
<table xmlns="http://schemas.openxmlformats.org/spreadsheetml/2006/main" id="60" name="Frac_leach_all_categories" displayName="Frac_leach_all_categories" ref="A3184:O3195" headerRowCount="1" totalsRowShown="0" headerRowDxfId="365" dataDxfId="364" tableBorderDxfId="363">
  <autoFilter ref="A3184:O3195"/>
  <tableColumns count="15">
    <tableColumn id="1" name="Please select" dataDxfId="362" dataCellStyle="Normal 2 2"/>
    <tableColumn id="2" name="Lagoon" dataDxfId="361"/>
    <tableColumn id="3" name="Liquid/slurry" dataDxfId="360"/>
    <tableColumn id="4" name="Solid storage" dataDxfId="359"/>
    <tableColumn id="5" name="Dry lot" dataDxfId="358"/>
    <tableColumn id="6" name="Pasture/Range/Paddock" dataDxfId="357"/>
    <tableColumn id="7" name="Daily spread" dataDxfId="356"/>
    <tableColumn id="8" name="Digester" dataDxfId="355"/>
    <tableColumn id="9" name="Burned for fuel" dataDxfId="354"/>
    <tableColumn id="10" name="Pit&lt;1Month" dataDxfId="353"/>
    <tableColumn id="11" name="Pit&gt;1 month" dataDxfId="352"/>
    <tableColumn id="12" name="Poultry manure" dataDxfId="351"/>
    <tableColumn id="13" name="Deep bedding" dataDxfId="350"/>
    <tableColumn id="14" name="Composting" dataDxfId="349">
      <calculatedColumnFormula>AVERAGE(0.006,0.01,0.005,0.005)</calculatedColumnFormula>
    </tableColumn>
    <tableColumn id="15" name="Aerobic treatment" dataDxfId="348"/>
  </tableColumns>
  <tableStyleInfo name="TableStyleLight1" showFirstColumn="0" showLastColumn="0" showRowStripes="1" showColumnStripes="0"/>
</table>
</file>

<file path=xl/tables/table61.xml><?xml version="1.0" encoding="utf-8"?>
<table xmlns="http://schemas.openxmlformats.org/spreadsheetml/2006/main" id="61" name="Regional_eq_livestock" displayName="Regional_eq_livestock" ref="A1:D249" headerRowCount="1" totalsRowShown="0" headerRowDxfId="347" dataDxfId="346">
  <autoFilter ref="A1:D249"/>
  <sortState ref="A2:D249">
    <sortCondition ref="D1:D249"/>
  </sortState>
  <tableColumns count="4">
    <tableColumn id="1" name="Countries" dataDxfId="345"/>
    <tableColumn id="2" name="GLEAM" dataDxfId="344"/>
    <tableColumn id="3" name="EX-ACT" dataDxfId="343"/>
    <tableColumn id="4" name="IPCC" dataDxfId="342">
      <calculatedColumnFormula>IF(Regional_eq_livestock[[#This Row],[GLEAM]]="NENA",CONCATENATE("NENA","/Middle East"),Regional_eq_livestock[[#This Row],[GLEAM]])</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www.fao.org/tc/exact/ex-act-home/en/" TargetMode="External" Id="rId1" /><Relationship Type="http://schemas.openxmlformats.org/officeDocument/2006/relationships/hyperlink" Target="mailto:EX-ACT@fao.org" TargetMode="External" Id="rId2" /><Relationship Type="http://schemas.openxmlformats.org/officeDocument/2006/relationships/hyperlink" Target="http://www.fao.org/in-action/epic/ex-act-tool/suite-of-tools/registration/en/" TargetMode="External" Id="rId3" /><Relationship Type="http://schemas.openxmlformats.org/officeDocument/2006/relationships/hyperlink" Target="http://www.fao.org/in-action/epic/ex-act-tool/suite-of-tools/registration/en/" TargetMode="External" Id="rId4" /><Relationship Type="http://schemas.openxmlformats.org/officeDocument/2006/relationships/hyperlink" Target="mailto:exact@fao.org" TargetMode="External" Id="rId5" /><Relationship Type="http://schemas.openxmlformats.org/officeDocument/2006/relationships/hyperlink" Target="mailto:exact@fao.org" TargetMode="External" Id="rId6"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9.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0.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6.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8.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20.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 Type="http://schemas.openxmlformats.org/officeDocument/2006/relationships/table" Target="/xl/tables/table4.xml" Id="rId4" /><Relationship Type="http://schemas.openxmlformats.org/officeDocument/2006/relationships/table" Target="/xl/tables/table5.xml" Id="rId5" /><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21.xml.rels><Relationships xmlns="http://schemas.openxmlformats.org/package/2006/relationships"><Relationship Type="http://schemas.openxmlformats.org/officeDocument/2006/relationships/table" Target="/xl/tables/table6.xml" Id="rId1" /><Relationship Type="http://schemas.openxmlformats.org/officeDocument/2006/relationships/table" Target="/xl/tables/table7.xml" Id="rId2" /><Relationship Type="http://schemas.openxmlformats.org/officeDocument/2006/relationships/table" Target="/xl/tables/table8.xml" Id="rId3" /><Relationship Type="http://schemas.openxmlformats.org/officeDocument/2006/relationships/table" Target="/xl/tables/table9.xml" Id="rId4" /><Relationship Type="http://schemas.openxmlformats.org/officeDocument/2006/relationships/table" Target="/xl/tables/table10.xml" Id="rId5" /><Relationship Type="http://schemas.openxmlformats.org/officeDocument/2006/relationships/table" Target="/xl/tables/table11.xml" Id="rId6" /><Relationship Type="http://schemas.openxmlformats.org/officeDocument/2006/relationships/table" Target="/xl/tables/table12.xml" Id="rId7" /><Relationship Type="http://schemas.openxmlformats.org/officeDocument/2006/relationships/table" Target="/xl/tables/table13.xml" Id="rId8" /><Relationship Type="http://schemas.openxmlformats.org/officeDocument/2006/relationships/table" Target="/xl/tables/table14.xml" Id="rId9" /><Relationship Type="http://schemas.openxmlformats.org/officeDocument/2006/relationships/table" Target="/xl/tables/table15.xml" Id="rId10" /><Relationship Type="http://schemas.openxmlformats.org/officeDocument/2006/relationships/table" Target="/xl/tables/table16.xml" Id="rId11" /><Relationship Type="http://schemas.openxmlformats.org/officeDocument/2006/relationships/table" Target="/xl/tables/table17.xml" Id="rId12" /><Relationship Type="http://schemas.openxmlformats.org/officeDocument/2006/relationships/table" Target="/xl/tables/table18.xml" Id="rId13" /><Relationship Type="http://schemas.openxmlformats.org/officeDocument/2006/relationships/table" Target="/xl/tables/table19.xml" Id="rId14" /><Relationship Type="http://schemas.openxmlformats.org/officeDocument/2006/relationships/table" Target="/xl/tables/table20.xml" Id="rId15" /><Relationship Type="http://schemas.openxmlformats.org/officeDocument/2006/relationships/table" Target="/xl/tables/table21.xml" Id="rId16" /><Relationship Type="http://schemas.openxmlformats.org/officeDocument/2006/relationships/table" Target="/xl/tables/table22.xml" Id="rId17" /><Relationship Type="http://schemas.openxmlformats.org/officeDocument/2006/relationships/table" Target="/xl/tables/table23.xml" Id="rId18" /><Relationship Type="http://schemas.openxmlformats.org/officeDocument/2006/relationships/table" Target="/xl/tables/table24.xml" Id="rId19" /><Relationship Type="http://schemas.openxmlformats.org/officeDocument/2006/relationships/table" Target="/xl/tables/table25.xml" Id="rId20" /><Relationship Type="http://schemas.openxmlformats.org/officeDocument/2006/relationships/table" Target="/xl/tables/table26.xml" Id="rId21" /><Relationship Type="http://schemas.openxmlformats.org/officeDocument/2006/relationships/table" Target="/xl/tables/table27.xml" Id="rId22" /><Relationship Type="http://schemas.openxmlformats.org/officeDocument/2006/relationships/table" Target="/xl/tables/table28.xml" Id="rId23" /><Relationship Type="http://schemas.openxmlformats.org/officeDocument/2006/relationships/table" Target="/xl/tables/table29.xml" Id="rId24" /><Relationship Type="http://schemas.openxmlformats.org/officeDocument/2006/relationships/table" Target="/xl/tables/table30.xml" Id="rId25" /><Relationship Type="http://schemas.openxmlformats.org/officeDocument/2006/relationships/table" Target="/xl/tables/table31.xml" Id="rId26" /><Relationship Type="http://schemas.openxmlformats.org/officeDocument/2006/relationships/table" Target="/xl/tables/table32.xml" Id="rId27" /><Relationship Type="http://schemas.openxmlformats.org/officeDocument/2006/relationships/table" Target="/xl/tables/table33.xml" Id="rId28" /><Relationship Type="http://schemas.openxmlformats.org/officeDocument/2006/relationships/table" Target="/xl/tables/table34.xml" Id="rId29" /><Relationship Type="http://schemas.openxmlformats.org/officeDocument/2006/relationships/table" Target="/xl/tables/table35.xml" Id="rId30" /><Relationship Type="http://schemas.openxmlformats.org/officeDocument/2006/relationships/table" Target="/xl/tables/table36.xml" Id="rId31" /><Relationship Type="http://schemas.openxmlformats.org/officeDocument/2006/relationships/table" Target="/xl/tables/table37.xml" Id="rId32" /><Relationship Type="http://schemas.openxmlformats.org/officeDocument/2006/relationships/table" Target="/xl/tables/table38.xml" Id="rId33" /><Relationship Type="http://schemas.openxmlformats.org/officeDocument/2006/relationships/table" Target="/xl/tables/table39.xml" Id="rId34" /><Relationship Type="http://schemas.openxmlformats.org/officeDocument/2006/relationships/table" Target="/xl/tables/table40.xml" Id="rId35" /><Relationship Type="http://schemas.openxmlformats.org/officeDocument/2006/relationships/table" Target="/xl/tables/table41.xml" Id="rId36" /><Relationship Type="http://schemas.openxmlformats.org/officeDocument/2006/relationships/table" Target="/xl/tables/table42.xml" Id="rId37" /><Relationship Type="http://schemas.openxmlformats.org/officeDocument/2006/relationships/table" Target="/xl/tables/table43.xml" Id="rId38" /><Relationship Type="http://schemas.openxmlformats.org/officeDocument/2006/relationships/table" Target="/xl/tables/table44.xml" Id="rId39" /><Relationship Type="http://schemas.openxmlformats.org/officeDocument/2006/relationships/table" Target="/xl/tables/table45.xml" Id="rId40" /><Relationship Type="http://schemas.openxmlformats.org/officeDocument/2006/relationships/table" Target="/xl/tables/table46.xml" Id="rId41" /><Relationship Type="http://schemas.openxmlformats.org/officeDocument/2006/relationships/table" Target="/xl/tables/table47.xml" Id="rId42" /><Relationship Type="http://schemas.openxmlformats.org/officeDocument/2006/relationships/table" Target="/xl/tables/table48.xml" Id="rId43" /><Relationship Type="http://schemas.openxmlformats.org/officeDocument/2006/relationships/table" Target="/xl/tables/table49.xml" Id="rId44" /><Relationship Type="http://schemas.openxmlformats.org/officeDocument/2006/relationships/table" Target="/xl/tables/table50.xml" Id="rId45" /><Relationship Type="http://schemas.openxmlformats.org/officeDocument/2006/relationships/table" Target="/xl/tables/table51.xml" Id="rId46" /><Relationship Type="http://schemas.openxmlformats.org/officeDocument/2006/relationships/table" Target="/xl/tables/table52.xml" Id="rId47" /><Relationship Type="http://schemas.openxmlformats.org/officeDocument/2006/relationships/table" Target="/xl/tables/table53.xml" Id="rId48" /><Relationship Type="http://schemas.openxmlformats.org/officeDocument/2006/relationships/table" Target="/xl/tables/table54.xml" Id="rId49" /><Relationship Type="http://schemas.openxmlformats.org/officeDocument/2006/relationships/table" Target="/xl/tables/table55.xml" Id="rId50" /><Relationship Type="http://schemas.openxmlformats.org/officeDocument/2006/relationships/table" Target="/xl/tables/table56.xml" Id="rId51" /><Relationship Type="http://schemas.openxmlformats.org/officeDocument/2006/relationships/table" Target="/xl/tables/table57.xml" Id="rId52" /><Relationship Type="http://schemas.openxmlformats.org/officeDocument/2006/relationships/table" Target="/xl/tables/table58.xml" Id="rId53" /><Relationship Type="http://schemas.openxmlformats.org/officeDocument/2006/relationships/table" Target="/xl/tables/table59.xml" Id="rId54" /><Relationship Type="http://schemas.openxmlformats.org/officeDocument/2006/relationships/table" Target="/xl/tables/table60.xml" Id="rId55" /><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28.xml.rels><Relationships xmlns="http://schemas.openxmlformats.org/package/2006/relationships"><Relationship Type="http://schemas.openxmlformats.org/officeDocument/2006/relationships/table" Target="/xl/tables/table61.xml" Id="rId1" /></Relationships>
</file>

<file path=xl/worksheets/_rels/sheet31.xml.rels><Relationships xmlns="http://schemas.openxmlformats.org/package/2006/relationships"><Relationship Type="http://schemas.openxmlformats.org/officeDocument/2006/relationships/hyperlink" Target="https://energypedia.info/wiki/Toolbox_on_SPIS" TargetMode="External" Id="rId1" /></Relationships>
</file>

<file path=xl/worksheets/_rels/sheet32.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34.xml.rels><Relationships xmlns="http://schemas.openxmlformats.org/package/2006/relationships"><Relationship Type="http://schemas.openxmlformats.org/officeDocument/2006/relationships/hyperlink" Target="mailto:CO@%20biomass" TargetMode="External" Id="rId1" /></Relationships>
</file>

<file path=xl/worksheets/_rels/sheet36.xml.rels><Relationships xmlns="http://schemas.openxmlformats.org/package/2006/relationships"><Relationship Type="http://schemas.openxmlformats.org/officeDocument/2006/relationships/drawing" Target="/xl/drawings/drawing1.xml" Id="rId1" /></Relationships>
</file>

<file path=xl/worksheets/_rels/sheet37.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40.xml.rels><Relationships xmlns="http://schemas.openxmlformats.org/package/2006/relationships"><Relationship Type="http://schemas.openxmlformats.org/officeDocument/2006/relationships/hyperlink" Target="https://macarofood.org/wp-content/uploads/2021/01/Gonzalez_et_al_2020_Fisheries_Cabo_Verde_Cybium.pdf" TargetMode="External" Id="rId1" /><Relationship Type="http://schemas.openxmlformats.org/officeDocument/2006/relationships/hyperlink" Target="https://documents1.worldbank.org/curated/en/377811468006264103/pdf/AAA210ESW0Whit10strategy0assessment.pdf" TargetMode="External" Id="rId2" /></Relationships>
</file>

<file path=xl/worksheets/_rels/sheet41.xml.rels><Relationships xmlns="http://schemas.openxmlformats.org/package/2006/relationships"><Relationship Type="http://schemas.openxmlformats.org/officeDocument/2006/relationships/hyperlink" Target="http://www.earthmap.org/" TargetMode="External" Id="rId1" /></Relationships>
</file>

<file path=xl/worksheets/_rels/sheet42.xml.rels><Relationships xmlns="http://schemas.openxmlformats.org/package/2006/relationships"><Relationship Type="http://schemas.openxmlformats.org/officeDocument/2006/relationships/hyperlink" Target="https://www.ipcc-nggip.iges.or.jp/public/gpglulucf/gpglulucf_files/Glossary_Acronyms_BasicInfo/Glossary.pdf" TargetMode="External" Id="rId1" /><Relationship Type="http://schemas.openxmlformats.org/officeDocument/2006/relationships/hyperlink" Target="https://www.ipcc-nggip.iges.or.jp/public/2006gl/pdf/0_Overview/V0_2_Glossary.pdf" TargetMode="External" Id="rId2" /><Relationship Type="http://schemas.openxmlformats.org/officeDocument/2006/relationships/hyperlink" Target="https://www.ipcc.ch/site/assets/uploads/2019/12/19R_V0_02_Glossary.pdf" TargetMode="External" Id="rId3" /></Relationships>
</file>

<file path=xl/worksheets/_rels/sheet43.xml.rels><Relationships xmlns="http://schemas.openxmlformats.org/package/2006/relationships"><Relationship Type="http://schemas.openxmlformats.org/officeDocument/2006/relationships/hyperlink" Target="http://www.fao.org/soils-portal/soil-survey/soil-maps-and-databases/harmonized-world-soil-database-v12/en/" TargetMode="External" Id="rId1" /><Relationship Type="http://schemas.openxmlformats.org/officeDocument/2006/relationships/hyperlink" Target="https://beta.earthmap.org/" TargetMode="External" Id="rId2" /><Relationship Type="http://schemas.openxmlformats.org/officeDocument/2006/relationships/hyperlink" Target="https://aquastat.fao.org/climate-information-tool/" TargetMode="External" Id="rId3" /><Relationship Type="http://schemas.openxmlformats.org/officeDocument/2006/relationships/hyperlink" Target="https://cropcalendar.apps.fao.org/" TargetMode="External" Id="rId4" /><Relationship Type="http://schemas.openxmlformats.org/officeDocument/2006/relationships/hyperlink" Target="https://www.fao.org/soils-portal/data-hub/soil-maps-and-databases/harmonized-world-soil-database-v12/en/" TargetMode="External" Id="rId5" /><Relationship Type="http://schemas.openxmlformats.org/officeDocument/2006/relationships/hyperlink" Target="https://tool.geofootprint.com/map/en/" TargetMode="External" Id="rId6" /></Relationships>
</file>

<file path=xl/worksheets/_rels/sheet44.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45.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sheet1.xml><?xml version="1.0" encoding="utf-8"?>
<worksheet xmlns:r="http://schemas.openxmlformats.org/officeDocument/2006/relationships" xmlns="http://schemas.openxmlformats.org/spreadsheetml/2006/main">
  <sheetPr codeName="Sheet1">
    <tabColor rgb="FF172735"/>
    <outlinePr summaryBelow="1" summaryRight="1"/>
    <pageSetUpPr/>
  </sheetPr>
  <dimension ref="B1:AD105"/>
  <sheetViews>
    <sheetView zoomScale="70" zoomScaleNormal="70" workbookViewId="0">
      <selection activeCell="A1" sqref="A1"/>
    </sheetView>
  </sheetViews>
  <sheetFormatPr baseColWidth="10" defaultColWidth="9.33203125" defaultRowHeight="14"/>
  <cols>
    <col width="2.5" customWidth="1" style="973" min="1" max="1"/>
    <col width="9.5" customWidth="1" style="973" min="2" max="2"/>
    <col width="7" customWidth="1" style="973" min="3" max="3"/>
    <col width="6.5" customWidth="1" style="973" min="4" max="4"/>
    <col width="4.5" customWidth="1" style="973" min="5" max="5"/>
    <col width="8.33203125" customWidth="1" style="973" min="6" max="6"/>
    <col width="4.5" customWidth="1" style="973" min="7" max="7"/>
    <col width="6.5" customWidth="1" style="973" min="8" max="8"/>
    <col width="5.5" customWidth="1" style="973" min="9" max="9"/>
    <col width="8.5" customWidth="1" style="973" min="10" max="10"/>
    <col width="9.33203125" customWidth="1" style="973" min="11" max="22"/>
    <col width="11.5" customWidth="1" style="973" min="23" max="23"/>
    <col width="9.33203125" customWidth="1" style="973" min="24" max="24"/>
    <col width="12.5" customWidth="1" style="973" min="25" max="25"/>
    <col width="9.33203125" customWidth="1" style="973" min="26" max="27"/>
    <col width="9.33203125" customWidth="1" style="973" min="28" max="28"/>
    <col width="9.33203125" customWidth="1" style="973" min="29" max="29"/>
    <col width="28.5" customWidth="1" style="973" min="30" max="30"/>
    <col width="9.33203125" customWidth="1" style="973" min="31" max="16384"/>
  </cols>
  <sheetData>
    <row r="1" ht="100.5" customFormat="1" customHeight="1" s="1224">
      <c r="B1" s="1445" t="inlineStr">
        <is>
          <t>EX-ACT version 9 is based on the 2019 Refinement to the 2006 IPCC Guidelines for National Greenhouse Gas Inventories, their 2013 Supplement for Wetlands, as well as on FAOSTAT, UNFCCC, IHH, FEUD and other relevant scientific sources.</t>
        </is>
      </c>
    </row>
    <row r="4" ht="29.25" customHeight="1">
      <c r="AD4" s="4340" t="inlineStr">
        <is>
          <t>version 9.3.5</t>
        </is>
      </c>
    </row>
    <row r="15">
      <c r="F15" s="1058" t="n"/>
      <c r="G15" s="1058" t="n"/>
      <c r="H15" s="1058" t="n"/>
      <c r="I15" s="1058" t="n"/>
      <c r="J15" s="1058" t="n"/>
      <c r="K15" s="1058" t="n"/>
      <c r="L15" s="1058" t="n"/>
      <c r="M15" s="1058" t="n"/>
      <c r="N15" s="1058" t="n"/>
    </row>
    <row r="16">
      <c r="F16" s="1058" t="n"/>
      <c r="G16" s="1058" t="n"/>
      <c r="H16" s="1058" t="n"/>
      <c r="I16" s="1058" t="n"/>
      <c r="J16" s="1058" t="n"/>
      <c r="K16" s="1058" t="n"/>
      <c r="L16" s="1058" t="n"/>
      <c r="M16" s="1058" t="n"/>
      <c r="N16" s="1058" t="n"/>
    </row>
    <row r="17">
      <c r="F17" s="1058" t="n"/>
      <c r="G17" s="1058" t="n"/>
      <c r="H17" s="1058" t="n"/>
      <c r="I17" s="1058" t="n"/>
      <c r="J17" s="1058" t="n"/>
      <c r="K17" s="1058" t="n"/>
      <c r="L17" s="1058" t="n"/>
      <c r="M17" s="1058" t="n"/>
      <c r="N17" s="1058" t="n"/>
    </row>
    <row r="18">
      <c r="F18" s="1058" t="n"/>
      <c r="G18" s="1058" t="n"/>
      <c r="H18" s="1058" t="n"/>
      <c r="I18" s="1058" t="n"/>
      <c r="J18" s="1058" t="n"/>
      <c r="K18" s="1058" t="n"/>
      <c r="L18" s="1058" t="n"/>
      <c r="M18" s="1058" t="n"/>
      <c r="N18" s="1058" t="n"/>
    </row>
    <row r="19">
      <c r="F19" s="1058" t="n"/>
      <c r="G19" s="1058" t="n"/>
      <c r="H19" s="1058" t="n"/>
      <c r="I19" s="1058" t="n"/>
      <c r="J19" s="1058" t="n"/>
      <c r="K19" s="1058" t="n"/>
      <c r="L19" s="1058" t="n"/>
      <c r="M19" s="1058" t="n"/>
      <c r="N19" s="1058" t="n"/>
    </row>
    <row r="20">
      <c r="F20" s="1058" t="n"/>
      <c r="G20" s="1058" t="n"/>
      <c r="H20" s="1058" t="n"/>
      <c r="I20" s="1058" t="n"/>
      <c r="J20" s="1058" t="n"/>
      <c r="K20" s="1058" t="n"/>
      <c r="L20" s="1058" t="n"/>
      <c r="M20" s="1058" t="n"/>
      <c r="N20" s="1058" t="n"/>
    </row>
    <row r="21">
      <c r="F21" s="1058" t="n"/>
      <c r="G21" s="1058" t="n"/>
      <c r="H21" s="1058" t="n"/>
      <c r="I21" s="1058" t="n"/>
      <c r="J21" s="1058" t="n"/>
      <c r="K21" s="1058" t="n"/>
      <c r="L21" s="1058" t="n"/>
      <c r="M21" s="1058" t="n"/>
      <c r="N21" s="1058" t="n"/>
    </row>
    <row r="22">
      <c r="F22" s="1058" t="n"/>
      <c r="G22" s="1058" t="n"/>
      <c r="H22" s="1058" t="n"/>
      <c r="I22" s="1058" t="n"/>
      <c r="J22" s="1058" t="n"/>
      <c r="K22" s="1058" t="n"/>
      <c r="L22" s="1058" t="n"/>
      <c r="M22" s="1058" t="n"/>
      <c r="N22" s="1058" t="n"/>
    </row>
    <row r="23">
      <c r="F23" s="1058" t="n"/>
      <c r="G23" s="1058" t="n"/>
      <c r="H23" s="1058" t="n"/>
      <c r="I23" s="1058" t="n"/>
      <c r="J23" s="1058" t="n"/>
      <c r="K23" s="1058" t="n"/>
      <c r="L23" s="1058" t="n"/>
      <c r="M23" s="1058" t="n"/>
      <c r="N23" s="1058" t="n"/>
    </row>
    <row r="24">
      <c r="F24" s="1058" t="n"/>
      <c r="G24" s="1058" t="n"/>
      <c r="H24" s="1058" t="n"/>
      <c r="I24" s="1058" t="n"/>
      <c r="J24" s="1058" t="n"/>
      <c r="K24" s="1058" t="n"/>
      <c r="L24" s="1058" t="n"/>
      <c r="M24" s="1058" t="n"/>
      <c r="N24" s="1058" t="n"/>
    </row>
    <row r="25">
      <c r="F25" s="1058" t="n"/>
      <c r="G25" s="1058" t="n"/>
      <c r="H25" s="1058" t="n"/>
      <c r="I25" s="1058" t="n"/>
      <c r="J25" s="1058" t="n"/>
      <c r="K25" s="1058" t="n"/>
    </row>
    <row r="26" ht="16.5" customHeight="1">
      <c r="F26" s="1058" t="n"/>
      <c r="G26" s="1058" t="n"/>
      <c r="H26" s="1058" t="n"/>
      <c r="I26" s="1058" t="n"/>
      <c r="J26" s="1058" t="n"/>
      <c r="K26" s="1058" t="n"/>
    </row>
    <row r="27">
      <c r="F27" s="1058" t="n"/>
      <c r="G27" s="1058" t="n"/>
      <c r="H27" s="1058" t="n"/>
      <c r="I27" s="1058" t="n"/>
      <c r="J27" s="1058" t="n"/>
      <c r="K27" s="1058" t="n"/>
    </row>
    <row r="28">
      <c r="F28" s="1058" t="n"/>
      <c r="G28" s="1058" t="n"/>
      <c r="H28" s="1058" t="n"/>
      <c r="I28" s="1058" t="n"/>
      <c r="J28" s="1058" t="n"/>
      <c r="K28" s="1058" t="n"/>
    </row>
    <row r="29">
      <c r="F29" s="1058" t="n"/>
      <c r="G29" s="1058" t="n"/>
      <c r="H29" s="1058" t="n"/>
      <c r="I29" s="1058" t="n"/>
      <c r="J29" s="1058" t="n"/>
      <c r="K29" s="1058" t="n"/>
    </row>
    <row r="30">
      <c r="F30" s="1058" t="n"/>
      <c r="G30" s="1058" t="n"/>
      <c r="H30" s="1058" t="n"/>
      <c r="I30" s="1058" t="n"/>
      <c r="J30" s="1058" t="n"/>
      <c r="K30" s="1058" t="n"/>
    </row>
    <row r="31">
      <c r="F31" s="1058" t="n"/>
      <c r="G31" s="1058" t="n"/>
      <c r="H31" s="1058" t="n"/>
      <c r="I31" s="1058" t="n"/>
      <c r="J31" s="1058" t="n"/>
      <c r="K31" s="1058" t="n"/>
    </row>
    <row r="32">
      <c r="F32" s="1058" t="n"/>
      <c r="G32" s="1058" t="n"/>
      <c r="H32" s="1058" t="n"/>
      <c r="I32" s="1058" t="n"/>
      <c r="J32" s="1058" t="n"/>
      <c r="K32" s="1058" t="n"/>
    </row>
    <row r="33">
      <c r="F33" s="1058" t="n"/>
      <c r="G33" s="1058" t="n"/>
      <c r="H33" s="1058" t="n"/>
      <c r="I33" s="1058" t="n"/>
      <c r="J33" s="1058" t="n"/>
      <c r="K33" s="1058" t="n"/>
    </row>
    <row r="34">
      <c r="F34" s="1058" t="n"/>
      <c r="G34" s="1058" t="n"/>
      <c r="H34" s="1058" t="n"/>
      <c r="I34" s="1058" t="n"/>
      <c r="J34" s="1058" t="n"/>
      <c r="K34" s="1058" t="n"/>
    </row>
    <row r="35">
      <c r="F35" s="1058" t="n"/>
      <c r="G35" s="1058" t="n"/>
      <c r="H35" s="1058" t="n"/>
      <c r="I35" s="1058" t="n"/>
      <c r="J35" s="1058" t="n"/>
      <c r="K35" s="1058" t="n"/>
    </row>
    <row r="37" ht="15" customHeight="1"/>
    <row r="38" ht="15" customHeight="1"/>
    <row r="43" ht="39.5" customHeight="1"/>
    <row r="44">
      <c r="F44" s="1118" t="n"/>
      <c r="G44" s="1118" t="n"/>
      <c r="H44" s="1117" t="n"/>
      <c r="I44" s="1117" t="n"/>
      <c r="J44" s="1117" t="n"/>
      <c r="K44" s="1117" t="n"/>
      <c r="L44" s="1117" t="n"/>
      <c r="M44" s="1117" t="n"/>
      <c r="N44" s="1117" t="n"/>
      <c r="O44" s="1119" t="n"/>
      <c r="P44" s="1119" t="n"/>
      <c r="Q44" s="1119" t="n"/>
      <c r="R44" s="1119" t="n"/>
    </row>
    <row r="45" ht="33" customHeight="1">
      <c r="B45" s="4525" t="inlineStr">
        <is>
          <t>EX-ACT is a designed to support decision makers within the governments, private sector and civil society organizations to calculate greenhouse gas emissions using IPCC methdoologies. EX-ACT can be used in the project (or programme) design phase  as well as for on-going and ex-post evaluations of interventions in agriculture (the AFOLU sector, fisheries, aquaculture, inputs and infrastructure).</t>
        </is>
      </c>
    </row>
    <row r="46" ht="15" customHeight="1">
      <c r="B46" s="4526" t="inlineStr">
        <is>
          <t xml:space="preserve">EX-ACT v9 has been developped by FAO's Agrifood Economics Division with the support of the World Bank and Agence Française de Développement. </t>
        </is>
      </c>
    </row>
    <row r="47" ht="15" customHeight="1">
      <c r="B47" s="4526" t="inlineStr">
        <is>
          <t xml:space="preserve">Website: </t>
        </is>
      </c>
      <c r="C47" s="4279" t="inlineStr">
        <is>
          <t>http://www.fao.org/tc/exact/ex-act-home/en/</t>
        </is>
      </c>
      <c r="D47" s="4526" t="n"/>
      <c r="E47" s="4526" t="n"/>
      <c r="F47" s="4526" t="n"/>
      <c r="G47" s="4526" t="n"/>
      <c r="H47" s="4526" t="n"/>
      <c r="I47" s="4526" t="n"/>
      <c r="J47" s="4526" t="n"/>
      <c r="K47" s="4526" t="n"/>
      <c r="L47" s="4526" t="n"/>
      <c r="M47" s="4526" t="n"/>
      <c r="N47" s="4526" t="n"/>
      <c r="O47" s="4526" t="n"/>
      <c r="P47" s="4526" t="n"/>
      <c r="Q47" s="4526" t="n"/>
      <c r="R47" s="4526" t="n"/>
      <c r="S47" s="4526" t="n"/>
      <c r="T47" s="4526" t="n"/>
      <c r="U47" s="4526" t="n"/>
      <c r="V47" s="4526" t="n"/>
      <c r="W47" s="4526" t="n"/>
      <c r="X47" s="4526" t="n"/>
      <c r="Y47" s="4526" t="n"/>
      <c r="Z47" s="4526" t="n"/>
      <c r="AA47" s="4526" t="n"/>
      <c r="AB47" s="4526" t="n"/>
      <c r="AC47" s="4526" t="n"/>
    </row>
    <row r="48" ht="15" customHeight="1">
      <c r="B48" s="4526" t="inlineStr">
        <is>
          <t>Contact:</t>
        </is>
      </c>
      <c r="C48" s="145" t="inlineStr">
        <is>
          <t>EX-ACT@fao.org</t>
        </is>
      </c>
      <c r="D48" s="4526" t="n"/>
      <c r="E48" s="4526" t="n"/>
      <c r="F48" s="4526" t="n"/>
      <c r="G48" s="4526" t="n"/>
      <c r="H48" s="4526" t="n"/>
      <c r="I48" s="4526" t="n"/>
      <c r="J48" s="4526" t="n"/>
      <c r="K48" s="4526" t="n"/>
      <c r="L48" s="4526" t="n"/>
      <c r="M48" s="4526" t="n"/>
      <c r="N48" s="4526" t="n"/>
      <c r="O48" s="4526" t="n"/>
      <c r="P48" s="4526" t="n"/>
      <c r="Q48" s="4526" t="n"/>
      <c r="R48" s="4526" t="n"/>
      <c r="S48" s="4526" t="n"/>
      <c r="T48" s="4526" t="n"/>
      <c r="U48" s="4526" t="n"/>
      <c r="V48" s="4526" t="n"/>
      <c r="W48" s="4526" t="n"/>
      <c r="X48" s="4526" t="n"/>
      <c r="Y48" s="4526" t="n"/>
      <c r="Z48" s="4526" t="n"/>
      <c r="AA48" s="4526" t="n"/>
      <c r="AB48" s="4526" t="n"/>
      <c r="AC48" s="4526" t="n"/>
    </row>
    <row r="49" ht="15" customHeight="1">
      <c r="B49" s="4526" t="n"/>
      <c r="C49" s="4526" t="n"/>
      <c r="D49" s="4526" t="n"/>
      <c r="E49" s="4526" t="n"/>
      <c r="F49" s="4526" t="n"/>
      <c r="G49" s="4526" t="n"/>
      <c r="H49" s="4526" t="n"/>
      <c r="I49" s="4526" t="n"/>
      <c r="J49" s="4526" t="n"/>
      <c r="K49" s="4526" t="n"/>
      <c r="L49" s="4526" t="n"/>
      <c r="M49" s="4526" t="n"/>
      <c r="N49" s="4526" t="n"/>
      <c r="O49" s="4526" t="n"/>
      <c r="P49" s="4526" t="n"/>
      <c r="Q49" s="4526" t="n"/>
      <c r="R49" s="4526" t="n"/>
      <c r="S49" s="4526" t="n"/>
      <c r="T49" s="4526" t="n"/>
      <c r="U49" s="4526" t="n"/>
      <c r="V49" s="4526" t="n"/>
      <c r="W49" s="4526" t="n"/>
      <c r="X49" s="4526" t="n"/>
      <c r="Y49" s="4526" t="n"/>
      <c r="Z49" s="4526" t="n"/>
      <c r="AA49" s="4526" t="n"/>
      <c r="AB49" s="4526" t="n"/>
      <c r="AC49" s="4526" t="n"/>
    </row>
    <row r="50" ht="15" customHeight="1">
      <c r="B50" s="1771" t="n"/>
      <c r="C50" s="1771" t="n"/>
      <c r="D50" s="1771" t="n"/>
      <c r="E50" s="1771" t="n"/>
      <c r="F50" s="1771" t="n"/>
      <c r="G50" s="2963" t="n"/>
      <c r="H50" s="2963" t="n"/>
      <c r="I50" s="2963" t="n"/>
      <c r="J50" s="2963" t="n"/>
      <c r="K50" s="2963" t="n"/>
      <c r="L50" s="2963" t="n"/>
      <c r="M50" s="2963" t="n"/>
      <c r="N50" s="2963" t="n"/>
      <c r="O50" s="1771" t="n"/>
      <c r="P50" s="1771" t="n"/>
      <c r="Q50" s="1771" t="n"/>
      <c r="R50" s="1771" t="n"/>
      <c r="S50" s="1771" t="n"/>
      <c r="T50" s="1771" t="n"/>
      <c r="U50" s="1771" t="n"/>
      <c r="V50" s="1771" t="n"/>
      <c r="W50" s="1771" t="n"/>
      <c r="X50" s="1771" t="n"/>
      <c r="Y50" s="1771" t="n"/>
      <c r="Z50" s="1771" t="n"/>
      <c r="AA50" s="1771" t="n"/>
      <c r="AB50" s="1771" t="n"/>
      <c r="AC50" s="1771" t="n"/>
    </row>
    <row r="51" ht="34.5" customHeight="1">
      <c r="B51" s="4527" t="inlineStr">
        <is>
          <t>DISCLAIMER
FAO declines all responsibility for errors or deficiencies in the database or software or in the documentation accompanying it, for program maintenance and upgrading as well as for any damage that may arise from them. FAO also declines any responsibility for updating the data and assumes no responsibility for errors and omissions in the data provided. Users are, however, kindly asked to report any errors or deficiencies in this product to FAO.</t>
        </is>
      </c>
    </row>
    <row r="52">
      <c r="B52" s="4528" t="inlineStr">
        <is>
          <t>The choices of calculation made in this tool are those of the author(s) and do not necessarily reflect the views  and choices of the Food and Agriculture Organization of the United Nations.</t>
        </is>
      </c>
    </row>
    <row r="53">
      <c r="B53" s="3988" t="n"/>
      <c r="C53" s="3988" t="n"/>
      <c r="D53" s="3988" t="n"/>
      <c r="E53" s="3988" t="n"/>
      <c r="F53" s="3988" t="n"/>
      <c r="G53" s="3988" t="n"/>
      <c r="H53" s="3988" t="n"/>
      <c r="I53" s="3988" t="n"/>
      <c r="J53" s="3988" t="n"/>
      <c r="K53" s="3562" t="n"/>
      <c r="L53" s="3562" t="n"/>
      <c r="M53" s="3562" t="n"/>
      <c r="N53" s="3562" t="n"/>
      <c r="O53" s="3562" t="n"/>
      <c r="P53" s="3562" t="n"/>
      <c r="Q53" s="3562" t="n"/>
      <c r="R53" s="3562" t="n"/>
      <c r="S53" s="3562" t="n"/>
      <c r="T53" s="3562" t="n"/>
      <c r="U53" s="3562" t="n"/>
      <c r="V53" s="3562" t="n"/>
      <c r="W53" s="3562" t="n"/>
      <c r="X53" s="3562" t="n"/>
      <c r="Y53" s="3562" t="n"/>
      <c r="Z53" s="3562" t="n"/>
      <c r="AA53" s="3562" t="n"/>
      <c r="AB53" s="3562" t="n"/>
      <c r="AC53" s="3562" t="n"/>
    </row>
    <row r="54" ht="50" customHeight="1">
      <c r="B54" s="4527" t="inlineStr">
        <is>
          <t xml:space="preserve">© FAO (2021)
FAO encourages the use, reproduction and dissemination of material in this product. Except where otherwise indicated, material may be copied, downloaded and printed for private study, research and teaching purposes, or for use in non-commercial products or services, provided that appropriate acknowledgement of FAO as the source and copyright holder is given and that FAO’s endorsement of users’ views, products or services is not implied in any way. 
All requests for translation and adaptation rights, and for resale and other commercial use rights should be made via www.fao.org/contact-us/licence-request or addressed to copyright@fao.org
</t>
        </is>
      </c>
    </row>
    <row r="55">
      <c r="B55" s="1097" t="n"/>
      <c r="C55" s="1097" t="n"/>
      <c r="D55" s="1097" t="n"/>
      <c r="E55" s="1097" t="n"/>
      <c r="F55" s="1097" t="n"/>
      <c r="G55" s="1097" t="n"/>
      <c r="H55" s="1097" t="n"/>
      <c r="I55" s="1097" t="n"/>
      <c r="J55" s="1097" t="n"/>
    </row>
    <row r="59" ht="17" customFormat="1" customHeight="1" s="1771">
      <c r="B59" s="2348" t="inlineStr">
        <is>
          <t>Terms of Use for the EX-ACT: Ex-Ante Carbon-balance Tool</t>
        </is>
      </c>
    </row>
    <row r="60" customFormat="1" s="1771">
      <c r="B60" s="1972" t="inlineStr">
        <is>
          <t>General Provisions</t>
        </is>
      </c>
    </row>
    <row r="61" customFormat="1" s="1771">
      <c r="B61" s="1970" t="inlineStr">
        <is>
          <t>To support efforts towards forest monitoring, the Food and Agriculture Organization of the United Nations (FAO) has developed the EX-ACT: Ex-Ante Carbon-balance Tool to help countries identify capacity gaps and weaknesses and address their real needs in a targeted manner.</t>
        </is>
      </c>
    </row>
    <row r="62" customFormat="1" s="1771">
      <c r="B62" s="1970" t="inlineStr">
        <is>
          <t xml:space="preserve">The EX-ACT: Ex-Ante Carbon-balance Tool is excel-based. </t>
        </is>
      </c>
    </row>
    <row r="63" customFormat="1" s="1771">
      <c r="B63" s="1970" t="inlineStr">
        <is>
          <t>The Ex-Ante Carbon-balance Tool (EX-ACT) is an appraisal system developed by FAO providing estimates of the impact of agriculture and forestry development projects, programmes and policies on the carbon-balance.</t>
        </is>
      </c>
    </row>
    <row r="64" customFormat="1" s="1771">
      <c r="B64" s="1970" t="inlineStr">
        <is>
          <t>The carbon-balance is defined as the net balance from all greenhouse gases (GHGs) expressed in CO2 equivalent that were emitted or sequestered due to project implementation as compared to a business-as-usual scenario.</t>
        </is>
      </c>
    </row>
    <row r="65" customFormat="1" s="1771">
      <c r="B65" s="1970" t="inlineStr">
        <is>
          <t>EX-ACT is a land-based accounting system, estimating C stock changes (i.e. emissions or sinks of CO2) as well as GHG emissions per unit of land, expressed in equivalent tonnes of CO2 per hectare and year. The tool helps project designers to estimate and prioritize project activities with high benefits in economic and climate change mitigation terms. The amount of GHG mitigation may also be used as part of economic analyses as well as for the application for additional project funds.</t>
        </is>
      </c>
    </row>
    <row r="66" customFormat="1" s="1771">
      <c r="B66" s="1970" t="inlineStr">
        <is>
          <t>EX-ACT can be applied on a wide range of development projects from all Agriculture, Forestry and Other Land Use (AFOLU) sub-sectors, including besides others projects on climate change mitigation, sustainable land management, watershed development, production intensification, food security, livestock, forest management or land use change. Furthermore, it is cost effective, requires a comparatively small amount of data, and has resources (tables, maps) which can help find the required information. While EX-ACT is mostly used at project level it may easily be up scaled to the programme/sector level and can also be used for policy analysis.</t>
        </is>
      </c>
    </row>
    <row r="67" customFormat="1" s="1771">
      <c r="B67" s="4417" t="inlineStr">
        <is>
          <t>1.      By using the EX-ACT: Ex-Ante Carbon-balance Tool (hereinafter referred to as the “Tool”), you acknowledge and accept to be bound by these Terms of Use, and the FAO’s Terms and Conditions for use of its website Tool. If the end users do not agree to these Terms of Use, they should not use the Tool. In the event of a conflict or inconsistency between these Terms of Use and FAO’s Terms and Conditions for use of its website, the present Terms of Use shall prevail.</t>
        </is>
      </c>
    </row>
    <row r="68" customFormat="1" s="1771">
      <c r="B68" s="4417" t="inlineStr">
        <is>
          <t>2.      FAO reserves the right to amend these Terms of Use, as well as the FAO’s Terms and Conditions for use of its website, from time to time and without notice. Notifications of any significant amendments and amended versions of these Terms of Use and the FAO Terms and Conditions for use its website will, respectively, be included in the latest version of the Tool available following the registration on FAO’s website. By continuing to use the Tool subsequent to FAO making available an amended version of such Terms of Use, you acknowledge, agree and consent to such amendment(s).</t>
        </is>
      </c>
    </row>
    <row r="69" customFormat="1" s="1771">
      <c r="B69" s="1972" t="inlineStr">
        <is>
          <t>Definitions</t>
        </is>
      </c>
    </row>
    <row r="70" customFormat="1" s="1771">
      <c r="B70" s="4417" t="inlineStr">
        <is>
          <t>3.      The following definitions shall apply to these Terms of Use and any other related document:</t>
        </is>
      </c>
    </row>
    <row r="71" customFormat="1" s="1771">
      <c r="B71" s="4418" t="inlineStr">
        <is>
          <t xml:space="preserve">i.       ‘Users’ refer to those end users who have accessed and/or received the Tool by any means, without prior registration to the Tool website.  </t>
        </is>
      </c>
    </row>
    <row r="72" customFormat="1" s="1771">
      <c r="B72" s="4419" t="inlineStr">
        <is>
          <t xml:space="preserve">ii.      ‘Registered Users/Subscribers’ refer to those users who have registered in the Tool website, in order to be able to download and use the Tool. </t>
        </is>
      </c>
    </row>
    <row r="73" customFormat="1" s="1771">
      <c r="B73" s="4419" t="inlineStr">
        <is>
          <t>iii.     ‘Third Party(ies)’ means any natural or legal person, public authority, agency or any other body other than the Registered Users, Users or FAO.</t>
        </is>
      </c>
    </row>
    <row r="74" customFormat="1" s="1771">
      <c r="B74" s="4419" t="inlineStr">
        <is>
          <t>iv.     ‘Personal Data’ means any information that identifies the individual, or can be used to directly or indirectly identify the individual, either from the registration form, or from the data in conjunction with other information that is in, or is likely to come into, the possession of FAO. Personal Data may include but is not limited to: (a) name and/or surname; (b) place/date of birth; (c) age; (d) gender; (e) personality or ethnicity; (f) country; (g) personal contacts (e.g. email address, postal address, telephone number, etc.); (h) job details, including the organization or company you are representing or working for and your  role in your organization.</t>
        </is>
      </c>
    </row>
    <row r="75" customFormat="1" s="1771">
      <c r="B75" s="4419" t="inlineStr">
        <is>
          <t>v.       ‘Processing of data’ means any operation or set of operations which is performed on, or using data, whether or not by automatic means, such as collection, recording, organization, storage, adaptation or alteration, retrieval, consultation, use, disclosure by transmission, dissemination or otherwise making available, alignment or combination, blocking, erasure or destruction.</t>
        </is>
      </c>
    </row>
    <row r="76" customFormat="1" s="1771">
      <c r="B76" s="1972" t="inlineStr">
        <is>
          <t>Using the Tool</t>
        </is>
      </c>
    </row>
    <row r="77" customFormat="1" s="1771">
      <c r="B77" s="4420" t="inlineStr">
        <is>
          <t>4.      The Tool is updated by FAO on a regular basis. All end users should download the latest version of the Tool following the registration instructions provided hereinafter and available on the Tool website.</t>
        </is>
      </c>
    </row>
    <row r="78" customFormat="1" s="1771">
      <c r="B78" s="4420" t="inlineStr">
        <is>
          <t>5.      When registering for the Tool, you will be required to provide FAO with your Personal Data. You acknowledge, agree and consent to FAO’s processing of your Personal Data, in accordance with FAO’s rules, policies and procedures and to the exclusion of any single national system of law, and that FAO may make available such Personal Data to Third Parties exclusively for the purposes of the Tool, or for FAO institutional activities (see http://www.fao.org/contact-us/privacy-policy/en/). You may, at any time, request FAO to delete, review, correct or update the registration and Personal Data by writing to exact@fao.org.</t>
        </is>
      </c>
    </row>
    <row r="79" customFormat="1" s="1771">
      <c r="B79" s="4417" t="inlineStr">
        <is>
          <t>6.      Following registration, FAO reserves the exclusive right to verify your eligibility to download and use the Tool and to not accept any request that, in its sole discretion, is not in accordance with these Terms of Use or the FAO’s Terms and Conditions for use of its website. Upon validation of your eligibility by FAO, you may download and use the Tool.</t>
        </is>
      </c>
    </row>
    <row r="80" customFormat="1" s="1771">
      <c r="B80" s="4417" t="inlineStr">
        <is>
          <t>7.      FAO reserves the right at any time, to modify or discontinue, temporarily or permanently the Tool, including any means of accessing or utilizing it, at its sole discretion with or without prior notice to you.</t>
        </is>
      </c>
    </row>
    <row r="81" customFormat="1" s="1771">
      <c r="B81" s="4417" t="inlineStr">
        <is>
          <t>8.      FAO may at its sole discretion, under any circumstances, for any or no reason whatsoever and with or without prior notice to you, cancel your registration to the Tool.</t>
        </is>
      </c>
    </row>
    <row r="82" customFormat="1" s="1771">
      <c r="B82" s="1972" t="inlineStr">
        <is>
          <t>Responsibility of Registered Users and Users</t>
        </is>
      </c>
    </row>
    <row r="83" customFormat="1" s="1771">
      <c r="B83" s="4417" t="inlineStr">
        <is>
          <t>9.      You acknowledge and agree that you:</t>
        </is>
      </c>
    </row>
    <row r="84" customFormat="1" s="1771">
      <c r="B84" s="4421" t="inlineStr">
        <is>
          <t xml:space="preserve">                 I.          will comply with all applicable laws, including, without limitation, data protection laws, privacy laws, anti-spam laws, and intellectual property laws;</t>
        </is>
      </c>
    </row>
    <row r="85" customFormat="1" s="1771">
      <c r="B85" s="4421" t="inlineStr">
        <is>
          <t xml:space="preserve">                II.          are responsible for ensuring the integrity and accuracy of the information that you provide registering at http://www.fao.org/in-action/epic/ex-act-tool/suite-of-tools/b-intact/en/, including any Personal Data; any false or misrepresentative identity, affiliation with a person or entity, past or present, or your current or previous positions and qualifications is not allowed;</t>
        </is>
      </c>
    </row>
    <row r="86" customFormat="1" s="1771">
      <c r="B86" s="4421" t="inlineStr">
        <is>
          <t xml:space="preserve">              III.          are responsible for making sure that no Third Party can claim any rights on the contents of the Tool or other information provided by you;</t>
        </is>
      </c>
    </row>
    <row r="87" customFormat="1" s="1771">
      <c r="B87" s="4421" t="inlineStr">
        <is>
          <t xml:space="preserve">              IV.          cannot publicly represent or imply that FAO is participating in, or has sponsored, approved or endorsed the manner or purpose of your use of the Tool;</t>
        </is>
      </c>
    </row>
    <row r="88" customFormat="1" s="1771">
      <c r="B88" s="4421" t="inlineStr">
        <is>
          <t xml:space="preserve">               V.          will not delete any attributions, legal notices or proprietary designations or labels in any related information to the Tool, on the understanding that you assume responsibility for independently assessing its relevance, accuracy, completeness, and suitability for application. </t>
        </is>
      </c>
    </row>
    <row r="89" customFormat="1" s="1771">
      <c r="B89" s="4417" t="inlineStr">
        <is>
          <t>10.   By accepting these Terms of Use, you agree:</t>
        </is>
      </c>
    </row>
    <row r="90" customFormat="1" s="1771">
      <c r="B90" s="4422" t="inlineStr">
        <is>
          <t xml:space="preserve">            I.     To make no changes to the Tool, including, but not limited to, the structure, formulas, text and any other element which is an integral part of the Tool.</t>
        </is>
      </c>
    </row>
    <row r="91" customFormat="1" s="1771">
      <c r="B91" s="4422" t="inlineStr">
        <is>
          <t xml:space="preserve">           II.     Once downloaded or otherwise accessed or received, you will use the Tool only the purposes, indicated in the General Provisions above.</t>
        </is>
      </c>
    </row>
    <row r="92" customFormat="1" s="1771">
      <c r="B92" s="4422" t="inlineStr">
        <is>
          <t xml:space="preserve">         III.     The assessment(s) you perform with the Tool is based on your knowledge and experience and do not necessarily reflect the views and choices of FAO.</t>
        </is>
      </c>
    </row>
    <row r="93" customFormat="1" s="1771">
      <c r="B93" s="4422" t="inlineStr">
        <is>
          <t xml:space="preserve">         IV.     That the Tool it cannot be used for commercial purposes. </t>
        </is>
      </c>
    </row>
    <row r="94" customFormat="1" s="1771">
      <c r="B94" s="1972" t="inlineStr">
        <is>
          <t>Disclaimer</t>
        </is>
      </c>
    </row>
    <row r="95" customFormat="1" s="1771">
      <c r="B95" s="4420" t="inlineStr">
        <is>
          <t>11.   Information provided in the Tool is provided “as is” and FAO does not provide any guarantee that such information is correct, complete or up to date. FAO does not represent or endorse the accuracy or reliability of any data provided in the Tool, declines all responsibility for updating the data and assumes no responsibility for errors and omissions in the data provided. FAO also declines all responsibility for errors or deficiencies in the Tool, for program maintenance and upgrading as well as for any damage that may arise from use of the Tool. Registered Users are responsible for reporting any errors or deficiencies in this product by writing to exact@fao.org.</t>
        </is>
      </c>
    </row>
    <row r="96" customFormat="1" s="1771">
      <c r="B96" s="4417" t="inlineStr">
        <is>
          <t xml:space="preserve">12.   FAO makes no, and expressly disclaims any, warranties, express or implied, regarding the correctness, accuracy, completeness, timeliness, and reliability of the text, graphics, links to other sites and any other items accessed from or via the (http://www.fao.org/in-action/epic/ex-act-tool/suite-of-tools/ex-act/en/), or that the services will be uninterrupted, error-free or free of viruses or other harmful components. </t>
        </is>
      </c>
    </row>
    <row r="97" customFormat="1" s="1771">
      <c r="B97" s="4417" t="inlineStr">
        <is>
          <t xml:space="preserve">13.   The designations employed and the presentation of the material on or in the Tool do not imply the expression of any opinion whatsoever on the part of FAO concerning the legal or development status of any country, territory, city or area or of its authorities, or concerning the delimitation of its frontiers or boundaries. </t>
        </is>
      </c>
    </row>
    <row r="98" customFormat="1" s="1771">
      <c r="B98" s="4417" t="inlineStr">
        <is>
          <t>14.   Links to other websites are provided for the user's convenience only and do not constitute endorsement of or responsibility on the part of FAO for the opinions, ideas, data or products presented at these locations, or guarantee the validity of the information provided on them.</t>
        </is>
      </c>
    </row>
    <row r="99" customFormat="1" s="1771">
      <c r="B99" s="4417" t="inlineStr">
        <is>
          <t>15.   Under no circumstances shall FAO, its authorized vendors and/or subcontractors, or any of their respective partners, officers, directors, employees, agents or representatives be liable for any loss or damage arising from, or directly or indirectly connected to, the use of, reference to, or reliance on the information contained in the Tool including, but not limited to, any liability arising from any intentional or negligent misuse, errors, disclosure, undue transfer, loss or destruction of information that may occur.</t>
        </is>
      </c>
    </row>
    <row r="100" customFormat="1" s="1771">
      <c r="B100" s="4417" t="inlineStr">
        <is>
          <t>16.   FAO shall not be responsible for any information that is not received due to internet connection or software failures.</t>
        </is>
      </c>
    </row>
    <row r="101" customFormat="1" s="1771">
      <c r="B101" s="1972" t="inlineStr">
        <is>
          <t>Copyright and Reuse of Web Content</t>
        </is>
      </c>
    </row>
    <row r="102" customFormat="1" s="1771">
      <c r="B102" s="4417" t="inlineStr">
        <is>
          <t>17.   The content of the EX-ACT: Ex-Ante Carbon-balance Tool is subject to the FAO Terms and Conditions for use of its website. Except as otherwise stated below, the information available on the EX-ACT Website including text, logos, graphics, maps, images, audio clips and electronic downloads, is the property of FAO. Users may freely download and copy the FAO material for personal, non-commercial use, without any right to resell, redistribute, compile or create derivative works therefrom. Copyright in material provided by users remains with the information provider(s) or original rights holder(s). Users may only post materials for which they have the right or permission to distribute electronically and to authorize others to redistribute. Unless otherwise indicated, users providing information acknowledge and agree that the material posted on the EX-ACT Website may be reused and redistributed by the members for non-commercial purposes, without prior written permission.</t>
        </is>
      </c>
    </row>
    <row r="103" customFormat="1" s="1771">
      <c r="B103" s="4417" t="inlineStr">
        <is>
          <t>18.   Links to other websites are provided for your convenience only and do not constitute endorsement by FAO of material at those sites, or any associated organization, product or service.</t>
        </is>
      </c>
    </row>
    <row r="104" customFormat="1" s="1771">
      <c r="B104" s="1972" t="inlineStr">
        <is>
          <t>Privileges and Immunities</t>
        </is>
      </c>
    </row>
    <row r="105" customFormat="1" s="1771">
      <c r="B105" s="4417" t="inlineStr">
        <is>
          <t>19.   Nothing contained in or related to these Terms and Conditions shall be deemed a waiver, express or implied, of the privileges and immunities of FAO, or as its acceptance of the jurisdiction of the courts of any country over disputes arising out of these Terms of Use or documents or arrangements related thereto.</t>
        </is>
      </c>
    </row>
  </sheetData>
  <sheetProtection selectLockedCells="0" selectUnlockedCells="0" algorithmName="SHA-512" sheet="1" objects="0" insertRows="1" insertHyperlinks="1" autoFilter="1" scenarios="0" formatColumns="1" deleteColumns="1" insertColumns="1" pivotTables="1" deleteRows="1" formatCells="1" saltValue="4IC/QeYHoCnpka0YfzmTzw==" formatRows="1" sort="1" spinCount="100000" hashValue="GocggllNrmBauaaSp7HYspZiB8rbR7mCL2FNR0DRhblcgGcpHrINtCJ80si/9P/J7fE18oIidg7XkEFdmK/iCA=="/>
  <mergeCells count="5">
    <mergeCell ref="B54:AC54"/>
    <mergeCell ref="B51:AC51"/>
    <mergeCell ref="B45:AC45"/>
    <mergeCell ref="B46:AC46"/>
    <mergeCell ref="B52:AC52"/>
  </mergeCells>
  <hyperlinks>
    <hyperlink ref="C47" r:id="rId1"/>
    <hyperlink ref="C48" display="mailto:EX-ACT@fao.org" r:id="rId2"/>
    <hyperlink ref="B71" display="http://www.fao.org/in-action/epic/ex-act-tool/suite-of-tools/registration/en/" r:id="rId3"/>
    <hyperlink ref="B77" display="http://www.fao.org/in-action/epic/ex-act-tool/suite-of-tools/registration/en/" r:id="rId4"/>
    <hyperlink ref="B78" display="mailto:exact@fao.org" r:id="rId5"/>
    <hyperlink ref="B95" display="mailto:exact@fao.org" r:id="rId6"/>
  </hyperlinks>
  <pageMargins left="0.7" right="0.7" top="0.75" bottom="0.75" header="0.3" footer="0.3"/>
  <pageSetup orientation="portrait" paperSize="9"/>
</worksheet>
</file>

<file path=xl/worksheets/sheet2.xml><?xml version="1.0" encoding="utf-8"?>
<worksheet xmlns="http://schemas.openxmlformats.org/spreadsheetml/2006/main">
  <sheetPr codeName="Sheet2">
    <tabColor rgb="FF172735"/>
    <outlinePr summaryBelow="1" summaryRight="1"/>
    <pageSetUpPr/>
  </sheetPr>
  <dimension ref="C4:AF30"/>
  <sheetViews>
    <sheetView showGridLines="0" zoomScaleNormal="100" zoomScaleSheetLayoutView="90" workbookViewId="0">
      <selection activeCell="A1" sqref="A1"/>
    </sheetView>
  </sheetViews>
  <sheetFormatPr baseColWidth="10" defaultColWidth="9.33203125" defaultRowHeight="14"/>
  <cols>
    <col width="9" customWidth="1" style="1771" min="1" max="1"/>
    <col width="6.5" customWidth="1" style="1771" min="2" max="2"/>
    <col width="4.5" customWidth="1" style="1771" min="3" max="3"/>
    <col width="10.6640625" customWidth="1" style="1771" min="4" max="4"/>
    <col width="13" customWidth="1" style="1771" min="5" max="5"/>
    <col width="9.33203125" customWidth="1" style="1771" min="6" max="6"/>
    <col width="11.5" customWidth="1" style="1771" min="7" max="7"/>
    <col width="9.33203125" customWidth="1" style="1771" min="8" max="8"/>
    <col width="9.33203125" customWidth="1" style="1771" min="9" max="10"/>
    <col width="6.5" customWidth="1" style="1771" min="11" max="11"/>
    <col width="6.6640625" customWidth="1" style="1771" min="12" max="12"/>
    <col width="5.6640625" customWidth="1" style="1771" min="13" max="13"/>
    <col width="9.33203125" customWidth="1" style="1771" min="14" max="14"/>
    <col width="9.33203125" customWidth="1" style="1771" min="15" max="16"/>
    <col width="9.33203125" customWidth="1" style="1771" min="17" max="17"/>
    <col width="9.33203125" customWidth="1" style="1771" min="18" max="26"/>
    <col width="14.6640625" customWidth="1" style="1771" min="27" max="27"/>
    <col width="1.5" customWidth="1" style="1771" min="28" max="28"/>
    <col width="9.33203125" customWidth="1" style="1771" min="29" max="16384"/>
  </cols>
  <sheetData>
    <row r="1" ht="100.5" customFormat="1" customHeight="1" s="1767"/>
    <row r="4" ht="45" customHeight="1">
      <c r="C4" s="1767" t="n"/>
      <c r="D4" s="2042">
        <f>Languages!B31</f>
        <v/>
      </c>
      <c r="E4" s="1767" t="n"/>
      <c r="F4" s="1767" t="n"/>
      <c r="G4" s="1767" t="n"/>
      <c r="H4" s="1767" t="n"/>
      <c r="I4" s="1767" t="n"/>
      <c r="J4" s="1767" t="n"/>
      <c r="K4" s="1767" t="n"/>
      <c r="L4" s="1767" t="n"/>
      <c r="M4" s="1767" t="n"/>
      <c r="N4" s="1767" t="n"/>
      <c r="O4" s="1767" t="n"/>
      <c r="P4" s="1767" t="n"/>
      <c r="Q4" s="1767" t="n"/>
      <c r="R4" s="1767" t="n"/>
      <c r="S4" s="1767" t="n"/>
      <c r="T4" s="1767" t="n"/>
      <c r="U4" s="1767" t="n"/>
      <c r="V4" s="1767" t="n"/>
      <c r="W4" s="1767" t="n"/>
      <c r="X4" s="1767" t="n"/>
    </row>
    <row r="5" ht="5.25" customHeight="1"/>
    <row r="6" ht="15.75" customHeight="1">
      <c r="C6" s="1781" t="n"/>
      <c r="D6" s="1781" t="n"/>
      <c r="E6" s="1781" t="n"/>
      <c r="F6" s="1781" t="n"/>
      <c r="G6" s="1781" t="n"/>
      <c r="H6" s="1781" t="n"/>
      <c r="I6" s="1781" t="n"/>
      <c r="J6" s="1781" t="n"/>
      <c r="K6" s="1781" t="n"/>
      <c r="L6" s="1781" t="n"/>
      <c r="M6" s="1781" t="n"/>
      <c r="N6" s="1781" t="n"/>
      <c r="O6" s="1781" t="n"/>
      <c r="P6" s="1781" t="n"/>
      <c r="Q6" s="1781" t="n"/>
      <c r="R6" s="1781" t="n"/>
      <c r="S6" s="1781" t="n"/>
      <c r="T6" s="1781" t="n"/>
      <c r="U6" s="1781" t="n"/>
      <c r="V6" s="1781" t="n"/>
      <c r="W6" s="1781" t="n"/>
      <c r="X6" s="1781" t="n"/>
    </row>
    <row r="7" ht="25.25" customFormat="1" customHeight="1" s="1970">
      <c r="C7" s="1961" t="n"/>
      <c r="D7" s="1769">
        <f>Languages!B32</f>
        <v/>
      </c>
      <c r="E7" s="1978" t="n"/>
      <c r="F7" s="1769" t="n"/>
      <c r="G7" s="1769" t="n"/>
      <c r="H7" s="1769" t="n"/>
      <c r="I7" s="1769" t="n"/>
      <c r="J7" s="1769" t="n"/>
      <c r="K7" s="1961" t="n"/>
      <c r="L7" s="1961" t="n"/>
      <c r="M7" s="1961" t="n"/>
      <c r="N7" s="1769">
        <f>Languages!B42</f>
        <v/>
      </c>
      <c r="O7" s="1978" t="n"/>
      <c r="P7" s="1769" t="n"/>
      <c r="Q7" s="1769" t="n"/>
      <c r="R7" s="1769" t="n"/>
      <c r="S7" s="1769" t="n"/>
      <c r="T7" s="1769" t="n"/>
      <c r="U7" s="1961" t="n"/>
      <c r="V7" s="1961" t="n"/>
      <c r="W7" s="1961" t="n"/>
      <c r="X7" s="1961" t="n"/>
      <c r="Z7" s="1769">
        <f>Languages!B56</f>
        <v/>
      </c>
      <c r="AA7" s="1769" t="n"/>
      <c r="AB7" s="1769" t="n"/>
      <c r="AC7" s="1769" t="n"/>
      <c r="AD7" s="1771" t="n"/>
      <c r="AE7" s="1771" t="n"/>
      <c r="AF7" s="1771" t="n"/>
    </row>
    <row r="8" ht="20.25" customHeight="1">
      <c r="C8" s="1781" t="n"/>
      <c r="D8" s="4533">
        <f>Languages!B34</f>
        <v/>
      </c>
      <c r="E8" s="4533" t="n"/>
      <c r="F8" s="2007" t="n"/>
      <c r="G8" s="4541" t="n"/>
      <c r="H8" s="4634" t="n"/>
      <c r="I8" s="4634" t="n"/>
      <c r="J8" s="4634" t="n"/>
      <c r="K8" s="1781" t="n"/>
      <c r="L8" s="1781" t="n"/>
      <c r="M8" s="1781" t="n"/>
      <c r="N8" s="4533">
        <f>Languages!B43</f>
        <v/>
      </c>
      <c r="Q8" s="4537" t="inlineStr">
        <is>
          <t>Europe</t>
        </is>
      </c>
      <c r="R8" s="4634" t="n"/>
      <c r="S8" s="4634" t="n"/>
      <c r="T8" s="4634" t="n"/>
      <c r="U8" s="1781" t="n"/>
      <c r="V8" s="1781" t="n"/>
      <c r="W8" s="1781" t="n"/>
      <c r="X8" s="1781" t="n"/>
      <c r="Z8" s="1781" t="n"/>
      <c r="AA8" s="1781" t="n"/>
      <c r="AB8" s="1781" t="n"/>
      <c r="AC8" s="1806" t="n"/>
    </row>
    <row r="9" ht="20" customHeight="1">
      <c r="C9" s="1781" t="n"/>
      <c r="D9" s="4533">
        <f>Languages!B35</f>
        <v/>
      </c>
      <c r="E9" s="4533" t="n"/>
      <c r="F9" s="2043" t="n"/>
      <c r="G9" s="4542" t="n"/>
      <c r="H9" s="4635" t="n"/>
      <c r="I9" s="4635" t="n"/>
      <c r="J9" s="4635" t="n"/>
      <c r="K9" s="1781" t="n"/>
      <c r="L9" s="1781" t="n"/>
      <c r="M9" s="1781" t="n"/>
      <c r="N9" s="4533">
        <f>Languages!B44</f>
        <v/>
      </c>
      <c r="Q9" s="4538" t="inlineStr">
        <is>
          <t>Italy</t>
        </is>
      </c>
      <c r="R9" s="4635" t="n"/>
      <c r="S9" s="4635" t="n"/>
      <c r="T9" s="4635" t="n"/>
      <c r="U9" s="1781" t="n"/>
      <c r="V9" s="1781" t="n"/>
      <c r="W9" s="1781" t="n"/>
      <c r="X9" s="1781" t="n"/>
      <c r="Z9" s="1781" t="n"/>
      <c r="AA9" s="4482" t="inlineStr">
        <is>
          <t>English</t>
        </is>
      </c>
      <c r="AB9" s="1781" t="n"/>
      <c r="AC9" s="1781" t="n"/>
    </row>
    <row r="10" ht="20" customHeight="1">
      <c r="C10" s="1781" t="n"/>
      <c r="D10" s="4533">
        <f>Languages!B36</f>
        <v/>
      </c>
      <c r="E10" s="4534" t="n"/>
      <c r="F10" s="2043" t="n"/>
      <c r="G10" s="4541" t="n"/>
      <c r="H10" s="4634" t="n"/>
      <c r="I10" s="4634" t="n"/>
      <c r="J10" s="4634" t="n"/>
      <c r="K10" s="1781" t="n"/>
      <c r="L10" s="1781" t="n"/>
      <c r="M10" s="1781" t="n"/>
      <c r="N10" s="4533">
        <f>Languages!B45</f>
        <v/>
      </c>
      <c r="Q10" s="4539" t="inlineStr">
        <is>
          <t>Tropical</t>
        </is>
      </c>
      <c r="R10" s="4635" t="n"/>
      <c r="S10" s="4635" t="n"/>
      <c r="T10" s="4635" t="n"/>
      <c r="U10" s="1781" t="n"/>
      <c r="V10" s="1781" t="n"/>
      <c r="W10" s="1781" t="n"/>
      <c r="X10" s="1781" t="n"/>
      <c r="Z10" s="1781" t="n"/>
      <c r="AA10" s="1838" t="n"/>
      <c r="AB10" s="1838" t="n"/>
      <c r="AC10" s="1838" t="n"/>
    </row>
    <row r="11" ht="20" customHeight="1">
      <c r="C11" s="1781" t="n"/>
      <c r="D11" s="4533">
        <f>Languages!B37</f>
        <v/>
      </c>
      <c r="E11" s="4533" t="n"/>
      <c r="F11" s="2043" t="n"/>
      <c r="G11" s="4532" t="n"/>
      <c r="H11" s="4635" t="n"/>
      <c r="I11" s="4635" t="n"/>
      <c r="J11" s="4635" t="n"/>
      <c r="K11" s="1781" t="n"/>
      <c r="L11" s="1781" t="n"/>
      <c r="M11" s="1781" t="n"/>
      <c r="N11" s="4533">
        <f>Languages!B46</f>
        <v/>
      </c>
      <c r="Q11" s="4539" t="inlineStr">
        <is>
          <t>Dry</t>
        </is>
      </c>
      <c r="R11" s="4635" t="n"/>
      <c r="S11" s="4635" t="n"/>
      <c r="T11" s="4635" t="n"/>
      <c r="U11" s="1781" t="n"/>
      <c r="V11" s="1781" t="n"/>
      <c r="W11" s="1781" t="n"/>
      <c r="X11" s="1781" t="n"/>
    </row>
    <row r="12" ht="20" customHeight="1">
      <c r="C12" s="1781" t="n"/>
      <c r="D12" s="4533">
        <f>Languages!B38</f>
        <v/>
      </c>
      <c r="E12" s="4534" t="n"/>
      <c r="F12" s="2043" t="n"/>
      <c r="G12" s="4636" t="n"/>
      <c r="H12" s="4635" t="n"/>
      <c r="I12" s="4635" t="n"/>
      <c r="J12" s="4635" t="n"/>
      <c r="K12" s="1781" t="n"/>
      <c r="L12" s="1781" t="n"/>
      <c r="M12" s="1781" t="n"/>
      <c r="N12" s="4533">
        <f>Languages!B47</f>
        <v/>
      </c>
      <c r="Q12" s="4540" t="inlineStr">
        <is>
          <t>Sandy soils</t>
        </is>
      </c>
      <c r="R12" s="4637" t="n"/>
      <c r="S12" s="4637" t="n"/>
      <c r="T12" s="4637" t="n"/>
      <c r="U12" s="1781" t="n"/>
      <c r="V12" s="1781" t="n"/>
      <c r="W12" s="1781" t="n"/>
      <c r="X12" s="1781" t="n"/>
    </row>
    <row r="13" ht="20" customHeight="1">
      <c r="C13" s="1781" t="n"/>
      <c r="D13" s="4533">
        <f>Languages!B39</f>
        <v/>
      </c>
      <c r="E13" s="4533" t="n"/>
      <c r="F13" s="2043" t="n"/>
      <c r="G13" s="4532" t="n"/>
      <c r="H13" s="4635" t="n"/>
      <c r="I13" s="4635" t="n"/>
      <c r="J13" s="4635" t="n"/>
      <c r="K13" s="1781" t="n"/>
      <c r="L13" s="1781" t="n"/>
      <c r="M13" s="1781" t="n"/>
      <c r="N13" s="4533">
        <f>Languages!B48</f>
        <v/>
      </c>
      <c r="Q13" s="1781" t="n"/>
      <c r="R13" s="2807" t="n"/>
      <c r="S13" s="2807">
        <f>Languages!B49</f>
        <v/>
      </c>
      <c r="T13" s="4267" t="n">
        <v>10</v>
      </c>
      <c r="U13" s="1781" t="n"/>
      <c r="V13" s="1781" t="n"/>
      <c r="W13" s="1781" t="n"/>
      <c r="X13" s="1781" t="n"/>
    </row>
    <row r="14" ht="20" customHeight="1">
      <c r="C14" s="1781" t="n"/>
      <c r="D14" s="4533">
        <f>Languages!B40</f>
        <v/>
      </c>
      <c r="E14" s="4533" t="n"/>
      <c r="F14" s="2043" t="n"/>
      <c r="G14" s="4532" t="n"/>
      <c r="H14" s="4635" t="n"/>
      <c r="I14" s="4635" t="n"/>
      <c r="J14" s="4635" t="n"/>
      <c r="K14" s="1781" t="n"/>
      <c r="L14" s="1781" t="n"/>
      <c r="M14" s="1781" t="n"/>
      <c r="N14" s="4534" t="n"/>
      <c r="Q14" s="1781" t="n"/>
      <c r="R14" s="2808" t="n"/>
      <c r="S14" s="2807">
        <f>Languages!B50</f>
        <v/>
      </c>
      <c r="T14" s="4267" t="n">
        <v>15</v>
      </c>
      <c r="U14" s="1781" t="n"/>
      <c r="V14" s="1781" t="n"/>
      <c r="W14" s="1781" t="n"/>
      <c r="X14" s="1781" t="n"/>
    </row>
    <row r="15" ht="20" customHeight="1">
      <c r="C15" s="1781" t="n"/>
      <c r="D15" s="4533">
        <f>Languages!B41</f>
        <v/>
      </c>
      <c r="E15" s="4533" t="n"/>
      <c r="F15" s="2043" t="n"/>
      <c r="G15" s="4531" t="inlineStr">
        <is>
          <t>Please select</t>
        </is>
      </c>
      <c r="H15" s="4635" t="n"/>
      <c r="I15" s="4635" t="n"/>
      <c r="J15" s="4635" t="n"/>
      <c r="K15" s="1781" t="n"/>
      <c r="L15" s="1781" t="n"/>
      <c r="M15" s="1781" t="n"/>
      <c r="N15" s="4536" t="n"/>
      <c r="P15" s="2044" t="n"/>
      <c r="Q15" s="1781" t="n"/>
      <c r="R15" s="2808" t="n"/>
      <c r="S15" s="2806">
        <f>Languages!B51</f>
        <v/>
      </c>
      <c r="T15" s="2043">
        <f>time+time_cap</f>
        <v/>
      </c>
      <c r="U15" s="1781" t="n"/>
      <c r="V15" s="1781" t="n"/>
      <c r="W15" s="1781" t="n"/>
      <c r="X15" s="1781" t="n"/>
    </row>
    <row r="16" ht="20" customHeight="1">
      <c r="C16" s="1781" t="n"/>
      <c r="D16" s="2045" t="inlineStr">
        <is>
          <t>if other, please specify</t>
        </is>
      </c>
      <c r="E16" s="2046" t="n"/>
      <c r="F16" s="2046" t="n"/>
      <c r="G16" s="4638" t="n"/>
      <c r="K16" s="1781" t="n"/>
      <c r="L16" s="1781" t="n"/>
      <c r="M16" s="1781" t="n"/>
      <c r="N16" s="2047" t="inlineStr">
        <is>
          <t>Please ensure the MAT is &gt; 18C and the elevation&gt; 1000m.</t>
        </is>
      </c>
      <c r="O16" s="1781" t="n"/>
      <c r="P16" s="1781" t="n"/>
      <c r="Q16" s="1781" t="n"/>
      <c r="R16" s="1781" t="n"/>
      <c r="S16" s="1781" t="n"/>
      <c r="T16" s="1781" t="n"/>
      <c r="U16" s="1781" t="n"/>
      <c r="V16" s="1781" t="n"/>
      <c r="W16" s="1781" t="n"/>
      <c r="X16" s="1781" t="n"/>
    </row>
    <row r="17" ht="20" customHeight="1">
      <c r="C17" s="1781" t="n"/>
      <c r="D17" s="2048" t="n"/>
      <c r="E17" s="1781" t="n"/>
      <c r="F17" s="1781" t="n"/>
      <c r="G17" s="1781" t="n"/>
      <c r="H17" s="1781" t="n"/>
      <c r="I17" s="1781" t="n"/>
      <c r="J17" s="1781" t="n"/>
      <c r="K17" s="1781" t="n"/>
      <c r="L17" s="4092" t="inlineStr">
        <is>
          <t>Organic soil should be analyzed directly in the "Inland Wetlands" module. Please refrain from analysing activities on organic soils in other modules</t>
        </is>
      </c>
      <c r="M17" s="1781" t="n"/>
      <c r="N17" s="1781" t="n"/>
      <c r="O17" s="1781" t="n"/>
      <c r="P17" s="1781" t="n"/>
      <c r="Q17" s="1781" t="n"/>
      <c r="R17" s="1781" t="n"/>
      <c r="S17" s="1781" t="n"/>
      <c r="T17" s="1781" t="n"/>
      <c r="U17" s="1781" t="n"/>
      <c r="V17" s="1781" t="n"/>
      <c r="W17" s="1781" t="n"/>
      <c r="X17" s="1781" t="n"/>
    </row>
    <row r="18" ht="20" customHeight="1">
      <c r="D18" s="2049" t="n"/>
    </row>
    <row r="19" ht="17" customHeight="1">
      <c r="D19" s="2050" t="n"/>
      <c r="E19" s="2050" t="n"/>
      <c r="F19" s="2050" t="n"/>
      <c r="I19" s="2051" t="n"/>
      <c r="J19" s="2050" t="n"/>
    </row>
    <row r="20">
      <c r="D20" s="1772" t="n"/>
      <c r="E20" s="1772" t="n"/>
      <c r="F20" s="1772" t="n"/>
      <c r="J20" s="1772" t="n"/>
    </row>
    <row r="21">
      <c r="D21" s="1772" t="n"/>
      <c r="E21" s="1772" t="n"/>
      <c r="F21" s="1772" t="n"/>
      <c r="J21" s="1772" t="n"/>
      <c r="K21" s="1772" t="n"/>
      <c r="L21" s="1772" t="n"/>
      <c r="M21" s="1772" t="n"/>
      <c r="N21" s="1772" t="n"/>
      <c r="O21" s="1772" t="n"/>
      <c r="P21" s="1772" t="n"/>
      <c r="Q21" s="1772" t="n"/>
      <c r="R21" s="1772" t="n"/>
      <c r="S21" s="1772" t="n"/>
      <c r="T21" s="1772" t="n"/>
      <c r="U21" s="1772" t="n"/>
      <c r="V21" s="1772" t="n"/>
      <c r="W21" s="1772" t="n"/>
      <c r="X21" s="1772" t="n"/>
      <c r="Y21" s="1772" t="n"/>
    </row>
    <row r="22" ht="24.5" customHeight="1">
      <c r="C22" s="1769">
        <f>Languages!B53</f>
        <v/>
      </c>
      <c r="D22" s="1769" t="n"/>
      <c r="E22" s="1769" t="n"/>
      <c r="F22" s="1769" t="n"/>
      <c r="G22" s="1769" t="n"/>
      <c r="H22" s="1769" t="n"/>
      <c r="I22" s="1769" t="n"/>
      <c r="J22" s="1769" t="n"/>
      <c r="O22" s="1769">
        <f>Languages!B52</f>
        <v/>
      </c>
      <c r="P22" s="1769" t="n"/>
      <c r="Q22" s="1769" t="n"/>
      <c r="R22" s="1769" t="n"/>
      <c r="S22" s="1769" t="n"/>
      <c r="T22" s="1769" t="n"/>
      <c r="U22" s="1769" t="n"/>
      <c r="V22" s="1772" t="n"/>
      <c r="W22" s="1772" t="n"/>
      <c r="X22" s="1772" t="n"/>
    </row>
    <row r="23" ht="24.5" customHeight="1">
      <c r="C23" s="1781" t="n"/>
      <c r="D23" s="1781" t="n"/>
      <c r="E23" s="1781" t="n"/>
      <c r="F23" s="1781" t="n"/>
      <c r="G23" s="1781" t="n"/>
      <c r="H23" s="1781" t="n"/>
      <c r="I23" s="1781" t="n"/>
      <c r="J23" s="1781" t="n"/>
      <c r="O23" s="1781" t="n"/>
      <c r="P23" s="1781" t="n"/>
      <c r="Q23" s="1781" t="n"/>
      <c r="R23" s="1806" t="inlineStr">
        <is>
          <t>tC/ha</t>
        </is>
      </c>
      <c r="S23" s="1806" t="n"/>
      <c r="T23" s="1781" t="n"/>
      <c r="U23" s="1781" t="n"/>
      <c r="V23" s="1772" t="n"/>
      <c r="W23" s="1772" t="n"/>
      <c r="X23" s="1772" t="n"/>
    </row>
    <row r="24" ht="16" customHeight="1">
      <c r="C24" s="1781" t="n"/>
      <c r="D24" s="4474">
        <f>Languages!B54</f>
        <v/>
      </c>
      <c r="E24" s="4529" t="inlineStr">
        <is>
          <t>100 yr AR5 w/out CC feedback</t>
        </is>
      </c>
      <c r="F24" s="4634" t="n"/>
      <c r="G24" s="4634" t="n"/>
      <c r="H24" s="1781" t="n"/>
      <c r="I24" s="1806" t="inlineStr">
        <is>
          <t>Tier 2</t>
        </is>
      </c>
      <c r="J24" s="1781" t="n"/>
      <c r="O24" s="1781" t="n"/>
      <c r="P24" s="1781" t="n"/>
      <c r="Q24" s="1781" t="n"/>
      <c r="R24" s="1850">
        <f>Languages!B55</f>
        <v/>
      </c>
      <c r="S24" s="1806" t="inlineStr">
        <is>
          <t>Tier 2</t>
        </is>
      </c>
      <c r="T24" s="1781" t="n"/>
      <c r="U24" s="1781" t="n"/>
      <c r="V24" s="1772" t="n"/>
      <c r="W24" s="1772" t="n"/>
      <c r="X24" s="1772" t="n"/>
    </row>
    <row r="25" ht="29" customHeight="1">
      <c r="C25" s="1781" t="n"/>
      <c r="D25" s="1826" t="inlineStr">
        <is>
          <t>CO2</t>
        </is>
      </c>
      <c r="E25" s="1781" t="n"/>
      <c r="F25" s="1781" t="n"/>
      <c r="G25" s="1781">
        <f>IF($E$24="please select","",1)</f>
        <v/>
      </c>
      <c r="H25" s="1781" t="n"/>
      <c r="I25" s="1781" t="n"/>
      <c r="J25" s="1781" t="n"/>
      <c r="O25" s="1781" t="n"/>
      <c r="P25" s="1961" t="inlineStr">
        <is>
          <t>SOCref</t>
        </is>
      </c>
      <c r="Q25" s="1961" t="n"/>
      <c r="R25" s="1838">
        <f>IFERROR(INDEX(IPCC!$B$39:$I$49,MATCH(clim_moist,IPCC!$A$39:$A$49,0),MATCH(soil,IPCC!$B$38:$I$38,0)),"")</f>
        <v/>
      </c>
      <c r="S25" s="2132" t="n"/>
      <c r="T25" s="1781" t="n"/>
      <c r="U25" s="1781" t="n"/>
      <c r="V25" s="1772" t="n"/>
      <c r="W25" s="1772" t="n"/>
      <c r="X25" s="1772" t="n"/>
    </row>
    <row r="26" ht="18.75" customHeight="1">
      <c r="C26" s="1781" t="n"/>
      <c r="D26" s="1826" t="inlineStr">
        <is>
          <t>CH4</t>
        </is>
      </c>
      <c r="E26" s="1781" t="n"/>
      <c r="F26" s="1781" t="n"/>
      <c r="G26" s="1781">
        <f>IF($E$24="please select","",IF($E$24="100 yr SAR", 21, IF($E$24="100 yr AR4", 25, IF($E$24="100 yr AR5 with CC feedback", 34, IF($E$24="100 yr AR5 w/out CC feedback", 28, IF($E$24="100 yr AR6", 27.2, IF($E$24="OTHER (TIER 2)", I26,"")))))))</f>
        <v/>
      </c>
      <c r="H26" s="1781" t="n"/>
      <c r="I26" s="4429" t="n"/>
      <c r="J26" s="1781" t="n"/>
      <c r="O26" s="1781" t="n"/>
      <c r="P26" s="1781" t="n"/>
      <c r="Q26" s="1781" t="n"/>
      <c r="R26" s="1781" t="n"/>
      <c r="S26" s="1781" t="n"/>
      <c r="T26" s="1781" t="n"/>
      <c r="U26" s="1781" t="n"/>
      <c r="V26" s="1772" t="n"/>
      <c r="W26" s="1772" t="n"/>
      <c r="X26" s="1772" t="n"/>
    </row>
    <row r="27" ht="18.75" customHeight="1">
      <c r="C27" s="1781" t="n"/>
      <c r="D27" s="1826" t="inlineStr">
        <is>
          <t>N2O</t>
        </is>
      </c>
      <c r="E27" s="1781" t="n"/>
      <c r="F27" s="1781" t="n"/>
      <c r="G27" s="1781">
        <f>IF($E$24="please select","",IF($E$24="100 yr SAR", 310, IF($E$24="100 yr AR4", 298, IF($E$24="100 yr AR5 with CC feedback", 298, IF($E$24="100 yr AR5 w/out CC feedback", 265, IF($E$24="100 yr AR6", 273, IF($E$24="OTHER (TIER 2)", I27,"")))))))</f>
        <v/>
      </c>
      <c r="H27" s="1781" t="n"/>
      <c r="I27" s="4429" t="n"/>
      <c r="J27" s="1781" t="n"/>
      <c r="L27" s="1772" t="n"/>
      <c r="M27" s="1772" t="n"/>
      <c r="N27" s="4355">
        <f>IF(R25="NO", "ERROR: default value does not exist for selected combination of climate, moisture and soil type", "")</f>
        <v/>
      </c>
      <c r="O27" s="1772" t="n"/>
      <c r="P27" s="1772" t="n"/>
      <c r="Q27" s="1772" t="n"/>
      <c r="R27" s="1772" t="n"/>
      <c r="S27" s="1772" t="n"/>
      <c r="T27" s="1772" t="n"/>
      <c r="U27" s="1772" t="n"/>
      <c r="V27" s="1772" t="n"/>
      <c r="W27" s="1772" t="n"/>
      <c r="X27" s="1772" t="n"/>
    </row>
    <row r="28" ht="19.25" customHeight="1">
      <c r="C28" s="1781" t="n"/>
      <c r="D28" s="1826" t="inlineStr">
        <is>
          <t>CH4</t>
        </is>
      </c>
      <c r="E28" s="1781" t="inlineStr">
        <is>
          <t>fossil origin</t>
        </is>
      </c>
      <c r="F28" s="1781" t="n"/>
      <c r="G28" s="4455">
        <f>IF($E$24="please select","",IF($E$24="100 yr SAR", 21, IF($E$24="100 yr AR4", 25, IF($E$24="100 yr AR5 with CC feedback", 34, IF($E$24="100 yr AR5 w/out CC feedback", 28, IF($E$24="100 yr AR6", 29.8, IF($E$24="OTHER (TIER 2)", I26,"")))))))</f>
        <v/>
      </c>
      <c r="H28" s="1781" t="n"/>
      <c r="I28" s="1781" t="n"/>
      <c r="J28" s="1781" t="n"/>
      <c r="L28" s="1772" t="n"/>
      <c r="M28" s="1772" t="n"/>
      <c r="N28" s="1772" t="n"/>
      <c r="O28" s="1772" t="n"/>
      <c r="P28" s="1772" t="n"/>
      <c r="Q28" s="1772" t="n"/>
      <c r="R28" s="1772" t="n"/>
      <c r="S28" s="1772" t="n"/>
      <c r="T28" s="1772" t="n"/>
      <c r="U28" s="1772" t="n"/>
      <c r="V28" s="1772" t="n"/>
      <c r="W28" s="1772" t="n"/>
      <c r="X28" s="1772" t="n"/>
    </row>
    <row r="29">
      <c r="D29" s="4430">
        <f>IF(OR(methane=0,Nitrous=0), "Please fill the GWP for methane and nitroux oxyde before proceeding","")</f>
        <v/>
      </c>
      <c r="E29" s="1772" t="n"/>
      <c r="F29" s="1772" t="n"/>
      <c r="J29" s="1772" t="n"/>
      <c r="K29" s="1772" t="n"/>
      <c r="L29" s="1772" t="n"/>
      <c r="M29" s="1772" t="n"/>
      <c r="N29" s="1772" t="n"/>
      <c r="O29" s="1772" t="n"/>
      <c r="P29" s="1772" t="n"/>
      <c r="Q29" s="1772" t="n"/>
      <c r="R29" s="1772" t="n"/>
      <c r="S29" s="1772" t="n"/>
      <c r="T29" s="1772" t="n"/>
      <c r="U29" s="1772" t="n"/>
      <c r="V29" s="1772" t="n"/>
      <c r="W29" s="1772" t="n"/>
      <c r="X29" s="1772" t="n"/>
    </row>
    <row r="30">
      <c r="D30" s="1772" t="n"/>
      <c r="E30" s="1772" t="n"/>
      <c r="F30" s="1772" t="n"/>
      <c r="I30" s="1772" t="n"/>
      <c r="J30" s="1772" t="n"/>
      <c r="K30" s="1772" t="n"/>
      <c r="L30" s="1772" t="n"/>
      <c r="M30" s="1772" t="n"/>
      <c r="N30" s="1772" t="n"/>
      <c r="O30" s="1772" t="n"/>
      <c r="P30" s="1772" t="n"/>
      <c r="Q30" s="1772" t="n"/>
      <c r="R30" s="1772" t="n"/>
      <c r="S30" s="1772" t="n"/>
      <c r="T30" s="1772" t="n"/>
      <c r="U30" s="1772" t="n"/>
      <c r="V30" s="1772" t="n"/>
      <c r="W30" s="1772" t="n"/>
      <c r="X30" s="1772" t="n"/>
    </row>
  </sheetData>
  <sheetProtection selectLockedCells="0" selectUnlockedCells="0" algorithmName="SHA-512" sheet="1" objects="0" insertRows="1" insertHyperlinks="1" autoFilter="1" scenarios="0" formatColumns="0" deleteColumns="1" insertColumns="1" pivotTables="1" deleteRows="1" formatCells="1" saltValue="FBF3mWYnFlhBaD9qOpMg3A==" formatRows="1" sort="1" spinCount="100000" hashValue="Ng2g+TX8TZF7mS/cmn1zta5t7T2xdyKErYOPI9FJGB/Mh9dc1Bh/n/+7Ld6U7NnuffwfJWZaBNA1J1iHOqzaFw=="/>
  <mergeCells count="23">
    <mergeCell ref="Q9:T9"/>
    <mergeCell ref="N14:P14"/>
    <mergeCell ref="G16:J16"/>
    <mergeCell ref="Q11:T11"/>
    <mergeCell ref="N8:P8"/>
    <mergeCell ref="G9:J9"/>
    <mergeCell ref="N10:P10"/>
    <mergeCell ref="N13:P13"/>
    <mergeCell ref="G12:J12"/>
    <mergeCell ref="N9:P9"/>
    <mergeCell ref="Q12:T12"/>
    <mergeCell ref="G11:J11"/>
    <mergeCell ref="Q8:T8"/>
    <mergeCell ref="G8:J8"/>
    <mergeCell ref="Q10:T10"/>
    <mergeCell ref="G10:J10"/>
    <mergeCell ref="N11:P11"/>
    <mergeCell ref="E24:G24"/>
    <mergeCell ref="G13:J13"/>
    <mergeCell ref="N15:O15"/>
    <mergeCell ref="G15:J15"/>
    <mergeCell ref="N12:P12"/>
    <mergeCell ref="G14:J14"/>
  </mergeCells>
  <conditionalFormatting sqref="D16:F16">
    <cfRule type="expression" priority="8" dxfId="341">
      <formula>$G$15="Other"</formula>
    </cfRule>
  </conditionalFormatting>
  <conditionalFormatting sqref="D28:G28">
    <cfRule type="expression" priority="1" dxfId="337">
      <formula>$E$24&lt;&gt;"100 yr AR6"</formula>
    </cfRule>
  </conditionalFormatting>
  <conditionalFormatting sqref="D16:J16">
    <cfRule type="expression" priority="9" dxfId="339">
      <formula>IF(OR(G15 = "Design", "Implementation", "Completed"), "", "if other, please specify")</formula>
    </cfRule>
  </conditionalFormatting>
  <conditionalFormatting sqref="G16:J16">
    <cfRule type="expression" priority="7" dxfId="338">
      <formula>$G$15="Other"</formula>
    </cfRule>
  </conditionalFormatting>
  <conditionalFormatting sqref="I24">
    <cfRule type="expression" priority="3" dxfId="337">
      <formula>$E$24&lt;&gt;"Other (tier 2)"</formula>
    </cfRule>
  </conditionalFormatting>
  <conditionalFormatting sqref="I26:I27">
    <cfRule type="expression" priority="2" dxfId="336">
      <formula>$E$24&lt;&gt;"Other (tier 2)"</formula>
    </cfRule>
  </conditionalFormatting>
  <conditionalFormatting sqref="L17">
    <cfRule type="expression" priority="6" dxfId="317">
      <formula>$Q$12="Organic soils"</formula>
    </cfRule>
  </conditionalFormatting>
  <conditionalFormatting sqref="N16">
    <cfRule type="expression" priority="5" dxfId="50">
      <formula>$Q$10="Tropical Montane"</formula>
    </cfRule>
  </conditionalFormatting>
  <dataValidations count="1">
    <dataValidation sqref="Q11" showDropDown="0" showInputMessage="1" showErrorMessage="1" allowBlank="0" type="list">
      <formula1>equation</formula1>
    </dataValidation>
  </dataValidations>
  <pageMargins left="0.7" right="0.7" top="0.75" bottom="0.75" header="0.3" footer="0.3"/>
  <pageSetup orientation="portrait" paperSize="9"/>
</worksheet>
</file>

<file path=xl/worksheets/sheet3.xml><?xml version="1.0" encoding="utf-8"?>
<worksheet xmlns:r="http://schemas.openxmlformats.org/officeDocument/2006/relationships" xmlns="http://schemas.openxmlformats.org/spreadsheetml/2006/main">
  <sheetPr codeName="Sheet14">
    <outlinePr summaryBelow="1" summaryRight="1"/>
    <pageSetUpPr/>
  </sheetPr>
  <dimension ref="A2:AZ51"/>
  <sheetViews>
    <sheetView topLeftCell="H4" zoomScaleNormal="100" workbookViewId="0">
      <selection activeCell="I29" sqref="I29"/>
    </sheetView>
  </sheetViews>
  <sheetFormatPr baseColWidth="10" defaultColWidth="9.33203125" defaultRowHeight="14"/>
  <cols>
    <col width="24.6640625" customWidth="1" style="973" min="1" max="1"/>
    <col width="43" bestFit="1" customWidth="1" style="973" min="2" max="2"/>
    <col width="51.6640625" bestFit="1" customWidth="1" style="973" min="3" max="3"/>
    <col width="35" bestFit="1" customWidth="1" style="973" min="4" max="4"/>
    <col width="24" customWidth="1" style="973" min="5" max="5"/>
    <col width="17.5" customWidth="1" style="973" min="6" max="6"/>
    <col width="9.6640625" customWidth="1" style="973" min="7" max="7"/>
    <col width="43.33203125" customWidth="1" style="973" min="8" max="8"/>
    <col width="44.5" customWidth="1" style="973" min="9" max="9"/>
    <col width="18.5" customWidth="1" style="973" min="10" max="10"/>
    <col width="12.33203125" bestFit="1" customWidth="1" style="973" min="11" max="11"/>
    <col width="17.5" customWidth="1" style="973" min="12" max="12"/>
    <col width="15.5" bestFit="1" customWidth="1" style="973" min="13" max="13"/>
    <col width="26" customWidth="1" style="973" min="14" max="14"/>
    <col width="18" customWidth="1" style="973" min="15" max="15"/>
    <col width="16.6640625" bestFit="1" customWidth="1" style="973" min="16" max="16"/>
    <col width="19.33203125" bestFit="1" customWidth="1" style="973" min="17" max="17"/>
    <col width="23.5" customWidth="1" style="973" min="18" max="18"/>
    <col width="19.33203125" bestFit="1" customWidth="1" style="973" min="19" max="20"/>
    <col width="17.5" customWidth="1" style="973" min="21" max="21"/>
    <col width="17.6640625" bestFit="1" customWidth="1" style="973" min="22" max="22"/>
    <col width="13.6640625" customWidth="1" style="973" min="23" max="23"/>
    <col width="14" customWidth="1" style="973" min="24" max="24"/>
    <col width="13.5" customWidth="1" style="973" min="25" max="25"/>
    <col width="12.6640625" customWidth="1" style="973" min="26" max="26"/>
    <col width="13.5" bestFit="1" customWidth="1" style="973" min="27" max="27"/>
    <col width="13.5" customWidth="1" style="973" min="28" max="28"/>
    <col width="9.33203125" customWidth="1" style="973" min="29" max="36"/>
    <col width="14.5" customWidth="1" style="973" min="37" max="37"/>
    <col width="11.5" customWidth="1" style="973" min="38" max="39"/>
    <col width="13.33203125" bestFit="1" customWidth="1" style="973" min="40" max="40"/>
    <col width="12.5" customWidth="1" style="973" min="41" max="41"/>
    <col width="15.5" bestFit="1" customWidth="1" style="973" min="42" max="43"/>
    <col width="9.33203125" customWidth="1" style="973" min="44" max="44"/>
    <col width="8.33203125" customWidth="1" style="973" min="45" max="45"/>
    <col width="13.5" bestFit="1" customWidth="1" style="973" min="46" max="46"/>
    <col width="9.33203125" customWidth="1" style="973" min="47" max="52"/>
    <col width="16" customWidth="1" style="973" min="53" max="53"/>
    <col width="9.33203125" customWidth="1" style="973" min="54" max="16384"/>
  </cols>
  <sheetData>
    <row r="1" ht="28" customFormat="1" customHeight="1" s="2433"/>
    <row r="2" ht="45.75" customHeight="1">
      <c r="A2" s="1680" t="inlineStr">
        <is>
          <t>2.2 Afforestation and reforestation</t>
        </is>
      </c>
      <c r="B2" s="1680" t="n"/>
      <c r="C2" s="1681" t="n"/>
      <c r="D2" s="1681" t="n"/>
      <c r="E2" s="1681" t="n"/>
      <c r="F2" s="1681" t="n"/>
      <c r="G2" s="1681" t="n"/>
      <c r="H2" s="1681" t="n"/>
      <c r="I2" s="1681" t="n"/>
      <c r="J2" s="1681" t="n"/>
      <c r="K2" s="1681" t="n"/>
      <c r="L2" s="1681" t="n"/>
      <c r="M2" s="1681" t="n"/>
      <c r="N2" s="1681" t="n"/>
      <c r="O2" s="1681" t="n"/>
      <c r="P2" s="1681" t="n"/>
      <c r="Q2" s="1681" t="n"/>
      <c r="R2" s="1681" t="n"/>
      <c r="S2" s="1681" t="n"/>
      <c r="T2" s="1681" t="n"/>
      <c r="U2" s="1681" t="n"/>
      <c r="V2" s="1681" t="n"/>
      <c r="W2" s="1681" t="n"/>
      <c r="X2" s="1681" t="n"/>
      <c r="Y2" s="1681" t="n"/>
      <c r="Z2" s="1681" t="n"/>
      <c r="AA2" s="2518" t="n"/>
      <c r="AB2" s="2518" t="n"/>
      <c r="AC2" s="2518" t="n"/>
      <c r="AD2" s="2518" t="n"/>
      <c r="AE2" s="2518" t="n"/>
      <c r="AF2" s="2518" t="n"/>
      <c r="AG2" s="2518" t="n"/>
      <c r="AH2" s="2518" t="n"/>
      <c r="AI2" s="2518" t="n"/>
      <c r="AJ2" s="2518" t="n"/>
      <c r="AK2" s="2518" t="n"/>
      <c r="AL2" s="2518" t="n"/>
      <c r="AM2" s="2518" t="n"/>
      <c r="AN2" s="2518" t="n"/>
      <c r="AO2" s="2518" t="n"/>
      <c r="AP2" s="2518" t="n"/>
      <c r="AQ2" s="2518" t="n"/>
      <c r="AR2" s="2518" t="n"/>
      <c r="AS2" s="2518" t="n"/>
      <c r="AT2" s="2518" t="n"/>
      <c r="AU2" s="2518" t="n"/>
      <c r="AV2" s="2518" t="n"/>
      <c r="AW2" s="2518" t="n"/>
      <c r="AX2" s="2518" t="n"/>
      <c r="AY2" s="2518" t="n"/>
      <c r="AZ2" s="2518" t="n"/>
    </row>
    <row r="3" ht="29" customFormat="1" customHeight="1" s="2433" thickBot="1"/>
    <row r="4" ht="16.5" customHeight="1">
      <c r="J4" s="2434" t="inlineStr">
        <is>
          <t>AGB secondary</t>
        </is>
      </c>
      <c r="K4" s="2435" t="n"/>
      <c r="L4" s="2418" t="n"/>
      <c r="M4" s="2436" t="n"/>
      <c r="N4" s="2436" t="n"/>
      <c r="O4" s="2437" t="n"/>
      <c r="P4" s="2434" t="inlineStr">
        <is>
          <t>BGB secondary</t>
        </is>
      </c>
      <c r="Q4" s="2435" t="n"/>
      <c r="R4" s="2418" t="n"/>
      <c r="S4" s="2436" t="n"/>
      <c r="T4" s="2436" t="n"/>
      <c r="U4" s="2437" t="n"/>
      <c r="V4" s="2438" t="inlineStr">
        <is>
          <t>Litter</t>
        </is>
      </c>
      <c r="W4" s="2437" t="n"/>
      <c r="X4" s="2439" t="inlineStr">
        <is>
          <t>Dead wood</t>
        </is>
      </c>
      <c r="Y4" s="2437" t="n"/>
      <c r="Z4" s="2438" t="inlineStr">
        <is>
          <t>SOC 0</t>
        </is>
      </c>
      <c r="AA4" s="2437" t="n"/>
      <c r="AB4" s="4357" t="inlineStr">
        <is>
          <t>MAX AGB+BGB</t>
        </is>
      </c>
      <c r="AC4" s="4639" t="inlineStr">
        <is>
          <t>Bigger than actual growth?</t>
        </is>
      </c>
      <c r="AE4" s="1058" t="n"/>
      <c r="AF4" s="2932" t="inlineStr">
        <is>
          <t>All preriod</t>
        </is>
      </c>
      <c r="AG4" s="2933" t="n"/>
      <c r="AH4" s="2933" t="n"/>
      <c r="AI4" s="2933" t="n"/>
      <c r="AJ4" s="2934" t="inlineStr">
        <is>
          <t>Implementation phase alone (tCO2 eq)</t>
        </is>
      </c>
      <c r="AK4" s="2935" t="n"/>
      <c r="AL4" s="2935" t="n"/>
      <c r="AM4" s="2935" t="n"/>
      <c r="AN4" s="2935" t="n"/>
      <c r="AO4" s="2935" t="n"/>
      <c r="AP4" s="2935" t="n"/>
      <c r="AQ4" s="2935" t="n"/>
    </row>
    <row r="5" ht="16.5" customHeight="1">
      <c r="J5" s="2440" t="inlineStr">
        <is>
          <t>Default</t>
        </is>
      </c>
      <c r="K5" s="2441" t="n"/>
      <c r="L5" s="2442" t="inlineStr">
        <is>
          <t>Tier 2</t>
        </is>
      </c>
      <c r="M5" s="2443" t="inlineStr">
        <is>
          <t>Default</t>
        </is>
      </c>
      <c r="N5" s="2444" t="n"/>
      <c r="O5" s="2445" t="inlineStr">
        <is>
          <t>Tier 2</t>
        </is>
      </c>
      <c r="P5" s="2446" t="inlineStr">
        <is>
          <t>Default</t>
        </is>
      </c>
      <c r="Q5" s="2447" t="n"/>
      <c r="R5" s="2448" t="inlineStr">
        <is>
          <t>Tier 2</t>
        </is>
      </c>
      <c r="S5" s="2449" t="inlineStr">
        <is>
          <t>Default</t>
        </is>
      </c>
      <c r="T5" s="2450" t="n"/>
      <c r="U5" s="2451" t="inlineStr">
        <is>
          <t>Tier 2</t>
        </is>
      </c>
      <c r="V5" s="2452" t="inlineStr">
        <is>
          <t>Default</t>
        </is>
      </c>
      <c r="W5" s="2453" t="inlineStr">
        <is>
          <t>Tier 2</t>
        </is>
      </c>
      <c r="X5" s="2452" t="inlineStr">
        <is>
          <t>Default</t>
        </is>
      </c>
      <c r="Y5" s="2453" t="inlineStr">
        <is>
          <t>Tier 2</t>
        </is>
      </c>
      <c r="Z5" s="2452" t="inlineStr">
        <is>
          <t>Default</t>
        </is>
      </c>
      <c r="AA5" s="2453" t="inlineStr">
        <is>
          <t>Tier 2</t>
        </is>
      </c>
      <c r="AB5" s="2453" t="n"/>
      <c r="AC5" s="4640" t="n"/>
      <c r="AE5" s="1058" t="n"/>
      <c r="AF5" s="2924" t="n"/>
      <c r="AG5" s="2924" t="n"/>
      <c r="AH5" s="2924" t="n"/>
      <c r="AI5" s="2924" t="n"/>
      <c r="AJ5" s="2926" t="inlineStr">
        <is>
          <t>time_tot= time and time_cap = 0</t>
        </is>
      </c>
      <c r="AK5" s="2925" t="n"/>
      <c r="AL5" s="2925" t="n"/>
      <c r="AM5" s="2925" t="n"/>
      <c r="AN5" s="2925" t="n"/>
      <c r="AO5" s="2925" t="n"/>
      <c r="AP5" s="2925" t="n"/>
      <c r="AQ5" s="2925" t="n"/>
      <c r="AS5" s="3522" t="inlineStr">
        <is>
          <t xml:space="preserve">Cumulated area burnt </t>
        </is>
      </c>
      <c r="AT5" s="3523" t="n"/>
    </row>
    <row r="6" ht="21" customHeight="1">
      <c r="A6" s="2454" t="inlineStr">
        <is>
          <t>Forest types for Affo/Reforestation (without MANGROVES)</t>
        </is>
      </c>
      <c r="B6" s="2455" t="n"/>
      <c r="C6" s="2455" t="n"/>
      <c r="D6" s="2455" t="n"/>
      <c r="E6" s="2456" t="n"/>
      <c r="G6" s="2457" t="inlineStr">
        <is>
          <t>No.</t>
        </is>
      </c>
      <c r="H6" s="2458" t="inlineStr">
        <is>
          <t>Forest classes per IPCC climate region</t>
        </is>
      </c>
      <c r="I6" s="2459" t="inlineStr">
        <is>
          <t>continent_selected</t>
        </is>
      </c>
      <c r="J6" s="2452" t="inlineStr">
        <is>
          <t>t dm/ha/yr</t>
        </is>
      </c>
      <c r="K6" s="2460" t="inlineStr">
        <is>
          <t>t C/ha/yr</t>
        </is>
      </c>
      <c r="L6" s="2460" t="inlineStr">
        <is>
          <t>t C/ha/yr</t>
        </is>
      </c>
      <c r="M6" s="2460" t="inlineStr">
        <is>
          <t>t dm/ha/yr</t>
        </is>
      </c>
      <c r="N6" s="2460" t="inlineStr">
        <is>
          <t>tC/ha/yr</t>
        </is>
      </c>
      <c r="O6" s="2445" t="inlineStr">
        <is>
          <t>t C/ha/yr</t>
        </is>
      </c>
      <c r="P6" s="2452" t="inlineStr">
        <is>
          <t>t dm/ha/yr</t>
        </is>
      </c>
      <c r="Q6" s="2460" t="inlineStr">
        <is>
          <t>t C/ha/yr</t>
        </is>
      </c>
      <c r="R6" s="2460" t="inlineStr">
        <is>
          <t>t C/ha/yr</t>
        </is>
      </c>
      <c r="S6" s="2460" t="inlineStr">
        <is>
          <t>t dm/ha/yr</t>
        </is>
      </c>
      <c r="T6" s="2460" t="inlineStr">
        <is>
          <t>tC/ha/yr</t>
        </is>
      </c>
      <c r="U6" s="2445" t="inlineStr">
        <is>
          <t>tC/ha/yr</t>
        </is>
      </c>
      <c r="V6" s="2452" t="inlineStr">
        <is>
          <t>tC/ha</t>
        </is>
      </c>
      <c r="W6" s="2461" t="inlineStr">
        <is>
          <t>tC/ha</t>
        </is>
      </c>
      <c r="X6" s="2452" t="inlineStr">
        <is>
          <t>tC/ha</t>
        </is>
      </c>
      <c r="Y6" s="2452" t="inlineStr">
        <is>
          <t>tC/ha</t>
        </is>
      </c>
      <c r="Z6" s="2452" t="inlineStr">
        <is>
          <t>tC/ha</t>
        </is>
      </c>
      <c r="AA6" s="2452" t="inlineStr">
        <is>
          <t>tC/ha</t>
        </is>
      </c>
      <c r="AB6" s="2452" t="inlineStr">
        <is>
          <t>tCO2/ha</t>
        </is>
      </c>
      <c r="AC6" s="4640" t="n"/>
      <c r="AE6" s="1058" t="n"/>
      <c r="AF6" s="2927" t="inlineStr">
        <is>
          <t>CH4 (tCO2 eq)</t>
        </is>
      </c>
      <c r="AG6" s="2928" t="n"/>
      <c r="AH6" s="2927" t="inlineStr">
        <is>
          <t>N2O (tCO2 eq)</t>
        </is>
      </c>
      <c r="AI6" s="2929" t="n"/>
      <c r="AJ6" s="2930" t="inlineStr">
        <is>
          <t>Biomass (AGB + BGB) gain</t>
        </is>
      </c>
      <c r="AK6" s="2928" t="n"/>
      <c r="AL6" s="2931" t="inlineStr">
        <is>
          <t>Biomass loss</t>
        </is>
      </c>
      <c r="AM6" s="2886" t="n"/>
      <c r="AN6" s="2931" t="inlineStr">
        <is>
          <t>DOM</t>
        </is>
      </c>
      <c r="AO6" s="2886" t="n"/>
      <c r="AP6" s="2931" t="inlineStr">
        <is>
          <t xml:space="preserve">Soil </t>
        </is>
      </c>
      <c r="AQ6" s="2886" t="n"/>
      <c r="AS6" s="3523" t="inlineStr">
        <is>
          <t>(ha)</t>
        </is>
      </c>
      <c r="AT6" s="3523" t="n"/>
    </row>
    <row r="7">
      <c r="A7" s="2462" t="inlineStr">
        <is>
          <t>Tropical2</t>
        </is>
      </c>
      <c r="B7" s="2463" t="inlineStr">
        <is>
          <t>WarmTemperate2</t>
        </is>
      </c>
      <c r="C7" s="2463" t="inlineStr">
        <is>
          <t>CoolTemperate2</t>
        </is>
      </c>
      <c r="D7" s="2464" t="inlineStr">
        <is>
          <t>Boreal2</t>
        </is>
      </c>
      <c r="E7" s="2464" t="inlineStr">
        <is>
          <t>TropicalMontane2</t>
        </is>
      </c>
      <c r="G7" s="2430" t="n"/>
      <c r="H7" s="1714">
        <f>clim3</f>
        <v/>
      </c>
      <c r="I7" s="2465">
        <f>continent_selected</f>
        <v/>
      </c>
      <c r="J7" s="2466" t="inlineStr">
        <is>
          <t>( ≤ 20 years )</t>
        </is>
      </c>
      <c r="K7" s="2467" t="inlineStr">
        <is>
          <t>( ≤ 20 years )</t>
        </is>
      </c>
      <c r="L7" s="2467" t="inlineStr">
        <is>
          <t>( ≤ 20 years )</t>
        </is>
      </c>
      <c r="M7" s="2467" t="inlineStr">
        <is>
          <t>( &gt; 20 years )</t>
        </is>
      </c>
      <c r="N7" s="2467" t="inlineStr">
        <is>
          <t>( &gt; 20 years )</t>
        </is>
      </c>
      <c r="O7" s="2467" t="inlineStr">
        <is>
          <t>( &gt; 20 years )</t>
        </is>
      </c>
      <c r="P7" s="2466" t="inlineStr">
        <is>
          <t>( ≤ 20 years )</t>
        </is>
      </c>
      <c r="Q7" s="2467" t="inlineStr">
        <is>
          <t>( ≤ 20 years )</t>
        </is>
      </c>
      <c r="R7" s="2467" t="inlineStr">
        <is>
          <t>( ≤ 20 years )</t>
        </is>
      </c>
      <c r="S7" s="2467" t="inlineStr">
        <is>
          <t>( &gt; 20 years )</t>
        </is>
      </c>
      <c r="T7" s="2467" t="inlineStr">
        <is>
          <t>( &gt; 20 years )</t>
        </is>
      </c>
      <c r="U7" s="2468" t="inlineStr">
        <is>
          <t>( &gt; 20 years )</t>
        </is>
      </c>
      <c r="V7" s="2469" t="n"/>
      <c r="W7" s="2470" t="n"/>
      <c r="X7" s="2469" t="n"/>
      <c r="Y7" s="2470" t="n"/>
      <c r="Z7" s="2469" t="n"/>
      <c r="AA7" s="2470" t="n"/>
      <c r="AB7" s="2470" t="n"/>
      <c r="AC7" s="4641" t="n"/>
      <c r="AE7" s="1058" t="n"/>
      <c r="AF7" s="2906" t="inlineStr">
        <is>
          <t>w/out</t>
        </is>
      </c>
      <c r="AG7" s="2907" t="inlineStr">
        <is>
          <t>with</t>
        </is>
      </c>
      <c r="AH7" s="2906" t="inlineStr">
        <is>
          <t>w/out</t>
        </is>
      </c>
      <c r="AI7" s="2907" t="inlineStr">
        <is>
          <t>with</t>
        </is>
      </c>
      <c r="AJ7" s="2906" t="inlineStr">
        <is>
          <t>w/out</t>
        </is>
      </c>
      <c r="AK7" s="2907" t="inlineStr">
        <is>
          <t>with</t>
        </is>
      </c>
      <c r="AL7" s="2906" t="inlineStr">
        <is>
          <t>w/out</t>
        </is>
      </c>
      <c r="AM7" s="2907" t="inlineStr">
        <is>
          <t>with</t>
        </is>
      </c>
      <c r="AN7" s="2906" t="inlineStr">
        <is>
          <t>w/out</t>
        </is>
      </c>
      <c r="AO7" s="2907" t="inlineStr">
        <is>
          <t>with</t>
        </is>
      </c>
      <c r="AP7" s="2906" t="inlineStr">
        <is>
          <t>w/out</t>
        </is>
      </c>
      <c r="AQ7" s="2907" t="inlineStr">
        <is>
          <t>with</t>
        </is>
      </c>
      <c r="AS7" s="3896" t="inlineStr">
        <is>
          <t>without</t>
        </is>
      </c>
      <c r="AT7" s="3896" t="inlineStr">
        <is>
          <t>With</t>
        </is>
      </c>
    </row>
    <row r="8">
      <c r="A8" s="1703" t="inlineStr">
        <is>
          <t>Tropical rainforest</t>
        </is>
      </c>
      <c r="B8" s="2471" t="inlineStr">
        <is>
          <t>Subtropical humid forest</t>
        </is>
      </c>
      <c r="C8" s="1703" t="inlineStr">
        <is>
          <t>Temperate oceanic forest</t>
        </is>
      </c>
      <c r="D8" s="1703" t="inlineStr">
        <is>
          <t>Boreal coniferous forest</t>
        </is>
      </c>
      <c r="E8" s="1703" t="inlineStr">
        <is>
          <t>Tropical mountain systems</t>
        </is>
      </c>
      <c r="G8" s="2472" t="n">
        <v>1</v>
      </c>
      <c r="H8" s="2473">
        <f>C24</f>
        <v/>
      </c>
      <c r="I8" s="2474">
        <f>IF( $H8 &lt;&gt; "Please select", CONCATENATE(H8,continent_selected), "")</f>
        <v/>
      </c>
      <c r="J8" s="2475">
        <f>IF($I8&lt;&gt;"",VLOOKUP(affo!$I8, IPCC!$C$924:$E$1467, 3, FALSE),0)</f>
        <v/>
      </c>
      <c r="K8" s="2476">
        <f>$J8*0.47</f>
        <v/>
      </c>
      <c r="L8" s="2477">
        <f>IF('2.LUC'!$BC36="",'2.LUC'!$BB36,'2.LUC'!$BC36)</f>
        <v/>
      </c>
      <c r="M8" s="2478">
        <f>IF(I8&lt;&gt;"",VLOOKUP(affo!$I8, IPCC!$C$924:$E$1467, 2, FALSE),0)</f>
        <v/>
      </c>
      <c r="N8" s="2476">
        <f>M8*0.47</f>
        <v/>
      </c>
      <c r="O8" s="2477">
        <f>IF('2.LUC'!$BF36="",'2.LUC'!$BE36,'2.LUC'!$BF36)</f>
        <v/>
      </c>
      <c r="P8" s="2478">
        <f>IF($H8&lt;&gt;"Please select", IF(OR($J8&lt;=125, $J8&lt;= 75),INDEX(IPCC!$B$618:$AI$633,MATCH(continent_selected,IPCC!$A$618:$A$633,0),MATCH($H8,IPCC!$B$616:$AI$616,0)),(IF(OR($J8&gt;125, $J8&gt;75),INDEX(IPCC!$AJ$618:$BS$633,MATCH(continent_selected,IPCC!$A$618:$A$633,0),MATCH($H8,IPCC!$AJ$616:$BS$616,0)),"")))*$J8,0)</f>
        <v/>
      </c>
      <c r="Q8" s="2476">
        <f>P8*0.47</f>
        <v/>
      </c>
      <c r="R8" s="2479">
        <f>IF('2.LUC'!$BI36="",'2.LUC'!$BH36,'2.LUC'!$BI36)</f>
        <v/>
      </c>
      <c r="S8" s="2480">
        <f>IF($H8 &lt;&gt;"Please select", IF(OR($M8 &lt;=125, $M8 &lt;= 75),INDEX(IPCC!$B$618:$AI$633,MATCH(continent_selected,IPCC!$A$618:$A$633,0),MATCH($H8,IPCC!$B$616:$AI$616,0)),(IF(OR($M8&gt;125, $M8&gt;75),INDEX(IPCC!$AJ$618:$BS$633,MATCH(continent_selected,IPCC!$A$618:$A$633,0),MATCH($H8,IPCC!$AJ$616:$BS$616,0)),"")))*$M8,0)</f>
        <v/>
      </c>
      <c r="T8" s="2476">
        <f>S8*0.47</f>
        <v/>
      </c>
      <c r="U8" s="2479">
        <f>IF('2.LUC'!$BK36="",'2.LUC'!$BJ36,'2.LUC'!$BK36)</f>
        <v/>
      </c>
      <c r="V8" s="2481">
        <f>IF($H8&lt;&gt;"Please select", VLOOKUP($H8, IPCC!$A$643:$B$677, 2, FALSE), 0)</f>
        <v/>
      </c>
      <c r="W8" s="2482">
        <f>IF('2.LUC'!$BQ36="",'2.LUC'!$BP36,'2.LUC'!$BQ36)</f>
        <v/>
      </c>
      <c r="X8" s="2481">
        <f>IF($H8&lt;&gt;"Please select",VLOOKUP($H8,IPCC!$A$643:$C$677,3,FALSE),0)</f>
        <v/>
      </c>
      <c r="Y8" s="2482">
        <f>IF('2.LUC'!$BT36="",'2.LUC'!$BS36,'2.LUC'!$BT36)</f>
        <v/>
      </c>
      <c r="Z8" s="2481">
        <f>IF($I8&lt;&gt; "", SOCref, 0)</f>
        <v/>
      </c>
      <c r="AA8" s="2483">
        <f>IF('2.LUC'!$BW36="",'2.LUC'!$BV36,'2.LUC'!$BW36)</f>
        <v/>
      </c>
      <c r="AB8" s="2483">
        <f>IF('2.LUC'!BN36&lt;&gt; "", '2.LUC'!BN36*44/12, IF(H8="Please select",0,IF(INDEX(IPCC!$A$590:$AK$606,MATCH($I$7,IPCC!$A$590:$A$606,0),MATCH(H8,IPCC!$A$590:$AK$590,0))&lt;= 125, INDEX(IPCC!$A$590:$AK$606,MATCH($I$7,IPCC!$A$590:$A$606,0),MATCH(H8,IPCC!$A$590:$AK$590,0))+(INDEX(IPCC!$A$590:$AK$606,MATCH($I$7,IPCC!$A$590:$A$606,0),MATCH(H8,IPCC!$A$590:$AK$590,0))*INDEX(IPCC!$A$617:$BS$633,MATCH($I$7,IPCC!$A$617:$A$633,0),MATCH(H8,IPCC!$A$616:$BS$616,0))),INDEX(IPCC!$A$590:$AK$606,MATCH($I$7,IPCC!$A$590:$A$606,0), MATCH(H8,IPCC!$A$590:$AK$590,0))+(INDEX(IPCC!$A$590:$AK$606,MATCH($I$7,IPCC!$A$590:$A$606,0),MATCH(H8,IPCC!$A$590:$AK$590,0))*INDEX(IPCC!$AJ$616:$BS$633,MATCH(continent_selected,IPCC!$A$616:$A$633,0),MATCH(H8,IPCC!$AJ$616:$BS$616,0)))))*0.47*44/12)</f>
        <v/>
      </c>
      <c r="AC8" s="2483">
        <f>IF(AB8&gt;H37, "yes", "no")</f>
        <v/>
      </c>
      <c r="AE8" s="2908" t="inlineStr">
        <is>
          <t>Affo 1</t>
        </is>
      </c>
      <c r="AF8" s="2909">
        <f>IF($F24="YES", $D37*$P24*methane/1000,0)</f>
        <v/>
      </c>
      <c r="AG8" s="2910">
        <f>IF($F24="YES", $F37*$P24*methane/1000,0)</f>
        <v/>
      </c>
      <c r="AH8" s="2910">
        <f>IF($F24="YES", $D37*$Q24*Nitrous/1000,0)</f>
        <v/>
      </c>
      <c r="AI8" s="2910">
        <f>IF($F24="YES", $F37*$Q24*Nitrous/1000,0)</f>
        <v/>
      </c>
      <c r="AJ8" s="2911">
        <f>-(44/12)*($S24*(IF(E37="Immediate",D37*MIN(20,time),D37*IF(time&gt;time+20,20,IF(time&lt;20,(time*VLOOKUP(E37, list!$J$48:$K$50, 2,))+(time-time),((MIN(20,time)*VLOOKUP(affo!E37, list!$J$48:$K$50, 2,)) + (time-MIN(20,time))-IF(affo!E37="Exponential",time-20+0.217*time*(EXP(4.606*(20-time)/time)-1),((time-20)^2)*(0.5/time)))))))+($T24*(IF(affo!E37="Immediate", affo!D37*(time-MIN(20,time)), affo!D37*IF(time&gt;time+20,(time*VLOOKUP(affo!E37, list!$J$48:$K$50,2,))+(time-time-20),IF(time&lt;20,0,IF(affo!E37="Exponential",time-20+0.217*time*(EXP(4.606*(20-time)/time)-1),((time-20)^2)*(0.5/time))))))))</f>
        <v/>
      </c>
      <c r="AK8" s="2911">
        <f>-(44/12)*($S24*(IF(G37="Immediate", F37*MIN(20,time), F37*IF(time&gt;time+20,20,IF(time&lt;20,(time*VLOOKUP(G37, list!$J$48:$K$50, 2,))+(time-time),((MIN(20,time)*VLOOKUP(affo!G37, list!$J$48:$K$50, 2,))+ (time-MIN(20,time))-IF(affo!G37="Exponential",time-20+0.217*time*(EXP(4.606*(20-time)/time)-1),((time-20)^2)*(0.5/time)))))))+($T24*(IF(affo!G37="Immediate", affo!F37*(time-MIN(20,time)), affo!F37*IF(time&gt;time+20,(time*VLOOKUP(affo!G37, list!$J$48:$K$50,2,))+(time-time-20),IF(time&lt;20,0,IF(affo!G37="Exponential",time-20+0.217*time*(EXP(4.606*(20-time)/time)-1),((time-20)^2)*(0.5/time))))))))</f>
        <v/>
      </c>
      <c r="AL8" s="2911">
        <f>IF(time=0,0,$L37)</f>
        <v/>
      </c>
      <c r="AM8" s="2911">
        <f>IF(time=0,0, $M37)</f>
        <v/>
      </c>
      <c r="AN8" s="2912">
        <f>IF(time=0,0,$J37)</f>
        <v/>
      </c>
      <c r="AO8" s="2911">
        <f>IF(time=0,0,$K37)</f>
        <v/>
      </c>
      <c r="AP8" s="2911">
        <f>$M24*(IF(E37="Immediate", D37*MIN(20,time), D37*IF(time&gt;=time+20,20,IF(time&lt;=20,(time*VLOOKUP(E37, list!$J$48:$K$50, 2,))+(time-time),((MIN(20,time)*VLOOKUP(affo!E37,  list!$J$48:$K$50,2,))+(time-MIN(20,time))-IF(affo!E37="Exponential",time-20+0.217*time*(EXP(4.606*(20-time)/time)-1),((time-20)^2)*(0.5/time)))))))</f>
        <v/>
      </c>
      <c r="AQ8" s="2913">
        <f>$M24*(IF(G37="Immediate", F37*MIN(20,time), F37*IF(time&gt;time+20,20,IF(time&lt;20,(time*VLOOKUP( G37,  list!$J$48:$K$50, 2,))+(time-time),((MIN(20,time)*VLOOKUP(affo!G37,  list!$J$48:$K$50,2,))+(time-MIN(20,time))-IF(affo!G37="Exponential",time-20+0.217*time*(EXP(4.606*(20-time)/time)-1),((time-20)^2)*(0.5/time)))))))</f>
        <v/>
      </c>
      <c r="AS8" s="1454">
        <f>IF($P24&gt;0, $D37, 0)</f>
        <v/>
      </c>
      <c r="AT8" s="1454">
        <f>IF($P24&gt;0, $F37, 0)</f>
        <v/>
      </c>
    </row>
    <row r="9" ht="15" customHeight="1">
      <c r="A9" s="1707" t="inlineStr">
        <is>
          <t>Tropical moist deciduous forest</t>
        </is>
      </c>
      <c r="B9" s="1168" t="inlineStr">
        <is>
          <t>Subtropical dry forest</t>
        </is>
      </c>
      <c r="C9" s="1707" t="inlineStr">
        <is>
          <t>Temperate continental forest</t>
        </is>
      </c>
      <c r="D9" s="1707" t="inlineStr">
        <is>
          <t>Boreal tundra woodland</t>
        </is>
      </c>
      <c r="E9" s="1707" t="inlineStr">
        <is>
          <t>Planted Tropical mountain systems</t>
        </is>
      </c>
      <c r="G9" s="2472" t="n">
        <v>2</v>
      </c>
      <c r="H9" s="2473">
        <f>C25</f>
        <v/>
      </c>
      <c r="I9" s="2474">
        <f>IF( $H9 &lt;&gt; "Please select", CONCATENATE(H9,continent_selected), "")</f>
        <v/>
      </c>
      <c r="J9" s="2484">
        <f>IF($I9&lt;&gt;"",VLOOKUP(affo!$I9, IPCC!$C$924:$E$1467, 3, FALSE),0)</f>
        <v/>
      </c>
      <c r="K9" s="1706">
        <f>$J9*0.47</f>
        <v/>
      </c>
      <c r="L9" s="2485">
        <f>IF('2.LUC'!$BC37="",'2.LUC'!$BB37,'2.LUC'!$BC37)</f>
        <v/>
      </c>
      <c r="M9" s="2486">
        <f>IF(I9&lt;&gt;"",VLOOKUP(affo!$I9, IPCC!$C$924:$E$1467, 2, FALSE),0)</f>
        <v/>
      </c>
      <c r="N9" s="1706">
        <f>M9*0.47</f>
        <v/>
      </c>
      <c r="O9" s="2485">
        <f>IF('2.LUC'!$BF37="",'2.LUC'!$BE37,'2.LUC'!$BF37)</f>
        <v/>
      </c>
      <c r="P9" s="2486">
        <f>IF($H9&lt;&gt;"Please select", IF(OR($J9&lt;=125, $J9&lt;= 75),INDEX(IPCC!$B$618:$AI$633,MATCH(continent_selected,IPCC!$A$618:$A$633,0),MATCH($H9,IPCC!$B$616:$AI$616,0)),(IF(OR($J9&gt;125, $J9&gt;75),INDEX(IPCC!$AJ$618:$BS$633,MATCH(continent_selected,IPCC!$A$618:$A$633,0),MATCH($H9,IPCC!$AJ$616:$BS$616,0)),"")))*$J9,0)</f>
        <v/>
      </c>
      <c r="Q9" s="1706">
        <f>P9*0.47</f>
        <v/>
      </c>
      <c r="R9" s="2487">
        <f>IF('2.LUC'!$BI37="",'2.LUC'!$BH37,'2.LUC'!$BI37)</f>
        <v/>
      </c>
      <c r="S9" s="2488">
        <f>IF($H9 &lt;&gt;"Please select", IF(OR($M9 &lt;=125, $M9 &lt;= 75),INDEX(IPCC!$B$618:$AI$633,MATCH(continent_selected,IPCC!$A$618:$A$633,0),MATCH($H9,IPCC!$B$616:$AI$616,0)),(IF(OR($M9&gt;125, $M9&gt;75),INDEX(IPCC!$AJ$618:$BS$633,MATCH(continent_selected,IPCC!$A$618:$A$633,0),MATCH($H9,IPCC!$AJ$616:$BS$616,0)),"")))*$M9,0)</f>
        <v/>
      </c>
      <c r="T9" s="1706">
        <f>S9*0.47</f>
        <v/>
      </c>
      <c r="U9" s="2487">
        <f>IF('2.LUC'!$BK37="",'2.LUC'!$BJ37,'2.LUC'!$BK37)</f>
        <v/>
      </c>
      <c r="V9" s="2489">
        <f>IF($H9&lt;&gt;"Please select", VLOOKUP($H9, IPCC!$A$643:$B$677, 2, FALSE), 0)</f>
        <v/>
      </c>
      <c r="W9" s="2490">
        <f>IF('2.LUC'!$BQ37="",'2.LUC'!$BP37,'2.LUC'!$BQ37)</f>
        <v/>
      </c>
      <c r="X9" s="2489">
        <f>IF($H9&lt;&gt;"Please select",VLOOKUP($H9,IPCC!$A$643:$C$677,3,FALSE),0)</f>
        <v/>
      </c>
      <c r="Y9" s="2490">
        <f>IF('2.LUC'!$BT37="",'2.LUC'!$BS37,'2.LUC'!$BT37)</f>
        <v/>
      </c>
      <c r="Z9" s="2489">
        <f>IF($I9&lt;&gt; "", SOCref, 0)</f>
        <v/>
      </c>
      <c r="AA9" s="2491">
        <f>IF('2.LUC'!$BW37="",'2.LUC'!$BV37,'2.LUC'!$BW37)</f>
        <v/>
      </c>
      <c r="AB9" s="2483">
        <f>IF('2.LUC'!BN37&lt;&gt; "", '2.LUC'!BN37*44/12, IF(H9="Please select",0,IF(INDEX(IPCC!$A$590:$AK$606,MATCH($I$7,IPCC!$A$590:$A$606,0),MATCH(H9,IPCC!$A$590:$AK$590,0))&lt;= 125, INDEX(IPCC!$A$590:$AK$606,MATCH($I$7,IPCC!$A$590:$A$606,0),MATCH(H9,IPCC!$A$590:$AK$590,0))+(INDEX(IPCC!$A$590:$AK$606,MATCH($I$7,IPCC!$A$590:$A$606,0),MATCH(H9,IPCC!$A$590:$AK$590,0))*INDEX(IPCC!$A$617:$BS$633,MATCH($I$7,IPCC!$A$617:$A$633,0),MATCH(H9,IPCC!$A$616:$BS$616,0))),INDEX(IPCC!$A$590:$AK$606,MATCH($I$7,IPCC!$A$590:$A$606,0), MATCH(H9,IPCC!$A$590:$AK$590,0))+(INDEX(IPCC!$A$590:$AK$606,MATCH($I$7,IPCC!$A$590:$A$606,0),MATCH(H9,IPCC!$A$590:$AK$590,0))*INDEX(IPCC!$AJ$616:$BS$633,MATCH(continent_selected,IPCC!$A$616:$A$633,0),MATCH(H9,IPCC!$AJ$616:$BS$616,0)))))*0.47*44/12)</f>
        <v/>
      </c>
      <c r="AC9" s="2491">
        <f>IF(AB9&gt;H38, "yes", "no")</f>
        <v/>
      </c>
      <c r="AE9" s="2908" t="inlineStr">
        <is>
          <t>Affo 2</t>
        </is>
      </c>
      <c r="AF9" s="2914">
        <f>IF($F25="YES", $D38*$P25*methane/1000,0)</f>
        <v/>
      </c>
      <c r="AG9" s="2915">
        <f>IF($F25="YES", $F38*$P25*methane/1000,0)</f>
        <v/>
      </c>
      <c r="AH9" s="2915">
        <f>IF($F25="YES", $D38*$Q25*Nitrous/1000,0)</f>
        <v/>
      </c>
      <c r="AI9" s="2915">
        <f>IF($F25="YES", $F38*$Q25*Nitrous/1000,0)</f>
        <v/>
      </c>
      <c r="AJ9" s="2916">
        <f>-(44/12)*($S25*(IF(E38="Immediate",D38*MIN(20,time),D38*IF(time&gt;time+20,20,IF(time&lt;20,(time*VLOOKUP(E38, list!$J$48:$K$50, 2,))+(time-time),((MIN(20,time)*VLOOKUP(affo!E38, list!$J$48:$K$50, 2,)) + (time-MIN(20,time))-IF(affo!E38="Exponential",time-20+0.217*time*(EXP(4.606*(20-time)/time)-1),((time-20)^2)*(0.5/time)))))))+($T25*(IF(affo!E38="Immediate", affo!D38*(time-MIN(20,time)), affo!D38*IF(time&gt;time+20,(time*VLOOKUP(affo!E38, list!$J$48:$K$50,2,))+(time-time-20),IF(time&lt;20,0,IF(affo!E38="Exponential",time-20+0.217*time*(EXP(4.606*(20-time)/time)-1),((time-20)^2)*(0.5/time))))))))</f>
        <v/>
      </c>
      <c r="AK9" s="2916">
        <f>-(44/12)*($S25*(IF(G38="Immediate", F38*MIN(20,time), F38*IF(time&gt;time+20,20,IF(time&lt;20,(time*VLOOKUP(G38, list!$J$48:$K$50, 2,))+(time-time),((MIN(20,time)*VLOOKUP(affo!G38, list!$J$48:$K$50, 2,))+ (time-MIN(20,time))-IF(affo!G38="Exponential",time-20+0.217*time*(EXP(4.606*(20-time)/time)-1),((time-20)^2)*(0.5/time)))))))+($T25*(IF(affo!G38="Immediate", affo!F38*(time-MIN(20,time)), affo!F38*IF(time&gt;time+20,(time*VLOOKUP(affo!G38, list!$J$48:$K$50,2,))+(time-time-20),IF(time&lt;20,0,IF(affo!G38="Exponential",time-20+0.217*time*(EXP(4.606*(20-time)/time)-1),((time-20)^2)*(0.5/time))))))))</f>
        <v/>
      </c>
      <c r="AL9" s="2916">
        <f>IF(time=0,0,$L38)</f>
        <v/>
      </c>
      <c r="AM9" s="2916">
        <f>IF(time=0,0, $M38)</f>
        <v/>
      </c>
      <c r="AN9" s="2917">
        <f>IF(time=0,0,$J38)</f>
        <v/>
      </c>
      <c r="AO9" s="2916">
        <f>IF(time=0,0,$K38)</f>
        <v/>
      </c>
      <c r="AP9" s="2916">
        <f>$M25*(IF(E38="Immediate", D38*MIN(20,time), D38*IF(time&gt;=time+20,20,IF(time&lt;=20,(time*VLOOKUP(E38, list!$J$48:$K$50, 2,))+(time-time),((MIN(20,time)*VLOOKUP(affo!E38,  list!$J$48:$K$50,2,))+(time-MIN(20,time))-IF(affo!E38="Exponential",time-20+0.217*time*(EXP(4.606*(20-time)/time)-1),((time-20)^2)*(0.5/time)))))))</f>
        <v/>
      </c>
      <c r="AQ9" s="2918">
        <f>$M25*(IF(G38="Immediate", F38*MIN(20,time), F38*IF(time&gt;time+20,20,IF(time&lt;20,(time*VLOOKUP( G38,  list!$J$48:$K$50, 2,))+(time-time),((MIN(20,time)*VLOOKUP(affo!G38,  list!$J$48:$K$50,2,))+(time-MIN(20,time))-IF(affo!G38="Exponential",time-20+0.217*time*(EXP(4.606*(20-time)/time)-1),((time-20)^2)*(0.5/time)))))))</f>
        <v/>
      </c>
      <c r="AS9" s="1454">
        <f>IF($P25&gt;0, $D38, 0)</f>
        <v/>
      </c>
      <c r="AT9" s="1454">
        <f>IF($P25&gt;0, $F38, 0)</f>
        <v/>
      </c>
    </row>
    <row r="10" ht="15" customHeight="1">
      <c r="A10" s="1707" t="inlineStr">
        <is>
          <t>Tropical dry forest</t>
        </is>
      </c>
      <c r="B10" s="1168" t="inlineStr">
        <is>
          <t>Subtropical steppe</t>
        </is>
      </c>
      <c r="C10" s="1707" t="inlineStr">
        <is>
          <t>Temperate mountain systems</t>
        </is>
      </c>
      <c r="D10" s="1707" t="inlineStr">
        <is>
          <t>Boreal mountain systems</t>
        </is>
      </c>
      <c r="E10" s="1707" t="n"/>
      <c r="G10" s="2472" t="n">
        <v>3</v>
      </c>
      <c r="H10" s="2473">
        <f>C26</f>
        <v/>
      </c>
      <c r="I10" s="2474">
        <f>IF( $H10 &lt;&gt; "Please select", CONCATENATE(H10,continent_selected), "")</f>
        <v/>
      </c>
      <c r="J10" s="2484">
        <f>IF($I10&lt;&gt;"",VLOOKUP(affo!$I10, IPCC!$C$924:$E$1467, 3, FALSE),0)</f>
        <v/>
      </c>
      <c r="K10" s="1706">
        <f>$J10*0.47</f>
        <v/>
      </c>
      <c r="L10" s="2485">
        <f>IF('2.LUC'!$BC38="",'2.LUC'!$BB38,'2.LUC'!$BC38)</f>
        <v/>
      </c>
      <c r="M10" s="2486">
        <f>IF(I10&lt;&gt;"",VLOOKUP(affo!$I10, IPCC!$C$924:$E$1467, 2, FALSE),0)</f>
        <v/>
      </c>
      <c r="N10" s="1706">
        <f>M10*0.47</f>
        <v/>
      </c>
      <c r="O10" s="2485">
        <f>IF('2.LUC'!$BF38="",'2.LUC'!$BE38,'2.LUC'!$BF38)</f>
        <v/>
      </c>
      <c r="P10" s="2486">
        <f>IF($H10&lt;&gt;"Please select", IF(OR($J10&lt;=125, $J10&lt;= 75),INDEX(IPCC!$B$618:$AI$633,MATCH(continent_selected,IPCC!$A$618:$A$633,0),MATCH($H10,IPCC!$B$616:$AI$616,0)),(IF(OR($J10&gt;125, $J10&gt;75),INDEX(IPCC!$AJ$618:$BS$633,MATCH(continent_selected,IPCC!$A$618:$A$633,0),MATCH($H10,IPCC!$AJ$616:$BS$616,0)),"")))*$J10,0)</f>
        <v/>
      </c>
      <c r="Q10" s="1706">
        <f>P10*0.47</f>
        <v/>
      </c>
      <c r="R10" s="2487">
        <f>IF('2.LUC'!$BI38="",'2.LUC'!$BH38,'2.LUC'!$BI38)</f>
        <v/>
      </c>
      <c r="S10" s="2488">
        <f>IF($H10 &lt;&gt;"Please select", IF(OR($M10 &lt;=125, $M10 &lt;= 75),INDEX(IPCC!$B$618:$AI$633,MATCH(continent_selected,IPCC!$A$618:$A$633,0),MATCH($H10,IPCC!$B$616:$AI$616,0)),(IF(OR($M10&gt;125, $M10&gt;75),INDEX(IPCC!$AJ$618:$BS$633,MATCH(continent_selected,IPCC!$A$618:$A$633,0),MATCH($H10,IPCC!$AJ$616:$BS$616,0)),"")))*$M10,0)</f>
        <v/>
      </c>
      <c r="T10" s="1706">
        <f>S10*0.47</f>
        <v/>
      </c>
      <c r="U10" s="2487">
        <f>IF('2.LUC'!$BK38="",'2.LUC'!$BJ38,'2.LUC'!$BK38)</f>
        <v/>
      </c>
      <c r="V10" s="2489">
        <f>IF($H10&lt;&gt;"Please select", VLOOKUP($H10, IPCC!$A$643:$B$677, 2, FALSE), 0)</f>
        <v/>
      </c>
      <c r="W10" s="2490">
        <f>IF('2.LUC'!$BQ38="",'2.LUC'!$BP38,'2.LUC'!$BQ38)</f>
        <v/>
      </c>
      <c r="X10" s="2489">
        <f>IF($H10&lt;&gt;"Please select",VLOOKUP($H10,IPCC!$A$643:$C$677,3,FALSE),0)</f>
        <v/>
      </c>
      <c r="Y10" s="2490">
        <f>IF('2.LUC'!$BT38="",'2.LUC'!$BS38,'2.LUC'!$BT38)</f>
        <v/>
      </c>
      <c r="Z10" s="2489">
        <f>IF($I10&lt;&gt; "", SOCref, 0)</f>
        <v/>
      </c>
      <c r="AA10" s="2491">
        <f>IF('2.LUC'!$BW38="",'2.LUC'!$BV38,'2.LUC'!$BW38)</f>
        <v/>
      </c>
      <c r="AB10" s="2483">
        <f>IF('2.LUC'!BN38&lt;&gt; "", '2.LUC'!BN38*44/12, IF(H10="Please select",0,IF(INDEX(IPCC!$A$590:$AK$606,MATCH($I$7,IPCC!$A$590:$A$606,0),MATCH(H10,IPCC!$A$590:$AK$590,0))&lt;= 125, INDEX(IPCC!$A$590:$AK$606,MATCH($I$7,IPCC!$A$590:$A$606,0),MATCH(H10,IPCC!$A$590:$AK$590,0))+(INDEX(IPCC!$A$590:$AK$606,MATCH($I$7,IPCC!$A$590:$A$606,0),MATCH(H10,IPCC!$A$590:$AK$590,0))*INDEX(IPCC!$A$617:$BS$633,MATCH($I$7,IPCC!$A$617:$A$633,0),MATCH(H10,IPCC!$A$616:$BS$616,0))),INDEX(IPCC!$A$590:$AK$606,MATCH($I$7,IPCC!$A$590:$A$606,0), MATCH(H10,IPCC!$A$590:$AK$590,0))+(INDEX(IPCC!$A$590:$AK$606,MATCH($I$7,IPCC!$A$590:$A$606,0),MATCH(H10,IPCC!$A$590:$AK$590,0))*INDEX(IPCC!$AJ$616:$BS$633,MATCH(continent_selected,IPCC!$A$616:$A$633,0),MATCH(H10,IPCC!$AJ$616:$BS$616,0)))))*0.47*44/12)</f>
        <v/>
      </c>
      <c r="AC10" s="2491">
        <f>IF(AB10&gt;H39, "yes", "no")</f>
        <v/>
      </c>
      <c r="AE10" s="2908" t="inlineStr">
        <is>
          <t>Affo 3</t>
        </is>
      </c>
      <c r="AF10" s="2914">
        <f>IF($F26="YES", $D39*$P26*methane/1000,0)</f>
        <v/>
      </c>
      <c r="AG10" s="2915">
        <f>IF($F26="YES", $F39*$P26*methane/1000,0)</f>
        <v/>
      </c>
      <c r="AH10" s="2915">
        <f>IF($F26="YES", $D39*$Q26*Nitrous/1000,0)</f>
        <v/>
      </c>
      <c r="AI10" s="2915">
        <f>IF($F26="YES", $F39*$Q26*Nitrous/1000,0)</f>
        <v/>
      </c>
      <c r="AJ10" s="2916">
        <f>-(44/12)*($S26*(IF(E39="Immediate",D39*MIN(20,time),D39*IF(time&gt;time+20,20,IF(time&lt;20,(time*VLOOKUP(E39, list!$J$48:$K$50, 2,))+(time-time),((MIN(20,time)*VLOOKUP(affo!E39, list!$J$48:$K$50, 2,)) + (time-MIN(20,time))-IF(affo!E39="Exponential",time-20+0.217*time*(EXP(4.606*(20-time)/time)-1),((time-20)^2)*(0.5/time)))))))+($T26*(IF(affo!E39="Immediate", affo!D39*(time-MIN(20,time)), affo!D39*IF(time&gt;time+20,(time*VLOOKUP(affo!E39, list!$J$48:$K$50,2,))+(time-time-20),IF(time&lt;20,0,IF(affo!E39="Exponential",time-20+0.217*time*(EXP(4.606*(20-time)/time)-1),((time-20)^2)*(0.5/time))))))))</f>
        <v/>
      </c>
      <c r="AK10" s="2916">
        <f>-(44/12)*($S26*(IF(G39="Immediate", F39*MIN(20,time), F39*IF(time&gt;time+20,20,IF(time&lt;20,(time*VLOOKUP(G39, list!$J$48:$K$50, 2,))+(time-time),((MIN(20,time)*VLOOKUP(affo!G39, list!$J$48:$K$50, 2,))+ (time-MIN(20,time))-IF(affo!G39="Exponential",time-20+0.217*time*(EXP(4.606*(20-time)/time)-1),((time-20)^2)*(0.5/time)))))))+($T26*(IF(affo!G39="Immediate", affo!F39*(time-MIN(20,time)), affo!F39*IF(time&gt;time+20,(time*VLOOKUP(affo!G39, list!$J$48:$K$50,2,))+(time-time-20),IF(time&lt;20,0,IF(affo!G39="Exponential",time-20+0.217*time*(EXP(4.606*(20-time)/time)-1),((time-20)^2)*(0.5/time))))))))</f>
        <v/>
      </c>
      <c r="AL10" s="2916">
        <f>IF(time=0,0,$L39)</f>
        <v/>
      </c>
      <c r="AM10" s="2916">
        <f>IF(time=0,0, $M39)</f>
        <v/>
      </c>
      <c r="AN10" s="2917">
        <f>IF(time=0,0,$J39)</f>
        <v/>
      </c>
      <c r="AO10" s="2916">
        <f>IF(time=0,0,$K39)</f>
        <v/>
      </c>
      <c r="AP10" s="2916">
        <f>$M26*(IF(E39="Immediate", D39*MIN(20,time), D39*IF(time&gt;=time+20,20,IF(time&lt;=20,(time*VLOOKUP(E39, list!$J$48:$K$50, 2,))+(time-time),((MIN(20,time)*VLOOKUP(affo!E39,  list!$J$48:$K$50,2,))+(time-MIN(20,time))-IF(affo!E39="Exponential",time-20+0.217*time*(EXP(4.606*(20-time)/time)-1),((time-20)^2)*(0.5/time)))))))</f>
        <v/>
      </c>
      <c r="AQ10" s="2918">
        <f>$M26*(IF(G39="Immediate", F39*MIN(20,time), F39*IF(time&gt;time+20,20,IF(time&lt;20,(time*VLOOKUP( G39,  list!$J$48:$K$50, 2,))+(time-time),((MIN(20,time)*VLOOKUP(affo!G39,  list!$J$48:$K$50,2,))+(time-MIN(20,time))-IF(affo!G39="Exponential",time-20+0.217*time*(EXP(4.606*(20-time)/time)-1),((time-20)^2)*(0.5/time)))))))</f>
        <v/>
      </c>
      <c r="AS10" s="1454">
        <f>IF($P26&gt;0, $D39, 0)</f>
        <v/>
      </c>
      <c r="AT10" s="1454">
        <f>IF($P26&gt;0, $F39, 0)</f>
        <v/>
      </c>
    </row>
    <row r="11" ht="15" customHeight="1">
      <c r="A11" s="1707" t="inlineStr">
        <is>
          <t>Tropical shrubland</t>
        </is>
      </c>
      <c r="B11" s="1168" t="inlineStr">
        <is>
          <t>Subtropical mountain systems</t>
        </is>
      </c>
      <c r="C11" s="1058" t="inlineStr">
        <is>
          <t>Temperate desert</t>
        </is>
      </c>
      <c r="D11" s="1707" t="inlineStr">
        <is>
          <t>Planted Boreal coniferous forest</t>
        </is>
      </c>
      <c r="E11" s="1707" t="n"/>
      <c r="G11" s="2472" t="n">
        <v>4</v>
      </c>
      <c r="H11" s="2473">
        <f>C27</f>
        <v/>
      </c>
      <c r="I11" s="2474">
        <f>IF( $H11 &lt;&gt; "Please select", CONCATENATE(H11,continent_selected), "")</f>
        <v/>
      </c>
      <c r="J11" s="2484">
        <f>IF($I11&lt;&gt;"",VLOOKUP(affo!$I11, IPCC!$C$924:$E$1467, 3, FALSE),0)</f>
        <v/>
      </c>
      <c r="K11" s="1706">
        <f>$J11*0.47</f>
        <v/>
      </c>
      <c r="L11" s="2485">
        <f>IF('2.LUC'!$BC39="",'2.LUC'!$BB39,'2.LUC'!$BC39)</f>
        <v/>
      </c>
      <c r="M11" s="2486">
        <f>IF(I11&lt;&gt;"",VLOOKUP(affo!$I11, IPCC!$C$924:$E$1467, 2, FALSE),0)</f>
        <v/>
      </c>
      <c r="N11" s="1706">
        <f>M11*0.47</f>
        <v/>
      </c>
      <c r="O11" s="2485">
        <f>IF('2.LUC'!$BF39="",'2.LUC'!$BE39,'2.LUC'!$BF39)</f>
        <v/>
      </c>
      <c r="P11" s="2486">
        <f>IF($H11&lt;&gt;"Please select", IF(OR($J11&lt;=125, $J11&lt;= 75),INDEX(IPCC!$B$618:$AI$633,MATCH(continent_selected,IPCC!$A$618:$A$633,0),MATCH($H11,IPCC!$B$616:$AI$616,0)),(IF(OR($J11&gt;125, $J11&gt;75),INDEX(IPCC!$AJ$618:$BS$633,MATCH(continent_selected,IPCC!$A$618:$A$633,0),MATCH($H11,IPCC!$AJ$616:$BS$616,0)),"")))*$J11,0)</f>
        <v/>
      </c>
      <c r="Q11" s="1706">
        <f>P11*0.47</f>
        <v/>
      </c>
      <c r="R11" s="2487">
        <f>IF('2.LUC'!$BI39="",'2.LUC'!$BH39,'2.LUC'!$BI39)</f>
        <v/>
      </c>
      <c r="S11" s="2488">
        <f>IF($H11 &lt;&gt;"Please select", IF(OR($M11 &lt;=125, $M11 &lt;= 75),INDEX(IPCC!$B$618:$AI$633,MATCH(continent_selected,IPCC!$A$618:$A$633,0),MATCH($H11,IPCC!$B$616:$AI$616,0)),(IF(OR($M11&gt;125, $M11&gt;75),INDEX(IPCC!$AJ$618:$BS$633,MATCH(continent_selected,IPCC!$A$618:$A$633,0),MATCH($H11,IPCC!$AJ$616:$BS$616,0)),"")))*$M11,0)</f>
        <v/>
      </c>
      <c r="T11" s="1706">
        <f>S11*0.47</f>
        <v/>
      </c>
      <c r="U11" s="2487">
        <f>IF('2.LUC'!$BK39="",'2.LUC'!$BJ39,'2.LUC'!$BK39)</f>
        <v/>
      </c>
      <c r="V11" s="2489">
        <f>IF($H11&lt;&gt;"Please select", VLOOKUP($H11, IPCC!$A$643:$B$677, 2, FALSE), 0)</f>
        <v/>
      </c>
      <c r="W11" s="2490">
        <f>IF('2.LUC'!$BQ39="",'2.LUC'!$BP39,'2.LUC'!$BQ39)</f>
        <v/>
      </c>
      <c r="X11" s="2489">
        <f>IF($H11&lt;&gt;"Please select",VLOOKUP($H11,IPCC!$A$643:$C$677,3,FALSE),0)</f>
        <v/>
      </c>
      <c r="Y11" s="2490">
        <f>IF('2.LUC'!$BT39="",'2.LUC'!$BS39,'2.LUC'!$BT39)</f>
        <v/>
      </c>
      <c r="Z11" s="2489">
        <f>IF($I11&lt;&gt; "", SOCref, 0)</f>
        <v/>
      </c>
      <c r="AA11" s="2491">
        <f>IF('2.LUC'!$BW39="",'2.LUC'!$BV39,'2.LUC'!$BW39)</f>
        <v/>
      </c>
      <c r="AB11" s="2483">
        <f>IF('2.LUC'!BN39&lt;&gt; "", '2.LUC'!BN39*44/12, IF(H11="Please select",0,IF(INDEX(IPCC!$A$590:$AK$606,MATCH($I$7,IPCC!$A$590:$A$606,0),MATCH(H11,IPCC!$A$590:$AK$590,0))&lt;= 125, INDEX(IPCC!$A$590:$AK$606,MATCH($I$7,IPCC!$A$590:$A$606,0),MATCH(H11,IPCC!$A$590:$AK$590,0))+(INDEX(IPCC!$A$590:$AK$606,MATCH($I$7,IPCC!$A$590:$A$606,0),MATCH(H11,IPCC!$A$590:$AK$590,0))*INDEX(IPCC!$A$617:$BS$633,MATCH($I$7,IPCC!$A$617:$A$633,0),MATCH(H11,IPCC!$A$616:$BS$616,0))),INDEX(IPCC!$A$590:$AK$606,MATCH($I$7,IPCC!$A$590:$A$606,0), MATCH(H11,IPCC!$A$590:$AK$590,0))+(INDEX(IPCC!$A$590:$AK$606,MATCH($I$7,IPCC!$A$590:$A$606,0),MATCH(H11,IPCC!$A$590:$AK$590,0))*INDEX(IPCC!$AJ$616:$BS$633,MATCH(continent_selected,IPCC!$A$616:$A$633,0),MATCH(H11,IPCC!$AJ$616:$BS$616,0)))))*0.47*44/12)</f>
        <v/>
      </c>
      <c r="AC11" s="2491">
        <f>IF(AB11&gt;H40, "yes", "no")</f>
        <v/>
      </c>
      <c r="AE11" s="2908" t="inlineStr">
        <is>
          <t>Affo 4</t>
        </is>
      </c>
      <c r="AF11" s="2914">
        <f>IF($F27="YES", $D40*$P27*methane/1000,0)</f>
        <v/>
      </c>
      <c r="AG11" s="2915">
        <f>IF($F27="YES", $F40*$P27*methane/1000,0)</f>
        <v/>
      </c>
      <c r="AH11" s="2915">
        <f>IF($F27="YES", $D40*$Q27*Nitrous/1000,0)</f>
        <v/>
      </c>
      <c r="AI11" s="2915">
        <f>IF($F27="YES", $F40*$Q27*Nitrous/1000,0)</f>
        <v/>
      </c>
      <c r="AJ11" s="2916">
        <f>-(44/12)*($S27*(IF(E40="Immediate",D40*MIN(20,time),D40*IF(time&gt;time+20,20,IF(time&lt;20,(time*VLOOKUP(E40, list!$J$48:$K$50, 2,))+(time-time),((MIN(20,time)*VLOOKUP(affo!E40, list!$J$48:$K$50, 2,)) + (time-MIN(20,time))-IF(affo!E40="Exponential",time-20+0.217*time*(EXP(4.606*(20-time)/time)-1),((time-20)^2)*(0.5/time)))))))+($T27*(IF(affo!E40="Immediate", affo!D40*(time-MIN(20,time)), affo!D40*IF(time&gt;time+20,(time*VLOOKUP(affo!E40, list!$J$48:$K$50,2,))+(time-time-20),IF(time&lt;20,0,IF(affo!E40="Exponential",time-20+0.217*time*(EXP(4.606*(20-time)/time)-1),((time-20)^2)*(0.5/time))))))))</f>
        <v/>
      </c>
      <c r="AK11" s="2916">
        <f>-(44/12)*($S27*(IF(G40="Immediate", F40*MIN(20,time), F40*IF(time&gt;time+20,20,IF(time&lt;20,(time*VLOOKUP(G40, list!$J$48:$K$50, 2,))+(time-time),((MIN(20,time)*VLOOKUP(affo!G40, list!$J$48:$K$50, 2,))+ (time-MIN(20,time))-IF(affo!G40="Exponential",time-20+0.217*time*(EXP(4.606*(20-time)/time)-1),((time-20)^2)*(0.5/time)))))))+($T27*(IF(affo!G40="Immediate", affo!F40*(time-MIN(20,time)), affo!F40*IF(time&gt;time+20,(time*VLOOKUP(affo!G40, list!$J$48:$K$50,2,))+(time-time-20),IF(time&lt;20,0,IF(affo!G40="Exponential",time-20+0.217*time*(EXP(4.606*(20-time)/time)-1),((time-20)^2)*(0.5/time))))))))</f>
        <v/>
      </c>
      <c r="AL11" s="2916">
        <f>IF(time=0,0,$L40)</f>
        <v/>
      </c>
      <c r="AM11" s="2916">
        <f>IF(time=0,0, $M40)</f>
        <v/>
      </c>
      <c r="AN11" s="2917">
        <f>IF(time=0,0,$J40)</f>
        <v/>
      </c>
      <c r="AO11" s="2916">
        <f>IF(time=0,0,$K40)</f>
        <v/>
      </c>
      <c r="AP11" s="2916">
        <f>$M27*(IF(E40="Immediate", D40*MIN(20,time), D40*IF(time&gt;=time+20,20,IF(time&lt;=20,(time*VLOOKUP(E40, list!$J$48:$K$50, 2,))+(time-time),((MIN(20,time)*VLOOKUP(affo!E40,  list!$J$48:$K$50,2,))+(time-MIN(20,time))-IF(affo!E40="Exponential",time-20+0.217*time*(EXP(4.606*(20-time)/time)-1),((time-20)^2)*(0.5/time)))))))</f>
        <v/>
      </c>
      <c r="AQ11" s="2918">
        <f>$M27*(IF(G40="Immediate", F40*MIN(20,time), F40*IF(time&gt;time+20,20,IF(time&lt;20,(time*VLOOKUP( G40,  list!$J$48:$K$50, 2,))+(time-time),((MIN(20,time)*VLOOKUP(affo!G40,  list!$J$48:$K$50,2,))+(time-MIN(20,time))-IF(affo!G40="Exponential",time-20+0.217*time*(EXP(4.606*(20-time)/time)-1),((time-20)^2)*(0.5/time)))))))</f>
        <v/>
      </c>
      <c r="AS11" s="1454">
        <f>IF($P27&gt;0, $D40, 0)</f>
        <v/>
      </c>
      <c r="AT11" s="1454">
        <f>IF($P27&gt;0, $F40, 0)</f>
        <v/>
      </c>
    </row>
    <row r="12" ht="15" customHeight="1">
      <c r="A12" s="1707" t="inlineStr">
        <is>
          <t>Planted Tropical rainforest</t>
        </is>
      </c>
      <c r="B12" s="1168" t="inlineStr">
        <is>
          <t>Planted Subtropical humid forest</t>
        </is>
      </c>
      <c r="C12" s="1058" t="inlineStr">
        <is>
          <t>Temperate steppe</t>
        </is>
      </c>
      <c r="D12" s="1707" t="inlineStr">
        <is>
          <t>Planted Boreal tundra woodland</t>
        </is>
      </c>
      <c r="E12" s="1707" t="n"/>
      <c r="G12" s="2472" t="n">
        <v>5</v>
      </c>
      <c r="H12" s="2473">
        <f>C28</f>
        <v/>
      </c>
      <c r="I12" s="2474">
        <f>IF( $H12 &lt;&gt; "Please select", CONCATENATE(H12,continent_selected), "")</f>
        <v/>
      </c>
      <c r="J12" s="2484">
        <f>IF($I12&lt;&gt;"",VLOOKUP(affo!$I12, IPCC!$C$924:$E$1467, 3, FALSE),0)</f>
        <v/>
      </c>
      <c r="K12" s="1706">
        <f>$J12*0.47</f>
        <v/>
      </c>
      <c r="L12" s="2485">
        <f>IF('2.LUC'!$BC40="",'2.LUC'!$BB40,'2.LUC'!$BC40)</f>
        <v/>
      </c>
      <c r="M12" s="2486">
        <f>IF(I12&lt;&gt;"",VLOOKUP(affo!$I12, IPCC!$C$924:$E$1467, 2, FALSE),0)</f>
        <v/>
      </c>
      <c r="N12" s="1706">
        <f>M12*0.47</f>
        <v/>
      </c>
      <c r="O12" s="2485">
        <f>IF('2.LUC'!$BF40="",'2.LUC'!$BE40,'2.LUC'!$BF40)</f>
        <v/>
      </c>
      <c r="P12" s="2486">
        <f>IF($H12&lt;&gt;"Please select", IF(OR($J12&lt;=125, $J12&lt;= 75),INDEX(IPCC!$B$618:$AI$633,MATCH(continent_selected,IPCC!$A$618:$A$633,0),MATCH($H12,IPCC!$B$616:$AI$616,0)),(IF(OR($J12&gt;125, $J12&gt;75),INDEX(IPCC!$AJ$618:$BS$633,MATCH(continent_selected,IPCC!$A$618:$A$633,0),MATCH($H12,IPCC!$AJ$616:$BS$616,0)),"")))*$J12,0)</f>
        <v/>
      </c>
      <c r="Q12" s="1706">
        <f>P12*0.47</f>
        <v/>
      </c>
      <c r="R12" s="2487">
        <f>IF('2.LUC'!$BI40="",'2.LUC'!$BH40,'2.LUC'!$BI40)</f>
        <v/>
      </c>
      <c r="S12" s="2488">
        <f>IF($H12 &lt;&gt;"Please select", IF(OR($M12 &lt;=125, $M12 &lt;= 75),INDEX(IPCC!$B$618:$AI$633,MATCH(continent_selected,IPCC!$A$618:$A$633,0),MATCH($H12,IPCC!$B$616:$AI$616,0)),(IF(OR($M12&gt;125, $M12&gt;75),INDEX(IPCC!$AJ$618:$BS$633,MATCH(continent_selected,IPCC!$A$618:$A$633,0),MATCH($H12,IPCC!$AJ$616:$BS$616,0)),"")))*$M12,0)</f>
        <v/>
      </c>
      <c r="T12" s="1706">
        <f>S12*0.47</f>
        <v/>
      </c>
      <c r="U12" s="2487">
        <f>IF('2.LUC'!$BK40="",'2.LUC'!$BJ40,'2.LUC'!$BK40)</f>
        <v/>
      </c>
      <c r="V12" s="2489">
        <f>IF($H12&lt;&gt;"Please select", VLOOKUP($H12, IPCC!$A$643:$B$677, 2, FALSE), 0)</f>
        <v/>
      </c>
      <c r="W12" s="2490">
        <f>IF('2.LUC'!$BQ40="",'2.LUC'!$BP40,'2.LUC'!$BQ40)</f>
        <v/>
      </c>
      <c r="X12" s="2489">
        <f>IF($H12&lt;&gt;"Please select",VLOOKUP($H12,IPCC!$A$643:$C$677,3,FALSE),0)</f>
        <v/>
      </c>
      <c r="Y12" s="2490">
        <f>IF('2.LUC'!$BT40="",'2.LUC'!$BS40,'2.LUC'!$BT40)</f>
        <v/>
      </c>
      <c r="Z12" s="2489">
        <f>IF($I12&lt;&gt; "", SOCref, 0)</f>
        <v/>
      </c>
      <c r="AA12" s="2491">
        <f>IF('2.LUC'!$BW40="",'2.LUC'!$BV40,'2.LUC'!$BW40)</f>
        <v/>
      </c>
      <c r="AB12" s="2483">
        <f>IF('2.LUC'!BN40&lt;&gt; "", '2.LUC'!BN40*44/12, IF(H12="Please select",0,IF(INDEX(IPCC!$A$590:$AK$606,MATCH($I$7,IPCC!$A$590:$A$606,0),MATCH(H12,IPCC!$A$590:$AK$590,0))&lt;= 125, INDEX(IPCC!$A$590:$AK$606,MATCH($I$7,IPCC!$A$590:$A$606,0),MATCH(H12,IPCC!$A$590:$AK$590,0))+(INDEX(IPCC!$A$590:$AK$606,MATCH($I$7,IPCC!$A$590:$A$606,0),MATCH(H12,IPCC!$A$590:$AK$590,0))*INDEX(IPCC!$A$617:$BS$633,MATCH($I$7,IPCC!$A$617:$A$633,0),MATCH(H12,IPCC!$A$616:$BS$616,0))),INDEX(IPCC!$A$590:$AK$606,MATCH($I$7,IPCC!$A$590:$A$606,0), MATCH(H12,IPCC!$A$590:$AK$590,0))+(INDEX(IPCC!$A$590:$AK$606,MATCH($I$7,IPCC!$A$590:$A$606,0),MATCH(H12,IPCC!$A$590:$AK$590,0))*INDEX(IPCC!$AJ$616:$BS$633,MATCH(continent_selected,IPCC!$A$616:$A$633,0),MATCH(H12,IPCC!$AJ$616:$BS$616,0)))))*0.47*44/12)</f>
        <v/>
      </c>
      <c r="AC12" s="2491">
        <f>IF(AB12&gt;H41, "yes", "no")</f>
        <v/>
      </c>
      <c r="AE12" s="2908" t="inlineStr">
        <is>
          <t>Affo 5</t>
        </is>
      </c>
      <c r="AF12" s="2914">
        <f>IF($F28="YES", $D41*$P28*methane/1000,0)</f>
        <v/>
      </c>
      <c r="AG12" s="2915">
        <f>IF($F28="YES", $F41*$P28*methane/1000,0)</f>
        <v/>
      </c>
      <c r="AH12" s="2915">
        <f>IF($F28="YES", $D41*$Q28*Nitrous/1000,0)</f>
        <v/>
      </c>
      <c r="AI12" s="2915">
        <f>IF($F28="YES", $F41*$Q28*Nitrous/1000,0)</f>
        <v/>
      </c>
      <c r="AJ12" s="2916">
        <f>-(44/12)*($S28*(IF(E41="Immediate",D41*MIN(20,time),D41*IF(time&gt;time+20,20,IF(time&lt;20,(time*VLOOKUP(E41, list!$J$48:$K$50, 2,))+(time-time),((MIN(20,time)*VLOOKUP(affo!E41, list!$J$48:$K$50, 2,)) + (time-MIN(20,time))-IF(affo!E41="Exponential",time-20+0.217*time*(EXP(4.606*(20-time)/time)-1),((time-20)^2)*(0.5/time)))))))+($T28*(IF(affo!E41="Immediate", affo!D41*(time-MIN(20,time)), affo!D41*IF(time&gt;time+20,(time*VLOOKUP(affo!E41, list!$J$48:$K$50,2,))+(time-time-20),IF(time&lt;20,0,IF(affo!E41="Exponential",time-20+0.217*time*(EXP(4.606*(20-time)/time)-1),((time-20)^2)*(0.5/time))))))))</f>
        <v/>
      </c>
      <c r="AK12" s="2916">
        <f>-(44/12)*($S28*(IF(G41="Immediate", F41*MIN(20,time), F41*IF(time&gt;time+20,20,IF(time&lt;20,(time*VLOOKUP(G41, list!$J$48:$K$50, 2,))+(time-time),((MIN(20,time)*VLOOKUP(affo!G41, list!$J$48:$K$50, 2,))+ (time-MIN(20,time))-IF(affo!G41="Exponential",time-20+0.217*time*(EXP(4.606*(20-time)/time)-1),((time-20)^2)*(0.5/time)))))))+($T28*(IF(affo!G41="Immediate", affo!F41*(time-MIN(20,time)), affo!F41*IF(time&gt;time+20,(time*VLOOKUP(affo!G41, list!$J$48:$K$50,2,))+(time-time-20),IF(time&lt;20,0,IF(affo!G41="Exponential",time-20+0.217*time*(EXP(4.606*(20-time)/time)-1),((time-20)^2)*(0.5/time))))))))</f>
        <v/>
      </c>
      <c r="AL12" s="2916">
        <f>IF(time=0,0,$L41)</f>
        <v/>
      </c>
      <c r="AM12" s="2916">
        <f>IF(time=0,0, $M41)</f>
        <v/>
      </c>
      <c r="AN12" s="2917">
        <f>IF(time=0,0,$J41)</f>
        <v/>
      </c>
      <c r="AO12" s="2916">
        <f>IF(time=0,0,$K41)</f>
        <v/>
      </c>
      <c r="AP12" s="2916">
        <f>$M28*(IF(E41="Immediate", D41*MIN(20,time), D41*IF(time&gt;=time+20,20,IF(time&lt;=20,(time*VLOOKUP(E41, list!$J$48:$K$50, 2,))+(time-time),((MIN(20,time)*VLOOKUP(affo!E41,  list!$J$48:$K$50,2,))+(time-MIN(20,time))-IF(affo!E41="Exponential",time-20+0.217*time*(EXP(4.606*(20-time)/time)-1),((time-20)^2)*(0.5/time)))))))</f>
        <v/>
      </c>
      <c r="AQ12" s="2918">
        <f>$M28*(IF(G41="Immediate", F41*MIN(20,time), F41*IF(time&gt;time+20,20,IF(time&lt;20,(time*VLOOKUP( G41,  list!$J$48:$K$50, 2,))+(time-time),((MIN(20,time)*VLOOKUP(affo!G41,  list!$J$48:$K$50,2,))+(time-MIN(20,time))-IF(affo!G41="Exponential",time-20+0.217*time*(EXP(4.606*(20-time)/time)-1),((time-20)^2)*(0.5/time)))))))</f>
        <v/>
      </c>
      <c r="AS12" s="1454">
        <f>IF($P28&gt;0, $D41, 0)</f>
        <v/>
      </c>
      <c r="AT12" s="1454">
        <f>IF($P28&gt;0, $F41, 0)</f>
        <v/>
      </c>
    </row>
    <row r="13" ht="15" customHeight="1">
      <c r="A13" s="1707" t="inlineStr">
        <is>
          <t>Planted Tropical moist deciduous forest</t>
        </is>
      </c>
      <c r="B13" s="1168" t="inlineStr">
        <is>
          <t>Planted Subtropical dry forest</t>
        </is>
      </c>
      <c r="C13" s="1707" t="inlineStr">
        <is>
          <t>Planted Temperate oceanic forest</t>
        </is>
      </c>
      <c r="D13" s="1707" t="inlineStr">
        <is>
          <t>Planted Boreal mountain systems</t>
        </is>
      </c>
      <c r="E13" s="1707" t="n"/>
      <c r="G13" s="2472" t="n">
        <v>6</v>
      </c>
      <c r="H13" s="2473">
        <f>C29</f>
        <v/>
      </c>
      <c r="I13" s="2474">
        <f>IF( $H13 &lt;&gt; "Please select", CONCATENATE(H13,continent_selected), "")</f>
        <v/>
      </c>
      <c r="J13" s="2484">
        <f>IF($I13&lt;&gt;"",VLOOKUP(affo!$I13, IPCC!$C$924:$E$1467, 3, FALSE),0)</f>
        <v/>
      </c>
      <c r="K13" s="1706">
        <f>$J13*0.47</f>
        <v/>
      </c>
      <c r="L13" s="2485">
        <f>IF('2.LUC'!$BC41="",'2.LUC'!$BB41,'2.LUC'!$BC41)</f>
        <v/>
      </c>
      <c r="M13" s="2486">
        <f>IF(I13&lt;&gt;"",VLOOKUP(affo!$I13, IPCC!$C$924:$E$1467, 2, FALSE),0)</f>
        <v/>
      </c>
      <c r="N13" s="1706">
        <f>M13*0.47</f>
        <v/>
      </c>
      <c r="O13" s="2485">
        <f>IF('2.LUC'!$BF41="",'2.LUC'!$BE41,'2.LUC'!$BF41)</f>
        <v/>
      </c>
      <c r="P13" s="2486">
        <f>IF($H13&lt;&gt;"Please select", IF(OR($J13&lt;=125, $J13&lt;= 75),INDEX(IPCC!$B$618:$AI$633,MATCH(continent_selected,IPCC!$A$618:$A$633,0),MATCH($H13,IPCC!$B$616:$AI$616,0)),(IF(OR($J13&gt;125, $J13&gt;75),INDEX(IPCC!$AJ$618:$BS$633,MATCH(continent_selected,IPCC!$A$618:$A$633,0),MATCH($H13,IPCC!$AJ$616:$BS$616,0)),"")))*$J13,0)</f>
        <v/>
      </c>
      <c r="Q13" s="1706">
        <f>P13*0.47</f>
        <v/>
      </c>
      <c r="R13" s="2487">
        <f>IF('2.LUC'!$BI41="",'2.LUC'!$BH41,'2.LUC'!$BI41)</f>
        <v/>
      </c>
      <c r="S13" s="2488">
        <f>IF($H13 &lt;&gt;"Please select", IF(OR($M13 &lt;=125, $M13 &lt;= 75),INDEX(IPCC!$B$618:$AI$633,MATCH(continent_selected,IPCC!$A$618:$A$633,0),MATCH($H13,IPCC!$B$616:$AI$616,0)),(IF(OR($M13&gt;125, $M13&gt;75),INDEX(IPCC!$AJ$618:$BS$633,MATCH(continent_selected,IPCC!$A$618:$A$633,0),MATCH($H13,IPCC!$AJ$616:$BS$616,0)),"")))*$M13,0)</f>
        <v/>
      </c>
      <c r="T13" s="1706">
        <f>S13*0.47</f>
        <v/>
      </c>
      <c r="U13" s="2487">
        <f>IF('2.LUC'!$BK41="",'2.LUC'!$BJ41,'2.LUC'!$BK41)</f>
        <v/>
      </c>
      <c r="V13" s="2489">
        <f>IF($H13&lt;&gt;"Please select", VLOOKUP($H13, IPCC!$A$643:$B$677, 2, FALSE), 0)</f>
        <v/>
      </c>
      <c r="W13" s="2490">
        <f>IF('2.LUC'!$BQ41="",'2.LUC'!$BP41,'2.LUC'!$BQ41)</f>
        <v/>
      </c>
      <c r="X13" s="2489">
        <f>IF($H13&lt;&gt;"Please select",VLOOKUP($H13,IPCC!$A$643:$C$677,3,FALSE),0)</f>
        <v/>
      </c>
      <c r="Y13" s="2490">
        <f>IF('2.LUC'!$BT41="",'2.LUC'!$BS41,'2.LUC'!$BT41)</f>
        <v/>
      </c>
      <c r="Z13" s="2489">
        <f>IF($I13&lt;&gt; "", SOCref, 0)</f>
        <v/>
      </c>
      <c r="AA13" s="2491">
        <f>IF('2.LUC'!$BW41="",'2.LUC'!$BV41,'2.LUC'!$BW41)</f>
        <v/>
      </c>
      <c r="AB13" s="2483">
        <f>IF('2.LUC'!BN41&lt;&gt; "", '2.LUC'!BN41*44/12, IF(H13="Please select",0,IF(INDEX(IPCC!$A$590:$AK$606,MATCH($I$7,IPCC!$A$590:$A$606,0),MATCH(H13,IPCC!$A$590:$AK$590,0))&lt;= 125, INDEX(IPCC!$A$590:$AK$606,MATCH($I$7,IPCC!$A$590:$A$606,0),MATCH(H13,IPCC!$A$590:$AK$590,0))+(INDEX(IPCC!$A$590:$AK$606,MATCH($I$7,IPCC!$A$590:$A$606,0),MATCH(H13,IPCC!$A$590:$AK$590,0))*INDEX(IPCC!$A$617:$BS$633,MATCH($I$7,IPCC!$A$617:$A$633,0),MATCH(H13,IPCC!$A$616:$BS$616,0))),INDEX(IPCC!$A$590:$AK$606,MATCH($I$7,IPCC!$A$590:$A$606,0), MATCH(H13,IPCC!$A$590:$AK$590,0))+(INDEX(IPCC!$A$590:$AK$606,MATCH($I$7,IPCC!$A$590:$A$606,0),MATCH(H13,IPCC!$A$590:$AK$590,0))*INDEX(IPCC!$AJ$616:$BS$633,MATCH(continent_selected,IPCC!$A$616:$A$633,0),MATCH(H13,IPCC!$AJ$616:$BS$616,0)))))*0.47*44/12)</f>
        <v/>
      </c>
      <c r="AC13" s="2491">
        <f>IF(AB13&gt;H42, "yes", "no")</f>
        <v/>
      </c>
      <c r="AE13" s="2908" t="inlineStr">
        <is>
          <t>Affo 6</t>
        </is>
      </c>
      <c r="AF13" s="2914">
        <f>IF($F29="YES", $D42*$P29*methane/1000,0)</f>
        <v/>
      </c>
      <c r="AG13" s="2915">
        <f>IF($F29="YES", $F42*$P29*methane/1000,0)</f>
        <v/>
      </c>
      <c r="AH13" s="2915">
        <f>IF($F29="YES", $D42*$Q29*Nitrous/1000,0)</f>
        <v/>
      </c>
      <c r="AI13" s="2915">
        <f>IF($F29="YES", $F42*$Q29*Nitrous/1000,0)</f>
        <v/>
      </c>
      <c r="AJ13" s="2916">
        <f>-(44/12)*($S29*(IF(E42="Immediate",D42*MIN(20,time),D42*IF(time&gt;time+20,20,IF(time&lt;20,(time*VLOOKUP(E42, list!$J$48:$K$50, 2,))+(time-time),((MIN(20,time)*VLOOKUP(affo!E42, list!$J$48:$K$50, 2,)) + (time-MIN(20,time))-IF(affo!E42="Exponential",time-20+0.217*time*(EXP(4.606*(20-time)/time)-1),((time-20)^2)*(0.5/time)))))))+($T29*(IF(affo!E42="Immediate", affo!D42*(time-MIN(20,time)), affo!D42*IF(time&gt;time+20,(time*VLOOKUP(affo!E42, list!$J$48:$K$50,2,))+(time-time-20),IF(time&lt;20,0,IF(affo!E42="Exponential",time-20+0.217*time*(EXP(4.606*(20-time)/time)-1),((time-20)^2)*(0.5/time))))))))</f>
        <v/>
      </c>
      <c r="AK13" s="2916">
        <f>-(44/12)*($S29*(IF(G42="Immediate", F42*MIN(20,time), F42*IF(time&gt;time+20,20,IF(time&lt;20,(time*VLOOKUP(G42, list!$J$48:$K$50, 2,))+(time-time),((MIN(20,time)*VLOOKUP(affo!G42, list!$J$48:$K$50, 2,))+ (time-MIN(20,time))-IF(affo!G42="Exponential",time-20+0.217*time*(EXP(4.606*(20-time)/time)-1),((time-20)^2)*(0.5/time)))))))+($T29*(IF(affo!G42="Immediate", affo!F42*(time-MIN(20,time)), affo!F42*IF(time&gt;time+20,(time*VLOOKUP(affo!G42, list!$J$48:$K$50,2,))+(time-time-20),IF(time&lt;20,0,IF(affo!G42="Exponential",time-20+0.217*time*(EXP(4.606*(20-time)/time)-1),((time-20)^2)*(0.5/time))))))))</f>
        <v/>
      </c>
      <c r="AL13" s="2916">
        <f>IF(time=0,0,$L42)</f>
        <v/>
      </c>
      <c r="AM13" s="2916">
        <f>IF(time=0,0, $M42)</f>
        <v/>
      </c>
      <c r="AN13" s="2917">
        <f>IF(time=0,0,$J42)</f>
        <v/>
      </c>
      <c r="AO13" s="2916">
        <f>IF(time=0,0,$K42)</f>
        <v/>
      </c>
      <c r="AP13" s="2916">
        <f>$M29*(IF(E42="Immediate", D42*MIN(20,time), D42*IF(time&gt;=time+20,20,IF(time&lt;=20,(time*VLOOKUP(E42, list!$J$48:$K$50, 2,))+(time-time),((MIN(20,time)*VLOOKUP(affo!E42,  list!$J$48:$K$50,2,))+(time-MIN(20,time))-IF(affo!E42="Exponential",time-20+0.217*time*(EXP(4.606*(20-time)/time)-1),((time-20)^2)*(0.5/time)))))))</f>
        <v/>
      </c>
      <c r="AQ13" s="2918">
        <f>$M29*(IF(G42="Immediate", F42*MIN(20,time), F42*IF(time&gt;time+20,20,IF(time&lt;20,(time*VLOOKUP( G42,  list!$J$48:$K$50, 2,))+(time-time),((MIN(20,time)*VLOOKUP(affo!G42,  list!$J$48:$K$50,2,))+(time-MIN(20,time))-IF(affo!G42="Exponential",time-20+0.217*time*(EXP(4.606*(20-time)/time)-1),((time-20)^2)*(0.5/time)))))))</f>
        <v/>
      </c>
      <c r="AS13" s="1454">
        <f>IF($P29&gt;0, $D42, 0)</f>
        <v/>
      </c>
      <c r="AT13" s="1454">
        <f>IF($P29&gt;0, $F42, 0)</f>
        <v/>
      </c>
    </row>
    <row r="14" ht="15" customHeight="1">
      <c r="A14" s="1707" t="inlineStr">
        <is>
          <t>Planted Tropical dry forest</t>
        </is>
      </c>
      <c r="B14" s="1168" t="inlineStr">
        <is>
          <t>Planted Subtropical steppe</t>
        </is>
      </c>
      <c r="C14" s="1707" t="inlineStr">
        <is>
          <t>Planted Temperate continental forest</t>
        </is>
      </c>
      <c r="D14" s="1707" t="n"/>
      <c r="E14" s="1707" t="n"/>
      <c r="G14" s="2472" t="n">
        <v>7</v>
      </c>
      <c r="H14" s="2473">
        <f>C30</f>
        <v/>
      </c>
      <c r="I14" s="2474">
        <f>IF( $H14 &lt;&gt; "Please select", CONCATENATE(H14,continent_selected), "")</f>
        <v/>
      </c>
      <c r="J14" s="2484">
        <f>IF($I14&lt;&gt;"",VLOOKUP(affo!$I14, IPCC!$C$924:$E$1467, 3, FALSE),0)</f>
        <v/>
      </c>
      <c r="K14" s="1706">
        <f>$J14*0.47</f>
        <v/>
      </c>
      <c r="L14" s="2485">
        <f>IF('2.LUC'!$BC42="",'2.LUC'!$BB42,'2.LUC'!$BC42)</f>
        <v/>
      </c>
      <c r="M14" s="2486">
        <f>IF(I14&lt;&gt;"",VLOOKUP(affo!$I14, IPCC!$C$924:$E$1467, 2, FALSE),0)</f>
        <v/>
      </c>
      <c r="N14" s="1706">
        <f>M14*0.47</f>
        <v/>
      </c>
      <c r="O14" s="2485">
        <f>IF('2.LUC'!$BF42="",'2.LUC'!$BE42,'2.LUC'!$BF42)</f>
        <v/>
      </c>
      <c r="P14" s="2486">
        <f>IF($H14&lt;&gt;"Please select", IF(OR($J14&lt;=125, $J14&lt;= 75),INDEX(IPCC!$B$618:$AI$633,MATCH(continent_selected,IPCC!$A$618:$A$633,0),MATCH($H14,IPCC!$B$616:$AI$616,0)),(IF(OR($J14&gt;125, $J14&gt;75),INDEX(IPCC!$AJ$618:$BS$633,MATCH(continent_selected,IPCC!$A$618:$A$633,0),MATCH($H14,IPCC!$AJ$616:$BS$616,0)),"")))*$J14,0)</f>
        <v/>
      </c>
      <c r="Q14" s="1706">
        <f>P14*0.47</f>
        <v/>
      </c>
      <c r="R14" s="2487">
        <f>IF('2.LUC'!$BI42="",'2.LUC'!$BH42,'2.LUC'!$BI42)</f>
        <v/>
      </c>
      <c r="S14" s="2488">
        <f>IF($H14 &lt;&gt;"Please select", IF(OR($M14 &lt;=125, $M14 &lt;= 75),INDEX(IPCC!$B$618:$AI$633,MATCH(continent_selected,IPCC!$A$618:$A$633,0),MATCH($H14,IPCC!$B$616:$AI$616,0)),(IF(OR($M14&gt;125, $M14&gt;75),INDEX(IPCC!$AJ$618:$BS$633,MATCH(continent_selected,IPCC!$A$618:$A$633,0),MATCH($H14,IPCC!$AJ$616:$BS$616,0)),"")))*$M14,0)</f>
        <v/>
      </c>
      <c r="T14" s="1706">
        <f>S14*0.47</f>
        <v/>
      </c>
      <c r="U14" s="2487">
        <f>IF('2.LUC'!$BK42="",'2.LUC'!$BJ42,'2.LUC'!$BK42)</f>
        <v/>
      </c>
      <c r="V14" s="2489">
        <f>IF($H14&lt;&gt;"Please select", VLOOKUP($H14, IPCC!$A$643:$B$677, 2, FALSE), 0)</f>
        <v/>
      </c>
      <c r="W14" s="2490">
        <f>IF('2.LUC'!$BQ42="",'2.LUC'!$BP42,'2.LUC'!$BQ42)</f>
        <v/>
      </c>
      <c r="X14" s="2489">
        <f>IF($H14&lt;&gt;"Please select",VLOOKUP($H14,IPCC!$A$643:$C$677,3,FALSE),0)</f>
        <v/>
      </c>
      <c r="Y14" s="2490">
        <f>IF('2.LUC'!$BT42="",'2.LUC'!$BS42,'2.LUC'!$BT42)</f>
        <v/>
      </c>
      <c r="Z14" s="2489">
        <f>IF($I14&lt;&gt; "", SOCref, 0)</f>
        <v/>
      </c>
      <c r="AA14" s="2491">
        <f>IF('2.LUC'!$BW42="",'2.LUC'!$BV42,'2.LUC'!$BW42)</f>
        <v/>
      </c>
      <c r="AB14" s="2483">
        <f>IF('2.LUC'!BN42&lt;&gt; "", '2.LUC'!BN42*44/12, IF(H14="Please select",0,IF(INDEX(IPCC!$A$590:$AK$606,MATCH($I$7,IPCC!$A$590:$A$606,0),MATCH(H14,IPCC!$A$590:$AK$590,0))&lt;= 125, INDEX(IPCC!$A$590:$AK$606,MATCH($I$7,IPCC!$A$590:$A$606,0),MATCH(H14,IPCC!$A$590:$AK$590,0))+(INDEX(IPCC!$A$590:$AK$606,MATCH($I$7,IPCC!$A$590:$A$606,0),MATCH(H14,IPCC!$A$590:$AK$590,0))*INDEX(IPCC!$A$617:$BS$633,MATCH($I$7,IPCC!$A$617:$A$633,0),MATCH(H14,IPCC!$A$616:$BS$616,0))),INDEX(IPCC!$A$590:$AK$606,MATCH($I$7,IPCC!$A$590:$A$606,0), MATCH(H14,IPCC!$A$590:$AK$590,0))+(INDEX(IPCC!$A$590:$AK$606,MATCH($I$7,IPCC!$A$590:$A$606,0),MATCH(H14,IPCC!$A$590:$AK$590,0))*INDEX(IPCC!$AJ$616:$BS$633,MATCH(continent_selected,IPCC!$A$616:$A$633,0),MATCH(H14,IPCC!$AJ$616:$BS$616,0)))))*0.47*44/12)</f>
        <v/>
      </c>
      <c r="AC14" s="2491">
        <f>IF(AB14&gt;H43, "yes", "no")</f>
        <v/>
      </c>
      <c r="AE14" s="2908" t="inlineStr">
        <is>
          <t>Affo 7</t>
        </is>
      </c>
      <c r="AF14" s="2914">
        <f>IF($F30="YES", $D43*$P30*methane/1000,0)</f>
        <v/>
      </c>
      <c r="AG14" s="2915">
        <f>IF($F30="YES", $F43*$P30*methane/1000,0)</f>
        <v/>
      </c>
      <c r="AH14" s="2915">
        <f>IF($F30="YES", $D43*$Q30*Nitrous/1000,0)</f>
        <v/>
      </c>
      <c r="AI14" s="2915">
        <f>IF($F30="YES", $F43*$Q30*Nitrous/1000,0)</f>
        <v/>
      </c>
      <c r="AJ14" s="2916">
        <f>-(44/12)*($S30*(IF(E43="Immediate",D43*MIN(20,time),D43*IF(time&gt;time+20,20,IF(time&lt;20,(time*VLOOKUP(E43, list!$J$48:$K$50, 2,))+(time-time),((MIN(20,time)*VLOOKUP(affo!E43, list!$J$48:$K$50, 2,)) + (time-MIN(20,time))-IF(affo!E43="Exponential",time-20+0.217*time*(EXP(4.606*(20-time)/time)-1),((time-20)^2)*(0.5/time)))))))+($T30*(IF(affo!E43="Immediate", affo!D43*(time-MIN(20,time)), affo!D43*IF(time&gt;time+20,(time*VLOOKUP(affo!E43, list!$J$48:$K$50,2,))+(time-time-20),IF(time&lt;20,0,IF(affo!E43="Exponential",time-20+0.217*time*(EXP(4.606*(20-time)/time)-1),((time-20)^2)*(0.5/time))))))))</f>
        <v/>
      </c>
      <c r="AK14" s="2916">
        <f>-(44/12)*($S30*(IF(G43="Immediate", F43*MIN(20,time), F43*IF(time&gt;time+20,20,IF(time&lt;20,(time*VLOOKUP(G43, list!$J$48:$K$50, 2,))+(time-time),((MIN(20,time)*VLOOKUP(affo!G43, list!$J$48:$K$50, 2,))+ (time-MIN(20,time))-IF(affo!G43="Exponential",time-20+0.217*time*(EXP(4.606*(20-time)/time)-1),((time-20)^2)*(0.5/time)))))))+($T30*(IF(affo!G43="Immediate", affo!F43*(time-MIN(20,time)), affo!F43*IF(time&gt;time+20,(time*VLOOKUP(affo!G43, list!$J$48:$K$50,2,))+(time-time-20),IF(time&lt;20,0,IF(affo!G43="Exponential",time-20+0.217*time*(EXP(4.606*(20-time)/time)-1),((time-20)^2)*(0.5/time))))))))</f>
        <v/>
      </c>
      <c r="AL14" s="2916">
        <f>IF(time=0,0,$L43)</f>
        <v/>
      </c>
      <c r="AM14" s="2916">
        <f>IF(time=0,0, $M43)</f>
        <v/>
      </c>
      <c r="AN14" s="2917">
        <f>IF(time=0,0,$J43)</f>
        <v/>
      </c>
      <c r="AO14" s="2916">
        <f>IF(time=0,0,$K43)</f>
        <v/>
      </c>
      <c r="AP14" s="2916">
        <f>$M30*(IF(E43="Immediate", D43*MIN(20,time), D43*IF(time&gt;=time+20,20,IF(time&lt;=20,(time*VLOOKUP(E43, list!$J$48:$K$50, 2,))+(time-time),((MIN(20,time)*VLOOKUP(affo!E43,  list!$J$48:$K$50,2,))+(time-MIN(20,time))-IF(affo!E43="Exponential",time-20+0.217*time*(EXP(4.606*(20-time)/time)-1),((time-20)^2)*(0.5/time)))))))</f>
        <v/>
      </c>
      <c r="AQ14" s="2918">
        <f>$M30*(IF(G43="Immediate", F43*MIN(20,time), F43*IF(time&gt;time+20,20,IF(time&lt;20,(time*VLOOKUP( G43,  list!$J$48:$K$50, 2,))+(time-time),((MIN(20,time)*VLOOKUP(affo!G43,  list!$J$48:$K$50,2,))+(time-MIN(20,time))-IF(affo!G43="Exponential",time-20+0.217*time*(EXP(4.606*(20-time)/time)-1),((time-20)^2)*(0.5/time)))))))</f>
        <v/>
      </c>
      <c r="AS14" s="1454">
        <f>IF($P30&gt;0, $D43, 0)</f>
        <v/>
      </c>
      <c r="AT14" s="1454">
        <f>IF($P30&gt;0, $F43, 0)</f>
        <v/>
      </c>
    </row>
    <row r="15" ht="15" customHeight="1" thickBot="1">
      <c r="A15" s="1707" t="inlineStr">
        <is>
          <t>Planted  Tropical shrubland</t>
        </is>
      </c>
      <c r="B15" s="1168" t="inlineStr">
        <is>
          <t>Planted Subtropical mountain systems</t>
        </is>
      </c>
      <c r="C15" s="1707" t="inlineStr">
        <is>
          <t>Planted Temperate mountain systems</t>
        </is>
      </c>
      <c r="D15" s="1707" t="n"/>
      <c r="E15" s="1707" t="n"/>
      <c r="G15" s="2492" t="n">
        <v>8</v>
      </c>
      <c r="H15" s="2493">
        <f>C31</f>
        <v/>
      </c>
      <c r="I15" s="2494">
        <f>IF( $H15 &lt;&gt; "Please select", CONCATENATE(H15,continent_selected), "")</f>
        <v/>
      </c>
      <c r="J15" s="2495">
        <f>IF($I15&lt;&gt;"",VLOOKUP(affo!$I15, IPCC!$C$924:$E$1467, 3, FALSE),0)</f>
        <v/>
      </c>
      <c r="K15" s="2496">
        <f>$J15*0.47</f>
        <v/>
      </c>
      <c r="L15" s="2497">
        <f>IF('2.LUC'!$BC43="",'2.LUC'!$BB43,'2.LUC'!$BC43)</f>
        <v/>
      </c>
      <c r="M15" s="2498">
        <f>IF(I15&lt;&gt;"",VLOOKUP(affo!$I15, IPCC!$C$924:$E$1467, 2, FALSE),0)</f>
        <v/>
      </c>
      <c r="N15" s="2496">
        <f>M15*0.47</f>
        <v/>
      </c>
      <c r="O15" s="2497">
        <f>IF('2.LUC'!$BF43="",'2.LUC'!$BE43,'2.LUC'!$BF43)</f>
        <v/>
      </c>
      <c r="P15" s="2498">
        <f>IF($H15&lt;&gt;"Please select", IF(OR($J15&lt;=125, $J15&lt;= 75),INDEX(IPCC!$B$618:$AI$633,MATCH(continent_selected,IPCC!$A$618:$A$633,0),MATCH($H15,IPCC!$B$616:$AI$616,0)),(IF(OR($J15&gt;125, $J15&gt;75),INDEX(IPCC!$AJ$618:$BS$633,MATCH(continent_selected,IPCC!$A$618:$A$633,0),MATCH($H15,IPCC!$AJ$616:$BS$616,0)),"")))*$J15,0)</f>
        <v/>
      </c>
      <c r="Q15" s="2496">
        <f>P15*0.47</f>
        <v/>
      </c>
      <c r="R15" s="2499">
        <f>IF('2.LUC'!$BI43="",'2.LUC'!$BH43,'2.LUC'!$BI43)</f>
        <v/>
      </c>
      <c r="S15" s="2500">
        <f>IF($H15 &lt;&gt;"Please select", IF(OR($M15 &lt;=125, $M15 &lt;= 75),INDEX(IPCC!$B$618:$AI$633,MATCH(continent_selected,IPCC!$A$618:$A$633,0),MATCH($H15,IPCC!$B$616:$AI$616,0)),(IF(OR($M15&gt;125, $M15&gt;75),INDEX(IPCC!$AJ$618:$BS$633,MATCH(continent_selected,IPCC!$A$618:$A$633,0),MATCH($H15,IPCC!$AJ$616:$BS$616,0)),"")))*$M15,0)</f>
        <v/>
      </c>
      <c r="T15" s="2496">
        <f>S15*0.47</f>
        <v/>
      </c>
      <c r="U15" s="2499">
        <f>IF('2.LUC'!$BK43="",'2.LUC'!$BJ43,'2.LUC'!$BK43)</f>
        <v/>
      </c>
      <c r="V15" s="2501">
        <f>IF($H15&lt;&gt;"Please select", VLOOKUP($H15, IPCC!$A$643:$B$677, 2, FALSE), 0)</f>
        <v/>
      </c>
      <c r="W15" s="2502">
        <f>IF('2.LUC'!$BQ43="",'2.LUC'!$BP43,'2.LUC'!$BQ43)</f>
        <v/>
      </c>
      <c r="X15" s="2501">
        <f>IF($H15&lt;&gt;"Please select",VLOOKUP($H15,IPCC!$A$643:$C$677,3,FALSE),0)</f>
        <v/>
      </c>
      <c r="Y15" s="2502">
        <f>IF('2.LUC'!$BT43="",'2.LUC'!$BS43,'2.LUC'!$BT43)</f>
        <v/>
      </c>
      <c r="Z15" s="2501">
        <f>IF($I15&lt;&gt; "", SOCref, 0)</f>
        <v/>
      </c>
      <c r="AA15" s="2503">
        <f>IF('2.LUC'!$BW43="",'2.LUC'!$BV43,'2.LUC'!$BW43)</f>
        <v/>
      </c>
      <c r="AB15" s="2483">
        <f>IF('2.LUC'!BN43&lt;&gt; "", '2.LUC'!BN43*44/12, IF(H15="Please select",0,IF(INDEX(IPCC!$A$590:$AK$606,MATCH($I$7,IPCC!$A$590:$A$606,0),MATCH(H15,IPCC!$A$590:$AK$590,0))&lt;= 125, INDEX(IPCC!$A$590:$AK$606,MATCH($I$7,IPCC!$A$590:$A$606,0),MATCH(H15,IPCC!$A$590:$AK$590,0))+(INDEX(IPCC!$A$590:$AK$606,MATCH($I$7,IPCC!$A$590:$A$606,0),MATCH(H15,IPCC!$A$590:$AK$590,0))*INDEX(IPCC!$A$617:$BS$633,MATCH($I$7,IPCC!$A$617:$A$633,0),MATCH(H15,IPCC!$A$616:$BS$616,0))),INDEX(IPCC!$A$590:$AK$606,MATCH($I$7,IPCC!$A$590:$A$606,0), MATCH(H15,IPCC!$A$590:$AK$590,0))+(INDEX(IPCC!$A$590:$AK$606,MATCH($I$7,IPCC!$A$590:$A$606,0),MATCH(H15,IPCC!$A$590:$AK$590,0))*INDEX(IPCC!$AJ$616:$BS$633,MATCH(continent_selected,IPCC!$A$616:$A$633,0),MATCH(H15,IPCC!$AJ$616:$BS$616,0)))))*0.47*44/12)</f>
        <v/>
      </c>
      <c r="AC15" s="2503">
        <f>IF(AB15&gt;H44, "yes", "no")</f>
        <v/>
      </c>
      <c r="AE15" s="2908" t="inlineStr">
        <is>
          <t>Affo 8</t>
        </is>
      </c>
      <c r="AF15" s="2919">
        <f>IF($F31="YES", $D44*$P31*methane/1000,0)</f>
        <v/>
      </c>
      <c r="AG15" s="2920">
        <f>IF($F31="YES", $F44*$P31*methane/1000,0)</f>
        <v/>
      </c>
      <c r="AH15" s="2920">
        <f>IF($F31="YES", $D44*$Q31*Nitrous/1000,0)</f>
        <v/>
      </c>
      <c r="AI15" s="2920">
        <f>IF($F31="YES", $F44*$Q31*Nitrous/1000,0)</f>
        <v/>
      </c>
      <c r="AJ15" s="2921">
        <f>-(44/12)*($S31*(IF(E44="Immediate",D44*MIN(20,time),D44*IF(time&gt;time+20,20,IF(time&lt;20,(time*VLOOKUP(E44, list!$J$48:$K$50, 2,))+(time-time),((MIN(20,time)*VLOOKUP(affo!E44, list!$J$48:$K$50, 2,)) + (time-MIN(20,time))-IF(affo!E44="Exponential",time-20+0.217*time*(EXP(4.606*(20-time)/time)-1),((time-20)^2)*(0.5/time)))))))+($T31*(IF(affo!E44="Immediate", affo!D44*(time-MIN(20,time)), affo!D44*IF(time&gt;time+20,(time*VLOOKUP(affo!E44, list!$J$48:$K$50,2,))+(time-time-20),IF(time&lt;20,0,IF(affo!E44="Exponential",time-20+0.217*time*(EXP(4.606*(20-time)/time)-1),((time-20)^2)*(0.5/time))))))))</f>
        <v/>
      </c>
      <c r="AK15" s="2921">
        <f>-(44/12)*($S31*(IF(G44="Immediate", F44*MIN(20,time), F44*IF(time&gt;time+20,20,IF(time&lt;20,(time*VLOOKUP(G44, list!$J$48:$K$50, 2,))+(time-time),((MIN(20,time)*VLOOKUP(affo!G44, list!$J$48:$K$50, 2,))+ (time-MIN(20,time))-IF(affo!G44="Exponential",time-20+0.217*time*(EXP(4.606*(20-time)/time)-1),((time-20)^2)*(0.5/time)))))))+($T31*(IF(affo!G44="Immediate", affo!F44*(time-MIN(20,time)), affo!F44*IF(time&gt;time+20,(time*VLOOKUP(affo!G44, list!$J$48:$K$50,2,))+(time-time-20),IF(time&lt;20,0,IF(affo!G44="Exponential",time-20+0.217*time*(EXP(4.606*(20-time)/time)-1),((time-20)^2)*(0.5/time))))))))</f>
        <v/>
      </c>
      <c r="AL15" s="2921">
        <f>IF(time=0,0,$L44)</f>
        <v/>
      </c>
      <c r="AM15" s="2921">
        <f>IF(time=0,0, $M44)</f>
        <v/>
      </c>
      <c r="AN15" s="2922">
        <f>IF(time=0,0,$J44)</f>
        <v/>
      </c>
      <c r="AO15" s="2921">
        <f>IF(time=0,0,$K44)</f>
        <v/>
      </c>
      <c r="AP15" s="2921">
        <f>$M31*(IF(E44="Immediate", D44*MIN(20,time), D44*IF(time&gt;=time+20,20,IF(time&lt;=20,(time*VLOOKUP(E44, list!$J$48:$K$50, 2,))+(time-time),((MIN(20,time)*VLOOKUP(affo!E44,  list!$J$48:$K$50,2,))+(time-MIN(20,time))-IF(affo!E44="Exponential",time-20+0.217*time*(EXP(4.606*(20-time)/time)-1),((time-20)^2)*(0.5/time)))))))</f>
        <v/>
      </c>
      <c r="AQ15" s="2923">
        <f>$M31*(IF(G44="Immediate", F44*MIN(20,time), F44*IF(time&gt;time+20,20,IF(time&lt;20,(time*VLOOKUP( G44,  list!$J$48:$K$50, 2,))+(time-time),((MIN(20,time)*VLOOKUP(affo!G44,  list!$J$48:$K$50,2,))+(time-MIN(20,time))-IF(affo!G44="Exponential",time-20+0.217*time*(EXP(4.606*(20-time)/time)-1),((time-20)^2)*(0.5/time)))))))</f>
        <v/>
      </c>
      <c r="AS15" s="1454">
        <f>IF($P31&gt;0, $D44, 0)</f>
        <v/>
      </c>
      <c r="AT15" s="1454">
        <f>IF($P31&gt;0, $F44, 0)</f>
        <v/>
      </c>
    </row>
    <row r="16" ht="15" customHeight="1">
      <c r="A16" s="1707" t="n"/>
      <c r="B16" s="1168" t="n"/>
      <c r="C16" s="973" t="inlineStr">
        <is>
          <t>Planted Temperate desert</t>
        </is>
      </c>
      <c r="D16" s="1707" t="n"/>
      <c r="E16" s="1707" t="n"/>
      <c r="G16" s="2504" t="n"/>
      <c r="H16" s="2505" t="n"/>
      <c r="J16" s="1663" t="n"/>
      <c r="K16" s="1663" t="n"/>
      <c r="L16" s="1663" t="n"/>
      <c r="M16" s="1663" t="n"/>
      <c r="N16" s="1663" t="n"/>
      <c r="O16" s="1663" t="n"/>
      <c r="P16" s="1663" t="n"/>
      <c r="Q16" s="1663" t="n"/>
      <c r="R16" s="1663" t="n"/>
      <c r="S16" s="1663" t="n"/>
      <c r="T16" s="1688" t="n"/>
      <c r="U16" s="1662" t="n"/>
      <c r="AS16" s="3511">
        <f>SUM(AS8:AS15)</f>
        <v/>
      </c>
      <c r="AT16" s="3511">
        <f>SUM(AT8:AT15)</f>
        <v/>
      </c>
    </row>
    <row r="17" ht="15" customHeight="1">
      <c r="A17" s="1747" t="n"/>
      <c r="B17" s="2506" t="n"/>
      <c r="C17" s="1747" t="inlineStr">
        <is>
          <t>Planted Temperate steppe</t>
        </is>
      </c>
      <c r="D17" s="1747" t="n"/>
      <c r="E17" s="1747" t="n"/>
      <c r="G17" s="2507" t="n"/>
      <c r="H17" s="2505" t="n"/>
      <c r="J17" s="1663" t="n"/>
      <c r="K17" s="1663" t="n"/>
      <c r="L17" s="1663" t="n"/>
      <c r="M17" s="1663" t="n"/>
      <c r="N17" s="1663" t="n"/>
      <c r="O17" s="1663" t="n"/>
      <c r="P17" s="1663" t="n"/>
      <c r="Q17" s="1663" t="n"/>
      <c r="R17" s="1663" t="n"/>
      <c r="S17" s="1663" t="n"/>
      <c r="T17" s="1688" t="n"/>
      <c r="U17" s="1662" t="n"/>
    </row>
    <row r="18" ht="15" customHeight="1"/>
    <row r="20" ht="21" customHeight="1">
      <c r="K20" s="2508" t="inlineStr">
        <is>
          <t>SOC (0-T)</t>
        </is>
      </c>
      <c r="L20" s="2508" t="inlineStr">
        <is>
          <t>ΔC Mineral</t>
        </is>
      </c>
      <c r="M20" s="2508" t="inlineStr">
        <is>
          <t>ΔC Mineral</t>
        </is>
      </c>
      <c r="N20" s="2508" t="inlineStr">
        <is>
          <t>MB</t>
        </is>
      </c>
      <c r="O20" s="2508" t="inlineStr">
        <is>
          <t>Cf</t>
        </is>
      </c>
      <c r="P20" s="1478" t="n"/>
      <c r="Q20" s="1462" t="n"/>
      <c r="R20" s="1462" t="n"/>
      <c r="S20" s="1482" t="inlineStr">
        <is>
          <t>Tot_biomass growth</t>
        </is>
      </c>
      <c r="T20" s="1482" t="inlineStr">
        <is>
          <t>Tot_biomass growth</t>
        </is>
      </c>
      <c r="U20" s="1482" t="inlineStr">
        <is>
          <t>DOM</t>
        </is>
      </c>
      <c r="V20" s="1482" t="inlineStr">
        <is>
          <t>DOM</t>
        </is>
      </c>
      <c r="W20" s="1482" t="inlineStr">
        <is>
          <t>Total biomass growth with annual rate</t>
        </is>
      </c>
      <c r="X20" s="1482" t="n"/>
      <c r="Y20" s="1482" t="inlineStr">
        <is>
          <t> </t>
        </is>
      </c>
      <c r="Z20" s="1482" t="inlineStr">
        <is>
          <t> </t>
        </is>
      </c>
      <c r="AA20" s="1482" t="inlineStr">
        <is>
          <t>Additional biomass availability</t>
        </is>
      </c>
      <c r="AB20" s="1482" t="n"/>
    </row>
    <row r="21">
      <c r="I21" s="1688" t="n"/>
      <c r="K21" s="1462" t="n"/>
      <c r="L21" s="2509" t="n"/>
      <c r="M21" s="2510" t="n"/>
      <c r="N21" s="2511" t="inlineStr">
        <is>
          <t xml:space="preserve">mass of fuel </t>
        </is>
      </c>
      <c r="O21" s="1462" t="inlineStr">
        <is>
          <t xml:space="preserve">the fraction </t>
        </is>
      </c>
      <c r="P21" s="2512" t="inlineStr">
        <is>
          <t xml:space="preserve">Non-CO2 emissions from biomass burning </t>
        </is>
      </c>
      <c r="Q21" s="1462" t="n"/>
      <c r="R21" s="1462" t="n"/>
      <c r="S21" s="1482" t="inlineStr">
        <is>
          <t>AGB + BGB</t>
        </is>
      </c>
      <c r="T21" s="1482" t="inlineStr">
        <is>
          <t>AGB + BGB</t>
        </is>
      </c>
      <c r="U21" s="1482" t="inlineStr">
        <is>
          <t>Litter + Dead wood</t>
        </is>
      </c>
      <c r="V21" s="1482" t="inlineStr">
        <is>
          <t>Litter + Dead wood</t>
        </is>
      </c>
      <c r="W21" s="1482" t="inlineStr">
        <is>
          <t>WOP</t>
        </is>
      </c>
      <c r="X21" s="1482" t="inlineStr">
        <is>
          <t>WP</t>
        </is>
      </c>
      <c r="Y21" s="1482" t="inlineStr">
        <is>
          <t>WOP</t>
        </is>
      </c>
      <c r="Z21" s="1482" t="inlineStr">
        <is>
          <t>WP</t>
        </is>
      </c>
      <c r="AA21" s="1482" t="inlineStr">
        <is>
          <t>WOP</t>
        </is>
      </c>
      <c r="AB21" s="1482" t="inlineStr">
        <is>
          <t>WP</t>
        </is>
      </c>
    </row>
    <row r="22" ht="18" customHeight="1">
      <c r="B22" s="1482" t="n"/>
      <c r="C22" s="3522" t="inlineStr">
        <is>
          <t>FINAL LU</t>
        </is>
      </c>
      <c r="D22" s="1482" t="inlineStr">
        <is>
          <t xml:space="preserve"> LU converted to FL</t>
        </is>
      </c>
      <c r="E22" s="2508" t="inlineStr">
        <is>
          <t>Agroforestry systems</t>
        </is>
      </c>
      <c r="F22" s="1482" t="inlineStr">
        <is>
          <t>Biomass burnt</t>
        </is>
      </c>
      <c r="G22" s="2513" t="n"/>
      <c r="H22" s="3523" t="inlineStr">
        <is>
          <t>LU converted to FL</t>
        </is>
      </c>
      <c r="I22" s="3523" t="inlineStr">
        <is>
          <t>Biomass of LUs converted to FL</t>
        </is>
      </c>
      <c r="J22" s="2508" t="inlineStr">
        <is>
          <t>FLU</t>
        </is>
      </c>
      <c r="K22" s="1482" t="n"/>
      <c r="L22" s="2514" t="inlineStr">
        <is>
          <t>SOC0 - SOC (0-T)</t>
        </is>
      </c>
      <c r="M22" s="2508" t="inlineStr">
        <is>
          <t>limited to 20 yrs</t>
        </is>
      </c>
      <c r="N22" s="2511" t="inlineStr">
        <is>
          <t xml:space="preserve"> for combustion</t>
        </is>
      </c>
      <c r="O22" s="1462" t="inlineStr">
        <is>
          <t xml:space="preserve"> combusted</t>
        </is>
      </c>
      <c r="P22" s="2515" t="inlineStr">
        <is>
          <t>CH4</t>
        </is>
      </c>
      <c r="Q22" s="2515" t="inlineStr">
        <is>
          <t>N2O</t>
        </is>
      </c>
      <c r="R22" s="2516" t="inlineStr">
        <is>
          <t>Total_non-CO2</t>
        </is>
      </c>
      <c r="S22" s="2508" t="inlineStr">
        <is>
          <t>( ≤ 20 years )</t>
        </is>
      </c>
      <c r="T22" s="1482" t="inlineStr">
        <is>
          <t>( &gt; 20 years )</t>
        </is>
      </c>
      <c r="U22" s="1482" t="n"/>
      <c r="V22" s="1482" t="n"/>
      <c r="W22" s="1482" t="inlineStr">
        <is>
          <t>AGB+BGB</t>
        </is>
      </c>
      <c r="X22" s="1482" t="inlineStr">
        <is>
          <t>AGB+BGB</t>
        </is>
      </c>
      <c r="Y22" s="1482" t="inlineStr">
        <is>
          <t>Total BGB</t>
        </is>
      </c>
      <c r="Z22" s="1482" t="inlineStr">
        <is>
          <t>Total BGB</t>
        </is>
      </c>
      <c r="AA22" s="1482" t="inlineStr">
        <is>
          <t>AGB+BGB</t>
        </is>
      </c>
      <c r="AB22" s="1482" t="inlineStr">
        <is>
          <t>AGB+BGB</t>
        </is>
      </c>
    </row>
    <row r="23">
      <c r="B23" s="2517" t="inlineStr">
        <is>
          <t>Afforestation</t>
        </is>
      </c>
      <c r="C23" s="3522" t="inlineStr">
        <is>
          <t>After Affo/Reforestation</t>
        </is>
      </c>
      <c r="D23" s="1482" t="n"/>
      <c r="E23" s="2508" t="inlineStr">
        <is>
          <t>converted to FL</t>
        </is>
      </c>
      <c r="F23" s="1482" t="inlineStr">
        <is>
          <t>before LUC</t>
        </is>
      </c>
      <c r="G23" s="2518" t="n"/>
      <c r="H23" s="3522" t="inlineStr">
        <is>
          <t>incl. agroforestry systems</t>
        </is>
      </c>
      <c r="I23" s="3523" t="inlineStr">
        <is>
          <t>tC/ha</t>
        </is>
      </c>
      <c r="J23" s="1462" t="inlineStr">
        <is>
          <t>dimensionless</t>
        </is>
      </c>
      <c r="K23" s="1478" t="inlineStr">
        <is>
          <t>tC/ha</t>
        </is>
      </c>
      <c r="L23" s="2508" t="inlineStr">
        <is>
          <t>tC/ha</t>
        </is>
      </c>
      <c r="M23" s="3523" t="inlineStr">
        <is>
          <t>tCO2/ha/yr</t>
        </is>
      </c>
      <c r="N23" s="1478" t="inlineStr">
        <is>
          <t>tonnes dry matter/ha</t>
        </is>
      </c>
      <c r="O23" s="1478" t="inlineStr">
        <is>
          <t>%</t>
        </is>
      </c>
      <c r="P23" s="1478" t="inlineStr">
        <is>
          <t>kg CH4</t>
        </is>
      </c>
      <c r="Q23" s="1478" t="inlineStr">
        <is>
          <t>kg N2O</t>
        </is>
      </c>
      <c r="R23" s="2519" t="inlineStr">
        <is>
          <t>tCO2 eq</t>
        </is>
      </c>
      <c r="S23" s="2519" t="inlineStr">
        <is>
          <t>t C/ha/yr</t>
        </is>
      </c>
      <c r="T23" s="2519" t="inlineStr">
        <is>
          <t>t C/ha/yr</t>
        </is>
      </c>
      <c r="U23" s="2520" t="inlineStr">
        <is>
          <t>tC/ha</t>
        </is>
      </c>
      <c r="V23" s="2520" t="inlineStr">
        <is>
          <t>tCO2/ha</t>
        </is>
      </c>
      <c r="W23" s="2520" t="inlineStr">
        <is>
          <t>tCO2</t>
        </is>
      </c>
      <c r="X23" s="2520" t="inlineStr">
        <is>
          <t>tCO2</t>
        </is>
      </c>
      <c r="Y23" s="2452" t="inlineStr">
        <is>
          <t>tCO2/ha</t>
        </is>
      </c>
      <c r="Z23" s="2452" t="inlineStr">
        <is>
          <t>tCO2/ha</t>
        </is>
      </c>
      <c r="AA23" s="2520" t="inlineStr">
        <is>
          <t>tCO2/ha</t>
        </is>
      </c>
      <c r="AB23" s="2520" t="inlineStr">
        <is>
          <t>tCO2/ha</t>
        </is>
      </c>
    </row>
    <row r="24">
      <c r="B24" s="2521" t="inlineStr">
        <is>
          <t>Affo 1</t>
        </is>
      </c>
      <c r="C24" s="1109">
        <f>'2.LUC'!$C36</f>
        <v/>
      </c>
      <c r="D24" s="1109">
        <f>'2.LUC'!$I36</f>
        <v/>
      </c>
      <c r="E24" s="1109">
        <f>'2.LUC'!$K36</f>
        <v/>
      </c>
      <c r="F24" s="1688">
        <f>'2.LUC'!$G36</f>
        <v/>
      </c>
      <c r="G24" s="2518" t="n"/>
      <c r="H24" s="1109">
        <f>IF('2.LUC'!$K36 = "Please select", IF('2.LUC'!$I36&lt;&gt;"Agroforestry", '2.LUC'!$I36, "Agroforestry - default"), '2.LUC'!$K36)</f>
        <v/>
      </c>
      <c r="I24" s="1144">
        <f>IF( '2.LUC'!$I36 &lt;&gt; "Please select", IF('2.LUC'!AT36=0, INDEX(IPCC!$D$1521:$Y$1680,MATCH(clim_moist_cont,IPCC!$C$1521:$C$1680,0),MATCH($H24,IPCC!$D$1520:$Y$1520,0)), '2.LUC'!AT36), 0)</f>
        <v/>
      </c>
      <c r="J24" s="2159">
        <f>IF( '2.LUC'!$I36 &lt;&gt; "Please select", INDEX(IPCC!$B$1689:$W$1698,MATCH(clim_moist, IPCC!$A$1689:$A$1698,0),MATCH(affo!$H24, IPCC!$B$1687:$W$1687,0)),0)</f>
        <v/>
      </c>
      <c r="K24" s="2159">
        <f>IF('2.LUC'!AW36=0, $J24*$Z8,'2.LUC'!AW36)</f>
        <v/>
      </c>
      <c r="L24" s="2159">
        <f>IF( '2.LUC'!$C36&lt;&gt; "Please select", VLOOKUP('2.LUC'!$C36, $H$8:$AA$15, 20, FALSE) - $K24, 0)</f>
        <v/>
      </c>
      <c r="M24" s="1145">
        <f>$L24*(-44/12)/20</f>
        <v/>
      </c>
      <c r="N24" s="1145">
        <f>$I24*(1/0.4)</f>
        <v/>
      </c>
      <c r="O24" s="1154">
        <f>IF($H24 &lt;&gt; "Please select", VLOOKUP(H24, IPCC!$A$1473:$B$1495,2, FALSE), 0)</f>
        <v/>
      </c>
      <c r="P24" s="2159">
        <f>IF($H24&lt;&gt; "Please select", $N24*$O24*VLOOKUP($H24, IPCC!$A$1473:$E$1496, 4, FALSE), 0)</f>
        <v/>
      </c>
      <c r="Q24" s="2159">
        <f>IF($H24&lt;&gt; "Please select", $N24*$O24*VLOOKUP($H24, IPCC!$A$1473:$E$1496, 5, FALSE), 0)</f>
        <v/>
      </c>
      <c r="R24" s="1145">
        <f>($P24*methane + $Q24*Nitrous)/1000</f>
        <v/>
      </c>
      <c r="S24" s="1145">
        <f>IF($C24&lt;&gt; "Please select", VLOOKUP($C24, $H$8:$U$15, 5, FALSE) + VLOOKUP($C24, $H$8:$U$15, 11, FALSE), 0)</f>
        <v/>
      </c>
      <c r="T24" s="1145">
        <f>IF($C24&lt;&gt; "Please select", VLOOKUP($C24, $H$8:$U$15, 8, FALSE) + VLOOKUP($C24, $H$8:$U$15, 14, FALSE), 0)</f>
        <v/>
      </c>
      <c r="U24" s="2159">
        <f>IF($C24&lt;&gt; "Please select", VLOOKUP($C24, $H$8:$Y$15, 16, FALSE) + VLOOKUP($C24, $H$8:$Y$15, 18, FALSE),0)</f>
        <v/>
      </c>
      <c r="V24" s="1195">
        <f>$U24*(-44/12)</f>
        <v/>
      </c>
      <c r="W24" s="1195">
        <f>-(44/12)*($S24*(IF(E37="Immediate",D37*MIN(20,time_tot),D37*IF(time_tot&gt;time+20,20,IF(time_tot&lt;20,(time*VLOOKUP(E37, list!$J$48:$K$50, 2,))+(time_tot-time),((MIN(20,time)*VLOOKUP(affo!E37, list!$J$48:$K$50, 2,)) + (time_tot-MIN(20,time))-IF(affo!E37="Exponential",time_tot-20+0.217*time*(EXP(4.606*(20-time_tot)/time)-1),((time_tot-20)^2)*(0.5/time)))))))+($T24*(IF(affo!E37="Immediate", affo!D37*(time_tot-MIN(20,time_tot)), affo!D37*IF(time_tot&gt;time+20,(time*VLOOKUP(affo!E37, list!$J$48:$K$50,2,))+(time_tot-time-20),IF(time_tot&lt;20,0,IF(affo!E37="Exponential",time_tot-20+0.217*time*(EXP(4.606*(20-time_tot)/time)-1),((time_tot-20)^2)*(0.5/time))))))))</f>
        <v/>
      </c>
      <c r="X24" s="1195">
        <f>-(44/12)*($S24*(IF(G37="Immediate", F37*MIN(20,time_tot), F37*IF(time_tot&gt;time+20,20,IF(time_tot&lt;20,(time*VLOOKUP(G37, list!$J$48:$K$50, 2,))+(time_tot-time),((MIN(20,time)*VLOOKUP(affo!G37, list!$J$48:$K$50, 2,))+ (time_tot-MIN(20,time))-IF(affo!G37="Exponential",time_tot-20+0.217*time*(EXP(4.606*(20-time_tot)/time)-1),((time_tot-20)^2)*(0.5/time)))))))+($T24*(IF(affo!G37="Immediate", affo!F37*(time_tot-MIN(20,time_tot)), affo!F37*IF(time_tot&gt;time+20,(time*VLOOKUP(affo!G37, list!$J$48:$K$50,2,))+(time_tot-time-20),IF(time_tot&lt;20,0,IF(affo!G37="Exponential",time_tot-20+0.217*time*(EXP(4.606*(20-time_tot)/time)-1),((time_tot-20)^2)*(0.5/time))))))))</f>
        <v/>
      </c>
      <c r="Y24" s="1195">
        <f>-(44/12)*(IF($C24&lt;&gt; "Please select", VLOOKUP($C24, $H$8:$U$15, 11, FALSE), 0)*(IF(E37="Immediate",D37*MIN(20,time_tot),D37*IF(time_tot&gt;time+20,20,IF(time_tot&lt;20,(time*VLOOKUP(E37, list!$J$48:$K$50, 2,))+(time_tot-time),((MIN(20,time)*VLOOKUP(affo!E37, list!$J$48:$K$50, 2,)) + (time_tot-MIN(20,time))-IF(affo!E37="Exponential",time_tot-20+0.217*time*(EXP(4.606*(20-time_tot)/time)-1),((time_tot-20)^2)*(0.5/time)))))))+(IF($C24&lt;&gt; "Please select", VLOOKUP($C24, $H$8:$U$15, 14, FALSE), 0)*(IF(affo!E37="Immediate", affo!D37*(time_tot-MIN(20,time_tot)), affo!D37*IF(time_tot&gt;time+20,(time*VLOOKUP(affo!E37, list!$J$48:$K$50,2,))+(time_tot-time-20),IF(time_tot&lt;20,0,IF(affo!E37="Exponential",time_tot-20+0.217*time*(EXP(4.606*(20-time_tot)/time)-1),((time_tot-20)^2)*(0.5/time))))))))</f>
        <v/>
      </c>
      <c r="Z24" s="1195">
        <f>-(44/12)*(IF($C24&lt;&gt; "Please select", VLOOKUP($C24, $H$8:$U$15, 11, FALSE), 0)*(IF(G37="Immediate", F37*MIN(20,time_tot), F37*IF(time_tot&gt;time+20,20,IF(time_tot&lt;20,(time*VLOOKUP(G37, list!$J$48:$K$50, 2,))+(time_tot-time),((MIN(20,time)*VLOOKUP(affo!G37, list!$J$48:$K$50, 2,))+ (time_tot-MIN(20,time))-IF(affo!G37="Exponential",time_tot-20+0.217*time*(EXP(4.606*(20-time_tot)/time)-1),((time_tot-20)^2)*(0.5/time)))))))+(IF($C24&lt;&gt; "Please select", VLOOKUP($C24, $H$8:$U$15, 14, FALSE), 0)*(IF(affo!G37="Immediate", affo!F37*(time_tot-MIN(20,time_tot)), affo!F37*IF(time_tot&gt;time+20,(time*VLOOKUP(affo!G37, list!$J$48:$K$50,2,))+(time_tot-time-20),IF(time_tot&lt;20,0,IF(affo!G37="Exponential",time_tot-20+0.217*time*(EXP(4.606*(20-time_tot)/time)-1),((time_tot-20)^2)*(0.5/time))))))))</f>
        <v/>
      </c>
      <c r="AA24" s="1195">
        <f>IF(W24&lt;-AB8*D37,(-W24-AB8*D37)-(-Y24-((INDEX(IPCC!$A$590:$AK$606,MATCH($I$7,IPCC!$A$590:$A$606,0),MATCH(H8,IPCC!$A$590:$AK$590,0))*INDEX(IPCC!$A$617:$BS$633,MATCH($I$7,IPCC!$A$617:$A$633,0),MATCH(H8,IPCC!$A$616:$BS$616,0))))*0.47*44/12*D37),0)</f>
        <v/>
      </c>
      <c r="AB24" s="1195">
        <f>IF(X24&lt;-AB8*F37,(-X24-AB8*F37)-(-Z24-((INDEX(IPCC!$A$590:$AK$606,MATCH($I$7,IPCC!$A$590:$A$606,0),MATCH(H8,IPCC!$A$590:$AK$590,0))*INDEX(IPCC!$A$617:$BS$633,MATCH($I$7,IPCC!$A$617:$A$633,0),MATCH(H8,IPCC!$A$616:$BS$616,0))))*0.47*44/12*F37),0)</f>
        <v/>
      </c>
      <c r="AK24" s="2548" t="inlineStr">
        <is>
          <t>All period in tCO2-e</t>
        </is>
      </c>
      <c r="AL24" s="2548" t="n"/>
      <c r="AM24" s="2548" t="n"/>
    </row>
    <row r="25">
      <c r="B25" s="2521" t="inlineStr">
        <is>
          <t>Affo 2</t>
        </is>
      </c>
      <c r="C25" s="1109">
        <f>'2.LUC'!$C37</f>
        <v/>
      </c>
      <c r="D25" s="1109">
        <f>'2.LUC'!$I37</f>
        <v/>
      </c>
      <c r="E25" s="1109">
        <f>'2.LUC'!$K37</f>
        <v/>
      </c>
      <c r="F25" s="1688">
        <f>'2.LUC'!$G37</f>
        <v/>
      </c>
      <c r="G25" s="2518" t="n"/>
      <c r="H25" s="1109">
        <f>IF('2.LUC'!$K37 = "Please select", IF('2.LUC'!$I37&lt;&gt;"Agroforestry", '2.LUC'!$I37, "Agroforestry - default"), '2.LUC'!$K37)</f>
        <v/>
      </c>
      <c r="I25" s="1144">
        <f>IF( '2.LUC'!$I37 &lt;&gt; "Please select", IF('2.LUC'!AT37=0, INDEX(IPCC!$D$1521:$Y$1680,MATCH(clim_moist_cont,IPCC!$C$1521:$C$1680,0),MATCH($H25,IPCC!$D$1520:$Y$1520,0)), '2.LUC'!AT37), 0)</f>
        <v/>
      </c>
      <c r="J25" s="2524">
        <f>IF( '2.LUC'!$I37 &lt;&gt; "Please select", INDEX(IPCC!$B$1689:$W$1698,MATCH(clim_moist, IPCC!$A$1689:$A$1698,0),MATCH(affo!$H25, IPCC!$B$1687:$W$1687,0)),0)</f>
        <v/>
      </c>
      <c r="K25" s="2159">
        <f>IF('2.LUC'!AW37=0, $J25*$Z9,'2.LUC'!AW37)</f>
        <v/>
      </c>
      <c r="L25" s="2159">
        <f>IF( '2.LUC'!$C37&lt;&gt; "Please select", VLOOKUP('2.LUC'!$C37, $H$8:$AA$15, 20, FALSE) - $K25, 0)</f>
        <v/>
      </c>
      <c r="M25" s="1147">
        <f>$L25*(-44/12)/20</f>
        <v/>
      </c>
      <c r="N25" s="1147">
        <f>$I25*(1/0.4)</f>
        <v/>
      </c>
      <c r="O25" s="1157">
        <f>IF($H25 &lt;&gt; "Please select", VLOOKUP(H25, IPCC!$A$1473:$B$1495,2, FALSE), 0)</f>
        <v/>
      </c>
      <c r="P25" s="2524">
        <f>IF($H25&lt;&gt; "Please select", $N25*$O25*VLOOKUP($H25, IPCC!$A$1473:$E$1496, 4, FALSE), 0)</f>
        <v/>
      </c>
      <c r="Q25" s="2524">
        <f>IF($H25&lt;&gt; "Please select", $N25*$O25*VLOOKUP($H25, IPCC!$A$1473:$E$1496, 5, FALSE), 0)</f>
        <v/>
      </c>
      <c r="R25" s="1147">
        <f>($P25*methane + $Q25*Nitrous)/1000</f>
        <v/>
      </c>
      <c r="S25" s="1145">
        <f>IF($C25&lt;&gt; "Please select", VLOOKUP($C25, $H$9:$U$15, 5, FALSE) + VLOOKUP($C25, $H$9:$U$15, 11, FALSE), 0)</f>
        <v/>
      </c>
      <c r="T25" s="1145">
        <f>IF($C25&lt;&gt; "Please select", VLOOKUP($C25, $H$9:$U$15, 8, FALSE) + VLOOKUP($C25, $H$9:$U$15, 14, FALSE), 0)</f>
        <v/>
      </c>
      <c r="U25" s="2159">
        <f>IF($C25&lt;&gt; "Please select", VLOOKUP($C25, $H$9:$Y$15, 16, FALSE) + VLOOKUP($C25, $H$9:$Y$15, 18, FALSE),0)</f>
        <v/>
      </c>
      <c r="V25" s="1197">
        <f>$U25*(-44/12)</f>
        <v/>
      </c>
      <c r="W25" s="1195">
        <f>-(44/12)*($S25*(IF(E38="Immediate",D38*MIN(20,time_tot),D38*IF(time_tot&gt;time+20,20,IF(time_tot&lt;20,(time*VLOOKUP(E38, list!$J$48:$K$50, 2,))+(time_tot-time),((MIN(20,time)*VLOOKUP(affo!E38, list!$J$48:$K$50, 2,)) + (time_tot-MIN(20,time))-IF(affo!E38="Exponential",time_tot-20+0.217*time*(EXP(4.606*(20-time_tot)/time)-1),((time_tot-20)^2)*(0.5/time)))))))+($T25*(IF(affo!E38="Immediate", affo!D38*(time_tot-MIN(20,time_tot)), affo!D38*IF(time_tot&gt;time+20,(time*VLOOKUP(affo!E38, list!$J$48:$K$50,2,))+(time_tot-time-20),IF(time_tot&lt;20,0,IF(affo!E38="Exponential",time_tot-20+0.217*time*(EXP(4.606*(20-time_tot)/time)-1),((time_tot-20)^2)*(0.5/time))))))))</f>
        <v/>
      </c>
      <c r="X25" s="1195">
        <f>-(44/12)*($S25*(IF(G38="Immediate", F38*MIN(20,time_tot), F38*IF(time_tot&gt;time+20,20,IF(time_tot&lt;20,(time*VLOOKUP(G38, list!$J$48:$K$50, 2,))+(time_tot-time),((MIN(20,time)*VLOOKUP(affo!G38, list!$J$48:$K$50, 2,))+ (time_tot-MIN(20,time))-IF(affo!G38="Exponential",time_tot-20+0.217*time*(EXP(4.606*(20-time_tot)/time)-1),((time_tot-20)^2)*(0.5/time)))))))+($T25*(IF(affo!G38="Immediate", affo!F38*(time_tot-MIN(20,time_tot)), affo!F38*IF(time_tot&gt;time+20,(time*VLOOKUP(affo!G38, list!$J$48:$K$50,2,))+(time_tot-time-20),IF(time_tot&lt;20,0,IF(affo!G38="Exponential",time_tot-20+0.217*time*(EXP(4.606*(20-time_tot)/time)-1),((time_tot-20)^2)*(0.5/time))))))))</f>
        <v/>
      </c>
      <c r="Y25" s="1195">
        <f>-(44/12)*(IF($C25&lt;&gt; "Please select", VLOOKUP($C25, $H$8:$U$15, 11, FALSE), 0)*(IF(E38="Immediate",D38*MIN(20,time_tot),D38*IF(time_tot&gt;time+20,20,IF(time_tot&lt;20,(time*VLOOKUP(E38, list!$J$48:$K$50, 2,))+(time_tot-time),((MIN(20,time)*VLOOKUP(affo!E38, list!$J$48:$K$50, 2,)) + (time_tot-MIN(20,time))-IF(affo!E38="Exponential",time_tot-20+0.217*time*(EXP(4.606*(20-time_tot)/time)-1),((time_tot-20)^2)*(0.5/time)))))))+(IF($C25&lt;&gt; "Please select", VLOOKUP($C25, $H$8:$U$15, 14, FALSE), 0)*(IF(affo!E38="Immediate", affo!D38*(time_tot-MIN(20,time_tot)), affo!D38*IF(time_tot&gt;time+20,(time*VLOOKUP(affo!E38, list!$J$48:$K$50,2,))+(time_tot-time-20),IF(time_tot&lt;20,0,IF(affo!E38="Exponential",time_tot-20+0.217*time*(EXP(4.606*(20-time_tot)/time)-1),((time_tot-20)^2)*(0.5/time))))))))</f>
        <v/>
      </c>
      <c r="Z25" s="1195">
        <f>-(44/12)*(IF($C25&lt;&gt; "Please select", VLOOKUP($C25, $H$8:$U$15, 11, FALSE), 0)*(IF(G38="Immediate", F38*MIN(20,time_tot), F38*IF(time_tot&gt;time+20,20,IF(time_tot&lt;20,(time*VLOOKUP(G38, list!$J$48:$K$50, 2,))+(time_tot-time),((MIN(20,time)*VLOOKUP(affo!G38, list!$J$48:$K$50, 2,))+ (time_tot-MIN(20,time))-IF(affo!G38="Exponential",time_tot-20+0.217*time*(EXP(4.606*(20-time_tot)/time)-1),((time_tot-20)^2)*(0.5/time)))))))+(IF($C25&lt;&gt; "Please select", VLOOKUP($C25, $H$8:$U$15, 14, FALSE), 0)*(IF(affo!G38="Immediate", affo!F38*(time_tot-MIN(20,time_tot)), affo!F38*IF(time_tot&gt;time+20,(time*VLOOKUP(affo!G38, list!$J$48:$K$50,2,))+(time_tot-time-20),IF(time_tot&lt;20,0,IF(affo!G38="Exponential",time_tot-20+0.217*time*(EXP(4.606*(20-time_tot)/time)-1),((time_tot-20)^2)*(0.5/time))))))))</f>
        <v/>
      </c>
      <c r="AA25" s="1195">
        <f>IF(W25&lt;-AB9*D38,(-W25-AB9*D38)-(-Y25-((INDEX(IPCC!$A$590:$AK$606,MATCH($I$7,IPCC!$A$590:$A$606,0),MATCH(H9,IPCC!$A$590:$AK$590,0))*INDEX(IPCC!$A$617:$BS$633,MATCH($I$7,IPCC!$A$617:$A$633,0),MATCH(H9,IPCC!$A$616:$BS$616,0))))*0.47*44/12*D38),0)</f>
        <v/>
      </c>
      <c r="AB25" s="1195">
        <f>IF(X25&lt;-AB9*F38,(-X25-AB9*F38)-(-Z25-((INDEX(IPCC!$A$590:$AK$606,MATCH($I$7,IPCC!$A$590:$A$606,0),MATCH(H9,IPCC!$A$590:$AK$590,0))*INDEX(IPCC!$A$617:$BS$633,MATCH($I$7,IPCC!$A$617:$A$633,0),MATCH(H9,IPCC!$A$616:$BS$616,0))))*0.47*44/12*F38),0)</f>
        <v/>
      </c>
      <c r="AK25" s="2522" t="inlineStr">
        <is>
          <t>Categories</t>
        </is>
      </c>
      <c r="AL25" s="2523" t="inlineStr">
        <is>
          <t>Without</t>
        </is>
      </c>
      <c r="AM25" s="2523" t="inlineStr">
        <is>
          <t>With</t>
        </is>
      </c>
    </row>
    <row r="26">
      <c r="B26" s="2521" t="inlineStr">
        <is>
          <t>Affo 3</t>
        </is>
      </c>
      <c r="C26" s="1109">
        <f>'2.LUC'!$C38</f>
        <v/>
      </c>
      <c r="D26" s="1109">
        <f>'2.LUC'!$I38</f>
        <v/>
      </c>
      <c r="E26" s="1109">
        <f>'2.LUC'!$K38</f>
        <v/>
      </c>
      <c r="F26" s="1688">
        <f>'2.LUC'!$G38</f>
        <v/>
      </c>
      <c r="G26" s="2518" t="n"/>
      <c r="H26" s="1109">
        <f>IF('2.LUC'!$K38 = "Please select", IF('2.LUC'!$I38&lt;&gt;"Agroforestry", '2.LUC'!$I38, "Agroforestry - default"), '2.LUC'!$K38)</f>
        <v/>
      </c>
      <c r="I26" s="1144">
        <f>IF( '2.LUC'!$I38 &lt;&gt; "Please select", IF('2.LUC'!AT38=0, INDEX(IPCC!$D$1521:$Y$1680,MATCH(clim_moist_cont,IPCC!$C$1521:$C$1680,0),MATCH($H26,IPCC!$D$1520:$Y$1520,0)), '2.LUC'!AT38), 0)</f>
        <v/>
      </c>
      <c r="J26" s="2524">
        <f>IF( '2.LUC'!$I38 &lt;&gt; "Please select", INDEX(IPCC!$B$1689:$W$1698,MATCH(clim_moist, IPCC!$A$1689:$A$1698,0),MATCH(affo!$H26, IPCC!$B$1687:$W$1687,0)),0)</f>
        <v/>
      </c>
      <c r="K26" s="2159">
        <f>IF('2.LUC'!AW38=0, $J26*$Z10,'2.LUC'!AW38)</f>
        <v/>
      </c>
      <c r="L26" s="2159">
        <f>IF( '2.LUC'!$C38&lt;&gt; "Please select", VLOOKUP('2.LUC'!$C38, $H$8:$AA$15, 20, FALSE) - $K26, 0)</f>
        <v/>
      </c>
      <c r="M26" s="1147">
        <f>$L26*(-44/12)/20</f>
        <v/>
      </c>
      <c r="N26" s="1147">
        <f>$I26*(1/0.4)</f>
        <v/>
      </c>
      <c r="O26" s="1157">
        <f>IF($H26 &lt;&gt; "Please select", VLOOKUP(H26, IPCC!$A$1473:$B$1495,2, FALSE), 0)</f>
        <v/>
      </c>
      <c r="P26" s="2524">
        <f>IF($H26&lt;&gt; "Please select", $N26*$O26*VLOOKUP($H26, IPCC!$A$1473:$E$1496, 4, FALSE), 0)</f>
        <v/>
      </c>
      <c r="Q26" s="2524">
        <f>IF($H26&lt;&gt; "Please select", $N26*$O26*VLOOKUP($H26, IPCC!$A$1473:$E$1496, 5, FALSE), 0)</f>
        <v/>
      </c>
      <c r="R26" s="1147">
        <f>($P26*methane + $Q26*Nitrous)/1000</f>
        <v/>
      </c>
      <c r="S26" s="1145">
        <f>IF($C26&lt;&gt; "Please select", VLOOKUP($C26, $H$10:$U$15, 5, FALSE) + VLOOKUP($C26, $H$10:$U$15, 11, FALSE), 0)</f>
        <v/>
      </c>
      <c r="T26" s="1145">
        <f>IF($C26&lt;&gt; "Please select", VLOOKUP($C26, $H$10:$U$15, 8, FALSE) + VLOOKUP($C26, $H$10:$U$15, 14, FALSE), 0)</f>
        <v/>
      </c>
      <c r="U26" s="2159">
        <f>IF($C26&lt;&gt; "Please select", VLOOKUP($C26, $H$10:$Y$15, 16, FALSE) + VLOOKUP($C26, $H$10:$Y$15, 18, FALSE),0)</f>
        <v/>
      </c>
      <c r="V26" s="1197">
        <f>$U26*(-44/12)</f>
        <v/>
      </c>
      <c r="W26" s="1195">
        <f>-(44/12)*($S26*(IF(E39="Immediate",D39*MIN(20,time_tot),D39*IF(time_tot&gt;time+20,20,IF(time_tot&lt;20,(time*VLOOKUP(E39, list!$J$48:$K$50, 2,))+(time_tot-time),((MIN(20,time)*VLOOKUP(affo!E39, list!$J$48:$K$50, 2,)) + (time_tot-MIN(20,time))-IF(affo!E39="Exponential",time_tot-20+0.217*time*(EXP(4.606*(20-time_tot)/time)-1),((time_tot-20)^2)*(0.5/time)))))))+($T26*(IF(affo!E39="Immediate", affo!D39*(time_tot-MIN(20,time_tot)), affo!D39*IF(time_tot&gt;time+20,(time*VLOOKUP(affo!E39, list!$J$48:$K$50,2,))+(time_tot-time-20),IF(time_tot&lt;20,0,IF(affo!E39="Exponential",time_tot-20+0.217*time*(EXP(4.606*(20-time_tot)/time)-1),((time_tot-20)^2)*(0.5/time))))))))</f>
        <v/>
      </c>
      <c r="X26" s="1195">
        <f>-(44/12)*($S26*(IF(G39="Immediate", F39*MIN(20,time_tot), F39*IF(time_tot&gt;time+20,20,IF(time_tot&lt;20,(time*VLOOKUP(G39, list!$J$48:$K$50, 2,))+(time_tot-time),((MIN(20,time)*VLOOKUP(affo!G39, list!$J$48:$K$50, 2,))+ (time_tot-MIN(20,time))-IF(affo!G39="Exponential",time_tot-20+0.217*time*(EXP(4.606*(20-time_tot)/time)-1),((time_tot-20)^2)*(0.5/time)))))))+($T26*(IF(affo!G39="Immediate", affo!F39*(time_tot-MIN(20,time_tot)), affo!F39*IF(time_tot&gt;time+20,(time*VLOOKUP(affo!G39, list!$J$48:$K$50,2,))+(time_tot-time-20),IF(time_tot&lt;20,0,IF(affo!G39="Exponential",time_tot-20+0.217*time*(EXP(4.606*(20-time_tot)/time)-1),((time_tot-20)^2)*(0.5/time))))))))</f>
        <v/>
      </c>
      <c r="Y26" s="1195">
        <f>-(44/12)*(IF($C26&lt;&gt; "Please select", VLOOKUP($C26, $H$8:$U$15, 11, FALSE), 0)*(IF(E39="Immediate",D39*MIN(20,time_tot),D39*IF(time_tot&gt;time+20,20,IF(time_tot&lt;20,(time*VLOOKUP(E39, list!$J$48:$K$50, 2,))+(time_tot-time),((MIN(20,time)*VLOOKUP(affo!E39, list!$J$48:$K$50, 2,)) + (time_tot-MIN(20,time))-IF(affo!E39="Exponential",time_tot-20+0.217*time*(EXP(4.606*(20-time_tot)/time)-1),((time_tot-20)^2)*(0.5/time)))))))+(IF($C26&lt;&gt; "Please select", VLOOKUP($C26, $H$8:$U$15, 14, FALSE), 0)*(IF(affo!E39="Immediate", affo!D39*(time_tot-MIN(20,time_tot)), affo!D39*IF(time_tot&gt;time+20,(time*VLOOKUP(affo!E39, list!$J$48:$K$50,2,))+(time_tot-time-20),IF(time_tot&lt;20,0,IF(affo!E39="Exponential",time_tot-20+0.217*time*(EXP(4.606*(20-time_tot)/time)-1),((time_tot-20)^2)*(0.5/time))))))))</f>
        <v/>
      </c>
      <c r="Z26" s="1195">
        <f>-(44/12)*(IF($C26&lt;&gt; "Please select", VLOOKUP($C26, $H$8:$U$15, 11, FALSE), 0)*(IF(G39="Immediate", F39*MIN(20,time_tot), F39*IF(time_tot&gt;time+20,20,IF(time_tot&lt;20,(time*VLOOKUP(G39, list!$J$48:$K$50, 2,))+(time_tot-time),((MIN(20,time)*VLOOKUP(affo!G39, list!$J$48:$K$50, 2,))+ (time_tot-MIN(20,time))-IF(affo!G39="Exponential",time_tot-20+0.217*time*(EXP(4.606*(20-time_tot)/time)-1),((time_tot-20)^2)*(0.5/time)))))))+(IF($C26&lt;&gt; "Please select", VLOOKUP($C26, $H$8:$U$15, 14, FALSE), 0)*(IF(affo!G39="Immediate", affo!F39*(time_tot-MIN(20,time_tot)), affo!F39*IF(time_tot&gt;time+20,(time*VLOOKUP(affo!G39, list!$J$48:$K$50,2,))+(time_tot-time-20),IF(time_tot&lt;20,0,IF(affo!G39="Exponential",time_tot-20+0.217*time*(EXP(4.606*(20-time_tot)/time)-1),((time_tot-20)^2)*(0.5/time))))))))</f>
        <v/>
      </c>
      <c r="AA26" s="1195">
        <f>IF(W26&lt;-AB10*D39,(-W26-AB10*D39)-(-Y26-((INDEX(IPCC!$A$590:$AK$606,MATCH($I$7,IPCC!$A$590:$A$606,0),MATCH(H10,IPCC!$A$590:$AK$590,0))*INDEX(IPCC!$A$617:$BS$633,MATCH($I$7,IPCC!$A$617:$A$633,0),MATCH(H10,IPCC!$A$616:$BS$616,0))))*0.47*44/12*D39),0)</f>
        <v/>
      </c>
      <c r="AB26" s="1195">
        <f>IF(X26&lt;-AB10*F39,(-X26-AB10*F39)-(-Z26-((INDEX(IPCC!$A$590:$AK$606,MATCH($I$7,IPCC!$A$590:$A$606,0),MATCH(H10,IPCC!$A$590:$AK$590,0))*INDEX(IPCC!$A$617:$BS$633,MATCH($I$7,IPCC!$A$617:$A$633,0),MATCH(H10,IPCC!$A$616:$BS$616,0))))*0.47*44/12*F39),0)</f>
        <v/>
      </c>
      <c r="AK26" s="3524" t="inlineStr">
        <is>
          <t>CO2 Biomass</t>
        </is>
      </c>
      <c r="AL26" s="2525">
        <f>SUM(L37:L44)+SUM(H37:H44)</f>
        <v/>
      </c>
      <c r="AM26" s="2526">
        <f>SUM(I37:I44)+SUM(M37:M44)</f>
        <v/>
      </c>
    </row>
    <row r="27">
      <c r="B27" s="2521" t="inlineStr">
        <is>
          <t>Affo 4</t>
        </is>
      </c>
      <c r="C27" s="1109">
        <f>'2.LUC'!$C39</f>
        <v/>
      </c>
      <c r="D27" s="1109">
        <f>'2.LUC'!$I39</f>
        <v/>
      </c>
      <c r="E27" s="1109">
        <f>'2.LUC'!$K39</f>
        <v/>
      </c>
      <c r="F27" s="1688">
        <f>'2.LUC'!$G39</f>
        <v/>
      </c>
      <c r="G27" s="2518" t="n"/>
      <c r="H27" s="1109">
        <f>IF('2.LUC'!$K39 = "Please select", IF('2.LUC'!$I39&lt;&gt;"Agroforestry", '2.LUC'!$I39, "Agroforestry - default"), '2.LUC'!$K39)</f>
        <v/>
      </c>
      <c r="I27" s="1144">
        <f>IF( '2.LUC'!$I39 &lt;&gt; "Please select", IF('2.LUC'!AT39=0, INDEX(IPCC!$D$1521:$Y$1680,MATCH(clim_moist_cont,IPCC!$C$1521:$C$1680,0),MATCH($H27,IPCC!$D$1520:$Y$1520,0)), '2.LUC'!AT39), 0)</f>
        <v/>
      </c>
      <c r="J27" s="2524">
        <f>IF( '2.LUC'!$I39 &lt;&gt; "Please select", INDEX(IPCC!$B$1689:$W$1698,MATCH(clim_moist, IPCC!$A$1689:$A$1698,0),MATCH(affo!$H27, IPCC!$B$1687:$W$1687,0)),0)</f>
        <v/>
      </c>
      <c r="K27" s="2159">
        <f>IF('2.LUC'!AW39=0, $J27*$Z11,'2.LUC'!AW39)</f>
        <v/>
      </c>
      <c r="L27" s="2159">
        <f>IF( '2.LUC'!$C39&lt;&gt; "Please select", VLOOKUP('2.LUC'!$C39, $H$8:$AA$15, 20, FALSE) - $K27, 0)</f>
        <v/>
      </c>
      <c r="M27" s="1147">
        <f>$L27*(-44/12)/20</f>
        <v/>
      </c>
      <c r="N27" s="1147">
        <f>$I27*(1/0.4)</f>
        <v/>
      </c>
      <c r="O27" s="1157">
        <f>IF($H27 &lt;&gt; "Please select", VLOOKUP(H27, IPCC!$A$1473:$B$1495,2, FALSE), 0)</f>
        <v/>
      </c>
      <c r="P27" s="2524">
        <f>IF($H27&lt;&gt; "Please select", $N27*$O27*VLOOKUP($H27, IPCC!$A$1473:$E$1496, 4, FALSE), 0)</f>
        <v/>
      </c>
      <c r="Q27" s="2524">
        <f>IF($H27&lt;&gt; "Please select", $N27*$O27*VLOOKUP($H27, IPCC!$A$1473:$E$1496, 5, FALSE), 0)</f>
        <v/>
      </c>
      <c r="R27" s="1147">
        <f>($P27*methane + $Q27*Nitrous)/1000</f>
        <v/>
      </c>
      <c r="S27" s="1145">
        <f>IF($C27&lt;&gt; "Please select", VLOOKUP($C27, $H$11:$U$15, 5, FALSE) + VLOOKUP($C27, $H$11:$U$15, 11, FALSE), 0)</f>
        <v/>
      </c>
      <c r="T27" s="1145">
        <f>IF($C27&lt;&gt; "Please select", VLOOKUP($C27, $H$11:$U$15, 8, FALSE) + VLOOKUP($C27, $H$11:$U$15, 14, FALSE), 0)</f>
        <v/>
      </c>
      <c r="U27" s="2159">
        <f>IF($C27&lt;&gt; "Please select", VLOOKUP($C27, $H$11:$Y$15, 16, FALSE) + VLOOKUP($C27, $H$11:$Y$15, 18, FALSE),0)</f>
        <v/>
      </c>
      <c r="V27" s="1197">
        <f>$U27*(-44/12)</f>
        <v/>
      </c>
      <c r="W27" s="1195">
        <f>-(44/12)*($S27*(IF(E40="Immediate",D40*MIN(20,time_tot),D40*IF(time_tot&gt;time+20,20,IF(time_tot&lt;20,(time*VLOOKUP(E40, list!$J$48:$K$50, 2,))+(time_tot-time),((MIN(20,time)*VLOOKUP(affo!E40, list!$J$48:$K$50, 2,)) + (time_tot-MIN(20,time))-IF(affo!E40="Exponential",time_tot-20+0.217*time*(EXP(4.606*(20-time_tot)/time)-1),((time_tot-20)^2)*(0.5/time)))))))+($T27*(IF(affo!E40="Immediate", affo!D40*(time_tot-MIN(20,time_tot)), affo!D40*IF(time_tot&gt;time+20,(time*VLOOKUP(affo!E40, list!$J$48:$K$50,2,))+(time_tot-time-20),IF(time_tot&lt;20,0,IF(affo!E40="Exponential",time_tot-20+0.217*time*(EXP(4.606*(20-time_tot)/time)-1),((time_tot-20)^2)*(0.5/time))))))))</f>
        <v/>
      </c>
      <c r="X27" s="1195">
        <f>-(44/12)*($S27*(IF(G40="Immediate", F40*MIN(20,time_tot), F40*IF(time_tot&gt;time+20,20,IF(time_tot&lt;20,(time*VLOOKUP(G40, list!$J$48:$K$50, 2,))+(time_tot-time),((MIN(20,time)*VLOOKUP(affo!G40, list!$J$48:$K$50, 2,))+ (time_tot-MIN(20,time))-IF(affo!G40="Exponential",time_tot-20+0.217*time*(EXP(4.606*(20-time_tot)/time)-1),((time_tot-20)^2)*(0.5/time)))))))+($T27*(IF(affo!G40="Immediate", affo!F40*(time_tot-MIN(20,time_tot)), affo!F40*IF(time_tot&gt;time+20,(time*VLOOKUP(affo!G40, list!$J$48:$K$50,2,))+(time_tot-time-20),IF(time_tot&lt;20,0,IF(affo!G40="Exponential",time_tot-20+0.217*time*(EXP(4.606*(20-time_tot)/time)-1),((time_tot-20)^2)*(0.5/time))))))))</f>
        <v/>
      </c>
      <c r="Y27" s="1195">
        <f>-(44/12)*(IF($C27&lt;&gt; "Please select", VLOOKUP($C27, $H$8:$U$15, 11, FALSE), 0)*(IF(E40="Immediate",D40*MIN(20,time_tot),D40*IF(time_tot&gt;time+20,20,IF(time_tot&lt;20,(time*VLOOKUP(E40, list!$J$48:$K$50, 2,))+(time_tot-time),((MIN(20,time)*VLOOKUP(affo!E40, list!$J$48:$K$50, 2,)) + (time_tot-MIN(20,time))-IF(affo!E40="Exponential",time_tot-20+0.217*time*(EXP(4.606*(20-time_tot)/time)-1),((time_tot-20)^2)*(0.5/time)))))))+(IF($C27&lt;&gt; "Please select", VLOOKUP($C27, $H$8:$U$15, 14, FALSE), 0)*(IF(affo!E40="Immediate", affo!D40*(time_tot-MIN(20,time_tot)), affo!D40*IF(time_tot&gt;time+20,(time*VLOOKUP(affo!E40, list!$J$48:$K$50,2,))+(time_tot-time-20),IF(time_tot&lt;20,0,IF(affo!E40="Exponential",time_tot-20+0.217*time*(EXP(4.606*(20-time_tot)/time)-1),((time_tot-20)^2)*(0.5/time))))))))</f>
        <v/>
      </c>
      <c r="Z27" s="1195">
        <f>-(44/12)*(IF($C27&lt;&gt; "Please select", VLOOKUP($C27, $H$8:$U$15, 11, FALSE), 0)*(IF(G40="Immediate", F40*MIN(20,time_tot), F40*IF(time_tot&gt;time+20,20,IF(time_tot&lt;20,(time*VLOOKUP(G40, list!$J$48:$K$50, 2,))+(time_tot-time),((MIN(20,time)*VLOOKUP(affo!G40, list!$J$48:$K$50, 2,))+ (time_tot-MIN(20,time))-IF(affo!G40="Exponential",time_tot-20+0.217*time*(EXP(4.606*(20-time_tot)/time)-1),((time_tot-20)^2)*(0.5/time)))))))+(IF($C27&lt;&gt; "Please select", VLOOKUP($C27, $H$8:$U$15, 14, FALSE), 0)*(IF(affo!G40="Immediate", affo!F40*(time_tot-MIN(20,time_tot)), affo!F40*IF(time_tot&gt;time+20,(time*VLOOKUP(affo!G40, list!$J$48:$K$50,2,))+(time_tot-time-20),IF(time_tot&lt;20,0,IF(affo!G40="Exponential",time_tot-20+0.217*time*(EXP(4.606*(20-time_tot)/time)-1),((time_tot-20)^2)*(0.5/time))))))))</f>
        <v/>
      </c>
      <c r="AA27" s="1195">
        <f>IF(W27&lt;-AB11*D40,(-W27-AB11*D40)-(-Y27-((INDEX(IPCC!$A$590:$AK$606,MATCH($I$7,IPCC!$A$590:$A$606,0),MATCH(H11,IPCC!$A$590:$AK$590,0))*INDEX(IPCC!$A$617:$BS$633,MATCH($I$7,IPCC!$A$617:$A$633,0),MATCH(H11,IPCC!$A$616:$BS$616,0))))*0.47*44/12*D40),0)</f>
        <v/>
      </c>
      <c r="AB27" s="1195">
        <f>IF(X27&lt;-AB11*F40,(-X27-AB11*F40)-(-Z27-((INDEX(IPCC!$A$590:$AK$606,MATCH($I$7,IPCC!$A$590:$A$606,0),MATCH(H11,IPCC!$A$590:$AK$590,0))*INDEX(IPCC!$A$617:$BS$633,MATCH($I$7,IPCC!$A$617:$A$633,0),MATCH(H11,IPCC!$A$616:$BS$616,0))))*0.47*44/12*F40),0)</f>
        <v/>
      </c>
      <c r="AK27" s="3524" t="inlineStr">
        <is>
          <t>CO2 DOM</t>
        </is>
      </c>
      <c r="AL27" s="1314">
        <f>SUM(J37:J44)</f>
        <v/>
      </c>
      <c r="AM27" s="2528">
        <f>SUM(K37:K44)</f>
        <v/>
      </c>
    </row>
    <row r="28">
      <c r="B28" s="2521" t="inlineStr">
        <is>
          <t>Affo 5</t>
        </is>
      </c>
      <c r="C28" s="1109">
        <f>'2.LUC'!$C40</f>
        <v/>
      </c>
      <c r="D28" s="1109">
        <f>'2.LUC'!$I40</f>
        <v/>
      </c>
      <c r="E28" s="1109">
        <f>'2.LUC'!$K40</f>
        <v/>
      </c>
      <c r="F28" s="1688">
        <f>'2.LUC'!$G40</f>
        <v/>
      </c>
      <c r="G28" s="2518" t="n"/>
      <c r="H28" s="1109">
        <f>IF('2.LUC'!$K40 = "Please select", IF('2.LUC'!$I40&lt;&gt;"Agroforestry", '2.LUC'!$I40, "Agroforestry - default"), '2.LUC'!$K40)</f>
        <v/>
      </c>
      <c r="I28" s="1144">
        <f>IF( '2.LUC'!$I40 &lt;&gt; "Please select", IF('2.LUC'!AT40=0, INDEX(IPCC!$D$1521:$Y$1680,MATCH(clim_moist_cont,IPCC!$C$1521:$C$1680,0),MATCH($H28,IPCC!$D$1520:$Y$1520,0)), '2.LUC'!AT40), 0)</f>
        <v/>
      </c>
      <c r="J28" s="2524">
        <f>IF( '2.LUC'!$I40 &lt;&gt; "Please select", INDEX(IPCC!$B$1689:$W$1698,MATCH(clim_moist, IPCC!$A$1689:$A$1698,0),MATCH(affo!$H28, IPCC!$B$1687:$W$1687,0)),0)</f>
        <v/>
      </c>
      <c r="K28" s="2159">
        <f>IF('2.LUC'!AW40=0, $J28*$Z12,'2.LUC'!AW40)</f>
        <v/>
      </c>
      <c r="L28" s="2159">
        <f>IF( '2.LUC'!$C40&lt;&gt; "Please select", VLOOKUP('2.LUC'!$C40, $H$8:$AA$15, 20, FALSE) - $K28, 0)</f>
        <v/>
      </c>
      <c r="M28" s="1147">
        <f>$L28*(-44/12)/20</f>
        <v/>
      </c>
      <c r="N28" s="1147">
        <f>$I28*(1/0.4)</f>
        <v/>
      </c>
      <c r="O28" s="1157">
        <f>IF($H28 &lt;&gt; "Please select", VLOOKUP(H28, IPCC!$A$1473:$B$1495,2, FALSE), 0)</f>
        <v/>
      </c>
      <c r="P28" s="2524">
        <f>IF($H28&lt;&gt; "Please select", $N28*$O28*VLOOKUP($H28, IPCC!$A$1473:$E$1496, 4, FALSE), 0)</f>
        <v/>
      </c>
      <c r="Q28" s="2524">
        <f>IF($H28&lt;&gt; "Please select", $N28*$O28*VLOOKUP($H28, IPCC!$A$1473:$E$1496, 5, FALSE), 0)</f>
        <v/>
      </c>
      <c r="R28" s="1147">
        <f>($P28*methane + $Q28*Nitrous)/1000</f>
        <v/>
      </c>
      <c r="S28" s="1145">
        <f>IF($C28&lt;&gt; "Please select", VLOOKUP($C28, $H$12:$U$15, 5, FALSE) + VLOOKUP($C28, $H$12:$U$15, 11, FALSE), 0)</f>
        <v/>
      </c>
      <c r="T28" s="1145">
        <f>IF($C28&lt;&gt; "Please select", VLOOKUP($C28, $H$12:$U$15, 8, FALSE) + VLOOKUP($C28, $H$12:$U$15, 14, FALSE), 0)</f>
        <v/>
      </c>
      <c r="U28" s="2159">
        <f>IF($C28&lt;&gt; "Please select", VLOOKUP($C28, $H$12:$Y$15, 16, FALSE) + VLOOKUP($C28, $H$12:$Y$15, 18, FALSE),0)</f>
        <v/>
      </c>
      <c r="V28" s="1197">
        <f>$U28*(-44/12)</f>
        <v/>
      </c>
      <c r="W28" s="1195">
        <f>-(44/12)*($S28*(IF(E41="Immediate",D41*MIN(20,time_tot),D41*IF(time_tot&gt;time+20,20,IF(time_tot&lt;20,(time*VLOOKUP(E41, list!$J$48:$K$50, 2,))+(time_tot-time),((MIN(20,time)*VLOOKUP(affo!E41, list!$J$48:$K$50, 2,)) + (time_tot-MIN(20,time))-IF(affo!E41="Exponential",time_tot-20+0.217*time*(EXP(4.606*(20-time_tot)/time)-1),((time_tot-20)^2)*(0.5/time)))))))+($T28*(IF(affo!E41="Immediate", affo!D41*(time_tot-MIN(20,time_tot)), affo!D41*IF(time_tot&gt;time+20,(time*VLOOKUP(affo!E41, list!$J$48:$K$50,2,))+(time_tot-time-20),IF(time_tot&lt;20,0,IF(affo!E41="Exponential",time_tot-20+0.217*time*(EXP(4.606*(20-time_tot)/time)-1),((time_tot-20)^2)*(0.5/time))))))))</f>
        <v/>
      </c>
      <c r="X28" s="1195">
        <f>-(44/12)*($S28*(IF(G41="Immediate", F41*MIN(20,time_tot), F41*IF(time_tot&gt;time+20,20,IF(time_tot&lt;20,(time*VLOOKUP(G41, list!$J$48:$K$50, 2,))+(time_tot-time),((MIN(20,time)*VLOOKUP(affo!G41, list!$J$48:$K$50, 2,))+ (time_tot-MIN(20,time))-IF(affo!G41="Exponential",time_tot-20+0.217*time*(EXP(4.606*(20-time_tot)/time)-1),((time_tot-20)^2)*(0.5/time)))))))+($T28*(IF(affo!G41="Immediate", affo!F41*(time_tot-MIN(20,time_tot)), affo!F41*IF(time_tot&gt;time+20,(time*VLOOKUP(affo!G41, list!$J$48:$K$50,2,))+(time_tot-time-20),IF(time_tot&lt;20,0,IF(affo!G41="Exponential",time_tot-20+0.217*time*(EXP(4.606*(20-time_tot)/time)-1),((time_tot-20)^2)*(0.5/time))))))))</f>
        <v/>
      </c>
      <c r="Y28" s="1195">
        <f>-(44/12)*(IF($C28&lt;&gt; "Please select", VLOOKUP($C28, $H$8:$U$15, 11, FALSE), 0)*(IF(E41="Immediate",D41*MIN(20,time_tot),D41*IF(time_tot&gt;time+20,20,IF(time_tot&lt;20,(time*VLOOKUP(E41, list!$J$48:$K$50, 2,))+(time_tot-time),((MIN(20,time)*VLOOKUP(affo!E41, list!$J$48:$K$50, 2,)) + (time_tot-MIN(20,time))-IF(affo!E41="Exponential",time_tot-20+0.217*time*(EXP(4.606*(20-time_tot)/time)-1),((time_tot-20)^2)*(0.5/time)))))))+(IF($C28&lt;&gt; "Please select", VLOOKUP($C28, $H$8:$U$15, 14, FALSE), 0)*(IF(affo!E41="Immediate", affo!D41*(time_tot-MIN(20,time_tot)), affo!D41*IF(time_tot&gt;time+20,(time*VLOOKUP(affo!E41, list!$J$48:$K$50,2,))+(time_tot-time-20),IF(time_tot&lt;20,0,IF(affo!E41="Exponential",time_tot-20+0.217*time*(EXP(4.606*(20-time_tot)/time)-1),((time_tot-20)^2)*(0.5/time))))))))</f>
        <v/>
      </c>
      <c r="Z28" s="1195">
        <f>-(44/12)*(IF($C28&lt;&gt; "Please select", VLOOKUP($C28, $H$8:$U$15, 11, FALSE), 0)*(IF(G41="Immediate", F41*MIN(20,time_tot), F41*IF(time_tot&gt;time+20,20,IF(time_tot&lt;20,(time*VLOOKUP(G41, list!$J$48:$K$50, 2,))+(time_tot-time),((MIN(20,time)*VLOOKUP(affo!G41, list!$J$48:$K$50, 2,))+ (time_tot-MIN(20,time))-IF(affo!G41="Exponential",time_tot-20+0.217*time*(EXP(4.606*(20-time_tot)/time)-1),((time_tot-20)^2)*(0.5/time)))))))+(IF($C28&lt;&gt; "Please select", VLOOKUP($C28, $H$8:$U$15, 14, FALSE), 0)*(IF(affo!G41="Immediate", affo!F41*(time_tot-MIN(20,time_tot)), affo!F41*IF(time_tot&gt;time+20,(time*VLOOKUP(affo!G41, list!$J$48:$K$50,2,))+(time_tot-time-20),IF(time_tot&lt;20,0,IF(affo!G41="Exponential",time_tot-20+0.217*time*(EXP(4.606*(20-time_tot)/time)-1),((time_tot-20)^2)*(0.5/time))))))))</f>
        <v/>
      </c>
      <c r="AA28" s="1195">
        <f>IF(W28&lt;-AB12*D41,(-W28-AB12*D41)-(-Y28-((INDEX(IPCC!$A$590:$AK$606,MATCH($I$7,IPCC!$A$590:$A$606,0),MATCH(H12,IPCC!$A$590:$AK$590,0))*INDEX(IPCC!$A$617:$BS$633,MATCH($I$7,IPCC!$A$617:$A$633,0),MATCH(H12,IPCC!$A$616:$BS$616,0))))*0.47*44/12*D41),0)</f>
        <v/>
      </c>
      <c r="AB28" s="1195">
        <f>IF(X28&lt;-AB12*F41,(-X28-AB12*F41)-(-Z28-((INDEX(IPCC!$A$590:$AK$606,MATCH($I$7,IPCC!$A$590:$A$606,0),MATCH(H12,IPCC!$A$590:$AK$590,0))*INDEX(IPCC!$A$617:$BS$633,MATCH($I$7,IPCC!$A$617:$A$633,0),MATCH(H12,IPCC!$A$616:$BS$616,0))))*0.47*44/12*F41),0)</f>
        <v/>
      </c>
      <c r="AK28" s="3524" t="inlineStr">
        <is>
          <t>CO2 soil</t>
        </is>
      </c>
      <c r="AL28" s="3525">
        <f>SUM(N37:N44)</f>
        <v/>
      </c>
      <c r="AM28" s="3526">
        <f>SUM(O37:O44)</f>
        <v/>
      </c>
    </row>
    <row r="29">
      <c r="B29" s="2521" t="inlineStr">
        <is>
          <t>Affo 6</t>
        </is>
      </c>
      <c r="C29" s="1109">
        <f>'2.LUC'!$C41</f>
        <v/>
      </c>
      <c r="D29" s="1109">
        <f>'2.LUC'!$I41</f>
        <v/>
      </c>
      <c r="E29" s="1109">
        <f>'2.LUC'!$K41</f>
        <v/>
      </c>
      <c r="F29" s="1688">
        <f>'2.LUC'!$G41</f>
        <v/>
      </c>
      <c r="G29" s="2518" t="n"/>
      <c r="H29" s="1109">
        <f>IF('2.LUC'!$K41 = "Please select", IF('2.LUC'!$I41&lt;&gt;"Agroforestry", '2.LUC'!$I41, "Agroforestry - default"), '2.LUC'!$K41)</f>
        <v/>
      </c>
      <c r="I29" s="1144">
        <f>IF( '2.LUC'!$I41 &lt;&gt; "Please select", IF('2.LUC'!AT41=0, INDEX(IPCC!$D$1521:$Y$1680,MATCH(clim_moist_cont,IPCC!$C$1521:$C$1680,0),MATCH($H29,IPCC!$D$1520:$Y$1520,0)), '2.LUC'!AT41), 0)</f>
        <v/>
      </c>
      <c r="J29" s="2524">
        <f>IF( '2.LUC'!$I41 &lt;&gt; "Please select", INDEX(IPCC!$B$1689:$W$1698,MATCH(clim_moist, IPCC!$A$1689:$A$1698,0),MATCH(affo!$H29, IPCC!$B$1687:$W$1687,0)),0)</f>
        <v/>
      </c>
      <c r="K29" s="2159">
        <f>IF('2.LUC'!AW41=0, $J29*$Z13,'2.LUC'!AW41)</f>
        <v/>
      </c>
      <c r="L29" s="2159">
        <f>IF( '2.LUC'!$C41&lt;&gt; "Please select", VLOOKUP('2.LUC'!$C41, $H$8:$AA$15, 20, FALSE) - $K29, 0)</f>
        <v/>
      </c>
      <c r="M29" s="1147">
        <f>$L29*(-44/12)/20</f>
        <v/>
      </c>
      <c r="N29" s="1147">
        <f>$I29*(1/0.4)</f>
        <v/>
      </c>
      <c r="O29" s="1157">
        <f>IF($H29 &lt;&gt; "Please select", VLOOKUP(H29, IPCC!$A$1473:$B$1495,2, FALSE), 0)</f>
        <v/>
      </c>
      <c r="P29" s="2524">
        <f>IF($H29&lt;&gt; "Please select", $N29*$O29*VLOOKUP($H29, IPCC!$A$1473:$E$1496, 4, FALSE), 0)</f>
        <v/>
      </c>
      <c r="Q29" s="2524">
        <f>IF($H29&lt;&gt; "Please select", $N29*$O29*VLOOKUP($H29, IPCC!$A$1473:$E$1496, 5, FALSE), 0)</f>
        <v/>
      </c>
      <c r="R29" s="1147">
        <f>($P29*methane + $Q29*Nitrous)/1000</f>
        <v/>
      </c>
      <c r="S29" s="1145">
        <f>IF($C29&lt;&gt; "Please select", VLOOKUP($C29, $H$13:$U$15, 5, FALSE) + VLOOKUP($C29, $H$13:$U$15, 11, FALSE), 0)</f>
        <v/>
      </c>
      <c r="T29" s="1145">
        <f>IF($C29&lt;&gt; "Please select", VLOOKUP($C29, $H$13:$U$15, 8, FALSE) + VLOOKUP($C29, $H$13:$U$15, 14, FALSE), 0)</f>
        <v/>
      </c>
      <c r="U29" s="2159">
        <f>IF($C29&lt;&gt; "Please select", VLOOKUP($C29, $H$13:$Y$15, 16, FALSE) + VLOOKUP($C29, $H$13:$Y$15, 18, FALSE),0)</f>
        <v/>
      </c>
      <c r="V29" s="1197">
        <f>$U29*(-44/12)</f>
        <v/>
      </c>
      <c r="W29" s="1195">
        <f>-(44/12)*($S29*(IF(E42="Immediate",D42*MIN(20,time_tot),D42*IF(time_tot&gt;time+20,20,IF(time_tot&lt;20,(time*VLOOKUP(E42, list!$J$48:$K$50, 2,))+(time_tot-time),((MIN(20,time)*VLOOKUP(affo!E42, list!$J$48:$K$50, 2,)) + (time_tot-MIN(20,time))-IF(affo!E42="Exponential",time_tot-20+0.217*time*(EXP(4.606*(20-time_tot)/time)-1),((time_tot-20)^2)*(0.5/time)))))))+($T29*(IF(affo!E42="Immediate", affo!D42*(time_tot-MIN(20,time_tot)), affo!D42*IF(time_tot&gt;time+20,(time*VLOOKUP(affo!E42, list!$J$48:$K$50,2,))+(time_tot-time-20),IF(time_tot&lt;20,0,IF(affo!E42="Exponential",time_tot-20+0.217*time*(EXP(4.606*(20-time_tot)/time)-1),((time_tot-20)^2)*(0.5/time))))))))</f>
        <v/>
      </c>
      <c r="X29" s="1195">
        <f>-(44/12)*($S29*(IF(G42="Immediate", F42*MIN(20,time_tot), F42*IF(time_tot&gt;time+20,20,IF(time_tot&lt;20,(time*VLOOKUP(G42, list!$J$48:$K$50, 2,))+(time_tot-time),((MIN(20,time)*VLOOKUP(affo!G42, list!$J$48:$K$50, 2,))+ (time_tot-MIN(20,time))-IF(affo!G42="Exponential",time_tot-20+0.217*time*(EXP(4.606*(20-time_tot)/time)-1),((time_tot-20)^2)*(0.5/time)))))))+($T29*(IF(affo!G42="Immediate", affo!F42*(time_tot-MIN(20,time_tot)), affo!F42*IF(time_tot&gt;time+20,(time*VLOOKUP(affo!G42, list!$J$48:$K$50,2,))+(time_tot-time-20),IF(time_tot&lt;20,0,IF(affo!G42="Exponential",time_tot-20+0.217*time*(EXP(4.606*(20-time_tot)/time)-1),((time_tot-20)^2)*(0.5/time))))))))</f>
        <v/>
      </c>
      <c r="Y29" s="1195">
        <f>-(44/12)*(IF($C29&lt;&gt; "Please select", VLOOKUP($C29, $H$8:$U$15, 11, FALSE), 0)*(IF(E42="Immediate",D42*MIN(20,time_tot),D42*IF(time_tot&gt;time+20,20,IF(time_tot&lt;20,(time*VLOOKUP(E42, list!$J$48:$K$50, 2,))+(time_tot-time),((MIN(20,time)*VLOOKUP(affo!E42, list!$J$48:$K$50, 2,)) + (time_tot-MIN(20,time))-IF(affo!E42="Exponential",time_tot-20+0.217*time*(EXP(4.606*(20-time_tot)/time)-1),((time_tot-20)^2)*(0.5/time)))))))+(IF($C29&lt;&gt; "Please select", VLOOKUP($C29, $H$8:$U$15, 14, FALSE), 0)*(IF(affo!E42="Immediate", affo!D42*(time_tot-MIN(20,time_tot)), affo!D42*IF(time_tot&gt;time+20,(time*VLOOKUP(affo!E42, list!$J$48:$K$50,2,))+(time_tot-time-20),IF(time_tot&lt;20,0,IF(affo!E42="Exponential",time_tot-20+0.217*time*(EXP(4.606*(20-time_tot)/time)-1),((time_tot-20)^2)*(0.5/time))))))))</f>
        <v/>
      </c>
      <c r="Z29" s="1195">
        <f>-(44/12)*(IF($C29&lt;&gt; "Please select", VLOOKUP($C29, $H$8:$U$15, 11, FALSE), 0)*(IF(G42="Immediate", F42*MIN(20,time_tot), F42*IF(time_tot&gt;time+20,20,IF(time_tot&lt;20,(time*VLOOKUP(G42, list!$J$48:$K$50, 2,))+(time_tot-time),((MIN(20,time)*VLOOKUP(affo!G42, list!$J$48:$K$50, 2,))+ (time_tot-MIN(20,time))-IF(affo!G42="Exponential",time_tot-20+0.217*time*(EXP(4.606*(20-time_tot)/time)-1),((time_tot-20)^2)*(0.5/time)))))))+(IF($C29&lt;&gt; "Please select", VLOOKUP($C29, $H$8:$U$15, 14, FALSE), 0)*(IF(affo!G42="Immediate", affo!F42*(time_tot-MIN(20,time_tot)), affo!F42*IF(time_tot&gt;time+20,(time*VLOOKUP(affo!G42, list!$J$48:$K$50,2,))+(time_tot-time-20),IF(time_tot&lt;20,0,IF(affo!G42="Exponential",time_tot-20+0.217*time*(EXP(4.606*(20-time_tot)/time)-1),((time_tot-20)^2)*(0.5/time))))))))</f>
        <v/>
      </c>
      <c r="AA29" s="1195">
        <f>IF(W29&lt;-AB13*D42,(-W29-AB13*D42)-(-Y29-((INDEX(IPCC!$A$590:$AK$606,MATCH($I$7,IPCC!$A$590:$A$606,0),MATCH(H13,IPCC!$A$590:$AK$590,0))*INDEX(IPCC!$A$617:$BS$633,MATCH($I$7,IPCC!$A$617:$A$633,0),MATCH(H13,IPCC!$A$616:$BS$616,0))))*0.47*44/12*D42),0)</f>
        <v/>
      </c>
      <c r="AB29" s="1195">
        <f>IF(X29&lt;-AB13*F42,(-X29-AB13*F42)-(-Z29-((INDEX(IPCC!$A$590:$AK$606,MATCH($I$7,IPCC!$A$590:$A$606,0),MATCH(H13,IPCC!$A$590:$AK$590,0))*INDEX(IPCC!$A$617:$BS$633,MATCH($I$7,IPCC!$A$617:$A$633,0),MATCH(H13,IPCC!$A$616:$BS$616,0))))*0.47*44/12*F42),0)</f>
        <v/>
      </c>
      <c r="AK29" s="3524" t="inlineStr">
        <is>
          <t>CH4 fire</t>
        </is>
      </c>
      <c r="AL29" s="3525">
        <f>SUM(AF8:AF15)</f>
        <v/>
      </c>
      <c r="AM29" s="3526">
        <f>SUM(AG8:AG15)</f>
        <v/>
      </c>
    </row>
    <row r="30">
      <c r="B30" s="2521" t="inlineStr">
        <is>
          <t>Affo 7</t>
        </is>
      </c>
      <c r="C30" s="1109">
        <f>'2.LUC'!$C42</f>
        <v/>
      </c>
      <c r="D30" s="1109">
        <f>'2.LUC'!$I42</f>
        <v/>
      </c>
      <c r="E30" s="1109">
        <f>'2.LUC'!$K42</f>
        <v/>
      </c>
      <c r="F30" s="1688">
        <f>'2.LUC'!$G42</f>
        <v/>
      </c>
      <c r="G30" s="2518" t="n"/>
      <c r="H30" s="1109">
        <f>IF('2.LUC'!$K42 = "Please select", IF('2.LUC'!$I42&lt;&gt;"Agroforestry", '2.LUC'!$I42, "Agroforestry - default"), '2.LUC'!$K42)</f>
        <v/>
      </c>
      <c r="I30" s="1144">
        <f>IF( '2.LUC'!$I42 &lt;&gt; "Please select", IF('2.LUC'!AT42=0, INDEX(IPCC!$D$1521:$Y$1680,MATCH(clim_moist_cont,IPCC!$C$1521:$C$1680,0),MATCH($H30,IPCC!$D$1520:$Y$1520,0)), '2.LUC'!AT42), 0)</f>
        <v/>
      </c>
      <c r="J30" s="2524">
        <f>IF( '2.LUC'!$I42 &lt;&gt; "Please select", INDEX(IPCC!$B$1689:$W$1698,MATCH(clim_moist, IPCC!$A$1689:$A$1698,0),MATCH(affo!$H30, IPCC!$B$1687:$W$1687,0)),0)</f>
        <v/>
      </c>
      <c r="K30" s="2159">
        <f>IF('2.LUC'!AW42=0, $J30*$Z14,'2.LUC'!AW42)</f>
        <v/>
      </c>
      <c r="L30" s="2159">
        <f>IF( '2.LUC'!$C42&lt;&gt; "Please select", VLOOKUP('2.LUC'!$C42, $H$8:$AA$15, 20, FALSE) - $K30, 0)</f>
        <v/>
      </c>
      <c r="M30" s="1147">
        <f>$L30*(-44/12)/20</f>
        <v/>
      </c>
      <c r="N30" s="1147">
        <f>$I30*(1/0.4)</f>
        <v/>
      </c>
      <c r="O30" s="1157">
        <f>IF($H30 &lt;&gt; "Please select", VLOOKUP(H30, IPCC!$A$1473:$B$1495,2, FALSE), 0)</f>
        <v/>
      </c>
      <c r="P30" s="2524">
        <f>IF($H30&lt;&gt; "Please select", $N30*$O30*VLOOKUP($H30, IPCC!$A$1473:$E$1496, 4, FALSE), 0)</f>
        <v/>
      </c>
      <c r="Q30" s="2524">
        <f>IF($H30&lt;&gt; "Please select", $N30*$O30*VLOOKUP($H30, IPCC!$A$1473:$E$1496, 5, FALSE), 0)</f>
        <v/>
      </c>
      <c r="R30" s="1147">
        <f>($P30*methane + $Q30*Nitrous)/1000</f>
        <v/>
      </c>
      <c r="S30" s="1145">
        <f>IF($C30&lt;&gt; "Please select", VLOOKUP($C30, $H$14:$U$15, 5, FALSE) + VLOOKUP($C30, $H$14:$U$15, 11, FALSE), 0)</f>
        <v/>
      </c>
      <c r="T30" s="1145">
        <f>IF($C30&lt;&gt; "Please select", VLOOKUP($C30, $H$14:$U$15, 8, FALSE) + VLOOKUP($C30, $H$14:$U$15, 14, FALSE), 0)</f>
        <v/>
      </c>
      <c r="U30" s="2159">
        <f>IF($C30&lt;&gt; "Please select", VLOOKUP($C30, $H$14:$Y$15, 16, FALSE) + VLOOKUP($C30, $H$14:$Y$15, 18, FALSE),0)</f>
        <v/>
      </c>
      <c r="V30" s="1197">
        <f>$U30*(-44/12)</f>
        <v/>
      </c>
      <c r="W30" s="1195">
        <f>-(44/12)*($S30*(IF(E43="Immediate",D43*MIN(20,time_tot),D43*IF(time_tot&gt;time+20,20,IF(time_tot&lt;20,(time*VLOOKUP(E43, list!$J$48:$K$50, 2,))+(time_tot-time),((MIN(20,time)*VLOOKUP(affo!E43, list!$J$48:$K$50, 2,)) + (time_tot-MIN(20,time))-IF(affo!E43="Exponential",time_tot-20+0.217*time*(EXP(4.606*(20-time_tot)/time)-1),((time_tot-20)^2)*(0.5/time)))))))+($T30*(IF(affo!E43="Immediate", affo!D43*(time_tot-MIN(20,time_tot)), affo!D43*IF(time_tot&gt;time+20,(time*VLOOKUP(affo!E43, list!$J$48:$K$50,2,))+(time_tot-time-20),IF(time_tot&lt;20,0,IF(affo!E43="Exponential",time_tot-20+0.217*time*(EXP(4.606*(20-time_tot)/time)-1),((time_tot-20)^2)*(0.5/time))))))))</f>
        <v/>
      </c>
      <c r="X30" s="1195">
        <f>-(44/12)*($S30*(IF(G43="Immediate", F43*MIN(20,time_tot), F43*IF(time_tot&gt;time+20,20,IF(time_tot&lt;20,(time*VLOOKUP(G43, list!$J$48:$K$50, 2,))+(time_tot-time),((MIN(20,time)*VLOOKUP(affo!G43, list!$J$48:$K$50, 2,))+ (time_tot-MIN(20,time))-IF(affo!G43="Exponential",time_tot-20+0.217*time*(EXP(4.606*(20-time_tot)/time)-1),((time_tot-20)^2)*(0.5/time)))))))+($T30*(IF(affo!G43="Immediate", affo!F43*(time_tot-MIN(20,time_tot)), affo!F43*IF(time_tot&gt;time+20,(time*VLOOKUP(affo!G43, list!$J$48:$K$50,2,))+(time_tot-time-20),IF(time_tot&lt;20,0,IF(affo!G43="Exponential",time_tot-20+0.217*time*(EXP(4.606*(20-time_tot)/time)-1),((time_tot-20)^2)*(0.5/time))))))))</f>
        <v/>
      </c>
      <c r="Y30" s="1195">
        <f>-(44/12)*(IF($C30&lt;&gt; "Please select", VLOOKUP($C30, $H$8:$U$15, 11, FALSE), 0)*(IF(E43="Immediate",D43*MIN(20,time_tot),D43*IF(time_tot&gt;time+20,20,IF(time_tot&lt;20,(time*VLOOKUP(E43, list!$J$48:$K$50, 2,))+(time_tot-time),((MIN(20,time)*VLOOKUP(affo!E43, list!$J$48:$K$50, 2,)) + (time_tot-MIN(20,time))-IF(affo!E43="Exponential",time_tot-20+0.217*time*(EXP(4.606*(20-time_tot)/time)-1),((time_tot-20)^2)*(0.5/time)))))))+(IF($C30&lt;&gt; "Please select", VLOOKUP($C30, $H$8:$U$15, 14, FALSE), 0)*(IF(affo!E43="Immediate", affo!D43*(time_tot-MIN(20,time_tot)), affo!D43*IF(time_tot&gt;time+20,(time*VLOOKUP(affo!E43, list!$J$48:$K$50,2,))+(time_tot-time-20),IF(time_tot&lt;20,0,IF(affo!E43="Exponential",time_tot-20+0.217*time*(EXP(4.606*(20-time_tot)/time)-1),((time_tot-20)^2)*(0.5/time))))))))</f>
        <v/>
      </c>
      <c r="Z30" s="1195">
        <f>-(44/12)*(IF($C30&lt;&gt; "Please select", VLOOKUP($C30, $H$8:$U$15, 11, FALSE), 0)*(IF(G43="Immediate", F43*MIN(20,time_tot), F43*IF(time_tot&gt;time+20,20,IF(time_tot&lt;20,(time*VLOOKUP(G43, list!$J$48:$K$50, 2,))+(time_tot-time),((MIN(20,time)*VLOOKUP(affo!G43, list!$J$48:$K$50, 2,))+ (time_tot-MIN(20,time))-IF(affo!G43="Exponential",time_tot-20+0.217*time*(EXP(4.606*(20-time_tot)/time)-1),((time_tot-20)^2)*(0.5/time)))))))+(IF($C30&lt;&gt; "Please select", VLOOKUP($C30, $H$8:$U$15, 14, FALSE), 0)*(IF(affo!G43="Immediate", affo!F43*(time_tot-MIN(20,time_tot)), affo!F43*IF(time_tot&gt;time+20,(time*VLOOKUP(affo!G43, list!$J$48:$K$50,2,))+(time_tot-time-20),IF(time_tot&lt;20,0,IF(affo!G43="Exponential",time_tot-20+0.217*time*(EXP(4.606*(20-time_tot)/time)-1),((time_tot-20)^2)*(0.5/time))))))))</f>
        <v/>
      </c>
      <c r="AA30" s="1195">
        <f>IF(W30&lt;-AB14*D43,(-W30-AB14*D43)-(-Y30-((INDEX(IPCC!$A$590:$AK$606,MATCH($I$7,IPCC!$A$590:$A$606,0),MATCH(H14,IPCC!$A$590:$AK$590,0))*INDEX(IPCC!$A$617:$BS$633,MATCH($I$7,IPCC!$A$617:$A$633,0),MATCH(H14,IPCC!$A$616:$BS$616,0))))*0.47*44/12*D43),0)</f>
        <v/>
      </c>
      <c r="AB30" s="1195">
        <f>IF(X30&lt;-AB14*F43,(-X30-AB14*F43)-(-Z30-((INDEX(IPCC!$A$590:$AK$606,MATCH($I$7,IPCC!$A$590:$A$606,0),MATCH(H14,IPCC!$A$590:$AK$590,0))*INDEX(IPCC!$A$617:$BS$633,MATCH($I$7,IPCC!$A$617:$A$633,0),MATCH(H14,IPCC!$A$616:$BS$616,0))))*0.47*44/12*F43),0)</f>
        <v/>
      </c>
      <c r="AK30" s="3524" t="inlineStr">
        <is>
          <t>N2O fire</t>
        </is>
      </c>
      <c r="AL30" s="3572">
        <f>SUM(AH8:AH15)</f>
        <v/>
      </c>
      <c r="AM30" s="3573">
        <f>SUM(AI8:AI15)</f>
        <v/>
      </c>
    </row>
    <row r="31">
      <c r="B31" s="2521" t="inlineStr">
        <is>
          <t>Affo 8</t>
        </is>
      </c>
      <c r="C31" s="1109">
        <f>'2.LUC'!$C43</f>
        <v/>
      </c>
      <c r="D31" s="1109">
        <f>'2.LUC'!$I43</f>
        <v/>
      </c>
      <c r="E31" s="1109">
        <f>'2.LUC'!$K43</f>
        <v/>
      </c>
      <c r="F31" s="1688">
        <f>'2.LUC'!$G43</f>
        <v/>
      </c>
      <c r="G31" s="2518" t="n"/>
      <c r="H31" s="1109">
        <f>IF('2.LUC'!$K43 = "Please select", IF('2.LUC'!$I43&lt;&gt;"Agroforestry", '2.LUC'!$I43, "Agroforestry - default"), '2.LUC'!$K43)</f>
        <v/>
      </c>
      <c r="I31" s="1144">
        <f>IF( '2.LUC'!$I43 &lt;&gt; "Please select", IF('2.LUC'!AT43=0, INDEX(IPCC!$D$1521:$Y$1680,MATCH(clim_moist_cont,IPCC!$C$1521:$C$1680,0),MATCH($H31,IPCC!$D$1520:$Y$1520,0)), '2.LUC'!AT43), 0)</f>
        <v/>
      </c>
      <c r="J31" s="2529">
        <f>IF( '2.LUC'!$I43 &lt;&gt; "Please select", INDEX(IPCC!$B$1689:$W$1698,MATCH(clim_moist, IPCC!$A$1689:$A$1698,0),MATCH(affo!$H31, IPCC!$B$1687:$W$1687,0)),0)</f>
        <v/>
      </c>
      <c r="K31" s="2159">
        <f>IF('2.LUC'!AW43=0, $J31*$Z15,'2.LUC'!AW43)</f>
        <v/>
      </c>
      <c r="L31" s="2159">
        <f>IF( '2.LUC'!$C43&lt;&gt; "Please select", VLOOKUP('2.LUC'!$C43, $H$8:$AA$15, 20, FALSE) - $K31, 0)</f>
        <v/>
      </c>
      <c r="M31" s="1149">
        <f>$L31*(-44/12)/20</f>
        <v/>
      </c>
      <c r="N31" s="1149">
        <f>$I31*(1/0.4)</f>
        <v/>
      </c>
      <c r="O31" s="1158">
        <f>IF($H31 &lt;&gt; "Please select", VLOOKUP(H31, IPCC!$A$1473:$B$1495,2, FALSE), 0)</f>
        <v/>
      </c>
      <c r="P31" s="2529">
        <f>IF($H31&lt;&gt; "Please select", $N31*$O31*VLOOKUP($H31, IPCC!$A$1473:$E$1496, 4, FALSE), 0)</f>
        <v/>
      </c>
      <c r="Q31" s="2529">
        <f>IF($H31&lt;&gt; "Please select", $N31*$O31*VLOOKUP($H31, IPCC!$A$1473:$E$1496, 5, FALSE), 0)</f>
        <v/>
      </c>
      <c r="R31" s="1149">
        <f>($P31*methane + $Q31*Nitrous)/1000</f>
        <v/>
      </c>
      <c r="S31" s="1145">
        <f>IF($C31&lt;&gt; "Please select", VLOOKUP($C31, $H$15:$U$15, 5, FALSE) + VLOOKUP($C31, $H$15:$U$15, 11, FALSE), 0)</f>
        <v/>
      </c>
      <c r="T31" s="1145">
        <f>IF($C31&lt;&gt; "Please select", VLOOKUP($C31, $H$15:$U$15, 8, FALSE) + VLOOKUP($C31, $H$15:$U$15, 14, FALSE), 0)</f>
        <v/>
      </c>
      <c r="U31" s="2159">
        <f>IF($C31&lt;&gt; "Please select", VLOOKUP($C31, $H$15:$Y$15, 16, FALSE) + VLOOKUP($C31, $H$15:$Y$15, 18, FALSE),0)</f>
        <v/>
      </c>
      <c r="V31" s="1199">
        <f>$U31*(-44/12)</f>
        <v/>
      </c>
      <c r="W31" s="1195">
        <f>-(44/12)*($S31*(IF(E44="Immediate",D44*MIN(20,time_tot),D44*IF(time_tot&gt;time+20,20,IF(time_tot&lt;20,(time*VLOOKUP(E44, list!$J$48:$K$50, 2,))+(time_tot-time),((MIN(20,time)*VLOOKUP(affo!E44, list!$J$48:$K$50, 2,)) + (time_tot-MIN(20,time))-IF(affo!E44="Exponential",time_tot-20+0.217*time*(EXP(4.606*(20-time_tot)/time)-1),((time_tot-20)^2)*(0.5/time)))))))+($T31*(IF(affo!E44="Immediate", affo!D44*(time_tot-MIN(20,time_tot)), affo!D44*IF(time_tot&gt;time+20,(time*VLOOKUP(affo!E44, list!$J$48:$K$50,2,))+(time_tot-time-20),IF(time_tot&lt;20,0,IF(affo!E44="Exponential",time_tot-20+0.217*time*(EXP(4.606*(20-time_tot)/time)-1),((time_tot-20)^2)*(0.5/time))))))))</f>
        <v/>
      </c>
      <c r="X31" s="1195">
        <f>-(44/12)*($S31*(IF(G44="Immediate", F44*MIN(20,time_tot), F44*IF(time_tot&gt;time+20,20,IF(time_tot&lt;20,(time*VLOOKUP(G44, list!$J$48:$K$50, 2,))+(time_tot-time),((MIN(20,time)*VLOOKUP(affo!G44, list!$J$48:$K$50, 2,))+ (time_tot-MIN(20,time))-IF(affo!G44="Exponential",time_tot-20+0.217*time*(EXP(4.606*(20-time_tot)/time)-1),((time_tot-20)^2)*(0.5/time)))))))+($T31*(IF(affo!G44="Immediate", affo!F44*(time_tot-MIN(20,time_tot)), affo!F44*IF(time_tot&gt;time+20,(time*VLOOKUP(affo!G44, list!$J$48:$K$50,2,))+(time_tot-time-20),IF(time_tot&lt;20,0,IF(affo!G44="Exponential",time_tot-20+0.217*time*(EXP(4.606*(20-time_tot)/time)-1),((time_tot-20)^2)*(0.5/time))))))))</f>
        <v/>
      </c>
      <c r="Y31" s="1195">
        <f>-(44/12)*(IF($C31&lt;&gt; "Please select", VLOOKUP($C31, $H$8:$U$15, 11, FALSE), 0)*(IF(E44="Immediate",D44*MIN(20,time_tot),D44*IF(time_tot&gt;time+20,20,IF(time_tot&lt;20,(time*VLOOKUP(E44, list!$J$48:$K$50, 2,))+(time_tot-time),((MIN(20,time)*VLOOKUP(affo!E44, list!$J$48:$K$50, 2,)) + (time_tot-MIN(20,time))-IF(affo!E44="Exponential",time_tot-20+0.217*time*(EXP(4.606*(20-time_tot)/time)-1),((time_tot-20)^2)*(0.5/time)))))))+(IF($C31&lt;&gt; "Please select", VLOOKUP($C31, $H$8:$U$15, 14, FALSE), 0)*(IF(affo!E44="Immediate", affo!D44*(time_tot-MIN(20,time_tot)), affo!D44*IF(time_tot&gt;time+20,(time*VLOOKUP(affo!E44, list!$J$48:$K$50,2,))+(time_tot-time-20),IF(time_tot&lt;20,0,IF(affo!E44="Exponential",time_tot-20+0.217*time*(EXP(4.606*(20-time_tot)/time)-1),((time_tot-20)^2)*(0.5/time))))))))</f>
        <v/>
      </c>
      <c r="Z31" s="1195">
        <f>-(44/12)*(IF($C31&lt;&gt; "Please select", VLOOKUP($C31, $H$8:$U$15, 11, FALSE), 0)*(IF(G44="Immediate", F44*MIN(20,time_tot), F44*IF(time_tot&gt;time+20,20,IF(time_tot&lt;20,(time*VLOOKUP(G44, list!$J$48:$K$50, 2,))+(time_tot-time),((MIN(20,time)*VLOOKUP(affo!G44, list!$J$48:$K$50, 2,))+ (time_tot-MIN(20,time))-IF(affo!G44="Exponential",time_tot-20+0.217*time*(EXP(4.606*(20-time_tot)/time)-1),((time_tot-20)^2)*(0.5/time)))))))+(IF($C31&lt;&gt; "Please select", VLOOKUP($C31, $H$8:$U$15, 14, FALSE), 0)*(IF(affo!G44="Immediate", affo!F44*(time_tot-MIN(20,time_tot)), affo!F44*IF(time_tot&gt;time+20,(time*VLOOKUP(affo!G44, list!$J$48:$K$50,2,))+(time_tot-time-20),IF(time_tot&lt;20,0,IF(affo!G44="Exponential",time_tot-20+0.217*time*(EXP(4.606*(20-time_tot)/time)-1),((time_tot-20)^2)*(0.5/time))))))))</f>
        <v/>
      </c>
      <c r="AA31" s="1195">
        <f>IF(W31&lt;-AB15*D44,(-W31-AB15*D44)-(-Y31-((INDEX(IPCC!$A$590:$AK$606,MATCH($I$7,IPCC!$A$590:$A$606,0),MATCH(H15,IPCC!$A$590:$AK$590,0))*INDEX(IPCC!$A$617:$BS$633,MATCH($I$7,IPCC!$A$617:$A$633,0),MATCH(H15,IPCC!$A$616:$BS$616,0))))*0.47*44/12*D44),0)</f>
        <v/>
      </c>
      <c r="AB31" s="1195">
        <f>IF(X31&lt;-AB15*F44,(-X31-AB15*F44)-(-Z31-((INDEX(IPCC!$A$590:$AK$606,MATCH($I$7,IPCC!$A$590:$A$606,0),MATCH(H15,IPCC!$A$590:$AK$590,0))*INDEX(IPCC!$A$617:$BS$633,MATCH($I$7,IPCC!$A$617:$A$633,0),MATCH(H15,IPCC!$A$616:$BS$616,0))))*0.47*44/12*F44),0)</f>
        <v/>
      </c>
      <c r="AK31" s="3491" t="inlineStr">
        <is>
          <t>Total</t>
        </is>
      </c>
      <c r="AL31" s="3895">
        <f>SUM(AL26:AL30)</f>
        <v/>
      </c>
      <c r="AM31" s="3895">
        <f>SUM(AM26:AM30)</f>
        <v/>
      </c>
      <c r="AN31" s="1246">
        <f>AM31-AL31</f>
        <v/>
      </c>
    </row>
    <row r="32">
      <c r="B32" s="1057" t="n"/>
      <c r="I32" s="2530" t="n"/>
      <c r="J32" s="2530" t="n"/>
      <c r="K32" s="1662" t="n"/>
      <c r="L32" s="2159" t="n"/>
      <c r="M32" s="1662" t="n"/>
      <c r="N32" s="1663" t="n"/>
      <c r="O32" s="1663" t="n"/>
      <c r="P32" s="1663" t="n"/>
      <c r="Q32" s="1662" t="n"/>
      <c r="R32" s="1662" t="n"/>
      <c r="S32" s="1662" t="n"/>
    </row>
    <row r="33">
      <c r="B33" s="1057" t="n"/>
      <c r="I33" s="2530" t="n"/>
      <c r="J33" s="2530" t="n"/>
      <c r="K33" s="2530" t="n"/>
      <c r="L33" s="1662" t="n"/>
      <c r="M33" s="1662" t="n"/>
      <c r="N33" s="1663" t="n"/>
      <c r="O33" s="1663" t="n"/>
      <c r="P33" s="1663" t="n"/>
      <c r="Q33" s="1662" t="n"/>
      <c r="R33" s="1662" t="n"/>
      <c r="AK33" s="973" t="inlineStr">
        <is>
          <t>Balance in tCO2-e</t>
        </is>
      </c>
    </row>
    <row r="34">
      <c r="C34" s="2531" t="inlineStr">
        <is>
          <t>Afforested/Reforested Area (ha)</t>
        </is>
      </c>
      <c r="D34" s="3528" t="n"/>
      <c r="E34" s="3528" t="n"/>
      <c r="F34" s="3528" t="n"/>
      <c r="G34" s="3528" t="n"/>
      <c r="H34" s="2532" t="inlineStr">
        <is>
          <t>Total Biomass Gain (AGB + BGB)</t>
        </is>
      </c>
      <c r="I34" s="2533" t="n"/>
      <c r="J34" s="2534" t="inlineStr">
        <is>
          <t>DOM Gain (Dead wood + litter)</t>
        </is>
      </c>
      <c r="K34" s="2535" t="n"/>
      <c r="L34" s="2532" t="inlineStr">
        <is>
          <t>Biomass Loss</t>
        </is>
      </c>
      <c r="M34" s="2533" t="n"/>
      <c r="N34" s="2533" t="inlineStr">
        <is>
          <t xml:space="preserve">Soil </t>
        </is>
      </c>
      <c r="O34" s="2533" t="n"/>
      <c r="P34" s="2533" t="inlineStr">
        <is>
          <t xml:space="preserve">Fire </t>
        </is>
      </c>
      <c r="Q34" s="2533" t="n"/>
      <c r="AK34" s="2522" t="inlineStr">
        <is>
          <t>Categories</t>
        </is>
      </c>
      <c r="AL34" s="2523" t="inlineStr">
        <is>
          <t>Total</t>
        </is>
      </c>
      <c r="AM34" s="2523" t="inlineStr">
        <is>
          <t>Implementation</t>
        </is>
      </c>
      <c r="AN34" s="2523" t="inlineStr">
        <is>
          <t>Capitalization</t>
        </is>
      </c>
      <c r="AQ34" s="1058" t="n"/>
      <c r="AR34" s="1577" t="n"/>
    </row>
    <row r="35" ht="17" customHeight="1">
      <c r="B35" s="1573" t="inlineStr">
        <is>
          <t>GHG emissions</t>
        </is>
      </c>
      <c r="C35" s="2536" t="inlineStr">
        <is>
          <t>Start</t>
        </is>
      </c>
      <c r="D35" s="2537" t="inlineStr">
        <is>
          <t>Without Project</t>
        </is>
      </c>
      <c r="E35" s="2538" t="n"/>
      <c r="F35" s="2539" t="inlineStr">
        <is>
          <t>With Project</t>
        </is>
      </c>
      <c r="G35" s="2540" t="n"/>
      <c r="H35" s="2537" t="inlineStr">
        <is>
          <t>Without Project</t>
        </is>
      </c>
      <c r="I35" s="2540" t="inlineStr">
        <is>
          <t>With Project</t>
        </is>
      </c>
      <c r="J35" s="2541" t="inlineStr">
        <is>
          <t>Without Project</t>
        </is>
      </c>
      <c r="K35" s="2542" t="inlineStr">
        <is>
          <t>With Project</t>
        </is>
      </c>
      <c r="L35" s="2537" t="inlineStr">
        <is>
          <t>Without Project</t>
        </is>
      </c>
      <c r="M35" s="2540" t="inlineStr">
        <is>
          <t>With Project</t>
        </is>
      </c>
      <c r="N35" s="2537" t="inlineStr">
        <is>
          <t>Without Project</t>
        </is>
      </c>
      <c r="O35" s="2540" t="inlineStr">
        <is>
          <t>With Project</t>
        </is>
      </c>
      <c r="P35" s="2537" t="inlineStr">
        <is>
          <t>Without Project</t>
        </is>
      </c>
      <c r="Q35" s="2540" t="inlineStr">
        <is>
          <t>With Project</t>
        </is>
      </c>
      <c r="S35" s="2547" t="inlineStr">
        <is>
          <t>Total Balance (tCO2-e)</t>
        </is>
      </c>
      <c r="T35" s="2533" t="n"/>
      <c r="U35" s="2533" t="n"/>
      <c r="W35" s="2192" t="n"/>
      <c r="X35" s="2192" t="n"/>
      <c r="AK35" s="3524" t="inlineStr">
        <is>
          <t>CO2 Biomass</t>
        </is>
      </c>
      <c r="AL35" s="2525">
        <f>SUM(I37:I44)+SUM(M37:M44)-SUM(H37:H44)-SUM(L37:L44)</f>
        <v/>
      </c>
      <c r="AM35" s="2526">
        <f>IF(time=0, 0, SUM(AK8:AK15)-SUM(AJ8:AJ15)+SUM(AM8:AM15)-SUM(AL8:AL15))</f>
        <v/>
      </c>
      <c r="AN35" s="2527">
        <f>AL35-AM35</f>
        <v/>
      </c>
    </row>
    <row r="36" ht="17" customHeight="1">
      <c r="B36" s="2543" t="inlineStr">
        <is>
          <t>Name</t>
        </is>
      </c>
      <c r="C36" s="2536" t="inlineStr">
        <is>
          <t>t0</t>
        </is>
      </c>
      <c r="D36" s="2538" t="inlineStr">
        <is>
          <t>Area (ha)</t>
        </is>
      </c>
      <c r="E36" s="2538" t="inlineStr">
        <is>
          <t>Rate</t>
        </is>
      </c>
      <c r="F36" s="2540" t="inlineStr">
        <is>
          <t>Area (ha)</t>
        </is>
      </c>
      <c r="G36" s="2540" t="inlineStr">
        <is>
          <t>Rate</t>
        </is>
      </c>
      <c r="H36" s="2537" t="inlineStr">
        <is>
          <t>tCO2</t>
        </is>
      </c>
      <c r="I36" s="2540" t="inlineStr">
        <is>
          <t>tCO2</t>
        </is>
      </c>
      <c r="J36" s="2541" t="inlineStr">
        <is>
          <t>tCO2</t>
        </is>
      </c>
      <c r="K36" s="2542" t="inlineStr">
        <is>
          <t>tCO2</t>
        </is>
      </c>
      <c r="L36" s="2537" t="inlineStr">
        <is>
          <t>tCO2</t>
        </is>
      </c>
      <c r="M36" s="2540" t="inlineStr">
        <is>
          <t>tCO2</t>
        </is>
      </c>
      <c r="N36" s="2537" t="inlineStr">
        <is>
          <t>tCO2</t>
        </is>
      </c>
      <c r="O36" s="2540" t="inlineStr">
        <is>
          <t>tCO2</t>
        </is>
      </c>
      <c r="P36" s="2537" t="inlineStr">
        <is>
          <t>tCO2</t>
        </is>
      </c>
      <c r="Q36" s="2540" t="inlineStr">
        <is>
          <t>tCO2</t>
        </is>
      </c>
      <c r="S36" s="1102" t="inlineStr">
        <is>
          <t>WITHOUT</t>
        </is>
      </c>
      <c r="T36" s="1103" t="inlineStr">
        <is>
          <t>WITH</t>
        </is>
      </c>
      <c r="U36" s="1182" t="inlineStr">
        <is>
          <t>BALANCE</t>
        </is>
      </c>
      <c r="W36" s="1661" t="n"/>
      <c r="X36" s="1661" t="n"/>
      <c r="AK36" s="3524" t="inlineStr">
        <is>
          <t>CO2 DOM</t>
        </is>
      </c>
      <c r="AL36" s="1314">
        <f>SUM(K37:K44)-SUM(J37:J44)</f>
        <v/>
      </c>
      <c r="AM36" s="2528">
        <f>SUM(AO8:AO15)-SUM(AN8:AN15)</f>
        <v/>
      </c>
      <c r="AN36" s="1315">
        <f>AL36-AM36</f>
        <v/>
      </c>
    </row>
    <row r="37" ht="17" customHeight="1">
      <c r="B37" s="1057" t="inlineStr">
        <is>
          <t>Affo 1</t>
        </is>
      </c>
      <c r="C37" s="1688" t="n">
        <v>0</v>
      </c>
      <c r="D37" s="1688">
        <f>'2.LUC'!$N36</f>
        <v/>
      </c>
      <c r="E37" s="1688">
        <f>VLOOKUP('2.LUC'!$O36, list!$I$48:$J$50,2,FALSE )</f>
        <v/>
      </c>
      <c r="F37" s="1688">
        <f>'2.LUC'!$P36</f>
        <v/>
      </c>
      <c r="G37" s="1688">
        <f>VLOOKUP('2.LUC'!$Q36, list!$I$48:$J$50,2,FALSE )</f>
        <v/>
      </c>
      <c r="H37" s="3493">
        <f>IF(W24&lt;-AB8*D37,-AB8*D37,W24)</f>
        <v/>
      </c>
      <c r="I37" s="1151">
        <f>IF(X24&lt;-AB8*F37,-AB8*F37,X24)</f>
        <v/>
      </c>
      <c r="J37" s="2544">
        <f>$V24*$D37</f>
        <v/>
      </c>
      <c r="K37" s="1313">
        <f>$F37*$V24</f>
        <v/>
      </c>
      <c r="L37" s="3493">
        <f>IF('2.LUC'!$C36&lt;&gt; "Please select", ((affo!$D37*affo!I24)*44/12), 0)</f>
        <v/>
      </c>
      <c r="M37" s="1151">
        <f>IF('2.LUC'!$C36&lt;&gt; "Please select", ((affo!$F37*affo!I24)*44/12), 0)</f>
        <v/>
      </c>
      <c r="N37" s="1151">
        <f>IF(ABS($M24*(IF(E37="Immediate", D37*MIN(20,time_tot), D37*IF(time_tot&gt;time+20,20,IF(time_tot&lt;20,(time*VLOOKUP(E37, list!$J$48:$K$50, 2,))+(time_tot-time),((MIN(20,time)*VLOOKUP(affo!E37,  list!$J$48:$K$50,2,))+(time_tot-MIN(20,time))-IF(affo!E37="Exponential",time_tot-20+0.217*time*(EXP(4.606*(20-time_tot)/time)-1),((time_tot-20)^2)*(0.5/time))))))))&gt;=ABS(L24*-44/12*D37),L24*-44/12*D37,$M24*(IF(E37="Immediate", D37*MIN(20,time_tot), D37*IF(time_tot&gt;time+20,20,IF(time_tot&lt;20,(time*VLOOKUP(E37, list!$J$48:$K$50, 2,))+(time_tot-time),((MIN(20,time)*VLOOKUP(affo!E37,  list!$J$48:$K$50,2,))+(time_tot-MIN(20,time))-IF(affo!E37="Exponential",time_tot-20+0.217*time*(EXP(4.606*(20-time_tot)/time)-1),((time_tot-20)^2)*(0.5/time))))))))</f>
        <v/>
      </c>
      <c r="O37" s="1151">
        <f>IF(ABS($M24*(IF(G37="Immediate", F37*MIN(20,time_tot), F37*IF(time_tot&gt;time+20,20,IF(time_tot&lt;20,(time*VLOOKUP( G37,  list!$J$48:$K$50, 2,))+(time_tot-time),((MIN(20,time)*VLOOKUP(affo!G37,  list!$J$48:$K$50,2,))+(time_tot-MIN(20,time))-IF(affo!G37="Exponential",time_tot-20+0.217*time*(EXP(4.606*(20-time_tot)/time)-1),((time_tot-20)^2)*(0.5/time))))))))&gt;=ABS(L24*-44/12*F37),L24*-44/12*F37,$M24*(IF(G37="Immediate", F37*MIN(20,time_tot), F37*IF(time_tot&gt;time+20,20,IF(time_tot&lt;20,(time*VLOOKUP( G37,  list!$J$48:$K$50, 2,))+(time_tot-time),((MIN(20,time)*VLOOKUP(affo!G37,  list!$J$48:$K$50,2,))+(time_tot-MIN(20,time))-IF(affo!G37="Exponential",time_tot-20+0.217*time*(EXP(4.606*(20-time_tot)/time)-1),((time_tot-20)^2)*(0.5/time))))))))</f>
        <v/>
      </c>
      <c r="P37" s="1151">
        <f>IF(F24="YES", $D37*$R24, 0)</f>
        <v/>
      </c>
      <c r="Q37" s="1151">
        <f>IF(F24="YES", $F37*$R24, 0)</f>
        <v/>
      </c>
      <c r="S37" s="1151">
        <f>H37+J37+L37+N37+P37</f>
        <v/>
      </c>
      <c r="T37" s="1151">
        <f>I37+K37+M37+O37+Q37</f>
        <v/>
      </c>
      <c r="U37" s="3498">
        <f>T37-S37</f>
        <v/>
      </c>
      <c r="W37" s="2225" t="n"/>
      <c r="X37" s="2225" t="n"/>
      <c r="AK37" s="3524" t="inlineStr">
        <is>
          <t>CO2 soil</t>
        </is>
      </c>
      <c r="AL37" s="3525">
        <f>SUM(O37:O44)-SUM(N37:N44)</f>
        <v/>
      </c>
      <c r="AM37" s="3526">
        <f>SUM(AQ8:AQ15)-SUM(AP8:AP15)</f>
        <v/>
      </c>
      <c r="AN37" s="3527">
        <f>AL37-AM37</f>
        <v/>
      </c>
    </row>
    <row r="38">
      <c r="B38" s="1057" t="inlineStr">
        <is>
          <t>Affo 2</t>
        </is>
      </c>
      <c r="C38" s="1688" t="n">
        <v>0</v>
      </c>
      <c r="D38" s="1688">
        <f>'2.LUC'!$N37</f>
        <v/>
      </c>
      <c r="E38" s="1688">
        <f>VLOOKUP('2.LUC'!$O37, list!$I$48:$J$50,2,FALSE )</f>
        <v/>
      </c>
      <c r="F38" s="1688">
        <f>'2.LUC'!$P37</f>
        <v/>
      </c>
      <c r="G38" s="1688">
        <f>VLOOKUP('2.LUC'!$Q37, list!$I$48:$J$50,2,FALSE )</f>
        <v/>
      </c>
      <c r="H38" s="3493">
        <f>IF(W25&lt;-AB9*D38,-AB9*D38,W25)</f>
        <v/>
      </c>
      <c r="I38" s="1151">
        <f>IF(X25&lt;-AB9*F38,-AB9*F38,X25)</f>
        <v/>
      </c>
      <c r="J38" s="2528">
        <f>$V25*$D38</f>
        <v/>
      </c>
      <c r="K38" s="1315">
        <f>$F38*$V25</f>
        <v/>
      </c>
      <c r="L38" s="3495">
        <f>IF('2.LUC'!$C37&lt;&gt; "Please select", ((affo!$D38*affo!I25)*44/12), 0)</f>
        <v/>
      </c>
      <c r="M38" s="1152">
        <f>IF('2.LUC'!$C37&lt;&gt; "Please select", ((affo!$F38*affo!I25)*44/12), 0)</f>
        <v/>
      </c>
      <c r="N38" s="1151">
        <f>IF(ABS($M25*(IF(E38="Immediate", D38*MIN(20,time_tot), D38*IF(time_tot&gt;time+20,20,IF(time_tot&lt;20,(time*VLOOKUP(E38, list!$J$48:$K$50, 2,))+(time_tot-time),((MIN(20,time)*VLOOKUP(affo!E38,  list!$J$48:$K$50,2,))+(time_tot-MIN(20,time))-IF(affo!E38="Exponential",time_tot-20+0.217*time*(EXP(4.606*(20-time_tot)/time)-1),((time_tot-20)^2)*(0.5/time))))))))&gt;=ABS(L25*-44/12*D38),L25*-44/12*D38,$M25*(IF(E38="Immediate", D38*MIN(20,time_tot), D38*IF(time_tot&gt;time+20,20,IF(time_tot&lt;20,(time*VLOOKUP(E38, list!$J$48:$K$50, 2,))+(time_tot-time),((MIN(20,time)*VLOOKUP(affo!E38,  list!$J$48:$K$50,2,))+(time_tot-MIN(20,time))-IF(affo!E38="Exponential",time_tot-20+0.217*time*(EXP(4.606*(20-time_tot)/time)-1),((time_tot-20)^2)*(0.5/time))))))))</f>
        <v/>
      </c>
      <c r="O38" s="1151">
        <f>IF(ABS($M25*(IF(G38="Immediate", F38*MIN(20,time_tot), F38*IF(time_tot&gt;time+20,20,IF(time_tot&lt;20,(time*VLOOKUP( G38,  list!$J$48:$K$50, 2,))+(time_tot-time),((MIN(20,time)*VLOOKUP(affo!G38,  list!$J$48:$K$50,2,))+(time_tot-MIN(20,time))-IF(affo!G38="Exponential",time_tot-20+0.217*time*(EXP(4.606*(20-time_tot)/time)-1),((time_tot-20)^2)*(0.5/time))))))))&gt;=ABS(L25*-44/12*F38),L25*-44/12*F38,$M25*(IF(G38="Immediate", F38*MIN(20,time_tot), F38*IF(time_tot&gt;time+20,20,IF(time_tot&lt;20,(time*VLOOKUP( G38,  list!$J$48:$K$50, 2,))+(time_tot-time),((MIN(20,time)*VLOOKUP(affo!G38,  list!$J$48:$K$50,2,))+(time_tot-MIN(20,time))-IF(affo!G38="Exponential",time_tot-20+0.217*time*(EXP(4.606*(20-time_tot)/time)-1),((time_tot-20)^2)*(0.5/time))))))))</f>
        <v/>
      </c>
      <c r="P38" s="1152">
        <f>IF(F25="YES", $D38*$R25, 0)</f>
        <v/>
      </c>
      <c r="Q38" s="1152">
        <f>IF(F25="YES", $F38*$R25, 0)</f>
        <v/>
      </c>
      <c r="S38" s="1152">
        <f>H38+J38+L38+N38+P38</f>
        <v/>
      </c>
      <c r="T38" s="1152">
        <f>I38+K38+M38+O38+Q38</f>
        <v/>
      </c>
      <c r="U38" s="1159">
        <f>T38-S38</f>
        <v/>
      </c>
      <c r="W38" s="2225" t="n"/>
      <c r="X38" s="2225" t="n"/>
      <c r="AK38" s="3524" t="inlineStr">
        <is>
          <t>CH4 fire</t>
        </is>
      </c>
      <c r="AL38" s="3525">
        <f>SUM(AG8:AG15)-SUM(AF8:AF15)</f>
        <v/>
      </c>
      <c r="AM38" s="3526">
        <f>IF(time=0,0, AL38)</f>
        <v/>
      </c>
      <c r="AN38" s="3527">
        <f>AL38-AM38</f>
        <v/>
      </c>
    </row>
    <row r="39">
      <c r="B39" s="1057" t="inlineStr">
        <is>
          <t>Affo 3</t>
        </is>
      </c>
      <c r="C39" s="1688" t="n">
        <v>0</v>
      </c>
      <c r="D39" s="1688">
        <f>'2.LUC'!$N38</f>
        <v/>
      </c>
      <c r="E39" s="1688">
        <f>VLOOKUP('2.LUC'!$O38, list!$I$48:$J$50,2,FALSE )</f>
        <v/>
      </c>
      <c r="F39" s="1688">
        <f>'2.LUC'!$P38</f>
        <v/>
      </c>
      <c r="G39" s="1688">
        <f>VLOOKUP('2.LUC'!$Q38, list!$I$48:$J$50,2,FALSE )</f>
        <v/>
      </c>
      <c r="H39" s="3493">
        <f>IF(W26&lt;-AB10*D39,-AB10*D39,W26)</f>
        <v/>
      </c>
      <c r="I39" s="1151">
        <f>IF(X26&lt;-AB10*F39,-AB10*F39,X26)</f>
        <v/>
      </c>
      <c r="J39" s="2528">
        <f>$V26*$D39</f>
        <v/>
      </c>
      <c r="K39" s="1315">
        <f>$F39*$V26</f>
        <v/>
      </c>
      <c r="L39" s="3495">
        <f>IF('2.LUC'!$C38&lt;&gt; "Please select", ((affo!$D39*affo!I26)*44/12), 0)</f>
        <v/>
      </c>
      <c r="M39" s="1152">
        <f>IF('2.LUC'!$C38&lt;&gt; "Please select", ((affo!$F39*affo!I26)*44/12), 0)</f>
        <v/>
      </c>
      <c r="N39" s="1151">
        <f>IF(ABS($M26*(IF(E39="Immediate", D39*MIN(20,time_tot), D39*IF(time_tot&gt;time+20,20,IF(time_tot&lt;20,(time*VLOOKUP(E39, list!$J$48:$K$50, 2,))+(time_tot-time),((MIN(20,time)*VLOOKUP(affo!E39,  list!$J$48:$K$50,2,))+(time_tot-MIN(20,time))-IF(affo!E39="Exponential",time_tot-20+0.217*time*(EXP(4.606*(20-time_tot)/time)-1),((time_tot-20)^2)*(0.5/time))))))))&gt;=ABS(L26*-44/12*D39),L26*-44/12*D39,$M26*(IF(E39="Immediate", D39*MIN(20,time_tot), D39*IF(time_tot&gt;time+20,20,IF(time_tot&lt;20,(time*VLOOKUP(E39, list!$J$48:$K$50, 2,))+(time_tot-time),((MIN(20,time)*VLOOKUP(affo!E39,  list!$J$48:$K$50,2,))+(time_tot-MIN(20,time))-IF(affo!E39="Exponential",time_tot-20+0.217*time*(EXP(4.606*(20-time_tot)/time)-1),((time_tot-20)^2)*(0.5/time))))))))</f>
        <v/>
      </c>
      <c r="O39" s="1151">
        <f>IF(ABS($M26*(IF(G39="Immediate", F39*MIN(20,time_tot), F39*IF(time_tot&gt;time+20,20,IF(time_tot&lt;20,(time*VLOOKUP( G39,  list!$J$48:$K$50, 2,))+(time_tot-time),((MIN(20,time)*VLOOKUP(affo!G39,  list!$J$48:$K$50,2,))+(time_tot-MIN(20,time))-IF(affo!G39="Exponential",time_tot-20+0.217*time*(EXP(4.606*(20-time_tot)/time)-1),((time_tot-20)^2)*(0.5/time))))))))&gt;=ABS(L26*-44/12*F39),L26*-44/12*F39,$M26*(IF(G39="Immediate", F39*MIN(20,time_tot), F39*IF(time_tot&gt;time+20,20,IF(time_tot&lt;20,(time*VLOOKUP( G39,  list!$J$48:$K$50, 2,))+(time_tot-time),((MIN(20,time)*VLOOKUP(affo!G39,  list!$J$48:$K$50,2,))+(time_tot-MIN(20,time))-IF(affo!G39="Exponential",time_tot-20+0.217*time*(EXP(4.606*(20-time_tot)/time)-1),((time_tot-20)^2)*(0.5/time))))))))</f>
        <v/>
      </c>
      <c r="P39" s="1152">
        <f>IF(F26="YES", $D39*$R26, 0)</f>
        <v/>
      </c>
      <c r="Q39" s="1152">
        <f>IF(F26="YES", $F39*$R26, 0)</f>
        <v/>
      </c>
      <c r="S39" s="1152">
        <f>H39+J39+L39+N39+P39</f>
        <v/>
      </c>
      <c r="T39" s="1152">
        <f>I39+K39+M39+O39+Q39</f>
        <v/>
      </c>
      <c r="U39" s="1159">
        <f>T39-S39</f>
        <v/>
      </c>
      <c r="W39" s="2225" t="n"/>
      <c r="X39" s="2225" t="n"/>
      <c r="AK39" s="3524" t="inlineStr">
        <is>
          <t>N2O fire</t>
        </is>
      </c>
      <c r="AL39" s="3525">
        <f>SUM(AI8:AI15)-SUM(AH8:AH15)</f>
        <v/>
      </c>
      <c r="AM39" s="3526">
        <f>IF(time=0, 0, AL39)</f>
        <v/>
      </c>
      <c r="AN39" s="1315">
        <f>AL39-AM39</f>
        <v/>
      </c>
    </row>
    <row r="40">
      <c r="B40" s="1057" t="inlineStr">
        <is>
          <t>Affo 4</t>
        </is>
      </c>
      <c r="C40" s="1688" t="n">
        <v>0</v>
      </c>
      <c r="D40" s="1688">
        <f>'2.LUC'!$N39</f>
        <v/>
      </c>
      <c r="E40" s="1688">
        <f>VLOOKUP('2.LUC'!$O39, list!$I$48:$J$50,2,FALSE )</f>
        <v/>
      </c>
      <c r="F40" s="1688">
        <f>'2.LUC'!$P39</f>
        <v/>
      </c>
      <c r="G40" s="1688">
        <f>VLOOKUP('2.LUC'!$Q39, list!$I$48:$J$50,2,FALSE )</f>
        <v/>
      </c>
      <c r="H40" s="3493">
        <f>IF(W27&lt;-AB11*D40,-AB11*D40,W27)</f>
        <v/>
      </c>
      <c r="I40" s="1151">
        <f>IF(X27&lt;-AB11*F40,-AB11*F40,X27)</f>
        <v/>
      </c>
      <c r="J40" s="2528">
        <f>$V27*$D40</f>
        <v/>
      </c>
      <c r="K40" s="1315">
        <f>$F40*$V27</f>
        <v/>
      </c>
      <c r="L40" s="3495">
        <f>IF('2.LUC'!$C39&lt;&gt; "Please select", ((affo!$D40*affo!I27)*44/12), 0)</f>
        <v/>
      </c>
      <c r="M40" s="1152">
        <f>IF('2.LUC'!$C39&lt;&gt; "Please select", ((affo!$F40*affo!I27)*44/12), 0)</f>
        <v/>
      </c>
      <c r="N40" s="1151">
        <f>IF(ABS($M27*(IF(E40="Immediate", D40*MIN(20,time_tot), D40*IF(time_tot&gt;time+20,20,IF(time_tot&lt;20,(time*VLOOKUP(E40, list!$J$48:$K$50, 2,))+(time_tot-time),((MIN(20,time)*VLOOKUP(affo!E40,  list!$J$48:$K$50,2,))+(time_tot-MIN(20,time))-IF(affo!E40="Exponential",time_tot-20+0.217*time*(EXP(4.606*(20-time_tot)/time)-1),((time_tot-20)^2)*(0.5/time))))))))&gt;=ABS(L27*-44/12*D40),L27*-44/12*D40,$M27*(IF(E40="Immediate", D40*MIN(20,time_tot), D40*IF(time_tot&gt;time+20,20,IF(time_tot&lt;20,(time*VLOOKUP(E40, list!$J$48:$K$50, 2,))+(time_tot-time),((MIN(20,time)*VLOOKUP(affo!E40,  list!$J$48:$K$50,2,))+(time_tot-MIN(20,time))-IF(affo!E40="Exponential",time_tot-20+0.217*time*(EXP(4.606*(20-time_tot)/time)-1),((time_tot-20)^2)*(0.5/time))))))))</f>
        <v/>
      </c>
      <c r="O40" s="1151">
        <f>IF(ABS($M27*(IF(G40="Immediate", F40*MIN(20,time_tot), F40*IF(time_tot&gt;time+20,20,IF(time_tot&lt;20,(time*VLOOKUP( G40,  list!$J$48:$K$50, 2,))+(time_tot-time),((MIN(20,time)*VLOOKUP(affo!G40,  list!$J$48:$K$50,2,))+(time_tot-MIN(20,time))-IF(affo!G40="Exponential",time_tot-20+0.217*time*(EXP(4.606*(20-time_tot)/time)-1),((time_tot-20)^2)*(0.5/time))))))))&gt;=ABS(L27*-44/12*F40),L27*-44/12*F40,$M27*(IF(G40="Immediate", F40*MIN(20,time_tot), F40*IF(time_tot&gt;time+20,20,IF(time_tot&lt;20,(time*VLOOKUP( G40,  list!$J$48:$K$50, 2,))+(time_tot-time),((MIN(20,time)*VLOOKUP(affo!G40,  list!$J$48:$K$50,2,))+(time_tot-MIN(20,time))-IF(affo!G40="Exponential",time_tot-20+0.217*time*(EXP(4.606*(20-time_tot)/time)-1),((time_tot-20)^2)*(0.5/time))))))))</f>
        <v/>
      </c>
      <c r="P40" s="1152">
        <f>IF(F27="YES", $D40*$R27, 0)</f>
        <v/>
      </c>
      <c r="Q40" s="1152">
        <f>IF(F27="YES", $F40*$R27, 0)</f>
        <v/>
      </c>
      <c r="S40" s="1152">
        <f>H40+J40+L40+N40+P40</f>
        <v/>
      </c>
      <c r="T40" s="1152">
        <f>I40+K40+M40+O40+Q40</f>
        <v/>
      </c>
      <c r="U40" s="1159">
        <f>T40-S40</f>
        <v/>
      </c>
      <c r="W40" s="2225" t="n"/>
      <c r="X40" s="2225" t="n"/>
      <c r="AK40" s="3491" t="inlineStr">
        <is>
          <t xml:space="preserve">Total </t>
        </is>
      </c>
      <c r="AL40" s="3895">
        <f>SUM(AL35:AL39)</f>
        <v/>
      </c>
      <c r="AM40" s="3895">
        <f>SUM(AM35:AM39)</f>
        <v/>
      </c>
      <c r="AN40" s="3895">
        <f>SUM(AN35:AN39)</f>
        <v/>
      </c>
    </row>
    <row r="41">
      <c r="B41" s="1057" t="inlineStr">
        <is>
          <t>Affo 5</t>
        </is>
      </c>
      <c r="C41" s="1688" t="n">
        <v>0</v>
      </c>
      <c r="D41" s="1688">
        <f>'2.LUC'!$N40</f>
        <v/>
      </c>
      <c r="E41" s="1688">
        <f>VLOOKUP('2.LUC'!$O40, list!$I$48:$J$50,2,FALSE )</f>
        <v/>
      </c>
      <c r="F41" s="1688">
        <f>'2.LUC'!$P40</f>
        <v/>
      </c>
      <c r="G41" s="1688">
        <f>VLOOKUP('2.LUC'!$Q40, list!$I$48:$J$50,2,FALSE )</f>
        <v/>
      </c>
      <c r="H41" s="3493">
        <f>IF(W28&lt;-AB12*D41,-AB12*D41,W28)</f>
        <v/>
      </c>
      <c r="I41" s="1151">
        <f>IF(X28&lt;-AB12*F41,-AB12*F41,X28)</f>
        <v/>
      </c>
      <c r="J41" s="2528">
        <f>$V28*$D41</f>
        <v/>
      </c>
      <c r="K41" s="1315">
        <f>$F41*$V28</f>
        <v/>
      </c>
      <c r="L41" s="3495">
        <f>IF('2.LUC'!$C40&lt;&gt; "Please select", ((affo!$D41*affo!I28)*44/12), 0)</f>
        <v/>
      </c>
      <c r="M41" s="1152">
        <f>IF('2.LUC'!$C40&lt;&gt; "Please select", ((affo!$F41*affo!I28)*44/12), 0)</f>
        <v/>
      </c>
      <c r="N41" s="1151">
        <f>IF(ABS($M28*(IF(E41="Immediate", D41*MIN(20,time_tot), D41*IF(time_tot&gt;time+20,20,IF(time_tot&lt;20,(time*VLOOKUP(E41, list!$J$48:$K$50, 2,))+(time_tot-time),((MIN(20,time)*VLOOKUP(affo!E41,  list!$J$48:$K$50,2,))+(time_tot-MIN(20,time))-IF(affo!E41="Exponential",time_tot-20+0.217*time*(EXP(4.606*(20-time_tot)/time)-1),((time_tot-20)^2)*(0.5/time))))))))&gt;=ABS(L28*-44/12*D41),L28*-44/12*D41,$M28*(IF(E41="Immediate", D41*MIN(20,time_tot), D41*IF(time_tot&gt;time+20,20,IF(time_tot&lt;20,(time*VLOOKUP(E41, list!$J$48:$K$50, 2,))+(time_tot-time),((MIN(20,time)*VLOOKUP(affo!E41,  list!$J$48:$K$50,2,))+(time_tot-MIN(20,time))-IF(affo!E41="Exponential",time_tot-20+0.217*time*(EXP(4.606*(20-time_tot)/time)-1),((time_tot-20)^2)*(0.5/time))))))))</f>
        <v/>
      </c>
      <c r="O41" s="1151">
        <f>IF(ABS($M28*(IF(G41="Immediate", F41*MIN(20,time_tot), F41*IF(time_tot&gt;time+20,20,IF(time_tot&lt;20,(time*VLOOKUP( G41,  list!$J$48:$K$50, 2,))+(time_tot-time),((MIN(20,time)*VLOOKUP(affo!G41,  list!$J$48:$K$50,2,))+(time_tot-MIN(20,time))-IF(affo!G41="Exponential",time_tot-20+0.217*time*(EXP(4.606*(20-time_tot)/time)-1),((time_tot-20)^2)*(0.5/time))))))))&gt;=ABS(L28*-44/12*F41),L28*-44/12*F41,$M28*(IF(G41="Immediate", F41*MIN(20,time_tot), F41*IF(time_tot&gt;time+20,20,IF(time_tot&lt;20,(time*VLOOKUP( G41,  list!$J$48:$K$50, 2,))+(time_tot-time),((MIN(20,time)*VLOOKUP(affo!G41,  list!$J$48:$K$50,2,))+(time_tot-MIN(20,time))-IF(affo!G41="Exponential",time_tot-20+0.217*time*(EXP(4.606*(20-time_tot)/time)-1),((time_tot-20)^2)*(0.5/time))))))))</f>
        <v/>
      </c>
      <c r="P41" s="1152">
        <f>IF(F28="YES", $D41*$R28, 0)</f>
        <v/>
      </c>
      <c r="Q41" s="1152">
        <f>IF(F28="YES", $F41*$R28, 0)</f>
        <v/>
      </c>
      <c r="S41" s="1152">
        <f>H41+J41+L41+N41+P41</f>
        <v/>
      </c>
      <c r="T41" s="1152">
        <f>I41+K41+M41+O41+Q41</f>
        <v/>
      </c>
      <c r="U41" s="1159">
        <f>T41-S41</f>
        <v/>
      </c>
      <c r="W41" s="2225" t="n"/>
      <c r="X41" s="2225" t="n"/>
    </row>
    <row r="42">
      <c r="B42" s="1057" t="inlineStr">
        <is>
          <t>Affo 6</t>
        </is>
      </c>
      <c r="C42" s="1688" t="n">
        <v>0</v>
      </c>
      <c r="D42" s="1688">
        <f>'2.LUC'!$N41</f>
        <v/>
      </c>
      <c r="E42" s="1688">
        <f>VLOOKUP('2.LUC'!$O41, list!$I$48:$J$50,2,FALSE )</f>
        <v/>
      </c>
      <c r="F42" s="1688">
        <f>'2.LUC'!$P41</f>
        <v/>
      </c>
      <c r="G42" s="1688">
        <f>VLOOKUP('2.LUC'!$Q41, list!$I$48:$J$50,2,FALSE )</f>
        <v/>
      </c>
      <c r="H42" s="3493">
        <f>IF(W29&lt;-AB13*D42,-AB13*D42,W29)</f>
        <v/>
      </c>
      <c r="I42" s="1151">
        <f>IF(X29&lt;-AB13*F42,-AB13*F42,X29)</f>
        <v/>
      </c>
      <c r="J42" s="2528">
        <f>$V29*$D42</f>
        <v/>
      </c>
      <c r="K42" s="1315">
        <f>$F42*$V29</f>
        <v/>
      </c>
      <c r="L42" s="3495">
        <f>IF('2.LUC'!$C41&lt;&gt; "Please select", ((affo!$D42*affo!I29)*44/12), 0)</f>
        <v/>
      </c>
      <c r="M42" s="1152">
        <f>IF('2.LUC'!$C41&lt;&gt; "Please select", ((affo!$F42*affo!I29)*44/12), 0)</f>
        <v/>
      </c>
      <c r="N42" s="1151">
        <f>IF(ABS($M29*(IF(E42="Immediate", D42*MIN(20,time_tot), D42*IF(time_tot&gt;time+20,20,IF(time_tot&lt;20,(time*VLOOKUP(E42, list!$J$48:$K$50, 2,))+(time_tot-time),((MIN(20,time)*VLOOKUP(affo!E42,  list!$J$48:$K$50,2,))+(time_tot-MIN(20,time))-IF(affo!E42="Exponential",time_tot-20+0.217*time*(EXP(4.606*(20-time_tot)/time)-1),((time_tot-20)^2)*(0.5/time))))))))&gt;=ABS(L29*-44/12*D42),L29*-44/12*D42,$M29*(IF(E42="Immediate", D42*MIN(20,time_tot), D42*IF(time_tot&gt;time+20,20,IF(time_tot&lt;20,(time*VLOOKUP(E42, list!$J$48:$K$50, 2,))+(time_tot-time),((MIN(20,time)*VLOOKUP(affo!E42,  list!$J$48:$K$50,2,))+(time_tot-MIN(20,time))-IF(affo!E42="Exponential",time_tot-20+0.217*time*(EXP(4.606*(20-time_tot)/time)-1),((time_tot-20)^2)*(0.5/time))))))))</f>
        <v/>
      </c>
      <c r="O42" s="1151">
        <f>IF(ABS($M29*(IF(G42="Immediate", F42*MIN(20,time_tot), F42*IF(time_tot&gt;time+20,20,IF(time_tot&lt;20,(time*VLOOKUP( G42,  list!$J$48:$K$50, 2,))+(time_tot-time),((MIN(20,time)*VLOOKUP(affo!G42,  list!$J$48:$K$50,2,))+(time_tot-MIN(20,time))-IF(affo!G42="Exponential",time_tot-20+0.217*time*(EXP(4.606*(20-time_tot)/time)-1),((time_tot-20)^2)*(0.5/time))))))))&gt;=ABS(L29*-44/12*F42),L29*-44/12*F42,$M29*(IF(G42="Immediate", F42*MIN(20,time_tot), F42*IF(time_tot&gt;time+20,20,IF(time_tot&lt;20,(time*VLOOKUP( G42,  list!$J$48:$K$50, 2,))+(time_tot-time),((MIN(20,time)*VLOOKUP(affo!G42,  list!$J$48:$K$50,2,))+(time_tot-MIN(20,time))-IF(affo!G42="Exponential",time_tot-20+0.217*time*(EXP(4.606*(20-time_tot)/time)-1),((time_tot-20)^2)*(0.5/time))))))))</f>
        <v/>
      </c>
      <c r="P42" s="1152">
        <f>IF(F29="YES", $D42*$R29, 0)</f>
        <v/>
      </c>
      <c r="Q42" s="1152">
        <f>IF(F29="YES", $F42*$R29, 0)</f>
        <v/>
      </c>
      <c r="S42" s="1152">
        <f>H42+J42+L42+N42+P42</f>
        <v/>
      </c>
      <c r="T42" s="1152">
        <f>I42+K42+M42+O42+Q42</f>
        <v/>
      </c>
      <c r="U42" s="1159">
        <f>T42-S42</f>
        <v/>
      </c>
      <c r="W42" s="2225" t="n"/>
      <c r="X42" s="2225" t="n"/>
    </row>
    <row r="43">
      <c r="B43" s="1057" t="inlineStr">
        <is>
          <t>Affo 7</t>
        </is>
      </c>
      <c r="C43" s="1688" t="n">
        <v>0</v>
      </c>
      <c r="D43" s="1688">
        <f>'2.LUC'!$N42</f>
        <v/>
      </c>
      <c r="E43" s="1688">
        <f>VLOOKUP('2.LUC'!$O42, list!$I$48:$J$50,2,FALSE )</f>
        <v/>
      </c>
      <c r="F43" s="1688">
        <f>'2.LUC'!$P42</f>
        <v/>
      </c>
      <c r="G43" s="1688">
        <f>VLOOKUP('2.LUC'!$Q42, list!$I$48:$J$50,2,FALSE )</f>
        <v/>
      </c>
      <c r="H43" s="3493">
        <f>IF(W30&lt;-AB14*D43,-AB14*D43,W30)</f>
        <v/>
      </c>
      <c r="I43" s="1151">
        <f>IF(X30&lt;-AB14*F43,-AB14*F43,X30)</f>
        <v/>
      </c>
      <c r="J43" s="2528">
        <f>$V30*$D43</f>
        <v/>
      </c>
      <c r="K43" s="1315">
        <f>$F43*$V30</f>
        <v/>
      </c>
      <c r="L43" s="3495">
        <f>IF('2.LUC'!$C42&lt;&gt; "Please select", ((affo!$D43*affo!I30)*44/12), 0)</f>
        <v/>
      </c>
      <c r="M43" s="1152">
        <f>IF('2.LUC'!$C42&lt;&gt; "Please select", ((affo!$F43*affo!I30)*44/12), 0)</f>
        <v/>
      </c>
      <c r="N43" s="1151">
        <f>IF(ABS($M30*(IF(E43="Immediate", D43*MIN(20,time_tot), D43*IF(time_tot&gt;time+20,20,IF(time_tot&lt;20,(time*VLOOKUP(E43, list!$J$48:$K$50, 2,))+(time_tot-time),((MIN(20,time)*VLOOKUP(affo!E43,  list!$J$48:$K$50,2,))+(time_tot-MIN(20,time))-IF(affo!E43="Exponential",time_tot-20+0.217*time*(EXP(4.606*(20-time_tot)/time)-1),((time_tot-20)^2)*(0.5/time))))))))&gt;=ABS(L30*-44/12*D43),L30*-44/12*D43,$M30*(IF(E43="Immediate", D43*MIN(20,time_tot), D43*IF(time_tot&gt;time+20,20,IF(time_tot&lt;20,(time*VLOOKUP(E43, list!$J$48:$K$50, 2,))+(time_tot-time),((MIN(20,time)*VLOOKUP(affo!E43,  list!$J$48:$K$50,2,))+(time_tot-MIN(20,time))-IF(affo!E43="Exponential",time_tot-20+0.217*time*(EXP(4.606*(20-time_tot)/time)-1),((time_tot-20)^2)*(0.5/time))))))))</f>
        <v/>
      </c>
      <c r="O43" s="1151">
        <f>IF(ABS($M30*(IF(G43="Immediate", F43*MIN(20,time_tot), F43*IF(time_tot&gt;time+20,20,IF(time_tot&lt;20,(time*VLOOKUP( G43,  list!$J$48:$K$50, 2,))+(time_tot-time),((MIN(20,time)*VLOOKUP(affo!G43,  list!$J$48:$K$50,2,))+(time_tot-MIN(20,time))-IF(affo!G43="Exponential",time_tot-20+0.217*time*(EXP(4.606*(20-time_tot)/time)-1),((time_tot-20)^2)*(0.5/time))))))))&gt;=ABS(L30*-44/12*F43),L30*-44/12*F43,$M30*(IF(G43="Immediate", F43*MIN(20,time_tot), F43*IF(time_tot&gt;time+20,20,IF(time_tot&lt;20,(time*VLOOKUP( G43,  list!$J$48:$K$50, 2,))+(time_tot-time),((MIN(20,time)*VLOOKUP(affo!G43,  list!$J$48:$K$50,2,))+(time_tot-MIN(20,time))-IF(affo!G43="Exponential",time_tot-20+0.217*time*(EXP(4.606*(20-time_tot)/time)-1),((time_tot-20)^2)*(0.5/time))))))))</f>
        <v/>
      </c>
      <c r="P43" s="1152">
        <f>IF(F30="YES", $D43*$R30, 0)</f>
        <v/>
      </c>
      <c r="Q43" s="1152">
        <f>IF(F30="YES", $F43*$R30, 0)</f>
        <v/>
      </c>
      <c r="S43" s="1152">
        <f>H43+J43+L43+N43+P43</f>
        <v/>
      </c>
      <c r="T43" s="1152">
        <f>I43+K43+M43+O43+Q43</f>
        <v/>
      </c>
      <c r="U43" s="1159">
        <f>T43-S43</f>
        <v/>
      </c>
    </row>
    <row r="44">
      <c r="B44" s="1057" t="inlineStr">
        <is>
          <t>Affo 8</t>
        </is>
      </c>
      <c r="C44" s="1688" t="n">
        <v>0</v>
      </c>
      <c r="D44" s="1688">
        <f>'2.LUC'!$N43</f>
        <v/>
      </c>
      <c r="E44" s="1688">
        <f>VLOOKUP('2.LUC'!$O43, list!$I$48:$J$50,2,FALSE )</f>
        <v/>
      </c>
      <c r="F44" s="1688">
        <f>'2.LUC'!$P43</f>
        <v/>
      </c>
      <c r="G44" s="1688">
        <f>VLOOKUP('2.LUC'!$Q43, list!$I$48:$J$50,2,FALSE )</f>
        <v/>
      </c>
      <c r="H44" s="3493">
        <f>IF(W31&lt;-AB15*D44,-AB15*D44,W31)</f>
        <v/>
      </c>
      <c r="I44" s="1151">
        <f>IF(X31&lt;-AB15*F44,-AB15*F44,X31)</f>
        <v/>
      </c>
      <c r="J44" s="2545">
        <f>$V31*$D44</f>
        <v/>
      </c>
      <c r="K44" s="2546">
        <f>$F44*$V31</f>
        <v/>
      </c>
      <c r="L44" s="3496">
        <f>IF('2.LUC'!$C43&lt;&gt; "Please select", ((affo!$D44*affo!I31)*44/12), 0)</f>
        <v/>
      </c>
      <c r="M44" s="1153">
        <f>IF('2.LUC'!$C43&lt;&gt; "Please select", ((affo!$F44*affo!I31)*44/12), 0)</f>
        <v/>
      </c>
      <c r="N44" s="1151">
        <f>IF(ABS($M31*(IF(E44="Immediate", D44*MIN(20,time_tot), D44*IF(time_tot&gt;time+20,20,IF(time_tot&lt;20,(time*VLOOKUP(E44, list!$J$48:$K$50, 2,))+(time_tot-time),((MIN(20,time)*VLOOKUP(affo!E44,  list!$J$48:$K$50,2,))+(time_tot-MIN(20,time))-IF(affo!E44="Exponential",time_tot-20+0.217*time*(EXP(4.606*(20-time_tot)/time)-1),((time_tot-20)^2)*(0.5/time))))))))&gt;=ABS(L31*-44/12*D44),L31*-44/12*D44,$M31*(IF(E44="Immediate", D44*MIN(20,time_tot), D44*IF(time_tot&gt;time+20,20,IF(time_tot&lt;20,(time*VLOOKUP(E44, list!$J$48:$K$50, 2,))+(time_tot-time),((MIN(20,time)*VLOOKUP(affo!E44,  list!$J$48:$K$50,2,))+(time_tot-MIN(20,time))-IF(affo!E44="Exponential",time_tot-20+0.217*time*(EXP(4.606*(20-time_tot)/time)-1),((time_tot-20)^2)*(0.5/time))))))))</f>
        <v/>
      </c>
      <c r="O44" s="1151">
        <f>IF(ABS($M31*(IF(G44="Immediate", F44*MIN(20,time_tot), F44*IF(time_tot&gt;time+20,20,IF(time_tot&lt;20,(time*VLOOKUP( G44,  list!$J$48:$K$50, 2,))+(time_tot-time),((MIN(20,time)*VLOOKUP(affo!G44,  list!$J$48:$K$50,2,))+(time_tot-MIN(20,time))-IF(affo!G44="Exponential",time_tot-20+0.217*time*(EXP(4.606*(20-time_tot)/time)-1),((time_tot-20)^2)*(0.5/time))))))))&gt;=ABS(L31*-44/12*F44),L31*-44/12*F44,$M31*(IF(G44="Immediate", F44*MIN(20,time_tot), F44*IF(time_tot&gt;time+20,20,IF(time_tot&lt;20,(time*VLOOKUP( G44,  list!$J$48:$K$50, 2,))+(time_tot-time),((MIN(20,time)*VLOOKUP(affo!G44,  list!$J$48:$K$50,2,))+(time_tot-MIN(20,time))-IF(affo!G44="Exponential",time_tot-20+0.217*time*(EXP(4.606*(20-time_tot)/time)-1),((time_tot-20)^2)*(0.5/time))))))))</f>
        <v/>
      </c>
      <c r="P44" s="1153">
        <f>IF(F31="YES", $D44*$R31, 0)</f>
        <v/>
      </c>
      <c r="Q44" s="1153">
        <f>IF(F31="YES", $F44*$R31, 0)</f>
        <v/>
      </c>
      <c r="S44" s="1153">
        <f>H44+J44+L44+N44+P44</f>
        <v/>
      </c>
      <c r="T44" s="1153">
        <f>I44+K44+M44+O44+Q44</f>
        <v/>
      </c>
      <c r="U44" s="3499">
        <f>T44-S44</f>
        <v/>
      </c>
    </row>
    <row r="46">
      <c r="J46" s="1246" t="n"/>
      <c r="R46" s="1653" t="inlineStr">
        <is>
          <t>Total Afforestation</t>
        </is>
      </c>
      <c r="S46" s="2276">
        <f>SUM(S37:S44)</f>
        <v/>
      </c>
      <c r="T46" s="2276">
        <f>SUM(T37:T44)</f>
        <v/>
      </c>
      <c r="U46" s="2276">
        <f>T46-S46</f>
        <v/>
      </c>
    </row>
    <row r="49" ht="16" customHeight="1">
      <c r="I49" s="1662" t="n"/>
      <c r="S49" s="3157" t="n"/>
      <c r="T49" s="3156" t="inlineStr">
        <is>
          <t>TEST TIER 2 biomass</t>
        </is>
      </c>
      <c r="U49" s="3156">
        <f>SUM('2.LUC'!BC36:BC43,'2.LUC'!BI36:BI43)</f>
        <v/>
      </c>
    </row>
    <row r="51" ht="16" customHeight="1">
      <c r="S51" s="1469" t="n"/>
      <c r="T51" s="3163" t="n"/>
      <c r="U51" s="3163" t="n"/>
    </row>
  </sheetData>
  <mergeCells count="1">
    <mergeCell ref="AC4:AC7"/>
  </mergeCells>
  <pageMargins left="0.7" right="0.7" top="0.75" bottom="0.75" header="0.3" footer="0.3"/>
  <pageSetup orientation="portrait" paperSize="9" horizontalDpi="300" verticalDpi="300"/>
  <legacyDrawing r:id="anysvml"/>
</worksheet>
</file>

<file path=xl/worksheets/sheet4.xml><?xml version="1.0" encoding="utf-8"?>
<worksheet xmlns:r="http://schemas.openxmlformats.org/officeDocument/2006/relationships" xmlns="http://schemas.openxmlformats.org/spreadsheetml/2006/main">
  <sheetPr codeName="Sheet6">
    <outlinePr summaryBelow="1" summaryRight="1"/>
    <pageSetUpPr/>
  </sheetPr>
  <dimension ref="A1:AT48"/>
  <sheetViews>
    <sheetView showGridLines="0" topLeftCell="E4" zoomScale="70" zoomScaleNormal="70" workbookViewId="0">
      <selection activeCell="J27" sqref="J27"/>
    </sheetView>
  </sheetViews>
  <sheetFormatPr baseColWidth="10" defaultColWidth="8.6640625" defaultRowHeight="14"/>
  <cols>
    <col width="21.6640625" customWidth="1" style="1324" min="1" max="1"/>
    <col width="24.6640625" customWidth="1" style="1324" min="2" max="2"/>
    <col width="28.33203125" customWidth="1" style="1324" min="3" max="3"/>
    <col width="34.5" customWidth="1" style="1324" min="4" max="5"/>
    <col width="29.5" customWidth="1" style="1324" min="6" max="6"/>
    <col width="19.33203125" customWidth="1" style="1324" min="7" max="7"/>
    <col width="28.6640625" customWidth="1" style="1324" min="8" max="8"/>
    <col width="27.5" customWidth="1" style="1324" min="9" max="9"/>
    <col width="39.5" customWidth="1" style="1324" min="10" max="10"/>
    <col width="26.6640625" bestFit="1" customWidth="1" style="1324" min="11" max="11"/>
    <col width="18" customWidth="1" style="1324" min="12" max="12"/>
    <col width="10.5" bestFit="1" customWidth="1" style="1324" min="13" max="13"/>
    <col width="13.5" bestFit="1" customWidth="1" style="1324" min="14" max="14"/>
    <col width="15.33203125" customWidth="1" style="1324" min="15" max="15"/>
    <col width="13.5" customWidth="1" style="1324" min="16" max="16"/>
    <col width="14.6640625" customWidth="1" style="1324" min="17" max="17"/>
    <col width="18.5" bestFit="1" customWidth="1" style="1324" min="18" max="18"/>
    <col width="12.5" customWidth="1" style="1324" min="19" max="19"/>
    <col width="15.5" customWidth="1" style="1324" min="20" max="20"/>
    <col width="32.5" bestFit="1" customWidth="1" style="1324" min="21" max="21"/>
    <col width="44.5" customWidth="1" style="1324" min="22" max="22"/>
    <col width="15.5" customWidth="1" style="1324" min="23" max="24"/>
    <col width="8.6640625" customWidth="1" style="1324" min="25" max="26"/>
    <col width="14.33203125" customWidth="1" style="1324" min="27" max="27"/>
    <col width="12.5" customWidth="1" style="1324" min="28" max="28"/>
    <col width="12.33203125" customWidth="1" style="1324" min="29" max="30"/>
    <col width="12.5" customWidth="1" style="1324" min="31" max="32"/>
    <col width="8.6640625" customWidth="1" style="1324" min="33" max="45"/>
    <col width="12.5" bestFit="1" customWidth="1" style="1324" min="46" max="46"/>
    <col width="13.33203125" customWidth="1" style="1324" min="47" max="47"/>
    <col width="15" bestFit="1" customWidth="1" style="1324" min="48" max="48"/>
    <col width="13.33203125" bestFit="1" customWidth="1" style="1324" min="49" max="49"/>
    <col width="8.6640625" customWidth="1" style="1324" min="50" max="54"/>
    <col width="13.6640625" customWidth="1" style="1324" min="55" max="55"/>
    <col width="16.5" customWidth="1" style="1324" min="56" max="56"/>
    <col width="8.6640625" customWidth="1" style="1324" min="57" max="16384"/>
  </cols>
  <sheetData>
    <row r="1" customFormat="1" s="973">
      <c r="A1" s="1609" t="n"/>
    </row>
    <row r="2" customFormat="1" s="973"/>
    <row r="3" ht="45.75" customFormat="1" customHeight="1" s="973">
      <c r="A3" s="2641" t="inlineStr">
        <is>
          <t>2.1 Deforestation</t>
        </is>
      </c>
      <c r="B3" s="1680" t="n"/>
      <c r="C3" s="1681" t="n"/>
      <c r="D3" s="1681" t="n"/>
      <c r="E3" s="1681" t="n"/>
      <c r="F3" s="1681" t="n"/>
      <c r="G3" s="1681" t="n"/>
      <c r="H3" s="1681" t="n"/>
      <c r="I3" s="1681" t="n"/>
      <c r="J3" s="1681" t="n"/>
      <c r="K3" s="1681" t="n"/>
      <c r="L3" s="1681" t="n"/>
      <c r="M3" s="1681" t="n"/>
      <c r="N3" s="1681" t="n"/>
      <c r="O3" s="1681" t="n"/>
      <c r="P3" s="1681" t="n"/>
      <c r="Q3" s="1681" t="n"/>
      <c r="R3" s="1681" t="n"/>
      <c r="S3" s="1681" t="n"/>
      <c r="T3" s="1681" t="n"/>
      <c r="U3" s="1681" t="n"/>
      <c r="V3" s="1681" t="n"/>
      <c r="W3" s="1681" t="n"/>
      <c r="X3" s="1681" t="n"/>
      <c r="Y3" s="1681" t="n"/>
      <c r="Z3" s="1681" t="n"/>
    </row>
    <row r="4" customFormat="1" s="973"/>
    <row r="5" ht="5.25" customFormat="1" customHeight="1" s="973"/>
    <row r="6" customFormat="1" s="973"/>
    <row r="7" ht="21" customHeight="1">
      <c r="A7" s="2643" t="inlineStr">
        <is>
          <t xml:space="preserve">IPCC forest classes stratified by climate </t>
        </is>
      </c>
      <c r="B7" s="2643" t="n"/>
      <c r="C7" s="2643" t="n"/>
      <c r="D7" s="2643" t="n"/>
      <c r="E7" s="2643" t="n"/>
      <c r="G7" s="1427" t="inlineStr">
        <is>
          <t>No</t>
        </is>
      </c>
      <c r="H7" s="1124" t="inlineStr">
        <is>
          <t>Forest classes per IPCC climate region</t>
        </is>
      </c>
      <c r="I7" s="2420" t="inlineStr">
        <is>
          <t>AGB default</t>
        </is>
      </c>
      <c r="J7" s="1682" t="inlineStr">
        <is>
          <t>AGB default</t>
        </is>
      </c>
      <c r="K7" s="1682" t="inlineStr">
        <is>
          <t>AGB tier 2</t>
        </is>
      </c>
      <c r="L7" s="1433" t="inlineStr">
        <is>
          <t>BGB</t>
        </is>
      </c>
      <c r="M7" s="1682" t="inlineStr">
        <is>
          <t>BGB default</t>
        </is>
      </c>
      <c r="N7" s="1682" t="inlineStr">
        <is>
          <t>BGB tier 2</t>
        </is>
      </c>
      <c r="O7" s="1683" t="inlineStr">
        <is>
          <t>Litter</t>
        </is>
      </c>
      <c r="P7" s="1683" t="inlineStr">
        <is>
          <t>Litter default</t>
        </is>
      </c>
      <c r="Q7" s="1683" t="inlineStr">
        <is>
          <t>Dead Wood</t>
        </is>
      </c>
      <c r="R7" s="1683" t="inlineStr">
        <is>
          <t>DW Tier 2</t>
        </is>
      </c>
      <c r="S7" s="1683" t="inlineStr">
        <is>
          <t>SOC(0-T)</t>
        </is>
      </c>
      <c r="T7" s="1683" t="inlineStr">
        <is>
          <t>SOC Tier 2</t>
        </is>
      </c>
      <c r="AT7" s="1684" t="n"/>
    </row>
    <row r="8" ht="15" customHeight="1" thickBot="1">
      <c r="A8" s="2655" t="inlineStr">
        <is>
          <t>Tropical</t>
        </is>
      </c>
      <c r="B8" s="2655" t="inlineStr">
        <is>
          <t>WarmTemperate</t>
        </is>
      </c>
      <c r="C8" s="2655" t="inlineStr">
        <is>
          <t>CoolTemperate</t>
        </is>
      </c>
      <c r="D8" s="2655" t="inlineStr">
        <is>
          <t>Boreal</t>
        </is>
      </c>
      <c r="E8" s="2655" t="inlineStr">
        <is>
          <t>TropicalMontane</t>
        </is>
      </c>
      <c r="F8" s="2642" t="n"/>
      <c r="G8" s="1685" t="n"/>
      <c r="H8" s="1125">
        <f>climate2</f>
        <v/>
      </c>
      <c r="I8" s="1686" t="inlineStr">
        <is>
          <t>t d.m./ha</t>
        </is>
      </c>
      <c r="J8" s="1686" t="inlineStr">
        <is>
          <t>t C/ha</t>
        </is>
      </c>
      <c r="K8" s="2421" t="inlineStr">
        <is>
          <t>tC/ha</t>
        </is>
      </c>
      <c r="L8" s="1686" t="inlineStr">
        <is>
          <t>t d.m./ha</t>
        </is>
      </c>
      <c r="M8" s="1686" t="inlineStr">
        <is>
          <t>t C/ha</t>
        </is>
      </c>
      <c r="N8" s="1686" t="inlineStr">
        <is>
          <t>tC/ha</t>
        </is>
      </c>
      <c r="O8" s="1687" t="inlineStr">
        <is>
          <t>t C/ha</t>
        </is>
      </c>
      <c r="P8" s="2423" t="inlineStr">
        <is>
          <t>tC/ha</t>
        </is>
      </c>
      <c r="Q8" s="1687" t="inlineStr">
        <is>
          <t>t C/ha</t>
        </is>
      </c>
      <c r="R8" s="1687" t="inlineStr">
        <is>
          <t>tC/ha</t>
        </is>
      </c>
      <c r="S8" s="1687" t="inlineStr">
        <is>
          <t>tC/ha</t>
        </is>
      </c>
      <c r="T8" s="1687" t="inlineStr">
        <is>
          <t>tC/ha</t>
        </is>
      </c>
    </row>
    <row r="9" ht="16" customHeight="1" thickBot="1">
      <c r="A9" s="2645" t="inlineStr">
        <is>
          <t>Tropical rainforest</t>
        </is>
      </c>
      <c r="B9" s="2646" t="inlineStr">
        <is>
          <t>Subtropical humid forest</t>
        </is>
      </c>
      <c r="C9" s="2646" t="inlineStr">
        <is>
          <t>Temperate oceanic forest</t>
        </is>
      </c>
      <c r="D9" s="2646" t="inlineStr">
        <is>
          <t>Boreal coniferous forest</t>
        </is>
      </c>
      <c r="E9" s="2647" t="inlineStr">
        <is>
          <t>Tropical mountain systems</t>
        </is>
      </c>
      <c r="F9" s="2644" t="n"/>
      <c r="G9" s="1690" t="n">
        <v>1</v>
      </c>
      <c r="H9" s="1126">
        <f>B23</f>
        <v/>
      </c>
      <c r="I9" s="1689">
        <f>IF(H9="Please select",0,IF(H9="Mangrove Forest",VLOOKUP(clim_moist,IPCC!$A$1502:$G$1510,2,FALSE),INDEX(IPCC!$B$590:$AK$606,MATCH(continent_selected,IPCC!$A$590:$A$606,0),MATCH(H9,IPCC!$B$590:$AK$590,0))))</f>
        <v/>
      </c>
      <c r="J9" s="1744">
        <f>IF(H9="Please select",0,IF(H9="Mangrove Forest",$I9*0.451,$I9*0.47))</f>
        <v/>
      </c>
      <c r="K9" s="4642">
        <f>IF('2.LUC'!$AT11="",'2.LUC'!$AS11,'2.LUC'!$AT11)</f>
        <v/>
      </c>
      <c r="L9" s="1689">
        <f>IF(H9 = "Please select",0, IF(H9="Mangrove Forest",VLOOKUP(clim_moist,IPCC!$A$1502:$G$1511,6,FALSE),IF(OR(I9&lt;=125,I9&lt;=75),INDEX(IPCC!$B$618:$AI$633,MATCH(continent_selected,IPCC!$A$618:$A$633,0),MATCH(H9,IPCC!$B$616:$AI$616,0)),(IF(OR(I9&gt;125,I9&gt;75),INDEX(IPCC!$AJ$616:$BS$633,MATCH(continent_selected,IPCC!$A$616:$A$633,0),MATCH(H9,IPCC!$AJ$616:$BS$616,0)),""))))*I9)</f>
        <v/>
      </c>
      <c r="M9" s="1744">
        <f>IF(H9="Please select",0,IF(H9="Mangrove Forest",L9*0.451,L9*0.47))</f>
        <v/>
      </c>
      <c r="N9" s="4642">
        <f>IF('2.LUC'!AW11="",'2.LUC'!AV11,'2.LUC'!AW11)</f>
        <v/>
      </c>
      <c r="O9" s="1745">
        <f>IF(H9 = "Please select", 0, IF(H9 = "Mangrove Forest", VLOOKUP(clim_moist, IPCC!$A$1502:$J$1511, 8, FALSE),VLOOKUP(H9, IPCC!$A$643:$B$677, 2, FALSE)))</f>
        <v/>
      </c>
      <c r="P9" s="4643">
        <f>IF('2.LUC'!$AZ11="",'2.LUC'!$AY11,'2.LUC'!$AZ11)</f>
        <v/>
      </c>
      <c r="Q9" s="1746">
        <f>IF(H9 = "Please select", 0, IF(H9= "Mangrove Forest", VLOOKUP(clim_moist, IPCC!$A$1502:$J$1511, 9, FALSE),  VLOOKUP(H9, IPCC!$A$643:$C$677, 3, FALSE)))</f>
        <v/>
      </c>
      <c r="R9" s="4643">
        <f>IF('2.LUC'!$BC11="",'2.LUC'!$BB11,'2.LUC'!$BC11)</f>
        <v/>
      </c>
      <c r="S9" s="1745">
        <f>IF(H9= "Please select", 0, IF(H9="Mangrove Forest",VLOOKUP(clim_moist,IPCC!$A$1502:$J$1511,10,FALSE),SOCref))</f>
        <v/>
      </c>
      <c r="T9" s="1356">
        <f>IF('2.LUC'!$BF11="",'2.LUC'!$BE11,'2.LUC'!$BF11)</f>
        <v/>
      </c>
    </row>
    <row r="10" ht="16" customHeight="1" thickBot="1">
      <c r="A10" s="2648" t="inlineStr">
        <is>
          <t>Tropical moist deciduous forest</t>
        </is>
      </c>
      <c r="B10" s="2649" t="inlineStr">
        <is>
          <t>Subtropical dry forest</t>
        </is>
      </c>
      <c r="C10" s="2649" t="inlineStr">
        <is>
          <t>Temperate continental forest</t>
        </is>
      </c>
      <c r="D10" s="2649" t="inlineStr">
        <is>
          <t>Boreal tundra woodland</t>
        </is>
      </c>
      <c r="E10" s="2650" t="inlineStr">
        <is>
          <t>Planted Tropical mountain systems</t>
        </is>
      </c>
      <c r="F10" s="2644" t="n"/>
      <c r="G10" s="1690" t="n">
        <v>2</v>
      </c>
      <c r="H10" s="1126">
        <f>B24</f>
        <v/>
      </c>
      <c r="I10" s="1691">
        <f>IF(H10="Please select",0,IF(H10="Mangrove Forest",VLOOKUP(clim_moist,IPCC!$A$1502:$G$1510,2,FALSE),INDEX(IPCC!$B$590:$AK$606,MATCH(continent_selected,IPCC!$A$590:$A$606,0),MATCH(H10,IPCC!$B$590:$AK$590,0))))</f>
        <v/>
      </c>
      <c r="J10" s="1744">
        <f>IF(H10="Please select",0,IF(H10="Mangrove Forest",$I10*0.451,$I10*0.47))</f>
        <v/>
      </c>
      <c r="K10" s="4642">
        <f>IF('2.LUC'!$AT12="",'2.LUC'!$AS12,'2.LUC'!$AT12)</f>
        <v/>
      </c>
      <c r="L10" s="1691">
        <f>IF(H10 = "Please select",0, IF(H10="Mangrove Forest",VLOOKUP(clim_moist,IPCC!$A$1502:$G$1511,6,FALSE),IF(OR(I10&lt;=125,I10&lt;=75),INDEX(IPCC!$B$618:$AI$633,MATCH(continent_selected,IPCC!$A$618:$A$633,0),MATCH(H10,IPCC!$B$616:$AI$616,0)),(IF(OR(I10&gt;125,I10&gt;75),INDEX(IPCC!$AJ$616:$BS$633,MATCH(continent_selected,IPCC!$A$616:$A$633,0),MATCH(H10,IPCC!$AJ$616:$BS$616,0)),""))))*I10)</f>
        <v/>
      </c>
      <c r="M10" s="1744">
        <f>IF(H10="Please select",0,IF(H10="Mangrove Forest",L10*0.451,L10*0.47))</f>
        <v/>
      </c>
      <c r="N10" s="4642">
        <f>IF('2.LUC'!AW12="",'2.LUC'!AV12,'2.LUC'!AW12)</f>
        <v/>
      </c>
      <c r="O10" s="1745">
        <f>IF(H10 = "Please select", 0, IF(H10 = "Mangrove Forest", VLOOKUP(clim_moist, IPCC!$A$1502:$J$1511, 8, FALSE),VLOOKUP(H10, IPCC!$A$643:$B$677, 2, FALSE)))</f>
        <v/>
      </c>
      <c r="P10" s="4644">
        <f>IF('2.LUC'!$AZ12="",'2.LUC'!$AY12,'2.LUC'!$AZ12)</f>
        <v/>
      </c>
      <c r="Q10" s="1746">
        <f>IF(H10 = "Please select", 0, IF(H10= "Mangrove Forest", VLOOKUP(clim_moist, IPCC!$A$1502:$J$1511, 9, FALSE),  VLOOKUP(H10, IPCC!$A$643:$C$677, 3, FALSE)))</f>
        <v/>
      </c>
      <c r="R10" s="4644">
        <f>IF('2.LUC'!$BC12="",'2.LUC'!$BB12,'2.LUC'!$BC12)</f>
        <v/>
      </c>
      <c r="S10" s="1745">
        <f>IF(H10= "Please select", 0, IF(H10="Mangrove Forest",VLOOKUP(clim_moist,IPCC!$A$1502:$J$1511,10,FALSE),SOCref))</f>
        <v/>
      </c>
      <c r="T10" s="1354">
        <f>IF('2.LUC'!$BF12="",'2.LUC'!$BE12,'2.LUC'!$BF12)</f>
        <v/>
      </c>
    </row>
    <row r="11" ht="16" customHeight="1" thickBot="1">
      <c r="A11" s="2648" t="inlineStr">
        <is>
          <t>Tropical dry forest</t>
        </is>
      </c>
      <c r="B11" s="2649" t="inlineStr">
        <is>
          <t>Subtropical steppe</t>
        </is>
      </c>
      <c r="C11" s="2649" t="inlineStr">
        <is>
          <t>Temperate mountain systems</t>
        </is>
      </c>
      <c r="D11" s="2649" t="inlineStr">
        <is>
          <t>Boreal mountain systems</t>
        </is>
      </c>
      <c r="E11" s="2650" t="n"/>
      <c r="F11" s="2644" t="n"/>
      <c r="G11" s="1690" t="n">
        <v>3</v>
      </c>
      <c r="H11" s="1126">
        <f>B25</f>
        <v/>
      </c>
      <c r="I11" s="1691">
        <f>IF(H11="Please select",0,IF(H11="Mangrove Forest",VLOOKUP(clim_moist,IPCC!$A$1502:$G$1510,2,FALSE),INDEX(IPCC!$B$590:$AK$606,MATCH(continent_selected,IPCC!$A$590:$A$606,0),MATCH(H11,IPCC!$B$590:$AK$590,0))))</f>
        <v/>
      </c>
      <c r="J11" s="1744">
        <f>IF(H11="Please select",0,IF(H11="Mangrove Forest",$I11*0.451,$I11*0.47))</f>
        <v/>
      </c>
      <c r="K11" s="4642">
        <f>IF('2.LUC'!$AT13="",'2.LUC'!$AS13,'2.LUC'!$AT13)</f>
        <v/>
      </c>
      <c r="L11" s="1691">
        <f>IF(H11 = "Please select",0, IF(H11="Mangrove Forest",VLOOKUP(clim_moist,IPCC!$A$1502:$G$1511,6,FALSE),IF(OR(I11&lt;=125,I11&lt;=75),INDEX(IPCC!$B$618:$AI$633,MATCH(continent_selected,IPCC!$A$618:$A$633,0),MATCH(H11,IPCC!$B$616:$AI$616,0)),(IF(OR(I11&gt;125,I11&gt;75),INDEX(IPCC!$AJ$616:$BS$633,MATCH(continent_selected,IPCC!$A$616:$A$633,0),MATCH(H11,IPCC!$AJ$616:$BS$616,0)),""))))*I11)</f>
        <v/>
      </c>
      <c r="M11" s="1744">
        <f>IF(H11="Please select",0,IF(H11="Mangrove Forest",L11*0.451,L11*0.47))</f>
        <v/>
      </c>
      <c r="N11" s="4642">
        <f>IF('2.LUC'!AW13="",'2.LUC'!AV13,'2.LUC'!AW13)</f>
        <v/>
      </c>
      <c r="O11" s="1745">
        <f>IF(H11 = "Please select", 0, IF(H11 = "Mangrove Forest", VLOOKUP(clim_moist, IPCC!$A$1502:$J$1511, 8, FALSE),VLOOKUP(H11, IPCC!$A$643:$B$677, 2, FALSE)))</f>
        <v/>
      </c>
      <c r="P11" s="4644">
        <f>IF('2.LUC'!$AZ13="",'2.LUC'!$AY13,'2.LUC'!$AZ13)</f>
        <v/>
      </c>
      <c r="Q11" s="1746">
        <f>IF(H11 = "Please select", 0, IF(H11= "Mangrove Forest", VLOOKUP(clim_moist, IPCC!$A$1502:$J$1511, 9, FALSE),  VLOOKUP(H11, IPCC!$A$643:$C$677, 3, FALSE)))</f>
        <v/>
      </c>
      <c r="R11" s="4644">
        <f>IF('2.LUC'!$BC13="",'2.LUC'!$BB13,'2.LUC'!$BC13)</f>
        <v/>
      </c>
      <c r="S11" s="1745">
        <f>IF(H11= "Please select", 0, IF(H11="Mangrove Forest",VLOOKUP(clim_moist,IPCC!$A$1502:$J$1511,10,FALSE),SOCref))</f>
        <v/>
      </c>
      <c r="T11" s="1354">
        <f>IF('2.LUC'!$BF13="",'2.LUC'!$BE13,'2.LUC'!$BF13)</f>
        <v/>
      </c>
    </row>
    <row r="12" ht="16" customHeight="1" thickBot="1">
      <c r="A12" s="2648" t="inlineStr">
        <is>
          <t>Tropical shrubland</t>
        </is>
      </c>
      <c r="B12" s="2649" t="inlineStr">
        <is>
          <t>Subtropical mountain systems</t>
        </is>
      </c>
      <c r="C12" s="2651" t="inlineStr">
        <is>
          <t>Temperate desert</t>
        </is>
      </c>
      <c r="D12" s="2649" t="inlineStr">
        <is>
          <t>Planted Boreal coniferous forest</t>
        </is>
      </c>
      <c r="E12" s="2650" t="n"/>
      <c r="F12" s="2644" t="n"/>
      <c r="G12" s="1690" t="n">
        <v>4</v>
      </c>
      <c r="H12" s="1126">
        <f>B26</f>
        <v/>
      </c>
      <c r="I12" s="1691">
        <f>IF(H12="Please select",0,IF(H12="Mangrove Forest",VLOOKUP(clim_moist,IPCC!$A$1502:$G$1510,2,FALSE),INDEX(IPCC!$B$590:$AK$606,MATCH(continent_selected,IPCC!$A$590:$A$606,0),MATCH(H12,IPCC!$B$590:$AK$590,0))))</f>
        <v/>
      </c>
      <c r="J12" s="1744">
        <f>IF(H12="Please select",0,IF(H12="Mangrove Forest",$I12*0.451,$I12*0.47))</f>
        <v/>
      </c>
      <c r="K12" s="4642">
        <f>IF('2.LUC'!$AT14="",'2.LUC'!$AS14,'2.LUC'!$AT14)</f>
        <v/>
      </c>
      <c r="L12" s="1691">
        <f>IF(H12 = "Please select",0, IF(H12="Mangrove Forest",VLOOKUP(clim_moist,IPCC!$A$1502:$G$1511,6,FALSE),IF(OR(I12&lt;=125,I12&lt;=75),INDEX(IPCC!$B$618:$AI$633,MATCH(continent_selected,IPCC!$A$618:$A$633,0),MATCH(H12,IPCC!$B$616:$AI$616,0)),(IF(OR(I12&gt;125,I12&gt;75),INDEX(IPCC!$AJ$616:$BS$633,MATCH(continent_selected,IPCC!$A$616:$A$633,0),MATCH(H12,IPCC!$AJ$616:$BS$616,0)),""))))*I12)</f>
        <v/>
      </c>
      <c r="M12" s="1744">
        <f>IF(H12="Please select",0,IF(H12="Mangrove Forest",L12*0.451,L12*0.47))</f>
        <v/>
      </c>
      <c r="N12" s="4642">
        <f>IF('2.LUC'!AW14="",'2.LUC'!AV14,'2.LUC'!AW14)</f>
        <v/>
      </c>
      <c r="O12" s="1745">
        <f>IF(H12 = "Please select", 0, IF(H12 = "Mangrove Forest", VLOOKUP(clim_moist, IPCC!$A$1502:$J$1511, 8, FALSE),VLOOKUP(H12, IPCC!$A$643:$B$677, 2, FALSE)))</f>
        <v/>
      </c>
      <c r="P12" s="4644">
        <f>IF('2.LUC'!$AZ14="",'2.LUC'!$AY14,'2.LUC'!$AZ14)</f>
        <v/>
      </c>
      <c r="Q12" s="1746">
        <f>IF(H12 = "Please select", 0, IF(H12= "Mangrove Forest", VLOOKUP(clim_moist, IPCC!$A$1502:$J$1511, 9, FALSE),  VLOOKUP(H12, IPCC!$A$643:$C$677, 3, FALSE)))</f>
        <v/>
      </c>
      <c r="R12" s="4644">
        <f>IF('2.LUC'!$BC14="",'2.LUC'!$BB14,'2.LUC'!$BC14)</f>
        <v/>
      </c>
      <c r="S12" s="1745">
        <f>IF(H12= "Please select", 0, IF(H12="Mangrove Forest",VLOOKUP(clim_moist,IPCC!$A$1502:$J$1511,10,FALSE),SOCref))</f>
        <v/>
      </c>
      <c r="T12" s="1354">
        <f>IF('2.LUC'!$BF14="",'2.LUC'!$BE14,'2.LUC'!$BF14)</f>
        <v/>
      </c>
    </row>
    <row r="13" ht="16" customHeight="1" thickBot="1">
      <c r="A13" s="2648" t="inlineStr">
        <is>
          <t>Mangrove Forest</t>
        </is>
      </c>
      <c r="B13" s="2649" t="inlineStr">
        <is>
          <t>Planted Subtropical humid forest</t>
        </is>
      </c>
      <c r="C13" s="2651" t="inlineStr">
        <is>
          <t>Temperate steppe</t>
        </is>
      </c>
      <c r="D13" s="2649" t="inlineStr">
        <is>
          <t>Planted Boreal tundra woodland</t>
        </is>
      </c>
      <c r="E13" s="2650" t="n"/>
      <c r="F13" s="2644" t="n"/>
      <c r="G13" s="1690" t="n">
        <v>5</v>
      </c>
      <c r="H13" s="1126">
        <f>B27</f>
        <v/>
      </c>
      <c r="I13" s="1691">
        <f>IF(H13="Please select",0,IF(H13="Mangrove Forest",VLOOKUP(clim_moist,IPCC!$A$1502:$G$1510,2,FALSE),INDEX(IPCC!$B$590:$AK$606,MATCH(continent_selected,IPCC!$A$590:$A$606,0),MATCH(H13,IPCC!$B$590:$AK$590,0))))</f>
        <v/>
      </c>
      <c r="J13" s="1744">
        <f>IF(H13="Please select",0,IF(H13="Mangrove Forest",$I13*0.451,$I13*0.47))</f>
        <v/>
      </c>
      <c r="K13" s="4642">
        <f>IF('2.LUC'!$AT15="",'2.LUC'!$AS15,'2.LUC'!$AT15)</f>
        <v/>
      </c>
      <c r="L13" s="1691">
        <f>IF(H13 = "Please select",0, IF(H13="Mangrove Forest",VLOOKUP(clim_moist,IPCC!$A$1502:$G$1511,6,FALSE),IF(OR(I13&lt;=125,I13&lt;=75),INDEX(IPCC!$B$618:$AI$633,MATCH(continent_selected,IPCC!$A$618:$A$633,0),MATCH(H13,IPCC!$B$616:$AI$616,0)),(IF(OR(I13&gt;125,I13&gt;75),INDEX(IPCC!$AJ$616:$BS$633,MATCH(continent_selected,IPCC!$A$616:$A$633,0),MATCH(H13,IPCC!$AJ$616:$BS$616,0)),""))))*I13)</f>
        <v/>
      </c>
      <c r="M13" s="1744">
        <f>IF(H13="Please select",0,IF(H13="Mangrove Forest",L13*0.451,L13*0.47))</f>
        <v/>
      </c>
      <c r="N13" s="4642">
        <f>IF('2.LUC'!AW15="",'2.LUC'!AV15,'2.LUC'!AW15)</f>
        <v/>
      </c>
      <c r="O13" s="1745">
        <f>IF(H13 = "Please select", 0, IF(H13 = "Mangrove Forest", VLOOKUP(clim_moist, IPCC!$A$1502:$J$1511, 8, FALSE),VLOOKUP(H13, IPCC!$A$643:$B$677, 2, FALSE)))</f>
        <v/>
      </c>
      <c r="P13" s="4644">
        <f>IF('2.LUC'!$AZ15="",'2.LUC'!$AY15,'2.LUC'!$AZ15)</f>
        <v/>
      </c>
      <c r="Q13" s="1746">
        <f>IF(H13 = "Please select", 0, IF(H13= "Mangrove Forest", VLOOKUP(clim_moist, IPCC!$A$1502:$J$1511, 9, FALSE),  VLOOKUP(H13, IPCC!$A$643:$C$677, 3, FALSE)))</f>
        <v/>
      </c>
      <c r="R13" s="4644">
        <f>IF('2.LUC'!$BC15="",'2.LUC'!$BB15,'2.LUC'!$BC15)</f>
        <v/>
      </c>
      <c r="S13" s="1745">
        <f>IF(H13= "Please select", 0, IF(H13="Mangrove Forest",VLOOKUP(clim_moist,IPCC!$A$1502:$J$1511,10,FALSE),SOCref))</f>
        <v/>
      </c>
      <c r="T13" s="1354">
        <f>IF('2.LUC'!$BF15="",'2.LUC'!$BE15,'2.LUC'!$BF15)</f>
        <v/>
      </c>
    </row>
    <row r="14" ht="16" customHeight="1" thickBot="1">
      <c r="A14" s="2648" t="inlineStr">
        <is>
          <t>Planted Tropical rainforest</t>
        </is>
      </c>
      <c r="B14" s="2649" t="inlineStr">
        <is>
          <t>Planted Subtropical dry forest</t>
        </is>
      </c>
      <c r="C14" s="2649" t="inlineStr">
        <is>
          <t>Planted Temperate oceanic forest</t>
        </is>
      </c>
      <c r="D14" s="2649" t="inlineStr">
        <is>
          <t>Planted Boreal mountain systems</t>
        </is>
      </c>
      <c r="E14" s="2650" t="n"/>
      <c r="F14" s="2644" t="n"/>
      <c r="G14" s="1690" t="n">
        <v>6</v>
      </c>
      <c r="H14" s="1126">
        <f>B28</f>
        <v/>
      </c>
      <c r="I14" s="1691">
        <f>IF(H14="Please select",0,IF(H14="Mangrove Forest",VLOOKUP(clim_moist,IPCC!$A$1502:$G$1510,2,FALSE),INDEX(IPCC!$B$590:$AK$606,MATCH(continent_selected,IPCC!$A$590:$A$606,0),MATCH(H14,IPCC!$B$590:$AK$590,0))))</f>
        <v/>
      </c>
      <c r="J14" s="1744">
        <f>IF(H14="Please select",0,IF(H14="Mangrove Forest",$I14*0.451,$I14*0.47))</f>
        <v/>
      </c>
      <c r="K14" s="4642">
        <f>IF('2.LUC'!$AT16="",'2.LUC'!$AS16,'2.LUC'!$AT16)</f>
        <v/>
      </c>
      <c r="L14" s="1691">
        <f>IF(H14 = "Please select",0, IF(H14="Mangrove Forest",VLOOKUP(clim_moist,IPCC!$A$1502:$G$1511,6,FALSE),IF(OR(I14&lt;=125,I14&lt;=75),INDEX(IPCC!$B$618:$AI$633,MATCH(continent_selected,IPCC!$A$618:$A$633,0),MATCH(H14,IPCC!$B$616:$AI$616,0)),(IF(OR(I14&gt;125,I14&gt;75),INDEX(IPCC!$AJ$616:$BS$633,MATCH(continent_selected,IPCC!$A$616:$A$633,0),MATCH(H14,IPCC!$AJ$616:$BS$616,0)),""))))*I14)</f>
        <v/>
      </c>
      <c r="M14" s="1744">
        <f>IF(H14="Please select",0,IF(H14="Mangrove Forest",L14*0.451,L14*0.47))</f>
        <v/>
      </c>
      <c r="N14" s="4642">
        <f>IF('2.LUC'!AW16="",'2.LUC'!AV16,'2.LUC'!AW16)</f>
        <v/>
      </c>
      <c r="O14" s="1745">
        <f>IF(H14 = "Please select", 0, IF(H14 = "Mangrove Forest", VLOOKUP(clim_moist, IPCC!$A$1502:$J$1511, 8, FALSE),VLOOKUP(H14, IPCC!$A$643:$B$677, 2, FALSE)))</f>
        <v/>
      </c>
      <c r="P14" s="4644">
        <f>IF('2.LUC'!$AZ16="",'2.LUC'!$AY16,'2.LUC'!$AZ16)</f>
        <v/>
      </c>
      <c r="Q14" s="1746">
        <f>IF(H14 = "Please select", 0, IF(H14= "Mangrove Forest", VLOOKUP(clim_moist, IPCC!$A$1502:$J$1511, 9, FALSE),  VLOOKUP(H14, IPCC!$A$643:$C$677, 3, FALSE)))</f>
        <v/>
      </c>
      <c r="R14" s="4644">
        <f>IF('2.LUC'!$BC16="",'2.LUC'!$BB16,'2.LUC'!$BC16)</f>
        <v/>
      </c>
      <c r="S14" s="1745">
        <f>IF(H14= "Please select", 0, IF(H14="Mangrove Forest",VLOOKUP(clim_moist,IPCC!$A$1502:$J$1511,10,FALSE),SOCref))</f>
        <v/>
      </c>
      <c r="T14" s="1354">
        <f>IF('2.LUC'!$BF16="",'2.LUC'!$BE16,'2.LUC'!$BF16)</f>
        <v/>
      </c>
    </row>
    <row r="15" ht="15" customHeight="1" thickBot="1">
      <c r="A15" s="2648" t="inlineStr">
        <is>
          <t>Planted Tropical moist deciduous forest</t>
        </is>
      </c>
      <c r="B15" s="2649" t="inlineStr">
        <is>
          <t>Planted Subtropical steppe</t>
        </is>
      </c>
      <c r="C15" s="2649" t="inlineStr">
        <is>
          <t>Planted Temperate continental forest</t>
        </is>
      </c>
      <c r="D15" s="2649" t="n"/>
      <c r="E15" s="2650" t="n"/>
      <c r="F15" s="2644" t="n"/>
      <c r="G15" s="1690" t="n">
        <v>7</v>
      </c>
      <c r="H15" s="1126">
        <f>B29</f>
        <v/>
      </c>
      <c r="I15" s="1691">
        <f>IF(H15="Please select",0,IF(H15="Mangrove Forest",VLOOKUP(clim_moist,IPCC!$A$1502:$G$1510,2,FALSE),INDEX(IPCC!$B$590:$AK$606,MATCH(continent_selected,IPCC!$A$590:$A$606,0),MATCH(H15,IPCC!$B$590:$AK$590,0))))</f>
        <v/>
      </c>
      <c r="J15" s="1744">
        <f>IF(H15="Please select",0,IF(H15="Mangrove Forest",$I15*0.451,$I15*0.47))</f>
        <v/>
      </c>
      <c r="K15" s="4642">
        <f>IF('2.LUC'!$AT17="",'2.LUC'!$AS17,'2.LUC'!$AT17)</f>
        <v/>
      </c>
      <c r="L15" s="1691">
        <f>IF(H15 = "Please select",0, IF(H15="Mangrove Forest",VLOOKUP(clim_moist,IPCC!$A$1502:$G$1511,6,FALSE),IF(OR(I15&lt;=125,I15&lt;=75),INDEX(IPCC!$B$618:$AI$633,MATCH(continent_selected,IPCC!$A$618:$A$633,0),MATCH(H15,IPCC!$B$616:$AI$616,0)),(IF(OR(I15&gt;125,I15&gt;75),INDEX(IPCC!$AJ$616:$BS$633,MATCH(continent_selected,IPCC!$A$616:$A$633,0),MATCH(H15,IPCC!$AJ$616:$BS$616,0)),""))))*I15)</f>
        <v/>
      </c>
      <c r="M15" s="1744">
        <f>IF(H15="Please select",0,IF(H15="Mangrove Forest",L15*0.451,L15*0.47))</f>
        <v/>
      </c>
      <c r="N15" s="4642">
        <f>IF('2.LUC'!AW17="",'2.LUC'!AV17,'2.LUC'!AW17)</f>
        <v/>
      </c>
      <c r="O15" s="1745">
        <f>IF(H15 = "Please select", 0, IF(H15 = "Mangrove Forest", VLOOKUP(clim_moist, IPCC!$A$1502:$J$1511, 8, FALSE),VLOOKUP(H15, IPCC!$A$643:$B$677, 2, FALSE)))</f>
        <v/>
      </c>
      <c r="P15" s="4644">
        <f>IF('2.LUC'!$AZ17="",'2.LUC'!$AY17,'2.LUC'!$AZ17)</f>
        <v/>
      </c>
      <c r="Q15" s="1746">
        <f>IF(H15 = "Please select", 0, IF(H15= "Mangrove Forest", VLOOKUP(clim_moist, IPCC!$A$1502:$J$1511, 9, FALSE),  VLOOKUP(H15, IPCC!$A$643:$C$677, 3, FALSE)))</f>
        <v/>
      </c>
      <c r="R15" s="4644">
        <f>IF('2.LUC'!$BC17="",'2.LUC'!$BB17,'2.LUC'!$BC17)</f>
        <v/>
      </c>
      <c r="S15" s="1745">
        <f>IF(H15= "Please select", 0, IF(H15="Mangrove Forest",VLOOKUP(clim_moist,IPCC!$A$1502:$J$1511,10,FALSE),SOCref))</f>
        <v/>
      </c>
      <c r="T15" s="1354">
        <f>IF('2.LUC'!$BF17="",'2.LUC'!$BE17,'2.LUC'!$BF17)</f>
        <v/>
      </c>
    </row>
    <row r="16" ht="15" customHeight="1">
      <c r="A16" s="2648" t="inlineStr">
        <is>
          <t>Planted Tropical dry forest</t>
        </is>
      </c>
      <c r="B16" s="2649" t="inlineStr">
        <is>
          <t>Planted Subtropical mountain systems</t>
        </is>
      </c>
      <c r="C16" s="2649" t="inlineStr">
        <is>
          <t>Planted Temperate mountain systems</t>
        </is>
      </c>
      <c r="D16" s="2649" t="n"/>
      <c r="E16" s="2650" t="n"/>
      <c r="F16" s="2644" t="n"/>
      <c r="G16" s="1690" t="n">
        <v>8</v>
      </c>
      <c r="H16" s="1126">
        <f>B30</f>
        <v/>
      </c>
      <c r="I16" s="1692">
        <f>IF(H16="Please select",0,IF(H16="Mangrove Forest",VLOOKUP(clim_moist,IPCC!$A$1502:$G$1510,2,FALSE),INDEX(IPCC!$B$590:$AK$606,MATCH(continent_selected,IPCC!$A$590:$A$606,0),MATCH(H16,IPCC!$B$590:$AK$590,0))))</f>
        <v/>
      </c>
      <c r="J16" s="2426">
        <f>IF(H16="Please select",0,IF(H16="Mangrove Forest",$I16*0.451,$I16*0.47))</f>
        <v/>
      </c>
      <c r="K16" s="4645">
        <f>IF('2.LUC'!$AT18="",'2.LUC'!$AS18,'2.LUC'!$AT18)</f>
        <v/>
      </c>
      <c r="L16" s="1692">
        <f>IF(H16 = "Please select",0, IF(H16="Mangrove Forest",VLOOKUP(clim_moist,IPCC!$A$1502:$G$1511,6,FALSE),IF(OR(I16&lt;=125,I16&lt;=75),INDEX(IPCC!$B$618:$AI$633,MATCH(continent_selected,IPCC!$A$618:$A$633,0),MATCH(H16,IPCC!$B$616:$AI$616,0)),(IF(OR(I16&gt;125,I16&gt;75),INDEX(IPCC!$AJ$616:$BS$633,MATCH(continent_selected,IPCC!$A$616:$A$633,0),MATCH(H16,IPCC!$AJ$616:$BS$616,0)),""))))*I16)</f>
        <v/>
      </c>
      <c r="M16" s="2426">
        <f>IF(H16="Please select",0,IF(H16="Mangrove Forest",L16*0.451,L16*0.47))</f>
        <v/>
      </c>
      <c r="N16" s="4645">
        <f>IF('2.LUC'!AW18="",'2.LUC'!AV18,'2.LUC'!AW18)</f>
        <v/>
      </c>
      <c r="O16" s="2428">
        <f>IF(H16 = "Please select", 0, IF(H16 = "Mangrove Forest", VLOOKUP(clim_moist, IPCC!$A$1502:$J$1511, 8, FALSE),VLOOKUP(H16, IPCC!$A$643:$B$677, 2, FALSE)))</f>
        <v/>
      </c>
      <c r="P16" s="4646">
        <f>IF('2.LUC'!$AZ18="",'2.LUC'!$AY18,'2.LUC'!$AZ18)</f>
        <v/>
      </c>
      <c r="Q16" s="2429">
        <f>IF(H16 = "Please select", 0, IF(H16= "Mangrove Forest", VLOOKUP(clim_moist, IPCC!$A$1502:$J$1511, 9, FALSE),  VLOOKUP(H16, IPCC!$A$643:$C$677, 3, FALSE)))</f>
        <v/>
      </c>
      <c r="R16" s="4646">
        <f>IF('2.LUC'!$BC18="",'2.LUC'!$BB18,'2.LUC'!$BC18)</f>
        <v/>
      </c>
      <c r="S16" s="1745">
        <f>IF(H16= "Please select", 0, IF(H16="Mangrove Forest",VLOOKUP(clim_moist,IPCC!$A$1502:$J$1511,10,FALSE),SOCref))</f>
        <v/>
      </c>
      <c r="T16" s="1376">
        <f>IF('2.LUC'!$BF18="",'2.LUC'!$BE18,'2.LUC'!$BF18)</f>
        <v/>
      </c>
    </row>
    <row r="17" ht="15" customHeight="1">
      <c r="A17" s="2648" t="inlineStr">
        <is>
          <t>Planted  Tropical shrubland</t>
        </is>
      </c>
      <c r="B17" s="2649" t="inlineStr">
        <is>
          <t>Mangrove Forest</t>
        </is>
      </c>
      <c r="C17" s="2649" t="inlineStr">
        <is>
          <t>Planted Temperate desert</t>
        </is>
      </c>
      <c r="D17" s="2649" t="n"/>
      <c r="E17" s="2650" t="n"/>
      <c r="F17" s="1200" t="n"/>
      <c r="G17" s="1300" t="n"/>
      <c r="H17" s="3491" t="n"/>
      <c r="I17" s="1200" t="n"/>
      <c r="J17" s="1201" t="n"/>
      <c r="K17" s="1200" t="n"/>
      <c r="L17" s="1201" t="n"/>
      <c r="M17" s="1041" t="n"/>
      <c r="N17" s="2419" t="n"/>
      <c r="O17" s="1041" t="n"/>
      <c r="P17" s="973" t="n"/>
      <c r="Q17" s="1688" t="n"/>
      <c r="R17" s="1688" t="n"/>
      <c r="S17" s="1688" t="n"/>
    </row>
    <row r="18" ht="15" customHeight="1">
      <c r="A18" s="2652" t="n"/>
      <c r="B18" s="2653" t="n"/>
      <c r="C18" s="2653" t="inlineStr">
        <is>
          <t>Planted Temperate steppe</t>
        </is>
      </c>
      <c r="D18" s="2653" t="n"/>
      <c r="E18" s="2654" t="n"/>
      <c r="G18" s="1688" t="n"/>
      <c r="H18" s="973" t="n"/>
      <c r="I18" s="1200" t="n"/>
      <c r="J18" s="1201" t="n"/>
      <c r="K18" s="1200" t="n"/>
      <c r="L18" s="1201" t="n"/>
      <c r="M18" s="1041" t="n"/>
      <c r="N18" s="2419" t="n"/>
      <c r="O18" s="1041" t="n"/>
      <c r="P18" s="973" t="n"/>
      <c r="Q18" s="1688" t="n"/>
      <c r="R18" s="1688" t="n"/>
      <c r="S18" s="1688" t="n"/>
    </row>
    <row r="19">
      <c r="I19" s="2640" t="n"/>
    </row>
    <row r="20" ht="28.5" customHeight="1">
      <c r="A20" s="1693" t="n"/>
      <c r="B20" s="2656" t="n"/>
      <c r="C20" s="1694" t="n"/>
      <c r="D20" s="1695" t="n"/>
      <c r="E20" s="1693" t="n"/>
      <c r="F20" s="1696" t="inlineStr">
        <is>
          <t>Combustion factor (Cf)</t>
        </is>
      </c>
      <c r="G20" s="2667" t="inlineStr">
        <is>
          <t>FINAL LAND USE</t>
        </is>
      </c>
      <c r="H20" s="2668" t="n"/>
      <c r="I20" s="2661" t="n"/>
      <c r="J20" s="2709" t="inlineStr">
        <is>
          <t>BIOMASS FINAL</t>
        </is>
      </c>
      <c r="K20" s="2711" t="inlineStr">
        <is>
          <t>BIOMASS FOREST</t>
        </is>
      </c>
      <c r="L20" s="2712" t="n"/>
      <c r="M20" s="2684" t="n"/>
      <c r="N20" s="2685" t="n"/>
      <c r="O20" s="2683" t="inlineStr">
        <is>
          <t>Soil</t>
        </is>
      </c>
      <c r="P20" s="2684" t="n"/>
      <c r="Q20" s="2685" t="n"/>
      <c r="R20" s="2686" t="inlineStr">
        <is>
          <t>Fire</t>
        </is>
      </c>
      <c r="S20" s="2687" t="inlineStr">
        <is>
          <t>Fire</t>
        </is>
      </c>
      <c r="T20" s="2688" t="inlineStr">
        <is>
          <t>Fire</t>
        </is>
      </c>
      <c r="U20" s="2689" t="inlineStr">
        <is>
          <t>SOM mineralization due to LUC</t>
        </is>
      </c>
      <c r="V20" s="2690" t="inlineStr">
        <is>
          <t>soil N2O</t>
        </is>
      </c>
      <c r="W20" s="2691" t="inlineStr">
        <is>
          <t>Total CH4 &amp; N2O</t>
        </is>
      </c>
      <c r="Z20" s="2889" t="inlineStr">
        <is>
          <t>CH4 fire</t>
        </is>
      </c>
      <c r="AA20" s="2890" t="n"/>
      <c r="AB20" s="2891" t="inlineStr">
        <is>
          <t>N2O fire</t>
        </is>
      </c>
      <c r="AC20" s="2890" t="n"/>
      <c r="AD20" s="2891" t="inlineStr">
        <is>
          <t>N2O SOM</t>
        </is>
      </c>
      <c r="AE20" s="2890" t="n"/>
    </row>
    <row r="21" ht="15.75" customHeight="1">
      <c r="A21" s="1697" t="inlineStr">
        <is>
          <t>Name</t>
        </is>
      </c>
      <c r="B21" s="2657" t="inlineStr">
        <is>
          <t>Vegetation Type</t>
        </is>
      </c>
      <c r="C21" s="1232" t="inlineStr">
        <is>
          <t>HWP before</t>
        </is>
      </c>
      <c r="D21" s="1232" t="n"/>
      <c r="E21" s="1698" t="inlineStr">
        <is>
          <t>Fire use</t>
        </is>
      </c>
      <c r="F21" s="1759" t="inlineStr">
        <is>
          <t>the fraction (%)</t>
        </is>
      </c>
      <c r="G21" s="2669" t="inlineStr">
        <is>
          <t>Final land use</t>
        </is>
      </c>
      <c r="H21" s="2670" t="inlineStr">
        <is>
          <t xml:space="preserve">Final agroforestry </t>
        </is>
      </c>
      <c r="I21" s="2662" t="inlineStr">
        <is>
          <t>incl. agroforestry systems</t>
        </is>
      </c>
      <c r="J21" s="2710" t="inlineStr">
        <is>
          <t>After 1 yr of growth of Final LU</t>
        </is>
      </c>
      <c r="K21" s="2692" t="inlineStr">
        <is>
          <t>AGB+BGB</t>
        </is>
      </c>
      <c r="L21" s="2693" t="n"/>
      <c r="M21" s="2713" t="inlineStr">
        <is>
          <t>DOM (DW + litter)</t>
        </is>
      </c>
      <c r="N21" s="2694" t="n"/>
      <c r="O21" s="2695" t="inlineStr">
        <is>
          <t>FLU</t>
        </is>
      </c>
      <c r="P21" s="2696" t="inlineStr">
        <is>
          <t>ΔC Mineral</t>
        </is>
      </c>
      <c r="Q21" s="2696" t="inlineStr">
        <is>
          <t>ΔC Mineral</t>
        </is>
      </c>
      <c r="R21" s="2686" t="inlineStr">
        <is>
          <t>MB = AGB - HWP</t>
        </is>
      </c>
      <c r="S21" s="2687" t="inlineStr">
        <is>
          <t>CH4</t>
        </is>
      </c>
      <c r="T21" s="2688" t="inlineStr">
        <is>
          <t>N2O</t>
        </is>
      </c>
      <c r="U21" s="2697" t="inlineStr">
        <is>
          <t>FSOM - kg N mineralized</t>
        </is>
      </c>
      <c r="V21" s="2698" t="n"/>
      <c r="W21" s="2699" t="n"/>
      <c r="Z21" s="2887" t="inlineStr">
        <is>
          <t>Without</t>
        </is>
      </c>
      <c r="AA21" s="2887" t="inlineStr">
        <is>
          <t>With</t>
        </is>
      </c>
      <c r="AB21" s="2887" t="inlineStr">
        <is>
          <t>Without</t>
        </is>
      </c>
      <c r="AC21" s="2887" t="inlineStr">
        <is>
          <t>With</t>
        </is>
      </c>
      <c r="AD21" s="2887" t="inlineStr">
        <is>
          <t>Without</t>
        </is>
      </c>
      <c r="AE21" s="2887" t="inlineStr">
        <is>
          <t>With</t>
        </is>
      </c>
      <c r="AG21" s="2904" t="inlineStr">
        <is>
          <t>Fire occurrence</t>
        </is>
      </c>
      <c r="AH21" s="2905" t="n"/>
      <c r="AI21" s="2905" t="n"/>
    </row>
    <row r="22">
      <c r="A22" s="1699" t="n"/>
      <c r="B22" s="2658" t="inlineStr">
        <is>
          <t>deforested</t>
        </is>
      </c>
      <c r="C22" s="1700" t="inlineStr">
        <is>
          <t>t DM/ha</t>
        </is>
      </c>
      <c r="D22" s="1701" t="inlineStr">
        <is>
          <t>t C exported/ha</t>
        </is>
      </c>
      <c r="E22" s="1702" t="inlineStr">
        <is>
          <t>yes/no</t>
        </is>
      </c>
      <c r="F22" s="1759" t="inlineStr">
        <is>
          <t xml:space="preserve"> combusted</t>
        </is>
      </c>
      <c r="G22" s="2671" t="inlineStr">
        <is>
          <t>after deforestation</t>
        </is>
      </c>
      <c r="H22" s="2672" t="inlineStr">
        <is>
          <t>After deforestation</t>
        </is>
      </c>
      <c r="I22" s="2663" t="n"/>
      <c r="J22" s="2700" t="inlineStr">
        <is>
          <t>tC/ha</t>
        </is>
      </c>
      <c r="K22" s="2701" t="inlineStr">
        <is>
          <t>t C/ha</t>
        </is>
      </c>
      <c r="L22" s="2702" t="inlineStr">
        <is>
          <t>t CO2/ha</t>
        </is>
      </c>
      <c r="M22" s="2703" t="inlineStr">
        <is>
          <t>t C/ha</t>
        </is>
      </c>
      <c r="N22" s="2704" t="inlineStr">
        <is>
          <t>t CO2/ha</t>
        </is>
      </c>
      <c r="O22" s="2705" t="inlineStr">
        <is>
          <t>( - )</t>
        </is>
      </c>
      <c r="P22" s="2706" t="inlineStr">
        <is>
          <t>tC/ha</t>
        </is>
      </c>
      <c r="Q22" s="2706" t="inlineStr">
        <is>
          <t>tCO2/ha/yr</t>
        </is>
      </c>
      <c r="R22" s="2686" t="inlineStr">
        <is>
          <t>t dm/ha</t>
        </is>
      </c>
      <c r="S22" s="2698" t="inlineStr">
        <is>
          <t>kgCH4</t>
        </is>
      </c>
      <c r="T22" s="2698" t="inlineStr">
        <is>
          <t>kgN2O</t>
        </is>
      </c>
      <c r="U22" s="2700" t="inlineStr">
        <is>
          <t>kg N /year</t>
        </is>
      </c>
      <c r="V22" s="2707" t="inlineStr">
        <is>
          <t>kg</t>
        </is>
      </c>
      <c r="W22" s="2708" t="inlineStr">
        <is>
          <t>tCO2 eq</t>
        </is>
      </c>
      <c r="Z22" s="2888" t="inlineStr">
        <is>
          <t>tCO2</t>
        </is>
      </c>
      <c r="AA22" s="2888" t="inlineStr">
        <is>
          <t>tCO2</t>
        </is>
      </c>
      <c r="AB22" s="2888" t="inlineStr">
        <is>
          <t>tCO2</t>
        </is>
      </c>
      <c r="AC22" s="2888" t="inlineStr">
        <is>
          <t>tCO2</t>
        </is>
      </c>
      <c r="AD22" s="2888" t="inlineStr">
        <is>
          <t>tCO2</t>
        </is>
      </c>
      <c r="AE22" s="2888" t="inlineStr">
        <is>
          <t>tCO2</t>
        </is>
      </c>
      <c r="AG22" s="2888" t="inlineStr">
        <is>
          <t>START</t>
        </is>
      </c>
      <c r="AH22" s="2888" t="inlineStr">
        <is>
          <t>WITHOUT</t>
        </is>
      </c>
      <c r="AI22" s="2888" t="inlineStr">
        <is>
          <t>WITH</t>
        </is>
      </c>
    </row>
    <row r="23">
      <c r="A23" s="1703" t="inlineStr">
        <is>
          <t>Deforestation 1</t>
        </is>
      </c>
      <c r="B23" s="2659">
        <f>'2.LUC'!$C11</f>
        <v/>
      </c>
      <c r="C23" s="1704">
        <f>'2.LUC'!$E11</f>
        <v/>
      </c>
      <c r="D23" s="1705">
        <f>IF('2.LUC'!$C11="Please select",0,IF(C23&gt;VLOOKUP($B23,defo!$H$9:$K$16,2,FALSE),VLOOKUP($B23,defo!$H$9:$K$16,2,FALSE),'2.LUC'!$E11))*IF(B23="Mangrove Forest",0.451, 0.47)</f>
        <v/>
      </c>
      <c r="E23" s="1688">
        <f>'2.LUC'!$G11</f>
        <v/>
      </c>
      <c r="F23" s="1423">
        <f>IF($B23&lt;&gt; "Please select", IF($E23="YES", VLOOKUP($B23, IPCC!$A$871:$B$906, 2, FALSE),0), 0)</f>
        <v/>
      </c>
      <c r="G23" s="2521">
        <f>'2.LUC'!$I11</f>
        <v/>
      </c>
      <c r="H23" s="3152">
        <f>'2.LUC'!$K11</f>
        <v/>
      </c>
      <c r="I23" s="2664">
        <f>IF('2.LUC'!$K11 &lt;&gt; "Please select",  '2.LUC'!$K11, IF('2.LUC'!$I11&lt;&gt;"Agroforestry", '2.LUC'!$I11, "Agroforestry - default"))</f>
        <v/>
      </c>
      <c r="J23" s="1147">
        <f>IF('2.LUC'!$I11 &lt;&gt; "Please select", IF('2.LUC'!BM11=0, INDEX(IPCC!$D$686:$Y$845,MATCH(clim_moist_cont,IPCC!$C$686:$C$845,0),MATCH($I23,IPCC!$D$682:$Y$682,0)), '2.LUC'!BM11), 0)</f>
        <v/>
      </c>
      <c r="K23" s="2674">
        <f>IF('2.LUC'!$C11&lt;&gt;"Please select",$K9-$D23+$N9,0)</f>
        <v/>
      </c>
      <c r="L23" s="2674">
        <f>K23*44/12</f>
        <v/>
      </c>
      <c r="M23" s="2674">
        <f>IF('2.LUC'!$C11&lt;&gt;"Please select",P9+R9,0)</f>
        <v/>
      </c>
      <c r="N23" s="2674">
        <f>M23*44/12</f>
        <v/>
      </c>
      <c r="O23" s="2675">
        <f>IF($I23&lt;&gt; "Please select", INDEX(IPCC!$B$852:$W$863,MATCH(clim_moist,IPCC!$A$852:$A$863,0),MATCH($I23,IPCC!$B$852:$W$852,0)),0)</f>
        <v/>
      </c>
      <c r="P23" s="4647">
        <f>IF($I23&lt;&gt;"Please select",IF('2.LUC'!BP11=0, $T9*$O23-$T9, '2.LUC'!BP11-$T9),0)</f>
        <v/>
      </c>
      <c r="Q23" s="4647">
        <f>P23*(-44/12)/20</f>
        <v/>
      </c>
      <c r="R23" s="2674">
        <f>IF($E23="NO",0,(VLOOKUP($B23,$H$9:$I$16,2,FALSE)-$C23))</f>
        <v/>
      </c>
      <c r="S23" s="2674">
        <f>IF($E23="YES", ($R23*VLOOKUP($B23, IPCC!$A$871:$E$906,2, FALSE)*VLOOKUP($B23, IPCC!$A$871:$E$906, 4, FALSE)), 0)</f>
        <v/>
      </c>
      <c r="T23" s="2674">
        <f>IF($E23="YES", ($R23*VLOOKUP($B23, IPCC!$A$871:$E$906,2, FALSE)*VLOOKUP($B23, IPCC!$A$871:$E$906, 5, FALSE)), 0)</f>
        <v/>
      </c>
      <c r="U23" s="2674">
        <f> IF($P23&gt;=0, 0, ((-1)*(($P23/20*1/IPCC!$B$913)*1000)))</f>
        <v/>
      </c>
      <c r="V23" s="2674">
        <f>IF(country_selected="Please select",0,U23*VLOOKUP(moist_type, IPCC!$B$99:$C$101, 2, FALSE)*N2O_N_conversion)</f>
        <v/>
      </c>
      <c r="W23" s="2680">
        <f>($S23*methane+($T23+$V23)*Nitrous)/1000</f>
        <v/>
      </c>
      <c r="Z23" s="2892">
        <f>IF($E23= "YES", $G35*$S23*methane/1000,0)</f>
        <v/>
      </c>
      <c r="AA23" s="2893">
        <f>IF($E23= "YES", $H35*$S23*methane/1000,0)</f>
        <v/>
      </c>
      <c r="AB23" s="2893">
        <f>$G35*$T23*Nitrous/1000</f>
        <v/>
      </c>
      <c r="AC23" s="2893">
        <f>$H35*$T23*Nitrous/1000</f>
        <v/>
      </c>
      <c r="AD23" s="2893">
        <f>$G35*$V23*Nitrous/1000</f>
        <v/>
      </c>
      <c r="AE23" s="2894">
        <f>$H35*$V23*Nitrous/1000</f>
        <v/>
      </c>
      <c r="AG23" s="2893" t="n">
        <v>0</v>
      </c>
      <c r="AH23" s="2894">
        <f>IF($F23&gt;0, $G35, 0)</f>
        <v/>
      </c>
      <c r="AI23" s="2893">
        <f>IF($F23&gt;0, $H35, 0)</f>
        <v/>
      </c>
    </row>
    <row r="24">
      <c r="A24" s="1707" t="inlineStr">
        <is>
          <t>Deforestation 2</t>
        </is>
      </c>
      <c r="B24" s="2659">
        <f>'2.LUC'!$C12</f>
        <v/>
      </c>
      <c r="C24" s="1414">
        <f>'2.LUC'!$E12</f>
        <v/>
      </c>
      <c r="D24" s="1708">
        <f>IF('2.LUC'!$C12="Please select",0,IF(C24&gt;VLOOKUP($B24,defo!$H$9:$K$16,2,FALSE),VLOOKUP($B24,defo!$H$9:$K$16,2,FALSE),'2.LUC'!$E12))*IF(B24="Mangrove Forest",0.451, 0.47)</f>
        <v/>
      </c>
      <c r="E24" s="1688">
        <f>'2.LUC'!$G12</f>
        <v/>
      </c>
      <c r="F24" s="1423">
        <f>IF($B24&lt;&gt; "Please select", IF($E24="YES", VLOOKUP($B24, IPCC!$A$871:$B$906, 2, FALSE),0), 0)</f>
        <v/>
      </c>
      <c r="G24" s="2521">
        <f>'2.LUC'!$I12</f>
        <v/>
      </c>
      <c r="H24" s="3152">
        <f>'2.LUC'!$K12</f>
        <v/>
      </c>
      <c r="I24" s="2665">
        <f>IF('2.LUC'!$K12 &lt;&gt; "Please select",  '2.LUC'!$K12, IF('2.LUC'!$I12&lt;&gt;"Agroforestry", '2.LUC'!$I12, "Agroforestry - default"))</f>
        <v/>
      </c>
      <c r="J24" s="1147">
        <f>IF('2.LUC'!$I12 &lt;&gt; "Please select", IF('2.LUC'!BM12=0, INDEX(IPCC!$D$686:$Y$845,MATCH(clim_moist_cont,IPCC!$C$686:$C$845,0),MATCH($I24,IPCC!$D$682:$Y$682,0)), '2.LUC'!BM12), 0)</f>
        <v/>
      </c>
      <c r="K24" s="1147">
        <f>IF('2.LUC'!$C12&lt;&gt;"Please select",$K10-$D24+$N10,0)</f>
        <v/>
      </c>
      <c r="L24" s="1147">
        <f>K24*44/12</f>
        <v/>
      </c>
      <c r="M24" s="1147">
        <f>IF('2.LUC'!$C12&lt;&gt;"Please select",P10+R10,0)</f>
        <v/>
      </c>
      <c r="N24" s="1147">
        <f>M24*44/12</f>
        <v/>
      </c>
      <c r="O24" s="2524">
        <f>IF($I24&lt;&gt; "Please select", INDEX(IPCC!$B$852:$W$863,MATCH(clim_moist,IPCC!$A$852:$A$863,0),MATCH($I24,IPCC!$B$852:$W$852,0)),0)</f>
        <v/>
      </c>
      <c r="P24" s="4648">
        <f>IF($I24&lt;&gt;"Please select",IF('2.LUC'!BP12=0, $T10*$O24-$T10, '2.LUC'!BP12-$T10),0)</f>
        <v/>
      </c>
      <c r="Q24" s="4648">
        <f>P24*(-44/12)/20</f>
        <v/>
      </c>
      <c r="R24" s="1147">
        <f>IF($E24="NO",0,(VLOOKUP($B24,$H$9:$I$16,2,FALSE)-$C24))</f>
        <v/>
      </c>
      <c r="S24" s="1147">
        <f>IF($E24="YES", ($R24*VLOOKUP($B24, IPCC!$A$871:$E$906,2, FALSE)*VLOOKUP($B24, IPCC!$A$871:$E$906, 4, FALSE)), 0)</f>
        <v/>
      </c>
      <c r="T24" s="1147">
        <f>IF($E24="YES", ($R24*VLOOKUP($B24, IPCC!$A$871:$E$906,2, FALSE)*VLOOKUP($B24, IPCC!$A$871:$E$906, 5, FALSE)), 0)</f>
        <v/>
      </c>
      <c r="U24" s="1147">
        <f> IF($P24&gt;=0, 0, ((-1)*(($P24/20*1/IPCC!$B$913)*1000)))</f>
        <v/>
      </c>
      <c r="V24" s="1147">
        <f>IF(country_selected="Please select",0,U24*VLOOKUP(moist_type, IPCC!$B$99:$C$101, 2, FALSE)*N2O_N_conversion)</f>
        <v/>
      </c>
      <c r="W24" s="2681">
        <f>($S24*methane+($T24+$V24)*Nitrous)/1000</f>
        <v/>
      </c>
      <c r="Z24" s="2895">
        <f>IF($E24= "YES", $G36*$S24*methane/1000,0)</f>
        <v/>
      </c>
      <c r="AA24" s="2896">
        <f>IF($E24= "YES", $H36*$S24*methane/1000,0)</f>
        <v/>
      </c>
      <c r="AB24" s="2896">
        <f>$G36*$T24*Nitrous/1000</f>
        <v/>
      </c>
      <c r="AC24" s="2896">
        <f>$H36*$T24*Nitrous/1000</f>
        <v/>
      </c>
      <c r="AD24" s="2896">
        <f>$G36*$V24*Nitrous/1000</f>
        <v/>
      </c>
      <c r="AE24" s="2897">
        <f>$H36*$V24*Nitrous/1000</f>
        <v/>
      </c>
      <c r="AG24" s="2896" t="n">
        <v>0</v>
      </c>
      <c r="AH24" s="2897">
        <f>IF($F24&gt;0, $G36, 0)</f>
        <v/>
      </c>
      <c r="AI24" s="2896">
        <f>IF($F24&gt;0, $H36, 0)</f>
        <v/>
      </c>
    </row>
    <row r="25">
      <c r="A25" s="1707" t="inlineStr">
        <is>
          <t>Deforestation 3</t>
        </is>
      </c>
      <c r="B25" s="2659">
        <f>'2.LUC'!$C13</f>
        <v/>
      </c>
      <c r="C25" s="1414">
        <f>'2.LUC'!$E13</f>
        <v/>
      </c>
      <c r="D25" s="1708">
        <f>IF('2.LUC'!$C13="Please select",0,IF(C25&gt;VLOOKUP($B25,defo!$H$9:$K$16,2,FALSE),VLOOKUP($B25,defo!$H$9:$K$16,2,FALSE),'2.LUC'!$E13))*IF(B25="Mangrove Forest",0.451, 0.47)</f>
        <v/>
      </c>
      <c r="E25" s="1688">
        <f>'2.LUC'!$G13</f>
        <v/>
      </c>
      <c r="F25" s="1423">
        <f>IF($B25&lt;&gt; "Please select", IF($E25="YES", VLOOKUP($B25, IPCC!$A$871:$B$906, 2, FALSE),0), 0)</f>
        <v/>
      </c>
      <c r="G25" s="2521">
        <f>'2.LUC'!$I13</f>
        <v/>
      </c>
      <c r="H25" s="3152">
        <f>'2.LUC'!$K13</f>
        <v/>
      </c>
      <c r="I25" s="2665">
        <f>IF('2.LUC'!$K13 &lt;&gt; "Please select",  '2.LUC'!$K13, IF('2.LUC'!$I13&lt;&gt;"Agroforestry", '2.LUC'!$I13, "Agroforestry - default"))</f>
        <v/>
      </c>
      <c r="J25" s="1147">
        <f>IF('2.LUC'!$I13 &lt;&gt; "Please select", IF('2.LUC'!BM13=0, INDEX(IPCC!$D$686:$Y$845,MATCH(clim_moist_cont,IPCC!$C$686:$C$845,0),MATCH($I25,IPCC!$D$682:$Y$682,0)), '2.LUC'!BM13), 0)</f>
        <v/>
      </c>
      <c r="K25" s="1147">
        <f>IF('2.LUC'!$C13&lt;&gt;"Please select",$K11-$D25+$N11,0)</f>
        <v/>
      </c>
      <c r="L25" s="1147">
        <f>K25*44/12</f>
        <v/>
      </c>
      <c r="M25" s="1147">
        <f>IF('2.LUC'!$C13&lt;&gt;"Please select",P11+R11,0)</f>
        <v/>
      </c>
      <c r="N25" s="1147">
        <f>M25*44/12</f>
        <v/>
      </c>
      <c r="O25" s="2524">
        <f>IF($I25&lt;&gt; "Please select", INDEX(IPCC!$B$852:$W$863,MATCH(clim_moist,IPCC!$A$852:$A$863,0),MATCH($I25,IPCC!$B$852:$W$852,0)),0)</f>
        <v/>
      </c>
      <c r="P25" s="4648">
        <f>IF($I25&lt;&gt;"Please select",IF('2.LUC'!BP13=0, $T11*$O25-$T11, '2.LUC'!BP13-$T11),0)</f>
        <v/>
      </c>
      <c r="Q25" s="4648">
        <f>P25*(-44/12)/20</f>
        <v/>
      </c>
      <c r="R25" s="1147">
        <f>IF($E25="NO",0,(VLOOKUP($B25,$H$9:$I$16,2,FALSE)-$C25))</f>
        <v/>
      </c>
      <c r="S25" s="1147">
        <f>IF($E25="YES", ($R25*VLOOKUP($B25, IPCC!$A$871:$E$906,2, FALSE)*VLOOKUP($B25, IPCC!$A$871:$E$906, 4, FALSE)), 0)</f>
        <v/>
      </c>
      <c r="T25" s="1147">
        <f>IF($E25="YES", ($R25*VLOOKUP($B25, IPCC!$A$871:$E$906,2, FALSE)*VLOOKUP($B25, IPCC!$A$871:$E$906, 5, FALSE)), 0)</f>
        <v/>
      </c>
      <c r="U25" s="1147">
        <f> IF($P25&gt;=0, 0, ((-1)*(($P25/20*1/IPCC!$B$913)*1000)))</f>
        <v/>
      </c>
      <c r="V25" s="1147">
        <f>IF(country_selected="Please select",0,U25*VLOOKUP(moist_type, IPCC!$B$99:$C$101, 2, FALSE)*N2O_N_conversion)</f>
        <v/>
      </c>
      <c r="W25" s="2681">
        <f>($S25*methane+($T25+$V25)*Nitrous)/1000</f>
        <v/>
      </c>
      <c r="Z25" s="2895">
        <f>IF($E25= "YES", $G37*$S25*methane/1000,0)</f>
        <v/>
      </c>
      <c r="AA25" s="2896">
        <f>IF($E25= "YES", $H37*$S25*methane/1000,0)</f>
        <v/>
      </c>
      <c r="AB25" s="2896">
        <f>$G37*$T25*Nitrous/1000</f>
        <v/>
      </c>
      <c r="AC25" s="2896">
        <f>$H37*$T25*Nitrous/1000</f>
        <v/>
      </c>
      <c r="AD25" s="2896">
        <f>$G37*$V25*Nitrous/1000</f>
        <v/>
      </c>
      <c r="AE25" s="2897">
        <f>$H37*$V25*Nitrous/1000</f>
        <v/>
      </c>
      <c r="AG25" s="2896" t="n">
        <v>0</v>
      </c>
      <c r="AH25" s="2897">
        <f>IF($F25&gt;0, $G37, 0)</f>
        <v/>
      </c>
      <c r="AI25" s="2896">
        <f>IF($F25&gt;0, $H37, 0)</f>
        <v/>
      </c>
    </row>
    <row r="26">
      <c r="A26" s="1707" t="inlineStr">
        <is>
          <t>Deforestation 4</t>
        </is>
      </c>
      <c r="B26" s="2659">
        <f>'2.LUC'!$C14</f>
        <v/>
      </c>
      <c r="C26" s="1414">
        <f>'2.LUC'!$E14</f>
        <v/>
      </c>
      <c r="D26" s="1708">
        <f>IF('2.LUC'!$C14="Please select",0,IF(C26&gt;VLOOKUP($B26,defo!$H$9:$K$16,2,FALSE),VLOOKUP($B26,defo!$H$9:$K$16,2,FALSE),'2.LUC'!$E14))*IF(B26="Mangrove Forest",0.451, 0.47)</f>
        <v/>
      </c>
      <c r="E26" s="1688">
        <f>'2.LUC'!$G14</f>
        <v/>
      </c>
      <c r="F26" s="1423">
        <f>IF($B26&lt;&gt; "Please select", IF($E26="YES", VLOOKUP($B26, IPCC!$A$871:$B$906, 2, FALSE),0), 0)</f>
        <v/>
      </c>
      <c r="G26" s="2521">
        <f>'2.LUC'!$I14</f>
        <v/>
      </c>
      <c r="H26" s="3152">
        <f>'2.LUC'!$K14</f>
        <v/>
      </c>
      <c r="I26" s="2665">
        <f>IF('2.LUC'!$K14 &lt;&gt; "Please select",  '2.LUC'!$K14, IF('2.LUC'!$I14&lt;&gt;"Agroforestry", '2.LUC'!$I14, "Agroforestry - default"))</f>
        <v/>
      </c>
      <c r="J26" s="1147">
        <f>IF('2.LUC'!$I14 &lt;&gt; "Please select", IF('2.LUC'!BM14=0, INDEX(IPCC!$D$686:$Y$845,MATCH(clim_moist_cont,IPCC!$C$686:$C$845,0),MATCH($I26,IPCC!$D$682:$Y$682,0)), '2.LUC'!BM14), 0)</f>
        <v/>
      </c>
      <c r="K26" s="1147">
        <f>IF('2.LUC'!$C14&lt;&gt;"Please select",$K12-$D26+$N12,0)</f>
        <v/>
      </c>
      <c r="L26" s="1147">
        <f>K26*44/12</f>
        <v/>
      </c>
      <c r="M26" s="1147">
        <f>IF('2.LUC'!$C14&lt;&gt;"Please select",P12+R12,0)</f>
        <v/>
      </c>
      <c r="N26" s="1147">
        <f>M26*44/12</f>
        <v/>
      </c>
      <c r="O26" s="2524">
        <f>IF($I26&lt;&gt; "Please select", INDEX(IPCC!$B$852:$W$863,MATCH(clim_moist,IPCC!$A$852:$A$863,0),MATCH($I26,IPCC!$B$852:$W$852,0)),0)</f>
        <v/>
      </c>
      <c r="P26" s="4648">
        <f>IF($I26&lt;&gt;"Please select",IF('2.LUC'!BP14=0, $T12*$O26-$T12, '2.LUC'!BP14-$T12),0)</f>
        <v/>
      </c>
      <c r="Q26" s="4648">
        <f>P26*(-44/12)/20</f>
        <v/>
      </c>
      <c r="R26" s="1147">
        <f>IF($E26="NO",0,(VLOOKUP($B26,$H$9:$I$16,2,FALSE)-$C26))</f>
        <v/>
      </c>
      <c r="S26" s="1147">
        <f>IF($E26="YES", ($R26*VLOOKUP($B26, IPCC!$A$871:$E$906,2, FALSE)*VLOOKUP($B26, IPCC!$A$871:$E$906, 4, FALSE)), 0)</f>
        <v/>
      </c>
      <c r="T26" s="1147">
        <f>IF($E26="YES", ($R26*VLOOKUP($B26, IPCC!$A$871:$E$906,2, FALSE)*VLOOKUP($B26, IPCC!$A$871:$E$906, 5, FALSE)), 0)</f>
        <v/>
      </c>
      <c r="U26" s="1147">
        <f> IF($P26&gt;=0, 0, ((-1)*(($P26/20*1/IPCC!$B$913)*1000)))</f>
        <v/>
      </c>
      <c r="V26" s="1147">
        <f>IF(country_selected="Please select",0,U26*VLOOKUP(moist_type, IPCC!$B$99:$C$101, 2, FALSE)*N2O_N_conversion)</f>
        <v/>
      </c>
      <c r="W26" s="2681">
        <f>($S26*methane+($T26+$V26)*Nitrous)/1000</f>
        <v/>
      </c>
      <c r="Z26" s="2895">
        <f>IF($E26= "YES", $G38*$S26*methane/1000,0)</f>
        <v/>
      </c>
      <c r="AA26" s="2896">
        <f>IF($E26= "YES", $H38*$S26*methane/1000,0)</f>
        <v/>
      </c>
      <c r="AB26" s="2896">
        <f>$G38*$T26*Nitrous/1000</f>
        <v/>
      </c>
      <c r="AC26" s="2896">
        <f>$H38*$T26*Nitrous/1000</f>
        <v/>
      </c>
      <c r="AD26" s="2896">
        <f>$G38*$V26*Nitrous/1000</f>
        <v/>
      </c>
      <c r="AE26" s="2897">
        <f>$H38*$V26*Nitrous/1000</f>
        <v/>
      </c>
      <c r="AG26" s="2896" t="n">
        <v>0</v>
      </c>
      <c r="AH26" s="2897">
        <f>IF($F26&gt;0, $G38, 0)</f>
        <v/>
      </c>
      <c r="AI26" s="2896">
        <f>IF($F26&gt;0, $H38, 0)</f>
        <v/>
      </c>
    </row>
    <row r="27">
      <c r="A27" s="1707" t="inlineStr">
        <is>
          <t>Deforestation 5</t>
        </is>
      </c>
      <c r="B27" s="2659">
        <f>'2.LUC'!$C15</f>
        <v/>
      </c>
      <c r="C27" s="1414">
        <f>'2.LUC'!$E15</f>
        <v/>
      </c>
      <c r="D27" s="1708">
        <f>IF('2.LUC'!$C15="Please select",0,IF(C27&gt;VLOOKUP($B27,defo!$H$9:$K$16,2,FALSE),VLOOKUP($B27,defo!$H$9:$K$16,2,FALSE),'2.LUC'!$E15))*IF(B27="Mangrove Forest",0.451, 0.47)</f>
        <v/>
      </c>
      <c r="E27" s="1688">
        <f>'2.LUC'!$G15</f>
        <v/>
      </c>
      <c r="F27" s="1423">
        <f>IF($B27&lt;&gt; "Please select", IF($E27="YES", VLOOKUP($B27, IPCC!$A$871:$B$906, 2, FALSE),0), 0)</f>
        <v/>
      </c>
      <c r="G27" s="2521">
        <f>'2.LUC'!$I15</f>
        <v/>
      </c>
      <c r="H27" s="3152">
        <f>'2.LUC'!$K15</f>
        <v/>
      </c>
      <c r="I27" s="2665">
        <f>IF('2.LUC'!$K15 &lt;&gt; "Please select",  '2.LUC'!$K15, IF('2.LUC'!$I15&lt;&gt;"Agroforestry", '2.LUC'!$I15, "Agroforestry - default"))</f>
        <v/>
      </c>
      <c r="J27" s="1147">
        <f>IF('2.LUC'!$I15 &lt;&gt; "Please select", IF('2.LUC'!BM15=0, INDEX(IPCC!$D$686:$Y$845,MATCH(clim_moist_cont,IPCC!$C$686:$C$845,0),MATCH($I27,IPCC!$D$682:$Y$682,0)), '2.LUC'!BM15), 0)</f>
        <v/>
      </c>
      <c r="K27" s="1147">
        <f>IF('2.LUC'!$C15&lt;&gt;"Please select",$K13-$D27+$N13,0)</f>
        <v/>
      </c>
      <c r="L27" s="1147">
        <f>K27*44/12</f>
        <v/>
      </c>
      <c r="M27" s="1147">
        <f>IF('2.LUC'!$C15&lt;&gt;"Please select",P13+R13,0)</f>
        <v/>
      </c>
      <c r="N27" s="1147">
        <f>M27*44/12</f>
        <v/>
      </c>
      <c r="O27" s="2524">
        <f>IF($I27&lt;&gt; "Please select", INDEX(IPCC!$B$852:$W$863,MATCH(clim_moist,IPCC!$A$852:$A$863,0),MATCH($I27,IPCC!$B$852:$W$852,0)),0)</f>
        <v/>
      </c>
      <c r="P27" s="4648">
        <f>IF($I27&lt;&gt;"Please select",IF('2.LUC'!BP15=0, $T13*$O27-$T13, '2.LUC'!BP15-$T13),0)</f>
        <v/>
      </c>
      <c r="Q27" s="4648">
        <f>P27*(-44/12)/20</f>
        <v/>
      </c>
      <c r="R27" s="1147">
        <f>IF($E27="NO",0,(VLOOKUP($B27,$H$9:$I$16,2,FALSE)-$C27))</f>
        <v/>
      </c>
      <c r="S27" s="1147">
        <f>IF($E27="YES", ($R27*VLOOKUP($B27, IPCC!$A$871:$E$906,2, FALSE)*VLOOKUP($B27, IPCC!$A$871:$E$906, 4, FALSE)), 0)</f>
        <v/>
      </c>
      <c r="T27" s="1147">
        <f>IF($E27="YES", ($R27*VLOOKUP($B27, IPCC!$A$871:$E$906,2, FALSE)*VLOOKUP($B27, IPCC!$A$871:$E$906, 5, FALSE)), 0)</f>
        <v/>
      </c>
      <c r="U27" s="1147">
        <f> IF($P27&gt;=0, 0, ((-1)*(($P27/20*1/IPCC!$B$913)*1000)))</f>
        <v/>
      </c>
      <c r="V27" s="1147">
        <f>IF(country_selected="Please select",0,U27*VLOOKUP(moist_type, IPCC!$B$99:$C$101, 2, FALSE)*N2O_N_conversion)</f>
        <v/>
      </c>
      <c r="W27" s="2681">
        <f>($S27*methane+($T27+$V27)*Nitrous)/1000</f>
        <v/>
      </c>
      <c r="Z27" s="2895">
        <f>IF($E27= "YES", $G39*$S27*methane/1000,0)</f>
        <v/>
      </c>
      <c r="AA27" s="2896">
        <f>IF($E27= "YES", $H39*$S27*methane/1000,0)</f>
        <v/>
      </c>
      <c r="AB27" s="2896">
        <f>$G39*$T27*Nitrous/1000</f>
        <v/>
      </c>
      <c r="AC27" s="2896">
        <f>$H39*$T27*Nitrous/1000</f>
        <v/>
      </c>
      <c r="AD27" s="2896">
        <f>$G39*$V27*Nitrous/1000</f>
        <v/>
      </c>
      <c r="AE27" s="2897">
        <f>$H39*$V27*Nitrous/1000</f>
        <v/>
      </c>
      <c r="AG27" s="2896" t="n">
        <v>0</v>
      </c>
      <c r="AH27" s="2897">
        <f>IF($F27&gt;0, $G39, 0)</f>
        <v/>
      </c>
      <c r="AI27" s="2896">
        <f>IF($F27&gt;0, $H39, 0)</f>
        <v/>
      </c>
    </row>
    <row r="28">
      <c r="A28" s="1707" t="inlineStr">
        <is>
          <t>Deforestation 6</t>
        </is>
      </c>
      <c r="B28" s="2659">
        <f>'2.LUC'!$C16</f>
        <v/>
      </c>
      <c r="C28" s="1414">
        <f>'2.LUC'!$E16</f>
        <v/>
      </c>
      <c r="D28" s="1708">
        <f>IF('2.LUC'!$C16="Please select",0,IF(C28&gt;VLOOKUP($B28,defo!$H$9:$K$16,2,FALSE),VLOOKUP($B28,defo!$H$9:$K$16,2,FALSE),'2.LUC'!$E16))*IF(B28="Mangrove Forest",0.451, 0.47)</f>
        <v/>
      </c>
      <c r="E28" s="1688">
        <f>'2.LUC'!$G16</f>
        <v/>
      </c>
      <c r="F28" s="1423">
        <f>IF($B28&lt;&gt; "Please select", IF($E28="YES", VLOOKUP($B28, IPCC!$A$871:$B$906, 2, FALSE),0), 0)</f>
        <v/>
      </c>
      <c r="G28" s="2521">
        <f>'2.LUC'!$I16</f>
        <v/>
      </c>
      <c r="H28" s="3152">
        <f>'2.LUC'!$K16</f>
        <v/>
      </c>
      <c r="I28" s="2665">
        <f>IF('2.LUC'!$K16 &lt;&gt; "Please select",  '2.LUC'!$K16, IF('2.LUC'!$I16&lt;&gt;"Agroforestry", '2.LUC'!$I16, "Agroforestry - default"))</f>
        <v/>
      </c>
      <c r="J28" s="1147">
        <f>IF('2.LUC'!$I16 &lt;&gt; "Please select", IF('2.LUC'!BM16=0, INDEX(IPCC!$D$686:$Y$845,MATCH(clim_moist_cont,IPCC!$C$686:$C$845,0),MATCH($I28,IPCC!$D$682:$Y$682,0)), '2.LUC'!BM16), 0)</f>
        <v/>
      </c>
      <c r="K28" s="1147">
        <f>IF('2.LUC'!$C16&lt;&gt;"Please select",$K14-$D28+$N14,0)</f>
        <v/>
      </c>
      <c r="L28" s="1147">
        <f>K28*44/12</f>
        <v/>
      </c>
      <c r="M28" s="1147">
        <f>IF('2.LUC'!$C16&lt;&gt;"Please select",P14+R14,0)</f>
        <v/>
      </c>
      <c r="N28" s="1147">
        <f>M28*44/12</f>
        <v/>
      </c>
      <c r="O28" s="2524">
        <f>IF($I28&lt;&gt; "Please select", INDEX(IPCC!$B$852:$W$863,MATCH(clim_moist,IPCC!$A$852:$A$863,0),MATCH($I28,IPCC!$B$852:$W$852,0)),0)</f>
        <v/>
      </c>
      <c r="P28" s="4648">
        <f>IF($I28&lt;&gt;"Please select",IF('2.LUC'!BP16=0, $T14*$O28-$T14, '2.LUC'!BP16-$T14),0)</f>
        <v/>
      </c>
      <c r="Q28" s="4648">
        <f>P28*(-44/12)/20</f>
        <v/>
      </c>
      <c r="R28" s="1147">
        <f>IF($E28="NO",0,(VLOOKUP($B28,$H$9:$I$16,2,FALSE)-$C28))</f>
        <v/>
      </c>
      <c r="S28" s="1147">
        <f>IF($E28="YES", ($R28*VLOOKUP($B28, IPCC!$A$871:$E$906,2, FALSE)*VLOOKUP($B28, IPCC!$A$871:$E$906, 4, FALSE)), 0)</f>
        <v/>
      </c>
      <c r="T28" s="1147">
        <f>IF($E28="YES", ($R28*VLOOKUP($B28, IPCC!$A$871:$E$906,2, FALSE)*VLOOKUP($B28, IPCC!$A$871:$E$906, 5, FALSE)), 0)</f>
        <v/>
      </c>
      <c r="U28" s="1147">
        <f> IF($P28&gt;=0, 0, ((-1)*(($P28/20*1/IPCC!$B$913)*1000)))</f>
        <v/>
      </c>
      <c r="V28" s="1147">
        <f>IF(country_selected="Please select",0,U28*VLOOKUP(moist_type, IPCC!$B$99:$C$101, 2, FALSE)*N2O_N_conversion)</f>
        <v/>
      </c>
      <c r="W28" s="2681">
        <f>($S28*methane+($T28+$V28)*Nitrous)/1000</f>
        <v/>
      </c>
      <c r="Z28" s="2895">
        <f>IF($E28= "YES", $G40*$S28*methane/1000,0)</f>
        <v/>
      </c>
      <c r="AA28" s="2896">
        <f>IF($E28= "YES", $H40*$S28*methane/1000,0)</f>
        <v/>
      </c>
      <c r="AB28" s="2896">
        <f>$G40*$T28*Nitrous/1000</f>
        <v/>
      </c>
      <c r="AC28" s="2896">
        <f>$H40*$T28*Nitrous/1000</f>
        <v/>
      </c>
      <c r="AD28" s="2896">
        <f>$G40*$V28*Nitrous/1000</f>
        <v/>
      </c>
      <c r="AE28" s="2897">
        <f>$H40*$V28*Nitrous/1000</f>
        <v/>
      </c>
      <c r="AG28" s="2896" t="n">
        <v>0</v>
      </c>
      <c r="AH28" s="2897">
        <f>IF($F28&gt;0, $G40, 0)</f>
        <v/>
      </c>
      <c r="AI28" s="2896">
        <f>IF($F28&gt;0, $H40, 0)</f>
        <v/>
      </c>
    </row>
    <row r="29">
      <c r="A29" s="1707" t="inlineStr">
        <is>
          <t>Deforestation 7</t>
        </is>
      </c>
      <c r="B29" s="2659">
        <f>'2.LUC'!$C17</f>
        <v/>
      </c>
      <c r="C29" s="1414">
        <f>'2.LUC'!$E17</f>
        <v/>
      </c>
      <c r="D29" s="1708">
        <f>IF('2.LUC'!$C17="Please select",0,IF(C29&gt;VLOOKUP($B29,defo!$H$9:$K$16,2,FALSE),VLOOKUP($B29,defo!$H$9:$K$16,2,FALSE),'2.LUC'!$E17))*IF(B29="Mangrove Forest",0.451, 0.47)</f>
        <v/>
      </c>
      <c r="E29" s="1688">
        <f>'2.LUC'!$G17</f>
        <v/>
      </c>
      <c r="F29" s="1423">
        <f>IF($B29&lt;&gt; "Please select", IF($E29="YES", VLOOKUP($B29, IPCC!$A$871:$B$906, 2, FALSE),0), 0)</f>
        <v/>
      </c>
      <c r="G29" s="2521">
        <f>'2.LUC'!$I17</f>
        <v/>
      </c>
      <c r="H29" s="3152">
        <f>'2.LUC'!$K17</f>
        <v/>
      </c>
      <c r="I29" s="2665">
        <f>IF('2.LUC'!$K17 &lt;&gt; "Please select",  '2.LUC'!$K17, IF('2.LUC'!$I17&lt;&gt;"Agroforestry", '2.LUC'!$I17, "Agroforestry - default"))</f>
        <v/>
      </c>
      <c r="J29" s="1147">
        <f>IF('2.LUC'!$I17 &lt;&gt; "Please select", IF('2.LUC'!BM17=0, INDEX(IPCC!$D$686:$Y$845,MATCH(clim_moist_cont,IPCC!$C$686:$C$845,0),MATCH($I29,IPCC!$D$682:$Y$682,0)), '2.LUC'!BM17), 0)</f>
        <v/>
      </c>
      <c r="K29" s="1147">
        <f>IF('2.LUC'!$C17&lt;&gt;"Please select",$K15-$D29+$N15,0)</f>
        <v/>
      </c>
      <c r="L29" s="1147">
        <f>K29*44/12</f>
        <v/>
      </c>
      <c r="M29" s="1147">
        <f>IF('2.LUC'!$C17&lt;&gt;"Please select",P15+R15,0)</f>
        <v/>
      </c>
      <c r="N29" s="1147">
        <f>M29*44/12</f>
        <v/>
      </c>
      <c r="O29" s="2524">
        <f>IF($I29&lt;&gt; "Please select", INDEX(IPCC!$B$852:$W$863,MATCH(clim_moist,IPCC!$A$852:$A$863,0),MATCH($I29,IPCC!$B$852:$W$852,0)),0)</f>
        <v/>
      </c>
      <c r="P29" s="4648">
        <f>IF($I29&lt;&gt;"Please select",IF('2.LUC'!BP17=0, $T15*$O29-$T15, '2.LUC'!BP17-$T15),0)</f>
        <v/>
      </c>
      <c r="Q29" s="4648">
        <f>P29*(-44/12)/20</f>
        <v/>
      </c>
      <c r="R29" s="1147">
        <f>IF($E29="NO",0,(VLOOKUP($B29,$H$9:$I$16,2,FALSE)-$C29))</f>
        <v/>
      </c>
      <c r="S29" s="1147">
        <f>IF($E29="YES", ($R29*VLOOKUP($B29, IPCC!$A$871:$E$906,2, FALSE)*VLOOKUP($B29, IPCC!$A$871:$E$906, 4, FALSE)), 0)</f>
        <v/>
      </c>
      <c r="T29" s="1147">
        <f>IF($E29="YES", ($R29*VLOOKUP($B29, IPCC!$A$871:$E$906,2, FALSE)*VLOOKUP($B29, IPCC!$A$871:$E$906, 5, FALSE)), 0)</f>
        <v/>
      </c>
      <c r="U29" s="1147">
        <f> IF($P29&gt;=0, 0, ((-1)*(($P29/20*1/IPCC!$B$913)*1000)))</f>
        <v/>
      </c>
      <c r="V29" s="1147">
        <f>IF(country_selected="Please select",0,U29*VLOOKUP(moist_type, IPCC!$B$99:$C$101, 2, FALSE)*N2O_N_conversion)</f>
        <v/>
      </c>
      <c r="W29" s="2681">
        <f>($S29*methane+($T29+$V29)*Nitrous)/1000</f>
        <v/>
      </c>
      <c r="Z29" s="2895">
        <f>IF($E29= "YES", $G41*$S29*methane/1000,0)</f>
        <v/>
      </c>
      <c r="AA29" s="2896">
        <f>IF($E29= "YES", $H41*$S29*methane/1000,0)</f>
        <v/>
      </c>
      <c r="AB29" s="2896">
        <f>$G41*$T29*Nitrous/1000</f>
        <v/>
      </c>
      <c r="AC29" s="2896">
        <f>$H41*$T29*Nitrous/1000</f>
        <v/>
      </c>
      <c r="AD29" s="2896">
        <f>$G41*$V29*Nitrous/1000</f>
        <v/>
      </c>
      <c r="AE29" s="2897">
        <f>$H41*$V29*Nitrous/1000</f>
        <v/>
      </c>
      <c r="AG29" s="2896" t="n">
        <v>0</v>
      </c>
      <c r="AH29" s="2897">
        <f>IF($F29&gt;0, $G41, 0)</f>
        <v/>
      </c>
      <c r="AI29" s="2896">
        <f>IF($F29&gt;0, $H41, 0)</f>
        <v/>
      </c>
    </row>
    <row r="30">
      <c r="A30" s="1747" t="inlineStr">
        <is>
          <t>Deforestation 8</t>
        </is>
      </c>
      <c r="B30" s="2660">
        <f>'2.LUC'!$C18</f>
        <v/>
      </c>
      <c r="C30" s="1710">
        <f>'2.LUC'!$E18</f>
        <v/>
      </c>
      <c r="D30" s="1748">
        <f>IF('2.LUC'!$C18="Please select",0,IF(C30&gt;VLOOKUP($B30,defo!$H$9:$K$16,2,FALSE),VLOOKUP($B30,defo!$H$9:$K$16,2,FALSE),'2.LUC'!$E18))*IF(B30="Mangrove Forest",0.451, 0.47)</f>
        <v/>
      </c>
      <c r="E30" s="3502">
        <f>'2.LUC'!$G18</f>
        <v/>
      </c>
      <c r="F30" s="1709">
        <f>IF($B30&lt;&gt; "Please select", IF($E30="YES", VLOOKUP($B30, IPCC!$A$871:$B$906, 2, FALSE),0), 0)</f>
        <v/>
      </c>
      <c r="G30" s="2673">
        <f>'2.LUC'!$I18</f>
        <v/>
      </c>
      <c r="H30" s="3153">
        <f>'2.LUC'!$K18</f>
        <v/>
      </c>
      <c r="I30" s="2666">
        <f>IF('2.LUC'!$K18 &lt;&gt; "Please select",  '2.LUC'!$K18, IF('2.LUC'!$I18&lt;&gt;"Agroforestry", '2.LUC'!$I18, "Agroforestry - default"))</f>
        <v/>
      </c>
      <c r="J30" s="1147">
        <f>IF('2.LUC'!$I18 &lt;&gt; "Please select", IF('2.LUC'!BM18=0, INDEX(IPCC!$D$686:$Y$845,MATCH(clim_moist_cont,IPCC!$C$686:$C$845,0),MATCH($I30,IPCC!$D$682:$Y$682,0)), '2.LUC'!BM18), 0)</f>
        <v/>
      </c>
      <c r="K30" s="2677">
        <f>IF('2.LUC'!$C18&lt;&gt;"Please select",$K16-$D30+$N16,0)</f>
        <v/>
      </c>
      <c r="L30" s="2677">
        <f>K30*44/12</f>
        <v/>
      </c>
      <c r="M30" s="2677">
        <f>IF('2.LUC'!$C18&lt;&gt;"Please select",P16+R16,0)</f>
        <v/>
      </c>
      <c r="N30" s="2677">
        <f>M30*44/12</f>
        <v/>
      </c>
      <c r="O30" s="2678">
        <f>IF($I30&lt;&gt; "Please select", INDEX(IPCC!$B$852:$W$863,MATCH(clim_moist,IPCC!$A$852:$A$863,0),MATCH($I30,IPCC!$B$852:$W$852,0)),0)</f>
        <v/>
      </c>
      <c r="P30" s="4649">
        <f>IF($I30&lt;&gt;"Please select",IF('2.LUC'!BP18=0, $T16*$O30-$T16, '2.LUC'!BP18-$T16),0)</f>
        <v/>
      </c>
      <c r="Q30" s="4649">
        <f>P30*(-44/12)/20</f>
        <v/>
      </c>
      <c r="R30" s="2677">
        <f>IF($E30="NO",0,(VLOOKUP($B30,$H$9:$I$16,2,FALSE)-$C30))</f>
        <v/>
      </c>
      <c r="S30" s="2677">
        <f>IF($E30="YES", ($R30*VLOOKUP($B30, IPCC!$A$871:$E$906,2, FALSE)*VLOOKUP($B30, IPCC!$A$871:$E$906, 4, FALSE)), 0)</f>
        <v/>
      </c>
      <c r="T30" s="2677">
        <f>IF($E30="YES", ($R30*VLOOKUP($B30, IPCC!$A$871:$E$906,2, FALSE)*VLOOKUP($B30, IPCC!$A$871:$E$906, 5, FALSE)), 0)</f>
        <v/>
      </c>
      <c r="U30" s="2677">
        <f> IF($P30&gt;=0, 0, ((-1)*(($P30/20*1/IPCC!$B$913)*1000)))</f>
        <v/>
      </c>
      <c r="V30" s="2677">
        <f>IF(country_selected="Please select",0,U30*VLOOKUP(moist_type, IPCC!$B$99:$C$101, 2, FALSE)*N2O_N_conversion)</f>
        <v/>
      </c>
      <c r="W30" s="2682">
        <f>($S30*methane+($T30+$V30)*Nitrous)/1000</f>
        <v/>
      </c>
      <c r="Z30" s="2898">
        <f>IF($E30= "YES", $G42*$S30*methane/1000,0)</f>
        <v/>
      </c>
      <c r="AA30" s="2899">
        <f>IF($E30= "YES", $H42*$S30*methane/1000,0)</f>
        <v/>
      </c>
      <c r="AB30" s="2899">
        <f>$G42*$T30*Nitrous/1000</f>
        <v/>
      </c>
      <c r="AC30" s="2899">
        <f>$H42*$T30*Nitrous/1000</f>
        <v/>
      </c>
      <c r="AD30" s="2899">
        <f>$G42*$V30*Nitrous/1000</f>
        <v/>
      </c>
      <c r="AE30" s="2900">
        <f>$H42*$V30*Nitrous/1000</f>
        <v/>
      </c>
      <c r="AG30" s="2899" t="n">
        <v>0</v>
      </c>
      <c r="AH30" s="2900">
        <f>IF($F30&gt;0, $G42, 0)</f>
        <v/>
      </c>
      <c r="AI30" s="2899">
        <f>IF($F30&gt;0, $H42, 0)</f>
        <v/>
      </c>
    </row>
    <row r="31">
      <c r="AG31" s="2901">
        <f>SUM(AG23:AG30)</f>
        <v/>
      </c>
      <c r="AH31" s="2902">
        <f>SUM(AH23:AH30)</f>
        <v/>
      </c>
      <c r="AI31" s="2903">
        <f>SUM(AI23:AI30)</f>
        <v/>
      </c>
    </row>
    <row r="32">
      <c r="A32" s="1537" t="inlineStr">
        <is>
          <t>GHG emissions</t>
        </is>
      </c>
      <c r="B32" s="1711" t="inlineStr">
        <is>
          <t>Forested Area (ha)</t>
        </is>
      </c>
      <c r="C32" s="1712" t="n"/>
      <c r="D32" s="1712" t="n"/>
      <c r="E32" s="1712" t="n"/>
      <c r="F32" s="1712" t="n"/>
      <c r="G32" s="1713" t="inlineStr">
        <is>
          <t>Area deforested (ha)</t>
        </is>
      </c>
      <c r="H32" s="1714" t="n"/>
      <c r="I32" s="4547" t="inlineStr">
        <is>
          <t xml:space="preserve">Biomass loss (AGB + BGB)  </t>
        </is>
      </c>
      <c r="J32" s="365" t="n"/>
      <c r="K32" s="1715" t="inlineStr">
        <is>
          <t>Biomass gain (1yr after)</t>
        </is>
      </c>
      <c r="L32" s="1715" t="n"/>
      <c r="M32" s="1716" t="inlineStr">
        <is>
          <t>DOM loss (DW + litter)</t>
        </is>
      </c>
      <c r="N32" s="1717" t="n"/>
      <c r="O32" s="1718" t="inlineStr">
        <is>
          <t>Soil emissions/removals</t>
        </is>
      </c>
      <c r="P32" s="1717" t="n"/>
      <c r="Q32" s="1719" t="inlineStr">
        <is>
          <t>Fire + FSOM - kg N mineralized</t>
        </is>
      </c>
      <c r="R32" s="1717" t="n"/>
      <c r="S32" s="1720" t="inlineStr">
        <is>
          <t>Total Balance</t>
        </is>
      </c>
      <c r="T32" s="1721" t="n"/>
      <c r="U32" s="1721" t="inlineStr">
        <is>
          <t>Total</t>
        </is>
      </c>
    </row>
    <row r="33">
      <c r="A33" s="1722" t="inlineStr">
        <is>
          <t>Name</t>
        </is>
      </c>
      <c r="B33" s="1723" t="inlineStr">
        <is>
          <t>Start</t>
        </is>
      </c>
      <c r="C33" s="1724" t="inlineStr">
        <is>
          <t>Without Project</t>
        </is>
      </c>
      <c r="D33" s="1725" t="n"/>
      <c r="E33" s="1726" t="inlineStr">
        <is>
          <t>With Project</t>
        </is>
      </c>
      <c r="F33" s="1727" t="n"/>
      <c r="G33" s="1728" t="inlineStr">
        <is>
          <t>Without</t>
        </is>
      </c>
      <c r="H33" s="1729" t="inlineStr">
        <is>
          <t>With</t>
        </is>
      </c>
      <c r="I33" s="1728" t="inlineStr">
        <is>
          <t>Without</t>
        </is>
      </c>
      <c r="J33" s="1730" t="inlineStr">
        <is>
          <t>With</t>
        </is>
      </c>
      <c r="K33" s="1728" t="inlineStr">
        <is>
          <t>Without</t>
        </is>
      </c>
      <c r="L33" s="1731" t="inlineStr">
        <is>
          <t>With</t>
        </is>
      </c>
      <c r="M33" s="1728" t="inlineStr">
        <is>
          <t>Without</t>
        </is>
      </c>
      <c r="N33" s="1731" t="inlineStr">
        <is>
          <t>With</t>
        </is>
      </c>
      <c r="O33" s="1728" t="inlineStr">
        <is>
          <t>Without</t>
        </is>
      </c>
      <c r="P33" s="1731" t="inlineStr">
        <is>
          <t>With</t>
        </is>
      </c>
      <c r="Q33" s="1728" t="inlineStr">
        <is>
          <t>Without</t>
        </is>
      </c>
      <c r="R33" s="1731" t="inlineStr">
        <is>
          <t>With</t>
        </is>
      </c>
      <c r="S33" s="1728" t="inlineStr">
        <is>
          <t>Without</t>
        </is>
      </c>
      <c r="T33" s="1731" t="inlineStr">
        <is>
          <t>With</t>
        </is>
      </c>
      <c r="U33" s="1721" t="inlineStr">
        <is>
          <t>Deforestation</t>
        </is>
      </c>
    </row>
    <row r="34" ht="15" customHeight="1">
      <c r="A34" s="1732" t="n"/>
      <c r="B34" s="1733" t="inlineStr">
        <is>
          <t>t0</t>
        </is>
      </c>
      <c r="C34" s="1734" t="inlineStr">
        <is>
          <t>End</t>
        </is>
      </c>
      <c r="D34" s="1735" t="inlineStr">
        <is>
          <t>Rate</t>
        </is>
      </c>
      <c r="E34" s="1736" t="inlineStr">
        <is>
          <t>End</t>
        </is>
      </c>
      <c r="F34" s="1737" t="inlineStr">
        <is>
          <t>Rate</t>
        </is>
      </c>
      <c r="G34" s="1738" t="inlineStr">
        <is>
          <t>(ha)</t>
        </is>
      </c>
      <c r="H34" s="1739" t="inlineStr">
        <is>
          <t>(ha)</t>
        </is>
      </c>
      <c r="I34" s="1738" t="inlineStr">
        <is>
          <t>tCO2</t>
        </is>
      </c>
      <c r="J34" s="1740" t="inlineStr">
        <is>
          <t>tCO2</t>
        </is>
      </c>
      <c r="K34" s="1738" t="inlineStr">
        <is>
          <t>tCO2</t>
        </is>
      </c>
      <c r="L34" s="1741" t="inlineStr">
        <is>
          <t>tCO2</t>
        </is>
      </c>
      <c r="M34" s="1738" t="inlineStr">
        <is>
          <t>tCO2</t>
        </is>
      </c>
      <c r="N34" s="1741" t="inlineStr">
        <is>
          <t>tCO2</t>
        </is>
      </c>
      <c r="O34" s="1738" t="inlineStr">
        <is>
          <t>tCO2-e</t>
        </is>
      </c>
      <c r="P34" s="1741" t="inlineStr">
        <is>
          <t>tCO2-e</t>
        </is>
      </c>
      <c r="Q34" s="1738" t="inlineStr">
        <is>
          <t>tCO2-e</t>
        </is>
      </c>
      <c r="R34" s="1741" t="inlineStr">
        <is>
          <t>tCO2-e</t>
        </is>
      </c>
      <c r="S34" s="1738" t="inlineStr">
        <is>
          <t>tCO2-e</t>
        </is>
      </c>
      <c r="T34" s="1741" t="inlineStr">
        <is>
          <t>tCO2-e</t>
        </is>
      </c>
      <c r="U34" s="1742" t="inlineStr">
        <is>
          <t>tCO2-e</t>
        </is>
      </c>
      <c r="X34" s="2522" t="inlineStr">
        <is>
          <t>Categories</t>
        </is>
      </c>
      <c r="Y34" s="2523" t="inlineStr">
        <is>
          <t>Total</t>
        </is>
      </c>
      <c r="Z34" s="2523" t="inlineStr">
        <is>
          <t>Implementation</t>
        </is>
      </c>
      <c r="AA34" s="2523" t="inlineStr">
        <is>
          <t>Capitalization</t>
        </is>
      </c>
    </row>
    <row r="35" ht="17" customHeight="1">
      <c r="A35" s="1166" t="inlineStr">
        <is>
          <t>Deforestation 1</t>
        </is>
      </c>
      <c r="B35" s="1423">
        <f>'2.LUC'!$M11</f>
        <v/>
      </c>
      <c r="C35" s="1423">
        <f>'2.LUC'!$N11</f>
        <v/>
      </c>
      <c r="D35" s="1184">
        <f>VLOOKUP('2.LUC'!$O11, list!$I$48:$J$50,2,FALSE )</f>
        <v/>
      </c>
      <c r="E35" s="1423">
        <f>'2.LUC'!$P11</f>
        <v/>
      </c>
      <c r="F35" s="1423">
        <f>VLOOKUP('2.LUC'!$Q11, list!$I$48:$J$50,2,FALSE )</f>
        <v/>
      </c>
      <c r="G35" s="1423">
        <f>IF($C35&gt;$B35,0, $B35-$C35)</f>
        <v/>
      </c>
      <c r="H35" s="1414">
        <f>IF($E35&gt;$B35,0, $B35-$E35)</f>
        <v/>
      </c>
      <c r="I35" s="2714">
        <f>$L23*($G35)</f>
        <v/>
      </c>
      <c r="J35" s="2715">
        <f>$H35*($L23)</f>
        <v/>
      </c>
      <c r="K35" s="2715">
        <f>IF($I35=0,0,IF('2.LUC'!$C11="Please select",0,-($G35*$J23*44/12)))</f>
        <v/>
      </c>
      <c r="L35" s="2715">
        <f>IF($J35=0,0,IF('2.LUC'!$C11="Please select",0,-($H35*$J23*44/12)))</f>
        <v/>
      </c>
      <c r="M35" s="2715">
        <f>$N23*($G35)</f>
        <v/>
      </c>
      <c r="N35" s="2715">
        <f>$N23*$H35</f>
        <v/>
      </c>
      <c r="O35" s="1152">
        <f>IF(ABS($Q23*(IF($D35="Immediate",IF($G35&gt;0, $G35*MIN(20,time_tot),0), $G35*IF(time_tot&gt;time+20, 20, IF(time_tot&lt;20,(time*VLOOKUP($D35, list!$J$48:$K$50,2,))+(time_tot-time),((MIN(20,time)*VLOOKUP($D35, list!$J$48:$K$50,2,)) + (time_tot-MIN(20,time))-IF($D35="Exponential",time_tot-20+0.217*time*(EXP(4.606*(20-time_tot)/time)-1),((time_tot-20)^2)*(0.5/time))))))))&gt;=ABS(G35*P23*-44/12), G35*P23*-44/12, $Q23*(IF($D35="Immediate",IF($G35&gt;0, $G35*MIN(20,time_tot),0), $G35*IF(time_tot&gt;time+20, 20, IF(time_tot&lt;20,(time*VLOOKUP($D35, list!$J$48:$K$50,2,))+(time_tot-time),((MIN(20,time)*VLOOKUP($D35, list!$J$48:$K$50,2,)) + (time_tot-MIN(20,time))-IF($D35="Exponential",time_tot-20+0.217*time*(EXP(4.606*(20-time_tot)/time)-1),((time_tot-20)^2)*(0.5/time))))))))</f>
        <v/>
      </c>
      <c r="P35" s="1152">
        <f>IF(ABS($Q23*(IF($F35="Immediate",IF($H35 &gt; 0, $H35*MIN(20,time_tot),0), $H35*IF(time_tot&gt;time+20,20,IF(time_tot&lt;20,(time*VLOOKUP($F35,  list!$J$48:$K$50,2,))+(time_tot-time),((MIN(20,time)*VLOOKUP($F35,list!$J$48:$K$50,2,))+ (time_tot-MIN(20,time))-IF(F35="Exponential",time_tot-20+0.217*time*(EXP(4.606*(20-time_tot)/time)-1),((time_tot-20)^2)*(0.5/time))))))))&gt;=ABS(H35*P23*-44/12),H35*P23*-44/12,$Q23*(IF($F35="Immediate",IF($H35 &gt; 0, $H35*MIN(20,time_tot),0), $H35*IF(time_tot&gt;time+20,20,IF(time_tot&lt;20,(time*VLOOKUP($F35,  list!$J$48:$K$50,2,))+(time_tot-time),((MIN(20,time)*VLOOKUP($F35,list!$J$48:$K$50,2,))+ (time_tot-MIN(20,time))-IF(F35="Exponential",time_tot-20+0.217*time*(EXP(4.606*(20-time_tot)/time)-1),((time_tot-20)^2)*(0.5/time))))))))</f>
        <v/>
      </c>
      <c r="Q35" s="2715">
        <f>$G35*$W23</f>
        <v/>
      </c>
      <c r="R35" s="2715">
        <f>$H35*$W23</f>
        <v/>
      </c>
      <c r="S35" s="2715">
        <f>I35+K35+M35+O35+Q35</f>
        <v/>
      </c>
      <c r="T35" s="2716">
        <f>J35+L35+N35+P35+R35</f>
        <v/>
      </c>
      <c r="U35" s="2722">
        <f>$T35-$S35</f>
        <v/>
      </c>
      <c r="X35" s="3524" t="inlineStr">
        <is>
          <t>CO2 Biomass</t>
        </is>
      </c>
      <c r="Y35" s="4650">
        <f>SUM(J35:J42)+ SUM(L35:L42)-SUM(I35:I42)-SUM(K35:K42)</f>
        <v/>
      </c>
      <c r="Z35" s="4651">
        <f>IF(time=0,0,Y35)</f>
        <v/>
      </c>
      <c r="AA35" s="4652">
        <f>Y35-Z35</f>
        <v/>
      </c>
    </row>
    <row r="36" ht="17" customHeight="1">
      <c r="A36" s="1167" t="inlineStr">
        <is>
          <t>Deforestation 2</t>
        </is>
      </c>
      <c r="B36" s="1423">
        <f>'2.LUC'!$M12</f>
        <v/>
      </c>
      <c r="C36" s="1423">
        <f>'2.LUC'!$N12</f>
        <v/>
      </c>
      <c r="D36" s="1184">
        <f>VLOOKUP('2.LUC'!$O12, list!$I$48:$J$50,2,FALSE )</f>
        <v/>
      </c>
      <c r="E36" s="1423">
        <f>'2.LUC'!$P12</f>
        <v/>
      </c>
      <c r="F36" s="1423">
        <f>VLOOKUP('2.LUC'!$Q12, list!$I$48:$J$50,2,FALSE )</f>
        <v/>
      </c>
      <c r="G36" s="1423">
        <f>IF($C36&gt;$B36,0, $B36-$C36)</f>
        <v/>
      </c>
      <c r="H36" s="1414">
        <f>IF($E36&gt;$B36,0, $B36-$E36)</f>
        <v/>
      </c>
      <c r="I36" s="2717">
        <f>$L24*($G36)</f>
        <v/>
      </c>
      <c r="J36" s="1152">
        <f>$H36*($L24)</f>
        <v/>
      </c>
      <c r="K36" s="1152">
        <f>IF($I36=0,0,IF('2.LUC'!$C12="Please select",0,-($G36*$J24*44/12)))</f>
        <v/>
      </c>
      <c r="L36" s="1152">
        <f>IF($J36=0,0,IF('2.LUC'!$C12="Please select",0,-($H36*$J24*44/12)))</f>
        <v/>
      </c>
      <c r="M36" s="1152">
        <f>$N24*($G36)</f>
        <v/>
      </c>
      <c r="N36" s="1152">
        <f>$N24*$H36</f>
        <v/>
      </c>
      <c r="O36" s="1152">
        <f>IF(ABS($Q24*(IF($D36="Immediate",IF($G36&gt;0, $G36*MIN(20,time_tot),0), $G36*IF(time_tot&gt;time+20, 20, IF(time_tot&lt;20,(time*VLOOKUP($D36, list!$J$48:$K$50,2,))+(time_tot-time),((MIN(20,time)*VLOOKUP($D36, list!$J$48:$K$50,2,)) + (time_tot-MIN(20,time))-IF($D36="Exponential",time_tot-20+0.217*time*(EXP(4.606*(20-time_tot)/time)-1),((time_tot-20)^2)*(0.5/time))))))))&gt;=ABS(G36*P24*-44/12), G36*P24*-44/12, $Q24*(IF($D36="Immediate",IF($G36&gt;0, $G36*MIN(20,time_tot),0), $G36*IF(time_tot&gt;time+20, 20, IF(time_tot&lt;20,(time*VLOOKUP($D36, list!$J$48:$K$50,2,))+(time_tot-time),((MIN(20,time)*VLOOKUP($D36, list!$J$48:$K$50,2,)) + (time_tot-MIN(20,time))-IF($D36="Exponential",time_tot-20+0.217*time*(EXP(4.606*(20-time_tot)/time)-1),((time_tot-20)^2)*(0.5/time))))))))</f>
        <v/>
      </c>
      <c r="P36" s="1152">
        <f>IF(ABS($Q24*(IF($F36="Immediate",IF($H36 &gt; 0, $H36*MIN(20,time_tot),0), $H36*IF(time_tot&gt;time+20,20,IF(time_tot&lt;20,(time*VLOOKUP($F36,  list!$J$48:$K$50,2,))+(time_tot-time),((MIN(20,time)*VLOOKUP($F36,list!$J$48:$K$50,2,))+ (time_tot-MIN(20,time))-IF(F36="Exponential",time_tot-20+0.217*time*(EXP(4.606*(20-time_tot)/time)-1),((time_tot-20)^2)*(0.5/time))))))))&gt;=ABS(H36*P24*-44/12),H36*P24*-44/12,$Q24*(IF($F36="Immediate",IF($H36 &gt; 0, $H36*MIN(20,time_tot),0), $H36*IF(time_tot&gt;time+20,20,IF(time_tot&lt;20,(time*VLOOKUP($F36,  list!$J$48:$K$50,2,))+(time_tot-time),((MIN(20,time)*VLOOKUP($F36,list!$J$48:$K$50,2,))+ (time_tot-MIN(20,time))-IF(F36="Exponential",time_tot-20+0.217*time*(EXP(4.606*(20-time_tot)/time)-1),((time_tot-20)^2)*(0.5/time))))))))</f>
        <v/>
      </c>
      <c r="Q36" s="1152">
        <f>$G36*$W24</f>
        <v/>
      </c>
      <c r="R36" s="1152">
        <f>$H36*$W24</f>
        <v/>
      </c>
      <c r="S36" s="1152">
        <f>I36+K36+M36+O36+Q36</f>
        <v/>
      </c>
      <c r="T36" s="2718">
        <f>J36+L36+N36+P36+R36</f>
        <v/>
      </c>
      <c r="U36" s="2723">
        <f>$T36-$S36</f>
        <v/>
      </c>
      <c r="X36" s="3524" t="inlineStr">
        <is>
          <t>CO2 DOM</t>
        </is>
      </c>
      <c r="Y36" s="4653">
        <f>SUM(N35:N42)-SUM(M35:M42)</f>
        <v/>
      </c>
      <c r="Z36" s="4654">
        <f>IF(time=0,0,Y36)</f>
        <v/>
      </c>
      <c r="AA36" s="2882">
        <f>Y36-Z36</f>
        <v/>
      </c>
    </row>
    <row r="37" ht="17" customHeight="1">
      <c r="A37" s="1167" t="inlineStr">
        <is>
          <t>Deforestation 3</t>
        </is>
      </c>
      <c r="B37" s="1423">
        <f>'2.LUC'!$M13</f>
        <v/>
      </c>
      <c r="C37" s="1423">
        <f>'2.LUC'!$N13</f>
        <v/>
      </c>
      <c r="D37" s="1184">
        <f>VLOOKUP('2.LUC'!$O13, list!$I$48:$J$50,2,FALSE )</f>
        <v/>
      </c>
      <c r="E37" s="1423">
        <f>'2.LUC'!$P13</f>
        <v/>
      </c>
      <c r="F37" s="1423">
        <f>VLOOKUP('2.LUC'!$Q13, list!$I$48:$J$50,2,FALSE )</f>
        <v/>
      </c>
      <c r="G37" s="1423">
        <f>IF($C37&gt;$B37,0, $B37-$C37)</f>
        <v/>
      </c>
      <c r="H37" s="1414">
        <f>IF($E37&gt;$B37,0, $B37-$E37)</f>
        <v/>
      </c>
      <c r="I37" s="2717">
        <f>$L25*($G37)</f>
        <v/>
      </c>
      <c r="J37" s="1152">
        <f>$H37*($L25)</f>
        <v/>
      </c>
      <c r="K37" s="1152">
        <f>IF($I37=0,0,IF('2.LUC'!$C13="Please select",0,-($G37*$J25*44/12)))</f>
        <v/>
      </c>
      <c r="L37" s="1152">
        <f>IF($J37=0,0,IF('2.LUC'!$C13="Please select",0,-($H37*$J25*44/12)))</f>
        <v/>
      </c>
      <c r="M37" s="1152">
        <f>$N25*($G37)</f>
        <v/>
      </c>
      <c r="N37" s="1152">
        <f>$N25*$H37</f>
        <v/>
      </c>
      <c r="O37" s="1152">
        <f>IF(ABS($Q25*(IF($D37="Immediate",IF($G37&gt;0, $G37*MIN(20,time_tot),0), $G37*IF(time_tot&gt;time+20, 20, IF(time_tot&lt;20,(time*VLOOKUP($D37, list!$J$48:$K$50,2,))+(time_tot-time),((MIN(20,time)*VLOOKUP($D37, list!$J$48:$K$50,2,)) + (time_tot-MIN(20,time))-IF($D37="Exponential",time_tot-20+0.217*time*(EXP(4.606*(20-time_tot)/time)-1),((time_tot-20)^2)*(0.5/time))))))))&gt;=ABS(G37*P25*-44/12), G37*P25*-44/12, $Q25*(IF($D37="Immediate",IF($G37&gt;0, $G37*MIN(20,time_tot),0), $G37*IF(time_tot&gt;time+20, 20, IF(time_tot&lt;20,(time*VLOOKUP($D37, list!$J$48:$K$50,2,))+(time_tot-time),((MIN(20,time)*VLOOKUP($D37, list!$J$48:$K$50,2,)) + (time_tot-MIN(20,time))-IF($D37="Exponential",time_tot-20+0.217*time*(EXP(4.606*(20-time_tot)/time)-1),((time_tot-20)^2)*(0.5/time))))))))</f>
        <v/>
      </c>
      <c r="P37" s="1152">
        <f>IF(ABS($Q25*(IF($F37="Immediate",IF($H37 &gt; 0, $H37*MIN(20,time_tot),0), $H37*IF(time_tot&gt;time+20,20,IF(time_tot&lt;20,(time*VLOOKUP($F37,  list!$J$48:$K$50,2,))+(time_tot-time),((MIN(20,time)*VLOOKUP($F37,list!$J$48:$K$50,2,))+ (time_tot-MIN(20,time))-IF(F37="Exponential",time_tot-20+0.217*time*(EXP(4.606*(20-time_tot)/time)-1),((time_tot-20)^2)*(0.5/time))))))))&gt;=ABS(H37*P25*-44/12),H37*P25*-44/12,$Q25*(IF($F37="Immediate",IF($H37 &gt; 0, $H37*MIN(20,time_tot),0), $H37*IF(time_tot&gt;time+20,20,IF(time_tot&lt;20,(time*VLOOKUP($F37,  list!$J$48:$K$50,2,))+(time_tot-time),((MIN(20,time)*VLOOKUP($F37,list!$J$48:$K$50,2,))+ (time_tot-MIN(20,time))-IF(F37="Exponential",time_tot-20+0.217*time*(EXP(4.606*(20-time_tot)/time)-1),((time_tot-20)^2)*(0.5/time))))))))</f>
        <v/>
      </c>
      <c r="Q37" s="1152">
        <f>$G37*$W25</f>
        <v/>
      </c>
      <c r="R37" s="1152">
        <f>$H37*$W25</f>
        <v/>
      </c>
      <c r="S37" s="1152">
        <f>I37+K37+M37+O37+Q37</f>
        <v/>
      </c>
      <c r="T37" s="2718">
        <f>J37+L37+N37+P37+R37</f>
        <v/>
      </c>
      <c r="U37" s="2723">
        <f>$T37-$S37</f>
        <v/>
      </c>
      <c r="V37" s="1324">
        <f>P23*H35*44/12</f>
        <v/>
      </c>
      <c r="X37" s="3524" t="inlineStr">
        <is>
          <t>CO2 soil</t>
        </is>
      </c>
      <c r="Y37" s="2883">
        <f>SUM(P35:P42)-SUM(O35:O42)</f>
        <v/>
      </c>
      <c r="Z37" s="2884">
        <f>IF(time=0,0,SUM(P35:P42)-SUM(O35:O42))</f>
        <v/>
      </c>
      <c r="AA37" s="2885">
        <f>Y37-Z37</f>
        <v/>
      </c>
    </row>
    <row r="38">
      <c r="A38" s="1167" t="inlineStr">
        <is>
          <t>Deforestation 4</t>
        </is>
      </c>
      <c r="B38" s="1423">
        <f>'2.LUC'!$M14</f>
        <v/>
      </c>
      <c r="C38" s="1423">
        <f>'2.LUC'!$N14</f>
        <v/>
      </c>
      <c r="D38" s="1184">
        <f>VLOOKUP('2.LUC'!$O14, list!$I$48:$J$50,2,FALSE )</f>
        <v/>
      </c>
      <c r="E38" s="1423">
        <f>'2.LUC'!$P14</f>
        <v/>
      </c>
      <c r="F38" s="1423">
        <f>VLOOKUP('2.LUC'!$Q14, list!$I$48:$J$50,2,FALSE )</f>
        <v/>
      </c>
      <c r="G38" s="1423">
        <f>IF($C38&gt;$B38,0, $B38-$C38)</f>
        <v/>
      </c>
      <c r="H38" s="1414">
        <f>IF($E38&gt;$B38,0, $B38-$E38)</f>
        <v/>
      </c>
      <c r="I38" s="2717">
        <f>$L26*($G38)</f>
        <v/>
      </c>
      <c r="J38" s="1152">
        <f>$H38*($L26)</f>
        <v/>
      </c>
      <c r="K38" s="1152">
        <f>IF($I38=0,0,IF('2.LUC'!$C14="Please select",0,-($G38*$J26*44/12)))</f>
        <v/>
      </c>
      <c r="L38" s="1152">
        <f>IF($J38=0,0,IF('2.LUC'!$C14="Please select",0,-($H38*$J26*44/12)))</f>
        <v/>
      </c>
      <c r="M38" s="1152">
        <f>$N26*($G38)</f>
        <v/>
      </c>
      <c r="N38" s="1152">
        <f>$N26*$H38</f>
        <v/>
      </c>
      <c r="O38" s="1152">
        <f>IF(ABS($Q26*(IF($D38="Immediate",IF($G38&gt;0, $G38*MIN(20,time_tot),0), $G38*IF(time_tot&gt;time+20, 20, IF(time_tot&lt;20,(time*VLOOKUP($D38, list!$J$48:$K$50,2,))+(time_tot-time),((MIN(20,time)*VLOOKUP($D38, list!$J$48:$K$50,2,)) + (time_tot-MIN(20,time))-IF($D38="Exponential",time_tot-20+0.217*time*(EXP(4.606*(20-time_tot)/time)-1),((time_tot-20)^2)*(0.5/time))))))))&gt;=ABS(G38*P26*-44/12), G38*P26*-44/12, $Q26*(IF($D38="Immediate",IF($G38&gt;0, $G38*MIN(20,time_tot),0), $G38*IF(time_tot&gt;time+20, 20, IF(time_tot&lt;20,(time*VLOOKUP($D38, list!$J$48:$K$50,2,))+(time_tot-time),((MIN(20,time)*VLOOKUP($D38, list!$J$48:$K$50,2,)) + (time_tot-MIN(20,time))-IF($D38="Exponential",time_tot-20+0.217*time*(EXP(4.606*(20-time_tot)/time)-1),((time_tot-20)^2)*(0.5/time))))))))</f>
        <v/>
      </c>
      <c r="P38" s="1152">
        <f>IF(ABS($Q26*(IF($F38="Immediate",IF($H38 &gt; 0, $H38*MIN(20,time_tot),0), $H38*IF(time_tot&gt;time+20,20,IF(time_tot&lt;20,(time*VLOOKUP($F38,  list!$J$48:$K$50,2,))+(time_tot-time),((MIN(20,time)*VLOOKUP($F38,list!$J$48:$K$50,2,))+ (time_tot-MIN(20,time))-IF(F38="Exponential",time_tot-20+0.217*time*(EXP(4.606*(20-time_tot)/time)-1),((time_tot-20)^2)*(0.5/time))))))))&gt;=ABS(H38*P26*-44/12),H38*P26*-44/12,$Q26*(IF($F38="Immediate",IF($H38 &gt; 0, $H38*MIN(20,time_tot),0), $H38*IF(time_tot&gt;time+20,20,IF(time_tot&lt;20,(time*VLOOKUP($F38,  list!$J$48:$K$50,2,))+(time_tot-time),((MIN(20,time)*VLOOKUP($F38,list!$J$48:$K$50,2,))+ (time_tot-MIN(20,time))-IF(F38="Exponential",time_tot-20+0.217*time*(EXP(4.606*(20-time_tot)/time)-1),((time_tot-20)^2)*(0.5/time))))))))</f>
        <v/>
      </c>
      <c r="Q38" s="1152">
        <f>$G38*$W26</f>
        <v/>
      </c>
      <c r="R38" s="1152">
        <f>$H38*$W26</f>
        <v/>
      </c>
      <c r="S38" s="1152">
        <f>I38+K38+M38+O38+Q38</f>
        <v/>
      </c>
      <c r="T38" s="2718">
        <f>J38+L38+N38+P38+R38</f>
        <v/>
      </c>
      <c r="U38" s="2723">
        <f>$T38-$S38</f>
        <v/>
      </c>
      <c r="X38" s="3524" t="inlineStr">
        <is>
          <t>CH4 fire</t>
        </is>
      </c>
      <c r="Y38" s="2883">
        <f>SUM(AA23:AA30)-SUM(Z23:Z30)</f>
        <v/>
      </c>
      <c r="Z38" s="2884">
        <f>IF(time=0, 0, Y38)</f>
        <v/>
      </c>
      <c r="AA38" s="2885">
        <f>Y38-Z38</f>
        <v/>
      </c>
    </row>
    <row r="39" ht="17" customHeight="1">
      <c r="A39" s="1167" t="inlineStr">
        <is>
          <t>Deforestation 5</t>
        </is>
      </c>
      <c r="B39" s="1423">
        <f>'2.LUC'!$M15</f>
        <v/>
      </c>
      <c r="C39" s="1423">
        <f>'2.LUC'!$N15</f>
        <v/>
      </c>
      <c r="D39" s="1184">
        <f>VLOOKUP('2.LUC'!$O15, list!$I$48:$J$50,2,FALSE )</f>
        <v/>
      </c>
      <c r="E39" s="1423">
        <f>'2.LUC'!$P15</f>
        <v/>
      </c>
      <c r="F39" s="1423">
        <f>VLOOKUP('2.LUC'!$Q15, list!$I$48:$J$50,2,FALSE )</f>
        <v/>
      </c>
      <c r="G39" s="1423">
        <f>IF($C39&gt;$B39,0, $B39-$C39)</f>
        <v/>
      </c>
      <c r="H39" s="1414">
        <f>IF($E39&gt;$B39,0, $B39-$E39)</f>
        <v/>
      </c>
      <c r="I39" s="2717">
        <f>$L27*($G39)</f>
        <v/>
      </c>
      <c r="J39" s="1152">
        <f>$H39*($L27)</f>
        <v/>
      </c>
      <c r="K39" s="1152">
        <f>IF($I39=0,0,IF('2.LUC'!$C15="Please select",0,-($G39*$J27*44/12)))</f>
        <v/>
      </c>
      <c r="L39" s="1152">
        <f>IF($J39=0,0,IF('2.LUC'!$C15="Please select",0,-($H39*$J27*44/12)))</f>
        <v/>
      </c>
      <c r="M39" s="1152">
        <f>$N27*($G39)</f>
        <v/>
      </c>
      <c r="N39" s="1152">
        <f>$N27*$H39</f>
        <v/>
      </c>
      <c r="O39" s="1152">
        <f>IF(ABS($Q27*(IF($D39="Immediate",IF($G39&gt;0, $G39*MIN(20,time_tot),0), $G39*IF(time_tot&gt;time+20, 20, IF(time_tot&lt;20,(time*VLOOKUP($D39, list!$J$48:$K$50,2,))+(time_tot-time),((MIN(20,time)*VLOOKUP($D39, list!$J$48:$K$50,2,)) + (time_tot-MIN(20,time))-IF($D39="Exponential",time_tot-20+0.217*time*(EXP(4.606*(20-time_tot)/time)-1),((time_tot-20)^2)*(0.5/time))))))))&gt;=ABS(G39*P27*-44/12), G39*P27*-44/12, $Q27*(IF($D39="Immediate",IF($G39&gt;0, $G39*MIN(20,time_tot),0), $G39*IF(time_tot&gt;time+20, 20, IF(time_tot&lt;20,(time*VLOOKUP($D39, list!$J$48:$K$50,2,))+(time_tot-time),((MIN(20,time)*VLOOKUP($D39, list!$J$48:$K$50,2,)) + (time_tot-MIN(20,time))-IF($D39="Exponential",time_tot-20+0.217*time*(EXP(4.606*(20-time_tot)/time)-1),((time_tot-20)^2)*(0.5/time))))))))</f>
        <v/>
      </c>
      <c r="P39" s="1152">
        <f>IF(ABS($Q27*(IF($F39="Immediate",IF($H39 &gt; 0, $H39*MIN(20,time_tot),0), $H39*IF(time_tot&gt;time+20,20,IF(time_tot&lt;20,(time*VLOOKUP($F39,  list!$J$48:$K$50,2,))+(time_tot-time),((MIN(20,time)*VLOOKUP($F39,list!$J$48:$K$50,2,))+ (time_tot-MIN(20,time))-IF(F39="Exponential",time_tot-20+0.217*time*(EXP(4.606*(20-time_tot)/time)-1),((time_tot-20)^2)*(0.5/time))))))))&gt;=ABS(H39*P27*-44/12),H39*P27*-44/12,$Q27*(IF($F39="Immediate",IF($H39 &gt; 0, $H39*MIN(20,time_tot),0), $H39*IF(time_tot&gt;time+20,20,IF(time_tot&lt;20,(time*VLOOKUP($F39,  list!$J$48:$K$50,2,))+(time_tot-time),((MIN(20,time)*VLOOKUP($F39,list!$J$48:$K$50,2,))+ (time_tot-MIN(20,time))-IF(F39="Exponential",time_tot-20+0.217*time*(EXP(4.606*(20-time_tot)/time)-1),((time_tot-20)^2)*(0.5/time))))))))</f>
        <v/>
      </c>
      <c r="Q39" s="1152">
        <f>$G39*$W27</f>
        <v/>
      </c>
      <c r="R39" s="1152">
        <f>$H39*$W27</f>
        <v/>
      </c>
      <c r="S39" s="1152">
        <f>I39+K39+M39+O39+Q39</f>
        <v/>
      </c>
      <c r="T39" s="2718">
        <f>J39+L39+N39+P39+R39</f>
        <v/>
      </c>
      <c r="U39" s="2723">
        <f>$T39-$S39</f>
        <v/>
      </c>
      <c r="X39" s="3524" t="inlineStr">
        <is>
          <t>N2O fire</t>
        </is>
      </c>
      <c r="Y39" s="2883">
        <f>SUM(AC23:AC30)-SUM(AB23:AB30)</f>
        <v/>
      </c>
      <c r="Z39" s="2884">
        <f>IF(time=0, 0, Y39)</f>
        <v/>
      </c>
      <c r="AA39" s="2885">
        <f>Y39-Z39</f>
        <v/>
      </c>
    </row>
    <row r="40">
      <c r="A40" s="1167" t="inlineStr">
        <is>
          <t>Deforestation 6</t>
        </is>
      </c>
      <c r="B40" s="1423">
        <f>'2.LUC'!$M16</f>
        <v/>
      </c>
      <c r="C40" s="1423">
        <f>'2.LUC'!$N16</f>
        <v/>
      </c>
      <c r="D40" s="1184">
        <f>VLOOKUP('2.LUC'!$O16, list!$I$48:$J$50,2,FALSE )</f>
        <v/>
      </c>
      <c r="E40" s="1423">
        <f>'2.LUC'!$P16</f>
        <v/>
      </c>
      <c r="F40" s="1423">
        <f>VLOOKUP('2.LUC'!$Q16, list!$I$48:$J$50,2,FALSE )</f>
        <v/>
      </c>
      <c r="G40" s="1423">
        <f>IF($C40&gt;$B40,0, $B40-$C40)</f>
        <v/>
      </c>
      <c r="H40" s="1414">
        <f>IF($E40&gt;$B40,0, $B40-$E40)</f>
        <v/>
      </c>
      <c r="I40" s="2717">
        <f>$L28*($G40)</f>
        <v/>
      </c>
      <c r="J40" s="1152">
        <f>$H40*($L28)</f>
        <v/>
      </c>
      <c r="K40" s="1152">
        <f>IF($I40=0,0,IF('2.LUC'!$C16="Please select",0,-($G40*$J28*44/12)))</f>
        <v/>
      </c>
      <c r="L40" s="1152">
        <f>IF($J40=0,0,IF('2.LUC'!$C16="Please select",0,-($H40*$J28*44/12)))</f>
        <v/>
      </c>
      <c r="M40" s="1152">
        <f>$N28*($G40)</f>
        <v/>
      </c>
      <c r="N40" s="1152">
        <f>$N28*$H40</f>
        <v/>
      </c>
      <c r="O40" s="1152">
        <f>IF(ABS($Q28*(IF($D40="Immediate",IF($G40&gt;0, $G40*MIN(20,time_tot),0), $G40*IF(time_tot&gt;time+20, 20, IF(time_tot&lt;20,(time*VLOOKUP($D40, list!$J$48:$K$50,2,))+(time_tot-time),((MIN(20,time)*VLOOKUP($D40, list!$J$48:$K$50,2,)) + (time_tot-MIN(20,time))-IF($D40="Exponential",time_tot-20+0.217*time*(EXP(4.606*(20-time_tot)/time)-1),((time_tot-20)^2)*(0.5/time))))))))&gt;=ABS(G40*P28*-44/12), G40*P28*-44/12, $Q28*(IF($D40="Immediate",IF($G40&gt;0, $G40*MIN(20,time_tot),0), $G40*IF(time_tot&gt;time+20, 20, IF(time_tot&lt;20,(time*VLOOKUP($D40, list!$J$48:$K$50,2,))+(time_tot-time),((MIN(20,time)*VLOOKUP($D40, list!$J$48:$K$50,2,)) + (time_tot-MIN(20,time))-IF($D40="Exponential",time_tot-20+0.217*time*(EXP(4.606*(20-time_tot)/time)-1),((time_tot-20)^2)*(0.5/time))))))))</f>
        <v/>
      </c>
      <c r="P40" s="1152">
        <f>IF(ABS($Q28*(IF($F40="Immediate",IF($H40 &gt; 0, $H40*MIN(20,time_tot),0), $H40*IF(time_tot&gt;time+20,20,IF(time_tot&lt;20,(time*VLOOKUP($F40,  list!$J$48:$K$50,2,))+(time_tot-time),((MIN(20,time)*VLOOKUP($F40,list!$J$48:$K$50,2,))+ (time_tot-MIN(20,time))-IF(F40="Exponential",time_tot-20+0.217*time*(EXP(4.606*(20-time_tot)/time)-1),((time_tot-20)^2)*(0.5/time))))))))&gt;=ABS(H40*P28*-44/12),H40*P28*-44/12,$Q28*(IF($F40="Immediate",IF($H40 &gt; 0, $H40*MIN(20,time_tot),0), $H40*IF(time_tot&gt;time+20,20,IF(time_tot&lt;20,(time*VLOOKUP($F40,  list!$J$48:$K$50,2,))+(time_tot-time),((MIN(20,time)*VLOOKUP($F40,list!$J$48:$K$50,2,))+ (time_tot-MIN(20,time))-IF(F40="Exponential",time_tot-20+0.217*time*(EXP(4.606*(20-time_tot)/time)-1),((time_tot-20)^2)*(0.5/time))))))))</f>
        <v/>
      </c>
      <c r="Q40" s="1152">
        <f>$G40*$W28</f>
        <v/>
      </c>
      <c r="R40" s="1152">
        <f>$H40*$W28</f>
        <v/>
      </c>
      <c r="S40" s="1152">
        <f>I40+K40+M40+O40+Q40</f>
        <v/>
      </c>
      <c r="T40" s="2718">
        <f>J40+L40+N40+P40+R40</f>
        <v/>
      </c>
      <c r="U40" s="2723">
        <f>$T40-$S40</f>
        <v/>
      </c>
      <c r="X40" s="3524" t="inlineStr">
        <is>
          <t>N2O SOM</t>
        </is>
      </c>
      <c r="Y40" s="4034">
        <f>SUM(AE23:AE30)-SUM(AD23:AD30)</f>
        <v/>
      </c>
      <c r="Z40" s="4035">
        <f>IF(time=0, 0, Y40)</f>
        <v/>
      </c>
      <c r="AA40" s="4036">
        <f>Y40-Z40</f>
        <v/>
      </c>
    </row>
    <row r="41">
      <c r="A41" s="1167" t="inlineStr">
        <is>
          <t>Deforestation 7</t>
        </is>
      </c>
      <c r="B41" s="1423">
        <f>'2.LUC'!$M17</f>
        <v/>
      </c>
      <c r="C41" s="1423">
        <f>'2.LUC'!$N17</f>
        <v/>
      </c>
      <c r="D41" s="1184">
        <f>VLOOKUP('2.LUC'!$O17, list!$I$48:$J$50,2,FALSE )</f>
        <v/>
      </c>
      <c r="E41" s="1423">
        <f>'2.LUC'!$P17</f>
        <v/>
      </c>
      <c r="F41" s="1423">
        <f>VLOOKUP('2.LUC'!$Q17, list!$I$48:$J$50,2,FALSE )</f>
        <v/>
      </c>
      <c r="G41" s="1423">
        <f>IF($C41&gt;$B41,0, $B41-$C41)</f>
        <v/>
      </c>
      <c r="H41" s="1414">
        <f>IF($E41&gt;$B41,0, $B41-$E41)</f>
        <v/>
      </c>
      <c r="I41" s="2717">
        <f>$L29*($G41)</f>
        <v/>
      </c>
      <c r="J41" s="1152">
        <f>$H41*($L29)</f>
        <v/>
      </c>
      <c r="K41" s="1152">
        <f>IF($I41=0,0,IF('2.LUC'!$C17="Please select",0,-($G41*$J29*44/12)))</f>
        <v/>
      </c>
      <c r="L41" s="1152">
        <f>IF($J41=0,0,IF('2.LUC'!$C17="Please select",0,-($H41*$J29*44/12)))</f>
        <v/>
      </c>
      <c r="M41" s="1152">
        <f>$N29*($G41)</f>
        <v/>
      </c>
      <c r="N41" s="1152">
        <f>$N29*$H41</f>
        <v/>
      </c>
      <c r="O41" s="1152">
        <f>IF(ABS($Q29*(IF($D41="Immediate",IF($G41&gt;0, $G41*MIN(20,time_tot),0), $G41*IF(time_tot&gt;time+20, 20, IF(time_tot&lt;20,(time*VLOOKUP($D41, list!$J$48:$K$50,2,))+(time_tot-time),((MIN(20,time)*VLOOKUP($D41, list!$J$48:$K$50,2,)) + (time_tot-MIN(20,time))-IF($D41="Exponential",time_tot-20+0.217*time*(EXP(4.606*(20-time_tot)/time)-1),((time_tot-20)^2)*(0.5/time))))))))&gt;=ABS(G41*P29*-44/12), G41*P29*-44/12, $Q29*(IF($D41="Immediate",IF($G41&gt;0, $G41*MIN(20,time_tot),0), $G41*IF(time_tot&gt;time+20, 20, IF(time_tot&lt;20,(time*VLOOKUP($D41, list!$J$48:$K$50,2,))+(time_tot-time),((MIN(20,time)*VLOOKUP($D41, list!$J$48:$K$50,2,)) + (time_tot-MIN(20,time))-IF($D41="Exponential",time_tot-20+0.217*time*(EXP(4.606*(20-time_tot)/time)-1),((time_tot-20)^2)*(0.5/time))))))))</f>
        <v/>
      </c>
      <c r="P41" s="1152">
        <f>IF(ABS($Q29*(IF($F41="Immediate",IF($H41 &gt; 0, $H41*MIN(20,time_tot),0), $H41*IF(time_tot&gt;time+20,20,IF(time_tot&lt;20,(time*VLOOKUP($F41,  list!$J$48:$K$50,2,))+(time_tot-time),((MIN(20,time)*VLOOKUP($F41,list!$J$48:$K$50,2,))+ (time_tot-MIN(20,time))-IF(F41="Exponential",time_tot-20+0.217*time*(EXP(4.606*(20-time_tot)/time)-1),((time_tot-20)^2)*(0.5/time))))))))&gt;=ABS(H41*P29*-44/12),H41*P29*-44/12,$Q29*(IF($F41="Immediate",IF($H41 &gt; 0, $H41*MIN(20,time_tot),0), $H41*IF(time_tot&gt;time+20,20,IF(time_tot&lt;20,(time*VLOOKUP($F41,  list!$J$48:$K$50,2,))+(time_tot-time),((MIN(20,time)*VLOOKUP($F41,list!$J$48:$K$50,2,))+ (time_tot-MIN(20,time))-IF(F41="Exponential",time_tot-20+0.217*time*(EXP(4.606*(20-time_tot)/time)-1),((time_tot-20)^2)*(0.5/time))))))))</f>
        <v/>
      </c>
      <c r="Q41" s="1152">
        <f>$G41*$W29</f>
        <v/>
      </c>
      <c r="R41" s="1152">
        <f>$H41*$W29</f>
        <v/>
      </c>
      <c r="S41" s="1152">
        <f>I41+K41+M41+O41+Q41</f>
        <v/>
      </c>
      <c r="T41" s="2718">
        <f>J41+L41+N41+P41+R41</f>
        <v/>
      </c>
      <c r="U41" s="2723">
        <f>$T41-$S41</f>
        <v/>
      </c>
      <c r="X41" s="3563" t="inlineStr">
        <is>
          <t xml:space="preserve">Total </t>
        </is>
      </c>
      <c r="Y41" s="4655">
        <f>SUM(Y35:Y40)</f>
        <v/>
      </c>
      <c r="Z41" s="4656">
        <f>SUM(Z35:Z40)</f>
        <v/>
      </c>
      <c r="AA41" s="4657">
        <f>SUM(AA35:AA40)</f>
        <v/>
      </c>
    </row>
    <row r="42">
      <c r="A42" s="1169" t="inlineStr">
        <is>
          <t>Deforestation 8</t>
        </is>
      </c>
      <c r="B42" s="1709">
        <f>'2.LUC'!$M18</f>
        <v/>
      </c>
      <c r="C42" s="1709">
        <f>'2.LUC'!$N18</f>
        <v/>
      </c>
      <c r="D42" s="1185">
        <f>VLOOKUP('2.LUC'!$O18, list!$I$48:$J$50,2,FALSE )</f>
        <v/>
      </c>
      <c r="E42" s="1709">
        <f>'2.LUC'!$P18</f>
        <v/>
      </c>
      <c r="F42" s="1709">
        <f>VLOOKUP('2.LUC'!$Q18, list!$I$48:$J$50,2,FALSE )</f>
        <v/>
      </c>
      <c r="G42" s="1709">
        <f>IF($C42&gt;$B42,0, $B42-$C42)</f>
        <v/>
      </c>
      <c r="H42" s="1710">
        <f>IF($E42&gt;$B42,0, $B42-$E42)</f>
        <v/>
      </c>
      <c r="I42" s="2719">
        <f>$L30*($G42)</f>
        <v/>
      </c>
      <c r="J42" s="2720">
        <f>$H42*($L30)</f>
        <v/>
      </c>
      <c r="K42" s="2720">
        <f>IF($I42=0,0,IF('2.LUC'!$C18="Please select",0,-($G42*$J30*44/12)))</f>
        <v/>
      </c>
      <c r="L42" s="2720">
        <f>IF($J42=0,0,IF('2.LUC'!$C18="Please select",0,-($H42*$J30*44/12)))</f>
        <v/>
      </c>
      <c r="M42" s="2720">
        <f>$N30*($G42)</f>
        <v/>
      </c>
      <c r="N42" s="2720">
        <f>$N30*$H42</f>
        <v/>
      </c>
      <c r="O42" s="2720">
        <f>IF(ABS($Q30*(IF($D42="Immediate",IF($G42&gt;0, $G42*MIN(20,time_tot),0), $G42*IF(time_tot&gt;time+20, 20, IF(time_tot&lt;20,(time*VLOOKUP($D42, list!$J$48:$K$50,2,))+(time_tot-time),((MIN(20,time)*VLOOKUP($D42, list!$J$48:$K$50,2,)) + (time_tot-MIN(20,time))-IF($D42="Exponential",time_tot-20+0.217*time*(EXP(4.606*(20-time_tot)/time)-1),((time_tot-20)^2)*(0.5/time))))))))&gt;=ABS(G42*P30*-44/12), G42*P30*-44/12, $Q30*(IF($D42="Immediate",IF($G42&gt;0, $G42*MIN(20,time_tot),0), $G42*IF(time_tot&gt;time+20, 20, IF(time_tot&lt;20,(time*VLOOKUP($D42, list!$J$48:$K$50,2,))+(time_tot-time),((MIN(20,time)*VLOOKUP($D42, list!$J$48:$K$50,2,)) + (time_tot-MIN(20,time))-IF($D42="Exponential",time_tot-20+0.217*time*(EXP(4.606*(20-time_tot)/time)-1),((time_tot-20)^2)*(0.5/time))))))))</f>
        <v/>
      </c>
      <c r="P42" s="2720">
        <f>IF(ABS($Q30*(IF($F42="Immediate",IF($H42 &gt; 0, $H42*MIN(20,time_tot),0), $H42*IF(time_tot&gt;time+20,20,IF(time_tot&lt;20,(time*VLOOKUP($F42,  list!$J$48:$K$50,2,))+(time_tot-time),((MIN(20,time)*VLOOKUP($F42,list!$J$48:$K$50,2,))+ (time_tot-MIN(20,time))-IF(F42="Exponential",time_tot-20+0.217*time*(EXP(4.606*(20-time_tot)/time)-1),((time_tot-20)^2)*(0.5/time))))))))&gt;=ABS(H42*P30*-44/12),H42*P30*-44/12,$Q30*(IF($F42="Immediate",IF($H42 &gt; 0, $H42*MIN(20,time_tot),0), $H42*IF(time_tot&gt;time+20,20,IF(time_tot&lt;20,(time*VLOOKUP($F42,  list!$J$48:$K$50,2,))+(time_tot-time),((MIN(20,time)*VLOOKUP($F42,list!$J$48:$K$50,2,))+ (time_tot-MIN(20,time))-IF(F42="Exponential",time_tot-20+0.217*time*(EXP(4.606*(20-time_tot)/time)-1),((time_tot-20)^2)*(0.5/time))))))))</f>
        <v/>
      </c>
      <c r="Q42" s="2720">
        <f>$G42*$W30</f>
        <v/>
      </c>
      <c r="R42" s="2720">
        <f>$H42*$W30</f>
        <v/>
      </c>
      <c r="S42" s="2720">
        <f>I42+K42+M42+O42+Q42</f>
        <v/>
      </c>
      <c r="T42" s="2721">
        <f>J42+L42+N42+P42+R42</f>
        <v/>
      </c>
      <c r="U42" s="2724">
        <f>$T42-$S42</f>
        <v/>
      </c>
    </row>
    <row r="44">
      <c r="M44" s="4658" t="n"/>
      <c r="Q44" s="1163" t="n"/>
      <c r="R44" s="2564" t="inlineStr">
        <is>
          <t>Total deforestation</t>
        </is>
      </c>
      <c r="S44" s="2563">
        <f>SUM(S35:S42)</f>
        <v/>
      </c>
      <c r="T44" s="2563">
        <f>SUM(T35:T42)</f>
        <v/>
      </c>
      <c r="U44" s="2563">
        <f>SUM(U35:U42)</f>
        <v/>
      </c>
    </row>
    <row r="46" ht="16" customHeight="1">
      <c r="S46" s="3158" t="n"/>
      <c r="T46" s="3159" t="inlineStr">
        <is>
          <t>TEST TIER 2 biomass</t>
        </is>
      </c>
      <c r="U46" s="3160">
        <f>SUM('2.LUC'!AT11:AT18,'2.LUC'!AW11:AW18)</f>
        <v/>
      </c>
    </row>
    <row r="48" ht="16" customHeight="1">
      <c r="S48" s="1536" t="n"/>
      <c r="T48" s="3161" t="n"/>
      <c r="U48" s="3162" t="n"/>
    </row>
  </sheetData>
  <mergeCells count="1">
    <mergeCell ref="I32:J32"/>
  </mergeCells>
  <pageMargins left="0.7" right="0.7" top="0.75" bottom="0.75" header="0.3" footer="0.3"/>
  <pageSetup orientation="portrait" paperSize="9" horizontalDpi="300" verticalDpi="300"/>
  <legacyDrawing r:id="anysvml"/>
</worksheet>
</file>

<file path=xl/worksheets/sheet5.xml><?xml version="1.0" encoding="utf-8"?>
<worksheet xmlns:r="http://schemas.openxmlformats.org/officeDocument/2006/relationships" xmlns="http://schemas.openxmlformats.org/spreadsheetml/2006/main">
  <sheetPr codeName="Sheet17">
    <tabColor theme="9" tint="0.7999816888943144"/>
    <outlinePr summaryBelow="1" summaryRight="1"/>
    <pageSetUpPr/>
  </sheetPr>
  <dimension ref="A2:AF56"/>
  <sheetViews>
    <sheetView zoomScale="85" zoomScaleNormal="85" workbookViewId="0">
      <selection activeCell="O24" sqref="O24"/>
    </sheetView>
  </sheetViews>
  <sheetFormatPr baseColWidth="10" defaultColWidth="8.6640625" defaultRowHeight="15"/>
  <cols>
    <col width="8.6640625" customWidth="1" style="284" min="1" max="1"/>
    <col width="3.5" customWidth="1" style="284" min="2" max="2"/>
    <col width="16.5" customWidth="1" style="284" min="3" max="3"/>
    <col width="12.5" bestFit="1" customWidth="1" style="284" min="4" max="4"/>
    <col width="25.5" customWidth="1" style="284" min="5" max="5"/>
    <col width="15.33203125" customWidth="1" style="284" min="6" max="6"/>
    <col width="15.5" bestFit="1" customWidth="1" style="284" min="7" max="7"/>
    <col width="17.6640625" bestFit="1" customWidth="1" style="284" min="8" max="8"/>
    <col width="15.5" bestFit="1" customWidth="1" style="284" min="9" max="9"/>
    <col width="16.6640625" bestFit="1" customWidth="1" style="284" min="10" max="10"/>
    <col width="15.5" bestFit="1" customWidth="1" style="284" min="11" max="11"/>
    <col width="17.5" customWidth="1" style="284" min="12" max="12"/>
    <col width="16.5" customWidth="1" style="284" min="13" max="13"/>
    <col width="16.6640625" customWidth="1" style="284" min="14" max="14"/>
    <col width="17.5" customWidth="1" style="284" min="15" max="15"/>
    <col width="11.5" customWidth="1" style="284" min="16" max="16"/>
    <col width="10.5" customWidth="1" style="284" min="17" max="17"/>
    <col width="8.6640625" customWidth="1" style="284" min="18" max="18"/>
    <col width="15.6640625" customWidth="1" style="284" min="19" max="19"/>
    <col width="16.5" bestFit="1" customWidth="1" style="284" min="20" max="20"/>
    <col width="16.5" customWidth="1" style="284" min="21" max="21"/>
    <col width="15.33203125" bestFit="1" customWidth="1" style="284" min="22" max="22"/>
    <col width="8.6640625" customWidth="1" style="284" min="23" max="24"/>
    <col width="11.5" customWidth="1" style="284" min="25" max="25"/>
    <col width="8.6640625" customWidth="1" style="284" min="26" max="28"/>
    <col width="12.5" customWidth="1" style="284" min="29" max="29"/>
    <col width="19.6640625" customWidth="1" style="284" min="30" max="30"/>
    <col width="14.33203125" customWidth="1" style="284" min="31" max="31"/>
    <col width="16.5" customWidth="1" style="284" min="32" max="32"/>
    <col width="8.6640625" customWidth="1" style="284" min="33" max="34"/>
    <col width="12.5" bestFit="1" customWidth="1" style="284" min="35" max="35"/>
    <col width="8.6640625" customWidth="1" style="284" min="36" max="36"/>
    <col width="15.5" bestFit="1" customWidth="1" style="284" min="37" max="37"/>
    <col width="13.5" bestFit="1" customWidth="1" style="284" min="38" max="38"/>
    <col width="12.5" bestFit="1" customWidth="1" style="284" min="39" max="39"/>
    <col width="8.6640625" customWidth="1" style="284" min="40" max="40"/>
    <col width="15.5" bestFit="1" customWidth="1" style="284" min="41" max="41"/>
    <col width="13.5" bestFit="1" customWidth="1" style="284" min="42" max="42"/>
    <col width="8.6640625" customWidth="1" style="284" min="43" max="16384"/>
  </cols>
  <sheetData>
    <row r="1" ht="29.25" customFormat="1" customHeight="1" s="2813"/>
    <row r="2" ht="59" customFormat="1" customHeight="1" s="2814">
      <c r="A2" s="872" t="n"/>
      <c r="B2" s="3539" t="n"/>
      <c r="C2" s="1086" t="inlineStr">
        <is>
          <t>2.3 Other land-use and cropland management changes</t>
        </is>
      </c>
      <c r="D2" s="3539" t="n"/>
      <c r="E2" s="3539" t="n"/>
      <c r="F2" s="3539" t="n"/>
      <c r="G2" s="3539" t="n"/>
      <c r="H2" s="872" t="n"/>
      <c r="I2" s="872" t="n"/>
      <c r="J2" s="872" t="n"/>
      <c r="K2" s="872" t="n"/>
      <c r="L2" s="872" t="n"/>
      <c r="M2" s="872" t="n"/>
      <c r="N2" s="872" t="n"/>
      <c r="O2" s="872" t="n"/>
      <c r="P2" s="872" t="n"/>
      <c r="Q2" s="872" t="n"/>
      <c r="R2" s="872" t="n"/>
      <c r="S2" s="872" t="n"/>
      <c r="T2" s="872" t="n"/>
      <c r="U2" s="872" t="n"/>
      <c r="V2" s="872" t="n"/>
      <c r="W2" s="872" t="n"/>
      <c r="X2" s="872" t="n"/>
      <c r="Y2" s="872" t="n"/>
      <c r="Z2" s="872" t="n"/>
      <c r="AA2" s="872" t="n"/>
      <c r="AB2" s="2813" t="n"/>
      <c r="AC2" s="2813" t="n"/>
      <c r="AD2" s="2813" t="n"/>
      <c r="AE2" s="2813" t="n"/>
      <c r="AF2" s="2813" t="n"/>
    </row>
    <row r="3" ht="24" customFormat="1" customHeight="1" s="2814">
      <c r="A3" s="2815" t="n"/>
      <c r="C3" s="2814" t="inlineStr">
        <is>
          <t>changes in biomass refer to the first year in which the land use change occurs</t>
        </is>
      </c>
    </row>
    <row r="4" ht="15" customFormat="1" customHeight="1" s="2814">
      <c r="S4" s="2855" t="inlineStr">
        <is>
          <t>Categories</t>
        </is>
      </c>
      <c r="T4" s="2856" t="inlineStr">
        <is>
          <t>Total</t>
        </is>
      </c>
      <c r="U4" s="2856" t="inlineStr">
        <is>
          <t>Implementation</t>
        </is>
      </c>
      <c r="V4" s="2856" t="inlineStr">
        <is>
          <t>Capitalization</t>
        </is>
      </c>
      <c r="AB4" s="284" t="n"/>
    </row>
    <row r="5" ht="15" customFormat="1" customHeight="1" s="2814">
      <c r="S5" s="2853" t="inlineStr">
        <is>
          <t>CO2 Biomass</t>
        </is>
      </c>
      <c r="T5" s="2868">
        <f>SUM(H41:H50)-SUM(G41:G50)</f>
        <v/>
      </c>
      <c r="U5" s="2869">
        <f>IF(time=0,0,T5)</f>
        <v/>
      </c>
      <c r="V5" s="2870">
        <f>T5-U5</f>
        <v/>
      </c>
      <c r="AB5" s="284" t="n"/>
    </row>
    <row r="6">
      <c r="B6" s="2819" t="n"/>
      <c r="C6" s="2819" t="n"/>
      <c r="D6" s="2819" t="n"/>
      <c r="E6" s="2819" t="n"/>
      <c r="F6" s="2819" t="n"/>
      <c r="G6" s="2819" t="n"/>
      <c r="H6" s="2820" t="inlineStr">
        <is>
          <t>Biomass (tC/ha)</t>
        </is>
      </c>
      <c r="I6" s="921" t="n"/>
      <c r="J6" s="2819" t="n"/>
      <c r="K6" s="921" t="n"/>
      <c r="L6" s="2820" t="inlineStr">
        <is>
          <t>SOC (tC/ha)</t>
        </is>
      </c>
      <c r="M6" s="921" t="n"/>
      <c r="N6" s="2819" t="n"/>
      <c r="O6" s="921" t="n"/>
      <c r="S6" s="2853" t="inlineStr">
        <is>
          <t>CO2 soil</t>
        </is>
      </c>
      <c r="T6" s="2871">
        <f>SUM(J41:J50)-SUM(I41:I50)</f>
        <v/>
      </c>
      <c r="U6" s="2872">
        <f>SUM(X24:X33)-SUM(W24:W33)</f>
        <v/>
      </c>
      <c r="V6" s="2873">
        <f>T6-U6</f>
        <v/>
      </c>
    </row>
    <row r="7">
      <c r="B7" s="2821" t="n"/>
      <c r="C7" s="2819" t="inlineStr">
        <is>
          <t>User</t>
        </is>
      </c>
      <c r="D7" s="2821" t="inlineStr">
        <is>
          <t>Burnt before</t>
        </is>
      </c>
      <c r="E7" s="2819" t="inlineStr">
        <is>
          <t>Initial</t>
        </is>
      </c>
      <c r="F7" s="2819" t="inlineStr">
        <is>
          <t>Final</t>
        </is>
      </c>
      <c r="G7" s="2822" t="inlineStr">
        <is>
          <t>ERROR!</t>
        </is>
      </c>
      <c r="H7" s="2823" t="inlineStr">
        <is>
          <t>pick Tier 2, if available</t>
        </is>
      </c>
      <c r="I7" s="921" t="n"/>
      <c r="J7" s="2819" t="n"/>
      <c r="K7" s="921" t="n"/>
      <c r="L7" s="2823" t="inlineStr">
        <is>
          <t>pick Tier 2, if available</t>
        </is>
      </c>
      <c r="M7" s="921" t="n"/>
      <c r="N7" s="2819" t="n"/>
      <c r="O7" s="921" t="n"/>
      <c r="S7" s="461" t="inlineStr">
        <is>
          <t>N2O soil</t>
        </is>
      </c>
      <c r="T7" s="3244">
        <f>SUM(V24:V33)-SUM(U24:U33)</f>
        <v/>
      </c>
      <c r="U7" s="2872">
        <f>IF(time=0,0,T7)</f>
        <v/>
      </c>
      <c r="V7" s="2865">
        <f>T7-U7</f>
        <v/>
      </c>
    </row>
    <row r="8">
      <c r="B8" s="2821" t="inlineStr">
        <is>
          <t>SI</t>
        </is>
      </c>
      <c r="C8" s="2819" t="inlineStr">
        <is>
          <t xml:space="preserve"> Description</t>
        </is>
      </c>
      <c r="D8" s="2819" t="inlineStr">
        <is>
          <t>LU change</t>
        </is>
      </c>
      <c r="E8" s="2819" t="inlineStr">
        <is>
          <t>LU</t>
        </is>
      </c>
      <c r="F8" s="2819" t="inlineStr">
        <is>
          <t>LU</t>
        </is>
      </c>
      <c r="G8" s="2822" t="inlineStr">
        <is>
          <t>Message</t>
        </is>
      </c>
      <c r="H8" s="2819" t="inlineStr">
        <is>
          <t>Initial LU Default</t>
        </is>
      </c>
      <c r="I8" s="921" t="inlineStr">
        <is>
          <t>Initial LU Tier 2</t>
        </is>
      </c>
      <c r="J8" s="2819" t="inlineStr">
        <is>
          <t>Final LU Default</t>
        </is>
      </c>
      <c r="K8" s="921" t="inlineStr">
        <is>
          <t>Final LU Tier 2</t>
        </is>
      </c>
      <c r="L8" s="2819" t="inlineStr">
        <is>
          <t>Initial LU Default</t>
        </is>
      </c>
      <c r="M8" s="921" t="inlineStr">
        <is>
          <t>Initial LU Tier 2</t>
        </is>
      </c>
      <c r="N8" s="2819" t="inlineStr">
        <is>
          <t>Final LU Default</t>
        </is>
      </c>
      <c r="O8" s="921" t="inlineStr">
        <is>
          <t>Final LU Tier 2</t>
        </is>
      </c>
      <c r="S8" s="2853" t="inlineStr">
        <is>
          <t>CH4</t>
        </is>
      </c>
      <c r="T8" s="2864">
        <f>SUM(R24:R33)-SUM(Q24:Q33)</f>
        <v/>
      </c>
      <c r="U8" s="2872">
        <f>IF(time=0,0,T8)</f>
        <v/>
      </c>
      <c r="V8" s="2865">
        <f>T8-U8</f>
        <v/>
      </c>
    </row>
    <row r="9">
      <c r="B9" s="674" t="n">
        <v>1</v>
      </c>
      <c r="C9" s="674">
        <f>IF('2.LUC'!$C61 = "", "", '2.LUC'!$C61)</f>
        <v/>
      </c>
      <c r="D9" s="284">
        <f>'2.LUC'!$G61</f>
        <v/>
      </c>
      <c r="E9" s="284">
        <f>'2.LUC'!$I61</f>
        <v/>
      </c>
      <c r="F9" s="284">
        <f>'2.LUC'!$K61</f>
        <v/>
      </c>
      <c r="G9" s="2814" t="n"/>
      <c r="H9" s="4659">
        <f>IF($E9 &lt;&gt; "Please select",INDEX(IPCC!$D$1520:$Y$1680,MATCH(clim_moist_cont,IPCC!$C$1520:$C$1680,0),MATCH($E9,IPCC!$D$1520:$Y$1520,0)),0)</f>
        <v/>
      </c>
      <c r="I9" s="4660">
        <f>IF('2.LUC'!AW61="",'2.LUC'!AV61,'2.LUC'!AW61)</f>
        <v/>
      </c>
      <c r="J9" s="4659">
        <f> IF($F9 &lt;&gt; "Please select", INDEX(IPCC!$D$682:$Y$845,MATCH(clim_moist_cont,IPCC!$C$682:$C$845,0),MATCH($F9,IPCC!$D$682:$Y$682,0)),0)</f>
        <v/>
      </c>
      <c r="K9" s="4660">
        <f>IF('2.LUC'!BE61="",'2.LUC'!BD61,'2.LUC'!BE61)</f>
        <v/>
      </c>
      <c r="L9" s="4659">
        <f>IF($E9&lt;&gt; "Please select", SOCref*INDEX(IPCC!$B$1687:$W$1698,MATCH(clim_moist, IPCC!$A$1687:$A$1698,0),MATCH($E9, IPCC!$B$1687:$W$1687,0)),0)</f>
        <v/>
      </c>
      <c r="M9" s="4660">
        <f>IF('2.LUC'!AZ61="",'2.LUC'!AY61,'2.LUC'!AZ61)</f>
        <v/>
      </c>
      <c r="N9" s="4659">
        <f>IF($F9&lt;&gt; "Please select",SOCref*INDEX(IPCC!$B$852:$W$863,MATCH(clim_moist,  IPCC!$A$852:$A$863,0),MATCH($F9,  IPCC!$B$852:$W$852,0)),0)</f>
        <v/>
      </c>
      <c r="O9" s="4660">
        <f>IF('2.LUC'!BH61="",'2.LUC'!BG61,'2.LUC'!BH61)</f>
        <v/>
      </c>
      <c r="S9" s="2853" t="inlineStr">
        <is>
          <t>N2O fire</t>
        </is>
      </c>
      <c r="T9" s="2864">
        <f>SUM(T24:T33)-SUM(S24:S33)</f>
        <v/>
      </c>
      <c r="U9" s="2872">
        <f>IF(time=0,0,T9)</f>
        <v/>
      </c>
      <c r="V9" s="3554">
        <f>T9-U9</f>
        <v/>
      </c>
    </row>
    <row r="10">
      <c r="B10" s="674" t="n">
        <v>2</v>
      </c>
      <c r="C10" s="674">
        <f>IF('2.LUC'!$C62 = "", "", '2.LUC'!$C62)</f>
        <v/>
      </c>
      <c r="D10" s="284">
        <f>'2.LUC'!$G62</f>
        <v/>
      </c>
      <c r="E10" s="284">
        <f>'2.LUC'!$I62</f>
        <v/>
      </c>
      <c r="F10" s="284">
        <f>'2.LUC'!$K62</f>
        <v/>
      </c>
      <c r="G10" s="2814" t="n"/>
      <c r="H10" s="4659">
        <f>IF($E10 &lt;&gt; "Please select",INDEX(IPCC!$D$1520:$Y$1680,MATCH(clim_moist_cont,IPCC!$C$1520:$C$1680,0),MATCH($E10,IPCC!$D$1520:$Y$1520,0)),0)</f>
        <v/>
      </c>
      <c r="I10" s="4660">
        <f>IF('2.LUC'!AW62="",'2.LUC'!AV62,'2.LUC'!AW62)</f>
        <v/>
      </c>
      <c r="J10" s="4659">
        <f> IF($F10 &lt;&gt; "Please select", INDEX(IPCC!$D$682:$Y$845,MATCH(clim_moist_cont,IPCC!$C$682:$C$845,0),MATCH($F10,IPCC!$D$682:$Y$682,0)),0)</f>
        <v/>
      </c>
      <c r="K10" s="4660">
        <f>IF('2.LUC'!BE62="",'2.LUC'!BD62,'2.LUC'!BE62)</f>
        <v/>
      </c>
      <c r="L10" s="4659">
        <f>IF($E10&lt;&gt; "Please select", SOCref*INDEX(IPCC!$B$1687:$W$1698,MATCH(clim_moist, IPCC!$A$1687:$A$1698,0),MATCH($E10, IPCC!$B$1687:$W$1687,0)),0)</f>
        <v/>
      </c>
      <c r="M10" s="4660">
        <f>IF('2.LUC'!AZ62="",'2.LUC'!AY62,'2.LUC'!AZ62)</f>
        <v/>
      </c>
      <c r="N10" s="4659">
        <f>IF($F10&lt;&gt; "Please select",SOCref*INDEX(IPCC!$B$852:$W$863,MATCH(clim_moist,  IPCC!$A$852:$A$863,0),MATCH($F10,  IPCC!$B$852:$W$852,0)),0)</f>
        <v/>
      </c>
      <c r="O10" s="4660">
        <f>IF('2.LUC'!BH62="",'2.LUC'!BG62,'2.LUC'!BH62)</f>
        <v/>
      </c>
      <c r="S10" s="2858" t="inlineStr">
        <is>
          <t xml:space="preserve">Total </t>
        </is>
      </c>
      <c r="T10" s="2874">
        <f>SUM(T5:T9)</f>
        <v/>
      </c>
      <c r="U10" s="2875">
        <f>SUM(U5:U9)</f>
        <v/>
      </c>
      <c r="V10" s="2876">
        <f>SUM(V5:V9)</f>
        <v/>
      </c>
    </row>
    <row r="11">
      <c r="B11" s="674" t="n">
        <v>3</v>
      </c>
      <c r="C11" s="674">
        <f>IF('2.LUC'!$C63 = "", "", '2.LUC'!$C63)</f>
        <v/>
      </c>
      <c r="D11" s="284">
        <f>'2.LUC'!$G63</f>
        <v/>
      </c>
      <c r="E11" s="284">
        <f>'2.LUC'!$I63</f>
        <v/>
      </c>
      <c r="F11" s="284">
        <f>'2.LUC'!$K63</f>
        <v/>
      </c>
      <c r="G11" s="2814" t="n"/>
      <c r="H11" s="4659">
        <f>IF($E11 &lt;&gt; "Please select",INDEX(IPCC!$D$1520:$Y$1680,MATCH(clim_moist_cont,IPCC!$C$1520:$C$1680,0),MATCH($E11,IPCC!$D$1520:$Y$1520,0)),0)</f>
        <v/>
      </c>
      <c r="I11" s="4660">
        <f>IF('2.LUC'!AW63="",'2.LUC'!AV63,'2.LUC'!AW63)</f>
        <v/>
      </c>
      <c r="J11" s="4659">
        <f> IF($F11 &lt;&gt; "Please select", INDEX(IPCC!$D$682:$Y$845,MATCH(clim_moist_cont,IPCC!$C$682:$C$845,0),MATCH($F11,IPCC!$D$682:$Y$682,0)),0)</f>
        <v/>
      </c>
      <c r="K11" s="4660">
        <f>IF('2.LUC'!BE63="",'2.LUC'!BD63,'2.LUC'!BE63)</f>
        <v/>
      </c>
      <c r="L11" s="4659">
        <f>IF($E11&lt;&gt; "Please select", SOCref*INDEX(IPCC!$B$1687:$W$1698,MATCH(clim_moist, IPCC!$A$1687:$A$1698,0),MATCH($E11, IPCC!$B$1687:$W$1687,0)),0)</f>
        <v/>
      </c>
      <c r="M11" s="4660">
        <f>IF('2.LUC'!AZ63="",'2.LUC'!AY63,'2.LUC'!AZ63)</f>
        <v/>
      </c>
      <c r="N11" s="4659">
        <f>IF($F11&lt;&gt; "Please select",SOCref*INDEX(IPCC!$B$852:$W$863,MATCH(clim_moist,  IPCC!$A$852:$A$863,0),MATCH($F11,  IPCC!$B$852:$W$852,0)),0)</f>
        <v/>
      </c>
      <c r="O11" s="4660">
        <f>IF('2.LUC'!BH63="",'2.LUC'!BG63,'2.LUC'!BH63)</f>
        <v/>
      </c>
      <c r="Y11" s="3553" t="n"/>
      <c r="Z11" s="2859" t="n"/>
      <c r="AA11" s="2859" t="n"/>
    </row>
    <row r="12">
      <c r="B12" s="674" t="n">
        <v>4</v>
      </c>
      <c r="C12" s="674">
        <f>IF('2.LUC'!#REF! = "", "", '2.LUC'!#REF!)</f>
        <v/>
      </c>
      <c r="D12" s="284">
        <f>'2.LUC'!$G64</f>
        <v/>
      </c>
      <c r="E12" s="284">
        <f>'2.LUC'!$I64</f>
        <v/>
      </c>
      <c r="F12" s="284">
        <f>'2.LUC'!$K64</f>
        <v/>
      </c>
      <c r="G12" s="2814" t="n"/>
      <c r="H12" s="4659">
        <f>IF($E12 &lt;&gt; "Please select",INDEX(IPCC!$D$1520:$Y$1680,MATCH(clim_moist_cont,IPCC!$C$1520:$C$1680,0),MATCH($E12,IPCC!$D$1520:$Y$1520,0)),0)</f>
        <v/>
      </c>
      <c r="I12" s="4660">
        <f>IF('2.LUC'!AW64="",'2.LUC'!AV64,'2.LUC'!AW64)</f>
        <v/>
      </c>
      <c r="J12" s="4659">
        <f> IF($F12 &lt;&gt; "Please select", INDEX(IPCC!$D$682:$Y$845,MATCH(clim_moist_cont,IPCC!$C$682:$C$845,0),MATCH($F12,IPCC!$D$682:$Y$682,0)),0)</f>
        <v/>
      </c>
      <c r="K12" s="4660">
        <f>IF('2.LUC'!BE64="",'2.LUC'!BD64,'2.LUC'!BE64)</f>
        <v/>
      </c>
      <c r="L12" s="4659">
        <f>IF($E12&lt;&gt; "Please select", SOCref*INDEX(IPCC!$B$1687:$W$1698,MATCH(clim_moist, IPCC!$A$1687:$A$1698,0),MATCH($E12, IPCC!$B$1687:$W$1687,0)),0)</f>
        <v/>
      </c>
      <c r="M12" s="4660">
        <f>IF('2.LUC'!AZ64="",'2.LUC'!AY64,'2.LUC'!AZ64)</f>
        <v/>
      </c>
      <c r="N12" s="4659">
        <f>IF($F12&lt;&gt; "Please select",SOCref*INDEX(IPCC!$B$852:$W$863,MATCH(clim_moist,  IPCC!$A$852:$A$863,0),MATCH($F12,  IPCC!$B$852:$W$852,0)),0)</f>
        <v/>
      </c>
      <c r="O12" s="4660">
        <f>IF('2.LUC'!BH64="",'2.LUC'!BG64,'2.LUC'!BH64)</f>
        <v/>
      </c>
      <c r="S12" s="2854" t="inlineStr">
        <is>
          <t>All period</t>
        </is>
      </c>
      <c r="T12" s="2854" t="n"/>
      <c r="U12" s="2854" t="n"/>
      <c r="Z12" s="2936" t="n"/>
    </row>
    <row r="13">
      <c r="B13" s="674" t="n">
        <v>5</v>
      </c>
      <c r="C13" s="674">
        <f>IF('2.LUC'!$C64 = "", "", '2.LUC'!$C64)</f>
        <v/>
      </c>
      <c r="D13" s="284">
        <f>'2.LUC'!$G65</f>
        <v/>
      </c>
      <c r="E13" s="284">
        <f>'2.LUC'!$I65</f>
        <v/>
      </c>
      <c r="F13" s="284">
        <f>'2.LUC'!$K65</f>
        <v/>
      </c>
      <c r="G13" s="2814" t="n"/>
      <c r="H13" s="4659">
        <f>IF($E13 &lt;&gt; "Please select",INDEX(IPCC!$D$1520:$Y$1680,MATCH(clim_moist_cont,IPCC!$C$1520:$C$1680,0),MATCH($E13,IPCC!$D$1520:$Y$1520,0)),0)</f>
        <v/>
      </c>
      <c r="I13" s="4660">
        <f>IF('2.LUC'!AW65="",'2.LUC'!AV65,'2.LUC'!AW65)</f>
        <v/>
      </c>
      <c r="J13" s="4659">
        <f> IF($F13 &lt;&gt; "Please select", INDEX(IPCC!$D$682:$Y$845,MATCH(clim_moist_cont,IPCC!$C$682:$C$845,0),MATCH($F13,IPCC!$D$682:$Y$682,0)),0)</f>
        <v/>
      </c>
      <c r="K13" s="4660">
        <f>IF('2.LUC'!BE65="",'2.LUC'!BD65,'2.LUC'!BE65)</f>
        <v/>
      </c>
      <c r="L13" s="4659">
        <f>IF($E13&lt;&gt; "Please select", SOCref*INDEX(IPCC!$B$1687:$W$1698,MATCH(clim_moist, IPCC!$A$1687:$A$1698,0),MATCH($E13, IPCC!$B$1687:$W$1687,0)),0)</f>
        <v/>
      </c>
      <c r="M13" s="4660">
        <f>IF('2.LUC'!AZ65="",'2.LUC'!AY65,'2.LUC'!AZ65)</f>
        <v/>
      </c>
      <c r="N13" s="4659">
        <f>IF($F13&lt;&gt; "Please select",SOCref*INDEX(IPCC!$B$852:$W$863,MATCH(clim_moist,  IPCC!$A$852:$A$863,0),MATCH($F13,  IPCC!$B$852:$W$852,0)),0)</f>
        <v/>
      </c>
      <c r="O13" s="4660">
        <f>IF('2.LUC'!BH65="",'2.LUC'!BG65,'2.LUC'!BH65)</f>
        <v/>
      </c>
      <c r="S13" s="2856" t="inlineStr">
        <is>
          <t>Categories</t>
        </is>
      </c>
      <c r="T13" s="2860" t="inlineStr">
        <is>
          <t>Without</t>
        </is>
      </c>
      <c r="U13" s="2861" t="inlineStr">
        <is>
          <t>With</t>
        </is>
      </c>
    </row>
    <row r="14">
      <c r="B14" s="674" t="n">
        <v>6</v>
      </c>
      <c r="C14" s="674">
        <f>IF('2.LUC'!$C66 = "", "", '2.LUC'!$C66)</f>
        <v/>
      </c>
      <c r="D14" s="284">
        <f>'2.LUC'!$G66</f>
        <v/>
      </c>
      <c r="E14" s="284">
        <f>'2.LUC'!$I66</f>
        <v/>
      </c>
      <c r="F14" s="284">
        <f>'2.LUC'!$K66</f>
        <v/>
      </c>
      <c r="G14" s="2814" t="n"/>
      <c r="H14" s="4659">
        <f>IF($E14 &lt;&gt; "Please select",INDEX(IPCC!$D$1520:$Y$1680,MATCH(clim_moist_cont,IPCC!$C$1520:$C$1680,0),MATCH($E14,IPCC!$D$1520:$Y$1520,0)),0)</f>
        <v/>
      </c>
      <c r="I14" s="4660">
        <f>IF('2.LUC'!AW66="",'2.LUC'!AV66,'2.LUC'!AW66)</f>
        <v/>
      </c>
      <c r="J14" s="4659">
        <f> IF($F14 &lt;&gt; "Please select", INDEX(IPCC!$D$682:$Y$845,MATCH(clim_moist_cont,IPCC!$C$682:$C$845,0),MATCH($F14,IPCC!$D$682:$Y$682,0)),0)</f>
        <v/>
      </c>
      <c r="K14" s="4660">
        <f>IF('2.LUC'!BE66="",'2.LUC'!BD66,'2.LUC'!BE66)</f>
        <v/>
      </c>
      <c r="L14" s="4659">
        <f>IF($E14&lt;&gt; "Please select", SOCref*INDEX(IPCC!$B$1687:$W$1698,MATCH(clim_moist, IPCC!$A$1687:$A$1698,0),MATCH($E14, IPCC!$B$1687:$W$1687,0)),0)</f>
        <v/>
      </c>
      <c r="M14" s="4660">
        <f>IF('2.LUC'!AZ66="",'2.LUC'!AY66,'2.LUC'!AZ66)</f>
        <v/>
      </c>
      <c r="N14" s="4659">
        <f>IF($F14&lt;&gt; "Please select",SOCref*INDEX(IPCC!$B$852:$W$863,MATCH(clim_moist,  IPCC!$A$852:$A$863,0),MATCH($F14,  IPCC!$B$852:$W$852,0)),0)</f>
        <v/>
      </c>
      <c r="O14" s="4660">
        <f>IF('2.LUC'!BH66="",'2.LUC'!BG66,'2.LUC'!BH66)</f>
        <v/>
      </c>
      <c r="S14" s="2852" t="inlineStr">
        <is>
          <t>CO2 Biomass</t>
        </is>
      </c>
      <c r="T14" s="2862">
        <f>SUM(G41:G50)</f>
        <v/>
      </c>
      <c r="U14" s="2863">
        <f>SUM(H41:H50)</f>
        <v/>
      </c>
    </row>
    <row r="15">
      <c r="B15" s="674" t="n">
        <v>7</v>
      </c>
      <c r="C15" s="674">
        <f>IF('2.LUC'!$C67 = "", "", '2.LUC'!$C67)</f>
        <v/>
      </c>
      <c r="D15" s="284">
        <f>'2.LUC'!$G67</f>
        <v/>
      </c>
      <c r="E15" s="284">
        <f>'2.LUC'!$I67</f>
        <v/>
      </c>
      <c r="F15" s="284">
        <f>'2.LUC'!$K67</f>
        <v/>
      </c>
      <c r="G15" s="2814" t="n"/>
      <c r="H15" s="4659">
        <f>IF($E15 &lt;&gt; "Please select",INDEX(IPCC!$D$1520:$Y$1680,MATCH(clim_moist_cont,IPCC!$C$1520:$C$1680,0),MATCH($E15,IPCC!$D$1520:$Y$1520,0)),0)</f>
        <v/>
      </c>
      <c r="I15" s="4660">
        <f>IF('2.LUC'!AW67="",'2.LUC'!AV67,'2.LUC'!AW67)</f>
        <v/>
      </c>
      <c r="J15" s="4659">
        <f> IF($F15 &lt;&gt; "Please select", INDEX(IPCC!$D$682:$Y$845,MATCH(clim_moist_cont,IPCC!$C$682:$C$845,0),MATCH($F15,IPCC!$D$682:$Y$682,0)),0)</f>
        <v/>
      </c>
      <c r="K15" s="4660">
        <f>IF('2.LUC'!BE67="",'2.LUC'!BD67,'2.LUC'!BE67)</f>
        <v/>
      </c>
      <c r="L15" s="4659">
        <f>IF($E15&lt;&gt; "Please select", SOCref*INDEX(IPCC!$B$1687:$W$1698,MATCH(clim_moist, IPCC!$A$1687:$A$1698,0),MATCH($E15, IPCC!$B$1687:$W$1687,0)),0)</f>
        <v/>
      </c>
      <c r="M15" s="4660">
        <f>IF('2.LUC'!AZ67="",'2.LUC'!AY67,'2.LUC'!AZ67)</f>
        <v/>
      </c>
      <c r="N15" s="4659">
        <f>IF($F15&lt;&gt; "Please select",SOCref*INDEX(IPCC!$B$852:$W$863,MATCH(clim_moist,  IPCC!$A$852:$A$863,0),MATCH($F15,  IPCC!$B$852:$W$852,0)),0)</f>
        <v/>
      </c>
      <c r="O15" s="4660">
        <f>IF('2.LUC'!BH67="",'2.LUC'!BG67,'2.LUC'!BH67)</f>
        <v/>
      </c>
      <c r="S15" s="2852" t="inlineStr">
        <is>
          <t>CO2 soil</t>
        </is>
      </c>
      <c r="T15" s="3555">
        <f>SUM(I41:I50)</f>
        <v/>
      </c>
      <c r="U15" s="3554">
        <f>SUM(J41:J50)</f>
        <v/>
      </c>
    </row>
    <row r="16">
      <c r="B16" s="674" t="n">
        <v>8</v>
      </c>
      <c r="C16" s="674">
        <f>IF('2.LUC'!$C68 = "", "", '2.LUC'!$C68)</f>
        <v/>
      </c>
      <c r="D16" s="284">
        <f>'2.LUC'!$G68</f>
        <v/>
      </c>
      <c r="E16" s="284">
        <f>'2.LUC'!$I68</f>
        <v/>
      </c>
      <c r="F16" s="284">
        <f>'2.LUC'!$K68</f>
        <v/>
      </c>
      <c r="G16" s="2814" t="n"/>
      <c r="H16" s="4659">
        <f>IF($E16 &lt;&gt; "Please select",INDEX(IPCC!$D$1520:$Y$1680,MATCH(clim_moist_cont,IPCC!$C$1520:$C$1680,0),MATCH($E16,IPCC!$D$1520:$Y$1520,0)),0)</f>
        <v/>
      </c>
      <c r="I16" s="4660">
        <f>IF('2.LUC'!AW68="",'2.LUC'!AV68,'2.LUC'!AW68)</f>
        <v/>
      </c>
      <c r="J16" s="4659">
        <f> IF($F16 &lt;&gt; "Please select", INDEX(IPCC!$D$682:$Y$845,MATCH(clim_moist_cont,IPCC!$C$682:$C$845,0),MATCH($F16,IPCC!$D$682:$Y$682,0)),0)</f>
        <v/>
      </c>
      <c r="K16" s="4660">
        <f>IF('2.LUC'!BE68="",'2.LUC'!BD68,'2.LUC'!BE68)</f>
        <v/>
      </c>
      <c r="L16" s="4659">
        <f>IF($E16&lt;&gt; "Please select", SOCref*INDEX(IPCC!$B$1687:$W$1698,MATCH(clim_moist, IPCC!$A$1687:$A$1698,0),MATCH($E16, IPCC!$B$1687:$W$1687,0)),0)</f>
        <v/>
      </c>
      <c r="M16" s="4660">
        <f>IF('2.LUC'!AZ68="",'2.LUC'!AY68,'2.LUC'!AZ68)</f>
        <v/>
      </c>
      <c r="N16" s="4659">
        <f>IF($F16&lt;&gt; "Please select",SOCref*INDEX(IPCC!$B$852:$W$863,MATCH(clim_moist,  IPCC!$A$852:$A$863,0),MATCH($F16,  IPCC!$B$852:$W$852,0)),0)</f>
        <v/>
      </c>
      <c r="O16" s="4660">
        <f>IF('2.LUC'!BH68="",'2.LUC'!BG68,'2.LUC'!BH68)</f>
        <v/>
      </c>
      <c r="S16" s="461" t="inlineStr">
        <is>
          <t>N2O soil</t>
        </is>
      </c>
      <c r="T16" s="3244">
        <f>SUM(U24:U33)</f>
        <v/>
      </c>
      <c r="U16" s="3244">
        <f>SUM(V24:V33)</f>
        <v/>
      </c>
    </row>
    <row r="17">
      <c r="B17" s="674" t="n">
        <v>9</v>
      </c>
      <c r="C17" s="674">
        <f>IF('2.LUC'!$C69 = "", "", '2.LUC'!$C69)</f>
        <v/>
      </c>
      <c r="D17" s="284">
        <f>'2.LUC'!$G69</f>
        <v/>
      </c>
      <c r="E17" s="284">
        <f>'2.LUC'!$I69</f>
        <v/>
      </c>
      <c r="F17" s="284">
        <f>'2.LUC'!$K69</f>
        <v/>
      </c>
      <c r="G17" s="2814" t="n"/>
      <c r="H17" s="4659">
        <f>IF($E17 &lt;&gt; "Please select",INDEX(IPCC!$D$1520:$Y$1680,MATCH(clim_moist_cont,IPCC!$C$1520:$C$1680,0),MATCH($E17,IPCC!$D$1520:$Y$1520,0)),0)</f>
        <v/>
      </c>
      <c r="I17" s="4660">
        <f>IF('2.LUC'!AW69="",'2.LUC'!AV69,'2.LUC'!AW69)</f>
        <v/>
      </c>
      <c r="J17" s="4659">
        <f> IF($F17 &lt;&gt; "Please select", INDEX(IPCC!$D$682:$Y$845,MATCH(clim_moist_cont,IPCC!$C$682:$C$845,0),MATCH($F17,IPCC!$D$682:$Y$682,0)),0)</f>
        <v/>
      </c>
      <c r="K17" s="4660">
        <f>IF('2.LUC'!BE69="",'2.LUC'!BD69,'2.LUC'!BE69)</f>
        <v/>
      </c>
      <c r="L17" s="4659">
        <f>IF($E17&lt;&gt; "Please select", SOCref*INDEX(IPCC!$B$1687:$W$1698,MATCH(clim_moist, IPCC!$A$1687:$A$1698,0),MATCH($E17, IPCC!$B$1687:$W$1687,0)),0)</f>
        <v/>
      </c>
      <c r="M17" s="4660">
        <f>IF('2.LUC'!AZ69="",'2.LUC'!AY69,'2.LUC'!AZ69)</f>
        <v/>
      </c>
      <c r="N17" s="4659">
        <f>IF($F17&lt;&gt; "Please select",SOCref*INDEX(IPCC!$B$852:$W$863,MATCH(clim_moist,  IPCC!$A$852:$A$863,0),MATCH($F17,  IPCC!$B$852:$W$852,0)),0)</f>
        <v/>
      </c>
      <c r="O17" s="4660">
        <f>IF('2.LUC'!BH69="",'2.LUC'!BG69,'2.LUC'!BH69)</f>
        <v/>
      </c>
      <c r="S17" s="2852" t="inlineStr">
        <is>
          <t>CH4</t>
        </is>
      </c>
      <c r="T17" s="2864">
        <f>SUM(Q24:Q33)</f>
        <v/>
      </c>
      <c r="U17" s="2865">
        <f>SUM(R24:R33)</f>
        <v/>
      </c>
    </row>
    <row r="18">
      <c r="B18" s="674" t="n">
        <v>10</v>
      </c>
      <c r="C18" s="674">
        <f>IF('2.LUC'!$C70 = "", "", '2.LUC'!$C70)</f>
        <v/>
      </c>
      <c r="D18" s="284">
        <f>'2.LUC'!$G70</f>
        <v/>
      </c>
      <c r="E18" s="284">
        <f>'2.LUC'!$I70</f>
        <v/>
      </c>
      <c r="F18" s="284">
        <f>'2.LUC'!$K70</f>
        <v/>
      </c>
      <c r="G18" s="2814" t="n"/>
      <c r="H18" s="4659">
        <f>IF($E18 &lt;&gt; "Please select",INDEX(IPCC!$D$1520:$Y$1680,MATCH(clim_moist_cont,IPCC!$C$1520:$C$1680,0),MATCH($E18,IPCC!$D$1520:$Y$1520,0)),0)</f>
        <v/>
      </c>
      <c r="I18" s="4660">
        <f>IF('2.LUC'!AW70="",'2.LUC'!AV70,'2.LUC'!AW70)</f>
        <v/>
      </c>
      <c r="J18" s="4659">
        <f> IF($F18 &lt;&gt; "Please select", INDEX(IPCC!$D$682:$Y$845,MATCH(clim_moist_cont,IPCC!$C$682:$C$845,0),MATCH($F18,IPCC!$D$682:$Y$682,0)),0)</f>
        <v/>
      </c>
      <c r="K18" s="4660">
        <f>IF('2.LUC'!BE70="",'2.LUC'!BD70,'2.LUC'!BE70)</f>
        <v/>
      </c>
      <c r="L18" s="4659">
        <f>IF($E18&lt;&gt; "Please select", SOCref*INDEX(IPCC!$B$1687:$W$1698,MATCH(clim_moist, IPCC!$A$1687:$A$1698,0),MATCH($E18, IPCC!$B$1687:$W$1687,0)),0)</f>
        <v/>
      </c>
      <c r="M18" s="4660">
        <f>IF('2.LUC'!AZ70="",'2.LUC'!AY70,'2.LUC'!AZ70)</f>
        <v/>
      </c>
      <c r="N18" s="4659">
        <f>IF($F18&lt;&gt; "Please select",SOCref*INDEX(IPCC!$B$852:$W$863,MATCH(clim_moist,  IPCC!$A$852:$A$863,0),MATCH($F18,  IPCC!$B$852:$W$852,0)),0)</f>
        <v/>
      </c>
      <c r="O18" s="4660">
        <f>IF('2.LUC'!BH70="",'2.LUC'!BG70,'2.LUC'!BH70)</f>
        <v/>
      </c>
      <c r="S18" s="2857" t="inlineStr">
        <is>
          <t>N2O fire</t>
        </is>
      </c>
      <c r="T18" s="2866">
        <f>SUM(S24:S33)</f>
        <v/>
      </c>
      <c r="U18" s="2867">
        <f>SUM(T24:T33)</f>
        <v/>
      </c>
    </row>
    <row r="19">
      <c r="B19" s="674" t="n"/>
      <c r="C19" s="674" t="n"/>
      <c r="H19" s="683" t="n"/>
      <c r="I19" s="683" t="n"/>
      <c r="J19" s="683" t="n"/>
      <c r="K19" s="683" t="n"/>
      <c r="L19" s="683" t="n"/>
      <c r="M19" s="4661" t="n"/>
    </row>
    <row r="20">
      <c r="B20" s="674" t="n"/>
      <c r="C20" s="921" t="n"/>
      <c r="D20" s="921" t="n"/>
      <c r="E20" s="2824" t="n"/>
      <c r="F20" s="2822" t="inlineStr">
        <is>
          <t>*limited to 20 yrs</t>
        </is>
      </c>
      <c r="G20" s="2822" t="inlineStr">
        <is>
          <t>*limited to 20 yrs</t>
        </is>
      </c>
      <c r="H20" s="2827" t="inlineStr">
        <is>
          <t>SOM mineralization due to LUC</t>
        </is>
      </c>
      <c r="I20" s="2827" t="n"/>
      <c r="J20" s="2830" t="inlineStr">
        <is>
          <t>Fire</t>
        </is>
      </c>
      <c r="K20" s="2830" t="inlineStr">
        <is>
          <t>Fire emissions</t>
        </is>
      </c>
      <c r="L20" s="2830" t="n"/>
      <c r="M20" s="2831" t="n"/>
      <c r="N20" s="2831" t="n"/>
      <c r="O20" s="2825" t="n"/>
      <c r="Q20" s="2938" t="inlineStr">
        <is>
          <t>All period</t>
        </is>
      </c>
      <c r="R20" s="2939" t="n"/>
      <c r="S20" s="2939" t="n"/>
      <c r="T20" s="2939" t="n"/>
      <c r="U20" s="2939" t="n"/>
      <c r="V20" s="2939" t="n"/>
      <c r="W20" s="2940" t="inlineStr">
        <is>
          <t xml:space="preserve">Soil Implementation phase alone </t>
        </is>
      </c>
      <c r="X20" s="2937" t="n"/>
      <c r="Y20" s="2941" t="inlineStr">
        <is>
          <t>Area burnt</t>
        </is>
      </c>
      <c r="Z20" s="2937" t="n"/>
    </row>
    <row r="21" ht="17" customHeight="1">
      <c r="C21" s="921" t="n"/>
      <c r="D21" s="921" t="n"/>
      <c r="E21" s="2819" t="inlineStr">
        <is>
          <t xml:space="preserve">ΔC </t>
        </is>
      </c>
      <c r="F21" s="2819" t="inlineStr">
        <is>
          <t xml:space="preserve">ΔC </t>
        </is>
      </c>
      <c r="G21" s="2819" t="inlineStr">
        <is>
          <t xml:space="preserve">ΔC </t>
        </is>
      </c>
      <c r="H21" s="2828" t="inlineStr">
        <is>
          <t xml:space="preserve">FSOM </t>
        </is>
      </c>
      <c r="I21" s="2829" t="inlineStr">
        <is>
          <t xml:space="preserve">soil N2O </t>
        </is>
      </c>
      <c r="J21" s="2830" t="inlineStr">
        <is>
          <t xml:space="preserve">MB </t>
        </is>
      </c>
      <c r="K21" s="2830" t="inlineStr">
        <is>
          <t>CH4</t>
        </is>
      </c>
      <c r="L21" s="2830" t="inlineStr">
        <is>
          <t>N2O</t>
        </is>
      </c>
      <c r="M21" s="2830" t="inlineStr">
        <is>
          <t>CH4</t>
        </is>
      </c>
      <c r="N21" s="2830" t="inlineStr">
        <is>
          <t>N2O</t>
        </is>
      </c>
      <c r="O21" s="2819" t="inlineStr">
        <is>
          <t>Total non-GHGs</t>
        </is>
      </c>
      <c r="Q21" s="2942" t="inlineStr">
        <is>
          <t>CH4</t>
        </is>
      </c>
      <c r="R21" s="2939" t="n"/>
      <c r="S21" s="2943" t="inlineStr">
        <is>
          <t>N2O fire</t>
        </is>
      </c>
      <c r="T21" s="2939" t="n"/>
      <c r="U21" s="2943" t="inlineStr">
        <is>
          <t>N2O soil</t>
        </is>
      </c>
      <c r="V21" s="2939" t="n"/>
      <c r="W21" s="2944" t="inlineStr">
        <is>
          <t>time_tot= time and time_cap = 0</t>
        </is>
      </c>
      <c r="X21" s="2937" t="n"/>
      <c r="Y21" s="2937" t="n"/>
      <c r="Z21" s="2937" t="n"/>
    </row>
    <row r="22">
      <c r="C22" s="2819" t="inlineStr">
        <is>
          <t>Initial</t>
        </is>
      </c>
      <c r="D22" s="2819" t="inlineStr">
        <is>
          <t>Final</t>
        </is>
      </c>
      <c r="E22" s="2819" t="inlineStr">
        <is>
          <t>Biomass</t>
        </is>
      </c>
      <c r="F22" s="2819" t="inlineStr">
        <is>
          <t>Mineral soil</t>
        </is>
      </c>
      <c r="G22" s="2819" t="inlineStr">
        <is>
          <t>Mineral soil</t>
        </is>
      </c>
      <c r="H22" s="2828" t="inlineStr">
        <is>
          <t>N mineralised in mineral soils due to LUC</t>
        </is>
      </c>
      <c r="I22" s="2827" t="n"/>
      <c r="J22" s="2830" t="inlineStr">
        <is>
          <t>Initial LU</t>
        </is>
      </c>
      <c r="K22" s="2830" t="n"/>
      <c r="L22" s="2830" t="n"/>
      <c r="M22" s="2833" t="n"/>
      <c r="N22" s="2833" t="n"/>
      <c r="O22" s="2826" t="inlineStr">
        <is>
          <t>fire + Fsom</t>
        </is>
      </c>
      <c r="Q22" s="2848" t="inlineStr">
        <is>
          <t>w/out</t>
        </is>
      </c>
      <c r="R22" s="391" t="inlineStr">
        <is>
          <t>with</t>
        </is>
      </c>
      <c r="S22" s="2848" t="inlineStr">
        <is>
          <t>w/out</t>
        </is>
      </c>
      <c r="T22" s="391" t="inlineStr">
        <is>
          <t>with</t>
        </is>
      </c>
      <c r="U22" s="2848" t="inlineStr">
        <is>
          <t>w/out</t>
        </is>
      </c>
      <c r="V22" s="391" t="inlineStr">
        <is>
          <t>with</t>
        </is>
      </c>
      <c r="W22" s="2848" t="inlineStr">
        <is>
          <t>w/out</t>
        </is>
      </c>
      <c r="X22" s="391" t="inlineStr">
        <is>
          <t>with</t>
        </is>
      </c>
      <c r="Y22" s="2848" t="inlineStr">
        <is>
          <t>w/out</t>
        </is>
      </c>
      <c r="Z22" s="391" t="inlineStr">
        <is>
          <t>with</t>
        </is>
      </c>
    </row>
    <row r="23" ht="17" customHeight="1">
      <c r="C23" s="2819" t="inlineStr">
        <is>
          <t>LU</t>
        </is>
      </c>
      <c r="D23" s="2819" t="inlineStr">
        <is>
          <t>LU</t>
        </is>
      </c>
      <c r="E23" s="2819" t="inlineStr">
        <is>
          <t>tCO2/ha</t>
        </is>
      </c>
      <c r="F23" s="2819" t="inlineStr">
        <is>
          <t>tCO2/ha/year</t>
        </is>
      </c>
      <c r="G23" s="2819" t="inlineStr">
        <is>
          <t>tC/ha/year</t>
        </is>
      </c>
      <c r="H23" s="2828" t="inlineStr">
        <is>
          <t>kg N mineralized/year</t>
        </is>
      </c>
      <c r="I23" s="2828" t="inlineStr">
        <is>
          <t>kg N2O</t>
        </is>
      </c>
      <c r="J23" s="2830" t="inlineStr">
        <is>
          <t>t dm/ha</t>
        </is>
      </c>
      <c r="K23" s="2830" t="inlineStr">
        <is>
          <t>kg CH4</t>
        </is>
      </c>
      <c r="L23" s="2830" t="inlineStr">
        <is>
          <t>kg N2O</t>
        </is>
      </c>
      <c r="M23" s="2830" t="inlineStr">
        <is>
          <t>kgCO2-e</t>
        </is>
      </c>
      <c r="N23" s="2832" t="inlineStr">
        <is>
          <t>kCO2-e</t>
        </is>
      </c>
      <c r="O23" s="2819" t="inlineStr">
        <is>
          <t>tCO2-e</t>
        </is>
      </c>
      <c r="Q23" s="2945" t="inlineStr">
        <is>
          <t>tCO2-e</t>
        </is>
      </c>
      <c r="R23" s="2945" t="inlineStr">
        <is>
          <t>tCO2-e</t>
        </is>
      </c>
      <c r="S23" s="2945" t="inlineStr">
        <is>
          <t>tCO2-e</t>
        </is>
      </c>
      <c r="T23" s="2945" t="inlineStr">
        <is>
          <t>tCO2-e</t>
        </is>
      </c>
      <c r="U23" s="2945" t="inlineStr">
        <is>
          <t>tCO2-e</t>
        </is>
      </c>
      <c r="V23" s="2945" t="inlineStr">
        <is>
          <t>tCO2-e</t>
        </is>
      </c>
      <c r="W23" s="2945" t="inlineStr">
        <is>
          <t>tCO2-e</t>
        </is>
      </c>
      <c r="X23" s="2945" t="inlineStr">
        <is>
          <t>tCO2-e</t>
        </is>
      </c>
      <c r="Y23" s="2946" t="inlineStr">
        <is>
          <t>ha</t>
        </is>
      </c>
      <c r="Z23" s="2947" t="inlineStr">
        <is>
          <t>ha</t>
        </is>
      </c>
    </row>
    <row r="24">
      <c r="C24" s="284">
        <f>E9</f>
        <v/>
      </c>
      <c r="D24" s="284">
        <f>F9</f>
        <v/>
      </c>
      <c r="E24" s="3542">
        <f>($K9-$I9)*(-44/12)</f>
        <v/>
      </c>
      <c r="F24" s="4662">
        <f>(($O9-$M9)/20)*(-44/12)</f>
        <v/>
      </c>
      <c r="G24" s="4662">
        <f>($O9-$M9)/20</f>
        <v/>
      </c>
      <c r="H24" s="4662">
        <f>IF($G24&gt;=0,0,IF($C24="Grassland",((-1)*(($G24*1/IPCC!$B$913)*1000)),((-1)*(($G24*1/IPCC!$B$914)*1000))))</f>
        <v/>
      </c>
      <c r="I24" s="2834">
        <f>IF($E9="Please select", 0, $H24*VLOOKUP(moist_type, IPCC!$B$99:$C$101, 2, FALSE)*N2O_N_conversion)</f>
        <v/>
      </c>
      <c r="J24" s="3544">
        <f>IF($D9="YES", $I9*(1/0.4), 0)</f>
        <v/>
      </c>
      <c r="K24" s="3545">
        <f>IF('2.LUC'!$G61 = "YES", J24 *VLOOKUP('2.LUC'!$I61,  IPCC!$A$1473:$E$1496, 2, FALSE) * VLOOKUP('2.LUC'!$I61,  IPCC!$A$1473:$E$1496, 4, FALSE), 0)</f>
        <v/>
      </c>
      <c r="L24" s="3545">
        <f>IF('2.LUC'!$G61 = "YES", luc!$I9 * 2.5 *VLOOKUP('2.LUC'!$I61,  IPCC!$A$1473:$E$1496, 2, FALSE) * VLOOKUP('2.LUC'!$I61,  IPCC!$A$1473:$E$1496, 5, FALSE), 0)</f>
        <v/>
      </c>
      <c r="M24" s="2835">
        <f>K24*methane</f>
        <v/>
      </c>
      <c r="N24" s="2835">
        <f>($I24+$L24)*Nitrous</f>
        <v/>
      </c>
      <c r="O24" s="2836">
        <f>($N24+$M24)/1000</f>
        <v/>
      </c>
      <c r="Q24" s="2949">
        <f>IF($D9="YES", $C41*$K24*methane/1000,0)</f>
        <v/>
      </c>
      <c r="R24" s="2950">
        <f>IF($D9="YES", $E41*$K24*methane/1000,0)</f>
        <v/>
      </c>
      <c r="S24" s="2950">
        <f>IF($D9="YES", $C41*$L24*Nitrous/1000,0)</f>
        <v/>
      </c>
      <c r="T24" s="2950">
        <f>IF($D9="YES", $E41*$L24*Nitrous/1000,0)</f>
        <v/>
      </c>
      <c r="U24" s="2950">
        <f>$C41*$I24*Nitrous/1000</f>
        <v/>
      </c>
      <c r="V24" s="2950">
        <f>$E41*$I24*Nitrous/1000</f>
        <v/>
      </c>
      <c r="W24" s="2950">
        <f>$F24*(IF(D41="Immediate",IF(C41&gt;0,C41*MIN(20,time),0),C41*IF(time&gt;time+20,20,IF(time&lt;20,(time*VLOOKUP(D41, list!$J$48:$K$50,2,))+(time-time),((MIN(20,time)*VLOOKUP(D41, list!$J$48:$K$50,2,))+(time-MIN(20,time))-IF(D41="Exponential",time-20+0.217*time*(EXP(4.606*(20-time)/time)-1),((time-20)^2)*(0.5/time)))))))</f>
        <v/>
      </c>
      <c r="X24" s="2950">
        <f>$F24*(IF(F41="Immediate",IF(E41&gt;0,E41*MIN(20,time),0),E41*IF(time&gt;time+20,20,IF(time&lt;20,(time*VLOOKUP(F41, list!$J$48:$K$50,2,))+(time-time),((MIN(20,time)*VLOOKUP(F41, list!$J$48:$K$50,2,))+(time-MIN(20,time))-IF(F41="Exponential",time-20+0.217*time*(EXP(4.606*(20-time)/time)-1),((time-20)^2)*(0.5/time)))))))</f>
        <v/>
      </c>
      <c r="Y24" s="2950">
        <f>IF($K24&gt;0, $C41, 0)</f>
        <v/>
      </c>
      <c r="Z24" s="2951">
        <f>IF($K24&gt;0, $E41, 0)</f>
        <v/>
      </c>
    </row>
    <row r="25">
      <c r="C25" s="284">
        <f>E10</f>
        <v/>
      </c>
      <c r="D25" s="284">
        <f>F10</f>
        <v/>
      </c>
      <c r="E25" s="3542">
        <f>($K10-$I10)*(-44/12)</f>
        <v/>
      </c>
      <c r="F25" s="4662">
        <f>(($O10-$M10)/20)*(-44/12)</f>
        <v/>
      </c>
      <c r="G25" s="4662">
        <f>($O10-$M10)/20</f>
        <v/>
      </c>
      <c r="H25" s="4662">
        <f>IF($G25&gt;=0,0,IF($C25="Grassland",((-1)*(($G25*1/IPCC!$B$913)*1000)),((-1)*(($G25*1/IPCC!$B$914)*1000))))</f>
        <v/>
      </c>
      <c r="I25" s="2816">
        <f>IF($E10="Please select", 0, $H25*VLOOKUP(moist_type, IPCC!$B$99:$C$101, 2, FALSE)*N2O_N_conversion)</f>
        <v/>
      </c>
      <c r="J25" s="3544">
        <f>IF($D10="YES", $I10*(1/0.4), 0)</f>
        <v/>
      </c>
      <c r="K25" s="3540">
        <f>IF('2.LUC'!$G62 = "YES", J25 *VLOOKUP('2.LUC'!$I62,  IPCC!$A$1473:$E$1496, 2, FALSE) * VLOOKUP('2.LUC'!$I62,  IPCC!$A$1473:$E$1496, 4, FALSE), 0)</f>
        <v/>
      </c>
      <c r="L25" s="3545">
        <f>IF('2.LUC'!$G62 = "YES", luc!$I10 * 2.5 *VLOOKUP('2.LUC'!$I62,  IPCC!$A$1473:$E$1496, 2, FALSE) * VLOOKUP('2.LUC'!$I62,  IPCC!$A$1473:$E$1496, 5, FALSE), 0)</f>
        <v/>
      </c>
      <c r="M25" s="2817">
        <f>K25*methane</f>
        <v/>
      </c>
      <c r="N25" s="2817">
        <f>($I25+$L25)*Nitrous</f>
        <v/>
      </c>
      <c r="O25" s="2837">
        <f>($N25+$M25)/1000</f>
        <v/>
      </c>
      <c r="Q25" s="2952">
        <f>IF($D10="YES", $C42*$K25*methane/1000,0)</f>
        <v/>
      </c>
      <c r="R25" s="2953">
        <f>IF($D10="YES", $E42*$K25*methane/1000,0)</f>
        <v/>
      </c>
      <c r="S25" s="2953">
        <f>IF($D10="YES", $C42*$L25*Nitrous/1000,0)</f>
        <v/>
      </c>
      <c r="T25" s="2953">
        <f>IF($D10="YES", $E42*$L25*Nitrous/1000,0)</f>
        <v/>
      </c>
      <c r="U25" s="2953">
        <f>$C42*$I25*Nitrous/1000</f>
        <v/>
      </c>
      <c r="V25" s="2953">
        <f>$E42*$I25*Nitrous/1000</f>
        <v/>
      </c>
      <c r="W25" s="2953">
        <f>$F25*(IF(D42="Immediate",IF(C42&gt;0,C42*MIN(20,time),0),C42*IF(time&gt;time+20,20,IF(time&lt;20,(time*VLOOKUP(D42, list!$J$48:$K$50,2,))+(time-time),((MIN(20,time)*VLOOKUP(D42, list!$J$48:$K$50,2,))+(time-MIN(20,time))-IF(D42="Exponential",time-20+0.217*time*(EXP(4.606*(20-time)/time)-1),((time-20)^2)*(0.5/time)))))))</f>
        <v/>
      </c>
      <c r="X25" s="2953">
        <f>$F25*(IF(F42="Immediate",IF(E42&gt;0,E42*MIN(20,time),0),E42*IF(time&gt;time+20,20,IF(time&lt;20,(time*VLOOKUP(F42, list!$J$48:$K$50,2,))+(time-time),((MIN(20,time)*VLOOKUP(F42, list!$J$48:$K$50,2,))+(time-MIN(20,time))-IF(F42="Exponential",time-20+0.217*time*(EXP(4.606*(20-time)/time)-1),((time-20)^2)*(0.5/time)))))))</f>
        <v/>
      </c>
      <c r="Y25" s="2953">
        <f>IF($K25&gt;0, $C42, 0)</f>
        <v/>
      </c>
      <c r="Z25" s="2954">
        <f>IF($K25&gt;0, $E42, 0)</f>
        <v/>
      </c>
    </row>
    <row r="26">
      <c r="C26" s="284">
        <f>E11</f>
        <v/>
      </c>
      <c r="D26" s="284">
        <f>F11</f>
        <v/>
      </c>
      <c r="E26" s="3542">
        <f>($K11-$I11)*(-44/12)</f>
        <v/>
      </c>
      <c r="F26" s="4662">
        <f>(($O11-$M11)/20)*(-44/12)</f>
        <v/>
      </c>
      <c r="G26" s="4662">
        <f>($O11-$M11)/20</f>
        <v/>
      </c>
      <c r="H26" s="4662">
        <f>IF($G26&gt;=0,0,IF($C26="Grassland",((-1)*(($G26*1/IPCC!$B$913)*1000)),((-1)*(($G26*1/IPCC!$B$914)*1000))))</f>
        <v/>
      </c>
      <c r="I26" s="2816">
        <f>IF($E11="Please select", 0, $H26*VLOOKUP(moist_type, IPCC!$B$99:$C$101, 2, FALSE)*N2O_N_conversion)</f>
        <v/>
      </c>
      <c r="J26" s="3544">
        <f>IF($D11="YES", $I11*(1/0.4), 0)</f>
        <v/>
      </c>
      <c r="K26" s="3540">
        <f>IF('2.LUC'!$G63 = "YES", J26 *VLOOKUP('2.LUC'!$I63,  IPCC!$A$1473:$E$1496, 2, FALSE) * VLOOKUP('2.LUC'!$I63,  IPCC!$A$1473:$E$1496, 4, FALSE), 0)</f>
        <v/>
      </c>
      <c r="L26" s="3545">
        <f>IF('2.LUC'!$G63 = "YES", luc!$I11 * 2.5 *VLOOKUP('2.LUC'!$I63,  IPCC!$A$1473:$E$1496, 2, FALSE) * VLOOKUP('2.LUC'!$I63,  IPCC!$A$1473:$E$1496, 5, FALSE), 0)</f>
        <v/>
      </c>
      <c r="M26" s="2817">
        <f>K26*methane</f>
        <v/>
      </c>
      <c r="N26" s="2817">
        <f>($I26+$L26)*Nitrous</f>
        <v/>
      </c>
      <c r="O26" s="2837">
        <f>($N26+$M26)/1000</f>
        <v/>
      </c>
      <c r="Q26" s="2952">
        <f>IF($D11="YES", $C43*$K26*methane/1000,0)</f>
        <v/>
      </c>
      <c r="R26" s="2953">
        <f>IF($D11="YES", $E43*$K26*methane/1000,0)</f>
        <v/>
      </c>
      <c r="S26" s="2953">
        <f>IF($D11="YES", $C43*$L26*Nitrous/1000,0)</f>
        <v/>
      </c>
      <c r="T26" s="2953">
        <f>IF($D11="YES", $E43*$L26*Nitrous/1000,0)</f>
        <v/>
      </c>
      <c r="U26" s="2953">
        <f>$C43*$I26*Nitrous/1000</f>
        <v/>
      </c>
      <c r="V26" s="2953">
        <f>$E43*$I26*Nitrous/1000</f>
        <v/>
      </c>
      <c r="W26" s="2953">
        <f>$F26*(IF(D43="Immediate",IF(C43&gt;0,C43*MIN(20,time),0),C43*IF(time&gt;time+20,20,IF(time&lt;20,(time*VLOOKUP(D43, list!$J$48:$K$50,2,))+(time-time),((MIN(20,time)*VLOOKUP(D43, list!$J$48:$K$50,2,))+(time-MIN(20,time))-IF(D43="Exponential",time-20+0.217*time*(EXP(4.606*(20-time)/time)-1),((time-20)^2)*(0.5/time)))))))</f>
        <v/>
      </c>
      <c r="X26" s="2953">
        <f>$F26*(IF(F43="Immediate",IF(E43&gt;0,E43*MIN(20,time),0),E43*IF(time&gt;time+20,20,IF(time&lt;20,(time*VLOOKUP(F43, list!$J$48:$K$50,2,))+(time-time),((MIN(20,time)*VLOOKUP(F43, list!$J$48:$K$50,2,))+(time-MIN(20,time))-IF(F43="Exponential",time-20+0.217*time*(EXP(4.606*(20-time)/time)-1),((time-20)^2)*(0.5/time)))))))</f>
        <v/>
      </c>
      <c r="Y26" s="2953">
        <f>IF($K26&gt;0, $C43, 0)</f>
        <v/>
      </c>
      <c r="Z26" s="2954">
        <f>IF($K26&gt;0, $E43, 0)</f>
        <v/>
      </c>
    </row>
    <row r="27">
      <c r="C27" s="284">
        <f>E12</f>
        <v/>
      </c>
      <c r="D27" s="284">
        <f>F12</f>
        <v/>
      </c>
      <c r="E27" s="3542">
        <f>($K12-$I12)*(-44/12)</f>
        <v/>
      </c>
      <c r="F27" s="4662">
        <f>(($O12-$M12)/20)*(-44/12)</f>
        <v/>
      </c>
      <c r="G27" s="4662">
        <f>($O12-$M12)/20</f>
        <v/>
      </c>
      <c r="H27" s="4662">
        <f>IF($G27&gt;=0,0,IF($C27="Grassland",((-1)*(($G27*1/IPCC!$B$913)*1000)),((-1)*(($G27*1/IPCC!$B$914)*1000))))</f>
        <v/>
      </c>
      <c r="I27" s="2816">
        <f>IF($E12="Please select", 0, $H27*VLOOKUP(moist_type, IPCC!$B$99:$C$101, 2, FALSE)*N2O_N_conversion)</f>
        <v/>
      </c>
      <c r="J27" s="3544">
        <f>IF($D12="YES", $I12*(1/0.4), 0)</f>
        <v/>
      </c>
      <c r="K27" s="3540">
        <f>IF('2.LUC'!$G64 = "YES", J27 *VLOOKUP('2.LUC'!$I64,  IPCC!$A$1473:$E$1496, 2, FALSE) * VLOOKUP('2.LUC'!$I64,  IPCC!$A$1473:$E$1496, 4, FALSE), 0)</f>
        <v/>
      </c>
      <c r="L27" s="3545">
        <f>IF('2.LUC'!$G64 = "YES", luc!$I12 * 2.5 *VLOOKUP('2.LUC'!$I64,  IPCC!$A$1473:$E$1496, 2, FALSE) * VLOOKUP('2.LUC'!$I64,  IPCC!$A$1473:$E$1496, 5, FALSE), 0)</f>
        <v/>
      </c>
      <c r="M27" s="2817">
        <f>K27*methane</f>
        <v/>
      </c>
      <c r="N27" s="2817">
        <f>($I27+$L27)*Nitrous</f>
        <v/>
      </c>
      <c r="O27" s="2837">
        <f>($N27+$M27)/1000</f>
        <v/>
      </c>
      <c r="Q27" s="2952">
        <f>IF($D12="YES", $C44*$K27*methane/1000,0)</f>
        <v/>
      </c>
      <c r="R27" s="2953">
        <f>IF($D12="YES", $E44*$K27*methane/1000,0)</f>
        <v/>
      </c>
      <c r="S27" s="2953">
        <f>IF($D12="YES", $C44*$L27*Nitrous/1000,0)</f>
        <v/>
      </c>
      <c r="T27" s="2953">
        <f>IF($D12="YES", $E44*$L27*Nitrous/1000,0)</f>
        <v/>
      </c>
      <c r="U27" s="2953">
        <f>$C44*$I27*Nitrous/1000</f>
        <v/>
      </c>
      <c r="V27" s="2953">
        <f>$E44*$I27*Nitrous/1000</f>
        <v/>
      </c>
      <c r="W27" s="2953">
        <f>$F27*(IF(D44="Immediate",IF(C44&gt;0,C44*MIN(20,time),0),C44*IF(time&gt;time+20,20,IF(time&lt;20,(time*VLOOKUP(D44, list!$J$48:$K$50,2,))+(time-time),((MIN(20,time)*VLOOKUP(D44, list!$J$48:$K$50,2,))+(time-MIN(20,time))-IF(D44="Exponential",time-20+0.217*time*(EXP(4.606*(20-time)/time)-1),((time-20)^2)*(0.5/time)))))))</f>
        <v/>
      </c>
      <c r="X27" s="2953">
        <f>$F27*(IF(F44="Immediate",IF(E44&gt;0,E44*MIN(20,time),0),E44*IF(time&gt;time+20,20,IF(time&lt;20,(time*VLOOKUP(F44, list!$J$48:$K$50,2,))+(time-time),((MIN(20,time)*VLOOKUP(F44, list!$J$48:$K$50,2,))+(time-MIN(20,time))-IF(F44="Exponential",time-20+0.217*time*(EXP(4.606*(20-time)/time)-1),((time-20)^2)*(0.5/time)))))))</f>
        <v/>
      </c>
      <c r="Y27" s="2953">
        <f>IF($K27&gt;0, $C44, 0)</f>
        <v/>
      </c>
      <c r="Z27" s="2954">
        <f>IF($K27&gt;0, $E44, 0)</f>
        <v/>
      </c>
    </row>
    <row r="28">
      <c r="C28" s="284">
        <f>E13</f>
        <v/>
      </c>
      <c r="D28" s="284">
        <f>F13</f>
        <v/>
      </c>
      <c r="E28" s="3542">
        <f>($K13-$I13)*(-44/12)</f>
        <v/>
      </c>
      <c r="F28" s="4662">
        <f>(($O13-$M13)/20)*(-44/12)</f>
        <v/>
      </c>
      <c r="G28" s="4662">
        <f>($O13-$M13)/20</f>
        <v/>
      </c>
      <c r="H28" s="4662">
        <f>IF($G28&gt;=0,0,IF($C28="Grassland",((-1)*(($G28*1/IPCC!$B$913)*1000)),((-1)*(($G28*1/IPCC!$B$914)*1000))))</f>
        <v/>
      </c>
      <c r="I28" s="2816">
        <f>IF($E13="Please select", 0, $H28*VLOOKUP(moist_type, IPCC!$B$99:$C$101, 2, FALSE)*N2O_N_conversion)</f>
        <v/>
      </c>
      <c r="J28" s="3544">
        <f>IF($D13="YES", $I13*(1/0.4), 0)</f>
        <v/>
      </c>
      <c r="K28" s="3540">
        <f>IF('2.LUC'!$G65 = "YES", J28 *VLOOKUP('2.LUC'!$I65,  IPCC!$A$1473:$E$1496, 2, FALSE) * VLOOKUP('2.LUC'!$I65,  IPCC!$A$1473:$E$1496, 4, FALSE), 0)</f>
        <v/>
      </c>
      <c r="L28" s="3545">
        <f>IF('2.LUC'!$G65 = "YES", luc!$I13 * 2.5 *VLOOKUP('2.LUC'!$I65,  IPCC!$A$1473:$E$1496, 2, FALSE) * VLOOKUP('2.LUC'!$I65,  IPCC!$A$1473:$E$1496, 5, FALSE), 0)</f>
        <v/>
      </c>
      <c r="M28" s="2817">
        <f>K28*methane</f>
        <v/>
      </c>
      <c r="N28" s="2817">
        <f>($I28+$L28)*Nitrous</f>
        <v/>
      </c>
      <c r="O28" s="2837">
        <f>($N28+$M28)/1000</f>
        <v/>
      </c>
      <c r="Q28" s="2952">
        <f>IF($D13="YES", $C45*$K28*methane/1000,0)</f>
        <v/>
      </c>
      <c r="R28" s="2953">
        <f>IF($D13="YES", $E45*$K28*methane/1000,0)</f>
        <v/>
      </c>
      <c r="S28" s="2953">
        <f>IF($D13="YES", $C45*$L28*Nitrous/1000,0)</f>
        <v/>
      </c>
      <c r="T28" s="2953">
        <f>IF($D13="YES", $E45*$L28*Nitrous/1000,0)</f>
        <v/>
      </c>
      <c r="U28" s="2953">
        <f>$C45*$I28*Nitrous/1000</f>
        <v/>
      </c>
      <c r="V28" s="2953">
        <f>$E45*$I28*Nitrous/1000</f>
        <v/>
      </c>
      <c r="W28" s="2953">
        <f>$F28*(IF(D45="Immediate",IF(C45&gt;0,C45*MIN(20,time),0),C45*IF(time&gt;time+20,20,IF(time&lt;20,(time*VLOOKUP(D45, list!$J$48:$K$50,2,))+(time-time),((MIN(20,time)*VLOOKUP(D45, list!$J$48:$K$50,2,))+(time-MIN(20,time))-IF(D45="Exponential",time-20+0.217*time*(EXP(4.606*(20-time)/time)-1),((time-20)^2)*(0.5/time)))))))</f>
        <v/>
      </c>
      <c r="X28" s="2953">
        <f>$F28*(IF(F45="Immediate",IF(E45&gt;0,E45*MIN(20,time),0),E45*IF(time&gt;time+20,20,IF(time&lt;20,(time*VLOOKUP(F45, list!$J$48:$K$50,2,))+(time-time),((MIN(20,time)*VLOOKUP(F45, list!$J$48:$K$50,2,))+(time-MIN(20,time))-IF(F45="Exponential",time-20+0.217*time*(EXP(4.606*(20-time)/time)-1),((time-20)^2)*(0.5/time)))))))</f>
        <v/>
      </c>
      <c r="Y28" s="2953">
        <f>IF($K28&gt;0, $C45, 0)</f>
        <v/>
      </c>
      <c r="Z28" s="2954">
        <f>IF($K28&gt;0, $E45, 0)</f>
        <v/>
      </c>
    </row>
    <row r="29">
      <c r="C29" s="284">
        <f>E14</f>
        <v/>
      </c>
      <c r="D29" s="284">
        <f>F14</f>
        <v/>
      </c>
      <c r="E29" s="3542">
        <f>($K14-$I14)*(-44/12)</f>
        <v/>
      </c>
      <c r="F29" s="4662">
        <f>(($O14-$M14)/20)*(-44/12)</f>
        <v/>
      </c>
      <c r="G29" s="4662">
        <f>($O14-$M14)/20</f>
        <v/>
      </c>
      <c r="H29" s="4662">
        <f>IF($G29&gt;=0,0,IF($C29="Grassland",((-1)*(($G29*1/IPCC!$B$913)*1000)),((-1)*(($G29*1/IPCC!$B$914)*1000))))</f>
        <v/>
      </c>
      <c r="I29" s="2816">
        <f>IF($E14="Please select", 0, $H29*VLOOKUP(moist_type, IPCC!$B$99:$C$101, 2, FALSE)*N2O_N_conversion)</f>
        <v/>
      </c>
      <c r="J29" s="3544">
        <f>IF($D14="YES", $I14*(1/0.4), 0)</f>
        <v/>
      </c>
      <c r="K29" s="3540">
        <f>IF('2.LUC'!$G66 = "YES", J29 *VLOOKUP('2.LUC'!$I66,  IPCC!$A$1473:$E$1496, 2, FALSE) * VLOOKUP('2.LUC'!$I66,  IPCC!$A$1473:$E$1496, 4, FALSE), 0)</f>
        <v/>
      </c>
      <c r="L29" s="3545">
        <f>IF('2.LUC'!$G66 = "YES", luc!$I14 * 2.5 *VLOOKUP('2.LUC'!$I66,  IPCC!$A$1473:$E$1496, 2, FALSE) * VLOOKUP('2.LUC'!$I66,  IPCC!$A$1473:$E$1496, 5, FALSE), 0)</f>
        <v/>
      </c>
      <c r="M29" s="2817">
        <f>K29*methane</f>
        <v/>
      </c>
      <c r="N29" s="2817">
        <f>($I29+$L29)*Nitrous</f>
        <v/>
      </c>
      <c r="O29" s="2837">
        <f>($N29+$M29)/1000</f>
        <v/>
      </c>
      <c r="Q29" s="2952">
        <f>IF($D14="YES", $C46*$K29*methane/1000,0)</f>
        <v/>
      </c>
      <c r="R29" s="2953">
        <f>IF($D14="YES", $E46*$K29*methane/1000,0)</f>
        <v/>
      </c>
      <c r="S29" s="2953">
        <f>IF($D14="YES", $C46*$L29*Nitrous/1000,0)</f>
        <v/>
      </c>
      <c r="T29" s="2953">
        <f>IF($D14="YES", $E46*$L29*Nitrous/1000,0)</f>
        <v/>
      </c>
      <c r="U29" s="2953">
        <f>$C46*$I29*Nitrous/1000</f>
        <v/>
      </c>
      <c r="V29" s="2953">
        <f>$E46*$I29*Nitrous/1000</f>
        <v/>
      </c>
      <c r="W29" s="2953">
        <f>$F29*(IF(D46="Immediate",IF(C46&gt;0,C46*MIN(20,time),0),C46*IF(time&gt;time+20,20,IF(time&lt;20,(time*VLOOKUP(D46, list!$J$48:$K$50,2,))+(time-time),((MIN(20,time)*VLOOKUP(D46, list!$J$48:$K$50,2,))+(time-MIN(20,time))-IF(D46="Exponential",time-20+0.217*time*(EXP(4.606*(20-time)/time)-1),((time-20)^2)*(0.5/time)))))))</f>
        <v/>
      </c>
      <c r="X29" s="2953">
        <f>$F29*(IF(F46="Immediate",IF(E46&gt;0,E46*MIN(20,time),0),E46*IF(time&gt;time+20,20,IF(time&lt;20,(time*VLOOKUP(F46, list!$J$48:$K$50,2,))+(time-time),((MIN(20,time)*VLOOKUP(F46, list!$J$48:$K$50,2,))+(time-MIN(20,time))-IF(F46="Exponential",time-20+0.217*time*(EXP(4.606*(20-time)/time)-1),((time-20)^2)*(0.5/time)))))))</f>
        <v/>
      </c>
      <c r="Y29" s="2953">
        <f>IF($K29&gt;0, $C46, 0)</f>
        <v/>
      </c>
      <c r="Z29" s="2954">
        <f>IF($K29&gt;0, $E46, 0)</f>
        <v/>
      </c>
    </row>
    <row r="30">
      <c r="C30" s="284">
        <f>E15</f>
        <v/>
      </c>
      <c r="D30" s="284">
        <f>F15</f>
        <v/>
      </c>
      <c r="E30" s="3542">
        <f>($K15-$I15)*(-44/12)</f>
        <v/>
      </c>
      <c r="F30" s="4662">
        <f>(($O15-$M15)/20)*(-44/12)</f>
        <v/>
      </c>
      <c r="G30" s="4662">
        <f>($O15-$M15)/20</f>
        <v/>
      </c>
      <c r="H30" s="4662">
        <f>IF($G30&gt;=0,0,IF($C30="Grassland",((-1)*(($G30*1/IPCC!$B$913)*1000)),((-1)*(($G30*1/IPCC!$B$914)*1000))))</f>
        <v/>
      </c>
      <c r="I30" s="2816">
        <f>IF($E15="Please select", 0, $H30*VLOOKUP(moist_type, IPCC!$B$99:$C$101, 2, FALSE)*N2O_N_conversion)</f>
        <v/>
      </c>
      <c r="J30" s="3544">
        <f>IF($D15="YES", $I15*(1/0.4), 0)</f>
        <v/>
      </c>
      <c r="K30" s="3540">
        <f>IF('2.LUC'!$G67 = "YES", J30 *VLOOKUP('2.LUC'!$I67,  IPCC!$A$1473:$E$1496, 2, FALSE) * VLOOKUP('2.LUC'!$I67,  IPCC!$A$1473:$E$1496, 4, FALSE), 0)</f>
        <v/>
      </c>
      <c r="L30" s="3545">
        <f>IF('2.LUC'!$G67 = "YES", luc!$I15 * 2.5 *VLOOKUP('2.LUC'!$I67,  IPCC!$A$1473:$E$1496, 2, FALSE) * VLOOKUP('2.LUC'!$I67,  IPCC!$A$1473:$E$1496, 5, FALSE), 0)</f>
        <v/>
      </c>
      <c r="M30" s="2817">
        <f>K30*methane</f>
        <v/>
      </c>
      <c r="N30" s="2817">
        <f>($I30+$L30)*Nitrous</f>
        <v/>
      </c>
      <c r="O30" s="2837">
        <f>($N30+$M30)/1000</f>
        <v/>
      </c>
      <c r="Q30" s="2952">
        <f>IF($D15="YES", $C47*$K30*methane/1000,0)</f>
        <v/>
      </c>
      <c r="R30" s="2953">
        <f>IF($D15="YES", $E47*$K30*methane/1000,0)</f>
        <v/>
      </c>
      <c r="S30" s="2953">
        <f>IF($D15="YES", $C47*$L30*Nitrous/1000,0)</f>
        <v/>
      </c>
      <c r="T30" s="2953">
        <f>IF($D15="YES", $E47*$L30*Nitrous/1000,0)</f>
        <v/>
      </c>
      <c r="U30" s="2953">
        <f>$C47*$I30*Nitrous/1000</f>
        <v/>
      </c>
      <c r="V30" s="2953">
        <f>$E47*$I30*Nitrous/1000</f>
        <v/>
      </c>
      <c r="W30" s="2953">
        <f>$F30*(IF(D47="Immediate",IF(C47&gt;0,C47*MIN(20,time),0),C47*IF(time&gt;time+20,20,IF(time&lt;20,(time*VLOOKUP(D47, list!$J$48:$K$50,2,))+(time-time),((MIN(20,time)*VLOOKUP(D47, list!$J$48:$K$50,2,))+(time-MIN(20,time))-IF(D47="Exponential",time-20+0.217*time*(EXP(4.606*(20-time)/time)-1),((time-20)^2)*(0.5/time)))))))</f>
        <v/>
      </c>
      <c r="X30" s="2953">
        <f>$F30*(IF(F47="Immediate",IF(E47&gt;0,E47*MIN(20,time),0),E47*IF(time&gt;time+20,20,IF(time&lt;20,(time*VLOOKUP(F47, list!$J$48:$K$50,2,))+(time-time),((MIN(20,time)*VLOOKUP(F47, list!$J$48:$K$50,2,))+(time-MIN(20,time))-IF(F47="Exponential",time-20+0.217*time*(EXP(4.606*(20-time)/time)-1),((time-20)^2)*(0.5/time)))))))</f>
        <v/>
      </c>
      <c r="Y30" s="2953">
        <f>IF($K30&gt;0, $C47, 0)</f>
        <v/>
      </c>
      <c r="Z30" s="2954">
        <f>IF($K30&gt;0, $E47, 0)</f>
        <v/>
      </c>
    </row>
    <row r="31">
      <c r="C31" s="284">
        <f>E16</f>
        <v/>
      </c>
      <c r="D31" s="284">
        <f>F16</f>
        <v/>
      </c>
      <c r="E31" s="3542">
        <f>($K16-$I16)*(-44/12)</f>
        <v/>
      </c>
      <c r="F31" s="4662">
        <f>(($O16-$M16)/20)*(-44/12)</f>
        <v/>
      </c>
      <c r="G31" s="4662">
        <f>($O16-$M16)/20</f>
        <v/>
      </c>
      <c r="H31" s="4662">
        <f>IF($G31&gt;=0,0,IF($C31="Grassland",((-1)*(($G31*1/IPCC!$B$913)*1000)),((-1)*(($G31*1/IPCC!$B$914)*1000))))</f>
        <v/>
      </c>
      <c r="I31" s="2816">
        <f>IF($E16="Please select", 0, $H31*VLOOKUP(moist_type, IPCC!$B$99:$C$101, 2, FALSE)*N2O_N_conversion)</f>
        <v/>
      </c>
      <c r="J31" s="3544">
        <f>IF($D16="YES", $I16*(1/0.4), 0)</f>
        <v/>
      </c>
      <c r="K31" s="3540">
        <f>IF('2.LUC'!$G68 = "YES", J31 *VLOOKUP('2.LUC'!$I68,  IPCC!$A$1473:$E$1496, 2, FALSE) * VLOOKUP('2.LUC'!$I68,  IPCC!$A$1473:$E$1496, 4, FALSE), 0)</f>
        <v/>
      </c>
      <c r="L31" s="3545">
        <f>IF('2.LUC'!$G68 = "YES", luc!$I16 * 2.5 *VLOOKUP('2.LUC'!$I68,  IPCC!$A$1473:$E$1496, 2, FALSE) * VLOOKUP('2.LUC'!$I68,  IPCC!$A$1473:$E$1496, 5, FALSE), 0)</f>
        <v/>
      </c>
      <c r="M31" s="2817">
        <f>K31*methane</f>
        <v/>
      </c>
      <c r="N31" s="2817">
        <f>($I31+$L31)*Nitrous</f>
        <v/>
      </c>
      <c r="O31" s="2837">
        <f>($N31+$M31)/1000</f>
        <v/>
      </c>
      <c r="Q31" s="2952">
        <f>IF($D16="YES", $C48*$K31*methane/1000,0)</f>
        <v/>
      </c>
      <c r="R31" s="2953">
        <f>IF($D16="YES", $E48*$K31*methane/1000,0)</f>
        <v/>
      </c>
      <c r="S31" s="2953">
        <f>IF($D16="YES", $C48*$L31*Nitrous/1000,0)</f>
        <v/>
      </c>
      <c r="T31" s="2953">
        <f>IF($D16="YES", $E48*$L31*Nitrous/1000,0)</f>
        <v/>
      </c>
      <c r="U31" s="2953">
        <f>$C48*$I31*Nitrous/1000</f>
        <v/>
      </c>
      <c r="V31" s="2953">
        <f>$E48*$I31*Nitrous/1000</f>
        <v/>
      </c>
      <c r="W31" s="2953">
        <f>$F31*(IF(D48="Immediate",IF(C48&gt;0,C48*MIN(20,time),0),C48*IF(time&gt;time+20,20,IF(time&lt;20,(time*VLOOKUP(D48, list!$J$48:$K$50,2,))+(time-time),((MIN(20,time)*VLOOKUP(D48, list!$J$48:$K$50,2,))+(time-MIN(20,time))-IF(D48="Exponential",time-20+0.217*time*(EXP(4.606*(20-time)/time)-1),((time-20)^2)*(0.5/time)))))))</f>
        <v/>
      </c>
      <c r="X31" s="2953">
        <f>$F31*(IF(F48="Immediate",IF(E48&gt;0,E48*MIN(20,time),0),E48*IF(time&gt;time+20,20,IF(time&lt;20,(time*VLOOKUP(F48, list!$J$48:$K$50,2,))+(time-time),((MIN(20,time)*VLOOKUP(F48, list!$J$48:$K$50,2,))+(time-MIN(20,time))-IF(F48="Exponential",time-20+0.217*time*(EXP(4.606*(20-time)/time)-1),((time-20)^2)*(0.5/time)))))))</f>
        <v/>
      </c>
      <c r="Y31" s="2953">
        <f>IF($K31&gt;0, $C48, 0)</f>
        <v/>
      </c>
      <c r="Z31" s="2954">
        <f>IF($K31&gt;0, $E48, 0)</f>
        <v/>
      </c>
    </row>
    <row r="32">
      <c r="C32" s="284">
        <f>E17</f>
        <v/>
      </c>
      <c r="D32" s="284">
        <f>F17</f>
        <v/>
      </c>
      <c r="E32" s="3542">
        <f>($K17-$I17)*(-44/12)</f>
        <v/>
      </c>
      <c r="F32" s="4662">
        <f>(($O17-$M17)/20)*(-44/12)</f>
        <v/>
      </c>
      <c r="G32" s="4662">
        <f>($O17-$M17)/20</f>
        <v/>
      </c>
      <c r="H32" s="4662">
        <f>IF($G32&gt;=0,0,IF($C32="Grassland",((-1)*(($G32*1/IPCC!$B$913)*1000)),((-1)*(($G32*1/IPCC!$B$914)*1000))))</f>
        <v/>
      </c>
      <c r="I32" s="2816">
        <f>IF($E17="Please select", 0, $H32*VLOOKUP(moist_type, IPCC!$B$99:$C$101, 2, FALSE)*N2O_N_conversion)</f>
        <v/>
      </c>
      <c r="J32" s="3544">
        <f>IF($D17="YES", $I17*(1/0.4), 0)</f>
        <v/>
      </c>
      <c r="K32" s="3540">
        <f>IF('2.LUC'!$G69 = "YES", J32 *VLOOKUP('2.LUC'!$I69,  IPCC!$A$1473:$E$1496, 2, FALSE) * VLOOKUP('2.LUC'!$I69,  IPCC!$A$1473:$E$1496, 4, FALSE), 0)</f>
        <v/>
      </c>
      <c r="L32" s="3545">
        <f>IF('2.LUC'!$G69 = "YES", luc!$I17 * 2.5 *VLOOKUP('2.LUC'!$I69,  IPCC!$A$1473:$E$1496, 2, FALSE) * VLOOKUP('2.LUC'!$I69,  IPCC!$A$1473:$E$1496, 5, FALSE), 0)</f>
        <v/>
      </c>
      <c r="M32" s="2817">
        <f>K32*methane</f>
        <v/>
      </c>
      <c r="N32" s="2817">
        <f>($I32+$L32)*Nitrous</f>
        <v/>
      </c>
      <c r="O32" s="2837">
        <f>($N32+$M32)/1000</f>
        <v/>
      </c>
      <c r="Q32" s="2952">
        <f>IF($D17="YES", $C49*$K32*methane/1000,0)</f>
        <v/>
      </c>
      <c r="R32" s="2953">
        <f>IF($D17="YES", $E49*$K32*methane/1000,0)</f>
        <v/>
      </c>
      <c r="S32" s="2953">
        <f>IF($D17="YES", $C49*$L32*Nitrous/1000,0)</f>
        <v/>
      </c>
      <c r="T32" s="2953">
        <f>IF($D17="YES", $E49*$L32*Nitrous/1000,0)</f>
        <v/>
      </c>
      <c r="U32" s="2953">
        <f>$C49*$I32*Nitrous/1000</f>
        <v/>
      </c>
      <c r="V32" s="2953">
        <f>$E49*$I32*Nitrous/1000</f>
        <v/>
      </c>
      <c r="W32" s="2953">
        <f>$F32*(IF(D49="Immediate",IF(C49&gt;0,C49*MIN(20,time),0),C49*IF(time&gt;time+20,20,IF(time&lt;20,(time*VLOOKUP(D49, list!$J$48:$K$50,2,))+(time-time),((MIN(20,time)*VLOOKUP(D49, list!$J$48:$K$50,2,))+(time-MIN(20,time))-IF(D49="Exponential",time-20+0.217*time*(EXP(4.606*(20-time)/time)-1),((time-20)^2)*(0.5/time)))))))</f>
        <v/>
      </c>
      <c r="X32" s="2953">
        <f>$F32*(IF(F49="Immediate",IF(E49&gt;0,E49*MIN(20,time),0),E49*IF(time&gt;time+20,20,IF(time&lt;20,(time*VLOOKUP(F49, list!$J$48:$K$50,2,))+(time-time),((MIN(20,time)*VLOOKUP(F49, list!$J$48:$K$50,2,))+(time-MIN(20,time))-IF(F49="Exponential",time-20+0.217*time*(EXP(4.606*(20-time)/time)-1),((time-20)^2)*(0.5/time)))))))</f>
        <v/>
      </c>
      <c r="Y32" s="2953">
        <f>IF($K32&gt;0, $C49, 0)</f>
        <v/>
      </c>
      <c r="Z32" s="2954">
        <f>IF($K32&gt;0, $E49, 0)</f>
        <v/>
      </c>
    </row>
    <row r="33">
      <c r="C33" s="284">
        <f>E18</f>
        <v/>
      </c>
      <c r="D33" s="284">
        <f>F18</f>
        <v/>
      </c>
      <c r="E33" s="3542">
        <f>($K18-$I18)*(-44/12)</f>
        <v/>
      </c>
      <c r="F33" s="4662">
        <f>(($O18-$M18)/20)*(-44/12)</f>
        <v/>
      </c>
      <c r="G33" s="4662">
        <f>($O18-$M18)/20</f>
        <v/>
      </c>
      <c r="H33" s="4662">
        <f>IF($G33&gt;=0,0,IF($C33="Grassland",((-1)*(($G33*1/IPCC!$B$913)*1000)),((-1)*(($G33*1/IPCC!$B$914)*1000))))</f>
        <v/>
      </c>
      <c r="I33" s="2838">
        <f>IF($E18="Please select", 0, $H33*VLOOKUP(moist_type, IPCC!$B$99:$C$101, 2, FALSE)*N2O_N_conversion)</f>
        <v/>
      </c>
      <c r="J33" s="3544">
        <f>IF($D18="YES", $I18*(1/0.4), 0)</f>
        <v/>
      </c>
      <c r="K33" s="3546">
        <f>IF('2.LUC'!$G70 = "YES", J33 *VLOOKUP('2.LUC'!$I70,  IPCC!$A$1473:$E$1496, 2, FALSE) * VLOOKUP('2.LUC'!$I70,  IPCC!$A$1473:$E$1496, 4, FALSE), 0)</f>
        <v/>
      </c>
      <c r="L33" s="3545">
        <f>IF('2.LUC'!$G70 = "YES", luc!$I18 * 2.5 *VLOOKUP('2.LUC'!$I70,  IPCC!$A$1473:$E$1496, 2, FALSE) * VLOOKUP('2.LUC'!$I70,  IPCC!$A$1473:$E$1496, 5, FALSE), 0)</f>
        <v/>
      </c>
      <c r="M33" s="2839">
        <f>K33*methane</f>
        <v/>
      </c>
      <c r="N33" s="2839">
        <f>($I33+$L33)*Nitrous</f>
        <v/>
      </c>
      <c r="O33" s="2840">
        <f>($N33+$M33)/1000</f>
        <v/>
      </c>
      <c r="Q33" s="2955">
        <f>IF($D18="YES", $C50*$K33*methane/1000,0)</f>
        <v/>
      </c>
      <c r="R33" s="2956">
        <f>IF($D18="YES", $E50*$K33*methane/1000,0)</f>
        <v/>
      </c>
      <c r="S33" s="2956">
        <f>IF($D18="YES", $C50*$L33*Nitrous/1000,0)</f>
        <v/>
      </c>
      <c r="T33" s="2956">
        <f>IF($D18="YES", $E50*$L33*Nitrous/1000,0)</f>
        <v/>
      </c>
      <c r="U33" s="2956">
        <f>$C50*$I33*Nitrous/1000</f>
        <v/>
      </c>
      <c r="V33" s="2956">
        <f>$E50*$I33*Nitrous/1000</f>
        <v/>
      </c>
      <c r="W33" s="2956">
        <f>$F33*(IF(D50="Immediate",IF(C50&gt;0,C50*MIN(20,time),0),C50*IF(time&gt;time+20,20,IF(time&lt;20,(time*VLOOKUP(D50, list!$J$48:$K$50,2,))+(time-time),((MIN(20,time)*VLOOKUP(D50, list!$J$48:$K$50,2,))+(time-MIN(20,time))-IF(D50="Exponential",time-20+0.217*time*(EXP(4.606*(20-time)/time)-1),((time-20)^2)*(0.5/time)))))))</f>
        <v/>
      </c>
      <c r="X33" s="2956">
        <f>$F33*(IF(F50="Immediate",IF(E50&gt;0,E50*MIN(20,time),0),E50*IF(time&gt;time+20,20,IF(time&lt;20,(time*VLOOKUP(F50, list!$J$48:$K$50,2,))+(time-time),((MIN(20,time)*VLOOKUP(F50, list!$J$48:$K$50,2,))+(time-MIN(20,time))-IF(F50="Exponential",time-20+0.217*time*(EXP(4.606*(20-time)/time)-1),((time-20)^2)*(0.5/time)))))))</f>
        <v/>
      </c>
      <c r="Y33" s="2956">
        <f>IF($K33&gt;0, $C50, 0)</f>
        <v/>
      </c>
      <c r="Z33" s="2957">
        <f>IF($K33&gt;0, $E50, 0)</f>
        <v/>
      </c>
    </row>
    <row r="34">
      <c r="Y34" s="2948">
        <f>SUM(Y24:Y33)</f>
        <v/>
      </c>
      <c r="Z34" s="2948">
        <f>SUM(Z24:Z33)</f>
        <v/>
      </c>
    </row>
    <row r="37">
      <c r="B37" s="2841" t="inlineStr">
        <is>
          <t>GHG emissions</t>
        </is>
      </c>
      <c r="C37" s="2841" t="n"/>
      <c r="D37" s="383" t="n"/>
      <c r="E37" s="383" t="n"/>
      <c r="F37" s="383" t="n"/>
      <c r="G37" s="383" t="n"/>
      <c r="H37" s="383" t="n"/>
      <c r="I37" s="383" t="n"/>
      <c r="J37" s="383" t="n"/>
      <c r="K37" s="383" t="n"/>
      <c r="L37" s="383" t="n"/>
      <c r="M37" s="383" t="n"/>
      <c r="N37" s="383" t="n"/>
      <c r="O37" s="383" t="n"/>
    </row>
    <row r="38">
      <c r="B38" s="3485" t="n"/>
      <c r="C38" s="2842" t="inlineStr">
        <is>
          <t>Area associated with non-forest LU changes</t>
        </is>
      </c>
      <c r="D38" s="2843" t="n"/>
      <c r="E38" s="2843" t="n"/>
      <c r="F38" s="2843" t="n"/>
      <c r="G38" s="2844" t="inlineStr">
        <is>
          <t>Biomass Change</t>
        </is>
      </c>
      <c r="H38" s="480" t="n"/>
      <c r="I38" s="3547" t="inlineStr">
        <is>
          <t>SOC Change</t>
        </is>
      </c>
      <c r="J38" s="480" t="n"/>
      <c r="K38" s="2842" t="inlineStr">
        <is>
          <t>Emissions from Fire + N mineralised</t>
        </is>
      </c>
      <c r="L38" s="480" t="n"/>
      <c r="M38" s="2843" t="inlineStr">
        <is>
          <t>Total Balance</t>
        </is>
      </c>
      <c r="N38" s="2843" t="n"/>
      <c r="O38" s="3549" t="inlineStr">
        <is>
          <t>Balance</t>
        </is>
      </c>
    </row>
    <row r="39">
      <c r="B39" s="3485" t="n"/>
      <c r="C39" s="2845" t="inlineStr">
        <is>
          <t>Without Project</t>
        </is>
      </c>
      <c r="D39" s="2845" t="n"/>
      <c r="E39" s="2846" t="inlineStr">
        <is>
          <t>With Project</t>
        </is>
      </c>
      <c r="F39" s="2847" t="n"/>
      <c r="G39" s="3246" t="inlineStr">
        <is>
          <t>Without Project</t>
        </is>
      </c>
      <c r="H39" s="3548" t="inlineStr">
        <is>
          <t>With Project</t>
        </is>
      </c>
      <c r="I39" s="3246" t="inlineStr">
        <is>
          <t>Without Project</t>
        </is>
      </c>
      <c r="J39" s="3548" t="inlineStr">
        <is>
          <t>With Project</t>
        </is>
      </c>
      <c r="K39" s="3246" t="inlineStr">
        <is>
          <t>Without Project</t>
        </is>
      </c>
      <c r="L39" s="3548" t="inlineStr">
        <is>
          <t>With Project</t>
        </is>
      </c>
      <c r="M39" s="3246" t="inlineStr">
        <is>
          <t>Without Project</t>
        </is>
      </c>
      <c r="N39" s="3548" t="inlineStr">
        <is>
          <t>With Project</t>
        </is>
      </c>
      <c r="O39" s="480" t="n"/>
    </row>
    <row r="40">
      <c r="B40" s="3485" t="inlineStr">
        <is>
          <t>SI</t>
        </is>
      </c>
      <c r="C40" s="2848" t="inlineStr">
        <is>
          <t>Area (ha)</t>
        </is>
      </c>
      <c r="D40" s="2848" t="inlineStr">
        <is>
          <t>Rate</t>
        </is>
      </c>
      <c r="E40" s="2847" t="inlineStr">
        <is>
          <t>Area (ha)</t>
        </is>
      </c>
      <c r="F40" s="2847" t="inlineStr">
        <is>
          <t>Rate</t>
        </is>
      </c>
      <c r="G40" s="3246" t="inlineStr">
        <is>
          <t>tCO2</t>
        </is>
      </c>
      <c r="H40" s="3548" t="inlineStr">
        <is>
          <t>tCO2</t>
        </is>
      </c>
      <c r="I40" s="3246" t="inlineStr">
        <is>
          <t>tCO2</t>
        </is>
      </c>
      <c r="J40" s="3548" t="inlineStr">
        <is>
          <t>tCO2</t>
        </is>
      </c>
      <c r="K40" s="3246" t="inlineStr">
        <is>
          <t>tCO2</t>
        </is>
      </c>
      <c r="L40" s="3548" t="inlineStr">
        <is>
          <t>tCO2</t>
        </is>
      </c>
      <c r="M40" s="3246" t="inlineStr">
        <is>
          <t>tCO2</t>
        </is>
      </c>
      <c r="N40" s="3548" t="inlineStr">
        <is>
          <t>tCO2</t>
        </is>
      </c>
      <c r="O40" s="3549" t="inlineStr">
        <is>
          <t>tCO2</t>
        </is>
      </c>
    </row>
    <row r="41">
      <c r="B41" s="674" t="n">
        <v>1</v>
      </c>
      <c r="C41" s="682">
        <f>'2.LUC'!$N61</f>
        <v/>
      </c>
      <c r="D41" s="682">
        <f>VLOOKUP('2.LUC'!$O61, list!$I$48:$J$50,2,FALSE )</f>
        <v/>
      </c>
      <c r="E41" s="682">
        <f>'2.LUC'!$P61</f>
        <v/>
      </c>
      <c r="F41" s="682">
        <f>VLOOKUP('2.LUC'!$Q61, list!$I$48:$J$50,2,FALSE )</f>
        <v/>
      </c>
      <c r="G41" s="3550">
        <f>$C41*$E24</f>
        <v/>
      </c>
      <c r="H41" s="3544">
        <f>$E41*$E24</f>
        <v/>
      </c>
      <c r="I41" s="3544">
        <f>IF(ABS($F24*(IF(D41="Immediate",IF(C41&gt;0,C41*MIN(20,time_tot),0),C41*IF(time_tot&gt;time+20,20,IF(time_tot&lt;20,(time*VLOOKUP(D41, list!$J$48:$K$50,2,))+(time_tot-time),((MIN(20,time)*VLOOKUP(D41, list!$J$48:$K$50,2,))+(time_tot-MIN(20,time))-IF(D41="Exponential",time_tot-20+0.217*time*(EXP(4.606*(20-time_tot)/time)-1),((time_tot-20)^2)*(0.5/time))))))))&gt;=ABS(F24*C41*20),F24*C41*20,$F24*(IF(D41="Immediate",IF(C41&gt;0,C41*MIN(20,time_tot),0),C41*IF(time_tot&gt;time+20,20,IF(time_tot&lt;20,(time*VLOOKUP(D41, list!$J$48:$K$50,2,))+(time_tot-time),((MIN(20,time)*VLOOKUP(D41, list!$J$48:$K$50,2,))+(time_tot-MIN(20,time))-IF(D41="Exponential",time_tot-20+0.217*time*(EXP(4.606*(20-time_tot)/time)-1),((time_tot-20)^2)*(0.5/time))))))))</f>
        <v/>
      </c>
      <c r="J41" s="3544">
        <f>IF(ABS($F24*(IF(F41="Immediate",IF(E41&gt;0,E41*MIN(20,time_tot),0),E41*IF(time_tot&gt;time+20,20,IF(time_tot&lt;20,(time*VLOOKUP(F41, list!$J$48:$K$50,2,))+(time_tot-time),((MIN(20,time)*VLOOKUP(F41, list!$J$48:$K$50,2,))+(time_tot-MIN(20,time))-IF(F41="Exponential",time_tot-20+0.217*time*(EXP(4.606*(20-time_tot)/time)-1),((time_tot-20)^2)*(0.5/time))))))))&gt;=ABS(F24*E41*20),F24*E41*20,$F24*(IF(F41="Immediate",IF(E41&gt;0,E41*MIN(20,time_tot),0),E41*IF(time_tot&gt;time+20,20,IF(time_tot&lt;20,(time*VLOOKUP(F41, list!$J$48:$K$50,2,))+(time_tot-time),((MIN(20,time)*VLOOKUP(F41, list!$J$48:$K$50,2,))+(time_tot-MIN(20,time))-IF(F41="Exponential",time_tot-20+0.217*time*(EXP(4.606*(20-time_tot)/time)-1),((time_tot-20)^2)*(0.5/time))))))))</f>
        <v/>
      </c>
      <c r="K41" s="3544">
        <f>$C41*$O24</f>
        <v/>
      </c>
      <c r="L41" s="3544">
        <f>$E41*$O24</f>
        <v/>
      </c>
      <c r="M41" s="3544">
        <f>$G41+$I41+$K41</f>
        <v/>
      </c>
      <c r="N41" s="3544">
        <f>H41+J41+L41</f>
        <v/>
      </c>
      <c r="O41" s="3551">
        <f>$N41-$M41</f>
        <v/>
      </c>
    </row>
    <row r="42">
      <c r="B42" s="674" t="n">
        <v>2</v>
      </c>
      <c r="C42" s="682">
        <f>'2.LUC'!$N62</f>
        <v/>
      </c>
      <c r="D42" s="682">
        <f>VLOOKUP('2.LUC'!$O62, list!$I$48:$J$50,2,FALSE )</f>
        <v/>
      </c>
      <c r="E42" s="682">
        <f>'2.LUC'!$P62</f>
        <v/>
      </c>
      <c r="F42" s="682">
        <f>VLOOKUP('2.LUC'!$Q62, list!$I$48:$J$50,2,FALSE )</f>
        <v/>
      </c>
      <c r="G42" s="3244">
        <f>$C42*$E25</f>
        <v/>
      </c>
      <c r="H42" s="3245">
        <f>$E42*$E25</f>
        <v/>
      </c>
      <c r="I42" s="3544">
        <f>IF(ABS($F25*(IF(D42="Immediate",IF(C42&gt;0,C42*MIN(20,time_tot),0),C42*IF(time_tot&gt;time+20,20,IF(time_tot&lt;20,(time*VLOOKUP(D42, list!$J$48:$K$50,2,))+(time_tot-time),((MIN(20,time)*VLOOKUP(D42, list!$J$48:$K$50,2,))+(time_tot-MIN(20,time))-IF(D42="Exponential",time_tot-20+0.217*time*(EXP(4.606*(20-time_tot)/time)-1),((time_tot-20)^2)*(0.5/time))))))))&gt;=ABS(F25*C42*20),F25*C42*20,$F25*(IF(D42="Immediate",IF(C42&gt;0,C42*MIN(20,time_tot),0),C42*IF(time_tot&gt;time+20,20,IF(time_tot&lt;20,(time*VLOOKUP(D42, list!$J$48:$K$50,2,))+(time_tot-time),((MIN(20,time)*VLOOKUP(D42, list!$J$48:$K$50,2,))+(time_tot-MIN(20,time))-IF(D42="Exponential",time_tot-20+0.217*time*(EXP(4.606*(20-time_tot)/time)-1),((time_tot-20)^2)*(0.5/time))))))))</f>
        <v/>
      </c>
      <c r="J42" s="3544">
        <f>IF(ABS($F25*(IF(F42="Immediate",IF(E42&gt;0,E42*MIN(20,time_tot),0),E42*IF(time_tot&gt;time+20,20,IF(time_tot&lt;20,(time*VLOOKUP(F42, list!$J$48:$K$50,2,))+(time_tot-time),((MIN(20,time)*VLOOKUP(F42, list!$J$48:$K$50,2,))+(time_tot-MIN(20,time))-IF(F42="Exponential",time_tot-20+0.217*time*(EXP(4.606*(20-time_tot)/time)-1),((time_tot-20)^2)*(0.5/time))))))))&gt;=ABS(F25*E42*20),F25*E42*20,$F25*(IF(F42="Immediate",IF(E42&gt;0,E42*MIN(20,time_tot),0),E42*IF(time_tot&gt;time+20,20,IF(time_tot&lt;20,(time*VLOOKUP(F42, list!$J$48:$K$50,2,))+(time_tot-time),((MIN(20,time)*VLOOKUP(F42, list!$J$48:$K$50,2,))+(time_tot-MIN(20,time))-IF(F42="Exponential",time_tot-20+0.217*time*(EXP(4.606*(20-time_tot)/time)-1),((time_tot-20)^2)*(0.5/time))))))))</f>
        <v/>
      </c>
      <c r="K42" s="3245">
        <f>$C42*$O25</f>
        <v/>
      </c>
      <c r="L42" s="3245">
        <f>$E42*$O25</f>
        <v/>
      </c>
      <c r="M42" s="3245">
        <f>$G42+$I42+$K42</f>
        <v/>
      </c>
      <c r="N42" s="3245">
        <f>H42+J42+L42</f>
        <v/>
      </c>
      <c r="O42" s="3552">
        <f>$N42-$M42</f>
        <v/>
      </c>
    </row>
    <row r="43">
      <c r="B43" s="674" t="n">
        <v>3</v>
      </c>
      <c r="C43" s="682">
        <f>'2.LUC'!$N63</f>
        <v/>
      </c>
      <c r="D43" s="682">
        <f>VLOOKUP('2.LUC'!$O63, list!$I$48:$J$50,2,FALSE )</f>
        <v/>
      </c>
      <c r="E43" s="682">
        <f>'2.LUC'!$P63</f>
        <v/>
      </c>
      <c r="F43" s="682">
        <f>VLOOKUP('2.LUC'!$Q63, list!$I$48:$J$50,2,FALSE )</f>
        <v/>
      </c>
      <c r="G43" s="3244">
        <f>$C43*$E26</f>
        <v/>
      </c>
      <c r="H43" s="3245">
        <f>$E43*$E26</f>
        <v/>
      </c>
      <c r="I43" s="3544">
        <f>IF(ABS($F26*(IF(D43="Immediate",IF(C43&gt;0,C43*MIN(20,time_tot),0),C43*IF(time_tot&gt;time+20,20,IF(time_tot&lt;20,(time*VLOOKUP(D43, list!$J$48:$K$50,2,))+(time_tot-time),((MIN(20,time)*VLOOKUP(D43, list!$J$48:$K$50,2,))+(time_tot-MIN(20,time))-IF(D43="Exponential",time_tot-20+0.217*time*(EXP(4.606*(20-time_tot)/time)-1),((time_tot-20)^2)*(0.5/time))))))))&gt;=ABS(F26*C43*20),F26*C43*20,$F26*(IF(D43="Immediate",IF(C43&gt;0,C43*MIN(20,time_tot),0),C43*IF(time_tot&gt;time+20,20,IF(time_tot&lt;20,(time*VLOOKUP(D43, list!$J$48:$K$50,2,))+(time_tot-time),((MIN(20,time)*VLOOKUP(D43, list!$J$48:$K$50,2,))+(time_tot-MIN(20,time))-IF(D43="Exponential",time_tot-20+0.217*time*(EXP(4.606*(20-time_tot)/time)-1),((time_tot-20)^2)*(0.5/time))))))))</f>
        <v/>
      </c>
      <c r="J43" s="3544">
        <f>IF(ABS($F26*(IF(F43="Immediate",IF(E43&gt;0,E43*MIN(20,time_tot),0),E43*IF(time_tot&gt;time+20,20,IF(time_tot&lt;20,(time*VLOOKUP(F43, list!$J$48:$K$50,2,))+(time_tot-time),((MIN(20,time)*VLOOKUP(F43, list!$J$48:$K$50,2,))+(time_tot-MIN(20,time))-IF(F43="Exponential",time_tot-20+0.217*time*(EXP(4.606*(20-time_tot)/time)-1),((time_tot-20)^2)*(0.5/time))))))))&gt;=ABS(F26*E43*20),F26*E43*20,$F26*(IF(F43="Immediate",IF(E43&gt;0,E43*MIN(20,time_tot),0),E43*IF(time_tot&gt;time+20,20,IF(time_tot&lt;20,(time*VLOOKUP(F43, list!$J$48:$K$50,2,))+(time_tot-time),((MIN(20,time)*VLOOKUP(F43, list!$J$48:$K$50,2,))+(time_tot-MIN(20,time))-IF(F43="Exponential",time_tot-20+0.217*time*(EXP(4.606*(20-time_tot)/time)-1),((time_tot-20)^2)*(0.5/time))))))))</f>
        <v/>
      </c>
      <c r="K43" s="3245">
        <f>$C43*$O26</f>
        <v/>
      </c>
      <c r="L43" s="3245">
        <f>$E43*$O26</f>
        <v/>
      </c>
      <c r="M43" s="3245">
        <f>$G43+$I43+$K43</f>
        <v/>
      </c>
      <c r="N43" s="3245">
        <f>H43+J43+L43</f>
        <v/>
      </c>
      <c r="O43" s="3552">
        <f>$N43-$M43</f>
        <v/>
      </c>
    </row>
    <row r="44">
      <c r="B44" s="674" t="n">
        <v>4</v>
      </c>
      <c r="C44" s="682">
        <f>'2.LUC'!$N64</f>
        <v/>
      </c>
      <c r="D44" s="682">
        <f>VLOOKUP('2.LUC'!$O64, list!$I$48:$J$50,2,FALSE )</f>
        <v/>
      </c>
      <c r="E44" s="682">
        <f>'2.LUC'!$P64</f>
        <v/>
      </c>
      <c r="F44" s="682">
        <f>VLOOKUP('2.LUC'!$Q64, list!$I$48:$J$50,2,FALSE )</f>
        <v/>
      </c>
      <c r="G44" s="3244">
        <f>$C44*$E27</f>
        <v/>
      </c>
      <c r="H44" s="3245">
        <f>$E44*$E27</f>
        <v/>
      </c>
      <c r="I44" s="3544">
        <f>IF(ABS($F27*(IF(D44="Immediate",IF(C44&gt;0,C44*MIN(20,time_tot),0),C44*IF(time_tot&gt;time+20,20,IF(time_tot&lt;20,(time*VLOOKUP(D44, list!$J$48:$K$50,2,))+(time_tot-time),((MIN(20,time)*VLOOKUP(D44, list!$J$48:$K$50,2,))+(time_tot-MIN(20,time))-IF(D44="Exponential",time_tot-20+0.217*time*(EXP(4.606*(20-time_tot)/time)-1),((time_tot-20)^2)*(0.5/time))))))))&gt;=ABS(F27*C44*20),F27*C44*20,$F27*(IF(D44="Immediate",IF(C44&gt;0,C44*MIN(20,time_tot),0),C44*IF(time_tot&gt;time+20,20,IF(time_tot&lt;20,(time*VLOOKUP(D44, list!$J$48:$K$50,2,))+(time_tot-time),((MIN(20,time)*VLOOKUP(D44, list!$J$48:$K$50,2,))+(time_tot-MIN(20,time))-IF(D44="Exponential",time_tot-20+0.217*time*(EXP(4.606*(20-time_tot)/time)-1),((time_tot-20)^2)*(0.5/time))))))))</f>
        <v/>
      </c>
      <c r="J44" s="3544">
        <f>IF(ABS($F27*(IF(F44="Immediate",IF(E44&gt;0,E44*MIN(20,time_tot),0),E44*IF(time_tot&gt;time+20,20,IF(time_tot&lt;20,(time*VLOOKUP(F44, list!$J$48:$K$50,2,))+(time_tot-time),((MIN(20,time)*VLOOKUP(F44, list!$J$48:$K$50,2,))+(time_tot-MIN(20,time))-IF(F44="Exponential",time_tot-20+0.217*time*(EXP(4.606*(20-time_tot)/time)-1),((time_tot-20)^2)*(0.5/time))))))))&gt;=ABS(F27*E44*20),F27*E44*20,$F27*(IF(F44="Immediate",IF(E44&gt;0,E44*MIN(20,time_tot),0),E44*IF(time_tot&gt;time+20,20,IF(time_tot&lt;20,(time*VLOOKUP(F44, list!$J$48:$K$50,2,))+(time_tot-time),((MIN(20,time)*VLOOKUP(F44, list!$J$48:$K$50,2,))+(time_tot-MIN(20,time))-IF(F44="Exponential",time_tot-20+0.217*time*(EXP(4.606*(20-time_tot)/time)-1),((time_tot-20)^2)*(0.5/time))))))))</f>
        <v/>
      </c>
      <c r="K44" s="3245">
        <f>$C44*$O27</f>
        <v/>
      </c>
      <c r="L44" s="3245">
        <f>$E44*$O27</f>
        <v/>
      </c>
      <c r="M44" s="3245">
        <f>$G44+$I44+$K44</f>
        <v/>
      </c>
      <c r="N44" s="3245">
        <f>H44+J44+L44</f>
        <v/>
      </c>
      <c r="O44" s="3552">
        <f>$N44-$M44</f>
        <v/>
      </c>
    </row>
    <row r="45">
      <c r="B45" s="674" t="n">
        <v>5</v>
      </c>
      <c r="C45" s="682">
        <f>'2.LUC'!$N65</f>
        <v/>
      </c>
      <c r="D45" s="682">
        <f>VLOOKUP('2.LUC'!$O65, list!$I$48:$J$50,2,FALSE )</f>
        <v/>
      </c>
      <c r="E45" s="682">
        <f>'2.LUC'!$P65</f>
        <v/>
      </c>
      <c r="F45" s="682">
        <f>VLOOKUP('2.LUC'!$Q65, list!$I$48:$J$50,2,FALSE )</f>
        <v/>
      </c>
      <c r="G45" s="3244">
        <f>$C45*$E28</f>
        <v/>
      </c>
      <c r="H45" s="3245">
        <f>$E45*$E28</f>
        <v/>
      </c>
      <c r="I45" s="3544">
        <f>IF(ABS($F28*(IF(D45="Immediate",IF(C45&gt;0,C45*MIN(20,time_tot),0),C45*IF(time_tot&gt;time+20,20,IF(time_tot&lt;20,(time*VLOOKUP(D45, list!$J$48:$K$50,2,))+(time_tot-time),((MIN(20,time)*VLOOKUP(D45, list!$J$48:$K$50,2,))+(time_tot-MIN(20,time))-IF(D45="Exponential",time_tot-20+0.217*time*(EXP(4.606*(20-time_tot)/time)-1),((time_tot-20)^2)*(0.5/time))))))))&gt;=ABS(F28*C45*20),F28*C45*20,$F28*(IF(D45="Immediate",IF(C45&gt;0,C45*MIN(20,time_tot),0),C45*IF(time_tot&gt;time+20,20,IF(time_tot&lt;20,(time*VLOOKUP(D45, list!$J$48:$K$50,2,))+(time_tot-time),((MIN(20,time)*VLOOKUP(D45, list!$J$48:$K$50,2,))+(time_tot-MIN(20,time))-IF(D45="Exponential",time_tot-20+0.217*time*(EXP(4.606*(20-time_tot)/time)-1),((time_tot-20)^2)*(0.5/time))))))))</f>
        <v/>
      </c>
      <c r="J45" s="3544">
        <f>IF(ABS($F28*(IF(F45="Immediate",IF(E45&gt;0,E45*MIN(20,time_tot),0),E45*IF(time_tot&gt;time+20,20,IF(time_tot&lt;20,(time*VLOOKUP(F45, list!$J$48:$K$50,2,))+(time_tot-time),((MIN(20,time)*VLOOKUP(F45, list!$J$48:$K$50,2,))+(time_tot-MIN(20,time))-IF(F45="Exponential",time_tot-20+0.217*time*(EXP(4.606*(20-time_tot)/time)-1),((time_tot-20)^2)*(0.5/time))))))))&gt;=ABS(F28*E45*20),F28*E45*20,$F28*(IF(F45="Immediate",IF(E45&gt;0,E45*MIN(20,time_tot),0),E45*IF(time_tot&gt;time+20,20,IF(time_tot&lt;20,(time*VLOOKUP(F45, list!$J$48:$K$50,2,))+(time_tot-time),((MIN(20,time)*VLOOKUP(F45, list!$J$48:$K$50,2,))+(time_tot-MIN(20,time))-IF(F45="Exponential",time_tot-20+0.217*time*(EXP(4.606*(20-time_tot)/time)-1),((time_tot-20)^2)*(0.5/time))))))))</f>
        <v/>
      </c>
      <c r="K45" s="3245">
        <f>$C45*$O28</f>
        <v/>
      </c>
      <c r="L45" s="3245">
        <f>$E45*$O28</f>
        <v/>
      </c>
      <c r="M45" s="3245">
        <f>$G45+$I45+$K45</f>
        <v/>
      </c>
      <c r="N45" s="3245">
        <f>H45+J45+L45</f>
        <v/>
      </c>
      <c r="O45" s="3552">
        <f>$N45-$M45</f>
        <v/>
      </c>
    </row>
    <row r="46">
      <c r="B46" s="674" t="n">
        <v>6</v>
      </c>
      <c r="C46" s="682">
        <f>'2.LUC'!$N66</f>
        <v/>
      </c>
      <c r="D46" s="682">
        <f>VLOOKUP('2.LUC'!$O66, list!$I$48:$J$50,2,FALSE )</f>
        <v/>
      </c>
      <c r="E46" s="682">
        <f>'2.LUC'!$P66</f>
        <v/>
      </c>
      <c r="F46" s="682">
        <f>VLOOKUP('2.LUC'!$Q66, list!$I$48:$J$50,2,FALSE )</f>
        <v/>
      </c>
      <c r="G46" s="3244">
        <f>$C46*$E29</f>
        <v/>
      </c>
      <c r="H46" s="3245">
        <f>$E46*$E29</f>
        <v/>
      </c>
      <c r="I46" s="3544">
        <f>IF(ABS($F29*(IF(D46="Immediate",IF(C46&gt;0,C46*MIN(20,time_tot),0),C46*IF(time_tot&gt;time+20,20,IF(time_tot&lt;20,(time*VLOOKUP(D46, list!$J$48:$K$50,2,))+(time_tot-time),((MIN(20,time)*VLOOKUP(D46, list!$J$48:$K$50,2,))+(time_tot-MIN(20,time))-IF(D46="Exponential",time_tot-20+0.217*time*(EXP(4.606*(20-time_tot)/time)-1),((time_tot-20)^2)*(0.5/time))))))))&gt;=ABS(F29*C46*20),F29*C46*20,$F29*(IF(D46="Immediate",IF(C46&gt;0,C46*MIN(20,time_tot),0),C46*IF(time_tot&gt;time+20,20,IF(time_tot&lt;20,(time*VLOOKUP(D46, list!$J$48:$K$50,2,))+(time_tot-time),((MIN(20,time)*VLOOKUP(D46, list!$J$48:$K$50,2,))+(time_tot-MIN(20,time))-IF(D46="Exponential",time_tot-20+0.217*time*(EXP(4.606*(20-time_tot)/time)-1),((time_tot-20)^2)*(0.5/time))))))))</f>
        <v/>
      </c>
      <c r="J46" s="3544">
        <f>IF(ABS($F29*(IF(F46="Immediate",IF(E46&gt;0,E46*MIN(20,time_tot),0),E46*IF(time_tot&gt;time+20,20,IF(time_tot&lt;20,(time*VLOOKUP(F46, list!$J$48:$K$50,2,))+(time_tot-time),((MIN(20,time)*VLOOKUP(F46, list!$J$48:$K$50,2,))+(time_tot-MIN(20,time))-IF(F46="Exponential",time_tot-20+0.217*time*(EXP(4.606*(20-time_tot)/time)-1),((time_tot-20)^2)*(0.5/time))))))))&gt;=ABS(F29*E46*20),F29*E46*20,$F29*(IF(F46="Immediate",IF(E46&gt;0,E46*MIN(20,time_tot),0),E46*IF(time_tot&gt;time+20,20,IF(time_tot&lt;20,(time*VLOOKUP(F46, list!$J$48:$K$50,2,))+(time_tot-time),((MIN(20,time)*VLOOKUP(F46, list!$J$48:$K$50,2,))+(time_tot-MIN(20,time))-IF(F46="Exponential",time_tot-20+0.217*time*(EXP(4.606*(20-time_tot)/time)-1),((time_tot-20)^2)*(0.5/time))))))))</f>
        <v/>
      </c>
      <c r="K46" s="3245">
        <f>$C46*$O29</f>
        <v/>
      </c>
      <c r="L46" s="3245">
        <f>$E46*$O29</f>
        <v/>
      </c>
      <c r="M46" s="3245">
        <f>$G46+$I46+$K46</f>
        <v/>
      </c>
      <c r="N46" s="3245">
        <f>H46+J46+L46</f>
        <v/>
      </c>
      <c r="O46" s="3552">
        <f>$N46-$M46</f>
        <v/>
      </c>
    </row>
    <row r="47">
      <c r="B47" s="674" t="n">
        <v>7</v>
      </c>
      <c r="C47" s="682">
        <f>'2.LUC'!$N67</f>
        <v/>
      </c>
      <c r="D47" s="682">
        <f>VLOOKUP('2.LUC'!$O67, list!$I$48:$J$50,2,FALSE )</f>
        <v/>
      </c>
      <c r="E47" s="682">
        <f>'2.LUC'!$P67</f>
        <v/>
      </c>
      <c r="F47" s="682">
        <f>VLOOKUP('2.LUC'!$Q67, list!$I$48:$J$50,2,FALSE )</f>
        <v/>
      </c>
      <c r="G47" s="3244">
        <f>$C47*$E30</f>
        <v/>
      </c>
      <c r="H47" s="3245">
        <f>$E47*$E30</f>
        <v/>
      </c>
      <c r="I47" s="3544">
        <f>IF(ABS($F30*(IF(D47="Immediate",IF(C47&gt;0,C47*MIN(20,time_tot),0),C47*IF(time_tot&gt;time+20,20,IF(time_tot&lt;20,(time*VLOOKUP(D47, list!$J$48:$K$50,2,))+(time_tot-time),((MIN(20,time)*VLOOKUP(D47, list!$J$48:$K$50,2,))+(time_tot-MIN(20,time))-IF(D47="Exponential",time_tot-20+0.217*time*(EXP(4.606*(20-time_tot)/time)-1),((time_tot-20)^2)*(0.5/time))))))))&gt;=ABS(F30*C47*20),F30*C47*20,$F30*(IF(D47="Immediate",IF(C47&gt;0,C47*MIN(20,time_tot),0),C47*IF(time_tot&gt;time+20,20,IF(time_tot&lt;20,(time*VLOOKUP(D47, list!$J$48:$K$50,2,))+(time_tot-time),((MIN(20,time)*VLOOKUP(D47, list!$J$48:$K$50,2,))+(time_tot-MIN(20,time))-IF(D47="Exponential",time_tot-20+0.217*time*(EXP(4.606*(20-time_tot)/time)-1),((time_tot-20)^2)*(0.5/time))))))))</f>
        <v/>
      </c>
      <c r="J47" s="3544">
        <f>IF(ABS($F30*(IF(F47="Immediate",IF(E47&gt;0,E47*MIN(20,time_tot),0),E47*IF(time_tot&gt;time+20,20,IF(time_tot&lt;20,(time*VLOOKUP(F47, list!$J$48:$K$50,2,))+(time_tot-time),((MIN(20,time)*VLOOKUP(F47, list!$J$48:$K$50,2,))+(time_tot-MIN(20,time))-IF(F47="Exponential",time_tot-20+0.217*time*(EXP(4.606*(20-time_tot)/time)-1),((time_tot-20)^2)*(0.5/time))))))))&gt;=ABS(F30*E47*20),F30*E47*20,$F30*(IF(F47="Immediate",IF(E47&gt;0,E47*MIN(20,time_tot),0),E47*IF(time_tot&gt;time+20,20,IF(time_tot&lt;20,(time*VLOOKUP(F47, list!$J$48:$K$50,2,))+(time_tot-time),((MIN(20,time)*VLOOKUP(F47, list!$J$48:$K$50,2,))+(time_tot-MIN(20,time))-IF(F47="Exponential",time_tot-20+0.217*time*(EXP(4.606*(20-time_tot)/time)-1),((time_tot-20)^2)*(0.5/time))))))))</f>
        <v/>
      </c>
      <c r="K47" s="3245">
        <f>$C47*$O30</f>
        <v/>
      </c>
      <c r="L47" s="3245">
        <f>$E47*$O30</f>
        <v/>
      </c>
      <c r="M47" s="3245">
        <f>$G47+$I47+$K47</f>
        <v/>
      </c>
      <c r="N47" s="3245">
        <f>H47+J47+L47</f>
        <v/>
      </c>
      <c r="O47" s="3552">
        <f>$N47-$M47</f>
        <v/>
      </c>
    </row>
    <row r="48">
      <c r="B48" s="674" t="n">
        <v>8</v>
      </c>
      <c r="C48" s="682">
        <f>'2.LUC'!$N68</f>
        <v/>
      </c>
      <c r="D48" s="682">
        <f>VLOOKUP('2.LUC'!$O68, list!$I$48:$J$50,2,FALSE )</f>
        <v/>
      </c>
      <c r="E48" s="682">
        <f>'2.LUC'!$P68</f>
        <v/>
      </c>
      <c r="F48" s="682">
        <f>VLOOKUP('2.LUC'!$Q68, list!$I$48:$J$50,2,FALSE )</f>
        <v/>
      </c>
      <c r="G48" s="3244">
        <f>$C48*$E31</f>
        <v/>
      </c>
      <c r="H48" s="3245">
        <f>$E48*$E31</f>
        <v/>
      </c>
      <c r="I48" s="3544">
        <f>IF(ABS($F31*(IF(D48="Immediate",IF(C48&gt;0,C48*MIN(20,time_tot),0),C48*IF(time_tot&gt;time+20,20,IF(time_tot&lt;20,(time*VLOOKUP(D48, list!$J$48:$K$50,2,))+(time_tot-time),((MIN(20,time)*VLOOKUP(D48, list!$J$48:$K$50,2,))+(time_tot-MIN(20,time))-IF(D48="Exponential",time_tot-20+0.217*time*(EXP(4.606*(20-time_tot)/time)-1),((time_tot-20)^2)*(0.5/time))))))))&gt;=ABS(F31*C48*20),F31*C48*20,$F31*(IF(D48="Immediate",IF(C48&gt;0,C48*MIN(20,time_tot),0),C48*IF(time_tot&gt;time+20,20,IF(time_tot&lt;20,(time*VLOOKUP(D48, list!$J$48:$K$50,2,))+(time_tot-time),((MIN(20,time)*VLOOKUP(D48, list!$J$48:$K$50,2,))+(time_tot-MIN(20,time))-IF(D48="Exponential",time_tot-20+0.217*time*(EXP(4.606*(20-time_tot)/time)-1),((time_tot-20)^2)*(0.5/time))))))))</f>
        <v/>
      </c>
      <c r="J48" s="3544">
        <f>IF(ABS($F31*(IF(F48="Immediate",IF(E48&gt;0,E48*MIN(20,time_tot),0),E48*IF(time_tot&gt;time+20,20,IF(time_tot&lt;20,(time*VLOOKUP(F48, list!$J$48:$K$50,2,))+(time_tot-time),((MIN(20,time)*VLOOKUP(F48, list!$J$48:$K$50,2,))+(time_tot-MIN(20,time))-IF(F48="Exponential",time_tot-20+0.217*time*(EXP(4.606*(20-time_tot)/time)-1),((time_tot-20)^2)*(0.5/time))))))))&gt;=ABS(F31*E48*20),F31*E48*20,$F31*(IF(F48="Immediate",IF(E48&gt;0,E48*MIN(20,time_tot),0),E48*IF(time_tot&gt;time+20,20,IF(time_tot&lt;20,(time*VLOOKUP(F48, list!$J$48:$K$50,2,))+(time_tot-time),((MIN(20,time)*VLOOKUP(F48, list!$J$48:$K$50,2,))+(time_tot-MIN(20,time))-IF(F48="Exponential",time_tot-20+0.217*time*(EXP(4.606*(20-time_tot)/time)-1),((time_tot-20)^2)*(0.5/time))))))))</f>
        <v/>
      </c>
      <c r="K48" s="3245">
        <f>$C48*$O31</f>
        <v/>
      </c>
      <c r="L48" s="3245">
        <f>$E48*$O31</f>
        <v/>
      </c>
      <c r="M48" s="3245">
        <f>$G48+$I48+$K48</f>
        <v/>
      </c>
      <c r="N48" s="3245">
        <f>H48+J48+L48</f>
        <v/>
      </c>
      <c r="O48" s="3552">
        <f>$N48-$M48</f>
        <v/>
      </c>
    </row>
    <row r="49">
      <c r="B49" s="674" t="n">
        <v>9</v>
      </c>
      <c r="C49" s="682">
        <f>'2.LUC'!$N69</f>
        <v/>
      </c>
      <c r="D49" s="682">
        <f>VLOOKUP('2.LUC'!$O69, list!$I$48:$J$50,2,FALSE )</f>
        <v/>
      </c>
      <c r="E49" s="682">
        <f>'2.LUC'!$P69</f>
        <v/>
      </c>
      <c r="F49" s="682">
        <f>VLOOKUP('2.LUC'!$Q69, list!$I$48:$J$50,2,FALSE )</f>
        <v/>
      </c>
      <c r="G49" s="3244">
        <f>$C49*$E32</f>
        <v/>
      </c>
      <c r="H49" s="3245">
        <f>$E49*$E32</f>
        <v/>
      </c>
      <c r="I49" s="3544">
        <f>IF(ABS($F32*(IF(D49="Immediate",IF(C49&gt;0,C49*MIN(20,time_tot),0),C49*IF(time_tot&gt;time+20,20,IF(time_tot&lt;20,(time*VLOOKUP(D49, list!$J$48:$K$50,2,))+(time_tot-time),((MIN(20,time)*VLOOKUP(D49, list!$J$48:$K$50,2,))+(time_tot-MIN(20,time))-IF(D49="Exponential",time_tot-20+0.217*time*(EXP(4.606*(20-time_tot)/time)-1),((time_tot-20)^2)*(0.5/time))))))))&gt;=ABS(F32*C49*20),F32*C49*20,$F32*(IF(D49="Immediate",IF(C49&gt;0,C49*MIN(20,time_tot),0),C49*IF(time_tot&gt;time+20,20,IF(time_tot&lt;20,(time*VLOOKUP(D49, list!$J$48:$K$50,2,))+(time_tot-time),((MIN(20,time)*VLOOKUP(D49, list!$J$48:$K$50,2,))+(time_tot-MIN(20,time))-IF(D49="Exponential",time_tot-20+0.217*time*(EXP(4.606*(20-time_tot)/time)-1),((time_tot-20)^2)*(0.5/time))))))))</f>
        <v/>
      </c>
      <c r="J49" s="3544">
        <f>IF(ABS($F32*(IF(F49="Immediate",IF(E49&gt;0,E49*MIN(20,time_tot),0),E49*IF(time_tot&gt;time+20,20,IF(time_tot&lt;20,(time*VLOOKUP(F49, list!$J$48:$K$50,2,))+(time_tot-time),((MIN(20,time)*VLOOKUP(F49, list!$J$48:$K$50,2,))+(time_tot-MIN(20,time))-IF(F49="Exponential",time_tot-20+0.217*time*(EXP(4.606*(20-time_tot)/time)-1),((time_tot-20)^2)*(0.5/time))))))))&gt;=ABS(F32*E49*20),F32*E49*20,$F32*(IF(F49="Immediate",IF(E49&gt;0,E49*MIN(20,time_tot),0),E49*IF(time_tot&gt;time+20,20,IF(time_tot&lt;20,(time*VLOOKUP(F49, list!$J$48:$K$50,2,))+(time_tot-time),((MIN(20,time)*VLOOKUP(F49, list!$J$48:$K$50,2,))+(time_tot-MIN(20,time))-IF(F49="Exponential",time_tot-20+0.217*time*(EXP(4.606*(20-time_tot)/time)-1),((time_tot-20)^2)*(0.5/time))))))))</f>
        <v/>
      </c>
      <c r="K49" s="3245">
        <f>$C49*$O32</f>
        <v/>
      </c>
      <c r="L49" s="3245">
        <f>$E49*$O32</f>
        <v/>
      </c>
      <c r="M49" s="3245">
        <f>$G49+$I49+$K49</f>
        <v/>
      </c>
      <c r="N49" s="3245">
        <f>H49+J49+L49</f>
        <v/>
      </c>
      <c r="O49" s="3552">
        <f>$N49-$M49</f>
        <v/>
      </c>
    </row>
    <row r="50">
      <c r="B50" s="674" t="n">
        <v>10</v>
      </c>
      <c r="C50" s="682">
        <f>'2.LUC'!$N70</f>
        <v/>
      </c>
      <c r="D50" s="682">
        <f>VLOOKUP('2.LUC'!$O70, list!$I$48:$J$50,2,FALSE )</f>
        <v/>
      </c>
      <c r="E50" s="682">
        <f>'2.LUC'!$P70</f>
        <v/>
      </c>
      <c r="F50" s="682">
        <f>VLOOKUP('2.LUC'!$Q70, list!$I$48:$J$50,2,FALSE )</f>
        <v/>
      </c>
      <c r="G50" s="2849">
        <f>$C50*$E33</f>
        <v/>
      </c>
      <c r="H50" s="3327">
        <f>$E50*$E33</f>
        <v/>
      </c>
      <c r="I50" s="3544">
        <f>IF(ABS($F33*(IF(D50="Immediate",IF(C50&gt;0,C50*MIN(20,time_tot),0),C50*IF(time_tot&gt;time+20,20,IF(time_tot&lt;20,(time*VLOOKUP(D50, list!$J$48:$K$50,2,))+(time_tot-time),((MIN(20,time)*VLOOKUP(D50, list!$J$48:$K$50,2,))+(time_tot-MIN(20,time))-IF(D50="Exponential",time_tot-20+0.217*time*(EXP(4.606*(20-time_tot)/time)-1),((time_tot-20)^2)*(0.5/time))))))))&gt;=ABS(F33*C50*20),F33*C50*20,$F33*(IF(D50="Immediate",IF(C50&gt;0,C50*MIN(20,time_tot),0),C50*IF(time_tot&gt;time+20,20,IF(time_tot&lt;20,(time*VLOOKUP(D50, list!$J$48:$K$50,2,))+(time_tot-time),((MIN(20,time)*VLOOKUP(D50, list!$J$48:$K$50,2,))+(time_tot-MIN(20,time))-IF(D50="Exponential",time_tot-20+0.217*time*(EXP(4.606*(20-time_tot)/time)-1),((time_tot-20)^2)*(0.5/time))))))))</f>
        <v/>
      </c>
      <c r="J50" s="3544">
        <f>IF(ABS($F33*(IF(F50="Immediate",IF(E50&gt;0,E50*MIN(20,time_tot),0),E50*IF(time_tot&gt;time+20,20,IF(time_tot&lt;20,(time*VLOOKUP(F50, list!$J$48:$K$50,2,))+(time_tot-time),((MIN(20,time)*VLOOKUP(F50, list!$J$48:$K$50,2,))+(time_tot-MIN(20,time))-IF(F50="Exponential",time_tot-20+0.217*time*(EXP(4.606*(20-time_tot)/time)-1),((time_tot-20)^2)*(0.5/time))))))))&gt;=ABS(F33*E50*20),F33*E50*20,$F33*(IF(F50="Immediate",IF(E50&gt;0,E50*MIN(20,time_tot),0),E50*IF(time_tot&gt;time+20,20,IF(time_tot&lt;20,(time*VLOOKUP(F50, list!$J$48:$K$50,2,))+(time_tot-time),((MIN(20,time)*VLOOKUP(F50, list!$J$48:$K$50,2,))+(time_tot-MIN(20,time))-IF(F50="Exponential",time_tot-20+0.217*time*(EXP(4.606*(20-time_tot)/time)-1),((time_tot-20)^2)*(0.5/time))))))))</f>
        <v/>
      </c>
      <c r="K50" s="3327">
        <f>$C50*$O33</f>
        <v/>
      </c>
      <c r="L50" s="3327">
        <f>$E50*$O33</f>
        <v/>
      </c>
      <c r="M50" s="3327">
        <f>$G50+$I50+$K50</f>
        <v/>
      </c>
      <c r="N50" s="3327">
        <f>H50+J50+L50</f>
        <v/>
      </c>
      <c r="O50" s="2850">
        <f>$N50-$M50</f>
        <v/>
      </c>
    </row>
    <row r="52">
      <c r="L52" s="2818" t="inlineStr">
        <is>
          <t>Other LUC total</t>
        </is>
      </c>
      <c r="M52" s="3541">
        <f>SUM(M41:M50)</f>
        <v/>
      </c>
      <c r="N52" s="3541">
        <f>SUM(N41:N50)</f>
        <v/>
      </c>
      <c r="O52" s="3541">
        <f>SUM(O41:O50)</f>
        <v/>
      </c>
    </row>
    <row r="54">
      <c r="M54" s="1077" t="n"/>
      <c r="N54" s="3155" t="inlineStr">
        <is>
          <t>TEST TIER 2 biomass</t>
        </is>
      </c>
      <c r="O54" s="1079">
        <f>SUM('2.LUC'!AW61:AW70,'2.LUC'!BE61:BE70)</f>
        <v/>
      </c>
    </row>
    <row r="56">
      <c r="N56" s="3164" t="n"/>
      <c r="O56" s="2813" t="n"/>
    </row>
  </sheetData>
  <pageMargins left="0.7" right="0.7" top="0.75" bottom="0.75" header="0.3" footer="0.3"/>
  <pageSetup orientation="portrait"/>
  <legacyDrawing r:id="anysvml"/>
</worksheet>
</file>

<file path=xl/worksheets/sheet6.xml><?xml version="1.0" encoding="utf-8"?>
<worksheet xmlns="http://schemas.openxmlformats.org/spreadsheetml/2006/main">
  <sheetPr codeName="Sheet5">
    <tabColor rgb="FF172735"/>
    <outlinePr summaryBelow="1" summaryRight="1"/>
    <pageSetUpPr/>
  </sheetPr>
  <dimension ref="A1:CX81"/>
  <sheetViews>
    <sheetView zoomScaleNormal="100" workbookViewId="0">
      <pane ySplit="1" topLeftCell="A2" activePane="bottomLeft" state="frozen"/>
      <selection pane="bottomLeft" activeCell="A1" sqref="A1"/>
    </sheetView>
  </sheetViews>
  <sheetFormatPr baseColWidth="10" defaultColWidth="9.33203125" defaultRowHeight="14"/>
  <cols>
    <col width="5" customWidth="1" style="1771" min="1" max="1"/>
    <col width="2.5" customWidth="1" style="1771" min="2" max="2"/>
    <col width="42.33203125" customWidth="1" style="1771" min="3" max="3"/>
    <col width="1.5" customWidth="1" style="1771" min="4" max="4"/>
    <col width="7.5" customWidth="1" style="1771" min="5" max="5"/>
    <col width="1.5" customWidth="1" style="1771" min="6" max="6"/>
    <col width="9.5" customWidth="1" style="1771" min="7" max="7"/>
    <col width="1.5" customWidth="1" style="1771" min="8" max="8"/>
    <col width="30.5" customWidth="1" style="1771" min="9" max="9"/>
    <col width="1.5" customWidth="1" style="1771" min="10" max="10"/>
    <col width="28.5" customWidth="1" style="1771" min="11" max="11"/>
    <col width="1.5" customWidth="1" style="1771" min="12" max="12"/>
    <col width="9.5" customWidth="1" style="1771" min="13" max="13"/>
    <col width="9.6640625" customWidth="1" style="1771" min="14" max="14"/>
    <col width="2.6640625" customWidth="1" style="1771" min="15" max="15"/>
    <col width="9.5" customWidth="1" style="1771" min="16" max="16"/>
    <col width="2.6640625" customWidth="1" style="1771" min="17" max="17"/>
    <col width="1.5" customWidth="1" style="1771" min="18" max="18"/>
    <col width="9.33203125" customWidth="1" style="1771" min="19" max="19"/>
    <col width="8.5" customWidth="1" style="1771" min="20" max="20"/>
    <col width="7.5" customWidth="1" style="1771" min="21" max="21"/>
    <col width="14" customWidth="1" style="1771" min="22" max="22"/>
    <col width="12.5" customWidth="1" style="1771" min="23" max="23"/>
    <col width="2.5" customWidth="1" style="1771" min="24" max="24"/>
    <col width="20.5" customWidth="1" style="1771" min="25" max="25"/>
    <col width="9.33203125" customWidth="1" style="1771" min="26" max="30"/>
    <col width="3.5" customWidth="1" style="1771" min="31" max="31"/>
    <col width="9.33203125" customWidth="1" style="1771" min="32" max="33"/>
    <col width="3.5" customWidth="1" style="1771" min="34" max="34"/>
    <col width="9.33203125" customWidth="1" style="1771" min="35" max="36"/>
    <col width="3.5" customWidth="1" style="1771" min="37" max="37"/>
    <col width="9.33203125" customWidth="1" style="1771" min="38" max="43"/>
    <col width="32.6640625" customWidth="1" style="1771" min="44" max="44"/>
    <col width="9.33203125" customWidth="1" style="1771" min="45" max="45"/>
    <col width="7.5" customWidth="1" style="1771" min="46" max="46"/>
    <col width="7.33203125" customWidth="1" style="1771" min="47" max="47"/>
    <col width="9.33203125" customWidth="1" style="1771" min="48" max="49"/>
    <col width="2.6640625" customWidth="1" style="1771" min="50" max="50"/>
    <col width="9.33203125" customWidth="1" style="1771" min="51" max="54"/>
    <col width="9.33203125" customWidth="1" style="1771" min="55" max="55"/>
    <col width="9.33203125" customWidth="1" style="1771" min="56" max="62"/>
    <col width="14.5" customWidth="1" style="1771" min="63" max="63"/>
    <col width="9.33203125" customWidth="1" style="1771" min="64" max="73"/>
    <col width="9" customWidth="1" style="1771" min="74" max="74"/>
    <col width="13.6640625" customWidth="1" style="1771" min="75" max="75"/>
    <col width="8.6640625" customWidth="1" style="1771" min="76" max="76"/>
    <col width="9.33203125" customWidth="1" style="1771" min="77" max="77"/>
    <col width="9.33203125" customWidth="1" style="1771" min="78" max="79"/>
    <col width="5.5" customWidth="1" style="1771" min="80" max="80"/>
    <col width="9.33203125" customWidth="1" style="1771" min="81" max="82"/>
    <col width="2.5" customWidth="1" style="1771" min="83" max="83"/>
    <col width="5.5" customWidth="1" style="1771" min="84" max="84"/>
    <col width="2.5" customWidth="1" style="1771" min="85" max="85"/>
    <col width="9.33203125" customWidth="1" style="1771" min="86" max="87"/>
    <col width="4.5" customWidth="1" style="1771" min="88" max="88"/>
    <col width="9.33203125" customWidth="1" style="1771" min="89" max="90"/>
    <col width="5.6640625" customWidth="1" style="1771" min="91" max="91"/>
    <col width="3.5" customWidth="1" style="1771" min="92" max="92"/>
    <col width="9.33203125" customWidth="1" style="1771" min="93" max="94"/>
    <col width="3.5" customWidth="1" style="1771" min="95" max="95"/>
    <col width="9.33203125" customWidth="1" style="1771" min="96" max="97"/>
    <col width="4.5" customWidth="1" style="1771" min="98" max="98"/>
    <col width="9.33203125" customWidth="1" style="1771" min="99" max="101"/>
    <col width="4.5" customWidth="1" style="1771" min="102" max="102"/>
    <col width="30.5" customWidth="1" style="1771" min="103" max="103"/>
    <col width="1.5" customWidth="1" style="1771" min="104" max="104"/>
    <col hidden="1" width="9.33203125" customWidth="1" style="1771" min="105" max="105"/>
    <col width="1.5" customWidth="1" style="1771" min="106" max="106"/>
    <col width="30.5" customWidth="1" style="1771" min="107" max="107"/>
    <col width="1.5" customWidth="1" style="1771" min="108" max="108"/>
    <col width="9.33203125" customWidth="1" style="1771" min="109" max="110"/>
    <col width="3.5" customWidth="1" style="1771" min="111" max="111"/>
    <col width="9.33203125" customWidth="1" style="1771" min="112" max="112"/>
    <col width="9.33203125" customWidth="1" style="1771" min="113" max="113"/>
    <col width="1.5" customWidth="1" style="1771" min="114" max="114"/>
    <col width="30.5" customWidth="1" style="1771" min="115" max="115"/>
    <col width="1.5" customWidth="1" style="1771" min="116" max="116"/>
    <col width="9.33203125" customWidth="1" style="1771" min="117" max="118"/>
    <col width="7.33203125" customWidth="1" style="1771" min="119" max="119"/>
    <col width="1.5" customWidth="1" style="1771" min="120" max="120"/>
    <col width="9.33203125" customWidth="1" style="1771" min="121" max="16384"/>
  </cols>
  <sheetData>
    <row r="1" ht="100.5" customFormat="1" customHeight="1" s="1767">
      <c r="P1" s="1975" t="n"/>
    </row>
    <row r="4" ht="17" customHeight="1">
      <c r="AR4" s="1916" t="n"/>
      <c r="AS4" s="1916" t="n"/>
      <c r="AT4" s="1916" t="n"/>
      <c r="AU4" s="1916" t="n"/>
      <c r="AV4" s="1916" t="n"/>
      <c r="AW4" s="1916" t="n"/>
      <c r="AX4" s="1916" t="n"/>
      <c r="AY4" s="1916" t="n"/>
      <c r="AZ4" s="1916" t="n"/>
      <c r="BA4" s="1916" t="n"/>
      <c r="BB4" s="1916" t="n"/>
      <c r="BC4" s="1916" t="n"/>
      <c r="BD4" s="1916" t="n"/>
      <c r="BE4" s="1916" t="n"/>
      <c r="BF4" s="1916" t="n"/>
      <c r="BG4" s="1916" t="n"/>
      <c r="BH4" s="1916" t="n"/>
      <c r="BI4" s="1916" t="n"/>
      <c r="BJ4" s="1916" t="n"/>
    </row>
    <row r="5" ht="45" customHeight="1">
      <c r="B5" s="1976">
        <f>Languages!B57</f>
        <v/>
      </c>
      <c r="C5" s="1977" t="n"/>
      <c r="D5" s="1778" t="n"/>
      <c r="E5" s="1778" t="n"/>
      <c r="F5" s="1778" t="n"/>
      <c r="G5" s="1778" t="n"/>
      <c r="H5" s="1778" t="n"/>
      <c r="I5" s="1778" t="n"/>
      <c r="J5" s="1778" t="n"/>
      <c r="K5" s="1778" t="n"/>
      <c r="L5" s="1778" t="n"/>
      <c r="M5" s="1778" t="n"/>
      <c r="N5" s="1778" t="n"/>
      <c r="O5" s="1778" t="n"/>
      <c r="P5" s="1778" t="n"/>
      <c r="Q5" s="1778" t="n"/>
      <c r="R5" s="1778" t="n"/>
      <c r="S5" s="1778" t="n"/>
      <c r="T5" s="1778" t="n"/>
      <c r="U5" s="1778" t="n"/>
      <c r="V5" s="1770">
        <f>Languages!B22</f>
        <v/>
      </c>
      <c r="W5" s="1778" t="n"/>
      <c r="X5" s="1778" t="n"/>
      <c r="Y5" s="1778" t="n"/>
      <c r="AR5" s="1976">
        <f>B5</f>
        <v/>
      </c>
      <c r="AS5" s="1978" t="n"/>
      <c r="AT5" s="1978" t="n"/>
      <c r="AU5" s="1978" t="n"/>
      <c r="AV5" s="1978" t="n"/>
      <c r="AW5" s="1978" t="n"/>
      <c r="AX5" s="1978" t="n"/>
      <c r="AY5" s="1978" t="n"/>
      <c r="AZ5" s="1978" t="n"/>
      <c r="BA5" s="1978" t="n"/>
      <c r="BB5" s="1978" t="n"/>
      <c r="BC5" s="1978" t="n"/>
      <c r="BD5" s="1978" t="n"/>
      <c r="BE5" s="1978" t="n"/>
      <c r="BF5" s="1978" t="n"/>
      <c r="BG5" s="1979" t="n"/>
      <c r="BH5" s="1978" t="n"/>
      <c r="BI5" s="1978" t="n"/>
      <c r="BJ5" s="1978" t="n"/>
      <c r="BK5" s="1978" t="n"/>
      <c r="BL5" s="1978" t="n"/>
      <c r="BM5" s="1978" t="n"/>
      <c r="BN5" s="1978" t="n"/>
      <c r="BO5" s="1978" t="n"/>
      <c r="BP5" s="1978" t="n"/>
      <c r="BQ5" s="1978" t="n"/>
      <c r="BR5" s="1978" t="n"/>
      <c r="BT5" s="4404" t="inlineStr">
        <is>
          <t>Annual balance</t>
        </is>
      </c>
      <c r="BU5" s="4404" t="n"/>
      <c r="BV5" s="4404" t="n"/>
    </row>
    <row r="6" ht="5.25" customHeight="1">
      <c r="AR6" s="1916" t="n"/>
      <c r="AS6" s="1916" t="n"/>
      <c r="AT6" s="1916" t="n"/>
      <c r="AU6" s="1916" t="n"/>
      <c r="AV6" s="1916" t="n"/>
      <c r="AW6" s="1916" t="n"/>
      <c r="AX6" s="1916" t="n"/>
      <c r="AY6" s="1916" t="n"/>
      <c r="AZ6" s="1916" t="n"/>
      <c r="BA6" s="1916" t="n"/>
      <c r="BB6" s="1916" t="n"/>
      <c r="BC6" s="1916" t="n"/>
      <c r="BD6" s="1916" t="n"/>
      <c r="BE6" s="1916" t="n"/>
      <c r="BF6" s="1916" t="n"/>
      <c r="BG6" s="1916" t="n"/>
      <c r="BH6" s="1916" t="n"/>
      <c r="BI6" s="1916" t="n"/>
      <c r="BJ6" s="1916" t="n"/>
      <c r="BT6" s="1916" t="n"/>
      <c r="BU6" s="1916" t="n"/>
    </row>
    <row r="7" ht="15" customHeight="1">
      <c r="B7" s="1781" t="n"/>
      <c r="C7" s="1781" t="n"/>
      <c r="D7" s="1826" t="n"/>
      <c r="E7" s="1826" t="n"/>
      <c r="F7" s="1826" t="n"/>
      <c r="G7" s="1826" t="n"/>
      <c r="H7" s="1826" t="n"/>
      <c r="I7" s="1781" t="n"/>
      <c r="J7" s="1781" t="n"/>
      <c r="K7" s="1781" t="n"/>
      <c r="L7" s="1781" t="n"/>
      <c r="M7" s="1781" t="n"/>
      <c r="N7" s="1781" t="n"/>
      <c r="O7" s="1781" t="n"/>
      <c r="P7" s="1781" t="n"/>
      <c r="Q7" s="1781" t="n"/>
      <c r="R7" s="1781" t="n"/>
      <c r="S7" s="1781" t="n"/>
      <c r="T7" s="1781" t="n"/>
      <c r="U7" s="1781" t="n"/>
      <c r="V7" s="1781" t="n"/>
      <c r="W7" s="1781" t="n"/>
      <c r="X7" s="1781" t="n"/>
      <c r="Y7" s="1781" t="n"/>
      <c r="AR7" s="1980" t="n"/>
      <c r="AS7" s="4452">
        <f>Languages!B83</f>
        <v/>
      </c>
      <c r="AT7" s="2001" t="n"/>
      <c r="AU7" s="2001" t="n"/>
      <c r="AV7" s="2001" t="n"/>
      <c r="AW7" s="2001" t="n"/>
      <c r="AX7" s="2001" t="n"/>
      <c r="AY7" s="2001" t="n"/>
      <c r="AZ7" s="2001" t="n"/>
      <c r="BA7" s="2001" t="n"/>
      <c r="BB7" s="2001" t="n"/>
      <c r="BC7" s="2001" t="n"/>
      <c r="BD7" s="2001" t="n"/>
      <c r="BE7" s="2001" t="n"/>
      <c r="BF7" s="2001" t="n"/>
      <c r="BG7" s="2001" t="n"/>
      <c r="BH7" s="2001" t="n"/>
      <c r="BI7" s="2001" t="n"/>
      <c r="BJ7" s="2001" t="n"/>
      <c r="BK7" s="2001" t="n"/>
      <c r="BL7" s="2001" t="n"/>
      <c r="BM7" s="2001" t="n"/>
      <c r="BN7" s="2001" t="n"/>
      <c r="BO7" s="2001" t="n"/>
      <c r="BP7" s="2001" t="n"/>
      <c r="BQ7" s="1784" t="n"/>
      <c r="BR7" s="1784" t="n"/>
      <c r="BT7" s="1784" t="n"/>
      <c r="BU7" s="1784" t="n"/>
      <c r="BV7" s="1784" t="n"/>
    </row>
    <row r="8" ht="21.75" customHeight="1">
      <c r="B8" s="1781" t="n"/>
      <c r="C8" s="1952">
        <f>Languages!B58</f>
        <v/>
      </c>
      <c r="D8" s="1781" t="n"/>
      <c r="E8" s="1780">
        <f>Languages!B60</f>
        <v/>
      </c>
      <c r="F8" s="1781" t="n"/>
      <c r="G8" s="1780">
        <f>Languages!B61</f>
        <v/>
      </c>
      <c r="H8" s="1781" t="n"/>
      <c r="I8" s="1981">
        <f>CONCATENATE(Languages!B63," ",Languages!B64)</f>
        <v/>
      </c>
      <c r="J8" s="1789" t="n"/>
      <c r="K8" s="1982" t="n"/>
      <c r="L8" s="1781" t="n"/>
      <c r="M8" s="1983">
        <f>Languages!B66</f>
        <v/>
      </c>
      <c r="N8" s="1983" t="n"/>
      <c r="O8" s="1983" t="n"/>
      <c r="P8" s="1983" t="n"/>
      <c r="Q8" s="1983" t="n"/>
      <c r="R8" s="1984" t="n"/>
      <c r="S8" s="1826">
        <f>Languages!B69</f>
        <v/>
      </c>
      <c r="T8" s="1805" t="n"/>
      <c r="U8" s="1781" t="n"/>
      <c r="V8" s="1779">
        <f>Languages!B9</f>
        <v/>
      </c>
      <c r="W8" s="1781" t="n"/>
      <c r="X8" s="1781" t="n"/>
      <c r="Y8" s="1780">
        <f>Languages!B10</f>
        <v/>
      </c>
      <c r="AR8" s="1783">
        <f>C8</f>
        <v/>
      </c>
      <c r="AS8" s="1782">
        <f>Languages!B84</f>
        <v/>
      </c>
      <c r="AT8" s="1782" t="n"/>
      <c r="AU8" s="1782" t="n"/>
      <c r="AV8" s="1782" t="n"/>
      <c r="AW8" s="1782" t="n"/>
      <c r="AX8" s="1782" t="n"/>
      <c r="AY8" s="1782" t="n"/>
      <c r="AZ8" s="1782" t="n"/>
      <c r="BA8" s="1782" t="n"/>
      <c r="BB8" s="1782" t="n"/>
      <c r="BC8" s="1782" t="n"/>
      <c r="BD8" s="1782" t="n"/>
      <c r="BE8" s="1782" t="n"/>
      <c r="BF8" s="1782" t="n"/>
      <c r="BG8" s="1782" t="n"/>
      <c r="BH8" s="1784" t="n"/>
      <c r="BI8" s="1783" t="inlineStr">
        <is>
          <t>Final land use</t>
        </is>
      </c>
      <c r="BJ8" s="1782" t="n"/>
      <c r="BK8" s="1886" t="n"/>
      <c r="BL8" s="1782" t="inlineStr">
        <is>
          <t>All units are in tC/ha</t>
        </is>
      </c>
      <c r="BM8" s="1784" t="n"/>
      <c r="BN8" s="1784" t="n"/>
      <c r="BO8" s="1784" t="n"/>
      <c r="BP8" s="1784" t="n"/>
      <c r="BQ8" s="1784" t="n"/>
      <c r="BR8" s="1784" t="n"/>
      <c r="BT8" s="1890" t="inlineStr">
        <is>
          <t xml:space="preserve">Start year of </t>
        </is>
      </c>
      <c r="BU8" s="1890" t="n"/>
      <c r="BV8" s="1784" t="n"/>
    </row>
    <row r="9" ht="15" customHeight="1">
      <c r="B9" s="1781" t="n"/>
      <c r="C9" s="1952">
        <f>Languages!B59</f>
        <v/>
      </c>
      <c r="D9" s="1952" t="n"/>
      <c r="E9" s="1985" t="inlineStr">
        <is>
          <t>(tDM/ha)</t>
        </is>
      </c>
      <c r="F9" s="1986" t="n"/>
      <c r="G9" s="1985">
        <f>Languages!B62</f>
        <v/>
      </c>
      <c r="H9" s="1986" t="n"/>
      <c r="I9" s="1952">
        <f>Languages!B330</f>
        <v/>
      </c>
      <c r="J9" s="1986" t="n"/>
      <c r="K9" s="1952">
        <f>Languages!B331</f>
        <v/>
      </c>
      <c r="L9" s="1781" t="n"/>
      <c r="M9" s="1812">
        <f>Languages!B11</f>
        <v/>
      </c>
      <c r="N9" s="1812">
        <f>Languages!B12</f>
        <v/>
      </c>
      <c r="O9" s="1812" t="n"/>
      <c r="P9" s="1812">
        <f>Languages!B13</f>
        <v/>
      </c>
      <c r="Q9" s="1805" t="n"/>
      <c r="R9" s="1986" t="n"/>
      <c r="S9" s="1812">
        <f>N9</f>
        <v/>
      </c>
      <c r="T9" s="1812">
        <f>P9</f>
        <v/>
      </c>
      <c r="U9" s="1781" t="n"/>
      <c r="V9" s="1806">
        <f>S9</f>
        <v/>
      </c>
      <c r="W9" s="1816">
        <f>T9</f>
        <v/>
      </c>
      <c r="X9" s="1987" t="n"/>
      <c r="Y9" s="1812" t="n"/>
      <c r="AR9" s="1783">
        <f>C9</f>
        <v/>
      </c>
      <c r="AS9" s="1988">
        <f>Languages!B67</f>
        <v/>
      </c>
      <c r="AT9" s="1989" t="n"/>
      <c r="AU9" s="1782" t="n"/>
      <c r="AV9" s="1991">
        <f>Languages!B68</f>
        <v/>
      </c>
      <c r="AW9" s="1787" t="n"/>
      <c r="AX9" s="1990" t="n"/>
      <c r="AY9" s="1991">
        <f>Languages!B73</f>
        <v/>
      </c>
      <c r="AZ9" s="1992" t="n"/>
      <c r="BA9" s="1800" t="n"/>
      <c r="BB9" s="1991">
        <f>Languages!B74</f>
        <v/>
      </c>
      <c r="BC9" s="1994" t="n"/>
      <c r="BD9" s="1993" t="n"/>
      <c r="BE9" s="1991">
        <f>Languages!B75</f>
        <v/>
      </c>
      <c r="BF9" s="1994" t="n"/>
      <c r="BG9" s="1886" t="n"/>
      <c r="BH9" s="1784" t="n"/>
      <c r="BI9" s="1783" t="inlineStr">
        <is>
          <t>after deforestation</t>
        </is>
      </c>
      <c r="BJ9" s="1784" t="n"/>
      <c r="BK9" s="1784" t="n"/>
      <c r="BL9" s="1991" t="inlineStr">
        <is>
          <t>Biomass</t>
        </is>
      </c>
      <c r="BM9" s="1991" t="n"/>
      <c r="BN9" s="1784" t="n"/>
      <c r="BO9" s="1991" t="inlineStr">
        <is>
          <t>Soil carbon</t>
        </is>
      </c>
      <c r="BP9" s="1991" t="n"/>
      <c r="BQ9" s="1784" t="n"/>
      <c r="BR9" s="1784" t="n"/>
      <c r="BT9" s="2015" t="inlineStr">
        <is>
          <t>implementation</t>
        </is>
      </c>
      <c r="BU9" s="2015" t="n"/>
      <c r="BV9" s="1784" t="n"/>
    </row>
    <row r="10" ht="19.5" customHeight="1">
      <c r="B10" s="1781" t="n"/>
      <c r="C10" s="1952" t="n"/>
      <c r="D10" s="1952" t="n"/>
      <c r="E10" s="1952" t="n"/>
      <c r="F10" s="1986" t="n"/>
      <c r="G10" s="1952" t="n"/>
      <c r="H10" s="1986" t="n"/>
      <c r="I10" s="1986" t="n"/>
      <c r="J10" s="1986" t="n"/>
      <c r="K10" s="1781" t="n"/>
      <c r="L10" s="1781" t="n"/>
      <c r="M10" s="1986" t="n"/>
      <c r="N10" s="1986" t="n"/>
      <c r="O10" s="1805" t="inlineStr">
        <is>
          <t>*</t>
        </is>
      </c>
      <c r="P10" s="1986" t="n"/>
      <c r="Q10" s="1851" t="inlineStr">
        <is>
          <t>*</t>
        </is>
      </c>
      <c r="R10" s="1805" t="n"/>
      <c r="S10" s="1805" t="n"/>
      <c r="T10" s="1805" t="n"/>
      <c r="U10" s="1781" t="n"/>
      <c r="V10" s="1781" t="n"/>
      <c r="W10" s="1986" t="n"/>
      <c r="X10" s="1986" t="n"/>
      <c r="Y10" s="1995" t="n"/>
      <c r="AR10" s="1996" t="n"/>
      <c r="AS10" s="1894">
        <f>Languages!B55</f>
        <v/>
      </c>
      <c r="AT10" s="1894">
        <f>Languages!B141</f>
        <v/>
      </c>
      <c r="AU10" s="1784" t="n"/>
      <c r="AV10" s="1997">
        <f>AS10</f>
        <v/>
      </c>
      <c r="AW10" s="1894">
        <f>AT10</f>
        <v/>
      </c>
      <c r="AX10" s="1886" t="n"/>
      <c r="AY10" s="1997">
        <f>AV10</f>
        <v/>
      </c>
      <c r="AZ10" s="1894">
        <f>AW10</f>
        <v/>
      </c>
      <c r="BA10" s="1800" t="n"/>
      <c r="BB10" s="1997">
        <f>AY10</f>
        <v/>
      </c>
      <c r="BC10" s="1894">
        <f>AZ10</f>
        <v/>
      </c>
      <c r="BD10" s="1795" t="n"/>
      <c r="BE10" s="1997">
        <f>BB10</f>
        <v/>
      </c>
      <c r="BF10" s="1894">
        <f>BC10</f>
        <v/>
      </c>
      <c r="BG10" s="1795" t="n"/>
      <c r="BH10" s="1784" t="n"/>
      <c r="BI10" s="1783" t="n"/>
      <c r="BJ10" s="1784" t="n"/>
      <c r="BK10" s="1784" t="n"/>
      <c r="BL10" s="2001">
        <f>BE10</f>
        <v/>
      </c>
      <c r="BM10" s="2001">
        <f>BF10</f>
        <v/>
      </c>
      <c r="BN10" s="1784" t="n"/>
      <c r="BO10" s="2001">
        <f>BL10</f>
        <v/>
      </c>
      <c r="BP10" s="2001">
        <f>BM10</f>
        <v/>
      </c>
      <c r="BQ10" s="1784" t="n"/>
      <c r="BR10" s="1784" t="n"/>
      <c r="BT10" s="1997" t="n"/>
      <c r="BU10" s="1894" t="n"/>
      <c r="BV10" s="1784" t="n"/>
    </row>
    <row r="11" ht="15" customHeight="1">
      <c r="A11" s="4456">
        <f>IF(I11="annual cropland","crop",IF(I11="grassland","grass",IF(I11="agroforestry","agroforest",IF(I11="flooded rice", "rice", ""))))</f>
        <v/>
      </c>
      <c r="B11" s="1781" t="n"/>
      <c r="C11" s="2133" t="inlineStr">
        <is>
          <t>Planted Tropical rainforest</t>
        </is>
      </c>
      <c r="D11" s="1986" t="n"/>
      <c r="E11" s="2133" t="n">
        <v>12</v>
      </c>
      <c r="F11" s="1986" t="n"/>
      <c r="G11" s="2133" t="inlineStr">
        <is>
          <t>YES</t>
        </is>
      </c>
      <c r="H11" s="1986" t="n"/>
      <c r="I11" s="2133" t="inlineStr">
        <is>
          <t>Flooded rice</t>
        </is>
      </c>
      <c r="J11" s="1986" t="n"/>
      <c r="K11" s="2133" t="inlineStr">
        <is>
          <t>Please select</t>
        </is>
      </c>
      <c r="L11" s="1781" t="n"/>
      <c r="M11" s="4123" t="n">
        <v>100</v>
      </c>
      <c r="N11" s="2132" t="n">
        <v>100</v>
      </c>
      <c r="O11" s="4124" t="inlineStr">
        <is>
          <t>D</t>
        </is>
      </c>
      <c r="P11" s="2132" t="n">
        <v>0</v>
      </c>
      <c r="Q11" s="4124" t="inlineStr">
        <is>
          <t>D</t>
        </is>
      </c>
      <c r="R11" s="1998" t="n"/>
      <c r="S11" s="1816">
        <f>IF($C11="Please select", 0, defo!$G35)</f>
        <v/>
      </c>
      <c r="T11" s="1816">
        <f>IF($C11="Please select", 0, defo!$H35)</f>
        <v/>
      </c>
      <c r="U11" s="1781" t="n"/>
      <c r="V11" s="1815">
        <f>IF($C11&lt;&gt; "Please select", defo!$S35, 0)</f>
        <v/>
      </c>
      <c r="W11" s="1841">
        <f>IF($C11&lt;&gt; "Please select", defo!$T35, 0)</f>
        <v/>
      </c>
      <c r="X11" s="1999" t="n"/>
      <c r="Y11" s="1816">
        <f>IF($C11&lt;&gt; "Please select", defo!U35, 0)</f>
        <v/>
      </c>
      <c r="AR11" s="2000">
        <f>C11</f>
        <v/>
      </c>
      <c r="AS11" s="2001">
        <f>IF($AR11="Please select",0,defo!$J9)</f>
        <v/>
      </c>
      <c r="AT11" s="4663" t="n"/>
      <c r="AU11" s="1784" t="n"/>
      <c r="AV11" s="2001">
        <f>IF($AR11="Please select",0,defo!$M9)</f>
        <v/>
      </c>
      <c r="AW11" s="4663" t="n"/>
      <c r="AX11" s="1886" t="n"/>
      <c r="AY11" s="2001">
        <f>IF($AR11="Please select",0,defo!$O9)</f>
        <v/>
      </c>
      <c r="AZ11" s="4664" t="n"/>
      <c r="BA11" s="2002" t="n"/>
      <c r="BB11" s="2001">
        <f>IF($AR11="Please select",0,defo!$Q9)</f>
        <v/>
      </c>
      <c r="BC11" s="4665" t="n"/>
      <c r="BD11" s="1886" t="n"/>
      <c r="BE11" s="2001">
        <f>IF($AR11="Please select",0,defo!S9)</f>
        <v/>
      </c>
      <c r="BF11" s="4664" t="n"/>
      <c r="BG11" s="1886" t="n"/>
      <c r="BH11" s="1784" t="n"/>
      <c r="BI11" s="1782">
        <f>I11</f>
        <v/>
      </c>
      <c r="BJ11" s="1784" t="n"/>
      <c r="BK11" s="1784" t="n"/>
      <c r="BL11" s="2001">
        <f>IF($BI11="Please select",0,defo!J23)</f>
        <v/>
      </c>
      <c r="BM11" s="4664" t="n"/>
      <c r="BN11" s="1784" t="n"/>
      <c r="BO11" s="2001">
        <f>IF($BI11="Please select",0,defo!T9*defo!O23)</f>
        <v/>
      </c>
      <c r="BP11" s="4664" t="n"/>
      <c r="BQ11" s="1784" t="n"/>
      <c r="BR11" s="1784" t="n"/>
      <c r="BT11" s="4401" t="n">
        <v>1</v>
      </c>
      <c r="BU11" s="4402" t="n"/>
      <c r="BV11" s="1784" t="n"/>
    </row>
    <row r="12" ht="15" customHeight="1">
      <c r="A12" s="4456">
        <f>IF(I12="annual cropland","crop",IF(I12="grassland","grass",IF(I12="agroforestry","agroforest",IF(I12="flooded rice", "rice", ""))))</f>
        <v/>
      </c>
      <c r="B12" s="1781" t="n"/>
      <c r="C12" s="2133" t="inlineStr">
        <is>
          <t>Please select</t>
        </is>
      </c>
      <c r="D12" s="1986" t="n"/>
      <c r="E12" s="2133" t="n">
        <v>0</v>
      </c>
      <c r="F12" s="1986" t="n"/>
      <c r="G12" s="2133" t="inlineStr">
        <is>
          <t>NO</t>
        </is>
      </c>
      <c r="H12" s="1986" t="n"/>
      <c r="I12" s="2133" t="inlineStr">
        <is>
          <t>Please select</t>
        </is>
      </c>
      <c r="J12" s="1986" t="n"/>
      <c r="K12" s="2133" t="inlineStr">
        <is>
          <t>Please select</t>
        </is>
      </c>
      <c r="L12" s="1781" t="n"/>
      <c r="M12" s="4123" t="n">
        <v>0</v>
      </c>
      <c r="N12" s="2132" t="n">
        <v>0</v>
      </c>
      <c r="O12" s="4124" t="inlineStr">
        <is>
          <t>D</t>
        </is>
      </c>
      <c r="P12" s="2132" t="n">
        <v>0</v>
      </c>
      <c r="Q12" s="4124" t="inlineStr">
        <is>
          <t>D</t>
        </is>
      </c>
      <c r="R12" s="1998" t="n"/>
      <c r="S12" s="1816">
        <f>IF($C12="Please select", 0, defo!$G36)</f>
        <v/>
      </c>
      <c r="T12" s="1816">
        <f>IF($C12="Please select", 0, defo!$H36)</f>
        <v/>
      </c>
      <c r="U12" s="1781" t="n"/>
      <c r="V12" s="1815">
        <f>IF($C12&lt;&gt; "Please select", defo!$S36, 0)</f>
        <v/>
      </c>
      <c r="W12" s="1841">
        <f>IF($C12&lt;&gt; "Please select", defo!$T36, 0)</f>
        <v/>
      </c>
      <c r="X12" s="1999" t="n"/>
      <c r="Y12" s="1816">
        <f>IF($C12&lt;&gt; "Please select", defo!U36, 0)</f>
        <v/>
      </c>
      <c r="AP12" s="1818" t="n"/>
      <c r="AR12" s="2000">
        <f>C12</f>
        <v/>
      </c>
      <c r="AS12" s="2001">
        <f>IF($AR12="Please select",0,defo!$J10)</f>
        <v/>
      </c>
      <c r="AT12" s="4663" t="n"/>
      <c r="AU12" s="1784" t="n"/>
      <c r="AV12" s="2001">
        <f>IF($AR12="Please select",0,defo!$M10)</f>
        <v/>
      </c>
      <c r="AW12" s="4663" t="n"/>
      <c r="AX12" s="1886" t="n"/>
      <c r="AY12" s="2001">
        <f>IF($AR12="Please select",0,defo!$O10)</f>
        <v/>
      </c>
      <c r="AZ12" s="4664" t="n"/>
      <c r="BA12" s="2002" t="n"/>
      <c r="BB12" s="2001">
        <f>IF($AR12="Please select",0,defo!$Q10)</f>
        <v/>
      </c>
      <c r="BC12" s="4665" t="n"/>
      <c r="BD12" s="1886" t="n"/>
      <c r="BE12" s="2001">
        <f>IF($AR12="Please select",0,defo!S10)</f>
        <v/>
      </c>
      <c r="BF12" s="4664" t="n"/>
      <c r="BG12" s="1886" t="n"/>
      <c r="BH12" s="1784" t="n"/>
      <c r="BI12" s="1782">
        <f>I12</f>
        <v/>
      </c>
      <c r="BJ12" s="1784" t="n"/>
      <c r="BK12" s="1784" t="n"/>
      <c r="BL12" s="2001">
        <f>IF($BI12="Please select",0,defo!J24)</f>
        <v/>
      </c>
      <c r="BM12" s="4664" t="n"/>
      <c r="BN12" s="1784" t="n"/>
      <c r="BO12" s="2001">
        <f>IF($BI12="Please select",0,defo!T10*defo!O24)</f>
        <v/>
      </c>
      <c r="BP12" s="4664" t="n"/>
      <c r="BQ12" s="1784" t="n"/>
      <c r="BR12" s="1784" t="n"/>
      <c r="BT12" s="4401" t="n">
        <v>1</v>
      </c>
      <c r="BU12" s="4402" t="n"/>
      <c r="BV12" s="1784" t="n"/>
    </row>
    <row r="13" ht="15" customHeight="1">
      <c r="A13" s="4456">
        <f>IF(I13="annual cropland","crop",IF(I13="grassland","grass",IF(I13="agroforestry","agroforest",IF(I13="flooded rice", "rice", ""))))</f>
        <v/>
      </c>
      <c r="B13" s="1781" t="n"/>
      <c r="C13" s="2133" t="inlineStr">
        <is>
          <t>Please select</t>
        </is>
      </c>
      <c r="D13" s="1986" t="n"/>
      <c r="E13" s="2133" t="n">
        <v>0</v>
      </c>
      <c r="F13" s="1986" t="n"/>
      <c r="G13" s="2133" t="inlineStr">
        <is>
          <t>NO</t>
        </is>
      </c>
      <c r="H13" s="1986" t="n"/>
      <c r="I13" s="2133" t="inlineStr">
        <is>
          <t>Please select</t>
        </is>
      </c>
      <c r="J13" s="1986" t="n"/>
      <c r="K13" s="2133" t="inlineStr">
        <is>
          <t>Please select</t>
        </is>
      </c>
      <c r="L13" s="1781" t="n"/>
      <c r="M13" s="4123" t="n">
        <v>0</v>
      </c>
      <c r="N13" s="2132" t="n">
        <v>0</v>
      </c>
      <c r="O13" s="4124" t="inlineStr">
        <is>
          <t>D</t>
        </is>
      </c>
      <c r="P13" s="2132" t="n">
        <v>0</v>
      </c>
      <c r="Q13" s="4124" t="inlineStr">
        <is>
          <t>D</t>
        </is>
      </c>
      <c r="R13" s="1998" t="n"/>
      <c r="S13" s="1816">
        <f>IF($C13="Please select", 0, defo!$G37)</f>
        <v/>
      </c>
      <c r="T13" s="1816">
        <f>IF($C13="Please select", 0, defo!$H37)</f>
        <v/>
      </c>
      <c r="U13" s="1781" t="n"/>
      <c r="V13" s="1815">
        <f>IF($C13&lt;&gt; "Please select", defo!$S37, 0)</f>
        <v/>
      </c>
      <c r="W13" s="1841">
        <f>IF($C13&lt;&gt; "Please select", defo!$T37, 0)</f>
        <v/>
      </c>
      <c r="X13" s="1999" t="n"/>
      <c r="Y13" s="1816">
        <f>IF($C13&lt;&gt; "Please select", defo!U37, 0)</f>
        <v/>
      </c>
      <c r="AP13" s="1818" t="n"/>
      <c r="AR13" s="2000">
        <f>C13</f>
        <v/>
      </c>
      <c r="AS13" s="2001">
        <f>IF($AR13="Please select",0,defo!$J11)</f>
        <v/>
      </c>
      <c r="AT13" s="4663" t="n"/>
      <c r="AU13" s="1784" t="n"/>
      <c r="AV13" s="2001">
        <f>IF($AR13="Please select",0,defo!$M11)</f>
        <v/>
      </c>
      <c r="AW13" s="4663" t="n"/>
      <c r="AX13" s="1886" t="n"/>
      <c r="AY13" s="2001">
        <f>IF($AR13="Please select",0,defo!$O11)</f>
        <v/>
      </c>
      <c r="AZ13" s="4664" t="n"/>
      <c r="BA13" s="2002" t="n"/>
      <c r="BB13" s="2001">
        <f>IF($AR13="Please select",0,defo!$Q11)</f>
        <v/>
      </c>
      <c r="BC13" s="4665" t="n"/>
      <c r="BD13" s="1795" t="n"/>
      <c r="BE13" s="2001">
        <f>IF($AR13="Please select",0,defo!S11)</f>
        <v/>
      </c>
      <c r="BF13" s="4664" t="n"/>
      <c r="BG13" s="1795" t="n"/>
      <c r="BH13" s="1784" t="n"/>
      <c r="BI13" s="1782">
        <f>I13</f>
        <v/>
      </c>
      <c r="BJ13" s="1784" t="n"/>
      <c r="BK13" s="1784" t="n"/>
      <c r="BL13" s="2001">
        <f>IF($BI13="Please select",0,defo!J25)</f>
        <v/>
      </c>
      <c r="BM13" s="4664" t="n"/>
      <c r="BN13" s="1784" t="n"/>
      <c r="BO13" s="2001">
        <f>IF($BI13="Please select",0,defo!T11*defo!O25)</f>
        <v/>
      </c>
      <c r="BP13" s="4664" t="n"/>
      <c r="BQ13" s="1784" t="n"/>
      <c r="BR13" s="1784" t="n"/>
      <c r="BT13" s="4401" t="n">
        <v>1</v>
      </c>
      <c r="BU13" s="4402" t="n"/>
      <c r="BV13" s="1784" t="n"/>
    </row>
    <row r="14" ht="15" customHeight="1">
      <c r="A14" s="4456">
        <f>IF(I14="annual cropland","crop",IF(I14="grassland","grass",IF(I14="agroforestry","agroforest",IF(I14="flooded rice", "rice", ""))))</f>
        <v/>
      </c>
      <c r="B14" s="1781" t="n"/>
      <c r="C14" s="2133" t="inlineStr">
        <is>
          <t>Please select</t>
        </is>
      </c>
      <c r="D14" s="1986" t="n"/>
      <c r="E14" s="2133" t="n">
        <v>0</v>
      </c>
      <c r="F14" s="1986" t="n"/>
      <c r="G14" s="2133" t="inlineStr">
        <is>
          <t>NO</t>
        </is>
      </c>
      <c r="H14" s="1986" t="n"/>
      <c r="I14" s="2133" t="inlineStr">
        <is>
          <t>Please select</t>
        </is>
      </c>
      <c r="J14" s="1986" t="n"/>
      <c r="K14" s="2133" t="inlineStr">
        <is>
          <t>Please select</t>
        </is>
      </c>
      <c r="L14" s="1781" t="n"/>
      <c r="M14" s="4123" t="n">
        <v>0</v>
      </c>
      <c r="N14" s="2132" t="n">
        <v>0</v>
      </c>
      <c r="O14" s="4124" t="inlineStr">
        <is>
          <t>D</t>
        </is>
      </c>
      <c r="P14" s="2132" t="n">
        <v>0</v>
      </c>
      <c r="Q14" s="4124" t="inlineStr">
        <is>
          <t>D</t>
        </is>
      </c>
      <c r="R14" s="1998" t="n"/>
      <c r="S14" s="1816">
        <f>IF($C14="Please select", 0, defo!$G38)</f>
        <v/>
      </c>
      <c r="T14" s="1816">
        <f>IF($C14="Please select", 0, defo!$H38)</f>
        <v/>
      </c>
      <c r="U14" s="1781" t="n"/>
      <c r="V14" s="1815">
        <f>IF($C14&lt;&gt; "Please select", defo!$S38, 0)</f>
        <v/>
      </c>
      <c r="W14" s="1841">
        <f>IF($C14&lt;&gt; "Please select", defo!$T38, 0)</f>
        <v/>
      </c>
      <c r="X14" s="1999" t="n"/>
      <c r="Y14" s="1816">
        <f>IF($C14&lt;&gt; "Please select", defo!U38, 0)</f>
        <v/>
      </c>
      <c r="AP14" s="1818" t="n"/>
      <c r="AR14" s="2000">
        <f>C14</f>
        <v/>
      </c>
      <c r="AS14" s="2001">
        <f>IF($AR14="Please select",0,defo!$J12)</f>
        <v/>
      </c>
      <c r="AT14" s="4663" t="n"/>
      <c r="AU14" s="1784" t="n"/>
      <c r="AV14" s="2001">
        <f>IF($AR14="Please select",0,defo!$M12)</f>
        <v/>
      </c>
      <c r="AW14" s="4663" t="n"/>
      <c r="AX14" s="1886" t="n"/>
      <c r="AY14" s="2001">
        <f>IF($AR14="Please select",0,defo!$O12)</f>
        <v/>
      </c>
      <c r="AZ14" s="4664" t="n"/>
      <c r="BA14" s="2002" t="n"/>
      <c r="BB14" s="2001">
        <f>IF($AR14="Please select",0,defo!$Q12)</f>
        <v/>
      </c>
      <c r="BC14" s="4665" t="n"/>
      <c r="BD14" s="1886" t="n"/>
      <c r="BE14" s="2001">
        <f>IF($AR14="Please select",0,defo!S12)</f>
        <v/>
      </c>
      <c r="BF14" s="4664" t="n"/>
      <c r="BG14" s="1886" t="n"/>
      <c r="BH14" s="1784" t="n"/>
      <c r="BI14" s="1782">
        <f>I14</f>
        <v/>
      </c>
      <c r="BJ14" s="1784" t="n"/>
      <c r="BK14" s="1784" t="n"/>
      <c r="BL14" s="2001">
        <f>IF($BI14="Please select",0,defo!J26)</f>
        <v/>
      </c>
      <c r="BM14" s="4664" t="n"/>
      <c r="BN14" s="1784" t="n"/>
      <c r="BO14" s="2001">
        <f>IF($BI14="Please select",0,defo!T12*defo!O26)</f>
        <v/>
      </c>
      <c r="BP14" s="4664" t="n"/>
      <c r="BQ14" s="1784" t="n"/>
      <c r="BR14" s="1784" t="n"/>
      <c r="BT14" s="4401" t="n">
        <v>1</v>
      </c>
      <c r="BU14" s="4402" t="n"/>
      <c r="BV14" s="1784" t="n"/>
    </row>
    <row r="15" ht="15" customHeight="1">
      <c r="A15" s="4456">
        <f>IF(I15="annual cropland","crop",IF(I15="grassland","grass",IF(I15="agroforestry","agroforest",IF(I15="flooded rice", "rice", ""))))</f>
        <v/>
      </c>
      <c r="B15" s="1781" t="n"/>
      <c r="C15" s="2133" t="inlineStr">
        <is>
          <t>Please select</t>
        </is>
      </c>
      <c r="D15" s="1986" t="n"/>
      <c r="E15" s="2133" t="n">
        <v>0</v>
      </c>
      <c r="F15" s="1986" t="n"/>
      <c r="G15" s="2133" t="inlineStr">
        <is>
          <t>NO</t>
        </is>
      </c>
      <c r="H15" s="1986" t="n"/>
      <c r="I15" s="2133" t="inlineStr">
        <is>
          <t>Please select</t>
        </is>
      </c>
      <c r="J15" s="1986" t="n"/>
      <c r="K15" s="2133" t="inlineStr">
        <is>
          <t>Please select</t>
        </is>
      </c>
      <c r="L15" s="1781" t="n"/>
      <c r="M15" s="4123" t="n">
        <v>0</v>
      </c>
      <c r="N15" s="2132" t="n">
        <v>0</v>
      </c>
      <c r="O15" s="4124" t="inlineStr">
        <is>
          <t>D</t>
        </is>
      </c>
      <c r="P15" s="2132" t="n">
        <v>0</v>
      </c>
      <c r="Q15" s="4124" t="inlineStr">
        <is>
          <t>D</t>
        </is>
      </c>
      <c r="R15" s="1998" t="n"/>
      <c r="S15" s="1816">
        <f>IF($C15="Please select", 0, defo!$G39)</f>
        <v/>
      </c>
      <c r="T15" s="1816">
        <f>IF($C15="Please select", 0, defo!$H39)</f>
        <v/>
      </c>
      <c r="U15" s="1781" t="n"/>
      <c r="V15" s="1815">
        <f>IF($C15&lt;&gt; "Please select", defo!$S39, 0)</f>
        <v/>
      </c>
      <c r="W15" s="1841">
        <f>IF($C15&lt;&gt; "Please select", defo!$T39, 0)</f>
        <v/>
      </c>
      <c r="X15" s="1999" t="n"/>
      <c r="Y15" s="1816">
        <f>IF($C15&lt;&gt; "Please select", defo!U39, 0)</f>
        <v/>
      </c>
      <c r="AP15" s="1818" t="n"/>
      <c r="AR15" s="2000">
        <f>C15</f>
        <v/>
      </c>
      <c r="AS15" s="2001">
        <f>IF($AR15="Please select",0,defo!$J13)</f>
        <v/>
      </c>
      <c r="AT15" s="4663" t="n"/>
      <c r="AU15" s="1784" t="n"/>
      <c r="AV15" s="2001">
        <f>IF($AR15="Please select",0,defo!$M13)</f>
        <v/>
      </c>
      <c r="AW15" s="4663" t="n"/>
      <c r="AX15" s="1886" t="n"/>
      <c r="AY15" s="2001">
        <f>IF($AR15="Please select",0,defo!$O13)</f>
        <v/>
      </c>
      <c r="AZ15" s="4664" t="n"/>
      <c r="BA15" s="2002" t="n"/>
      <c r="BB15" s="2001">
        <f>IF($AR15="Please select",0,defo!$Q13)</f>
        <v/>
      </c>
      <c r="BC15" s="4665" t="n"/>
      <c r="BD15" s="1795" t="n"/>
      <c r="BE15" s="2001">
        <f>IF($AR15="Please select",0,defo!S13)</f>
        <v/>
      </c>
      <c r="BF15" s="4664" t="n"/>
      <c r="BG15" s="1795" t="n"/>
      <c r="BH15" s="1784" t="n"/>
      <c r="BI15" s="1782">
        <f>I15</f>
        <v/>
      </c>
      <c r="BJ15" s="1784" t="n"/>
      <c r="BK15" s="1784" t="n"/>
      <c r="BL15" s="2001">
        <f>IF($BI15="Please select",0,defo!J27)</f>
        <v/>
      </c>
      <c r="BM15" s="4664" t="n"/>
      <c r="BN15" s="1784" t="n"/>
      <c r="BO15" s="2001">
        <f>IF($BI15="Please select",0,defo!T13*defo!O27)</f>
        <v/>
      </c>
      <c r="BP15" s="4664" t="n"/>
      <c r="BQ15" s="1784" t="n"/>
      <c r="BR15" s="1784" t="n"/>
      <c r="BT15" s="4401" t="n">
        <v>1</v>
      </c>
      <c r="BU15" s="4402" t="n"/>
      <c r="BV15" s="1784" t="n"/>
    </row>
    <row r="16" ht="15" customHeight="1">
      <c r="A16" s="4456">
        <f>IF(I16="annual cropland","crop",IF(I16="grassland","grass",IF(I16="agroforestry","agroforest",IF(I16="flooded rice", "rice", ""))))</f>
        <v/>
      </c>
      <c r="B16" s="1781" t="n"/>
      <c r="C16" s="2133" t="inlineStr">
        <is>
          <t>Please select</t>
        </is>
      </c>
      <c r="D16" s="1986" t="n"/>
      <c r="E16" s="2133" t="n">
        <v>0</v>
      </c>
      <c r="F16" s="1986" t="n"/>
      <c r="G16" s="2133" t="inlineStr">
        <is>
          <t>NO</t>
        </is>
      </c>
      <c r="H16" s="1986" t="n"/>
      <c r="I16" s="2133" t="inlineStr">
        <is>
          <t>Please select</t>
        </is>
      </c>
      <c r="J16" s="1986" t="n"/>
      <c r="K16" s="2133" t="inlineStr">
        <is>
          <t>Please select</t>
        </is>
      </c>
      <c r="L16" s="1781" t="n"/>
      <c r="M16" s="4123" t="n">
        <v>0</v>
      </c>
      <c r="N16" s="2132" t="n">
        <v>0</v>
      </c>
      <c r="O16" s="4124" t="inlineStr">
        <is>
          <t>D</t>
        </is>
      </c>
      <c r="P16" s="2132" t="n">
        <v>0</v>
      </c>
      <c r="Q16" s="4124" t="inlineStr">
        <is>
          <t>D</t>
        </is>
      </c>
      <c r="R16" s="1998" t="n"/>
      <c r="S16" s="1816">
        <f>IF($C16="Please select", 0, defo!$G40)</f>
        <v/>
      </c>
      <c r="T16" s="1816">
        <f>IF($C16="Please select", 0, defo!$H40)</f>
        <v/>
      </c>
      <c r="U16" s="1781" t="n"/>
      <c r="V16" s="1815">
        <f>IF($C16&lt;&gt; "Please select", defo!$S40, 0)</f>
        <v/>
      </c>
      <c r="W16" s="1841">
        <f>IF($C16&lt;&gt; "Please select", defo!$T40, 0)</f>
        <v/>
      </c>
      <c r="X16" s="1999" t="n"/>
      <c r="Y16" s="1816">
        <f>IF($C16&lt;&gt; "Please select", defo!U40, 0)</f>
        <v/>
      </c>
      <c r="AP16" s="1818" t="n"/>
      <c r="AR16" s="2000">
        <f>C16</f>
        <v/>
      </c>
      <c r="AS16" s="2001">
        <f>IF($AR16="Please select",0,defo!$J14)</f>
        <v/>
      </c>
      <c r="AT16" s="4663" t="n"/>
      <c r="AU16" s="1784" t="n"/>
      <c r="AV16" s="2001">
        <f>IF($AR16="Please select",0,defo!$M14)</f>
        <v/>
      </c>
      <c r="AW16" s="4663" t="n"/>
      <c r="AX16" s="1886" t="n"/>
      <c r="AY16" s="2001">
        <f>IF($AR16="Please select",0,defo!$O14)</f>
        <v/>
      </c>
      <c r="AZ16" s="4664" t="n"/>
      <c r="BA16" s="2002" t="n"/>
      <c r="BB16" s="2001">
        <f>IF($AR16="Please select",0,defo!$Q14)</f>
        <v/>
      </c>
      <c r="BC16" s="4665" t="n"/>
      <c r="BD16" s="1886" t="n"/>
      <c r="BE16" s="2001">
        <f>IF($AR16="Please select",0,defo!S14)</f>
        <v/>
      </c>
      <c r="BF16" s="4664" t="n"/>
      <c r="BG16" s="1886" t="n"/>
      <c r="BH16" s="1784" t="n"/>
      <c r="BI16" s="1782">
        <f>I16</f>
        <v/>
      </c>
      <c r="BJ16" s="1784" t="n"/>
      <c r="BK16" s="1784" t="n"/>
      <c r="BL16" s="2001">
        <f>IF($BI16="Please select",0,defo!J28)</f>
        <v/>
      </c>
      <c r="BM16" s="4664" t="n"/>
      <c r="BN16" s="1784" t="n"/>
      <c r="BO16" s="2001">
        <f>IF($BI16="Please select",0,defo!T14*defo!O28)</f>
        <v/>
      </c>
      <c r="BP16" s="4664" t="n"/>
      <c r="BQ16" s="1784" t="n"/>
      <c r="BR16" s="1784" t="n"/>
      <c r="BT16" s="4401" t="n">
        <v>1</v>
      </c>
      <c r="BU16" s="4402" t="n"/>
      <c r="BV16" s="1784" t="n"/>
    </row>
    <row r="17" ht="15" customHeight="1">
      <c r="A17" s="4456">
        <f>IF(I17="annual cropland","crop",IF(I17="grassland","grass",IF(I17="agroforestry","agroforest",IF(I17="flooded rice", "rice", ""))))</f>
        <v/>
      </c>
      <c r="B17" s="1781" t="n"/>
      <c r="C17" s="2133" t="inlineStr">
        <is>
          <t>Please select</t>
        </is>
      </c>
      <c r="D17" s="1986" t="n"/>
      <c r="E17" s="2133" t="n">
        <v>0</v>
      </c>
      <c r="F17" s="1986" t="n"/>
      <c r="G17" s="2133" t="inlineStr">
        <is>
          <t>NO</t>
        </is>
      </c>
      <c r="H17" s="1986" t="n"/>
      <c r="I17" s="2133" t="inlineStr">
        <is>
          <t>Please select</t>
        </is>
      </c>
      <c r="J17" s="1986" t="n"/>
      <c r="K17" s="2133" t="inlineStr">
        <is>
          <t>Please select</t>
        </is>
      </c>
      <c r="L17" s="1781" t="n"/>
      <c r="M17" s="4123" t="n">
        <v>0</v>
      </c>
      <c r="N17" s="2132" t="n">
        <v>0</v>
      </c>
      <c r="O17" s="4124" t="inlineStr">
        <is>
          <t>D</t>
        </is>
      </c>
      <c r="P17" s="2132" t="n">
        <v>0</v>
      </c>
      <c r="Q17" s="4124" t="inlineStr">
        <is>
          <t>D</t>
        </is>
      </c>
      <c r="R17" s="1998" t="n"/>
      <c r="S17" s="1816">
        <f>IF($C17="Please select", 0, defo!$G41)</f>
        <v/>
      </c>
      <c r="T17" s="1816">
        <f>IF($C17="Please select", 0, defo!$H41)</f>
        <v/>
      </c>
      <c r="U17" s="1781" t="n"/>
      <c r="V17" s="1815">
        <f>IF($C17&lt;&gt; "Please select", defo!$S41, 0)</f>
        <v/>
      </c>
      <c r="W17" s="1841">
        <f>IF($C17&lt;&gt; "Please select", defo!$T41, 0)</f>
        <v/>
      </c>
      <c r="X17" s="1999" t="n"/>
      <c r="Y17" s="1816">
        <f>IF($C17&lt;&gt; "Please select", defo!U41, 0)</f>
        <v/>
      </c>
      <c r="AR17" s="2000">
        <f>C17</f>
        <v/>
      </c>
      <c r="AS17" s="2001">
        <f>IF($AR17="Please select",0,defo!$J15)</f>
        <v/>
      </c>
      <c r="AT17" s="4663" t="n"/>
      <c r="AU17" s="1784" t="n"/>
      <c r="AV17" s="2001">
        <f>IF($AR17="Please select",0,defo!$M15)</f>
        <v/>
      </c>
      <c r="AW17" s="4663" t="n"/>
      <c r="AX17" s="1886" t="n"/>
      <c r="AY17" s="2001">
        <f>IF($AR17="Please select",0,defo!$O15)</f>
        <v/>
      </c>
      <c r="AZ17" s="4664" t="n"/>
      <c r="BA17" s="2002" t="n"/>
      <c r="BB17" s="2001">
        <f>IF($AR17="Please select",0,defo!$Q15)</f>
        <v/>
      </c>
      <c r="BC17" s="4665" t="n"/>
      <c r="BD17" s="1795" t="n"/>
      <c r="BE17" s="2001">
        <f>IF($AR17="Please select",0,defo!S15)</f>
        <v/>
      </c>
      <c r="BF17" s="4664" t="n"/>
      <c r="BG17" s="1795" t="n"/>
      <c r="BH17" s="1784" t="n"/>
      <c r="BI17" s="1782">
        <f>I17</f>
        <v/>
      </c>
      <c r="BJ17" s="1784" t="n"/>
      <c r="BK17" s="1784" t="n"/>
      <c r="BL17" s="2001">
        <f>IF($BI17="Please select",0,defo!J29)</f>
        <v/>
      </c>
      <c r="BM17" s="4664" t="n"/>
      <c r="BN17" s="1784" t="n"/>
      <c r="BO17" s="2001">
        <f>IF($BI17="Please select",0,defo!T15*defo!O29)</f>
        <v/>
      </c>
      <c r="BP17" s="4664" t="n"/>
      <c r="BQ17" s="1784" t="n"/>
      <c r="BR17" s="1784" t="n"/>
      <c r="BT17" s="4401" t="n">
        <v>1</v>
      </c>
      <c r="BU17" s="4402" t="n"/>
      <c r="BV17" s="1784" t="n"/>
    </row>
    <row r="18" ht="15" customHeight="1">
      <c r="A18" s="4456">
        <f>IF(I18="annual cropland","crop",IF(I18="grassland","grass",IF(I18="agroforestry","agroforest",IF(I18="flooded rice", "rice", ""))))</f>
        <v/>
      </c>
      <c r="B18" s="1781" t="n"/>
      <c r="C18" s="2133" t="inlineStr">
        <is>
          <t>Please select</t>
        </is>
      </c>
      <c r="D18" s="1986" t="n"/>
      <c r="E18" s="2133" t="n">
        <v>0</v>
      </c>
      <c r="F18" s="1986" t="n"/>
      <c r="G18" s="2133" t="inlineStr">
        <is>
          <t>NO</t>
        </is>
      </c>
      <c r="H18" s="1986" t="n"/>
      <c r="I18" s="2133" t="inlineStr">
        <is>
          <t>Please select</t>
        </is>
      </c>
      <c r="J18" s="1986" t="n"/>
      <c r="K18" s="2133" t="inlineStr">
        <is>
          <t>Please select</t>
        </is>
      </c>
      <c r="L18" s="1781" t="n"/>
      <c r="M18" s="4123" t="n">
        <v>0</v>
      </c>
      <c r="N18" s="2132" t="n">
        <v>0</v>
      </c>
      <c r="O18" s="4124" t="inlineStr">
        <is>
          <t>D</t>
        </is>
      </c>
      <c r="P18" s="2132" t="n">
        <v>0</v>
      </c>
      <c r="Q18" s="4124" t="inlineStr">
        <is>
          <t>D</t>
        </is>
      </c>
      <c r="R18" s="1998" t="n"/>
      <c r="S18" s="1816">
        <f>IF($C18="Please select", 0, defo!$G42)</f>
        <v/>
      </c>
      <c r="T18" s="1816">
        <f>IF($C18="Please select", 0, defo!$H42)</f>
        <v/>
      </c>
      <c r="U18" s="1781" t="n"/>
      <c r="V18" s="1815">
        <f>IF($C18&lt;&gt; "Please select", defo!$S42, 0)</f>
        <v/>
      </c>
      <c r="W18" s="1841">
        <f>IF($C18&lt;&gt; "Please select", defo!$T42, 0)</f>
        <v/>
      </c>
      <c r="X18" s="1999" t="n"/>
      <c r="Y18" s="1816">
        <f>IF($C18&lt;&gt; "Please select", defo!U42, 0)</f>
        <v/>
      </c>
      <c r="AR18" s="2000">
        <f>C18</f>
        <v/>
      </c>
      <c r="AS18" s="2001">
        <f>IF($AR18="Please select",0,defo!$J16)</f>
        <v/>
      </c>
      <c r="AT18" s="4663" t="n"/>
      <c r="AU18" s="2000" t="n"/>
      <c r="AV18" s="2001">
        <f>IF($AR18="Please select",0,defo!$M16)</f>
        <v/>
      </c>
      <c r="AW18" s="4663" t="n"/>
      <c r="AX18" s="2000" t="n"/>
      <c r="AY18" s="2001">
        <f>IF($AR18="Please select",0,defo!$O16)</f>
        <v/>
      </c>
      <c r="AZ18" s="4664" t="n"/>
      <c r="BA18" s="2002" t="n"/>
      <c r="BB18" s="2001">
        <f>IF($AR18="Please select",0,defo!$Q16)</f>
        <v/>
      </c>
      <c r="BC18" s="4665" t="n"/>
      <c r="BD18" s="2000" t="n"/>
      <c r="BE18" s="2001">
        <f>IF($AR18="Please select",0,defo!S16)</f>
        <v/>
      </c>
      <c r="BF18" s="4664" t="n"/>
      <c r="BG18" s="2000" t="n"/>
      <c r="BH18" s="1784" t="n"/>
      <c r="BI18" s="1782">
        <f>I18</f>
        <v/>
      </c>
      <c r="BJ18" s="1784" t="n"/>
      <c r="BK18" s="1784" t="n"/>
      <c r="BL18" s="2001">
        <f>IF($BI18="Please select",0,defo!J30)</f>
        <v/>
      </c>
      <c r="BM18" s="4664" t="n"/>
      <c r="BN18" s="1784" t="n"/>
      <c r="BO18" s="2001">
        <f>IF($BI18="Please select",0,defo!T16*defo!O30)</f>
        <v/>
      </c>
      <c r="BP18" s="4664" t="n"/>
      <c r="BQ18" s="1784" t="n"/>
      <c r="BR18" s="1784" t="n"/>
      <c r="BT18" s="4401" t="n">
        <v>1</v>
      </c>
      <c r="BU18" s="4402" t="n"/>
      <c r="BV18" s="1784" t="n"/>
    </row>
    <row r="19" ht="15" customHeight="1">
      <c r="B19" s="1781" t="n"/>
      <c r="C19" s="1781" t="n"/>
      <c r="D19" s="1781" t="n"/>
      <c r="E19" s="1986" t="n"/>
      <c r="F19" s="1986" t="n"/>
      <c r="G19" s="2003" t="n"/>
      <c r="H19" s="1986" t="n"/>
      <c r="I19" s="4533" t="n"/>
      <c r="J19" s="1986" t="n"/>
      <c r="K19" s="1986" t="n"/>
      <c r="L19" s="1986" t="n"/>
      <c r="M19" s="1986" t="n"/>
      <c r="N19" s="1986" t="n"/>
      <c r="O19" s="1986" t="n"/>
      <c r="P19" s="1986" t="n"/>
      <c r="Q19" s="1986" t="n"/>
      <c r="R19" s="1986" t="n"/>
      <c r="S19" s="1986" t="n"/>
      <c r="T19" s="1986" t="n"/>
      <c r="U19" s="1781" t="n"/>
      <c r="V19" s="1781" t="n"/>
      <c r="W19" s="1986" t="n"/>
      <c r="X19" s="1986" t="n"/>
      <c r="Y19" s="1986" t="n"/>
      <c r="AR19" s="2000" t="n"/>
      <c r="AS19" s="2000" t="n"/>
      <c r="AT19" s="2000" t="n"/>
      <c r="AU19" s="2000" t="n"/>
      <c r="AV19" s="2001" t="n"/>
      <c r="AW19" s="4666" t="n"/>
      <c r="AX19" s="2000" t="n"/>
      <c r="AY19" s="2001" t="n"/>
      <c r="AZ19" s="4666" t="n"/>
      <c r="BA19" s="2002" t="n"/>
      <c r="BB19" s="2001" t="n"/>
      <c r="BC19" s="4667" t="n"/>
      <c r="BD19" s="2000" t="n"/>
      <c r="BE19" s="2001" t="n"/>
      <c r="BF19" s="4668" t="n"/>
      <c r="BG19" s="2000" t="n"/>
      <c r="BH19" s="2001" t="n"/>
      <c r="BI19" s="4667" t="n"/>
      <c r="BJ19" s="2000" t="n"/>
      <c r="BK19" s="1784" t="n"/>
      <c r="BL19" s="1784" t="n"/>
      <c r="BM19" s="1784" t="n"/>
      <c r="BN19" s="1784" t="n"/>
      <c r="BO19" s="2001" t="n"/>
      <c r="BP19" s="1784" t="n"/>
      <c r="BQ19" s="1784" t="n"/>
      <c r="BR19" s="1784" t="n"/>
      <c r="BT19" s="2001" t="n"/>
      <c r="BU19" s="4667" t="n"/>
      <c r="BV19" s="1784" t="n"/>
    </row>
    <row r="20" ht="15" customHeight="1">
      <c r="B20" s="1781" t="n"/>
      <c r="C20" s="1781" t="n"/>
      <c r="D20" s="1781" t="n"/>
      <c r="E20" s="1781" t="n"/>
      <c r="F20" s="1781" t="n"/>
      <c r="G20" s="1781" t="n"/>
      <c r="H20" s="1781" t="n"/>
      <c r="I20" s="1781" t="n"/>
      <c r="J20" s="1781" t="n"/>
      <c r="K20" s="1781" t="n"/>
      <c r="L20" s="1781" t="n"/>
      <c r="M20" s="1781" t="n"/>
      <c r="N20" s="1781" t="n"/>
      <c r="O20" s="1781" t="n"/>
      <c r="P20" s="2007" t="n"/>
      <c r="Q20" s="2007" t="n"/>
      <c r="R20" s="2007" t="n"/>
      <c r="S20" s="1986" t="n"/>
      <c r="T20" s="1986" t="n"/>
      <c r="U20" s="1781" t="n"/>
      <c r="V20" s="1781" t="n"/>
      <c r="W20" s="1986" t="n"/>
      <c r="X20" s="1986" t="n"/>
      <c r="Y20" s="2008" t="n"/>
      <c r="AR20" s="1782">
        <f>'5.Management'!AQ23</f>
        <v/>
      </c>
      <c r="AS20" s="1782" t="n"/>
      <c r="AT20" s="1782" t="n"/>
      <c r="AU20" s="1782" t="n"/>
      <c r="AV20" s="1782" t="n"/>
      <c r="AW20" s="1782" t="n"/>
      <c r="AX20" s="1782" t="n"/>
      <c r="AY20" s="1782" t="n"/>
      <c r="AZ20" s="1782" t="n"/>
      <c r="BA20" s="1782" t="n"/>
      <c r="BB20" s="1782" t="n"/>
      <c r="BC20" s="1782" t="n"/>
      <c r="BD20" s="1782" t="n"/>
      <c r="BE20" s="1782" t="n"/>
      <c r="BF20" s="1782" t="n"/>
      <c r="BG20" s="1782" t="n"/>
      <c r="BH20" s="1782" t="n"/>
      <c r="BI20" s="1782" t="n"/>
      <c r="BJ20" s="1782" t="n"/>
      <c r="BK20" s="1784" t="n"/>
      <c r="BL20" s="1784" t="n"/>
      <c r="BM20" s="1784" t="n"/>
      <c r="BN20" s="1784" t="n"/>
      <c r="BO20" s="1784" t="n"/>
      <c r="BP20" s="1784" t="n"/>
      <c r="BQ20" s="1784" t="n"/>
      <c r="BR20" s="1784" t="n"/>
      <c r="BT20" s="1782" t="n"/>
      <c r="BU20" s="1782" t="n"/>
      <c r="BV20" s="1784" t="n"/>
    </row>
    <row r="21" ht="15" customHeight="1">
      <c r="B21" s="2008" t="n"/>
      <c r="C21" s="1826" t="n"/>
      <c r="D21" s="1781" t="n"/>
      <c r="E21" s="1781" t="n"/>
      <c r="F21" s="1781" t="n"/>
      <c r="G21" s="1781" t="n"/>
      <c r="H21" s="1781" t="n"/>
      <c r="I21" s="1781" t="n"/>
      <c r="J21" s="1781" t="n"/>
      <c r="K21" s="1781" t="n"/>
      <c r="L21" s="1781" t="n"/>
      <c r="M21" s="1781" t="n"/>
      <c r="N21" s="1781" t="n"/>
      <c r="O21" s="1781" t="n"/>
      <c r="P21" s="2009" t="n"/>
      <c r="Q21" s="2010" t="n"/>
      <c r="R21" s="2010" t="n"/>
      <c r="S21" s="2010" t="n"/>
      <c r="T21" s="2284">
        <f>Languages!B76</f>
        <v/>
      </c>
      <c r="U21" s="1853" t="n"/>
      <c r="V21" s="1858">
        <f>IFERROR(IF(C11 &lt;&gt; "Please select", defo!$S44, 0),0)</f>
        <v/>
      </c>
      <c r="W21" s="1858">
        <f>IFERROR(IF($C11&lt;&gt; "Please select", defo!$T44, 0),0)</f>
        <v/>
      </c>
      <c r="X21" s="2431" t="n"/>
      <c r="Y21" s="1860">
        <f>IFERROR(IF($C11&lt;&gt; "Please select", defo!$U44, 0),0)</f>
        <v/>
      </c>
      <c r="AR21" s="1782">
        <f>'5.Management'!AQ24</f>
        <v/>
      </c>
      <c r="AS21" s="2000" t="n"/>
      <c r="AT21" s="2000" t="n"/>
      <c r="AU21" s="2000" t="n"/>
      <c r="AV21" s="2001" t="n"/>
      <c r="AW21" s="4666" t="n"/>
      <c r="AX21" s="2000" t="n"/>
      <c r="AY21" s="2001" t="n"/>
      <c r="AZ21" s="4666" t="n"/>
      <c r="BA21" s="2000" t="n"/>
      <c r="BB21" s="2001" t="n"/>
      <c r="BC21" s="4667" t="n"/>
      <c r="BD21" s="2000" t="n"/>
      <c r="BE21" s="2001" t="n"/>
      <c r="BF21" s="4667" t="n"/>
      <c r="BG21" s="2000" t="n"/>
      <c r="BH21" s="2001" t="n"/>
      <c r="BI21" s="4667" t="n"/>
      <c r="BJ21" s="2000" t="n"/>
      <c r="BK21" s="1784" t="n"/>
      <c r="BL21" s="1784" t="n"/>
      <c r="BM21" s="1784" t="n"/>
      <c r="BN21" s="1784" t="n"/>
      <c r="BO21" s="1784" t="n"/>
      <c r="BP21" s="1784" t="n"/>
      <c r="BQ21" s="1784" t="n"/>
      <c r="BR21" s="1784" t="n"/>
      <c r="BT21" s="4548" t="inlineStr">
        <is>
          <t>Use this part only if you want to refine yearly GHG fluxes</t>
        </is>
      </c>
    </row>
    <row r="22" ht="15" customHeight="1">
      <c r="B22" s="1781" t="n"/>
      <c r="C22" s="1781" t="n"/>
      <c r="D22" s="1781" t="n"/>
      <c r="E22" s="1781" t="n"/>
      <c r="F22" s="1781" t="n"/>
      <c r="G22" s="1781" t="n"/>
      <c r="H22" s="1781" t="n"/>
      <c r="I22" s="4459">
        <f>IF(AND(OR(COUNTIF(A11:A18,"*allcrops*"),COUNTIF(A11:A18,"*agroforest*"), COUNTIF(A11:A18,"*rice*"), COUNTIF(A11:A18,"*crop*")), COUNTIF(A11:A18,"*grass*")),"Please go to the Cropland and Grassland modules to complete the assessment",IF((COUNTIF(A11:A18,"*allcrops*") + COUNTIF(A11:A18,"*crop*") + COUNTIF(A11:A18,"*agroforest*") + COUNTIF(A11:A18,"*rice*"))&gt;1, "Please go to the Cropland module to complete the assessment",IF(COUNTIF(A11:A18,"*crop*"),"Please go to section 3.1.1 in the Cropland Module to complete the assessment",IF(COUNTIF(A11:A18,"*Agroforest*"),"Please go to section 3.2.1 in the Cropland Module to complete the assessment",IF(COUNTIF(A11:A18,"*rice*"),"Please go to section 3.3.1 in the Cropland Module to complete the assessment",IF(COUNTIF(A11:A18,"*grass*"),"Please go to section 4.1.1 in the Grassland and livestock Module to complete the assessment",""))))))</f>
        <v/>
      </c>
      <c r="J22" s="1781" t="n"/>
      <c r="K22" s="1781" t="n"/>
      <c r="L22" s="1781" t="n"/>
      <c r="M22" s="1781" t="n"/>
      <c r="N22" s="1986" t="n"/>
      <c r="O22" s="1986" t="n"/>
      <c r="P22" s="1781" t="n"/>
      <c r="Q22" s="1781" t="n"/>
      <c r="R22" s="1781" t="n"/>
      <c r="S22" s="1781" t="n"/>
      <c r="T22" s="1781" t="n"/>
      <c r="U22" s="1781" t="n"/>
      <c r="V22" s="1781" t="n"/>
      <c r="W22" s="1781" t="n"/>
      <c r="X22" s="1781" t="n"/>
      <c r="Y22" s="1781" t="n"/>
      <c r="AR22" s="2000" t="n"/>
      <c r="AS22" s="2000" t="n"/>
      <c r="AT22" s="2000" t="n"/>
      <c r="AU22" s="2000" t="n"/>
      <c r="AV22" s="2000" t="n"/>
      <c r="AW22" s="4669" t="n"/>
      <c r="AX22" s="2000" t="n"/>
      <c r="AY22" s="2000" t="n"/>
      <c r="AZ22" s="4669" t="n"/>
      <c r="BA22" s="2000" t="n"/>
      <c r="BB22" s="2000" t="n"/>
      <c r="BC22" s="4669" t="n"/>
      <c r="BD22" s="2000" t="n"/>
      <c r="BE22" s="2000" t="n"/>
      <c r="BF22" s="4669" t="n"/>
      <c r="BG22" s="2000" t="n"/>
      <c r="BH22" s="2000" t="n"/>
      <c r="BI22" s="4669" t="n"/>
      <c r="BJ22" s="2000" t="n"/>
      <c r="BK22" s="1784" t="n"/>
      <c r="BL22" s="1784" t="n"/>
      <c r="BM22" s="1784" t="n"/>
      <c r="BN22" s="1784" t="n"/>
      <c r="BO22" s="1784" t="n"/>
      <c r="BP22" s="1784" t="n"/>
      <c r="BQ22" s="1784" t="n"/>
      <c r="BR22" s="1784" t="n"/>
    </row>
    <row r="23" ht="15" customHeight="1">
      <c r="B23" s="1781" t="n"/>
      <c r="C23" s="1781" t="n"/>
      <c r="D23" s="1781" t="n"/>
      <c r="E23" s="2013" t="n"/>
      <c r="F23" s="1781" t="n"/>
      <c r="G23" s="1781" t="n"/>
      <c r="H23" s="1781" t="n"/>
      <c r="I23" s="1781" t="n"/>
      <c r="J23" s="1781" t="n"/>
      <c r="K23" s="1781" t="n"/>
      <c r="L23" s="1781" t="n"/>
      <c r="M23" s="1781" t="n"/>
      <c r="N23" s="1781" t="n"/>
      <c r="O23" s="1781" t="n"/>
      <c r="P23" s="1986" t="n"/>
      <c r="Q23" s="1986" t="n"/>
      <c r="R23" s="1986" t="n"/>
      <c r="S23" s="1986" t="n"/>
      <c r="T23" s="1986" t="n"/>
      <c r="U23" s="1781" t="n"/>
      <c r="V23" s="1781" t="n"/>
      <c r="W23" s="1986" t="n"/>
      <c r="X23" s="1986" t="n"/>
      <c r="Y23" s="1986" t="n"/>
      <c r="AR23" s="1782" t="n"/>
      <c r="AS23" s="1782" t="n"/>
      <c r="AT23" s="1782" t="n"/>
      <c r="AU23" s="1782" t="n"/>
      <c r="AV23" s="1782" t="n"/>
      <c r="AW23" s="1782" t="n"/>
      <c r="AX23" s="1782" t="n"/>
      <c r="AY23" s="1782" t="n"/>
      <c r="AZ23" s="1782" t="n"/>
      <c r="BA23" s="1782" t="n"/>
      <c r="BB23" s="1782" t="n"/>
      <c r="BC23" s="1782" t="n"/>
      <c r="BD23" s="1782" t="n"/>
      <c r="BE23" s="1782" t="n"/>
      <c r="BF23" s="1782" t="n"/>
      <c r="BG23" s="1782" t="n"/>
      <c r="BH23" s="1782" t="n"/>
      <c r="BI23" s="1782" t="n"/>
      <c r="BJ23" s="1782" t="n"/>
      <c r="BK23" s="1784" t="n"/>
      <c r="BL23" s="1784" t="n"/>
      <c r="BM23" s="1784" t="n"/>
      <c r="BN23" s="1784" t="n"/>
      <c r="BO23" s="1784" t="n"/>
      <c r="BP23" s="1784" t="n"/>
      <c r="BQ23" s="1784" t="n"/>
      <c r="BR23" s="1784" t="n"/>
    </row>
    <row r="24" ht="15" customHeight="1">
      <c r="B24" s="1820">
        <f>Languages!B23</f>
        <v/>
      </c>
      <c r="C24" s="1986" t="n"/>
      <c r="D24" s="1986" t="n"/>
      <c r="E24" s="1986" t="n"/>
      <c r="F24" s="1986" t="n"/>
      <c r="G24" s="1986" t="n"/>
      <c r="H24" s="1986" t="n"/>
      <c r="I24" s="1986" t="n"/>
      <c r="J24" s="1986" t="n"/>
      <c r="K24" s="1986" t="n"/>
      <c r="L24" s="1986" t="n"/>
      <c r="M24" s="1986" t="n"/>
      <c r="N24" s="1986" t="n"/>
      <c r="O24" s="1986" t="n"/>
      <c r="P24" s="1986" t="n"/>
      <c r="Q24" s="1986" t="n"/>
      <c r="R24" s="1986" t="n"/>
      <c r="S24" s="1986" t="n"/>
      <c r="T24" s="1986" t="n"/>
      <c r="U24" s="1986" t="n"/>
      <c r="V24" s="1986" t="n"/>
      <c r="W24" s="1986" t="n"/>
      <c r="X24" s="1986" t="n"/>
      <c r="Y24" s="1986" t="n"/>
    </row>
    <row r="25">
      <c r="AF25" s="1840" t="n"/>
    </row>
    <row r="26">
      <c r="AF26" s="1840" t="n"/>
    </row>
    <row r="27">
      <c r="AF27" s="1840" t="n"/>
    </row>
    <row r="29" ht="21" customHeight="1">
      <c r="AA29" s="2014" t="n"/>
    </row>
    <row r="30" ht="45" customHeight="1">
      <c r="B30" s="1976">
        <f>Languages!B77</f>
        <v/>
      </c>
      <c r="C30" s="1976" t="n"/>
      <c r="D30" s="1977" t="n"/>
      <c r="E30" s="1778" t="n"/>
      <c r="F30" s="1778" t="n"/>
      <c r="G30" s="1778" t="n"/>
      <c r="H30" s="1778" t="n"/>
      <c r="I30" s="1778" t="n"/>
      <c r="J30" s="1778" t="n"/>
      <c r="K30" s="1778" t="n"/>
      <c r="L30" s="1778" t="n"/>
      <c r="M30" s="1778" t="n"/>
      <c r="N30" s="1778" t="n"/>
      <c r="O30" s="1778" t="n"/>
      <c r="P30" s="1778" t="n"/>
      <c r="Q30" s="1778" t="n"/>
      <c r="R30" s="1778" t="n"/>
      <c r="S30" s="1778" t="n"/>
      <c r="T30" s="1778" t="n"/>
      <c r="U30" s="1778" t="n"/>
      <c r="V30" s="1770">
        <f>Languages!B22</f>
        <v/>
      </c>
      <c r="W30" s="1778" t="n"/>
      <c r="X30" s="1778" t="n"/>
      <c r="Y30" s="1778" t="n"/>
      <c r="AR30" s="1976">
        <f>B30</f>
        <v/>
      </c>
      <c r="AS30" s="1978" t="n"/>
      <c r="AT30" s="1978" t="n"/>
      <c r="AU30" s="1978" t="n"/>
      <c r="AV30" s="1978" t="n"/>
      <c r="AW30" s="1978" t="n"/>
      <c r="AX30" s="1978" t="n"/>
      <c r="AY30" s="1978" t="n"/>
      <c r="AZ30" s="1978" t="n"/>
      <c r="BA30" s="1978" t="n"/>
      <c r="BB30" s="1978" t="n"/>
      <c r="BC30" s="1978" t="n"/>
      <c r="BD30" s="1978" t="n"/>
      <c r="BE30" s="1978" t="n"/>
      <c r="BF30" s="1978" t="n"/>
      <c r="BG30" s="1978" t="n"/>
      <c r="BH30" s="1978" t="n"/>
      <c r="BI30" s="1978" t="n"/>
      <c r="BJ30" s="1978" t="n"/>
      <c r="BK30" s="1978" t="n"/>
      <c r="BL30" s="1978" t="n"/>
      <c r="BM30" s="1978" t="n"/>
      <c r="BN30" s="1978" t="n"/>
      <c r="BO30" s="1978" t="n"/>
      <c r="BP30" s="1978" t="n"/>
      <c r="BQ30" s="1978" t="n"/>
      <c r="BR30" s="1978" t="n"/>
      <c r="BS30" s="1978" t="n"/>
      <c r="BT30" s="1978" t="n"/>
      <c r="BU30" s="1978" t="n"/>
      <c r="BV30" s="1978" t="n"/>
      <c r="BW30" s="1978" t="n"/>
      <c r="BX30" s="1978" t="n"/>
      <c r="BZ30" s="4404" t="inlineStr">
        <is>
          <t>Annual balance</t>
        </is>
      </c>
      <c r="CA30" s="4404" t="n"/>
      <c r="CB30" s="4404" t="n"/>
    </row>
    <row r="31" ht="5.25" customHeight="1">
      <c r="BZ31" s="1916" t="n"/>
      <c r="CA31" s="1916" t="n"/>
    </row>
    <row r="32" ht="15" customHeight="1">
      <c r="B32" s="1781" t="n"/>
      <c r="C32" s="1781" t="n"/>
      <c r="D32" s="1781" t="n"/>
      <c r="E32" s="1781" t="n"/>
      <c r="F32" s="1781" t="n"/>
      <c r="G32" s="1781" t="n"/>
      <c r="H32" s="1781" t="n"/>
      <c r="I32" s="1781" t="n"/>
      <c r="J32" s="1781" t="n"/>
      <c r="K32" s="1781" t="n"/>
      <c r="L32" s="1781" t="n"/>
      <c r="M32" s="1781" t="n"/>
      <c r="N32" s="1781" t="n"/>
      <c r="O32" s="1781" t="n"/>
      <c r="P32" s="1781" t="n"/>
      <c r="Q32" s="1781" t="n"/>
      <c r="R32" s="1781" t="n"/>
      <c r="S32" s="1781" t="n"/>
      <c r="T32" s="1781" t="n"/>
      <c r="U32" s="1781" t="n"/>
      <c r="V32" s="1781" t="n"/>
      <c r="W32" s="1781" t="n"/>
      <c r="X32" s="1781" t="n"/>
      <c r="Y32" s="1781" t="n"/>
      <c r="AR32" s="1782" t="n"/>
      <c r="AS32" s="1782" t="n"/>
      <c r="AT32" s="1782" t="n"/>
      <c r="AU32" s="1782" t="n"/>
      <c r="AV32" s="1782" t="n"/>
      <c r="AW32" s="1782" t="n"/>
      <c r="AX32" s="1782" t="n"/>
      <c r="AY32" s="1782" t="n"/>
      <c r="AZ32" s="1784" t="n"/>
      <c r="BA32" s="1784" t="n"/>
      <c r="BB32" s="1991">
        <f>Languages!B71</f>
        <v/>
      </c>
      <c r="BC32" s="1787" t="n"/>
      <c r="BD32" s="1787" t="n"/>
      <c r="BE32" s="1787" t="n"/>
      <c r="BF32" s="1787" t="n"/>
      <c r="BG32" s="1800" t="n"/>
      <c r="BH32" s="1991">
        <f>Languages!B72</f>
        <v/>
      </c>
      <c r="BI32" s="1787" t="n"/>
      <c r="BJ32" s="1787" t="n"/>
      <c r="BK32" s="1787" t="n"/>
      <c r="BL32" s="1800" t="n"/>
      <c r="BM32" s="4453">
        <f>AS7</f>
        <v/>
      </c>
      <c r="BN32" s="4383" t="n"/>
      <c r="BO32" s="1800" t="n"/>
      <c r="BP32" s="4382">
        <f>Languages!B73</f>
        <v/>
      </c>
      <c r="BQ32" s="2015" t="n"/>
      <c r="BR32" s="1782" t="n"/>
      <c r="BS32" s="1988">
        <f>Languages!B74</f>
        <v/>
      </c>
      <c r="BT32" s="1988" t="n"/>
      <c r="BU32" s="1797" t="n"/>
      <c r="BV32" s="2016">
        <f>Languages!B75</f>
        <v/>
      </c>
      <c r="BW32" s="1994" t="n"/>
      <c r="BX32" s="1782" t="n"/>
      <c r="BZ32" s="1784" t="n"/>
      <c r="CA32" s="1784" t="n"/>
      <c r="CB32" s="4669" t="n"/>
    </row>
    <row r="33" ht="15" customHeight="1">
      <c r="B33" s="1781" t="n"/>
      <c r="C33" s="1952">
        <f>Languages!B18</f>
        <v/>
      </c>
      <c r="D33" s="1781" t="n"/>
      <c r="E33" s="1781" t="n"/>
      <c r="F33" s="1781" t="n"/>
      <c r="G33" s="1780">
        <f>G58</f>
        <v/>
      </c>
      <c r="H33" s="1781" t="n"/>
      <c r="I33" s="1952">
        <f>Languages!B19</f>
        <v/>
      </c>
      <c r="J33" s="1781" t="n"/>
      <c r="K33" s="1952">
        <f>Languages!B65</f>
        <v/>
      </c>
      <c r="L33" s="1781" t="n"/>
      <c r="M33" s="1827" t="n"/>
      <c r="N33" s="1899">
        <f>Languages!B70</f>
        <v/>
      </c>
      <c r="O33" s="1983" t="n"/>
      <c r="P33" s="1983" t="n"/>
      <c r="Q33" s="1983" t="n"/>
      <c r="R33" s="1781" t="n"/>
      <c r="S33" s="1781" t="n"/>
      <c r="T33" s="1781" t="n"/>
      <c r="U33" s="1826" t="n"/>
      <c r="V33" s="1826">
        <f>Languages!B9</f>
        <v/>
      </c>
      <c r="W33" s="1781" t="n"/>
      <c r="X33" s="1826" t="n"/>
      <c r="Y33" s="1780">
        <f>Languages!B10</f>
        <v/>
      </c>
      <c r="AR33" s="1887">
        <f>I33</f>
        <v/>
      </c>
      <c r="AS33" s="1782">
        <f>AS8</f>
        <v/>
      </c>
      <c r="AT33" s="1782" t="n"/>
      <c r="AU33" s="1782" t="n"/>
      <c r="AV33" s="1782" t="n"/>
      <c r="AW33" s="1782" t="n"/>
      <c r="AX33" s="1782" t="n"/>
      <c r="AY33" s="1782" t="n"/>
      <c r="AZ33" s="1887">
        <f>C33</f>
        <v/>
      </c>
      <c r="BA33" s="1782" t="n"/>
      <c r="BB33" s="1833">
        <f>Languages!B87</f>
        <v/>
      </c>
      <c r="BC33" s="1800" t="n"/>
      <c r="BD33" s="1799" t="n"/>
      <c r="BE33" s="1833">
        <f>Languages!B88</f>
        <v/>
      </c>
      <c r="BF33" s="1800" t="n"/>
      <c r="BG33" s="1800" t="n"/>
      <c r="BH33" s="1833">
        <f>BB33</f>
        <v/>
      </c>
      <c r="BI33" s="1800" t="n"/>
      <c r="BJ33" s="1833">
        <f>BE33</f>
        <v/>
      </c>
      <c r="BK33" s="1800" t="n"/>
      <c r="BL33" s="1800" t="n"/>
      <c r="BM33" s="1800" t="inlineStr">
        <is>
          <t>AGB+BGB</t>
        </is>
      </c>
      <c r="BN33" s="1800" t="n"/>
      <c r="BO33" s="1800" t="n"/>
      <c r="BP33" s="1782" t="n"/>
      <c r="BQ33" s="1782" t="n"/>
      <c r="BR33" s="1782" t="n"/>
      <c r="BS33" s="1800" t="n"/>
      <c r="BT33" s="1800" t="n"/>
      <c r="BU33" s="1800" t="n"/>
      <c r="BV33" s="1997" t="n"/>
      <c r="BW33" s="1894" t="n"/>
      <c r="BX33" s="1782" t="n"/>
      <c r="BZ33" s="1890" t="inlineStr">
        <is>
          <t xml:space="preserve">Start year of </t>
        </is>
      </c>
      <c r="CA33" s="1782" t="n"/>
      <c r="CB33" s="4669" t="n"/>
    </row>
    <row r="34" ht="15" customHeight="1">
      <c r="B34" s="1781" t="n"/>
      <c r="C34" s="1952" t="n"/>
      <c r="D34" s="1781" t="n"/>
      <c r="E34" s="1781" t="n"/>
      <c r="F34" s="1781" t="n"/>
      <c r="G34" s="1985">
        <f>G9</f>
        <v/>
      </c>
      <c r="H34" s="1781" t="n"/>
      <c r="I34" s="1952" t="n"/>
      <c r="J34" s="1781" t="n"/>
      <c r="K34" s="1952" t="n"/>
      <c r="L34" s="1781" t="n"/>
      <c r="M34" s="1781" t="n"/>
      <c r="N34" s="1812">
        <f>Languages!B12</f>
        <v/>
      </c>
      <c r="O34" s="1812" t="n"/>
      <c r="P34" s="1812">
        <f>Languages!B13</f>
        <v/>
      </c>
      <c r="Q34" s="1812" t="n"/>
      <c r="R34" s="1781" t="n"/>
      <c r="S34" s="1781" t="n"/>
      <c r="T34" s="1781" t="n"/>
      <c r="U34" s="1781" t="n"/>
      <c r="V34" s="1816">
        <f>Languages!B12</f>
        <v/>
      </c>
      <c r="W34" s="1816">
        <f>P34</f>
        <v/>
      </c>
      <c r="X34" s="1812" t="n"/>
      <c r="Y34" s="1781" t="n"/>
      <c r="AR34" s="1887" t="n"/>
      <c r="AS34" s="1991">
        <f>Languages!B86</f>
        <v/>
      </c>
      <c r="AT34" s="1991" t="n"/>
      <c r="AU34" s="1784" t="n"/>
      <c r="AV34" s="1991">
        <f>BE9</f>
        <v/>
      </c>
      <c r="AW34" s="1991" t="n"/>
      <c r="AX34" s="1782" t="n"/>
      <c r="AY34" s="1782" t="n"/>
      <c r="AZ34" s="1887">
        <f>Languages!B85</f>
        <v/>
      </c>
      <c r="BA34" s="1782" t="n"/>
      <c r="BB34" s="1939">
        <f>Languages!B89</f>
        <v/>
      </c>
      <c r="BC34" s="1800" t="n"/>
      <c r="BD34" s="1800" t="n"/>
      <c r="BE34" s="1939">
        <f>BB34</f>
        <v/>
      </c>
      <c r="BF34" s="1800" t="n"/>
      <c r="BG34" s="1800" t="n"/>
      <c r="BH34" s="1939" t="inlineStr">
        <is>
          <t>tC/ha/yr</t>
        </is>
      </c>
      <c r="BI34" s="1800" t="n"/>
      <c r="BJ34" s="1939" t="inlineStr">
        <is>
          <t>tC/ha/yr</t>
        </is>
      </c>
      <c r="BK34" s="1800" t="n"/>
      <c r="BL34" s="1800" t="n"/>
      <c r="BM34" s="1795">
        <f>Languages!B90</f>
        <v/>
      </c>
      <c r="BN34" s="1800" t="n"/>
      <c r="BO34" s="1800" t="n"/>
      <c r="BP34" s="1939">
        <f>BM34</f>
        <v/>
      </c>
      <c r="BQ34" s="1800" t="n"/>
      <c r="BR34" s="1782" t="n"/>
      <c r="BS34" s="2432" t="n"/>
      <c r="BT34" s="1800">
        <f>BP34</f>
        <v/>
      </c>
      <c r="BU34" s="1800" t="n"/>
      <c r="BV34" s="2073">
        <f>BP34</f>
        <v/>
      </c>
      <c r="BW34" s="1800" t="n"/>
      <c r="BX34" s="1782" t="n"/>
      <c r="BZ34" s="2015" t="inlineStr">
        <is>
          <t>implementation</t>
        </is>
      </c>
      <c r="CA34" s="1994" t="n"/>
      <c r="CB34" s="4669" t="n"/>
    </row>
    <row r="35" ht="15" customHeight="1">
      <c r="B35" s="1781" t="n"/>
      <c r="C35" s="1781" t="n"/>
      <c r="D35" s="1781" t="n"/>
      <c r="E35" s="1781" t="n"/>
      <c r="F35" s="1781" t="n"/>
      <c r="G35" s="1781" t="n"/>
      <c r="H35" s="1781" t="n"/>
      <c r="I35" s="1781" t="n"/>
      <c r="J35" s="1781" t="n"/>
      <c r="K35" s="1781" t="n"/>
      <c r="L35" s="1781" t="n"/>
      <c r="M35" s="1781" t="n"/>
      <c r="N35" s="1781" t="n"/>
      <c r="O35" s="1781" t="inlineStr">
        <is>
          <t>*</t>
        </is>
      </c>
      <c r="P35" s="1781" t="n"/>
      <c r="Q35" s="1781" t="inlineStr">
        <is>
          <t>*</t>
        </is>
      </c>
      <c r="R35" s="1781" t="n"/>
      <c r="S35" s="1781" t="n"/>
      <c r="T35" s="1781" t="n"/>
      <c r="U35" s="1781" t="n"/>
      <c r="V35" s="1781" t="n"/>
      <c r="W35" s="1781" t="n"/>
      <c r="X35" s="1781" t="n"/>
      <c r="Y35" s="1781" t="n"/>
      <c r="AR35" s="1782" t="n"/>
      <c r="AS35" s="2001">
        <f>AS10</f>
        <v/>
      </c>
      <c r="AT35" s="2001">
        <f>AT10</f>
        <v/>
      </c>
      <c r="AU35" s="1784" t="n"/>
      <c r="AV35" s="2001">
        <f>AS35</f>
        <v/>
      </c>
      <c r="AW35" s="2001">
        <f>AT35</f>
        <v/>
      </c>
      <c r="AX35" s="1782" t="n"/>
      <c r="AY35" s="1782" t="n"/>
      <c r="AZ35" s="1800" t="n"/>
      <c r="BA35" s="1782" t="n"/>
      <c r="BB35" s="4468">
        <f>AV35</f>
        <v/>
      </c>
      <c r="BC35" s="4468">
        <f>AW35</f>
        <v/>
      </c>
      <c r="BD35" s="1795" t="n"/>
      <c r="BE35" s="4468">
        <f>BB35</f>
        <v/>
      </c>
      <c r="BF35" s="4468">
        <f>BC35</f>
        <v/>
      </c>
      <c r="BG35" s="1795" t="n"/>
      <c r="BH35" s="4468">
        <f>BE35</f>
        <v/>
      </c>
      <c r="BI35" s="4468">
        <f>BF35</f>
        <v/>
      </c>
      <c r="BJ35" s="4468">
        <f>BH35</f>
        <v/>
      </c>
      <c r="BK35" s="4468">
        <f>BI35</f>
        <v/>
      </c>
      <c r="BL35" s="1800" t="n"/>
      <c r="BM35" s="4468">
        <f>BJ35</f>
        <v/>
      </c>
      <c r="BN35" s="4468">
        <f>BK35</f>
        <v/>
      </c>
      <c r="BO35" s="1800" t="n"/>
      <c r="BP35" s="4468">
        <f>BJ35</f>
        <v/>
      </c>
      <c r="BQ35" s="4468">
        <f>BN35</f>
        <v/>
      </c>
      <c r="BR35" s="2155" t="n"/>
      <c r="BS35" s="4468">
        <f>BJ35</f>
        <v/>
      </c>
      <c r="BT35" s="4468">
        <f>BQ35</f>
        <v/>
      </c>
      <c r="BU35" s="1795" t="n"/>
      <c r="BV35" s="4468">
        <f>BS35</f>
        <v/>
      </c>
      <c r="BW35" s="4468">
        <f>BT35</f>
        <v/>
      </c>
      <c r="BX35" s="1782" t="n"/>
      <c r="BZ35" s="1997" t="n"/>
      <c r="CA35" s="1894" t="n"/>
      <c r="CB35" s="4669" t="n"/>
    </row>
    <row r="36" ht="15" customHeight="1">
      <c r="B36" s="1781" t="n"/>
      <c r="C36" s="2133" t="inlineStr">
        <is>
          <t>Tropical dry forest</t>
        </is>
      </c>
      <c r="D36" s="1781" t="n"/>
      <c r="E36" s="1781" t="n"/>
      <c r="F36" s="1781" t="n"/>
      <c r="G36" s="2133" t="inlineStr">
        <is>
          <t>NO</t>
        </is>
      </c>
      <c r="H36" s="1781" t="n"/>
      <c r="I36" s="2133" t="inlineStr">
        <is>
          <t>Degraded land</t>
        </is>
      </c>
      <c r="J36" s="1781" t="n"/>
      <c r="K36" s="2133" t="inlineStr">
        <is>
          <t>Please select</t>
        </is>
      </c>
      <c r="L36" s="1781" t="n"/>
      <c r="M36" s="4454">
        <f>IF(I36="annual cropland","crop",IF(I36="grassland","grass",IF(I36="agroforestry","agroforest",IF(I36="flooded rice", "rice", ""))))</f>
        <v/>
      </c>
      <c r="N36" s="2132" t="n">
        <v>0</v>
      </c>
      <c r="O36" s="2108" t="inlineStr">
        <is>
          <t>D</t>
        </is>
      </c>
      <c r="P36" s="2132">
        <f>Calculations!C34+Calculations!C18</f>
        <v/>
      </c>
      <c r="Q36" s="2108" t="inlineStr">
        <is>
          <t>D</t>
        </is>
      </c>
      <c r="R36" s="1781" t="n"/>
      <c r="S36" s="1781" t="n"/>
      <c r="T36" s="1781" t="n"/>
      <c r="U36" s="1781" t="n"/>
      <c r="V36" s="1815">
        <f>affo!$S37</f>
        <v/>
      </c>
      <c r="W36" s="1841">
        <f>affo!$T37</f>
        <v/>
      </c>
      <c r="X36" s="2018" t="n"/>
      <c r="Y36" s="1816">
        <f>affo!$U37</f>
        <v/>
      </c>
      <c r="AR36" s="1782">
        <f>I36</f>
        <v/>
      </c>
      <c r="AS36" s="2001">
        <f>affo!I24</f>
        <v/>
      </c>
      <c r="AT36" s="4663" t="n"/>
      <c r="AU36" s="1782" t="n"/>
      <c r="AV36" s="2001">
        <f>affo!K24</f>
        <v/>
      </c>
      <c r="AW36" s="4663" t="n"/>
      <c r="AX36" s="1782" t="n"/>
      <c r="AY36" s="1782" t="n"/>
      <c r="AZ36" s="1800">
        <f>affo!H8</f>
        <v/>
      </c>
      <c r="BA36" s="1782" t="n"/>
      <c r="BB36" s="1817">
        <f>affo!K8</f>
        <v/>
      </c>
      <c r="BC36" s="4663" t="n"/>
      <c r="BD36" s="1800" t="n"/>
      <c r="BE36" s="1817">
        <f>affo!N8</f>
        <v/>
      </c>
      <c r="BF36" s="4663" t="n"/>
      <c r="BG36" s="1800" t="n"/>
      <c r="BH36" s="1817">
        <f>affo!Q8</f>
        <v/>
      </c>
      <c r="BI36" s="4663" t="n"/>
      <c r="BJ36" s="1817">
        <f>affo!T8</f>
        <v/>
      </c>
      <c r="BK36" s="4663" t="n"/>
      <c r="BL36" s="1800" t="n"/>
      <c r="BM36" s="1817">
        <f>affo!AB8*12/44</f>
        <v/>
      </c>
      <c r="BN36" s="4663" t="n"/>
      <c r="BO36" s="1800" t="n"/>
      <c r="BP36" s="1817">
        <f>affo!V8</f>
        <v/>
      </c>
      <c r="BQ36" s="4663" t="n"/>
      <c r="BR36" s="1782" t="n"/>
      <c r="BS36" s="1817">
        <f>affo!X8</f>
        <v/>
      </c>
      <c r="BT36" s="4663" t="n"/>
      <c r="BU36" s="1800" t="n"/>
      <c r="BV36" s="2001">
        <f>affo!Z8</f>
        <v/>
      </c>
      <c r="BW36" s="4663" t="n"/>
      <c r="BX36" s="1782" t="n"/>
      <c r="BZ36" s="4401" t="n">
        <v>1</v>
      </c>
      <c r="CA36" s="4402" t="n"/>
      <c r="CB36" s="4669" t="n"/>
    </row>
    <row r="37" ht="15" customHeight="1">
      <c r="B37" s="1781" t="n"/>
      <c r="C37" s="2133" t="inlineStr">
        <is>
          <t>Planted  Tropical shrubland</t>
        </is>
      </c>
      <c r="D37" s="1781" t="n"/>
      <c r="E37" s="1781" t="n"/>
      <c r="F37" s="1781" t="n"/>
      <c r="G37" s="2133" t="inlineStr">
        <is>
          <t>NO</t>
        </is>
      </c>
      <c r="H37" s="1781" t="n"/>
      <c r="I37" s="2133" t="inlineStr">
        <is>
          <t>Degraded land</t>
        </is>
      </c>
      <c r="J37" s="1781" t="n"/>
      <c r="K37" s="2133" t="inlineStr">
        <is>
          <t>Please select</t>
        </is>
      </c>
      <c r="L37" s="1781" t="n"/>
      <c r="M37" s="4454">
        <f>IF(I37="annual cropland","crop",IF(I37="grassland","grass",IF(I37="agroforestry","agroforest",IF(I37="flooded rice", "rice", ""))))</f>
        <v/>
      </c>
      <c r="N37" s="2132" t="n">
        <v>0</v>
      </c>
      <c r="O37" s="2108" t="inlineStr">
        <is>
          <t>D</t>
        </is>
      </c>
      <c r="P37" s="2132">
        <f>Calculations!C36</f>
        <v/>
      </c>
      <c r="Q37" s="2108" t="inlineStr">
        <is>
          <t>D</t>
        </is>
      </c>
      <c r="R37" s="1781" t="n"/>
      <c r="S37" s="1781" t="n"/>
      <c r="T37" s="1781" t="n"/>
      <c r="U37" s="1781" t="n"/>
      <c r="V37" s="1815">
        <f>affo!$S38</f>
        <v/>
      </c>
      <c r="W37" s="1841">
        <f>affo!$T38</f>
        <v/>
      </c>
      <c r="X37" s="2018" t="n"/>
      <c r="Y37" s="1816">
        <f>affo!$U38</f>
        <v/>
      </c>
      <c r="AR37" s="1782">
        <f>I37</f>
        <v/>
      </c>
      <c r="AS37" s="2001">
        <f>affo!I25</f>
        <v/>
      </c>
      <c r="AT37" s="4663" t="n"/>
      <c r="AU37" s="1782" t="n"/>
      <c r="AV37" s="2001">
        <f>affo!K25</f>
        <v/>
      </c>
      <c r="AW37" s="4663" t="n"/>
      <c r="AX37" s="1782" t="n"/>
      <c r="AY37" s="1782" t="n"/>
      <c r="AZ37" s="1800">
        <f>affo!H9</f>
        <v/>
      </c>
      <c r="BA37" s="1782" t="n"/>
      <c r="BB37" s="1817">
        <f>affo!K9</f>
        <v/>
      </c>
      <c r="BC37" s="4663" t="n"/>
      <c r="BD37" s="1800" t="n"/>
      <c r="BE37" s="1817">
        <f>affo!N9</f>
        <v/>
      </c>
      <c r="BF37" s="4663" t="n"/>
      <c r="BG37" s="1800" t="n"/>
      <c r="BH37" s="1817">
        <f>affo!Q9</f>
        <v/>
      </c>
      <c r="BI37" s="4663" t="n"/>
      <c r="BJ37" s="1817">
        <f>affo!T9</f>
        <v/>
      </c>
      <c r="BK37" s="4663" t="n"/>
      <c r="BL37" s="1800" t="n"/>
      <c r="BM37" s="1817">
        <f>affo!AB9*12/44</f>
        <v/>
      </c>
      <c r="BN37" s="4663" t="n"/>
      <c r="BO37" s="1800" t="n"/>
      <c r="BP37" s="1817">
        <f>affo!V9</f>
        <v/>
      </c>
      <c r="BQ37" s="4663" t="n"/>
      <c r="BR37" s="1782" t="n"/>
      <c r="BS37" s="1817">
        <f>affo!X9</f>
        <v/>
      </c>
      <c r="BT37" s="4663" t="n"/>
      <c r="BU37" s="1800" t="n"/>
      <c r="BV37" s="2001">
        <f>affo!Z9</f>
        <v/>
      </c>
      <c r="BW37" s="4663" t="n"/>
      <c r="BX37" s="1782" t="n"/>
      <c r="BZ37" s="4401" t="n">
        <v>1</v>
      </c>
      <c r="CA37" s="4402" t="n"/>
      <c r="CB37" s="4669" t="n"/>
    </row>
    <row r="38" ht="15" customHeight="1">
      <c r="B38" s="1781" t="n"/>
      <c r="C38" s="2133" t="inlineStr">
        <is>
          <t>Please select</t>
        </is>
      </c>
      <c r="D38" s="1781" t="n"/>
      <c r="E38" s="1781" t="n"/>
      <c r="F38" s="1781" t="n"/>
      <c r="G38" s="2133" t="inlineStr">
        <is>
          <t>NO</t>
        </is>
      </c>
      <c r="H38" s="1781" t="n"/>
      <c r="I38" s="2133" t="inlineStr">
        <is>
          <t>Please select</t>
        </is>
      </c>
      <c r="J38" s="1781" t="n"/>
      <c r="K38" s="2133" t="inlineStr">
        <is>
          <t>Please select</t>
        </is>
      </c>
      <c r="L38" s="1781" t="n"/>
      <c r="M38" s="4454">
        <f>IF(I38="annual cropland","crop",IF(I38="grassland","grass",IF(I38="agroforestry","agroforest",IF(I38="flooded rice", "rice", ""))))</f>
        <v/>
      </c>
      <c r="N38" s="2132" t="n">
        <v>0</v>
      </c>
      <c r="O38" s="2108" t="inlineStr">
        <is>
          <t>D</t>
        </is>
      </c>
      <c r="P38" s="2132" t="n">
        <v>0</v>
      </c>
      <c r="Q38" s="2108" t="inlineStr">
        <is>
          <t>D</t>
        </is>
      </c>
      <c r="R38" s="1781" t="n"/>
      <c r="S38" s="1781" t="n"/>
      <c r="T38" s="1781" t="n"/>
      <c r="U38" s="1781" t="n"/>
      <c r="V38" s="1815">
        <f>affo!$S39</f>
        <v/>
      </c>
      <c r="W38" s="1841">
        <f>affo!$T39</f>
        <v/>
      </c>
      <c r="X38" s="2018" t="n"/>
      <c r="Y38" s="1816">
        <f>affo!$U39</f>
        <v/>
      </c>
      <c r="AR38" s="1782">
        <f>I38</f>
        <v/>
      </c>
      <c r="AS38" s="2001">
        <f>affo!I26</f>
        <v/>
      </c>
      <c r="AT38" s="4663" t="n"/>
      <c r="AU38" s="1782" t="n"/>
      <c r="AV38" s="2001">
        <f>affo!K26</f>
        <v/>
      </c>
      <c r="AW38" s="4663" t="n"/>
      <c r="AX38" s="1782" t="n"/>
      <c r="AY38" s="1782" t="n"/>
      <c r="AZ38" s="1800">
        <f>affo!H10</f>
        <v/>
      </c>
      <c r="BA38" s="1782" t="n"/>
      <c r="BB38" s="1817">
        <f>affo!K10</f>
        <v/>
      </c>
      <c r="BC38" s="4663" t="n"/>
      <c r="BD38" s="1800" t="n"/>
      <c r="BE38" s="1817">
        <f>affo!N10</f>
        <v/>
      </c>
      <c r="BF38" s="4663" t="n"/>
      <c r="BG38" s="1800" t="n"/>
      <c r="BH38" s="1817">
        <f>affo!Q10</f>
        <v/>
      </c>
      <c r="BI38" s="4663" t="n"/>
      <c r="BJ38" s="1817">
        <f>affo!T10</f>
        <v/>
      </c>
      <c r="BK38" s="4663" t="n"/>
      <c r="BL38" s="1800" t="n"/>
      <c r="BM38" s="1817">
        <f>affo!AB10*12/44</f>
        <v/>
      </c>
      <c r="BN38" s="4663" t="n"/>
      <c r="BO38" s="1800" t="n"/>
      <c r="BP38" s="1817">
        <f>affo!V10</f>
        <v/>
      </c>
      <c r="BQ38" s="4663" t="n"/>
      <c r="BR38" s="1782" t="n"/>
      <c r="BS38" s="1817">
        <f>affo!X10</f>
        <v/>
      </c>
      <c r="BT38" s="4663" t="n"/>
      <c r="BU38" s="1800" t="n"/>
      <c r="BV38" s="2001">
        <f>affo!Z10</f>
        <v/>
      </c>
      <c r="BW38" s="4663" t="n"/>
      <c r="BX38" s="1782" t="n"/>
      <c r="BZ38" s="4401" t="n">
        <v>1</v>
      </c>
      <c r="CA38" s="4402" t="n"/>
      <c r="CB38" s="4669" t="n"/>
    </row>
    <row r="39" ht="15" customHeight="1">
      <c r="B39" s="1781" t="n"/>
      <c r="C39" s="2133" t="inlineStr">
        <is>
          <t>Please select</t>
        </is>
      </c>
      <c r="D39" s="1781" t="n"/>
      <c r="E39" s="1781" t="n"/>
      <c r="F39" s="1781" t="n"/>
      <c r="G39" s="2133" t="inlineStr">
        <is>
          <t>NO</t>
        </is>
      </c>
      <c r="H39" s="1781" t="n"/>
      <c r="I39" s="2133" t="inlineStr">
        <is>
          <t>Please select</t>
        </is>
      </c>
      <c r="J39" s="1781" t="n"/>
      <c r="K39" s="2133" t="inlineStr">
        <is>
          <t>Please select</t>
        </is>
      </c>
      <c r="L39" s="1781" t="n"/>
      <c r="M39" s="4454">
        <f>IF(I39="annual cropland","crop",IF(I39="grassland","grass",IF(I39="agroforestry","agroforest",IF(I39="flooded rice", "rice", ""))))</f>
        <v/>
      </c>
      <c r="N39" s="2132" t="n">
        <v>0</v>
      </c>
      <c r="O39" s="2108" t="inlineStr">
        <is>
          <t>D</t>
        </is>
      </c>
      <c r="P39" s="2132" t="n">
        <v>0</v>
      </c>
      <c r="Q39" s="2108" t="inlineStr">
        <is>
          <t>D</t>
        </is>
      </c>
      <c r="R39" s="1781" t="n"/>
      <c r="S39" s="1781" t="n"/>
      <c r="T39" s="1781" t="n"/>
      <c r="U39" s="1781" t="n"/>
      <c r="V39" s="1815">
        <f>affo!$S40</f>
        <v/>
      </c>
      <c r="W39" s="1841">
        <f>affo!$T40</f>
        <v/>
      </c>
      <c r="X39" s="2018" t="n"/>
      <c r="Y39" s="1816">
        <f>affo!$U40</f>
        <v/>
      </c>
      <c r="AR39" s="1782">
        <f>I39</f>
        <v/>
      </c>
      <c r="AS39" s="2001">
        <f>affo!I27</f>
        <v/>
      </c>
      <c r="AT39" s="4663" t="n"/>
      <c r="AU39" s="1782" t="n"/>
      <c r="AV39" s="2001">
        <f>affo!K27</f>
        <v/>
      </c>
      <c r="AW39" s="4663" t="n"/>
      <c r="AX39" s="1782" t="n"/>
      <c r="AY39" s="1782" t="n"/>
      <c r="AZ39" s="1800">
        <f>affo!H11</f>
        <v/>
      </c>
      <c r="BA39" s="1782" t="n"/>
      <c r="BB39" s="1817">
        <f>affo!K11</f>
        <v/>
      </c>
      <c r="BC39" s="4663" t="n"/>
      <c r="BD39" s="1800" t="n"/>
      <c r="BE39" s="1817">
        <f>affo!N11</f>
        <v/>
      </c>
      <c r="BF39" s="4663" t="n"/>
      <c r="BG39" s="1800" t="n"/>
      <c r="BH39" s="1817">
        <f>affo!Q11</f>
        <v/>
      </c>
      <c r="BI39" s="4663" t="n"/>
      <c r="BJ39" s="1817">
        <f>affo!T11</f>
        <v/>
      </c>
      <c r="BK39" s="4663" t="n"/>
      <c r="BL39" s="1800" t="n"/>
      <c r="BM39" s="1817">
        <f>affo!AB11*12/44</f>
        <v/>
      </c>
      <c r="BN39" s="4663" t="n"/>
      <c r="BO39" s="1800" t="n"/>
      <c r="BP39" s="1817">
        <f>affo!V11</f>
        <v/>
      </c>
      <c r="BQ39" s="4663" t="n"/>
      <c r="BR39" s="1782" t="n"/>
      <c r="BS39" s="1817">
        <f>affo!X11</f>
        <v/>
      </c>
      <c r="BT39" s="4663" t="n"/>
      <c r="BU39" s="1800" t="n"/>
      <c r="BV39" s="2001">
        <f>affo!Z11</f>
        <v/>
      </c>
      <c r="BW39" s="4663" t="n"/>
      <c r="BX39" s="1782" t="n"/>
      <c r="BZ39" s="4401" t="n">
        <v>1</v>
      </c>
      <c r="CA39" s="4402" t="n"/>
      <c r="CB39" s="4669" t="n"/>
    </row>
    <row r="40" ht="15" customHeight="1">
      <c r="B40" s="1781" t="n"/>
      <c r="C40" s="2133" t="inlineStr">
        <is>
          <t>Please select</t>
        </is>
      </c>
      <c r="D40" s="1781" t="n"/>
      <c r="E40" s="1781" t="n"/>
      <c r="F40" s="1781" t="n"/>
      <c r="G40" s="2133" t="inlineStr">
        <is>
          <t>NO</t>
        </is>
      </c>
      <c r="H40" s="1781" t="n"/>
      <c r="I40" s="2133" t="inlineStr">
        <is>
          <t>Please select</t>
        </is>
      </c>
      <c r="J40" s="1781" t="n"/>
      <c r="K40" s="2133" t="inlineStr">
        <is>
          <t>Please select</t>
        </is>
      </c>
      <c r="L40" s="1781" t="n"/>
      <c r="M40" s="4454">
        <f>IF(I40="annual cropland","crop",IF(I40="grassland","grass",IF(I40="agroforestry","agroforest",IF(I40="flooded rice", "rice", ""))))</f>
        <v/>
      </c>
      <c r="N40" s="2132" t="n">
        <v>0</v>
      </c>
      <c r="O40" s="2108" t="inlineStr">
        <is>
          <t>D</t>
        </is>
      </c>
      <c r="P40" s="2132" t="n">
        <v>0</v>
      </c>
      <c r="Q40" s="2108" t="inlineStr">
        <is>
          <t>D</t>
        </is>
      </c>
      <c r="R40" s="1781" t="n"/>
      <c r="S40" s="1781" t="n"/>
      <c r="T40" s="1781" t="n"/>
      <c r="U40" s="1781" t="n"/>
      <c r="V40" s="1815">
        <f>affo!$S41</f>
        <v/>
      </c>
      <c r="W40" s="1841">
        <f>affo!$T41</f>
        <v/>
      </c>
      <c r="X40" s="2018" t="n"/>
      <c r="Y40" s="1816">
        <f>affo!$U41</f>
        <v/>
      </c>
      <c r="AR40" s="1782">
        <f>I40</f>
        <v/>
      </c>
      <c r="AS40" s="2001">
        <f>affo!I28</f>
        <v/>
      </c>
      <c r="AT40" s="4663" t="n"/>
      <c r="AU40" s="1782" t="n"/>
      <c r="AV40" s="2001">
        <f>affo!K28</f>
        <v/>
      </c>
      <c r="AW40" s="4663" t="n"/>
      <c r="AX40" s="1782" t="n"/>
      <c r="AY40" s="1782" t="n"/>
      <c r="AZ40" s="1800">
        <f>affo!H12</f>
        <v/>
      </c>
      <c r="BA40" s="1782" t="n"/>
      <c r="BB40" s="1817">
        <f>affo!K12</f>
        <v/>
      </c>
      <c r="BC40" s="4663" t="n"/>
      <c r="BD40" s="1800" t="n"/>
      <c r="BE40" s="1817">
        <f>affo!N12</f>
        <v/>
      </c>
      <c r="BF40" s="4663" t="n"/>
      <c r="BG40" s="1800" t="n"/>
      <c r="BH40" s="1817">
        <f>affo!Q12</f>
        <v/>
      </c>
      <c r="BI40" s="4663" t="n"/>
      <c r="BJ40" s="1817">
        <f>affo!T12</f>
        <v/>
      </c>
      <c r="BK40" s="4663" t="n"/>
      <c r="BL40" s="1800" t="n"/>
      <c r="BM40" s="1817">
        <f>affo!AB12*12/44</f>
        <v/>
      </c>
      <c r="BN40" s="4663" t="n"/>
      <c r="BO40" s="1800" t="n"/>
      <c r="BP40" s="1817">
        <f>affo!V12</f>
        <v/>
      </c>
      <c r="BQ40" s="4663" t="n"/>
      <c r="BR40" s="1782" t="n"/>
      <c r="BS40" s="1817">
        <f>affo!X12</f>
        <v/>
      </c>
      <c r="BT40" s="4663" t="n"/>
      <c r="BU40" s="1800" t="n"/>
      <c r="BV40" s="2001">
        <f>affo!Z12</f>
        <v/>
      </c>
      <c r="BW40" s="4663" t="n"/>
      <c r="BX40" s="1782" t="n"/>
      <c r="BZ40" s="4401" t="n">
        <v>1</v>
      </c>
      <c r="CA40" s="4402" t="n"/>
      <c r="CB40" s="4669" t="n"/>
    </row>
    <row r="41" ht="15" customHeight="1">
      <c r="B41" s="1781" t="n"/>
      <c r="C41" s="2133" t="inlineStr">
        <is>
          <t>Please select</t>
        </is>
      </c>
      <c r="D41" s="1781" t="n"/>
      <c r="E41" s="1781" t="n"/>
      <c r="F41" s="1781" t="n"/>
      <c r="G41" s="2133" t="inlineStr">
        <is>
          <t>NO</t>
        </is>
      </c>
      <c r="H41" s="1781" t="n"/>
      <c r="I41" s="2133" t="inlineStr">
        <is>
          <t>Please select</t>
        </is>
      </c>
      <c r="J41" s="1781" t="n"/>
      <c r="K41" s="2133" t="inlineStr">
        <is>
          <t>Please select</t>
        </is>
      </c>
      <c r="L41" s="1781" t="n"/>
      <c r="M41" s="4454">
        <f>IF(I41="annual cropland","crop",IF(I41="grassland","grass",IF(I41="agroforestry","agroforest",IF(I41="flooded rice", "rice", ""))))</f>
        <v/>
      </c>
      <c r="N41" s="2132" t="n">
        <v>0</v>
      </c>
      <c r="O41" s="2108" t="inlineStr">
        <is>
          <t>D</t>
        </is>
      </c>
      <c r="P41" s="2132" t="n">
        <v>0</v>
      </c>
      <c r="Q41" s="2108" t="inlineStr">
        <is>
          <t>D</t>
        </is>
      </c>
      <c r="R41" s="1781" t="n"/>
      <c r="S41" s="1781" t="n"/>
      <c r="T41" s="1781" t="n"/>
      <c r="U41" s="1781" t="n"/>
      <c r="V41" s="1815">
        <f>affo!$S42</f>
        <v/>
      </c>
      <c r="W41" s="1841">
        <f>affo!$T42</f>
        <v/>
      </c>
      <c r="X41" s="2018" t="n"/>
      <c r="Y41" s="1816">
        <f>affo!$U42</f>
        <v/>
      </c>
      <c r="AR41" s="1782">
        <f>I41</f>
        <v/>
      </c>
      <c r="AS41" s="2001">
        <f>affo!I29</f>
        <v/>
      </c>
      <c r="AT41" s="4663" t="n"/>
      <c r="AU41" s="1782" t="n"/>
      <c r="AV41" s="2001">
        <f>affo!K29</f>
        <v/>
      </c>
      <c r="AW41" s="4663" t="n"/>
      <c r="AX41" s="1782" t="n"/>
      <c r="AY41" s="1782" t="n"/>
      <c r="AZ41" s="1800">
        <f>affo!H13</f>
        <v/>
      </c>
      <c r="BA41" s="1782" t="n"/>
      <c r="BB41" s="1817">
        <f>affo!K13</f>
        <v/>
      </c>
      <c r="BC41" s="4663" t="n"/>
      <c r="BD41" s="1800" t="n"/>
      <c r="BE41" s="1817">
        <f>affo!N13</f>
        <v/>
      </c>
      <c r="BF41" s="4663" t="n"/>
      <c r="BG41" s="1800" t="n"/>
      <c r="BH41" s="1817">
        <f>affo!Q13</f>
        <v/>
      </c>
      <c r="BI41" s="4663" t="n"/>
      <c r="BJ41" s="1817">
        <f>affo!T13</f>
        <v/>
      </c>
      <c r="BK41" s="4663" t="n"/>
      <c r="BL41" s="1800" t="n"/>
      <c r="BM41" s="1817">
        <f>affo!AB13*12/44</f>
        <v/>
      </c>
      <c r="BN41" s="4663" t="n"/>
      <c r="BO41" s="1800" t="n"/>
      <c r="BP41" s="1817">
        <f>affo!V13</f>
        <v/>
      </c>
      <c r="BQ41" s="4663" t="n"/>
      <c r="BR41" s="1782" t="n"/>
      <c r="BS41" s="1817">
        <f>affo!X13</f>
        <v/>
      </c>
      <c r="BT41" s="4663" t="n"/>
      <c r="BU41" s="1800" t="n"/>
      <c r="BV41" s="2001">
        <f>affo!Z13</f>
        <v/>
      </c>
      <c r="BW41" s="4663" t="n"/>
      <c r="BX41" s="1782" t="n"/>
      <c r="BZ41" s="4401" t="n">
        <v>1</v>
      </c>
      <c r="CA41" s="4402" t="n"/>
      <c r="CB41" s="4669" t="n"/>
    </row>
    <row r="42" ht="15" customHeight="1">
      <c r="B42" s="1781" t="n"/>
      <c r="C42" s="2133" t="inlineStr">
        <is>
          <t>Please select</t>
        </is>
      </c>
      <c r="D42" s="1781" t="n"/>
      <c r="E42" s="1781" t="n"/>
      <c r="F42" s="1781" t="n"/>
      <c r="G42" s="2133" t="inlineStr">
        <is>
          <t>NO</t>
        </is>
      </c>
      <c r="H42" s="1781" t="n"/>
      <c r="I42" s="2133" t="inlineStr">
        <is>
          <t>Please select</t>
        </is>
      </c>
      <c r="J42" s="1781" t="n"/>
      <c r="K42" s="2133" t="inlineStr">
        <is>
          <t>Please select</t>
        </is>
      </c>
      <c r="L42" s="1781" t="n"/>
      <c r="M42" s="4454">
        <f>IF(I42="annual cropland","crop",IF(I42="grassland","grass",IF(I42="agroforestry","agroforest",IF(I42="flooded rice", "rice", ""))))</f>
        <v/>
      </c>
      <c r="N42" s="2132" t="n">
        <v>0</v>
      </c>
      <c r="O42" s="2108" t="inlineStr">
        <is>
          <t>D</t>
        </is>
      </c>
      <c r="P42" s="2132" t="n">
        <v>0</v>
      </c>
      <c r="Q42" s="2108" t="inlineStr">
        <is>
          <t>D</t>
        </is>
      </c>
      <c r="R42" s="1781" t="n"/>
      <c r="S42" s="1781" t="n"/>
      <c r="T42" s="1781" t="n"/>
      <c r="U42" s="1781" t="n"/>
      <c r="V42" s="1815">
        <f>affo!$S43</f>
        <v/>
      </c>
      <c r="W42" s="1841">
        <f>affo!$T43</f>
        <v/>
      </c>
      <c r="X42" s="2018" t="n"/>
      <c r="Y42" s="1816">
        <f>affo!$U43</f>
        <v/>
      </c>
      <c r="AR42" s="1782">
        <f>I42</f>
        <v/>
      </c>
      <c r="AS42" s="2001">
        <f>affo!I30</f>
        <v/>
      </c>
      <c r="AT42" s="4663" t="n"/>
      <c r="AU42" s="1782" t="n"/>
      <c r="AV42" s="2001">
        <f>affo!K30</f>
        <v/>
      </c>
      <c r="AW42" s="4663" t="n"/>
      <c r="AX42" s="1782" t="n"/>
      <c r="AY42" s="1782" t="n"/>
      <c r="AZ42" s="1800">
        <f>affo!H14</f>
        <v/>
      </c>
      <c r="BA42" s="1782" t="n"/>
      <c r="BB42" s="1817">
        <f>affo!K14</f>
        <v/>
      </c>
      <c r="BC42" s="4663" t="n"/>
      <c r="BD42" s="1800" t="n"/>
      <c r="BE42" s="1817">
        <f>affo!N14</f>
        <v/>
      </c>
      <c r="BF42" s="4663" t="n"/>
      <c r="BG42" s="1800" t="n"/>
      <c r="BH42" s="1817">
        <f>affo!Q14</f>
        <v/>
      </c>
      <c r="BI42" s="4663" t="n"/>
      <c r="BJ42" s="1817">
        <f>affo!T14</f>
        <v/>
      </c>
      <c r="BK42" s="4663" t="n"/>
      <c r="BL42" s="1800" t="n"/>
      <c r="BM42" s="1817">
        <f>affo!AB14*12/44</f>
        <v/>
      </c>
      <c r="BN42" s="4663" t="n"/>
      <c r="BO42" s="1800" t="n"/>
      <c r="BP42" s="1817">
        <f>affo!V14</f>
        <v/>
      </c>
      <c r="BQ42" s="4663" t="n"/>
      <c r="BR42" s="1782" t="n"/>
      <c r="BS42" s="1817">
        <f>affo!X14</f>
        <v/>
      </c>
      <c r="BT42" s="4663" t="n"/>
      <c r="BU42" s="1800" t="n"/>
      <c r="BV42" s="2001">
        <f>affo!Z14</f>
        <v/>
      </c>
      <c r="BW42" s="4663" t="n"/>
      <c r="BX42" s="1782" t="n"/>
      <c r="BZ42" s="4401" t="n">
        <v>1</v>
      </c>
      <c r="CA42" s="4402" t="n"/>
      <c r="CB42" s="4669" t="n"/>
    </row>
    <row r="43" ht="15" customHeight="1">
      <c r="B43" s="1781" t="n"/>
      <c r="C43" s="2133" t="inlineStr">
        <is>
          <t>Please select</t>
        </is>
      </c>
      <c r="D43" s="1781" t="n"/>
      <c r="E43" s="1781" t="n"/>
      <c r="F43" s="1781" t="n"/>
      <c r="G43" s="2133" t="inlineStr">
        <is>
          <t>NO</t>
        </is>
      </c>
      <c r="H43" s="1781" t="n"/>
      <c r="I43" s="2133" t="inlineStr">
        <is>
          <t>Please select</t>
        </is>
      </c>
      <c r="J43" s="1781" t="n"/>
      <c r="K43" s="2133" t="inlineStr">
        <is>
          <t>Please select</t>
        </is>
      </c>
      <c r="L43" s="1781" t="n"/>
      <c r="M43" s="4454">
        <f>IF(I43="annual cropland","crop",IF(I43="grassland","grass",IF(I43="agroforestry","agroforest",IF(I43="flooded rice", "rice", ""))))</f>
        <v/>
      </c>
      <c r="N43" s="2132" t="n">
        <v>0</v>
      </c>
      <c r="O43" s="2108" t="inlineStr">
        <is>
          <t>D</t>
        </is>
      </c>
      <c r="P43" s="2132" t="n">
        <v>0</v>
      </c>
      <c r="Q43" s="2108" t="inlineStr">
        <is>
          <t>D</t>
        </is>
      </c>
      <c r="R43" s="1781" t="n"/>
      <c r="S43" s="1781" t="n"/>
      <c r="T43" s="1781" t="n"/>
      <c r="U43" s="1781" t="n"/>
      <c r="V43" s="1815">
        <f>affo!$S44</f>
        <v/>
      </c>
      <c r="W43" s="1841">
        <f>affo!$T44</f>
        <v/>
      </c>
      <c r="X43" s="2018" t="n"/>
      <c r="Y43" s="1816">
        <f>affo!$U44</f>
        <v/>
      </c>
      <c r="AR43" s="1782">
        <f>I43</f>
        <v/>
      </c>
      <c r="AS43" s="2001">
        <f>affo!I31</f>
        <v/>
      </c>
      <c r="AT43" s="4663" t="n"/>
      <c r="AU43" s="1782" t="n"/>
      <c r="AV43" s="2001">
        <f>affo!K31</f>
        <v/>
      </c>
      <c r="AW43" s="4663" t="n"/>
      <c r="AX43" s="1782" t="n"/>
      <c r="AY43" s="1782" t="n"/>
      <c r="AZ43" s="1800">
        <f>affo!H15</f>
        <v/>
      </c>
      <c r="BA43" s="1782" t="n"/>
      <c r="BB43" s="1817">
        <f>affo!K15</f>
        <v/>
      </c>
      <c r="BC43" s="4663" t="n"/>
      <c r="BD43" s="1800" t="n"/>
      <c r="BE43" s="1817">
        <f>affo!N15</f>
        <v/>
      </c>
      <c r="BF43" s="4663" t="n"/>
      <c r="BG43" s="1800" t="n"/>
      <c r="BH43" s="1817">
        <f>affo!Q15</f>
        <v/>
      </c>
      <c r="BI43" s="4663" t="n"/>
      <c r="BJ43" s="1817">
        <f>affo!T15</f>
        <v/>
      </c>
      <c r="BK43" s="4663" t="n"/>
      <c r="BL43" s="1800" t="n"/>
      <c r="BM43" s="1817">
        <f>affo!AB15*12/44</f>
        <v/>
      </c>
      <c r="BN43" s="4663" t="n"/>
      <c r="BO43" s="1800" t="n"/>
      <c r="BP43" s="1817">
        <f>affo!V15</f>
        <v/>
      </c>
      <c r="BQ43" s="4663" t="n"/>
      <c r="BR43" s="1782" t="n"/>
      <c r="BS43" s="1817">
        <f>affo!X15</f>
        <v/>
      </c>
      <c r="BT43" s="4663" t="n"/>
      <c r="BU43" s="1800" t="n"/>
      <c r="BV43" s="2001">
        <f>affo!Z15</f>
        <v/>
      </c>
      <c r="BW43" s="4663" t="n"/>
      <c r="BX43" s="1782" t="n"/>
      <c r="BZ43" s="4401" t="n">
        <v>1</v>
      </c>
      <c r="CA43" s="4402" t="n"/>
      <c r="CB43" s="4669" t="n"/>
    </row>
    <row r="44">
      <c r="B44" s="1781" t="n"/>
      <c r="C44" s="1781" t="n"/>
      <c r="D44" s="1781" t="n"/>
      <c r="E44" s="1781" t="n"/>
      <c r="F44" s="1781" t="n"/>
      <c r="G44" s="1781" t="n"/>
      <c r="H44" s="1781" t="n"/>
      <c r="I44" s="1781" t="n"/>
      <c r="J44" s="1781" t="n"/>
      <c r="K44" s="1781" t="n"/>
      <c r="L44" s="1781" t="n"/>
      <c r="M44" s="1781" t="n"/>
      <c r="N44" s="1781" t="n"/>
      <c r="O44" s="1781" t="n"/>
      <c r="P44" s="1781" t="n"/>
      <c r="Q44" s="1781" t="n"/>
      <c r="R44" s="1781" t="n"/>
      <c r="S44" s="1781" t="n"/>
      <c r="T44" s="1781" t="n"/>
      <c r="U44" s="1781" t="n"/>
      <c r="V44" s="1781" t="n"/>
      <c r="W44" s="1781" t="n"/>
      <c r="X44" s="1781" t="n"/>
      <c r="Y44" s="1781" t="n"/>
      <c r="AR44" s="1782" t="n"/>
      <c r="AS44" s="1782" t="n"/>
      <c r="AT44" s="1782" t="n"/>
      <c r="AU44" s="1782" t="n"/>
      <c r="AV44" s="1782" t="n"/>
      <c r="AW44" s="1782" t="n"/>
      <c r="AX44" s="1782" t="n"/>
      <c r="AY44" s="1782" t="n"/>
      <c r="AZ44" s="1782" t="n"/>
      <c r="BA44" s="1782" t="n"/>
      <c r="BB44" s="1782" t="n"/>
      <c r="BC44" s="1782" t="n"/>
      <c r="BD44" s="1782" t="n"/>
      <c r="BE44" s="1782" t="n"/>
      <c r="BF44" s="1782" t="n"/>
      <c r="BG44" s="1782" t="n"/>
      <c r="BH44" s="1782" t="n"/>
      <c r="BI44" s="1782" t="n"/>
      <c r="BJ44" s="1782" t="n"/>
      <c r="BK44" s="1782" t="n"/>
      <c r="BL44" s="1782" t="n"/>
      <c r="BM44" s="1782" t="n"/>
      <c r="BN44" s="1782" t="n"/>
      <c r="BO44" s="1782" t="n"/>
      <c r="BP44" s="1782" t="n"/>
      <c r="BQ44" s="1782" t="n"/>
      <c r="BR44" s="1782" t="n"/>
      <c r="BS44" s="1782" t="n"/>
      <c r="BT44" s="1782" t="n"/>
      <c r="BU44" s="1782" t="n"/>
      <c r="BV44" s="1782" t="n"/>
      <c r="BW44" s="1782" t="n"/>
      <c r="BX44" s="1782" t="n"/>
      <c r="BZ44" s="2001" t="n"/>
      <c r="CA44" s="4667" t="n"/>
      <c r="CB44" s="4669" t="n"/>
    </row>
    <row r="45">
      <c r="B45" s="1781" t="n"/>
      <c r="C45" s="1781" t="n"/>
      <c r="D45" s="1781" t="n"/>
      <c r="E45" s="1781" t="n"/>
      <c r="F45" s="1781" t="n"/>
      <c r="G45" s="1781" t="n"/>
      <c r="H45" s="1781" t="n"/>
      <c r="I45" s="1781" t="n"/>
      <c r="J45" s="1781" t="n"/>
      <c r="K45" s="1781" t="n"/>
      <c r="L45" s="1781" t="n"/>
      <c r="M45" s="1781" t="n"/>
      <c r="N45" s="1781" t="n"/>
      <c r="O45" s="1781" t="n"/>
      <c r="P45" s="1781" t="n"/>
      <c r="Q45" s="1781" t="n"/>
      <c r="R45" s="1781" t="n"/>
      <c r="S45" s="1781" t="n"/>
      <c r="T45" s="1781" t="n"/>
      <c r="U45" s="1781" t="n"/>
      <c r="V45" s="1826" t="n"/>
      <c r="W45" s="1781" t="n"/>
      <c r="X45" s="1781" t="n"/>
      <c r="Y45" s="1781" t="n"/>
      <c r="AR45" s="1800" t="n"/>
      <c r="AS45" s="1800" t="n"/>
      <c r="AT45" s="1800" t="n"/>
      <c r="AU45" s="1800" t="n"/>
      <c r="AV45" s="1817" t="n"/>
      <c r="AW45" s="1795" t="n"/>
      <c r="AX45" s="1800" t="n"/>
      <c r="AY45" s="1817" t="n"/>
      <c r="AZ45" s="1795" t="n"/>
      <c r="BA45" s="1800" t="n"/>
      <c r="BB45" s="1800" t="n"/>
      <c r="BC45" s="1800" t="n"/>
      <c r="BD45" s="1817" t="n"/>
      <c r="BE45" s="1795" t="n"/>
      <c r="BF45" s="1800" t="n"/>
      <c r="BG45" s="1817" t="n"/>
      <c r="BH45" s="1795" t="n"/>
      <c r="BI45" s="1800" t="n"/>
      <c r="BJ45" s="1800" t="n"/>
      <c r="BK45" s="1817" t="n"/>
      <c r="BL45" s="1795" t="n"/>
      <c r="BM45" s="1800" t="n"/>
      <c r="BN45" s="1817" t="n"/>
      <c r="BO45" s="1795" t="n"/>
      <c r="BP45" s="2001" t="n"/>
      <c r="BQ45" s="2001" t="n"/>
      <c r="BR45" s="2001" t="n"/>
      <c r="BS45" s="1782" t="n"/>
      <c r="BT45" s="1782" t="n"/>
      <c r="BU45" s="1782" t="n"/>
      <c r="BV45" s="1782" t="n"/>
      <c r="BW45" s="1782" t="n"/>
      <c r="BX45" s="1782" t="n"/>
      <c r="BZ45" s="1782" t="n"/>
      <c r="CA45" s="1782" t="n"/>
      <c r="CB45" s="4669" t="n"/>
    </row>
    <row r="46">
      <c r="B46" s="1826" t="n"/>
      <c r="C46" s="1781" t="n"/>
      <c r="D46" s="1781" t="n"/>
      <c r="E46" s="1781" t="n"/>
      <c r="F46" s="1781" t="n"/>
      <c r="G46" s="1781" t="n"/>
      <c r="H46" s="1781" t="n"/>
      <c r="I46" s="1781" t="n"/>
      <c r="J46" s="1781" t="n"/>
      <c r="K46" s="1781" t="n"/>
      <c r="L46" s="1781" t="n"/>
      <c r="M46" s="1781" t="n"/>
      <c r="N46" s="1781" t="n"/>
      <c r="O46" s="1781" t="n"/>
      <c r="P46" s="1781" t="n"/>
      <c r="Q46" s="1781" t="n"/>
      <c r="R46" s="1781" t="n"/>
      <c r="S46" s="1781" t="n"/>
      <c r="T46" s="1781" t="n"/>
      <c r="U46" s="1781" t="n"/>
      <c r="V46" s="1781" t="n"/>
      <c r="W46" s="1781" t="n"/>
      <c r="X46" s="1781" t="n"/>
      <c r="Y46" s="1781" t="n"/>
      <c r="AR46" s="1800" t="n"/>
      <c r="AS46" s="1800" t="n"/>
      <c r="AT46" s="1800" t="n"/>
      <c r="AU46" s="1800" t="n"/>
      <c r="AV46" s="1817" t="n"/>
      <c r="AW46" s="1800" t="n"/>
      <c r="AX46" s="1800" t="n"/>
      <c r="AY46" s="2001" t="n"/>
      <c r="AZ46" s="1800" t="n"/>
      <c r="BA46" s="1800" t="n"/>
      <c r="BB46" s="1800" t="n"/>
      <c r="BC46" s="1800" t="n"/>
      <c r="BD46" s="2001" t="n"/>
      <c r="BE46" s="1800" t="n"/>
      <c r="BF46" s="1800" t="n"/>
      <c r="BG46" s="2001" t="n"/>
      <c r="BH46" s="1800" t="n"/>
      <c r="BI46" s="1800" t="n"/>
      <c r="BJ46" s="1800" t="n"/>
      <c r="BK46" s="1795" t="n"/>
      <c r="BL46" s="1800" t="n"/>
      <c r="BM46" s="1800" t="n"/>
      <c r="BN46" s="1795" t="n"/>
      <c r="BO46" s="1800" t="n"/>
      <c r="BP46" s="2001" t="n"/>
      <c r="BQ46" s="2001" t="n"/>
      <c r="BR46" s="2001" t="n"/>
      <c r="BS46" s="1782" t="n"/>
      <c r="BT46" s="1782" t="n"/>
      <c r="BU46" s="1782" t="n"/>
      <c r="BV46" s="1782" t="n"/>
      <c r="BW46" s="1782" t="n"/>
      <c r="BX46" s="1782" t="n"/>
      <c r="BZ46" s="2001" t="n"/>
      <c r="CA46" s="4667" t="n"/>
      <c r="CB46" s="4669" t="n"/>
    </row>
    <row r="47" ht="18" customHeight="1">
      <c r="B47" s="1781" t="n"/>
      <c r="C47" s="1781" t="n"/>
      <c r="D47" s="1781" t="n"/>
      <c r="E47" s="1781" t="n"/>
      <c r="F47" s="1781" t="n"/>
      <c r="G47" s="1781" t="n"/>
      <c r="H47" s="1781" t="n"/>
      <c r="I47" s="4459">
        <f>IF(AND(OR(COUNTIF(M35:M44,"*allcrops*"),COUNTIF(M35:M44,"*agroforest*"), COUNTIF(M35:M44,"*rice*"), COUNTIF(M35:M44,"*crop*")), COUNTIF(M35:M44,"*grass*")),"Please go to the Cropland and Grassland modules to complete the assessment",IF((COUNTIF(M35:M44,"*allcrops*") + COUNTIF(M35:M44,"*crop*") + COUNTIF(M35:M44,"*agroforest*") + COUNTIF(M35:M44,"*rice*"))&gt;1, "Please go to the Cropland module to complete the assessment",IF(COUNTIF(M35:M44,"*crop*"),"Please go to section 3.1.1 in the Cropland Module to complete the assessment",IF(COUNTIF(M35:M44,"*Agroforest*"),"Please go to section 3.2.1 in the Cropland Module to complete the assessment",IF(COUNTIF(M35:M44,"*rice*"),"Please go to section 3.3.1 in the Cropland Module to complete the assessment",IF(COUNTIF(M35:M44,"*grass*"),"Please go to section 4.1.1 in the Grassland and livestock Module to complete the assessment",""))))))</f>
        <v/>
      </c>
      <c r="J47" s="1781" t="n"/>
      <c r="K47" s="1781" t="n"/>
      <c r="L47" s="1781" t="n"/>
      <c r="M47" s="1781" t="n"/>
      <c r="N47" s="1781" t="n"/>
      <c r="O47" s="2009" t="n"/>
      <c r="P47" s="2010" t="n"/>
      <c r="Q47" s="2010" t="n"/>
      <c r="R47" s="2010" t="n"/>
      <c r="S47" s="2010" t="n"/>
      <c r="T47" s="2019">
        <f>Languages!B78</f>
        <v/>
      </c>
      <c r="U47" s="2011" t="n"/>
      <c r="V47" s="1858">
        <f>affo!S46</f>
        <v/>
      </c>
      <c r="W47" s="1858">
        <f>affo!T46</f>
        <v/>
      </c>
      <c r="X47" s="2010" t="n"/>
      <c r="Y47" s="1860">
        <f>affo!U46</f>
        <v/>
      </c>
      <c r="AR47" s="1782">
        <f>AR20</f>
        <v/>
      </c>
      <c r="AS47" s="1782" t="n"/>
      <c r="AT47" s="1782" t="n"/>
      <c r="AU47" s="1782" t="n"/>
      <c r="AV47" s="1782" t="n"/>
      <c r="AW47" s="1782" t="n"/>
      <c r="AX47" s="1782" t="n"/>
      <c r="AY47" s="1782" t="n"/>
      <c r="AZ47" s="1782" t="n"/>
      <c r="BA47" s="1782" t="n"/>
      <c r="BB47" s="1782" t="n"/>
      <c r="BC47" s="1782" t="n"/>
      <c r="BD47" s="1782" t="n"/>
      <c r="BE47" s="1782" t="n"/>
      <c r="BF47" s="1782" t="n"/>
      <c r="BG47" s="1782" t="n"/>
      <c r="BH47" s="1782" t="n"/>
      <c r="BI47" s="1782" t="n"/>
      <c r="BJ47" s="1782" t="n"/>
      <c r="BK47" s="1782" t="n"/>
      <c r="BL47" s="1782" t="n"/>
      <c r="BM47" s="1783" t="inlineStr">
        <is>
          <t>Reference carbon stocks should only be updated when detailed information on the planted species is available</t>
        </is>
      </c>
      <c r="BN47" s="1782" t="n"/>
      <c r="BO47" s="1782" t="n"/>
      <c r="BP47" s="1782" t="n"/>
      <c r="BQ47" s="1782" t="n"/>
      <c r="BR47" s="1782" t="n"/>
      <c r="BS47" s="1782" t="n"/>
      <c r="BT47" s="1782" t="n"/>
      <c r="BU47" s="1782" t="n"/>
      <c r="BV47" s="1782" t="n"/>
      <c r="BW47" s="1782" t="n"/>
      <c r="BX47" s="1782" t="n"/>
      <c r="BZ47" s="4548" t="inlineStr">
        <is>
          <t>Use this part only if you want to refine yearly GHG fluxes</t>
        </is>
      </c>
    </row>
    <row r="48">
      <c r="B48" s="1781" t="n"/>
      <c r="C48" s="1781" t="n"/>
      <c r="D48" s="1781" t="n"/>
      <c r="E48" s="1781" t="n"/>
      <c r="F48" s="1781" t="n"/>
      <c r="G48" s="1781" t="n"/>
      <c r="H48" s="1781" t="n"/>
      <c r="I48" s="1781" t="n"/>
      <c r="J48" s="1781" t="n"/>
      <c r="K48" s="1781" t="n"/>
      <c r="L48" s="1781" t="n"/>
      <c r="M48" s="1781" t="n"/>
      <c r="N48" s="1781" t="n"/>
      <c r="O48" s="1781" t="n"/>
      <c r="P48" s="1781" t="n"/>
      <c r="Q48" s="1781" t="n"/>
      <c r="R48" s="1781" t="n"/>
      <c r="S48" s="1781" t="n"/>
      <c r="T48" s="1781" t="n"/>
      <c r="U48" s="1781" t="n"/>
      <c r="V48" s="1781" t="n"/>
      <c r="W48" s="1781" t="n"/>
      <c r="X48" s="1781" t="n"/>
      <c r="Y48" s="1781" t="n"/>
      <c r="AR48" s="1782">
        <f>AR21</f>
        <v/>
      </c>
      <c r="AS48" s="1782" t="n"/>
      <c r="AT48" s="1782" t="n"/>
      <c r="AU48" s="1782" t="n"/>
      <c r="AV48" s="1782" t="n"/>
      <c r="AW48" s="1782" t="n"/>
      <c r="AX48" s="1782" t="n"/>
      <c r="AY48" s="1782" t="n"/>
      <c r="AZ48" s="1782" t="n"/>
      <c r="BA48" s="1782" t="n"/>
      <c r="BB48" s="1782" t="n"/>
      <c r="BC48" s="1782" t="n"/>
      <c r="BD48" s="1782" t="n"/>
      <c r="BE48" s="1782" t="n"/>
      <c r="BF48" s="1782" t="n"/>
      <c r="BG48" s="1782" t="n"/>
      <c r="BH48" s="1782" t="n"/>
      <c r="BI48" s="1782" t="n"/>
      <c r="BJ48" s="1782" t="n"/>
      <c r="BK48" s="1782" t="n"/>
      <c r="BL48" s="1782" t="n"/>
      <c r="BM48" s="1782" t="n"/>
      <c r="BN48" s="1782" t="n"/>
      <c r="BO48" s="1782" t="n"/>
      <c r="BP48" s="1782" t="n"/>
      <c r="BQ48" s="1782" t="n"/>
      <c r="BR48" s="1782" t="n"/>
      <c r="BS48" s="1782" t="n"/>
      <c r="BT48" s="1782" t="n"/>
      <c r="BU48" s="1782" t="n"/>
      <c r="BV48" s="1782" t="n"/>
      <c r="BW48" s="1782" t="n"/>
      <c r="BX48" s="1782" t="n"/>
    </row>
    <row r="49">
      <c r="B49" s="1820">
        <f>B24</f>
        <v/>
      </c>
      <c r="C49" s="1781" t="n"/>
      <c r="D49" s="1781" t="n"/>
      <c r="E49" s="1781" t="n"/>
      <c r="F49" s="1781" t="n"/>
      <c r="G49" s="1781" t="n"/>
      <c r="H49" s="1781" t="n"/>
      <c r="I49" s="1781" t="n"/>
      <c r="J49" s="1781" t="n"/>
      <c r="K49" s="1781" t="n"/>
      <c r="L49" s="1781" t="n"/>
      <c r="M49" s="1781" t="n"/>
      <c r="N49" s="1781" t="n"/>
      <c r="O49" s="1781" t="n"/>
      <c r="P49" s="1781" t="n"/>
      <c r="Q49" s="1781" t="n"/>
      <c r="R49" s="1781" t="n"/>
      <c r="S49" s="1781" t="n"/>
      <c r="T49" s="1781" t="n"/>
      <c r="U49" s="1781" t="n"/>
      <c r="V49" s="1781" t="n"/>
      <c r="W49" s="1781" t="n"/>
      <c r="X49" s="1781" t="n"/>
      <c r="Y49" s="1781" t="n"/>
      <c r="AR49" s="1782" t="n"/>
      <c r="AS49" s="1782" t="n"/>
      <c r="AT49" s="1782" t="n"/>
      <c r="AU49" s="1782" t="n"/>
      <c r="AV49" s="1782" t="n"/>
      <c r="AW49" s="1782" t="n"/>
      <c r="AX49" s="1782" t="n"/>
      <c r="AY49" s="1782" t="n"/>
      <c r="AZ49" s="1782" t="n"/>
      <c r="BA49" s="1782" t="n"/>
      <c r="BB49" s="1782" t="n"/>
      <c r="BC49" s="1782" t="n"/>
      <c r="BD49" s="1782" t="n"/>
      <c r="BE49" s="1782" t="n"/>
      <c r="BF49" s="1782" t="n"/>
      <c r="BG49" s="1782" t="n"/>
      <c r="BH49" s="1782" t="n"/>
      <c r="BI49" s="1782" t="n"/>
      <c r="BJ49" s="1782" t="n"/>
      <c r="BK49" s="1782" t="n"/>
      <c r="BL49" s="1782" t="n"/>
      <c r="BM49" s="1782" t="n"/>
      <c r="BN49" s="1782" t="n"/>
      <c r="BO49" s="1782" t="n"/>
      <c r="BP49" s="1782" t="n"/>
      <c r="BQ49" s="1782" t="n"/>
      <c r="BR49" s="1782" t="n"/>
      <c r="BS49" s="1782" t="n"/>
      <c r="BT49" s="1782" t="n"/>
      <c r="BU49" s="1782" t="n"/>
      <c r="BV49" s="1782" t="n"/>
      <c r="BW49" s="1782" t="n"/>
      <c r="BX49" s="1782" t="n"/>
    </row>
    <row r="51" ht="17" customHeight="1">
      <c r="CX51" s="1916" t="n"/>
    </row>
    <row r="52" ht="17" customHeight="1">
      <c r="CX52" s="1916" t="n"/>
    </row>
    <row r="53" ht="17" customHeight="1">
      <c r="CX53" s="1916" t="n"/>
    </row>
    <row r="54" ht="17" customHeight="1">
      <c r="CX54" s="1916" t="n"/>
    </row>
    <row r="55" ht="45" customHeight="1">
      <c r="B55" s="1976">
        <f>Languages!B79</f>
        <v/>
      </c>
      <c r="C55" s="1976" t="n"/>
      <c r="D55" s="1977" t="n"/>
      <c r="E55" s="1778" t="n"/>
      <c r="F55" s="1778" t="n"/>
      <c r="G55" s="1778" t="n"/>
      <c r="H55" s="1778" t="n"/>
      <c r="I55" s="1778" t="n"/>
      <c r="J55" s="1778" t="n"/>
      <c r="K55" s="1778" t="n"/>
      <c r="L55" s="1778" t="n"/>
      <c r="M55" s="1778" t="n"/>
      <c r="N55" s="1778" t="n"/>
      <c r="O55" s="1778" t="n"/>
      <c r="P55" s="1778" t="n"/>
      <c r="Q55" s="1778" t="n"/>
      <c r="R55" s="1778" t="n"/>
      <c r="S55" s="1778" t="n"/>
      <c r="T55" s="1778" t="n"/>
      <c r="U55" s="1778" t="n"/>
      <c r="V55" s="1770">
        <f>Languages!B22</f>
        <v/>
      </c>
      <c r="W55" s="1778" t="n"/>
      <c r="X55" s="1778" t="n"/>
      <c r="Y55" s="1778" t="n"/>
      <c r="AR55" s="1978">
        <f>B55</f>
        <v/>
      </c>
      <c r="AS55" s="1978" t="n"/>
      <c r="AT55" s="2020" t="n"/>
      <c r="AU55" s="1978" t="n"/>
      <c r="AV55" s="1978" t="n"/>
      <c r="AW55" s="1978" t="n"/>
      <c r="AX55" s="1978" t="n"/>
      <c r="AY55" s="1978" t="n"/>
      <c r="AZ55" s="1978" t="n"/>
      <c r="BA55" s="1978" t="n"/>
      <c r="BB55" s="1978" t="n"/>
      <c r="BC55" s="1978" t="n"/>
      <c r="BD55" s="1978" t="n"/>
      <c r="BE55" s="1978" t="n"/>
      <c r="BF55" s="1978" t="n"/>
      <c r="BG55" s="1978" t="n"/>
      <c r="BH55" s="1978" t="n"/>
      <c r="BI55" s="1978" t="n"/>
      <c r="BJ55" s="2021" t="n"/>
      <c r="BK55" s="4404" t="inlineStr">
        <is>
          <t>Annual balance</t>
        </is>
      </c>
      <c r="BL55" s="4404" t="n"/>
      <c r="BM55" s="4404" t="n"/>
    </row>
    <row r="56" ht="5.25" customHeight="1">
      <c r="AR56" s="1916" t="n"/>
      <c r="AS56" s="1916" t="n"/>
      <c r="AT56" s="2022" t="n"/>
      <c r="AU56" s="1916" t="n"/>
      <c r="AV56" s="1916" t="n"/>
      <c r="AW56" s="1916" t="n"/>
      <c r="AX56" s="2023" t="n"/>
      <c r="AY56" s="1916" t="n"/>
      <c r="AZ56" s="1916" t="n"/>
      <c r="BA56" s="1916" t="n"/>
      <c r="BB56" s="1916" t="n"/>
      <c r="BC56" s="1916" t="n"/>
      <c r="BD56" s="1916" t="n"/>
      <c r="BE56" s="1916" t="n"/>
      <c r="BF56" s="1916" t="n"/>
      <c r="BG56" s="1916" t="n"/>
      <c r="BH56" s="1916" t="n"/>
      <c r="BI56" s="1916" t="n"/>
      <c r="BJ56" s="1916" t="n"/>
      <c r="BK56" s="1916" t="n"/>
      <c r="BL56" s="1916" t="n"/>
    </row>
    <row r="57" ht="15" customHeight="1">
      <c r="B57" s="1781" t="n"/>
      <c r="C57" s="1781" t="n"/>
      <c r="D57" s="1781" t="n"/>
      <c r="E57" s="1781" t="n"/>
      <c r="F57" s="1781" t="n"/>
      <c r="G57" s="1781" t="n"/>
      <c r="H57" s="1781" t="n"/>
      <c r="I57" s="1781" t="n"/>
      <c r="J57" s="1781" t="n"/>
      <c r="K57" s="1781" t="n"/>
      <c r="L57" s="1781" t="n"/>
      <c r="M57" s="1781" t="n"/>
      <c r="N57" s="1781" t="n"/>
      <c r="O57" s="1781" t="n"/>
      <c r="P57" s="1781" t="n"/>
      <c r="Q57" s="1781" t="n"/>
      <c r="R57" s="1781" t="n"/>
      <c r="S57" s="1781" t="n"/>
      <c r="T57" s="1781" t="n"/>
      <c r="U57" s="1781" t="n"/>
      <c r="V57" s="1781" t="n"/>
      <c r="W57" s="1781" t="n"/>
      <c r="X57" s="1781" t="n"/>
      <c r="Y57" s="1781" t="n"/>
      <c r="AR57" s="2024" t="n"/>
      <c r="AS57" s="2969">
        <f>I58</f>
        <v/>
      </c>
      <c r="AT57" s="2965" t="n"/>
      <c r="AU57" s="2966" t="n"/>
      <c r="AV57" s="2966" t="n"/>
      <c r="AW57" s="2966" t="n"/>
      <c r="AX57" s="2967" t="n"/>
      <c r="AY57" s="2968" t="n"/>
      <c r="AZ57" s="2966" t="n"/>
      <c r="BA57" s="1784" t="n"/>
      <c r="BB57" s="2969">
        <f>K58</f>
        <v/>
      </c>
      <c r="BC57" s="2965" t="n"/>
      <c r="BD57" s="2966" t="n"/>
      <c r="BE57" s="2966" t="n"/>
      <c r="BF57" s="2966" t="n"/>
      <c r="BG57" s="2967" t="n"/>
      <c r="BH57" s="2968" t="n"/>
      <c r="BI57" s="2966" t="n"/>
      <c r="BJ57" s="1916" t="n"/>
      <c r="BK57" s="1784" t="n"/>
      <c r="BL57" s="1784" t="n"/>
      <c r="BM57" s="2001" t="n"/>
      <c r="CX57" s="1916" t="n"/>
    </row>
    <row r="58" ht="15" customHeight="1">
      <c r="B58" s="1781" t="n"/>
      <c r="C58" s="1952">
        <f>Languages!B80</f>
        <v/>
      </c>
      <c r="D58" s="1781" t="n"/>
      <c r="E58" s="1781" t="n"/>
      <c r="F58" s="1781" t="n"/>
      <c r="G58" s="1780">
        <f>Languages!B61</f>
        <v/>
      </c>
      <c r="H58" s="1781" t="n"/>
      <c r="I58" s="1952">
        <f>Languages!B19</f>
        <v/>
      </c>
      <c r="J58" s="1781" t="n"/>
      <c r="K58" s="1952">
        <f>Languages!B18</f>
        <v/>
      </c>
      <c r="L58" s="1781" t="n"/>
      <c r="M58" s="1925" t="n"/>
      <c r="N58" s="1779">
        <f>Languages!B82</f>
        <v/>
      </c>
      <c r="O58" s="2025" t="n"/>
      <c r="P58" s="1983" t="n"/>
      <c r="Q58" s="1983" t="n"/>
      <c r="R58" s="1983" t="n"/>
      <c r="S58" s="1781" t="n"/>
      <c r="T58" s="1781" t="n"/>
      <c r="U58" s="1781" t="n"/>
      <c r="V58" s="1826">
        <f>V33</f>
        <v/>
      </c>
      <c r="W58" s="1781" t="n"/>
      <c r="X58" s="1826" t="n"/>
      <c r="Y58" s="1780">
        <f>Y33</f>
        <v/>
      </c>
      <c r="AR58" s="2026" t="n"/>
      <c r="AS58" s="1782" t="n"/>
      <c r="AT58" s="1784" t="n"/>
      <c r="AU58" s="1784" t="n"/>
      <c r="AV58" s="1782">
        <f>AS33</f>
        <v/>
      </c>
      <c r="AW58" s="1784" t="n"/>
      <c r="AX58" s="1784" t="n"/>
      <c r="AY58" s="1784" t="n"/>
      <c r="AZ58" s="1784" t="n"/>
      <c r="BA58" s="1784" t="n"/>
      <c r="BB58" s="1784" t="n"/>
      <c r="BC58" s="1784" t="n"/>
      <c r="BD58" s="1782">
        <f>Languages!B91</f>
        <v/>
      </c>
      <c r="BE58" s="1782" t="n"/>
      <c r="BF58" s="1782" t="n"/>
      <c r="BG58" s="1782">
        <f>Languages!B90</f>
        <v/>
      </c>
      <c r="BH58" s="1784" t="n"/>
      <c r="BI58" s="1782" t="n"/>
      <c r="BJ58" s="1916" t="n"/>
      <c r="BK58" s="1890" t="inlineStr">
        <is>
          <t xml:space="preserve">Start year of </t>
        </is>
      </c>
      <c r="BL58" s="1782" t="n"/>
      <c r="BM58" s="2001" t="n"/>
      <c r="CX58" s="1916" t="n"/>
    </row>
    <row r="59" ht="15" customHeight="1">
      <c r="B59" s="1781" t="n"/>
      <c r="C59" s="1781" t="n"/>
      <c r="D59" s="1781" t="n"/>
      <c r="E59" s="1781" t="n"/>
      <c r="F59" s="1781" t="n"/>
      <c r="G59" s="1985">
        <f>G34</f>
        <v/>
      </c>
      <c r="H59" s="1781" t="n"/>
      <c r="I59" s="1952" t="n"/>
      <c r="J59" s="1781" t="n"/>
      <c r="K59" s="1952" t="n"/>
      <c r="L59" s="1781" t="n"/>
      <c r="M59" s="1781" t="n"/>
      <c r="N59" s="1812">
        <f>N34</f>
        <v/>
      </c>
      <c r="O59" s="1812" t="n"/>
      <c r="P59" s="1812">
        <f>P34</f>
        <v/>
      </c>
      <c r="Q59" s="1812" t="n"/>
      <c r="R59" s="1781" t="n"/>
      <c r="S59" s="1781" t="n"/>
      <c r="T59" s="1781" t="n"/>
      <c r="U59" s="1781" t="n"/>
      <c r="V59" s="1816">
        <f>V34</f>
        <v/>
      </c>
      <c r="W59" s="1816">
        <f>W34</f>
        <v/>
      </c>
      <c r="X59" s="1812" t="n"/>
      <c r="Y59" s="1781" t="n"/>
      <c r="AR59" s="2027">
        <f>C58</f>
        <v/>
      </c>
      <c r="AS59" s="2028" t="n"/>
      <c r="AT59" s="1782" t="n"/>
      <c r="AU59" s="1782" t="n"/>
      <c r="AV59" s="2029">
        <f>AS34</f>
        <v/>
      </c>
      <c r="AW59" s="2030" t="n"/>
      <c r="AX59" s="1782" t="n"/>
      <c r="AY59" s="2031">
        <f>AV34</f>
        <v/>
      </c>
      <c r="AZ59" s="2030" t="n"/>
      <c r="BA59" s="1782" t="n"/>
      <c r="BB59" s="2028" t="n"/>
      <c r="BC59" s="2026" t="n"/>
      <c r="BD59" s="2029">
        <f>AV59</f>
        <v/>
      </c>
      <c r="BE59" s="2030" t="n"/>
      <c r="BF59" s="1782" t="n"/>
      <c r="BG59" s="2029">
        <f>AY59</f>
        <v/>
      </c>
      <c r="BH59" s="2030" t="n"/>
      <c r="BI59" s="1782" t="n"/>
      <c r="BJ59" s="1916" t="n"/>
      <c r="BK59" s="2015" t="inlineStr">
        <is>
          <t>implementation</t>
        </is>
      </c>
      <c r="BL59" s="1994" t="n"/>
      <c r="BM59" s="2001" t="n"/>
      <c r="CX59" s="1916" t="n"/>
    </row>
    <row r="60" ht="15" customHeight="1">
      <c r="B60" s="1781" t="n"/>
      <c r="C60" s="1781" t="n"/>
      <c r="D60" s="1781" t="n"/>
      <c r="E60" s="1781" t="n"/>
      <c r="F60" s="1781" t="n"/>
      <c r="G60" s="1781" t="n"/>
      <c r="H60" s="1781" t="n"/>
      <c r="I60" s="1781" t="n"/>
      <c r="J60" s="1781" t="n"/>
      <c r="K60" s="1781" t="n"/>
      <c r="L60" s="1781" t="n"/>
      <c r="M60" s="1781" t="n"/>
      <c r="N60" s="1781" t="n"/>
      <c r="O60" s="1781" t="inlineStr">
        <is>
          <t>*</t>
        </is>
      </c>
      <c r="P60" s="1781" t="n"/>
      <c r="Q60" s="1781" t="inlineStr">
        <is>
          <t>*</t>
        </is>
      </c>
      <c r="R60" s="1781" t="n"/>
      <c r="S60" s="1781" t="n"/>
      <c r="T60" s="1781" t="n"/>
      <c r="U60" s="1781" t="n"/>
      <c r="V60" s="1849" t="n"/>
      <c r="W60" s="1850" t="n"/>
      <c r="X60" s="1781" t="n"/>
      <c r="Y60" s="1781" t="n"/>
      <c r="AR60" s="2026" t="n"/>
      <c r="AS60" s="2028" t="n"/>
      <c r="AT60" s="1782" t="n"/>
      <c r="AU60" s="1782" t="n"/>
      <c r="AV60" s="4469">
        <f>AS35</f>
        <v/>
      </c>
      <c r="AW60" s="2034">
        <f>AT35</f>
        <v/>
      </c>
      <c r="AX60" s="2026" t="n"/>
      <c r="AY60" s="4469">
        <f>AV60</f>
        <v/>
      </c>
      <c r="AZ60" s="2034">
        <f>AW60</f>
        <v/>
      </c>
      <c r="BA60" s="1782" t="n"/>
      <c r="BB60" s="2028" t="n"/>
      <c r="BC60" s="2026" t="n"/>
      <c r="BD60" s="4469">
        <f>AY60</f>
        <v/>
      </c>
      <c r="BE60" s="2034">
        <f>AZ60</f>
        <v/>
      </c>
      <c r="BF60" s="2026" t="n"/>
      <c r="BG60" s="2034">
        <f>BD60</f>
        <v/>
      </c>
      <c r="BH60" s="2034">
        <f>BE60</f>
        <v/>
      </c>
      <c r="BI60" s="1782" t="n"/>
      <c r="BJ60" s="2033" t="n"/>
      <c r="BK60" s="1997" t="n"/>
      <c r="BL60" s="1894" t="n"/>
      <c r="BM60" s="2001" t="n"/>
      <c r="CX60" s="1916" t="n"/>
    </row>
    <row r="61" ht="15" customHeight="1">
      <c r="B61" s="1781" t="n"/>
      <c r="C61" s="4125" t="inlineStr">
        <is>
          <t>Conversion of bare land to grassland in Pas</t>
        </is>
      </c>
      <c r="D61" s="1781" t="n"/>
      <c r="E61" s="4454">
        <f>IF(OR(I61="please select",K61="please select"),"",IF(AND(OR(I61="annual cropland",I61="flooded rice",AND(I61&lt;&gt;"grassland",I61&lt;&gt;"degraded land",I61&lt;&gt;"other land (non-vegetated)",I61&lt;&gt;"annual fallow")),OR(K61="annual cropland",K61="flooded rice",AND(K61&lt;&gt;"grassland",K61&lt;&gt;"degraded land",K61&lt;&gt;"other land (non-vegetated)",K61&lt;&gt;"annual fallow"))),"allcrops",IF(AND(OR(I61="annual cropland",I61="flooded rice",AND(I61&lt;&gt;"grassland",I61&lt;&gt;"degraded land",I61&lt;&gt;"other land (non-vegetated)",I61&lt;&gt;"annual fallow"),I61="grassland"),OR(K61="annual cropland",K61="flooded rice",AND(K61&lt;&gt;"grassland",K61&lt;&gt;"degraded land",K61&lt;&gt;"other land (non-vegetated)",K61&lt;&gt;"annual fallow"),K61="grassland")),"cropsgrass", IF(OR(I61="annual cropland",K61="annual cropland"),"crop",IF(OR(I61="grassland",K61="grassland"),"grass",IF(OR(I61="flooded rice",K61="flooded rice"),"rice",IF(AND(OR(I61="degraded land",I61="other land (non-vegetated)",I61="annual fallow"),OR(K61="degraded land",K61="other land (non-vegetated)",K61="annual fallow")),"","agroforest")))))))</f>
        <v/>
      </c>
      <c r="F61" s="1781" t="n"/>
      <c r="G61" s="2133" t="inlineStr">
        <is>
          <t>NO</t>
        </is>
      </c>
      <c r="H61" s="1781" t="n"/>
      <c r="I61" s="2135" t="inlineStr">
        <is>
          <t>Degraded land</t>
        </is>
      </c>
      <c r="J61" s="1781" t="n"/>
      <c r="K61" s="2135" t="inlineStr">
        <is>
          <t>Grassland</t>
        </is>
      </c>
      <c r="L61" s="1848">
        <f>luc!$G9</f>
        <v/>
      </c>
      <c r="M61" s="4483">
        <f>IF((OR(AND(K61=I61, K61&lt;&gt;"Please select"), AND(OR(K61="Agroforestry - default", K61="Alley cropping", K61="Hedgerow", K61="Multistrata", K61="Oil palm", K61="Parkland", K61="Perennial fallow", K61="Rubber", K61="Shaded Perennial", K61="Silvoarable", K61="Silvopasture", K61="Tea"), OR(I61="Agroforestry - default", I61="Alley cropping", I61="Hedgerow", I61="Multistrata", I61="Oil palm", I61="Parkland", I61="Perennial fallow", I61="Rubber", I61="Shaded Perennial", I61="Silvoarable", I61="Silvopasture", I61="Tea")))), list!$B$277, "")</f>
        <v/>
      </c>
      <c r="N61" s="2132" t="n">
        <v>0</v>
      </c>
      <c r="O61" s="2108" t="inlineStr">
        <is>
          <t>D</t>
        </is>
      </c>
      <c r="P61" s="2132">
        <f>Calculations!C19+Calculations!C37</f>
        <v/>
      </c>
      <c r="Q61" s="2108" t="inlineStr">
        <is>
          <t>D</t>
        </is>
      </c>
      <c r="R61" s="1781" t="n"/>
      <c r="S61" s="1781" t="n"/>
      <c r="T61" s="1781" t="n"/>
      <c r="U61" s="1806" t="n"/>
      <c r="V61" s="1815">
        <f>luc!$M41</f>
        <v/>
      </c>
      <c r="W61" s="1841">
        <f>luc!$N41</f>
        <v/>
      </c>
      <c r="X61" s="2018" t="n"/>
      <c r="Y61" s="1816">
        <f>luc!O41</f>
        <v/>
      </c>
      <c r="AR61" s="2026">
        <f>IF($C61 &lt;&gt; "", C61, "")</f>
        <v/>
      </c>
      <c r="AS61" s="2026">
        <f>$I61</f>
        <v/>
      </c>
      <c r="AT61" s="1782" t="n"/>
      <c r="AU61" s="1782" t="n"/>
      <c r="AV61" s="2034">
        <f>luc!H9</f>
        <v/>
      </c>
      <c r="AW61" s="4670" t="n"/>
      <c r="AX61" s="2026" t="n"/>
      <c r="AY61" s="2034">
        <f>luc!L9</f>
        <v/>
      </c>
      <c r="AZ61" s="4670" t="n"/>
      <c r="BA61" s="1782" t="n"/>
      <c r="BB61" s="2026">
        <f>$K61</f>
        <v/>
      </c>
      <c r="BC61" s="2026" t="n"/>
      <c r="BD61" s="4671">
        <f>luc!J9</f>
        <v/>
      </c>
      <c r="BE61" s="4670" t="n"/>
      <c r="BF61" s="2026" t="n"/>
      <c r="BG61" s="4671">
        <f>luc!N9</f>
        <v/>
      </c>
      <c r="BH61" s="4670" t="n"/>
      <c r="BI61" s="1782" t="n"/>
      <c r="BJ61" s="2033" t="n"/>
      <c r="BK61" s="4401" t="n">
        <v>1</v>
      </c>
      <c r="BL61" s="4402" t="n"/>
      <c r="BM61" s="2001" t="n"/>
      <c r="CX61" s="1916" t="n"/>
    </row>
    <row r="62" ht="15" customHeight="1">
      <c r="B62" s="1781" t="n"/>
      <c r="C62" s="4126" t="inlineStr">
        <is>
          <t>Conversion of abandoned agriulture to crops</t>
        </is>
      </c>
      <c r="D62" s="1781" t="n"/>
      <c r="E62" s="4454">
        <f>IF(OR(I62="please select",K62="please select"),"",IF(AND(OR(I62="annual cropland",I62="flooded rice",AND(I62&lt;&gt;"grassland",I62&lt;&gt;"degraded land",I62&lt;&gt;"other land (non-vegetated)",I62&lt;&gt;"annual fallow")),OR(K62="annual cropland",K62="flooded rice",AND(K62&lt;&gt;"grassland",K62&lt;&gt;"degraded land",K62&lt;&gt;"other land (non-vegetated)",K62&lt;&gt;"annual fallow"))),"allcrops",IF(AND(OR(I62="annual cropland",I62="flooded rice",AND(I62&lt;&gt;"grassland",I62&lt;&gt;"degraded land",I62&lt;&gt;"other land (non-vegetated)",I62&lt;&gt;"annual fallow"),I62="grassland"),OR(K62="annual cropland",K62="flooded rice",AND(K62&lt;&gt;"grassland",K62&lt;&gt;"degraded land",K62&lt;&gt;"other land (non-vegetated)",K62&lt;&gt;"annual fallow"),K62="grassland")),"cropsgrass", IF(OR(I62="annual cropland",K62="annual cropland"),"crop",IF(OR(I62="grassland",K62="grassland"),"grass",IF(OR(I62="flooded rice",K62="flooded rice"),"rice",IF(AND(OR(I62="degraded land",I62="other land (non-vegetated)",I62="annual fallow"),OR(K62="degraded land",K62="other land (non-vegetated)",K62="annual fallow")),"","agroforest")))))))</f>
        <v/>
      </c>
      <c r="F62" s="1781" t="n"/>
      <c r="G62" s="2133" t="inlineStr">
        <is>
          <t>NO</t>
        </is>
      </c>
      <c r="H62" s="1781" t="n"/>
      <c r="I62" s="2135" t="inlineStr">
        <is>
          <t>Degraded land</t>
        </is>
      </c>
      <c r="J62" s="1781" t="n"/>
      <c r="K62" s="2135" t="inlineStr">
        <is>
          <t>Annual cropland</t>
        </is>
      </c>
      <c r="L62" s="1848">
        <f>luc!$G10</f>
        <v/>
      </c>
      <c r="M62" s="4483">
        <f>IF((OR(AND(K62=I62, K62&lt;&gt;"Please select"), AND(OR(K62="Agroforestry - default", K62="Alley cropping", K62="Hedgerow", K62="Multistrata", K62="Oil palm", K62="Parkland", K62="Perennial fallow", K62="Rubber", K62="Shaded Perennial", K62="Silvoarable", K62="Silvopasture", K62="Tea"), OR(I62="Agroforestry - default", I62="Alley cropping", I62="Hedgerow", I62="Multistrata", I62="Oil palm", I62="Parkland", I62="Perennial fallow", I62="Rubber", I62="Shaded Perennial", I62="Silvoarable", I62="Silvopasture", I62="Tea")))), list!$B$277, "")</f>
        <v/>
      </c>
      <c r="N62" s="2132" t="n">
        <v>0</v>
      </c>
      <c r="O62" s="2108" t="inlineStr">
        <is>
          <t>D</t>
        </is>
      </c>
      <c r="P62" s="2132">
        <f>Calculations!C35</f>
        <v/>
      </c>
      <c r="Q62" s="2108" t="inlineStr">
        <is>
          <t>D</t>
        </is>
      </c>
      <c r="R62" s="1781" t="n"/>
      <c r="S62" s="1781" t="n"/>
      <c r="T62" s="1781" t="n"/>
      <c r="U62" s="1806" t="n"/>
      <c r="V62" s="1815">
        <f>luc!$M42</f>
        <v/>
      </c>
      <c r="W62" s="1841">
        <f>luc!$N42</f>
        <v/>
      </c>
      <c r="X62" s="2018" t="n"/>
      <c r="Y62" s="1816">
        <f>luc!O42</f>
        <v/>
      </c>
      <c r="AR62" s="2026">
        <f>IF($C62 &lt;&gt; "", C62, "")</f>
        <v/>
      </c>
      <c r="AS62" s="2026">
        <f>$I62</f>
        <v/>
      </c>
      <c r="AT62" s="1782" t="n"/>
      <c r="AU62" s="1782" t="n"/>
      <c r="AV62" s="2034">
        <f>luc!H10</f>
        <v/>
      </c>
      <c r="AW62" s="4670" t="n"/>
      <c r="AX62" s="2026" t="n"/>
      <c r="AY62" s="2034">
        <f>luc!L10</f>
        <v/>
      </c>
      <c r="AZ62" s="4670" t="n"/>
      <c r="BA62" s="1782" t="n"/>
      <c r="BB62" s="2026">
        <f>$K62</f>
        <v/>
      </c>
      <c r="BC62" s="2026" t="n"/>
      <c r="BD62" s="4671">
        <f>luc!J10</f>
        <v/>
      </c>
      <c r="BE62" s="4670" t="n"/>
      <c r="BF62" s="2026" t="n"/>
      <c r="BG62" s="4671">
        <f>luc!N10</f>
        <v/>
      </c>
      <c r="BH62" s="4670" t="n"/>
      <c r="BI62" s="1782" t="n"/>
      <c r="BJ62" s="2033" t="n"/>
      <c r="BK62" s="4401" t="n">
        <v>1</v>
      </c>
      <c r="BL62" s="4402" t="n"/>
      <c r="BM62" s="2001" t="n"/>
      <c r="CX62" s="1916" t="n"/>
    </row>
    <row r="63" ht="15" customHeight="1">
      <c r="B63" s="1781" t="n"/>
      <c r="C63" s="4126" t="inlineStr">
        <is>
          <t>Plantation of forest fruit trees</t>
        </is>
      </c>
      <c r="D63" s="1781" t="n"/>
      <c r="E63" s="4454">
        <f>IF(OR(I63="please select",K63="please select"),"",IF(AND(OR(I63="annual cropland",I63="flooded rice",AND(I63&lt;&gt;"grassland",I63&lt;&gt;"degraded land",I63&lt;&gt;"other land (non-vegetated)",I63&lt;&gt;"annual fallow")),OR(K63="annual cropland",K63="flooded rice",AND(K63&lt;&gt;"grassland",K63&lt;&gt;"degraded land",K63&lt;&gt;"other land (non-vegetated)",K63&lt;&gt;"annual fallow"))),"allcrops",IF(AND(OR(I63="annual cropland",I63="flooded rice",AND(I63&lt;&gt;"grassland",I63&lt;&gt;"degraded land",I63&lt;&gt;"other land (non-vegetated)",I63&lt;&gt;"annual fallow"),I63="grassland"),OR(K63="annual cropland",K63="flooded rice",AND(K63&lt;&gt;"grassland",K63&lt;&gt;"degraded land",K63&lt;&gt;"other land (non-vegetated)",K63&lt;&gt;"annual fallow"),K63="grassland")),"cropsgrass", IF(OR(I63="annual cropland",K63="annual cropland"),"crop",IF(OR(I63="grassland",K63="grassland"),"grass",IF(OR(I63="flooded rice",K63="flooded rice"),"rice",IF(AND(OR(I63="degraded land",I63="other land (non-vegetated)",I63="annual fallow"),OR(K63="degraded land",K63="other land (non-vegetated)",K63="annual fallow")),"","agroforest")))))))</f>
        <v/>
      </c>
      <c r="F63" s="1781" t="n"/>
      <c r="G63" s="2133" t="inlineStr">
        <is>
          <t>NO</t>
        </is>
      </c>
      <c r="H63" s="1781" t="n"/>
      <c r="I63" s="2135" t="inlineStr">
        <is>
          <t>Degraded land</t>
        </is>
      </c>
      <c r="J63" s="1781" t="n"/>
      <c r="K63" s="2135" t="inlineStr">
        <is>
          <t>Multistrata</t>
        </is>
      </c>
      <c r="L63" s="1848">
        <f>luc!$G11</f>
        <v/>
      </c>
      <c r="M63" s="4483">
        <f>IF((OR(AND(K63=I63, K63&lt;&gt;"Please select"), AND(OR(K63="Agroforestry - default", K63="Alley cropping", K63="Hedgerow", K63="Multistrata", K63="Oil palm", K63="Parkland", K63="Perennial fallow", K63="Rubber", K63="Shaded Perennial", K63="Silvoarable", K63="Silvopasture", K63="Tea"), OR(I63="Agroforestry - default", I63="Alley cropping", I63="Hedgerow", I63="Multistrata", I63="Oil palm", I63="Parkland", I63="Perennial fallow", I63="Rubber", I63="Shaded Perennial", I63="Silvoarable", I63="Silvopasture", I63="Tea")))), list!$B$277, "")</f>
        <v/>
      </c>
      <c r="N63" s="2132" t="n">
        <v>0</v>
      </c>
      <c r="O63" s="2108" t="inlineStr">
        <is>
          <t>D</t>
        </is>
      </c>
      <c r="P63" s="2132">
        <f>Calculations!C41</f>
        <v/>
      </c>
      <c r="Q63" s="2108" t="inlineStr">
        <is>
          <t>D</t>
        </is>
      </c>
      <c r="R63" s="1781" t="n"/>
      <c r="S63" s="1781" t="n"/>
      <c r="T63" s="1781" t="n"/>
      <c r="U63" s="1806" t="n"/>
      <c r="V63" s="1815">
        <f>luc!$M43</f>
        <v/>
      </c>
      <c r="W63" s="1841">
        <f>luc!$N43</f>
        <v/>
      </c>
      <c r="X63" s="2018" t="n"/>
      <c r="Y63" s="1816">
        <f>luc!O43</f>
        <v/>
      </c>
      <c r="AR63" s="2026">
        <f>IF($C63 &lt;&gt; "", C63, "")</f>
        <v/>
      </c>
      <c r="AS63" s="2026">
        <f>$I63</f>
        <v/>
      </c>
      <c r="AT63" s="1782" t="n"/>
      <c r="AU63" s="1782" t="n"/>
      <c r="AV63" s="2034">
        <f>luc!H11</f>
        <v/>
      </c>
      <c r="AW63" s="4670" t="n"/>
      <c r="AX63" s="2026" t="n"/>
      <c r="AY63" s="2034">
        <f>luc!L11</f>
        <v/>
      </c>
      <c r="AZ63" s="4670" t="n"/>
      <c r="BA63" s="1782" t="n"/>
      <c r="BB63" s="2026">
        <f>$K63</f>
        <v/>
      </c>
      <c r="BC63" s="2026" t="n"/>
      <c r="BD63" s="4671">
        <f>luc!J11</f>
        <v/>
      </c>
      <c r="BE63" s="4670" t="n"/>
      <c r="BF63" s="2026" t="n"/>
      <c r="BG63" s="4671">
        <f>luc!N11</f>
        <v/>
      </c>
      <c r="BH63" s="4670" t="n"/>
      <c r="BI63" s="1782" t="n"/>
      <c r="BJ63" s="2033" t="n"/>
      <c r="BK63" s="4401" t="n">
        <v>1</v>
      </c>
      <c r="BL63" s="4402" t="n"/>
      <c r="BM63" s="2001" t="n"/>
      <c r="CX63" s="1916" t="n"/>
    </row>
    <row r="64" ht="15" customHeight="1">
      <c r="B64" s="1781" t="n"/>
      <c r="C64" s="4126" t="inlineStr">
        <is>
          <t>Conversion of abandoned agr land into grassland</t>
        </is>
      </c>
      <c r="D64" s="1781" t="n"/>
      <c r="E64" s="4454">
        <f>IF(OR(I64="please select",K64="please select"),"",IF(AND(OR(I64="annual cropland",I64="flooded rice",AND(I64&lt;&gt;"grassland",I64&lt;&gt;"degraded land",I64&lt;&gt;"other land (non-vegetated)",I64&lt;&gt;"annual fallow")),OR(K64="annual cropland",K64="flooded rice",AND(K64&lt;&gt;"grassland",K64&lt;&gt;"degraded land",K64&lt;&gt;"other land (non-vegetated)",K64&lt;&gt;"annual fallow"))),"allcrops",IF(AND(OR(I64="annual cropland",I64="flooded rice",AND(I64&lt;&gt;"grassland",I64&lt;&gt;"degraded land",I64&lt;&gt;"other land (non-vegetated)",I64&lt;&gt;"annual fallow"),I64="grassland"),OR(K64="annual cropland",K64="flooded rice",AND(K64&lt;&gt;"grassland",K64&lt;&gt;"degraded land",K64&lt;&gt;"other land (non-vegetated)",K64&lt;&gt;"annual fallow"),K64="grassland")),"cropsgrass", IF(OR(I64="annual cropland",K64="annual cropland"),"crop",IF(OR(I64="grassland",K64="grassland"),"grass",IF(OR(I64="flooded rice",K64="flooded rice"),"rice",IF(AND(OR(I64="degraded land",I64="other land (non-vegetated)",I64="annual fallow"),OR(K64="degraded land",K64="other land (non-vegetated)",K64="annual fallow")),"","agroforest")))))))</f>
        <v/>
      </c>
      <c r="F64" s="1781" t="n"/>
      <c r="G64" s="2133" t="inlineStr">
        <is>
          <t>NO</t>
        </is>
      </c>
      <c r="H64" s="1781" t="n"/>
      <c r="I64" s="2135" t="inlineStr">
        <is>
          <t>Annual fallow</t>
        </is>
      </c>
      <c r="J64" s="1781" t="n"/>
      <c r="K64" s="2135" t="inlineStr">
        <is>
          <t>Grassland</t>
        </is>
      </c>
      <c r="L64" s="1848">
        <f>luc!$G12</f>
        <v/>
      </c>
      <c r="M64" s="4483">
        <f>IF((OR(AND(K64=I64, K64&lt;&gt;"Please select"), AND(OR(K64="Agroforestry - default", K64="Alley cropping", K64="Hedgerow", K64="Multistrata", K64="Oil palm", K64="Parkland", K64="Perennial fallow", K64="Rubber", K64="Shaded Perennial", K64="Silvoarable", K64="Silvopasture", K64="Tea"), OR(I64="Agroforestry - default", I64="Alley cropping", I64="Hedgerow", I64="Multistrata", I64="Oil palm", I64="Parkland", I64="Perennial fallow", I64="Rubber", I64="Shaded Perennial", I64="Silvoarable", I64="Silvopasture", I64="Tea")))), list!$B$277, "")</f>
        <v/>
      </c>
      <c r="N64" s="2132" t="n">
        <v>0</v>
      </c>
      <c r="O64" s="2108" t="inlineStr">
        <is>
          <t>D</t>
        </is>
      </c>
      <c r="P64" s="2132">
        <f>Calculations!C38</f>
        <v/>
      </c>
      <c r="Q64" s="2108" t="inlineStr">
        <is>
          <t>D</t>
        </is>
      </c>
      <c r="R64" s="1781" t="n"/>
      <c r="S64" s="1781" t="n"/>
      <c r="T64" s="1781" t="n"/>
      <c r="U64" s="1806" t="n"/>
      <c r="V64" s="1815">
        <f>luc!$M44</f>
        <v/>
      </c>
      <c r="W64" s="1841">
        <f>luc!$N44</f>
        <v/>
      </c>
      <c r="X64" s="2018" t="n"/>
      <c r="Y64" s="1816">
        <f>luc!O44</f>
        <v/>
      </c>
      <c r="AR64" s="2026">
        <f>IF(#REF! &lt;&gt; "",#REF!, "")</f>
        <v/>
      </c>
      <c r="AS64" s="2026">
        <f>$I64</f>
        <v/>
      </c>
      <c r="AT64" s="1782" t="n"/>
      <c r="AU64" s="1782" t="n"/>
      <c r="AV64" s="2034">
        <f>luc!H12</f>
        <v/>
      </c>
      <c r="AW64" s="4670" t="n"/>
      <c r="AX64" s="2026" t="n"/>
      <c r="AY64" s="2034">
        <f>luc!L12</f>
        <v/>
      </c>
      <c r="AZ64" s="4670" t="n"/>
      <c r="BA64" s="1782" t="n"/>
      <c r="BB64" s="2026">
        <f>$K64</f>
        <v/>
      </c>
      <c r="BC64" s="2026" t="n"/>
      <c r="BD64" s="4671">
        <f>luc!J12</f>
        <v/>
      </c>
      <c r="BE64" s="4670" t="n"/>
      <c r="BF64" s="2026" t="n"/>
      <c r="BG64" s="4671">
        <f>luc!N12</f>
        <v/>
      </c>
      <c r="BH64" s="4670" t="n"/>
      <c r="BI64" s="1782" t="n"/>
      <c r="BJ64" s="2033" t="n"/>
      <c r="BK64" s="4401" t="n">
        <v>1</v>
      </c>
      <c r="BL64" s="4402" t="n"/>
      <c r="BM64" s="2001" t="n"/>
      <c r="CX64" s="1916" t="n"/>
    </row>
    <row r="65" ht="15" customHeight="1">
      <c r="B65" s="1781" t="n"/>
      <c r="C65" s="2129" t="n"/>
      <c r="D65" s="1781" t="n"/>
      <c r="E65" s="4454">
        <f>IF(OR(I65="please select",K65="please select"),"",IF(AND(OR(I65="annual cropland",I65="flooded rice",AND(I65&lt;&gt;"grassland",I65&lt;&gt;"degraded land",I65&lt;&gt;"other land (non-vegetated)",I65&lt;&gt;"annual fallow")),OR(K65="annual cropland",K65="flooded rice",AND(K65&lt;&gt;"grassland",K65&lt;&gt;"degraded land",K65&lt;&gt;"other land (non-vegetated)",K65&lt;&gt;"annual fallow"))),"allcrops",IF(AND(OR(I65="annual cropland",I65="flooded rice",AND(I65&lt;&gt;"grassland",I65&lt;&gt;"degraded land",I65&lt;&gt;"other land (non-vegetated)",I65&lt;&gt;"annual fallow"),I65="grassland"),OR(K65="annual cropland",K65="flooded rice",AND(K65&lt;&gt;"grassland",K65&lt;&gt;"degraded land",K65&lt;&gt;"other land (non-vegetated)",K65&lt;&gt;"annual fallow"),K65="grassland")),"cropsgrass", IF(OR(I65="annual cropland",K65="annual cropland"),"crop",IF(OR(I65="grassland",K65="grassland"),"grass",IF(OR(I65="flooded rice",K65="flooded rice"),"rice",IF(AND(OR(I65="degraded land",I65="other land (non-vegetated)",I65="annual fallow"),OR(K65="degraded land",K65="other land (non-vegetated)",K65="annual fallow")),"","agroforest")))))))</f>
        <v/>
      </c>
      <c r="F65" s="1781" t="n"/>
      <c r="G65" s="2133" t="inlineStr">
        <is>
          <t>NO</t>
        </is>
      </c>
      <c r="H65" s="1781" t="n"/>
      <c r="I65" s="2135" t="inlineStr">
        <is>
          <t>Please select</t>
        </is>
      </c>
      <c r="J65" s="1781" t="n"/>
      <c r="K65" s="2135" t="inlineStr">
        <is>
          <t>Please select</t>
        </is>
      </c>
      <c r="L65" s="1848">
        <f>luc!$G13</f>
        <v/>
      </c>
      <c r="M65" s="4483">
        <f>IF((OR(AND(K65=I65, K65&lt;&gt;"Please select"), AND(OR(K65="Agroforestry - default", K65="Alley cropping", K65="Hedgerow", K65="Multistrata", K65="Oil palm", K65="Parkland", K65="Perennial fallow", K65="Rubber", K65="Shaded Perennial", K65="Silvoarable", K65="Silvopasture", K65="Tea"), OR(I65="Agroforestry - default", I65="Alley cropping", I65="Hedgerow", I65="Multistrata", I65="Oil palm", I65="Parkland", I65="Perennial fallow", I65="Rubber", I65="Shaded Perennial", I65="Silvoarable", I65="Silvopasture", I65="Tea")))), list!$B$277, "")</f>
        <v/>
      </c>
      <c r="N65" s="2132" t="n">
        <v>0</v>
      </c>
      <c r="O65" s="2108" t="inlineStr">
        <is>
          <t>D</t>
        </is>
      </c>
      <c r="P65" s="2132" t="n">
        <v>0</v>
      </c>
      <c r="Q65" s="2108" t="inlineStr">
        <is>
          <t>D</t>
        </is>
      </c>
      <c r="R65" s="1781" t="n"/>
      <c r="S65" s="1781" t="n"/>
      <c r="T65" s="1781" t="n"/>
      <c r="U65" s="1806" t="n"/>
      <c r="V65" s="1815">
        <f>luc!$M45</f>
        <v/>
      </c>
      <c r="W65" s="1841">
        <f>luc!$N45</f>
        <v/>
      </c>
      <c r="X65" s="2018" t="n"/>
      <c r="Y65" s="1816">
        <f>luc!O45</f>
        <v/>
      </c>
      <c r="AR65" s="2026">
        <f>IF($C64 &lt;&gt; "", C64, "")</f>
        <v/>
      </c>
      <c r="AS65" s="2026">
        <f>$I65</f>
        <v/>
      </c>
      <c r="AT65" s="1782" t="n"/>
      <c r="AU65" s="1782" t="n"/>
      <c r="AV65" s="2034">
        <f>luc!H13</f>
        <v/>
      </c>
      <c r="AW65" s="4670" t="n"/>
      <c r="AX65" s="2026" t="n"/>
      <c r="AY65" s="2034">
        <f>luc!L13</f>
        <v/>
      </c>
      <c r="AZ65" s="4670" t="n"/>
      <c r="BA65" s="1782" t="n"/>
      <c r="BB65" s="2026">
        <f>$K65</f>
        <v/>
      </c>
      <c r="BC65" s="2026" t="n"/>
      <c r="BD65" s="4671">
        <f>luc!J13</f>
        <v/>
      </c>
      <c r="BE65" s="4670" t="n"/>
      <c r="BF65" s="2026" t="n"/>
      <c r="BG65" s="4671">
        <f>luc!N13</f>
        <v/>
      </c>
      <c r="BH65" s="4670" t="n"/>
      <c r="BI65" s="1782" t="n"/>
      <c r="BJ65" s="2033" t="n"/>
      <c r="BK65" s="4401" t="n">
        <v>1</v>
      </c>
      <c r="BL65" s="4402" t="n"/>
      <c r="BM65" s="2001" t="n"/>
      <c r="CX65" s="1916" t="n"/>
    </row>
    <row r="66" ht="15" customHeight="1">
      <c r="B66" s="1781" t="n"/>
      <c r="C66" s="4126" t="n"/>
      <c r="D66" s="1781" t="n"/>
      <c r="E66" s="4454">
        <f>IF(OR(I66="please select",K66="please select"),"",IF(AND(OR(I66="annual cropland",I66="flooded rice",AND(I66&lt;&gt;"grassland",I66&lt;&gt;"degraded land",I66&lt;&gt;"other land (non-vegetated)",I66&lt;&gt;"annual fallow")),OR(K66="annual cropland",K66="flooded rice",AND(K66&lt;&gt;"grassland",K66&lt;&gt;"degraded land",K66&lt;&gt;"other land (non-vegetated)",K66&lt;&gt;"annual fallow"))),"allcrops",IF(AND(OR(I66="annual cropland",I66="flooded rice",AND(I66&lt;&gt;"grassland",I66&lt;&gt;"degraded land",I66&lt;&gt;"other land (non-vegetated)",I66&lt;&gt;"annual fallow"),I66="grassland"),OR(K66="annual cropland",K66="flooded rice",AND(K66&lt;&gt;"grassland",K66&lt;&gt;"degraded land",K66&lt;&gt;"other land (non-vegetated)",K66&lt;&gt;"annual fallow"),K66="grassland")),"cropsgrass", IF(OR(I66="annual cropland",K66="annual cropland"),"crop",IF(OR(I66="grassland",K66="grassland"),"grass",IF(OR(I66="flooded rice",K66="flooded rice"),"rice",IF(AND(OR(I66="degraded land",I66="other land (non-vegetated)",I66="annual fallow"),OR(K66="degraded land",K66="other land (non-vegetated)",K66="annual fallow")),"","agroforest")))))))</f>
        <v/>
      </c>
      <c r="F66" s="1781" t="n"/>
      <c r="G66" s="2133" t="inlineStr">
        <is>
          <t>NO</t>
        </is>
      </c>
      <c r="H66" s="1781" t="n"/>
      <c r="I66" s="2135" t="inlineStr">
        <is>
          <t>Please select</t>
        </is>
      </c>
      <c r="J66" s="1781" t="n"/>
      <c r="K66" s="2135" t="inlineStr">
        <is>
          <t>Please select</t>
        </is>
      </c>
      <c r="L66" s="1848">
        <f>luc!$G14</f>
        <v/>
      </c>
      <c r="M66" s="4483">
        <f>IF((OR(AND(K66=I66, K66&lt;&gt;"Please select"), AND(OR(K66="Agroforestry - default", K66="Alley cropping", K66="Hedgerow", K66="Multistrata", K66="Oil palm", K66="Parkland", K66="Perennial fallow", K66="Rubber", K66="Shaded Perennial", K66="Silvoarable", K66="Silvopasture", K66="Tea"), OR(I66="Agroforestry - default", I66="Alley cropping", I66="Hedgerow", I66="Multistrata", I66="Oil palm", I66="Parkland", I66="Perennial fallow", I66="Rubber", I66="Shaded Perennial", I66="Silvoarable", I66="Silvopasture", I66="Tea")))), list!$B$277, "")</f>
        <v/>
      </c>
      <c r="N66" s="2132" t="n">
        <v>0</v>
      </c>
      <c r="O66" s="2108" t="inlineStr">
        <is>
          <t>D</t>
        </is>
      </c>
      <c r="P66" s="2132" t="n">
        <v>0</v>
      </c>
      <c r="Q66" s="2108" t="inlineStr">
        <is>
          <t>D</t>
        </is>
      </c>
      <c r="R66" s="1781" t="n"/>
      <c r="S66" s="1781" t="n"/>
      <c r="T66" s="1781" t="n"/>
      <c r="U66" s="1806" t="n"/>
      <c r="V66" s="1815">
        <f>luc!$M46</f>
        <v/>
      </c>
      <c r="W66" s="1841">
        <f>luc!$N46</f>
        <v/>
      </c>
      <c r="X66" s="2018" t="n"/>
      <c r="Y66" s="1816">
        <f>luc!O46</f>
        <v/>
      </c>
      <c r="AR66" s="2026">
        <f>IF($C66 &lt;&gt; "", C66, "")</f>
        <v/>
      </c>
      <c r="AS66" s="2026">
        <f>$I66</f>
        <v/>
      </c>
      <c r="AT66" s="1782" t="n"/>
      <c r="AU66" s="1782" t="n"/>
      <c r="AV66" s="2034">
        <f>luc!H14</f>
        <v/>
      </c>
      <c r="AW66" s="4670" t="n"/>
      <c r="AX66" s="2026" t="n"/>
      <c r="AY66" s="2034">
        <f>luc!L14</f>
        <v/>
      </c>
      <c r="AZ66" s="4670" t="n"/>
      <c r="BA66" s="1782" t="n"/>
      <c r="BB66" s="2026">
        <f>$K66</f>
        <v/>
      </c>
      <c r="BC66" s="2026" t="n"/>
      <c r="BD66" s="4671">
        <f>luc!J14</f>
        <v/>
      </c>
      <c r="BE66" s="4670" t="n"/>
      <c r="BF66" s="2026" t="n"/>
      <c r="BG66" s="4671">
        <f>luc!N14</f>
        <v/>
      </c>
      <c r="BH66" s="4670" t="n"/>
      <c r="BI66" s="1782" t="n"/>
      <c r="BJ66" s="2033" t="n"/>
      <c r="BK66" s="4401" t="n">
        <v>1</v>
      </c>
      <c r="BL66" s="4402" t="n"/>
      <c r="BM66" s="2001" t="n"/>
      <c r="CX66" s="1916" t="n"/>
    </row>
    <row r="67" ht="15" customHeight="1">
      <c r="B67" s="1781" t="n"/>
      <c r="C67" s="4126" t="n"/>
      <c r="D67" s="1781" t="n"/>
      <c r="E67" s="4454">
        <f>IF(OR(I67="please select",K67="please select"),"",IF(AND(OR(I67="annual cropland",I67="flooded rice",AND(I67&lt;&gt;"grassland",I67&lt;&gt;"degraded land",I67&lt;&gt;"other land (non-vegetated)",I67&lt;&gt;"annual fallow")),OR(K67="annual cropland",K67="flooded rice",AND(K67&lt;&gt;"grassland",K67&lt;&gt;"degraded land",K67&lt;&gt;"other land (non-vegetated)",K67&lt;&gt;"annual fallow"))),"allcrops",IF(AND(OR(I67="annual cropland",I67="flooded rice",AND(I67&lt;&gt;"grassland",I67&lt;&gt;"degraded land",I67&lt;&gt;"other land (non-vegetated)",I67&lt;&gt;"annual fallow"),I67="grassland"),OR(K67="annual cropland",K67="flooded rice",AND(K67&lt;&gt;"grassland",K67&lt;&gt;"degraded land",K67&lt;&gt;"other land (non-vegetated)",K67&lt;&gt;"annual fallow"),K67="grassland")),"cropsgrass", IF(OR(I67="annual cropland",K67="annual cropland"),"crop",IF(OR(I67="grassland",K67="grassland"),"grass",IF(OR(I67="flooded rice",K67="flooded rice"),"rice",IF(AND(OR(I67="degraded land",I67="other land (non-vegetated)",I67="annual fallow"),OR(K67="degraded land",K67="other land (non-vegetated)",K67="annual fallow")),"","agroforest")))))))</f>
        <v/>
      </c>
      <c r="F67" s="1781" t="n"/>
      <c r="G67" s="2133" t="inlineStr">
        <is>
          <t>NO</t>
        </is>
      </c>
      <c r="H67" s="1781" t="n"/>
      <c r="I67" s="2135" t="inlineStr">
        <is>
          <t>Please select</t>
        </is>
      </c>
      <c r="J67" s="1781" t="n"/>
      <c r="K67" s="2135" t="inlineStr">
        <is>
          <t>Please select</t>
        </is>
      </c>
      <c r="L67" s="1848">
        <f>luc!$G15</f>
        <v/>
      </c>
      <c r="M67" s="4483">
        <f>IF((OR(AND(K67=I67, K67&lt;&gt;"Please select"), AND(OR(K67="Agroforestry - default", K67="Alley cropping", K67="Hedgerow", K67="Multistrata", K67="Oil palm", K67="Parkland", K67="Perennial fallow", K67="Rubber", K67="Shaded Perennial", K67="Silvoarable", K67="Silvopasture", K67="Tea"), OR(I67="Agroforestry - default", I67="Alley cropping", I67="Hedgerow", I67="Multistrata", I67="Oil palm", I67="Parkland", I67="Perennial fallow", I67="Rubber", I67="Shaded Perennial", I67="Silvoarable", I67="Silvopasture", I67="Tea")))), list!$B$277, "")</f>
        <v/>
      </c>
      <c r="N67" s="2132" t="n">
        <v>0</v>
      </c>
      <c r="O67" s="2108" t="inlineStr">
        <is>
          <t>D</t>
        </is>
      </c>
      <c r="P67" s="2132" t="n">
        <v>0</v>
      </c>
      <c r="Q67" s="2108" t="inlineStr">
        <is>
          <t>D</t>
        </is>
      </c>
      <c r="R67" s="1781" t="n"/>
      <c r="S67" s="1781" t="n"/>
      <c r="T67" s="1781" t="n"/>
      <c r="U67" s="1806" t="n"/>
      <c r="V67" s="1815">
        <f>luc!$M47</f>
        <v/>
      </c>
      <c r="W67" s="1841">
        <f>luc!$N47</f>
        <v/>
      </c>
      <c r="X67" s="2018" t="n"/>
      <c r="Y67" s="1816">
        <f>luc!O47</f>
        <v/>
      </c>
      <c r="AR67" s="2026">
        <f>IF($C67 &lt;&gt; "", C67, "")</f>
        <v/>
      </c>
      <c r="AS67" s="2026">
        <f>$I67</f>
        <v/>
      </c>
      <c r="AT67" s="1782" t="n"/>
      <c r="AU67" s="1782" t="n"/>
      <c r="AV67" s="2034">
        <f>luc!H15</f>
        <v/>
      </c>
      <c r="AW67" s="4670" t="n"/>
      <c r="AX67" s="2026" t="n"/>
      <c r="AY67" s="2034">
        <f>luc!L15</f>
        <v/>
      </c>
      <c r="AZ67" s="4670" t="n"/>
      <c r="BA67" s="1782" t="n"/>
      <c r="BB67" s="2026">
        <f>$K67</f>
        <v/>
      </c>
      <c r="BC67" s="2026" t="n"/>
      <c r="BD67" s="4671">
        <f>luc!J15</f>
        <v/>
      </c>
      <c r="BE67" s="4670" t="n"/>
      <c r="BF67" s="2026" t="n"/>
      <c r="BG67" s="4671">
        <f>luc!N15</f>
        <v/>
      </c>
      <c r="BH67" s="4670" t="n"/>
      <c r="BI67" s="1782" t="n"/>
      <c r="BJ67" s="2033" t="n"/>
      <c r="BK67" s="4401" t="n">
        <v>1</v>
      </c>
      <c r="BL67" s="4402" t="n"/>
      <c r="BM67" s="2001" t="n"/>
      <c r="CX67" s="1916" t="n"/>
    </row>
    <row r="68" ht="15" customHeight="1">
      <c r="B68" s="1781" t="n"/>
      <c r="C68" s="4126" t="n"/>
      <c r="D68" s="1781" t="n"/>
      <c r="E68" s="4454">
        <f>IF(OR(I68="please select",K68="please select"),"",IF(AND(OR(I68="annual cropland",I68="flooded rice",AND(I68&lt;&gt;"grassland",I68&lt;&gt;"degraded land",I68&lt;&gt;"other land (non-vegetated)",I68&lt;&gt;"annual fallow")),OR(K68="annual cropland",K68="flooded rice",AND(K68&lt;&gt;"grassland",K68&lt;&gt;"degraded land",K68&lt;&gt;"other land (non-vegetated)",K68&lt;&gt;"annual fallow"))),"allcrops",IF(AND(OR(I68="annual cropland",I68="flooded rice",AND(I68&lt;&gt;"grassland",I68&lt;&gt;"degraded land",I68&lt;&gt;"other land (non-vegetated)",I68&lt;&gt;"annual fallow"),I68="grassland"),OR(K68="annual cropland",K68="flooded rice",AND(K68&lt;&gt;"grassland",K68&lt;&gt;"degraded land",K68&lt;&gt;"other land (non-vegetated)",K68&lt;&gt;"annual fallow"),K68="grassland")),"cropsgrass", IF(OR(I68="annual cropland",K68="annual cropland"),"crop",IF(OR(I68="grassland",K68="grassland"),"grass",IF(OR(I68="flooded rice",K68="flooded rice"),"rice",IF(AND(OR(I68="degraded land",I68="other land (non-vegetated)",I68="annual fallow"),OR(K68="degraded land",K68="other land (non-vegetated)",K68="annual fallow")),"","agroforest")))))))</f>
        <v/>
      </c>
      <c r="F68" s="1781" t="n"/>
      <c r="G68" s="2133" t="inlineStr">
        <is>
          <t>NO</t>
        </is>
      </c>
      <c r="H68" s="1781" t="n"/>
      <c r="I68" s="2135" t="inlineStr">
        <is>
          <t>Please select</t>
        </is>
      </c>
      <c r="J68" s="1781" t="n"/>
      <c r="K68" s="2135" t="inlineStr">
        <is>
          <t>Please select</t>
        </is>
      </c>
      <c r="L68" s="1848">
        <f>luc!$G16</f>
        <v/>
      </c>
      <c r="M68" s="4483">
        <f>IF((OR(AND(K68=I68, K68&lt;&gt;"Please select"), AND(OR(K68="Agroforestry - default", K68="Alley cropping", K68="Hedgerow", K68="Multistrata", K68="Oil palm", K68="Parkland", K68="Perennial fallow", K68="Rubber", K68="Shaded Perennial", K68="Silvoarable", K68="Silvopasture", K68="Tea"), OR(I68="Agroforestry - default", I68="Alley cropping", I68="Hedgerow", I68="Multistrata", I68="Oil palm", I68="Parkland", I68="Perennial fallow", I68="Rubber", I68="Shaded Perennial", I68="Silvoarable", I68="Silvopasture", I68="Tea")))), list!$B$277, "")</f>
        <v/>
      </c>
      <c r="N68" s="2132" t="n">
        <v>0</v>
      </c>
      <c r="O68" s="2108" t="inlineStr">
        <is>
          <t>D</t>
        </is>
      </c>
      <c r="P68" s="2132" t="n">
        <v>0</v>
      </c>
      <c r="Q68" s="2108" t="inlineStr">
        <is>
          <t>D</t>
        </is>
      </c>
      <c r="R68" s="1781" t="n"/>
      <c r="S68" s="1781" t="n"/>
      <c r="T68" s="1781" t="n"/>
      <c r="U68" s="1806" t="n"/>
      <c r="V68" s="1815">
        <f>luc!$M48</f>
        <v/>
      </c>
      <c r="W68" s="1841">
        <f>luc!$N48</f>
        <v/>
      </c>
      <c r="X68" s="2018" t="n"/>
      <c r="Y68" s="1816">
        <f>luc!O48</f>
        <v/>
      </c>
      <c r="AR68" s="2026">
        <f>IF($C68 &lt;&gt; "", C68, "")</f>
        <v/>
      </c>
      <c r="AS68" s="2026">
        <f>$I68</f>
        <v/>
      </c>
      <c r="AT68" s="1782" t="n"/>
      <c r="AU68" s="1782" t="n"/>
      <c r="AV68" s="2034">
        <f>luc!H16</f>
        <v/>
      </c>
      <c r="AW68" s="4670" t="n"/>
      <c r="AX68" s="2026" t="n"/>
      <c r="AY68" s="2034">
        <f>luc!L16</f>
        <v/>
      </c>
      <c r="AZ68" s="4670" t="n"/>
      <c r="BA68" s="1782" t="n"/>
      <c r="BB68" s="2026">
        <f>$K68</f>
        <v/>
      </c>
      <c r="BC68" s="2026" t="n"/>
      <c r="BD68" s="4671">
        <f>luc!J16</f>
        <v/>
      </c>
      <c r="BE68" s="4670" t="n"/>
      <c r="BF68" s="2026" t="n"/>
      <c r="BG68" s="4671">
        <f>luc!N16</f>
        <v/>
      </c>
      <c r="BH68" s="4670" t="n"/>
      <c r="BI68" s="1782" t="n"/>
      <c r="BJ68" s="2033" t="n"/>
      <c r="BK68" s="4401" t="n">
        <v>1</v>
      </c>
      <c r="BL68" s="4402" t="n"/>
      <c r="BM68" s="2001" t="n"/>
      <c r="CX68" s="1916" t="n"/>
    </row>
    <row r="69" ht="15" customHeight="1">
      <c r="B69" s="1781" t="n"/>
      <c r="C69" s="4126" t="n"/>
      <c r="D69" s="1781" t="n"/>
      <c r="E69" s="4454">
        <f>IF(OR(I69="please select",K69="please select"),"",IF(AND(OR(I69="annual cropland",I69="flooded rice",AND(I69&lt;&gt;"grassland",I69&lt;&gt;"degraded land",I69&lt;&gt;"other land (non-vegetated)",I69&lt;&gt;"annual fallow")),OR(K69="annual cropland",K69="flooded rice",AND(K69&lt;&gt;"grassland",K69&lt;&gt;"degraded land",K69&lt;&gt;"other land (non-vegetated)",K69&lt;&gt;"annual fallow"))),"allcrops",IF(AND(OR(I69="annual cropland",I69="flooded rice",AND(I69&lt;&gt;"grassland",I69&lt;&gt;"degraded land",I69&lt;&gt;"other land (non-vegetated)",I69&lt;&gt;"annual fallow"),I69="grassland"),OR(K69="annual cropland",K69="flooded rice",AND(K69&lt;&gt;"grassland",K69&lt;&gt;"degraded land",K69&lt;&gt;"other land (non-vegetated)",K69&lt;&gt;"annual fallow"),K69="grassland")),"cropsgrass", IF(OR(I69="annual cropland",K69="annual cropland"),"crop",IF(OR(I69="grassland",K69="grassland"),"grass",IF(OR(I69="flooded rice",K69="flooded rice"),"rice",IF(AND(OR(I69="degraded land",I69="other land (non-vegetated)",I69="annual fallow"),OR(K69="degraded land",K69="other land (non-vegetated)",K69="annual fallow")),"","agroforest")))))))</f>
        <v/>
      </c>
      <c r="F69" s="1781" t="n"/>
      <c r="G69" s="2133" t="inlineStr">
        <is>
          <t>NO</t>
        </is>
      </c>
      <c r="H69" s="1781" t="n"/>
      <c r="I69" s="2135" t="inlineStr">
        <is>
          <t>Please select</t>
        </is>
      </c>
      <c r="J69" s="1781" t="n"/>
      <c r="K69" s="2135" t="inlineStr">
        <is>
          <t>Please select</t>
        </is>
      </c>
      <c r="L69" s="1848">
        <f>luc!$G17</f>
        <v/>
      </c>
      <c r="M69" s="4483">
        <f>IF((OR(AND(K69=I69, K69&lt;&gt;"Please select"), AND(OR(K69="Agroforestry - default", K69="Alley cropping", K69="Hedgerow", K69="Multistrata", K69="Oil palm", K69="Parkland", K69="Perennial fallow", K69="Rubber", K69="Shaded Perennial", K69="Silvoarable", K69="Silvopasture", K69="Tea"), OR(I69="Agroforestry - default", I69="Alley cropping", I69="Hedgerow", I69="Multistrata", I69="Oil palm", I69="Parkland", I69="Perennial fallow", I69="Rubber", I69="Shaded Perennial", I69="Silvoarable", I69="Silvopasture", I69="Tea")))), list!$B$277, "")</f>
        <v/>
      </c>
      <c r="N69" s="2132" t="n">
        <v>0</v>
      </c>
      <c r="O69" s="2108" t="inlineStr">
        <is>
          <t>D</t>
        </is>
      </c>
      <c r="P69" s="2132" t="n">
        <v>0</v>
      </c>
      <c r="Q69" s="2108" t="inlineStr">
        <is>
          <t>D</t>
        </is>
      </c>
      <c r="R69" s="1781" t="n"/>
      <c r="S69" s="1781" t="n"/>
      <c r="T69" s="1781" t="n"/>
      <c r="U69" s="1806" t="n"/>
      <c r="V69" s="1815">
        <f>luc!$M49</f>
        <v/>
      </c>
      <c r="W69" s="1841">
        <f>luc!$N49</f>
        <v/>
      </c>
      <c r="X69" s="2018" t="n"/>
      <c r="Y69" s="1816">
        <f>luc!O49</f>
        <v/>
      </c>
      <c r="AR69" s="2026">
        <f>IF($C69 &lt;&gt; "", C69, "")</f>
        <v/>
      </c>
      <c r="AS69" s="2026">
        <f>$I69</f>
        <v/>
      </c>
      <c r="AT69" s="1782" t="n"/>
      <c r="AU69" s="1782" t="n"/>
      <c r="AV69" s="2034">
        <f>luc!H17</f>
        <v/>
      </c>
      <c r="AW69" s="4670" t="n"/>
      <c r="AX69" s="2026" t="n"/>
      <c r="AY69" s="2034">
        <f>luc!L17</f>
        <v/>
      </c>
      <c r="AZ69" s="4670" t="n"/>
      <c r="BA69" s="1782" t="n"/>
      <c r="BB69" s="2026">
        <f>$K69</f>
        <v/>
      </c>
      <c r="BC69" s="2026" t="n"/>
      <c r="BD69" s="4671">
        <f>luc!J17</f>
        <v/>
      </c>
      <c r="BE69" s="4670" t="n"/>
      <c r="BF69" s="2026" t="n"/>
      <c r="BG69" s="4671">
        <f>luc!N17</f>
        <v/>
      </c>
      <c r="BH69" s="4670" t="n"/>
      <c r="BI69" s="1782" t="n"/>
      <c r="BJ69" s="2033" t="n"/>
      <c r="BK69" s="4401" t="n">
        <v>1</v>
      </c>
      <c r="BL69" s="4402" t="n"/>
      <c r="BM69" s="2001" t="n"/>
      <c r="CX69" s="1916" t="n"/>
    </row>
    <row r="70" ht="15" customHeight="1">
      <c r="B70" s="1781" t="n"/>
      <c r="C70" s="4127" t="n"/>
      <c r="D70" s="1781" t="n"/>
      <c r="E70" s="4454">
        <f>IF(OR(I70="please select",K70="please select"),"",IF(AND(OR(I70="annual cropland",I70="flooded rice",AND(I70&lt;&gt;"grassland",I70&lt;&gt;"degraded land",I70&lt;&gt;"other land (non-vegetated)",I70&lt;&gt;"annual fallow")),OR(K70="annual cropland",K70="flooded rice",AND(K70&lt;&gt;"grassland",K70&lt;&gt;"degraded land",K70&lt;&gt;"other land (non-vegetated)",K70&lt;&gt;"annual fallow"))),"allcrops",IF(AND(OR(I70="annual cropland",I70="flooded rice",AND(I70&lt;&gt;"grassland",I70&lt;&gt;"degraded land",I70&lt;&gt;"other land (non-vegetated)",I70&lt;&gt;"annual fallow"),I70="grassland"),OR(K70="annual cropland",K70="flooded rice",AND(K70&lt;&gt;"grassland",K70&lt;&gt;"degraded land",K70&lt;&gt;"other land (non-vegetated)",K70&lt;&gt;"annual fallow"),K70="grassland")),"cropsgrass", IF(OR(I70="annual cropland",K70="annual cropland"),"crop",IF(OR(I70="grassland",K70="grassland"),"grass",IF(OR(I70="flooded rice",K70="flooded rice"),"rice",IF(AND(OR(I70="degraded land",I70="other land (non-vegetated)",I70="annual fallow"),OR(K70="degraded land",K70="other land (non-vegetated)",K70="annual fallow")),"","agroforest")))))))</f>
        <v/>
      </c>
      <c r="F70" s="1781" t="n"/>
      <c r="G70" s="2133" t="inlineStr">
        <is>
          <t>NO</t>
        </is>
      </c>
      <c r="H70" s="1781" t="n"/>
      <c r="I70" s="2135" t="inlineStr">
        <is>
          <t>Please select</t>
        </is>
      </c>
      <c r="J70" s="1781" t="n"/>
      <c r="K70" s="2135" t="inlineStr">
        <is>
          <t>Please select</t>
        </is>
      </c>
      <c r="L70" s="1848">
        <f>luc!$G18</f>
        <v/>
      </c>
      <c r="M70" s="4483">
        <f>IF((OR(AND(K70=I70, K70&lt;&gt;"Please select"), AND(OR(K70="Agroforestry - default", K70="Alley cropping", K70="Hedgerow", K70="Multistrata", K70="Oil palm", K70="Parkland", K70="Perennial fallow", K70="Rubber", K70="Shaded Perennial", K70="Silvoarable", K70="Silvopasture", K70="Tea"), OR(I70="Agroforestry - default", I70="Alley cropping", I70="Hedgerow", I70="Multistrata", I70="Oil palm", I70="Parkland", I70="Perennial fallow", I70="Rubber", I70="Shaded Perennial", I70="Silvoarable", I70="Silvopasture", I70="Tea")))), list!$B$277, "")</f>
        <v/>
      </c>
      <c r="N70" s="2132" t="n">
        <v>0</v>
      </c>
      <c r="O70" s="2108" t="inlineStr">
        <is>
          <t>D</t>
        </is>
      </c>
      <c r="P70" s="2132" t="n">
        <v>0</v>
      </c>
      <c r="Q70" s="2108" t="inlineStr">
        <is>
          <t>D</t>
        </is>
      </c>
      <c r="R70" s="1781" t="n"/>
      <c r="S70" s="1781" t="n"/>
      <c r="T70" s="1781" t="n"/>
      <c r="U70" s="1806" t="n"/>
      <c r="V70" s="1815">
        <f>luc!$M50</f>
        <v/>
      </c>
      <c r="W70" s="1841">
        <f>luc!$N50</f>
        <v/>
      </c>
      <c r="X70" s="2018" t="n"/>
      <c r="Y70" s="1816">
        <f>luc!O50</f>
        <v/>
      </c>
      <c r="AR70" s="2026">
        <f>IF($C70 &lt;&gt; "", C70, "")</f>
        <v/>
      </c>
      <c r="AS70" s="2026">
        <f>$I70</f>
        <v/>
      </c>
      <c r="AT70" s="1782" t="n"/>
      <c r="AU70" s="1782" t="n"/>
      <c r="AV70" s="2034">
        <f>luc!H18</f>
        <v/>
      </c>
      <c r="AW70" s="4670" t="n"/>
      <c r="AX70" s="2026" t="n"/>
      <c r="AY70" s="2034">
        <f>luc!L18</f>
        <v/>
      </c>
      <c r="AZ70" s="4670" t="n"/>
      <c r="BA70" s="1782" t="n"/>
      <c r="BB70" s="2026">
        <f>$K70</f>
        <v/>
      </c>
      <c r="BC70" s="2026" t="n"/>
      <c r="BD70" s="4671">
        <f>luc!J18</f>
        <v/>
      </c>
      <c r="BE70" s="4670" t="n"/>
      <c r="BF70" s="2026" t="n"/>
      <c r="BG70" s="4671">
        <f>luc!N18</f>
        <v/>
      </c>
      <c r="BH70" s="4670" t="n"/>
      <c r="BI70" s="1782" t="n"/>
      <c r="BJ70" s="2033" t="n"/>
      <c r="BK70" s="4401" t="n">
        <v>1</v>
      </c>
      <c r="BL70" s="4402" t="n"/>
      <c r="BM70" s="2001" t="n"/>
      <c r="CX70" s="1916" t="n"/>
    </row>
    <row r="71" ht="15" customHeight="1">
      <c r="B71" s="1781" t="n"/>
      <c r="C71" s="1781" t="n"/>
      <c r="D71" s="1781" t="n"/>
      <c r="E71" s="1781" t="n"/>
      <c r="F71" s="1781" t="n"/>
      <c r="G71" s="1781" t="n"/>
      <c r="H71" s="1781" t="n"/>
      <c r="I71" s="2036" t="n"/>
      <c r="J71" s="1781" t="n"/>
      <c r="K71" s="1781" t="n"/>
      <c r="L71" s="1781" t="n"/>
      <c r="M71" s="1781" t="n"/>
      <c r="N71" s="1781" t="n"/>
      <c r="O71" s="1781" t="n"/>
      <c r="P71" s="1781" t="n"/>
      <c r="Q71" s="1781" t="n"/>
      <c r="R71" s="1781" t="n"/>
      <c r="S71" s="1781" t="n"/>
      <c r="T71" s="1781" t="n"/>
      <c r="U71" s="1806" t="n"/>
      <c r="V71" s="1806" t="n"/>
      <c r="W71" s="1806" t="n"/>
      <c r="X71" s="1781" t="n"/>
      <c r="Y71" s="1806" t="n"/>
      <c r="AR71" s="1782" t="n"/>
      <c r="AS71" s="1782" t="n"/>
      <c r="AT71" s="1782" t="n"/>
      <c r="AU71" s="1782" t="n"/>
      <c r="AV71" s="1782" t="n"/>
      <c r="AW71" s="1782" t="n"/>
      <c r="AX71" s="1782" t="n"/>
      <c r="AY71" s="1782" t="n"/>
      <c r="AZ71" s="1782" t="n"/>
      <c r="BA71" s="1782" t="n"/>
      <c r="BB71" s="1782" t="n"/>
      <c r="BC71" s="1782" t="n"/>
      <c r="BD71" s="1782" t="n"/>
      <c r="BE71" s="1782" t="n"/>
      <c r="BF71" s="1782" t="n"/>
      <c r="BG71" s="1782" t="n"/>
      <c r="BH71" s="1782" t="n"/>
      <c r="BI71" s="1782" t="n"/>
      <c r="BJ71" s="2033" t="n"/>
      <c r="BK71" s="2001" t="n"/>
      <c r="BL71" s="4667" t="n"/>
      <c r="BM71" s="2001" t="n"/>
      <c r="CX71" s="1916" t="n"/>
    </row>
    <row r="72" ht="16" customHeight="1">
      <c r="B72" s="1781" t="n"/>
      <c r="C72" s="1781" t="n"/>
      <c r="D72" s="1781" t="n"/>
      <c r="E72" s="1781" t="n"/>
      <c r="F72" s="1781" t="n"/>
      <c r="G72" s="1781" t="n"/>
      <c r="H72" s="1781" t="n"/>
      <c r="I72" s="2037" t="n"/>
      <c r="J72" s="1781" t="n"/>
      <c r="K72" s="1781" t="n"/>
      <c r="L72" s="1781" t="n"/>
      <c r="M72" s="1781" t="n"/>
      <c r="N72" s="1781" t="n"/>
      <c r="O72" s="1781" t="n"/>
      <c r="P72" s="1781" t="n"/>
      <c r="Q72" s="1781" t="n"/>
      <c r="R72" s="1781" t="n"/>
      <c r="S72" s="1781" t="n"/>
      <c r="T72" s="1781" t="n"/>
      <c r="U72" s="1806" t="n"/>
      <c r="V72" s="1806" t="n"/>
      <c r="W72" s="1780" t="n"/>
      <c r="X72" s="1826" t="n"/>
      <c r="Y72" s="1780" t="n"/>
      <c r="AR72" s="1782" t="n"/>
      <c r="AS72" s="1782" t="n"/>
      <c r="AT72" s="1782" t="n"/>
      <c r="AU72" s="1782" t="n"/>
      <c r="AV72" s="1782" t="n"/>
      <c r="AW72" s="1782" t="n"/>
      <c r="AX72" s="1782" t="n"/>
      <c r="AY72" s="1782" t="n"/>
      <c r="AZ72" s="1782" t="n"/>
      <c r="BA72" s="1782" t="n"/>
      <c r="BB72" s="1782" t="n"/>
      <c r="BC72" s="1782" t="n"/>
      <c r="BD72" s="1782" t="n"/>
      <c r="BE72" s="1782" t="n"/>
      <c r="BF72" s="1782" t="n"/>
      <c r="BG72" s="1782" t="n"/>
      <c r="BH72" s="1782" t="n"/>
      <c r="BI72" s="1782" t="n"/>
      <c r="BJ72" s="2033" t="n"/>
      <c r="BK72" s="2000" t="n"/>
      <c r="BL72" s="4669" t="n"/>
      <c r="BM72" s="2001" t="n"/>
    </row>
    <row r="73" ht="15" customHeight="1">
      <c r="B73" s="1826" t="n"/>
      <c r="C73" s="1781" t="n"/>
      <c r="D73" s="1781" t="n"/>
      <c r="E73" s="1781" t="n"/>
      <c r="F73" s="1781" t="n"/>
      <c r="G73" s="1781" t="n"/>
      <c r="H73" s="1781" t="n"/>
      <c r="I73" s="4459">
        <f>IF(AND(OR(COUNTIF(E61:E70,"*allcrops*"),COUNTIF(E61:E70,"*agroforest*"), COUNTIF(E61:E70,"*rice*"), COUNTIF(E61:E70,"*crop*")), COUNTIF(E61:E70,"*grass*")),"Please go to the Cropland and Grassland modules to complete the assessment",IF((COUNTIF(E61:E70,"*allcrops*") + COUNTIF(E61:E70,"*crop*") + COUNTIF(E61:E70,"*agroforest*") + COUNTIF(E61:E70,"*rice*"))&gt;1, "Please go to the Cropland module to complete the assessment",IF(COUNTIF(E61:E70,"*crop*"),"Please go to section 3.1.1 in the Cropland Module to complete the assessment",IF(COUNTIF(E61:E70,"*Agroforest*"),"Please go to section 3.2.1 in the Cropland Module to complete the assessment",IF(COUNTIF(E61:E70,"*rice*"),"Please go to section 3.3.1 in the Cropland Module to complete the assessment",IF(COUNTIF(E61:E70,"*grass*"),"Please go to section 4.1.1 in the Grassland and livestock Module to complete the assessment",""))))))</f>
        <v/>
      </c>
      <c r="J73" s="1781" t="n"/>
      <c r="K73" s="1781" t="n"/>
      <c r="L73" s="1781" t="n"/>
      <c r="M73" s="1781" t="n"/>
      <c r="N73" s="1853" t="n"/>
      <c r="O73" s="1853" t="n"/>
      <c r="P73" s="1853" t="n"/>
      <c r="Q73" s="1853" t="n"/>
      <c r="R73" s="1853" t="n"/>
      <c r="S73" s="1853" t="n"/>
      <c r="T73" s="2019">
        <f>Languages!B81</f>
        <v/>
      </c>
      <c r="U73" s="2038" t="n"/>
      <c r="V73" s="2039">
        <f>luc!M52</f>
        <v/>
      </c>
      <c r="W73" s="2039">
        <f>luc!N52</f>
        <v/>
      </c>
      <c r="X73" s="2009" t="n"/>
      <c r="Y73" s="2040">
        <f>luc!O52</f>
        <v/>
      </c>
      <c r="AR73" s="2026" t="n"/>
      <c r="AS73" s="2026" t="n"/>
      <c r="AT73" s="2026" t="n"/>
      <c r="AU73" s="2026" t="n"/>
      <c r="AV73" s="2026" t="n"/>
      <c r="AW73" s="2026" t="n"/>
      <c r="AX73" s="2026" t="n"/>
      <c r="AY73" s="2026" t="n"/>
      <c r="AZ73" s="2026" t="n"/>
      <c r="BA73" s="2026" t="n"/>
      <c r="BB73" s="2026" t="n"/>
      <c r="BC73" s="2026" t="n"/>
      <c r="BD73" s="2026" t="n"/>
      <c r="BE73" s="2026" t="n"/>
      <c r="BF73" s="2026" t="n"/>
      <c r="BG73" s="2026" t="n"/>
      <c r="BH73" s="2026" t="n"/>
      <c r="BI73" s="2026" t="n"/>
      <c r="BJ73" s="2033" t="n"/>
      <c r="BK73" s="4548" t="inlineStr">
        <is>
          <t>Use this part only if you want to refine yearly GHG fluxes</t>
        </is>
      </c>
    </row>
    <row r="74">
      <c r="B74" s="1820" t="n"/>
      <c r="C74" s="1781" t="n"/>
      <c r="D74" s="1781" t="n"/>
      <c r="E74" s="1781" t="n"/>
      <c r="F74" s="1781" t="n"/>
      <c r="G74" s="1781" t="n"/>
      <c r="H74" s="1781" t="n"/>
      <c r="I74" s="1781" t="n"/>
      <c r="J74" s="1781" t="n"/>
      <c r="K74" s="1781" t="n"/>
      <c r="L74" s="1781" t="n"/>
      <c r="M74" s="1781" t="n"/>
      <c r="N74" s="1781" t="n"/>
      <c r="O74" s="1781" t="n"/>
      <c r="P74" s="1781" t="n"/>
      <c r="Q74" s="1781" t="n"/>
      <c r="R74" s="1781" t="n"/>
      <c r="S74" s="1781" t="n"/>
      <c r="T74" s="1781" t="n"/>
      <c r="U74" s="1781" t="n"/>
      <c r="V74" s="1781" t="n"/>
      <c r="W74" s="1781" t="n"/>
      <c r="X74" s="1781" t="n"/>
      <c r="Y74" s="1781" t="n"/>
      <c r="AR74" s="1782" t="n"/>
      <c r="AS74" s="1782" t="n"/>
      <c r="AT74" s="1782" t="n"/>
      <c r="AU74" s="1782" t="n"/>
      <c r="AV74" s="1782" t="n"/>
      <c r="AW74" s="1782" t="n"/>
      <c r="AX74" s="1782" t="n"/>
      <c r="AY74" s="1782" t="n"/>
      <c r="AZ74" s="1782" t="n"/>
      <c r="BA74" s="1782" t="n"/>
      <c r="BB74" s="1782" t="n"/>
      <c r="BC74" s="1782" t="n"/>
      <c r="BD74" s="1782" t="n"/>
      <c r="BE74" s="1782" t="n"/>
      <c r="BF74" s="1782" t="n"/>
      <c r="BG74" s="1782" t="n"/>
      <c r="BH74" s="1782" t="n"/>
      <c r="BI74" s="1782" t="n"/>
    </row>
    <row r="75">
      <c r="B75" s="2041">
        <f>Languages!B23</f>
        <v/>
      </c>
      <c r="C75" s="1806" t="n"/>
      <c r="D75" s="1806" t="n"/>
      <c r="E75" s="1806" t="n"/>
      <c r="F75" s="1806" t="n"/>
      <c r="G75" s="1806" t="n"/>
      <c r="H75" s="1806" t="n"/>
      <c r="I75" s="1806" t="n"/>
      <c r="J75" s="1806" t="n"/>
      <c r="K75" s="1806" t="n"/>
      <c r="L75" s="1806" t="n"/>
      <c r="M75" s="1806" t="n"/>
      <c r="N75" s="1806" t="n"/>
      <c r="O75" s="1806" t="n"/>
      <c r="P75" s="1806" t="n"/>
      <c r="Q75" s="1806" t="n"/>
      <c r="R75" s="1806" t="n"/>
      <c r="S75" s="1806" t="n"/>
      <c r="T75" s="1806" t="n"/>
      <c r="U75" s="1806" t="n"/>
      <c r="V75" s="1806" t="n"/>
      <c r="W75" s="1806" t="n"/>
      <c r="X75" s="1806" t="n"/>
      <c r="Y75" s="1806" t="n"/>
      <c r="AR75" s="1782" t="n"/>
      <c r="AS75" s="1782" t="n"/>
      <c r="AT75" s="1782" t="n"/>
      <c r="AU75" s="1782" t="n"/>
      <c r="AV75" s="1782" t="n"/>
      <c r="AW75" s="1782" t="n"/>
      <c r="AX75" s="1782" t="n"/>
      <c r="AY75" s="1782" t="n"/>
      <c r="AZ75" s="1782" t="n"/>
      <c r="BA75" s="1782" t="n"/>
      <c r="BB75" s="1782" t="n"/>
      <c r="BC75" s="1782" t="n"/>
      <c r="BD75" s="1782" t="n"/>
      <c r="BE75" s="1782" t="n"/>
      <c r="BF75" s="1782" t="n"/>
      <c r="BG75" s="1782" t="n"/>
      <c r="BH75" s="1782" t="n"/>
      <c r="BI75" s="1782" t="n"/>
    </row>
    <row r="76">
      <c r="C76" s="1898" t="n"/>
      <c r="D76" s="1898" t="n"/>
      <c r="E76" s="1898" t="n"/>
      <c r="F76" s="1898" t="n"/>
      <c r="G76" s="1898" t="n"/>
      <c r="H76" s="1898" t="n"/>
      <c r="I76" s="1898" t="n"/>
      <c r="J76" s="1898" t="n"/>
      <c r="K76" s="1898" t="n"/>
      <c r="L76" s="1898" t="n"/>
      <c r="M76" s="1898" t="n"/>
      <c r="N76" s="1898" t="n"/>
      <c r="O76" s="1898" t="n"/>
      <c r="P76" s="1898" t="n"/>
      <c r="Q76" s="1898" t="n"/>
      <c r="R76" s="1898" t="n"/>
      <c r="S76" s="1898" t="n"/>
      <c r="T76" s="1898" t="n"/>
      <c r="U76" s="1898" t="n"/>
      <c r="V76" s="1898" t="n"/>
      <c r="W76" s="1898" t="n"/>
      <c r="X76" s="1898" t="n"/>
      <c r="Y76" s="1898" t="n"/>
    </row>
    <row r="81">
      <c r="Z81" s="1840" t="n"/>
    </row>
  </sheetData>
  <sheetProtection selectLockedCells="0" selectUnlockedCells="0" algorithmName="SHA-512" sheet="1" objects="0" insertRows="1" insertHyperlinks="1" autoFilter="1" scenarios="0" formatColumns="0" deleteColumns="1" insertColumns="1" pivotTables="1" deleteRows="1" formatCells="1" saltValue="SW/SpZNyAa+S2wVpeoKW4g==" formatRows="1" sort="1" spinCount="100000" hashValue="snhiXuhUcR3AGAXiH0LiaFg9QTp9eVvsyWiFa4sD1P2sLQQkLoqTspYjTw8J6I/vgp400paYKNY7TOusQwNrhw=="/>
  <mergeCells count="3">
    <mergeCell ref="BK73:BM75"/>
    <mergeCell ref="BZ47:CB49"/>
    <mergeCell ref="BT21:BV23"/>
  </mergeCells>
  <conditionalFormatting sqref="M61:M70">
    <cfRule type="cellIs" priority="1" operator="notEqual" dxfId="317">
      <formula>""""""</formula>
    </cfRule>
  </conditionalFormatting>
  <dataValidations count="4">
    <dataValidation sqref="M11:M18 N36:N43 N61:N70 P36:P43 P61:P70 AT11:AT18 AW11:AW19 AW61:AW70 AZ11:AZ19 AZ61:AZ70 BC11:BC19 BC36:BC43 BE61:BE70 BF11:BF19 BF36:BF43 BH61:BH70 BI19 BI36:BI43" showDropDown="0" showInputMessage="1" showErrorMessage="1" allowBlank="0" type="decimal" operator="greaterThanOrEqual">
      <formula1>0</formula1>
    </dataValidation>
    <dataValidation sqref="BN36:BN43 BQ36:BQ43 BT36:BT43 BW36:BW43" showDropDown="0" showInputMessage="1" showErrorMessage="1" allowBlank="0" type="decimal" operator="greaterThan">
      <formula1>0</formula1>
    </dataValidation>
    <dataValidation sqref="BK36:BK43" showDropDown="0" showInputMessage="1" showErrorMessage="1" allowBlank="0" type="decimal" operator="lessThanOrEqual">
      <formula1>0</formula1>
    </dataValidation>
    <dataValidation sqref="N11:N18 P11:P18" showDropDown="0" showInputMessage="0" showErrorMessage="1" allowBlank="0" error="Please fill the Start situation first." type="decimal">
      <formula1>0</formula1>
      <formula2>$M11</formula2>
    </dataValidation>
  </dataValidations>
  <pageMargins left="0.7" right="0.7" top="0.75" bottom="0.75" header="0.3" footer="0.3"/>
  <pageSetup orientation="portrait" paperSize="9" horizontalDpi="300" verticalDpi="300"/>
</worksheet>
</file>

<file path=xl/worksheets/sheet7.xml><?xml version="1.0" encoding="utf-8"?>
<worksheet xmlns="http://schemas.openxmlformats.org/spreadsheetml/2006/main">
  <sheetPr codeName="Sheet7">
    <tabColor rgb="FF172735"/>
    <outlinePr summaryBelow="1" summaryRight="1"/>
    <pageSetUpPr/>
  </sheetPr>
  <dimension ref="B6:DO641"/>
  <sheetViews>
    <sheetView showGridLines="0" zoomScale="85" zoomScaleNormal="85" workbookViewId="0">
      <pane ySplit="1" topLeftCell="A6" activePane="bottomLeft" state="frozen"/>
      <selection pane="bottomLeft" activeCell="E15" sqref="E15"/>
    </sheetView>
  </sheetViews>
  <sheetFormatPr baseColWidth="10" defaultColWidth="9.33203125" defaultRowHeight="15" customHeight="1"/>
  <cols>
    <col width="7" customWidth="1" style="1771" min="1" max="1"/>
    <col width="3" customWidth="1" style="1771" min="2" max="2"/>
    <col width="43.6640625" customWidth="1" style="1771" min="3" max="3"/>
    <col width="0.6640625" customWidth="1" style="1771" min="4" max="4"/>
    <col width="20" customWidth="1" style="1771" min="5" max="5"/>
    <col width="0.6640625" customWidth="1" style="1771" min="6" max="6"/>
    <col width="38.6640625" customWidth="1" style="1863" min="7" max="7"/>
    <col width="0.5" customWidth="1" style="1771" min="8" max="8"/>
    <col width="38.33203125" customWidth="1" style="1771" min="9" max="9"/>
    <col width="0.6640625" customWidth="1" style="1771" min="10" max="10"/>
    <col width="22.6640625" customWidth="1" style="1864" min="11" max="11"/>
    <col width="0.6640625" customWidth="1" style="1771" min="12" max="12"/>
    <col width="8.6640625" customWidth="1" style="1771" min="13" max="13"/>
    <col width="2.5" customWidth="1" style="1771" min="14" max="14"/>
    <col width="0.6640625" customWidth="1" style="1771" min="15" max="15"/>
    <col width="2.5" customWidth="1" style="1771" min="16" max="16"/>
    <col width="10.5" customWidth="1" style="1771" min="17" max="17"/>
    <col width="10.33203125" customWidth="1" style="1771" min="18" max="18"/>
    <col width="2.6640625" customWidth="1" style="1771" min="19" max="19"/>
    <col width="9.5" customWidth="1" style="1771" min="20" max="20"/>
    <col width="2.6640625" customWidth="1" style="1771" min="21" max="21"/>
    <col width="5.5" customWidth="1" style="1771" min="22" max="22"/>
    <col width="12.5" customWidth="1" style="1771" min="23" max="23"/>
    <col width="13.5" customWidth="1" style="1771" min="24" max="24"/>
    <col width="2.5" customWidth="1" style="1771" min="25" max="25"/>
    <col width="24.5" customWidth="1" style="1771" min="26" max="26"/>
    <col width="10.5" customWidth="1" style="1771" min="27" max="36"/>
    <col width="15.5" customWidth="1" style="1771" min="37" max="40"/>
    <col width="9.33203125" customWidth="1" style="1771" min="41" max="41"/>
    <col width="48.5" bestFit="1" customWidth="1" style="1771" min="42" max="42"/>
    <col width="9.33203125" customWidth="1" style="1771" min="43" max="44"/>
    <col width="12" customWidth="1" style="1771" min="45" max="45"/>
    <col width="9.6640625" customWidth="1" style="1771" min="46" max="46"/>
    <col width="9.33203125" customWidth="1" style="1771" min="47" max="47"/>
    <col width="10.5" customWidth="1" style="1772" min="48" max="48"/>
    <col width="9.33203125" customWidth="1" style="1771" min="49" max="49"/>
    <col width="10.5" customWidth="1" style="1771" min="50" max="50"/>
    <col width="9.33203125" customWidth="1" style="1771" min="51" max="51"/>
    <col width="10.5" customWidth="1" style="1771" min="52" max="52"/>
    <col width="9.33203125" customWidth="1" style="1771" min="53" max="56"/>
    <col width="9.33203125" customWidth="1" style="1771" min="57" max="57"/>
    <col width="10" bestFit="1" customWidth="1" style="1771" min="58" max="58"/>
    <col width="9.33203125" customWidth="1" style="1771" min="59" max="59"/>
    <col width="11.6640625" customWidth="1" style="1771" min="60" max="60"/>
    <col width="9.33203125" customWidth="1" style="1771" min="61" max="61"/>
    <col width="15.6640625" customWidth="1" style="1771" min="62" max="62"/>
    <col width="9.33203125" customWidth="1" style="1771" min="63" max="63"/>
    <col width="9.33203125" customWidth="1" style="1771" min="64" max="64"/>
    <col width="9.33203125" customWidth="1" style="1771" min="65" max="70"/>
    <col width="1.5" customWidth="1" style="1771" min="71" max="71"/>
    <col width="9.33203125" customWidth="1" style="1771" min="72" max="72"/>
    <col width="4.33203125" customWidth="1" style="1771" min="73" max="73"/>
    <col width="6.5" customWidth="1" style="1771" min="74" max="74"/>
    <col width="9.33203125" customWidth="1" style="1771" min="75" max="75"/>
    <col width="24.33203125" customWidth="1" style="1771" min="76" max="76"/>
    <col width="9.33203125" customWidth="1" style="1771" min="77" max="78"/>
    <col width="6.33203125" customWidth="1" style="1771" min="79" max="79"/>
    <col width="9.33203125" customWidth="1" style="1771" min="80" max="81"/>
    <col width="4" customWidth="1" style="1771" min="82" max="82"/>
    <col width="9.33203125" customWidth="1" style="1771" min="83" max="84"/>
    <col width="4.5" customWidth="1" style="1771" min="85" max="85"/>
    <col width="10" customWidth="1" style="1771" min="86" max="86"/>
    <col width="9.33203125" customWidth="1" style="1771" min="87" max="87"/>
    <col width="5.33203125" customWidth="1" style="1771" min="88" max="88"/>
    <col width="9.33203125" customWidth="1" style="1771" min="89" max="91"/>
    <col width="8.5" customWidth="1" style="1771" min="92" max="92"/>
    <col width="3.5" customWidth="1" style="1771" min="93" max="93"/>
    <col width="9.33203125" customWidth="1" style="1771" min="94" max="99"/>
    <col width="9.5" customWidth="1" style="1771" min="100" max="100"/>
    <col width="9.33203125" customWidth="1" style="1771" min="101" max="101"/>
    <col width="9.33203125" customWidth="1" style="1771" min="102" max="112"/>
    <col width="5.5" customWidth="1" style="1771" min="113" max="113"/>
    <col width="4.33203125" customWidth="1" style="1771" min="114" max="114"/>
    <col width="6.5" customWidth="1" style="1771" min="115" max="115"/>
    <col width="30.5" customWidth="1" style="1771" min="116" max="116"/>
    <col width="9.33203125" customWidth="1" style="1771" min="117" max="118"/>
    <col width="4.5" customWidth="1" style="1771" min="119" max="119"/>
    <col width="9.33203125" customWidth="1" style="1771" min="120" max="121"/>
    <col width="0.6640625" customWidth="1" style="1771" min="122" max="122"/>
    <col width="1.5" customWidth="1" style="1771" min="123" max="123"/>
    <col width="9.33203125" customWidth="1" style="1771" min="124" max="125"/>
    <col width="1.5" customWidth="1" style="1771" min="126" max="126"/>
    <col width="9.33203125" customWidth="1" style="1771" min="127" max="128"/>
    <col width="2.5" customWidth="1" style="1771" min="129" max="129"/>
    <col width="9.33203125" customWidth="1" style="1771" min="130" max="130"/>
    <col width="9.33203125" customWidth="1" style="1771" min="131" max="131"/>
    <col width="1.5" customWidth="1" style="1771" min="132" max="132"/>
    <col width="9.33203125" customWidth="1" style="1771" min="133" max="133"/>
    <col width="9.33203125" customWidth="1" style="1771" min="134" max="134"/>
    <col width="1.5" customWidth="1" style="1771" min="135" max="135"/>
    <col width="9.33203125" customWidth="1" style="1771" min="136" max="137"/>
    <col width="1.6640625" customWidth="1" style="1771" min="138" max="138"/>
    <col width="2" customWidth="1" style="1771" min="139" max="139"/>
    <col width="9.33203125" customWidth="1" style="1771" min="140" max="16384"/>
  </cols>
  <sheetData>
    <row r="1" ht="100.5" customFormat="1" customHeight="1" s="1767"/>
    <row r="6" ht="45" customHeight="1">
      <c r="B6" s="1768" t="n"/>
      <c r="C6" s="1769">
        <f>Languages!B124</f>
        <v/>
      </c>
      <c r="D6" s="1768" t="n"/>
      <c r="E6" s="1768" t="n"/>
      <c r="F6" s="1768" t="n"/>
      <c r="G6" s="1768" t="n"/>
      <c r="H6" s="1768" t="n"/>
      <c r="I6" s="1768" t="n"/>
      <c r="J6" s="1768" t="n"/>
      <c r="K6" s="1767" t="n"/>
      <c r="L6" s="1768" t="n"/>
      <c r="M6" s="1768" t="n"/>
      <c r="N6" s="1768" t="n"/>
      <c r="O6" s="1768" t="n"/>
      <c r="P6" s="1768" t="n"/>
      <c r="Q6" s="1768" t="n"/>
      <c r="R6" s="1768" t="n"/>
      <c r="S6" s="1768" t="n"/>
      <c r="T6" s="1768" t="n"/>
      <c r="U6" s="1768" t="n"/>
      <c r="V6" s="1767" t="n"/>
      <c r="W6" s="1770">
        <f>'2.LUC'!V5</f>
        <v/>
      </c>
      <c r="X6" s="1768" t="n"/>
      <c r="Y6" s="1768" t="n"/>
      <c r="Z6" s="1768" t="n"/>
      <c r="AP6" s="1769">
        <f>C6</f>
        <v/>
      </c>
      <c r="AQ6" s="1769" t="n"/>
      <c r="AR6" s="1769" t="n"/>
      <c r="AS6" s="1769" t="n"/>
      <c r="AT6" s="1769" t="n"/>
      <c r="AU6" s="1769" t="n"/>
      <c r="AV6" s="1769" t="n"/>
      <c r="AW6" s="1769" t="n"/>
      <c r="AX6" s="1769" t="n"/>
      <c r="AY6" s="1769" t="n"/>
      <c r="AZ6" s="1769" t="n"/>
      <c r="BA6" s="1769" t="n"/>
      <c r="BB6" s="1769" t="n"/>
      <c r="BC6" s="1769" t="n"/>
      <c r="BD6" s="1769" t="n"/>
      <c r="BE6" s="1769" t="n"/>
      <c r="BF6" s="1769" t="n"/>
      <c r="BG6" s="1769" t="n"/>
      <c r="BH6" s="1769" t="n"/>
      <c r="BI6" s="1769" t="n"/>
      <c r="BJ6" s="1769" t="n"/>
      <c r="BK6" s="1769" t="n"/>
      <c r="BL6" s="1769" t="n"/>
      <c r="BM6" s="1767" t="n"/>
      <c r="BO6" s="4404" t="inlineStr">
        <is>
          <t>Annual balance</t>
        </is>
      </c>
      <c r="BP6" s="4404" t="n"/>
      <c r="BQ6" s="4404" t="n"/>
    </row>
    <row r="7" ht="5.25" customHeight="1">
      <c r="G7" s="1771" t="n"/>
      <c r="K7" s="1771" t="n"/>
      <c r="BO7" s="1916" t="n"/>
      <c r="BP7" s="1916" t="n"/>
    </row>
    <row r="8" ht="20.25" customHeight="1">
      <c r="B8" s="1773" t="n"/>
      <c r="C8" s="1774">
        <f>Languages!B130</f>
        <v/>
      </c>
      <c r="D8" s="1773" t="n"/>
      <c r="E8" s="1773" t="n"/>
      <c r="F8" s="1773" t="n"/>
      <c r="G8" s="1773" t="n"/>
      <c r="H8" s="1773" t="n"/>
      <c r="I8" s="1773" t="n"/>
      <c r="J8" s="1773" t="n"/>
      <c r="K8" s="1773" t="n"/>
      <c r="L8" s="1773" t="n"/>
      <c r="M8" s="1773" t="n"/>
      <c r="N8" s="1773" t="n"/>
      <c r="O8" s="1773" t="n"/>
      <c r="P8" s="1773" t="n"/>
      <c r="Q8" s="1773" t="n"/>
      <c r="R8" s="1773" t="n"/>
      <c r="S8" s="1773" t="n"/>
      <c r="T8" s="1773" t="n"/>
      <c r="U8" s="1773" t="n"/>
      <c r="V8" s="1773" t="n"/>
      <c r="W8" s="1773" t="n"/>
      <c r="X8" s="1773" t="n"/>
      <c r="Y8" s="1773" t="n"/>
      <c r="Z8" s="1773" t="n"/>
      <c r="AP8" s="1775">
        <f>C8</f>
        <v/>
      </c>
      <c r="AQ8" s="1776" t="n"/>
      <c r="AR8" s="1776" t="n"/>
      <c r="AS8" s="1776" t="n"/>
      <c r="AT8" s="1776" t="n"/>
      <c r="AU8" s="1776" t="n"/>
      <c r="AV8" s="1776" t="n"/>
      <c r="AW8" s="1776" t="n"/>
      <c r="AX8" s="1776" t="n"/>
      <c r="AY8" s="1776" t="n"/>
      <c r="AZ8" s="1776" t="n"/>
      <c r="BA8" s="1776" t="n"/>
      <c r="BB8" s="1776" t="n"/>
      <c r="BC8" s="1776" t="n"/>
      <c r="BD8" s="1776" t="n"/>
      <c r="BE8" s="1776" t="n"/>
      <c r="BF8" s="1776" t="n"/>
      <c r="BG8" s="1777" t="n"/>
      <c r="BH8" s="1777" t="n"/>
      <c r="BI8" s="1777" t="n"/>
      <c r="BJ8" s="1777" t="n"/>
      <c r="BK8" s="1777" t="n"/>
      <c r="BL8" s="1778" t="n"/>
      <c r="BM8" s="1767" t="n"/>
      <c r="BO8" s="1822" t="n"/>
      <c r="BP8" s="1822" t="n"/>
      <c r="BQ8" s="1822" t="n"/>
    </row>
    <row r="9" ht="15" customHeight="1">
      <c r="B9" s="1781" t="n"/>
      <c r="C9" s="1779" t="n"/>
      <c r="D9" s="1781" t="n"/>
      <c r="E9" s="1780" t="n"/>
      <c r="F9" s="1781" t="n"/>
      <c r="G9" s="1781" t="n"/>
      <c r="H9" s="1781" t="n"/>
      <c r="I9" s="1781" t="n"/>
      <c r="J9" s="1781" t="n"/>
      <c r="K9" s="1781" t="n"/>
      <c r="L9" s="1781" t="n"/>
      <c r="M9" s="1781" t="n"/>
      <c r="N9" s="1781" t="n"/>
      <c r="O9" s="1781" t="n"/>
      <c r="P9" s="1781" t="n"/>
      <c r="Q9" s="1781" t="n"/>
      <c r="R9" s="1781" t="n"/>
      <c r="S9" s="1781" t="n"/>
      <c r="T9" s="1781" t="n"/>
      <c r="U9" s="1781" t="n"/>
      <c r="V9" s="1781" t="n"/>
      <c r="W9" s="1781" t="n"/>
      <c r="X9" s="1781" t="n"/>
      <c r="Y9" s="1781" t="n"/>
      <c r="Z9" s="1781" t="n"/>
      <c r="AP9" s="1782" t="n"/>
      <c r="AQ9" s="1782" t="n"/>
      <c r="AR9" s="1782" t="n"/>
      <c r="AS9" s="1782" t="n"/>
      <c r="AT9" s="1782" t="n"/>
      <c r="AU9" s="1782" t="n"/>
      <c r="AV9" s="1782" t="n"/>
      <c r="AW9" s="1782" t="n"/>
      <c r="AX9" s="1782" t="n"/>
      <c r="AY9" s="1782" t="n"/>
      <c r="AZ9" s="1782" t="n"/>
      <c r="BA9" s="1782" t="n"/>
      <c r="BB9" s="1783" t="n"/>
      <c r="BC9" s="1782" t="n"/>
      <c r="BD9" s="1782" t="n"/>
      <c r="BE9" s="1782" t="n"/>
      <c r="BF9" s="1782" t="n"/>
      <c r="BG9" s="1782" t="n"/>
      <c r="BH9" s="1782" t="n"/>
      <c r="BI9" s="1782" t="n"/>
      <c r="BJ9" s="1782" t="n"/>
      <c r="BK9" s="1782" t="n"/>
      <c r="BL9" s="1782" t="n"/>
      <c r="BM9" s="1782" t="n"/>
      <c r="BO9" s="1890" t="inlineStr">
        <is>
          <t xml:space="preserve">Start year of </t>
        </is>
      </c>
      <c r="BP9" s="1890" t="n"/>
      <c r="BQ9" s="1997" t="n"/>
    </row>
    <row r="10" ht="15" customHeight="1">
      <c r="B10" s="1781" t="n"/>
      <c r="C10" s="1781" t="n"/>
      <c r="D10" s="1781" t="n"/>
      <c r="E10" s="1781" t="n"/>
      <c r="F10" s="1781" t="n"/>
      <c r="G10" s="1781" t="n"/>
      <c r="H10" s="1781" t="n"/>
      <c r="I10" s="1781" t="n"/>
      <c r="J10" s="1781" t="n"/>
      <c r="K10" s="1781" t="n"/>
      <c r="L10" s="1781" t="n"/>
      <c r="M10" s="1781" t="n"/>
      <c r="N10" s="1781" t="n"/>
      <c r="O10" s="1781" t="n"/>
      <c r="P10" s="1781" t="n"/>
      <c r="Q10" s="1781" t="n"/>
      <c r="R10" s="1781" t="n"/>
      <c r="S10" s="1781" t="n"/>
      <c r="T10" s="1781" t="n"/>
      <c r="U10" s="1781" t="n"/>
      <c r="V10" s="1781" t="n"/>
      <c r="W10" s="1781" t="n"/>
      <c r="X10" s="1781" t="n"/>
      <c r="Y10" s="1781" t="n"/>
      <c r="Z10" s="1781" t="n"/>
      <c r="AC10" s="4341" t="n"/>
      <c r="AP10" s="1784" t="n"/>
      <c r="AQ10" s="1784" t="n"/>
      <c r="AR10" s="1782" t="n"/>
      <c r="AS10" s="1785">
        <f>Languages!B169</f>
        <v/>
      </c>
      <c r="AT10" s="1785" t="n"/>
      <c r="AU10" s="1785" t="n"/>
      <c r="AV10" s="1785" t="n"/>
      <c r="AW10" s="1785" t="n"/>
      <c r="AX10" s="1785" t="n"/>
      <c r="AY10" s="1785" t="n"/>
      <c r="AZ10" s="1785" t="n"/>
      <c r="BA10" s="1785" t="n"/>
      <c r="BB10" s="1786" t="n"/>
      <c r="BC10" s="1782" t="n"/>
      <c r="BD10" s="1782" t="n"/>
      <c r="BE10" s="1782" t="n"/>
      <c r="BF10" s="1782" t="n"/>
      <c r="BG10" s="1782" t="n"/>
      <c r="BH10" s="1787">
        <f>Languages!B145</f>
        <v/>
      </c>
      <c r="BI10" s="1785" t="n"/>
      <c r="BJ10" s="1785" t="n"/>
      <c r="BK10" s="1785" t="n"/>
      <c r="BL10" s="1785" t="n"/>
      <c r="BM10" s="1782" t="n"/>
      <c r="BO10" s="2015" t="inlineStr">
        <is>
          <t>implementation</t>
        </is>
      </c>
      <c r="BP10" s="2015" t="n"/>
      <c r="BQ10" s="1997" t="n"/>
    </row>
    <row r="11" ht="15" customHeight="1">
      <c r="B11" s="1781" t="n"/>
      <c r="C11" s="1779" t="n"/>
      <c r="D11" s="1781" t="n"/>
      <c r="E11" s="1780" t="n"/>
      <c r="F11" s="1781" t="n"/>
      <c r="G11" s="1788">
        <f>Languages!B146</f>
        <v/>
      </c>
      <c r="H11" s="1789" t="n"/>
      <c r="I11" s="1789" t="n"/>
      <c r="J11" s="1781" t="n"/>
      <c r="K11" s="1790" t="n"/>
      <c r="L11" s="1781" t="n"/>
      <c r="M11" s="1781" t="n"/>
      <c r="N11" s="1781" t="n"/>
      <c r="O11" s="1781" t="n"/>
      <c r="P11" s="1781" t="n"/>
      <c r="Q11" s="1789" t="n"/>
      <c r="R11" s="1791">
        <f>R21</f>
        <v/>
      </c>
      <c r="S11" s="1789" t="n"/>
      <c r="T11" s="1789" t="n"/>
      <c r="U11" s="1781" t="n"/>
      <c r="V11" s="1781" t="n"/>
      <c r="W11" s="1792">
        <f>'2.LUC'!V58</f>
        <v/>
      </c>
      <c r="X11" s="1793" t="n"/>
      <c r="Y11" s="1793" t="n"/>
      <c r="Z11" s="1793" t="n"/>
      <c r="AC11" s="4341" t="n"/>
      <c r="AP11" s="1794">
        <f>C12</f>
        <v/>
      </c>
      <c r="AQ11" s="1784" t="n"/>
      <c r="AR11" s="1782" t="n"/>
      <c r="AS11" s="1801">
        <f>Languages!B75</f>
        <v/>
      </c>
      <c r="AT11" s="1801" t="n"/>
      <c r="AU11" s="1797" t="n"/>
      <c r="AV11" s="1798" t="n"/>
      <c r="AW11" s="1797">
        <f>Languages!B136</f>
        <v/>
      </c>
      <c r="AX11" s="1797" t="n"/>
      <c r="AY11" s="1799">
        <f>Languages!B137</f>
        <v/>
      </c>
      <c r="AZ11" s="1800" t="n"/>
      <c r="BA11" s="1801">
        <f>Languages!B139</f>
        <v/>
      </c>
      <c r="BB11" s="1800" t="n"/>
      <c r="BC11" s="1782" t="n"/>
      <c r="BD11" s="1782" t="n"/>
      <c r="BE11" s="1782" t="n"/>
      <c r="BF11" s="1782" t="n"/>
      <c r="BG11" s="1782" t="n"/>
      <c r="BH11" s="1795">
        <f>Languages!B170</f>
        <v/>
      </c>
      <c r="BI11" s="1795">
        <f>$M$22</f>
        <v/>
      </c>
      <c r="BJ11" s="1799">
        <f>K12</f>
        <v/>
      </c>
      <c r="BK11" s="1802">
        <f>BA11</f>
        <v/>
      </c>
      <c r="BL11" s="1784" t="n"/>
      <c r="BM11" s="1782" t="n"/>
      <c r="BO11" s="1997" t="n"/>
      <c r="BP11" s="1894" t="n"/>
      <c r="BQ11" s="1997" t="n"/>
      <c r="BS11" s="1803" t="n"/>
    </row>
    <row r="12" ht="15" customHeight="1">
      <c r="B12" s="1781" t="n"/>
      <c r="C12" s="1780">
        <f>Languages!B104</f>
        <v/>
      </c>
      <c r="D12" s="1781" t="n"/>
      <c r="E12" s="1804">
        <f>E22</f>
        <v/>
      </c>
      <c r="F12" s="1781" t="n"/>
      <c r="G12" s="1805">
        <f>G22</f>
        <v/>
      </c>
      <c r="H12" s="1781" t="n"/>
      <c r="I12" s="1805">
        <f>I22</f>
        <v/>
      </c>
      <c r="J12" s="1781" t="n"/>
      <c r="K12" s="1805">
        <f>K22</f>
        <v/>
      </c>
      <c r="L12" s="1781" t="n"/>
      <c r="M12" s="1805">
        <f>M22</f>
        <v/>
      </c>
      <c r="N12" s="1781" t="n"/>
      <c r="O12" s="1781" t="n"/>
      <c r="P12" s="1781" t="n"/>
      <c r="Q12" s="1806">
        <f>Q23</f>
        <v/>
      </c>
      <c r="R12" s="1806">
        <f>R23</f>
        <v/>
      </c>
      <c r="S12" s="1806" t="n"/>
      <c r="T12" s="1806">
        <f>T23</f>
        <v/>
      </c>
      <c r="U12" s="1781" t="n"/>
      <c r="V12" s="1781" t="n"/>
      <c r="W12" s="1780">
        <f>W23</f>
        <v/>
      </c>
      <c r="X12" s="1780">
        <f>X23</f>
        <v/>
      </c>
      <c r="Y12" s="1781" t="n"/>
      <c r="Z12" s="1780">
        <f>Z23</f>
        <v/>
      </c>
      <c r="AB12" s="4341" t="n"/>
      <c r="AC12" s="4341" t="n"/>
      <c r="AP12" s="1807" t="n"/>
      <c r="AQ12" s="1808" t="n"/>
      <c r="AR12" s="1808" t="n"/>
      <c r="AS12" s="1795">
        <f>Languages!B90</f>
        <v/>
      </c>
      <c r="AT12" s="1782" t="n"/>
      <c r="AU12" s="1782" t="n"/>
      <c r="AV12" s="1782" t="n"/>
      <c r="AW12" s="1782" t="n"/>
      <c r="AX12" s="1782" t="n"/>
      <c r="AY12" s="1782" t="n"/>
      <c r="AZ12" s="1782" t="n"/>
      <c r="BA12" s="1800" t="inlineStr">
        <is>
          <t>t dm/ha</t>
        </is>
      </c>
      <c r="BB12" s="1800" t="n"/>
      <c r="BC12" s="1782" t="n"/>
      <c r="BD12" s="1782" t="n"/>
      <c r="BE12" s="1782" t="n"/>
      <c r="BF12" s="1782" t="n"/>
      <c r="BG12" s="1782" t="n"/>
      <c r="BH12" s="1795" t="n"/>
      <c r="BI12" s="1795" t="n"/>
      <c r="BJ12" s="1795">
        <f>K13</f>
        <v/>
      </c>
      <c r="BK12" s="1800" t="inlineStr">
        <is>
          <t>t dm/ha</t>
        </is>
      </c>
      <c r="BL12" s="1809" t="n"/>
      <c r="BM12" s="1782" t="n"/>
      <c r="BO12" s="1997" t="n"/>
      <c r="BP12" s="1894" t="n"/>
      <c r="BQ12" s="1997" t="n"/>
      <c r="BS12" s="1803" t="n"/>
    </row>
    <row r="13" ht="15" customHeight="1">
      <c r="B13" s="1781" t="n"/>
      <c r="C13" s="1781" t="n"/>
      <c r="D13" s="1781" t="n"/>
      <c r="E13" s="1780">
        <f>Languages!B142</f>
        <v/>
      </c>
      <c r="F13" s="1810" t="n"/>
      <c r="G13" s="1805">
        <f>G23</f>
        <v/>
      </c>
      <c r="H13" s="1811" t="n"/>
      <c r="I13" s="1805">
        <f>I23</f>
        <v/>
      </c>
      <c r="J13" s="1781" t="n"/>
      <c r="K13" s="1805">
        <f>K23</f>
        <v/>
      </c>
      <c r="L13" s="1781" t="n"/>
      <c r="M13" s="1812">
        <f>Languages!B194</f>
        <v/>
      </c>
      <c r="N13" s="1781" t="n"/>
      <c r="O13" s="1781" t="n"/>
      <c r="P13" s="1781" t="n"/>
      <c r="Q13" s="1781" t="n"/>
      <c r="R13" s="1781" t="n"/>
      <c r="S13" s="1781" t="n"/>
      <c r="T13" s="1781" t="n"/>
      <c r="U13" s="1781" t="n"/>
      <c r="V13" s="1781" t="n"/>
      <c r="W13" s="1781" t="n"/>
      <c r="X13" s="1781" t="n"/>
      <c r="Y13" s="1781" t="n"/>
      <c r="Z13" s="1781" t="n"/>
      <c r="AA13" s="1813" t="n"/>
      <c r="AB13" s="4341" t="n"/>
      <c r="AC13" s="4341" t="n"/>
      <c r="AD13" s="1813" t="n"/>
      <c r="AE13" s="1813" t="n"/>
      <c r="AF13" s="1813" t="n"/>
      <c r="AG13" s="1813" t="n"/>
      <c r="AH13" s="1813" t="n"/>
      <c r="AI13" s="1813" t="n"/>
      <c r="AJ13" s="1813" t="n"/>
      <c r="AP13" s="1784" t="n"/>
      <c r="AQ13" s="1784" t="n"/>
      <c r="AR13" s="1784" t="n"/>
      <c r="AS13" s="1795">
        <f>Languages!B55</f>
        <v/>
      </c>
      <c r="AT13" s="1795">
        <f>Languages!B17</f>
        <v/>
      </c>
      <c r="AU13" s="1800" t="n"/>
      <c r="AV13" s="1795" t="n"/>
      <c r="AW13" s="1795">
        <f>AS13</f>
        <v/>
      </c>
      <c r="AX13" s="1795">
        <f>AT13</f>
        <v/>
      </c>
      <c r="AY13" s="1797">
        <f>AW13</f>
        <v/>
      </c>
      <c r="AZ13" s="1795">
        <f>AX13</f>
        <v/>
      </c>
      <c r="BA13" s="1795">
        <f>AW13</f>
        <v/>
      </c>
      <c r="BB13" s="1795">
        <f>AX13</f>
        <v/>
      </c>
      <c r="BC13" s="1782" t="n"/>
      <c r="BD13" s="1782" t="n"/>
      <c r="BE13" s="1782" t="n"/>
      <c r="BF13" s="1782" t="n"/>
      <c r="BG13" s="1782" t="n"/>
      <c r="BH13" s="1782" t="n"/>
      <c r="BI13" s="1795">
        <f>'3.Cropland'!M13</f>
        <v/>
      </c>
      <c r="BJ13" s="1782" t="n"/>
      <c r="BK13" s="1795">
        <f>BA13</f>
        <v/>
      </c>
      <c r="BL13" s="1795">
        <f>BB13</f>
        <v/>
      </c>
      <c r="BM13" s="1782" t="n"/>
      <c r="BO13" s="1997" t="n"/>
      <c r="BP13" s="1894" t="n"/>
      <c r="BQ13" s="1997" t="n"/>
      <c r="BS13" s="1803" t="n"/>
    </row>
    <row r="14" ht="15" customHeight="1">
      <c r="B14" s="1781" t="n"/>
      <c r="C14" s="4480">
        <f>Languages!B125</f>
        <v/>
      </c>
      <c r="D14" s="1781" t="n"/>
      <c r="E14" s="2133" t="inlineStr">
        <is>
          <t>Default</t>
        </is>
      </c>
      <c r="F14" s="1781" t="n"/>
      <c r="G14" s="2133" t="inlineStr">
        <is>
          <t>Please select</t>
        </is>
      </c>
      <c r="H14" s="1781" t="n"/>
      <c r="I14" s="4132" t="inlineStr">
        <is>
          <t>Please select</t>
        </is>
      </c>
      <c r="J14" s="1781" t="n"/>
      <c r="K14" s="2133" t="inlineStr">
        <is>
          <t>Please select</t>
        </is>
      </c>
      <c r="L14" s="1781" t="n"/>
      <c r="M14" s="4133" t="n"/>
      <c r="N14" s="1781" t="n"/>
      <c r="O14" s="1781" t="n"/>
      <c r="P14" s="1781" t="n"/>
      <c r="Q14" s="1897">
        <f>annual!D34</f>
        <v/>
      </c>
      <c r="R14" s="1897">
        <f>annual!E34</f>
        <v/>
      </c>
      <c r="S14" s="1897" t="n"/>
      <c r="T14" s="1897">
        <f>annual!G34</f>
        <v/>
      </c>
      <c r="U14" s="1897" t="n"/>
      <c r="V14" s="1897" t="n"/>
      <c r="W14" s="1897">
        <f>annual!$O34</f>
        <v/>
      </c>
      <c r="X14" s="1897">
        <f>annual!$P34</f>
        <v/>
      </c>
      <c r="Y14" s="1897" t="n"/>
      <c r="Z14" s="1812">
        <f>annual!$Q34</f>
        <v/>
      </c>
      <c r="AA14" s="1813">
        <f>IF(OR($G14="No tillage", $G14="Reduced tillage"), "till_impr", IF($G14="Full tillage", "till_conv", "till_?"))</f>
        <v/>
      </c>
      <c r="AB14" s="4341" t="n"/>
      <c r="AC14" s="4341" t="n"/>
      <c r="AD14" s="1813" t="n"/>
      <c r="AE14" s="1813" t="n"/>
      <c r="AF14" s="1813" t="n"/>
      <c r="AG14" s="1813" t="n"/>
      <c r="AH14" s="1813" t="n"/>
      <c r="AI14" s="1813" t="n"/>
      <c r="AJ14" s="1813" t="n"/>
      <c r="AP14" s="1800">
        <f>C14</f>
        <v/>
      </c>
      <c r="AQ14" s="1784" t="n"/>
      <c r="AR14" s="1784" t="n"/>
      <c r="AS14" s="4666">
        <f>IF('3.Cropland'!$G$14 &lt;&gt;"Please select", SOCref*VLOOKUP(clim_moist,IPCC!$A$57:$B$68,2,FALSE), 0)</f>
        <v/>
      </c>
      <c r="AT14" s="1795" t="n"/>
      <c r="AU14" s="1817" t="n"/>
      <c r="AV14" s="4120" t="n"/>
      <c r="AW14" s="1817">
        <f>_xlfn.IFNA(INDEX(IPCC!$F$58:$H$68,MATCH(clim_moist,IPCC!$A$58:$A$68,0),MATCH('3.Cropland'!$G14,IPCC!$F$58:$H$58,0)),)</f>
        <v/>
      </c>
      <c r="AX14" s="2125" t="n"/>
      <c r="AY14" s="1817">
        <f>_xlfn.IFNA(INDEX(IPCC!$I$58:$L$68,MATCH(clim_moist,IPCC!$A$58:$A$68,0),MATCH('3.Cropland'!$I14,IPCC!$I$58:$L$58,0)),)</f>
        <v/>
      </c>
      <c r="AZ14" s="2125" t="n"/>
      <c r="BA14" s="1817">
        <f>annual!I64</f>
        <v/>
      </c>
      <c r="BB14" s="2125" t="n"/>
      <c r="BC14" s="1782" t="n"/>
      <c r="BD14" s="1782" t="n"/>
      <c r="BE14" s="1782" t="n"/>
      <c r="BF14" s="1782" t="n"/>
      <c r="BG14" s="1782" t="n"/>
      <c r="BH14" s="4142" t="inlineStr">
        <is>
          <t xml:space="preserve">None </t>
        </is>
      </c>
      <c r="BI14" s="4143" t="n"/>
      <c r="BJ14" s="4141" t="inlineStr">
        <is>
          <t>Please select</t>
        </is>
      </c>
      <c r="BK14" s="1817">
        <f>annual!$T64</f>
        <v/>
      </c>
      <c r="BL14" s="2125" t="n"/>
      <c r="BM14" s="1782" t="n"/>
      <c r="BO14" s="4401" t="n">
        <v>1</v>
      </c>
      <c r="BP14" s="4402" t="n"/>
      <c r="BQ14" s="1997" t="n"/>
      <c r="BS14" s="1803" t="n"/>
    </row>
    <row r="15" ht="15" customHeight="1">
      <c r="B15" s="1781" t="n"/>
      <c r="C15" s="4480">
        <f>Languages!B126</f>
        <v/>
      </c>
      <c r="D15" s="1781" t="n"/>
      <c r="E15" s="2133" t="inlineStr">
        <is>
          <t>Default</t>
        </is>
      </c>
      <c r="F15" s="1781" t="n"/>
      <c r="G15" s="2133" t="inlineStr">
        <is>
          <t>Please select</t>
        </is>
      </c>
      <c r="H15" s="1781" t="n"/>
      <c r="I15" s="4132" t="inlineStr">
        <is>
          <t>Please select</t>
        </is>
      </c>
      <c r="J15" s="1781" t="n"/>
      <c r="K15" s="2133" t="inlineStr">
        <is>
          <t>Please select</t>
        </is>
      </c>
      <c r="L15" s="1781" t="n"/>
      <c r="M15" s="4133" t="n"/>
      <c r="N15" s="1781" t="n"/>
      <c r="O15" s="1781" t="n"/>
      <c r="P15" s="1781" t="n"/>
      <c r="Q15" s="1897">
        <f>annual!D35</f>
        <v/>
      </c>
      <c r="R15" s="1897">
        <f>annual!E35</f>
        <v/>
      </c>
      <c r="S15" s="1897" t="n"/>
      <c r="T15" s="1897">
        <f>annual!G35</f>
        <v/>
      </c>
      <c r="U15" s="1897" t="n"/>
      <c r="V15" s="1897" t="n"/>
      <c r="W15" s="1897">
        <f>annual!$O35</f>
        <v/>
      </c>
      <c r="X15" s="1897">
        <f>annual!$P35</f>
        <v/>
      </c>
      <c r="Y15" s="1897" t="n"/>
      <c r="Z15" s="1812">
        <f>annual!$Q35</f>
        <v/>
      </c>
      <c r="AA15" s="1813">
        <f>IF(OR($G15="No tillage", $G15="Reduced tillage"), "till_impr", IF($G15="Full tillage", "till_conv", "till_?"))</f>
        <v/>
      </c>
      <c r="AB15" s="4341" t="n"/>
      <c r="AC15" s="4342" t="n"/>
      <c r="AD15" s="1813" t="n"/>
      <c r="AE15" s="1813" t="n"/>
      <c r="AF15" s="1813" t="n"/>
      <c r="AG15" s="1813" t="n"/>
      <c r="AH15" s="1813" t="n"/>
      <c r="AI15" s="1813" t="n"/>
      <c r="AJ15" s="1813" t="n"/>
      <c r="AP15" s="1800">
        <f>C15</f>
        <v/>
      </c>
      <c r="AQ15" s="1784" t="n"/>
      <c r="AR15" s="1784" t="n"/>
      <c r="AS15" s="4666">
        <f>IF('3.Cropland'!$G$15 &lt;&gt;"Please select", SOCref*VLOOKUP(clim_moist,IPCC!$A$57:$B$68,2,FALSE), 0)</f>
        <v/>
      </c>
      <c r="AT15" s="4141" t="n"/>
      <c r="AU15" s="1817" t="n"/>
      <c r="AV15" s="4120" t="n"/>
      <c r="AW15" s="1817">
        <f>_xlfn.IFNA(INDEX(IPCC!$F$58:$H$68,MATCH(clim_moist,IPCC!$A$58:$A$68,0),MATCH('3.Cropland'!$G15,IPCC!$F$58:$H$58,0)),)</f>
        <v/>
      </c>
      <c r="AX15" s="2125" t="n"/>
      <c r="AY15" s="1817">
        <f>_xlfn.IFNA(INDEX(IPCC!$I$58:$L$68,MATCH(clim_moist,IPCC!$A$58:$A$68,0),MATCH('3.Cropland'!$I15,IPCC!$I$58:$L$58,0)),)</f>
        <v/>
      </c>
      <c r="AZ15" s="2125" t="n"/>
      <c r="BA15" s="1817">
        <f>annual!I65</f>
        <v/>
      </c>
      <c r="BB15" s="2125" t="n"/>
      <c r="BC15" s="1782" t="n"/>
      <c r="BD15" s="1782" t="n"/>
      <c r="BE15" s="1782" t="n"/>
      <c r="BF15" s="1782" t="n"/>
      <c r="BG15" s="1782" t="n"/>
      <c r="BH15" s="4142" t="inlineStr">
        <is>
          <t xml:space="preserve">None </t>
        </is>
      </c>
      <c r="BI15" s="4143" t="n"/>
      <c r="BJ15" s="4141" t="inlineStr">
        <is>
          <t>Please select</t>
        </is>
      </c>
      <c r="BK15" s="1817">
        <f>annual!T65</f>
        <v/>
      </c>
      <c r="BL15" s="2125" t="n"/>
      <c r="BM15" s="1782" t="n"/>
      <c r="BO15" s="4401" t="n">
        <v>1</v>
      </c>
      <c r="BP15" s="4402" t="n"/>
      <c r="BQ15" s="1997" t="n"/>
      <c r="BS15" s="1803" t="n"/>
    </row>
    <row r="16" ht="15" customHeight="1">
      <c r="B16" s="1781" t="n"/>
      <c r="C16" s="4480">
        <f>Languages!B127</f>
        <v/>
      </c>
      <c r="D16" s="1781" t="n"/>
      <c r="E16" s="2133" t="inlineStr">
        <is>
          <t>Default</t>
        </is>
      </c>
      <c r="F16" s="1781" t="n"/>
      <c r="G16" s="2133" t="inlineStr">
        <is>
          <t>Full tillage</t>
        </is>
      </c>
      <c r="H16" s="1781" t="n"/>
      <c r="I16" s="4132" t="inlineStr">
        <is>
          <t>Medium C input</t>
        </is>
      </c>
      <c r="J16" s="1781" t="n"/>
      <c r="K16" s="2133" t="inlineStr">
        <is>
          <t>Retained</t>
        </is>
      </c>
      <c r="L16" s="1781" t="n"/>
      <c r="M16" s="4133" t="n"/>
      <c r="N16" s="1781" t="n"/>
      <c r="O16" s="1781" t="n"/>
      <c r="P16" s="1781" t="n"/>
      <c r="Q16" s="1897">
        <f>annual!D36</f>
        <v/>
      </c>
      <c r="R16" s="1897">
        <f>annual!E36</f>
        <v/>
      </c>
      <c r="S16" s="1897" t="n"/>
      <c r="T16" s="1897">
        <f>annual!G36</f>
        <v/>
      </c>
      <c r="U16" s="1897" t="n"/>
      <c r="V16" s="1897" t="n"/>
      <c r="W16" s="1897">
        <f>annual!$O36</f>
        <v/>
      </c>
      <c r="X16" s="1897">
        <f>annual!$P36</f>
        <v/>
      </c>
      <c r="Y16" s="1897" t="n"/>
      <c r="Z16" s="1812">
        <f>annual!$Q36</f>
        <v/>
      </c>
      <c r="AA16" s="1813">
        <f>IF(OR($G16="No tillage", $G16="Reduced tillage"), "till_impr", IF($G16="Full tillage", "till_conv", "till_?"))</f>
        <v/>
      </c>
      <c r="AB16" s="4341" t="n"/>
      <c r="AC16" s="4341" t="n"/>
      <c r="AD16" s="1813" t="n"/>
      <c r="AE16" s="1813" t="n"/>
      <c r="AF16" s="1813" t="n"/>
      <c r="AG16" s="1813" t="n"/>
      <c r="AH16" s="1813" t="n"/>
      <c r="AI16" s="1813" t="n"/>
      <c r="AJ16" s="1813" t="n"/>
      <c r="AP16" s="1800">
        <f>C16</f>
        <v/>
      </c>
      <c r="AQ16" s="1784" t="n"/>
      <c r="AR16" s="1784" t="n"/>
      <c r="AS16" s="4666">
        <f>IF('3.Cropland'!$G$16 &lt;&gt;"Please select", SOCref*VLOOKUP(clim_moist,IPCC!$A$57:$B$68,2,FALSE), 0)</f>
        <v/>
      </c>
      <c r="AT16" s="4120" t="n"/>
      <c r="AU16" s="1817" t="n"/>
      <c r="AV16" s="4120" t="n"/>
      <c r="AW16" s="1817">
        <f>_xlfn.IFNA(INDEX(IPCC!$F$58:$H$68,MATCH(clim_moist,IPCC!$A$58:$A$68,0),MATCH('3.Cropland'!$G16,IPCC!$F$58:$H$58,0)),)</f>
        <v/>
      </c>
      <c r="AX16" s="2125" t="n"/>
      <c r="AY16" s="1817">
        <f>_xlfn.IFNA(INDEX(IPCC!$I$58:$L$68,MATCH(clim_moist,IPCC!$A$58:$A$68,0),MATCH('3.Cropland'!$I16,IPCC!$I$58:$L$58,0)),)</f>
        <v/>
      </c>
      <c r="AZ16" s="2125" t="n"/>
      <c r="BA16" s="1817">
        <f>annual!I66</f>
        <v/>
      </c>
      <c r="BB16" s="2125" t="n"/>
      <c r="BC16" s="1782" t="n"/>
      <c r="BD16" s="1782" t="n"/>
      <c r="BE16" s="1782" t="n"/>
      <c r="BF16" s="1782" t="n"/>
      <c r="BG16" s="1782" t="n"/>
      <c r="BH16" s="4142" t="inlineStr">
        <is>
          <t xml:space="preserve">None </t>
        </is>
      </c>
      <c r="BI16" s="4143" t="n"/>
      <c r="BJ16" s="4141" t="inlineStr">
        <is>
          <t>Please select</t>
        </is>
      </c>
      <c r="BK16" s="1817">
        <f>annual!$T66</f>
        <v/>
      </c>
      <c r="BL16" s="2125" t="n"/>
      <c r="BM16" s="1782" t="n"/>
      <c r="BO16" s="4401" t="n">
        <v>1</v>
      </c>
      <c r="BP16" s="4402" t="n"/>
      <c r="BQ16" s="1997" t="n"/>
      <c r="BS16" s="1803" t="n"/>
    </row>
    <row r="17" ht="15" customHeight="1">
      <c r="B17" s="1781" t="n"/>
      <c r="C17" s="4480">
        <f>Languages!B128</f>
        <v/>
      </c>
      <c r="D17" s="1781" t="n"/>
      <c r="E17" s="2133" t="inlineStr">
        <is>
          <t>Default</t>
        </is>
      </c>
      <c r="F17" s="1781" t="n"/>
      <c r="G17" s="2133" t="inlineStr">
        <is>
          <t>Please select</t>
        </is>
      </c>
      <c r="H17" s="1781" t="n"/>
      <c r="I17" s="4132" t="inlineStr">
        <is>
          <t>Please select</t>
        </is>
      </c>
      <c r="J17" s="1781" t="n"/>
      <c r="K17" s="2133" t="inlineStr">
        <is>
          <t>Please select</t>
        </is>
      </c>
      <c r="L17" s="1781" t="n"/>
      <c r="M17" s="4133" t="n"/>
      <c r="N17" s="1781" t="n"/>
      <c r="O17" s="1781" t="n"/>
      <c r="P17" s="1781" t="n"/>
      <c r="Q17" s="1897">
        <f>annual!D37</f>
        <v/>
      </c>
      <c r="R17" s="1897">
        <f>annual!E37</f>
        <v/>
      </c>
      <c r="S17" s="1897" t="n"/>
      <c r="T17" s="1897">
        <f>annual!G37</f>
        <v/>
      </c>
      <c r="U17" s="1897" t="n"/>
      <c r="V17" s="1897" t="n"/>
      <c r="W17" s="1897">
        <f>annual!$O37</f>
        <v/>
      </c>
      <c r="X17" s="1897">
        <f>annual!$P37</f>
        <v/>
      </c>
      <c r="Y17" s="1897" t="n"/>
      <c r="Z17" s="1812">
        <f>annual!$Q37</f>
        <v/>
      </c>
      <c r="AA17" s="1813">
        <f>IF(OR($G17="No tillage", $G17="Reduced tillage"), "till_impr", IF($G17="Full tillage", "till_conv", "till_?"))</f>
        <v/>
      </c>
      <c r="AB17" s="4342" t="n"/>
      <c r="AC17" s="4341" t="n"/>
      <c r="AD17" s="1813" t="n"/>
      <c r="AE17" s="1813" t="n"/>
      <c r="AF17" s="1813" t="n"/>
      <c r="AG17" s="1813" t="n"/>
      <c r="AH17" s="1813" t="n"/>
      <c r="AI17" s="1813" t="n"/>
      <c r="AJ17" s="1813" t="n"/>
      <c r="AP17" s="1800">
        <f>C17</f>
        <v/>
      </c>
      <c r="AQ17" s="1784" t="n"/>
      <c r="AR17" s="1784" t="n"/>
      <c r="AS17" s="4666">
        <f>IF('3.Cropland'!$G$17 &lt;&gt;"Please select", SOCref*VLOOKUP(clim_moist,IPCC!$A$57:$B$68,2,FALSE), 0)</f>
        <v/>
      </c>
      <c r="AT17" s="2125" t="n"/>
      <c r="AU17" s="1817" t="n"/>
      <c r="AV17" s="4120" t="n"/>
      <c r="AW17" s="1817">
        <f>_xlfn.IFNA(INDEX(IPCC!$F$58:$H$68,MATCH(clim_moist,IPCC!$A$58:$A$68,0),MATCH('3.Cropland'!$G17,IPCC!$F$58:$H$58,0)),)</f>
        <v/>
      </c>
      <c r="AX17" s="2125" t="n"/>
      <c r="AY17" s="1817">
        <f>_xlfn.IFNA(INDEX(IPCC!$I$58:$L$68,MATCH(clim_moist,IPCC!$A$58:$A$68,0),MATCH('3.Cropland'!$I17,IPCC!$I$58:$L$58,0)),)</f>
        <v/>
      </c>
      <c r="AZ17" s="2125" t="n"/>
      <c r="BA17" s="1817">
        <f>annual!I67</f>
        <v/>
      </c>
      <c r="BB17" s="2125" t="n"/>
      <c r="BC17" s="1782" t="n"/>
      <c r="BD17" s="1782" t="n"/>
      <c r="BE17" s="1782" t="n"/>
      <c r="BF17" s="1782" t="n"/>
      <c r="BG17" s="1782" t="n"/>
      <c r="BH17" s="4142" t="inlineStr">
        <is>
          <t xml:space="preserve">None </t>
        </is>
      </c>
      <c r="BI17" s="4143" t="n"/>
      <c r="BJ17" s="4141" t="inlineStr">
        <is>
          <t>Please select</t>
        </is>
      </c>
      <c r="BK17" s="1817">
        <f>annual!T67</f>
        <v/>
      </c>
      <c r="BL17" s="2125" t="n"/>
      <c r="BM17" s="1782" t="n"/>
      <c r="BO17" s="4401" t="n">
        <v>1</v>
      </c>
      <c r="BP17" s="4402" t="n"/>
      <c r="BQ17" s="1997" t="n"/>
      <c r="BS17" s="1819" t="n"/>
    </row>
    <row r="18" ht="8.75" customHeight="1">
      <c r="B18" s="1781" t="n"/>
      <c r="C18" s="1820" t="n"/>
      <c r="D18" s="1820" t="n"/>
      <c r="E18" s="1820" t="n"/>
      <c r="F18" s="1820" t="n"/>
      <c r="G18" s="1820" t="n"/>
      <c r="H18" s="1820" t="n"/>
      <c r="I18" s="1820" t="n"/>
      <c r="J18" s="1781" t="n"/>
      <c r="K18" s="1790" t="n"/>
      <c r="L18" s="1781" t="n"/>
      <c r="M18" s="1781" t="n"/>
      <c r="N18" s="1781" t="n"/>
      <c r="O18" s="1781" t="n"/>
      <c r="P18" s="1781" t="n"/>
      <c r="Q18" s="1781" t="n"/>
      <c r="R18" s="1781" t="n"/>
      <c r="S18" s="1781" t="n"/>
      <c r="T18" s="1781" t="n"/>
      <c r="U18" s="1781" t="n"/>
      <c r="V18" s="1781" t="n"/>
      <c r="W18" s="1781" t="n"/>
      <c r="X18" s="1781" t="n"/>
      <c r="Y18" s="1781" t="n"/>
      <c r="Z18" s="1781" t="n"/>
      <c r="AA18" s="1813" t="n"/>
      <c r="AB18" s="4341" t="n"/>
      <c r="AC18" s="4341" t="n"/>
      <c r="AD18" s="1813" t="n"/>
      <c r="AE18" s="1813" t="n"/>
      <c r="AF18" s="1813" t="n"/>
      <c r="AG18" s="1813" t="n"/>
      <c r="AH18" s="1813" t="n"/>
      <c r="AI18" s="1813" t="n"/>
      <c r="AJ18" s="1813" t="n"/>
      <c r="AP18" s="1784" t="n"/>
      <c r="AQ18" s="1784" t="n"/>
      <c r="AR18" s="1784" t="n"/>
      <c r="AS18" s="1782" t="n"/>
      <c r="AT18" s="1782" t="n"/>
      <c r="AU18" s="1782" t="n"/>
      <c r="AV18" s="1782" t="n"/>
      <c r="AW18" s="1782" t="n"/>
      <c r="AX18" s="1782" t="n"/>
      <c r="AY18" s="1782" t="n"/>
      <c r="AZ18" s="1782" t="n"/>
      <c r="BA18" s="1782" t="n"/>
      <c r="BB18" s="1782" t="n"/>
      <c r="BC18" s="1782" t="n"/>
      <c r="BD18" s="1782" t="n"/>
      <c r="BE18" s="1782" t="n"/>
      <c r="BF18" s="1782" t="n"/>
      <c r="BG18" s="1782" t="n"/>
      <c r="BH18" s="1782" t="n"/>
      <c r="BI18" s="1782" t="n"/>
      <c r="BJ18" s="1782" t="n"/>
      <c r="BK18" s="1782" t="n"/>
      <c r="BL18" s="1782" t="n"/>
      <c r="BM18" s="1782" t="n"/>
      <c r="BO18" s="1997" t="n"/>
      <c r="BP18" s="1894" t="n"/>
      <c r="BQ18" s="1997" t="n"/>
      <c r="BS18" s="1803" t="n"/>
    </row>
    <row r="19" ht="21.5" customHeight="1">
      <c r="B19" s="1767" t="n"/>
      <c r="C19" s="1774">
        <f>Languages!B131</f>
        <v/>
      </c>
      <c r="D19" s="1773" t="n"/>
      <c r="E19" s="1773" t="n"/>
      <c r="F19" s="1773" t="n"/>
      <c r="G19" s="1773" t="n"/>
      <c r="H19" s="1773" t="n"/>
      <c r="I19" s="1773" t="n"/>
      <c r="J19" s="1773" t="n"/>
      <c r="K19" s="1773" t="n"/>
      <c r="L19" s="1773" t="n"/>
      <c r="M19" s="1773" t="n"/>
      <c r="N19" s="1773" t="n"/>
      <c r="O19" s="1773" t="n"/>
      <c r="P19" s="1773" t="n"/>
      <c r="Q19" s="1773" t="n"/>
      <c r="R19" s="1773" t="n"/>
      <c r="S19" s="1773" t="n"/>
      <c r="T19" s="1773" t="n"/>
      <c r="U19" s="1773" t="n"/>
      <c r="V19" s="1773" t="n"/>
      <c r="W19" s="1773" t="n"/>
      <c r="X19" s="1773" t="n"/>
      <c r="Y19" s="1773" t="n"/>
      <c r="Z19" s="1773" t="n"/>
      <c r="AA19" s="1821" t="n"/>
      <c r="AB19" s="4341" t="n"/>
      <c r="AC19" s="4341" t="n"/>
      <c r="AD19" s="1821" t="n"/>
      <c r="AE19" s="1821" t="n"/>
      <c r="AF19" s="1821" t="n"/>
      <c r="AG19" s="1821" t="n"/>
      <c r="AH19" s="1821" t="n"/>
      <c r="AI19" s="1821" t="n"/>
      <c r="AJ19" s="1821" t="n"/>
      <c r="AP19" s="1775">
        <f>C19</f>
        <v/>
      </c>
      <c r="AQ19" s="1822" t="n"/>
      <c r="AR19" s="1822" t="n"/>
      <c r="AS19" s="1822" t="n"/>
      <c r="AT19" s="1822" t="n"/>
      <c r="AU19" s="1822" t="n"/>
      <c r="AV19" s="1822" t="n"/>
      <c r="AW19" s="1822" t="n"/>
      <c r="AX19" s="1822" t="n"/>
      <c r="AY19" s="1822" t="n"/>
      <c r="AZ19" s="1822" t="n"/>
      <c r="BA19" s="1822" t="n"/>
      <c r="BB19" s="1822" t="n"/>
      <c r="BC19" s="1822" t="n"/>
      <c r="BD19" s="1822" t="n"/>
      <c r="BE19" s="1822" t="n"/>
      <c r="BF19" s="1822" t="n"/>
      <c r="BG19" s="1822" t="n"/>
      <c r="BH19" s="1822" t="n"/>
      <c r="BI19" s="1822" t="n"/>
      <c r="BJ19" s="1822" t="n"/>
      <c r="BK19" s="1822" t="n"/>
      <c r="BL19" s="1822" t="n"/>
      <c r="BM19" s="1822" t="n"/>
      <c r="BO19" s="1822" t="n"/>
      <c r="BP19" s="1822" t="n"/>
      <c r="BQ19" s="1822" t="n"/>
      <c r="BS19" s="1803" t="n"/>
    </row>
    <row r="20" ht="15" customHeight="1">
      <c r="B20" s="1781" t="n"/>
      <c r="C20" s="1781" t="n"/>
      <c r="D20" s="1781" t="n"/>
      <c r="E20" s="1781" t="n"/>
      <c r="F20" s="1781" t="n"/>
      <c r="G20" s="1781" t="n"/>
      <c r="H20" s="1781" t="n"/>
      <c r="I20" s="1781" t="n"/>
      <c r="J20" s="1781" t="n"/>
      <c r="K20" s="1781" t="n"/>
      <c r="L20" s="1781" t="n"/>
      <c r="M20" s="1781" t="n"/>
      <c r="N20" s="1781" t="n"/>
      <c r="O20" s="1781" t="n"/>
      <c r="P20" s="1781" t="n"/>
      <c r="Q20" s="1781" t="n"/>
      <c r="R20" s="1781" t="n"/>
      <c r="S20" s="1781" t="n"/>
      <c r="T20" s="1781" t="n"/>
      <c r="U20" s="1781" t="n"/>
      <c r="V20" s="1781" t="n"/>
      <c r="W20" s="1781" t="n"/>
      <c r="X20" s="1781" t="n"/>
      <c r="Y20" s="1781" t="n"/>
      <c r="Z20" s="1781" t="n"/>
      <c r="AA20" s="1813" t="n"/>
      <c r="AB20" s="4341" t="n"/>
      <c r="AC20" s="1813" t="n"/>
      <c r="AD20" s="1813" t="n"/>
      <c r="AE20" s="1813" t="n"/>
      <c r="AF20" s="1813" t="n"/>
      <c r="AG20" s="1813" t="n"/>
      <c r="AH20" s="1813" t="n"/>
      <c r="AI20" s="1813" t="n"/>
      <c r="AJ20" s="1813" t="n"/>
      <c r="AP20" s="1782" t="n"/>
      <c r="AQ20" s="1782" t="n"/>
      <c r="AR20" s="1782" t="n"/>
      <c r="AS20" s="1782" t="n"/>
      <c r="AT20" s="1782" t="n"/>
      <c r="AU20" s="1782" t="n"/>
      <c r="AV20" s="1782" t="n"/>
      <c r="AW20" s="1782" t="n"/>
      <c r="AX20" s="1782" t="n"/>
      <c r="AY20" s="1782" t="n"/>
      <c r="AZ20" s="1782" t="n"/>
      <c r="BA20" s="1782" t="n"/>
      <c r="BB20" s="1783" t="n"/>
      <c r="BC20" s="1782" t="n"/>
      <c r="BD20" s="1782" t="n"/>
      <c r="BE20" s="1782" t="n"/>
      <c r="BF20" s="1782" t="n"/>
      <c r="BG20" s="1782" t="n"/>
      <c r="BH20" s="1782" t="n"/>
      <c r="BI20" s="1782" t="n"/>
      <c r="BJ20" s="1782" t="n"/>
      <c r="BK20" s="1782" t="n"/>
      <c r="BL20" s="1782" t="n"/>
      <c r="BM20" s="1782" t="n"/>
      <c r="BO20" s="4423" t="n"/>
      <c r="BP20" s="4423" t="n"/>
      <c r="BQ20" s="4423" t="n"/>
      <c r="BS20" s="1803" t="n"/>
    </row>
    <row r="21" ht="15" customHeight="1">
      <c r="B21" s="1781" t="n"/>
      <c r="C21" s="1781" t="n"/>
      <c r="D21" s="1781" t="n"/>
      <c r="E21" s="1781" t="n"/>
      <c r="F21" s="1781" t="n"/>
      <c r="G21" s="1823">
        <f>G11</f>
        <v/>
      </c>
      <c r="H21" s="1789" t="n"/>
      <c r="I21" s="1789" t="n"/>
      <c r="J21" s="1824" t="n"/>
      <c r="K21" s="1825" t="n"/>
      <c r="L21" s="1825" t="n"/>
      <c r="M21" s="1781" t="n"/>
      <c r="N21" s="1781" t="n"/>
      <c r="O21" s="1781" t="n"/>
      <c r="P21" s="1781" t="n"/>
      <c r="Q21" s="1789" t="n"/>
      <c r="R21" s="1791">
        <f>Languages!B115</f>
        <v/>
      </c>
      <c r="S21" s="1789" t="n"/>
      <c r="T21" s="1789" t="n"/>
      <c r="U21" s="1789" t="n"/>
      <c r="V21" s="1781" t="n"/>
      <c r="W21" s="1792">
        <f>W11</f>
        <v/>
      </c>
      <c r="X21" s="1781" t="n"/>
      <c r="Y21" s="1781" t="n"/>
      <c r="Z21" s="1780" t="n"/>
      <c r="AA21" s="1813" t="n"/>
      <c r="AB21" s="4341" t="n"/>
      <c r="AC21" s="1813" t="n"/>
      <c r="AD21" s="1813" t="n"/>
      <c r="AE21" s="1813" t="n"/>
      <c r="AF21" s="1813" t="n"/>
      <c r="AG21" s="1813" t="n"/>
      <c r="AH21" s="1813" t="n"/>
      <c r="AI21" s="1813" t="n"/>
      <c r="AJ21" s="1813" t="n"/>
      <c r="AP21" s="1782" t="n"/>
      <c r="AQ21" s="1782" t="n"/>
      <c r="AR21" s="1782" t="n"/>
      <c r="AS21" s="1785">
        <f>AS10</f>
        <v/>
      </c>
      <c r="AT21" s="1785" t="n"/>
      <c r="AU21" s="1785" t="n"/>
      <c r="AV21" s="1785" t="n"/>
      <c r="AW21" s="1785" t="n"/>
      <c r="AX21" s="1785" t="n"/>
      <c r="AY21" s="1785" t="n"/>
      <c r="AZ21" s="1785" t="n"/>
      <c r="BA21" s="1785" t="n"/>
      <c r="BB21" s="1786" t="n"/>
      <c r="BC21" s="1782" t="n"/>
      <c r="BD21" s="1782" t="n"/>
      <c r="BE21" s="1782" t="n"/>
      <c r="BF21" s="1782" t="n"/>
      <c r="BG21" s="1782" t="n"/>
      <c r="BH21" s="1787" t="inlineStr">
        <is>
          <t>Minor season crop</t>
        </is>
      </c>
      <c r="BI21" s="1785" t="n"/>
      <c r="BJ21" s="1785" t="n"/>
      <c r="BK21" s="1785" t="n"/>
      <c r="BL21" s="1785" t="n"/>
      <c r="BM21" s="1782" t="n"/>
      <c r="BO21" s="4423" t="n"/>
      <c r="BP21" s="4423" t="n"/>
      <c r="BQ21" s="4423" t="n"/>
      <c r="BS21" s="1803" t="n"/>
    </row>
    <row r="22" ht="15" customHeight="1">
      <c r="B22" s="1781" t="n"/>
      <c r="C22" s="1780">
        <f>'2.LUC'!C58</f>
        <v/>
      </c>
      <c r="D22" s="1826" t="n"/>
      <c r="E22" s="1780">
        <f>Languages!B144</f>
        <v/>
      </c>
      <c r="F22" s="1792" t="n"/>
      <c r="G22" s="1805">
        <f>Languages!B108</f>
        <v/>
      </c>
      <c r="H22" s="1828" t="n"/>
      <c r="I22" s="1805">
        <f>Languages!B110</f>
        <v/>
      </c>
      <c r="J22" s="1816" t="n"/>
      <c r="K22" s="1805">
        <f>Languages!B112</f>
        <v/>
      </c>
      <c r="L22" s="1829" t="n"/>
      <c r="M22" s="1780">
        <f>Languages!B143</f>
        <v/>
      </c>
      <c r="N22" s="1781" t="n"/>
      <c r="O22" s="1780" t="n"/>
      <c r="P22" s="1781" t="n"/>
      <c r="Q22" s="1781" t="n"/>
      <c r="R22" s="1781" t="n"/>
      <c r="S22" s="1781" t="n"/>
      <c r="T22" s="1781" t="n"/>
      <c r="U22" s="1781" t="n"/>
      <c r="V22" s="1830" t="n"/>
      <c r="W22" s="1779" t="n"/>
      <c r="X22" s="1831" t="n"/>
      <c r="Y22" s="1831" t="n"/>
      <c r="Z22" s="1832" t="n"/>
      <c r="AA22" s="1813" t="n"/>
      <c r="AB22" s="1813" t="n"/>
      <c r="AC22" s="1813" t="n"/>
      <c r="AD22" s="1813" t="n"/>
      <c r="AE22" s="1813" t="n"/>
      <c r="AF22" s="1813" t="n"/>
      <c r="AG22" s="1813" t="n"/>
      <c r="AH22" s="1813" t="n"/>
      <c r="AI22" s="1813" t="n"/>
      <c r="AJ22" s="1813" t="n"/>
      <c r="AP22" s="1782" t="n"/>
      <c r="AQ22" s="1782" t="n"/>
      <c r="AR22" s="1782" t="n"/>
      <c r="AS22" s="1795">
        <f>AS11</f>
        <v/>
      </c>
      <c r="AT22" s="1796" t="inlineStr">
        <is>
          <t>Soil carbon (tC/ha)</t>
        </is>
      </c>
      <c r="AU22" s="1797">
        <f>Languages!B163</f>
        <v/>
      </c>
      <c r="AV22" s="1798" t="n"/>
      <c r="AW22" s="1833">
        <f>AW11</f>
        <v/>
      </c>
      <c r="AX22" s="1797" t="n"/>
      <c r="AY22" s="1799">
        <f>AY11</f>
        <v/>
      </c>
      <c r="AZ22" s="1800" t="n"/>
      <c r="BA22" s="1801">
        <f>BA11</f>
        <v/>
      </c>
      <c r="BB22" s="1800" t="n"/>
      <c r="BC22" s="1782" t="n"/>
      <c r="BD22" s="1782" t="n"/>
      <c r="BE22" s="1782" t="n"/>
      <c r="BF22" s="1782" t="n"/>
      <c r="BG22" s="1782" t="n"/>
      <c r="BH22" s="1795">
        <f>BH11</f>
        <v/>
      </c>
      <c r="BI22" s="1795">
        <f>BI11</f>
        <v/>
      </c>
      <c r="BJ22" s="1799">
        <f>BJ11</f>
        <v/>
      </c>
      <c r="BK22" s="1802">
        <f>BK11</f>
        <v/>
      </c>
      <c r="BL22" s="1784" t="n"/>
      <c r="BM22" s="1782" t="n"/>
      <c r="BO22" s="1997" t="n"/>
      <c r="BP22" s="1894" t="n"/>
      <c r="BQ22" s="1997" t="n"/>
      <c r="BS22" s="1803" t="n"/>
    </row>
    <row r="23" ht="15" customHeight="1">
      <c r="B23" s="1781" t="n"/>
      <c r="C23" s="1826" t="n"/>
      <c r="D23" s="1781" t="n"/>
      <c r="E23" s="1780">
        <f>E13</f>
        <v/>
      </c>
      <c r="F23" s="1780" t="n"/>
      <c r="G23" s="1805">
        <f>Languages!B109</f>
        <v/>
      </c>
      <c r="H23" s="1834" t="n"/>
      <c r="I23" s="1805">
        <f>Languages!B111</f>
        <v/>
      </c>
      <c r="J23" s="1812" t="n"/>
      <c r="K23" s="1805">
        <f>Languages!B113</f>
        <v/>
      </c>
      <c r="L23" s="1835" t="n"/>
      <c r="M23" s="1806">
        <f>M13</f>
        <v/>
      </c>
      <c r="N23" s="1781" t="n"/>
      <c r="O23" s="1806" t="n"/>
      <c r="P23" s="1781" t="n"/>
      <c r="Q23" s="1806">
        <f>Languages!B11</f>
        <v/>
      </c>
      <c r="R23" s="1806">
        <f>Languages!B12</f>
        <v/>
      </c>
      <c r="S23" s="1781" t="n"/>
      <c r="T23" s="1806">
        <f>Languages!B13</f>
        <v/>
      </c>
      <c r="U23" s="1781" t="n"/>
      <c r="V23" s="1826" t="n"/>
      <c r="W23" s="1805">
        <f>R23</f>
        <v/>
      </c>
      <c r="X23" s="1805">
        <f>T23</f>
        <v/>
      </c>
      <c r="Y23" s="1781" t="n"/>
      <c r="Z23" s="1780">
        <f>Languages!B120</f>
        <v/>
      </c>
      <c r="AA23" s="1813" t="n"/>
      <c r="AB23" s="1813" t="n"/>
      <c r="AC23" s="1813" t="n"/>
      <c r="AD23" s="1813" t="n"/>
      <c r="AE23" s="1813" t="n"/>
      <c r="AF23" s="1813" t="n"/>
      <c r="AG23" s="1813" t="n"/>
      <c r="AH23" s="1813" t="n"/>
      <c r="AI23" s="1813" t="n"/>
      <c r="AJ23" s="1813" t="n"/>
      <c r="AP23" s="1782" t="n"/>
      <c r="AQ23" s="1782" t="n"/>
      <c r="AR23" s="1782" t="n"/>
      <c r="AS23" s="1795">
        <f>AS12</f>
        <v/>
      </c>
      <c r="AT23" s="1782" t="n"/>
      <c r="AU23" s="1782" t="n"/>
      <c r="AV23" s="1782" t="n"/>
      <c r="AW23" s="1782" t="n"/>
      <c r="AX23" s="1782" t="n"/>
      <c r="AY23" s="1782" t="n"/>
      <c r="AZ23" s="1782" t="n"/>
      <c r="BA23" s="1800" t="inlineStr">
        <is>
          <t>t dm/ha</t>
        </is>
      </c>
      <c r="BB23" s="1800" t="n"/>
      <c r="BC23" s="1782" t="n"/>
      <c r="BD23" s="1782" t="n"/>
      <c r="BE23" s="1782" t="n"/>
      <c r="BF23" s="1782" t="n"/>
      <c r="BG23" s="1782" t="n"/>
      <c r="BH23" s="1795" t="n"/>
      <c r="BI23" s="1795">
        <f>BI13</f>
        <v/>
      </c>
      <c r="BJ23" s="1795">
        <f>BJ12</f>
        <v/>
      </c>
      <c r="BK23" s="1800" t="inlineStr">
        <is>
          <t>t dm/ha</t>
        </is>
      </c>
      <c r="BL23" s="1809" t="n"/>
      <c r="BM23" s="1782" t="n"/>
      <c r="BO23" s="1997" t="n"/>
      <c r="BP23" s="1894" t="n"/>
      <c r="BQ23" s="1997" t="n"/>
      <c r="BS23" s="1803" t="n"/>
    </row>
    <row r="24" ht="15" customHeight="1">
      <c r="B24" s="1781" t="n"/>
      <c r="C24" s="4044">
        <f>Languages!B129</f>
        <v/>
      </c>
      <c r="D24" s="1781" t="n"/>
      <c r="E24" s="1781" t="n"/>
      <c r="F24" s="1780" t="n"/>
      <c r="G24" s="1812" t="n"/>
      <c r="H24" s="1834" t="n"/>
      <c r="I24" s="1837" t="n"/>
      <c r="J24" s="1812" t="n"/>
      <c r="K24" s="1837" t="n"/>
      <c r="L24" s="1835" t="n"/>
      <c r="M24" s="1806" t="n"/>
      <c r="N24" s="1781" t="n"/>
      <c r="O24" s="1806" t="n"/>
      <c r="P24" s="1781" t="n"/>
      <c r="Q24" s="1806" t="n"/>
      <c r="R24" s="1806" t="n"/>
      <c r="S24" s="1806" t="inlineStr">
        <is>
          <t>*</t>
        </is>
      </c>
      <c r="T24" s="1806" t="n"/>
      <c r="U24" s="1806" t="inlineStr">
        <is>
          <t>*</t>
        </is>
      </c>
      <c r="V24" s="1781" t="n"/>
      <c r="W24" s="1812" t="n"/>
      <c r="X24" s="1812" t="n"/>
      <c r="Y24" s="1781" t="n"/>
      <c r="Z24" s="1812" t="n"/>
      <c r="AA24" s="1813" t="n"/>
      <c r="AB24" s="1813" t="n"/>
      <c r="AC24" s="1813" t="n"/>
      <c r="AD24" s="1813" t="n"/>
      <c r="AE24" s="1813" t="n"/>
      <c r="AF24" s="1813" t="n"/>
      <c r="AG24" s="1813" t="n"/>
      <c r="AH24" s="1813" t="n"/>
      <c r="AI24" s="1813" t="n"/>
      <c r="AJ24" s="1813" t="n"/>
      <c r="AP24" s="1782" t="n"/>
      <c r="AQ24" s="1782" t="n"/>
      <c r="AR24" s="1782" t="n"/>
      <c r="AS24" s="1795">
        <f>AS13</f>
        <v/>
      </c>
      <c r="AT24" s="1795">
        <f>AT13</f>
        <v/>
      </c>
      <c r="AU24" s="1800">
        <f>AS24</f>
        <v/>
      </c>
      <c r="AV24" s="1795">
        <f>AT24</f>
        <v/>
      </c>
      <c r="AW24" s="1795">
        <f>AU24</f>
        <v/>
      </c>
      <c r="AX24" s="1795">
        <f>AV24</f>
        <v/>
      </c>
      <c r="AY24" s="1797">
        <f>AW24</f>
        <v/>
      </c>
      <c r="AZ24" s="1795">
        <f>AX24</f>
        <v/>
      </c>
      <c r="BA24" s="1795">
        <f>AW24</f>
        <v/>
      </c>
      <c r="BB24" s="1795">
        <f>AX24</f>
        <v/>
      </c>
      <c r="BC24" s="1782" t="n"/>
      <c r="BD24" s="1782" t="n"/>
      <c r="BE24" s="1782" t="n"/>
      <c r="BF24" s="1782" t="n"/>
      <c r="BG24" s="1782" t="n"/>
      <c r="BH24" s="1782" t="n"/>
      <c r="BI24" s="1782" t="n"/>
      <c r="BJ24" s="1782" t="n"/>
      <c r="BK24" s="1795">
        <f>BA24</f>
        <v/>
      </c>
      <c r="BL24" s="1795">
        <f>BB24</f>
        <v/>
      </c>
      <c r="BM24" s="1782" t="n"/>
      <c r="BO24" s="1997" t="n"/>
      <c r="BP24" s="1894" t="n"/>
      <c r="BQ24" s="1997" t="n"/>
      <c r="BS24" s="1803" t="n"/>
    </row>
    <row r="25" ht="15" customHeight="1">
      <c r="B25" s="1781" t="n"/>
      <c r="C25" s="4125" t="n"/>
      <c r="D25" s="1781" t="n"/>
      <c r="E25" s="2133" t="inlineStr">
        <is>
          <t>Default</t>
        </is>
      </c>
      <c r="F25" s="1780" t="n"/>
      <c r="G25" s="2133" t="inlineStr">
        <is>
          <t>Please select</t>
        </is>
      </c>
      <c r="H25" s="1838" t="n"/>
      <c r="I25" s="4132" t="inlineStr">
        <is>
          <t>Please select</t>
        </is>
      </c>
      <c r="J25" s="1812" t="n"/>
      <c r="K25" s="2133" t="inlineStr">
        <is>
          <t>Please select</t>
        </is>
      </c>
      <c r="L25" s="1835" t="n"/>
      <c r="M25" s="4133" t="n"/>
      <c r="N25" s="1781" t="n"/>
      <c r="O25" s="1806" t="n"/>
      <c r="P25" s="1781" t="n"/>
      <c r="Q25" s="4123" t="n">
        <v>0</v>
      </c>
      <c r="R25" s="4123" t="n">
        <v>0</v>
      </c>
      <c r="S25" s="4134" t="inlineStr">
        <is>
          <t>D</t>
        </is>
      </c>
      <c r="T25" s="4123" t="n">
        <v>0</v>
      </c>
      <c r="U25" s="4134" t="inlineStr">
        <is>
          <t>D</t>
        </is>
      </c>
      <c r="V25" s="1781" t="n"/>
      <c r="W25" s="1815">
        <f>annual!O38</f>
        <v/>
      </c>
      <c r="X25" s="1815">
        <f>annual!P38</f>
        <v/>
      </c>
      <c r="Y25" s="1839" t="n"/>
      <c r="Z25" s="1812">
        <f>annual!Q38</f>
        <v/>
      </c>
      <c r="AA25" s="1813">
        <f>IF(OR($G25="No tillage", $G25="Reduced tillage"), "till_impr", IF($G25="Full tillage", "till_conv", "till_?"))</f>
        <v/>
      </c>
      <c r="AB25" s="1813" t="n"/>
      <c r="AC25" s="1813" t="n"/>
      <c r="AD25" s="1813" t="n"/>
      <c r="AE25" s="1813" t="n"/>
      <c r="AF25" s="1813" t="n"/>
      <c r="AG25" s="1813" t="n"/>
      <c r="AH25" s="1813" t="n"/>
      <c r="AI25" s="1813" t="n"/>
      <c r="AJ25" s="1813" t="n"/>
      <c r="AP25" s="1800">
        <f>IF($C25&lt;&gt;"", $C25, "")</f>
        <v/>
      </c>
      <c r="AQ25" s="1800" t="n"/>
      <c r="AR25" s="1800" t="n"/>
      <c r="AS25" s="1817">
        <f>IF($G25 &lt;&gt;"Please select", SOCref,0)</f>
        <v/>
      </c>
      <c r="AT25" s="2125" t="n"/>
      <c r="AU25" s="1817">
        <f>_xlfn.IFNA(IF($G25&lt;&gt;"Please select", VLOOKUP(clim_moist, IPCC!$A$57:$B$68, 2, FALSE),0),)</f>
        <v/>
      </c>
      <c r="AV25" s="2125" t="n"/>
      <c r="AW25" s="1817">
        <f>_xlfn.IFNA(INDEX(IPCC!$F$58:$H$68,MATCH(clim_moist,IPCC!$A$58:$A$68,0),MATCH('3.Cropland'!G25,IPCC!$F$58:$H$58,0)),)</f>
        <v/>
      </c>
      <c r="AX25" s="2125" t="n"/>
      <c r="AY25" s="1817">
        <f>_xlfn.IFNA(INDEX(IPCC!$I$58:$L$68,MATCH(clim_moist,IPCC!$A$58:$A$68,0),MATCH('3.Cropland'!I25,IPCC!$I$58:$L$58,0)),)</f>
        <v/>
      </c>
      <c r="AZ25" s="2125" t="n"/>
      <c r="BA25" s="1817">
        <f>annual!I68</f>
        <v/>
      </c>
      <c r="BB25" s="2125" t="n"/>
      <c r="BC25" s="1782" t="n"/>
      <c r="BD25" s="1782" t="n"/>
      <c r="BE25" s="1782" t="n"/>
      <c r="BF25" s="1782" t="n"/>
      <c r="BG25" s="1782" t="n"/>
      <c r="BH25" s="4142" t="inlineStr">
        <is>
          <t xml:space="preserve">None </t>
        </is>
      </c>
      <c r="BI25" s="4143" t="n"/>
      <c r="BJ25" s="4141" t="inlineStr">
        <is>
          <t>Please select</t>
        </is>
      </c>
      <c r="BK25" s="1817">
        <f>annual!$T68</f>
        <v/>
      </c>
      <c r="BL25" s="2125" t="n"/>
      <c r="BM25" s="1782" t="n"/>
      <c r="BO25" s="4401" t="n">
        <v>1</v>
      </c>
      <c r="BP25" s="4402" t="n"/>
      <c r="BQ25" s="1997" t="n"/>
      <c r="BS25" s="1803" t="n"/>
    </row>
    <row r="26" ht="15" customHeight="1">
      <c r="B26" s="1781" t="n"/>
      <c r="C26" s="4126" t="n"/>
      <c r="D26" s="1781" t="n"/>
      <c r="E26" s="2133" t="inlineStr">
        <is>
          <t>Default</t>
        </is>
      </c>
      <c r="F26" s="1780" t="n"/>
      <c r="G26" s="2133" t="inlineStr">
        <is>
          <t>Please select</t>
        </is>
      </c>
      <c r="H26" s="1838" t="n"/>
      <c r="I26" s="4132" t="inlineStr">
        <is>
          <t>Please select</t>
        </is>
      </c>
      <c r="J26" s="1812" t="n"/>
      <c r="K26" s="2133" t="inlineStr">
        <is>
          <t>Please select</t>
        </is>
      </c>
      <c r="L26" s="1835" t="n"/>
      <c r="M26" s="4133" t="n"/>
      <c r="N26" s="1781" t="n"/>
      <c r="O26" s="1806" t="n"/>
      <c r="P26" s="1781" t="n"/>
      <c r="Q26" s="4123" t="n">
        <v>0</v>
      </c>
      <c r="R26" s="4123" t="n">
        <v>0</v>
      </c>
      <c r="S26" s="4134" t="inlineStr">
        <is>
          <t>D</t>
        </is>
      </c>
      <c r="T26" s="4123" t="n">
        <v>0</v>
      </c>
      <c r="U26" s="4134" t="inlineStr">
        <is>
          <t>D</t>
        </is>
      </c>
      <c r="V26" s="1781" t="n"/>
      <c r="W26" s="1815">
        <f>annual!O39</f>
        <v/>
      </c>
      <c r="X26" s="1815">
        <f>annual!P39</f>
        <v/>
      </c>
      <c r="Y26" s="1839" t="n"/>
      <c r="Z26" s="1812">
        <f>annual!Q39</f>
        <v/>
      </c>
      <c r="AA26" s="1813">
        <f>IF(OR($G26="No tillage", $G26="Reduced tillage"), "till_impr", IF($G26="Full tillage", "till_conv", "till_?"))</f>
        <v/>
      </c>
      <c r="AB26" s="1813" t="n"/>
      <c r="AC26" s="1813" t="n"/>
      <c r="AD26" s="1813" t="n"/>
      <c r="AE26" s="1813" t="n"/>
      <c r="AF26" s="1813" t="n"/>
      <c r="AG26" s="1813" t="n"/>
      <c r="AH26" s="1813" t="n"/>
      <c r="AI26" s="1813" t="n"/>
      <c r="AJ26" s="1813" t="n"/>
      <c r="AP26" s="1800">
        <f>IF($C26&lt;&gt;"", $C26, "")</f>
        <v/>
      </c>
      <c r="AQ26" s="1800" t="n"/>
      <c r="AR26" s="1800" t="n"/>
      <c r="AS26" s="1817">
        <f>IF($G26 &lt;&gt;"Please select", SOCref,0)</f>
        <v/>
      </c>
      <c r="AT26" s="2125" t="n"/>
      <c r="AU26" s="1817">
        <f>_xlfn.IFNA(IF($G26&lt;&gt;"Please select", VLOOKUP(clim_moist, IPCC!$A$57:$B$68, 2, FALSE),0),)</f>
        <v/>
      </c>
      <c r="AV26" s="2125" t="n"/>
      <c r="AW26" s="1817">
        <f>_xlfn.IFNA(INDEX(IPCC!$F$58:$H$68,MATCH(clim_moist,IPCC!$A$58:$A$68,0),MATCH('3.Cropland'!G26,IPCC!$F$58:$H$58,0)),)</f>
        <v/>
      </c>
      <c r="AX26" s="2125" t="n"/>
      <c r="AY26" s="1817">
        <f>_xlfn.IFNA(INDEX(IPCC!$I$58:$L$68,MATCH(clim_moist,IPCC!$A$58:$A$68,0),MATCH('3.Cropland'!I26,IPCC!$I$58:$L$58,0)),)</f>
        <v/>
      </c>
      <c r="AZ26" s="2125" t="n"/>
      <c r="BA26" s="1817">
        <f>annual!I69</f>
        <v/>
      </c>
      <c r="BB26" s="2125" t="n"/>
      <c r="BC26" s="1782" t="n"/>
      <c r="BD26" s="1782" t="n"/>
      <c r="BE26" s="1782" t="n"/>
      <c r="BF26" s="1782" t="n"/>
      <c r="BG26" s="1782" t="n"/>
      <c r="BH26" s="4142" t="inlineStr">
        <is>
          <t xml:space="preserve">None </t>
        </is>
      </c>
      <c r="BI26" s="4143" t="n"/>
      <c r="BJ26" s="4141" t="inlineStr">
        <is>
          <t>Please select</t>
        </is>
      </c>
      <c r="BK26" s="1817">
        <f>annual!$T69</f>
        <v/>
      </c>
      <c r="BL26" s="2125" t="n"/>
      <c r="BM26" s="1782" t="n"/>
      <c r="BO26" s="4401" t="n">
        <v>1</v>
      </c>
      <c r="BP26" s="4402" t="n"/>
      <c r="BQ26" s="1997" t="n"/>
      <c r="BS26" s="1803" t="n"/>
    </row>
    <row r="27" ht="15" customHeight="1">
      <c r="B27" s="1781" t="n"/>
      <c r="C27" s="4126" t="n"/>
      <c r="D27" s="1781" t="n"/>
      <c r="E27" s="2133" t="inlineStr">
        <is>
          <t>Default</t>
        </is>
      </c>
      <c r="F27" s="1780" t="n"/>
      <c r="G27" s="2133" t="inlineStr">
        <is>
          <t>Please select</t>
        </is>
      </c>
      <c r="H27" s="1838" t="n"/>
      <c r="I27" s="4132" t="inlineStr">
        <is>
          <t>Please select</t>
        </is>
      </c>
      <c r="J27" s="1812" t="n"/>
      <c r="K27" s="2133" t="inlineStr">
        <is>
          <t>Please select</t>
        </is>
      </c>
      <c r="L27" s="1835" t="n"/>
      <c r="M27" s="4133" t="n"/>
      <c r="N27" s="1781" t="n"/>
      <c r="O27" s="1806" t="n"/>
      <c r="P27" s="1781" t="n"/>
      <c r="Q27" s="4123" t="n">
        <v>0</v>
      </c>
      <c r="R27" s="4123" t="n">
        <v>0</v>
      </c>
      <c r="S27" s="4134" t="inlineStr">
        <is>
          <t>D</t>
        </is>
      </c>
      <c r="T27" s="4123" t="n">
        <v>0</v>
      </c>
      <c r="U27" s="4134" t="inlineStr">
        <is>
          <t>D</t>
        </is>
      </c>
      <c r="V27" s="1781" t="n"/>
      <c r="W27" s="1815">
        <f>annual!O40</f>
        <v/>
      </c>
      <c r="X27" s="1815">
        <f>annual!P40</f>
        <v/>
      </c>
      <c r="Y27" s="1839" t="n"/>
      <c r="Z27" s="1812">
        <f>annual!Q40</f>
        <v/>
      </c>
      <c r="AA27" s="1813">
        <f>IF(OR($G27="No tillage", $G27="Reduced tillage"), "till_impr", IF($G27="Full tillage", "till_conv", "till_?"))</f>
        <v/>
      </c>
      <c r="AB27" s="1813" t="n"/>
      <c r="AC27" s="1813" t="n"/>
      <c r="AD27" s="1813" t="n"/>
      <c r="AE27" s="1813" t="n"/>
      <c r="AF27" s="1813" t="n"/>
      <c r="AG27" s="1813" t="n"/>
      <c r="AH27" s="1813" t="n"/>
      <c r="AI27" s="1813" t="n"/>
      <c r="AJ27" s="1813" t="n"/>
      <c r="AP27" s="1800">
        <f>IF($C27&lt;&gt;"", $C27, "")</f>
        <v/>
      </c>
      <c r="AQ27" s="1800" t="n"/>
      <c r="AR27" s="1800" t="n"/>
      <c r="AS27" s="1817">
        <f>IF($G27 &lt;&gt;"Please select", SOCref,0)</f>
        <v/>
      </c>
      <c r="AT27" s="2125" t="n"/>
      <c r="AU27" s="1817">
        <f>_xlfn.IFNA(IF($G27&lt;&gt;"Please select", VLOOKUP(clim_moist, IPCC!$A$57:$B$68, 2, FALSE),0),)</f>
        <v/>
      </c>
      <c r="AV27" s="2125" t="n"/>
      <c r="AW27" s="1817">
        <f>_xlfn.IFNA(INDEX(IPCC!$F$58:$H$68,MATCH(clim_moist,IPCC!$A$58:$A$68,0),MATCH('3.Cropland'!G27,IPCC!$F$58:$H$58,0)),)</f>
        <v/>
      </c>
      <c r="AX27" s="2125" t="n"/>
      <c r="AY27" s="1817">
        <f>_xlfn.IFNA(INDEX(IPCC!$I$58:$L$68,MATCH(clim_moist,IPCC!$A$58:$A$68,0),MATCH('3.Cropland'!I27,IPCC!$I$58:$L$58,0)),)</f>
        <v/>
      </c>
      <c r="AZ27" s="2125" t="n"/>
      <c r="BA27" s="1817">
        <f>annual!I70</f>
        <v/>
      </c>
      <c r="BB27" s="2125" t="n"/>
      <c r="BC27" s="1782" t="n"/>
      <c r="BD27" s="1782" t="n"/>
      <c r="BE27" s="1782" t="n"/>
      <c r="BF27" s="1782" t="n"/>
      <c r="BG27" s="1782" t="n"/>
      <c r="BH27" s="4142" t="inlineStr">
        <is>
          <t xml:space="preserve">None </t>
        </is>
      </c>
      <c r="BI27" s="4143" t="n"/>
      <c r="BJ27" s="4141" t="inlineStr">
        <is>
          <t>Please select</t>
        </is>
      </c>
      <c r="BK27" s="1817">
        <f>annual!$T70</f>
        <v/>
      </c>
      <c r="BL27" s="2125" t="n"/>
      <c r="BM27" s="1782" t="n"/>
      <c r="BO27" s="4401" t="n">
        <v>1</v>
      </c>
      <c r="BP27" s="4402" t="n"/>
      <c r="BQ27" s="1997" t="n"/>
      <c r="BR27" s="1840" t="n"/>
      <c r="BS27" s="1803" t="n"/>
    </row>
    <row r="28" ht="15" customHeight="1">
      <c r="B28" s="1781" t="n"/>
      <c r="C28" s="4126" t="n"/>
      <c r="D28" s="1781" t="n"/>
      <c r="E28" s="2133" t="inlineStr">
        <is>
          <t>Default</t>
        </is>
      </c>
      <c r="F28" s="1780" t="n"/>
      <c r="G28" s="2133" t="inlineStr">
        <is>
          <t>Please select</t>
        </is>
      </c>
      <c r="H28" s="1838" t="n"/>
      <c r="I28" s="4132" t="inlineStr">
        <is>
          <t>Please select</t>
        </is>
      </c>
      <c r="J28" s="1812" t="n"/>
      <c r="K28" s="2133" t="inlineStr">
        <is>
          <t>Please select</t>
        </is>
      </c>
      <c r="L28" s="1835" t="n"/>
      <c r="M28" s="4133" t="n"/>
      <c r="N28" s="1781" t="n"/>
      <c r="O28" s="1806" t="n"/>
      <c r="P28" s="1781" t="n"/>
      <c r="Q28" s="4123" t="n">
        <v>0</v>
      </c>
      <c r="R28" s="4123" t="n">
        <v>0</v>
      </c>
      <c r="S28" s="4134" t="inlineStr">
        <is>
          <t>D</t>
        </is>
      </c>
      <c r="T28" s="4123" t="n">
        <v>0</v>
      </c>
      <c r="U28" s="4134" t="inlineStr">
        <is>
          <t>D</t>
        </is>
      </c>
      <c r="V28" s="1781" t="n"/>
      <c r="W28" s="1815">
        <f>annual!O41</f>
        <v/>
      </c>
      <c r="X28" s="1815">
        <f>annual!P41</f>
        <v/>
      </c>
      <c r="Y28" s="1839" t="n"/>
      <c r="Z28" s="1812">
        <f>annual!Q41</f>
        <v/>
      </c>
      <c r="AA28" s="1813">
        <f>IF(OR($G28="No tillage", $G28="Reduced tillage"), "till_impr", IF($G28="Full tillage", "till_conv", "till_?"))</f>
        <v/>
      </c>
      <c r="AB28" s="1813" t="n"/>
      <c r="AC28" s="1813" t="n"/>
      <c r="AD28" s="1813" t="n"/>
      <c r="AE28" s="1813" t="n"/>
      <c r="AF28" s="1813" t="n"/>
      <c r="AG28" s="1813" t="n"/>
      <c r="AH28" s="1813" t="n"/>
      <c r="AI28" s="1813" t="n"/>
      <c r="AJ28" s="1813" t="n"/>
      <c r="AP28" s="1800">
        <f>IF($C28&lt;&gt;"", $C28, "")</f>
        <v/>
      </c>
      <c r="AQ28" s="1800" t="n"/>
      <c r="AR28" s="1800" t="n"/>
      <c r="AS28" s="1817">
        <f>IF($G28 &lt;&gt;"Please select", SOCref,0)</f>
        <v/>
      </c>
      <c r="AT28" s="2125" t="n"/>
      <c r="AU28" s="1817">
        <f>_xlfn.IFNA(IF($G28&lt;&gt;"Please select", VLOOKUP(clim_moist, IPCC!$A$57:$B$68, 2, FALSE),0),)</f>
        <v/>
      </c>
      <c r="AV28" s="2125" t="n"/>
      <c r="AW28" s="1817">
        <f>_xlfn.IFNA(INDEX(IPCC!$F$58:$H$68,MATCH(clim_moist,IPCC!$A$58:$A$68,0),MATCH('3.Cropland'!G28,IPCC!$F$58:$H$58,0)),)</f>
        <v/>
      </c>
      <c r="AX28" s="2125" t="n"/>
      <c r="AY28" s="1817">
        <f>_xlfn.IFNA(INDEX(IPCC!$I$58:$L$68,MATCH(clim_moist,IPCC!$A$58:$A$68,0),MATCH('3.Cropland'!I28,IPCC!$I$58:$L$58,0)),)</f>
        <v/>
      </c>
      <c r="AZ28" s="2125" t="n"/>
      <c r="BA28" s="1817">
        <f>annual!I71</f>
        <v/>
      </c>
      <c r="BB28" s="2125" t="n"/>
      <c r="BC28" s="1782" t="n"/>
      <c r="BD28" s="1782" t="n"/>
      <c r="BE28" s="1782" t="n"/>
      <c r="BF28" s="1782" t="n"/>
      <c r="BG28" s="1782" t="n"/>
      <c r="BH28" s="4142" t="inlineStr">
        <is>
          <t xml:space="preserve">None </t>
        </is>
      </c>
      <c r="BI28" s="4143" t="n"/>
      <c r="BJ28" s="4141" t="inlineStr">
        <is>
          <t>Please select</t>
        </is>
      </c>
      <c r="BK28" s="1817">
        <f>annual!$T71</f>
        <v/>
      </c>
      <c r="BL28" s="2125" t="n"/>
      <c r="BM28" s="1782" t="n"/>
      <c r="BO28" s="4401" t="n">
        <v>1</v>
      </c>
      <c r="BP28" s="4402" t="n"/>
      <c r="BQ28" s="1997" t="n"/>
      <c r="BS28" s="1803" t="n"/>
    </row>
    <row r="29" ht="15" customHeight="1">
      <c r="B29" s="1781" t="n"/>
      <c r="C29" s="4126" t="n"/>
      <c r="D29" s="1781" t="n"/>
      <c r="E29" s="2133" t="inlineStr">
        <is>
          <t>Default</t>
        </is>
      </c>
      <c r="F29" s="1780" t="n"/>
      <c r="G29" s="2133" t="inlineStr">
        <is>
          <t>Please select</t>
        </is>
      </c>
      <c r="H29" s="1838" t="n"/>
      <c r="I29" s="4132" t="inlineStr">
        <is>
          <t>Please select</t>
        </is>
      </c>
      <c r="J29" s="1812" t="n"/>
      <c r="K29" s="2133" t="inlineStr">
        <is>
          <t>Please select</t>
        </is>
      </c>
      <c r="L29" s="1835" t="n"/>
      <c r="M29" s="4133" t="n"/>
      <c r="N29" s="1781" t="n"/>
      <c r="O29" s="1806" t="n"/>
      <c r="P29" s="1781" t="n"/>
      <c r="Q29" s="4123" t="n">
        <v>0</v>
      </c>
      <c r="R29" s="4123" t="n">
        <v>0</v>
      </c>
      <c r="S29" s="4134" t="inlineStr">
        <is>
          <t>D</t>
        </is>
      </c>
      <c r="T29" s="4123" t="n">
        <v>0</v>
      </c>
      <c r="U29" s="4134" t="inlineStr">
        <is>
          <t>D</t>
        </is>
      </c>
      <c r="V29" s="1781" t="n"/>
      <c r="W29" s="1815">
        <f>annual!O42</f>
        <v/>
      </c>
      <c r="X29" s="1815">
        <f>annual!P42</f>
        <v/>
      </c>
      <c r="Y29" s="1839" t="n"/>
      <c r="Z29" s="1812">
        <f>annual!Q42</f>
        <v/>
      </c>
      <c r="AA29" s="1813">
        <f>IF(OR($G29="No tillage", $G29="Reduced tillage"), "till_impr", IF($G29="Full tillage", "till_conv", "till_?"))</f>
        <v/>
      </c>
      <c r="AB29" s="1813" t="n"/>
      <c r="AC29" s="1813" t="n"/>
      <c r="AD29" s="1813" t="n"/>
      <c r="AE29" s="1813" t="n"/>
      <c r="AF29" s="1813" t="n"/>
      <c r="AG29" s="1813" t="n"/>
      <c r="AH29" s="1813" t="n"/>
      <c r="AI29" s="1813" t="n"/>
      <c r="AJ29" s="1813" t="n"/>
      <c r="AP29" s="1800">
        <f>IF($C29&lt;&gt;"", $C29, "")</f>
        <v/>
      </c>
      <c r="AQ29" s="1800" t="n"/>
      <c r="AR29" s="1800" t="n"/>
      <c r="AS29" s="1817">
        <f>IF($G29 &lt;&gt;"Please select", SOCref,0)</f>
        <v/>
      </c>
      <c r="AT29" s="2125" t="n"/>
      <c r="AU29" s="1817">
        <f>_xlfn.IFNA(IF($G29&lt;&gt;"Please select", VLOOKUP(clim_moist, IPCC!$A$57:$B$68, 2, FALSE),0),)</f>
        <v/>
      </c>
      <c r="AV29" s="2125" t="n"/>
      <c r="AW29" s="1817">
        <f>_xlfn.IFNA(INDEX(IPCC!$F$58:$H$68,MATCH(clim_moist,IPCC!$A$58:$A$68,0),MATCH('3.Cropland'!G29,IPCC!$F$58:$H$58,0)),)</f>
        <v/>
      </c>
      <c r="AX29" s="2125" t="n"/>
      <c r="AY29" s="1817">
        <f>_xlfn.IFNA(INDEX(IPCC!$I$58:$L$68,MATCH(clim_moist,IPCC!$A$58:$A$68,0),MATCH('3.Cropland'!I29,IPCC!$I$58:$L$58,0)),)</f>
        <v/>
      </c>
      <c r="AZ29" s="2125" t="n"/>
      <c r="BA29" s="1817">
        <f>annual!I72</f>
        <v/>
      </c>
      <c r="BB29" s="2125" t="n"/>
      <c r="BC29" s="1782" t="n"/>
      <c r="BD29" s="1782" t="n"/>
      <c r="BE29" s="1782" t="n"/>
      <c r="BF29" s="1782" t="n"/>
      <c r="BG29" s="1782" t="n"/>
      <c r="BH29" s="4142" t="inlineStr">
        <is>
          <t xml:space="preserve">None </t>
        </is>
      </c>
      <c r="BI29" s="4143" t="n"/>
      <c r="BJ29" s="4141" t="inlineStr">
        <is>
          <t>Please select</t>
        </is>
      </c>
      <c r="BK29" s="1817">
        <f>annual!$T72</f>
        <v/>
      </c>
      <c r="BL29" s="2125" t="n"/>
      <c r="BM29" s="1782" t="n"/>
      <c r="BO29" s="4401" t="n">
        <v>1</v>
      </c>
      <c r="BP29" s="4402" t="n"/>
      <c r="BQ29" s="1997" t="n"/>
      <c r="BS29" s="1803" t="n"/>
    </row>
    <row r="30" ht="15" customHeight="1">
      <c r="B30" s="1781" t="n"/>
      <c r="C30" s="4126" t="n"/>
      <c r="D30" s="1781" t="n"/>
      <c r="E30" s="2133" t="inlineStr">
        <is>
          <t>Default</t>
        </is>
      </c>
      <c r="F30" s="1780" t="n"/>
      <c r="G30" s="2133" t="inlineStr">
        <is>
          <t>Please select</t>
        </is>
      </c>
      <c r="H30" s="1838" t="n"/>
      <c r="I30" s="4132" t="inlineStr">
        <is>
          <t>Please select</t>
        </is>
      </c>
      <c r="J30" s="1812" t="n"/>
      <c r="K30" s="2133" t="inlineStr">
        <is>
          <t>Please select</t>
        </is>
      </c>
      <c r="L30" s="1835" t="n"/>
      <c r="M30" s="4133" t="n"/>
      <c r="N30" s="1781" t="n"/>
      <c r="O30" s="1806" t="n"/>
      <c r="P30" s="1781" t="n"/>
      <c r="Q30" s="4123" t="n">
        <v>0</v>
      </c>
      <c r="R30" s="4123" t="n">
        <v>0</v>
      </c>
      <c r="S30" s="4134" t="inlineStr">
        <is>
          <t>D</t>
        </is>
      </c>
      <c r="T30" s="4123" t="n">
        <v>0</v>
      </c>
      <c r="U30" s="4134" t="inlineStr">
        <is>
          <t>D</t>
        </is>
      </c>
      <c r="V30" s="1781" t="n"/>
      <c r="W30" s="1815">
        <f>annual!O43</f>
        <v/>
      </c>
      <c r="X30" s="1815">
        <f>annual!P43</f>
        <v/>
      </c>
      <c r="Y30" s="1839" t="n"/>
      <c r="Z30" s="1812">
        <f>annual!Q43</f>
        <v/>
      </c>
      <c r="AA30" s="1813">
        <f>IF(OR($G30="No tillage", $G30="Reduced tillage"), "till_impr", IF($G30="Full tillage", "till_conv", "till_?"))</f>
        <v/>
      </c>
      <c r="AB30" s="1813" t="n"/>
      <c r="AC30" s="1813" t="n"/>
      <c r="AD30" s="1813" t="n"/>
      <c r="AE30" s="1813" t="n"/>
      <c r="AF30" s="1813" t="n"/>
      <c r="AG30" s="1813" t="n"/>
      <c r="AH30" s="1813" t="n"/>
      <c r="AI30" s="1813" t="n"/>
      <c r="AJ30" s="1813" t="n"/>
      <c r="AP30" s="1800">
        <f>IF($C30&lt;&gt;"", $C30, "")</f>
        <v/>
      </c>
      <c r="AQ30" s="1800" t="n"/>
      <c r="AR30" s="1800" t="n"/>
      <c r="AS30" s="1817">
        <f>IF($G30 &lt;&gt;"Please select", SOCref,0)</f>
        <v/>
      </c>
      <c r="AT30" s="2125" t="n"/>
      <c r="AU30" s="1817">
        <f>_xlfn.IFNA(IF($G30&lt;&gt;"Please select", VLOOKUP(clim_moist, IPCC!$A$57:$B$68, 2, FALSE),0),)</f>
        <v/>
      </c>
      <c r="AV30" s="2125" t="n"/>
      <c r="AW30" s="1817">
        <f>_xlfn.IFNA(INDEX(IPCC!$F$58:$H$68,MATCH(clim_moist,IPCC!$A$58:$A$68,0),MATCH('3.Cropland'!G30,IPCC!$F$58:$H$58,0)),)</f>
        <v/>
      </c>
      <c r="AX30" s="2125" t="n"/>
      <c r="AY30" s="1817">
        <f>_xlfn.IFNA(INDEX(IPCC!$I$58:$L$68,MATCH(clim_moist,IPCC!$A$58:$A$68,0),MATCH('3.Cropland'!I30,IPCC!$I$58:$L$58,0)),)</f>
        <v/>
      </c>
      <c r="AZ30" s="2125" t="n"/>
      <c r="BA30" s="1817">
        <f>annual!I73</f>
        <v/>
      </c>
      <c r="BB30" s="2125" t="n"/>
      <c r="BC30" s="1782" t="n"/>
      <c r="BD30" s="1782" t="n"/>
      <c r="BE30" s="1782" t="n"/>
      <c r="BF30" s="1782" t="n"/>
      <c r="BG30" s="1782" t="n"/>
      <c r="BH30" s="4142" t="inlineStr">
        <is>
          <t xml:space="preserve">None </t>
        </is>
      </c>
      <c r="BI30" s="4143" t="n"/>
      <c r="BJ30" s="4141" t="inlineStr">
        <is>
          <t>Please select</t>
        </is>
      </c>
      <c r="BK30" s="1817">
        <f>annual!$T73</f>
        <v/>
      </c>
      <c r="BL30" s="2125" t="n"/>
      <c r="BM30" s="1782" t="n"/>
      <c r="BO30" s="4401" t="n">
        <v>1</v>
      </c>
      <c r="BP30" s="4402" t="n"/>
      <c r="BQ30" s="1997" t="n"/>
      <c r="BS30" s="1803" t="n"/>
    </row>
    <row r="31" ht="15" customHeight="1">
      <c r="B31" s="1781" t="n"/>
      <c r="C31" s="4126" t="n"/>
      <c r="D31" s="1781" t="n"/>
      <c r="E31" s="2133" t="inlineStr">
        <is>
          <t>Default</t>
        </is>
      </c>
      <c r="F31" s="1780" t="n"/>
      <c r="G31" s="2133" t="inlineStr">
        <is>
          <t>Please select</t>
        </is>
      </c>
      <c r="H31" s="1838" t="n"/>
      <c r="I31" s="4132" t="inlineStr">
        <is>
          <t>Please select</t>
        </is>
      </c>
      <c r="J31" s="1812" t="n"/>
      <c r="K31" s="2133" t="inlineStr">
        <is>
          <t>Please select</t>
        </is>
      </c>
      <c r="L31" s="1835" t="n"/>
      <c r="M31" s="4133" t="n"/>
      <c r="N31" s="1781" t="n"/>
      <c r="O31" s="1806" t="n"/>
      <c r="P31" s="1781" t="n"/>
      <c r="Q31" s="4123" t="n">
        <v>0</v>
      </c>
      <c r="R31" s="4123" t="n">
        <v>0</v>
      </c>
      <c r="S31" s="4134" t="inlineStr">
        <is>
          <t>D</t>
        </is>
      </c>
      <c r="T31" s="4123" t="n">
        <v>0</v>
      </c>
      <c r="U31" s="4134" t="inlineStr">
        <is>
          <t>D</t>
        </is>
      </c>
      <c r="V31" s="1781" t="n"/>
      <c r="W31" s="1815">
        <f>annual!O44</f>
        <v/>
      </c>
      <c r="X31" s="1815">
        <f>annual!P44</f>
        <v/>
      </c>
      <c r="Y31" s="1839" t="n"/>
      <c r="Z31" s="1812">
        <f>annual!Q44</f>
        <v/>
      </c>
      <c r="AA31" s="1813">
        <f>IF(OR($G31="No tillage", $G31="Reduced tillage"), "till_impr", IF($G31="Full tillage", "till_conv", "till_?"))</f>
        <v/>
      </c>
      <c r="AB31" s="1813" t="n"/>
      <c r="AC31" s="1813" t="n"/>
      <c r="AD31" s="1813" t="n"/>
      <c r="AE31" s="1813" t="n"/>
      <c r="AF31" s="1813" t="n"/>
      <c r="AG31" s="1813" t="n"/>
      <c r="AH31" s="1813" t="n"/>
      <c r="AI31" s="1813" t="n"/>
      <c r="AJ31" s="1813" t="n"/>
      <c r="AP31" s="1800">
        <f>IF($C31&lt;&gt;"", $C31, "")</f>
        <v/>
      </c>
      <c r="AQ31" s="1800" t="n"/>
      <c r="AR31" s="1800" t="n"/>
      <c r="AS31" s="1817">
        <f>IF($G31 &lt;&gt;"Please select", SOCref,0)</f>
        <v/>
      </c>
      <c r="AT31" s="2125" t="n"/>
      <c r="AU31" s="1817">
        <f>_xlfn.IFNA(IF($G31&lt;&gt;"Please select", VLOOKUP(clim_moist, IPCC!$A$57:$B$68, 2, FALSE),0),)</f>
        <v/>
      </c>
      <c r="AV31" s="2125" t="n"/>
      <c r="AW31" s="1817">
        <f>_xlfn.IFNA(INDEX(IPCC!$F$58:$H$68,MATCH(clim_moist,IPCC!$A$58:$A$68,0),MATCH('3.Cropland'!G31,IPCC!$F$58:$H$58,0)),)</f>
        <v/>
      </c>
      <c r="AX31" s="2125" t="n"/>
      <c r="AY31" s="1817">
        <f>_xlfn.IFNA(INDEX(IPCC!$I$58:$L$68,MATCH(clim_moist,IPCC!$A$58:$A$68,0),MATCH('3.Cropland'!I31,IPCC!$I$58:$L$58,0)),)</f>
        <v/>
      </c>
      <c r="AZ31" s="2125" t="n"/>
      <c r="BA31" s="1817">
        <f>annual!I74</f>
        <v/>
      </c>
      <c r="BB31" s="2125" t="n"/>
      <c r="BC31" s="1782" t="n"/>
      <c r="BD31" s="1782" t="n"/>
      <c r="BE31" s="1782" t="n"/>
      <c r="BF31" s="1782" t="n"/>
      <c r="BG31" s="1782" t="n"/>
      <c r="BH31" s="4142" t="inlineStr">
        <is>
          <t xml:space="preserve">None </t>
        </is>
      </c>
      <c r="BI31" s="4143" t="n"/>
      <c r="BJ31" s="4141" t="inlineStr">
        <is>
          <t>Please select</t>
        </is>
      </c>
      <c r="BK31" s="1817">
        <f>annual!$T74</f>
        <v/>
      </c>
      <c r="BL31" s="2125" t="n"/>
      <c r="BM31" s="1782" t="n"/>
      <c r="BO31" s="4401" t="n">
        <v>1</v>
      </c>
      <c r="BP31" s="4402" t="n"/>
      <c r="BQ31" s="1997" t="n"/>
      <c r="BS31" s="1803" t="n"/>
    </row>
    <row r="32" ht="15" customHeight="1">
      <c r="B32" s="1781" t="n"/>
      <c r="C32" s="4126" t="n"/>
      <c r="D32" s="1781" t="n"/>
      <c r="E32" s="2133" t="inlineStr">
        <is>
          <t>Default</t>
        </is>
      </c>
      <c r="F32" s="1780" t="n"/>
      <c r="G32" s="2133" t="inlineStr">
        <is>
          <t>Please select</t>
        </is>
      </c>
      <c r="H32" s="1838" t="n"/>
      <c r="I32" s="4132" t="inlineStr">
        <is>
          <t>Please select</t>
        </is>
      </c>
      <c r="J32" s="1812" t="n"/>
      <c r="K32" s="2133" t="inlineStr">
        <is>
          <t>Please select</t>
        </is>
      </c>
      <c r="L32" s="1835" t="n"/>
      <c r="M32" s="4133" t="n"/>
      <c r="N32" s="1781" t="n"/>
      <c r="O32" s="1806" t="n"/>
      <c r="P32" s="1781" t="n"/>
      <c r="Q32" s="4123" t="n">
        <v>0</v>
      </c>
      <c r="R32" s="4123" t="n">
        <v>0</v>
      </c>
      <c r="S32" s="4134" t="inlineStr">
        <is>
          <t>D</t>
        </is>
      </c>
      <c r="T32" s="4123" t="n">
        <v>0</v>
      </c>
      <c r="U32" s="4134" t="inlineStr">
        <is>
          <t>D</t>
        </is>
      </c>
      <c r="V32" s="1781" t="n"/>
      <c r="W32" s="1815">
        <f>annual!O45</f>
        <v/>
      </c>
      <c r="X32" s="1815">
        <f>annual!P45</f>
        <v/>
      </c>
      <c r="Y32" s="1839" t="n"/>
      <c r="Z32" s="1812">
        <f>annual!Q45</f>
        <v/>
      </c>
      <c r="AA32" s="1813">
        <f>IF(OR($G32="No tillage", $G32="Reduced tillage"), "till_impr", IF($G32="Full tillage", "till_conv", "till_?"))</f>
        <v/>
      </c>
      <c r="AB32" s="1813" t="n"/>
      <c r="AC32" s="1813" t="n"/>
      <c r="AD32" s="1813" t="n"/>
      <c r="AE32" s="1813" t="n"/>
      <c r="AF32" s="1813" t="n"/>
      <c r="AG32" s="1813" t="n"/>
      <c r="AH32" s="1813" t="n"/>
      <c r="AI32" s="1813" t="n"/>
      <c r="AJ32" s="1813" t="n"/>
      <c r="AP32" s="1800">
        <f>IF($C32&lt;&gt;"", $C32, "")</f>
        <v/>
      </c>
      <c r="AQ32" s="1800" t="n"/>
      <c r="AR32" s="1800" t="n"/>
      <c r="AS32" s="1817">
        <f>IF($G32 &lt;&gt;"Please select", SOCref,0)</f>
        <v/>
      </c>
      <c r="AT32" s="2125" t="n"/>
      <c r="AU32" s="1817">
        <f>_xlfn.IFNA(IF($G32&lt;&gt;"Please select", VLOOKUP(clim_moist, IPCC!$A$57:$B$68, 2, FALSE),0),)</f>
        <v/>
      </c>
      <c r="AV32" s="2125" t="n"/>
      <c r="AW32" s="1817">
        <f>_xlfn.IFNA(INDEX(IPCC!$F$58:$H$68,MATCH(clim_moist,IPCC!$A$58:$A$68,0),MATCH('3.Cropland'!G32,IPCC!$F$58:$H$58,0)),)</f>
        <v/>
      </c>
      <c r="AX32" s="2125" t="n"/>
      <c r="AY32" s="1817">
        <f>_xlfn.IFNA(INDEX(IPCC!$I$58:$L$68,MATCH(clim_moist,IPCC!$A$58:$A$68,0),MATCH('3.Cropland'!I32,IPCC!$I$58:$L$58,0)),)</f>
        <v/>
      </c>
      <c r="AZ32" s="2125" t="n"/>
      <c r="BA32" s="1817">
        <f>annual!I75</f>
        <v/>
      </c>
      <c r="BB32" s="2125" t="n"/>
      <c r="BC32" s="1782" t="n"/>
      <c r="BD32" s="1782" t="n"/>
      <c r="BE32" s="1782" t="n"/>
      <c r="BF32" s="1782" t="n"/>
      <c r="BG32" s="1782" t="n"/>
      <c r="BH32" s="4142" t="inlineStr">
        <is>
          <t xml:space="preserve">None </t>
        </is>
      </c>
      <c r="BI32" s="4143" t="n"/>
      <c r="BJ32" s="4141" t="inlineStr">
        <is>
          <t>Please select</t>
        </is>
      </c>
      <c r="BK32" s="1817">
        <f>annual!$T75</f>
        <v/>
      </c>
      <c r="BL32" s="2125" t="n"/>
      <c r="BM32" s="1782" t="n"/>
      <c r="BO32" s="4401" t="n">
        <v>1</v>
      </c>
      <c r="BP32" s="4402" t="n"/>
      <c r="BQ32" s="1997" t="n"/>
      <c r="BS32" s="1803" t="n"/>
    </row>
    <row r="33" ht="15" customHeight="1">
      <c r="B33" s="1781" t="n"/>
      <c r="C33" s="4126" t="n"/>
      <c r="D33" s="1781" t="n"/>
      <c r="E33" s="2133" t="inlineStr">
        <is>
          <t>Default</t>
        </is>
      </c>
      <c r="F33" s="1780" t="n"/>
      <c r="G33" s="2133" t="inlineStr">
        <is>
          <t>Please select</t>
        </is>
      </c>
      <c r="H33" s="1838" t="n"/>
      <c r="I33" s="4132" t="inlineStr">
        <is>
          <t>Please select</t>
        </is>
      </c>
      <c r="J33" s="1812" t="n"/>
      <c r="K33" s="2133" t="inlineStr">
        <is>
          <t>Please select</t>
        </is>
      </c>
      <c r="L33" s="1835" t="n"/>
      <c r="M33" s="4133" t="n"/>
      <c r="N33" s="1781" t="n"/>
      <c r="O33" s="1806" t="n"/>
      <c r="P33" s="1781" t="n"/>
      <c r="Q33" s="4123" t="n">
        <v>0</v>
      </c>
      <c r="R33" s="4123" t="n">
        <v>0</v>
      </c>
      <c r="S33" s="4134" t="inlineStr">
        <is>
          <t>D</t>
        </is>
      </c>
      <c r="T33" s="4123" t="n">
        <v>0</v>
      </c>
      <c r="U33" s="4134" t="inlineStr">
        <is>
          <t>D</t>
        </is>
      </c>
      <c r="V33" s="1781" t="n"/>
      <c r="W33" s="1815">
        <f>annual!O46</f>
        <v/>
      </c>
      <c r="X33" s="1815">
        <f>annual!P46</f>
        <v/>
      </c>
      <c r="Y33" s="1839" t="n"/>
      <c r="Z33" s="1812">
        <f>annual!Q46</f>
        <v/>
      </c>
      <c r="AA33" s="1813">
        <f>IF(OR($G33="No tillage", $G33="Reduced tillage"), "till_impr", IF($G33="Full tillage", "till_conv", "till_?"))</f>
        <v/>
      </c>
      <c r="AB33" s="1813" t="n"/>
      <c r="AC33" s="1813" t="n"/>
      <c r="AD33" s="1813" t="n"/>
      <c r="AE33" s="1813" t="n"/>
      <c r="AF33" s="1813" t="n"/>
      <c r="AG33" s="1813" t="n"/>
      <c r="AH33" s="1813" t="n"/>
      <c r="AI33" s="1813" t="n"/>
      <c r="AJ33" s="1813" t="n"/>
      <c r="AP33" s="1800">
        <f>IF($C33&lt;&gt;"", $C33, "")</f>
        <v/>
      </c>
      <c r="AQ33" s="1800" t="n"/>
      <c r="AR33" s="1800" t="n"/>
      <c r="AS33" s="1817">
        <f>IF($G33 &lt;&gt;"Please select", SOCref,0)</f>
        <v/>
      </c>
      <c r="AT33" s="2125" t="n"/>
      <c r="AU33" s="1817">
        <f>_xlfn.IFNA(IF($G33&lt;&gt;"Please select", VLOOKUP(clim_moist, IPCC!$A$57:$B$68, 2, FALSE),0),)</f>
        <v/>
      </c>
      <c r="AV33" s="2125" t="n"/>
      <c r="AW33" s="1817">
        <f>_xlfn.IFNA(INDEX(IPCC!$F$58:$H$68,MATCH(clim_moist,IPCC!$A$58:$A$68,0),MATCH('3.Cropland'!G33,IPCC!$F$58:$H$58,0)),)</f>
        <v/>
      </c>
      <c r="AX33" s="2125" t="n"/>
      <c r="AY33" s="1817">
        <f>_xlfn.IFNA(INDEX(IPCC!$I$58:$L$68,MATCH(clim_moist,IPCC!$A$58:$A$68,0),MATCH('3.Cropland'!I33,IPCC!$I$58:$L$58,0)),)</f>
        <v/>
      </c>
      <c r="AZ33" s="2125" t="n"/>
      <c r="BA33" s="1817">
        <f>annual!I76</f>
        <v/>
      </c>
      <c r="BB33" s="2125" t="n"/>
      <c r="BC33" s="1782" t="n"/>
      <c r="BD33" s="1782" t="n"/>
      <c r="BE33" s="1782" t="n"/>
      <c r="BF33" s="1782" t="n"/>
      <c r="BG33" s="1782" t="n"/>
      <c r="BH33" s="4142" t="inlineStr">
        <is>
          <t xml:space="preserve">None </t>
        </is>
      </c>
      <c r="BI33" s="4143" t="n"/>
      <c r="BJ33" s="4141" t="inlineStr">
        <is>
          <t>Please select</t>
        </is>
      </c>
      <c r="BK33" s="1817">
        <f>annual!$T76</f>
        <v/>
      </c>
      <c r="BL33" s="2125" t="n"/>
      <c r="BM33" s="1782" t="n"/>
      <c r="BO33" s="4401" t="n">
        <v>1</v>
      </c>
      <c r="BP33" s="4402" t="n"/>
      <c r="BQ33" s="1997" t="n"/>
      <c r="BS33" s="1803" t="n"/>
    </row>
    <row r="34" ht="15" customHeight="1">
      <c r="B34" s="1781" t="n"/>
      <c r="C34" s="4127" t="n"/>
      <c r="D34" s="1781" t="n"/>
      <c r="E34" s="2133" t="inlineStr">
        <is>
          <t>Default</t>
        </is>
      </c>
      <c r="F34" s="1780" t="n"/>
      <c r="G34" s="2133" t="inlineStr">
        <is>
          <t>Please select</t>
        </is>
      </c>
      <c r="H34" s="1838" t="n"/>
      <c r="I34" s="4132" t="inlineStr">
        <is>
          <t>Please select</t>
        </is>
      </c>
      <c r="J34" s="1812" t="n"/>
      <c r="K34" s="2133" t="inlineStr">
        <is>
          <t>Please select</t>
        </is>
      </c>
      <c r="L34" s="1835" t="n"/>
      <c r="M34" s="4133" t="n"/>
      <c r="N34" s="1781" t="n"/>
      <c r="O34" s="1806" t="n"/>
      <c r="P34" s="1781" t="n"/>
      <c r="Q34" s="4123" t="n">
        <v>0</v>
      </c>
      <c r="R34" s="4123" t="n">
        <v>0</v>
      </c>
      <c r="S34" s="4134" t="inlineStr">
        <is>
          <t>D</t>
        </is>
      </c>
      <c r="T34" s="4123" t="n">
        <v>0</v>
      </c>
      <c r="U34" s="4134" t="inlineStr">
        <is>
          <t>D</t>
        </is>
      </c>
      <c r="V34" s="1781" t="n"/>
      <c r="W34" s="1815">
        <f>annual!O47</f>
        <v/>
      </c>
      <c r="X34" s="1815">
        <f>annual!P47</f>
        <v/>
      </c>
      <c r="Y34" s="1839" t="n"/>
      <c r="Z34" s="1812">
        <f>annual!Q47</f>
        <v/>
      </c>
      <c r="AA34" s="1813">
        <f>IF(OR($G34="No tillage", $G34="Reduced tillage"), "till_impr", IF($G34="Full tillage", "till_conv", "till_?"))</f>
        <v/>
      </c>
      <c r="AB34" s="1813" t="n"/>
      <c r="AC34" s="1813" t="n"/>
      <c r="AD34" s="1813" t="n"/>
      <c r="AE34" s="1813" t="n"/>
      <c r="AF34" s="1813" t="n"/>
      <c r="AG34" s="1813" t="n"/>
      <c r="AH34" s="1813" t="n"/>
      <c r="AI34" s="1813" t="n"/>
      <c r="AJ34" s="1813" t="n"/>
      <c r="AP34" s="1800">
        <f>IF($C34&lt;&gt;"", $C34, "")</f>
        <v/>
      </c>
      <c r="AQ34" s="1800" t="n"/>
      <c r="AR34" s="1800" t="n"/>
      <c r="AS34" s="1817">
        <f>IF($G34 &lt;&gt;"Please select", SOCref,0)</f>
        <v/>
      </c>
      <c r="AT34" s="2125" t="n"/>
      <c r="AU34" s="1817">
        <f>_xlfn.IFNA(IF($G34&lt;&gt;"Please select", VLOOKUP(clim_moist, IPCC!$A$57:$B$68, 2, FALSE),0),)</f>
        <v/>
      </c>
      <c r="AV34" s="2125" t="n"/>
      <c r="AW34" s="1817">
        <f>_xlfn.IFNA(INDEX(IPCC!$F$58:$H$68,MATCH(clim_moist,IPCC!$A$58:$A$68,0),MATCH('3.Cropland'!G34,IPCC!$F$58:$H$58,0)),)</f>
        <v/>
      </c>
      <c r="AX34" s="2125" t="n"/>
      <c r="AY34" s="1817">
        <f>_xlfn.IFNA(INDEX(IPCC!$I$58:$L$68,MATCH(clim_moist,IPCC!$A$58:$A$68,0),MATCH('3.Cropland'!I34,IPCC!$I$58:$L$58,0)),)</f>
        <v/>
      </c>
      <c r="AZ34" s="2125" t="n"/>
      <c r="BA34" s="1817">
        <f>annual!I77</f>
        <v/>
      </c>
      <c r="BB34" s="2125" t="n"/>
      <c r="BC34" s="1782" t="n"/>
      <c r="BD34" s="1782" t="n"/>
      <c r="BE34" s="1782" t="n"/>
      <c r="BF34" s="1782" t="n"/>
      <c r="BG34" s="1782" t="n"/>
      <c r="BH34" s="4142" t="inlineStr">
        <is>
          <t xml:space="preserve">None </t>
        </is>
      </c>
      <c r="BI34" s="4143" t="n"/>
      <c r="BJ34" s="4141" t="inlineStr">
        <is>
          <t>Please select</t>
        </is>
      </c>
      <c r="BK34" s="1817">
        <f>annual!$T77</f>
        <v/>
      </c>
      <c r="BL34" s="2125" t="n"/>
      <c r="BM34" s="1782" t="n"/>
      <c r="BO34" s="4401" t="n">
        <v>1</v>
      </c>
      <c r="BP34" s="4402" t="n"/>
      <c r="BQ34" s="1997" t="n"/>
      <c r="BS34" s="1803" t="n"/>
    </row>
    <row r="35" ht="17" customHeight="1">
      <c r="B35" s="1781" t="n"/>
      <c r="C35" s="1841" t="n"/>
      <c r="D35" s="1841" t="n"/>
      <c r="E35" s="1841" t="n"/>
      <c r="F35" s="1841" t="n"/>
      <c r="G35" s="1841" t="n"/>
      <c r="H35" s="1841" t="n"/>
      <c r="I35" s="1841" t="n"/>
      <c r="J35" s="1841" t="n"/>
      <c r="K35" s="1842" t="n"/>
      <c r="L35" s="1841" t="n"/>
      <c r="M35" s="1843" t="n"/>
      <c r="N35" s="1843" t="n"/>
      <c r="O35" s="1841" t="n"/>
      <c r="P35" s="1844">
        <f>Languages!B168</f>
        <v/>
      </c>
      <c r="Q35" s="1841">
        <f>annual!D48</f>
        <v/>
      </c>
      <c r="R35" s="1841">
        <f>annual!E48</f>
        <v/>
      </c>
      <c r="S35" s="1841" t="n"/>
      <c r="T35" s="1841">
        <f>annual!G48</f>
        <v/>
      </c>
      <c r="U35" s="1841" t="n"/>
      <c r="V35" s="1845" t="n"/>
      <c r="W35" s="1841" t="n"/>
      <c r="X35" s="1841" t="n"/>
      <c r="Y35" s="1841" t="n"/>
      <c r="Z35" s="1846" t="n"/>
      <c r="AA35" s="1813" t="n"/>
      <c r="AB35" s="1813" t="n"/>
      <c r="AC35" s="1813" t="n"/>
      <c r="AD35" s="1813" t="n"/>
      <c r="AE35" s="1813" t="n"/>
      <c r="AF35" s="1813" t="n"/>
      <c r="AG35" s="1813" t="n"/>
      <c r="AH35" s="1813" t="n"/>
      <c r="AI35" s="1813" t="n"/>
      <c r="AJ35" s="1813" t="n"/>
      <c r="AP35" s="1847" t="n"/>
      <c r="AQ35" s="1847" t="n"/>
      <c r="AR35" s="1847" t="n"/>
      <c r="AS35" s="1847" t="n"/>
      <c r="AT35" s="1847" t="n"/>
      <c r="AU35" s="1847" t="n"/>
      <c r="AV35" s="1847" t="n"/>
      <c r="AW35" s="1847" t="n"/>
      <c r="AX35" s="1847" t="n"/>
      <c r="AY35" s="1782" t="n"/>
      <c r="AZ35" s="1847" t="n"/>
      <c r="BA35" s="1847" t="n"/>
      <c r="BB35" s="1847" t="n"/>
      <c r="BC35" s="1782" t="n"/>
      <c r="BD35" s="1782" t="n"/>
      <c r="BE35" s="1782" t="n"/>
      <c r="BF35" s="1782" t="n"/>
      <c r="BG35" s="1782" t="n"/>
      <c r="BH35" s="1782" t="n"/>
      <c r="BI35" s="1847" t="n"/>
      <c r="BJ35" s="1847" t="n"/>
      <c r="BK35" s="1782" t="n"/>
      <c r="BL35" s="1847" t="n"/>
      <c r="BM35" s="1782" t="n"/>
      <c r="BO35" s="1997" t="n"/>
      <c r="BP35" s="1894" t="n"/>
      <c r="BQ35" s="1997" t="n"/>
      <c r="BS35" s="1803" t="n"/>
    </row>
    <row r="36" ht="15" customHeight="1">
      <c r="B36" s="1781" t="n"/>
      <c r="C36" s="1848" t="n"/>
      <c r="D36" s="1781" t="n"/>
      <c r="E36" s="1781" t="n"/>
      <c r="F36" s="1781" t="n"/>
      <c r="G36" s="1781" t="n"/>
      <c r="H36" s="1781" t="n"/>
      <c r="I36" s="1781" t="n"/>
      <c r="J36" s="1781" t="n"/>
      <c r="K36" s="1781" t="n"/>
      <c r="L36" s="1781" t="n"/>
      <c r="M36" s="1781" t="n"/>
      <c r="N36" s="1781" t="n"/>
      <c r="O36" s="1781" t="n"/>
      <c r="P36" s="1781" t="n"/>
      <c r="Q36" s="4309">
        <f>IF(OR(Q35&lt;&gt;R35, Q35&lt;&gt;T35, R35&lt;&gt;T35), list!$B$281, "")</f>
        <v/>
      </c>
      <c r="R36" s="4309" t="n"/>
      <c r="S36" s="4309" t="n"/>
      <c r="T36" s="4309" t="n"/>
      <c r="U36" s="4309" t="n"/>
      <c r="V36" s="1781" t="n"/>
      <c r="W36" s="1781" t="n"/>
      <c r="X36" s="1781" t="n"/>
      <c r="Y36" s="1781" t="n"/>
      <c r="Z36" s="1850" t="n"/>
      <c r="AA36" s="1772" t="n"/>
      <c r="AB36" s="1772" t="n"/>
      <c r="AC36" s="1772" t="n"/>
      <c r="AD36" s="1772" t="n"/>
      <c r="AE36" s="1772" t="n"/>
      <c r="AF36" s="1772" t="n"/>
      <c r="AG36" s="1772" t="n"/>
      <c r="AH36" s="1772" t="n"/>
      <c r="AI36" s="1772" t="n"/>
      <c r="AJ36" s="1772" t="n"/>
      <c r="AP36" s="1782">
        <f>'5.Management'!AQ23</f>
        <v/>
      </c>
      <c r="AQ36" s="1782" t="n"/>
      <c r="AR36" s="1782" t="n"/>
      <c r="AS36" s="1782" t="n"/>
      <c r="AT36" s="1782" t="n"/>
      <c r="AU36" s="1782" t="n"/>
      <c r="AV36" s="1782" t="n"/>
      <c r="AW36" s="1782" t="n"/>
      <c r="AX36" s="1782" t="n"/>
      <c r="AY36" s="1782" t="n"/>
      <c r="AZ36" s="1782" t="n"/>
      <c r="BA36" s="1782" t="n"/>
      <c r="BB36" s="1782" t="n"/>
      <c r="BC36" s="1782" t="n"/>
      <c r="BD36" s="1782" t="n"/>
      <c r="BE36" s="1782" t="n"/>
      <c r="BF36" s="1782" t="n"/>
      <c r="BG36" s="1782" t="n"/>
      <c r="BH36" s="1782" t="n"/>
      <c r="BI36" s="1782" t="n"/>
      <c r="BJ36" s="1782" t="n"/>
      <c r="BK36" s="1782" t="n"/>
      <c r="BL36" s="1782" t="n"/>
      <c r="BM36" s="1782" t="n"/>
      <c r="BO36" s="4548" t="inlineStr">
        <is>
          <t>Use this part only if you want to refine yearly GHG fluxes</t>
        </is>
      </c>
      <c r="BS36" s="1803" t="n"/>
    </row>
    <row r="37" ht="15" customHeight="1">
      <c r="B37" s="1781" t="n"/>
      <c r="C37" s="1851" t="n"/>
      <c r="D37" s="1781" t="n"/>
      <c r="E37" s="1781" t="n"/>
      <c r="F37" s="1781" t="n"/>
      <c r="G37" s="1852" t="n"/>
      <c r="H37" s="1781" t="n"/>
      <c r="I37" s="1781" t="n"/>
      <c r="J37" s="1781" t="n"/>
      <c r="K37" s="1790" t="n"/>
      <c r="L37" s="1853" t="n"/>
      <c r="M37" s="1853" t="n"/>
      <c r="N37" s="1853" t="n"/>
      <c r="O37" s="1853" t="n"/>
      <c r="P37" s="1853" t="n"/>
      <c r="Q37" s="1854" t="n"/>
      <c r="R37" s="1855" t="n"/>
      <c r="S37" s="1856" t="n"/>
      <c r="T37" s="1853" t="n"/>
      <c r="U37" s="2019">
        <f>Languages!B121</f>
        <v/>
      </c>
      <c r="V37" s="1857" t="n"/>
      <c r="W37" s="1858">
        <f>annual!O49</f>
        <v/>
      </c>
      <c r="X37" s="1858">
        <f>annual!P49</f>
        <v/>
      </c>
      <c r="Y37" s="1859" t="n"/>
      <c r="Z37" s="1860">
        <f>annual!Q49</f>
        <v/>
      </c>
      <c r="AA37" s="1772" t="n"/>
      <c r="AB37" s="1772" t="n"/>
      <c r="AC37" s="1772" t="n"/>
      <c r="AD37" s="1772" t="n"/>
      <c r="AE37" s="1772" t="n"/>
      <c r="AF37" s="1772" t="n"/>
      <c r="AG37" s="1772" t="n"/>
      <c r="AH37" s="1772" t="n"/>
      <c r="AI37" s="1772" t="n"/>
      <c r="AJ37" s="1772" t="n"/>
      <c r="AP37" s="1782">
        <f>'5.Management'!AQ24</f>
        <v/>
      </c>
      <c r="AQ37" s="1782" t="n"/>
      <c r="AR37" s="1782" t="n"/>
      <c r="AS37" s="1782" t="n"/>
      <c r="AT37" s="1782" t="n"/>
      <c r="AU37" s="1782" t="n"/>
      <c r="AV37" s="1782" t="n"/>
      <c r="AW37" s="1782" t="n"/>
      <c r="AX37" s="1782" t="n"/>
      <c r="AY37" s="1782" t="n"/>
      <c r="AZ37" s="1782" t="n"/>
      <c r="BA37" s="1782" t="n"/>
      <c r="BB37" s="1782" t="n"/>
      <c r="BC37" s="1782" t="n"/>
      <c r="BD37" s="1782" t="n"/>
      <c r="BE37" s="1782" t="n"/>
      <c r="BF37" s="1782" t="n"/>
      <c r="BG37" s="1782" t="n"/>
      <c r="BH37" s="1782" t="n"/>
      <c r="BI37" s="1782" t="n"/>
      <c r="BJ37" s="1782" t="n"/>
      <c r="BK37" s="1782" t="n"/>
      <c r="BL37" s="1782" t="n"/>
      <c r="BM37" s="1782" t="n"/>
      <c r="BS37" s="1803" t="n"/>
    </row>
    <row r="38" ht="15" customHeight="1">
      <c r="B38" s="1781" t="n"/>
      <c r="C38" s="1781" t="n"/>
      <c r="D38" s="1781" t="n"/>
      <c r="E38" s="1781" t="n"/>
      <c r="F38" s="1781" t="n"/>
      <c r="G38" s="1852" t="n"/>
      <c r="H38" s="1781" t="n"/>
      <c r="I38" s="1781" t="n"/>
      <c r="J38" s="1781" t="n"/>
      <c r="K38" s="1790" t="n"/>
      <c r="L38" s="1781" t="n"/>
      <c r="M38" s="1781" t="n"/>
      <c r="N38" s="1781" t="n"/>
      <c r="O38" s="1781" t="n"/>
      <c r="P38" s="1781" t="n"/>
      <c r="Q38" s="1781" t="n"/>
      <c r="R38" s="1781" t="n"/>
      <c r="S38" s="1781" t="n"/>
      <c r="T38" s="1781" t="n"/>
      <c r="U38" s="1781" t="n"/>
      <c r="V38" s="1781" t="n"/>
      <c r="W38" s="1781" t="n"/>
      <c r="X38" s="1781" t="n"/>
      <c r="Y38" s="1781" t="n"/>
      <c r="Z38" s="1781" t="n"/>
      <c r="AA38" s="1772" t="n"/>
      <c r="AB38" s="1772" t="n"/>
      <c r="AC38" s="1772" t="n"/>
      <c r="AD38" s="1772" t="n"/>
      <c r="AE38" s="1772" t="n"/>
      <c r="AF38" s="1772" t="n"/>
      <c r="AG38" s="1772" t="n"/>
      <c r="AH38" s="1772" t="n"/>
      <c r="AI38" s="1772" t="n"/>
      <c r="AJ38" s="1772" t="n"/>
      <c r="AP38" s="1782" t="n"/>
      <c r="AQ38" s="1782" t="n"/>
      <c r="AR38" s="1782" t="n"/>
      <c r="AS38" s="1782" t="n"/>
      <c r="AT38" s="1782" t="n"/>
      <c r="AU38" s="1782" t="n"/>
      <c r="AV38" s="1782" t="n"/>
      <c r="AW38" s="1782" t="n"/>
      <c r="AX38" s="1782" t="n"/>
      <c r="AY38" s="1782" t="n"/>
      <c r="AZ38" s="1782" t="n"/>
      <c r="BA38" s="1782" t="n"/>
      <c r="BB38" s="1782" t="n"/>
      <c r="BC38" s="1782" t="n"/>
      <c r="BD38" s="1782" t="n"/>
      <c r="BE38" s="1782" t="n"/>
      <c r="BF38" s="1782" t="n"/>
      <c r="BG38" s="1782" t="n"/>
      <c r="BH38" s="1782" t="n"/>
      <c r="BI38" s="1782" t="n"/>
      <c r="BJ38" s="1782" t="n"/>
      <c r="BK38" s="1782" t="n"/>
      <c r="BL38" s="1782" t="n"/>
      <c r="BM38" s="1782" t="n"/>
      <c r="BS38" s="1803" t="n"/>
    </row>
    <row r="39" ht="15" customHeight="1">
      <c r="B39" s="1781" t="n"/>
      <c r="C39" s="1861">
        <f>'2.LUC'!B24</f>
        <v/>
      </c>
      <c r="D39" s="1781" t="n"/>
      <c r="E39" s="1781" t="n"/>
      <c r="F39" s="1781" t="n"/>
      <c r="G39" s="1852" t="n"/>
      <c r="H39" s="1781" t="n"/>
      <c r="I39" s="1781" t="n"/>
      <c r="J39" s="1781" t="n"/>
      <c r="K39" s="1790" t="n"/>
      <c r="L39" s="1781" t="n"/>
      <c r="M39" s="1781" t="n"/>
      <c r="N39" s="1781" t="n"/>
      <c r="O39" s="1781" t="n"/>
      <c r="P39" s="1781" t="n"/>
      <c r="Q39" s="1781" t="n"/>
      <c r="R39" s="1781" t="n"/>
      <c r="S39" s="1781" t="n"/>
      <c r="T39" s="1781" t="n"/>
      <c r="U39" s="1781" t="n"/>
      <c r="V39" s="1781" t="n"/>
      <c r="W39" s="1781" t="n"/>
      <c r="X39" s="1781" t="n"/>
      <c r="Y39" s="1781" t="n"/>
      <c r="Z39" s="1781" t="n"/>
      <c r="AA39" s="1772" t="n"/>
      <c r="AB39" s="1772" t="n"/>
      <c r="AC39" s="1772" t="n"/>
      <c r="AD39" s="1772" t="n"/>
      <c r="AE39" s="1772" t="n"/>
      <c r="AF39" s="1772" t="n"/>
      <c r="AG39" s="1772" t="n"/>
      <c r="AH39" s="1772" t="n"/>
      <c r="AI39" s="1772" t="n"/>
      <c r="AJ39" s="1772" t="n"/>
      <c r="AP39" s="1782" t="n"/>
      <c r="AQ39" s="1782" t="n"/>
      <c r="AR39" s="1782" t="n"/>
      <c r="AS39" s="1782" t="n"/>
      <c r="AT39" s="1782" t="n"/>
      <c r="AU39" s="1782" t="n"/>
      <c r="AV39" s="1862" t="n"/>
      <c r="AW39" s="1782" t="n"/>
      <c r="AX39" s="1782" t="n"/>
      <c r="AY39" s="1782" t="n"/>
      <c r="AZ39" s="1782" t="n"/>
      <c r="BA39" s="1782" t="n"/>
      <c r="BB39" s="1782" t="n"/>
      <c r="BC39" s="1782" t="n"/>
      <c r="BD39" s="1782" t="n"/>
      <c r="BE39" s="1782" t="n"/>
      <c r="BF39" s="1782" t="n"/>
      <c r="BG39" s="1782" t="n"/>
      <c r="BH39" s="1782" t="n"/>
      <c r="BI39" s="1782" t="n"/>
      <c r="BJ39" s="1782" t="n"/>
      <c r="BK39" s="1782" t="n"/>
      <c r="BL39" s="1782" t="n"/>
      <c r="BM39" s="1782" t="n"/>
      <c r="BO39" s="1997" t="n"/>
      <c r="BP39" s="1894" t="n"/>
      <c r="BQ39" s="1997" t="n"/>
      <c r="BS39" s="1803" t="n"/>
    </row>
    <row r="40" ht="15" customHeight="1">
      <c r="B40" s="1781" t="n"/>
      <c r="C40" s="1781" t="n"/>
      <c r="D40" s="1781" t="n"/>
      <c r="E40" s="1781" t="n"/>
      <c r="F40" s="1781" t="n"/>
      <c r="G40" s="1852" t="n"/>
      <c r="H40" s="1781" t="n"/>
      <c r="I40" s="1781" t="n"/>
      <c r="J40" s="1781" t="n"/>
      <c r="K40" s="1790" t="n"/>
      <c r="L40" s="1781" t="n"/>
      <c r="M40" s="1781" t="n"/>
      <c r="N40" s="1781" t="n"/>
      <c r="O40" s="1781" t="n"/>
      <c r="P40" s="1781" t="n"/>
      <c r="Q40" s="1781" t="n"/>
      <c r="R40" s="1781" t="n"/>
      <c r="S40" s="1781" t="n"/>
      <c r="T40" s="1781" t="n"/>
      <c r="U40" s="1781" t="n"/>
      <c r="V40" s="1781" t="n"/>
      <c r="W40" s="1781" t="n"/>
      <c r="X40" s="1781" t="n"/>
      <c r="Y40" s="1781" t="n"/>
      <c r="Z40" s="1781" t="n"/>
      <c r="AA40" s="1772" t="n"/>
      <c r="AB40" s="1772" t="n"/>
      <c r="AC40" s="1772" t="n"/>
      <c r="AD40" s="1772" t="n"/>
      <c r="AE40" s="1772" t="n"/>
      <c r="AF40" s="1772" t="n"/>
      <c r="AG40" s="1772" t="n"/>
      <c r="AH40" s="1772" t="n"/>
      <c r="AI40" s="1772" t="n"/>
      <c r="AJ40" s="1772" t="n"/>
      <c r="BS40" s="1803" t="n"/>
    </row>
    <row r="41" ht="15" customHeight="1">
      <c r="BS41" s="1803" t="n"/>
    </row>
    <row r="42" ht="15" customHeight="1">
      <c r="BS42" s="1803" t="n"/>
    </row>
    <row r="44" ht="15" customFormat="1" customHeight="1" s="1772">
      <c r="C44" s="1771" t="n"/>
      <c r="G44" s="1865" t="n"/>
      <c r="K44" s="1866" t="n"/>
      <c r="AA44" s="1771" t="n"/>
      <c r="AB44" s="1771" t="n"/>
      <c r="AC44" s="1771" t="n"/>
      <c r="AD44" s="1771" t="n"/>
      <c r="AE44" s="1771" t="n"/>
      <c r="AF44" s="1771" t="n"/>
      <c r="AG44" s="1771" t="n"/>
      <c r="AH44" s="1771" t="n"/>
      <c r="AI44" s="1771" t="n"/>
      <c r="AJ44" s="1771" t="n"/>
      <c r="AK44" s="1771" t="n"/>
      <c r="AL44" s="1771" t="n"/>
      <c r="AM44" s="1771" t="n"/>
      <c r="AN44" s="1771" t="n"/>
      <c r="BK44" s="1771" t="n"/>
      <c r="BZ44" s="1771" t="n"/>
      <c r="CA44" s="1771" t="n"/>
      <c r="CF44" s="1771" t="n"/>
      <c r="CG44" s="1771" t="n"/>
      <c r="CH44" s="1771" t="n"/>
      <c r="CI44" s="1771" t="n"/>
      <c r="CR44" s="1771" t="n"/>
      <c r="CS44" s="1771" t="n"/>
      <c r="CT44" s="1771" t="n"/>
      <c r="CV44" s="1771" t="n"/>
      <c r="CW44" s="1771" t="n"/>
      <c r="CX44" s="1771" t="n"/>
      <c r="CY44" s="1771" t="n"/>
      <c r="CZ44" s="1771" t="n"/>
      <c r="DA44" s="1771" t="n"/>
    </row>
    <row r="47" ht="15" customHeight="1">
      <c r="AP47" s="1867" t="n"/>
      <c r="AQ47" s="1868" t="n"/>
      <c r="AR47" s="1868" t="n"/>
      <c r="AS47" s="1868" t="n"/>
      <c r="AT47" s="1868" t="n"/>
      <c r="AU47" s="1868" t="n"/>
      <c r="AV47" s="1868" t="n"/>
      <c r="AW47" s="1803" t="n"/>
      <c r="AX47" s="1868" t="n"/>
      <c r="AY47" s="1868" t="n"/>
      <c r="AZ47" s="1868" t="n"/>
      <c r="BA47" s="1868" t="n"/>
      <c r="BB47" s="1868" t="n"/>
      <c r="BC47" s="1868" t="n"/>
      <c r="BD47" s="1868" t="n"/>
      <c r="BE47" s="1868" t="n"/>
      <c r="BF47" s="1868" t="n"/>
      <c r="BG47" s="1868" t="n"/>
      <c r="BH47" s="1868" t="n"/>
      <c r="BI47" s="1868" t="n"/>
      <c r="BJ47" s="1868" t="n"/>
      <c r="BK47" s="1868" t="n"/>
    </row>
    <row r="48" ht="45" customHeight="1">
      <c r="B48" s="1768" t="n"/>
      <c r="C48" s="1769">
        <f>Languages!B147</f>
        <v/>
      </c>
      <c r="D48" s="1768" t="n"/>
      <c r="E48" s="1768" t="n"/>
      <c r="F48" s="1768" t="n"/>
      <c r="G48" s="1768" t="n"/>
      <c r="H48" s="1768" t="n"/>
      <c r="I48" s="1768" t="n"/>
      <c r="J48" s="1768" t="n"/>
      <c r="K48" s="1767" t="n"/>
      <c r="L48" s="1768" t="n"/>
      <c r="M48" s="1768" t="n"/>
      <c r="N48" s="1768" t="n"/>
      <c r="O48" s="1768" t="n"/>
      <c r="P48" s="1768" t="n"/>
      <c r="Q48" s="1768" t="n"/>
      <c r="R48" s="1768" t="n"/>
      <c r="S48" s="1768" t="n"/>
      <c r="T48" s="1768" t="n"/>
      <c r="U48" s="1768" t="n"/>
      <c r="V48" s="1767" t="n"/>
      <c r="W48" s="1770">
        <f>W6</f>
        <v/>
      </c>
      <c r="X48" s="1768" t="n"/>
      <c r="Y48" s="1768" t="n"/>
      <c r="Z48" s="1768" t="n"/>
      <c r="AP48" s="1769">
        <f>C48</f>
        <v/>
      </c>
      <c r="AQ48" s="1869" t="n"/>
      <c r="AR48" s="1869" t="n"/>
      <c r="AS48" s="1869" t="n"/>
      <c r="AT48" s="1869" t="n"/>
      <c r="AU48" s="1869" t="n"/>
      <c r="AV48" s="1869" t="n"/>
      <c r="AW48" s="1869" t="n"/>
      <c r="AX48" s="1869" t="n"/>
      <c r="AY48" s="1869" t="n"/>
      <c r="AZ48" s="1869" t="n"/>
      <c r="BA48" s="1869" t="n"/>
      <c r="BB48" s="1869" t="n"/>
      <c r="BC48" s="1869" t="n"/>
      <c r="BD48" s="1869" t="n"/>
      <c r="BE48" s="1869" t="n"/>
      <c r="BF48" s="1869" t="n"/>
      <c r="BG48" s="1869" t="n"/>
      <c r="BH48" s="1869" t="n"/>
      <c r="BI48" s="1777" t="n"/>
      <c r="BJ48" s="1868" t="n"/>
      <c r="BK48" s="4404" t="inlineStr">
        <is>
          <t>Annual balance</t>
        </is>
      </c>
      <c r="BL48" s="4404" t="n"/>
      <c r="BM48" s="4404" t="n"/>
    </row>
    <row r="49" ht="5.25" customHeight="1">
      <c r="G49" s="1771" t="n"/>
      <c r="K49" s="1771" t="n"/>
      <c r="AP49" s="1870" t="n"/>
      <c r="AQ49" s="1871" t="n"/>
      <c r="AR49" s="1871" t="n"/>
      <c r="AS49" s="1871" t="n"/>
      <c r="AT49" s="1872" t="n"/>
      <c r="AU49" s="1871" t="n"/>
      <c r="AV49" s="1871" t="n"/>
      <c r="AW49" s="1871" t="n"/>
      <c r="AX49" s="1871" t="n"/>
      <c r="AY49" s="1871" t="n"/>
      <c r="AZ49" s="1871" t="n"/>
      <c r="BA49" s="1871" t="n"/>
      <c r="BB49" s="1871" t="n"/>
      <c r="BC49" s="1871" t="n"/>
      <c r="BD49" s="1871" t="n"/>
      <c r="BE49" s="1871" t="n"/>
      <c r="BF49" s="1871" t="n"/>
      <c r="BG49" s="1871" t="n"/>
      <c r="BH49" s="1871" t="n"/>
      <c r="BI49" s="1868" t="n"/>
      <c r="BJ49" s="1868" t="n"/>
      <c r="BK49" s="1916" t="n"/>
      <c r="BL49" s="1916" t="n"/>
    </row>
    <row r="50" ht="20.25" customHeight="1">
      <c r="B50" s="1773" t="n"/>
      <c r="C50" s="1774">
        <f>Languages!B148</f>
        <v/>
      </c>
      <c r="D50" s="1873" t="n"/>
      <c r="E50" s="1873" t="n"/>
      <c r="F50" s="1873" t="n"/>
      <c r="G50" s="1873" t="n"/>
      <c r="H50" s="1873" t="n"/>
      <c r="I50" s="1873" t="n"/>
      <c r="J50" s="1873" t="n"/>
      <c r="K50" s="1873" t="n"/>
      <c r="L50" s="1873" t="n"/>
      <c r="M50" s="1873" t="n"/>
      <c r="N50" s="1873" t="n"/>
      <c r="O50" s="1873" t="n"/>
      <c r="P50" s="1873" t="n"/>
      <c r="Q50" s="1873" t="n"/>
      <c r="R50" s="1873" t="n"/>
      <c r="S50" s="1873" t="n"/>
      <c r="T50" s="1873" t="n"/>
      <c r="U50" s="1873" t="n"/>
      <c r="V50" s="1873" t="n"/>
      <c r="W50" s="1873" t="n"/>
      <c r="X50" s="1873" t="n"/>
      <c r="Y50" s="1873" t="n"/>
      <c r="Z50" s="1873" t="n"/>
      <c r="AP50" s="1874">
        <f>C50</f>
        <v/>
      </c>
      <c r="AQ50" s="1875" t="n"/>
      <c r="AR50" s="1875" t="n"/>
      <c r="AS50" s="1875" t="n"/>
      <c r="AT50" s="1875" t="n"/>
      <c r="AU50" s="1875" t="n"/>
      <c r="AV50" s="1875" t="n"/>
      <c r="AW50" s="1875" t="n"/>
      <c r="AX50" s="1875" t="n"/>
      <c r="AY50" s="1875" t="n"/>
      <c r="AZ50" s="1875" t="n"/>
      <c r="BA50" s="1875" t="n"/>
      <c r="BB50" s="1875" t="n"/>
      <c r="BC50" s="1875" t="n"/>
      <c r="BD50" s="1875" t="n"/>
      <c r="BE50" s="1875" t="n"/>
      <c r="BF50" s="1875" t="n"/>
      <c r="BG50" s="1875" t="n"/>
      <c r="BH50" s="1875" t="n"/>
      <c r="BI50" s="1875" t="n"/>
      <c r="BJ50" s="1876" t="n"/>
      <c r="BK50" s="1875" t="n"/>
      <c r="BL50" s="1875" t="n"/>
      <c r="BM50" s="1875" t="n"/>
    </row>
    <row r="51" ht="15" customHeight="1">
      <c r="B51" s="1781" t="n"/>
      <c r="C51" s="1820" t="n"/>
      <c r="D51" s="1781" t="n"/>
      <c r="E51" s="1781" t="n"/>
      <c r="F51" s="1781" t="n"/>
      <c r="G51" s="1877">
        <f>Languages!B154</f>
        <v/>
      </c>
      <c r="H51" s="1789" t="n"/>
      <c r="I51" s="1789" t="n"/>
      <c r="J51" s="1878" t="n"/>
      <c r="K51" s="1878" t="n"/>
      <c r="L51" s="1781" t="n"/>
      <c r="M51" s="1781" t="n"/>
      <c r="N51" s="1781" t="n"/>
      <c r="O51" s="1781" t="n"/>
      <c r="P51" s="1781" t="n"/>
      <c r="Q51" s="1879" t="n"/>
      <c r="R51" s="1880" t="n"/>
      <c r="S51" s="1880" t="n"/>
      <c r="T51" s="1880" t="n"/>
      <c r="U51" s="1781" t="n"/>
      <c r="V51" s="1781" t="n"/>
      <c r="W51" s="1781" t="n"/>
      <c r="X51" s="1781" t="n"/>
      <c r="Y51" s="1781" t="n"/>
      <c r="Z51" s="1781" t="n"/>
      <c r="AP51" s="1782" t="n"/>
      <c r="AQ51" s="1881" t="n"/>
      <c r="AR51" s="1881" t="n"/>
      <c r="AS51" s="1881" t="n"/>
      <c r="AT51" s="1881" t="n"/>
      <c r="AU51" s="1881" t="n"/>
      <c r="AV51" s="1782" t="n"/>
      <c r="AW51" s="1881" t="n"/>
      <c r="AX51" s="1881" t="n"/>
      <c r="AY51" s="1881" t="n"/>
      <c r="AZ51" s="1881" t="n"/>
      <c r="BA51" s="1881" t="n"/>
      <c r="BB51" s="1881" t="n"/>
      <c r="BC51" s="1881" t="n"/>
      <c r="BD51" s="1881" t="n"/>
      <c r="BE51" s="1881" t="n"/>
      <c r="BF51" s="1881" t="n"/>
      <c r="BG51" s="1882" t="n"/>
      <c r="BH51" s="1881" t="n"/>
      <c r="BI51" s="1881" t="n"/>
      <c r="BJ51" s="1819" t="n"/>
      <c r="BK51" s="1890" t="inlineStr">
        <is>
          <t xml:space="preserve">Start year of </t>
        </is>
      </c>
      <c r="BL51" s="1890" t="n"/>
      <c r="BM51" s="1997" t="n"/>
    </row>
    <row r="52" ht="15" customHeight="1">
      <c r="B52" s="1781" t="n"/>
      <c r="C52" s="1820" t="n"/>
      <c r="D52" s="1781" t="n"/>
      <c r="E52" s="1781" t="n"/>
      <c r="F52" s="1781" t="n"/>
      <c r="G52" s="1805" t="n"/>
      <c r="H52" s="1878" t="n"/>
      <c r="I52" s="1805" t="n"/>
      <c r="J52" s="1878" t="n"/>
      <c r="K52" s="1878" t="n"/>
      <c r="L52" s="1781" t="n"/>
      <c r="M52" s="1781" t="n"/>
      <c r="N52" s="1781" t="n"/>
      <c r="O52" s="1781" t="n"/>
      <c r="P52" s="1781" t="n"/>
      <c r="Q52" s="1883">
        <f>R21</f>
        <v/>
      </c>
      <c r="R52" s="1884" t="n"/>
      <c r="S52" s="1884" t="n"/>
      <c r="T52" s="1884" t="n"/>
      <c r="U52" s="1781" t="n"/>
      <c r="V52" s="1781" t="n"/>
      <c r="W52" s="1885">
        <f>W21</f>
        <v/>
      </c>
      <c r="X52" s="1849" t="n"/>
      <c r="Y52" s="1781" t="n"/>
      <c r="Z52" s="1781" t="n"/>
      <c r="AP52" s="1782" t="n"/>
      <c r="AQ52" s="1782" t="n"/>
      <c r="AR52" s="1782" t="n"/>
      <c r="AS52" s="1782" t="n"/>
      <c r="AT52" s="1782" t="n"/>
      <c r="AU52" s="1782" t="n"/>
      <c r="AV52" s="1782" t="n"/>
      <c r="AW52" s="1782" t="n"/>
      <c r="AX52" s="1782" t="n"/>
      <c r="AY52" s="1782" t="n"/>
      <c r="AZ52" s="1782" t="n"/>
      <c r="BA52" s="1782" t="n"/>
      <c r="BB52" s="1782" t="n"/>
      <c r="BC52" s="1782" t="n"/>
      <c r="BD52" s="1782" t="n"/>
      <c r="BE52" s="1782" t="n"/>
      <c r="BF52" s="1782" t="n"/>
      <c r="BG52" s="1782" t="n"/>
      <c r="BH52" s="1782" t="n"/>
      <c r="BI52" s="1886" t="n"/>
      <c r="BK52" s="2015" t="inlineStr">
        <is>
          <t>implementation</t>
        </is>
      </c>
      <c r="BL52" s="2015" t="n"/>
      <c r="BM52" s="1997" t="n"/>
    </row>
    <row r="53" ht="15" customHeight="1">
      <c r="B53" s="1781" t="n"/>
      <c r="C53" s="1820" t="n"/>
      <c r="D53" s="1781" t="n"/>
      <c r="E53" s="1805">
        <f>Languages!B151</f>
        <v/>
      </c>
      <c r="F53" s="1781" t="n"/>
      <c r="G53" s="1805">
        <f>$G$22</f>
        <v/>
      </c>
      <c r="H53" s="1781" t="n"/>
      <c r="I53" s="1805">
        <f>$I$22</f>
        <v/>
      </c>
      <c r="J53" s="1781" t="n"/>
      <c r="K53" s="1805">
        <f>Languages!B166</f>
        <v/>
      </c>
      <c r="L53" s="1781" t="n"/>
      <c r="M53" s="1805">
        <f>$M$22</f>
        <v/>
      </c>
      <c r="N53" s="1781" t="n"/>
      <c r="O53" s="1781" t="n"/>
      <c r="P53" s="1781" t="n"/>
      <c r="Q53" s="1781" t="n"/>
      <c r="R53" s="1836" t="n"/>
      <c r="S53" s="1781" t="n"/>
      <c r="T53" s="1781" t="n"/>
      <c r="U53" s="1781" t="n"/>
      <c r="V53" s="1781" t="n"/>
      <c r="W53" s="1781" t="n"/>
      <c r="X53" s="1781" t="n"/>
      <c r="Y53" s="1781" t="n"/>
      <c r="Z53" s="1781" t="n"/>
      <c r="AP53" s="1784" t="n"/>
      <c r="AQ53" s="1784" t="n"/>
      <c r="AR53" s="1784" t="n"/>
      <c r="AS53" s="1887">
        <f>Languages!B158</f>
        <v/>
      </c>
      <c r="AT53" s="1782" t="n"/>
      <c r="AU53" s="1887">
        <f>Languages!B160</f>
        <v/>
      </c>
      <c r="AV53" s="1800" t="n"/>
      <c r="AW53" s="1887">
        <f>Languages!B75</f>
        <v/>
      </c>
      <c r="AX53" s="1784" t="n"/>
      <c r="AY53" s="1888" t="n"/>
      <c r="AZ53" s="1800" t="n"/>
      <c r="BA53" s="1889">
        <f>AW22</f>
        <v/>
      </c>
      <c r="BB53" s="1797" t="n"/>
      <c r="BC53" s="1889">
        <f>AY22</f>
        <v/>
      </c>
      <c r="BD53" s="1800" t="n"/>
      <c r="BE53" s="1888">
        <f>Languages!B179</f>
        <v/>
      </c>
      <c r="BF53" s="1800" t="n"/>
      <c r="BG53" s="1888">
        <f>Languages!B183</f>
        <v/>
      </c>
      <c r="BH53" s="1890" t="n"/>
      <c r="BI53" s="1784" t="n"/>
      <c r="BK53" s="1997" t="n"/>
      <c r="BL53" s="1894" t="n"/>
      <c r="BM53" s="1997" t="n"/>
    </row>
    <row r="54" ht="15" customHeight="1">
      <c r="B54" s="1781" t="n"/>
      <c r="C54" s="1780">
        <f>C12</f>
        <v/>
      </c>
      <c r="D54" s="1781" t="n"/>
      <c r="E54" s="1805">
        <f>Languages!B152</f>
        <v/>
      </c>
      <c r="F54" s="1781" t="n"/>
      <c r="G54" s="1805">
        <f>$G$23</f>
        <v/>
      </c>
      <c r="H54" s="1781" t="n"/>
      <c r="I54" s="1805">
        <f>$I$23</f>
        <v/>
      </c>
      <c r="J54" s="1781" t="n"/>
      <c r="K54" s="1805">
        <f>Languages!B167</f>
        <v/>
      </c>
      <c r="L54" s="1781" t="n"/>
      <c r="M54" s="1812">
        <f>M23</f>
        <v/>
      </c>
      <c r="N54" s="1781" t="n"/>
      <c r="O54" s="1781" t="n"/>
      <c r="P54" s="1781" t="n"/>
      <c r="Q54" s="1812">
        <f>Q23</f>
        <v/>
      </c>
      <c r="R54" s="1812">
        <f>R23</f>
        <v/>
      </c>
      <c r="S54" s="1781" t="n"/>
      <c r="T54" s="1812">
        <f>T23</f>
        <v/>
      </c>
      <c r="U54" s="1826" t="n"/>
      <c r="V54" s="1826" t="n"/>
      <c r="W54" s="1805">
        <f>$W$23</f>
        <v/>
      </c>
      <c r="X54" s="1780">
        <f>$X$23</f>
        <v/>
      </c>
      <c r="Y54" s="1891" t="n"/>
      <c r="Z54" s="1805">
        <f>Z65</f>
        <v/>
      </c>
      <c r="AP54" s="1784" t="n"/>
      <c r="AQ54" s="1784" t="n"/>
      <c r="AR54" s="1892" t="n"/>
      <c r="AS54" s="1795">
        <f>Languages!B89</f>
        <v/>
      </c>
      <c r="AT54" s="1784" t="n"/>
      <c r="AU54" s="1795">
        <f>AS54</f>
        <v/>
      </c>
      <c r="AV54" s="1795" t="n"/>
      <c r="AW54" s="1795">
        <f>Languages!B90</f>
        <v/>
      </c>
      <c r="AX54" s="1795" t="n"/>
      <c r="AY54" s="1784" t="n"/>
      <c r="AZ54" s="1784" t="n"/>
      <c r="BA54" s="1784" t="n"/>
      <c r="BB54" s="1784" t="n"/>
      <c r="BC54" s="1784" t="n"/>
      <c r="BD54" s="1784" t="n"/>
      <c r="BE54" s="1795" t="inlineStr">
        <is>
          <t>tdm/ha</t>
        </is>
      </c>
      <c r="BF54" s="1795" t="n"/>
      <c r="BG54" s="1795">
        <f>Languages!B340</f>
        <v/>
      </c>
      <c r="BH54" s="1795" t="n"/>
      <c r="BI54" s="1784" t="n"/>
      <c r="BK54" s="1997" t="n"/>
      <c r="BL54" s="1894" t="n"/>
      <c r="BM54" s="1997" t="n"/>
    </row>
    <row r="55" ht="15" customHeight="1">
      <c r="B55" s="1781" t="n"/>
      <c r="C55" s="1781" t="n"/>
      <c r="D55" s="1781" t="n"/>
      <c r="E55" s="1781" t="n"/>
      <c r="F55" s="1781" t="n"/>
      <c r="G55" s="1781" t="n"/>
      <c r="H55" s="1781" t="n"/>
      <c r="I55" s="1781" t="n"/>
      <c r="J55" s="1781" t="n"/>
      <c r="K55" s="1781" t="n"/>
      <c r="L55" s="1781" t="n"/>
      <c r="M55" s="1781" t="n"/>
      <c r="N55" s="1839" t="n"/>
      <c r="O55" s="1839" t="n"/>
      <c r="P55" s="1839" t="n"/>
      <c r="Q55" s="1839" t="n"/>
      <c r="R55" s="1839" t="n"/>
      <c r="S55" s="1839" t="n"/>
      <c r="T55" s="1839" t="n"/>
      <c r="U55" s="1839" t="n"/>
      <c r="V55" s="1839" t="n"/>
      <c r="W55" s="1839" t="n"/>
      <c r="X55" s="1839" t="n"/>
      <c r="Y55" s="1839" t="n"/>
      <c r="Z55" s="1839" t="n"/>
      <c r="AP55" s="2367">
        <f>Languages!B156</f>
        <v/>
      </c>
      <c r="AQ55" s="1893" t="n"/>
      <c r="AR55" s="1893" t="n"/>
      <c r="AS55" s="1894">
        <f>Languages!B55</f>
        <v/>
      </c>
      <c r="AT55" s="1894">
        <f>Languages!B17</f>
        <v/>
      </c>
      <c r="AU55" s="1894">
        <f>$AS$55</f>
        <v/>
      </c>
      <c r="AV55" s="1895">
        <f>$AT$55</f>
        <v/>
      </c>
      <c r="AW55" s="1894">
        <f>$AU$55</f>
        <v/>
      </c>
      <c r="AX55" s="1894">
        <f>$AV$55</f>
        <v/>
      </c>
      <c r="AY55" s="1894" t="n"/>
      <c r="AZ55" s="1894" t="n"/>
      <c r="BA55" s="1894">
        <f>AW55</f>
        <v/>
      </c>
      <c r="BB55" s="1894">
        <f>$AX$55</f>
        <v/>
      </c>
      <c r="BC55" s="1894">
        <f>BA55</f>
        <v/>
      </c>
      <c r="BD55" s="1894">
        <f>$AX$55</f>
        <v/>
      </c>
      <c r="BE55" s="1894">
        <f>$AW$55</f>
        <v/>
      </c>
      <c r="BF55" s="1894">
        <f>$AX$55</f>
        <v/>
      </c>
      <c r="BG55" s="1894">
        <f>$BE$55</f>
        <v/>
      </c>
      <c r="BH55" s="1896">
        <f>$BF$55</f>
        <v/>
      </c>
      <c r="BI55" s="1893" t="n"/>
      <c r="BK55" s="1997" t="n"/>
      <c r="BL55" s="1894" t="n"/>
      <c r="BM55" s="1997" t="n"/>
    </row>
    <row r="56" ht="15" customHeight="1">
      <c r="B56" s="1781" t="n"/>
      <c r="C56" s="4481">
        <f>Languages!B171</f>
        <v/>
      </c>
      <c r="D56" s="1781" t="n"/>
      <c r="E56" s="2133" t="inlineStr">
        <is>
          <t>Please select</t>
        </is>
      </c>
      <c r="F56" s="1839" t="n"/>
      <c r="G56" s="2133" t="inlineStr">
        <is>
          <t>Please select</t>
        </is>
      </c>
      <c r="H56" s="1839" t="n"/>
      <c r="I56" s="4132" t="inlineStr">
        <is>
          <t>Please select</t>
        </is>
      </c>
      <c r="J56" s="1839" t="n"/>
      <c r="K56" s="4136" t="inlineStr">
        <is>
          <t>NO</t>
        </is>
      </c>
      <c r="L56" s="1839" t="n"/>
      <c r="M56" s="4133" t="n"/>
      <c r="N56" s="1839" t="n"/>
      <c r="O56" s="1839" t="n"/>
      <c r="P56" s="1839" t="n"/>
      <c r="Q56" s="1897">
        <f>perennial!$C33</f>
        <v/>
      </c>
      <c r="R56" s="1897">
        <f>perennial!$D33</f>
        <v/>
      </c>
      <c r="S56" s="1897" t="n"/>
      <c r="T56" s="1897">
        <f>perennial!$F33</f>
        <v/>
      </c>
      <c r="U56" s="1839" t="n"/>
      <c r="V56" s="1839" t="n"/>
      <c r="W56" s="1897">
        <f>perennial!$P33</f>
        <v/>
      </c>
      <c r="X56" s="1897">
        <f>perennial!$Q33</f>
        <v/>
      </c>
      <c r="Y56" s="1897" t="n"/>
      <c r="Z56" s="1812">
        <f>perennial!$R33</f>
        <v/>
      </c>
      <c r="AP56" s="1800">
        <f>C56</f>
        <v/>
      </c>
      <c r="AQ56" s="1784" t="n"/>
      <c r="AR56" s="1784" t="n"/>
      <c r="AS56" s="1817">
        <f>(IF('3.Cropland'!$E56 &lt;&gt;"Please select", INDEX(IPCC!$E$107:$T$298,MATCH(clim_moist_cont,IPCC!$C$107:$C$298,0),MATCH('3.Cropland'!$E56,IPCC!$E$105:$T$105,0)), 0))</f>
        <v/>
      </c>
      <c r="AT56" s="2125" t="n"/>
      <c r="AU56" s="1817">
        <f>(IF('3.Cropland'!$E56&lt;&gt;"Please select",INDEX(IPCC!$E$310:$T$501,MATCH(clim_moist_cont,IPCC!$C$310:$C$501,0),MATCH('3.Cropland'!$E56,IPCC!$E$308:$T$308,0)),0))</f>
        <v/>
      </c>
      <c r="AV56" s="2125" t="n"/>
      <c r="AW56" s="2001">
        <f>IF($E$56="Please select",0,SOCref*INDEX(IPCC!$B$1687:$W$1698,MATCH(clim_moist,IPCC!$A$1687:$A$1698,0),MATCH($E$56,IPCC!$B$1687:$W$1687,0)))</f>
        <v/>
      </c>
      <c r="AX56" s="1795" t="n"/>
      <c r="AY56" s="4121" t="n"/>
      <c r="AZ56" s="4122" t="n"/>
      <c r="BA56" s="1817">
        <f>_xlfn.IFNA(INDEX( IPCC!$F$58:$H$68,MATCH(clim_moist, IPCC!$A$58:$A$68,0),MATCH($G56, IPCC!$F$58:$H$58,0)),)</f>
        <v/>
      </c>
      <c r="BB56" s="2125" t="n"/>
      <c r="BC56" s="1817">
        <f>_xlfn.IFNA(INDEX( IPCC!$I$58:$L$68,MATCH(clim_moist, IPCC!$A$58:$A$68,0),MATCH($I56, IPCC!$I$58:$L$58,0)),)</f>
        <v/>
      </c>
      <c r="BD56" s="2125" t="n"/>
      <c r="BE56" s="1817">
        <f>AS56*50/100/0.47</f>
        <v/>
      </c>
      <c r="BF56" s="4144" t="n"/>
      <c r="BG56" s="1795" t="n">
        <v>1</v>
      </c>
      <c r="BH56" s="4144" t="n"/>
      <c r="BI56" s="1784" t="n"/>
      <c r="BK56" s="4401" t="n">
        <v>1</v>
      </c>
      <c r="BL56" s="4402" t="n"/>
      <c r="BM56" s="1997" t="n"/>
    </row>
    <row r="57" ht="15" customHeight="1">
      <c r="B57" s="1781" t="n"/>
      <c r="C57" s="4481">
        <f>Languages!B172</f>
        <v/>
      </c>
      <c r="D57" s="1781" t="n"/>
      <c r="E57" s="2133" t="inlineStr">
        <is>
          <t>Please select</t>
        </is>
      </c>
      <c r="F57" s="1781" t="n"/>
      <c r="G57" s="2133" t="inlineStr">
        <is>
          <t>Please select</t>
        </is>
      </c>
      <c r="H57" s="1781" t="n"/>
      <c r="I57" s="4132" t="inlineStr">
        <is>
          <t>Please select</t>
        </is>
      </c>
      <c r="J57" s="1781" t="n"/>
      <c r="K57" s="2135" t="inlineStr">
        <is>
          <t>NO</t>
        </is>
      </c>
      <c r="L57" s="1781" t="n"/>
      <c r="M57" s="4133" t="n"/>
      <c r="N57" s="1839" t="n"/>
      <c r="O57" s="1839" t="n"/>
      <c r="P57" s="1839" t="n"/>
      <c r="Q57" s="1897">
        <f>perennial!$C34</f>
        <v/>
      </c>
      <c r="R57" s="1897">
        <f>perennial!$D34</f>
        <v/>
      </c>
      <c r="S57" s="1897" t="n"/>
      <c r="T57" s="1897">
        <f>perennial!$F34</f>
        <v/>
      </c>
      <c r="U57" s="1839" t="n"/>
      <c r="V57" s="1839" t="n"/>
      <c r="W57" s="1897">
        <f>perennial!$P34</f>
        <v/>
      </c>
      <c r="X57" s="1897">
        <f>perennial!$Q34</f>
        <v/>
      </c>
      <c r="Y57" s="1897" t="n"/>
      <c r="Z57" s="1812">
        <f>perennial!$R34</f>
        <v/>
      </c>
      <c r="AP57" s="1800">
        <f>C57</f>
        <v/>
      </c>
      <c r="AQ57" s="1784" t="n"/>
      <c r="AR57" s="1784" t="n"/>
      <c r="AS57" s="1817">
        <f>(IF('3.Cropland'!$E57 &lt;&gt;"Please select", INDEX(IPCC!$E$107:$T$298,MATCH(clim_moist_cont,IPCC!$C$107:$C$298,0),MATCH('3.Cropland'!$E57,IPCC!$E$105:$T$105,0)), 0))</f>
        <v/>
      </c>
      <c r="AT57" s="2125" t="n"/>
      <c r="AU57" s="1817">
        <f>(IF('3.Cropland'!$E57&lt;&gt;"Please select",INDEX(IPCC!$E$310:$T$501,MATCH(clim_moist_cont,IPCC!$C$310:$C$501,0),MATCH('3.Cropland'!$E57,IPCC!$E$308:$T$308,0)),0))</f>
        <v/>
      </c>
      <c r="AV57" s="2125" t="n"/>
      <c r="AW57" s="2001">
        <f>IF($E$57="Please select",0,SOCref*INDEX(IPCC!$B$1687:$W$1698,MATCH(clim_moist,IPCC!$A$1687:$A$1698,0),MATCH($E$57,IPCC!$B$1687:$W$1687,0)))</f>
        <v/>
      </c>
      <c r="AX57" s="4141" t="n"/>
      <c r="AY57" s="1817" t="n"/>
      <c r="AZ57" s="4120" t="n"/>
      <c r="BA57" s="1817">
        <f>_xlfn.IFNA(INDEX( IPCC!$F$58:$H$68,MATCH(clim_moist, IPCC!$A$58:$A$68,0),MATCH($G57, IPCC!$F$58:$H$58,0)),)</f>
        <v/>
      </c>
      <c r="BB57" s="2125" t="n"/>
      <c r="BC57" s="1817">
        <f>_xlfn.IFNA(INDEX( IPCC!$I$58:$L$68,MATCH(clim_moist, IPCC!$A$58:$A$68,0),MATCH($I57, IPCC!$I$58:$L$58,0)),)</f>
        <v/>
      </c>
      <c r="BD57" s="2125" t="n"/>
      <c r="BE57" s="1817">
        <f>AS57*50/100/0.47</f>
        <v/>
      </c>
      <c r="BF57" s="4144" t="n"/>
      <c r="BG57" s="1795" t="n">
        <v>1</v>
      </c>
      <c r="BH57" s="4144" t="n"/>
      <c r="BI57" s="1784" t="n"/>
      <c r="BK57" s="4401" t="n">
        <v>1</v>
      </c>
      <c r="BL57" s="4402" t="n"/>
      <c r="BM57" s="1997" t="n"/>
    </row>
    <row r="58" ht="15" customHeight="1">
      <c r="B58" s="1781" t="n"/>
      <c r="C58" s="4481">
        <f>Languages!B173</f>
        <v/>
      </c>
      <c r="D58" s="1781" t="n"/>
      <c r="E58" s="2133" t="inlineStr">
        <is>
          <t>Multistrata</t>
        </is>
      </c>
      <c r="F58" s="1781" t="n"/>
      <c r="G58" s="2133" t="inlineStr">
        <is>
          <t>Reduced tillage</t>
        </is>
      </c>
      <c r="H58" s="1781" t="n"/>
      <c r="I58" s="4132" t="inlineStr">
        <is>
          <t>Medium C input</t>
        </is>
      </c>
      <c r="J58" s="1781" t="n"/>
      <c r="K58" s="2135" t="inlineStr">
        <is>
          <t>NO</t>
        </is>
      </c>
      <c r="L58" s="1781" t="n"/>
      <c r="M58" s="4133" t="n"/>
      <c r="N58" s="1839" t="n"/>
      <c r="O58" s="1839" t="n"/>
      <c r="P58" s="1839" t="n"/>
      <c r="Q58" s="1897">
        <f>perennial!$C35</f>
        <v/>
      </c>
      <c r="R58" s="1897">
        <f>perennial!$D35</f>
        <v/>
      </c>
      <c r="S58" s="1897" t="n"/>
      <c r="T58" s="1897">
        <f>perennial!$F35</f>
        <v/>
      </c>
      <c r="U58" s="1839" t="n"/>
      <c r="V58" s="1839" t="n"/>
      <c r="W58" s="1897">
        <f>perennial!$P35</f>
        <v/>
      </c>
      <c r="X58" s="1897">
        <f>perennial!$Q35</f>
        <v/>
      </c>
      <c r="Y58" s="1897" t="n"/>
      <c r="Z58" s="1812">
        <f>perennial!$R35</f>
        <v/>
      </c>
      <c r="AP58" s="1800">
        <f>C58</f>
        <v/>
      </c>
      <c r="AQ58" s="1784" t="n"/>
      <c r="AR58" s="1784" t="n"/>
      <c r="AS58" s="1817">
        <f>(IF('3.Cropland'!$E58 &lt;&gt;"Please select", INDEX(IPCC!$E$107:$T$298,MATCH(clim_moist_cont,IPCC!$C$107:$C$298,0),MATCH('3.Cropland'!$E58,IPCC!$E$105:$T$105,0)), 0))</f>
        <v/>
      </c>
      <c r="AT58" s="2125" t="n"/>
      <c r="AU58" s="1817">
        <f>(IF('3.Cropland'!$E58&lt;&gt;"Please select",INDEX(IPCC!$E$310:$T$501,MATCH(clim_moist_cont,IPCC!$C$310:$C$501,0),MATCH('3.Cropland'!$E58,IPCC!$E$308:$T$308,0)),0))</f>
        <v/>
      </c>
      <c r="AV58" s="2125" t="n"/>
      <c r="AW58" s="2001">
        <f>IF($E$58="Please select",0,SOCref*INDEX(IPCC!$B$1687:$W$1698,MATCH(clim_moist,IPCC!$A$1687:$A$1698,0),MATCH($E$58,IPCC!$B$1687:$W$1687,0)))</f>
        <v/>
      </c>
      <c r="AX58" s="4120" t="n"/>
      <c r="AY58" s="4121" t="n"/>
      <c r="AZ58" s="4122" t="n"/>
      <c r="BA58" s="1817">
        <f>_xlfn.IFNA(INDEX( IPCC!$F$58:$H$68,MATCH(clim_moist, IPCC!$A$58:$A$68,0),MATCH($G58, IPCC!$F$58:$H$58,0)),)</f>
        <v/>
      </c>
      <c r="BB58" s="2125" t="n"/>
      <c r="BC58" s="1817">
        <f>_xlfn.IFNA(INDEX( IPCC!$I$58:$L$68,MATCH(clim_moist, IPCC!$A$58:$A$68,0),MATCH($I58, IPCC!$I$58:$L$58,0)),)</f>
        <v/>
      </c>
      <c r="BD58" s="2125" t="n"/>
      <c r="BE58" s="1817">
        <f>AS58*50/100/0.47</f>
        <v/>
      </c>
      <c r="BF58" s="4144" t="n"/>
      <c r="BG58" s="1795" t="n">
        <v>1</v>
      </c>
      <c r="BH58" s="4144" t="n"/>
      <c r="BI58" s="1784" t="n"/>
      <c r="BK58" s="4401" t="n">
        <v>1</v>
      </c>
      <c r="BL58" s="4402" t="n"/>
      <c r="BM58" s="1997" t="n"/>
    </row>
    <row r="59" ht="15" customHeight="1">
      <c r="B59" s="1781" t="n"/>
      <c r="C59" s="4481">
        <f>Languages!B174</f>
        <v/>
      </c>
      <c r="D59" s="1781" t="n"/>
      <c r="E59" s="2133" t="inlineStr">
        <is>
          <t>Please select</t>
        </is>
      </c>
      <c r="F59" s="1781" t="n"/>
      <c r="G59" s="2133" t="inlineStr">
        <is>
          <t>Please select</t>
        </is>
      </c>
      <c r="H59" s="1781" t="n"/>
      <c r="I59" s="4132" t="inlineStr">
        <is>
          <t>Please select</t>
        </is>
      </c>
      <c r="J59" s="1781" t="n"/>
      <c r="K59" s="2135" t="inlineStr">
        <is>
          <t>NO</t>
        </is>
      </c>
      <c r="L59" s="1781" t="n"/>
      <c r="M59" s="4133" t="n"/>
      <c r="N59" s="1839" t="n"/>
      <c r="O59" s="1839" t="n"/>
      <c r="P59" s="1839" t="n"/>
      <c r="Q59" s="1897">
        <f>perennial!$C36</f>
        <v/>
      </c>
      <c r="R59" s="1897">
        <f>perennial!$D36</f>
        <v/>
      </c>
      <c r="S59" s="1897" t="n"/>
      <c r="T59" s="1897">
        <f>perennial!$F36</f>
        <v/>
      </c>
      <c r="U59" s="1839" t="n"/>
      <c r="V59" s="1839" t="n"/>
      <c r="W59" s="1897">
        <f>perennial!$P36</f>
        <v/>
      </c>
      <c r="X59" s="1897">
        <f>perennial!$Q36</f>
        <v/>
      </c>
      <c r="Y59" s="1897" t="n"/>
      <c r="Z59" s="1812">
        <f>perennial!$R36</f>
        <v/>
      </c>
      <c r="AP59" s="1800">
        <f>C59</f>
        <v/>
      </c>
      <c r="AQ59" s="1784" t="n"/>
      <c r="AR59" s="1784" t="n"/>
      <c r="AS59" s="1817">
        <f>(IF('3.Cropland'!$E59 &lt;&gt;"Please select", INDEX(IPCC!$E$107:$T$298,MATCH(clim_moist_cont,IPCC!$C$107:$C$298,0),MATCH('3.Cropland'!$E59,IPCC!$E$105:$T$105,0)), 0))</f>
        <v/>
      </c>
      <c r="AT59" s="2125" t="n"/>
      <c r="AU59" s="1817">
        <f>(IF('3.Cropland'!$E59&lt;&gt;"Please select",INDEX(IPCC!$E$310:$T$501,MATCH(clim_moist_cont,IPCC!$C$310:$C$501,0),MATCH('3.Cropland'!$E59,IPCC!$E$308:$T$308,0)),0))</f>
        <v/>
      </c>
      <c r="AV59" s="2125" t="n"/>
      <c r="AW59" s="2001">
        <f>IF($E$59="Please select",0,SOCref*INDEX(IPCC!$B$1687:$W$1698,MATCH(clim_moist,IPCC!$A$1687:$A$1698,0),MATCH($E$59,IPCC!$B$1687:$W$1687,0)))</f>
        <v/>
      </c>
      <c r="AX59" s="2125" t="n"/>
      <c r="AY59" s="1817" t="n"/>
      <c r="AZ59" s="4120" t="n"/>
      <c r="BA59" s="1817">
        <f>_xlfn.IFNA(INDEX( IPCC!$F$58:$H$68,MATCH(clim_moist, IPCC!$A$58:$A$68,0),MATCH($G59, IPCC!$F$58:$H$58,0)),)</f>
        <v/>
      </c>
      <c r="BB59" s="2125" t="n"/>
      <c r="BC59" s="1817">
        <f>_xlfn.IFNA(INDEX( IPCC!$I$58:$L$68,MATCH(clim_moist, IPCC!$A$58:$A$68,0),MATCH($I59, IPCC!$I$58:$L$58,0)),)</f>
        <v/>
      </c>
      <c r="BD59" s="2125" t="n"/>
      <c r="BE59" s="1817">
        <f>AS59*50/100/0.47</f>
        <v/>
      </c>
      <c r="BF59" s="4144" t="n"/>
      <c r="BG59" s="1795" t="n">
        <v>1</v>
      </c>
      <c r="BH59" s="4144" t="n"/>
      <c r="BI59" s="1784" t="n"/>
      <c r="BK59" s="4401" t="n">
        <v>1</v>
      </c>
      <c r="BL59" s="4402" t="n"/>
      <c r="BM59" s="1997" t="n"/>
    </row>
    <row r="60" ht="15" customHeight="1">
      <c r="B60" s="1781" t="n"/>
      <c r="C60" s="1820" t="n"/>
      <c r="D60" s="1781" t="n"/>
      <c r="E60" s="1781" t="n"/>
      <c r="F60" s="1781" t="n"/>
      <c r="G60" s="1781" t="n"/>
      <c r="H60" s="1781" t="n"/>
      <c r="I60" s="1781" t="n"/>
      <c r="J60" s="1781" t="n"/>
      <c r="K60" s="1781" t="n"/>
      <c r="L60" s="1781" t="n"/>
      <c r="M60" s="1781" t="n"/>
      <c r="N60" s="1839" t="n"/>
      <c r="O60" s="1839" t="n"/>
      <c r="P60" s="1839" t="n"/>
      <c r="Q60" s="1839" t="n"/>
      <c r="R60" s="1839" t="n"/>
      <c r="S60" s="1839" t="n"/>
      <c r="T60" s="1839" t="n"/>
      <c r="U60" s="1839" t="n"/>
      <c r="V60" s="1839" t="n"/>
      <c r="W60" s="1839" t="n"/>
      <c r="X60" s="1839" t="n"/>
      <c r="Y60" s="1839" t="n"/>
      <c r="Z60" s="1839" t="n"/>
      <c r="AP60" s="1782" t="n"/>
      <c r="AQ60" s="1782" t="n"/>
      <c r="AR60" s="1782" t="n"/>
      <c r="AS60" s="1782" t="n"/>
      <c r="AT60" s="1782" t="n"/>
      <c r="AU60" s="1782" t="n"/>
      <c r="AV60" s="1782" t="n"/>
      <c r="AW60" s="1782" t="n"/>
      <c r="AX60" s="1782" t="n"/>
      <c r="AY60" s="1782" t="n"/>
      <c r="AZ60" s="1782" t="n"/>
      <c r="BA60" s="1782" t="n"/>
      <c r="BB60" s="1782" t="n"/>
      <c r="BC60" s="1782" t="n"/>
      <c r="BD60" s="1782" t="n"/>
      <c r="BE60" s="1782" t="n"/>
      <c r="BF60" s="1782" t="n"/>
      <c r="BG60" s="1782" t="n"/>
      <c r="BH60" s="1782" t="n"/>
      <c r="BI60" s="1782" t="n"/>
      <c r="BK60" s="1997" t="n"/>
      <c r="BL60" s="1894" t="n"/>
      <c r="BM60" s="1997" t="n"/>
    </row>
    <row r="61" ht="20.25" customHeight="1">
      <c r="B61" s="1774" t="n"/>
      <c r="C61" s="1774">
        <f>Languages!B149</f>
        <v/>
      </c>
      <c r="D61" s="1766" t="n"/>
      <c r="E61" s="1766" t="n"/>
      <c r="F61" s="1766" t="n"/>
      <c r="G61" s="1766" t="n"/>
      <c r="H61" s="1766" t="n"/>
      <c r="I61" s="1766" t="n"/>
      <c r="J61" s="1766" t="n"/>
      <c r="K61" s="1766" t="n"/>
      <c r="L61" s="1766" t="n"/>
      <c r="M61" s="1766" t="n"/>
      <c r="N61" s="1766" t="n"/>
      <c r="O61" s="1766" t="n"/>
      <c r="P61" s="1766" t="n"/>
      <c r="Q61" s="1766" t="n"/>
      <c r="R61" s="1766" t="n"/>
      <c r="S61" s="1766" t="n"/>
      <c r="T61" s="1766" t="n"/>
      <c r="U61" s="1766" t="n"/>
      <c r="V61" s="1766" t="n"/>
      <c r="W61" s="1766" t="n"/>
      <c r="X61" s="1766" t="n"/>
      <c r="Y61" s="1766" t="n"/>
      <c r="Z61" s="1766" t="n"/>
      <c r="AP61" s="1874">
        <f>C61</f>
        <v/>
      </c>
      <c r="AQ61" s="1767" t="n"/>
      <c r="AR61" s="1767" t="n"/>
      <c r="AS61" s="1767" t="n"/>
      <c r="AT61" s="1767" t="n"/>
      <c r="AU61" s="1767" t="n"/>
      <c r="AV61" s="1767" t="n"/>
      <c r="AW61" s="1767" t="n"/>
      <c r="AX61" s="1767" t="n"/>
      <c r="AY61" s="1767" t="n"/>
      <c r="AZ61" s="1767" t="n"/>
      <c r="BA61" s="1767" t="n"/>
      <c r="BB61" s="1767" t="n"/>
      <c r="BC61" s="1767" t="n"/>
      <c r="BD61" s="1767" t="n"/>
      <c r="BE61" s="1767" t="n"/>
      <c r="BF61" s="1767" t="n"/>
      <c r="BG61" s="1767" t="n"/>
      <c r="BH61" s="1767" t="n"/>
      <c r="BI61" s="1767" t="n"/>
      <c r="BK61" s="1767" t="n"/>
      <c r="BL61" s="1767" t="n"/>
      <c r="BM61" s="1767" t="n"/>
    </row>
    <row r="62" ht="15" customHeight="1">
      <c r="B62" s="1781" t="n"/>
      <c r="C62" s="1878" t="n"/>
      <c r="D62" s="1878" t="n"/>
      <c r="E62" s="1878" t="n"/>
      <c r="F62" s="1878" t="n"/>
      <c r="G62" s="1877">
        <f>G51</f>
        <v/>
      </c>
      <c r="H62" s="1789" t="n"/>
      <c r="I62" s="1789" t="n"/>
      <c r="J62" s="1878" t="n"/>
      <c r="K62" s="1878" t="n"/>
      <c r="L62" s="1878" t="n"/>
      <c r="M62" s="1878" t="n"/>
      <c r="N62" s="1878" t="n"/>
      <c r="O62" s="1878" t="n"/>
      <c r="P62" s="1878" t="n"/>
      <c r="Q62" s="1878" t="n"/>
      <c r="R62" s="1878" t="n"/>
      <c r="S62" s="1878" t="n"/>
      <c r="T62" s="1878" t="n"/>
      <c r="U62" s="1878" t="n"/>
      <c r="V62" s="1878" t="n"/>
      <c r="W62" s="1781" t="n"/>
      <c r="X62" s="1781" t="n"/>
      <c r="Y62" s="1781" t="n"/>
      <c r="Z62" s="1805" t="n"/>
      <c r="AP62" s="1782" t="n"/>
      <c r="AQ62" s="1782" t="n"/>
      <c r="AR62" s="1782" t="n"/>
      <c r="AS62" s="1782" t="n"/>
      <c r="AT62" s="1782" t="n"/>
      <c r="AU62" s="1782" t="n"/>
      <c r="AV62" s="1782" t="n"/>
      <c r="AW62" s="1782" t="n"/>
      <c r="AX62" s="1782" t="n"/>
      <c r="AY62" s="1782" t="n"/>
      <c r="AZ62" s="1782" t="n"/>
      <c r="BA62" s="1782" t="n"/>
      <c r="BB62" s="1782" t="n"/>
      <c r="BC62" s="1782" t="n"/>
      <c r="BD62" s="1782" t="n"/>
      <c r="BE62" s="1782" t="n"/>
      <c r="BF62" s="1782" t="n"/>
      <c r="BG62" s="1782" t="n"/>
      <c r="BH62" s="1782" t="n"/>
      <c r="BI62" s="1782" t="n"/>
      <c r="BK62" s="4423" t="n"/>
      <c r="BL62" s="4423" t="n"/>
      <c r="BM62" s="4423" t="n"/>
    </row>
    <row r="63" ht="15" customHeight="1">
      <c r="B63" s="1781" t="n"/>
      <c r="C63" s="1878" t="n"/>
      <c r="D63" s="1899" t="n"/>
      <c r="E63" s="1805" t="n"/>
      <c r="F63" s="1878" t="n"/>
      <c r="G63" s="1805" t="n"/>
      <c r="H63" s="1878" t="n"/>
      <c r="I63" s="1805" t="n"/>
      <c r="J63" s="1878" t="n"/>
      <c r="K63" s="1878" t="n"/>
      <c r="L63" s="1878" t="n"/>
      <c r="M63" s="1878" t="n"/>
      <c r="N63" s="1878" t="n"/>
      <c r="O63" s="1878" t="n"/>
      <c r="P63" s="1878" t="n"/>
      <c r="Q63" s="1900" t="n"/>
      <c r="R63" s="1901">
        <f>Q52</f>
        <v/>
      </c>
      <c r="S63" s="1900" t="n"/>
      <c r="T63" s="1900" t="n"/>
      <c r="U63" s="1900" t="n"/>
      <c r="V63" s="1878" t="n"/>
      <c r="W63" s="1885">
        <f>W52</f>
        <v/>
      </c>
      <c r="X63" s="1878" t="n"/>
      <c r="Y63" s="1878" t="n"/>
      <c r="Z63" s="1878" t="n"/>
      <c r="AP63" s="1784" t="n"/>
      <c r="AQ63" s="1784" t="n"/>
      <c r="AR63" s="1784" t="n"/>
      <c r="AS63" s="1887">
        <f>AS53</f>
        <v/>
      </c>
      <c r="AT63" s="1782" t="n"/>
      <c r="AU63" s="1887">
        <f>AU53</f>
        <v/>
      </c>
      <c r="AV63" s="1800" t="n"/>
      <c r="AW63" s="1887">
        <f>AW53</f>
        <v/>
      </c>
      <c r="AX63" s="1784" t="n"/>
      <c r="AY63" s="1888">
        <f>AU22</f>
        <v/>
      </c>
      <c r="AZ63" s="1800" t="n"/>
      <c r="BA63" s="1889">
        <f>BA53</f>
        <v/>
      </c>
      <c r="BB63" s="1797" t="n"/>
      <c r="BC63" s="1889">
        <f>BC53</f>
        <v/>
      </c>
      <c r="BD63" s="1800" t="n"/>
      <c r="BE63" s="1888">
        <f>BE53</f>
        <v/>
      </c>
      <c r="BF63" s="1800" t="n"/>
      <c r="BG63" s="1888">
        <f>BG53</f>
        <v/>
      </c>
      <c r="BH63" s="1890" t="n"/>
      <c r="BI63" s="1784" t="n"/>
      <c r="BK63" s="4423" t="n"/>
      <c r="BL63" s="4423" t="n"/>
      <c r="BM63" s="4423" t="n"/>
    </row>
    <row r="64" ht="15" customHeight="1">
      <c r="B64" s="1781" t="n"/>
      <c r="C64" s="1780">
        <f>C22</f>
        <v/>
      </c>
      <c r="D64" s="1899" t="n"/>
      <c r="E64" s="1805">
        <f>E53</f>
        <v/>
      </c>
      <c r="F64" s="1878" t="n"/>
      <c r="G64" s="1805">
        <f>$G$22</f>
        <v/>
      </c>
      <c r="H64" s="1878" t="n"/>
      <c r="I64" s="1805">
        <f>$I$22</f>
        <v/>
      </c>
      <c r="J64" s="1878" t="n"/>
      <c r="K64" s="1805">
        <f>K53</f>
        <v/>
      </c>
      <c r="L64" s="1878" t="n"/>
      <c r="M64" s="1805">
        <f>$M$22</f>
        <v/>
      </c>
      <c r="N64" s="1878" t="n"/>
      <c r="O64" s="1878" t="n"/>
      <c r="P64" s="1878" t="n"/>
      <c r="Q64" s="1878" t="n"/>
      <c r="R64" s="1878" t="n"/>
      <c r="S64" s="1891" t="n"/>
      <c r="T64" s="1781" t="n"/>
      <c r="U64" s="1891" t="n"/>
      <c r="V64" s="1902" t="n"/>
      <c r="W64" s="1781" t="n"/>
      <c r="X64" s="1781" t="n"/>
      <c r="Y64" s="1781" t="n"/>
      <c r="Z64" s="1781" t="n"/>
      <c r="AP64" s="1807">
        <f>Languages!B157</f>
        <v/>
      </c>
      <c r="AQ64" s="1784" t="n"/>
      <c r="AR64" s="1784" t="n"/>
      <c r="AS64" s="1795">
        <f>AS54</f>
        <v/>
      </c>
      <c r="AT64" s="1784" t="n"/>
      <c r="AU64" s="1795">
        <f>AU54</f>
        <v/>
      </c>
      <c r="AV64" s="1795" t="n"/>
      <c r="AW64" s="1795">
        <f>AW54</f>
        <v/>
      </c>
      <c r="AX64" s="1795" t="n"/>
      <c r="AY64" s="1784" t="n"/>
      <c r="AZ64" s="1784" t="n"/>
      <c r="BA64" s="1784" t="n"/>
      <c r="BB64" s="1784" t="n"/>
      <c r="BC64" s="1784" t="n"/>
      <c r="BD64" s="1784" t="n"/>
      <c r="BE64" s="1795" t="inlineStr">
        <is>
          <t>tdm/ha</t>
        </is>
      </c>
      <c r="BF64" s="1795" t="n"/>
      <c r="BG64" s="1795">
        <f>BG54</f>
        <v/>
      </c>
      <c r="BH64" s="1795" t="n"/>
      <c r="BI64" s="1784" t="n"/>
      <c r="BK64" s="1997" t="n"/>
      <c r="BL64" s="1894" t="n"/>
      <c r="BM64" s="1997" t="n"/>
    </row>
    <row r="65" ht="15" customHeight="1">
      <c r="B65" s="1781" t="n"/>
      <c r="C65" s="1834" t="n"/>
      <c r="D65" s="1903" t="n"/>
      <c r="E65" s="1805">
        <f>E54</f>
        <v/>
      </c>
      <c r="F65" s="1878" t="n"/>
      <c r="G65" s="1805">
        <f>$G$23</f>
        <v/>
      </c>
      <c r="H65" s="1904" t="n"/>
      <c r="I65" s="1805">
        <f>$I$23</f>
        <v/>
      </c>
      <c r="J65" s="1878" t="n"/>
      <c r="K65" s="1805">
        <f>K54</f>
        <v/>
      </c>
      <c r="L65" s="1878" t="n"/>
      <c r="M65" s="1812">
        <f>M54</f>
        <v/>
      </c>
      <c r="N65" s="1878" t="n"/>
      <c r="O65" s="1805" t="n"/>
      <c r="P65" s="1878" t="n"/>
      <c r="Q65" s="1812">
        <f>Q54</f>
        <v/>
      </c>
      <c r="R65" s="1812">
        <f>R54</f>
        <v/>
      </c>
      <c r="S65" s="1812" t="inlineStr">
        <is>
          <t>*</t>
        </is>
      </c>
      <c r="T65" s="1812">
        <f>T54</f>
        <v/>
      </c>
      <c r="U65" s="1812" t="inlineStr">
        <is>
          <t>*</t>
        </is>
      </c>
      <c r="V65" s="1781" t="n"/>
      <c r="W65" s="1805">
        <f>$W$23</f>
        <v/>
      </c>
      <c r="X65" s="1780">
        <f>$X$23</f>
        <v/>
      </c>
      <c r="Y65" s="1891" t="n"/>
      <c r="Z65" s="1805">
        <f>Z23</f>
        <v/>
      </c>
      <c r="AP65" s="1807" t="n"/>
      <c r="AQ65" s="1808" t="n"/>
      <c r="AR65" s="1808" t="n"/>
      <c r="AS65" s="1894">
        <f>AS55</f>
        <v/>
      </c>
      <c r="AT65" s="1894">
        <f>AT55</f>
        <v/>
      </c>
      <c r="AU65" s="1894">
        <f>$AS$55</f>
        <v/>
      </c>
      <c r="AV65" s="1895">
        <f>$AT$55</f>
        <v/>
      </c>
      <c r="AW65" s="1894">
        <f>$AU$55</f>
        <v/>
      </c>
      <c r="AX65" s="1894">
        <f>$AV$55</f>
        <v/>
      </c>
      <c r="AY65" s="1894">
        <f>$AW$55</f>
        <v/>
      </c>
      <c r="AZ65" s="1894">
        <f>$AX$55</f>
        <v/>
      </c>
      <c r="BA65" s="1894">
        <f>$AW$55</f>
        <v/>
      </c>
      <c r="BB65" s="1894">
        <f>$AX$55</f>
        <v/>
      </c>
      <c r="BC65" s="1894">
        <f>$AW$55</f>
        <v/>
      </c>
      <c r="BD65" s="1894">
        <f>$AX$55</f>
        <v/>
      </c>
      <c r="BE65" s="1894">
        <f>$AW$55</f>
        <v/>
      </c>
      <c r="BF65" s="1894">
        <f>$AX$55</f>
        <v/>
      </c>
      <c r="BG65" s="1894">
        <f>$BE$55</f>
        <v/>
      </c>
      <c r="BH65" s="1896">
        <f>$BF$55</f>
        <v/>
      </c>
      <c r="BI65" s="1784" t="n"/>
      <c r="BK65" s="1997" t="n"/>
      <c r="BL65" s="1894" t="n"/>
      <c r="BM65" s="1997" t="n"/>
    </row>
    <row r="66" ht="15" customHeight="1">
      <c r="B66" s="1781" t="n"/>
      <c r="C66" s="4137" t="inlineStr">
        <is>
          <t>Agroforestry, initial system</t>
        </is>
      </c>
      <c r="D66" s="1781" t="n"/>
      <c r="E66" s="4135" t="inlineStr">
        <is>
          <t>Agroforestry - default</t>
        </is>
      </c>
      <c r="F66" s="1781" t="n"/>
      <c r="G66" s="2133" t="inlineStr">
        <is>
          <t>Full tillage</t>
        </is>
      </c>
      <c r="H66" s="1781" t="n"/>
      <c r="I66" s="4132" t="inlineStr">
        <is>
          <t>Low C input</t>
        </is>
      </c>
      <c r="J66" s="1878" t="n"/>
      <c r="K66" s="2135" t="inlineStr">
        <is>
          <t>NO</t>
        </is>
      </c>
      <c r="L66" s="1781" t="n"/>
      <c r="M66" s="4133" t="n"/>
      <c r="N66" s="1781" t="n"/>
      <c r="O66" s="1805" t="n"/>
      <c r="P66" s="1781" t="n"/>
      <c r="Q66" s="4123">
        <f>Calculations!C27</f>
        <v/>
      </c>
      <c r="R66" s="2132">
        <f>Q66</f>
        <v/>
      </c>
      <c r="S66" s="4134" t="inlineStr">
        <is>
          <t>D</t>
        </is>
      </c>
      <c r="T66" s="2132" t="n">
        <v>0</v>
      </c>
      <c r="U66" s="4134" t="inlineStr">
        <is>
          <t>D</t>
        </is>
      </c>
      <c r="V66" s="1781" t="n"/>
      <c r="W66" s="1815">
        <f>perennial!P37</f>
        <v/>
      </c>
      <c r="X66" s="1815">
        <f>perennial!Q37</f>
        <v/>
      </c>
      <c r="Y66" s="1839" t="n"/>
      <c r="Z66" s="1812">
        <f>perennial!R37</f>
        <v/>
      </c>
      <c r="AP66" s="1800">
        <f>$E66</f>
        <v/>
      </c>
      <c r="AQ66" s="1798" t="n"/>
      <c r="AR66" s="1798" t="n"/>
      <c r="AS66" s="1817">
        <f>(IF('3.Cropland'!$E66&lt;&gt;"Please select", INDEX(IPCC!$E$107:$T$298,MATCH(clim_moist_cont,IPCC!$C$107:$C$298,0),MATCH('3.Cropland'!$E66,IPCC!$E$105:$T$105,0)), 0))</f>
        <v/>
      </c>
      <c r="AT66" s="2125" t="n"/>
      <c r="AU66" s="1817">
        <f>(IF('3.Cropland'!$E66&lt;&gt;"Please select",INDEX(IPCC!$E$310:$T$501,MATCH(clim_moist_cont,IPCC!$C$310:$C$501,0),MATCH('3.Cropland'!$E66,IPCC!$E$308:$T$308,0)),0))</f>
        <v/>
      </c>
      <c r="AV66" s="2125" t="n"/>
      <c r="AW66" s="1817">
        <f>IF($E66&lt;&gt;"Please select",SOCref,0)</f>
        <v/>
      </c>
      <c r="AX66" s="2125" t="n"/>
      <c r="AY66" s="1817">
        <f>_xlfn.IFNA(IF($E66&lt;&gt;"Please select", VLOOKUP(clim_moist, IPCC!$A$57:$D$68, 4, FALSE),0),)</f>
        <v/>
      </c>
      <c r="AZ66" s="2125" t="n"/>
      <c r="BA66" s="1817">
        <f>_xlfn.IFNA(INDEX( IPCC!$F$58:$H$68,MATCH(clim_moist, IPCC!$A$58:$A$68,0),MATCH($G66, IPCC!$F$58:$H$58,0)),)</f>
        <v/>
      </c>
      <c r="BB66" s="2125" t="n"/>
      <c r="BC66" s="1817">
        <f>_xlfn.IFNA(INDEX( IPCC!$I$58:$L$68,MATCH(clim_moist, IPCC!$A$58:$A$68,0),MATCH($I66, IPCC!$I$58:$L$58,0)),)</f>
        <v/>
      </c>
      <c r="BD66" s="2125" t="n"/>
      <c r="BE66" s="1817">
        <f>AS66*50/100/0.47</f>
        <v/>
      </c>
      <c r="BF66" s="4141" t="n"/>
      <c r="BG66" s="1795" t="n">
        <v>1</v>
      </c>
      <c r="BH66" s="4141" t="n"/>
      <c r="BI66" s="1784" t="n"/>
      <c r="BK66" s="4401" t="n">
        <v>1</v>
      </c>
      <c r="BL66" s="4402" t="n"/>
      <c r="BM66" s="1997" t="n"/>
    </row>
    <row r="67" ht="15" customHeight="1">
      <c r="B67" s="1781" t="n"/>
      <c r="C67" s="4138" t="inlineStr">
        <is>
          <t>Improved agroforestry (rainfed intercropping with prosopis )</t>
        </is>
      </c>
      <c r="D67" s="1781" t="n"/>
      <c r="E67" s="4135" t="inlineStr">
        <is>
          <t>Alley cropping</t>
        </is>
      </c>
      <c r="F67" s="1781" t="n"/>
      <c r="G67" s="2133" t="inlineStr">
        <is>
          <t>Reduced tillage</t>
        </is>
      </c>
      <c r="H67" s="1781" t="n"/>
      <c r="I67" s="4132" t="inlineStr">
        <is>
          <t>Medium C input</t>
        </is>
      </c>
      <c r="J67" s="1878" t="n"/>
      <c r="K67" s="2135" t="inlineStr">
        <is>
          <t>NO</t>
        </is>
      </c>
      <c r="L67" s="1781" t="n"/>
      <c r="M67" s="4133" t="n"/>
      <c r="N67" s="1781" t="n"/>
      <c r="O67" s="1805" t="n"/>
      <c r="P67" s="1781" t="n"/>
      <c r="Q67" s="4123" t="n">
        <v>0</v>
      </c>
      <c r="R67" s="2132" t="n">
        <v>0</v>
      </c>
      <c r="S67" s="2108" t="inlineStr">
        <is>
          <t>D</t>
        </is>
      </c>
      <c r="T67" s="2132">
        <f>Q66</f>
        <v/>
      </c>
      <c r="U67" s="2108" t="inlineStr">
        <is>
          <t>D</t>
        </is>
      </c>
      <c r="V67" s="1781" t="n"/>
      <c r="W67" s="1815">
        <f>perennial!P38</f>
        <v/>
      </c>
      <c r="X67" s="1815">
        <f>perennial!Q38</f>
        <v/>
      </c>
      <c r="Y67" s="1839" t="n"/>
      <c r="Z67" s="1812">
        <f>perennial!R38</f>
        <v/>
      </c>
      <c r="AP67" s="1800">
        <f>$E67</f>
        <v/>
      </c>
      <c r="AQ67" s="1798" t="n"/>
      <c r="AR67" s="1798" t="n"/>
      <c r="AS67" s="1817">
        <f>(IF('3.Cropland'!$E67&lt;&gt;"Please select", INDEX(IPCC!$E$107:$T$298,MATCH(clim_moist_cont,IPCC!$C$107:$C$298,0),MATCH('3.Cropland'!$E67,IPCC!$E$105:$T$105,0)), 0))</f>
        <v/>
      </c>
      <c r="AT67" s="2125" t="n"/>
      <c r="AU67" s="1817">
        <f>(IF('3.Cropland'!$E67&lt;&gt;"Please select",INDEX(IPCC!$E$310:$T$501,MATCH(clim_moist_cont,IPCC!$C$310:$C$501,0),MATCH('3.Cropland'!$E67,IPCC!$E$308:$T$308,0)),0))</f>
        <v/>
      </c>
      <c r="AV67" s="2125" t="n"/>
      <c r="AW67" s="1817">
        <f>IF($E67&lt;&gt;"Please select",SOCref,0)</f>
        <v/>
      </c>
      <c r="AX67" s="2125" t="n"/>
      <c r="AY67" s="1817">
        <f>_xlfn.IFNA(IF($E67&lt;&gt;"Please select", VLOOKUP(clim_moist, IPCC!$A$57:$D$68, 4, FALSE),0),)</f>
        <v/>
      </c>
      <c r="AZ67" s="2125" t="n"/>
      <c r="BA67" s="1817">
        <f>_xlfn.IFNA(INDEX( IPCC!$F$58:$H$68,MATCH(clim_moist, IPCC!$A$58:$A$68,0),MATCH($G67, IPCC!$F$58:$H$58,0)),)</f>
        <v/>
      </c>
      <c r="BB67" s="2125" t="n"/>
      <c r="BC67" s="1817">
        <f>_xlfn.IFNA(INDEX( IPCC!$I$58:$L$68,MATCH(clim_moist, IPCC!$A$58:$A$68,0),MATCH($I67, IPCC!$I$58:$L$58,0)),)</f>
        <v/>
      </c>
      <c r="BD67" s="2125" t="n"/>
      <c r="BE67" s="1817">
        <f>AS67*50/100/0.47</f>
        <v/>
      </c>
      <c r="BF67" s="4141" t="n"/>
      <c r="BG67" s="1795" t="n">
        <v>1</v>
      </c>
      <c r="BH67" s="4141" t="n"/>
      <c r="BI67" s="1784" t="n"/>
      <c r="BK67" s="4401" t="n">
        <v>1</v>
      </c>
      <c r="BL67" s="4402" t="n"/>
      <c r="BM67" s="1997" t="n"/>
    </row>
    <row r="68" ht="15" customHeight="1">
      <c r="B68" s="1781" t="n"/>
      <c r="C68" s="4138" t="inlineStr">
        <is>
          <t xml:space="preserve"> agrosilvopastoral lands under unimproved use and management</t>
        </is>
      </c>
      <c r="D68" s="1781" t="n"/>
      <c r="E68" s="4135" t="inlineStr">
        <is>
          <t>Agroforestry - default</t>
        </is>
      </c>
      <c r="F68" s="1781" t="n"/>
      <c r="G68" s="2133" t="inlineStr">
        <is>
          <t>Reduced tillage</t>
        </is>
      </c>
      <c r="H68" s="1781" t="n"/>
      <c r="I68" s="4132" t="inlineStr">
        <is>
          <t>Low C input</t>
        </is>
      </c>
      <c r="J68" s="1878" t="n"/>
      <c r="K68" s="2135" t="inlineStr">
        <is>
          <t>NO</t>
        </is>
      </c>
      <c r="L68" s="1781" t="n"/>
      <c r="M68" s="4133" t="n"/>
      <c r="N68" s="1781" t="n"/>
      <c r="O68" s="1805" t="n"/>
      <c r="P68" s="1781" t="n"/>
      <c r="Q68" s="4123">
        <f>Calculations!C28</f>
        <v/>
      </c>
      <c r="R68" s="2132">
        <f>Q68</f>
        <v/>
      </c>
      <c r="S68" s="2108" t="inlineStr">
        <is>
          <t>D</t>
        </is>
      </c>
      <c r="T68" s="2132" t="n">
        <v>0</v>
      </c>
      <c r="U68" s="2108" t="inlineStr">
        <is>
          <t>D</t>
        </is>
      </c>
      <c r="V68" s="1781" t="n"/>
      <c r="W68" s="1815">
        <f>perennial!P39</f>
        <v/>
      </c>
      <c r="X68" s="1815">
        <f>perennial!Q39</f>
        <v/>
      </c>
      <c r="Y68" s="1839" t="n"/>
      <c r="Z68" s="1812">
        <f>perennial!R39</f>
        <v/>
      </c>
      <c r="AP68" s="1800">
        <f>$E68</f>
        <v/>
      </c>
      <c r="AQ68" s="1798" t="n"/>
      <c r="AR68" s="1798" t="n"/>
      <c r="AS68" s="1817">
        <f>(IF('3.Cropland'!$E68&lt;&gt;"Please select", INDEX(IPCC!$E$107:$T$298,MATCH(clim_moist_cont,IPCC!$C$107:$C$298,0),MATCH('3.Cropland'!$E68,IPCC!$E$105:$T$105,0)), 0))</f>
        <v/>
      </c>
      <c r="AT68" s="2125" t="n"/>
      <c r="AU68" s="1817">
        <f>(IF('3.Cropland'!$E68&lt;&gt;"Please select",INDEX(IPCC!$E$310:$T$501,MATCH(clim_moist_cont,IPCC!$C$310:$C$501,0),MATCH('3.Cropland'!$E68,IPCC!$E$308:$T$308,0)),0))</f>
        <v/>
      </c>
      <c r="AV68" s="2125" t="n"/>
      <c r="AW68" s="1817">
        <f>IF($E68&lt;&gt;"Please select",SOCref,0)</f>
        <v/>
      </c>
      <c r="AX68" s="2125" t="n"/>
      <c r="AY68" s="1817">
        <f>_xlfn.IFNA(IF($E68&lt;&gt;"Please select", VLOOKUP(clim_moist, IPCC!$A$57:$D$68, 4, FALSE),0),)</f>
        <v/>
      </c>
      <c r="AZ68" s="2125" t="n"/>
      <c r="BA68" s="1817">
        <f>_xlfn.IFNA(INDEX( IPCC!$F$58:$H$68,MATCH(clim_moist, IPCC!$A$58:$A$68,0),MATCH($G68, IPCC!$F$58:$H$58,0)),)</f>
        <v/>
      </c>
      <c r="BB68" s="2125" t="n"/>
      <c r="BC68" s="1817">
        <f>_xlfn.IFNA(INDEX( IPCC!$I$58:$L$68,MATCH(clim_moist, IPCC!$A$58:$A$68,0),MATCH($I68, IPCC!$I$58:$L$58,0)),)</f>
        <v/>
      </c>
      <c r="BD68" s="2125" t="n"/>
      <c r="BE68" s="1817">
        <f>AS68*50/100/0.47</f>
        <v/>
      </c>
      <c r="BF68" s="4141" t="n"/>
      <c r="BG68" s="1795" t="n">
        <v>1</v>
      </c>
      <c r="BH68" s="4141" t="n"/>
      <c r="BI68" s="1784" t="n"/>
      <c r="BK68" s="4401" t="n">
        <v>1</v>
      </c>
      <c r="BL68" s="4402" t="n"/>
      <c r="BM68" s="1997" t="n"/>
    </row>
    <row r="69" ht="15" customHeight="1">
      <c r="B69" s="1781" t="n"/>
      <c r="C69" s="4138" t="inlineStr">
        <is>
          <t>Improved use and management of agrosilvopastoral lands</t>
        </is>
      </c>
      <c r="D69" s="1781" t="n"/>
      <c r="E69" s="4135" t="inlineStr">
        <is>
          <t>Silvopasture</t>
        </is>
      </c>
      <c r="F69" s="1781" t="n"/>
      <c r="G69" s="2133" t="inlineStr">
        <is>
          <t>No tillage</t>
        </is>
      </c>
      <c r="H69" s="1781" t="n"/>
      <c r="I69" s="4132" t="inlineStr">
        <is>
          <t>Medium C input</t>
        </is>
      </c>
      <c r="J69" s="1878" t="n"/>
      <c r="K69" s="2135" t="inlineStr">
        <is>
          <t>NO</t>
        </is>
      </c>
      <c r="L69" s="1781" t="n"/>
      <c r="M69" s="4133" t="n"/>
      <c r="N69" s="1781" t="n"/>
      <c r="O69" s="1805" t="n"/>
      <c r="P69" s="1781" t="n"/>
      <c r="Q69" s="4123" t="n">
        <v>0</v>
      </c>
      <c r="R69" s="2132" t="n">
        <v>0</v>
      </c>
      <c r="S69" s="2108" t="inlineStr">
        <is>
          <t>D</t>
        </is>
      </c>
      <c r="T69" s="2132">
        <f>Q68</f>
        <v/>
      </c>
      <c r="U69" s="2108" t="inlineStr">
        <is>
          <t>D</t>
        </is>
      </c>
      <c r="V69" s="1781" t="n"/>
      <c r="W69" s="1815">
        <f>perennial!P40</f>
        <v/>
      </c>
      <c r="X69" s="1815">
        <f>perennial!Q40</f>
        <v/>
      </c>
      <c r="Y69" s="1839" t="n"/>
      <c r="Z69" s="1812">
        <f>perennial!R40</f>
        <v/>
      </c>
      <c r="AP69" s="1800">
        <f>$E69</f>
        <v/>
      </c>
      <c r="AQ69" s="1798" t="n"/>
      <c r="AR69" s="1798" t="n"/>
      <c r="AS69" s="1817">
        <f>(IF('3.Cropland'!$E69&lt;&gt;"Please select", INDEX(IPCC!$E$107:$T$298,MATCH(clim_moist_cont,IPCC!$C$107:$C$298,0),MATCH('3.Cropland'!$E69,IPCC!$E$105:$T$105,0)), 0))</f>
        <v/>
      </c>
      <c r="AT69" s="2125" t="n"/>
      <c r="AU69" s="1817">
        <f>(IF('3.Cropland'!$E69&lt;&gt;"Please select",INDEX(IPCC!$E$310:$T$501,MATCH(clim_moist_cont,IPCC!$C$310:$C$501,0),MATCH('3.Cropland'!$E69,IPCC!$E$308:$T$308,0)),0))</f>
        <v/>
      </c>
      <c r="AV69" s="2125" t="n"/>
      <c r="AW69" s="1817">
        <f>IF($E69&lt;&gt;"Please select",SOCref,0)</f>
        <v/>
      </c>
      <c r="AX69" s="2125" t="n"/>
      <c r="AY69" s="1817">
        <f>_xlfn.IFNA(IF($E69&lt;&gt;"Please select", VLOOKUP(clim_moist, IPCC!$A$57:$D$68, 4, FALSE),0),)</f>
        <v/>
      </c>
      <c r="AZ69" s="2125" t="n"/>
      <c r="BA69" s="1817">
        <f>_xlfn.IFNA(INDEX( IPCC!$F$58:$H$68,MATCH(clim_moist, IPCC!$A$58:$A$68,0),MATCH($G69, IPCC!$F$58:$H$58,0)),)</f>
        <v/>
      </c>
      <c r="BB69" s="2125" t="n"/>
      <c r="BC69" s="1817">
        <f>_xlfn.IFNA(INDEX( IPCC!$I$58:$L$68,MATCH(clim_moist, IPCC!$A$58:$A$68,0),MATCH($I69, IPCC!$I$58:$L$58,0)),)</f>
        <v/>
      </c>
      <c r="BD69" s="2125" t="n"/>
      <c r="BE69" s="1817">
        <f>AS69*50/100/0.47</f>
        <v/>
      </c>
      <c r="BF69" s="4141" t="n"/>
      <c r="BG69" s="1795" t="n">
        <v>1</v>
      </c>
      <c r="BH69" s="4141" t="n"/>
      <c r="BI69" s="1784" t="n"/>
      <c r="BK69" s="4401" t="n">
        <v>1</v>
      </c>
      <c r="BL69" s="4402" t="n"/>
      <c r="BM69" s="1997" t="n"/>
    </row>
    <row r="70" ht="15" customHeight="1">
      <c r="B70" s="1781" t="n"/>
      <c r="C70" s="4138" t="n"/>
      <c r="D70" s="1781" t="n"/>
      <c r="E70" s="4135" t="inlineStr">
        <is>
          <t>Please select</t>
        </is>
      </c>
      <c r="F70" s="1781" t="n"/>
      <c r="G70" s="2133" t="inlineStr">
        <is>
          <t>Please select</t>
        </is>
      </c>
      <c r="H70" s="1781" t="n"/>
      <c r="I70" s="4132" t="inlineStr">
        <is>
          <t>Please select</t>
        </is>
      </c>
      <c r="J70" s="1878" t="n"/>
      <c r="K70" s="2135" t="inlineStr">
        <is>
          <t>NO</t>
        </is>
      </c>
      <c r="L70" s="1781" t="n"/>
      <c r="M70" s="4133" t="n"/>
      <c r="N70" s="1781" t="n"/>
      <c r="O70" s="1805" t="n"/>
      <c r="P70" s="1781" t="n"/>
      <c r="Q70" s="4123" t="n">
        <v>0</v>
      </c>
      <c r="R70" s="2132" t="n">
        <v>0</v>
      </c>
      <c r="S70" s="2108" t="inlineStr">
        <is>
          <t>D</t>
        </is>
      </c>
      <c r="T70" s="2132" t="n">
        <v>0</v>
      </c>
      <c r="U70" s="2108" t="inlineStr">
        <is>
          <t>D</t>
        </is>
      </c>
      <c r="V70" s="1781" t="n"/>
      <c r="W70" s="1815">
        <f>perennial!P41</f>
        <v/>
      </c>
      <c r="X70" s="1815">
        <f>perennial!Q41</f>
        <v/>
      </c>
      <c r="Y70" s="1839" t="n"/>
      <c r="Z70" s="1812">
        <f>perennial!R41</f>
        <v/>
      </c>
      <c r="AP70" s="1800">
        <f>$E70</f>
        <v/>
      </c>
      <c r="AQ70" s="1798" t="n"/>
      <c r="AR70" s="1798" t="n"/>
      <c r="AS70" s="1817">
        <f>(IF('3.Cropland'!$E70&lt;&gt;"Please select", INDEX(IPCC!$E$107:$T$298,MATCH(clim_moist_cont,IPCC!$C$107:$C$298,0),MATCH('3.Cropland'!$E70,IPCC!$E$105:$T$105,0)), 0))</f>
        <v/>
      </c>
      <c r="AT70" s="2125" t="n"/>
      <c r="AU70" s="1817">
        <f>(IF('3.Cropland'!$E70&lt;&gt;"Please select",INDEX(IPCC!$E$310:$T$501,MATCH(clim_moist_cont,IPCC!$C$310:$C$501,0),MATCH('3.Cropland'!$E70,IPCC!$E$308:$T$308,0)),0))</f>
        <v/>
      </c>
      <c r="AV70" s="2125" t="n"/>
      <c r="AW70" s="1817">
        <f>IF($E70&lt;&gt;"Please select",SOCref,0)</f>
        <v/>
      </c>
      <c r="AX70" s="2125" t="n"/>
      <c r="AY70" s="1817">
        <f>_xlfn.IFNA(IF($E70&lt;&gt;"Please select", VLOOKUP(clim_moist, IPCC!$A$57:$D$68, 4, FALSE),0),)</f>
        <v/>
      </c>
      <c r="AZ70" s="2125" t="n"/>
      <c r="BA70" s="1817">
        <f>_xlfn.IFNA(INDEX( IPCC!$F$58:$H$68,MATCH(clim_moist, IPCC!$A$58:$A$68,0),MATCH($G70, IPCC!$F$58:$H$58,0)),)</f>
        <v/>
      </c>
      <c r="BB70" s="2125" t="n"/>
      <c r="BC70" s="1817">
        <f>_xlfn.IFNA(INDEX( IPCC!$I$58:$L$68,MATCH(clim_moist, IPCC!$A$58:$A$68,0),MATCH($I70, IPCC!$I$58:$L$58,0)),)</f>
        <v/>
      </c>
      <c r="BD70" s="2125" t="n"/>
      <c r="BE70" s="1817">
        <f>AS70*50/100/0.47</f>
        <v/>
      </c>
      <c r="BF70" s="4141" t="n"/>
      <c r="BG70" s="1795" t="n">
        <v>1</v>
      </c>
      <c r="BH70" s="4141" t="n"/>
      <c r="BI70" s="1784" t="n"/>
      <c r="BK70" s="4401" t="n">
        <v>1</v>
      </c>
      <c r="BL70" s="4402" t="n"/>
      <c r="BM70" s="1997" t="n"/>
    </row>
    <row r="71" ht="15" customHeight="1">
      <c r="B71" s="1781" t="n"/>
      <c r="C71" s="4138" t="n"/>
      <c r="D71" s="1781" t="n"/>
      <c r="E71" s="4135" t="inlineStr">
        <is>
          <t>Please select</t>
        </is>
      </c>
      <c r="F71" s="1781" t="n"/>
      <c r="G71" s="2133" t="inlineStr">
        <is>
          <t>Please select</t>
        </is>
      </c>
      <c r="H71" s="1781" t="n"/>
      <c r="I71" s="4132" t="inlineStr">
        <is>
          <t>Please select</t>
        </is>
      </c>
      <c r="J71" s="1878" t="n"/>
      <c r="K71" s="2135" t="inlineStr">
        <is>
          <t>NO</t>
        </is>
      </c>
      <c r="L71" s="1781" t="n"/>
      <c r="M71" s="4133" t="n"/>
      <c r="N71" s="1781" t="n"/>
      <c r="O71" s="1805" t="n"/>
      <c r="P71" s="1781" t="n"/>
      <c r="Q71" s="4123" t="n">
        <v>0</v>
      </c>
      <c r="R71" s="2132" t="n">
        <v>0</v>
      </c>
      <c r="S71" s="2108" t="inlineStr">
        <is>
          <t>D</t>
        </is>
      </c>
      <c r="T71" s="2132" t="n">
        <v>0</v>
      </c>
      <c r="U71" s="2108" t="inlineStr">
        <is>
          <t>D</t>
        </is>
      </c>
      <c r="V71" s="1781" t="n"/>
      <c r="W71" s="1815">
        <f>perennial!P42</f>
        <v/>
      </c>
      <c r="X71" s="1815">
        <f>perennial!Q42</f>
        <v/>
      </c>
      <c r="Y71" s="1839" t="n"/>
      <c r="Z71" s="1812">
        <f>perennial!R42</f>
        <v/>
      </c>
      <c r="AP71" s="1800">
        <f>$E71</f>
        <v/>
      </c>
      <c r="AQ71" s="1798" t="n"/>
      <c r="AR71" s="1798" t="n"/>
      <c r="AS71" s="1817">
        <f>(IF('3.Cropland'!$E71&lt;&gt;"Please select", INDEX(IPCC!$E$107:$T$298,MATCH(clim_moist_cont,IPCC!$C$107:$C$298,0),MATCH('3.Cropland'!$E71,IPCC!$E$105:$T$105,0)), 0))</f>
        <v/>
      </c>
      <c r="AT71" s="2125" t="n"/>
      <c r="AU71" s="1817">
        <f>(IF('3.Cropland'!$E71&lt;&gt;"Please select",INDEX(IPCC!$E$310:$T$501,MATCH(clim_moist_cont,IPCC!$C$310:$C$501,0),MATCH('3.Cropland'!$E71,IPCC!$E$308:$T$308,0)),0))</f>
        <v/>
      </c>
      <c r="AV71" s="2125" t="n"/>
      <c r="AW71" s="1817">
        <f>IF($E71&lt;&gt;"Please select",SOCref,0)</f>
        <v/>
      </c>
      <c r="AX71" s="2125" t="n"/>
      <c r="AY71" s="1817">
        <f>_xlfn.IFNA(IF($E71&lt;&gt;"Please select", VLOOKUP(clim_moist, IPCC!$A$57:$D$68, 4, FALSE),0),)</f>
        <v/>
      </c>
      <c r="AZ71" s="2125" t="n"/>
      <c r="BA71" s="1817">
        <f>_xlfn.IFNA(INDEX( IPCC!$F$58:$H$68,MATCH(clim_moist, IPCC!$A$58:$A$68,0),MATCH($G71, IPCC!$F$58:$H$58,0)),)</f>
        <v/>
      </c>
      <c r="BB71" s="2125" t="n"/>
      <c r="BC71" s="1817">
        <f>_xlfn.IFNA(INDEX( IPCC!$I$58:$L$68,MATCH(clim_moist, IPCC!$A$58:$A$68,0),MATCH($I71, IPCC!$I$58:$L$58,0)),)</f>
        <v/>
      </c>
      <c r="BD71" s="2125" t="n"/>
      <c r="BE71" s="1817">
        <f>AS71*50/100/0.47</f>
        <v/>
      </c>
      <c r="BF71" s="4141" t="n"/>
      <c r="BG71" s="1795" t="n">
        <v>1</v>
      </c>
      <c r="BH71" s="4141" t="n"/>
      <c r="BI71" s="1784" t="n"/>
      <c r="BK71" s="4401" t="n">
        <v>1</v>
      </c>
      <c r="BL71" s="4402" t="n"/>
      <c r="BM71" s="1997" t="n"/>
    </row>
    <row r="72" ht="15" customHeight="1">
      <c r="B72" s="1781" t="n"/>
      <c r="C72" s="4138" t="n"/>
      <c r="D72" s="1781" t="n"/>
      <c r="E72" s="4135" t="inlineStr">
        <is>
          <t>Please select</t>
        </is>
      </c>
      <c r="F72" s="1781" t="n"/>
      <c r="G72" s="2133" t="inlineStr">
        <is>
          <t>Please select</t>
        </is>
      </c>
      <c r="H72" s="1781" t="n"/>
      <c r="I72" s="4132" t="inlineStr">
        <is>
          <t>Please select</t>
        </is>
      </c>
      <c r="J72" s="1878" t="n"/>
      <c r="K72" s="2135" t="inlineStr">
        <is>
          <t>NO</t>
        </is>
      </c>
      <c r="L72" s="1781" t="n"/>
      <c r="M72" s="4133" t="n"/>
      <c r="N72" s="1781" t="n"/>
      <c r="O72" s="1805" t="n"/>
      <c r="P72" s="1781" t="n"/>
      <c r="Q72" s="4123" t="n">
        <v>0</v>
      </c>
      <c r="R72" s="2132" t="n">
        <v>0</v>
      </c>
      <c r="S72" s="2108" t="inlineStr">
        <is>
          <t>D</t>
        </is>
      </c>
      <c r="T72" s="2132" t="n">
        <v>0</v>
      </c>
      <c r="U72" s="2108" t="inlineStr">
        <is>
          <t>D</t>
        </is>
      </c>
      <c r="V72" s="1781" t="n"/>
      <c r="W72" s="1815">
        <f>perennial!P43</f>
        <v/>
      </c>
      <c r="X72" s="1815">
        <f>perennial!Q43</f>
        <v/>
      </c>
      <c r="Y72" s="1839" t="n"/>
      <c r="Z72" s="1812">
        <f>perennial!R43</f>
        <v/>
      </c>
      <c r="AP72" s="1800">
        <f>$E72</f>
        <v/>
      </c>
      <c r="AQ72" s="1798" t="n"/>
      <c r="AR72" s="1798" t="n"/>
      <c r="AS72" s="1817">
        <f>(IF('3.Cropland'!$E72&lt;&gt;"Please select", INDEX(IPCC!$E$107:$T$298,MATCH(clim_moist_cont,IPCC!$C$107:$C$298,0),MATCH('3.Cropland'!$E72,IPCC!$E$105:$T$105,0)), 0))</f>
        <v/>
      </c>
      <c r="AT72" s="2125" t="n"/>
      <c r="AU72" s="1817">
        <f>(IF('3.Cropland'!$E72&lt;&gt;"Please select",INDEX(IPCC!$E$310:$T$501,MATCH(clim_moist_cont,IPCC!$C$310:$C$501,0),MATCH('3.Cropland'!$E72,IPCC!$E$308:$T$308,0)),0))</f>
        <v/>
      </c>
      <c r="AV72" s="2125" t="n"/>
      <c r="AW72" s="1817">
        <f>IF($E72&lt;&gt;"Please select",SOCref,0)</f>
        <v/>
      </c>
      <c r="AX72" s="2125" t="n"/>
      <c r="AY72" s="1817">
        <f>_xlfn.IFNA(IF($E72&lt;&gt;"Please select", VLOOKUP(clim_moist, IPCC!$A$57:$D$68, 4, FALSE),0),)</f>
        <v/>
      </c>
      <c r="AZ72" s="2125" t="n"/>
      <c r="BA72" s="1817">
        <f>_xlfn.IFNA(INDEX( IPCC!$F$58:$H$68,MATCH(clim_moist, IPCC!$A$58:$A$68,0),MATCH($G72, IPCC!$F$58:$H$58,0)),)</f>
        <v/>
      </c>
      <c r="BB72" s="2125" t="n"/>
      <c r="BC72" s="1817">
        <f>_xlfn.IFNA(INDEX( IPCC!$I$58:$L$68,MATCH(clim_moist, IPCC!$A$58:$A$68,0),MATCH($I72, IPCC!$I$58:$L$58,0)),)</f>
        <v/>
      </c>
      <c r="BD72" s="2125" t="n"/>
      <c r="BE72" s="1817">
        <f>AS72*50/100/0.47</f>
        <v/>
      </c>
      <c r="BF72" s="4141" t="n"/>
      <c r="BG72" s="1795" t="n">
        <v>1</v>
      </c>
      <c r="BH72" s="4141" t="n"/>
      <c r="BI72" s="1784" t="n"/>
      <c r="BK72" s="4401" t="n">
        <v>1</v>
      </c>
      <c r="BL72" s="4402" t="n"/>
      <c r="BM72" s="1997" t="n"/>
    </row>
    <row r="73" ht="15" customHeight="1">
      <c r="B73" s="1781" t="n"/>
      <c r="C73" s="4138" t="n"/>
      <c r="D73" s="1781" t="n"/>
      <c r="E73" s="4135" t="inlineStr">
        <is>
          <t>Please select</t>
        </is>
      </c>
      <c r="F73" s="1781" t="n"/>
      <c r="G73" s="2133" t="inlineStr">
        <is>
          <t>Please select</t>
        </is>
      </c>
      <c r="H73" s="1781" t="n"/>
      <c r="I73" s="4132" t="inlineStr">
        <is>
          <t>Please select</t>
        </is>
      </c>
      <c r="J73" s="1878" t="n"/>
      <c r="K73" s="2135" t="inlineStr">
        <is>
          <t>NO</t>
        </is>
      </c>
      <c r="L73" s="1781" t="n"/>
      <c r="M73" s="4133" t="n"/>
      <c r="N73" s="1781" t="n"/>
      <c r="O73" s="1805" t="n"/>
      <c r="P73" s="1781" t="n"/>
      <c r="Q73" s="4123" t="n">
        <v>0</v>
      </c>
      <c r="R73" s="2132" t="n">
        <v>0</v>
      </c>
      <c r="S73" s="2108" t="inlineStr">
        <is>
          <t>D</t>
        </is>
      </c>
      <c r="T73" s="2132" t="n">
        <v>0</v>
      </c>
      <c r="U73" s="2108" t="inlineStr">
        <is>
          <t>D</t>
        </is>
      </c>
      <c r="V73" s="1781" t="n"/>
      <c r="W73" s="1815">
        <f>perennial!P44</f>
        <v/>
      </c>
      <c r="X73" s="1815">
        <f>perennial!Q44</f>
        <v/>
      </c>
      <c r="Y73" s="1839" t="n"/>
      <c r="Z73" s="1812">
        <f>perennial!R44</f>
        <v/>
      </c>
      <c r="AP73" s="1800">
        <f>$E73</f>
        <v/>
      </c>
      <c r="AQ73" s="1798" t="n"/>
      <c r="AR73" s="1798" t="n"/>
      <c r="AS73" s="1817">
        <f>(IF('3.Cropland'!$E73&lt;&gt;"Please select", INDEX(IPCC!$E$107:$T$298,MATCH(clim_moist_cont,IPCC!$C$107:$C$298,0),MATCH('3.Cropland'!$E73,IPCC!$E$105:$T$105,0)), 0))</f>
        <v/>
      </c>
      <c r="AT73" s="2125" t="n"/>
      <c r="AU73" s="1817">
        <f>(IF('3.Cropland'!$E73&lt;&gt;"Please select",INDEX(IPCC!$E$310:$T$501,MATCH(clim_moist_cont,IPCC!$C$310:$C$501,0),MATCH('3.Cropland'!$E73,IPCC!$E$308:$T$308,0)),0))</f>
        <v/>
      </c>
      <c r="AV73" s="2125" t="n"/>
      <c r="AW73" s="1817">
        <f>IF($E73&lt;&gt;"Please select",SOCref,0)</f>
        <v/>
      </c>
      <c r="AX73" s="2125" t="n"/>
      <c r="AY73" s="1817">
        <f>_xlfn.IFNA(IF($E73&lt;&gt;"Please select", VLOOKUP(clim_moist, IPCC!$A$57:$D$68, 4, FALSE),0),)</f>
        <v/>
      </c>
      <c r="AZ73" s="2125" t="n"/>
      <c r="BA73" s="1817">
        <f>_xlfn.IFNA(INDEX( IPCC!$F$58:$H$68,MATCH(clim_moist, IPCC!$A$58:$A$68,0),MATCH($G73, IPCC!$F$58:$H$58,0)),)</f>
        <v/>
      </c>
      <c r="BB73" s="2125" t="n"/>
      <c r="BC73" s="1817">
        <f>_xlfn.IFNA(INDEX( IPCC!$I$58:$L$68,MATCH(clim_moist, IPCC!$A$58:$A$68,0),MATCH($I73, IPCC!$I$58:$L$58,0)),)</f>
        <v/>
      </c>
      <c r="BD73" s="2125" t="n"/>
      <c r="BE73" s="1817">
        <f>AS73*50/100/0.47</f>
        <v/>
      </c>
      <c r="BF73" s="4141" t="n"/>
      <c r="BG73" s="1795" t="n">
        <v>1</v>
      </c>
      <c r="BH73" s="4141" t="n"/>
      <c r="BI73" s="1784" t="n"/>
      <c r="BK73" s="4401" t="n">
        <v>1</v>
      </c>
      <c r="BL73" s="4402" t="n"/>
      <c r="BM73" s="1997" t="n"/>
    </row>
    <row r="74" ht="15" customHeight="1">
      <c r="B74" s="1781" t="n"/>
      <c r="C74" s="4138" t="n"/>
      <c r="D74" s="1781" t="n"/>
      <c r="E74" s="4135" t="inlineStr">
        <is>
          <t>Please select</t>
        </is>
      </c>
      <c r="F74" s="1781" t="n"/>
      <c r="G74" s="2133" t="inlineStr">
        <is>
          <t>Please select</t>
        </is>
      </c>
      <c r="H74" s="1781" t="n"/>
      <c r="I74" s="4132" t="inlineStr">
        <is>
          <t>Please select</t>
        </is>
      </c>
      <c r="J74" s="1878" t="n"/>
      <c r="K74" s="2135" t="inlineStr">
        <is>
          <t>NO</t>
        </is>
      </c>
      <c r="L74" s="1781" t="n"/>
      <c r="M74" s="4133" t="n"/>
      <c r="N74" s="1781" t="n"/>
      <c r="O74" s="1805" t="n"/>
      <c r="P74" s="1781" t="n"/>
      <c r="Q74" s="4123" t="n">
        <v>0</v>
      </c>
      <c r="R74" s="2132" t="n">
        <v>0</v>
      </c>
      <c r="S74" s="2108" t="inlineStr">
        <is>
          <t>D</t>
        </is>
      </c>
      <c r="T74" s="2132" t="n">
        <v>0</v>
      </c>
      <c r="U74" s="2108" t="inlineStr">
        <is>
          <t>D</t>
        </is>
      </c>
      <c r="V74" s="1781" t="n"/>
      <c r="W74" s="1815">
        <f>perennial!P45</f>
        <v/>
      </c>
      <c r="X74" s="1815">
        <f>perennial!Q45</f>
        <v/>
      </c>
      <c r="Y74" s="1839" t="n"/>
      <c r="Z74" s="1812">
        <f>perennial!R45</f>
        <v/>
      </c>
      <c r="AP74" s="1800">
        <f>$E74</f>
        <v/>
      </c>
      <c r="AQ74" s="1798" t="n"/>
      <c r="AR74" s="1798" t="n"/>
      <c r="AS74" s="1817">
        <f>(IF('3.Cropland'!$E74&lt;&gt;"Please select", INDEX(IPCC!$E$107:$T$298,MATCH(clim_moist_cont,IPCC!$C$107:$C$298,0),MATCH('3.Cropland'!$E74,IPCC!$E$105:$T$105,0)), 0))</f>
        <v/>
      </c>
      <c r="AT74" s="2125" t="n"/>
      <c r="AU74" s="1817">
        <f>(IF('3.Cropland'!$E74&lt;&gt;"Please select",INDEX(IPCC!$E$310:$T$501,MATCH(clim_moist_cont,IPCC!$C$310:$C$501,0),MATCH('3.Cropland'!$E74,IPCC!$E$308:$T$308,0)),0))</f>
        <v/>
      </c>
      <c r="AV74" s="2125" t="n"/>
      <c r="AW74" s="1817">
        <f>IF($E74&lt;&gt;"Please select",SOCref,0)</f>
        <v/>
      </c>
      <c r="AX74" s="2125" t="n"/>
      <c r="AY74" s="1817">
        <f>_xlfn.IFNA(IF($E74&lt;&gt;"Please select", VLOOKUP(clim_moist, IPCC!$A$57:$D$68, 4, FALSE),0),)</f>
        <v/>
      </c>
      <c r="AZ74" s="2125" t="n"/>
      <c r="BA74" s="1817">
        <f>_xlfn.IFNA(INDEX( IPCC!$F$58:$H$68,MATCH(clim_moist, IPCC!$A$58:$A$68,0),MATCH($G74, IPCC!$F$58:$H$58,0)),)</f>
        <v/>
      </c>
      <c r="BB74" s="2125" t="n"/>
      <c r="BC74" s="1817">
        <f>_xlfn.IFNA(INDEX( IPCC!$I$58:$L$68,MATCH(clim_moist, IPCC!$A$58:$A$68,0),MATCH($I74, IPCC!$I$58:$L$58,0)),)</f>
        <v/>
      </c>
      <c r="BD74" s="2125" t="n"/>
      <c r="BE74" s="1817">
        <f>AS74*50/100/0.47</f>
        <v/>
      </c>
      <c r="BF74" s="4141" t="n"/>
      <c r="BG74" s="1795" t="n">
        <v>1</v>
      </c>
      <c r="BH74" s="4141" t="n"/>
      <c r="BI74" s="1784" t="n"/>
      <c r="BK74" s="4401" t="n">
        <v>1</v>
      </c>
      <c r="BL74" s="4402" t="n"/>
      <c r="BM74" s="1997" t="n"/>
    </row>
    <row r="75" ht="15" customHeight="1">
      <c r="B75" s="1781" t="n"/>
      <c r="C75" s="4139" t="n"/>
      <c r="D75" s="1781" t="n"/>
      <c r="E75" s="4135" t="inlineStr">
        <is>
          <t>Please select</t>
        </is>
      </c>
      <c r="F75" s="1781" t="n"/>
      <c r="G75" s="2133" t="inlineStr">
        <is>
          <t>Please select</t>
        </is>
      </c>
      <c r="H75" s="1781" t="n"/>
      <c r="I75" s="4132" t="inlineStr">
        <is>
          <t>Please select</t>
        </is>
      </c>
      <c r="J75" s="1878" t="n"/>
      <c r="K75" s="2135" t="inlineStr">
        <is>
          <t>NO</t>
        </is>
      </c>
      <c r="L75" s="1781" t="n"/>
      <c r="M75" s="4133" t="n"/>
      <c r="N75" s="1781" t="n"/>
      <c r="O75" s="1805" t="n"/>
      <c r="P75" s="1781" t="n"/>
      <c r="Q75" s="4123" t="n">
        <v>0</v>
      </c>
      <c r="R75" s="2132" t="n">
        <v>0</v>
      </c>
      <c r="S75" s="2108" t="inlineStr">
        <is>
          <t>D</t>
        </is>
      </c>
      <c r="T75" s="2132" t="n">
        <v>0</v>
      </c>
      <c r="U75" s="2108" t="inlineStr">
        <is>
          <t>D</t>
        </is>
      </c>
      <c r="V75" s="1905" t="n"/>
      <c r="W75" s="1815">
        <f>perennial!P46</f>
        <v/>
      </c>
      <c r="X75" s="1815">
        <f>perennial!Q46</f>
        <v/>
      </c>
      <c r="Y75" s="1839" t="n"/>
      <c r="Z75" s="1812">
        <f>perennial!R46</f>
        <v/>
      </c>
      <c r="AP75" s="1800">
        <f>$E75</f>
        <v/>
      </c>
      <c r="AQ75" s="1798" t="n"/>
      <c r="AR75" s="1798" t="n"/>
      <c r="AS75" s="1817">
        <f>(IF('3.Cropland'!$E75&lt;&gt;"Please select", INDEX(IPCC!$E$107:$T$298,MATCH(clim_moist_cont,IPCC!$C$107:$C$298,0),MATCH('3.Cropland'!$E75,IPCC!$E$105:$T$105,0)), 0))</f>
        <v/>
      </c>
      <c r="AT75" s="2125" t="n"/>
      <c r="AU75" s="1817">
        <f>(IF('3.Cropland'!$E75&lt;&gt;"Please select",INDEX(IPCC!$E$310:$T$501,MATCH(clim_moist_cont,IPCC!$C$310:$C$501,0),MATCH('3.Cropland'!$E75,IPCC!$E$308:$T$308,0)),0))</f>
        <v/>
      </c>
      <c r="AV75" s="2125" t="n"/>
      <c r="AW75" s="1817">
        <f>IF($E75&lt;&gt;"Please select",SOCref,0)</f>
        <v/>
      </c>
      <c r="AX75" s="2125" t="n"/>
      <c r="AY75" s="1817">
        <f>_xlfn.IFNA(IF($E75&lt;&gt;"Please select", VLOOKUP(clim_moist, IPCC!$A$57:$D$68, 4, FALSE),0),)</f>
        <v/>
      </c>
      <c r="AZ75" s="2125" t="n"/>
      <c r="BA75" s="1817">
        <f>_xlfn.IFNA(INDEX( IPCC!$F$58:$H$68,MATCH(clim_moist, IPCC!$A$58:$A$68,0),MATCH($G75, IPCC!$F$58:$H$58,0)),)</f>
        <v/>
      </c>
      <c r="BB75" s="2125" t="n"/>
      <c r="BC75" s="1817">
        <f>_xlfn.IFNA(INDEX( IPCC!$I$58:$L$68,MATCH(clim_moist, IPCC!$A$58:$A$68,0),MATCH($I75, IPCC!$I$58:$L$58,0)),)</f>
        <v/>
      </c>
      <c r="BD75" s="2125" t="n"/>
      <c r="BE75" s="1817">
        <f>AS75*50/100/0.47</f>
        <v/>
      </c>
      <c r="BF75" s="4141" t="n"/>
      <c r="BG75" s="1795" t="n">
        <v>1</v>
      </c>
      <c r="BH75" s="4141" t="n"/>
      <c r="BI75" s="1784" t="n"/>
      <c r="BK75" s="4401" t="n">
        <v>1</v>
      </c>
      <c r="BL75" s="4402" t="n"/>
      <c r="BM75" s="1997" t="n"/>
    </row>
    <row r="76" ht="15" customHeight="1">
      <c r="B76" s="1781" t="n"/>
      <c r="C76" s="1814" t="n"/>
      <c r="D76" s="1814" t="n"/>
      <c r="E76" s="1814" t="n"/>
      <c r="F76" s="1814" t="n"/>
      <c r="G76" s="1814" t="n"/>
      <c r="H76" s="1814" t="n"/>
      <c r="I76" s="1814" t="n"/>
      <c r="J76" s="1814" t="n"/>
      <c r="K76" s="1906" t="n"/>
      <c r="L76" s="1781" t="n"/>
      <c r="M76" s="1806" t="n"/>
      <c r="N76" s="1781" t="n"/>
      <c r="O76" s="1781" t="n"/>
      <c r="P76" s="1844">
        <f>P35</f>
        <v/>
      </c>
      <c r="Q76" s="1806">
        <f>perennial!C47</f>
        <v/>
      </c>
      <c r="R76" s="1806">
        <f>perennial!D47</f>
        <v/>
      </c>
      <c r="S76" s="1849" t="n"/>
      <c r="T76" s="1806">
        <f>perennial!F47</f>
        <v/>
      </c>
      <c r="U76" s="1849" t="n"/>
      <c r="V76" s="1905" t="n"/>
      <c r="W76" s="1841" t="n"/>
      <c r="X76" s="1846" t="n"/>
      <c r="Y76" s="1781" t="n"/>
      <c r="Z76" s="1806" t="n"/>
      <c r="AP76" s="1782" t="n"/>
      <c r="AQ76" s="1782" t="n"/>
      <c r="AR76" s="1782" t="n"/>
      <c r="AS76" s="1782" t="n"/>
      <c r="AT76" s="1782" t="n"/>
      <c r="AU76" s="1782" t="n"/>
      <c r="AV76" s="1862" t="n"/>
      <c r="AW76" s="1782" t="n"/>
      <c r="AX76" s="1782" t="n"/>
      <c r="AY76" s="1782" t="n"/>
      <c r="AZ76" s="1782" t="n"/>
      <c r="BA76" s="1782" t="n"/>
      <c r="BB76" s="1782" t="n"/>
      <c r="BC76" s="1782" t="n"/>
      <c r="BD76" s="1782" t="n"/>
      <c r="BE76" s="1782" t="n"/>
      <c r="BF76" s="1782" t="n"/>
      <c r="BG76" s="1782" t="n"/>
      <c r="BH76" s="1782" t="n"/>
      <c r="BI76" s="1782" t="n"/>
      <c r="BK76" s="1997" t="n"/>
      <c r="BL76" s="1894" t="n"/>
      <c r="BM76" s="1997" t="n"/>
    </row>
    <row r="77" ht="15" customHeight="1">
      <c r="B77" s="1781" t="n"/>
      <c r="C77" s="1835" t="n"/>
      <c r="D77" s="1835" t="n"/>
      <c r="E77" s="1835" t="n"/>
      <c r="F77" s="1835" t="n"/>
      <c r="G77" s="1835" t="n"/>
      <c r="H77" s="1835" t="n"/>
      <c r="I77" s="1908" t="n"/>
      <c r="J77" s="1835" t="n"/>
      <c r="K77" s="1835" t="n"/>
      <c r="L77" s="1909" t="n"/>
      <c r="M77" s="1909" t="n"/>
      <c r="N77" s="1909" t="n"/>
      <c r="O77" s="1909" t="n"/>
      <c r="P77" s="1910" t="n"/>
      <c r="Q77" s="4309">
        <f>IF(OR(Q76&lt;&gt;R76, Q76&lt;&gt;T76, R76&lt;&gt;T76), list!$B$281, "")</f>
        <v/>
      </c>
      <c r="R77" s="4091" t="n"/>
      <c r="S77" s="4092" t="n"/>
      <c r="T77" s="4092" t="n"/>
      <c r="U77" s="1909" t="n"/>
      <c r="V77" s="1909" t="n"/>
      <c r="W77" s="1909" t="n"/>
      <c r="X77" s="1909" t="n"/>
      <c r="Y77" s="1909" t="n"/>
      <c r="Z77" s="1909" t="n"/>
      <c r="AP77" s="1782" t="n"/>
      <c r="AQ77" s="1782" t="n"/>
      <c r="AR77" s="1782" t="n"/>
      <c r="AS77" s="1782" t="n"/>
      <c r="AT77" s="1782" t="n"/>
      <c r="AU77" s="1782" t="n"/>
      <c r="AV77" s="1862" t="n"/>
      <c r="AW77" s="1782" t="n"/>
      <c r="AX77" s="1782" t="n"/>
      <c r="AY77" s="1782" t="n"/>
      <c r="AZ77" s="1782" t="n"/>
      <c r="BA77" s="1782" t="n"/>
      <c r="BB77" s="1782" t="n"/>
      <c r="BC77" s="1782" t="n"/>
      <c r="BD77" s="1782" t="n"/>
      <c r="BE77" s="1782" t="n"/>
      <c r="BF77" s="1782" t="n"/>
      <c r="BG77" s="1782" t="n"/>
      <c r="BH77" s="1782" t="n"/>
      <c r="BI77" s="1782" t="n"/>
      <c r="BK77" s="4548" t="inlineStr">
        <is>
          <t>Use this part only if you want to refine yearly GHG fluxes</t>
        </is>
      </c>
    </row>
    <row r="78" ht="15" customHeight="1">
      <c r="B78" s="1781" t="n"/>
      <c r="C78" s="1835" t="n"/>
      <c r="D78" s="1835" t="n"/>
      <c r="E78" s="1835" t="n"/>
      <c r="F78" s="1835" t="n"/>
      <c r="G78" s="1835" t="n"/>
      <c r="H78" s="1835" t="n"/>
      <c r="I78" s="1908" t="n"/>
      <c r="J78" s="1835" t="n"/>
      <c r="K78" s="1835" t="n"/>
      <c r="L78" s="1909" t="n"/>
      <c r="M78" s="1909" t="n"/>
      <c r="N78" s="1909" t="n"/>
      <c r="O78" s="1909" t="n"/>
      <c r="P78" s="1909" t="n"/>
      <c r="Q78" s="1909" t="n"/>
      <c r="R78" s="1911" t="n"/>
      <c r="S78" s="1909" t="n"/>
      <c r="T78" s="1781" t="n"/>
      <c r="U78" s="1909" t="n"/>
      <c r="V78" s="1909" t="n"/>
      <c r="W78" s="1805" t="n"/>
      <c r="X78" s="1909" t="n"/>
      <c r="Y78" s="1909" t="n"/>
      <c r="Z78" s="1909" t="n"/>
      <c r="AP78" s="1782">
        <f>AP36</f>
        <v/>
      </c>
      <c r="AQ78" s="1782" t="n"/>
      <c r="AR78" s="1782" t="n"/>
      <c r="AS78" s="1782" t="n"/>
      <c r="AT78" s="1782" t="n"/>
      <c r="AU78" s="1782" t="n"/>
      <c r="AV78" s="1862" t="n"/>
      <c r="AW78" s="1782" t="n"/>
      <c r="AX78" s="1782" t="n"/>
      <c r="AY78" s="1782" t="n"/>
      <c r="AZ78" s="1782" t="n"/>
      <c r="BA78" s="1782" t="n"/>
      <c r="BB78" s="1782" t="n"/>
      <c r="BC78" s="1782" t="n"/>
      <c r="BD78" s="1782" t="n"/>
      <c r="BE78" s="1782" t="n"/>
      <c r="BF78" s="1782" t="n"/>
      <c r="BG78" s="1782" t="n"/>
      <c r="BH78" s="1782" t="n"/>
      <c r="BI78" s="1782" t="n"/>
    </row>
    <row r="79" ht="15" customHeight="1">
      <c r="B79" s="1781" t="n"/>
      <c r="C79" s="1781" t="n"/>
      <c r="D79" s="1835" t="n"/>
      <c r="E79" s="1835" t="n"/>
      <c r="F79" s="1835" t="n"/>
      <c r="G79" s="1835" t="n"/>
      <c r="H79" s="1835" t="n"/>
      <c r="I79" s="1908" t="n"/>
      <c r="J79" s="1835" t="n"/>
      <c r="K79" s="1835" t="n"/>
      <c r="L79" s="1909" t="n"/>
      <c r="M79" s="1912" t="n"/>
      <c r="N79" s="1912" t="n"/>
      <c r="O79" s="1912" t="n"/>
      <c r="P79" s="1912" t="n"/>
      <c r="Q79" s="1912" t="n"/>
      <c r="R79" s="1912" t="n"/>
      <c r="S79" s="1912" t="n"/>
      <c r="T79" s="1912" t="n"/>
      <c r="U79" s="1912" t="n"/>
      <c r="V79" s="1913">
        <f>Languages!B153</f>
        <v/>
      </c>
      <c r="W79" s="1858">
        <f>perennial!P48</f>
        <v/>
      </c>
      <c r="X79" s="1858">
        <f>perennial!Q48</f>
        <v/>
      </c>
      <c r="Y79" s="1914" t="n"/>
      <c r="Z79" s="1860">
        <f>SUM(Z54:Z75)</f>
        <v/>
      </c>
      <c r="AP79" s="1782">
        <f>AP37</f>
        <v/>
      </c>
      <c r="AQ79" s="1782" t="n"/>
      <c r="AR79" s="1782" t="n"/>
      <c r="AS79" s="1782" t="n"/>
      <c r="AT79" s="1782" t="n"/>
      <c r="AU79" s="1782" t="n"/>
      <c r="AV79" s="1862" t="n"/>
      <c r="AW79" s="1782" t="n"/>
      <c r="AX79" s="1782" t="n"/>
      <c r="AY79" s="1782" t="n"/>
      <c r="AZ79" s="1782" t="n"/>
      <c r="BA79" s="1782" t="n"/>
      <c r="BB79" s="1782" t="n"/>
      <c r="BC79" s="1782" t="n"/>
      <c r="BD79" s="1782" t="n"/>
      <c r="BE79" s="1782" t="n"/>
      <c r="BF79" s="1782" t="n"/>
      <c r="BG79" s="1782" t="n"/>
      <c r="BH79" s="1782" t="n"/>
      <c r="BI79" s="1782" t="n"/>
    </row>
    <row r="80" ht="15" customHeight="1">
      <c r="B80" s="1781" t="n"/>
      <c r="C80" s="1835" t="n"/>
      <c r="D80" s="1835" t="n"/>
      <c r="E80" s="1835" t="n"/>
      <c r="F80" s="1835" t="n"/>
      <c r="G80" s="1835" t="n"/>
      <c r="H80" s="1835" t="n"/>
      <c r="I80" s="1835" t="n"/>
      <c r="J80" s="1835" t="n"/>
      <c r="K80" s="1835" t="n"/>
      <c r="L80" s="1835" t="n"/>
      <c r="M80" s="1781" t="n"/>
      <c r="N80" s="1781" t="n"/>
      <c r="O80" s="1781" t="n"/>
      <c r="P80" s="1781" t="n"/>
      <c r="Q80" s="1781" t="n"/>
      <c r="R80" s="1781" t="n"/>
      <c r="S80" s="1781" t="n"/>
      <c r="T80" s="1781" t="n"/>
      <c r="U80" s="1781" t="n"/>
      <c r="V80" s="1781" t="n"/>
      <c r="W80" s="1781" t="n"/>
      <c r="X80" s="1781" t="n"/>
      <c r="Y80" s="1781" t="n"/>
      <c r="Z80" s="1781" t="n"/>
      <c r="AP80" s="1782" t="n"/>
      <c r="AQ80" s="1782" t="n"/>
      <c r="AR80" s="1782" t="n"/>
      <c r="AS80" s="1782" t="n"/>
      <c r="AT80" s="1782" t="n"/>
      <c r="AU80" s="1782" t="n"/>
      <c r="AV80" s="1862" t="n"/>
      <c r="AW80" s="1782" t="n"/>
      <c r="AX80" s="1782" t="n"/>
      <c r="AY80" s="1782" t="n"/>
      <c r="AZ80" s="1782" t="n"/>
      <c r="BA80" s="1782" t="n"/>
      <c r="BB80" s="1782" t="n"/>
      <c r="BC80" s="1782" t="n"/>
      <c r="BD80" s="1782" t="n"/>
      <c r="BE80" s="1782" t="n"/>
      <c r="BF80" s="1782" t="n"/>
      <c r="BG80" s="1782" t="n"/>
      <c r="BH80" s="1782" t="n"/>
      <c r="BI80" s="1782" t="n"/>
      <c r="BK80" s="1997" t="n"/>
      <c r="BL80" s="1894" t="n"/>
      <c r="BM80" s="1997" t="n"/>
    </row>
    <row r="81" ht="15" customHeight="1">
      <c r="B81" s="1781" t="n"/>
      <c r="C81" s="1861">
        <f>$C$39</f>
        <v/>
      </c>
      <c r="D81" s="1835" t="n"/>
      <c r="E81" s="1835" t="n"/>
      <c r="F81" s="1835" t="n"/>
      <c r="G81" s="1835" t="n"/>
      <c r="H81" s="1835" t="n"/>
      <c r="I81" s="1835" t="n"/>
      <c r="J81" s="1835" t="n"/>
      <c r="K81" s="1835" t="n"/>
      <c r="L81" s="1835" t="n"/>
      <c r="M81" s="1835" t="n"/>
      <c r="N81" s="1835" t="n"/>
      <c r="O81" s="1835" t="n"/>
      <c r="P81" s="1835" t="n"/>
      <c r="Q81" s="1835" t="n"/>
      <c r="R81" s="1835" t="n"/>
      <c r="S81" s="1835" t="n"/>
      <c r="T81" s="1835" t="n"/>
      <c r="U81" s="1835" t="n"/>
      <c r="V81" s="1835" t="n"/>
      <c r="W81" s="1835" t="n"/>
      <c r="X81" s="1835" t="n"/>
      <c r="Y81" s="1835" t="n"/>
      <c r="Z81" s="1835" t="n"/>
      <c r="AP81" s="1782" t="n"/>
      <c r="AQ81" s="1782" t="n"/>
      <c r="AR81" s="1782" t="n"/>
      <c r="AS81" s="1782" t="n"/>
      <c r="AT81" s="1782" t="n"/>
      <c r="AU81" s="1782" t="n"/>
      <c r="AV81" s="1862" t="n"/>
      <c r="AW81" s="1782" t="n"/>
      <c r="AX81" s="1782" t="n"/>
      <c r="AY81" s="1782" t="n"/>
      <c r="AZ81" s="1782" t="n"/>
      <c r="BA81" s="1782" t="n"/>
      <c r="BB81" s="1782" t="n"/>
      <c r="BC81" s="1782" t="n"/>
      <c r="BD81" s="1782" t="n"/>
      <c r="BE81" s="1782" t="n"/>
      <c r="BF81" s="1782" t="n"/>
      <c r="BG81" s="1782" t="n"/>
      <c r="BH81" s="1782" t="n"/>
      <c r="BI81" s="1782" t="n"/>
      <c r="BK81" s="1997" t="n"/>
      <c r="BL81" s="1894" t="n"/>
      <c r="BM81" s="1997" t="n"/>
    </row>
    <row r="83" ht="15" customHeight="1">
      <c r="E83" s="4526" t="n"/>
      <c r="AP83" s="1803" t="n"/>
      <c r="AQ83" s="1868" t="n"/>
      <c r="AR83" s="1868" t="n"/>
      <c r="AS83" s="1868" t="n"/>
      <c r="AT83" s="1803" t="n"/>
      <c r="AU83" s="1868" t="n"/>
      <c r="AV83" s="1868" t="n"/>
      <c r="AW83" s="1868" t="n"/>
      <c r="AX83" s="1868" t="n"/>
      <c r="AY83" s="1868" t="n"/>
      <c r="AZ83" s="1868" t="n"/>
      <c r="BA83" s="1868" t="n"/>
      <c r="BB83" s="1868" t="n"/>
      <c r="BC83" s="1868" t="n"/>
      <c r="BD83" s="1868" t="n"/>
      <c r="BE83" s="1868" t="n"/>
      <c r="BF83" s="1868" t="n"/>
      <c r="BG83" s="1916" t="n"/>
      <c r="BH83" s="1916" t="n"/>
      <c r="BI83" s="1916" t="n"/>
      <c r="BJ83" s="1916" t="n"/>
      <c r="BK83" s="1916" t="n"/>
    </row>
    <row r="84" ht="8.75" customHeight="1">
      <c r="AP84" s="1917" t="n"/>
      <c r="AQ84" s="3512" t="n"/>
      <c r="AR84" s="3512" t="n"/>
      <c r="AS84" s="3512" t="n"/>
      <c r="AT84" s="3512" t="n"/>
      <c r="AU84" s="3512" t="n"/>
      <c r="AV84" s="3512" t="n"/>
      <c r="AW84" s="1918" t="n"/>
      <c r="AX84" s="3512" t="n"/>
      <c r="AY84" s="3512" t="n"/>
      <c r="AZ84" s="3512" t="n"/>
      <c r="BA84" s="3512" t="n"/>
      <c r="BB84" s="3512" t="n"/>
      <c r="BC84" s="3512" t="n"/>
      <c r="BD84" s="3512" t="n"/>
      <c r="BE84" s="3512" t="n"/>
      <c r="BF84" s="3512" t="n"/>
      <c r="BG84" s="1916" t="n"/>
      <c r="BH84" s="1916" t="n"/>
      <c r="BI84" s="1916" t="n"/>
      <c r="BJ84" s="1916" t="n"/>
      <c r="BK84" s="1916" t="n"/>
    </row>
    <row r="85" ht="8" customHeight="1">
      <c r="AP85" s="1870" t="n"/>
      <c r="AQ85" s="1871" t="n"/>
      <c r="AR85" s="1872" t="n"/>
      <c r="AS85" s="1871" t="n"/>
      <c r="AT85" s="1871" t="n"/>
      <c r="AU85" s="1871" t="n"/>
      <c r="AV85" s="1871" t="n"/>
      <c r="AW85" s="1871" t="n"/>
      <c r="AX85" s="1871" t="n"/>
      <c r="AY85" s="1871" t="n"/>
      <c r="AZ85" s="1871" t="n"/>
      <c r="BA85" s="1871" t="n"/>
      <c r="BB85" s="1871" t="n"/>
      <c r="BC85" s="1871" t="n"/>
      <c r="BD85" s="1871" t="n"/>
      <c r="BE85" s="1871" t="n"/>
      <c r="BF85" s="1871" t="n"/>
      <c r="BG85" s="1919" t="n"/>
      <c r="BH85" s="1919" t="n"/>
      <c r="BI85" s="1919" t="n"/>
      <c r="BJ85" s="1919" t="n"/>
      <c r="BK85" s="1919" t="n"/>
    </row>
    <row r="86" ht="15" customHeight="1">
      <c r="G86" s="1771" t="n"/>
      <c r="K86" s="1771" t="n"/>
      <c r="AP86" s="1868" t="n"/>
      <c r="AQ86" s="1868" t="n"/>
      <c r="AR86" s="1868" t="n"/>
      <c r="AS86" s="1868" t="n"/>
      <c r="AT86" s="1868" t="n"/>
      <c r="AU86" s="1868" t="n"/>
      <c r="AV86" s="1868" t="n"/>
      <c r="AW86" s="1868" t="n"/>
      <c r="AX86" s="1868" t="n"/>
      <c r="AY86" s="1868" t="n"/>
      <c r="AZ86" s="1868" t="n"/>
      <c r="BA86" s="1868" t="n"/>
      <c r="BB86" s="1868" t="n"/>
      <c r="BC86" s="1868" t="n"/>
      <c r="BD86" s="1868" t="n"/>
      <c r="BE86" s="1868" t="n"/>
      <c r="BF86" s="1868" t="n"/>
      <c r="BG86" s="1868" t="n"/>
      <c r="BH86" s="1868" t="n"/>
      <c r="BI86" s="1868" t="n"/>
      <c r="BJ86" s="1868" t="n"/>
      <c r="BK86" s="1868" t="n"/>
    </row>
    <row r="87" ht="8.75" customHeight="1">
      <c r="G87" s="1771" t="n"/>
      <c r="K87" s="1771" t="n"/>
      <c r="AP87" s="1868" t="n"/>
      <c r="AQ87" s="1868" t="n"/>
      <c r="AR87" s="1868" t="n"/>
      <c r="AS87" s="1868" t="n"/>
      <c r="AT87" s="1868" t="n"/>
      <c r="AU87" s="1868" t="n"/>
      <c r="AV87" s="1868" t="n"/>
      <c r="AW87" s="1868" t="n"/>
      <c r="AX87" s="1868" t="n"/>
      <c r="AY87" s="1868" t="n"/>
      <c r="AZ87" s="1868" t="n"/>
      <c r="BA87" s="1868" t="n"/>
      <c r="BB87" s="1868" t="n"/>
      <c r="BC87" s="1868" t="n"/>
      <c r="BD87" s="1868" t="n"/>
      <c r="BE87" s="1868" t="n"/>
      <c r="BF87" s="1868" t="n"/>
      <c r="BG87" s="1868" t="n"/>
      <c r="BH87" s="1868" t="n"/>
      <c r="BI87" s="1868" t="n"/>
      <c r="BJ87" s="1868" t="n"/>
      <c r="BK87" s="1868" t="n"/>
    </row>
    <row r="88" ht="15" customHeight="1">
      <c r="G88" s="1771" t="n"/>
      <c r="K88" s="1771" t="n"/>
      <c r="AS88" s="1920" t="n"/>
      <c r="AT88" s="1920" t="n"/>
      <c r="AU88" s="1920" t="n"/>
      <c r="AV88" s="1920" t="n"/>
      <c r="AW88" s="1920" t="n"/>
      <c r="AX88" s="1920" t="n"/>
      <c r="AY88" s="1920" t="n"/>
      <c r="AZ88" s="1920" t="n"/>
      <c r="BA88" s="1920" t="n"/>
      <c r="BB88" s="1920" t="n"/>
      <c r="BC88" s="1920" t="n"/>
      <c r="BD88" s="1920" t="n"/>
      <c r="BE88" s="1920" t="n"/>
      <c r="BF88" s="1920" t="n"/>
      <c r="BG88" s="1920" t="n"/>
      <c r="BH88" s="1920" t="n"/>
      <c r="BI88" s="1920" t="n"/>
      <c r="BJ88" s="1920" t="n"/>
      <c r="BK88" s="1920" t="n"/>
    </row>
    <row r="89" ht="45" customHeight="1">
      <c r="B89" s="1768" t="n"/>
      <c r="C89" s="1769">
        <f>Languages!B184</f>
        <v/>
      </c>
      <c r="D89" s="1769" t="n"/>
      <c r="E89" s="1769" t="n"/>
      <c r="F89" s="1769" t="n"/>
      <c r="G89" s="1769" t="n"/>
      <c r="H89" s="1769" t="n"/>
      <c r="I89" s="1769" t="n"/>
      <c r="J89" s="1769" t="n"/>
      <c r="K89" s="1769" t="n"/>
      <c r="L89" s="1769" t="n"/>
      <c r="M89" s="1769" t="n"/>
      <c r="N89" s="1769" t="n"/>
      <c r="O89" s="1769" t="n"/>
      <c r="P89" s="1769" t="n"/>
      <c r="Q89" s="1769" t="n"/>
      <c r="R89" s="1769" t="n"/>
      <c r="S89" s="1769" t="n"/>
      <c r="T89" s="1769" t="n"/>
      <c r="U89" s="1769" t="n"/>
      <c r="V89" s="1769" t="n"/>
      <c r="W89" s="1770">
        <f>Languages!B22</f>
        <v/>
      </c>
      <c r="X89" s="1769" t="n"/>
      <c r="Y89" s="1769" t="n"/>
      <c r="Z89" s="1769" t="n"/>
      <c r="AP89" s="1769">
        <f>C89</f>
        <v/>
      </c>
      <c r="AQ89" s="1769" t="n"/>
      <c r="AR89" s="1769" t="n"/>
      <c r="AS89" s="1921" t="n"/>
      <c r="AT89" s="1767" t="n"/>
      <c r="AU89" s="1767" t="n"/>
      <c r="AV89" s="1767" t="n"/>
      <c r="AW89" s="1767" t="n"/>
      <c r="AX89" s="1767" t="n"/>
      <c r="AY89" s="1767" t="n"/>
      <c r="AZ89" s="1767" t="n"/>
      <c r="BA89" s="1767" t="n"/>
      <c r="BB89" s="1767" t="n"/>
      <c r="BC89" s="1767" t="n"/>
      <c r="BD89" s="1767" t="n"/>
      <c r="BE89" s="1767" t="n"/>
      <c r="BF89" s="1767" t="n"/>
      <c r="BG89" s="1767" t="n"/>
      <c r="BH89" s="1767" t="n"/>
      <c r="BI89" s="1767" t="n"/>
      <c r="BJ89" s="1767" t="n"/>
      <c r="BL89" s="4404" t="inlineStr">
        <is>
          <t>Annual balance</t>
        </is>
      </c>
      <c r="BM89" s="4404" t="n"/>
      <c r="BN89" s="4404" t="n"/>
      <c r="DF89" s="1922" t="n"/>
      <c r="DG89" s="1922" t="n"/>
      <c r="DH89" s="1922" t="n"/>
      <c r="DI89" s="1922" t="n"/>
      <c r="DJ89" s="1922" t="n"/>
      <c r="DK89" s="1922" t="n"/>
      <c r="DL89" s="1922" t="n"/>
      <c r="DM89" s="1922" t="n"/>
      <c r="DN89" s="1922" t="n"/>
      <c r="DO89" s="1922" t="n"/>
    </row>
    <row r="90" ht="5.25" customHeight="1">
      <c r="G90" s="1771" t="n"/>
      <c r="K90" s="1771" t="n"/>
      <c r="AP90" s="1916" t="n"/>
      <c r="AQ90" s="1916" t="n"/>
      <c r="AR90" s="1916" t="n"/>
      <c r="AS90" s="1916" t="n"/>
      <c r="AT90" s="1916" t="n"/>
      <c r="AU90" s="1916" t="n"/>
      <c r="AV90" s="1916" t="n"/>
      <c r="AW90" s="1916" t="n"/>
      <c r="AX90" s="1916" t="n"/>
      <c r="AY90" s="1916" t="n"/>
      <c r="AZ90" s="1916" t="n"/>
      <c r="BA90" s="1916" t="n"/>
      <c r="BB90" s="1916" t="n"/>
      <c r="BC90" s="1916" t="n"/>
      <c r="BD90" s="1916" t="n"/>
      <c r="BE90" s="1916" t="n"/>
      <c r="BF90" s="1916" t="n"/>
      <c r="BG90" s="1916" t="n"/>
      <c r="BH90" s="1916" t="n"/>
      <c r="BI90" s="1916" t="n"/>
      <c r="BJ90" s="1916" t="n"/>
      <c r="BK90" s="1916" t="n"/>
      <c r="BL90" s="1916" t="n"/>
      <c r="BM90" s="1916" t="n"/>
      <c r="DF90" s="1922" t="n"/>
      <c r="DG90" s="1922" t="n"/>
      <c r="DH90" s="1922" t="n"/>
      <c r="DI90" s="1922" t="n"/>
      <c r="DJ90" s="1922" t="n"/>
      <c r="DK90" s="1922" t="n"/>
      <c r="DL90" s="1922" t="n"/>
      <c r="DM90" s="1922" t="n"/>
      <c r="DN90" s="1922" t="n"/>
      <c r="DO90" s="1922" t="n"/>
    </row>
    <row r="91" ht="18" customHeight="1">
      <c r="B91" s="1773" t="n"/>
      <c r="C91" s="1774">
        <f>Languages!B185</f>
        <v/>
      </c>
      <c r="D91" s="1766" t="n"/>
      <c r="E91" s="1766" t="n"/>
      <c r="F91" s="1766" t="n"/>
      <c r="G91" s="1766" t="n"/>
      <c r="H91" s="1766" t="n"/>
      <c r="I91" s="1766" t="n"/>
      <c r="J91" s="1766" t="n"/>
      <c r="K91" s="1766" t="n"/>
      <c r="L91" s="1766" t="n"/>
      <c r="M91" s="1766" t="n"/>
      <c r="N91" s="1766" t="n"/>
      <c r="O91" s="1766" t="n"/>
      <c r="P91" s="1766" t="n"/>
      <c r="Q91" s="1766" t="n"/>
      <c r="R91" s="1766" t="n"/>
      <c r="S91" s="1766" t="n"/>
      <c r="T91" s="1766" t="n"/>
      <c r="U91" s="1766" t="n"/>
      <c r="V91" s="1766" t="n"/>
      <c r="W91" s="1766" t="n"/>
      <c r="X91" s="1766" t="n"/>
      <c r="Y91" s="1766" t="n"/>
      <c r="Z91" s="1766" t="n"/>
      <c r="AP91" s="1774">
        <f>C91</f>
        <v/>
      </c>
      <c r="AQ91" s="1774" t="n"/>
      <c r="AR91" s="1774" t="n"/>
      <c r="AS91" s="1774" t="n"/>
      <c r="AT91" s="1774" t="n"/>
      <c r="AU91" s="1774" t="n"/>
      <c r="AV91" s="1774" t="n"/>
      <c r="AW91" s="1774" t="n"/>
      <c r="AX91" s="1774" t="n"/>
      <c r="AY91" s="1774" t="n"/>
      <c r="AZ91" s="1774" t="n"/>
      <c r="BA91" s="1774" t="n"/>
      <c r="BB91" s="1774" t="n"/>
      <c r="BC91" s="1774" t="n"/>
      <c r="BD91" s="1774" t="n"/>
      <c r="BE91" s="1774" t="n"/>
      <c r="BF91" s="1774" t="n"/>
      <c r="BG91" s="1774" t="n"/>
      <c r="BH91" s="1774" t="n"/>
      <c r="BI91" s="1774" t="n"/>
      <c r="BJ91" s="1774" t="n"/>
      <c r="BK91" s="1923" t="n"/>
      <c r="BL91" s="1774" t="n"/>
      <c r="BM91" s="1774" t="n"/>
      <c r="BN91" s="1774" t="n"/>
      <c r="DF91" s="1922" t="n"/>
      <c r="DG91" s="1922" t="n"/>
      <c r="DH91" s="1922" t="n"/>
      <c r="DI91" s="1922" t="n"/>
      <c r="DJ91" s="1922" t="n"/>
      <c r="DK91" s="1922" t="n"/>
      <c r="DL91" s="1922" t="n"/>
      <c r="DM91" s="1922" t="n"/>
      <c r="DN91" s="1922" t="n"/>
      <c r="DO91" s="1922" t="n"/>
    </row>
    <row r="92" ht="20" customHeight="1">
      <c r="B92" s="1781" t="n"/>
      <c r="C92" s="1781" t="n"/>
      <c r="D92" s="1781" t="n"/>
      <c r="E92" s="1781" t="n"/>
      <c r="F92" s="1781" t="n"/>
      <c r="G92" s="1781" t="n"/>
      <c r="H92" s="1781" t="n"/>
      <c r="I92" s="1781" t="n"/>
      <c r="J92" s="1781" t="n"/>
      <c r="K92" s="1781" t="n"/>
      <c r="L92" s="1781" t="n"/>
      <c r="M92" s="1781" t="n"/>
      <c r="N92" s="1781" t="n"/>
      <c r="O92" s="1781" t="n"/>
      <c r="P92" s="1781" t="n"/>
      <c r="Q92" s="1781" t="n"/>
      <c r="R92" s="1781" t="n"/>
      <c r="S92" s="1781" t="n"/>
      <c r="T92" s="1781" t="n"/>
      <c r="U92" s="1781" t="n"/>
      <c r="V92" s="1781" t="n"/>
      <c r="W92" s="1781" t="n"/>
      <c r="X92" s="1781" t="n"/>
      <c r="Y92" s="1781" t="n"/>
      <c r="Z92" s="1781" t="n"/>
      <c r="AP92" s="1784" t="n"/>
      <c r="AQ92" s="1784" t="n"/>
      <c r="AR92" s="1782" t="n"/>
      <c r="AS92" s="1782" t="n"/>
      <c r="AT92" s="1782" t="n"/>
      <c r="AU92" s="1782" t="n"/>
      <c r="AV92" s="1782" t="n"/>
      <c r="AW92" s="1782" t="n"/>
      <c r="AX92" s="1924">
        <f>Languages!B203</f>
        <v/>
      </c>
      <c r="AY92" s="1785" t="n"/>
      <c r="AZ92" s="1785" t="n"/>
      <c r="BA92" s="1785" t="n"/>
      <c r="BB92" s="1785" t="n"/>
      <c r="BC92" s="1785" t="n"/>
      <c r="BD92" s="1785" t="n"/>
      <c r="BE92" s="1785" t="n"/>
      <c r="BF92" s="1785" t="n"/>
      <c r="BG92" s="1785" t="n"/>
      <c r="BH92" s="1782" t="n"/>
      <c r="BI92" s="1782" t="n"/>
      <c r="BJ92" s="1782" t="n"/>
      <c r="BL92" s="1890" t="inlineStr">
        <is>
          <t xml:space="preserve">Start year of </t>
        </is>
      </c>
      <c r="BM92" s="1890" t="n"/>
      <c r="BN92" s="1997" t="n"/>
      <c r="DF92" s="1922" t="n"/>
      <c r="DG92" s="1922" t="n"/>
      <c r="DH92" s="1922" t="n"/>
      <c r="DI92" s="1922" t="n"/>
      <c r="DJ92" s="1922" t="n"/>
      <c r="DK92" s="1922" t="n"/>
      <c r="DL92" s="1922" t="n"/>
      <c r="DM92" s="1922" t="n"/>
      <c r="DN92" s="1922" t="n"/>
      <c r="DO92" s="1922" t="n"/>
    </row>
    <row r="93" ht="15" customHeight="1">
      <c r="B93" s="1781" t="n"/>
      <c r="C93" s="1781" t="n"/>
      <c r="D93" s="1781" t="n"/>
      <c r="E93" s="1925" t="n"/>
      <c r="F93" s="1781" t="n"/>
      <c r="G93" s="1926">
        <f>Languages!B195</f>
        <v/>
      </c>
      <c r="H93" s="1927" t="n"/>
      <c r="I93" s="1928" t="n"/>
      <c r="J93" s="1929" t="n"/>
      <c r="K93" s="1930" t="n"/>
      <c r="L93" s="1781" t="n"/>
      <c r="M93" s="1781" t="n"/>
      <c r="N93" s="1781" t="n"/>
      <c r="O93" s="1781" t="n"/>
      <c r="P93" s="1781" t="n"/>
      <c r="Q93" s="1931" t="inlineStr">
        <is>
          <t>Area (ha)</t>
        </is>
      </c>
      <c r="R93" s="1932" t="n"/>
      <c r="S93" s="1884" t="n"/>
      <c r="T93" s="1884" t="n"/>
      <c r="U93" s="1781" t="n"/>
      <c r="V93" s="1781" t="n"/>
      <c r="W93" s="1792">
        <f>W63</f>
        <v/>
      </c>
      <c r="X93" s="1781" t="n"/>
      <c r="Y93" s="1781" t="n"/>
      <c r="Z93" s="1781" t="n"/>
      <c r="AP93" s="1784" t="n"/>
      <c r="AQ93" s="1784" t="n"/>
      <c r="AR93" s="1782" t="n"/>
      <c r="AS93" s="1782" t="n"/>
      <c r="AT93" s="1782" t="n"/>
      <c r="AU93" s="1782" t="n"/>
      <c r="AV93" s="1782" t="n"/>
      <c r="AW93" s="1782" t="n"/>
      <c r="AX93" s="1933">
        <f>Languages!B204</f>
        <v/>
      </c>
      <c r="AY93" s="1782" t="n"/>
      <c r="AZ93" s="1782" t="n"/>
      <c r="BA93" s="1782" t="n"/>
      <c r="BB93" s="1782" t="n"/>
      <c r="BC93" s="1782" t="n"/>
      <c r="BD93" s="1782" t="n"/>
      <c r="BE93" s="1782" t="n"/>
      <c r="BF93" s="1782" t="n"/>
      <c r="BG93" s="1782" t="n"/>
      <c r="BH93" s="1782" t="n"/>
      <c r="BI93" s="1782" t="n"/>
      <c r="BJ93" s="1782" t="n"/>
      <c r="BK93" s="1916" t="n"/>
      <c r="BL93" s="2015" t="inlineStr">
        <is>
          <t>implementation</t>
        </is>
      </c>
      <c r="BM93" s="2015" t="n"/>
      <c r="BN93" s="1997" t="n"/>
      <c r="DF93" s="1922" t="n"/>
      <c r="DG93" s="1922" t="n"/>
      <c r="DH93" s="1922" t="n"/>
      <c r="DI93" s="1922" t="n"/>
      <c r="DJ93" s="1922" t="n"/>
      <c r="DK93" s="1922" t="n"/>
      <c r="DL93" s="1922" t="n"/>
      <c r="DM93" s="1922" t="n"/>
      <c r="DN93" s="1922" t="n"/>
      <c r="DO93" s="1922" t="n"/>
    </row>
    <row r="94" ht="36" customHeight="1">
      <c r="B94" s="1781" t="n"/>
      <c r="C94" s="1781" t="n"/>
      <c r="D94" s="1781" t="n"/>
      <c r="E94" s="1805">
        <f>E105</f>
        <v/>
      </c>
      <c r="F94" s="1781" t="n"/>
      <c r="G94" s="1934">
        <f>G105</f>
        <v/>
      </c>
      <c r="H94" s="1781" t="n"/>
      <c r="I94" s="1934">
        <f>I105</f>
        <v/>
      </c>
      <c r="J94" s="1781" t="n"/>
      <c r="K94" s="1930">
        <f>K105</f>
        <v/>
      </c>
      <c r="L94" s="1781" t="n"/>
      <c r="M94" s="1805">
        <f>M64</f>
        <v/>
      </c>
      <c r="N94" s="1781" t="n"/>
      <c r="O94" s="1781" t="n"/>
      <c r="P94" s="1781" t="n"/>
      <c r="Q94" s="1781" t="n"/>
      <c r="R94" s="1781" t="n"/>
      <c r="S94" s="1781" t="n"/>
      <c r="T94" s="1781" t="n"/>
      <c r="U94" s="1781" t="n"/>
      <c r="V94" s="1781" t="n"/>
      <c r="W94" s="1781" t="n"/>
      <c r="X94" s="1781" t="n"/>
      <c r="Y94" s="1781" t="n"/>
      <c r="Z94" s="1781" t="n"/>
      <c r="AP94" s="1784" t="n"/>
      <c r="AQ94" s="1784" t="n"/>
      <c r="AR94" s="1887">
        <f>E105</f>
        <v/>
      </c>
      <c r="AS94" s="1784" t="n"/>
      <c r="AT94" s="1935" t="inlineStr">
        <is>
          <t xml:space="preserve">Soil carbon </t>
        </is>
      </c>
      <c r="AU94" s="1784" t="n"/>
      <c r="AV94" s="1888" t="n"/>
      <c r="AW94" s="1800" t="n"/>
      <c r="AX94" s="4337">
        <f>Languages!B205</f>
        <v/>
      </c>
      <c r="AY94" s="4338" t="n"/>
      <c r="AZ94" s="4337">
        <f>Languages!B206</f>
        <v/>
      </c>
      <c r="BA94" s="4338" t="n"/>
      <c r="BB94" s="4337">
        <f>Languages!B207</f>
        <v/>
      </c>
      <c r="BC94" s="4338" t="n"/>
      <c r="BD94" s="4337">
        <f>Languages!B208</f>
        <v/>
      </c>
      <c r="BE94" s="4339" t="n"/>
      <c r="BF94" s="2635">
        <f>Languages!B209</f>
        <v/>
      </c>
      <c r="BG94" s="1936" t="n"/>
      <c r="BH94" s="1888">
        <f>Languages!B210</f>
        <v/>
      </c>
      <c r="BI94" s="1888" t="n"/>
      <c r="BJ94" s="1784" t="n"/>
      <c r="BK94" s="1916" t="n"/>
      <c r="BL94" s="1997" t="n"/>
      <c r="BM94" s="1894" t="n"/>
      <c r="BN94" s="1997" t="n"/>
      <c r="DF94" s="1922" t="n"/>
      <c r="DG94" s="1922" t="n"/>
      <c r="DH94" s="1922" t="n"/>
      <c r="DI94" s="1922" t="n"/>
      <c r="DJ94" s="1922" t="n"/>
      <c r="DK94" s="1922" t="n"/>
      <c r="DL94" s="1922" t="n"/>
      <c r="DM94" s="1922" t="n"/>
      <c r="DN94" s="1922" t="n"/>
      <c r="DO94" s="1922" t="n"/>
    </row>
    <row r="95" ht="15" customHeight="1">
      <c r="B95" s="1781" t="n"/>
      <c r="C95" s="1780">
        <f>C54</f>
        <v/>
      </c>
      <c r="D95" s="1820" t="n"/>
      <c r="E95" s="1805">
        <f>E106</f>
        <v/>
      </c>
      <c r="F95" s="1820" t="n"/>
      <c r="G95" s="1780">
        <f>G106</f>
        <v/>
      </c>
      <c r="H95" s="1820" t="n"/>
      <c r="I95" s="1780">
        <f>I106</f>
        <v/>
      </c>
      <c r="J95" s="1820" t="n"/>
      <c r="K95" s="1937">
        <f>K106</f>
        <v/>
      </c>
      <c r="L95" s="1820" t="n"/>
      <c r="M95" s="1812">
        <f>M65</f>
        <v/>
      </c>
      <c r="N95" s="1820" t="n"/>
      <c r="O95" s="1820" t="n"/>
      <c r="P95" s="1820" t="n"/>
      <c r="Q95" s="1805">
        <f>Q54</f>
        <v/>
      </c>
      <c r="R95" s="1805">
        <f>R54</f>
        <v/>
      </c>
      <c r="S95" s="1826" t="n"/>
      <c r="T95" s="1805">
        <f>T54</f>
        <v/>
      </c>
      <c r="U95" s="1820" t="n"/>
      <c r="V95" s="1820" t="n"/>
      <c r="W95" s="1805">
        <f>R95</f>
        <v/>
      </c>
      <c r="X95" s="1805">
        <f>T95</f>
        <v/>
      </c>
      <c r="Y95" s="1805" t="n"/>
      <c r="Z95" s="1805">
        <f>Z65</f>
        <v/>
      </c>
      <c r="AP95" s="1938">
        <f>Languages!B199</f>
        <v/>
      </c>
      <c r="AQ95" s="1784" t="n"/>
      <c r="AR95" s="1939">
        <f>E95</f>
        <v/>
      </c>
      <c r="AS95" s="1784" t="n"/>
      <c r="AT95" s="1939">
        <f>AW64</f>
        <v/>
      </c>
      <c r="AU95" s="1784" t="n"/>
      <c r="AV95" s="1784" t="n"/>
      <c r="AW95" s="1784" t="n"/>
      <c r="AX95" s="1889" t="inlineStr">
        <is>
          <t>EFc</t>
        </is>
      </c>
      <c r="AY95" s="1795" t="n"/>
      <c r="AZ95" s="1940" t="inlineStr">
        <is>
          <t>SFw</t>
        </is>
      </c>
      <c r="BA95" s="1800" t="n"/>
      <c r="BB95" s="1935" t="inlineStr">
        <is>
          <t>SFp</t>
        </is>
      </c>
      <c r="BC95" s="1800" t="n"/>
      <c r="BD95" s="1890" t="inlineStr">
        <is>
          <t>SFo</t>
        </is>
      </c>
      <c r="BE95" s="1888" t="n"/>
      <c r="BF95" s="1940" t="inlineStr">
        <is>
          <t>EFi</t>
        </is>
      </c>
      <c r="BG95" s="1784" t="n"/>
      <c r="BH95" s="1800" t="inlineStr">
        <is>
          <t>t dm/ha</t>
        </is>
      </c>
      <c r="BI95" s="1784" t="n"/>
      <c r="BJ95" s="1784" t="n"/>
      <c r="BK95" s="1916" t="n"/>
      <c r="BL95" s="1997" t="n"/>
      <c r="BM95" s="1894" t="n"/>
      <c r="BN95" s="1997" t="n"/>
      <c r="DF95" s="1922" t="n"/>
      <c r="DG95" s="1922" t="n"/>
      <c r="DH95" s="1922" t="n"/>
      <c r="DI95" s="1922" t="n"/>
      <c r="DJ95" s="1922" t="n"/>
      <c r="DK95" s="1922" t="n"/>
      <c r="DL95" s="1922" t="n"/>
      <c r="DM95" s="1922" t="n"/>
      <c r="DN95" s="1922" t="n"/>
      <c r="DO95" s="1922" t="n"/>
    </row>
    <row r="96" ht="15" customHeight="1">
      <c r="B96" s="1781" t="n"/>
      <c r="C96" s="1820" t="n"/>
      <c r="D96" s="1820" t="n"/>
      <c r="E96" s="4104" t="n"/>
      <c r="F96" s="1820" t="n"/>
      <c r="G96" s="1820" t="n"/>
      <c r="H96" s="1820" t="n"/>
      <c r="I96" s="1820" t="n"/>
      <c r="J96" s="1820" t="n"/>
      <c r="K96" s="1820" t="n"/>
      <c r="L96" s="1820" t="n"/>
      <c r="M96" s="1806" t="n"/>
      <c r="N96" s="1820" t="n"/>
      <c r="O96" s="1820" t="n"/>
      <c r="P96" s="1820" t="n"/>
      <c r="Q96" s="1820" t="n"/>
      <c r="R96" s="1820" t="n"/>
      <c r="S96" s="1820" t="n"/>
      <c r="T96" s="1820" t="n"/>
      <c r="U96" s="1820" t="n"/>
      <c r="V96" s="1820" t="n"/>
      <c r="W96" s="1820" t="n"/>
      <c r="X96" s="1815" t="n"/>
      <c r="Y96" s="1820" t="n"/>
      <c r="Z96" s="1820" t="n"/>
      <c r="AP96" s="1938" t="n"/>
      <c r="AQ96" s="1808" t="n"/>
      <c r="AR96" s="1795">
        <f>AS65</f>
        <v/>
      </c>
      <c r="AS96" s="1795">
        <f>AT65</f>
        <v/>
      </c>
      <c r="AT96" s="1797">
        <f>AR96</f>
        <v/>
      </c>
      <c r="AU96" s="1795">
        <f>AS96</f>
        <v/>
      </c>
      <c r="AV96" s="1797" t="n"/>
      <c r="AW96" s="1795" t="n"/>
      <c r="AX96" s="1797">
        <f>AT96</f>
        <v/>
      </c>
      <c r="AY96" s="1795">
        <f>AU96</f>
        <v/>
      </c>
      <c r="AZ96" s="1797">
        <f>AX96</f>
        <v/>
      </c>
      <c r="BA96" s="1795">
        <f>AY96</f>
        <v/>
      </c>
      <c r="BB96" s="1795">
        <f>AZ96</f>
        <v/>
      </c>
      <c r="BC96" s="1795">
        <f>BA96</f>
        <v/>
      </c>
      <c r="BD96" s="1795">
        <f>BB96</f>
        <v/>
      </c>
      <c r="BE96" s="1795">
        <f>BC96</f>
        <v/>
      </c>
      <c r="BF96" s="1795">
        <f>BD96</f>
        <v/>
      </c>
      <c r="BG96" s="1801">
        <f>BE96</f>
        <v/>
      </c>
      <c r="BH96" s="1795">
        <f>BD96</f>
        <v/>
      </c>
      <c r="BI96" s="1795">
        <f>BG96</f>
        <v/>
      </c>
      <c r="BJ96" s="1784" t="n"/>
      <c r="BK96" s="1916" t="n"/>
      <c r="BL96" s="1997" t="n"/>
      <c r="BM96" s="1894" t="n"/>
      <c r="BN96" s="1997" t="n"/>
      <c r="DF96" s="1922" t="n"/>
      <c r="DG96" s="1922" t="n"/>
      <c r="DH96" s="1922" t="n"/>
      <c r="DI96" s="1922" t="n"/>
      <c r="DJ96" s="1922" t="n"/>
      <c r="DK96" s="1922" t="n"/>
      <c r="DL96" s="1922" t="n"/>
      <c r="DM96" s="1922" t="n"/>
      <c r="DN96" s="1922" t="n"/>
      <c r="DO96" s="1922" t="n"/>
    </row>
    <row r="97" ht="15" customHeight="1">
      <c r="B97" s="1781" t="n"/>
      <c r="C97" s="4480">
        <f>Languages!B175</f>
        <v/>
      </c>
      <c r="D97" s="1820" t="n"/>
      <c r="E97" s="4484">
        <f>IF(AS97="", IF(continent_selected&lt;&gt;"Please select", VLOOKUP(continent_selected, IPCC!$A$515:$C$530, 3, FALSE),0), AS97)</f>
        <v/>
      </c>
      <c r="F97" s="1820" t="n"/>
      <c r="G97" s="4140" t="inlineStr">
        <is>
          <t>Irrigated, Continuously flooded</t>
        </is>
      </c>
      <c r="H97" s="1820" t="n"/>
      <c r="I97" s="2135" t="inlineStr">
        <is>
          <t>Non flooded pre-season &lt;180 d</t>
        </is>
      </c>
      <c r="J97" s="1820" t="n"/>
      <c r="K97" s="4135" t="inlineStr">
        <is>
          <t>Straw burnt</t>
        </is>
      </c>
      <c r="L97" s="1820" t="n"/>
      <c r="M97" s="4133" t="n">
        <v>1500</v>
      </c>
      <c r="N97" s="1820" t="n"/>
      <c r="O97" s="1820" t="n"/>
      <c r="P97" s="1820" t="n"/>
      <c r="Q97" s="1897">
        <f>rice!$C30</f>
        <v/>
      </c>
      <c r="R97" s="1897">
        <f>rice!$D30</f>
        <v/>
      </c>
      <c r="S97" s="1941" t="n"/>
      <c r="T97" s="1897">
        <f>rice!$F30</f>
        <v/>
      </c>
      <c r="U97" s="1820" t="n"/>
      <c r="V97" s="1820" t="n"/>
      <c r="W97" s="1815">
        <f>rice!$T30</f>
        <v/>
      </c>
      <c r="X97" s="1815">
        <f>rice!$U30</f>
        <v/>
      </c>
      <c r="Y97" s="1812" t="n"/>
      <c r="Z97" s="1816">
        <f>rice!$V30</f>
        <v/>
      </c>
      <c r="AP97" s="1800">
        <f>C97</f>
        <v/>
      </c>
      <c r="AQ97" s="1784" t="n"/>
      <c r="AR97" s="1795">
        <f>IF(continent_selected&lt;&gt;"Please select", VLOOKUP(continent_selected, IPCC!$A$515:$C$530, 3, FALSE),0)</f>
        <v/>
      </c>
      <c r="AS97" s="4141" t="n"/>
      <c r="AT97" s="2001">
        <f>IFERROR(SOCref*VLOOKUP(clim_moist,IPCC!$A$58:$C$68,3),0)</f>
        <v/>
      </c>
      <c r="AU97" s="1795" t="n"/>
      <c r="AV97" s="1817" t="n"/>
      <c r="AW97" s="1795" t="n"/>
      <c r="AX97" s="1795">
        <f>VLOOKUP(continent_selected, IPCC!$A$512:$B$530, 2, FALSE)</f>
        <v/>
      </c>
      <c r="AY97" s="4141" t="n"/>
      <c r="AZ97" s="1817">
        <f>IF($G97 &lt;&gt;"Please select", VLOOKUP($G97, IPCC!$E$512:$F$518, 2, FALSE),0)</f>
        <v/>
      </c>
      <c r="BA97" s="4141" t="n"/>
      <c r="BB97" s="1817">
        <f>IF($I97 &lt;&gt;"Please select", VLOOKUP($I97, IPCC!$E$525:$F$527,2, FALSE),0)</f>
        <v/>
      </c>
      <c r="BC97" s="4141" t="n"/>
      <c r="BD97" s="1817">
        <f>IF($K97 &lt;&gt;"Please select",1+(IF(ISBLANK($BI97), $BH97, $BI97))*IF($K97&lt;&gt;"Please select",VLOOKUP($K97,IPCC!$J$512:$K$518,2,FALSE)))^0.59</f>
        <v/>
      </c>
      <c r="BE97" s="4141" t="n"/>
      <c r="BF97" s="1817">
        <f>IF(AND($Q97=0, $R97=0, $T97=0), 0, IF(ISBLANK($AY97),$AX97, $AY97)*IF(ISBLANK($BA97),$AZ97, $BA97)*IF(ISBLANK($BC97),$BB97,$BC97)*IF(ISBLANK($BE97),$BD97,$BE97))</f>
        <v/>
      </c>
      <c r="BG97" s="4141" t="n"/>
      <c r="BH97" s="1817">
        <f>IF(AND($Q97=0, $R97=0, $T97=0), 0, rice!H6*IPCC!$B$21+IPCC!$C$21)</f>
        <v/>
      </c>
      <c r="BI97" s="4141" t="n"/>
      <c r="BJ97" s="1784" t="n"/>
      <c r="BK97" s="1916" t="n"/>
      <c r="BL97" s="4401" t="n">
        <v>1</v>
      </c>
      <c r="BM97" s="4402" t="n"/>
      <c r="BN97" s="1997" t="n"/>
      <c r="DF97" s="1922" t="n"/>
      <c r="DG97" s="1922" t="n"/>
      <c r="DH97" s="1922" t="n"/>
      <c r="DI97" s="1922" t="n"/>
      <c r="DJ97" s="1922" t="n"/>
      <c r="DK97" s="1922" t="n"/>
      <c r="DL97" s="1922" t="n"/>
      <c r="DM97" s="1922" t="n"/>
      <c r="DN97" s="1922" t="n"/>
      <c r="DO97" s="1922" t="n"/>
    </row>
    <row r="98" ht="15" customHeight="1">
      <c r="B98" s="1781" t="n"/>
      <c r="C98" s="4480">
        <f>Languages!B176</f>
        <v/>
      </c>
      <c r="D98" s="1820" t="n"/>
      <c r="E98" s="4484">
        <f>IF(AS98="", IF(continent_selected&lt;&gt;"Please select", VLOOKUP(continent_selected, IPCC!$A$515:$C$530, 3, FALSE),0), AS98)</f>
        <v/>
      </c>
      <c r="F98" s="1820" t="n"/>
      <c r="G98" s="4140" t="inlineStr">
        <is>
          <t>Please select</t>
        </is>
      </c>
      <c r="H98" s="1820" t="n"/>
      <c r="I98" s="2135" t="inlineStr">
        <is>
          <t>Please select</t>
        </is>
      </c>
      <c r="J98" s="1820" t="n"/>
      <c r="K98" s="4135" t="inlineStr">
        <is>
          <t>Please select</t>
        </is>
      </c>
      <c r="L98" s="1820" t="n"/>
      <c r="M98" s="4133" t="n"/>
      <c r="N98" s="1820" t="n"/>
      <c r="O98" s="1820" t="n"/>
      <c r="P98" s="1820" t="n"/>
      <c r="Q98" s="1897">
        <f>rice!$C31</f>
        <v/>
      </c>
      <c r="R98" s="1897">
        <f>rice!$D31</f>
        <v/>
      </c>
      <c r="S98" s="1941" t="n"/>
      <c r="T98" s="1897">
        <f>rice!$F31</f>
        <v/>
      </c>
      <c r="U98" s="1820" t="n"/>
      <c r="V98" s="1820" t="n"/>
      <c r="W98" s="1815">
        <f>rice!$T31</f>
        <v/>
      </c>
      <c r="X98" s="1815">
        <f>rice!$U31</f>
        <v/>
      </c>
      <c r="Y98" s="1812" t="n"/>
      <c r="Z98" s="1816">
        <f>rice!$V31</f>
        <v/>
      </c>
      <c r="AP98" s="1800">
        <f>C98</f>
        <v/>
      </c>
      <c r="AQ98" s="1784" t="n"/>
      <c r="AR98" s="1795">
        <f>IF(continent_selected&lt;&gt;"Please select", VLOOKUP(continent_selected, IPCC!$A$515:$C$530, 3, FALSE),0)</f>
        <v/>
      </c>
      <c r="AS98" s="4141" t="n"/>
      <c r="AT98" s="2001">
        <f>IFERROR(SOCref*VLOOKUP(clim_moist,IPCC!$A$58:$C$68,3),0)</f>
        <v/>
      </c>
      <c r="AU98" s="4141" t="n"/>
      <c r="AV98" s="1817" t="n"/>
      <c r="AW98" s="1795" t="n"/>
      <c r="AX98" s="1795">
        <f>VLOOKUP(continent_selected, IPCC!$A$512:$B$530, 2, FALSE)</f>
        <v/>
      </c>
      <c r="AY98" s="4141" t="n"/>
      <c r="AZ98" s="1817">
        <f>IF($G98 &lt;&gt;"Please select", VLOOKUP($G98, IPCC!$E$512:$F$518, 2, FALSE),0)</f>
        <v/>
      </c>
      <c r="BA98" s="4141" t="n"/>
      <c r="BB98" s="1817">
        <f>IF($I98 &lt;&gt;"Please select", VLOOKUP($I98, IPCC!$E$525:$F$527,2, FALSE),0)</f>
        <v/>
      </c>
      <c r="BC98" s="4141" t="n"/>
      <c r="BD98" s="1817">
        <f>IF($K98 &lt;&gt;"Please select",1+(IF(ISBLANK($BI98), $BH98, $BI98))*IF($K98&lt;&gt;"Please select",VLOOKUP($K98,IPCC!$J$512:$K$518,2,FALSE)))^0.59</f>
        <v/>
      </c>
      <c r="BE98" s="4141" t="n"/>
      <c r="BF98" s="1817">
        <f>IF(AND($Q98=0, $R98=0, $T98=0), 0, IF(ISBLANK($AY98),$AX98, $AY98)*IF(ISBLANK($BA98),$AZ98, $BA98)*IF(ISBLANK($BC98),$BB98,$BC98)*IF(ISBLANK($BE98),$BD98,$BE98))</f>
        <v/>
      </c>
      <c r="BG98" s="4141" t="n"/>
      <c r="BH98" s="1817">
        <f>IF(AND($Q98=0, $R98=0, $T98=0), 0, rice!H7*IPCC!$B$21+IPCC!$C$21)</f>
        <v/>
      </c>
      <c r="BI98" s="4141" t="n"/>
      <c r="BJ98" s="1784" t="n"/>
      <c r="BK98" s="1916" t="n"/>
      <c r="BL98" s="4401" t="n">
        <v>1</v>
      </c>
      <c r="BM98" s="4402" t="n"/>
      <c r="BN98" s="1997" t="n"/>
      <c r="DF98" s="1922" t="n"/>
      <c r="DG98" s="1922" t="n"/>
      <c r="DH98" s="1922" t="n"/>
      <c r="DI98" s="1922" t="n"/>
      <c r="DJ98" s="1922" t="n"/>
      <c r="DK98" s="1922" t="n"/>
      <c r="DL98" s="1922" t="n"/>
      <c r="DM98" s="1922" t="n"/>
      <c r="DN98" s="1922" t="n"/>
      <c r="DO98" s="1922" t="n"/>
    </row>
    <row r="99" ht="15" customHeight="1">
      <c r="B99" s="1781" t="n"/>
      <c r="C99" s="4480">
        <f>Languages!B177</f>
        <v/>
      </c>
      <c r="D99" s="1820" t="n"/>
      <c r="E99" s="4484">
        <f>IF(AS99="", IF(continent_selected&lt;&gt;"Please select", VLOOKUP(continent_selected, IPCC!$A$515:$C$530, 3, FALSE),0), AS99)</f>
        <v/>
      </c>
      <c r="F99" s="1820" t="n"/>
      <c r="G99" s="4140" t="inlineStr">
        <is>
          <t>Please select</t>
        </is>
      </c>
      <c r="H99" s="1820" t="n"/>
      <c r="I99" s="2135" t="inlineStr">
        <is>
          <t>Please select</t>
        </is>
      </c>
      <c r="J99" s="1820" t="n"/>
      <c r="K99" s="4135" t="inlineStr">
        <is>
          <t>Please select</t>
        </is>
      </c>
      <c r="L99" s="1820" t="n"/>
      <c r="M99" s="4133" t="n"/>
      <c r="N99" s="1820" t="n"/>
      <c r="O99" s="1820" t="n"/>
      <c r="P99" s="1820" t="n"/>
      <c r="Q99" s="1897">
        <f>rice!$C32</f>
        <v/>
      </c>
      <c r="R99" s="1897">
        <f>rice!$D32</f>
        <v/>
      </c>
      <c r="S99" s="1941" t="n"/>
      <c r="T99" s="1897">
        <f>rice!$F32</f>
        <v/>
      </c>
      <c r="U99" s="1820" t="n"/>
      <c r="V99" s="1820" t="n"/>
      <c r="W99" s="1815">
        <f>rice!$T32</f>
        <v/>
      </c>
      <c r="X99" s="1815">
        <f>rice!$U32</f>
        <v/>
      </c>
      <c r="Y99" s="1812" t="n"/>
      <c r="Z99" s="1816">
        <f>rice!$V32</f>
        <v/>
      </c>
      <c r="AP99" s="1800">
        <f>C99</f>
        <v/>
      </c>
      <c r="AQ99" s="1784" t="n"/>
      <c r="AR99" s="1795">
        <f>IF(continent_selected&lt;&gt;"Please select", VLOOKUP(continent_selected, IPCC!$A$515:$C$530, 3, FALSE),0)</f>
        <v/>
      </c>
      <c r="AS99" s="4141" t="n"/>
      <c r="AT99" s="2001">
        <f>IFERROR(SOCref*VLOOKUP(clim_moist,IPCC!$A$58:$C$68,3),0)</f>
        <v/>
      </c>
      <c r="AU99" s="1795" t="n"/>
      <c r="AV99" s="1817" t="n"/>
      <c r="AW99" s="1795" t="n"/>
      <c r="AX99" s="1795">
        <f>VLOOKUP(continent_selected, IPCC!$A$512:$B$530, 2, FALSE)</f>
        <v/>
      </c>
      <c r="AY99" s="4141" t="n"/>
      <c r="AZ99" s="1817">
        <f>IF($G99 &lt;&gt;"Please select", VLOOKUP($G99, IPCC!$E$512:$F$518, 2, FALSE),0)</f>
        <v/>
      </c>
      <c r="BA99" s="4141" t="n"/>
      <c r="BB99" s="1817">
        <f>IF($I99 &lt;&gt;"Please select", VLOOKUP($I99, IPCC!$E$525:$F$527,2, FALSE),0)</f>
        <v/>
      </c>
      <c r="BC99" s="4141" t="n"/>
      <c r="BD99" s="1817">
        <f>IF($K99 &lt;&gt;"Please select",1+(IF(ISBLANK($BI99), $BH99, $BI99))*IF($K99&lt;&gt;"Please select",VLOOKUP($K99,IPCC!$J$512:$K$518,2,FALSE)))^0.59</f>
        <v/>
      </c>
      <c r="BE99" s="4141" t="n"/>
      <c r="BF99" s="1817">
        <f>IF(AND($Q99=0, $R99=0, $T99=0), 0, IF(ISBLANK($AY99),$AX99, $AY99)*IF(ISBLANK($BA99),$AZ99, $BA99)*IF(ISBLANK($BC99),$BB99,$BC99)*IF(ISBLANK($BE99),$BD99,$BE99))</f>
        <v/>
      </c>
      <c r="BG99" s="4141" t="n"/>
      <c r="BH99" s="1817">
        <f>IF(AND($Q99=0, $R99=0, $T99=0), 0, rice!H8*IPCC!$B$21+IPCC!$C$21)</f>
        <v/>
      </c>
      <c r="BI99" s="4141" t="n"/>
      <c r="BJ99" s="1942" t="n"/>
      <c r="BK99" s="1919" t="n"/>
      <c r="BL99" s="4401" t="n">
        <v>1</v>
      </c>
      <c r="BM99" s="4402" t="n"/>
      <c r="BN99" s="1997" t="n"/>
      <c r="DF99" s="1922" t="n"/>
      <c r="DG99" s="1922" t="n"/>
      <c r="DH99" s="1922" t="n"/>
      <c r="DI99" s="1922" t="n"/>
      <c r="DJ99" s="1922" t="n"/>
      <c r="DK99" s="1922" t="n"/>
      <c r="DL99" s="1922" t="n"/>
      <c r="DM99" s="1922" t="n"/>
      <c r="DN99" s="1922" t="n"/>
      <c r="DO99" s="1922" t="n"/>
    </row>
    <row r="100" ht="15" customHeight="1">
      <c r="B100" s="1781" t="n"/>
      <c r="C100" s="4480">
        <f>Languages!B178</f>
        <v/>
      </c>
      <c r="D100" s="1820" t="n"/>
      <c r="E100" s="4484">
        <f>IF(AS100="", IF(continent_selected&lt;&gt;"Please select", VLOOKUP(continent_selected, IPCC!$A$515:$C$530, 3, FALSE),0), AS100)</f>
        <v/>
      </c>
      <c r="F100" s="1820" t="n"/>
      <c r="G100" s="4140" t="inlineStr">
        <is>
          <t>Please select</t>
        </is>
      </c>
      <c r="H100" s="1820" t="n"/>
      <c r="I100" s="2135" t="inlineStr">
        <is>
          <t>Please select</t>
        </is>
      </c>
      <c r="J100" s="1820" t="n"/>
      <c r="K100" s="4135" t="inlineStr">
        <is>
          <t>Please select</t>
        </is>
      </c>
      <c r="L100" s="1820" t="n"/>
      <c r="M100" s="4133" t="n"/>
      <c r="N100" s="1820" t="n"/>
      <c r="O100" s="1820" t="n"/>
      <c r="P100" s="1820" t="n"/>
      <c r="Q100" s="1897">
        <f>rice!$C33</f>
        <v/>
      </c>
      <c r="R100" s="1897">
        <f>rice!$D33</f>
        <v/>
      </c>
      <c r="S100" s="1941" t="n"/>
      <c r="T100" s="1897">
        <f>rice!$F33</f>
        <v/>
      </c>
      <c r="U100" s="1820" t="n"/>
      <c r="V100" s="1820" t="n"/>
      <c r="W100" s="1815">
        <f>rice!$T33</f>
        <v/>
      </c>
      <c r="X100" s="1815">
        <f>rice!$U33</f>
        <v/>
      </c>
      <c r="Y100" s="1812" t="n"/>
      <c r="Z100" s="1816">
        <f>rice!$V33</f>
        <v/>
      </c>
      <c r="AP100" s="1800">
        <f>C100</f>
        <v/>
      </c>
      <c r="AQ100" s="1784" t="n"/>
      <c r="AR100" s="1795">
        <f>IF(continent_selected&lt;&gt;"Please select", VLOOKUP(continent_selected, IPCC!$A$515:$C$530, 3, FALSE),0)</f>
        <v/>
      </c>
      <c r="AS100" s="4141" t="n"/>
      <c r="AT100" s="2001">
        <f>IFERROR(SOCref*VLOOKUP(clim_moist,IPCC!$A$58:$C$68,3),0)</f>
        <v/>
      </c>
      <c r="AU100" s="4141" t="n"/>
      <c r="AV100" s="1817" t="n"/>
      <c r="AW100" s="1795" t="n"/>
      <c r="AX100" s="1795">
        <f>VLOOKUP(continent_selected, IPCC!$A$512:$B$530, 2, FALSE)</f>
        <v/>
      </c>
      <c r="AY100" s="4141" t="n"/>
      <c r="AZ100" s="1817">
        <f>IF($G100 &lt;&gt;"Please select", VLOOKUP($G100, IPCC!$E$512:$F$518, 2, FALSE),0)</f>
        <v/>
      </c>
      <c r="BA100" s="4141" t="n"/>
      <c r="BB100" s="1817">
        <f>IF($I100 &lt;&gt;"Please select", VLOOKUP($I100, IPCC!$E$525:$F$527,2, FALSE),0)</f>
        <v/>
      </c>
      <c r="BC100" s="4141" t="n"/>
      <c r="BD100" s="1817">
        <f>IF($K100 &lt;&gt;"Please select",1+(IF(ISBLANK($BI100), $BH100, $BI100))*IF($K100&lt;&gt;"Please select",VLOOKUP($K100,IPCC!$J$512:$K$518,2,FALSE)))^0.59</f>
        <v/>
      </c>
      <c r="BE100" s="4141" t="n"/>
      <c r="BF100" s="1817">
        <f>IF(AND($Q100=0, $R100=0, $T100=0), 0, IF(ISBLANK($AY100),$AX100, $AY100)*IF(ISBLANK($BA100),$AZ100, $BA100)*IF(ISBLANK($BC100),$BB100,$BC100)*IF(ISBLANK($BE100),$BD100,$BE100))</f>
        <v/>
      </c>
      <c r="BG100" s="4141" t="n"/>
      <c r="BH100" s="1817">
        <f>IF(AND($Q100=0, $R100=0, $T100=0), 0, rice!H9*IPCC!$B$21+IPCC!$C$21)</f>
        <v/>
      </c>
      <c r="BI100" s="4141" t="n"/>
      <c r="BJ100" s="1847" t="n"/>
      <c r="BK100" s="1868" t="n"/>
      <c r="BL100" s="4401" t="n">
        <v>1</v>
      </c>
      <c r="BM100" s="4402" t="n"/>
      <c r="BN100" s="1997" t="n"/>
      <c r="DF100" s="1922" t="n"/>
      <c r="DG100" s="1922" t="n"/>
      <c r="DH100" s="1922" t="n"/>
      <c r="DI100" s="1922" t="n"/>
      <c r="DJ100" s="1922" t="n"/>
      <c r="DK100" s="1922" t="n"/>
      <c r="DL100" s="1922" t="n"/>
      <c r="DM100" s="1922" t="n"/>
      <c r="DN100" s="1922" t="n"/>
      <c r="DO100" s="1922" t="n"/>
    </row>
    <row r="101" ht="15" customHeight="1">
      <c r="B101" s="1781" t="n"/>
      <c r="C101" s="1820" t="n"/>
      <c r="D101" s="1820" t="n"/>
      <c r="E101" s="1820" t="n"/>
      <c r="F101" s="1820" t="n"/>
      <c r="G101" s="1781" t="n"/>
      <c r="H101" s="1820" t="n"/>
      <c r="I101" s="1820" t="n"/>
      <c r="J101" s="1820" t="n"/>
      <c r="K101" s="1820" t="n"/>
      <c r="L101" s="1820" t="n"/>
      <c r="M101" s="1820" t="n"/>
      <c r="N101" s="1820" t="n"/>
      <c r="O101" s="1820" t="n"/>
      <c r="P101" s="1820" t="n"/>
      <c r="Q101" s="1820" t="n"/>
      <c r="R101" s="1820" t="n"/>
      <c r="S101" s="1820" t="n"/>
      <c r="T101" s="1820" t="n"/>
      <c r="U101" s="1820" t="n"/>
      <c r="V101" s="1820" t="n"/>
      <c r="W101" s="1820" t="n"/>
      <c r="X101" s="1820" t="n"/>
      <c r="Y101" s="1820" t="n"/>
      <c r="Z101" s="1820" t="n"/>
      <c r="AP101" s="1784" t="n"/>
      <c r="AQ101" s="1784" t="n"/>
      <c r="AR101" s="1800" t="n"/>
      <c r="AS101" s="1800" t="n"/>
      <c r="AT101" s="1943" t="n"/>
      <c r="AU101" s="1800" t="n"/>
      <c r="AV101" s="1943" t="n"/>
      <c r="AW101" s="1800" t="n"/>
      <c r="AX101" s="1800" t="n"/>
      <c r="AY101" s="1800" t="n"/>
      <c r="AZ101" s="1784" t="n"/>
      <c r="BA101" s="1784" t="n"/>
      <c r="BB101" s="1784" t="n"/>
      <c r="BC101" s="1784" t="n"/>
      <c r="BD101" s="1784" t="n"/>
      <c r="BE101" s="1784" t="n"/>
      <c r="BF101" s="1784" t="n"/>
      <c r="BG101" s="1784" t="n"/>
      <c r="BH101" s="1784" t="n"/>
      <c r="BI101" s="1784" t="n"/>
      <c r="BJ101" s="1847" t="n"/>
      <c r="BK101" s="1868" t="n"/>
      <c r="BL101" s="1997" t="n"/>
      <c r="BM101" s="1894" t="n"/>
      <c r="BN101" s="1997" t="n"/>
      <c r="DF101" s="1922" t="n"/>
      <c r="DG101" s="1922" t="n"/>
      <c r="DH101" s="1922" t="n"/>
      <c r="DI101" s="1922" t="n"/>
      <c r="DJ101" s="1922" t="n"/>
      <c r="DK101" s="1922" t="n"/>
      <c r="DL101" s="1922" t="n"/>
      <c r="DM101" s="1922" t="n"/>
      <c r="DN101" s="1922" t="n"/>
      <c r="DO101" s="1922" t="n"/>
    </row>
    <row r="102" ht="18" customHeight="1">
      <c r="B102" s="1773" t="n"/>
      <c r="C102" s="1774">
        <f>Languages!B180</f>
        <v/>
      </c>
      <c r="D102" s="1766" t="n"/>
      <c r="E102" s="1766" t="n"/>
      <c r="F102" s="1766" t="n"/>
      <c r="G102" s="1766" t="n"/>
      <c r="H102" s="1766" t="n"/>
      <c r="I102" s="1766" t="n"/>
      <c r="J102" s="1766" t="n"/>
      <c r="K102" s="1766" t="n"/>
      <c r="L102" s="1766" t="n"/>
      <c r="M102" s="1766" t="n"/>
      <c r="N102" s="1766" t="n"/>
      <c r="O102" s="1766" t="n"/>
      <c r="P102" s="1766" t="n"/>
      <c r="Q102" s="1766" t="n"/>
      <c r="R102" s="1766" t="n"/>
      <c r="S102" s="1766" t="n"/>
      <c r="T102" s="1766" t="n"/>
      <c r="U102" s="1766" t="n"/>
      <c r="V102" s="1766" t="n"/>
      <c r="W102" s="1766" t="n"/>
      <c r="X102" s="1766" t="n"/>
      <c r="Y102" s="1766" t="n"/>
      <c r="Z102" s="1766" t="n"/>
      <c r="AP102" s="1774">
        <f>C102</f>
        <v/>
      </c>
      <c r="AQ102" s="1767" t="n"/>
      <c r="AR102" s="1766" t="n"/>
      <c r="AS102" s="1766" t="n"/>
      <c r="AT102" s="1766" t="n"/>
      <c r="AU102" s="1766" t="n"/>
      <c r="AV102" s="1766" t="n"/>
      <c r="AW102" s="1766" t="n"/>
      <c r="AX102" s="1766" t="n"/>
      <c r="AY102" s="1766" t="n"/>
      <c r="AZ102" s="1766" t="n"/>
      <c r="BA102" s="1766" t="n"/>
      <c r="BB102" s="1766" t="n"/>
      <c r="BC102" s="1766" t="n"/>
      <c r="BD102" s="1766" t="n"/>
      <c r="BE102" s="1766" t="n"/>
      <c r="BF102" s="1766" t="n"/>
      <c r="BG102" s="1766" t="n"/>
      <c r="BH102" s="1767" t="n"/>
      <c r="BI102" s="1767" t="n"/>
      <c r="BJ102" s="1767" t="n"/>
      <c r="BL102" s="1767" t="n"/>
      <c r="BM102" s="1767" t="n"/>
      <c r="BN102" s="1767" t="n"/>
      <c r="DF102" s="1922" t="n"/>
      <c r="DG102" s="1922" t="n"/>
      <c r="DH102" s="1922" t="n"/>
      <c r="DI102" s="1922" t="n"/>
      <c r="DJ102" s="1922" t="n"/>
      <c r="DK102" s="1922" t="n"/>
      <c r="DL102" s="1922" t="n"/>
      <c r="DM102" s="1922" t="n"/>
      <c r="DN102" s="1922" t="n"/>
      <c r="DO102" s="1922" t="n"/>
    </row>
    <row r="103" ht="15" customHeight="1">
      <c r="B103" s="1781" t="n"/>
      <c r="C103" s="1826" t="n"/>
      <c r="D103" s="1781" t="n"/>
      <c r="E103" s="1925" t="n"/>
      <c r="F103" s="1781" t="n"/>
      <c r="G103" s="1926">
        <f>G93</f>
        <v/>
      </c>
      <c r="H103" s="1927" t="n"/>
      <c r="I103" s="1928" t="n"/>
      <c r="J103" s="1929" t="n"/>
      <c r="K103" s="1930" t="n"/>
      <c r="L103" s="1781" t="n"/>
      <c r="M103" s="1805" t="n"/>
      <c r="N103" s="1781" t="n"/>
      <c r="O103" s="1944" t="n"/>
      <c r="P103" s="1944" t="n"/>
      <c r="Q103" s="1945" t="n"/>
      <c r="R103" s="1946" t="n"/>
      <c r="S103" s="1947" t="n"/>
      <c r="T103" s="1947" t="n"/>
      <c r="U103" s="1781" t="n"/>
      <c r="V103" s="1948" t="n"/>
      <c r="W103" s="1832" t="n"/>
      <c r="X103" s="1944" t="n"/>
      <c r="Y103" s="1781" t="n"/>
      <c r="Z103" s="1832" t="n"/>
      <c r="AP103" s="1782" t="n"/>
      <c r="AQ103" s="1782" t="n"/>
      <c r="AR103" s="1782" t="n"/>
      <c r="AS103" s="1782" t="n"/>
      <c r="AT103" s="1782" t="n"/>
      <c r="AU103" s="1782" t="n"/>
      <c r="AV103" s="1782" t="n"/>
      <c r="AW103" s="1782" t="n"/>
      <c r="AX103" s="1924">
        <f>AX92</f>
        <v/>
      </c>
      <c r="AY103" s="1785" t="n"/>
      <c r="AZ103" s="1785" t="n"/>
      <c r="BA103" s="1785" t="n"/>
      <c r="BB103" s="1785" t="n"/>
      <c r="BC103" s="1785" t="n"/>
      <c r="BD103" s="1785" t="n"/>
      <c r="BE103" s="1785" t="n"/>
      <c r="BF103" s="1785" t="n"/>
      <c r="BG103" s="1785" t="n"/>
      <c r="BH103" s="1782" t="n"/>
      <c r="BI103" s="1782" t="n"/>
      <c r="BJ103" s="1782" t="n"/>
      <c r="BL103" s="1997" t="n"/>
      <c r="BM103" s="1997" t="n"/>
      <c r="BN103" s="1997" t="n"/>
      <c r="DF103" s="1922" t="n"/>
      <c r="DG103" s="1922" t="n"/>
      <c r="DH103" s="1922" t="n"/>
      <c r="DI103" s="1922" t="n"/>
      <c r="DJ103" s="1922" t="n"/>
      <c r="DK103" s="1922" t="n"/>
      <c r="DL103" s="1922" t="n"/>
      <c r="DM103" s="1922" t="n"/>
      <c r="DN103" s="1922" t="n"/>
      <c r="DO103" s="1922" t="n"/>
    </row>
    <row r="104" ht="17.75" customHeight="1">
      <c r="B104" s="1781" t="n"/>
      <c r="C104" s="1826" t="n"/>
      <c r="D104" s="1781" t="n"/>
      <c r="E104" s="1925" t="n"/>
      <c r="F104" s="1781" t="n"/>
      <c r="G104" s="1949" t="n"/>
      <c r="H104" s="1950" t="n"/>
      <c r="I104" s="1949" t="n"/>
      <c r="J104" s="1929" t="n"/>
      <c r="K104" s="1930" t="n"/>
      <c r="L104" s="1781" t="n"/>
      <c r="M104" s="1805" t="n"/>
      <c r="N104" s="1781" t="n"/>
      <c r="O104" s="1944" t="n"/>
      <c r="P104" s="1827">
        <f>Languages!B198</f>
        <v/>
      </c>
      <c r="Q104" s="1951" t="n"/>
      <c r="R104" s="1901" t="n"/>
      <c r="S104" s="1900" t="n"/>
      <c r="T104" s="1900" t="n"/>
      <c r="U104" s="1900" t="n"/>
      <c r="V104" s="1948" t="n"/>
      <c r="W104" s="1792">
        <f>W93</f>
        <v/>
      </c>
      <c r="X104" s="1944" t="n"/>
      <c r="Y104" s="1781" t="n"/>
      <c r="Z104" s="1780" t="n"/>
      <c r="AP104" s="1782" t="n"/>
      <c r="AQ104" s="1782" t="n"/>
      <c r="AR104" s="1782" t="n"/>
      <c r="AS104" s="1782" t="n"/>
      <c r="AT104" s="1782" t="n"/>
      <c r="AU104" s="1782" t="n"/>
      <c r="AV104" s="1782" t="n"/>
      <c r="AW104" s="1782" t="n"/>
      <c r="AX104" s="1933">
        <f>AX93</f>
        <v/>
      </c>
      <c r="AY104" s="1782" t="n"/>
      <c r="AZ104" s="1782" t="n"/>
      <c r="BA104" s="1782" t="n"/>
      <c r="BB104" s="1782" t="n"/>
      <c r="BC104" s="1782" t="n"/>
      <c r="BD104" s="1782" t="n"/>
      <c r="BE104" s="1782" t="n"/>
      <c r="BF104" s="1782" t="n"/>
      <c r="BG104" s="1782" t="n"/>
      <c r="BH104" s="1782" t="n"/>
      <c r="BI104" s="1782" t="n"/>
      <c r="BJ104" s="1784" t="n"/>
      <c r="BK104" s="1916" t="n"/>
      <c r="BL104" s="1997" t="n"/>
      <c r="BM104" s="1997" t="n"/>
      <c r="BN104" s="1997" t="n"/>
      <c r="DF104" s="1922" t="n"/>
      <c r="DG104" s="1922" t="n"/>
      <c r="DH104" s="1922" t="n"/>
      <c r="DI104" s="1922" t="n"/>
      <c r="DJ104" s="1922" t="n"/>
      <c r="DK104" s="1922" t="n"/>
      <c r="DL104" s="1922" t="n"/>
      <c r="DM104" s="1922" t="n"/>
      <c r="DN104" s="1922" t="n"/>
      <c r="DO104" s="1922" t="n"/>
    </row>
    <row r="105" ht="39.5" customHeight="1">
      <c r="B105" s="1781" t="n"/>
      <c r="C105" s="1952">
        <f>'2.LUC'!C58</f>
        <v/>
      </c>
      <c r="D105" s="1781" t="n"/>
      <c r="E105" s="1780">
        <f>Languages!B189</f>
        <v/>
      </c>
      <c r="F105" s="1781" t="n"/>
      <c r="G105" s="1934">
        <f>Languages!B188</f>
        <v/>
      </c>
      <c r="H105" s="1950" t="n"/>
      <c r="I105" s="1934">
        <f>Languages!B191</f>
        <v/>
      </c>
      <c r="J105" s="1929" t="n"/>
      <c r="K105" s="1930">
        <f>Languages!B192</f>
        <v/>
      </c>
      <c r="L105" s="1781" t="n"/>
      <c r="M105" s="1805">
        <f>M94</f>
        <v/>
      </c>
      <c r="N105" s="1781" t="n"/>
      <c r="O105" s="1944" t="n"/>
      <c r="P105" s="1944" t="n"/>
      <c r="Q105" s="1878" t="n"/>
      <c r="R105" s="1878" t="n"/>
      <c r="S105" s="1878" t="n"/>
      <c r="T105" s="1878" t="n"/>
      <c r="U105" s="1878" t="n"/>
      <c r="V105" s="1948" t="n"/>
      <c r="W105" s="1832" t="n"/>
      <c r="X105" s="1944" t="n"/>
      <c r="Y105" s="1781" t="n"/>
      <c r="Z105" s="1832" t="n"/>
      <c r="AP105" s="1782" t="n"/>
      <c r="AQ105" s="1782" t="n"/>
      <c r="AR105" s="1887">
        <f>AR94</f>
        <v/>
      </c>
      <c r="AS105" s="1784" t="n"/>
      <c r="AT105" s="1935">
        <f>AT94</f>
        <v/>
      </c>
      <c r="AU105" s="1784" t="n"/>
      <c r="AV105" s="1888">
        <f>AY63</f>
        <v/>
      </c>
      <c r="AW105" s="1800" t="n"/>
      <c r="AX105" s="4337">
        <f>AX94</f>
        <v/>
      </c>
      <c r="AY105" s="4338" t="n"/>
      <c r="AZ105" s="4337">
        <f>AZ94</f>
        <v/>
      </c>
      <c r="BA105" s="4338" t="n"/>
      <c r="BB105" s="4337">
        <f>BB94</f>
        <v/>
      </c>
      <c r="BC105" s="4338" t="n"/>
      <c r="BD105" s="4337">
        <f>BD94</f>
        <v/>
      </c>
      <c r="BE105" s="4339" t="n"/>
      <c r="BF105" s="2635">
        <f>BF94</f>
        <v/>
      </c>
      <c r="BG105" s="1936" t="n"/>
      <c r="BH105" s="1888">
        <f>BH94</f>
        <v/>
      </c>
      <c r="BI105" s="1888" t="n"/>
      <c r="BJ105" s="1784" t="n"/>
      <c r="BK105" s="1916" t="n"/>
      <c r="BL105" s="1997" t="n"/>
      <c r="BM105" s="1894" t="n"/>
      <c r="BN105" s="1997" t="n"/>
      <c r="DF105" s="1922" t="n"/>
      <c r="DG105" s="1922" t="n"/>
      <c r="DH105" s="1922" t="n"/>
      <c r="DI105" s="1922" t="n"/>
      <c r="DJ105" s="1922" t="n"/>
      <c r="DK105" s="1922" t="n"/>
      <c r="DL105" s="1922" t="n"/>
      <c r="DM105" s="1922" t="n"/>
      <c r="DN105" s="1922" t="n"/>
      <c r="DO105" s="1922" t="n"/>
    </row>
    <row r="106" ht="15" customHeight="1">
      <c r="B106" s="1781" t="n"/>
      <c r="C106" s="1826" t="n"/>
      <c r="D106" s="1781" t="n"/>
      <c r="E106" s="1934">
        <f>Languages!B190</f>
        <v/>
      </c>
      <c r="F106" s="1781" t="n"/>
      <c r="G106" s="1780">
        <f>Languages!B189</f>
        <v/>
      </c>
      <c r="H106" s="1934" t="n"/>
      <c r="I106" s="1780">
        <f>G106</f>
        <v/>
      </c>
      <c r="J106" s="1929" t="n"/>
      <c r="K106" s="1937">
        <f>Languages!B193</f>
        <v/>
      </c>
      <c r="L106" s="1934" t="n"/>
      <c r="M106" s="1812">
        <f>M95</f>
        <v/>
      </c>
      <c r="N106" s="1781" t="n"/>
      <c r="O106" s="1806" t="n"/>
      <c r="P106" s="1806" t="n"/>
      <c r="Q106" s="1780" t="inlineStr">
        <is>
          <t>Start</t>
        </is>
      </c>
      <c r="R106" s="1780">
        <f>R65</f>
        <v/>
      </c>
      <c r="S106" s="1826" t="n"/>
      <c r="T106" s="1780">
        <f>T65</f>
        <v/>
      </c>
      <c r="U106" s="1826" t="n"/>
      <c r="V106" s="1826" t="n"/>
      <c r="W106" s="1780">
        <f>W65</f>
        <v/>
      </c>
      <c r="X106" s="1780">
        <f>X65</f>
        <v/>
      </c>
      <c r="Y106" s="1781" t="n"/>
      <c r="Z106" s="1780">
        <f>Z65</f>
        <v/>
      </c>
      <c r="AP106" s="1938">
        <f>Languages!B200</f>
        <v/>
      </c>
      <c r="AQ106" s="1784" t="n"/>
      <c r="AR106" s="1939">
        <f>AR95</f>
        <v/>
      </c>
      <c r="AS106" s="1784" t="n"/>
      <c r="AT106" s="1939" t="inlineStr">
        <is>
          <t>tC/ha</t>
        </is>
      </c>
      <c r="AU106" s="1784" t="n"/>
      <c r="AV106" s="1784" t="n"/>
      <c r="AW106" s="1784" t="n"/>
      <c r="AX106" s="1889" t="inlineStr">
        <is>
          <t>EFc</t>
        </is>
      </c>
      <c r="AY106" s="1795" t="n"/>
      <c r="AZ106" s="1940" t="inlineStr">
        <is>
          <t>SFw</t>
        </is>
      </c>
      <c r="BA106" s="1800" t="n"/>
      <c r="BB106" s="1935" t="inlineStr">
        <is>
          <t>SFp</t>
        </is>
      </c>
      <c r="BC106" s="1800" t="n"/>
      <c r="BD106" s="1890" t="inlineStr">
        <is>
          <t>SFo</t>
        </is>
      </c>
      <c r="BE106" s="1888" t="n"/>
      <c r="BF106" s="1940" t="inlineStr">
        <is>
          <t>EFi</t>
        </is>
      </c>
      <c r="BG106" s="1784" t="n"/>
      <c r="BH106" s="1800" t="inlineStr">
        <is>
          <t>t dm/ha</t>
        </is>
      </c>
      <c r="BI106" s="1784" t="n"/>
      <c r="BJ106" s="1784" t="n"/>
      <c r="BK106" s="1916" t="n"/>
      <c r="BL106" s="1997" t="n"/>
      <c r="BM106" s="1894" t="n"/>
      <c r="BN106" s="1997" t="n"/>
      <c r="DF106" s="1922" t="n"/>
      <c r="DG106" s="1922" t="n"/>
      <c r="DH106" s="1922" t="n"/>
      <c r="DI106" s="1922" t="n"/>
      <c r="DJ106" s="1922" t="n"/>
      <c r="DK106" s="1922" t="n"/>
      <c r="DL106" s="1922" t="n"/>
      <c r="DM106" s="1922" t="n"/>
      <c r="DN106" s="1922" t="n"/>
      <c r="DO106" s="1922" t="n"/>
    </row>
    <row r="107" ht="15" customHeight="1">
      <c r="B107" s="1781" t="n"/>
      <c r="C107" s="1781" t="n"/>
      <c r="D107" s="1781" t="n"/>
      <c r="E107" s="1953" t="n"/>
      <c r="F107" s="1781" t="n"/>
      <c r="G107" s="1949" t="n"/>
      <c r="H107" s="1806" t="n"/>
      <c r="I107" s="1780" t="n"/>
      <c r="J107" s="1781" t="n"/>
      <c r="K107" s="1954" t="n"/>
      <c r="L107" s="1806" t="n"/>
      <c r="M107" s="1806" t="n"/>
      <c r="N107" s="1781" t="n"/>
      <c r="O107" s="1781" t="n"/>
      <c r="P107" s="1781" t="n"/>
      <c r="Q107" s="1781" t="n"/>
      <c r="R107" s="1781" t="n"/>
      <c r="S107" s="1849" t="inlineStr">
        <is>
          <t>*</t>
        </is>
      </c>
      <c r="T107" s="1781" t="n"/>
      <c r="U107" s="1781" t="inlineStr">
        <is>
          <t>*</t>
        </is>
      </c>
      <c r="V107" s="1781" t="n"/>
      <c r="W107" s="1781" t="n"/>
      <c r="X107" s="1781" t="n"/>
      <c r="Y107" s="1781" t="n"/>
      <c r="Z107" s="1781" t="n"/>
      <c r="AP107" s="1800">
        <f>C95</f>
        <v/>
      </c>
      <c r="AQ107" s="1784" t="n"/>
      <c r="AR107" s="1795">
        <f>AR96</f>
        <v/>
      </c>
      <c r="AS107" s="1795">
        <f>AS96</f>
        <v/>
      </c>
      <c r="AT107" s="1797">
        <f>AR107</f>
        <v/>
      </c>
      <c r="AU107" s="1795">
        <f>AS107</f>
        <v/>
      </c>
      <c r="AV107" s="1797">
        <f>AT107</f>
        <v/>
      </c>
      <c r="AW107" s="1795">
        <f>AU107</f>
        <v/>
      </c>
      <c r="AX107" s="1797">
        <f>AV107</f>
        <v/>
      </c>
      <c r="AY107" s="1795">
        <f>AW107</f>
        <v/>
      </c>
      <c r="AZ107" s="1797">
        <f>AX107</f>
        <v/>
      </c>
      <c r="BA107" s="1795">
        <f>AY107</f>
        <v/>
      </c>
      <c r="BB107" s="1795">
        <f>AZ107</f>
        <v/>
      </c>
      <c r="BC107" s="1795">
        <f>BA107</f>
        <v/>
      </c>
      <c r="BD107" s="1795">
        <f>BB107</f>
        <v/>
      </c>
      <c r="BE107" s="1795">
        <f>BC107</f>
        <v/>
      </c>
      <c r="BF107" s="1795">
        <f>BD107</f>
        <v/>
      </c>
      <c r="BG107" s="1801">
        <f>BE107</f>
        <v/>
      </c>
      <c r="BH107" s="1795">
        <f>BF107</f>
        <v/>
      </c>
      <c r="BI107" s="1795">
        <f>BG107</f>
        <v/>
      </c>
      <c r="BJ107" s="1784" t="n"/>
      <c r="BK107" s="1916" t="n"/>
      <c r="BL107" s="4401" t="n"/>
      <c r="BM107" s="1997" t="n"/>
      <c r="BN107" s="1997" t="n"/>
      <c r="DF107" s="1922" t="n"/>
      <c r="DG107" s="1922" t="n"/>
      <c r="DH107" s="1922" t="n"/>
      <c r="DI107" s="1922" t="n"/>
      <c r="DJ107" s="1922" t="n"/>
      <c r="DK107" s="1922" t="n"/>
      <c r="DL107" s="1922" t="n"/>
      <c r="DM107" s="1922" t="n"/>
      <c r="DN107" s="1922" t="n"/>
      <c r="DO107" s="1922" t="n"/>
    </row>
    <row r="108" ht="15" customHeight="1">
      <c r="B108" s="1781" t="n"/>
      <c r="C108" s="4137" t="n"/>
      <c r="D108" s="1781" t="n"/>
      <c r="E108" s="4484">
        <f>IF(AS108="", IF(continent_selected&lt;&gt;"Please select", VLOOKUP(continent_selected, IPCC!$A$515:$C$530, 3, FALSE),0), AS108)</f>
        <v/>
      </c>
      <c r="F108" s="1781" t="n"/>
      <c r="G108" s="2354" t="inlineStr">
        <is>
          <t>Please select</t>
        </is>
      </c>
      <c r="H108" s="1955" t="n"/>
      <c r="I108" s="2135" t="inlineStr">
        <is>
          <t>Please select</t>
        </is>
      </c>
      <c r="J108" s="1781" t="n"/>
      <c r="K108" s="4135" t="inlineStr">
        <is>
          <t>Please select</t>
        </is>
      </c>
      <c r="L108" s="1806" t="n"/>
      <c r="M108" s="4133" t="n"/>
      <c r="N108" s="1781" t="n"/>
      <c r="O108" s="1781" t="n"/>
      <c r="P108" s="1781" t="n"/>
      <c r="Q108" s="4123" t="n">
        <v>0</v>
      </c>
      <c r="R108" s="2132" t="n">
        <v>0</v>
      </c>
      <c r="S108" s="2108" t="inlineStr">
        <is>
          <t>D</t>
        </is>
      </c>
      <c r="T108" s="2130" t="n">
        <v>0</v>
      </c>
      <c r="U108" s="2108" t="inlineStr">
        <is>
          <t>D</t>
        </is>
      </c>
      <c r="V108" s="1781" t="n"/>
      <c r="W108" s="1815">
        <f>rice!T34</f>
        <v/>
      </c>
      <c r="X108" s="1815">
        <f>rice!U34</f>
        <v/>
      </c>
      <c r="Y108" s="1839" t="n"/>
      <c r="Z108" s="1812">
        <f>rice!V34</f>
        <v/>
      </c>
      <c r="AP108" s="1800">
        <f>IF($C108 &lt;&gt;"", $C108, "")</f>
        <v/>
      </c>
      <c r="AQ108" s="1809" t="n"/>
      <c r="AR108" s="1795">
        <f>IF(continent_selected&lt;&gt;"Please select", VLOOKUP(continent_selected, IPCC!$A$515:$C$530, 3, FALSE),0)</f>
        <v/>
      </c>
      <c r="AS108" s="4141" t="n"/>
      <c r="AT108" s="1817">
        <f>_xlfn.IFNA(IF($G108 &lt;&gt;"Please select", SOCref,),)</f>
        <v/>
      </c>
      <c r="AU108" s="4141" t="n"/>
      <c r="AV108" s="1817">
        <f>IF($G108&lt;&gt;"Please select", IPCC!$C$59, 0)</f>
        <v/>
      </c>
      <c r="AW108" s="4141" t="n"/>
      <c r="AX108" s="1795">
        <f>VLOOKUP(continent_selected, IPCC!$A$512:$B$530, 2, FALSE)</f>
        <v/>
      </c>
      <c r="AY108" s="4141" t="n"/>
      <c r="AZ108" s="1817">
        <f>IF($G108&lt;&gt;"Please select", VLOOKUP($G108, IPCC!$E$512:$F$518, 2, FALSE),0)</f>
        <v/>
      </c>
      <c r="BA108" s="4141" t="n"/>
      <c r="BB108" s="1817">
        <f>IF($I108&lt;&gt;"Please select", VLOOKUP($I108, IPCC!$E$525:$F$527,2, FALSE),0)</f>
        <v/>
      </c>
      <c r="BC108" s="4141" t="n"/>
      <c r="BD108" s="1817">
        <f>IF($K108&lt;&gt;"Please select",1+(IF(ISBLANK($BI108), $BH108, $BI108))*IF($K108&lt;&gt;"Please select",VLOOKUP($K108,IPCC!$J$512:$K$518,2,FALSE)))^0.59</f>
        <v/>
      </c>
      <c r="BE108" s="4141" t="n"/>
      <c r="BF108" s="1817">
        <f>IF(AND($Q108=0, $R108=0, $T108=0), 0, IF(ISBLANK($AY108),$AX108, $AY108)*IF(ISBLANK($BA108),$AZ108, $BA108)*IF(ISBLANK($BC108),$BB108,$BC108)*IF(ISBLANK($BE108),$BD108,$BE108))</f>
        <v/>
      </c>
      <c r="BG108" s="4141" t="n"/>
      <c r="BH108" s="1817">
        <f>IF(AND($Q108=0, $R108=0, $T108=0),0, rice!H14*IPCC!$B$21+IPCC!$C$21)</f>
        <v/>
      </c>
      <c r="BI108" s="4141" t="n"/>
      <c r="BJ108" s="1942" t="n"/>
      <c r="BK108" s="1916" t="n"/>
      <c r="BL108" s="4401" t="n">
        <v>1</v>
      </c>
      <c r="BM108" s="4402" t="n"/>
      <c r="BN108" s="1997" t="n"/>
    </row>
    <row r="109" ht="15" customHeight="1">
      <c r="B109" s="1781" t="n"/>
      <c r="C109" s="4138" t="n"/>
      <c r="D109" s="1781" t="n"/>
      <c r="E109" s="4484">
        <f>IF(AS109="", IF(continent_selected&lt;&gt;"Please select", VLOOKUP(continent_selected, IPCC!$A$515:$C$530, 3, FALSE),0), AS109)</f>
        <v/>
      </c>
      <c r="F109" s="1781" t="n"/>
      <c r="G109" s="2354" t="inlineStr">
        <is>
          <t>Please select</t>
        </is>
      </c>
      <c r="H109" s="1955" t="n"/>
      <c r="I109" s="2135" t="inlineStr">
        <is>
          <t>Please select</t>
        </is>
      </c>
      <c r="J109" s="1781" t="n"/>
      <c r="K109" s="4135" t="inlineStr">
        <is>
          <t>Please select</t>
        </is>
      </c>
      <c r="L109" s="1806" t="n"/>
      <c r="M109" s="4133" t="n"/>
      <c r="N109" s="1781" t="n"/>
      <c r="O109" s="1781" t="n"/>
      <c r="P109" s="1781" t="n"/>
      <c r="Q109" s="4123" t="n">
        <v>0</v>
      </c>
      <c r="R109" s="2132" t="n">
        <v>0</v>
      </c>
      <c r="S109" s="2108" t="inlineStr">
        <is>
          <t>D</t>
        </is>
      </c>
      <c r="T109" s="2130" t="n">
        <v>0</v>
      </c>
      <c r="U109" s="2108" t="inlineStr">
        <is>
          <t>D</t>
        </is>
      </c>
      <c r="V109" s="1781" t="n"/>
      <c r="W109" s="1815">
        <f>rice!T35</f>
        <v/>
      </c>
      <c r="X109" s="1815">
        <f>rice!U35</f>
        <v/>
      </c>
      <c r="Y109" s="1839" t="n"/>
      <c r="Z109" s="1812">
        <f>rice!V35</f>
        <v/>
      </c>
      <c r="AP109" s="1800">
        <f>IF($C109 &lt;&gt;"", $C109, "")</f>
        <v/>
      </c>
      <c r="AQ109" s="1809" t="n"/>
      <c r="AR109" s="1795">
        <f>IF(continent_selected&lt;&gt;"Please select", VLOOKUP(continent_selected, IPCC!$A$515:$C$530, 3, FALSE),0)</f>
        <v/>
      </c>
      <c r="AS109" s="4141" t="n"/>
      <c r="AT109" s="1817">
        <f>_xlfn.IFNA(IF($G109 &lt;&gt;"Please select", SOCref,),)</f>
        <v/>
      </c>
      <c r="AU109" s="4141" t="n"/>
      <c r="AV109" s="1817">
        <f>IF($G109&lt;&gt;"Please select", IPCC!$C$59, 0)</f>
        <v/>
      </c>
      <c r="AW109" s="4141" t="n"/>
      <c r="AX109" s="1795">
        <f>VLOOKUP(continent_selected, IPCC!$A$512:$B$530, 2, FALSE)</f>
        <v/>
      </c>
      <c r="AY109" s="4141" t="n"/>
      <c r="AZ109" s="1817">
        <f>IF($G109&lt;&gt;"Please select", VLOOKUP($G109, IPCC!$E$512:$F$518, 2, FALSE),0)</f>
        <v/>
      </c>
      <c r="BA109" s="4141" t="n"/>
      <c r="BB109" s="1817">
        <f>IF($I109&lt;&gt;"Please select", VLOOKUP($I109, IPCC!$E$525:$F$527,2, FALSE),0)</f>
        <v/>
      </c>
      <c r="BC109" s="4141" t="n"/>
      <c r="BD109" s="1817">
        <f>IF($K109&lt;&gt;"Please select",1+(IF(ISBLANK($BI109), $BH109, $BI109))*IF($K109&lt;&gt;"Please select",VLOOKUP($K109,IPCC!$J$512:$K$518,2,FALSE)))^0.59</f>
        <v/>
      </c>
      <c r="BE109" s="4141" t="n"/>
      <c r="BF109" s="1817">
        <f>IF(AND($Q109=0, $R109=0, $T109=0), 0, IF(ISBLANK($AY109),$AX109, $AY109)*IF(ISBLANK($BA109),$AZ109, $BA109)*IF(ISBLANK($BC109),$BB109,$BC109)*IF(ISBLANK($BE109),$BD109,$BE109))</f>
        <v/>
      </c>
      <c r="BG109" s="4141" t="n"/>
      <c r="BH109" s="1817">
        <f>IF(AND($Q109=0, $R109=0, $T109=0),0, rice!H15*IPCC!$B$21+IPCC!$C$21)</f>
        <v/>
      </c>
      <c r="BI109" s="4141" t="n"/>
      <c r="BJ109" s="1847" t="n"/>
      <c r="BK109" s="1916" t="n"/>
      <c r="BL109" s="4401" t="n">
        <v>1</v>
      </c>
      <c r="BM109" s="4402" t="n"/>
      <c r="BN109" s="1997" t="n"/>
    </row>
    <row r="110" ht="15" customHeight="1">
      <c r="B110" s="1781" t="n"/>
      <c r="C110" s="4138" t="n"/>
      <c r="D110" s="1781" t="n"/>
      <c r="E110" s="4484">
        <f>IF(AS110="", IF(continent_selected&lt;&gt;"Please select", VLOOKUP(continent_selected, IPCC!$A$515:$C$530, 3, FALSE),0), AS110)</f>
        <v/>
      </c>
      <c r="F110" s="1781" t="n"/>
      <c r="G110" s="2354" t="inlineStr">
        <is>
          <t>Please select</t>
        </is>
      </c>
      <c r="H110" s="1955" t="n"/>
      <c r="I110" s="2135" t="inlineStr">
        <is>
          <t>Please select</t>
        </is>
      </c>
      <c r="J110" s="1781" t="n"/>
      <c r="K110" s="4135" t="inlineStr">
        <is>
          <t>Please select</t>
        </is>
      </c>
      <c r="L110" s="1806" t="n"/>
      <c r="M110" s="4133" t="n"/>
      <c r="N110" s="1781" t="n"/>
      <c r="O110" s="1781" t="n"/>
      <c r="P110" s="1781" t="n"/>
      <c r="Q110" s="4123" t="n">
        <v>0</v>
      </c>
      <c r="R110" s="2132" t="n">
        <v>0</v>
      </c>
      <c r="S110" s="2108" t="inlineStr">
        <is>
          <t>D</t>
        </is>
      </c>
      <c r="T110" s="2130" t="n">
        <v>0</v>
      </c>
      <c r="U110" s="2108" t="inlineStr">
        <is>
          <t>D</t>
        </is>
      </c>
      <c r="V110" s="1781" t="n"/>
      <c r="W110" s="1815">
        <f>rice!T36</f>
        <v/>
      </c>
      <c r="X110" s="1815">
        <f>rice!U36</f>
        <v/>
      </c>
      <c r="Y110" s="1839" t="n"/>
      <c r="Z110" s="1812">
        <f>rice!V36</f>
        <v/>
      </c>
      <c r="AP110" s="1800">
        <f>IF($C110 &lt;&gt;"", $C110, "")</f>
        <v/>
      </c>
      <c r="AQ110" s="1809" t="n"/>
      <c r="AR110" s="1795">
        <f>IF(continent_selected&lt;&gt;"Please select", VLOOKUP(continent_selected, IPCC!$A$515:$C$530, 3, FALSE),0)</f>
        <v/>
      </c>
      <c r="AS110" s="4141" t="n"/>
      <c r="AT110" s="1817">
        <f>_xlfn.IFNA(IF($G110 &lt;&gt;"Please select", SOCref,),)</f>
        <v/>
      </c>
      <c r="AU110" s="4141" t="n"/>
      <c r="AV110" s="1817">
        <f>IF($G110&lt;&gt;"Please select", IPCC!$C$59, 0)</f>
        <v/>
      </c>
      <c r="AW110" s="4141" t="n"/>
      <c r="AX110" s="1795">
        <f>VLOOKUP(continent_selected, IPCC!$A$512:$B$530, 2, FALSE)</f>
        <v/>
      </c>
      <c r="AY110" s="4141" t="n"/>
      <c r="AZ110" s="1817">
        <f>IF($G110&lt;&gt;"Please select", VLOOKUP($G110, IPCC!$E$512:$F$518, 2, FALSE),0)</f>
        <v/>
      </c>
      <c r="BA110" s="4141" t="n"/>
      <c r="BB110" s="1817">
        <f>IF($I110&lt;&gt;"Please select", VLOOKUP($I110, IPCC!$E$525:$F$527,2, FALSE),0)</f>
        <v/>
      </c>
      <c r="BC110" s="4141" t="n"/>
      <c r="BD110" s="1817">
        <f>IF($K110&lt;&gt;"Please select",1+(IF(ISBLANK($BI110), $BH110, $BI110))*IF($K110&lt;&gt;"Please select",VLOOKUP($K110,IPCC!$J$512:$K$518,2,FALSE)))^0.59</f>
        <v/>
      </c>
      <c r="BE110" s="4141" t="n"/>
      <c r="BF110" s="1817">
        <f>IF(AND($Q110=0, $R110=0, $T110=0), 0, IF(ISBLANK($AY110),$AX110, $AY110)*IF(ISBLANK($BA110),$AZ110, $BA110)*IF(ISBLANK($BC110),$BB110,$BC110)*IF(ISBLANK($BE110),$BD110,$BE110))</f>
        <v/>
      </c>
      <c r="BG110" s="4141" t="n"/>
      <c r="BH110" s="1817">
        <f>IF(AND($Q110=0, $R110=0, $T110=0),0, rice!H16*IPCC!$B$21+IPCC!$C$21)</f>
        <v/>
      </c>
      <c r="BI110" s="4141" t="n"/>
      <c r="BJ110" s="1847" t="n"/>
      <c r="BK110" s="1916" t="n"/>
      <c r="BL110" s="4401" t="n">
        <v>1</v>
      </c>
      <c r="BM110" s="4402" t="n"/>
      <c r="BN110" s="1997" t="n"/>
    </row>
    <row r="111" ht="15" customHeight="1">
      <c r="B111" s="1781" t="n"/>
      <c r="C111" s="4138" t="n"/>
      <c r="D111" s="1781" t="n"/>
      <c r="E111" s="4484">
        <f>IF(AS111="", IF(continent_selected&lt;&gt;"Please select", VLOOKUP(continent_selected, IPCC!$A$515:$C$530, 3, FALSE),0), AS111)</f>
        <v/>
      </c>
      <c r="F111" s="1781" t="n"/>
      <c r="G111" s="2354" t="inlineStr">
        <is>
          <t>Please select</t>
        </is>
      </c>
      <c r="H111" s="1955" t="n"/>
      <c r="I111" s="2135" t="inlineStr">
        <is>
          <t>Please select</t>
        </is>
      </c>
      <c r="J111" s="1781" t="n"/>
      <c r="K111" s="4135" t="inlineStr">
        <is>
          <t>Please select</t>
        </is>
      </c>
      <c r="L111" s="1806" t="n"/>
      <c r="M111" s="4133" t="n"/>
      <c r="N111" s="1781" t="n"/>
      <c r="O111" s="1781" t="n"/>
      <c r="P111" s="1781" t="n"/>
      <c r="Q111" s="4123" t="n">
        <v>0</v>
      </c>
      <c r="R111" s="2132" t="n">
        <v>0</v>
      </c>
      <c r="S111" s="2108" t="inlineStr">
        <is>
          <t>D</t>
        </is>
      </c>
      <c r="T111" s="2130" t="n">
        <v>0</v>
      </c>
      <c r="U111" s="2108" t="inlineStr">
        <is>
          <t>D</t>
        </is>
      </c>
      <c r="V111" s="1781" t="n"/>
      <c r="W111" s="1815">
        <f>rice!T37</f>
        <v/>
      </c>
      <c r="X111" s="1815">
        <f>rice!U37</f>
        <v/>
      </c>
      <c r="Y111" s="1839" t="n"/>
      <c r="Z111" s="1812">
        <f>rice!V37</f>
        <v/>
      </c>
      <c r="AP111" s="1800">
        <f>IF($C111 &lt;&gt;"", $C111, "")</f>
        <v/>
      </c>
      <c r="AQ111" s="1809" t="n"/>
      <c r="AR111" s="1795">
        <f>IF(continent_selected&lt;&gt;"Please select", VLOOKUP(continent_selected, IPCC!$A$515:$C$530, 3, FALSE),0)</f>
        <v/>
      </c>
      <c r="AS111" s="4141" t="n"/>
      <c r="AT111" s="1817">
        <f>_xlfn.IFNA(IF($G111 &lt;&gt;"Please select", SOCref,),)</f>
        <v/>
      </c>
      <c r="AU111" s="4141" t="n"/>
      <c r="AV111" s="1817">
        <f>IF($G111&lt;&gt;"Please select", IPCC!$C$59, 0)</f>
        <v/>
      </c>
      <c r="AW111" s="4141" t="n"/>
      <c r="AX111" s="1795">
        <f>VLOOKUP(continent_selected, IPCC!$A$512:$B$530, 2, FALSE)</f>
        <v/>
      </c>
      <c r="AY111" s="4141" t="n"/>
      <c r="AZ111" s="1817">
        <f>IF($G111&lt;&gt;"Please select", VLOOKUP($G111, IPCC!$E$512:$F$518, 2, FALSE),0)</f>
        <v/>
      </c>
      <c r="BA111" s="4141" t="n"/>
      <c r="BB111" s="1817">
        <f>IF($I111&lt;&gt;"Please select", VLOOKUP($I111, IPCC!$E$525:$F$527,2, FALSE),0)</f>
        <v/>
      </c>
      <c r="BC111" s="4141" t="n"/>
      <c r="BD111" s="1817">
        <f>IF($K111&lt;&gt;"Please select",1+(IF(ISBLANK($BI111), $BH111, $BI111))*IF($K111&lt;&gt;"Please select",VLOOKUP($K111,IPCC!$J$512:$K$518,2,FALSE)))^0.59</f>
        <v/>
      </c>
      <c r="BE111" s="4141" t="n"/>
      <c r="BF111" s="1817">
        <f>IF(AND($Q111=0, $R111=0, $T111=0), 0, IF(ISBLANK($AY111),$AX111, $AY111)*IF(ISBLANK($BA111),$AZ111, $BA111)*IF(ISBLANK($BC111),$BB111,$BC111)*IF(ISBLANK($BE111),$BD111,$BE111))</f>
        <v/>
      </c>
      <c r="BG111" s="4141" t="n"/>
      <c r="BH111" s="1817">
        <f>IF(AND($Q111=0, $R111=0, $T111=0),0, rice!H17*IPCC!$B$21+IPCC!$C$21)</f>
        <v/>
      </c>
      <c r="BI111" s="4141" t="n"/>
      <c r="BJ111" s="1784" t="n"/>
      <c r="BK111" s="1916" t="n"/>
      <c r="BL111" s="4401" t="n">
        <v>1</v>
      </c>
      <c r="BM111" s="4402" t="n"/>
      <c r="BN111" s="1997" t="n"/>
    </row>
    <row r="112" ht="15" customHeight="1">
      <c r="B112" s="1781" t="n"/>
      <c r="C112" s="4138" t="n"/>
      <c r="D112" s="1781" t="n"/>
      <c r="E112" s="4484">
        <f>IF(AS112="", IF(continent_selected&lt;&gt;"Please select", VLOOKUP(continent_selected, IPCC!$A$515:$C$530, 3, FALSE),0), AS112)</f>
        <v/>
      </c>
      <c r="F112" s="1781" t="n"/>
      <c r="G112" s="2354" t="inlineStr">
        <is>
          <t>Please select</t>
        </is>
      </c>
      <c r="H112" s="1955" t="n"/>
      <c r="I112" s="2135" t="inlineStr">
        <is>
          <t>Please select</t>
        </is>
      </c>
      <c r="J112" s="1781" t="n"/>
      <c r="K112" s="4135" t="inlineStr">
        <is>
          <t>Please select</t>
        </is>
      </c>
      <c r="L112" s="1806" t="n"/>
      <c r="M112" s="4133" t="n"/>
      <c r="N112" s="1781" t="n"/>
      <c r="O112" s="1781" t="n"/>
      <c r="P112" s="1781" t="n"/>
      <c r="Q112" s="4123" t="n">
        <v>0</v>
      </c>
      <c r="R112" s="2132" t="n">
        <v>0</v>
      </c>
      <c r="S112" s="2108" t="inlineStr">
        <is>
          <t>D</t>
        </is>
      </c>
      <c r="T112" s="2130" t="n">
        <v>0</v>
      </c>
      <c r="U112" s="2108" t="inlineStr">
        <is>
          <t>D</t>
        </is>
      </c>
      <c r="V112" s="1781" t="n"/>
      <c r="W112" s="1815">
        <f>rice!T38</f>
        <v/>
      </c>
      <c r="X112" s="1815">
        <f>rice!U38</f>
        <v/>
      </c>
      <c r="Y112" s="1839" t="n"/>
      <c r="Z112" s="1812">
        <f>rice!V38</f>
        <v/>
      </c>
      <c r="AP112" s="1800">
        <f>IF($C112 &lt;&gt;"", $C112, "")</f>
        <v/>
      </c>
      <c r="AQ112" s="1809" t="n"/>
      <c r="AR112" s="1795">
        <f>IF(continent_selected&lt;&gt;"Please select", VLOOKUP(continent_selected, IPCC!$A$515:$C$530, 3, FALSE),0)</f>
        <v/>
      </c>
      <c r="AS112" s="4141" t="n"/>
      <c r="AT112" s="1817">
        <f>_xlfn.IFNA(IF($G112 &lt;&gt;"Please select", SOCref,),)</f>
        <v/>
      </c>
      <c r="AU112" s="4141" t="n"/>
      <c r="AV112" s="1817">
        <f>IF($G112&lt;&gt;"Please select", IPCC!$C$59, 0)</f>
        <v/>
      </c>
      <c r="AW112" s="4141" t="n"/>
      <c r="AX112" s="1795">
        <f>VLOOKUP(continent_selected, IPCC!$A$512:$B$530, 2, FALSE)</f>
        <v/>
      </c>
      <c r="AY112" s="4141" t="n"/>
      <c r="AZ112" s="1817">
        <f>IF($G112&lt;&gt;"Please select", VLOOKUP($G112, IPCC!$E$512:$F$518, 2, FALSE),0)</f>
        <v/>
      </c>
      <c r="BA112" s="4141" t="n"/>
      <c r="BB112" s="1817">
        <f>IF($I112&lt;&gt;"Please select", VLOOKUP($I112, IPCC!$E$525:$F$527,2, FALSE),0)</f>
        <v/>
      </c>
      <c r="BC112" s="4141" t="n"/>
      <c r="BD112" s="1817">
        <f>IF($K112&lt;&gt;"Please select",1+(IF(ISBLANK($BI112), $BH112, $BI112))*IF($K112&lt;&gt;"Please select",VLOOKUP($K112,IPCC!$J$512:$K$518,2,FALSE)))^0.59</f>
        <v/>
      </c>
      <c r="BE112" s="4141" t="n"/>
      <c r="BF112" s="1817">
        <f>IF(AND($Q112=0, $R112=0, $T112=0), 0, IF(ISBLANK($AY112),$AX112, $AY112)*IF(ISBLANK($BA112),$AZ112, $BA112)*IF(ISBLANK($BC112),$BB112,$BC112)*IF(ISBLANK($BE112),$BD112,$BE112))</f>
        <v/>
      </c>
      <c r="BG112" s="4141" t="n"/>
      <c r="BH112" s="1817">
        <f>IF(AND($Q112=0, $R112=0, $T112=0),0, rice!H18*IPCC!$B$21+IPCC!$C$21)</f>
        <v/>
      </c>
      <c r="BI112" s="4141" t="n"/>
      <c r="BJ112" s="1784" t="n"/>
      <c r="BK112" s="1916" t="n"/>
      <c r="BL112" s="4401" t="n">
        <v>1</v>
      </c>
      <c r="BM112" s="4402" t="n"/>
      <c r="BN112" s="1997" t="n"/>
    </row>
    <row r="113" ht="15" customHeight="1">
      <c r="B113" s="1781" t="n"/>
      <c r="C113" s="4138" t="n"/>
      <c r="D113" s="1781" t="n"/>
      <c r="E113" s="4484">
        <f>IF(AS113="", IF(continent_selected&lt;&gt;"Please select", VLOOKUP(continent_selected, IPCC!$A$515:$C$530, 3, FALSE),0), AS113)</f>
        <v/>
      </c>
      <c r="F113" s="1781" t="n"/>
      <c r="G113" s="2354" t="inlineStr">
        <is>
          <t>Please select</t>
        </is>
      </c>
      <c r="H113" s="1955" t="n"/>
      <c r="I113" s="2135" t="inlineStr">
        <is>
          <t>Please select</t>
        </is>
      </c>
      <c r="J113" s="1781" t="n"/>
      <c r="K113" s="4135" t="inlineStr">
        <is>
          <t>Please select</t>
        </is>
      </c>
      <c r="L113" s="1806" t="n"/>
      <c r="M113" s="4133" t="n"/>
      <c r="N113" s="1781" t="n"/>
      <c r="O113" s="1781" t="n"/>
      <c r="P113" s="1781" t="n"/>
      <c r="Q113" s="4123" t="n">
        <v>0</v>
      </c>
      <c r="R113" s="2132" t="n">
        <v>0</v>
      </c>
      <c r="S113" s="2108" t="inlineStr">
        <is>
          <t>D</t>
        </is>
      </c>
      <c r="T113" s="2130" t="n">
        <v>0</v>
      </c>
      <c r="U113" s="2108" t="inlineStr">
        <is>
          <t>D</t>
        </is>
      </c>
      <c r="V113" s="1781" t="n"/>
      <c r="W113" s="1815">
        <f>rice!T39</f>
        <v/>
      </c>
      <c r="X113" s="1815">
        <f>rice!U39</f>
        <v/>
      </c>
      <c r="Y113" s="1839" t="n"/>
      <c r="Z113" s="1812">
        <f>rice!V39</f>
        <v/>
      </c>
      <c r="AP113" s="1800">
        <f>IF($C113 &lt;&gt;"", $C113, "")</f>
        <v/>
      </c>
      <c r="AQ113" s="1809" t="n"/>
      <c r="AR113" s="1795">
        <f>IF(continent_selected&lt;&gt;"Please select", VLOOKUP(continent_selected, IPCC!$A$515:$C$530, 3, FALSE),0)</f>
        <v/>
      </c>
      <c r="AS113" s="4141" t="n"/>
      <c r="AT113" s="1817">
        <f>_xlfn.IFNA(IF($G113 &lt;&gt;"Please select", SOCref,),)</f>
        <v/>
      </c>
      <c r="AU113" s="4141" t="n"/>
      <c r="AV113" s="1817">
        <f>IF($G113&lt;&gt;"Please select", IPCC!$C$59, 0)</f>
        <v/>
      </c>
      <c r="AW113" s="4141" t="n"/>
      <c r="AX113" s="1795">
        <f>VLOOKUP(continent_selected, IPCC!$A$512:$B$530, 2, FALSE)</f>
        <v/>
      </c>
      <c r="AY113" s="4141" t="n"/>
      <c r="AZ113" s="1817">
        <f>IF($G113&lt;&gt;"Please select", VLOOKUP($G113, IPCC!$E$512:$F$518, 2, FALSE),0)</f>
        <v/>
      </c>
      <c r="BA113" s="4141" t="n"/>
      <c r="BB113" s="1817">
        <f>IF($I113&lt;&gt;"Please select", VLOOKUP($I113, IPCC!$E$525:$F$527,2, FALSE),0)</f>
        <v/>
      </c>
      <c r="BC113" s="4141" t="n"/>
      <c r="BD113" s="1817">
        <f>IF($K113&lt;&gt;"Please select",1+(IF(ISBLANK($BI113), $BH113, $BI113))*IF($K113&lt;&gt;"Please select",VLOOKUP($K113,IPCC!$J$512:$K$518,2,FALSE)))^0.59</f>
        <v/>
      </c>
      <c r="BE113" s="4141" t="n"/>
      <c r="BF113" s="1817">
        <f>IF(AND($Q113=0, $R113=0, $T113=0), 0, IF(ISBLANK($AY113),$AX113, $AY113)*IF(ISBLANK($BA113),$AZ113, $BA113)*IF(ISBLANK($BC113),$BB113,$BC113)*IF(ISBLANK($BE113),$BD113,$BE113))</f>
        <v/>
      </c>
      <c r="BG113" s="4141" t="n"/>
      <c r="BH113" s="1817">
        <f>IF(AND($Q113=0, $R113=0, $T113=0),0, rice!H19*IPCC!$B$21+IPCC!$C$21)</f>
        <v/>
      </c>
      <c r="BI113" s="4141" t="n"/>
      <c r="BJ113" s="1942" t="n"/>
      <c r="BK113" s="1916" t="n"/>
      <c r="BL113" s="4401" t="n">
        <v>1</v>
      </c>
      <c r="BM113" s="4402" t="n"/>
      <c r="BN113" s="1997" t="n"/>
    </row>
    <row r="114" ht="15" customHeight="1">
      <c r="B114" s="1781" t="n"/>
      <c r="C114" s="4138" t="n"/>
      <c r="D114" s="1781" t="n"/>
      <c r="E114" s="4484">
        <f>IF(AS114="", IF(continent_selected&lt;&gt;"Please select", VLOOKUP(continent_selected, IPCC!$A$515:$C$530, 3, FALSE),0), AS114)</f>
        <v/>
      </c>
      <c r="F114" s="1781" t="n"/>
      <c r="G114" s="2354" t="inlineStr">
        <is>
          <t>Please select</t>
        </is>
      </c>
      <c r="H114" s="1955" t="n"/>
      <c r="I114" s="2135" t="inlineStr">
        <is>
          <t>Please select</t>
        </is>
      </c>
      <c r="J114" s="1781" t="n"/>
      <c r="K114" s="4135" t="inlineStr">
        <is>
          <t>Please select</t>
        </is>
      </c>
      <c r="L114" s="1806" t="n"/>
      <c r="M114" s="4133" t="n"/>
      <c r="N114" s="1781" t="n"/>
      <c r="O114" s="1781" t="n"/>
      <c r="P114" s="1781" t="n"/>
      <c r="Q114" s="4123" t="n">
        <v>0</v>
      </c>
      <c r="R114" s="2132" t="n">
        <v>0</v>
      </c>
      <c r="S114" s="2108" t="inlineStr">
        <is>
          <t>D</t>
        </is>
      </c>
      <c r="T114" s="2130" t="n">
        <v>0</v>
      </c>
      <c r="U114" s="2108" t="inlineStr">
        <is>
          <t>D</t>
        </is>
      </c>
      <c r="V114" s="1781" t="n"/>
      <c r="W114" s="1815">
        <f>rice!T40</f>
        <v/>
      </c>
      <c r="X114" s="1815">
        <f>rice!U40</f>
        <v/>
      </c>
      <c r="Y114" s="1839" t="n"/>
      <c r="Z114" s="1812">
        <f>rice!V40</f>
        <v/>
      </c>
      <c r="AP114" s="1800">
        <f>IF($C114 &lt;&gt;"", $C114, "")</f>
        <v/>
      </c>
      <c r="AQ114" s="1809" t="n"/>
      <c r="AR114" s="1795">
        <f>IF(continent_selected&lt;&gt;"Please select", VLOOKUP(continent_selected, IPCC!$A$515:$C$530, 3, FALSE),0)</f>
        <v/>
      </c>
      <c r="AS114" s="4141" t="n"/>
      <c r="AT114" s="1817">
        <f>_xlfn.IFNA(IF($G114 &lt;&gt;"Please select", SOCref,),)</f>
        <v/>
      </c>
      <c r="AU114" s="4141" t="n"/>
      <c r="AV114" s="1817">
        <f>IF($G114&lt;&gt;"Please select", IPCC!$C$59, 0)</f>
        <v/>
      </c>
      <c r="AW114" s="4141" t="n"/>
      <c r="AX114" s="1795">
        <f>VLOOKUP(continent_selected, IPCC!$A$512:$B$530, 2, FALSE)</f>
        <v/>
      </c>
      <c r="AY114" s="4141" t="n"/>
      <c r="AZ114" s="1817">
        <f>IF($G114&lt;&gt;"Please select", VLOOKUP($G114, IPCC!$E$512:$F$518, 2, FALSE),0)</f>
        <v/>
      </c>
      <c r="BA114" s="4141" t="n"/>
      <c r="BB114" s="1817">
        <f>IF($I114&lt;&gt;"Please select", VLOOKUP($I114, IPCC!$E$525:$F$527,2, FALSE),0)</f>
        <v/>
      </c>
      <c r="BC114" s="4141" t="n"/>
      <c r="BD114" s="1817">
        <f>IF($K114&lt;&gt;"Please select",1+(IF(ISBLANK($BI114), $BH114, $BI114))*IF($K114&lt;&gt;"Please select",VLOOKUP($K114,IPCC!$J$512:$K$518,2,FALSE)))^0.59</f>
        <v/>
      </c>
      <c r="BE114" s="4141" t="n"/>
      <c r="BF114" s="1817">
        <f>IF(AND($Q114=0, $R114=0, $T114=0), 0, IF(ISBLANK($AY114),$AX114, $AY114)*IF(ISBLANK($BA114),$AZ114, $BA114)*IF(ISBLANK($BC114),$BB114,$BC114)*IF(ISBLANK($BE114),$BD114,$BE114))</f>
        <v/>
      </c>
      <c r="BG114" s="4141" t="n"/>
      <c r="BH114" s="1817">
        <f>IF(AND($Q114=0, $R114=0, $T114=0),0, rice!H20*IPCC!$B$21+IPCC!$C$21)</f>
        <v/>
      </c>
      <c r="BI114" s="4141" t="n"/>
      <c r="BJ114" s="1847" t="n"/>
      <c r="BK114" s="1916" t="n"/>
      <c r="BL114" s="4401" t="n">
        <v>1</v>
      </c>
      <c r="BM114" s="4402" t="n"/>
      <c r="BN114" s="1997" t="n"/>
    </row>
    <row r="115" ht="15" customHeight="1">
      <c r="B115" s="1781" t="n"/>
      <c r="C115" s="4138" t="n"/>
      <c r="D115" s="1781" t="n"/>
      <c r="E115" s="4484">
        <f>IF(AS115="", IF(continent_selected&lt;&gt;"Please select", VLOOKUP(continent_selected, IPCC!$A$515:$C$530, 3, FALSE),0), AS115)</f>
        <v/>
      </c>
      <c r="F115" s="1781" t="n"/>
      <c r="G115" s="2354" t="inlineStr">
        <is>
          <t>Please select</t>
        </is>
      </c>
      <c r="H115" s="1955" t="n"/>
      <c r="I115" s="2135" t="inlineStr">
        <is>
          <t>Please select</t>
        </is>
      </c>
      <c r="J115" s="1781" t="n"/>
      <c r="K115" s="4135" t="inlineStr">
        <is>
          <t>Please select</t>
        </is>
      </c>
      <c r="L115" s="1806" t="n"/>
      <c r="M115" s="4133" t="n"/>
      <c r="N115" s="1781" t="n"/>
      <c r="O115" s="1781" t="n"/>
      <c r="P115" s="1781" t="n"/>
      <c r="Q115" s="4123" t="n">
        <v>0</v>
      </c>
      <c r="R115" s="2132" t="n">
        <v>0</v>
      </c>
      <c r="S115" s="2108" t="inlineStr">
        <is>
          <t>D</t>
        </is>
      </c>
      <c r="T115" s="2130" t="n">
        <v>0</v>
      </c>
      <c r="U115" s="2108" t="inlineStr">
        <is>
          <t>D</t>
        </is>
      </c>
      <c r="V115" s="1781" t="n"/>
      <c r="W115" s="1815">
        <f>rice!T41</f>
        <v/>
      </c>
      <c r="X115" s="1815">
        <f>rice!U41</f>
        <v/>
      </c>
      <c r="Y115" s="1839" t="n"/>
      <c r="Z115" s="1812">
        <f>rice!V41</f>
        <v/>
      </c>
      <c r="AP115" s="1800">
        <f>IF($C115 &lt;&gt;"", $C115, "")</f>
        <v/>
      </c>
      <c r="AQ115" s="1809" t="n"/>
      <c r="AR115" s="1795">
        <f>IF(continent_selected&lt;&gt;"Please select", VLOOKUP(continent_selected, IPCC!$A$515:$C$530, 3, FALSE),0)</f>
        <v/>
      </c>
      <c r="AS115" s="4141" t="n"/>
      <c r="AT115" s="1817">
        <f>_xlfn.IFNA(IF($G115 &lt;&gt;"Please select", SOCref,),)</f>
        <v/>
      </c>
      <c r="AU115" s="4141" t="n"/>
      <c r="AV115" s="1817">
        <f>IF($G115&lt;&gt;"Please select", IPCC!$C$59, 0)</f>
        <v/>
      </c>
      <c r="AW115" s="4141" t="n"/>
      <c r="AX115" s="1795">
        <f>VLOOKUP(continent_selected, IPCC!$A$512:$B$530, 2, FALSE)</f>
        <v/>
      </c>
      <c r="AY115" s="4141" t="n"/>
      <c r="AZ115" s="1817">
        <f>IF($G115&lt;&gt;"Please select", VLOOKUP($G115, IPCC!$E$512:$F$518, 2, FALSE),0)</f>
        <v/>
      </c>
      <c r="BA115" s="4141" t="n"/>
      <c r="BB115" s="1817">
        <f>IF($I115&lt;&gt;"Please select", VLOOKUP($I115, IPCC!$E$525:$F$527,2, FALSE),0)</f>
        <v/>
      </c>
      <c r="BC115" s="4141" t="n"/>
      <c r="BD115" s="1817">
        <f>IF($K115&lt;&gt;"Please select",1+(IF(ISBLANK($BI115), $BH115, $BI115))*IF($K115&lt;&gt;"Please select",VLOOKUP($K115,IPCC!$J$512:$K$518,2,FALSE)))^0.59</f>
        <v/>
      </c>
      <c r="BE115" s="4141" t="n"/>
      <c r="BF115" s="1817">
        <f>IF(AND($Q115=0, $R115=0, $T115=0), 0, IF(ISBLANK($AY115),$AX115, $AY115)*IF(ISBLANK($BA115),$AZ115, $BA115)*IF(ISBLANK($BC115),$BB115,$BC115)*IF(ISBLANK($BE115),$BD115,$BE115))</f>
        <v/>
      </c>
      <c r="BG115" s="4141" t="n"/>
      <c r="BH115" s="1817">
        <f>IF(AND($Q115=0, $R115=0, $T115=0),0, rice!H21*IPCC!$B$21+IPCC!$C$21)</f>
        <v/>
      </c>
      <c r="BI115" s="4141" t="n"/>
      <c r="BJ115" s="1847" t="n"/>
      <c r="BK115" s="1916" t="n"/>
      <c r="BL115" s="4401" t="n">
        <v>1</v>
      </c>
      <c r="BM115" s="4402" t="n"/>
      <c r="BN115" s="1997" t="n"/>
    </row>
    <row r="116" ht="15" customHeight="1">
      <c r="B116" s="1781" t="n"/>
      <c r="C116" s="4138" t="n"/>
      <c r="D116" s="1781" t="n"/>
      <c r="E116" s="4484">
        <f>IF(AS116="", IF(continent_selected&lt;&gt;"Please select", VLOOKUP(continent_selected, IPCC!$A$515:$C$530, 3, FALSE),0), AS116)</f>
        <v/>
      </c>
      <c r="F116" s="1781" t="n"/>
      <c r="G116" s="2354" t="inlineStr">
        <is>
          <t>Please select</t>
        </is>
      </c>
      <c r="H116" s="1955" t="n"/>
      <c r="I116" s="2135" t="inlineStr">
        <is>
          <t>Please select</t>
        </is>
      </c>
      <c r="J116" s="1781" t="n"/>
      <c r="K116" s="4135" t="inlineStr">
        <is>
          <t>Please select</t>
        </is>
      </c>
      <c r="L116" s="1806" t="n"/>
      <c r="M116" s="4133" t="n"/>
      <c r="N116" s="1781" t="n"/>
      <c r="O116" s="1781" t="n"/>
      <c r="P116" s="1781" t="n"/>
      <c r="Q116" s="4123" t="n">
        <v>0</v>
      </c>
      <c r="R116" s="2132" t="n">
        <v>0</v>
      </c>
      <c r="S116" s="2108" t="inlineStr">
        <is>
          <t>D</t>
        </is>
      </c>
      <c r="T116" s="2130" t="n">
        <v>0</v>
      </c>
      <c r="U116" s="2108" t="inlineStr">
        <is>
          <t>D</t>
        </is>
      </c>
      <c r="V116" s="1781" t="n"/>
      <c r="W116" s="1815">
        <f>rice!T42</f>
        <v/>
      </c>
      <c r="X116" s="1815">
        <f>rice!U42</f>
        <v/>
      </c>
      <c r="Y116" s="1839" t="n"/>
      <c r="Z116" s="1812">
        <f>rice!V42</f>
        <v/>
      </c>
      <c r="AP116" s="1800">
        <f>IF($C116 &lt;&gt;"", $C116, "")</f>
        <v/>
      </c>
      <c r="AQ116" s="1809" t="n"/>
      <c r="AR116" s="1795">
        <f>IF(continent_selected&lt;&gt;"Please select", VLOOKUP(continent_selected, IPCC!$A$515:$C$530, 3, FALSE),0)</f>
        <v/>
      </c>
      <c r="AS116" s="4141" t="n"/>
      <c r="AT116" s="1817">
        <f>_xlfn.IFNA(IF($G116 &lt;&gt;"Please select", SOCref,),)</f>
        <v/>
      </c>
      <c r="AU116" s="4141" t="n"/>
      <c r="AV116" s="1817">
        <f>IF($G116&lt;&gt;"Please select", IPCC!$C$59, 0)</f>
        <v/>
      </c>
      <c r="AW116" s="4141" t="n"/>
      <c r="AX116" s="1795">
        <f>VLOOKUP(continent_selected, IPCC!$A$512:$B$530, 2, FALSE)</f>
        <v/>
      </c>
      <c r="AY116" s="4141" t="n"/>
      <c r="AZ116" s="1817">
        <f>IF($G116&lt;&gt;"Please select", VLOOKUP($G116, IPCC!$E$512:$F$518, 2, FALSE),0)</f>
        <v/>
      </c>
      <c r="BA116" s="4141" t="n"/>
      <c r="BB116" s="1817">
        <f>IF($I116&lt;&gt;"Please select", VLOOKUP($I116, IPCC!$E$525:$F$527,2, FALSE),0)</f>
        <v/>
      </c>
      <c r="BC116" s="4141" t="n"/>
      <c r="BD116" s="1817">
        <f>IF($K116&lt;&gt;"Please select",1+(IF(ISBLANK($BI116), $BH116, $BI116))*IF($K116&lt;&gt;"Please select",VLOOKUP($K116,IPCC!$J$512:$K$518,2,FALSE)))^0.59</f>
        <v/>
      </c>
      <c r="BE116" s="4141" t="n"/>
      <c r="BF116" s="1817">
        <f>IF(AND($Q116=0, $R116=0, $T116=0), 0, IF(ISBLANK($AY116),$AX116, $AY116)*IF(ISBLANK($BA116),$AZ116, $BA116)*IF(ISBLANK($BC116),$BB116,$BC116)*IF(ISBLANK($BE116),$BD116,$BE116))</f>
        <v/>
      </c>
      <c r="BG116" s="4141" t="n"/>
      <c r="BH116" s="1817">
        <f>IF(AND($Q116=0, $R116=0, $T116=0),0, rice!H22*IPCC!$B$21+IPCC!$C$21)</f>
        <v/>
      </c>
      <c r="BI116" s="4141" t="n"/>
      <c r="BJ116" s="1784" t="n"/>
      <c r="BK116" s="1916" t="n"/>
      <c r="BL116" s="4401" t="n">
        <v>1</v>
      </c>
      <c r="BM116" s="4402" t="n"/>
      <c r="BN116" s="1997" t="n"/>
    </row>
    <row r="117" ht="15" customHeight="1">
      <c r="B117" s="1781" t="n"/>
      <c r="C117" s="4139" t="n"/>
      <c r="D117" s="1781" t="n"/>
      <c r="E117" s="4484">
        <f>IF(AS117="", IF(continent_selected&lt;&gt;"Please select", VLOOKUP(continent_selected, IPCC!$A$515:$C$530, 3, FALSE),0), AS117)</f>
        <v/>
      </c>
      <c r="F117" s="1781" t="n"/>
      <c r="G117" s="2354" t="inlineStr">
        <is>
          <t>Please select</t>
        </is>
      </c>
      <c r="H117" s="1955" t="n"/>
      <c r="I117" s="2135" t="inlineStr">
        <is>
          <t>Please select</t>
        </is>
      </c>
      <c r="J117" s="1781" t="n"/>
      <c r="K117" s="4135" t="inlineStr">
        <is>
          <t>Please select</t>
        </is>
      </c>
      <c r="L117" s="1806" t="n"/>
      <c r="M117" s="4133" t="n"/>
      <c r="N117" s="1781" t="n"/>
      <c r="O117" s="1781" t="n"/>
      <c r="P117" s="1781" t="n"/>
      <c r="Q117" s="4123" t="n">
        <v>0</v>
      </c>
      <c r="R117" s="2132" t="n">
        <v>0</v>
      </c>
      <c r="S117" s="2108" t="inlineStr">
        <is>
          <t>D</t>
        </is>
      </c>
      <c r="T117" s="2130" t="n">
        <v>0</v>
      </c>
      <c r="U117" s="2108" t="inlineStr">
        <is>
          <t>D</t>
        </is>
      </c>
      <c r="V117" s="1911" t="n"/>
      <c r="W117" s="1815">
        <f>rice!T43</f>
        <v/>
      </c>
      <c r="X117" s="1815">
        <f>rice!U43</f>
        <v/>
      </c>
      <c r="Y117" s="1839" t="n"/>
      <c r="Z117" s="1812">
        <f>rice!V43</f>
        <v/>
      </c>
      <c r="AP117" s="1800">
        <f>IF($C117 &lt;&gt;"", $C117, "")</f>
        <v/>
      </c>
      <c r="AQ117" s="1809" t="n"/>
      <c r="AR117" s="1795">
        <f>IF(continent_selected&lt;&gt;"Please select", VLOOKUP(continent_selected, IPCC!$A$515:$C$530, 3, FALSE),0)</f>
        <v/>
      </c>
      <c r="AS117" s="4141" t="n"/>
      <c r="AT117" s="1817">
        <f>_xlfn.IFNA(IF($G117 &lt;&gt;"Please select", SOCref,),)</f>
        <v/>
      </c>
      <c r="AU117" s="4141" t="n"/>
      <c r="AV117" s="1817">
        <f>IF($G117&lt;&gt;"Please select", IPCC!$C$59, 0)</f>
        <v/>
      </c>
      <c r="AW117" s="4141" t="n"/>
      <c r="AX117" s="1795">
        <f>VLOOKUP(continent_selected, IPCC!$A$512:$B$530, 2, FALSE)</f>
        <v/>
      </c>
      <c r="AY117" s="4141" t="n"/>
      <c r="AZ117" s="1817">
        <f>IF($G117&lt;&gt;"Please select", VLOOKUP($G117, IPCC!$E$512:$F$518, 2, FALSE),0)</f>
        <v/>
      </c>
      <c r="BA117" s="4141" t="n"/>
      <c r="BB117" s="1817">
        <f>IF($I117&lt;&gt;"Please select", VLOOKUP($I117, IPCC!$E$525:$F$527,2, FALSE),0)</f>
        <v/>
      </c>
      <c r="BC117" s="4141" t="n"/>
      <c r="BD117" s="1817">
        <f>IF($K117&lt;&gt;"Please select",1+(IF(ISBLANK($BI117), $BH117, $BI117))*IF($K117&lt;&gt;"Please select",VLOOKUP($K117,IPCC!$J$512:$K$518,2,FALSE)))^0.59</f>
        <v/>
      </c>
      <c r="BE117" s="4141" t="n"/>
      <c r="BF117" s="1817">
        <f>IF(AND($Q117=0, $R117=0, $T117=0), 0, IF(ISBLANK($AY117),$AX117, $AY117)*IF(ISBLANK($BA117),$AZ117, $BA117)*IF(ISBLANK($BC117),$BB117,$BC117)*IF(ISBLANK($BE117),$BD117,$BE117))</f>
        <v/>
      </c>
      <c r="BG117" s="4141" t="n"/>
      <c r="BH117" s="1817">
        <f>IF(AND($Q117=0, $R117=0, $T117=0),0, rice!H23*IPCC!$B$21+IPCC!$C$21)</f>
        <v/>
      </c>
      <c r="BI117" s="4141" t="n"/>
      <c r="BJ117" s="1784" t="n"/>
      <c r="BK117" s="1916" t="n"/>
      <c r="BL117" s="4401" t="n">
        <v>1</v>
      </c>
      <c r="BM117" s="4402" t="n"/>
      <c r="BN117" s="1997" t="n"/>
    </row>
    <row r="118" ht="15" customHeight="1">
      <c r="B118" s="1781" t="n"/>
      <c r="C118" s="1781" t="n"/>
      <c r="D118" s="1781" t="n"/>
      <c r="E118" s="1781" t="n"/>
      <c r="F118" s="1781" t="n"/>
      <c r="G118" s="1852" t="n"/>
      <c r="H118" s="1781" t="n"/>
      <c r="I118" s="1781" t="n"/>
      <c r="J118" s="1781" t="n"/>
      <c r="K118" s="1790" t="n"/>
      <c r="L118" s="1781" t="n"/>
      <c r="M118" s="1956" t="n"/>
      <c r="N118" s="1957" t="n"/>
      <c r="O118" s="1849" t="n"/>
      <c r="P118" s="1907">
        <f>Languages!B197</f>
        <v/>
      </c>
      <c r="Q118" s="1815">
        <f>SUM(Q108:Q117)</f>
        <v/>
      </c>
      <c r="R118" s="1815">
        <f>SUM(R108:R117)</f>
        <v/>
      </c>
      <c r="S118" s="1812" t="n"/>
      <c r="T118" s="1897">
        <f>SUM(T108:T117)</f>
        <v/>
      </c>
      <c r="U118" s="1781" t="n"/>
      <c r="V118" s="1905" t="n"/>
      <c r="W118" s="1839" t="n"/>
      <c r="X118" s="1812" t="n"/>
      <c r="Y118" s="1839" t="n"/>
      <c r="Z118" s="1812" t="n"/>
      <c r="AP118" s="1782" t="n"/>
      <c r="AQ118" s="1782" t="n"/>
      <c r="AR118" s="1782" t="n"/>
      <c r="AS118" s="1782" t="n"/>
      <c r="AT118" s="1782" t="n"/>
      <c r="AU118" s="1782" t="n"/>
      <c r="AV118" s="1862" t="n"/>
      <c r="AW118" s="1782" t="n"/>
      <c r="AX118" s="1782" t="n"/>
      <c r="AY118" s="1782" t="n"/>
      <c r="AZ118" s="1782" t="n"/>
      <c r="BA118" s="1782" t="n"/>
      <c r="BB118" s="1782" t="n"/>
      <c r="BC118" s="1782" t="n"/>
      <c r="BD118" s="1782" t="n"/>
      <c r="BE118" s="1782" t="n"/>
      <c r="BF118" s="1782" t="n"/>
      <c r="BG118" s="1782" t="n"/>
      <c r="BH118" s="1782" t="n"/>
      <c r="BI118" s="1782" t="n"/>
      <c r="BJ118" s="1782" t="n"/>
      <c r="BL118" s="1997" t="n"/>
      <c r="BM118" s="1894" t="n"/>
      <c r="BN118" s="1997" t="n"/>
    </row>
    <row r="119" ht="15" customHeight="1">
      <c r="B119" s="1781" t="n"/>
      <c r="C119" s="1781" t="n"/>
      <c r="D119" s="1781" t="n"/>
      <c r="E119" s="1781" t="n"/>
      <c r="F119" s="1781" t="n"/>
      <c r="G119" s="1781" t="n"/>
      <c r="H119" s="1781" t="n"/>
      <c r="I119" s="1781" t="n"/>
      <c r="J119" s="1781" t="n"/>
      <c r="K119" s="1781" t="n"/>
      <c r="L119" s="1959" t="n"/>
      <c r="M119" s="1959" t="n"/>
      <c r="N119" s="1959" t="n"/>
      <c r="O119" s="1959" t="n"/>
      <c r="P119" s="1781" t="n"/>
      <c r="Q119" s="1781" t="n"/>
      <c r="R119" s="1781" t="n"/>
      <c r="S119" s="1960" t="n"/>
      <c r="T119" s="1781" t="n"/>
      <c r="U119" s="1959" t="n"/>
      <c r="V119" s="1781" t="n"/>
      <c r="W119" s="1885" t="n"/>
      <c r="X119" s="1959" t="n"/>
      <c r="Y119" s="1959" t="n"/>
      <c r="Z119" s="1959" t="n"/>
      <c r="AP119" s="1782" t="n"/>
      <c r="AQ119" s="1782" t="n"/>
      <c r="AR119" s="1782" t="n"/>
      <c r="AS119" s="1782" t="n"/>
      <c r="AT119" s="1782" t="n"/>
      <c r="AU119" s="1782" t="n"/>
      <c r="AV119" s="1862" t="n"/>
      <c r="AW119" s="1782" t="n"/>
      <c r="AX119" s="1782" t="n"/>
      <c r="AY119" s="1782" t="n"/>
      <c r="AZ119" s="1782" t="n"/>
      <c r="BA119" s="1782" t="n"/>
      <c r="BB119" s="1782" t="n"/>
      <c r="BC119" s="1782" t="n"/>
      <c r="BD119" s="1782" t="n"/>
      <c r="BE119" s="1782" t="n"/>
      <c r="BF119" s="1782" t="n"/>
      <c r="BG119" s="1782" t="n"/>
      <c r="BH119" s="1782" t="n"/>
      <c r="BI119" s="1782" t="n"/>
      <c r="BJ119" s="1782" t="n"/>
      <c r="BL119" s="4548" t="inlineStr">
        <is>
          <t>Use this part only if you want to refine yearly GHG fluxes</t>
        </is>
      </c>
    </row>
    <row r="120" ht="15" customHeight="1">
      <c r="B120" s="1781" t="n"/>
      <c r="C120" s="1781" t="n"/>
      <c r="D120" s="1781" t="n"/>
      <c r="E120" s="1781" t="n"/>
      <c r="F120" s="1781" t="n"/>
      <c r="G120" s="1852" t="n"/>
      <c r="H120" s="1781" t="n"/>
      <c r="I120" s="1781" t="n"/>
      <c r="J120" s="1781" t="n"/>
      <c r="K120" s="1790" t="n"/>
      <c r="L120" s="1781" t="n"/>
      <c r="M120" s="1781" t="n"/>
      <c r="N120" s="1781" t="n"/>
      <c r="O120" s="1781" t="n"/>
      <c r="P120" s="1781" t="n"/>
      <c r="Q120" s="1961">
        <f>rice!G44</f>
        <v/>
      </c>
      <c r="R120" s="1781" t="n"/>
      <c r="S120" s="1781" t="n"/>
      <c r="T120" s="1781" t="n"/>
      <c r="U120" s="1781" t="n"/>
      <c r="V120" s="1781" t="n"/>
      <c r="W120" s="1839" t="n"/>
      <c r="X120" s="1812" t="n"/>
      <c r="Y120" s="1839" t="n"/>
      <c r="Z120" s="1812" t="n"/>
      <c r="AP120" s="1782" t="n"/>
      <c r="AQ120" s="1782" t="n"/>
      <c r="AR120" s="1782" t="n"/>
      <c r="AS120" s="1782" t="n"/>
      <c r="AT120" s="1782" t="n"/>
      <c r="AU120" s="1782" t="n"/>
      <c r="AV120" s="1862" t="n"/>
      <c r="AW120" s="1782" t="n"/>
      <c r="AX120" s="1782" t="n"/>
      <c r="AY120" s="1782" t="n"/>
      <c r="AZ120" s="1782" t="n"/>
      <c r="BA120" s="1782" t="n"/>
      <c r="BB120" s="1782" t="n"/>
      <c r="BC120" s="1782" t="n"/>
      <c r="BD120" s="1782" t="n"/>
      <c r="BE120" s="1782" t="n"/>
      <c r="BF120" s="1782" t="n"/>
      <c r="BG120" s="1782" t="n"/>
      <c r="BH120" s="1782" t="n"/>
      <c r="BI120" s="1782" t="n"/>
      <c r="BJ120" s="1782" t="n"/>
    </row>
    <row r="121" ht="15" customHeight="1">
      <c r="B121" s="1781" t="n"/>
      <c r="C121" s="1958" t="n"/>
      <c r="D121" s="1958" t="n"/>
      <c r="E121" s="1958" t="n"/>
      <c r="F121" s="1958" t="n"/>
      <c r="G121" s="2274" t="n"/>
      <c r="H121" s="2274" t="n"/>
      <c r="I121" s="4247">
        <f>Languages!B187</f>
        <v/>
      </c>
      <c r="J121" s="2275" t="n"/>
      <c r="K121" s="4243" t="n"/>
      <c r="L121" s="1781" t="n"/>
      <c r="M121" s="1781" t="n"/>
      <c r="N121" s="1853" t="n"/>
      <c r="O121" s="1853" t="n"/>
      <c r="P121" s="1853" t="n"/>
      <c r="Q121" s="1853" t="n"/>
      <c r="R121" s="1853" t="n"/>
      <c r="S121" s="1853" t="n"/>
      <c r="T121" s="1853" t="n"/>
      <c r="U121" s="1853" t="n"/>
      <c r="V121" s="1962">
        <f>Languages!B186</f>
        <v/>
      </c>
      <c r="W121" s="1858">
        <f>rice!T45</f>
        <v/>
      </c>
      <c r="X121" s="1858">
        <f>rice!U45</f>
        <v/>
      </c>
      <c r="Y121" s="1963" t="n"/>
      <c r="Z121" s="1964">
        <f>rice!V45</f>
        <v/>
      </c>
      <c r="AP121" s="1782">
        <f>AP78</f>
        <v/>
      </c>
      <c r="AQ121" s="1782" t="n"/>
      <c r="AR121" s="1782" t="n"/>
      <c r="AS121" s="1782" t="n"/>
      <c r="AT121" s="1782" t="n"/>
      <c r="AU121" s="1782" t="n"/>
      <c r="AV121" s="1862" t="n"/>
      <c r="AW121" s="1782" t="n"/>
      <c r="AX121" s="1782" t="n"/>
      <c r="AY121" s="1782" t="n"/>
      <c r="AZ121" s="1782" t="n"/>
      <c r="BA121" s="1782" t="n"/>
      <c r="BB121" s="1782" t="n"/>
      <c r="BC121" s="1782" t="n"/>
      <c r="BD121" s="1782" t="n"/>
      <c r="BE121" s="1782" t="n"/>
      <c r="BF121" s="1782" t="n"/>
      <c r="BG121" s="1782" t="n"/>
      <c r="BH121" s="1782" t="n"/>
      <c r="BI121" s="1782" t="n"/>
      <c r="BJ121" s="1782" t="n"/>
    </row>
    <row r="122" ht="23" customHeight="1">
      <c r="B122" s="1781" t="n"/>
      <c r="C122" s="1781" t="n"/>
      <c r="D122" s="1781" t="n"/>
      <c r="E122" s="1781" t="n"/>
      <c r="F122" s="1781" t="n"/>
      <c r="G122" s="1852" t="n"/>
      <c r="H122" s="1781" t="n"/>
      <c r="I122" s="1781" t="n"/>
      <c r="J122" s="1781" t="n"/>
      <c r="K122" s="1790" t="n"/>
      <c r="L122" s="1781" t="n"/>
      <c r="M122" s="1781" t="n"/>
      <c r="N122" s="1781" t="n"/>
      <c r="O122" s="1781" t="n"/>
      <c r="P122" s="1781" t="n"/>
      <c r="Q122" s="1781" t="n"/>
      <c r="R122" s="1781" t="n"/>
      <c r="S122" s="1781" t="n"/>
      <c r="T122" s="1781" t="n"/>
      <c r="U122" s="1781" t="n"/>
      <c r="V122" s="1781" t="n"/>
      <c r="W122" s="1781" t="n"/>
      <c r="X122" s="1806" t="n"/>
      <c r="Y122" s="1781" t="n"/>
      <c r="Z122" s="1806" t="n"/>
      <c r="AP122" s="1782">
        <f>AP79</f>
        <v/>
      </c>
      <c r="AQ122" s="1782" t="n"/>
      <c r="AR122" s="1782" t="n"/>
      <c r="AS122" s="1782" t="n"/>
      <c r="AT122" s="1782" t="n"/>
      <c r="AU122" s="1782" t="n"/>
      <c r="AV122" s="1862" t="n"/>
      <c r="AW122" s="1782" t="n"/>
      <c r="AX122" s="1782" t="n"/>
      <c r="AY122" s="1782" t="n"/>
      <c r="AZ122" s="1782" t="n"/>
      <c r="BA122" s="1782" t="n"/>
      <c r="BB122" s="1782" t="n"/>
      <c r="BC122" s="1782" t="n"/>
      <c r="BD122" s="1782" t="n"/>
      <c r="BE122" s="1782" t="n"/>
      <c r="BF122" s="1782" t="n"/>
      <c r="BG122" s="1782" t="n"/>
      <c r="BH122" s="1782" t="n"/>
      <c r="BI122" s="1782" t="n"/>
      <c r="BJ122" s="1782" t="n"/>
      <c r="BL122" s="1997" t="n"/>
      <c r="BM122" s="1997" t="n"/>
      <c r="BN122" s="1997" t="n"/>
    </row>
    <row r="123" ht="15" customHeight="1">
      <c r="B123" s="1781" t="n"/>
      <c r="C123" s="1820">
        <f>C81</f>
        <v/>
      </c>
      <c r="D123" s="1781" t="n"/>
      <c r="E123" s="1781" t="n"/>
      <c r="F123" s="1781" t="n"/>
      <c r="G123" s="1781" t="n"/>
      <c r="H123" s="1781" t="n"/>
      <c r="I123" s="1781" t="n"/>
      <c r="J123" s="1781" t="n"/>
      <c r="K123" s="1781" t="n"/>
      <c r="L123" s="1781" t="n"/>
      <c r="M123" s="1781" t="n"/>
      <c r="N123" s="1781" t="n"/>
      <c r="O123" s="1781" t="n"/>
      <c r="P123" s="1781" t="n"/>
      <c r="Q123" s="1781" t="n"/>
      <c r="R123" s="1781" t="n"/>
      <c r="S123" s="1781" t="n"/>
      <c r="T123" s="1781" t="n"/>
      <c r="U123" s="1781" t="n"/>
      <c r="V123" s="1781" t="n"/>
      <c r="W123" s="1781" t="n"/>
      <c r="X123" s="1781" t="n"/>
      <c r="Y123" s="1781" t="n"/>
      <c r="Z123" s="1781" t="n"/>
      <c r="AP123" s="1782" t="n"/>
      <c r="AQ123" s="1782" t="n"/>
      <c r="AR123" s="1782" t="n"/>
      <c r="AS123" s="1782" t="n"/>
      <c r="AT123" s="1782" t="n"/>
      <c r="AU123" s="1782" t="n"/>
      <c r="AV123" s="1782" t="n"/>
      <c r="AW123" s="1782" t="n"/>
      <c r="AX123" s="1782" t="n"/>
      <c r="AY123" s="1782" t="n"/>
      <c r="AZ123" s="1782" t="n"/>
      <c r="BA123" s="1782" t="n"/>
      <c r="BB123" s="1782" t="n"/>
      <c r="BC123" s="1782" t="n"/>
      <c r="BD123" s="1782" t="n"/>
      <c r="BE123" s="1782" t="n"/>
      <c r="BF123" s="1782" t="n"/>
      <c r="BG123" s="1782" t="n"/>
      <c r="BH123" s="1782" t="n"/>
      <c r="BI123" s="1782" t="n"/>
      <c r="BJ123" s="1782" t="n"/>
      <c r="BL123" s="1997" t="n"/>
      <c r="BM123" s="1997" t="n"/>
      <c r="BN123" s="1997" t="n"/>
    </row>
    <row r="124" ht="15" customHeight="1">
      <c r="B124" s="1820" t="n"/>
      <c r="C124" s="1820">
        <f>Languages!B196</f>
        <v/>
      </c>
      <c r="D124" s="1820" t="n"/>
      <c r="E124" s="1820" t="n"/>
      <c r="F124" s="1820" t="n"/>
      <c r="G124" s="1820" t="n"/>
      <c r="H124" s="1820" t="n"/>
      <c r="I124" s="1820" t="n"/>
      <c r="J124" s="1820" t="n"/>
      <c r="K124" s="1820" t="n"/>
      <c r="L124" s="1820" t="n"/>
      <c r="M124" s="1820" t="n"/>
      <c r="N124" s="1820" t="n"/>
      <c r="O124" s="1820" t="n"/>
      <c r="P124" s="1820" t="n"/>
      <c r="Q124" s="1820" t="n"/>
      <c r="R124" s="1820" t="n"/>
      <c r="S124" s="1820" t="n"/>
      <c r="T124" s="1820" t="n"/>
      <c r="U124" s="1820" t="n"/>
      <c r="V124" s="1820" t="n"/>
      <c r="W124" s="1820" t="n"/>
      <c r="X124" s="1820" t="n"/>
      <c r="Y124" s="1820" t="n"/>
      <c r="Z124" s="1820" t="n"/>
      <c r="AV124" s="1771" t="n"/>
    </row>
    <row r="125" ht="15" customHeight="1">
      <c r="G125" s="1771" t="n"/>
      <c r="K125" s="1771" t="n"/>
      <c r="AV125" s="1771" t="n"/>
    </row>
    <row r="126" ht="15" customHeight="1">
      <c r="G126" s="1771" t="n"/>
      <c r="K126" s="1771" t="n"/>
      <c r="AV126" s="1771" t="n"/>
    </row>
    <row r="127" ht="15" customHeight="1">
      <c r="G127" s="1771" t="n"/>
      <c r="K127" s="1771" t="n"/>
      <c r="AV127" s="1771" t="n"/>
    </row>
    <row r="128" ht="15" customHeight="1">
      <c r="G128" s="1771" t="n"/>
      <c r="K128" s="1771" t="n"/>
      <c r="AV128" s="1771" t="n"/>
    </row>
    <row r="129" ht="15" customFormat="1" customHeight="1" s="1771"/>
    <row r="130" ht="15" customFormat="1" customHeight="1" s="1771"/>
    <row r="131" ht="15" customFormat="1" customHeight="1" s="1771"/>
    <row r="132" ht="15" customFormat="1" customHeight="1" s="1771"/>
    <row r="133" ht="15" customFormat="1" customHeight="1" s="1771"/>
    <row r="134" ht="15" customFormat="1" customHeight="1" s="1771"/>
    <row r="135" ht="15" customFormat="1" customHeight="1" s="1771">
      <c r="G135" s="1863" t="n"/>
      <c r="K135" s="1864" t="n"/>
    </row>
    <row r="136" ht="15" customFormat="1" customHeight="1" s="1771">
      <c r="G136" s="1863" t="n"/>
      <c r="K136" s="1864" t="n"/>
    </row>
    <row r="137" ht="15" customFormat="1" customHeight="1" s="1771">
      <c r="G137" s="1863" t="n"/>
      <c r="K137" s="1864" t="n"/>
    </row>
    <row r="138" ht="15" customFormat="1" customHeight="1" s="1771">
      <c r="G138" s="1863" t="n"/>
      <c r="K138" s="1864" t="n"/>
    </row>
    <row r="139" ht="15" customFormat="1" customHeight="1" s="1771">
      <c r="G139" s="1863" t="n"/>
      <c r="K139" s="1864" t="n"/>
    </row>
    <row r="140" ht="15" customFormat="1" customHeight="1" s="1771">
      <c r="G140" s="1863" t="n"/>
      <c r="K140" s="1864" t="n"/>
    </row>
    <row r="141" ht="15" customFormat="1" customHeight="1" s="1771">
      <c r="G141" s="1863" t="n"/>
      <c r="K141" s="1864" t="n"/>
    </row>
    <row r="142" ht="15" customFormat="1" customHeight="1" s="1771">
      <c r="G142" s="1863" t="n"/>
      <c r="K142" s="1864" t="n"/>
    </row>
    <row r="143" ht="15" customFormat="1" customHeight="1" s="1771">
      <c r="G143" s="1863" t="n"/>
      <c r="K143" s="1864" t="n"/>
    </row>
    <row r="144" ht="15" customFormat="1" customHeight="1" s="1771">
      <c r="G144" s="1863" t="n"/>
      <c r="K144" s="1864" t="n"/>
    </row>
    <row r="145" ht="15" customHeight="1">
      <c r="AV145" s="1771" t="n"/>
    </row>
    <row r="146" ht="15" customHeight="1">
      <c r="AV146" s="1771" t="n"/>
    </row>
    <row r="147" ht="15" customHeight="1">
      <c r="AV147" s="1771" t="n"/>
    </row>
    <row r="148" ht="15" customHeight="1">
      <c r="AV148" s="1771" t="n"/>
    </row>
    <row r="149" ht="15" customHeight="1">
      <c r="AV149" s="1771" t="n"/>
    </row>
    <row r="150" ht="15" customHeight="1">
      <c r="AV150" s="1771" t="n"/>
    </row>
    <row r="151" ht="15" customHeight="1">
      <c r="AV151" s="1771" t="n"/>
    </row>
    <row r="152" ht="15" customHeight="1">
      <c r="AV152" s="1771" t="n"/>
    </row>
    <row r="153" ht="15" customHeight="1">
      <c r="AV153" s="1771" t="n"/>
    </row>
    <row r="154" ht="15" customHeight="1">
      <c r="AV154" s="1771" t="n"/>
    </row>
    <row r="155" ht="15" customHeight="1">
      <c r="AV155" s="1771" t="n"/>
    </row>
    <row r="156" ht="15" customHeight="1">
      <c r="AV156" s="1771" t="n"/>
    </row>
    <row r="157" ht="15" customHeight="1">
      <c r="AV157" s="1771" t="n"/>
    </row>
    <row r="174" ht="15" customHeight="1">
      <c r="G174" s="1771" t="n"/>
      <c r="J174" s="1965" t="n"/>
    </row>
    <row r="175" ht="15" customHeight="1">
      <c r="G175" s="1771" t="n"/>
      <c r="J175" s="1965" t="n"/>
    </row>
    <row r="176" ht="22.25" customHeight="1">
      <c r="G176" s="1771" t="n"/>
      <c r="J176" s="1965" t="n"/>
    </row>
    <row r="177" ht="5" customFormat="1" customHeight="1" s="1771">
      <c r="J177" s="1965" t="n"/>
      <c r="K177" s="1864" t="n"/>
      <c r="AV177" s="1772" t="n"/>
    </row>
    <row r="178" ht="22.25" customFormat="1" customHeight="1" s="1771">
      <c r="J178" s="1965" t="n"/>
      <c r="K178" s="1864" t="n"/>
      <c r="AV178" s="1772" t="n"/>
    </row>
    <row r="179" ht="5" customFormat="1" customHeight="1" s="1771">
      <c r="J179" s="1965" t="n"/>
      <c r="K179" s="1864" t="n"/>
      <c r="AV179" s="1772" t="n"/>
    </row>
    <row r="180" ht="22.25" customFormat="1" customHeight="1" s="1771">
      <c r="J180" s="1965" t="n"/>
      <c r="K180" s="1864" t="n"/>
      <c r="AV180" s="1772" t="n"/>
    </row>
    <row r="181" ht="5" customFormat="1" customHeight="1" s="1771">
      <c r="J181" s="1965" t="n"/>
      <c r="K181" s="1864" t="n"/>
      <c r="AV181" s="1772" t="n"/>
    </row>
    <row r="182" ht="27.75" customFormat="1" customHeight="1" s="1771">
      <c r="J182" s="1965" t="n"/>
      <c r="K182" s="1864" t="n"/>
    </row>
    <row r="183" ht="22.25" customFormat="1" customHeight="1" s="1771">
      <c r="J183" s="1965" t="n"/>
      <c r="K183" s="1864" t="n"/>
    </row>
    <row r="184" ht="5" customFormat="1" customHeight="1" s="1771">
      <c r="J184" s="1965" t="n"/>
      <c r="K184" s="1864" t="n"/>
    </row>
    <row r="185" ht="15" customFormat="1" customHeight="1" s="1771">
      <c r="J185" s="1965" t="n"/>
      <c r="K185" s="1864" t="n"/>
    </row>
    <row r="186" ht="15" customFormat="1" customHeight="1" s="1771">
      <c r="J186" s="1965" t="n"/>
      <c r="K186" s="1864" t="n"/>
    </row>
    <row r="187" ht="23" customFormat="1" customHeight="1" s="1771">
      <c r="J187" s="1965" t="n"/>
      <c r="K187" s="1864" t="n"/>
    </row>
    <row r="188" ht="5" customFormat="1" customHeight="1" s="1771">
      <c r="J188" s="1965" t="n"/>
      <c r="K188" s="1864" t="n"/>
    </row>
    <row r="189" ht="22.25" customFormat="1" customHeight="1" s="1771">
      <c r="J189" s="1965" t="n"/>
      <c r="K189" s="1864" t="n"/>
    </row>
    <row r="190" ht="15" customFormat="1" customHeight="1" s="1771">
      <c r="J190" s="1965" t="n"/>
      <c r="K190" s="1864" t="n"/>
    </row>
    <row r="191" ht="5" customFormat="1" customHeight="1" s="1771">
      <c r="J191" s="1965" t="n"/>
      <c r="K191" s="1864" t="n"/>
    </row>
    <row r="192" ht="15" customFormat="1" customHeight="1" s="1771">
      <c r="J192" s="1965" t="n"/>
      <c r="K192" s="1864" t="n"/>
    </row>
    <row r="193" ht="15" customFormat="1" customHeight="1" s="1771">
      <c r="J193" s="1965" t="n"/>
      <c r="K193" s="1864" t="n"/>
    </row>
    <row r="194" ht="15" customFormat="1" customHeight="1" s="1771">
      <c r="J194" s="1965" t="n"/>
      <c r="K194" s="1864" t="n"/>
    </row>
    <row r="195" ht="15" customFormat="1" customHeight="1" s="1771">
      <c r="J195" s="1965" t="n"/>
      <c r="K195" s="1864" t="n"/>
    </row>
    <row r="196" ht="15" customFormat="1" customHeight="1" s="1771">
      <c r="J196" s="1965" t="n"/>
      <c r="K196" s="1864" t="n"/>
    </row>
    <row r="197" ht="51.75" customFormat="1" customHeight="1" s="1771">
      <c r="J197" s="1965" t="n"/>
      <c r="K197" s="1864" t="n"/>
    </row>
    <row r="198" ht="5" customFormat="1" customHeight="1" s="1771">
      <c r="J198" s="1965" t="n"/>
      <c r="K198" s="1864" t="n"/>
    </row>
    <row r="199" ht="22.25" customFormat="1" customHeight="1" s="1771">
      <c r="J199" s="1965" t="n"/>
      <c r="K199" s="1864" t="n"/>
    </row>
    <row r="200" ht="15" customFormat="1" customHeight="1" s="1771">
      <c r="J200" s="1965" t="n"/>
      <c r="K200" s="1864" t="n"/>
    </row>
    <row r="201" ht="15" customFormat="1" customHeight="1" s="1771">
      <c r="J201" s="1965" t="n"/>
      <c r="K201" s="1864" t="n"/>
    </row>
    <row r="202" ht="15" customFormat="1" customHeight="1" s="1771">
      <c r="J202" s="1965" t="n"/>
      <c r="K202" s="1864" t="n"/>
    </row>
    <row r="203" ht="15" customFormat="1" customHeight="1" s="1771">
      <c r="J203" s="1965" t="n"/>
      <c r="K203" s="1864" t="n"/>
    </row>
    <row r="204" ht="15" customFormat="1" customHeight="1" s="1771">
      <c r="J204" s="1965" t="n"/>
      <c r="K204" s="1864" t="n"/>
    </row>
    <row r="205" ht="69" customFormat="1" customHeight="1" s="1771">
      <c r="J205" s="1965" t="n"/>
      <c r="K205" s="1864" t="n"/>
    </row>
    <row r="206" ht="5" customFormat="1" customHeight="1" s="1771">
      <c r="J206" s="1965" t="n"/>
      <c r="K206" s="1864" t="n"/>
    </row>
    <row r="207" ht="22.25" customFormat="1" customHeight="1" s="1771">
      <c r="J207" s="1965" t="n"/>
      <c r="K207" s="1864" t="n"/>
    </row>
    <row r="208" ht="15" customFormat="1" customHeight="1" s="1771">
      <c r="J208" s="1965" t="n"/>
      <c r="K208" s="1864" t="n"/>
    </row>
    <row r="209" ht="15" customFormat="1" customHeight="1" s="1771">
      <c r="J209" s="1965" t="n"/>
      <c r="K209" s="1864" t="n"/>
    </row>
    <row r="210" ht="15" customFormat="1" customHeight="1" s="1771">
      <c r="J210" s="1965" t="n"/>
      <c r="K210" s="1864" t="n"/>
    </row>
    <row r="211" ht="23.25" customFormat="1" customHeight="1" s="1771">
      <c r="J211" s="1965" t="n"/>
      <c r="K211" s="1864" t="n"/>
    </row>
    <row r="212" ht="5" customFormat="1" customHeight="1" s="1771">
      <c r="J212" s="1965" t="n"/>
      <c r="K212" s="1864" t="n"/>
    </row>
    <row r="213" ht="15" customFormat="1" customHeight="1" s="1771">
      <c r="J213" s="1965" t="n"/>
      <c r="K213" s="1864" t="n"/>
    </row>
    <row r="214" ht="24.75" customFormat="1" customHeight="1" s="1771">
      <c r="J214" s="1965" t="n"/>
      <c r="K214" s="1864" t="n"/>
    </row>
    <row r="215" ht="5" customFormat="1" customHeight="1" s="1771">
      <c r="J215" s="1965" t="n"/>
      <c r="K215" s="1864" t="n"/>
    </row>
    <row r="216" ht="15" customFormat="1" customHeight="1" s="1771">
      <c r="J216" s="1965" t="n"/>
      <c r="K216" s="1864" t="n"/>
    </row>
    <row r="217" ht="47.25" customFormat="1" customHeight="1" s="1771">
      <c r="J217" s="1965" t="n"/>
      <c r="K217" s="1864" t="n"/>
    </row>
    <row r="218" ht="5" customFormat="1" customHeight="1" s="1771">
      <c r="J218" s="1965" t="n"/>
      <c r="K218" s="1864" t="n"/>
    </row>
    <row r="219" ht="15" customFormat="1" customHeight="1" s="1771">
      <c r="J219" s="1965" t="n"/>
      <c r="K219" s="1864" t="n"/>
    </row>
    <row r="220" ht="28.5" customFormat="1" customHeight="1" s="1771">
      <c r="J220" s="1965" t="n"/>
      <c r="K220" s="1864" t="n"/>
    </row>
    <row r="221" ht="5" customFormat="1" customHeight="1" s="1771">
      <c r="J221" s="1965" t="n"/>
      <c r="K221" s="1864" t="n"/>
    </row>
    <row r="222" ht="20.75" customFormat="1" customHeight="1" s="1771">
      <c r="J222" s="1965" t="n"/>
      <c r="K222" s="1864" t="n"/>
    </row>
    <row r="223" ht="15" customFormat="1" customHeight="1" s="1771">
      <c r="J223" s="1965" t="n"/>
      <c r="K223" s="1864" t="n"/>
    </row>
    <row r="224" ht="15" customFormat="1" customHeight="1" s="1771">
      <c r="J224" s="1965" t="n"/>
      <c r="K224" s="1864" t="n"/>
    </row>
    <row r="225" ht="5" customFormat="1" customHeight="1" s="1771">
      <c r="J225" s="1965" t="n"/>
      <c r="K225" s="1864" t="n"/>
      <c r="AV225" s="1772" t="n"/>
    </row>
    <row r="226" ht="20.75" customFormat="1" customHeight="1" s="1771">
      <c r="J226" s="1965" t="n"/>
      <c r="K226" s="1864" t="n"/>
      <c r="AV226" s="1772" t="n"/>
    </row>
    <row r="227" ht="15" customFormat="1" customHeight="1" s="1771">
      <c r="J227" s="1965" t="n"/>
      <c r="K227" s="1864" t="n"/>
      <c r="AV227" s="1772" t="n"/>
    </row>
    <row r="228" ht="5" customFormat="1" customHeight="1" s="1771">
      <c r="J228" s="1965" t="n"/>
      <c r="K228" s="1864" t="n"/>
      <c r="AV228" s="1772" t="n"/>
    </row>
    <row r="229" ht="20.75" customFormat="1" customHeight="1" s="1771">
      <c r="J229" s="1965" t="n"/>
      <c r="K229" s="1864" t="n"/>
      <c r="AV229" s="1772" t="n"/>
    </row>
    <row r="230" ht="15" customFormat="1" customHeight="1" s="1771">
      <c r="J230" s="1965" t="n"/>
      <c r="K230" s="1864" t="n"/>
      <c r="AV230" s="1772" t="n"/>
    </row>
    <row r="231" ht="5" customFormat="1" customHeight="1" s="1771">
      <c r="J231" s="1965" t="n"/>
      <c r="K231" s="1864" t="n"/>
      <c r="AV231" s="1772" t="n"/>
    </row>
    <row r="232" ht="15" customHeight="1">
      <c r="J232" s="1965" t="n"/>
    </row>
    <row r="233" ht="15" customHeight="1">
      <c r="J233" s="1965" t="n"/>
    </row>
    <row r="234" ht="15" customHeight="1">
      <c r="J234" s="1965" t="n"/>
    </row>
    <row r="235" ht="5" customHeight="1">
      <c r="J235" s="1965" t="n"/>
    </row>
    <row r="236" ht="15" customHeight="1">
      <c r="J236" s="1965" t="n"/>
    </row>
    <row r="237" ht="15" customHeight="1">
      <c r="J237" s="1965" t="n"/>
    </row>
    <row r="238" ht="15" customHeight="1">
      <c r="J238" s="1965" t="n"/>
    </row>
    <row r="239" ht="5" customHeight="1">
      <c r="J239" s="1965" t="n"/>
    </row>
    <row r="240" ht="15" customHeight="1">
      <c r="J240" s="1965" t="n"/>
    </row>
    <row r="241" ht="15" customHeight="1">
      <c r="J241" s="1965" t="n"/>
    </row>
    <row r="242" ht="5" customHeight="1">
      <c r="J242" s="1965" t="n"/>
    </row>
    <row r="243" ht="15" customHeight="1">
      <c r="J243" s="1965" t="n"/>
    </row>
    <row r="244" ht="15" customHeight="1">
      <c r="J244" s="1965" t="n"/>
    </row>
    <row r="245" ht="5" customHeight="1">
      <c r="J245" s="1965" t="n"/>
    </row>
    <row r="246" ht="15" customHeight="1">
      <c r="J246" s="1965" t="n"/>
    </row>
    <row r="247" ht="15" customHeight="1">
      <c r="J247" s="1965" t="n"/>
    </row>
    <row r="248" ht="27" customHeight="1">
      <c r="J248" s="1965" t="n"/>
    </row>
    <row r="249" ht="5" customHeight="1">
      <c r="J249" s="1965" t="n"/>
    </row>
    <row r="250" ht="15" customHeight="1">
      <c r="J250" s="1965" t="n"/>
    </row>
    <row r="251" ht="15" customHeight="1">
      <c r="J251" s="1965" t="n"/>
    </row>
    <row r="252" ht="26.75" customHeight="1">
      <c r="J252" s="1965" t="n"/>
    </row>
    <row r="253" ht="5" customHeight="1">
      <c r="J253" s="1965" t="n"/>
    </row>
    <row r="254" ht="15" customHeight="1">
      <c r="J254" s="1965" t="n"/>
    </row>
    <row r="255" ht="15" customHeight="1">
      <c r="J255" s="1965" t="n"/>
    </row>
    <row r="256" ht="15" customHeight="1">
      <c r="J256" s="1965" t="n"/>
    </row>
    <row r="257" ht="51.75" customHeight="1">
      <c r="J257" s="1965" t="n"/>
    </row>
    <row r="258" ht="5" customHeight="1">
      <c r="J258" s="1965" t="n"/>
    </row>
    <row r="259" ht="15" customHeight="1">
      <c r="J259" s="1965" t="n"/>
    </row>
    <row r="260" ht="27" customHeight="1">
      <c r="J260" s="1965" t="n"/>
    </row>
    <row r="261" ht="5" customHeight="1">
      <c r="J261" s="1965" t="n"/>
    </row>
    <row r="262" ht="15" customHeight="1">
      <c r="J262" s="1965" t="n"/>
    </row>
    <row r="263" ht="15" customHeight="1">
      <c r="J263" s="1965" t="n"/>
    </row>
    <row r="264" ht="15" customHeight="1">
      <c r="J264" s="1965" t="n"/>
    </row>
    <row r="265" ht="5" customHeight="1">
      <c r="J265" s="1965" t="n"/>
    </row>
    <row r="266" ht="15" customHeight="1">
      <c r="J266" s="1965" t="n"/>
    </row>
    <row r="267" ht="15" customHeight="1">
      <c r="J267" s="1965" t="n"/>
    </row>
    <row r="268" ht="15" customHeight="1">
      <c r="J268" s="1965" t="n"/>
    </row>
    <row r="269" ht="5" customHeight="1">
      <c r="J269" s="1965" t="n"/>
    </row>
    <row r="270" ht="15" customHeight="1">
      <c r="J270" s="1965" t="n"/>
    </row>
    <row r="271" ht="15" customHeight="1">
      <c r="J271" s="1965" t="n"/>
    </row>
    <row r="272" ht="5" customHeight="1">
      <c r="J272" s="1965" t="n"/>
    </row>
    <row r="273" ht="15" customHeight="1">
      <c r="J273" s="1965" t="n"/>
    </row>
    <row r="274" ht="15" customHeight="1">
      <c r="J274" s="1965" t="n"/>
    </row>
    <row r="275" ht="45" customHeight="1">
      <c r="J275" s="1965" t="n"/>
    </row>
    <row r="276" ht="5" customHeight="1">
      <c r="J276" s="1965" t="n"/>
    </row>
    <row r="277" ht="15" customHeight="1">
      <c r="J277" s="1965" t="n"/>
    </row>
    <row r="278" ht="24.75" customHeight="1">
      <c r="J278" s="1965" t="n"/>
    </row>
    <row r="279" ht="5" customHeight="1">
      <c r="J279" s="1965" t="n"/>
    </row>
    <row r="280" ht="15" customHeight="1">
      <c r="J280" s="1965" t="n"/>
    </row>
    <row r="281" ht="48.75" customHeight="1">
      <c r="J281" s="1965" t="n"/>
    </row>
    <row r="282" ht="5" customHeight="1">
      <c r="J282" s="1965" t="n"/>
    </row>
    <row r="283" ht="33" customHeight="1">
      <c r="J283" s="1965" t="n"/>
    </row>
    <row r="284" ht="5" customHeight="1">
      <c r="J284" s="1965" t="n"/>
    </row>
    <row r="285" ht="15" customHeight="1">
      <c r="J285" s="1965" t="n"/>
    </row>
    <row r="286" ht="15" customHeight="1">
      <c r="J286" s="1965" t="n"/>
    </row>
    <row r="287" ht="44.75" customHeight="1">
      <c r="J287" s="1965" t="n"/>
    </row>
    <row r="288" ht="5" customHeight="1">
      <c r="J288" s="1965" t="n"/>
    </row>
    <row r="289" ht="15" customHeight="1">
      <c r="J289" s="1965" t="n"/>
    </row>
    <row r="290" ht="15" customHeight="1">
      <c r="J290" s="1965" t="n"/>
    </row>
    <row r="291" ht="33" customHeight="1">
      <c r="J291" s="1965" t="n"/>
    </row>
    <row r="292" ht="5" customHeight="1">
      <c r="B292" s="1965" t="n"/>
      <c r="C292" s="1965" t="n"/>
      <c r="D292" s="1965" t="n"/>
      <c r="E292" s="1965" t="n"/>
      <c r="F292" s="1965" t="n"/>
      <c r="G292" s="1965" t="n"/>
      <c r="H292" s="1965" t="n"/>
      <c r="I292" s="1965" t="n"/>
      <c r="J292" s="1965" t="n"/>
    </row>
    <row r="298" ht="15" customHeight="1">
      <c r="G298" s="1771" t="n"/>
    </row>
    <row r="299" ht="20" customHeight="1"/>
    <row r="300" ht="15" customHeight="1">
      <c r="G300" s="1771" t="n"/>
    </row>
    <row r="301" ht="15" customHeight="1">
      <c r="G301" s="1771" t="n"/>
    </row>
    <row r="302" ht="15" customHeight="1">
      <c r="G302" s="1771" t="n"/>
    </row>
    <row r="303" ht="15" customHeight="1">
      <c r="G303" s="1771" t="n"/>
    </row>
    <row r="304" ht="15" customHeight="1">
      <c r="G304" s="1771" t="n"/>
    </row>
    <row r="306" ht="15" customHeight="1">
      <c r="G306" s="1771" t="n"/>
    </row>
    <row r="307" ht="15" customHeight="1">
      <c r="G307" s="1771" t="n"/>
    </row>
    <row r="308" ht="15" customHeight="1">
      <c r="G308" s="1771" t="n"/>
    </row>
    <row r="309" ht="15" customHeight="1">
      <c r="G309" s="1771" t="n"/>
    </row>
    <row r="310" ht="15" customHeight="1">
      <c r="G310" s="1771" t="n"/>
    </row>
    <row r="311" ht="15" customHeight="1">
      <c r="G311" s="1771" t="n"/>
    </row>
    <row r="312" ht="15" customHeight="1">
      <c r="G312" s="1771" t="n"/>
    </row>
    <row r="313" ht="15" customHeight="1">
      <c r="G313" s="1771" t="n"/>
    </row>
    <row r="314" ht="15" customHeight="1">
      <c r="G314" s="1771" t="n"/>
    </row>
    <row r="315" ht="15" customHeight="1">
      <c r="G315" s="1771" t="n"/>
    </row>
    <row r="316" ht="15" customHeight="1">
      <c r="G316" s="1771" t="n"/>
    </row>
    <row r="317" ht="15" customHeight="1">
      <c r="G317" s="1771" t="n"/>
    </row>
    <row r="318" ht="15" customHeight="1">
      <c r="G318" s="1771" t="n"/>
    </row>
    <row r="319" ht="15" customHeight="1">
      <c r="G319" s="1771" t="n"/>
    </row>
    <row r="320" ht="15" customHeight="1">
      <c r="G320" s="1771" t="n"/>
    </row>
    <row r="321" ht="15" customHeight="1">
      <c r="G321" s="1771" t="n"/>
    </row>
    <row r="322" ht="15" customHeight="1">
      <c r="G322" s="1771" t="n"/>
      <c r="BO322" s="1966" t="n"/>
      <c r="BP322" s="1966" t="n"/>
      <c r="BQ322" s="1966" t="n"/>
      <c r="BR322" s="1966" t="n"/>
      <c r="BS322" s="1966" t="n"/>
      <c r="BT322" s="1966" t="n"/>
      <c r="BU322" s="1966" t="n"/>
      <c r="BV322" s="1966" t="n"/>
      <c r="BW322" s="1966" t="n"/>
      <c r="BX322" s="1966" t="n"/>
      <c r="BY322" s="1966" t="n"/>
      <c r="BZ322" s="1966" t="n"/>
      <c r="CA322" s="1966" t="n"/>
      <c r="CB322" s="1966" t="n"/>
      <c r="CC322" s="1966" t="n"/>
      <c r="CD322" s="1966" t="n"/>
      <c r="CE322" s="1966" t="n"/>
      <c r="CF322" s="1966" t="n"/>
      <c r="CG322" s="1966" t="n"/>
      <c r="CH322" s="1966" t="n"/>
      <c r="CI322" s="1966" t="n"/>
    </row>
    <row r="323" ht="15" customHeight="1">
      <c r="G323" s="1771" t="n"/>
      <c r="BO323" s="1966" t="n"/>
      <c r="BP323" s="1966" t="n"/>
      <c r="BQ323" s="1966" t="n"/>
      <c r="BR323" s="1966" t="n"/>
      <c r="BS323" s="1966" t="n"/>
      <c r="BT323" s="1966" t="n"/>
      <c r="BU323" s="1966" t="n"/>
      <c r="BV323" s="1966" t="n"/>
      <c r="BW323" s="1966" t="n"/>
      <c r="BX323" s="1966" t="n"/>
      <c r="BY323" s="1966" t="n"/>
      <c r="BZ323" s="1966" t="n"/>
      <c r="CA323" s="1966" t="n"/>
      <c r="CB323" s="1966" t="n"/>
      <c r="CC323" s="1966" t="n"/>
      <c r="CD323" s="1966" t="n"/>
      <c r="CE323" s="1966" t="n"/>
      <c r="CF323" s="1966" t="n"/>
      <c r="CG323" s="1966" t="n"/>
      <c r="CH323" s="1966" t="n"/>
      <c r="CI323" s="1966" t="n"/>
    </row>
    <row r="325" ht="15" customHeight="1">
      <c r="G325" s="1771" t="n"/>
    </row>
    <row r="326" ht="15" customHeight="1">
      <c r="G326" s="1771" t="n"/>
      <c r="BN326" s="1966" t="n"/>
    </row>
    <row r="327" ht="15" customHeight="1">
      <c r="C327" s="1966" t="n"/>
      <c r="D327" s="1966" t="n"/>
      <c r="E327" s="1966" t="n"/>
      <c r="F327" s="1966" t="n"/>
      <c r="G327" s="1966" t="n"/>
      <c r="H327" s="1966" t="n"/>
      <c r="I327" s="1966" t="n"/>
      <c r="J327" s="1966" t="n"/>
      <c r="K327" s="1967" t="n"/>
      <c r="L327" s="1966" t="n"/>
      <c r="M327" s="1966" t="n"/>
      <c r="N327" s="1966" t="n"/>
      <c r="O327" s="1966" t="n"/>
      <c r="P327" s="1966" t="n"/>
      <c r="Q327" s="1966" t="n"/>
      <c r="R327" s="1966" t="n"/>
      <c r="S327" s="1966" t="n"/>
      <c r="T327" s="1966" t="n"/>
      <c r="U327" s="1966" t="n"/>
      <c r="V327" s="1966" t="n"/>
      <c r="W327" s="1966" t="n"/>
      <c r="X327" s="1966" t="n"/>
      <c r="Y327" s="1966" t="n"/>
      <c r="Z327" s="1966" t="n"/>
      <c r="AA327" s="1966" t="n"/>
      <c r="AB327" s="1966" t="n"/>
      <c r="AC327" s="1966" t="n"/>
      <c r="AD327" s="1966" t="n"/>
      <c r="AE327" s="1966" t="n"/>
      <c r="AF327" s="1966" t="n"/>
      <c r="AG327" s="1966" t="n"/>
      <c r="AH327" s="1966" t="n"/>
      <c r="AI327" s="1966" t="n"/>
      <c r="AJ327" s="1966" t="n"/>
      <c r="AK327" s="1966" t="n"/>
      <c r="AL327" s="1966" t="n"/>
      <c r="AM327" s="1966" t="n"/>
      <c r="AN327" s="1966" t="n"/>
      <c r="AW327" s="1966" t="n"/>
      <c r="AX327" s="1966" t="n"/>
      <c r="AY327" s="1966" t="n"/>
      <c r="AZ327" s="1966" t="n"/>
      <c r="BA327" s="1966" t="n"/>
      <c r="BB327" s="1966" t="n"/>
      <c r="BC327" s="1966" t="n"/>
      <c r="BD327" s="1966" t="n"/>
      <c r="BE327" s="1966" t="n"/>
      <c r="BF327" s="1966" t="n"/>
      <c r="BG327" s="1966" t="n"/>
      <c r="BH327" s="1966" t="n"/>
      <c r="BI327" s="1966" t="n"/>
      <c r="BJ327" s="1966" t="n"/>
      <c r="BL327" s="1966" t="n"/>
      <c r="BM327" s="1966" t="n"/>
      <c r="BN327" s="1966" t="n"/>
    </row>
    <row r="328" ht="15" customFormat="1" customHeight="1" s="1966">
      <c r="K328" s="1967" t="n"/>
      <c r="AV328" s="1968" t="n"/>
      <c r="BK328" s="1771" t="n"/>
      <c r="BN328" s="1771" t="n"/>
      <c r="BO328" s="1771" t="n"/>
      <c r="BP328" s="1771" t="n"/>
      <c r="BQ328" s="1771" t="n"/>
      <c r="BR328" s="1771" t="n"/>
      <c r="BS328" s="1771" t="n"/>
      <c r="BT328" s="1771" t="n"/>
      <c r="BU328" s="1771" t="n"/>
      <c r="BV328" s="1771" t="n"/>
      <c r="BW328" s="1771" t="n"/>
      <c r="BX328" s="1771" t="n"/>
      <c r="BY328" s="1771" t="n"/>
      <c r="BZ328" s="1771" t="n"/>
      <c r="CA328" s="1771" t="n"/>
      <c r="CB328" s="1771" t="n"/>
      <c r="CC328" s="1771" t="n"/>
      <c r="CD328" s="1771" t="n"/>
      <c r="CE328" s="1771" t="n"/>
      <c r="CF328" s="1771" t="n"/>
      <c r="CG328" s="1771" t="n"/>
      <c r="CH328" s="1771" t="n"/>
      <c r="CI328" s="1771" t="n"/>
      <c r="CK328" s="1771" t="n"/>
      <c r="CL328" s="1771" t="n"/>
      <c r="CM328" s="1771" t="n"/>
      <c r="CN328" s="1771" t="n"/>
      <c r="CO328" s="1771" t="n"/>
      <c r="CP328" s="1771" t="n"/>
      <c r="CQ328" s="1771" t="n"/>
      <c r="CR328" s="1771" t="n"/>
      <c r="CS328" s="1771" t="n"/>
      <c r="CT328" s="1771" t="n"/>
      <c r="CU328" s="1771" t="n"/>
      <c r="CV328" s="1771" t="n"/>
      <c r="CW328" s="1771" t="n"/>
      <c r="CX328" s="1771" t="n"/>
      <c r="CY328" s="1771" t="n"/>
      <c r="CZ328" s="1771" t="n"/>
      <c r="DA328" s="1771" t="n"/>
    </row>
    <row r="329" ht="15" customFormat="1" customHeight="1" s="1966">
      <c r="C329" s="1771" t="n"/>
      <c r="D329" s="1771" t="n"/>
      <c r="E329" s="1771" t="n"/>
      <c r="F329" s="1771" t="n"/>
      <c r="G329" s="1771" t="n"/>
      <c r="H329" s="1771" t="n"/>
      <c r="I329" s="1771" t="n"/>
      <c r="J329" s="1771" t="n"/>
      <c r="K329" s="1864" t="n"/>
      <c r="L329" s="1771" t="n"/>
      <c r="M329" s="1771" t="n"/>
      <c r="N329" s="1771" t="n"/>
      <c r="O329" s="1771" t="n"/>
      <c r="P329" s="1771" t="n"/>
      <c r="Q329" s="1771" t="n"/>
      <c r="R329" s="1771" t="n"/>
      <c r="S329" s="1771" t="n"/>
      <c r="T329" s="1771" t="n"/>
      <c r="U329" s="1771" t="n"/>
      <c r="V329" s="1771" t="n"/>
      <c r="W329" s="1771" t="n"/>
      <c r="X329" s="1771" t="n"/>
      <c r="Y329" s="1771" t="n"/>
      <c r="Z329" s="1771" t="n"/>
      <c r="AA329" s="1771" t="n"/>
      <c r="AB329" s="1771" t="n"/>
      <c r="AC329" s="1771" t="n"/>
      <c r="AD329" s="1771" t="n"/>
      <c r="AE329" s="1771" t="n"/>
      <c r="AF329" s="1771" t="n"/>
      <c r="AG329" s="1771" t="n"/>
      <c r="AH329" s="1771" t="n"/>
      <c r="AI329" s="1771" t="n"/>
      <c r="AJ329" s="1771" t="n"/>
      <c r="AK329" s="1771" t="n"/>
      <c r="AL329" s="1771" t="n"/>
      <c r="AM329" s="1771" t="n"/>
      <c r="AN329" s="1771" t="n"/>
      <c r="AV329" s="1968" t="n"/>
      <c r="AW329" s="1771" t="n"/>
      <c r="AX329" s="1771" t="n"/>
      <c r="AY329" s="1771" t="n"/>
      <c r="AZ329" s="1771" t="n"/>
      <c r="BA329" s="1771" t="n"/>
      <c r="BB329" s="1771" t="n"/>
      <c r="BC329" s="1771" t="n"/>
      <c r="BD329" s="1771" t="n"/>
      <c r="BE329" s="1771" t="n"/>
      <c r="BF329" s="1771" t="n"/>
      <c r="BG329" s="1771" t="n"/>
      <c r="BH329" s="1771" t="n"/>
      <c r="BI329" s="1771" t="n"/>
      <c r="BJ329" s="1771" t="n"/>
      <c r="BK329" s="1771" t="n"/>
      <c r="BL329" s="1771" t="n"/>
      <c r="BM329" s="1771" t="n"/>
      <c r="BN329" s="1771" t="n"/>
      <c r="BO329" s="1771" t="n"/>
      <c r="BP329" s="1771" t="n"/>
      <c r="BQ329" s="1771" t="n"/>
      <c r="BR329" s="1771" t="n"/>
      <c r="BS329" s="1771" t="n"/>
      <c r="BT329" s="1771" t="n"/>
      <c r="BU329" s="1771" t="n"/>
      <c r="BV329" s="1771" t="n"/>
      <c r="BW329" s="1771" t="n"/>
      <c r="BX329" s="1771" t="n"/>
      <c r="BY329" s="1771" t="n"/>
      <c r="BZ329" s="1771" t="n"/>
      <c r="CA329" s="1771" t="n"/>
      <c r="CB329" s="1771" t="n"/>
      <c r="CC329" s="1771" t="n"/>
      <c r="CD329" s="1771" t="n"/>
      <c r="CE329" s="1771" t="n"/>
      <c r="CF329" s="1771" t="n"/>
      <c r="CG329" s="1771" t="n"/>
      <c r="CH329" s="1771" t="n"/>
      <c r="CI329" s="1771" t="n"/>
      <c r="CK329" s="1771" t="n"/>
      <c r="CL329" s="1771" t="n"/>
      <c r="CM329" s="1771" t="n"/>
      <c r="CN329" s="1771" t="n"/>
      <c r="CO329" s="1771" t="n"/>
      <c r="CP329" s="1771" t="n"/>
      <c r="CQ329" s="1771" t="n"/>
      <c r="CR329" s="1771" t="n"/>
      <c r="CS329" s="1771" t="n"/>
      <c r="CT329" s="1771" t="n"/>
      <c r="CU329" s="1771" t="n"/>
      <c r="CV329" s="1771" t="n"/>
      <c r="CW329" s="1771" t="n"/>
      <c r="CX329" s="1771" t="n"/>
      <c r="CY329" s="1771" t="n"/>
      <c r="CZ329" s="1771" t="n"/>
      <c r="DA329" s="1771" t="n"/>
    </row>
    <row r="330" ht="15" customHeight="1">
      <c r="G330" s="1771" t="n"/>
      <c r="BK330" s="1966" t="n"/>
    </row>
    <row r="331" ht="15" customHeight="1">
      <c r="G331" s="1771" t="n"/>
      <c r="BK331" s="1966" t="n"/>
      <c r="CK331" s="1966" t="n"/>
      <c r="CL331" s="1966" t="n"/>
      <c r="CM331" s="1966" t="n"/>
      <c r="CN331" s="1966" t="n"/>
      <c r="CO331" s="1966" t="n"/>
      <c r="CP331" s="1966" t="n"/>
      <c r="CQ331" s="1966" t="n"/>
      <c r="CR331" s="1966" t="n"/>
      <c r="CS331" s="1966" t="n"/>
      <c r="CT331" s="1966" t="n"/>
      <c r="CU331" s="1966" t="n"/>
      <c r="CV331" s="1966" t="n"/>
      <c r="CW331" s="1966" t="n"/>
      <c r="CX331" s="1966" t="n"/>
      <c r="CY331" s="1966" t="n"/>
      <c r="CZ331" s="1966" t="n"/>
      <c r="DA331" s="1966" t="n"/>
    </row>
    <row r="332" ht="15" customHeight="1">
      <c r="G332" s="1771" t="n"/>
      <c r="CK332" s="1966" t="n"/>
      <c r="CL332" s="1966" t="n"/>
      <c r="CM332" s="1966" t="n"/>
      <c r="CN332" s="1966" t="n"/>
      <c r="CO332" s="1966" t="n"/>
      <c r="CP332" s="1966" t="n"/>
      <c r="CQ332" s="1966" t="n"/>
      <c r="CR332" s="1966" t="n"/>
      <c r="CS332" s="1966" t="n"/>
      <c r="CT332" s="1966" t="n"/>
      <c r="CU332" s="1966" t="n"/>
      <c r="CV332" s="1966" t="n"/>
      <c r="CW332" s="1966" t="n"/>
      <c r="CX332" s="1966" t="n"/>
      <c r="CY332" s="1966" t="n"/>
      <c r="CZ332" s="1966" t="n"/>
      <c r="DA332" s="1966" t="n"/>
    </row>
    <row r="333" ht="15" customHeight="1">
      <c r="G333" s="1771" t="n"/>
    </row>
    <row r="334" ht="15" customHeight="1">
      <c r="G334" s="1771" t="n"/>
    </row>
    <row r="335" ht="15" customHeight="1">
      <c r="G335" s="1771" t="n"/>
    </row>
    <row r="336" ht="15" customHeight="1">
      <c r="G336" s="1771" t="n"/>
    </row>
    <row r="337" ht="15" customHeight="1">
      <c r="G337" s="1771" t="n"/>
    </row>
    <row r="338" ht="15" customHeight="1">
      <c r="G338" s="1771" t="n"/>
    </row>
    <row r="339" ht="15" customHeight="1">
      <c r="G339" s="1771" t="n"/>
    </row>
    <row r="340" ht="15" customHeight="1">
      <c r="G340" s="1771" t="n"/>
    </row>
    <row r="341" ht="15" customHeight="1">
      <c r="G341" s="1771" t="n"/>
    </row>
    <row r="342" ht="15" customHeight="1">
      <c r="G342" s="1771" t="n"/>
    </row>
    <row r="343" ht="15" customHeight="1">
      <c r="G343" s="1771" t="n"/>
    </row>
    <row r="344" ht="15" customHeight="1">
      <c r="G344" s="1771" t="n"/>
    </row>
    <row r="430" ht="15" customHeight="1">
      <c r="C430" s="1969" t="n"/>
      <c r="D430" s="1969" t="n"/>
    </row>
    <row r="484" ht="20.25" customFormat="1" customHeight="1" s="1970">
      <c r="C484" s="1771" t="n"/>
      <c r="D484" s="1771" t="n"/>
      <c r="E484" s="1771" t="n"/>
      <c r="F484" s="1771" t="n"/>
      <c r="G484" s="1863" t="n"/>
      <c r="H484" s="1771" t="n"/>
      <c r="I484" s="1771" t="n"/>
      <c r="J484" s="1771" t="n"/>
      <c r="K484" s="1864" t="n"/>
      <c r="L484" s="1771" t="n"/>
      <c r="M484" s="1771" t="n"/>
      <c r="N484" s="1771" t="n"/>
      <c r="O484" s="1771" t="n"/>
      <c r="P484" s="1771" t="n"/>
      <c r="Q484" s="1771" t="n"/>
      <c r="R484" s="1771" t="n"/>
      <c r="AV484" s="1971" t="n"/>
      <c r="CK484" s="1771" t="n"/>
      <c r="CL484" s="1771" t="n"/>
      <c r="CM484" s="1771" t="n"/>
      <c r="CN484" s="1771" t="n"/>
      <c r="CO484" s="1771" t="n"/>
      <c r="CP484" s="1771" t="n"/>
      <c r="CQ484" s="1771" t="n"/>
      <c r="CR484" s="1771" t="n"/>
      <c r="CS484" s="1771" t="n"/>
      <c r="CT484" s="1771" t="n"/>
      <c r="CU484" s="1771" t="n"/>
      <c r="CV484" s="1771" t="n"/>
      <c r="CW484" s="1771" t="n"/>
      <c r="CX484" s="1771" t="n"/>
      <c r="CY484" s="1771" t="n"/>
      <c r="CZ484" s="1771" t="n"/>
      <c r="DA484" s="1771" t="n"/>
    </row>
    <row r="487" ht="23" customHeight="1">
      <c r="CK487" s="1970" t="n"/>
      <c r="CL487" s="1970" t="n"/>
      <c r="CM487" s="1970" t="n"/>
      <c r="CN487" s="1970" t="n"/>
      <c r="CO487" s="1970" t="n"/>
      <c r="CP487" s="1970" t="n"/>
      <c r="CQ487" s="1970" t="n"/>
      <c r="CR487" s="1970" t="n"/>
      <c r="CS487" s="1970" t="n"/>
      <c r="CT487" s="1970" t="n"/>
      <c r="CU487" s="1970" t="n"/>
      <c r="CV487" s="1970" t="n"/>
      <c r="CW487" s="1970" t="n"/>
      <c r="CX487" s="1970" t="n"/>
      <c r="CY487" s="1970" t="n"/>
      <c r="CZ487" s="1970" t="n"/>
      <c r="DA487" s="1970" t="n"/>
    </row>
    <row r="489" ht="23" customHeight="1"/>
    <row r="522" ht="15" customHeight="1">
      <c r="G522" s="1771" t="n"/>
      <c r="K522" s="1771" t="n"/>
    </row>
    <row r="523" ht="15" customHeight="1">
      <c r="G523" s="1771" t="n"/>
      <c r="K523" s="1771" t="n"/>
    </row>
    <row r="524" ht="15" customHeight="1">
      <c r="G524" s="1771" t="n"/>
      <c r="K524" s="1771" t="n"/>
    </row>
    <row r="525" ht="15" customHeight="1">
      <c r="G525" s="1771" t="n"/>
      <c r="K525" s="1771" t="n"/>
    </row>
    <row r="526" ht="15" customHeight="1">
      <c r="G526" s="1771" t="n"/>
      <c r="K526" s="1771" t="n"/>
    </row>
    <row r="527" ht="15" customHeight="1">
      <c r="G527" s="1771" t="n"/>
      <c r="K527" s="1771" t="n"/>
    </row>
    <row r="528" ht="15" customHeight="1">
      <c r="G528" s="1771" t="n"/>
      <c r="K528" s="1771" t="n"/>
    </row>
    <row r="529" ht="15" customHeight="1">
      <c r="G529" s="1771" t="n"/>
      <c r="K529" s="1771" t="n"/>
    </row>
    <row r="530" ht="15" customHeight="1">
      <c r="G530" s="1771" t="n"/>
      <c r="K530" s="1771" t="n"/>
    </row>
    <row r="531" ht="15" customHeight="1">
      <c r="G531" s="1771" t="n"/>
      <c r="K531" s="1771" t="n"/>
    </row>
    <row r="532" ht="15" customHeight="1">
      <c r="G532" s="1771" t="n"/>
      <c r="K532" s="1771" t="n"/>
    </row>
    <row r="533" ht="15" customHeight="1">
      <c r="G533" s="1771" t="n"/>
      <c r="K533" s="1771" t="n"/>
    </row>
    <row r="534" ht="15" customHeight="1">
      <c r="G534" s="1771" t="n"/>
      <c r="K534" s="1771" t="n"/>
    </row>
    <row r="535" ht="15" customHeight="1">
      <c r="G535" s="1771" t="n"/>
      <c r="K535" s="1771" t="n"/>
    </row>
    <row r="536" ht="15" customHeight="1">
      <c r="G536" s="1771" t="n"/>
      <c r="K536" s="1771" t="n"/>
    </row>
    <row r="537" ht="15" customHeight="1">
      <c r="G537" s="1771" t="n"/>
      <c r="K537" s="1771" t="n"/>
    </row>
    <row r="538" ht="15" customHeight="1">
      <c r="G538" s="1771" t="n"/>
      <c r="K538" s="1771" t="n"/>
    </row>
    <row r="539" ht="15" customHeight="1">
      <c r="G539" s="1771" t="n"/>
      <c r="K539" s="1771" t="n"/>
    </row>
    <row r="540" ht="15" customHeight="1">
      <c r="G540" s="1771" t="n"/>
      <c r="K540" s="1771" t="n"/>
    </row>
    <row r="541" ht="15" customHeight="1">
      <c r="G541" s="1771" t="n"/>
      <c r="K541" s="1771" t="n"/>
    </row>
    <row r="542" ht="15" customHeight="1">
      <c r="G542" s="1771" t="n"/>
      <c r="K542" s="1771" t="n"/>
    </row>
    <row r="543" ht="15" customHeight="1">
      <c r="G543" s="1771" t="n"/>
      <c r="K543" s="1771" t="n"/>
    </row>
    <row r="544" ht="15" customHeight="1">
      <c r="G544" s="1771" t="n"/>
      <c r="K544" s="1771" t="n"/>
    </row>
    <row r="545" ht="15" customHeight="1">
      <c r="G545" s="1771" t="n"/>
      <c r="K545" s="1771" t="n"/>
    </row>
    <row r="546" ht="15" customHeight="1">
      <c r="G546" s="1771" t="n"/>
      <c r="K546" s="1771" t="n"/>
    </row>
    <row r="547" ht="15" customHeight="1">
      <c r="G547" s="1771" t="n"/>
      <c r="K547" s="1771" t="n"/>
    </row>
    <row r="557" ht="23" customHeight="1"/>
    <row r="562" ht="23" customHeight="1"/>
    <row r="564" ht="23" customHeight="1"/>
    <row r="565" ht="23" customHeight="1"/>
    <row r="573" ht="23" customHeight="1"/>
    <row r="596" ht="20" customHeight="1"/>
    <row r="599" ht="20" customHeight="1"/>
    <row r="600" ht="20" customHeight="1"/>
    <row r="602" ht="20" customHeight="1"/>
    <row r="603" ht="20" customHeight="1"/>
    <row r="605" ht="20" customHeight="1"/>
    <row r="609" ht="20" customHeight="1"/>
    <row r="611" ht="20" customHeight="1"/>
    <row r="612" ht="20" customHeight="1"/>
    <row r="615" ht="20" customHeight="1"/>
    <row r="617" ht="20" customHeight="1"/>
    <row r="620" ht="20" customHeight="1"/>
    <row r="623" ht="20" customHeight="1"/>
    <row r="625" ht="20" customHeight="1"/>
    <row r="626" ht="20" customHeight="1"/>
    <row r="627" ht="20" customHeight="1"/>
    <row r="628" ht="20" customHeight="1">
      <c r="S628" s="1972" t="n"/>
      <c r="U628" s="1972" t="n"/>
    </row>
    <row r="629" ht="20" customHeight="1">
      <c r="S629" s="1972" t="n"/>
      <c r="U629" s="1972" t="n"/>
    </row>
    <row r="630" ht="20" customHeight="1">
      <c r="S630" s="1972" t="n"/>
      <c r="U630" s="1972" t="n"/>
    </row>
    <row r="631" ht="20" customHeight="1">
      <c r="S631" s="1972" t="n"/>
      <c r="U631" s="1972" t="n"/>
    </row>
    <row r="632" ht="20" customHeight="1">
      <c r="S632" s="1972" t="n"/>
      <c r="U632" s="1972" t="n"/>
    </row>
    <row r="633" ht="20" customHeight="1">
      <c r="S633" s="1972" t="n"/>
      <c r="U633" s="1972" t="n"/>
    </row>
    <row r="634" ht="20" customHeight="1">
      <c r="C634" s="1972" t="n"/>
      <c r="E634" s="1972" t="n"/>
      <c r="G634" s="1972" t="n"/>
      <c r="I634" s="1972" t="n"/>
      <c r="K634" s="1973" t="n"/>
      <c r="M634" s="1972" t="n"/>
      <c r="O634" s="1972" t="n"/>
      <c r="Q634" s="1972" t="n"/>
      <c r="S634" s="1972" t="n"/>
      <c r="U634" s="1972" t="n"/>
    </row>
    <row r="635" ht="20" customHeight="1"/>
    <row r="639" ht="15" customHeight="1">
      <c r="G639" s="1974" t="n"/>
    </row>
    <row r="641" ht="15" customHeight="1">
      <c r="G641" s="1974" t="n"/>
    </row>
  </sheetData>
  <sheetProtection selectLockedCells="0" selectUnlockedCells="0" algorithmName="SHA-512" sheet="1" objects="0" insertRows="1" insertHyperlinks="1" autoFilter="1" scenarios="0" formatColumns="0" deleteColumns="1" insertColumns="1" pivotTables="1" deleteRows="1" formatCells="1" saltValue="iDoeoPncYl+7PymYefhdnA==" formatRows="1" sort="1" spinCount="100000" hashValue="5jmifM4cZ7Q65YhC1UaRXOCLafoimHoSnlrI2uIfEpw/zPiFdbV4o9X3L7RKw66limBAL8CsLW3wuEN8QNjdYQ=="/>
  <mergeCells count="3">
    <mergeCell ref="BO36:BQ38"/>
    <mergeCell ref="BL119:BN121"/>
    <mergeCell ref="BK77:BM79"/>
  </mergeCells>
  <conditionalFormatting sqref="Q37:S37 V37">
    <cfRule type="expression" priority="8" dxfId="60">
      <formula>$Q$37 &lt;&gt; ""</formula>
    </cfRule>
  </conditionalFormatting>
  <conditionalFormatting sqref="Q77:T77">
    <cfRule type="expression" priority="7" dxfId="329">
      <formula>IF($R$77&lt;&gt; $T$77,)</formula>
    </cfRule>
  </conditionalFormatting>
  <conditionalFormatting sqref="Q120:T120">
    <cfRule type="expression" priority="5" dxfId="330">
      <formula>$Q$120&lt;&gt;""</formula>
    </cfRule>
  </conditionalFormatting>
  <conditionalFormatting sqref="Q36:U36">
    <cfRule type="expression" priority="1" dxfId="329">
      <formula>IF($R$77&lt;&gt; $T$77,)</formula>
    </cfRule>
  </conditionalFormatting>
  <dataValidations xWindow="1306" yWindow="560" count="8">
    <dataValidation sqref="BG101" showDropDown="0" showInputMessage="1" showErrorMessage="1" allowBlank="0" type="custom">
      <formula1>"&gt;=0"</formula1>
    </dataValidation>
    <dataValidation sqref="M14:M17 M25:M34 M56:M59 M66:M75 M97:M100 M108:M117 Q25:R34 Q66:R75 Q108:Q117 R108:R118 T25:T34 T66:T75 T108:T118 AS97:AS100 AS108:AS117 AT14:AT15 AT17 AT25:AT34 AT56:AT59 AT66:AT75 AU99:AU100 AU108:AU117 AV14:AV17 AV25:AV34 AV56:AV59 AV66:AV75 AW97:AW100 AW108:AW117 AX14:AX17 AX25:AX34 AX56:AX59 AX66:AX75 AY97:AY100 AY108:AY117 AZ14:AZ17 AZ25:AZ34 AZ56:AZ59 AZ66:AZ75 BA97:BA100 BA108:BA117 BB14:BB17 BB25:BB34 BB56:BB59 BB66:BB75 BC97:BC100 BC108:BC117 BD56:BD59 BD66:BD75 BE97:BE100 BE108:BE117 BF56:BF59 BF66:BF75 BG97:BG100 BG108:BG117 BH56:BH59 BH66:BH75 BI14:BI17 BI25:BI34 BI97:BI100 BI108:BI117 BL14:BL17 BL25:BL34" showDropDown="0" showInputMessage="1" showErrorMessage="1" allowBlank="0" type="decimal" operator="greaterThanOrEqual">
      <formula1>0</formula1>
    </dataValidation>
    <dataValidation sqref="R39" showDropDown="0" showInputMessage="1" showErrorMessage="1" allowBlank="0" error="Please correct areas"/>
    <dataValidation sqref="M37" showDropDown="0" showInputMessage="0" showErrorMessage="1" allowBlank="0" errorTitle="Error" error="The total area of annual croppig systems must remain the same at the start, without and with the project scenario. _x000a__x000a_Please correct areas. " type="decimal" operator="equal">
      <formula1>$R$35=$Q$35=$T$35</formula1>
    </dataValidation>
    <dataValidation sqref="R35" showDropDown="0" showInputMessage="0" showErrorMessage="1" allowBlank="0" errorTitle="Error" error="Total area must remain the same at the start, without and with the project scenario. _x000a__x000a_Please correct areas!_x000a_" type="decimal" operator="equal">
      <formula1>$Q$35</formula1>
    </dataValidation>
    <dataValidation sqref="T35" showDropDown="0" showInputMessage="0" showErrorMessage="1" allowBlank="0" errorTitle="Error" error="Total area must remain the same at the start, without and with project scenario!_x000a__x000a_Please correct areas!" type="decimal" operator="equal">
      <formula1>$R$35</formula1>
    </dataValidation>
    <dataValidation sqref="U76" showDropDown="0" showInputMessage="1" showErrorMessage="1" allowBlank="0" type="list">
      <formula1>$I$36:$I$37</formula1>
    </dataValidation>
    <dataValidation sqref="K14:K17 K25:K34" showDropDown="0" showInputMessage="1" showErrorMessage="1" allowBlank="0" prompt="See Definition for IPCC recomendations on residue management options." type="list">
      <formula1>INDIRECT($AA14)</formula1>
    </dataValidation>
  </dataValidations>
  <hyperlinks>
    <hyperlink ref="I94" location="'3. Cropland'!C620" display="During ?"/>
  </hyperlinks>
  <pageMargins left="0.7" right="0.7" top="0.75" bottom="0.75" header="0.3" footer="0.3"/>
  <pageSetup orientation="portrait" paperSize="9"/>
</worksheet>
</file>

<file path=xl/worksheets/sheet8.xml><?xml version="1.0" encoding="utf-8"?>
<worksheet xmlns="http://schemas.openxmlformats.org/spreadsheetml/2006/main">
  <sheetPr codeName="Sheet18">
    <outlinePr summaryBelow="1" summaryRight="1"/>
    <pageSetUpPr/>
  </sheetPr>
  <dimension ref="A1:Q39"/>
  <sheetViews>
    <sheetView topLeftCell="F1" workbookViewId="0">
      <selection activeCell="N31" sqref="N31"/>
    </sheetView>
  </sheetViews>
  <sheetFormatPr baseColWidth="10" defaultColWidth="9.33203125" defaultRowHeight="15"/>
  <cols>
    <col width="27.6640625" customWidth="1" style="284" min="1" max="1"/>
    <col width="33.5" customWidth="1" style="284" min="2" max="2"/>
    <col width="24.33203125" customWidth="1" style="284" min="3" max="3"/>
    <col width="33.5" customWidth="1" style="284" min="4" max="4"/>
    <col width="19.6640625" customWidth="1" style="284" min="5" max="5"/>
    <col width="20.5" customWidth="1" style="284" min="6" max="6"/>
    <col width="9.33203125" customWidth="1" style="284" min="7" max="8"/>
    <col width="22.5" customWidth="1" style="284" min="9" max="9"/>
    <col width="24.5" customWidth="1" style="284" min="10" max="10"/>
    <col width="9.33203125" customWidth="1" style="284" min="11" max="11"/>
    <col width="13.33203125" customWidth="1" style="284" min="12" max="12"/>
    <col width="9.33203125" customWidth="1" style="284" min="13" max="13"/>
    <col width="14" customWidth="1" style="284" min="14" max="14"/>
    <col width="13.5" customWidth="1" style="284" min="15" max="15"/>
    <col width="9.33203125" customWidth="1" style="284" min="16" max="16384"/>
  </cols>
  <sheetData>
    <row r="1" customFormat="1" s="946">
      <c r="A1" s="876" t="inlineStr">
        <is>
          <t>Source: http://www.fao.org/3/s2022e/s2022e07.htm Table 14 for crop water requirement and table 6 for crop growing season</t>
        </is>
      </c>
      <c r="L1" s="899" t="n"/>
      <c r="M1" s="899" t="n"/>
      <c r="N1" s="899" t="n"/>
      <c r="O1" s="899" t="n"/>
      <c r="P1" s="899" t="n"/>
    </row>
    <row r="2" ht="16" customFormat="1" customHeight="1" s="921">
      <c r="A2" s="953" t="inlineStr">
        <is>
          <t>Crop Table 14</t>
        </is>
      </c>
      <c r="B2" s="932" t="n"/>
      <c r="C2" s="932" t="n"/>
      <c r="D2" s="932" t="n"/>
      <c r="E2" s="932" t="n"/>
      <c r="F2" s="932" t="n"/>
      <c r="I2" s="952" t="inlineStr">
        <is>
          <t>Growing season</t>
        </is>
      </c>
      <c r="L2" s="943" t="n"/>
      <c r="M2" s="944" t="inlineStr">
        <is>
          <t>CLIMATE HELPER</t>
        </is>
      </c>
      <c r="N2" s="943" t="n"/>
      <c r="O2" s="943" t="n"/>
      <c r="P2" s="943" t="n"/>
    </row>
    <row r="3" ht="28" customFormat="1" customHeight="1" s="921">
      <c r="A3" s="942" t="inlineStr">
        <is>
          <t>Please select</t>
        </is>
      </c>
      <c r="B3" s="945" t="inlineStr">
        <is>
          <t>Crop water need 
(mm/total growing period)</t>
        </is>
      </c>
      <c r="C3" s="942" t="inlineStr">
        <is>
          <t>Sensitivity to drought</t>
        </is>
      </c>
      <c r="D3" s="945" t="inlineStr">
        <is>
          <t>Average crop water need ETcrop (mm/total growing period)</t>
        </is>
      </c>
      <c r="E3" s="945" t="inlineStr">
        <is>
          <t>Average Total growing period (days)</t>
        </is>
      </c>
      <c r="F3" s="945" t="inlineStr">
        <is>
          <t>Water need 
(l/ha/growing period)</t>
        </is>
      </c>
      <c r="G3" s="945" t="n"/>
      <c r="I3" s="951" t="inlineStr">
        <is>
          <t>Crop table 6</t>
        </is>
      </c>
      <c r="J3" s="951" t="inlineStr">
        <is>
          <t>Total growing period (days)</t>
        </is>
      </c>
      <c r="L3" s="943" t="n"/>
      <c r="M3" s="944" t="n"/>
      <c r="N3" s="943" t="n"/>
      <c r="O3" s="943" t="n"/>
      <c r="P3" s="943" t="n"/>
    </row>
    <row r="4">
      <c r="A4" s="936" t="inlineStr">
        <is>
          <t>Alfalfa</t>
        </is>
      </c>
      <c r="B4" s="937" t="inlineStr">
        <is>
          <t>800-1600</t>
        </is>
      </c>
      <c r="C4" s="936" t="inlineStr">
        <is>
          <t>low-medium</t>
        </is>
      </c>
      <c r="D4" s="937">
        <f>AVERAGE(800,1600)</f>
        <v/>
      </c>
      <c r="E4" s="938">
        <f>AVERAGE(100,365)</f>
        <v/>
      </c>
      <c r="F4" s="939">
        <f>D4*10000</f>
        <v/>
      </c>
      <c r="I4" s="936" t="inlineStr">
        <is>
          <t>Alfalfa</t>
        </is>
      </c>
      <c r="J4" s="937" t="inlineStr">
        <is>
          <t>100-365</t>
        </is>
      </c>
      <c r="L4" s="940" t="n"/>
      <c r="M4" s="940" t="n"/>
      <c r="O4" s="940" t="inlineStr">
        <is>
          <t>MAT</t>
        </is>
      </c>
      <c r="P4" s="940" t="inlineStr">
        <is>
          <t>MAP</t>
        </is>
      </c>
      <c r="Q4" s="940" t="inlineStr">
        <is>
          <t>Ratio of potential of evapotranspiration</t>
        </is>
      </c>
    </row>
    <row r="5">
      <c r="A5" s="936" t="inlineStr">
        <is>
          <t>Banana</t>
        </is>
      </c>
      <c r="B5" s="937" t="inlineStr">
        <is>
          <t>1200-2200</t>
        </is>
      </c>
      <c r="C5" s="936" t="inlineStr">
        <is>
          <t>high</t>
        </is>
      </c>
      <c r="D5" s="937">
        <f>AVERAGE(1200,2200)</f>
        <v/>
      </c>
      <c r="E5" s="938">
        <f>AVERAGE(300,365)</f>
        <v/>
      </c>
      <c r="F5" s="939">
        <f>D5*10000</f>
        <v/>
      </c>
      <c r="I5" s="936" t="inlineStr">
        <is>
          <t>Banana</t>
        </is>
      </c>
      <c r="J5" s="937" t="inlineStr">
        <is>
          <t>300-365</t>
        </is>
      </c>
      <c r="L5" s="940" t="n"/>
      <c r="M5" s="940" t="inlineStr">
        <is>
          <t>Tropical montae</t>
        </is>
      </c>
      <c r="N5" s="940" t="n"/>
      <c r="O5" s="941" t="n"/>
      <c r="P5" s="940" t="n"/>
    </row>
    <row r="6">
      <c r="A6" s="936" t="inlineStr">
        <is>
          <t>Barley/Oats/Wheat</t>
        </is>
      </c>
      <c r="B6" s="937" t="inlineStr">
        <is>
          <t>450-650</t>
        </is>
      </c>
      <c r="C6" s="936" t="inlineStr">
        <is>
          <t>low-medium</t>
        </is>
      </c>
      <c r="D6" s="937">
        <f>AVERAGE(450,650)</f>
        <v/>
      </c>
      <c r="E6" s="938">
        <f>AVERAGE(120,150)</f>
        <v/>
      </c>
      <c r="F6" s="939">
        <f>D6*10000</f>
        <v/>
      </c>
      <c r="I6" s="936" t="inlineStr">
        <is>
          <t>Barley/Oats/Wheat</t>
        </is>
      </c>
      <c r="J6" s="937" t="inlineStr">
        <is>
          <t>120-150</t>
        </is>
      </c>
      <c r="L6" s="940" t="n"/>
      <c r="M6" s="940" t="n"/>
      <c r="N6" s="940" t="n"/>
      <c r="O6" s="941" t="n"/>
      <c r="P6" s="940" t="n"/>
    </row>
    <row r="7">
      <c r="A7" s="936" t="inlineStr">
        <is>
          <t>Bean</t>
        </is>
      </c>
      <c r="B7" s="937" t="inlineStr">
        <is>
          <t>300-500</t>
        </is>
      </c>
      <c r="C7" s="936" t="inlineStr">
        <is>
          <t>medium-high</t>
        </is>
      </c>
      <c r="D7" s="937">
        <f>AVERAGE(300,500)</f>
        <v/>
      </c>
      <c r="E7" s="938">
        <f>AVERAGE(75,90,95,110)</f>
        <v/>
      </c>
      <c r="F7" s="939">
        <f>D7*10000</f>
        <v/>
      </c>
      <c r="I7" s="936" t="inlineStr">
        <is>
          <t>Bean green</t>
        </is>
      </c>
      <c r="J7" s="937" t="inlineStr">
        <is>
          <t>75-90</t>
        </is>
      </c>
      <c r="L7" s="940" t="n"/>
      <c r="M7" s="940" t="n"/>
      <c r="N7" s="940" t="n"/>
      <c r="O7" s="940" t="n"/>
      <c r="P7" s="940" t="n"/>
    </row>
    <row r="8">
      <c r="A8" s="936" t="inlineStr">
        <is>
          <t>Cabbage</t>
        </is>
      </c>
      <c r="B8" s="937" t="inlineStr">
        <is>
          <t>350-500</t>
        </is>
      </c>
      <c r="C8" s="936" t="inlineStr">
        <is>
          <t>medium-high</t>
        </is>
      </c>
      <c r="D8" s="937">
        <f>AVERAGE(350,550)</f>
        <v/>
      </c>
      <c r="E8" s="938">
        <f>AVERAGE(120,140)</f>
        <v/>
      </c>
      <c r="F8" s="939">
        <f>D8*10000</f>
        <v/>
      </c>
      <c r="I8" s="936" t="inlineStr">
        <is>
          <t>Bean dry</t>
        </is>
      </c>
      <c r="J8" s="937" t="inlineStr">
        <is>
          <t>95-110</t>
        </is>
      </c>
      <c r="L8" s="940" t="n"/>
      <c r="M8" s="940" t="n"/>
      <c r="N8" s="940" t="n"/>
      <c r="O8" s="941" t="n"/>
      <c r="P8" s="940" t="n"/>
    </row>
    <row r="9">
      <c r="A9" s="936" t="inlineStr">
        <is>
          <t>Citrus</t>
        </is>
      </c>
      <c r="B9" s="937" t="inlineStr">
        <is>
          <t>900-1200</t>
        </is>
      </c>
      <c r="C9" s="936" t="inlineStr">
        <is>
          <t>low-medium</t>
        </is>
      </c>
      <c r="D9" s="937">
        <f>AVERAGE(900,1200)</f>
        <v/>
      </c>
      <c r="E9" s="938">
        <f>AVERAGE(240,365)</f>
        <v/>
      </c>
      <c r="F9" s="939">
        <f>D9*10000</f>
        <v/>
      </c>
      <c r="I9" s="936" t="inlineStr">
        <is>
          <t>Cabbage</t>
        </is>
      </c>
      <c r="J9" s="937" t="inlineStr">
        <is>
          <t>120-140</t>
        </is>
      </c>
    </row>
    <row r="10">
      <c r="A10" s="936" t="inlineStr">
        <is>
          <t>Cotton</t>
        </is>
      </c>
      <c r="B10" s="937" t="inlineStr">
        <is>
          <t>700-1300</t>
        </is>
      </c>
      <c r="C10" s="936" t="inlineStr">
        <is>
          <t>low</t>
        </is>
      </c>
      <c r="D10" s="937">
        <f>AVERAGE(700,1300)</f>
        <v/>
      </c>
      <c r="E10" s="938">
        <f>AVERAGE(180,195)</f>
        <v/>
      </c>
      <c r="F10" s="939">
        <f>D10*10000</f>
        <v/>
      </c>
      <c r="I10" s="936" t="inlineStr">
        <is>
          <t>Carrot</t>
        </is>
      </c>
      <c r="J10" s="937" t="inlineStr">
        <is>
          <t>100-150</t>
        </is>
      </c>
    </row>
    <row r="11">
      <c r="A11" s="936" t="inlineStr">
        <is>
          <t>Maize</t>
        </is>
      </c>
      <c r="B11" s="937" t="inlineStr">
        <is>
          <t>500-800</t>
        </is>
      </c>
      <c r="C11" s="936" t="inlineStr">
        <is>
          <t>medium-high</t>
        </is>
      </c>
      <c r="D11" s="937">
        <f>AVERAGE(500,800)</f>
        <v/>
      </c>
      <c r="E11" s="938">
        <f>AVERAGE(80,110,125,180)</f>
        <v/>
      </c>
      <c r="F11" s="939">
        <f>D11*10000</f>
        <v/>
      </c>
      <c r="I11" s="936" t="inlineStr">
        <is>
          <t>Citrus</t>
        </is>
      </c>
      <c r="J11" s="937" t="inlineStr">
        <is>
          <t>240-365</t>
        </is>
      </c>
    </row>
    <row r="12">
      <c r="A12" s="936" t="inlineStr">
        <is>
          <t>Melon</t>
        </is>
      </c>
      <c r="B12" s="937" t="inlineStr">
        <is>
          <t>400-600</t>
        </is>
      </c>
      <c r="C12" s="936" t="inlineStr">
        <is>
          <t>medium-high</t>
        </is>
      </c>
      <c r="D12" s="937">
        <f>AVERAGE(400,600)</f>
        <v/>
      </c>
      <c r="E12" s="938">
        <f>AVERAGE(120,160)</f>
        <v/>
      </c>
      <c r="F12" s="939">
        <f>D12*10000</f>
        <v/>
      </c>
      <c r="I12" s="936" t="inlineStr">
        <is>
          <t>Cotton</t>
        </is>
      </c>
      <c r="J12" s="937" t="inlineStr">
        <is>
          <t>180-195</t>
        </is>
      </c>
    </row>
    <row r="13">
      <c r="A13" s="936" t="inlineStr">
        <is>
          <t>Onion</t>
        </is>
      </c>
      <c r="B13" s="937" t="inlineStr">
        <is>
          <t>350-550</t>
        </is>
      </c>
      <c r="C13" s="936" t="inlineStr">
        <is>
          <t>medium-high</t>
        </is>
      </c>
      <c r="D13" s="937">
        <f>AVERAGE(350,550)</f>
        <v/>
      </c>
      <c r="E13" s="938">
        <f>AVERAGE(70,95,150,210)</f>
        <v/>
      </c>
      <c r="F13" s="939">
        <f>D13*10000</f>
        <v/>
      </c>
      <c r="I13" s="936" t="inlineStr">
        <is>
          <t>Cucumber</t>
        </is>
      </c>
      <c r="J13" s="937" t="inlineStr">
        <is>
          <t>105-130</t>
        </is>
      </c>
    </row>
    <row r="14">
      <c r="A14" s="936" t="inlineStr">
        <is>
          <t>Peanut</t>
        </is>
      </c>
      <c r="B14" s="937" t="inlineStr">
        <is>
          <t>500-700</t>
        </is>
      </c>
      <c r="C14" s="936" t="inlineStr">
        <is>
          <t>low-medium</t>
        </is>
      </c>
      <c r="D14" s="937">
        <f>AVERAGE(500,700)</f>
        <v/>
      </c>
      <c r="E14" s="938">
        <f>AVERAGE(130,140)</f>
        <v/>
      </c>
      <c r="F14" s="939">
        <f>D14*10000</f>
        <v/>
      </c>
      <c r="I14" s="936" t="inlineStr">
        <is>
          <t>Eggplant</t>
        </is>
      </c>
      <c r="J14" s="937" t="inlineStr">
        <is>
          <t>130-140</t>
        </is>
      </c>
    </row>
    <row r="15">
      <c r="A15" s="936" t="inlineStr">
        <is>
          <t>Pea</t>
        </is>
      </c>
      <c r="B15" s="937" t="inlineStr">
        <is>
          <t>350-500</t>
        </is>
      </c>
      <c r="C15" s="936" t="inlineStr">
        <is>
          <t>medium-high</t>
        </is>
      </c>
      <c r="D15" s="937">
        <f>AVERAGE(350,500)</f>
        <v/>
      </c>
      <c r="E15" s="938">
        <f>AVERAGE(90,100)</f>
        <v/>
      </c>
      <c r="F15" s="939">
        <f>D15*10000</f>
        <v/>
      </c>
      <c r="I15" s="936" t="inlineStr">
        <is>
          <t>Flax</t>
        </is>
      </c>
      <c r="J15" s="937" t="inlineStr">
        <is>
          <t>150-220</t>
        </is>
      </c>
    </row>
    <row r="16">
      <c r="A16" s="936" t="inlineStr">
        <is>
          <t>Pepper</t>
        </is>
      </c>
      <c r="B16" s="937" t="inlineStr">
        <is>
          <t>600-900</t>
        </is>
      </c>
      <c r="C16" s="936" t="inlineStr">
        <is>
          <t>medium-high</t>
        </is>
      </c>
      <c r="D16" s="937">
        <f>AVERAGE(600,900)</f>
        <v/>
      </c>
      <c r="E16" s="938">
        <f>AVERAGE(120,210)</f>
        <v/>
      </c>
      <c r="F16" s="939">
        <f>D16*10000</f>
        <v/>
      </c>
      <c r="I16" s="936" t="inlineStr">
        <is>
          <t>Grain/small</t>
        </is>
      </c>
      <c r="J16" s="937" t="inlineStr">
        <is>
          <t>150-165</t>
        </is>
      </c>
    </row>
    <row r="17">
      <c r="A17" s="936" t="inlineStr">
        <is>
          <t>Potato</t>
        </is>
      </c>
      <c r="B17" s="937" t="inlineStr">
        <is>
          <t>500-700</t>
        </is>
      </c>
      <c r="C17" s="936" t="inlineStr">
        <is>
          <t>high</t>
        </is>
      </c>
      <c r="D17" s="937">
        <f>AVERAGE(500,700)</f>
        <v/>
      </c>
      <c r="E17" s="938">
        <f>AVERAGE(105,145)</f>
        <v/>
      </c>
      <c r="F17" s="939">
        <f>D17*10000</f>
        <v/>
      </c>
      <c r="I17" s="936" t="inlineStr">
        <is>
          <t>Lentil</t>
        </is>
      </c>
      <c r="J17" s="937" t="inlineStr">
        <is>
          <t>150-170</t>
        </is>
      </c>
    </row>
    <row r="18">
      <c r="A18" s="936" t="inlineStr">
        <is>
          <t>Rice (paddy)</t>
        </is>
      </c>
      <c r="B18" s="937" t="inlineStr">
        <is>
          <t>450-700</t>
        </is>
      </c>
      <c r="C18" s="936" t="inlineStr">
        <is>
          <t>high</t>
        </is>
      </c>
      <c r="D18" s="937">
        <f>AVERAGE(450,700)</f>
        <v/>
      </c>
      <c r="E18" s="938">
        <f>AVERAGE(90,150)</f>
        <v/>
      </c>
      <c r="F18" s="939">
        <f>D18*10000</f>
        <v/>
      </c>
      <c r="I18" s="936" t="inlineStr">
        <is>
          <t>Lettuce</t>
        </is>
      </c>
      <c r="J18" s="937" t="inlineStr">
        <is>
          <t>75-140</t>
        </is>
      </c>
    </row>
    <row r="19">
      <c r="A19" s="936" t="inlineStr">
        <is>
          <t>Sorghum/Millet</t>
        </is>
      </c>
      <c r="B19" s="937" t="inlineStr">
        <is>
          <t>450-650</t>
        </is>
      </c>
      <c r="C19" s="936" t="inlineStr">
        <is>
          <t>low</t>
        </is>
      </c>
      <c r="D19" s="937">
        <f>AVERAGE(450,650)</f>
        <v/>
      </c>
      <c r="E19" s="938">
        <f>AVERAGE(120,130,105,140)</f>
        <v/>
      </c>
      <c r="F19" s="939">
        <f>D19*10000</f>
        <v/>
      </c>
      <c r="I19" s="936" t="inlineStr">
        <is>
          <t>Maize sweet</t>
        </is>
      </c>
      <c r="J19" s="937" t="inlineStr">
        <is>
          <t>80-110</t>
        </is>
      </c>
    </row>
    <row r="20">
      <c r="A20" s="936" t="inlineStr">
        <is>
          <t>Soybean</t>
        </is>
      </c>
      <c r="B20" s="937" t="inlineStr">
        <is>
          <t>450-700</t>
        </is>
      </c>
      <c r="C20" s="936" t="inlineStr">
        <is>
          <t>low-medium</t>
        </is>
      </c>
      <c r="D20" s="937">
        <f>AVERAGE(450,700)</f>
        <v/>
      </c>
      <c r="E20" s="938">
        <f>AVERAGE(135,150)</f>
        <v/>
      </c>
      <c r="F20" s="939">
        <f>D20*10000</f>
        <v/>
      </c>
      <c r="I20" s="936" t="inlineStr">
        <is>
          <t>Maize grain</t>
        </is>
      </c>
      <c r="J20" s="937" t="inlineStr">
        <is>
          <t>125-180</t>
        </is>
      </c>
    </row>
    <row r="21">
      <c r="A21" s="936" t="inlineStr">
        <is>
          <t>Sugarbeet</t>
        </is>
      </c>
      <c r="B21" s="937" t="inlineStr">
        <is>
          <t>550-750</t>
        </is>
      </c>
      <c r="C21" s="936" t="inlineStr">
        <is>
          <t>low-medium</t>
        </is>
      </c>
      <c r="D21" s="937">
        <f>AVERAGE(550,750)</f>
        <v/>
      </c>
      <c r="E21" s="938">
        <f>AVERAGE(160,230)</f>
        <v/>
      </c>
      <c r="F21" s="939">
        <f>D21*10000</f>
        <v/>
      </c>
      <c r="I21" s="936" t="inlineStr">
        <is>
          <t>Melon</t>
        </is>
      </c>
      <c r="J21" s="937" t="inlineStr">
        <is>
          <t>120-160</t>
        </is>
      </c>
    </row>
    <row r="22">
      <c r="A22" s="936" t="inlineStr">
        <is>
          <t>Sugarcane</t>
        </is>
      </c>
      <c r="B22" s="937" t="inlineStr">
        <is>
          <t>1500-2500</t>
        </is>
      </c>
      <c r="C22" s="936" t="inlineStr">
        <is>
          <t>high</t>
        </is>
      </c>
      <c r="D22" s="937">
        <f>AVERAGE(1500,2500)</f>
        <v/>
      </c>
      <c r="E22" s="938">
        <f>AVERAGE(270,365)</f>
        <v/>
      </c>
      <c r="F22" s="939">
        <f>D22*10000</f>
        <v/>
      </c>
      <c r="I22" s="936" t="inlineStr">
        <is>
          <t>Millet</t>
        </is>
      </c>
      <c r="J22" s="937" t="inlineStr">
        <is>
          <t>105-140</t>
        </is>
      </c>
    </row>
    <row r="23">
      <c r="A23" s="936" t="inlineStr">
        <is>
          <t>Sunflower</t>
        </is>
      </c>
      <c r="B23" s="937" t="inlineStr">
        <is>
          <t>600-1000</t>
        </is>
      </c>
      <c r="C23" s="936" t="inlineStr">
        <is>
          <t>low-medium</t>
        </is>
      </c>
      <c r="D23" s="937">
        <f>AVERAGE(600,1000)</f>
        <v/>
      </c>
      <c r="E23" s="938">
        <f>AVERAGE(125,130)</f>
        <v/>
      </c>
      <c r="F23" s="939">
        <f>D23*10000</f>
        <v/>
      </c>
      <c r="I23" s="936" t="inlineStr">
        <is>
          <t>Onion green</t>
        </is>
      </c>
      <c r="J23" s="937" t="inlineStr">
        <is>
          <t>70-95</t>
        </is>
      </c>
    </row>
    <row r="24">
      <c r="A24" s="936" t="inlineStr">
        <is>
          <t>Tomato</t>
        </is>
      </c>
      <c r="B24" s="937" t="inlineStr">
        <is>
          <t>400-800</t>
        </is>
      </c>
      <c r="C24" s="936" t="inlineStr">
        <is>
          <t>medium-high</t>
        </is>
      </c>
      <c r="D24" s="937">
        <f>AVERAGE(400,800)</f>
        <v/>
      </c>
      <c r="E24" s="938">
        <f>AVERAGE(135,180)</f>
        <v/>
      </c>
      <c r="F24" s="939">
        <f>D24*10000</f>
        <v/>
      </c>
      <c r="I24" s="936" t="inlineStr">
        <is>
          <t>Onion dry</t>
        </is>
      </c>
      <c r="J24" s="937" t="inlineStr">
        <is>
          <t>150-210</t>
        </is>
      </c>
    </row>
    <row r="25">
      <c r="A25" s="947" t="inlineStr">
        <is>
          <t>Default</t>
        </is>
      </c>
      <c r="B25" s="948" t="n"/>
      <c r="C25" s="948" t="n"/>
      <c r="D25" s="949">
        <f>AVERAGE(D4:D24)</f>
        <v/>
      </c>
      <c r="E25" s="949">
        <f>AVERAGE(E4:E24)</f>
        <v/>
      </c>
      <c r="F25" s="950">
        <f>D25*10000</f>
        <v/>
      </c>
      <c r="I25" s="936" t="inlineStr">
        <is>
          <t>Peanut/Groundnut</t>
        </is>
      </c>
      <c r="J25" s="937" t="inlineStr">
        <is>
          <t>130-140</t>
        </is>
      </c>
    </row>
    <row r="26">
      <c r="I26" s="936" t="inlineStr">
        <is>
          <t>Pea</t>
        </is>
      </c>
      <c r="J26" s="937" t="inlineStr">
        <is>
          <t>90-100</t>
        </is>
      </c>
    </row>
    <row r="27">
      <c r="I27" s="936" t="inlineStr">
        <is>
          <t>Pepper</t>
        </is>
      </c>
      <c r="J27" s="937" t="inlineStr">
        <is>
          <t>120-210</t>
        </is>
      </c>
    </row>
    <row r="28">
      <c r="I28" s="936" t="inlineStr">
        <is>
          <t>Potato</t>
        </is>
      </c>
      <c r="J28" s="937" t="inlineStr">
        <is>
          <t>105-145</t>
        </is>
      </c>
    </row>
    <row r="29">
      <c r="I29" s="936" t="inlineStr">
        <is>
          <t>Radish</t>
        </is>
      </c>
      <c r="J29" s="937" t="inlineStr">
        <is>
          <t>35-45</t>
        </is>
      </c>
    </row>
    <row r="30">
      <c r="I30" s="936" t="inlineStr">
        <is>
          <t>Rice</t>
        </is>
      </c>
      <c r="J30" s="937" t="inlineStr">
        <is>
          <t>90-150</t>
        </is>
      </c>
    </row>
    <row r="31">
      <c r="I31" s="936" t="inlineStr">
        <is>
          <t>Sorghum</t>
        </is>
      </c>
      <c r="J31" s="937" t="inlineStr">
        <is>
          <t>120-130</t>
        </is>
      </c>
    </row>
    <row r="32">
      <c r="I32" s="936" t="inlineStr">
        <is>
          <t>Soybean</t>
        </is>
      </c>
      <c r="J32" s="937" t="inlineStr">
        <is>
          <t>135-150</t>
        </is>
      </c>
    </row>
    <row r="33">
      <c r="I33" s="936" t="inlineStr">
        <is>
          <t>Spinach</t>
        </is>
      </c>
      <c r="J33" s="937" t="inlineStr">
        <is>
          <t>60-100</t>
        </is>
      </c>
    </row>
    <row r="34">
      <c r="I34" s="936" t="inlineStr">
        <is>
          <t>Squash</t>
        </is>
      </c>
      <c r="J34" s="937" t="inlineStr">
        <is>
          <t>95-120</t>
        </is>
      </c>
    </row>
    <row r="35">
      <c r="I35" s="936" t="inlineStr">
        <is>
          <t>Sugarbeet</t>
        </is>
      </c>
      <c r="J35" s="937" t="inlineStr">
        <is>
          <t>160-230</t>
        </is>
      </c>
    </row>
    <row r="36">
      <c r="I36" s="936" t="inlineStr">
        <is>
          <t>Sugarcane</t>
        </is>
      </c>
      <c r="J36" s="937" t="inlineStr">
        <is>
          <t>270-365</t>
        </is>
      </c>
    </row>
    <row r="37">
      <c r="I37" s="936" t="inlineStr">
        <is>
          <t>Sunflower</t>
        </is>
      </c>
      <c r="J37" s="937" t="inlineStr">
        <is>
          <t>125-130</t>
        </is>
      </c>
    </row>
    <row r="38">
      <c r="I38" s="936" t="inlineStr">
        <is>
          <t>Tobacco</t>
        </is>
      </c>
      <c r="J38" s="937" t="inlineStr">
        <is>
          <t>130-160</t>
        </is>
      </c>
    </row>
    <row r="39">
      <c r="I39" s="936" t="inlineStr">
        <is>
          <t>Tomato</t>
        </is>
      </c>
      <c r="J39" s="937" t="inlineStr">
        <is>
          <t>135-180</t>
        </is>
      </c>
    </row>
  </sheetData>
  <dataValidations count="1">
    <dataValidation sqref="A25" showDropDown="0" showInputMessage="1" showErrorMessage="1" allowBlank="0" prompt="AVERAGE"/>
  </dataValidations>
  <pageMargins left="0.7" right="0.7" top="0.75" bottom="0.75" header="0.3" footer="0.3"/>
  <pageSetup orientation="portrait"/>
</worksheet>
</file>

<file path=xl/worksheets/sheet9.xml><?xml version="1.0" encoding="utf-8"?>
<worksheet xmlns:r="http://schemas.openxmlformats.org/officeDocument/2006/relationships" xmlns="http://schemas.openxmlformats.org/spreadsheetml/2006/main">
  <sheetPr codeName="Sheet11">
    <tabColor theme="0" tint="-0.0499893185216834"/>
    <outlinePr summaryBelow="1" summaryRight="1"/>
    <pageSetUpPr/>
  </sheetPr>
  <dimension ref="A2:AS90"/>
  <sheetViews>
    <sheetView showGridLines="0" topLeftCell="D10" zoomScale="85" zoomScaleNormal="85" workbookViewId="0">
      <selection activeCell="L16" sqref="L16"/>
    </sheetView>
  </sheetViews>
  <sheetFormatPr baseColWidth="10" defaultColWidth="8.6640625" defaultRowHeight="15"/>
  <cols>
    <col width="2.5" customWidth="1" min="1" max="1"/>
    <col width="24.5" customWidth="1" min="2" max="2"/>
    <col width="41.5" customWidth="1" min="3" max="3"/>
    <col width="11.5" customWidth="1" min="4" max="4"/>
    <col width="27.5" customWidth="1" min="5" max="5"/>
    <col width="13.6640625" customWidth="1" min="6" max="6"/>
    <col width="21.5" customWidth="1" min="7" max="7"/>
    <col width="17.6640625" customWidth="1" min="8" max="8"/>
    <col width="17.33203125" customWidth="1" min="9" max="9"/>
    <col width="19.33203125" customWidth="1" min="10" max="10"/>
    <col width="24.6640625" customWidth="1" min="11" max="11"/>
    <col width="17.5" customWidth="1" min="12" max="12"/>
    <col width="15.5" customWidth="1" min="13" max="13"/>
    <col width="14.6640625" customWidth="1" min="14" max="14"/>
    <col width="19" customWidth="1" min="15" max="15"/>
    <col width="34.5" bestFit="1" customWidth="1" min="16" max="16"/>
    <col width="26.33203125" customWidth="1" min="17" max="17"/>
    <col width="18.5" bestFit="1" customWidth="1" min="18" max="18"/>
    <col width="20.5" customWidth="1" min="19" max="19"/>
    <col width="18" customWidth="1" min="20" max="20"/>
    <col width="20.5" customWidth="1" min="21" max="21"/>
    <col width="26.5" customWidth="1" min="22" max="22"/>
    <col width="16.33203125" customWidth="1" min="23" max="23"/>
    <col width="20.5" customWidth="1" min="24" max="24"/>
    <col width="8.5" customWidth="1" min="25" max="25"/>
    <col width="7.33203125" customWidth="1" min="26" max="26"/>
    <col width="6.6640625" customWidth="1" min="27" max="27"/>
    <col width="5.5" customWidth="1" min="28" max="29"/>
    <col width="24.33203125" bestFit="1" customWidth="1" min="30" max="30"/>
    <col width="13.33203125" customWidth="1" min="31" max="33"/>
    <col width="15.5" customWidth="1" min="34" max="35"/>
    <col width="9.5" customWidth="1" min="36" max="36"/>
    <col width="12.5" customWidth="1" min="37" max="37"/>
    <col width="15.5" customWidth="1" min="38" max="38"/>
    <col width="13.33203125" customWidth="1" min="39" max="40"/>
    <col width="11.5" customWidth="1" min="41" max="41"/>
    <col width="15.5" customWidth="1" min="42" max="42"/>
    <col width="12.5" customWidth="1" min="43" max="43"/>
    <col width="13.5" customWidth="1" min="44" max="44"/>
    <col width="12.33203125" customWidth="1" min="45" max="45"/>
    <col width="13.5" customWidth="1" min="48" max="48"/>
  </cols>
  <sheetData>
    <row r="2" ht="66.5" customHeight="1">
      <c r="A2" s="4048" t="n"/>
      <c r="B2" s="4053" t="inlineStr">
        <is>
          <t>Annual cropping systems</t>
        </is>
      </c>
      <c r="C2" s="4048" t="n"/>
      <c r="D2" s="4048" t="n"/>
      <c r="E2" s="4048" t="n"/>
      <c r="F2" s="4048" t="n"/>
      <c r="G2" s="4048" t="n"/>
      <c r="H2" s="4048" t="n"/>
      <c r="I2" s="4048" t="n"/>
      <c r="J2" s="4048" t="n"/>
      <c r="K2" s="4048" t="n"/>
      <c r="L2" s="4048" t="n"/>
      <c r="M2" s="4048" t="n"/>
      <c r="N2" s="4048" t="n"/>
      <c r="O2" s="4048" t="n"/>
      <c r="P2" s="4048" t="n"/>
      <c r="Q2" s="4048" t="n"/>
      <c r="R2" s="4048" t="n"/>
      <c r="S2" s="4048" t="n"/>
      <c r="T2" s="4048" t="n"/>
      <c r="U2" s="4048" t="n"/>
      <c r="V2" s="4048" t="n"/>
      <c r="W2" s="4048" t="n"/>
      <c r="X2" s="4048" t="n"/>
      <c r="Y2" s="4048" t="n"/>
      <c r="Z2" s="4048" t="n"/>
      <c r="AA2" s="4048" t="n"/>
      <c r="AB2" s="4048" t="n"/>
      <c r="AC2" s="4048" t="n"/>
      <c r="AD2" s="4048" t="n"/>
      <c r="AE2" s="4048" t="n"/>
      <c r="AF2" s="4048" t="n"/>
      <c r="AG2" s="4048" t="n"/>
      <c r="AH2" s="4048" t="n"/>
      <c r="AI2" s="4048" t="n"/>
      <c r="AJ2" s="4048" t="n"/>
      <c r="AK2" s="4048" t="n"/>
      <c r="AL2" s="4048" t="n"/>
      <c r="AM2" s="4048" t="n"/>
      <c r="AN2" s="4048" t="n"/>
      <c r="AO2" s="4048" t="n"/>
      <c r="AP2" s="4048" t="n"/>
      <c r="AQ2" s="4048" t="n"/>
      <c r="AR2" s="4048" t="n"/>
      <c r="AS2" s="4048" t="n"/>
    </row>
    <row r="4" ht="23" customFormat="1" customHeight="1" s="284">
      <c r="I4" s="682" t="n"/>
      <c r="L4" s="847" t="inlineStr">
        <is>
          <t>Annual associated with Module 2 'Land-use changes'</t>
        </is>
      </c>
      <c r="M4" s="3487" t="n"/>
      <c r="N4" s="3487" t="n"/>
      <c r="O4" s="846" t="n"/>
      <c r="P4" s="843" t="n"/>
      <c r="Q4" s="865" t="n"/>
      <c r="R4" s="865" t="n"/>
      <c r="S4" s="861" t="inlineStr">
        <is>
          <t>Annual associated with Module 2 'Land-use changes'</t>
        </is>
      </c>
      <c r="T4" s="843" t="n"/>
      <c r="U4" s="844" t="n"/>
    </row>
    <row r="5" ht="23" customFormat="1" customHeight="1" s="284">
      <c r="C5" s="4049" t="n"/>
      <c r="D5" s="4049" t="n"/>
      <c r="E5" s="4049" t="n"/>
      <c r="F5" s="4049" t="n"/>
      <c r="G5" s="4050" t="n"/>
      <c r="I5" s="682" t="n"/>
      <c r="L5" s="852" t="inlineStr">
        <is>
          <t>soil C</t>
        </is>
      </c>
      <c r="M5" s="853" t="inlineStr">
        <is>
          <t>Soil C</t>
        </is>
      </c>
      <c r="N5" s="854" t="inlineStr">
        <is>
          <t>Soil C</t>
        </is>
      </c>
      <c r="O5" s="866" t="inlineStr">
        <is>
          <t>Delta Soil C* limited to 20 yrs</t>
        </is>
      </c>
      <c r="P5" s="867" t="n"/>
      <c r="Q5" s="864" t="n"/>
      <c r="R5" s="864" t="n"/>
      <c r="S5" s="837" t="inlineStr">
        <is>
          <t>Main and minor crop</t>
        </is>
      </c>
      <c r="T5" s="838" t="n"/>
      <c r="U5" s="839" t="n"/>
    </row>
    <row r="6" ht="23" customFormat="1" customHeight="1" s="284">
      <c r="I6" s="682" t="n"/>
      <c r="L6" s="855" t="inlineStr">
        <is>
          <t>START</t>
        </is>
      </c>
      <c r="M6" s="856" t="inlineStr">
        <is>
          <t>Without</t>
        </is>
      </c>
      <c r="N6" s="857" t="inlineStr">
        <is>
          <t>With</t>
        </is>
      </c>
      <c r="O6" s="868" t="inlineStr">
        <is>
          <t>Without</t>
        </is>
      </c>
      <c r="P6" s="854" t="inlineStr">
        <is>
          <t>With</t>
        </is>
      </c>
      <c r="Q6" s="864" t="n"/>
      <c r="R6" s="864" t="n"/>
      <c r="S6" s="698" t="inlineStr">
        <is>
          <t>CH4</t>
        </is>
      </c>
      <c r="T6" s="698" t="inlineStr">
        <is>
          <t>N2O</t>
        </is>
      </c>
      <c r="U6" s="698" t="inlineStr">
        <is>
          <t>CO2eq</t>
        </is>
      </c>
    </row>
    <row r="7" ht="23" customFormat="1" customHeight="1" s="284">
      <c r="I7" s="682" t="n"/>
      <c r="L7" s="858" t="inlineStr">
        <is>
          <t>t C/ha</t>
        </is>
      </c>
      <c r="M7" s="859" t="inlineStr">
        <is>
          <t>t C/ha</t>
        </is>
      </c>
      <c r="N7" s="860" t="inlineStr">
        <is>
          <t>tC/ha</t>
        </is>
      </c>
      <c r="O7" s="869" t="inlineStr">
        <is>
          <t>tCO2eq/ha/yr</t>
        </is>
      </c>
      <c r="P7" s="845" t="inlineStr">
        <is>
          <t>tCO2eq/ha/yr</t>
        </is>
      </c>
      <c r="Q7" s="864" t="n"/>
      <c r="R7" s="864" t="n"/>
      <c r="S7" s="697" t="inlineStr">
        <is>
          <t>kg/ha/yr</t>
        </is>
      </c>
      <c r="T7" s="697" t="inlineStr">
        <is>
          <t>kg/ha/yr</t>
        </is>
      </c>
      <c r="U7" s="699" t="inlineStr">
        <is>
          <t>t/ha/yr</t>
        </is>
      </c>
    </row>
    <row r="8" ht="18.75" customFormat="1" customHeight="1" s="940">
      <c r="E8" s="284" t="n"/>
      <c r="F8" s="4051" t="n"/>
      <c r="I8" s="4052" t="n"/>
      <c r="K8" s="720" t="inlineStr">
        <is>
          <t>Deforestation (FL -&gt; CL)</t>
        </is>
      </c>
      <c r="L8" s="4056">
        <f>IF('3.Cropland'!$G$14 &lt;&gt;"Please select", SOCref*VLOOKUP(clim_moist,IPCC!$A$57:$B$68,2,FALSE), 0)</f>
        <v/>
      </c>
      <c r="M8" s="4056">
        <f>$L$8*IF('3.Cropland'!$AX$14="", '3.Cropland'!$AW$14,'3.Cropland'!$AX$14)*IF('3.Cropland'!$AZ$14="", '3.Cropland'!$AY$14,'3.Cropland'!$AZ$14)</f>
        <v/>
      </c>
      <c r="N8" s="4056">
        <f>$L$8*IF('3.Cropland'!$AX$14="", '3.Cropland'!$AW$14,'3.Cropland'!$AX$14)*IF('3.Cropland'!$AZ$14="", '3.Cropland'!$AY$14,'3.Cropland'!$AZ$14)</f>
        <v/>
      </c>
      <c r="O8" s="4057">
        <f>(M8-L8)/20*(-44/12)</f>
        <v/>
      </c>
      <c r="P8" s="4058">
        <f>(N8-L8)/20*(-44/12)</f>
        <v/>
      </c>
      <c r="Q8" s="864" t="n"/>
      <c r="R8" s="864" t="n"/>
      <c r="S8" s="3221">
        <f>_xlfn.IFNA(IF($H12="Burned",$I12*IPCC!$D$76,0)*IF(OR('3.Cropland'!$E14 = "Maize",'3.Cropland'!$E14="Wheat"),VLOOKUP('3.Cropland'!$E14, IPCC!$A$85:$B$89,2,FALSE),IPCC!$B$89) +
IF(AND('3.Cropland'!$BJ14="Burned", $O64 &lt;&gt;"None"), $T64 *IPCC!$D$76,0)*IF(OR('3.Cropland'!$BH14="Maize", '3.Cropland'!$BH14="Wheat"),VLOOKUP('3.Cropland'!$BH14, IPCC!$A$85:$B$89,2,FALSE),IPCC!$B$89),0)</f>
        <v/>
      </c>
      <c r="T8" s="3222">
        <f>_xlfn.IFNA(IF($H12="Burned",($I12*IPCC!$E$76*IF(OR('3.Cropland'!$E14="Maize", '3.Cropland'!$E14="Wheat"),VLOOKUP('3.Cropland'!$E14,IPCC!$A$83:$B$89,2,FALSE),IPCC!$B$89)),
IF($H12="Retained",($M64*IF(OR(moist_type="Moist",moist_type="Wet",moist_type="Dry"),VLOOKUP(moist_type,IPCC!$B$99:$C$101,2,FALSE),IPCC!$C$96)*N2O_N_conversion),0))+
IF($O64="None", 0, IF('3.Cropland'!$BJ14="Burned", ($T64*IPCC!$E$76*IF(OR('3.Cropland'!$BH14="Maize", '3.Cropland'!$BH14="Wheat"),VLOOKUP('3.Cropland'!$BH14,IPCC!$A$83:$B$89,2,FALSE),IPCC!$B$89)),
IF('3.Cropland'!$BJ14="Retained", (annual!$X64*IF(OR(moist_type="Moist",moist_type="Wet",moist_type="Dry"),VLOOKUP(moist_type,IPCC!$B$99:$C$101,2,FALSE),IPCC!$C$96)*N2O_N_conversion),0))),0)</f>
        <v/>
      </c>
      <c r="U8" s="3222">
        <f>($S8*methane+$T8*Nitrous)/1000</f>
        <v/>
      </c>
      <c r="AM8" s="4045" t="inlineStr">
        <is>
          <t>Implementation phase alone</t>
        </is>
      </c>
    </row>
    <row r="9" ht="18" customFormat="1" customHeight="1" s="940">
      <c r="E9" s="284" t="n"/>
      <c r="F9" s="4051" t="n"/>
      <c r="H9" s="80" t="inlineStr">
        <is>
          <t>Main season crop (exclusively)</t>
        </is>
      </c>
      <c r="I9" s="81" t="n"/>
      <c r="J9" s="82" t="n"/>
      <c r="K9" s="701" t="inlineStr">
        <is>
          <t>Afforestation (CL-&gt; FL)</t>
        </is>
      </c>
      <c r="L9" s="4059">
        <f>IF('3.Cropland'!$AT$15="",IF('3.Cropland'!$G$15 &lt;&gt;"Please select", SOCref*VLOOKUP(clim_moist,IPCC!$A$57:$B$68,2,FALSE), 0),'3.Cropland'!$AT$15)</f>
        <v/>
      </c>
      <c r="M9" s="4059">
        <f>$L$9*IF('3.Cropland'!$AX$15="", '3.Cropland'!$AW$15,'3.Cropland'!$AX$15)*IF('3.Cropland'!$AZ$15="", '3.Cropland'!$AY$15,'3.Cropland'!$AZ$15)</f>
        <v/>
      </c>
      <c r="N9" s="4059">
        <f>$L$9*IF('3.Cropland'!$AX$15="", '3.Cropland'!$AW$15,'3.Cropland'!$AX$15)*IF('3.Cropland'!$AZ$15="", '3.Cropland'!$AY$15,'3.Cropland'!$AZ$15)</f>
        <v/>
      </c>
      <c r="O9" s="4059">
        <f>(M9-L9)/20*(-44/12)</f>
        <v/>
      </c>
      <c r="P9" s="4060">
        <f>(N9-L9)/20*(-44/12)</f>
        <v/>
      </c>
      <c r="Q9" s="864" t="n"/>
      <c r="R9" s="864" t="n"/>
      <c r="S9" s="3223">
        <f>_xlfn.IFNA(IF($H13="Burned",$I13*IPCC!$D$76,0)*IF(OR('3.Cropland'!$E15 = "Maize",'3.Cropland'!$E15="Wheat"),VLOOKUP('3.Cropland'!$E15, IPCC!$A$85:$B$89,2,FALSE),IPCC!$B$89) +
IF(AND('3.Cropland'!$BJ15="Burned", $O65 &lt;&gt;"None"), $T65 *IPCC!$D$76,0)*IF(OR('3.Cropland'!$BH15="Maize", '3.Cropland'!$BH15="Wheat"),VLOOKUP('3.Cropland'!$BH15, IPCC!$A$85:$B$89,2,FALSE),IPCC!$B$89),0)</f>
        <v/>
      </c>
      <c r="T9" s="3224">
        <f>_xlfn.IFNA(IF($H13="Burned",($I13*IPCC!$E$76*IF(OR('3.Cropland'!$E15="Maize", '3.Cropland'!$E15="Wheat"),VLOOKUP('3.Cropland'!$E15,IPCC!$A$83:$B$89,2,FALSE),IPCC!$B$89)),
IF($H13="Retained",($M65*IF(OR(moist_type="Moist",moist_type="Wet",moist_type="Dry"),VLOOKUP(moist_type,IPCC!$B$99:$C$101,2,FALSE),IPCC!$C$96)*N2O_N_conversion),0))+
IF($O65="None", 0, IF('3.Cropland'!$BJ15="Burned", ($T65*IPCC!$E$76*IF(OR('3.Cropland'!$BH15="Maize", '3.Cropland'!$BH15="Wheat"),VLOOKUP('3.Cropland'!$BH15,IPCC!$A$83:$B$89,2,FALSE),IPCC!$B$89)),
IF('3.Cropland'!$BJ15="Retained", (annual!$X65*IF(OR(moist_type="Moist",moist_type="Wet",moist_type="Dry"),VLOOKUP(moist_type,IPCC!$B$99:$C$101,2,FALSE),IPCC!$C$96)*N2O_N_conversion),0))),0)</f>
        <v/>
      </c>
      <c r="U9" s="3224">
        <f>($S9*methane+$T9*Nitrous)/1000</f>
        <v/>
      </c>
      <c r="AM9" s="4046" t="inlineStr">
        <is>
          <t>time_tot= time and time_cap = 0</t>
        </is>
      </c>
      <c r="AP9" s="4047" t="n"/>
      <c r="AQ9" s="4047" t="n"/>
      <c r="AR9" s="4047" t="n"/>
      <c r="AS9" s="4047" t="n"/>
    </row>
    <row r="10" ht="52.5" customHeight="1">
      <c r="C10" s="72" t="n"/>
      <c r="D10" s="76" t="inlineStr">
        <is>
          <t xml:space="preserve">Your </t>
        </is>
      </c>
      <c r="E10" s="74" t="n"/>
      <c r="F10" s="74" t="inlineStr">
        <is>
          <t>Tillage</t>
        </is>
      </c>
      <c r="G10" s="74" t="inlineStr">
        <is>
          <t xml:space="preserve">Input of </t>
        </is>
      </c>
      <c r="H10" s="78" t="inlineStr">
        <is>
          <t>Residue/Biomass</t>
        </is>
      </c>
      <c r="I10" s="74" t="inlineStr">
        <is>
          <t>Residue DM [AGDM (T)]</t>
        </is>
      </c>
      <c r="J10" s="74" t="inlineStr">
        <is>
          <t>Yield</t>
        </is>
      </c>
      <c r="K10" s="787" t="inlineStr">
        <is>
          <t xml:space="preserve">non-FL converted -&gt; Annual </t>
        </is>
      </c>
      <c r="L10" s="4061">
        <f>IF('3.Cropland'!$G$16 &lt;&gt;"Please select", SOCref*VLOOKUP(clim_moist,IPCC!$A$57:$B$68,2,FALSE), 0)</f>
        <v/>
      </c>
      <c r="M10" s="4061">
        <f>$L$10*IF('3.Cropland'!$AX$16="", '3.Cropland'!$AW$16,'3.Cropland'!$AX$16)*IF('3.Cropland'!$AZ$16="", '3.Cropland'!$AY$16,'3.Cropland'!$AZ$16)</f>
        <v/>
      </c>
      <c r="N10" s="4061">
        <f>$L$10*IF('3.Cropland'!$AX$16="", '3.Cropland'!$AW$16,'3.Cropland'!$AX$16)*IF('3.Cropland'!$AZ$16="", '3.Cropland'!$AY$16,'3.Cropland'!$AZ$16)</f>
        <v/>
      </c>
      <c r="O10" s="4061">
        <f>(M10-L10)/20*(-44/12)</f>
        <v/>
      </c>
      <c r="P10" s="4062">
        <f>(N10-L10)/20*(-44/12)</f>
        <v/>
      </c>
      <c r="Q10" s="864" t="n"/>
      <c r="R10" s="864" t="n"/>
      <c r="S10" s="3225">
        <f>_xlfn.IFNA(IF($H14="Burned",$I14*IPCC!$D$76,0)*IF(OR('3.Cropland'!$E16 = "Maize",'3.Cropland'!$E16="Wheat"),VLOOKUP('3.Cropland'!$E16, IPCC!$A$85:$B$89,2,FALSE),IPCC!$B$89) +
IF(AND('3.Cropland'!$BJ16="Burned", $O66 &lt;&gt;"None"), $T66 *IPCC!$D$76,0)*IF(OR('3.Cropland'!$BH16="Maize", '3.Cropland'!$BH16="Wheat"),VLOOKUP('3.Cropland'!$BH16, IPCC!$A$85:$B$89,2,FALSE),IPCC!$B$89),0)</f>
        <v/>
      </c>
      <c r="T10" s="3225">
        <f>_xlfn.IFNA(IF($H14="Burned",($I14*IPCC!$E$76*IF(OR('3.Cropland'!$E16="Maize", '3.Cropland'!$E16="Wheat"),VLOOKUP('3.Cropland'!$E16,IPCC!$A$83:$B$89,2,FALSE),IPCC!$B$89)),
IF($H14="Retained",($M66*IF(OR(moist_type="Moist",moist_type="Wet",moist_type="Dry"),VLOOKUP(moist_type,IPCC!$B$99:$C$101,2,FALSE),IPCC!$C$96)*N2O_N_conversion),0))+
IF($O66="None", 0, IF('3.Cropland'!$BJ16="Burned", ($T66*IPCC!$E$76*IF(OR('3.Cropland'!$BH16="Maize", '3.Cropland'!$BH16="Wheat"),VLOOKUP('3.Cropland'!$BH16,IPCC!$A$83:$B$89,2,FALSE),IPCC!$B$89)),
IF('3.Cropland'!$BJ16="Retained", (annual!$X66*IF(OR(moist_type="Moist",moist_type="Wet",moist_type="Dry"),VLOOKUP(moist_type,IPCC!$B$99:$C$101,2,FALSE),IPCC!$C$96)*N2O_N_conversion),0))),0)</f>
        <v/>
      </c>
      <c r="U10" s="3225">
        <f>($S10*methane+$T10*Nitrous)/1000</f>
        <v/>
      </c>
      <c r="AE10" s="3443" t="inlineStr">
        <is>
          <t>CH4 in tCO2-e</t>
        </is>
      </c>
      <c r="AF10" s="3444" t="n"/>
      <c r="AG10" s="3445" t="inlineStr">
        <is>
          <t>N2O in tCO2-e</t>
        </is>
      </c>
      <c r="AH10" s="3333" t="n"/>
      <c r="AI10" s="4549" t="inlineStr">
        <is>
          <t>N2O soil for annual remaining annual only (tCO2-e)</t>
        </is>
      </c>
      <c r="AM10" s="3433" t="inlineStr">
        <is>
          <t xml:space="preserve">Soil </t>
        </is>
      </c>
      <c r="AN10" s="3434" t="n"/>
      <c r="AO10" s="3433" t="inlineStr">
        <is>
          <t>CH4</t>
        </is>
      </c>
      <c r="AP10" s="3433" t="n"/>
      <c r="AQ10" s="3433" t="inlineStr">
        <is>
          <t>N2O</t>
        </is>
      </c>
      <c r="AR10" s="3433" t="n"/>
    </row>
    <row r="11">
      <c r="C11" s="73" t="n"/>
      <c r="D11" s="77" t="inlineStr">
        <is>
          <t>description</t>
        </is>
      </c>
      <c r="E11" s="75" t="n"/>
      <c r="F11" s="75" t="inlineStr">
        <is>
          <t>management</t>
        </is>
      </c>
      <c r="G11" s="75" t="inlineStr">
        <is>
          <t>Org. material</t>
        </is>
      </c>
      <c r="H11" s="79" t="inlineStr">
        <is>
          <t>Burning</t>
        </is>
      </c>
      <c r="I11" s="75" t="inlineStr">
        <is>
          <t>t dm/ha</t>
        </is>
      </c>
      <c r="J11" s="75" t="inlineStr">
        <is>
          <t>t/ha/yr</t>
        </is>
      </c>
      <c r="K11" s="791" t="inlineStr">
        <is>
          <t>Annual to -&gt; non-forest LU</t>
        </is>
      </c>
      <c r="L11" s="4063">
        <f>IF('3.Cropland'!$AT$17="",IF('3.Cropland'!$G$17 &lt;&gt;"Please select", SOCref*VLOOKUP(clim_moist,IPCC!$A$57:$B$68,2,FALSE), 0),'3.Cropland'!$AT$17)</f>
        <v/>
      </c>
      <c r="M11" s="4063">
        <f>$L$11*IF('3.Cropland'!$AX$17="", '3.Cropland'!$AW$17,'3.Cropland'!$AX$17)*IF('3.Cropland'!$AZ$17="", '3.Cropland'!$AY$17,'3.Cropland'!$AZ$17)</f>
        <v/>
      </c>
      <c r="N11" s="4063">
        <f>$L$11*IF('3.Cropland'!$AX$17="", '3.Cropland'!$AW$17,'3.Cropland'!$AX$17)*IF('3.Cropland'!$AZ$17="", '3.Cropland'!$AY$17,'3.Cropland'!$AZ$17)</f>
        <v/>
      </c>
      <c r="O11" s="4063">
        <f>(M11-L11)/20*(-44/12)</f>
        <v/>
      </c>
      <c r="P11" s="4064">
        <f>(N11-L11)/20*(-44/12)</f>
        <v/>
      </c>
      <c r="Q11" s="864" t="n"/>
      <c r="R11" s="864" t="n"/>
      <c r="S11" s="85">
        <f>_xlfn.IFNA(IF($H15="Burned",$I15*IPCC!$D$76,0)*IF(OR('3.Cropland'!$E17 = "Maize",'3.Cropland'!$E17="Wheat"),VLOOKUP('3.Cropland'!$E17, IPCC!$A$85:$B$89,2,FALSE),IPCC!$B$89) +
IF(AND('3.Cropland'!$BJ17="Burned", $O67 &lt;&gt;"None"), $T67 *IPCC!$D$76,0)*IF(OR('3.Cropland'!$BH17="Maize", '3.Cropland'!$BH17="Wheat"),VLOOKUP('3.Cropland'!$BH17, IPCC!$A$85:$B$89,2,FALSE),IPCC!$B$89),0)</f>
        <v/>
      </c>
      <c r="T11" s="85">
        <f>_xlfn.IFNA(IF($H15="Burned",($I15*IPCC!$E$76*IF(OR('3.Cropland'!$E17="Maize", '3.Cropland'!$E17="Wheat"),VLOOKUP('3.Cropland'!$E17,IPCC!$A$83:$B$89,2,FALSE),IPCC!$B$89)),
IF($H15="Retained",($M67*IF(OR(moist_type="Moist",moist_type="Wet",moist_type="Dry"),VLOOKUP(moist_type,IPCC!$B$99:$C$101,2,FALSE),IPCC!$C$96)*N2O_N_conversion),0))+
IF($O67="None", 0, IF('3.Cropland'!$BJ17="Burned", ($T67*IPCC!$E$76*IF(OR('3.Cropland'!$BH17="Maize", '3.Cropland'!$BH17="Wheat"),VLOOKUP('3.Cropland'!$BH17,IPCC!$A$83:$B$89,2,FALSE),IPCC!$B$89)),
IF('3.Cropland'!$BJ17="Retained", (annual!$X67*IF(OR(moist_type="Moist",moist_type="Wet",moist_type="Dry"),VLOOKUP(moist_type,IPCC!$B$99:$C$101,2,FALSE),IPCC!$C$96)*N2O_N_conversion),0))),0)</f>
        <v/>
      </c>
      <c r="U11" s="85">
        <f>($S11*methane+$T11*Nitrous)/1000</f>
        <v/>
      </c>
      <c r="AE11" s="3329" t="inlineStr">
        <is>
          <t>w/out</t>
        </is>
      </c>
      <c r="AF11" s="3446" t="inlineStr">
        <is>
          <t>with</t>
        </is>
      </c>
      <c r="AG11" s="3329" t="inlineStr">
        <is>
          <t>w/out</t>
        </is>
      </c>
      <c r="AH11" s="3446" t="inlineStr">
        <is>
          <t>with</t>
        </is>
      </c>
      <c r="AI11" s="3329" t="inlineStr">
        <is>
          <t>w/out</t>
        </is>
      </c>
      <c r="AJ11" s="3446" t="inlineStr">
        <is>
          <t>with</t>
        </is>
      </c>
      <c r="AM11" s="3226" t="inlineStr">
        <is>
          <t>w/out</t>
        </is>
      </c>
      <c r="AN11" s="3227" t="inlineStr">
        <is>
          <t>with</t>
        </is>
      </c>
      <c r="AO11" s="3226" t="inlineStr">
        <is>
          <t>w/out</t>
        </is>
      </c>
      <c r="AP11" s="3227" t="inlineStr">
        <is>
          <t>with</t>
        </is>
      </c>
      <c r="AQ11" s="3226" t="inlineStr">
        <is>
          <t>w/out</t>
        </is>
      </c>
      <c r="AR11" s="3227" t="inlineStr">
        <is>
          <t>with</t>
        </is>
      </c>
    </row>
    <row r="12" ht="19" customHeight="1">
      <c r="B12" s="720" t="inlineStr">
        <is>
          <t>Deforestation (FL -&gt; CL)</t>
        </is>
      </c>
      <c r="C12" s="723">
        <f>'3.Cropland'!AP14</f>
        <v/>
      </c>
      <c r="D12" s="723" t="n"/>
      <c r="E12" s="723" t="n"/>
      <c r="F12" s="723">
        <f>'3.Cropland'!G14</f>
        <v/>
      </c>
      <c r="G12" s="723">
        <f>'3.Cropland'!I14</f>
        <v/>
      </c>
      <c r="H12" s="723">
        <f>'3.Cropland'!$K14</f>
        <v/>
      </c>
      <c r="I12" s="724">
        <f>$H64/1000</f>
        <v/>
      </c>
      <c r="J12" s="725">
        <f>'3.Cropland'!$M14</f>
        <v/>
      </c>
      <c r="L12" s="847" t="inlineStr">
        <is>
          <t xml:space="preserve">ANNUAL remainining ANNUAL </t>
        </is>
      </c>
      <c r="M12" s="842" t="n"/>
      <c r="N12" s="3486" t="n"/>
      <c r="O12" s="3486" t="n"/>
      <c r="P12" s="3486" t="n"/>
      <c r="Q12" s="3486" t="n"/>
      <c r="R12" s="3486" t="n"/>
      <c r="S12" s="840" t="n"/>
      <c r="T12" s="840" t="n"/>
      <c r="U12" s="841" t="n"/>
      <c r="V12" s="841" t="n"/>
      <c r="AD12" s="720" t="inlineStr">
        <is>
          <t>Deforestation (FL -&gt; CL)</t>
        </is>
      </c>
      <c r="AE12" s="3440">
        <f>(MIN(D34,E34)*time_tot+ABS(E34-D34)*IF(E34&gt;D34, time_cap + time*(VLOOKUP(F34, list!$J$48:$K$50, 2, FALSE)), time*(1-(VLOOKUP(F34, list!$J$48:$K$50, 2, FALSE)))))*annual!S8*methane/1000</f>
        <v/>
      </c>
      <c r="AF12" s="3441">
        <f>(MIN(D34,G34)*time_tot+ABS(G34-D34)*IF(G34&gt;D34, time_cap + time*(VLOOKUP(H34, list!$J$48:$K$50, 2, FALSE)), time*(1-(VLOOKUP(annual!H34, list!$J$48:$K$50, 2, FALSE)))))*annual!S8* methane/1000</f>
        <v/>
      </c>
      <c r="AG12" s="3441">
        <f>(MIN(D34,E34)*time_tot+ABS(E34-D34)*IF(E34&gt;D34, time_cap + time*(VLOOKUP(F34, list!$J$48:$K$50, 2, FALSE)), time*(1-(VLOOKUP(F34, list!$J$48:$K$50, 2, FALSE)))))*T8*Nitrous/1000</f>
        <v/>
      </c>
      <c r="AH12" s="3441">
        <f>(MIN(D34,G34)*time_tot+ABS(G34-D34)*IF(G34&gt;D34, time_cap + time*(VLOOKUP(H34, list!$J$48:$K$50, 2, FALSE)), time*(1-(VLOOKUP(annual!H34, list!$J$48:$K$50, 2, FALSE)))))*T8*Nitrous/1000</f>
        <v/>
      </c>
      <c r="AI12" s="3441">
        <f>M34</f>
        <v/>
      </c>
      <c r="AJ12" s="3442">
        <f>N34</f>
        <v/>
      </c>
      <c r="AM12" s="3249">
        <f>-$R8*((MIN($D34,E34)*MIN(20,time)) +
IF(F34="Immediate",IF(E34&gt;$D34,E34*MIN(20,time),0),IF($D34&gt;E34,($D34-$E34)* IF(time&gt;20,
IF(F34="Linear",time-((time-20)^2)/(2*time),(0.215*time)-(time/4.6)*(EXP(-92.1/time)-0.01)),time*(1-VLOOKUP(F34,list!$J$48:$K$50,2,))),(E34-$D34)*IF(time&gt;time+20,20,IF(time&lt;20,(time*VLOOKUP(F34,list!$J$48:$K$50,2,))+(time-time),((MIN(20,time)*VLOOKUP(F34,list!$J$48:$K$50,2,)) + (time-MIN(20,time)) -
IF(F34="Exponential",time-20+0.217*time*(EXP(4.606*(20-time)/time)-1),((time-20)^2)*(0.5/time))))))))</f>
        <v/>
      </c>
      <c r="AN12" s="3250">
        <f>-$R8*((MIN($D34,G34)*MIN(20,time))+IF(H34="Immediate",IF(G34&gt;$D34,G34*MIN(20,time),0),IF($D34&gt;G34,($D34-G34)*IF(time&gt;20,IF(H34="Linear",time-((time-20)^2)/(2*time),(0.215*time)-(time/4.6)*(EXP(-92.1/time)-0.01)),time*(1-VLOOKUP(H34,list!$J$48:$K$50,2,))),(G34-$D34)*IF(time&gt;time+20,20,IF(time&lt;20,(time*VLOOKUP(H34,list!$J$48:$K$50,2,))+(time-time),((MIN(20,time)*VLOOKUP(H34,list!$J$48:$K$50,2,))+(time-MIN(20,time))-IF(H34="Exponential",time-20+0.217*time*(EXP(4.606*(20-time)/time)-1),((time-20)^2)*(0.5/time))))))))</f>
        <v/>
      </c>
      <c r="AO12" s="3250">
        <f>(MIN(D34,E34)*time+ABS(E34-D34)*IF(E34&gt;D34,  + time*(VLOOKUP(F34, list!$J$48:$K$50, 2, FALSE)), time*(1-(VLOOKUP(F34, list!$J$48:$K$50, 2, FALSE)))))*annual!S8*methane/1000</f>
        <v/>
      </c>
      <c r="AP12" s="3250">
        <f>(MIN(D34,G34)*time+ABS(G34-D34)*IF(G34&gt;D34,  + time*(VLOOKUP(H34, list!$J$48:$K$50, 2, FALSE)), time*(1-(VLOOKUP(annual!H34, list!$J$48:$K$50, 2, FALSE)))))*annual!S8*methane/1000</f>
        <v/>
      </c>
      <c r="AQ12" s="3250">
        <f>IFERROR(IF(M8&lt;L8,(M8-L8)/20/10*1000*VLOOKUP(moist_type, IPCC!$B$99:$C$101, 2, FALSE)*N2O_N_conversion*Nitrous/1000*(MIN(D34,E34)*time+ABS(E34-D34)*IF(E34&gt;D34,time*(VLOOKUP($F34,list!$J$47:$K$50,2,FALSE)),time*(1-(VLOOKUP(F34,list!$J$47:$K$50,2,FALSE))))),0),0)</f>
        <v/>
      </c>
      <c r="AR12" s="3251">
        <f>IFERROR(IF(N8&lt;L8,(N8-L8)/20/10*1000*VLOOKUP(moist_type, IPCC!$B$99:$C$101, 2, FALSE)*N2O_N_conversion*Nitrous/1000*(MIN(D34,G34)*time+ABS(G34-D34)*IF(G34&gt;D34,time*(VLOOKUP($G34,list!$J$47:$K$50,2,FALSE)),time*(1-(VLOOKUP(H34,list!$J$47:$K$50,2,FALSE))))),0),0)</f>
        <v/>
      </c>
    </row>
    <row r="13" ht="15.5" customHeight="1">
      <c r="B13" s="701" t="inlineStr">
        <is>
          <t>Afforestation (CL-&gt; FL)</t>
        </is>
      </c>
      <c r="C13" s="717">
        <f>'3.Cropland'!AP15</f>
        <v/>
      </c>
      <c r="D13" s="717" t="n"/>
      <c r="E13" s="717" t="n"/>
      <c r="F13" s="717">
        <f>'3.Cropland'!G15</f>
        <v/>
      </c>
      <c r="G13" s="717">
        <f>'3.Cropland'!I15</f>
        <v/>
      </c>
      <c r="H13" s="717">
        <f>'3.Cropland'!K15</f>
        <v/>
      </c>
      <c r="I13" s="718">
        <f>H65/1000</f>
        <v/>
      </c>
      <c r="J13" s="719">
        <f>'3.Cropland'!$M15</f>
        <v/>
      </c>
      <c r="L13" s="827" t="n"/>
      <c r="M13" s="827" t="n"/>
      <c r="N13" s="827" t="n"/>
      <c r="O13" s="827" t="n"/>
      <c r="P13" s="827" t="n"/>
      <c r="Q13" s="4550" t="inlineStr">
        <is>
          <t>delta Soil C = SOCREF * FLU*FMG*FI - SOCREF*FLU</t>
        </is>
      </c>
      <c r="R13" s="817" t="inlineStr">
        <is>
          <t>limited to 20 yrs</t>
        </is>
      </c>
      <c r="S13" s="832" t="inlineStr">
        <is>
          <t>Main and minor crop</t>
        </is>
      </c>
      <c r="T13" s="835" t="n"/>
      <c r="U13" s="836" t="n"/>
      <c r="V13" s="3167" t="inlineStr">
        <is>
          <t>N2O SOM</t>
        </is>
      </c>
      <c r="AD13" s="701" t="inlineStr">
        <is>
          <t>Afforestation (CL-&gt; FL)</t>
        </is>
      </c>
      <c r="AE13" s="3436">
        <f>(MIN(D35,E35)*time_tot+ABS(E35-D35)*IF(E35&gt;D35, time_cap + time*(VLOOKUP(F35, list!$J$48:$K$50, 2, FALSE)), time*(1-(VLOOKUP(F35, list!$J$48:$K$50, 2, FALSE)))))*annual!$S9*methane/1000</f>
        <v/>
      </c>
      <c r="AF13" s="3228">
        <f>(MIN(D35,G35)*time_tot+ABS(G35-D35)*IF(G35&gt;D35, time_cap + time*(VLOOKUP(H35, list!$J$48:$K$50, 2, FALSE)), time*(1-(VLOOKUP(annual!H35, list!$J$48:$K$50, 2, FALSE)))))*annual!$S9* methane/1000</f>
        <v/>
      </c>
      <c r="AG13" s="3228">
        <f>(MIN(D35,E35)*time_tot+ABS(E35-D35)*IF(E35&gt;D35, time_cap + time*(VLOOKUP(F35, list!$J$48:$K$50, 2, FALSE)), time*(1-(VLOOKUP(F35, list!$J$48:$K$50, 2, FALSE)))))*T9*Nitrous/1000</f>
        <v/>
      </c>
      <c r="AH13" s="3228">
        <f>(MIN(D35,G35)*time_tot+ABS(G35-D35)*IF(G35&gt;D35, time_cap + time*(VLOOKUP(H35, list!$J$48:$K$50, 2, FALSE)), time*(1-(VLOOKUP(annual!H35, list!$J$48:$K$50, 2, FALSE)))))*T9*Nitrous/1000</f>
        <v/>
      </c>
      <c r="AI13" s="3228">
        <f>M35</f>
        <v/>
      </c>
      <c r="AJ13" s="3437">
        <f>N35</f>
        <v/>
      </c>
      <c r="AM13" s="3183">
        <f>-$R9*((MIN($D35,E35)*MIN(20,time)) +
IF(F35="Immediate",IF(E35&gt;$D35,E35*MIN(20,time),0),IF($D35&gt;E35,($D35-$E35)* IF(time&gt;20,
IF(F35="Linear",time-((time-20)^2)/(2*time),(0.215*time)-(time/4.6)*(EXP(-92.1/time)-0.01)),time*(1-VLOOKUP(F35,list!$J$48:$K$50,2,))),(E35-$D35)*IF(time&gt;time+20,20,IF(time&lt;20,(time*VLOOKUP(F35,list!$J$48:$K$50,2,))+(time-time),((MIN(20,time)*VLOOKUP(F35,list!$J$48:$K$50,2,)) + (time-MIN(20,time)) -
IF(F35="Exponential",time-20+0.217*time*(EXP(4.606*(20-time)/time)-1),((time-20)^2)*(0.5/time))))))))</f>
        <v/>
      </c>
      <c r="AN13" s="3177">
        <f>-$R9*((MIN($D35,G35)*MIN(20,time))+IF(H35="Immediate",IF(G35&gt;$D35,G35*MIN(20,time),0),IF($D35&gt;G35,($D35-G35)*IF(time&gt;20,IF(H35="Linear",time-((time-20)^2)/(2*time),(0.215*time)-(time/4.6)*(EXP(-92.1/time)-0.01)),time*(1-VLOOKUP(H35,list!$J$48:$K$50,2,))),(G35-$D35)*IF(time&gt;time+20,20,IF(time&lt;20,(time*VLOOKUP(H35,list!$J$48:$K$50,2,))+(time-time),((MIN(20,time)*VLOOKUP(H35,list!$J$48:$K$50,2,))+(time-MIN(20,time))-IF(H35="Exponential",time-20+0.217*time*(EXP(4.606*(20-time)/time)-1),((time-20)^2)*(0.5/time))))))))</f>
        <v/>
      </c>
      <c r="AO13" s="3454">
        <f>(MIN(D35,E35)*time+ABS(E35-D35)*IF(E35&gt;D35,  + time*(VLOOKUP(F35, list!$J$48:$K$50, 2, FALSE)), time*(1-(VLOOKUP(F35, list!$J$48:$K$50, 2, FALSE)))))*annual!S9*methane/1000</f>
        <v/>
      </c>
      <c r="AP13" s="3454">
        <f>(MIN(D35,G35)*time+ABS(G35-D35)*IF(G35&gt;D35,  + time*(VLOOKUP(H35, list!$J$48:$K$50, 2, FALSE)), time*(1-(VLOOKUP(annual!H35, list!$J$48:$K$50, 2, FALSE)))))*annual!$S9*methane/1000</f>
        <v/>
      </c>
      <c r="AQ13" s="3454">
        <f>IFERROR(IF(M9&lt;L9,(M9-L9)/20/10*1000*VLOOKUP(moist_type, IPCC!$B$99:$C$101, 2, FALSE)*N2O_N_conversion*Nitrous/1000*(MIN(D35,E35)*time+ABS(E35-D35)*IF(E35&gt;D35,time*(VLOOKUP($F35,list!$J$47:$K$50,2,FALSE)),time*(1-(VLOOKUP(F35,list!$J$47:$K$50,2,FALSE))))),0),0)</f>
        <v/>
      </c>
      <c r="AR13" s="3455">
        <f>IFERROR(IF(N9&lt;L9,(N9-L9)/20/10*1000*VLOOKUP(moist_type, IPCC!$B$99:$C$101, 2, FALSE)*N2O_N_conversion*Nitrous/1000*(MIN(D35,G35)*time+ABS(G35-D35)*IF(G35&gt;D35,time*(VLOOKUP($G35,list!$J$47:$K$50,2,FALSE)),time*(1-(VLOOKUP(H35,list!$J$47:$K$50,2,FALSE))))),0),0)</f>
        <v/>
      </c>
    </row>
    <row r="14" ht="17" customHeight="1">
      <c r="B14" s="787" t="inlineStr">
        <is>
          <t xml:space="preserve">non-FL converted Annual </t>
        </is>
      </c>
      <c r="C14" s="785">
        <f>'3.Cropland'!AP16</f>
        <v/>
      </c>
      <c r="D14" s="785" t="n"/>
      <c r="E14" s="785" t="n"/>
      <c r="F14" s="785">
        <f>'3.Cropland'!G16</f>
        <v/>
      </c>
      <c r="G14" s="785">
        <f>'3.Cropland'!I16</f>
        <v/>
      </c>
      <c r="H14" s="785">
        <f>'3.Cropland'!K16</f>
        <v/>
      </c>
      <c r="I14" s="789">
        <f>H66/1000</f>
        <v/>
      </c>
      <c r="J14" s="786">
        <f>'3.Cropland'!$M16</f>
        <v/>
      </c>
      <c r="L14" s="828" t="inlineStr">
        <is>
          <t xml:space="preserve">SOC REF </t>
        </is>
      </c>
      <c r="M14" s="828" t="inlineStr">
        <is>
          <t xml:space="preserve">FLU </t>
        </is>
      </c>
      <c r="N14" s="828" t="inlineStr">
        <is>
          <t xml:space="preserve">FMG </t>
        </is>
      </c>
      <c r="O14" s="828" t="inlineStr">
        <is>
          <t xml:space="preserve">FI </t>
        </is>
      </c>
      <c r="P14" s="830" t="inlineStr">
        <is>
          <t>SOCREF * FLU*FMG*FI</t>
        </is>
      </c>
      <c r="Q14" s="236" t="n"/>
      <c r="R14" s="831" t="inlineStr">
        <is>
          <t>SOCREF * FLU*FMG*FI</t>
        </is>
      </c>
      <c r="S14" s="834" t="inlineStr">
        <is>
          <t>CH4</t>
        </is>
      </c>
      <c r="T14" s="834" t="inlineStr">
        <is>
          <t>N2O</t>
        </is>
      </c>
      <c r="U14" s="833" t="inlineStr">
        <is>
          <t>CO2eq</t>
        </is>
      </c>
      <c r="V14" s="833" t="inlineStr">
        <is>
          <t>tCO2-e/yr</t>
        </is>
      </c>
      <c r="AD14" s="787" t="inlineStr">
        <is>
          <t xml:space="preserve">non-FL converted Annual </t>
        </is>
      </c>
      <c r="AE14" s="3438">
        <f>(MIN(D36,E36)*time_tot+ABS(E36-D36)*IF(E36&gt;D36, time_cap + time*(VLOOKUP(F36, list!$J$48:$K$50, 2, FALSE)), time*(1-(VLOOKUP(F36, list!$J$48:$K$50, 2, FALSE)))))*annual!$S10*methane/1000</f>
        <v/>
      </c>
      <c r="AF14" s="3229">
        <f>(MIN(D36,G36)*time_tot+ABS(G36-D36)*IF(G36&gt;D36, time_cap + time*(VLOOKUP(H36, list!$J$48:$K$50, 2, FALSE)), time*(1-(VLOOKUP(annual!H36, list!$J$48:$K$50, 2, FALSE)))))*annual!$S10* methane/1000</f>
        <v/>
      </c>
      <c r="AG14" s="3229">
        <f>(MIN(D36,E36)*time_tot+ABS(E36-D36)*IF(E36&gt;D36, time_cap + time*(VLOOKUP(F36, list!$J$48:$K$50, 2, FALSE)), time*(1-(VLOOKUP(F36, list!$J$48:$K$50, 2, FALSE)))))*T10*Nitrous/1000</f>
        <v/>
      </c>
      <c r="AH14" s="3229">
        <f>(MIN(D36,G36)*time_tot+ABS(G36-D36)*IF(G36&gt;D36, time_cap + time*(VLOOKUP(H36, list!$J$48:$K$50, 2, FALSE)), time*(1-(VLOOKUP(annual!H36, list!$J$48:$K$50, 2, FALSE)))))*T10*Nitrous/1000</f>
        <v/>
      </c>
      <c r="AI14" s="3229">
        <f>M36</f>
        <v/>
      </c>
      <c r="AJ14" s="3439">
        <f>N36</f>
        <v/>
      </c>
      <c r="AM14" s="3438">
        <f>-$R10*((MIN($D36,E36)*MIN(20,time)) +
IF(F36="Immediate",IF(E36&gt;$D36,E36*MIN(20,time),0),IF($D36&gt;E36,($D36-$E36)* IF(time&gt;20,
IF(F36="Linear",time-((time-20)^2)/(2*time),(0.215*time)-(time/4.6)*(EXP(-92.1/time)-0.01)),time*(1-VLOOKUP(F36,list!$J$48:$K$50,2,))),(E36-$D36)*IF(time&gt;time+20,20,IF(time&lt;20,(time*VLOOKUP(F36,list!$J$48:$K$50,2,))+(time-time),((MIN(20,time)*VLOOKUP(F36,list!$J$48:$K$50,2,)) + (time-MIN(20,time)) -
IF(F36="Exponential",time-20+0.217*time*(EXP(4.606*(20-time)/time)-1),((time-20)^2)*(0.5/time))))))))</f>
        <v/>
      </c>
      <c r="AN14" s="3229">
        <f>-$R10*((MIN($D36,G36)*MIN(20,time))+IF(H36="Immediate",IF(G36&gt;$D36,G36*MIN(20,time),0),IF($D36&gt;G36,($D36-G36)*IF(time&gt;20,IF(H36="Linear",time-((time-20)^2)/(2*time),(0.215*time)-(time/4.6)*(EXP(-92.1/time)-0.01)),time*(1-VLOOKUP(H36,list!$J$48:$K$50,2,))),(G36-$D36)*IF(time&gt;time+20,20,IF(time&lt;20,(time*VLOOKUP(H36,list!$J$48:$K$50,2,))+(time-time),((MIN(20,time)*VLOOKUP(H36,list!$J$48:$K$50,2,))+(time-MIN(20,time))-IF(H36="Exponential",time-20+0.217*time*(EXP(4.606*(20-time)/time)-1),((time-20)^2)*(0.5/time))))))))</f>
        <v/>
      </c>
      <c r="AO14" s="3229">
        <f>(MIN(D36,E36)*time+ABS(E36-D36)*IF(E36&gt;D36,  + time*(VLOOKUP(F36, list!$J$48:$K$50, 2, FALSE)), time*(1-(VLOOKUP(F36, list!$J$48:$K$50, 2, FALSE)))))*annual!S10*methane/1000</f>
        <v/>
      </c>
      <c r="AP14" s="3229">
        <f>(MIN(D36,G36)*time+ABS(G36-D36)*IF(G36&gt;D36,  + time*(VLOOKUP(H36, list!$J$48:$K$50, 2, FALSE)), time*(1-(VLOOKUP(annual!H36, list!$J$48:$K$50, 2, FALSE)))))*annual!$S10*methane/1000</f>
        <v/>
      </c>
      <c r="AQ14" s="3229">
        <f>IFERROR(IF(M10&lt;L10,(M10-L10)/20/10*1000*VLOOKUP(moist_type, IPCC!$B$99:$C$101, 2, FALSE)*N2O_N_conversion*Nitrous/1000*(MIN(D36,E36)*time+ABS(E36-D36)*IF(E36&gt;D36,time*(VLOOKUP($F36,list!$J$47:$K$50,2,FALSE)),time*(1-(VLOOKUP(F36,list!$J$47:$K$50,2,FALSE))))),0),0)</f>
        <v/>
      </c>
      <c r="AR14" s="3439">
        <f>IFERROR(IF(N10&lt;L10,(N10-L10)/20/10*1000*VLOOKUP(moist_type, IPCC!$B$99:$C$101, 2, FALSE)*N2O_N_conversion*Nitrous/1000*(MIN(D36,G36)*time+ABS(G36-D36)*IF(G36&gt;D36,time*(VLOOKUP($G36,list!$J$47:$K$50,2,FALSE)),time*(1-(VLOOKUP(H36,list!$J$47:$K$50,2,FALSE))))),0),0)</f>
        <v/>
      </c>
    </row>
    <row r="15">
      <c r="C15" s="791">
        <f>'3.Cropland'!AP17</f>
        <v/>
      </c>
      <c r="D15" s="696" t="n"/>
      <c r="E15" s="696" t="n"/>
      <c r="F15" s="696">
        <f>'3.Cropland'!G17</f>
        <v/>
      </c>
      <c r="G15" s="696">
        <f>'3.Cropland'!I17</f>
        <v/>
      </c>
      <c r="H15" s="696">
        <f>'3.Cropland'!K17</f>
        <v/>
      </c>
      <c r="I15" s="88">
        <f>H67/1000</f>
        <v/>
      </c>
      <c r="J15" s="697">
        <f>'3.Cropland'!$M17</f>
        <v/>
      </c>
      <c r="L15" s="829" t="inlineStr">
        <is>
          <t>tC/ha</t>
        </is>
      </c>
      <c r="M15" s="829" t="inlineStr">
        <is>
          <t>(-)</t>
        </is>
      </c>
      <c r="N15" s="829" t="inlineStr">
        <is>
          <t>(-)</t>
        </is>
      </c>
      <c r="O15" s="829" t="inlineStr">
        <is>
          <t>(-)</t>
        </is>
      </c>
      <c r="P15" s="829" t="inlineStr">
        <is>
          <t>tC/ha</t>
        </is>
      </c>
      <c r="Q15" s="829" t="inlineStr">
        <is>
          <t>tCO2/ha</t>
        </is>
      </c>
      <c r="R15" s="829" t="inlineStr">
        <is>
          <t>tCO2/ha/year</t>
        </is>
      </c>
      <c r="S15" s="829" t="inlineStr">
        <is>
          <t>kg/ha/yr</t>
        </is>
      </c>
      <c r="T15" s="829" t="inlineStr">
        <is>
          <t>kg/ha/yr</t>
        </is>
      </c>
      <c r="U15" s="826" t="inlineStr">
        <is>
          <t>t/ha/yr</t>
        </is>
      </c>
      <c r="V15" s="826" t="n"/>
      <c r="AE15" s="3266">
        <f>(MIN(D37,E37)*time_tot+ABS(E37-D37)*IF(E37&gt;D37, time_cap + time*(VLOOKUP(F37, list!$J$48:$K$50, 2, FALSE)), time*(1-(VLOOKUP(F37, list!$J$48:$K$50, 2, FALSE)))))*annual!$S11*methane/1000</f>
        <v/>
      </c>
      <c r="AF15" s="3650">
        <f>(MIN(D37,G37)*time_tot+ABS(G37-D37)*IF(G37&gt;D37, time_cap + time*(VLOOKUP(H37, list!$J$48:$K$50, 2, FALSE)), time*(1-(VLOOKUP(annual!H37, list!$J$48:$K$50, 2, FALSE)))))*annual!$S11* methane/1000</f>
        <v/>
      </c>
      <c r="AG15" s="3650">
        <f>(MIN(D37,E37)*time_tot+ABS(E37-D37)*IF(E37&gt;D37, time_cap + time*(VLOOKUP(F37, list!$J$48:$K$50, 2, FALSE)), time*(1-(VLOOKUP(F37, list!$J$48:$K$50, 2, FALSE)))))*T11*Nitrous/1000</f>
        <v/>
      </c>
      <c r="AH15" s="3650">
        <f>(MIN(D37,G37)*time_tot+ABS(G37-D37)*IF(G37&gt;D37, time_cap + time*(VLOOKUP(H37, list!$J$48:$K$50, 2, FALSE)), time*(1-(VLOOKUP(annual!H37, list!$J$48:$K$50, 2, FALSE)))))*T11*Nitrous/1000</f>
        <v/>
      </c>
      <c r="AI15" s="3650">
        <f>M37</f>
        <v/>
      </c>
      <c r="AJ15" s="3654">
        <f>N37</f>
        <v/>
      </c>
      <c r="AM15" s="3266">
        <f>-$R11*((MIN($D37,E37)*MIN(20,time)) +
IF(F37="Immediate",IF(E37&gt;$D37,E37*MIN(20,time),0),IF($D37&gt;E37,($D37-$E37)* IF(time&gt;20,
IF(F37="Linear",time-((time-20)^2)/(2*time),(0.215*time)-(time/4.6)*(EXP(-92.1/time)-0.01)),time*(1-VLOOKUP(F37,list!$J$48:$K$50,2,))),(E37-$D37)*IF(time&gt;time+20,20,IF(time&lt;20,(time*VLOOKUP(F37,list!$J$48:$K$50,2,))+(time-time),((MIN(20,time)*VLOOKUP(F37,list!$J$48:$K$50,2,)) + (time-MIN(20,time)) -
IF(F37="Exponential",time-20+0.217*time*(EXP(4.606*(20-time)/time)-1),((time-20)^2)*(0.5/time))))))))</f>
        <v/>
      </c>
      <c r="AN15" s="3650">
        <f>-$R11*((MIN($D37,G37)*MIN(20,time))+IF(H37="Immediate",IF(G37&gt;$D37,G37*MIN(20,time),0),IF($D37&gt;G37,($D37-G37)*IF(time&gt;20,IF(H37="Linear",time-((time-20)^2)/(2*time),(0.215*time)-(time/4.6)*(EXP(-92.1/time)-0.01)),time*(1-VLOOKUP(H37,list!$J$48:$K$50,2,))),(G37-$D37)*IF(time&gt;time+20,20,IF(time&lt;20,(time*VLOOKUP(H37,list!$J$48:$K$50,2,))+(time-time),((MIN(20,time)*VLOOKUP(H37,list!$J$48:$K$50,2,))+(time-MIN(20,time))-IF(H37="Exponential",time-20+0.217*time*(EXP(4.606*(20-time)/time)-1),((time-20)^2)*(0.5/time))))))))</f>
        <v/>
      </c>
      <c r="AO15" s="3650">
        <f>(MIN(D37,E37)*time+ABS(E37-D37)*IF(E37&gt;D37,  + time*(VLOOKUP(F37, list!$J$48:$K$50, 2, FALSE)), time*(1-(VLOOKUP(F37, list!$J$48:$K$50, 2, FALSE)))))*annual!S11*methane/1000</f>
        <v/>
      </c>
      <c r="AP15" s="3650">
        <f>(MIN(D37,G37)*time+ABS(G37-D37)*IF(G37&gt;D37,  + time*(VLOOKUP(H37, list!$J$48:$K$50, 2, FALSE)), time*(1-(VLOOKUP(annual!H37, list!$J$48:$K$50, 2, FALSE)))))*annual!$S11*methane/1000</f>
        <v/>
      </c>
      <c r="AQ15" s="3650">
        <f>IFERROR(IF(M11&lt;L11,(M11-L11)/20/10*1000*VLOOKUP(moist_type, IPCC!$B$99:$C$101, 2, FALSE)*N2O_N_conversion*Nitrous/1000*(MIN(D37,E37)*time+ABS(E37-D37)*IF(E37&gt;D37,time*(VLOOKUP($F37,list!$J$47:$K$50,2,FALSE)),time*(1-(VLOOKUP(F37,list!$J$47:$K$50,2,FALSE))))),0),0)</f>
        <v/>
      </c>
      <c r="AR15" s="3654">
        <f>IFERROR(IF(N11&lt;L11,(N11-L11)/20/10*1000*VLOOKUP(moist_type, IPCC!$B$99:$C$101, 2, FALSE)*N2O_N_conversion*Nitrous/1000*(MIN(D37,G37)*time+ABS(G37-D37)*IF(G37&gt;D37,time*(VLOOKUP($G37,list!$J$47:$K$50,2,FALSE)),time*(1-(VLOOKUP(H37,list!$J$47:$K$50,2,FALSE))))),0),0)</f>
        <v/>
      </c>
    </row>
    <row r="16" ht="15" customHeight="1">
      <c r="C16" s="702">
        <f>IF('3.Cropland'!C25="", "", '3.Cropland'!C25)</f>
        <v/>
      </c>
      <c r="D16" s="702" t="n"/>
      <c r="E16" s="739" t="n"/>
      <c r="F16" s="739">
        <f>'3.Cropland'!G25</f>
        <v/>
      </c>
      <c r="G16" s="739">
        <f>'3.Cropland'!I25</f>
        <v/>
      </c>
      <c r="H16" s="708">
        <f>'3.Cropland'!K25</f>
        <v/>
      </c>
      <c r="I16" s="848">
        <f>$H68/1000</f>
        <v/>
      </c>
      <c r="J16" s="702">
        <f>'3.Cropland'!$M25</f>
        <v/>
      </c>
      <c r="K16" s="58" t="n"/>
      <c r="L16" s="4149">
        <f>(IF('3.Cropland'!$G25&lt;&gt;"Please select",IF('3.Cropland'!AT25&lt;&gt;"",'3.Cropland'!AT25,'3.Cropland'!AS25),0))</f>
        <v/>
      </c>
      <c r="M16" s="4149">
        <f>(IF('3.Cropland'!G25&lt;&gt;"Please select",IF('3.Cropland'!AV25&lt;&gt;"",'3.Cropland'!AV25,VLOOKUP(clim_moist,IPCC!$A$57:$B$68,2,FALSE)),0))</f>
        <v/>
      </c>
      <c r="N16" s="4150">
        <f>_xlfn.IFNA(IF('3.Cropland'!AX25&lt;&gt;"",'3.Cropland'!AX25,INDEX(IPCC!$B$58:$L$68,MATCH(clim_moist,IPCC!$A$58:$A$68,0),MATCH('3.Cropland'!G25,IPCC!$B$58:$L$58,0))),)</f>
        <v/>
      </c>
      <c r="O16" s="4151">
        <f>_xlfn.IFNA(IF( '3.Cropland'!AZ25&lt;&gt;"", '3.Cropland'!AZ25, INDEX(IPCC!$B$58:$L$68,MATCH(clim_moist,IPCC!$A$58:$A$68,0),MATCH('3.Cropland'!I25,IPCC!$B$58:$L$58,0))),0)</f>
        <v/>
      </c>
      <c r="P16" s="4152">
        <f>L16*M16*N16*O16</f>
        <v/>
      </c>
      <c r="Q16" s="4153">
        <f>(P16-L16*M16)*(44/12)</f>
        <v/>
      </c>
      <c r="R16" s="4150">
        <f>Q16/20</f>
        <v/>
      </c>
      <c r="S16" s="4145">
        <f>_xlfn.IFNA(IF($H16="Burned",$I16*IPCC!$D$76,0)*IF(OR('3.Cropland'!$E25="Maize",'3.Cropland'!$E25="Wheat"),VLOOKUP('3.Cropland'!$E25, IPCC!$A$85:$B$89,2,FALSE),IPCC!$B$89) +
IF(AND('3.Cropland'!$BJ25="Burned", $O68&lt;&gt;"None"), $T68*IPCC!$D$76,0)*IF(OR('3.Cropland'!$BH25="Maize", '3.Cropland'!$BH25="Wheat"),VLOOKUP('3.Cropland'!$BH25, IPCC!$A$85:$B$89,2,FALSE),IPCC!$B$89),0)</f>
        <v/>
      </c>
      <c r="T16" s="4146">
        <f>_xlfn.IFNA(IF($H16="Burned",($I16*IPCC!$E$76*IF(OR('3.Cropland'!$E25="Maize",'3.Cropland'!$E25="Wheat"),VLOOKUP('3.Cropland'!$E25,IPCC!$A$83:$B$89,2,FALSE),IPCC!$B$89)),
IF($H16="Retained",($M68*IF(OR(moist_type="Moist",moist_type="Wet",moist_type="Dry"),VLOOKUP(moist_type,IPCC!$B$99:$C$101,2,FALSE),IPCC!$C$96)*N2O_N_conversion),0))+
IF($O68="None", 0, IF('3.Cropland'!$BJ25="Burned", ($T68*IPCC!$E$76*IF(OR('3.Cropland'!$BH25="Maize", '3.Cropland'!$BH25="Wheat"),VLOOKUP('3.Cropland'!$BH25,IPCC!$A$83:$B$89,2,FALSE),IPCC!$B$89)),
IF('3.Cropland'!$BJ25="Retained", ($X68*IF(OR(moist_type="Moist",moist_type="Wet",moist_type="Dry"),VLOOKUP(moist_type,IPCC!$B$99:$C$101,2,FALSE),IPCC!$C$96)*N2O_N_conversion),0))),0)</f>
        <v/>
      </c>
      <c r="U16" s="3168">
        <f>($S16*methane+$T16*Nitrous)/1000</f>
        <v/>
      </c>
      <c r="V16" s="3168">
        <f>IFERROR(IF((P16-L16*M16)&lt;0,(P16-L16*M16)/20/10*1000,0)*VLOOKUP(moist_type, IPCC!$B$99:$C$101, 2, FALSE)*N2O_N_conversion*Nitrous/1000,0)</f>
        <v/>
      </c>
      <c r="X16" s="4672" t="n"/>
      <c r="Y16" s="16" t="n"/>
      <c r="AE16" s="3447">
        <f>(MIN(D38,E38)*time_tot+ABS(E38-D38)*IF(E38&gt;D38, time_cap + time*(VLOOKUP(F38, list!$J$48:$K$50, 2, FALSE)), time*(1-(VLOOKUP(F38, list!$J$48:$K$50, 2, FALSE)))))*annual!S16*methane/1000</f>
        <v/>
      </c>
      <c r="AF16" s="3435">
        <f>(MIN(D38,G38)*time_tot+ABS(G38-D38)*IF(G38&gt;D38, time_cap + time*(VLOOKUP(H38, list!$J$48:$K$50, 2, FALSE)), time*(1-(VLOOKUP(annual!H38, list!$J$48:$K$50, 2, FALSE)))))*annual!S16*methane/1000</f>
        <v/>
      </c>
      <c r="AG16" s="3435">
        <f>(MIN(D38,E38)*time_tot+ABS(E38-D38)*IF(E38&gt;D38, time_cap + time*(VLOOKUP(F38, list!$J$48:$K$50, 2, FALSE)), time*(1-(VLOOKUP(F38, list!$J$48:$K$50, 2, FALSE)))))*T16*Nitrous/1000</f>
        <v/>
      </c>
      <c r="AH16" s="3435">
        <f>(MIN(D38,G38)*time_tot+ABS(G38-D38)*IF(G38&gt;D38, time_cap + time*(VLOOKUP(H38, list!$J$48:$K$50, 2, FALSE)), time*(1-(VLOOKUP(annual!H38, list!$J$48:$K$50, 2, FALSE)))))*T16*Nitrous/1000</f>
        <v/>
      </c>
      <c r="AI16" s="3435">
        <f>M38</f>
        <v/>
      </c>
      <c r="AJ16" s="3448">
        <f>N38</f>
        <v/>
      </c>
      <c r="AM16" s="3472">
        <f>-$R16*((MIN($D38,E38)*MIN(20,time)) +
IF(F38="Immediate",IF(E38&gt;$D38,E38*MIN(20,time),0),IF($D38&gt;E38,($D38-E38)* IF(time&gt;20,
IF(F38="Linear",time-((time-20)^2)/(2*time),(0.215*time)-(time/4.6)*(EXP(-92.1/time)-0.01)),time*(1-VLOOKUP(F38,list!$J$48:$K$50,2,))),(E38-$D38)*IF(time&gt;time+20,20,IF(time&lt;20,(time*VLOOKUP(F38,list!$J$48:$K$50,2,))+(time-time),((MIN(20,time)*VLOOKUP(F38,list!$J$48:$K$50,2,)) + (time-MIN(20,time)) -
IF(F38="Exponential",time-20+0.217*time*(EXP(4.606*(20-time)/time)-1),((time-20)^2)*(0.5/time))))))))</f>
        <v/>
      </c>
      <c r="AN16" s="3473">
        <f>-$R16*((MIN($D38,G38)*MIN(20,time))+IF(H38="Immediate",IF(G38&gt;$D38,G38*MIN(20,time),0),IF($D38&gt;G38,($D38-G38)*IF(time&gt;20,IF(H38="Linear",time-((time-20)^2)/(2*time),(0.215*time)-(time/4.6)*(EXP(-92.1/time)-0.01)),time*(1-VLOOKUP(H38,list!$J$48:$K$50,2,))),(G38-$D38)*IF(time&gt;time+20,20,IF(time&lt;20,(time*VLOOKUP(H38,list!$J$48:$K$50,2,))+(time-time),((MIN(20,time)*VLOOKUP(H38,list!$J$48:$K$50,2,))+(time-MIN(20,time))-IF(H38="Exponential",time-20+0.217*time*(EXP(4.606*(20-time)/time)-1),((time-20)^2)*(0.5/time))))))))</f>
        <v/>
      </c>
      <c r="AO16" s="3473">
        <f>(MIN(D38,E38)*time+ABS(E38-D38)*IF(E38&gt;D38,  + time*(VLOOKUP(F38, list!$J$48:$K$50, 2, FALSE)), time*(1-(VLOOKUP(F38, list!$J$48:$K$50, 2, FALSE)))))*annual!S16*methane/1000</f>
        <v/>
      </c>
      <c r="AP16" s="3473">
        <f>(MIN(D38,G38)*time+ABS(G38-D38)*IF(G38&gt;D38,  + time*(VLOOKUP(H38, list!$J$48:$K$50, 2, FALSE)), time*(1-(VLOOKUP(annual!H38, list!$J$48:$K$50, 2, FALSE)))))*annual!S16*methane/1000</f>
        <v/>
      </c>
      <c r="AQ16" s="3473">
        <f>(MIN(D38,E38)*time+ABS(E38-D38)*IF(E38&gt;D38,  + time*(VLOOKUP(F38, list!$J$48:$K$50, 2, FALSE)), time*(1-(VLOOKUP(F38, list!$J$48:$K$50, 2, FALSE)))))*V16</f>
        <v/>
      </c>
      <c r="AR16" s="3474">
        <f>(MIN(D38,G38)*time+ABS(G38-D38)*IF(G38&gt;D38,+time*(VLOOKUP(H38,list!$J$48:$K$50,2,FALSE)),time*(1-(VLOOKUP(annual!H38,list!$J$48:$K$50,2,FALSE)))))*W16</f>
        <v/>
      </c>
    </row>
    <row r="17">
      <c r="C17" s="702">
        <f>IF('3.Cropland'!C26="", "", '3.Cropland'!C26)</f>
        <v/>
      </c>
      <c r="D17" s="728" t="n"/>
      <c r="E17" s="728" t="n"/>
      <c r="F17" s="728">
        <f>'3.Cropland'!G26</f>
        <v/>
      </c>
      <c r="G17" s="728">
        <f>'3.Cropland'!I26</f>
        <v/>
      </c>
      <c r="H17" s="711">
        <f>'3.Cropland'!K26</f>
        <v/>
      </c>
      <c r="I17" s="849">
        <f>$H69/1000</f>
        <v/>
      </c>
      <c r="J17" s="703">
        <f>'3.Cropland'!$M26</f>
        <v/>
      </c>
      <c r="L17" s="4149">
        <f>(IF('3.Cropland'!$G26&lt;&gt;"Please select",IF('3.Cropland'!AT26&lt;&gt;"",'3.Cropland'!AT26,'3.Cropland'!AS26),0))</f>
        <v/>
      </c>
      <c r="M17" s="4149">
        <f>(IF('3.Cropland'!G26&lt;&gt;"Please select",IF('3.Cropland'!AV26&lt;&gt;"",'3.Cropland'!AV26,VLOOKUP(clim_moist,IPCC!$A$57:$B$68,2,FALSE)),0))</f>
        <v/>
      </c>
      <c r="N17" s="4150">
        <f>_xlfn.IFNA(IF('3.Cropland'!AX26&lt;&gt;"",'3.Cropland'!AX26,INDEX(IPCC!$B$58:$L$68,MATCH(clim_moist,IPCC!$A$58:$A$68,0),MATCH('3.Cropland'!G26,IPCC!$B$58:$L$58,0))),)</f>
        <v/>
      </c>
      <c r="O17" s="4151">
        <f>_xlfn.IFNA(IF( '3.Cropland'!AZ26&lt;&gt;"", '3.Cropland'!AZ26, INDEX(IPCC!$B$58:$L$68,MATCH(clim_moist,IPCC!$A$58:$A$68,0),MATCH('3.Cropland'!I26,IPCC!$B$58:$L$58,0))),0)</f>
        <v/>
      </c>
      <c r="P17" s="4152">
        <f>L17*M17*N17*O17</f>
        <v/>
      </c>
      <c r="Q17" s="4153">
        <f>(P17-L17*M17)*(44/12)</f>
        <v/>
      </c>
      <c r="R17" s="4150">
        <f>Q17/20</f>
        <v/>
      </c>
      <c r="S17" s="4145">
        <f>_xlfn.IFNA(IF($H17="Burned",$I17*IPCC!$D$76,0)*IF(OR('3.Cropland'!$E26="Maize",'3.Cropland'!$E26="Wheat"),VLOOKUP('3.Cropland'!$E26, IPCC!$A$85:$B$89,2,FALSE),IPCC!$B$89) +
IF(AND('3.Cropland'!$BJ26="Burned", $O69&lt;&gt;"None"), $T69*IPCC!$D$76,0)*IF(OR('3.Cropland'!$BH26="Maize", '3.Cropland'!$BH26="Wheat"),VLOOKUP('3.Cropland'!$BH26, IPCC!$A$85:$B$89,2,FALSE),IPCC!$B$89),0)</f>
        <v/>
      </c>
      <c r="T17" s="4146">
        <f>_xlfn.IFNA(IF($H17="Burned",($I17*IPCC!$E$76*IF(OR('3.Cropland'!$E26="Maize",'3.Cropland'!$E26="Wheat"),VLOOKUP('3.Cropland'!$E26,IPCC!$A$83:$B$89,2,FALSE),IPCC!$B$89)),
IF($H17="Retained",($M69*IF(OR(moist_type="Moist",moist_type="Wet",moist_type="Dry"),VLOOKUP(moist_type,IPCC!$B$99:$C$101,2,FALSE),IPCC!$C$96)*N2O_N_conversion),0))+
IF($O69="None", 0, IF('3.Cropland'!$BJ26="Burned", ($T69*IPCC!$E$76*IF(OR('3.Cropland'!$BH26="Maize", '3.Cropland'!$BH26="Wheat"),VLOOKUP('3.Cropland'!$BH26,IPCC!$A$83:$B$89,2,FALSE),IPCC!$B$89)),
IF('3.Cropland'!$BJ26="Retained", ($X69*IF(OR(moist_type="Moist",moist_type="Wet",moist_type="Dry"),VLOOKUP(moist_type,IPCC!$B$99:$C$101,2,FALSE),IPCC!$C$96)*N2O_N_conversion),0))),0)</f>
        <v/>
      </c>
      <c r="U17" s="3168">
        <f>($S17*methane+$T17*Nitrous)/1000</f>
        <v/>
      </c>
      <c r="V17" s="3168">
        <f>IFERROR(IF((P17-L17*M17)&lt;0,(P17-L17*M17)/20/10*1000,0)*VLOOKUP(moist_type, IPCC!$B$99:$C$101, 2, FALSE)*N2O_N_conversion*Nitrous/1000,0)</f>
        <v/>
      </c>
      <c r="AE17" s="3449">
        <f>(MIN(D39,E39)*time_tot+ABS(E39-D39)*IF(E39&gt;D39, time_cap + time*(VLOOKUP(F39, list!$J$48:$K$50, 2, FALSE)), time*(1-(VLOOKUP(F39, list!$J$48:$K$50, 2, FALSE)))))*annual!S17*methane/1000</f>
        <v/>
      </c>
      <c r="AF17" s="3431">
        <f>(MIN(D39,G39)*time_tot+ABS(G39-D39)*IF(G39&gt;D39, time_cap + time*(VLOOKUP(H39, list!$J$48:$K$50, 2, FALSE)), time*(1-(VLOOKUP(annual!H39, list!$J$48:$K$50, 2, FALSE)))))*annual!S17*methane/1000</f>
        <v/>
      </c>
      <c r="AG17" s="3431">
        <f>(MIN(D39,E39)*time_tot+ABS(E39-D39)*IF(E39&gt;D39, time_cap + time*(VLOOKUP(F39, list!$J$48:$K$50, 2, FALSE)), time*(1-(VLOOKUP(F39, list!$J$48:$K$50, 2, FALSE)))))*T17*Nitrous/1000</f>
        <v/>
      </c>
      <c r="AH17" s="3431">
        <f>(MIN(D39,G39)*time_tot+ABS(G39-D39)*IF(G39&gt;D39, time_cap + time*(VLOOKUP(H39, list!$J$48:$K$50, 2, FALSE)), time*(1-(VLOOKUP(annual!H39, list!$J$48:$K$50, 2, FALSE)))))*T17*Nitrous/1000</f>
        <v/>
      </c>
      <c r="AI17" s="3431">
        <f>M39</f>
        <v/>
      </c>
      <c r="AJ17" s="3450">
        <f>N39</f>
        <v/>
      </c>
      <c r="AM17" s="3456">
        <f>-$R17*((MIN($D39,E39)*MIN(20,time)) +
IF(F39="Immediate",IF(E39&gt;$D39,E39*MIN(20,time),0),IF($D39&gt;E39,($D39-E39)* IF(time&gt;20,
IF(F39="Linear",time-((time-20)^2)/(2*time),(0.215*time)-(time/4.6)*(EXP(-92.1/time)-0.01)),time*(1-VLOOKUP(F39,list!$J$48:$K$50,2,))),(E39-$D39)*IF(time&gt;time+20,20,IF(time&lt;20,(time*VLOOKUP(F39,list!$J$48:$K$50,2,))+(time-time),((MIN(20,time)*VLOOKUP(F39,list!$J$48:$K$50,2,)) + (time-MIN(20,time)) -
IF(F39="Exponential",time-20+0.217*time*(EXP(4.606*(20-time)/time)-1),((time-20)^2)*(0.5/time))))))))</f>
        <v/>
      </c>
      <c r="AN17" s="3432">
        <f>-$R17*((MIN($D39,G39)*MIN(20,time))+IF(H39="Immediate",IF(G39&gt;$D39,G39*MIN(20,time),0),IF($D39&gt;G39,($D39-G39)*IF(time&gt;20,IF(H39="Linear",time-((time-20)^2)/(2*time),(0.215*time)-(time/4.6)*(EXP(-92.1/time)-0.01)),time*(1-VLOOKUP(H39,list!$J$48:$K$50,2,))),(G39-$D39)*IF(time&gt;time+20,20,IF(time&lt;20,(time*VLOOKUP(H39,list!$J$48:$K$50,2,))+(time-time),((MIN(20,time)*VLOOKUP(H39,list!$J$48:$K$50,2,))+(time-MIN(20,time))-IF(H39="Exponential",time-20+0.217*time*(EXP(4.606*(20-time)/time)-1),((time-20)^2)*(0.5/time))))))))</f>
        <v/>
      </c>
      <c r="AO17" s="3432">
        <f>(MIN(D39,E39)*time+ABS(E39-D39)*IF(E39&gt;D39,  + time*(VLOOKUP(F39, list!$J$48:$K$50, 2, FALSE)), time*(1-(VLOOKUP(F39, list!$J$48:$K$50, 2, FALSE)))))*annual!S17*methane/1000</f>
        <v/>
      </c>
      <c r="AP17" s="3432">
        <f>(MIN(D39,G39)*time+ABS(G39-D39)*IF(G39&gt;D39,  + time*(VLOOKUP(H39, list!$J$48:$K$50, 2, FALSE)), time*(1-(VLOOKUP(annual!H39, list!$J$48:$K$50, 2, FALSE)))))*annual!S17*methane/1000</f>
        <v/>
      </c>
      <c r="AQ17" s="3432">
        <f>(MIN(D39,E39)*time+ABS(E39-D39)*IF(E39&gt;D39,  + time*(VLOOKUP(F39, list!$J$48:$K$50, 2, FALSE)), time*(1-(VLOOKUP(F39, list!$J$48:$K$50, 2, FALSE)))))*V17</f>
        <v/>
      </c>
      <c r="AR17" s="3457">
        <f>(MIN(D39,G39)*time+ABS(G39-D39)*IF(G39&gt;D39,+time*(VLOOKUP(H39,list!$J$48:$K$50,2,FALSE)),time*(1-(VLOOKUP(annual!H39,list!$J$48:$K$50,2,FALSE)))))*W17</f>
        <v/>
      </c>
    </row>
    <row r="18">
      <c r="C18" s="702">
        <f>IF('3.Cropland'!C27="", "", '3.Cropland'!C27)</f>
        <v/>
      </c>
      <c r="D18" s="703" t="n"/>
      <c r="E18" s="703" t="n"/>
      <c r="F18" s="703">
        <f>'3.Cropland'!G27</f>
        <v/>
      </c>
      <c r="G18" s="703">
        <f>'3.Cropland'!I27</f>
        <v/>
      </c>
      <c r="H18" s="711">
        <f>'3.Cropland'!K27</f>
        <v/>
      </c>
      <c r="I18" s="849">
        <f>$H70/1000</f>
        <v/>
      </c>
      <c r="J18" s="703">
        <f>'3.Cropland'!$M27</f>
        <v/>
      </c>
      <c r="L18" s="4149">
        <f>(IF('3.Cropland'!$G27&lt;&gt;"Please select",IF('3.Cropland'!AT27&lt;&gt;"",'3.Cropland'!AT27,'3.Cropland'!AS27),0))</f>
        <v/>
      </c>
      <c r="M18" s="4149">
        <f>(IF('3.Cropland'!G27&lt;&gt;"Please select",IF('3.Cropland'!AV27&lt;&gt;"",'3.Cropland'!AV27,VLOOKUP(clim_moist,IPCC!$A$57:$B$68,2,FALSE)),0))</f>
        <v/>
      </c>
      <c r="N18" s="4150">
        <f>_xlfn.IFNA(IF('3.Cropland'!AX27&lt;&gt;"",'3.Cropland'!AX27,INDEX(IPCC!$B$58:$L$68,MATCH(clim_moist,IPCC!$A$58:$A$68,0),MATCH('3.Cropland'!G27,IPCC!$B$58:$L$58,0))),)</f>
        <v/>
      </c>
      <c r="O18" s="4151">
        <f>_xlfn.IFNA(IF( '3.Cropland'!AZ27&lt;&gt;"", '3.Cropland'!AZ27, INDEX(IPCC!$B$58:$L$68,MATCH(clim_moist,IPCC!$A$58:$A$68,0),MATCH('3.Cropland'!I27,IPCC!$B$58:$L$58,0))),0)</f>
        <v/>
      </c>
      <c r="P18" s="4152">
        <f>L18*M18*N18*O18</f>
        <v/>
      </c>
      <c r="Q18" s="4153">
        <f>(P18-L18*M18)*(44/12)</f>
        <v/>
      </c>
      <c r="R18" s="4150">
        <f>Q18/20</f>
        <v/>
      </c>
      <c r="S18" s="4145">
        <f>_xlfn.IFNA(IF($H18="Burned",$I18*IPCC!$D$76,0)*IF(OR('3.Cropland'!$E27="Maize",'3.Cropland'!$E27="Wheat"),VLOOKUP('3.Cropland'!$E27, IPCC!$A$85:$B$89,2,FALSE),IPCC!$B$89) +
IF(AND('3.Cropland'!$BJ27="Burned", $O70&lt;&gt;"None"), $T70*IPCC!$D$76,0)*IF(OR('3.Cropland'!$BH27="Maize", '3.Cropland'!$BH27="Wheat"),VLOOKUP('3.Cropland'!$BH27, IPCC!$A$85:$B$89,2,FALSE),IPCC!$B$89),0)</f>
        <v/>
      </c>
      <c r="T18" s="4146">
        <f>_xlfn.IFNA(IF($H18="Burned",($I18*IPCC!$E$76*IF(OR('3.Cropland'!$E27="Maize",'3.Cropland'!$E27="Wheat"),VLOOKUP('3.Cropland'!$E27,IPCC!$A$83:$B$89,2,FALSE),IPCC!$B$89)),
IF($H18="Retained",($M70*IF(OR(moist_type="Moist",moist_type="Wet",moist_type="Dry"),VLOOKUP(moist_type,IPCC!$B$99:$C$101,2,FALSE),IPCC!$C$96)*N2O_N_conversion),0))+
IF($O70="None", 0, IF('3.Cropland'!$BJ27="Burned", ($T70*IPCC!$E$76*IF(OR('3.Cropland'!$BH27="Maize", '3.Cropland'!$BH27="Wheat"),VLOOKUP('3.Cropland'!$BH27,IPCC!$A$83:$B$89,2,FALSE),IPCC!$B$89)),
IF('3.Cropland'!$BJ27="Retained", ($X70*IF(OR(moist_type="Moist",moist_type="Wet",moist_type="Dry"),VLOOKUP(moist_type,IPCC!$B$99:$C$101,2,FALSE),IPCC!$C$96)*N2O_N_conversion),0))),0)</f>
        <v/>
      </c>
      <c r="U18" s="3168">
        <f>($S18*methane+$T18*Nitrous)/1000</f>
        <v/>
      </c>
      <c r="V18" s="3168">
        <f>IFERROR(IF((P18-L18*M18)&lt;0,(P18-L18*M18)/20/10*1000,0)*VLOOKUP(moist_type, IPCC!$B$99:$C$101, 2, FALSE)*N2O_N_conversion*Nitrous/1000,0)</f>
        <v/>
      </c>
      <c r="AE18" s="3449">
        <f>(MIN(D40,E40)*time_tot+ABS(E40-D40)*IF(E40&gt;D40, time_cap + time*(VLOOKUP(F40, list!$J$48:$K$50, 2, FALSE)), time*(1-(VLOOKUP(F40, list!$J$48:$K$50, 2, FALSE)))))*annual!S18*methane/1000</f>
        <v/>
      </c>
      <c r="AF18" s="3431">
        <f>(MIN(D40,G40)*time_tot+ABS(G40-D40)*IF(G40&gt;D40, time_cap + time*(VLOOKUP(H40, list!$J$48:$K$50, 2, FALSE)), time*(1-(VLOOKUP(annual!H40, list!$J$48:$K$50, 2, FALSE)))))*annual!S18*methane/1000</f>
        <v/>
      </c>
      <c r="AG18" s="3431">
        <f>(MIN(D40,E40)*time_tot+ABS(E40-D40)*IF(E40&gt;D40, time_cap + time*(VLOOKUP(F40, list!$J$48:$K$50, 2, FALSE)), time*(1-(VLOOKUP(F40, list!$J$48:$K$50, 2, FALSE)))))*T18*Nitrous/1000</f>
        <v/>
      </c>
      <c r="AH18" s="3431">
        <f>(MIN(D40,G40)*time_tot+ABS(G40-D40)*IF(G40&gt;D40, time_cap + time*(VLOOKUP(H40, list!$J$48:$K$50, 2, FALSE)), time*(1-(VLOOKUP(annual!H40, list!$J$48:$K$50, 2, FALSE)))))*T18*Nitrous/1000</f>
        <v/>
      </c>
      <c r="AI18" s="3431">
        <f>M40</f>
        <v/>
      </c>
      <c r="AJ18" s="3450">
        <f>N40</f>
        <v/>
      </c>
      <c r="AM18" s="3456">
        <f>-$R18*((MIN($D40,E40)*MIN(20,time)) +
IF(F40="Immediate",IF(E40&gt;$D40,E40*MIN(20,time),0),IF($D40&gt;E40,($D40-E40)* IF(time&gt;20,
IF(F40="Linear",time-((time-20)^2)/(2*time),(0.215*time)-(time/4.6)*(EXP(-92.1/time)-0.01)),time*(1-VLOOKUP(F40,list!$J$48:$K$50,2,))),(E40-$D40)*IF(time&gt;time+20,20,IF(time&lt;20,(time*VLOOKUP(F40,list!$J$48:$K$50,2,))+(time-time),((MIN(20,time)*VLOOKUP(F40,list!$J$48:$K$50,2,)) + (time-MIN(20,time)) -
IF(F40="Exponential",time-20+0.217*time*(EXP(4.606*(20-time)/time)-1),((time-20)^2)*(0.5/time))))))))</f>
        <v/>
      </c>
      <c r="AN18" s="3432">
        <f>-$R18*((MIN($D40,G40)*MIN(20,time))+IF(H40="Immediate",IF(G40&gt;$D40,G40*MIN(20,time),0),IF($D40&gt;G40,($D40-G40)*IF(time&gt;20,IF(H40="Linear",time-((time-20)^2)/(2*time),(0.215*time)-(time/4.6)*(EXP(-92.1/time)-0.01)),time*(1-VLOOKUP(H40,list!$J$48:$K$50,2,))),(G40-$D40)*IF(time&gt;time+20,20,IF(time&lt;20,(time*VLOOKUP(H40,list!$J$48:$K$50,2,))+(time-time),((MIN(20,time)*VLOOKUP(H40,list!$J$48:$K$50,2,))+(time-MIN(20,time))-IF(H40="Exponential",time-20+0.217*time*(EXP(4.606*(20-time)/time)-1),((time-20)^2)*(0.5/time))))))))</f>
        <v/>
      </c>
      <c r="AO18" s="3432">
        <f>(MIN(D40,E40)*time+ABS(E40-D40)*IF(E40&gt;D40,  + time*(VLOOKUP(F40, list!$J$48:$K$50, 2, FALSE)), time*(1-(VLOOKUP(F40, list!$J$48:$K$50, 2, FALSE)))))*annual!S18*methane/1000</f>
        <v/>
      </c>
      <c r="AP18" s="3432">
        <f>(MIN(D40,G40)*time+ABS(G40-D40)*IF(G40&gt;D40,  + time*(VLOOKUP(H40, list!$J$48:$K$50, 2, FALSE)), time*(1-(VLOOKUP(annual!H40, list!$J$48:$K$50, 2, FALSE)))))*annual!S18*methane/1000</f>
        <v/>
      </c>
      <c r="AQ18" s="3432">
        <f>(MIN(D40,E40)*time+ABS(E40-D40)*IF(E40&gt;D40,  + time*(VLOOKUP(F40, list!$J$48:$K$50, 2, FALSE)), time*(1-(VLOOKUP(F40, list!$J$48:$K$50, 2, FALSE)))))*V18</f>
        <v/>
      </c>
      <c r="AR18" s="3457">
        <f>(MIN(D40,G40)*time+ABS(G40-D40)*IF(G40&gt;D40,+time*(VLOOKUP(H40,list!$J$48:$K$50,2,FALSE)),time*(1-(VLOOKUP(annual!H40,list!$J$48:$K$50,2,FALSE)))))*W18</f>
        <v/>
      </c>
    </row>
    <row r="19">
      <c r="C19" s="702">
        <f>IF('3.Cropland'!C28="", "", '3.Cropland'!C28)</f>
        <v/>
      </c>
      <c r="D19" s="703" t="n"/>
      <c r="E19" s="703" t="n"/>
      <c r="F19" s="703">
        <f>'3.Cropland'!G28</f>
        <v/>
      </c>
      <c r="G19" s="703">
        <f>'3.Cropland'!I28</f>
        <v/>
      </c>
      <c r="H19" s="711">
        <f>'3.Cropland'!K28</f>
        <v/>
      </c>
      <c r="I19" s="849">
        <f>$H71/1000</f>
        <v/>
      </c>
      <c r="J19" s="703">
        <f>'3.Cropland'!$M28</f>
        <v/>
      </c>
      <c r="L19" s="4149">
        <f>(IF('3.Cropland'!$G28&lt;&gt;"Please select",IF('3.Cropland'!AT28&lt;&gt;"",'3.Cropland'!AT28,'3.Cropland'!AS28),0))</f>
        <v/>
      </c>
      <c r="M19" s="4149">
        <f>(IF('3.Cropland'!G28&lt;&gt;"Please select",IF('3.Cropland'!AV28&lt;&gt;"",'3.Cropland'!AV28,VLOOKUP(clim_moist,IPCC!$A$57:$B$68,2,FALSE)),0))</f>
        <v/>
      </c>
      <c r="N19" s="4150">
        <f>_xlfn.IFNA(IF('3.Cropland'!AX28&lt;&gt;"",'3.Cropland'!AX28,INDEX(IPCC!$B$58:$L$68,MATCH(clim_moist,IPCC!$A$58:$A$68,0),MATCH('3.Cropland'!G28,IPCC!$B$58:$L$58,0))),)</f>
        <v/>
      </c>
      <c r="O19" s="4151">
        <f>_xlfn.IFNA(IF( '3.Cropland'!AZ28&lt;&gt;"", '3.Cropland'!AZ28, INDEX(IPCC!$B$58:$L$68,MATCH(clim_moist,IPCC!$A$58:$A$68,0),MATCH('3.Cropland'!I28,IPCC!$B$58:$L$58,0))),0)</f>
        <v/>
      </c>
      <c r="P19" s="4152">
        <f>L19*M19*N19*O19</f>
        <v/>
      </c>
      <c r="Q19" s="4153">
        <f>(P19-L19*M19)*(44/12)</f>
        <v/>
      </c>
      <c r="R19" s="4150">
        <f>Q19/20</f>
        <v/>
      </c>
      <c r="S19" s="4145">
        <f>_xlfn.IFNA(IF($H19="Burned",$I19*IPCC!$D$76,0)*IF(OR('3.Cropland'!$E28="Maize",'3.Cropland'!$E28="Wheat"),VLOOKUP('3.Cropland'!$E28, IPCC!$A$85:$B$89,2,FALSE),IPCC!$B$89) +
IF(AND('3.Cropland'!$BJ28="Burned", $O71&lt;&gt;"None"), $T71*IPCC!$D$76,0)*IF(OR('3.Cropland'!$BH28="Maize", '3.Cropland'!$BH28="Wheat"),VLOOKUP('3.Cropland'!$BH28, IPCC!$A$85:$B$89,2,FALSE),IPCC!$B$89),0)</f>
        <v/>
      </c>
      <c r="T19" s="4146">
        <f>_xlfn.IFNA(IF($H19="Burned",($I19*IPCC!$E$76*IF(OR('3.Cropland'!$E28="Maize",'3.Cropland'!$E28="Wheat"),VLOOKUP('3.Cropland'!$E28,IPCC!$A$83:$B$89,2,FALSE),IPCC!$B$89)),
IF($H19="Retained",($M71*IF(OR(moist_type="Moist",moist_type="Wet",moist_type="Dry"),VLOOKUP(moist_type,IPCC!$B$99:$C$101,2,FALSE),IPCC!$C$96)*N2O_N_conversion),0))+
IF($O71="None", 0, IF('3.Cropland'!$BJ28="Burned", ($T71*IPCC!$E$76*IF(OR('3.Cropland'!$BH28="Maize", '3.Cropland'!$BH28="Wheat"),VLOOKUP('3.Cropland'!$BH28,IPCC!$A$83:$B$89,2,FALSE),IPCC!$B$89)),
IF('3.Cropland'!$BJ28="Retained", ($X71*IF(OR(moist_type="Moist",moist_type="Wet",moist_type="Dry"),VLOOKUP(moist_type,IPCC!$B$99:$C$101,2,FALSE),IPCC!$C$96)*N2O_N_conversion),0))),0)</f>
        <v/>
      </c>
      <c r="U19" s="3168">
        <f>($S19*methane+$T19*Nitrous)/1000</f>
        <v/>
      </c>
      <c r="V19" s="3168">
        <f>IFERROR(IF((P19-L19*M19)&lt;0,(P19-L19*M19)/20/10*1000,0)*VLOOKUP(moist_type, IPCC!$B$99:$C$101, 2, FALSE)*N2O_N_conversion*Nitrous/1000,0)</f>
        <v/>
      </c>
      <c r="AE19" s="3449">
        <f>(MIN(D41,E41)*time_tot+ABS(E41-D41)*IF(E41&gt;D41, time_cap + time*(VLOOKUP(F41, list!$J$48:$K$50, 2, FALSE)), time*(1-(VLOOKUP(F41, list!$J$48:$K$50, 2, FALSE)))))*annual!S19*methane/1000</f>
        <v/>
      </c>
      <c r="AF19" s="3431">
        <f>(MIN(D41,G41)*time_tot+ABS(G41-D41)*IF(G41&gt;D41, time_cap + time*(VLOOKUP(H41, list!$J$48:$K$50, 2, FALSE)), time*(1-(VLOOKUP(annual!H41, list!$J$48:$K$50, 2, FALSE)))))*annual!S19*methane/1000</f>
        <v/>
      </c>
      <c r="AG19" s="3431">
        <f>(MIN(D41,E41)*time_tot+ABS(E41-D41)*IF(E41&gt;D41, time_cap + time*(VLOOKUP(F41, list!$J$48:$K$50, 2, FALSE)), time*(1-(VLOOKUP(F41, list!$J$48:$K$50, 2, FALSE)))))*T19*Nitrous/1000</f>
        <v/>
      </c>
      <c r="AH19" s="3431">
        <f>(MIN(D41,G41)*time_tot+ABS(G41-D41)*IF(G41&gt;D41, time_cap + time*(VLOOKUP(H41, list!$J$48:$K$50, 2, FALSE)), time*(1-(VLOOKUP(annual!H41, list!$J$48:$K$50, 2, FALSE)))))*T19*Nitrous/1000</f>
        <v/>
      </c>
      <c r="AI19" s="3431">
        <f>M41</f>
        <v/>
      </c>
      <c r="AJ19" s="3450">
        <f>N41</f>
        <v/>
      </c>
      <c r="AM19" s="3456">
        <f>-$R19*((MIN($D41,E41)*MIN(20,time)) +
IF(F41="Immediate",IF(E41&gt;$D41,E41*MIN(20,time),0),IF($D41&gt;E41,($D41-E41)* IF(time&gt;20,
IF(F41="Linear",time-((time-20)^2)/(2*time),(0.215*time)-(time/4.6)*(EXP(-92.1/time)-0.01)),time*(1-VLOOKUP(F41,list!$J$48:$K$50,2,))),(E41-$D41)*IF(time&gt;time+20,20,IF(time&lt;20,(time*VLOOKUP(F41,list!$J$48:$K$50,2,))+(time-time),((MIN(20,time)*VLOOKUP(F41,list!$J$48:$K$50,2,)) + (time-MIN(20,time)) -
IF(F41="Exponential",time-20+0.217*time*(EXP(4.606*(20-time)/time)-1),((time-20)^2)*(0.5/time))))))))</f>
        <v/>
      </c>
      <c r="AN19" s="3432">
        <f>-$R19*((MIN($D41,G41)*MIN(20,time))+IF(H41="Immediate",IF(G41&gt;$D41,G41*MIN(20,time),0),IF($D41&gt;G41,($D41-G41)*IF(time&gt;20,IF(H41="Linear",time-((time-20)^2)/(2*time),(0.215*time)-(time/4.6)*(EXP(-92.1/time)-0.01)),time*(1-VLOOKUP(H41,list!$J$48:$K$50,2,))),(G41-$D41)*IF(time&gt;time+20,20,IF(time&lt;20,(time*VLOOKUP(H41,list!$J$48:$K$50,2,))+(time-time),((MIN(20,time)*VLOOKUP(H41,list!$J$48:$K$50,2,))+(time-MIN(20,time))-IF(H41="Exponential",time-20+0.217*time*(EXP(4.606*(20-time)/time)-1),((time-20)^2)*(0.5/time))))))))</f>
        <v/>
      </c>
      <c r="AO19" s="3432">
        <f>(MIN(D41,E41)*time+ABS(E41-D41)*IF(E41&gt;D41,  + time*(VLOOKUP(F41, list!$J$48:$K$50, 2, FALSE)), time*(1-(VLOOKUP(F41, list!$J$48:$K$50, 2, FALSE)))))*annual!S19*methane/1000</f>
        <v/>
      </c>
      <c r="AP19" s="3432">
        <f>(MIN(D41,G41)*time+ABS(G41-D41)*IF(G41&gt;D41,  + time*(VLOOKUP(H41, list!$J$48:$K$50, 2, FALSE)), time*(1-(VLOOKUP(annual!H41, list!$J$48:$K$50, 2, FALSE)))))*annual!S19*methane/1000</f>
        <v/>
      </c>
      <c r="AQ19" s="3432">
        <f>(MIN(D41,E41)*time+ABS(E41-D41)*IF(E41&gt;D41,  + time*(VLOOKUP(F41, list!$J$48:$K$50, 2, FALSE)), time*(1-(VLOOKUP(F41, list!$J$48:$K$50, 2, FALSE)))))*V19</f>
        <v/>
      </c>
      <c r="AR19" s="3457">
        <f>(MIN(D41,G41)*time+ABS(G41-D41)*IF(G41&gt;D41,+time*(VLOOKUP(H41,list!$J$48:$K$50,2,FALSE)),time*(1-(VLOOKUP(annual!H41,list!$J$48:$K$50,2,FALSE)))))*W19</f>
        <v/>
      </c>
    </row>
    <row r="20">
      <c r="C20" s="702">
        <f>IF('3.Cropland'!C29="", "", '3.Cropland'!C29)</f>
        <v/>
      </c>
      <c r="D20" s="703" t="n"/>
      <c r="E20" s="703" t="n"/>
      <c r="F20" s="703">
        <f>'3.Cropland'!G29</f>
        <v/>
      </c>
      <c r="G20" s="703">
        <f>'3.Cropland'!I29</f>
        <v/>
      </c>
      <c r="H20" s="711">
        <f>'3.Cropland'!K29</f>
        <v/>
      </c>
      <c r="I20" s="849">
        <f>$H72/1000</f>
        <v/>
      </c>
      <c r="J20" s="703">
        <f>'3.Cropland'!$M29</f>
        <v/>
      </c>
      <c r="L20" s="4149">
        <f>(IF('3.Cropland'!$G29&lt;&gt;"Please select",IF('3.Cropland'!AT29&lt;&gt;"",'3.Cropland'!AT29,'3.Cropland'!AS29),0))</f>
        <v/>
      </c>
      <c r="M20" s="4149">
        <f>(IF('3.Cropland'!G29&lt;&gt;"Please select",IF('3.Cropland'!AV29&lt;&gt;"",'3.Cropland'!AV29,VLOOKUP(clim_moist,IPCC!$A$57:$B$68,2,FALSE)),0))</f>
        <v/>
      </c>
      <c r="N20" s="4150">
        <f>_xlfn.IFNA(IF('3.Cropland'!AX29&lt;&gt;"",'3.Cropland'!AX29,INDEX(IPCC!$B$58:$L$68,MATCH(clim_moist,IPCC!$A$58:$A$68,0),MATCH('3.Cropland'!G29,IPCC!$B$58:$L$58,0))),)</f>
        <v/>
      </c>
      <c r="O20" s="4151">
        <f>_xlfn.IFNA(IF( '3.Cropland'!AZ29&lt;&gt;"", '3.Cropland'!AZ29, INDEX(IPCC!$B$58:$L$68,MATCH(clim_moist,IPCC!$A$58:$A$68,0),MATCH('3.Cropland'!I29,IPCC!$B$58:$L$58,0))),0)</f>
        <v/>
      </c>
      <c r="P20" s="4152">
        <f>L20*M20*N20*O20</f>
        <v/>
      </c>
      <c r="Q20" s="4153">
        <f>(P20-L20*M20)*(44/12)</f>
        <v/>
      </c>
      <c r="R20" s="4150">
        <f>Q20/20</f>
        <v/>
      </c>
      <c r="S20" s="4145">
        <f>_xlfn.IFNA(IF($H20="Burned",$I20*IPCC!$D$76,0)*IF(OR('3.Cropland'!$E29="Maize",'3.Cropland'!$E29="Wheat"),VLOOKUP('3.Cropland'!$E29, IPCC!$A$85:$B$89,2,FALSE),IPCC!$B$89) +
IF(AND('3.Cropland'!$BJ29="Burned", $O72&lt;&gt;"None"), $T72*IPCC!$D$76,0)*IF(OR('3.Cropland'!$BH29="Maize", '3.Cropland'!$BH29="Wheat"),VLOOKUP('3.Cropland'!$BH29, IPCC!$A$85:$B$89,2,FALSE),IPCC!$B$89),0)</f>
        <v/>
      </c>
      <c r="T20" s="4146">
        <f>_xlfn.IFNA(IF($H20="Burned",($I20*IPCC!$E$76*IF(OR('3.Cropland'!$E29="Maize",'3.Cropland'!$E29="Wheat"),VLOOKUP('3.Cropland'!$E29,IPCC!$A$83:$B$89,2,FALSE),IPCC!$B$89)),
IF($H20="Retained",($M72*IF(OR(moist_type="Moist",moist_type="Wet",moist_type="Dry"),VLOOKUP(moist_type,IPCC!$B$99:$C$101,2,FALSE),IPCC!$C$96)*N2O_N_conversion),0))+
IF($O72="None", 0, IF('3.Cropland'!$BJ29="Burned", ($T72*IPCC!$E$76*IF(OR('3.Cropland'!$BH29="Maize", '3.Cropland'!$BH29="Wheat"),VLOOKUP('3.Cropland'!$BH29,IPCC!$A$83:$B$89,2,FALSE),IPCC!$B$89)),
IF('3.Cropland'!$BJ29="Retained", ($X72*IF(OR(moist_type="Moist",moist_type="Wet",moist_type="Dry"),VLOOKUP(moist_type,IPCC!$B$99:$C$101,2,FALSE),IPCC!$C$96)*N2O_N_conversion),0))),0)</f>
        <v/>
      </c>
      <c r="U20" s="3168">
        <f>($S20*methane+$T20*Nitrous)/1000</f>
        <v/>
      </c>
      <c r="V20" s="3168">
        <f>IFERROR(IF((P20-L20*M20)&lt;0,(P20-L20*M20)/20/10*1000,0)*VLOOKUP(moist_type, IPCC!$B$99:$C$101, 2, FALSE)*N2O_N_conversion*Nitrous/1000,0)</f>
        <v/>
      </c>
      <c r="AE20" s="3449">
        <f>(MIN(D42,E42)*time_tot+ABS(E42-D42)*IF(E42&gt;D42, time_cap + time*(VLOOKUP(F42, list!$J$48:$K$50, 2, FALSE)), time*(1-(VLOOKUP(F42, list!$J$48:$K$50, 2, FALSE)))))*annual!S20*methane/1000</f>
        <v/>
      </c>
      <c r="AF20" s="3431">
        <f>(MIN(D42,G42)*time_tot+ABS(G42-D42)*IF(G42&gt;D42, time_cap + time*(VLOOKUP(H42, list!$J$48:$K$50, 2, FALSE)), time*(1-(VLOOKUP(annual!H42, list!$J$48:$K$50, 2, FALSE)))))*annual!S20*methane/1000</f>
        <v/>
      </c>
      <c r="AG20" s="3431">
        <f>(MIN(D42,E42)*time_tot+ABS(E42-D42)*IF(E42&gt;D42, time_cap + time*(VLOOKUP(F42, list!$J$48:$K$50, 2, FALSE)), time*(1-(VLOOKUP(F42, list!$J$48:$K$50, 2, FALSE)))))*T20*Nitrous/1000</f>
        <v/>
      </c>
      <c r="AH20" s="3431">
        <f>(MIN(D42,G42)*time_tot+ABS(G42-D42)*IF(G42&gt;D42, time_cap + time*(VLOOKUP(H42, list!$J$48:$K$50, 2, FALSE)), time*(1-(VLOOKUP(annual!H42, list!$J$48:$K$50, 2, FALSE)))))*T20*Nitrous/1000</f>
        <v/>
      </c>
      <c r="AI20" s="3431">
        <f>M42</f>
        <v/>
      </c>
      <c r="AJ20" s="3450">
        <f>N42</f>
        <v/>
      </c>
      <c r="AM20" s="3456">
        <f>-$R20*((MIN($D42,E42)*MIN(20,time)) +
IF(F42="Immediate",IF(E42&gt;$D42,E42*MIN(20,time),0),IF($D42&gt;E42,($D42-E42)* IF(time&gt;20,
IF(F42="Linear",time-((time-20)^2)/(2*time),(0.215*time)-(time/4.6)*(EXP(-92.1/time)-0.01)),time*(1-VLOOKUP(F42,list!$J$48:$K$50,2,))),(E42-$D42)*IF(time&gt;time+20,20,IF(time&lt;20,(time*VLOOKUP(F42,list!$J$48:$K$50,2,))+(time-time),((MIN(20,time)*VLOOKUP(F42,list!$J$48:$K$50,2,)) + (time-MIN(20,time)) -
IF(F42="Exponential",time-20+0.217*time*(EXP(4.606*(20-time)/time)-1),((time-20)^2)*(0.5/time))))))))</f>
        <v/>
      </c>
      <c r="AN20" s="3432">
        <f>-$R20*((MIN($D42,G42)*MIN(20,time))+IF(H42="Immediate",IF(G42&gt;$D42,G42*MIN(20,time),0),IF($D42&gt;G42,($D42-G42)*IF(time&gt;20,IF(H42="Linear",time-((time-20)^2)/(2*time),(0.215*time)-(time/4.6)*(EXP(-92.1/time)-0.01)),time*(1-VLOOKUP(H42,list!$J$48:$K$50,2,))),(G42-$D42)*IF(time&gt;time+20,20,IF(time&lt;20,(time*VLOOKUP(H42,list!$J$48:$K$50,2,))+(time-time),((MIN(20,time)*VLOOKUP(H42,list!$J$48:$K$50,2,))+(time-MIN(20,time))-IF(H42="Exponential",time-20+0.217*time*(EXP(4.606*(20-time)/time)-1),((time-20)^2)*(0.5/time))))))))</f>
        <v/>
      </c>
      <c r="AO20" s="3432">
        <f>(MIN(D42,E42)*time+ABS(E42-D42)*IF(E42&gt;D42,  + time*(VLOOKUP(F42, list!$J$48:$K$50, 2, FALSE)), time*(1-(VLOOKUP(F42, list!$J$48:$K$50, 2, FALSE)))))*annual!S20*methane/1000</f>
        <v/>
      </c>
      <c r="AP20" s="3432">
        <f>(MIN(D42,G42)*time+ABS(G42-D42)*IF(G42&gt;D42,  + time*(VLOOKUP(H42, list!$J$48:$K$50, 2, FALSE)), time*(1-(VLOOKUP(annual!H42, list!$J$48:$K$50, 2, FALSE)))))*annual!S20*methane/1000</f>
        <v/>
      </c>
      <c r="AQ20" s="3432">
        <f>(MIN(D42,E42)*time+ABS(E42-D42)*IF(E42&gt;D42,  + time*(VLOOKUP(F42, list!$J$48:$K$50, 2, FALSE)), time*(1-(VLOOKUP(F42, list!$J$48:$K$50, 2, FALSE)))))*V20</f>
        <v/>
      </c>
      <c r="AR20" s="3457">
        <f>(MIN(D42,G42)*time+ABS(G42-D42)*IF(G42&gt;D42,+time*(VLOOKUP(H42,list!$J$48:$K$50,2,FALSE)),time*(1-(VLOOKUP(annual!H42,list!$J$48:$K$50,2,FALSE)))))*W20</f>
        <v/>
      </c>
    </row>
    <row r="21">
      <c r="C21" s="702">
        <f>IF('3.Cropland'!C30="", "", '3.Cropland'!C30)</f>
        <v/>
      </c>
      <c r="D21" s="703" t="n"/>
      <c r="E21" s="703" t="n"/>
      <c r="F21" s="703">
        <f>'3.Cropland'!G30</f>
        <v/>
      </c>
      <c r="G21" s="703">
        <f>'3.Cropland'!I30</f>
        <v/>
      </c>
      <c r="H21" s="711">
        <f>'3.Cropland'!K30</f>
        <v/>
      </c>
      <c r="I21" s="849">
        <f>$H73/1000</f>
        <v/>
      </c>
      <c r="J21" s="703">
        <f>'3.Cropland'!$M30</f>
        <v/>
      </c>
      <c r="L21" s="4149">
        <f>(IF('3.Cropland'!$G30&lt;&gt;"Please select",IF('3.Cropland'!AT30&lt;&gt;"",'3.Cropland'!AT30,'3.Cropland'!AS30),0))</f>
        <v/>
      </c>
      <c r="M21" s="4149">
        <f>(IF('3.Cropland'!G30&lt;&gt;"Please select",IF('3.Cropland'!AV30&lt;&gt;"",'3.Cropland'!AV30,VLOOKUP(clim_moist,IPCC!$A$57:$B$68,2,FALSE)),0))</f>
        <v/>
      </c>
      <c r="N21" s="4150">
        <f>_xlfn.IFNA(IF('3.Cropland'!AX30&lt;&gt;"",'3.Cropland'!AX30,INDEX(IPCC!$B$58:$L$68,MATCH(clim_moist,IPCC!$A$58:$A$68,0),MATCH('3.Cropland'!G30,IPCC!$B$58:$L$58,0))),)</f>
        <v/>
      </c>
      <c r="O21" s="4151">
        <f>_xlfn.IFNA(IF( '3.Cropland'!AZ30&lt;&gt;"", '3.Cropland'!AZ30, INDEX(IPCC!$B$58:$L$68,MATCH(clim_moist,IPCC!$A$58:$A$68,0),MATCH('3.Cropland'!I30,IPCC!$B$58:$L$58,0))),0)</f>
        <v/>
      </c>
      <c r="P21" s="4152">
        <f>L21*M21*N21*O21</f>
        <v/>
      </c>
      <c r="Q21" s="4153">
        <f>(P21-L21*M21)*(44/12)</f>
        <v/>
      </c>
      <c r="R21" s="4150">
        <f>Q21/20</f>
        <v/>
      </c>
      <c r="S21" s="4145">
        <f>_xlfn.IFNA(IF($H21="Burned",$I21*IPCC!$D$76,0)*IF(OR('3.Cropland'!$E30="Maize",'3.Cropland'!$E30="Wheat"),VLOOKUP('3.Cropland'!$E30, IPCC!$A$85:$B$89,2,FALSE),IPCC!$B$89) +
IF(AND('3.Cropland'!$BJ30="Burned", $O73&lt;&gt;"None"), $T73*IPCC!$D$76,0)*IF(OR('3.Cropland'!$BH30="Maize", '3.Cropland'!$BH30="Wheat"),VLOOKUP('3.Cropland'!$BH30, IPCC!$A$85:$B$89,2,FALSE),IPCC!$B$89),0)</f>
        <v/>
      </c>
      <c r="T21" s="4146">
        <f>_xlfn.IFNA(IF($H21="Burned",($I21*IPCC!$E$76*IF(OR('3.Cropland'!$E30="Maize",'3.Cropland'!$E30="Wheat"),VLOOKUP('3.Cropland'!$E30,IPCC!$A$83:$B$89,2,FALSE),IPCC!$B$89)),
IF($H21="Retained",($M73*IF(OR(moist_type="Moist",moist_type="Wet",moist_type="Dry"),VLOOKUP(moist_type,IPCC!$B$99:$C$101,2,FALSE),IPCC!$C$96)*N2O_N_conversion),0))+
IF($O73="None", 0, IF('3.Cropland'!$BJ30="Burned", ($T73*IPCC!$E$76*IF(OR('3.Cropland'!$BH30="Maize", '3.Cropland'!$BH30="Wheat"),VLOOKUP('3.Cropland'!$BH30,IPCC!$A$83:$B$89,2,FALSE),IPCC!$B$89)),
IF('3.Cropland'!$BJ30="Retained", ($X73*IF(OR(moist_type="Moist",moist_type="Wet",moist_type="Dry"),VLOOKUP(moist_type,IPCC!$B$99:$C$101,2,FALSE),IPCC!$C$96)*N2O_N_conversion),0))),0)</f>
        <v/>
      </c>
      <c r="U21" s="3168">
        <f>($S21*methane+$T21*Nitrous)/1000</f>
        <v/>
      </c>
      <c r="V21" s="3168">
        <f>IFERROR(IF((P21-L21*M21)&lt;0,(P21-L21*M21)/20/10*1000,0)*VLOOKUP(moist_type, IPCC!$B$99:$C$101, 2, FALSE)*N2O_N_conversion*Nitrous/1000,0)</f>
        <v/>
      </c>
      <c r="AE21" s="3449">
        <f>(MIN(D43,E43)*time_tot+ABS(E43-D43)*IF(E43&gt;D43, time_cap + time*(VLOOKUP(F43, list!$J$48:$K$50, 2, FALSE)), time*(1-(VLOOKUP(F43, list!$J$48:$K$50, 2, FALSE)))))*annual!S21*methane/1000</f>
        <v/>
      </c>
      <c r="AF21" s="3431">
        <f>(MIN(D43,G43)*time_tot+ABS(G43-D43)*IF(G43&gt;D43, time_cap + time*(VLOOKUP(H43, list!$J$48:$K$50, 2, FALSE)), time*(1-(VLOOKUP(annual!H43, list!$J$48:$K$50, 2, FALSE)))))*annual!S21*methane/1000</f>
        <v/>
      </c>
      <c r="AG21" s="3431">
        <f>(MIN(D43,E43)*time_tot+ABS(E43-D43)*IF(E43&gt;D43, time_cap + time*(VLOOKUP(F43, list!$J$48:$K$50, 2, FALSE)), time*(1-(VLOOKUP(F43, list!$J$48:$K$50, 2, FALSE)))))*T21*Nitrous/1000</f>
        <v/>
      </c>
      <c r="AH21" s="3431">
        <f>(MIN(D43,G43)*time_tot+ABS(G43-D43)*IF(G43&gt;D43, time_cap + time*(VLOOKUP(H43, list!$J$48:$K$50, 2, FALSE)), time*(1-(VLOOKUP(annual!H43, list!$J$48:$K$50, 2, FALSE)))))*T21*Nitrous/1000</f>
        <v/>
      </c>
      <c r="AI21" s="3431">
        <f>M43</f>
        <v/>
      </c>
      <c r="AJ21" s="3450">
        <f>N43</f>
        <v/>
      </c>
      <c r="AM21" s="3456">
        <f>-$R21*((MIN($D43,E43)*MIN(20,time)) +
IF(F43="Immediate",IF(E43&gt;$D43,E43*MIN(20,time),0),IF($D43&gt;E43,($D43-E43)* IF(time&gt;20,
IF(F43="Linear",time-((time-20)^2)/(2*time),(0.215*time)-(time/4.6)*(EXP(-92.1/time)-0.01)),time*(1-VLOOKUP(F43,list!$J$48:$K$50,2,))),(E43-$D43)*IF(time&gt;time+20,20,IF(time&lt;20,(time*VLOOKUP(F43,list!$J$48:$K$50,2,))+(time-time),((MIN(20,time)*VLOOKUP(F43,list!$J$48:$K$50,2,)) + (time-MIN(20,time)) -
IF(F43="Exponential",time-20+0.217*time*(EXP(4.606*(20-time)/time)-1),((time-20)^2)*(0.5/time))))))))</f>
        <v/>
      </c>
      <c r="AN21" s="3432">
        <f>-$R21*((MIN($D43,G43)*MIN(20,time))+IF(H43="Immediate",IF(G43&gt;$D43,G43*MIN(20,time),0),IF($D43&gt;G43,($D43-G43)*IF(time&gt;20,IF(H43="Linear",time-((time-20)^2)/(2*time),(0.215*time)-(time/4.6)*(EXP(-92.1/time)-0.01)),time*(1-VLOOKUP(H43,list!$J$48:$K$50,2,))),(G43-$D43)*IF(time&gt;time+20,20,IF(time&lt;20,(time*VLOOKUP(H43,list!$J$48:$K$50,2,))+(time-time),((MIN(20,time)*VLOOKUP(H43,list!$J$48:$K$50,2,))+(time-MIN(20,time))-IF(H43="Exponential",time-20+0.217*time*(EXP(4.606*(20-time)/time)-1),((time-20)^2)*(0.5/time))))))))</f>
        <v/>
      </c>
      <c r="AO21" s="3432">
        <f>(MIN(D43,E43)*time+ABS(E43-D43)*IF(E43&gt;D43,  + time*(VLOOKUP(F43, list!$J$48:$K$50, 2, FALSE)), time*(1-(VLOOKUP(F43, list!$J$48:$K$50, 2, FALSE)))))*annual!S21*methane/1000</f>
        <v/>
      </c>
      <c r="AP21" s="3432">
        <f>(MIN(D43,G43)*time+ABS(G43-D43)*IF(G43&gt;D43,  + time*(VLOOKUP(H43, list!$J$48:$K$50, 2, FALSE)), time*(1-(VLOOKUP(annual!H43, list!$J$48:$K$50, 2, FALSE)))))*annual!S21*methane/1000</f>
        <v/>
      </c>
      <c r="AQ21" s="3432">
        <f>(MIN(D43,E43)*time+ABS(E43-D43)*IF(E43&gt;D43,  + time*(VLOOKUP(F43, list!$J$48:$K$50, 2, FALSE)), time*(1-(VLOOKUP(F43, list!$J$48:$K$50, 2, FALSE)))))*V21</f>
        <v/>
      </c>
      <c r="AR21" s="3457">
        <f>(MIN(D43,G43)*time+ABS(G43-D43)*IF(G43&gt;D43,+time*(VLOOKUP(H43,list!$J$48:$K$50,2,FALSE)),time*(1-(VLOOKUP(annual!H43,list!$J$48:$K$50,2,FALSE)))))*W21</f>
        <v/>
      </c>
    </row>
    <row r="22">
      <c r="C22" s="702">
        <f>IF('3.Cropland'!C31="", "", '3.Cropland'!C31)</f>
        <v/>
      </c>
      <c r="D22" s="703" t="n"/>
      <c r="E22" s="703" t="n"/>
      <c r="F22" s="703">
        <f>'3.Cropland'!G31</f>
        <v/>
      </c>
      <c r="G22" s="703">
        <f>'3.Cropland'!I31</f>
        <v/>
      </c>
      <c r="H22" s="711">
        <f>'3.Cropland'!K31</f>
        <v/>
      </c>
      <c r="I22" s="849">
        <f>$H74/1000</f>
        <v/>
      </c>
      <c r="J22" s="703">
        <f>'3.Cropland'!$M31</f>
        <v/>
      </c>
      <c r="L22" s="4149">
        <f>(IF('3.Cropland'!$G31&lt;&gt;"Please select",IF('3.Cropland'!AT31&lt;&gt;"",'3.Cropland'!AT31,'3.Cropland'!AS31),0))</f>
        <v/>
      </c>
      <c r="M22" s="4149">
        <f>(IF('3.Cropland'!G31&lt;&gt;"Please select",IF('3.Cropland'!AV31&lt;&gt;"",'3.Cropland'!AV31,VLOOKUP(clim_moist,IPCC!$A$57:$B$68,2,FALSE)),0))</f>
        <v/>
      </c>
      <c r="N22" s="4150">
        <f>_xlfn.IFNA(IF('3.Cropland'!AX31&lt;&gt;"",'3.Cropland'!AX31,INDEX(IPCC!$B$58:$L$68,MATCH(clim_moist,IPCC!$A$58:$A$68,0),MATCH('3.Cropland'!G31,IPCC!$B$58:$L$58,0))),)</f>
        <v/>
      </c>
      <c r="O22" s="4151">
        <f>_xlfn.IFNA(IF( '3.Cropland'!AZ31&lt;&gt;"", '3.Cropland'!AZ31, INDEX(IPCC!$B$58:$L$68,MATCH(clim_moist,IPCC!$A$58:$A$68,0),MATCH('3.Cropland'!I31,IPCC!$B$58:$L$58,0))),0)</f>
        <v/>
      </c>
      <c r="P22" s="4152">
        <f>L22*M22*N22*O22</f>
        <v/>
      </c>
      <c r="Q22" s="4153">
        <f>(P22-L22*M22)*(44/12)</f>
        <v/>
      </c>
      <c r="R22" s="4150">
        <f>Q22/20</f>
        <v/>
      </c>
      <c r="S22" s="4145">
        <f>_xlfn.IFNA(IF($H22="Burned",$I22*IPCC!$D$76,0)*IF(OR('3.Cropland'!$E31="Maize",'3.Cropland'!$E31="Wheat"),VLOOKUP('3.Cropland'!$E31, IPCC!$A$85:$B$89,2,FALSE),IPCC!$B$89) +
IF(AND('3.Cropland'!$BJ31="Burned", $O74&lt;&gt;"None"), $T74*IPCC!$D$76,0)*IF(OR('3.Cropland'!$BH31="Maize", '3.Cropland'!$BH31="Wheat"),VLOOKUP('3.Cropland'!$BH31, IPCC!$A$85:$B$89,2,FALSE),IPCC!$B$89),0)</f>
        <v/>
      </c>
      <c r="T22" s="4146">
        <f>_xlfn.IFNA(IF($H22="Burned",($I22*IPCC!$E$76*IF(OR('3.Cropland'!$E31="Maize",'3.Cropland'!$E31="Wheat"),VLOOKUP('3.Cropland'!$E31,IPCC!$A$83:$B$89,2,FALSE),IPCC!$B$89)),
IF($H22="Retained",($M74*IF(OR(moist_type="Moist",moist_type="Wet",moist_type="Dry"),VLOOKUP(moist_type,IPCC!$B$99:$C$101,2,FALSE),IPCC!$C$96)*N2O_N_conversion),0))+
IF($O74="None", 0, IF('3.Cropland'!$BJ31="Burned", ($T74*IPCC!$E$76*IF(OR('3.Cropland'!$BH31="Maize", '3.Cropland'!$BH31="Wheat"),VLOOKUP('3.Cropland'!$BH31,IPCC!$A$83:$B$89,2,FALSE),IPCC!$B$89)),
IF('3.Cropland'!$BJ31="Retained", ($X74*IF(OR(moist_type="Moist",moist_type="Wet",moist_type="Dry"),VLOOKUP(moist_type,IPCC!$B$99:$C$101,2,FALSE),IPCC!$C$96)*N2O_N_conversion),0))),0)</f>
        <v/>
      </c>
      <c r="U22" s="3168">
        <f>($S22*methane+$T22*Nitrous)/1000</f>
        <v/>
      </c>
      <c r="V22" s="3168">
        <f>IFERROR(IF((P22-L22*M22)&lt;0,(P22-L22*M22)/20/10*1000,0)*VLOOKUP(moist_type, IPCC!$B$99:$C$101, 2, FALSE)*N2O_N_conversion*Nitrous/1000,0)</f>
        <v/>
      </c>
      <c r="AE22" s="3449">
        <f>(MIN(D44,E44)*time_tot+ABS(E44-D44)*IF(E44&gt;D44, time_cap + time*(VLOOKUP(F44, list!$J$48:$K$50, 2, FALSE)), time*(1-(VLOOKUP(F44, list!$J$48:$K$50, 2, FALSE)))))*annual!S22*methane/1000</f>
        <v/>
      </c>
      <c r="AF22" s="3431">
        <f>(MIN(D44,G44)*time_tot+ABS(G44-D44)*IF(G44&gt;D44, time_cap + time*(VLOOKUP(H44, list!$J$48:$K$50, 2, FALSE)), time*(1-(VLOOKUP(annual!H44, list!$J$48:$K$50, 2, FALSE)))))*annual!S22*methane/1000</f>
        <v/>
      </c>
      <c r="AG22" s="3431">
        <f>(MIN(D44,E44)*time_tot+ABS(E44-D44)*IF(E44&gt;D44, time_cap + time*(VLOOKUP(F44, list!$J$48:$K$50, 2, FALSE)), time*(1-(VLOOKUP(F44, list!$J$48:$K$50, 2, FALSE)))))*T22*Nitrous/1000</f>
        <v/>
      </c>
      <c r="AH22" s="3431">
        <f>(MIN(D44,G44)*time_tot+ABS(G44-D44)*IF(G44&gt;D44, time_cap + time*(VLOOKUP(H44, list!$J$48:$K$50, 2, FALSE)), time*(1-(VLOOKUP(annual!H44, list!$J$48:$K$50, 2, FALSE)))))*T22*Nitrous/1000</f>
        <v/>
      </c>
      <c r="AI22" s="3431">
        <f>M44</f>
        <v/>
      </c>
      <c r="AJ22" s="3450">
        <f>N44</f>
        <v/>
      </c>
      <c r="AM22" s="3456">
        <f>-$R22*((MIN($D44,E44)*MIN(20,time)) +
IF(F44="Immediate",IF(E44&gt;$D44,E44*MIN(20,time),0),IF($D44&gt;E44,($D44-E44)* IF(time&gt;20,
IF(F44="Linear",time-((time-20)^2)/(2*time),(0.215*time)-(time/4.6)*(EXP(-92.1/time)-0.01)),time*(1-VLOOKUP(F44,list!$J$48:$K$50,2,))),(E44-$D44)*IF(time&gt;time+20,20,IF(time&lt;20,(time*VLOOKUP(F44,list!$J$48:$K$50,2,))+(time-time),((MIN(20,time)*VLOOKUP(F44,list!$J$48:$K$50,2,)) + (time-MIN(20,time)) -
IF(F44="Exponential",time-20+0.217*time*(EXP(4.606*(20-time)/time)-1),((time-20)^2)*(0.5/time))))))))</f>
        <v/>
      </c>
      <c r="AN22" s="3432">
        <f>-$R22*((MIN($D44,G44)*MIN(20,time))+IF(H44="Immediate",IF(G44&gt;$D44,G44*MIN(20,time),0),IF($D44&gt;G44,($D44-G44)*IF(time&gt;20,IF(H44="Linear",time-((time-20)^2)/(2*time),(0.215*time)-(time/4.6)*(EXP(-92.1/time)-0.01)),time*(1-VLOOKUP(H44,list!$J$48:$K$50,2,))),(G44-$D44)*IF(time&gt;time+20,20,IF(time&lt;20,(time*VLOOKUP(H44,list!$J$48:$K$50,2,))+(time-time),((MIN(20,time)*VLOOKUP(H44,list!$J$48:$K$50,2,))+(time-MIN(20,time))-IF(H44="Exponential",time-20+0.217*time*(EXP(4.606*(20-time)/time)-1),((time-20)^2)*(0.5/time))))))))</f>
        <v/>
      </c>
      <c r="AO22" s="3432">
        <f>(MIN(D44,E44)*time+ABS(E44-D44)*IF(E44&gt;D44,  + time*(VLOOKUP(F44, list!$J$48:$K$50, 2, FALSE)), time*(1-(VLOOKUP(F44, list!$J$48:$K$50, 2, FALSE)))))*annual!S22*methane/1000</f>
        <v/>
      </c>
      <c r="AP22" s="3432">
        <f>(MIN(D44,G44)*time+ABS(G44-D44)*IF(G44&gt;D44,  + time*(VLOOKUP(H44, list!$J$48:$K$50, 2, FALSE)), time*(1-(VLOOKUP(annual!H44, list!$J$48:$K$50, 2, FALSE)))))*annual!S22*methane/1000</f>
        <v/>
      </c>
      <c r="AQ22" s="3432">
        <f>(MIN(D44,E44)*time+ABS(E44-D44)*IF(E44&gt;D44,  + time*(VLOOKUP(F44, list!$J$48:$K$50, 2, FALSE)), time*(1-(VLOOKUP(F44, list!$J$48:$K$50, 2, FALSE)))))*V22</f>
        <v/>
      </c>
      <c r="AR22" s="3457">
        <f>(MIN(D44,G44)*time+ABS(G44-D44)*IF(G44&gt;D44,+time*(VLOOKUP(H44,list!$J$48:$K$50,2,FALSE)),time*(1-(VLOOKUP(annual!H44,list!$J$48:$K$50,2,FALSE)))))*W22</f>
        <v/>
      </c>
    </row>
    <row r="23">
      <c r="C23" s="702">
        <f>IF('3.Cropland'!C32="", "", '3.Cropland'!C32)</f>
        <v/>
      </c>
      <c r="D23" s="703" t="n"/>
      <c r="E23" s="703" t="n"/>
      <c r="F23" s="703">
        <f>'3.Cropland'!G32</f>
        <v/>
      </c>
      <c r="G23" s="703">
        <f>'3.Cropland'!I32</f>
        <v/>
      </c>
      <c r="H23" s="711">
        <f>'3.Cropland'!K32</f>
        <v/>
      </c>
      <c r="I23" s="849">
        <f>$H75/1000</f>
        <v/>
      </c>
      <c r="J23" s="703">
        <f>'3.Cropland'!$M32</f>
        <v/>
      </c>
      <c r="L23" s="4149">
        <f>(IF('3.Cropland'!$G32&lt;&gt;"Please select",IF('3.Cropland'!AT32&lt;&gt;"",'3.Cropland'!AT32,'3.Cropland'!AS32),0))</f>
        <v/>
      </c>
      <c r="M23" s="4149">
        <f>(IF('3.Cropland'!G32&lt;&gt;"Please select",IF('3.Cropland'!AV32&lt;&gt;"",'3.Cropland'!AV32,VLOOKUP(clim_moist,IPCC!$A$57:$B$68,2,FALSE)),0))</f>
        <v/>
      </c>
      <c r="N23" s="4150">
        <f>_xlfn.IFNA(IF('3.Cropland'!AX32&lt;&gt;"",'3.Cropland'!AX32,INDEX(IPCC!$B$58:$L$68,MATCH(clim_moist,IPCC!$A$58:$A$68,0),MATCH('3.Cropland'!G32,IPCC!$B$58:$L$58,0))),)</f>
        <v/>
      </c>
      <c r="O23" s="4151">
        <f>_xlfn.IFNA(IF( '3.Cropland'!AZ32&lt;&gt;"", '3.Cropland'!AZ32, INDEX(IPCC!$B$58:$L$68,MATCH(clim_moist,IPCC!$A$58:$A$68,0),MATCH('3.Cropland'!I32,IPCC!$B$58:$L$58,0))),0)</f>
        <v/>
      </c>
      <c r="P23" s="4152">
        <f>L23*M23*N23*O23</f>
        <v/>
      </c>
      <c r="Q23" s="4153">
        <f>(P23-L23*M23)*(44/12)</f>
        <v/>
      </c>
      <c r="R23" s="4150">
        <f>Q23/20</f>
        <v/>
      </c>
      <c r="S23" s="4145">
        <f>_xlfn.IFNA(IF($H23="Burned",$I23*IPCC!$D$76,0)*IF(OR('3.Cropland'!$E32="Maize",'3.Cropland'!$E32="Wheat"),VLOOKUP('3.Cropland'!$E32, IPCC!$A$85:$B$89,2,FALSE),IPCC!$B$89) +
IF(AND('3.Cropland'!$BJ32="Burned", $O75&lt;&gt;"None"), $T75*IPCC!$D$76,0)*IF(OR('3.Cropland'!$BH32="Maize", '3.Cropland'!$BH32="Wheat"),VLOOKUP('3.Cropland'!$BH32, IPCC!$A$85:$B$89,2,FALSE),IPCC!$B$89),0)</f>
        <v/>
      </c>
      <c r="T23" s="4146">
        <f>_xlfn.IFNA(IF($H23="Burned",($I23*IPCC!$E$76*IF(OR('3.Cropland'!$E32="Maize",'3.Cropland'!$E32="Wheat"),VLOOKUP('3.Cropland'!$E32,IPCC!$A$83:$B$89,2,FALSE),IPCC!$B$89)),
IF($H23="Retained",($M75*IF(OR(moist_type="Moist",moist_type="Wet",moist_type="Dry"),VLOOKUP(moist_type,IPCC!$B$99:$C$101,2,FALSE),IPCC!$C$96)*N2O_N_conversion),0))+
IF($O75="None", 0, IF('3.Cropland'!$BJ32="Burned", ($T75*IPCC!$E$76*IF(OR('3.Cropland'!$BH32="Maize", '3.Cropland'!$BH32="Wheat"),VLOOKUP('3.Cropland'!$BH32,IPCC!$A$83:$B$89,2,FALSE),IPCC!$B$89)),
IF('3.Cropland'!$BJ32="Retained", ($X75*IF(OR(moist_type="Moist",moist_type="Wet",moist_type="Dry"),VLOOKUP(moist_type,IPCC!$B$99:$C$101,2,FALSE),IPCC!$C$96)*N2O_N_conversion),0))),0)</f>
        <v/>
      </c>
      <c r="U23" s="3168">
        <f>($S23*methane+$T23*Nitrous)/1000</f>
        <v/>
      </c>
      <c r="V23" s="3168">
        <f>IFERROR(IF((P23-L23*M23)&lt;0,(P23-L23*M23)/20/10*1000,0)*VLOOKUP(moist_type, IPCC!$B$99:$C$101, 2, FALSE)*N2O_N_conversion*Nitrous/1000,0)</f>
        <v/>
      </c>
      <c r="AE23" s="3449">
        <f>(MIN(D45,E45)*time_tot+ABS(E45-D45)*IF(E45&gt;D45, time_cap + time*(VLOOKUP(F45, list!$J$48:$K$50, 2, FALSE)), time*(1-(VLOOKUP(F45, list!$J$48:$K$50, 2, FALSE)))))*annual!S23*methane/1000</f>
        <v/>
      </c>
      <c r="AF23" s="3431">
        <f>(MIN(D45,G45)*time_tot+ABS(G45-D45)*IF(G45&gt;D45, time_cap + time*(VLOOKUP(H45, list!$J$48:$K$50, 2, FALSE)), time*(1-(VLOOKUP(annual!H45, list!$J$48:$K$50, 2, FALSE)))))*annual!S23*methane/1000</f>
        <v/>
      </c>
      <c r="AG23" s="3431">
        <f>(MIN(D45,E45)*time_tot+ABS(E45-D45)*IF(E45&gt;D45, time_cap + time*(VLOOKUP(F45, list!$J$48:$K$50, 2, FALSE)), time*(1-(VLOOKUP(F45, list!$J$48:$K$50, 2, FALSE)))))*T23*Nitrous/1000</f>
        <v/>
      </c>
      <c r="AH23" s="3431">
        <f>(MIN(D45,G45)*time_tot+ABS(G45-D45)*IF(G45&gt;D45, time_cap + time*(VLOOKUP(H45, list!$J$48:$K$50, 2, FALSE)), time*(1-(VLOOKUP(annual!H45, list!$J$48:$K$50, 2, FALSE)))))*T23*Nitrous/1000</f>
        <v/>
      </c>
      <c r="AI23" s="3431">
        <f>M45</f>
        <v/>
      </c>
      <c r="AJ23" s="3450">
        <f>N45</f>
        <v/>
      </c>
      <c r="AM23" s="3456">
        <f>-$R23*((MIN($D45,E45)*MIN(20,time)) +
IF(F45="Immediate",IF(E45&gt;$D45,E45*MIN(20,time),0),IF($D45&gt;E45,($D45-E45)* IF(time&gt;20,
IF(F45="Linear",time-((time-20)^2)/(2*time),(0.215*time)-(time/4.6)*(EXP(-92.1/time)-0.01)),time*(1-VLOOKUP(F45,list!$J$48:$K$50,2,))),(E45-$D45)*IF(time&gt;time+20,20,IF(time&lt;20,(time*VLOOKUP(F45,list!$J$48:$K$50,2,))+(time-time),((MIN(20,time)*VLOOKUP(F45,list!$J$48:$K$50,2,)) + (time-MIN(20,time)) -
IF(F45="Exponential",time-20+0.217*time*(EXP(4.606*(20-time)/time)-1),((time-20)^2)*(0.5/time))))))))</f>
        <v/>
      </c>
      <c r="AN23" s="3432">
        <f>-$R23*((MIN($D45,G45)*MIN(20,time))+IF(H45="Immediate",IF(G45&gt;$D45,G45*MIN(20,time),0),IF($D45&gt;G45,($D45-G45)*IF(time&gt;20,IF(H45="Linear",time-((time-20)^2)/(2*time),(0.215*time)-(time/4.6)*(EXP(-92.1/time)-0.01)),time*(1-VLOOKUP(H45,list!$J$48:$K$50,2,))),(G45-$D45)*IF(time&gt;time+20,20,IF(time&lt;20,(time*VLOOKUP(H45,list!$J$48:$K$50,2,))+(time-time),((MIN(20,time)*VLOOKUP(H45,list!$J$48:$K$50,2,))+(time-MIN(20,time))-IF(H45="Exponential",time-20+0.217*time*(EXP(4.606*(20-time)/time)-1),((time-20)^2)*(0.5/time))))))))</f>
        <v/>
      </c>
      <c r="AO23" s="3432">
        <f>(MIN(D45,E45)*time+ABS(E45-D45)*IF(E45&gt;D45,  + time*(VLOOKUP(F45, list!$J$48:$K$50, 2, FALSE)), time*(1-(VLOOKUP(F45, list!$J$48:$K$50, 2, FALSE)))))*annual!S23*methane/1000</f>
        <v/>
      </c>
      <c r="AP23" s="3432">
        <f>(MIN(D45,G45)*time+ABS(G45-D45)*IF(G45&gt;D45,  + time*(VLOOKUP(H45, list!$J$48:$K$50, 2, FALSE)), time*(1-(VLOOKUP(annual!H45, list!$J$48:$K$50, 2, FALSE)))))*annual!S23*methane/1000</f>
        <v/>
      </c>
      <c r="AQ23" s="3432">
        <f>(MIN(D45,E45)*time+ABS(E45-D45)*IF(E45&gt;D45,  + time*(VLOOKUP(F45, list!$J$48:$K$50, 2, FALSE)), time*(1-(VLOOKUP(F45, list!$J$48:$K$50, 2, FALSE)))))*V23</f>
        <v/>
      </c>
      <c r="AR23" s="3457">
        <f>(MIN(D45,G45)*time+ABS(G45-D45)*IF(G45&gt;D45,+time*(VLOOKUP(H45,list!$J$48:$K$50,2,FALSE)),time*(1-(VLOOKUP(annual!H45,list!$J$48:$K$50,2,FALSE)))))*W23</f>
        <v/>
      </c>
    </row>
    <row r="24">
      <c r="C24" s="702">
        <f>IF('3.Cropland'!C33="", "", '3.Cropland'!C33)</f>
        <v/>
      </c>
      <c r="D24" s="703" t="n"/>
      <c r="E24" s="703" t="n"/>
      <c r="F24" s="703">
        <f>'3.Cropland'!G33</f>
        <v/>
      </c>
      <c r="G24" s="703">
        <f>'3.Cropland'!I33</f>
        <v/>
      </c>
      <c r="H24" s="711">
        <f>'3.Cropland'!K33</f>
        <v/>
      </c>
      <c r="I24" s="849">
        <f>$H76/1000</f>
        <v/>
      </c>
      <c r="J24" s="703">
        <f>'3.Cropland'!$M33</f>
        <v/>
      </c>
      <c r="L24" s="4149">
        <f>(IF('3.Cropland'!$G33&lt;&gt;"Please select",IF('3.Cropland'!AT33&lt;&gt;"",'3.Cropland'!AT33,'3.Cropland'!AS33),0))</f>
        <v/>
      </c>
      <c r="M24" s="4149">
        <f>(IF('3.Cropland'!G33&lt;&gt;"Please select",IF('3.Cropland'!AV33&lt;&gt;"",'3.Cropland'!AV33,VLOOKUP(clim_moist,IPCC!$A$57:$B$68,2,FALSE)),0))</f>
        <v/>
      </c>
      <c r="N24" s="4150">
        <f>_xlfn.IFNA(IF('3.Cropland'!AX33&lt;&gt;"",'3.Cropland'!AX33,INDEX(IPCC!$B$58:$L$68,MATCH(clim_moist,IPCC!$A$58:$A$68,0),MATCH('3.Cropland'!G33,IPCC!$B$58:$L$58,0))),)</f>
        <v/>
      </c>
      <c r="O24" s="4151">
        <f>_xlfn.IFNA(IF( '3.Cropland'!AZ33&lt;&gt;"", '3.Cropland'!AZ33, INDEX(IPCC!$B$58:$L$68,MATCH(clim_moist,IPCC!$A$58:$A$68,0),MATCH('3.Cropland'!I33,IPCC!$B$58:$L$58,0))),0)</f>
        <v/>
      </c>
      <c r="P24" s="4152">
        <f>L24*M24*N24*O24</f>
        <v/>
      </c>
      <c r="Q24" s="4153">
        <f>(P24-L24*M24)*(44/12)</f>
        <v/>
      </c>
      <c r="R24" s="4150">
        <f>Q24/20</f>
        <v/>
      </c>
      <c r="S24" s="4145">
        <f>_xlfn.IFNA(IF($H24="Burned",$I24*IPCC!$D$76,0)*IF(OR('3.Cropland'!$E33="Maize",'3.Cropland'!$E33="Wheat"),VLOOKUP('3.Cropland'!$E33, IPCC!$A$85:$B$89,2,FALSE),IPCC!$B$89) +
IF(AND('3.Cropland'!$BJ33="Burned", $O76&lt;&gt;"None"), $T76*IPCC!$D$76,0)*IF(OR('3.Cropland'!$BH33="Maize", '3.Cropland'!$BH33="Wheat"),VLOOKUP('3.Cropland'!$BH33, IPCC!$A$85:$B$89,2,FALSE),IPCC!$B$89),0)</f>
        <v/>
      </c>
      <c r="T24" s="4146">
        <f>_xlfn.IFNA(IF($H24="Burned",($I24*IPCC!$E$76*IF(OR('3.Cropland'!$E33="Maize",'3.Cropland'!$E33="Wheat"),VLOOKUP('3.Cropland'!$E33,IPCC!$A$83:$B$89,2,FALSE),IPCC!$B$89)),
IF($H24="Retained",($M76*IF(OR(moist_type="Moist",moist_type="Wet",moist_type="Dry"),VLOOKUP(moist_type,IPCC!$B$99:$C$101,2,FALSE),IPCC!$C$96)*N2O_N_conversion),0))+
IF($O76="None", 0, IF('3.Cropland'!$BJ33="Burned", ($T76*IPCC!$E$76*IF(OR('3.Cropland'!$BH33="Maize", '3.Cropland'!$BH33="Wheat"),VLOOKUP('3.Cropland'!$BH33,IPCC!$A$83:$B$89,2,FALSE),IPCC!$B$89)),
IF('3.Cropland'!$BJ33="Retained", ($X76*IF(OR(moist_type="Moist",moist_type="Wet",moist_type="Dry"),VLOOKUP(moist_type,IPCC!$B$99:$C$101,2,FALSE),IPCC!$C$96)*N2O_N_conversion),0))),0)</f>
        <v/>
      </c>
      <c r="U24" s="3168">
        <f>($S24*methane+$T24*Nitrous)/1000</f>
        <v/>
      </c>
      <c r="V24" s="3168">
        <f>IFERROR(IF((P24-L24*M24)&lt;0,(P24-L24*M24)/20/10*1000,0)*VLOOKUP(moist_type, IPCC!$B$99:$C$101, 2, FALSE)*N2O_N_conversion*Nitrous/1000,0)</f>
        <v/>
      </c>
      <c r="AE24" s="3449">
        <f>(MIN(D46,E46)*time_tot+ABS(E46-D46)*IF(E46&gt;D46, time_cap + time*(VLOOKUP(F46, list!$J$48:$K$50, 2, FALSE)), time*(1-(VLOOKUP(F46, list!$J$48:$K$50, 2, FALSE)))))*annual!S24*methane/1000</f>
        <v/>
      </c>
      <c r="AF24" s="3431">
        <f>(MIN(D46,G46)*time_tot+ABS(G46-D46)*IF(G46&gt;D46, time_cap + time*(VLOOKUP(H46, list!$J$48:$K$50, 2, FALSE)), time*(1-(VLOOKUP(annual!H46, list!$J$48:$K$50, 2, FALSE)))))*annual!S24*methane/1000</f>
        <v/>
      </c>
      <c r="AG24" s="3431">
        <f>(MIN(D46,E46)*time_tot+ABS(E46-D46)*IF(E46&gt;D46, time_cap + time*(VLOOKUP(F46, list!$J$48:$K$50, 2, FALSE)), time*(1-(VLOOKUP(F46, list!$J$48:$K$50, 2, FALSE)))))*T24*Nitrous/1000</f>
        <v/>
      </c>
      <c r="AH24" s="3431">
        <f>(MIN(D46,G46)*time_tot+ABS(G46-D46)*IF(G46&gt;D46, time_cap + time*(VLOOKUP(H46, list!$J$48:$K$50, 2, FALSE)), time*(1-(VLOOKUP(annual!H46, list!$J$48:$K$50, 2, FALSE)))))*T24*Nitrous/1000</f>
        <v/>
      </c>
      <c r="AI24" s="3431">
        <f>M46</f>
        <v/>
      </c>
      <c r="AJ24" s="3450">
        <f>N46</f>
        <v/>
      </c>
      <c r="AM24" s="3456">
        <f>-$R24*((MIN($D46,E46)*MIN(20,time)) +
IF(F46="Immediate",IF(E46&gt;$D46,E46*MIN(20,time),0),IF($D46&gt;E46,($D46-E46)* IF(time&gt;20,
IF(F46="Linear",time-((time-20)^2)/(2*time),(0.215*time)-(time/4.6)*(EXP(-92.1/time)-0.01)),time*(1-VLOOKUP(F46,list!$J$48:$K$50,2,))),(E46-$D46)*IF(time&gt;time+20,20,IF(time&lt;20,(time*VLOOKUP(F46,list!$J$48:$K$50,2,))+(time-time),((MIN(20,time)*VLOOKUP(F46,list!$J$48:$K$50,2,)) + (time-MIN(20,time)) -
IF(F46="Exponential",time-20+0.217*time*(EXP(4.606*(20-time)/time)-1),((time-20)^2)*(0.5/time))))))))</f>
        <v/>
      </c>
      <c r="AN24" s="3432">
        <f>-$R24*((MIN($D46,G46)*MIN(20,time))+IF(H46="Immediate",IF(G46&gt;$D46,G46*MIN(20,time),0),IF($D46&gt;G46,($D46-G46)*IF(time&gt;20,IF(H46="Linear",time-((time-20)^2)/(2*time),(0.215*time)-(time/4.6)*(EXP(-92.1/time)-0.01)),time*(1-VLOOKUP(H46,list!$J$48:$K$50,2,))),(G46-$D46)*IF(time&gt;time+20,20,IF(time&lt;20,(time*VLOOKUP(H46,list!$J$48:$K$50,2,))+(time-time),((MIN(20,time)*VLOOKUP(H46,list!$J$48:$K$50,2,))+(time-MIN(20,time))-IF(H46="Exponential",time-20+0.217*time*(EXP(4.606*(20-time)/time)-1),((time-20)^2)*(0.5/time))))))))</f>
        <v/>
      </c>
      <c r="AO24" s="3432">
        <f>(MIN(D46,E46)*time+ABS(E46-D46)*IF(E46&gt;D46,  + time*(VLOOKUP(F46, list!$J$48:$K$50, 2, FALSE)), time*(1-(VLOOKUP(F46, list!$J$48:$K$50, 2, FALSE)))))*annual!S24*methane/1000</f>
        <v/>
      </c>
      <c r="AP24" s="3432">
        <f>(MIN(D46,G46)*time+ABS(G46-D46)*IF(G46&gt;D46,  + time*(VLOOKUP(H46, list!$J$48:$K$50, 2, FALSE)), time*(1-(VLOOKUP(annual!H46, list!$J$48:$K$50, 2, FALSE)))))*annual!S24*methane/1000</f>
        <v/>
      </c>
      <c r="AQ24" s="3432">
        <f>(MIN(D46,E46)*time+ABS(E46-D46)*IF(E46&gt;D46,  + time*(VLOOKUP(F46, list!$J$48:$K$50, 2, FALSE)), time*(1-(VLOOKUP(F46, list!$J$48:$K$50, 2, FALSE)))))*V24</f>
        <v/>
      </c>
      <c r="AR24" s="3457">
        <f>(MIN(D46,G46)*time+ABS(G46-D46)*IF(G46&gt;D46,+time*(VLOOKUP(H46,list!$J$48:$K$50,2,FALSE)),time*(1-(VLOOKUP(annual!H46,list!$J$48:$K$50,2,FALSE)))))*W24</f>
        <v/>
      </c>
    </row>
    <row r="25">
      <c r="C25" s="862">
        <f>IF('3.Cropland'!C34="", "", '3.Cropland'!C34)</f>
        <v/>
      </c>
      <c r="D25" s="704" t="n"/>
      <c r="E25" s="704" t="n"/>
      <c r="F25" s="704">
        <f>'3.Cropland'!G34</f>
        <v/>
      </c>
      <c r="G25" s="704">
        <f>'3.Cropland'!I34</f>
        <v/>
      </c>
      <c r="H25" s="714">
        <f>'3.Cropland'!K34</f>
        <v/>
      </c>
      <c r="I25" s="850">
        <f>$H77/1000</f>
        <v/>
      </c>
      <c r="J25" s="704">
        <f>'3.Cropland'!$M34</f>
        <v/>
      </c>
      <c r="L25" s="4149">
        <f>(IF('3.Cropland'!$G34&lt;&gt;"Please select",IF('3.Cropland'!AT34&lt;&gt;"",'3.Cropland'!AT34,'3.Cropland'!AS34),0))</f>
        <v/>
      </c>
      <c r="M25" s="826">
        <f>(IF('3.Cropland'!G34&lt;&gt;"Please select",IF('3.Cropland'!AV34&lt;&gt;"",'3.Cropland'!AV34,VLOOKUP(clim_moist,IPCC!$A$57:$B$68,2,FALSE)),0))</f>
        <v/>
      </c>
      <c r="N25" s="4154">
        <f>_xlfn.IFNA(IF('3.Cropland'!AX34&lt;&gt;"",'3.Cropland'!AX34,INDEX(IPCC!$B$58:$L$68,MATCH(clim_moist,IPCC!$A$58:$A$68,0),MATCH('3.Cropland'!G34,IPCC!$B$58:$L$58,0))),)</f>
        <v/>
      </c>
      <c r="O25" s="4155">
        <f>_xlfn.IFNA(IF( '3.Cropland'!AZ34&lt;&gt;"", '3.Cropland'!AZ34, INDEX(IPCC!$B$58:$L$68,MATCH(clim_moist,IPCC!$A$58:$A$68,0),MATCH('3.Cropland'!I34,IPCC!$B$58:$L$58,0))),0)</f>
        <v/>
      </c>
      <c r="P25" s="4156">
        <f>L25*M25*N25*O25</f>
        <v/>
      </c>
      <c r="Q25" s="4153">
        <f>(P25-L25*M25)*(44/12)</f>
        <v/>
      </c>
      <c r="R25" s="4154">
        <f>Q25/20</f>
        <v/>
      </c>
      <c r="S25" s="4147">
        <f>_xlfn.IFNA(IF($H25="Burned",$I25*IPCC!$D$76,0)*IF(OR('3.Cropland'!$E34="Maize",'3.Cropland'!$E34="Wheat"),VLOOKUP('3.Cropland'!$E34, IPCC!$A$85:$B$89,2,FALSE),IPCC!$B$89) +
IF(AND('3.Cropland'!$BJ34="Burned", $O77&lt;&gt;"None"), $T77*IPCC!$D$76,0)*IF(OR('3.Cropland'!$BH34="Maize", '3.Cropland'!$BH34="Wheat"),VLOOKUP('3.Cropland'!$BH34, IPCC!$A$85:$B$89,2,FALSE),IPCC!$B$89),0)</f>
        <v/>
      </c>
      <c r="T25" s="4148">
        <f>_xlfn.IFNA(IF($H25="Burned",($I25*IPCC!$E$76*IF(OR('3.Cropland'!$E34="Maize",'3.Cropland'!$E34="Wheat"),VLOOKUP('3.Cropland'!$E34,IPCC!$A$83:$B$89,2,FALSE),IPCC!$B$89)),
IF($H25="Retained",($M77*IF(OR(moist_type="Moist",moist_type="Wet",moist_type="Dry"),VLOOKUP(moist_type,IPCC!$B$99:$C$101,2,FALSE),IPCC!$C$96)*N2O_N_conversion),0))+
IF($O77="None", 0, IF('3.Cropland'!$BJ34="Burned", ($T77*IPCC!$E$76*IF(OR('3.Cropland'!$BH34="Maize", '3.Cropland'!$BH34="Wheat"),VLOOKUP('3.Cropland'!$BH34,IPCC!$A$83:$B$89,2,FALSE),IPCC!$B$89)),
IF('3.Cropland'!$BJ34="Retained", ($X77*IF(OR(moist_type="Moist",moist_type="Wet",moist_type="Dry"),VLOOKUP(moist_type,IPCC!$B$99:$C$101,2,FALSE),IPCC!$C$96)*N2O_N_conversion),0))),0)</f>
        <v/>
      </c>
      <c r="U25" s="3169">
        <f>($S25*methane+$T25*Nitrous)/1000</f>
        <v/>
      </c>
      <c r="V25" s="3168">
        <f>IFERROR(IF((P25-L25*M25)&lt;0,(P25-L25*M25)/20/10*1000,0)*VLOOKUP(moist_type, IPCC!$B$99:$C$101, 2, FALSE)*N2O_N_conversion*Nitrous/1000,0)</f>
        <v/>
      </c>
      <c r="AE25" s="3451">
        <f>(MIN(D47,E47)*time_tot+ABS(E47-D47)*IF(E47&gt;D47, time_cap + time*(VLOOKUP(F47, list!$J$48:$K$50, 2, FALSE)), time*(1-(VLOOKUP(F47, list!$J$48:$K$50, 2, FALSE)))))*annual!S25*methane/1000</f>
        <v/>
      </c>
      <c r="AF25" s="3452">
        <f>(MIN(D47,G47)*time_tot+ABS(G47-D47)*IF(G47&gt;D47, time_cap + time*(VLOOKUP(H47, list!$J$48:$K$50, 2, FALSE)), time*(1-(VLOOKUP(annual!H47, list!$J$48:$K$50, 2, FALSE)))))*annual!S25*methane/1000</f>
        <v/>
      </c>
      <c r="AG25" s="3452">
        <f>(MIN(D47,E47)*time_tot+ABS(E47-D47)*IF(E47&gt;D47, time_cap + time*(VLOOKUP(F47, list!$J$48:$K$50, 2, FALSE)), time*(1-(VLOOKUP(F47, list!$J$48:$K$50, 2, FALSE)))))*T25*Nitrous/1000</f>
        <v/>
      </c>
      <c r="AH25" s="3452">
        <f>(MIN(D47,G47)*time_tot+ABS(G47-D47)*IF(G47&gt;D47, time_cap + time*(VLOOKUP(H47, list!$J$48:$K$50, 2, FALSE)), time*(1-(VLOOKUP(annual!H47, list!$J$48:$K$50, 2, FALSE)))))*T25*Nitrous/1000</f>
        <v/>
      </c>
      <c r="AI25" s="3452">
        <f>M47</f>
        <v/>
      </c>
      <c r="AJ25" s="3453">
        <f>N47</f>
        <v/>
      </c>
      <c r="AM25" s="3458">
        <f>-$R25*((MIN($D47,E47)*MIN(20,time)) +
IF(F47="Immediate",IF(E47&gt;$D47,E47*MIN(20,time),0),IF($D47&gt;E47,($D47-E47)* IF(time&gt;20,
IF(F47="Linear",time-((time-20)^2)/(2*time),(0.215*time)-(time/4.6)*(EXP(-92.1/time)-0.01)),time*(1-VLOOKUP(F47,list!$J$48:$K$50,2,))),(E47-$D47)*IF(time&gt;time+20,20,IF(time&lt;20,(time*VLOOKUP(F47,list!$J$48:$K$50,2,))+(time-time),((MIN(20,time)*VLOOKUP(F47,list!$J$48:$K$50,2,)) + (time-MIN(20,time)) -
IF(F47="Exponential",time-20+0.217*time*(EXP(4.606*(20-time)/time)-1),((time-20)^2)*(0.5/time))))))))</f>
        <v/>
      </c>
      <c r="AN25" s="3459">
        <f>-$R25*((MIN($D47,G47)*MIN(20,time))+IF(H47="Immediate",IF(G47&gt;$D47,G47*MIN(20,time),0),IF($D47&gt;G47,($D47-G47)*IF(time&gt;20,IF(H47="Linear",time-((time-20)^2)/(2*time),(0.215*time)-(time/4.6)*(EXP(-92.1/time)-0.01)),time*(1-VLOOKUP(H47,list!$J$48:$K$50,2,))),(G47-$D47)*IF(time&gt;time+20,20,IF(time&lt;20,(time*VLOOKUP(H47,list!$J$48:$K$50,2,))+(time-time),((MIN(20,time)*VLOOKUP(H47,list!$J$48:$K$50,2,))+(time-MIN(20,time))-IF(H47="Exponential",time-20+0.217*time*(EXP(4.606*(20-time)/time)-1),((time-20)^2)*(0.5/time))))))))</f>
        <v/>
      </c>
      <c r="AO25" s="3459">
        <f>(MIN(D47,E47)*time+ABS(E47-D47)*IF(E47&gt;D47,  + time*(VLOOKUP(F47, list!$J$48:$K$50, 2, FALSE)), time*(1-(VLOOKUP(F47, list!$J$48:$K$50, 2, FALSE)))))*annual!S25*methane/1000</f>
        <v/>
      </c>
      <c r="AP25" s="3459">
        <f>(MIN(D47,G47)*time+ABS(G47-D47)*IF(G47&gt;D47,  + time*(VLOOKUP(H47, list!$J$48:$K$50, 2, FALSE)), time*(1-(VLOOKUP(annual!H47, list!$J$48:$K$50, 2, FALSE)))))*annual!S25*methane/1000</f>
        <v/>
      </c>
      <c r="AQ25" s="3459">
        <f>(MIN(D47,E47)*time+ABS(E47-D47)*IF(E47&gt;D47,  + time*(VLOOKUP(F47, list!$J$48:$K$50, 2, FALSE)), time*(1-(VLOOKUP(F47, list!$J$48:$K$50, 2, FALSE)))))*V25</f>
        <v/>
      </c>
      <c r="AR25" s="3460">
        <f>(MIN(D47,G47)*time+ABS(G47-D47)*IF(G47&gt;D47,+time*(VLOOKUP(H47,list!$J$48:$K$50,2,FALSE)),time*(1-(VLOOKUP(annual!H47,list!$J$48:$K$50,2,FALSE)))))*W25</f>
        <v/>
      </c>
    </row>
    <row r="26">
      <c r="I26" s="71" t="inlineStr">
        <is>
          <t>See FAOSTAT</t>
        </is>
      </c>
      <c r="L26" s="4055" t="n"/>
      <c r="M26" s="84" t="n"/>
      <c r="N26" s="84" t="n"/>
      <c r="O26" s="84" t="n"/>
      <c r="P26" s="84" t="n"/>
      <c r="Q26" s="84" t="n"/>
      <c r="R26" s="84" t="n"/>
    </row>
    <row r="27">
      <c r="L27" s="84" t="n"/>
      <c r="M27" s="84" t="n"/>
      <c r="N27" s="84" t="n"/>
      <c r="O27" s="84" t="n"/>
      <c r="P27" s="84" t="n"/>
      <c r="Q27" s="84" t="n"/>
      <c r="R27" s="84" t="n"/>
      <c r="S27" s="58" t="n"/>
    </row>
    <row r="28">
      <c r="R28" s="175" t="n"/>
      <c r="S28" s="58" t="n"/>
    </row>
    <row r="29">
      <c r="R29" s="84" t="n"/>
      <c r="S29" s="58" t="n"/>
      <c r="U29" s="4672" t="n"/>
    </row>
    <row r="30">
      <c r="C30" s="3644" t="inlineStr">
        <is>
          <t>Mitigation potential</t>
        </is>
      </c>
      <c r="D30" s="3644" t="n"/>
      <c r="E30" s="3644" t="n"/>
      <c r="F30" s="3644" t="n"/>
      <c r="G30" s="3644" t="n"/>
      <c r="H30" s="3644" t="n"/>
      <c r="I30" s="3644" t="n"/>
      <c r="J30" s="3644" t="n"/>
      <c r="K30" s="3644" t="n"/>
      <c r="L30" s="3644" t="n"/>
      <c r="M30" s="3644" t="n"/>
      <c r="N30" s="3644" t="n"/>
      <c r="O30" s="3644" t="n"/>
      <c r="P30" s="3644" t="n"/>
      <c r="Q30" s="3644" t="n"/>
      <c r="S30" s="66" t="inlineStr">
        <is>
          <t>Total yield (in tonnes)</t>
        </is>
      </c>
      <c r="T30" s="8" t="n"/>
      <c r="U30" s="8" t="n"/>
      <c r="W30" s="3231" t="inlineStr">
        <is>
          <t>Categories</t>
        </is>
      </c>
      <c r="X30" s="3232" t="inlineStr">
        <is>
          <t>Total</t>
        </is>
      </c>
      <c r="Y30" s="3232" t="inlineStr">
        <is>
          <t>Implementation</t>
        </is>
      </c>
      <c r="Z30" s="3232" t="inlineStr">
        <is>
          <t>Capitalization</t>
        </is>
      </c>
      <c r="AE30" s="689" t="inlineStr">
        <is>
          <t>START</t>
        </is>
      </c>
      <c r="AF30" s="690" t="n"/>
      <c r="AG30" s="690" t="n"/>
      <c r="AH30" s="694" t="n"/>
      <c r="AI30" s="689" t="inlineStr">
        <is>
          <t>End Without</t>
        </is>
      </c>
      <c r="AJ30" s="690" t="n"/>
      <c r="AK30" s="690" t="n"/>
      <c r="AL30" s="694" t="n"/>
      <c r="AM30" s="676" t="inlineStr">
        <is>
          <t>End With</t>
        </is>
      </c>
      <c r="AN30" s="362" t="n"/>
      <c r="AO30" s="362" t="n"/>
      <c r="AP30" s="365" t="n"/>
    </row>
    <row r="31" ht="17" customHeight="1">
      <c r="C31" s="461" t="n"/>
      <c r="D31" s="3645" t="inlineStr">
        <is>
          <t>Area (ha)</t>
        </is>
      </c>
      <c r="E31" s="3646" t="inlineStr">
        <is>
          <t>Area (ha)</t>
        </is>
      </c>
      <c r="F31" s="3188" t="n"/>
      <c r="G31" s="3189" t="inlineStr">
        <is>
          <t>Area (ha)</t>
        </is>
      </c>
      <c r="H31" s="3188" t="n"/>
      <c r="I31" s="3211" t="inlineStr">
        <is>
          <t>Soil CO2 Change</t>
        </is>
      </c>
      <c r="J31" s="3212" t="n"/>
      <c r="K31" s="3213" t="inlineStr">
        <is>
          <t>CO2-e emitted from residues burning</t>
        </is>
      </c>
      <c r="L31" s="3214" t="n"/>
      <c r="M31" s="3213" t="inlineStr">
        <is>
          <t>CO2-e emitted from SOM</t>
        </is>
      </c>
      <c r="N31" s="3215" t="n"/>
      <c r="O31" s="3216" t="inlineStr">
        <is>
          <t>Total CO2 Balance</t>
        </is>
      </c>
      <c r="P31" s="3215" t="n"/>
      <c r="Q31" s="3646" t="inlineStr">
        <is>
          <t>Balance</t>
        </is>
      </c>
      <c r="S31" s="3651" t="n"/>
      <c r="T31" s="3651" t="n"/>
      <c r="U31" s="3651" t="n"/>
      <c r="W31" s="3233" t="inlineStr">
        <is>
          <t>CO2 Biomass</t>
        </is>
      </c>
      <c r="X31" s="3234" t="n">
        <v>0</v>
      </c>
      <c r="Y31" s="3235" t="n">
        <v>0</v>
      </c>
      <c r="Z31" s="3236">
        <f>X31-Y31</f>
        <v/>
      </c>
      <c r="AE31" s="339" t="inlineStr">
        <is>
          <t>Area (ha) under management option</t>
        </is>
      </c>
      <c r="AF31" s="340" t="n"/>
      <c r="AG31" s="340" t="n"/>
      <c r="AH31" s="695" t="n"/>
      <c r="AI31" s="339" t="inlineStr">
        <is>
          <t>Area (ha) under management option</t>
        </is>
      </c>
      <c r="AJ31" s="340" t="n"/>
      <c r="AK31" s="340" t="n"/>
      <c r="AL31" s="695" t="n"/>
      <c r="AM31" s="693" t="inlineStr">
        <is>
          <t>Area (ha) under management option</t>
        </is>
      </c>
      <c r="AN31" s="341" t="n"/>
      <c r="AO31" s="341" t="n"/>
      <c r="AP31" s="367" t="n"/>
    </row>
    <row r="32">
      <c r="C32" s="3190" t="inlineStr">
        <is>
          <t>Vegetation</t>
        </is>
      </c>
      <c r="D32" s="3191" t="inlineStr">
        <is>
          <t xml:space="preserve">Start </t>
        </is>
      </c>
      <c r="E32" s="3192" t="inlineStr">
        <is>
          <t xml:space="preserve">Without project </t>
        </is>
      </c>
      <c r="F32" s="3193" t="n"/>
      <c r="G32" s="3194" t="inlineStr">
        <is>
          <t xml:space="preserve">With project </t>
        </is>
      </c>
      <c r="H32" s="3195" t="n"/>
      <c r="I32" s="3648" t="inlineStr">
        <is>
          <t>Without</t>
        </is>
      </c>
      <c r="J32" s="3548" t="inlineStr">
        <is>
          <t>With</t>
        </is>
      </c>
      <c r="K32" s="3648" t="inlineStr">
        <is>
          <t>Without</t>
        </is>
      </c>
      <c r="L32" s="3548" t="inlineStr">
        <is>
          <t>With</t>
        </is>
      </c>
      <c r="M32" s="3648" t="inlineStr">
        <is>
          <t>Without</t>
        </is>
      </c>
      <c r="N32" s="3548" t="inlineStr">
        <is>
          <t>With</t>
        </is>
      </c>
      <c r="O32" s="3648" t="inlineStr">
        <is>
          <t>Without</t>
        </is>
      </c>
      <c r="P32" s="3548" t="inlineStr">
        <is>
          <t>With</t>
        </is>
      </c>
      <c r="Q32" s="3649" t="n"/>
      <c r="S32" s="3246" t="inlineStr">
        <is>
          <t>Without</t>
        </is>
      </c>
      <c r="T32" s="3247" t="inlineStr">
        <is>
          <t>With</t>
        </is>
      </c>
      <c r="U32" s="3248" t="inlineStr">
        <is>
          <t>Difference</t>
        </is>
      </c>
      <c r="W32" s="3233" t="inlineStr">
        <is>
          <t>CO2 soil</t>
        </is>
      </c>
      <c r="X32" s="3237">
        <f>SUM(J34:J47)-SUM(I34:I47)</f>
        <v/>
      </c>
      <c r="Y32" s="3238">
        <f>SUM(AN12:AN25)-SUM(AM12:AM25)</f>
        <v/>
      </c>
      <c r="Z32" s="3239">
        <f>X32-Y32</f>
        <v/>
      </c>
      <c r="AE32" s="627" t="inlineStr">
        <is>
          <t>Land use</t>
        </is>
      </c>
      <c r="AF32" s="627" t="inlineStr">
        <is>
          <t>Tillage</t>
        </is>
      </c>
      <c r="AG32" s="627" t="inlineStr">
        <is>
          <t xml:space="preserve">Input of </t>
        </is>
      </c>
      <c r="AH32" s="691" t="inlineStr">
        <is>
          <t>Residue/Biomass</t>
        </is>
      </c>
      <c r="AI32" s="627" t="inlineStr">
        <is>
          <t>Land use</t>
        </is>
      </c>
      <c r="AJ32" s="627" t="inlineStr">
        <is>
          <t>Tillage</t>
        </is>
      </c>
      <c r="AK32" s="627" t="inlineStr">
        <is>
          <t xml:space="preserve">Input of </t>
        </is>
      </c>
      <c r="AL32" s="691" t="inlineStr">
        <is>
          <t>Residue/Biomass</t>
        </is>
      </c>
      <c r="AM32" s="627" t="inlineStr">
        <is>
          <t>Land use</t>
        </is>
      </c>
      <c r="AN32" s="627" t="inlineStr">
        <is>
          <t>Tillage</t>
        </is>
      </c>
      <c r="AO32" s="627" t="inlineStr">
        <is>
          <t xml:space="preserve">Input of </t>
        </is>
      </c>
      <c r="AP32" s="691" t="inlineStr">
        <is>
          <t>Residue/Biomass</t>
        </is>
      </c>
      <c r="AR32" s="342" t="inlineStr">
        <is>
          <t>Cumulated area burnt</t>
        </is>
      </c>
      <c r="AS32" s="343" t="n"/>
    </row>
    <row r="33" ht="17" customHeight="1">
      <c r="C33" s="3190" t="inlineStr">
        <is>
          <t>Type</t>
        </is>
      </c>
      <c r="D33" s="3191" t="n"/>
      <c r="E33" s="3196" t="inlineStr">
        <is>
          <t>End</t>
        </is>
      </c>
      <c r="F33" s="3197" t="inlineStr">
        <is>
          <t>Rate</t>
        </is>
      </c>
      <c r="G33" s="3198" t="inlineStr">
        <is>
          <t>End</t>
        </is>
      </c>
      <c r="H33" s="3198" t="inlineStr">
        <is>
          <t>Rate</t>
        </is>
      </c>
      <c r="I33" s="3217" t="inlineStr">
        <is>
          <t>tCO2</t>
        </is>
      </c>
      <c r="J33" s="2847" t="inlineStr">
        <is>
          <t>tCO2</t>
        </is>
      </c>
      <c r="K33" s="3217" t="inlineStr">
        <is>
          <t>tCO2</t>
        </is>
      </c>
      <c r="L33" s="2847" t="inlineStr">
        <is>
          <t>tCO2</t>
        </is>
      </c>
      <c r="M33" s="3217" t="inlineStr">
        <is>
          <t>tCO2</t>
        </is>
      </c>
      <c r="N33" s="2847" t="inlineStr">
        <is>
          <t>tCO2</t>
        </is>
      </c>
      <c r="O33" s="3217" t="inlineStr">
        <is>
          <t>tCO2</t>
        </is>
      </c>
      <c r="P33" s="2847" t="inlineStr">
        <is>
          <t>tCO2</t>
        </is>
      </c>
      <c r="Q33" s="3649" t="inlineStr">
        <is>
          <t>tCO2</t>
        </is>
      </c>
      <c r="S33" s="3648" t="inlineStr">
        <is>
          <t>(t)</t>
        </is>
      </c>
      <c r="T33" s="3548" t="inlineStr">
        <is>
          <t>(t)</t>
        </is>
      </c>
      <c r="U33" s="3646" t="n"/>
      <c r="W33" s="3233" t="inlineStr">
        <is>
          <t>N2O soil</t>
        </is>
      </c>
      <c r="X33" s="3244">
        <f>SUM(N34:N47)-SUM(M34:M47)</f>
        <v/>
      </c>
      <c r="Y33" s="3245">
        <f>SUM(AR12:AR25)-SUM(AQ12:AQ25)</f>
        <v/>
      </c>
      <c r="Z33" s="3239">
        <f>X33-Y33</f>
        <v/>
      </c>
      <c r="AE33" s="628" t="inlineStr">
        <is>
          <t>management</t>
        </is>
      </c>
      <c r="AF33" s="628" t="inlineStr">
        <is>
          <t>management</t>
        </is>
      </c>
      <c r="AG33" s="628" t="inlineStr">
        <is>
          <t>Org. material</t>
        </is>
      </c>
      <c r="AH33" s="692" t="inlineStr">
        <is>
          <t>Burning</t>
        </is>
      </c>
      <c r="AI33" s="628" t="inlineStr">
        <is>
          <t>management</t>
        </is>
      </c>
      <c r="AJ33" s="628" t="inlineStr">
        <is>
          <t>management</t>
        </is>
      </c>
      <c r="AK33" s="628" t="inlineStr">
        <is>
          <t>Org. material</t>
        </is>
      </c>
      <c r="AL33" s="692" t="inlineStr">
        <is>
          <t>Burning</t>
        </is>
      </c>
      <c r="AM33" s="628" t="inlineStr">
        <is>
          <t>management</t>
        </is>
      </c>
      <c r="AN33" s="628" t="inlineStr">
        <is>
          <t>management</t>
        </is>
      </c>
      <c r="AO33" s="628" t="inlineStr">
        <is>
          <t>Org. material</t>
        </is>
      </c>
      <c r="AP33" s="692" t="inlineStr">
        <is>
          <t>Burning</t>
        </is>
      </c>
      <c r="AR33" s="344" t="inlineStr">
        <is>
          <t>without</t>
        </is>
      </c>
      <c r="AS33" s="344" t="inlineStr">
        <is>
          <t>With</t>
        </is>
      </c>
    </row>
    <row r="34">
      <c r="B34" s="720" t="inlineStr">
        <is>
          <t>Deforestation (FL -&gt; CL)</t>
        </is>
      </c>
      <c r="C34" s="3199">
        <f>'3.Cropland'!C14</f>
        <v/>
      </c>
      <c r="D34" s="3201" t="n">
        <v>0</v>
      </c>
      <c r="E34" s="4107">
        <f>Matrix!$J$7</f>
        <v/>
      </c>
      <c r="F34" s="3201" t="inlineStr">
        <is>
          <t>Linear</t>
        </is>
      </c>
      <c r="G34" s="4107">
        <f>Matrix!$J$24</f>
        <v/>
      </c>
      <c r="H34" s="3201" t="inlineStr">
        <is>
          <t>Linear</t>
        </is>
      </c>
      <c r="I34" s="3201">
        <f>IF(ABS($O8*((MIN($D34,E34)*MIN(20,time_tot))+IF(F34="Immediate",IF(E34 &gt; $D34, E34*MIN(20,time_tot),0),IF($D34&gt;E34,($D34-E34)*IF(time&gt;20,IF(F34="Linear",time-((time-20)^2)/(2*time),(0.215*time)-(time/4.6)*(EXP(-92.1/time)-0.01)),time*(1-VLOOKUP(F34, list!$J$48:$K$50, 2,))), (E34-$D34)*IF(time_tot&gt;time+20,20,IF(time_tot&lt;20,(time*VLOOKUP(F34, list!$J$48:$K$50, 2,))+(time_tot-time),((MIN(20,time)*VLOOKUP(F34, list!$J$48:$K$50, 2,)) +(time_tot-MIN(20,time))-IF(F34="Exponential",time_tot-20+0.217*time*(EXP(4.606*(20-time_tot)/time)-1),((time_tot-20)^2)*(0.5/time)))))))))&gt;=ABS(O8*20*MAX(E34,D34)),O8*20*MAX(E34,D34),$O8*((MIN($D34,E34)*MIN(20,time_tot))+IF(F34="Immediate",IF(E34 &gt; $D34, E34*MIN(20,time_tot),0),IF($D34&gt;E34,($D34-E34)*IF(time&gt;20,IF(F34="Linear",time-((time-20)^2)/(2*time),(0.215*time)-(time/4.6)*(EXP(-92.1/time)-0.01)),time*(1-VLOOKUP(F34, list!$J$48:$K$50, 2,))), (E34-$D34)*IF(time_tot&gt;time+20,20,IF(time_tot&lt;20,(time*VLOOKUP(F34, list!$J$48:$K$50, 2,))+(time_tot-time),((MIN(20,time)*VLOOKUP(F34, list!$J$48:$K$50, 2,)) +(time_tot-MIN(20,time))-IF(F34="Exponential",time_tot-20+0.217*time*(EXP(4.606*(20-time_tot)/time)-1),((time_tot-20)^2)*(0.5/time)))))))))</f>
        <v/>
      </c>
      <c r="J34" s="3201">
        <f>IF(ABS($P8*((MIN($D34,G34)*MIN(20,time_tot))+IF(H34="Immediate",IF(G34 &gt; $D34, G34*MIN(20,time_tot),0),IF($D34 &gt; G34,($D34-G34)*IF(time&gt;20,IF(H34="Linear",time-((time-20)^2)/(2*time),(0.215*time)-(time/4.6)*(EXP(-92.1/time)-0.01)),time*(1-VLOOKUP(H34, list!$J$48:$K$50, 2,))), (G34-$D34)*IF(time_tot&gt;time+20,20,IF(time_tot&lt;20,(time*VLOOKUP(H34, list!$J$48:$K$50, 2,))+(time_tot-time),((MIN(20,time)*VLOOKUP(H34, list!$J$48:$K$50, 2,)) +(time_tot-MIN(20,time))-IF(H34="Exponential",time_tot-20+0.217*time*(EXP(4.606*(20-time_tot)/time)-1),((time_tot-20)^2)*(0.5/time)))))))))&gt;=ABS(P8*20*MAX(G34,D34)), P8*20*MAX(G34,D34),$P8*((MIN($D34,G34)*MIN(20,time_tot))+IF(H34="Immediate",IF(G34 &gt; $D34, G34*MIN(20,time_tot),0),IF($D34 &gt; G34,($D34-G34)*IF(time&gt;20,IF(H34="Linear",time-((time-20)^2)/(2*time),(0.215*time)-(time/4.6)*(EXP(-92.1/time)-0.01)),time*(1-VLOOKUP(H34, list!$J$48:$K$50, 2,))), (G34-$D34)*IF(time_tot&gt;time+20,20,IF(time_tot&lt;20,(time*VLOOKUP(H34, list!$J$48:$K$50, 2,))+(time_tot-time),((MIN(20,time)*VLOOKUP(H34, list!$J$48:$K$50, 2,)) +(time_tot-MIN(20,time))-IF(H34="Exponential",time_tot-20+0.217*time*(EXP(4.606*(20-time_tot)/time)-1),((time_tot-20)^2)*(0.5/time)))))))))</f>
        <v/>
      </c>
      <c r="K34" s="3181">
        <f>(MIN(D34,E34)*time_tot+ABS(E34-D34)*IF(E34&gt;D34,time_cap+time*(VLOOKUP($F34,list!$J$47:$K$50,2,FALSE)),time*(1-(VLOOKUP(F34, list!$J$47:$K$50, 2, FALSE)))))*annual!$U8</f>
        <v/>
      </c>
      <c r="L34" s="3181">
        <f>(MIN(D34, G34) * time_tot + ABS(G34-D34) * IF(G34&gt;D34, time_cap + time*(VLOOKUP(H34, list!$J$48:$K$50, 2, FALSE)), time*(1-(VLOOKUP(H34, list!$J$48:$K$50, 2, FALSE)))))*annual!U8</f>
        <v/>
      </c>
      <c r="M34" s="3181">
        <f>IFERROR(IF(M8&lt;L8,(M8-L8)/20/10*1000*VLOOKUP(moist_type, IPCC!$B$99:$C$101, 2, FALSE)*N2O_N_conversion*Nitrous/1000*(MIN(D34,E34)*time_tot+ABS(E34-D34)*IF(E34&gt;D34,time_cap+time*(VLOOKUP($F34,list!$J$47:$K$50,2,FALSE)),time*(1-(VLOOKUP(F34,list!$J$47:$K$50,2,FALSE))))),0),0)</f>
        <v/>
      </c>
      <c r="N34" s="3181">
        <f>IFERROR(IF(N8&lt;L8,(N8-L8)/20/10*1000*VLOOKUP(moist_type, IPCC!$B$99:$C$101, 2, FALSE)*N2O_N_conversion*Nitrous/1000*(MIN(D34,G34)*time_tot+ABS(G34-D34)*IF(G34&gt;D34,time_cap+time*(VLOOKUP($G34,list!$J$47:$K$50,2,FALSE)),time*(1-(VLOOKUP(H34,list!$J$47:$K$50,2,FALSE))))),0),0)</f>
        <v/>
      </c>
      <c r="O34" s="3181">
        <f>I34+K34+M34</f>
        <v/>
      </c>
      <c r="P34" s="3181">
        <f>J34+L34+N34</f>
        <v/>
      </c>
      <c r="Q34" s="3182">
        <f>P34-O34</f>
        <v/>
      </c>
      <c r="S34" s="3249">
        <f>$J12*(time*((ABS(E34-D34)*(IF(D34&lt;=E34, VLOOKUP(F34, list!$J$48:$K$50, 2, FALSE),1-VLOOKUP(F34, list!$J$48:$K$50, 2, FALSE))))+ MIN(E34,D34))+(annual!E34*time_cap))</f>
        <v/>
      </c>
      <c r="T34" s="3250">
        <f>$J12 *(time*((ABS(G34-D34)*(IF(D34&lt;=G34, VLOOKUP(H34, list!$J$48:$K$50, 2, FALSE),1-VLOOKUP(annual!H34, list!$J$48:$K$50, 2, FALSE))))+MIN(G34,D34))+(G34*time_cap))</f>
        <v/>
      </c>
      <c r="U34" s="3251">
        <f>T34-S34</f>
        <v/>
      </c>
      <c r="W34" s="3233" t="inlineStr">
        <is>
          <t>CH4 fire</t>
        </is>
      </c>
      <c r="X34" s="3237">
        <f>SUM(AF12:AF25)-SUM(AE12:AE25)</f>
        <v/>
      </c>
      <c r="Y34" s="3238">
        <f>SUM(AP12:AP25)-SUM(AO12:AO25)</f>
        <v/>
      </c>
      <c r="Z34" s="3239">
        <f>X34-Y34</f>
        <v/>
      </c>
      <c r="AD34" s="720" t="inlineStr">
        <is>
          <t>Deforestation (FL -&gt; CL)</t>
        </is>
      </c>
      <c r="AE34" s="721">
        <f>IF($M8 &gt;0, $D34, 0)</f>
        <v/>
      </c>
      <c r="AF34" s="3461">
        <f>IF($F12&lt;&gt;"Please select", $D34,0)</f>
        <v/>
      </c>
      <c r="AG34" s="3461">
        <f>IF($G12&lt;&gt;"Please select", $D34,0)</f>
        <v/>
      </c>
      <c r="AH34" s="3461">
        <f>IF($H12&lt;&gt;"Please select", $D34,0)</f>
        <v/>
      </c>
      <c r="AI34" s="3461">
        <f>IF($M8 &gt;0, $E34, 0)</f>
        <v/>
      </c>
      <c r="AJ34" s="3461">
        <f>IF($F12&lt;&gt;"Please select", $E34,0)</f>
        <v/>
      </c>
      <c r="AK34" s="3461">
        <f>IF($G12 &lt;&gt;"Please select", $E34,0)</f>
        <v/>
      </c>
      <c r="AL34" s="3461">
        <f>IF($H12 &lt;&gt;"Please select", $E34,0)</f>
        <v/>
      </c>
      <c r="AM34" s="3461">
        <f>IF($M8 &gt; 0, $G34, 0)</f>
        <v/>
      </c>
      <c r="AN34" s="3461">
        <f>IF($F12 &lt;&gt;"Please select", $G34,0)</f>
        <v/>
      </c>
      <c r="AO34" s="3461">
        <f>IF($G12 &lt;&gt;"Please select", $G34,0)</f>
        <v/>
      </c>
      <c r="AP34" s="3461">
        <f>IF($H12&lt;&gt;"Please select", $G34,0)</f>
        <v/>
      </c>
      <c r="AR34" s="721">
        <f>IF($U8&gt;0, $K34/$U8,0)</f>
        <v/>
      </c>
      <c r="AS34" s="722">
        <f>IF(U8&gt;0, L34/$U8,0)</f>
        <v/>
      </c>
    </row>
    <row r="35">
      <c r="B35" s="701" t="inlineStr">
        <is>
          <t>Afforestation (CL-&gt; FL)</t>
        </is>
      </c>
      <c r="C35" s="3482">
        <f>'3.Cropland'!C15</f>
        <v/>
      </c>
      <c r="D35" s="4108">
        <f>MAX(Matrix!$I$8,Matrix!$I$25)</f>
        <v/>
      </c>
      <c r="E35" s="4108">
        <f>MAX(Matrix!$I$25,Matrix!$I$8)-Matrix!$I$8</f>
        <v/>
      </c>
      <c r="F35" s="3202" t="inlineStr">
        <is>
          <t>Linear</t>
        </is>
      </c>
      <c r="G35" s="4108">
        <f>MAX(Matrix!$I$25,Matrix!$I$8)-Matrix!$I$25</f>
        <v/>
      </c>
      <c r="H35" s="3202" t="inlineStr">
        <is>
          <t>Linear</t>
        </is>
      </c>
      <c r="I35" s="3202">
        <f>IF(ABS($O9*((MIN($D35,E35)*MIN(20,time_tot))+IF(F35="Immediate",IF(E35 &gt; $D35, E35*MIN(20,time_tot),0),IF($D35&gt;E35,($D35-E35)*IF(time&gt;20,IF(F35="Linear",time-((time-20)^2)/(2*time),(0.215*time)-(time/4.6)*(EXP(-92.1/time)-0.01)),time*(1-VLOOKUP(F35, list!$J$48:$K$50, 2,))), (E35-$D35)*IF(time_tot&gt;time+20,20,IF(time_tot&lt;20,(time*VLOOKUP(F35, list!$J$48:$K$50, 2,))+(time_tot-time),((MIN(20,time)*VLOOKUP(F35, list!$J$48:$K$50, 2,)) +(time_tot-MIN(20,time))-IF(F35="Exponential",time_tot-20+0.217*time*(EXP(4.606*(20-time_tot)/time)-1),((time_tot-20)^2)*(0.5/time)))))))))&gt;=ABS(O9*20*MAX(E35,D35)),O9*20*MAX(E35,D35),$O9*((MIN($D35,E35)*MIN(20,time_tot))+IF(F35="Immediate",IF(E35 &gt; $D35, E35*MIN(20,time_tot),0),IF($D35&gt;E35,($D35-E35)*IF(time&gt;20,IF(F35="Linear",time-((time-20)^2)/(2*time),(0.215*time)-(time/4.6)*(EXP(-92.1/time)-0.01)),time*(1-VLOOKUP(F35, list!$J$48:$K$50, 2,))), (E35-$D35)*IF(time_tot&gt;time+20,20,IF(time_tot&lt;20,(time*VLOOKUP(F35, list!$J$48:$K$50, 2,))+(time_tot-time),((MIN(20,time)*VLOOKUP(F35, list!$J$48:$K$50, 2,)) +(time_tot-MIN(20,time))-IF(F35="Exponential",time_tot-20+0.217*time*(EXP(4.606*(20-time_tot)/time)-1),((time_tot-20)^2)*(0.5/time)))))))))</f>
        <v/>
      </c>
      <c r="J35" s="3202">
        <f>IF(ABS($P9*((MIN($D35,G35)*MIN(20,time_tot))+IF(H35="Immediate",IF(G35 &gt; $D35, G35*MIN(20,time_tot),0),IF($D35 &gt; G35,($D35-G35)*IF(time&gt;20,IF(H35="Linear",time-((time-20)^2)/(2*time),(0.215*time)-(time/4.6)*(EXP(-92.1/time)-0.01)),time*(1-VLOOKUP(H35, list!$J$48:$K$50, 2,))), (G35-$D35)*IF(time_tot&gt;time+20,20,IF(time_tot&lt;20,(time*VLOOKUP(H35, list!$J$48:$K$50, 2,))+(time_tot-time),((MIN(20,time)*VLOOKUP(H35, list!$J$48:$K$50, 2,)) +(time_tot-MIN(20,time))-IF(H35="Exponential",time_tot-20+0.217*time*(EXP(4.606*(20-time_tot)/time)-1),((time_tot-20)^2)*(0.5/time)))))))))&gt;=ABS(P9*20*MAX(G35,D35)), P9*20*MAX(G35,D35),$P9*((MIN($D35,G35)*MIN(20,time_tot))+IF(H35="Immediate",IF(G35 &gt; $D35, G35*MIN(20,time_tot),0),IF($D35 &gt; G35,($D35-G35)*IF(time&gt;20,IF(H35="Linear",time-((time-20)^2)/(2*time),(0.215*time)-(time/4.6)*(EXP(-92.1/time)-0.01)),time*(1-VLOOKUP(H35, list!$J$48:$K$50, 2,))), (G35-$D35)*IF(time_tot&gt;time+20,20,IF(time_tot&lt;20,(time*VLOOKUP(H35, list!$J$48:$K$50, 2,))+(time_tot-time),((MIN(20,time)*VLOOKUP(H35, list!$J$48:$K$50, 2,)) +(time_tot-MIN(20,time))-IF(H35="Exponential",time_tot-20+0.217*time*(EXP(4.606*(20-time_tot)/time)-1),((time_tot-20)^2)*(0.5/time)))))))))</f>
        <v/>
      </c>
      <c r="K35" s="3177">
        <f>(MIN(D35,E35)*time_tot+ABS(E35-D35)*IF(E35&gt;D35,time_cap+time*(VLOOKUP($F35,list!$J$47:$K$50,2,FALSE)),time*(1-(VLOOKUP(F35, list!$J$47:$K$50, 2, FALSE)))))*annual!$U9</f>
        <v/>
      </c>
      <c r="L35" s="3177">
        <f>(MIN(D35, G35) * time_tot + ABS(G35-D35) * IF(G35&gt;D35, time_cap + time*(VLOOKUP(H35, list!$J$48:$K$50, 2, FALSE)), time*(1-(VLOOKUP(H35, list!$J$48:$K$50, 2, FALSE)))))*annual!$U9</f>
        <v/>
      </c>
      <c r="M35" s="3177">
        <f>IFERROR(IF(M9&lt;L9,(M9-L9)/20/10*1000*VLOOKUP(moist_type, IPCC!$B$99:$C$101, 2, FALSE)*N2O_N_conversion*Nitrous/1000*(MIN(D35,E35)*time_tot+ABS(E35-D35)*IF(E35&gt;D35,time_cap+time*(VLOOKUP($F35,list!$J$47:$K$50,2,FALSE)),time*(1-(VLOOKUP(F35,list!$J$47:$K$50,2,FALSE))))),0),0)</f>
        <v/>
      </c>
      <c r="N35" s="3177">
        <f>IFERROR(IF(N9&lt;L9,(N9-L9)/20/10*1000*VLOOKUP(moist_type, IPCC!$B$99:$C$101, 2, FALSE)*N2O_N_conversion*Nitrous/1000*(MIN(D35,G35)*time_tot+ABS(G35-D35)*IF(G35&gt;D35,time_cap+time*(VLOOKUP($G35,list!$J$47:$K$50,2,FALSE)),time*(1-(VLOOKUP(H35,list!$J$47:$K$50,2,FALSE))))),0),0)</f>
        <v/>
      </c>
      <c r="O35" s="3177">
        <f>I35+K35+M35</f>
        <v/>
      </c>
      <c r="P35" s="3177">
        <f>J35+L35+N35</f>
        <v/>
      </c>
      <c r="Q35" s="3184">
        <f>P35-O35</f>
        <v/>
      </c>
      <c r="S35" s="3652">
        <f>$J13*(time*((ABS(E35-D35)*(IF(D35&lt;=E35, VLOOKUP(F35, list!$J$48:$K$50, 2, FALSE),1-VLOOKUP(F35, list!$J$48:$K$50, 2, FALSE))))+ MIN(E35,D35))+(annual!E35*time_cap))</f>
        <v/>
      </c>
      <c r="T35" s="3653">
        <f>$J13 *(time*((ABS(G35-D35)*(IF(D35&lt;=G35, VLOOKUP(H35, list!$J$48:$K$50, 2, FALSE),1-VLOOKUP(annual!H35, list!$J$48:$K$50, 2, FALSE))))+MIN(G35,D35))+(G35*time_cap))</f>
        <v/>
      </c>
      <c r="U35" s="3252">
        <f>T35-S35</f>
        <v/>
      </c>
      <c r="W35" s="3233" t="inlineStr">
        <is>
          <t>N2O Fire</t>
        </is>
      </c>
      <c r="X35" s="3240">
        <f>SUM(AH12:AH25)-SUM(AG12:AG25)</f>
        <v/>
      </c>
      <c r="Y35" s="3241">
        <f>SUM(AR12:AR25)-SUM(AQ12:AQ25)</f>
        <v/>
      </c>
      <c r="Z35" s="3242">
        <f>X35-Y35</f>
        <v/>
      </c>
      <c r="AD35" s="701" t="inlineStr">
        <is>
          <t>Afforestation (CL-&gt; FL)</t>
        </is>
      </c>
      <c r="AE35" s="727">
        <f>IF($M9 &gt;0, $D35, 0)</f>
        <v/>
      </c>
      <c r="AF35" s="727">
        <f>IF($F13&lt;&gt;"Please select", $D35,0)</f>
        <v/>
      </c>
      <c r="AG35" s="727">
        <f>IF($G13&lt;&gt;"Please select", $D35,0)</f>
        <v/>
      </c>
      <c r="AH35" s="727">
        <f>IF($H13&lt;&gt;"Please select", $D35,0)</f>
        <v/>
      </c>
      <c r="AI35" s="727">
        <f>IF($M9 &gt;0, $E35, 0)</f>
        <v/>
      </c>
      <c r="AJ35" s="727">
        <f>IF($F13&lt;&gt;"Please select", $E35,0)</f>
        <v/>
      </c>
      <c r="AK35" s="727">
        <f>IF($G13 &lt;&gt;"Please select", $E35,0)</f>
        <v/>
      </c>
      <c r="AL35" s="727">
        <f>IF($H13 &lt;&gt;"Please select", $E35,0)</f>
        <v/>
      </c>
      <c r="AM35" s="727">
        <f>IF($M9 &gt; 0, $G35, 0)</f>
        <v/>
      </c>
      <c r="AN35" s="727">
        <f>IF($F13 &lt;&gt;"Please select", $G35,0)</f>
        <v/>
      </c>
      <c r="AO35" s="727">
        <f>IF($G13 &lt;&gt;"Please select", $G35,0)</f>
        <v/>
      </c>
      <c r="AP35" s="727">
        <f>IF($H13&lt;&gt;"Please select", $G35,0)</f>
        <v/>
      </c>
      <c r="AR35" s="726">
        <f>IF($U9&gt;0, $K35/$U9,0)</f>
        <v/>
      </c>
      <c r="AS35" s="726">
        <f>IF(U9&gt;0, L35/$U9,0)</f>
        <v/>
      </c>
    </row>
    <row r="36">
      <c r="B36" s="787" t="inlineStr">
        <is>
          <t xml:space="preserve">non-FL converted Annual </t>
        </is>
      </c>
      <c r="C36" s="3647">
        <f>'3.Cropland'!C16</f>
        <v/>
      </c>
      <c r="D36" s="3203" t="n">
        <v>0</v>
      </c>
      <c r="E36" s="3203">
        <f>SUM(Matrix!$BD$16+Matrix!$BO$16+Matrix!$BZ$16+Matrix!$CK$16+Matrix!$CV$16+Matrix!$DG$16)</f>
        <v/>
      </c>
      <c r="F36" s="3203" t="inlineStr">
        <is>
          <t>Linear</t>
        </is>
      </c>
      <c r="G36" s="3203">
        <f>SUM(Matrix!$BD$34,Matrix!$BO$34,Matrix!$BZ$34,Matrix!$CK$34,Matrix!$CV$34,Matrix!$DG$34)</f>
        <v/>
      </c>
      <c r="H36" s="3203" t="inlineStr">
        <is>
          <t>Linear</t>
        </is>
      </c>
      <c r="I36" s="3203">
        <f>IF(ABS($O10*((MIN($D36,E36)*MIN(20,time_tot))+IF(F36="Immediate",IF(E36 &gt; $D36, E36*MIN(20,time_tot),0),IF($D36&gt;E36,($D36-E36)*IF(time&gt;20,IF(F36="Linear",time-((time-20)^2)/(2*time),(0.215*time)-(time/4.6)*(EXP(-92.1/time)-0.01)),time*(1-VLOOKUP(F36, list!$J$48:$K$50, 2,))), (E36-$D36)*IF(time_tot&gt;time+20,20,IF(time_tot&lt;20,(time*VLOOKUP(F36, list!$J$48:$K$50, 2,))+(time_tot-time),((MIN(20,time)*VLOOKUP(F36, list!$J$48:$K$50, 2,)) +(time_tot-MIN(20,time))-IF(F36="Exponential",time_tot-20+0.217*time*(EXP(4.606*(20-time_tot)/time)-1),((time_tot-20)^2)*(0.5/time)))))))))&gt;=ABS(O10*20*MAX(E36,D36)),O10*20*MAX(E36,D36),$O10*((MIN($D36,E36)*MIN(20,time_tot))+IF(F36="Immediate",IF(E36 &gt; $D36, E36*MIN(20,time_tot),0),IF($D36&gt;E36,($D36-E36)*IF(time&gt;20,IF(F36="Linear",time-((time-20)^2)/(2*time),(0.215*time)-(time/4.6)*(EXP(-92.1/time)-0.01)),time*(1-VLOOKUP(F36, list!$J$48:$K$50, 2,))), (E36-$D36)*IF(time_tot&gt;time+20,20,IF(time_tot&lt;20,(time*VLOOKUP(F36, list!$J$48:$K$50, 2,))+(time_tot-time),((MIN(20,time)*VLOOKUP(F36, list!$J$48:$K$50, 2,)) +(time_tot-MIN(20,time))-IF(F36="Exponential",time_tot-20+0.217*time*(EXP(4.606*(20-time_tot)/time)-1),((time_tot-20)^2)*(0.5/time)))))))))</f>
        <v/>
      </c>
      <c r="J36" s="3203">
        <f>IF(ABS($P10*((MIN($D36,G36)*MIN(20,time_tot))+IF(H36="Immediate",IF(G36 &gt; $D36, G36*MIN(20,time_tot),0),IF($D36 &gt; G36,($D36-G36)*IF(time&gt;20,IF(H36="Linear",time-((time-20)^2)/(2*time),(0.215*time)-(time/4.6)*(EXP(-92.1/time)-0.01)),time*(1-VLOOKUP(H36, list!$J$48:$K$50, 2,))), (G36-$D36)*IF(time_tot&gt;time+20,20,IF(time_tot&lt;20,(time*VLOOKUP(H36, list!$J$48:$K$50, 2,))+(time_tot-time),((MIN(20,time)*VLOOKUP(H36, list!$J$48:$K$50, 2,)) +(time_tot-MIN(20,time))-IF(H36="Exponential",time_tot-20+0.217*time*(EXP(4.606*(20-time_tot)/time)-1),((time_tot-20)^2)*(0.5/time)))))))))&gt;=ABS(P10*20*MAX(G36,D36)), P10*20*MAX(G36,D36),$P10*((MIN($D36,G36)*MIN(20,time_tot))+IF(H36="Immediate",IF(G36 &gt; $D36, G36*MIN(20,time_tot),0),IF($D36 &gt; G36,($D36-G36)*IF(time&gt;20,IF(H36="Linear",time-((time-20)^2)/(2*time),(0.215*time)-(time/4.6)*(EXP(-92.1/time)-0.01)),time*(1-VLOOKUP(H36, list!$J$48:$K$50, 2,))), (G36-$D36)*IF(time_tot&gt;time+20,20,IF(time_tot&lt;20,(time*VLOOKUP(H36, list!$J$48:$K$50, 2,))+(time_tot-time),((MIN(20,time)*VLOOKUP(H36, list!$J$48:$K$50, 2,)) +(time_tot-MIN(20,time))-IF(H36="Exponential",time_tot-20+0.217*time*(EXP(4.606*(20-time_tot)/time)-1),((time_tot-20)^2)*(0.5/time)))))))))</f>
        <v/>
      </c>
      <c r="K36" s="3178">
        <f>(MIN(D36,E36)*time_tot+ABS(E36-D36)*IF(E36&gt;D36,time_cap+time*(VLOOKUP($F36,list!$J$47:$K$50,2,FALSE)),time*(1-(VLOOKUP(F36, list!$J$47:$K$50, 2, FALSE)))))*annual!$U10</f>
        <v/>
      </c>
      <c r="L36" s="3178">
        <f>(MIN(D36, G36) * time_tot + ABS(G36-D36) * IF(G36&gt;D36, time_cap + time*(VLOOKUP(H36, list!$J$48:$K$50, 2, FALSE)), time*(1-(VLOOKUP(H36, list!$J$48:$K$50, 2, FALSE)))))*annual!$U10</f>
        <v/>
      </c>
      <c r="M36" s="3178">
        <f>IFERROR(IF(M10&lt;L10,(M10-L10)/20/10*1000*VLOOKUP(moist_type, IPCC!$B$99:$C$101, 2, FALSE)*N2O_N_conversion*Nitrous/1000*(MIN(D36,E36)*time_tot+ABS(E36-D36)*IF(E36&gt;D36,time_cap+time*(VLOOKUP($F36,list!$J$47:$K$50,2,FALSE)),time*(1-(VLOOKUP(F36,list!$J$47:$K$50,2,FALSE))))),0),0)</f>
        <v/>
      </c>
      <c r="N36" s="3178">
        <f>IFERROR(IF(N10&lt;L10,(N10-L10)/20/10*1000*VLOOKUP(moist_type, IPCC!$B$99:$C$101, 2, FALSE)*N2O_N_conversion*Nitrous/1000*(MIN(D36,G36)*time_tot+ABS(G36-D36)*IF(G36&gt;D36,time_cap+time*(VLOOKUP($G36,list!$J$47:$K$50,2,FALSE)),time*(1-(VLOOKUP(H36,list!$J$47:$K$50,2,FALSE))))),0),0)</f>
        <v/>
      </c>
      <c r="O36" s="3178">
        <f>I36+K36+M36</f>
        <v/>
      </c>
      <c r="P36" s="3178">
        <f>J36+L36+N36</f>
        <v/>
      </c>
      <c r="Q36" s="3185">
        <f>P36-O36</f>
        <v/>
      </c>
      <c r="S36" s="3253">
        <f>$J14*(time*((ABS(E36-D36)*(IF(D36&lt;=E36, VLOOKUP(F36, list!$J$48:$K$50, 2, FALSE),1-VLOOKUP(F36, list!$J$48:$K$50, 2, FALSE))))+ MIN(E36,D36))+(annual!E36*time_cap))</f>
        <v/>
      </c>
      <c r="T36" s="3254">
        <f>$J14 *(time*((ABS(G36-D36)*(IF(D36&lt;=G36, VLOOKUP(H36, list!$J$48:$K$50, 2, FALSE),1-VLOOKUP(annual!H36, list!$J$48:$K$50, 2, FALSE))))+MIN(G36,D36))+(G36*time_cap))</f>
        <v/>
      </c>
      <c r="U36" s="3255">
        <f>T36-S36</f>
        <v/>
      </c>
      <c r="W36" s="3230" t="inlineStr">
        <is>
          <t xml:space="preserve">Total </t>
        </is>
      </c>
      <c r="X36" s="3243">
        <f>SUM(X31:X35)</f>
        <v/>
      </c>
      <c r="Y36" s="3243">
        <f>SUM(Y31:Y35)</f>
        <v/>
      </c>
      <c r="Z36" s="3243">
        <f>SUM(Z31:Z35)</f>
        <v/>
      </c>
      <c r="AA36" s="388" t="n"/>
      <c r="AD36" s="787" t="inlineStr">
        <is>
          <t xml:space="preserve">non-FL converted Annual </t>
        </is>
      </c>
      <c r="AE36" s="782">
        <f>IF($M10 &gt;0, $D36, 0)</f>
        <v/>
      </c>
      <c r="AF36" s="782">
        <f>IF($F14&lt;&gt;"Please select", $D36,0)</f>
        <v/>
      </c>
      <c r="AG36" s="782">
        <f>IF($G14&lt;&gt;"Please select", $D36,0)</f>
        <v/>
      </c>
      <c r="AH36" s="782">
        <f>IF($H14&lt;&gt;"Please select", $D36,0)</f>
        <v/>
      </c>
      <c r="AI36" s="3462">
        <f>IF($M10 &gt;0, $E36, 0)</f>
        <v/>
      </c>
      <c r="AJ36" s="3462">
        <f>IF($F14&lt;&gt;"Please select", $E36,0)</f>
        <v/>
      </c>
      <c r="AK36" s="3462">
        <f>IF($G14 &lt;&gt;"Please select", $E36,0)</f>
        <v/>
      </c>
      <c r="AL36" s="782">
        <f>IF($H14 &lt;&gt;"Please select", $E36,0)</f>
        <v/>
      </c>
      <c r="AM36" s="782">
        <f>IF($M10 &gt; 0, $G36, 0)</f>
        <v/>
      </c>
      <c r="AN36" s="782">
        <f>IF($F14 &lt;&gt;"Please select", $G36,0)</f>
        <v/>
      </c>
      <c r="AO36" s="782">
        <f>IF($G14 &lt;&gt;"Please select", $G36,0)</f>
        <v/>
      </c>
      <c r="AP36" s="782">
        <f>IF($H14&lt;&gt;"Please select", $G36,0)</f>
        <v/>
      </c>
      <c r="AR36" s="782">
        <f>IF($U10&gt;0, $K36/$U10,0)</f>
        <v/>
      </c>
      <c r="AS36" s="782">
        <f>IF(U10&gt;0, L36/$U10,0)</f>
        <v/>
      </c>
    </row>
    <row r="37">
      <c r="C37" s="3200">
        <f>'3.Cropland'!C17</f>
        <v/>
      </c>
      <c r="D37" s="3204">
        <f>MAX(SUM(Matrix!$AS$16:$AX$16), SUM(Matrix!$AS$34:$AX$34))</f>
        <v/>
      </c>
      <c r="E37" s="3204">
        <f>MAX(SUM(Matrix!$AS$16:$AX$16), SUM(Matrix!$AS$34:$AX$34))-SUM(Matrix!$AS$16:$AX$16)</f>
        <v/>
      </c>
      <c r="F37" s="3204" t="inlineStr">
        <is>
          <t>Linear</t>
        </is>
      </c>
      <c r="G37" s="3204">
        <f>MAX(SUM(Matrix!$AS$16:$AX$16), SUM(Matrix!$AS$34:$AX$34))-SUM(Matrix!$AS$34:$AX$34)</f>
        <v/>
      </c>
      <c r="H37" s="3204" t="inlineStr">
        <is>
          <t>Linear</t>
        </is>
      </c>
      <c r="I37" s="3204">
        <f>IF(ABS($O11*((MIN($D37,E37)*MIN(20,time_tot))+IF(F37="Immediate",IF(E37 &gt; $D37, E37*MIN(20,time_tot),0),IF($D37&gt;E37,($D37-E37)*IF(time&gt;20,IF(F37="Linear",time-((time-20)^2)/(2*time),(0.215*time)-(time/4.6)*(EXP(-92.1/time)-0.01)),time*(1-VLOOKUP(F37, list!$J$48:$K$50, 2,))), (E37-$D37)*IF(time_tot&gt;time+20,20,IF(time_tot&lt;20,(time*VLOOKUP(F37, list!$J$48:$K$50, 2,))+(time_tot-time),((MIN(20,time)*VLOOKUP(F37, list!$J$48:$K$50, 2,)) +(time_tot-MIN(20,time))-IF(F37="Exponential",time_tot-20+0.217*time*(EXP(4.606*(20-time_tot)/time)-1),((time_tot-20)^2)*(0.5/time)))))))))&gt;=ABS(O11*20*MAX(E37,D37)),O11*20*MAX(E37,D37),$O11*((MIN($D37,E37)*MIN(20,time_tot))+IF(F37="Immediate",IF(E37 &gt; $D37, E37*MIN(20,time_tot),0),IF($D37&gt;E37,($D37-E37)*IF(time&gt;20,IF(F37="Linear",time-((time-20)^2)/(2*time),(0.215*time)-(time/4.6)*(EXP(-92.1/time)-0.01)),time*(1-VLOOKUP(F37, list!$J$48:$K$50, 2,))), (E37-$D37)*IF(time_tot&gt;time+20,20,IF(time_tot&lt;20,(time*VLOOKUP(F37, list!$J$48:$K$50, 2,))+(time_tot-time),((MIN(20,time)*VLOOKUP(F37, list!$J$48:$K$50, 2,)) +(time_tot-MIN(20,time))-IF(F37="Exponential",time_tot-20+0.217*time*(EXP(4.606*(20-time_tot)/time)-1),((time_tot-20)^2)*(0.5/time)))))))))</f>
        <v/>
      </c>
      <c r="J37" s="3204">
        <f>IF(ABS($P11*((MIN($D37,G37)*MIN(20,time_tot))+IF(H37="Immediate",IF(G37 &gt; $D37, G37*MIN(20,time_tot),0),IF($D37 &gt; G37,($D37-G37)*IF(time&gt;20,IF(H37="Linear",time-((time-20)^2)/(2*time),(0.215*time)-(time/4.6)*(EXP(-92.1/time)-0.01)),time*(1-VLOOKUP(H37, list!$J$48:$K$50, 2,))), (G37-$D37)*IF(time_tot&gt;time+20,20,IF(time_tot&lt;20,(time*VLOOKUP(H37, list!$J$48:$K$50, 2,))+(time_tot-time),((MIN(20,time)*VLOOKUP(H37, list!$J$48:$K$50, 2,)) +(time_tot-MIN(20,time))-IF(H37="Exponential",time_tot-20+0.217*time*(EXP(4.606*(20-time_tot)/time)-1),((time_tot-20)^2)*(0.5/time)))))))))&gt;=ABS(P11*20*MAX(G37,D37)), P11*20*MAX(G37,D37),$P11*((MIN($D37,G37)*MIN(20,time_tot))+IF(H37="Immediate",IF(G37 &gt; $D37, G37*MIN(20,time_tot),0),IF($D37 &gt; G37,($D37-G37)*IF(time&gt;20,IF(H37="Linear",time-((time-20)^2)/(2*time),(0.215*time)-(time/4.6)*(EXP(-92.1/time)-0.01)),time*(1-VLOOKUP(H37, list!$J$48:$K$50, 2,))), (G37-$D37)*IF(time_tot&gt;time+20,20,IF(time_tot&lt;20,(time*VLOOKUP(H37, list!$J$48:$K$50, 2,))+(time_tot-time),((MIN(20,time)*VLOOKUP(H37, list!$J$48:$K$50, 2,)) +(time_tot-MIN(20,time))-IF(H37="Exponential",time_tot-20+0.217*time*(EXP(4.606*(20-time_tot)/time)-1),((time_tot-20)^2)*(0.5/time)))))))))</f>
        <v/>
      </c>
      <c r="K37" s="3186">
        <f>(MIN(D37,E37)*time_tot+ABS(E37-D37)*IF(E37&gt;D37,time_cap+time*(VLOOKUP($F37,list!$J$47:$K$50,2,FALSE)),time*(1-(VLOOKUP(F37, list!$J$47:$K$50, 2, FALSE)))))*annual!$U11</f>
        <v/>
      </c>
      <c r="L37" s="3186">
        <f>(MIN(D37, G37) * time_tot + ABS(G37-D37) * IF(G37&gt;D37, time_cap + time*(VLOOKUP(H37, list!$J$48:$K$50, 2, FALSE)), time*(1-(VLOOKUP(H37, list!$J$48:$K$50, 2, FALSE)))))*annual!$U11</f>
        <v/>
      </c>
      <c r="M37" s="3186">
        <f>IFERROR(IF(M11&lt;L11,(M11-L11)/20/10*1000*VLOOKUP(moist_type, IPCC!$B$99:$C$101, 2, FALSE)*N2O_N_conversion*Nitrous/1000*(MIN(D37,E37)*time_tot+ABS(E37-D37)*IF(E37&gt;D37,time_cap+time*(VLOOKUP($F37,list!$J$47:$K$50,2,FALSE)),time*(1-(VLOOKUP(F37,list!$J$47:$K$50,2,FALSE))))),0),0)</f>
        <v/>
      </c>
      <c r="N37" s="3186">
        <f>IFERROR(IF(N11&lt;L11,(N11-L11)/20/10*1000*VLOOKUP(moist_type, IPCC!$B$99:$C$101, 2, FALSE)*N2O_N_conversion*Nitrous/1000*(MIN(D37,G37)*time_tot+ABS(G37-D37)*IF(G37&gt;D37,time_cap+time*(VLOOKUP($G37,list!$J$47:$K$50,2,FALSE)),time*(1-(VLOOKUP(H37,list!$J$47:$K$50,2,FALSE))))),0),0)</f>
        <v/>
      </c>
      <c r="O37" s="3186">
        <f>I37+K37+M37</f>
        <v/>
      </c>
      <c r="P37" s="3186">
        <f>J37+L37+N37</f>
        <v/>
      </c>
      <c r="Q37" s="3187">
        <f>P37-O37</f>
        <v/>
      </c>
      <c r="S37" s="3266">
        <f>$J15*(time*((ABS(E37-D37)*(IF(D37&lt;=E37, VLOOKUP(F37, list!$J$48:$K$50, 2, FALSE),1-VLOOKUP(F37, list!$J$48:$K$50, 2, FALSE))))+ MIN(E37,D37))+(annual!E37*time_cap))</f>
        <v/>
      </c>
      <c r="T37" s="3650">
        <f>$J15 *(time*((ABS(G37-D37)*(IF(D37&lt;=G37, VLOOKUP(H37, list!$J$48:$K$50, 2, FALSE),1-VLOOKUP(annual!H37, list!$J$48:$K$50, 2, FALSE))))+MIN(G37,D37))+(G37*time_cap))</f>
        <v/>
      </c>
      <c r="U37" s="3654">
        <f>T37-S37</f>
        <v/>
      </c>
      <c r="AE37" s="793">
        <f>IF($M11 &gt;0, $D37, 0)</f>
        <v/>
      </c>
      <c r="AF37" s="793">
        <f>IF($F15&lt;&gt;"Please select", $D37,0)</f>
        <v/>
      </c>
      <c r="AG37" s="793">
        <f>IF($G15&lt;&gt;"Please select", $D37,0)</f>
        <v/>
      </c>
      <c r="AH37" s="793">
        <f>IF($H15&lt;&gt;"Please select", $D37,0)</f>
        <v/>
      </c>
      <c r="AI37" s="793">
        <f>IF($M11 &gt;0, $E37, 0)</f>
        <v/>
      </c>
      <c r="AJ37" s="793">
        <f>IF($F15&lt;&gt;"Please select", $E37,0)</f>
        <v/>
      </c>
      <c r="AK37" s="793">
        <f>IF($G15 &lt;&gt;"Please select", $E37,0)</f>
        <v/>
      </c>
      <c r="AL37" s="793">
        <f>IF($H15 &lt;&gt;"Please select", $E37,0)</f>
        <v/>
      </c>
      <c r="AM37" s="793">
        <f>IF($M11 &gt; 0, $G37, 0)</f>
        <v/>
      </c>
      <c r="AN37" s="793">
        <f>IF($F15 &lt;&gt;"Please select", $G37,0)</f>
        <v/>
      </c>
      <c r="AO37" s="793">
        <f>IF($G15 &lt;&gt;"Please select", $G37,0)</f>
        <v/>
      </c>
      <c r="AP37" s="793">
        <f>IF($H15&lt;&gt;"Please select", $G37,0)</f>
        <v/>
      </c>
      <c r="AR37" s="793">
        <f>IF($U11&gt;0, $K37/$U11,0)</f>
        <v/>
      </c>
      <c r="AS37" s="793">
        <f>IF(U11&gt;0, L37/$U11,0)</f>
        <v/>
      </c>
    </row>
    <row r="38">
      <c r="C38" s="704">
        <f>C16</f>
        <v/>
      </c>
      <c r="D38" s="3205">
        <f>'3.Cropland'!Q25</f>
        <v/>
      </c>
      <c r="E38" s="3206">
        <f>'3.Cropland'!R25</f>
        <v/>
      </c>
      <c r="F38" s="3206">
        <f>VLOOKUP('3.Cropland'!S25, list!$I$48:$J$50, 2, FALSE)</f>
        <v/>
      </c>
      <c r="G38" s="3206">
        <f>'3.Cropland'!T25</f>
        <v/>
      </c>
      <c r="H38" s="3218">
        <f>VLOOKUP('3.Cropland'!U25, list!$I$48:$J$50, 2, FALSE)</f>
        <v/>
      </c>
      <c r="I38" s="3179">
        <f>IF(ABS(-$R16*((MIN($D38,E38)*MIN(20,time_tot)) +IF(F38="Immediate",IF(E38&gt;$D38,E38*MIN(20,time_tot),0),IF($D38&gt;E38,($D38-E38)* IF(time&gt;20,IF(F38="Linear",time-((time-20)^2)/(2*time),(0.215*time)-(time/4.6)*(EXP(-92.1/time)-0.01)),time*(1-VLOOKUP(F38,list!$J$48:$K$50,2,))),(E38-$D38)*IF(time_tot&gt;time+20,20,IF(time_tot&lt;20,(time*VLOOKUP(F38,list!$J$48:$K$50,2,))+(time_tot-time),((MIN(20,time)*VLOOKUP(F38,list!$J$48:$K$50,2,)) + (time_tot-MIN(20,time)) -IF(F38="Exponential",time_tot-20+0.217*time*(EXP(4.606*(20-time_tot)/time)-1),((time_tot-20)^2)*(0.5/time)))))))))&gt;=ABS(-Q16*MAX(E38,D38)),-Q16*MAX(E38,D38),-$R16*((MIN($D38,E38)*MIN(20,time_tot)) +IF(F38="Immediate",IF(E38&gt;$D38,E38*MIN(20,time_tot),0),IF($D38&gt;E38,($D38-E38)* IF(time&gt;20,IF(F38="Linear",time-((time-20)^2)/(2*time),(0.215*time)-(time/4.6)*(EXP(-92.1/time)-0.01)),time*(1-VLOOKUP(F38,list!$J$48:$K$50,2,))),(E38-$D38)*IF(time_tot&gt;time+20,20,IF(time_tot&lt;20,(time*VLOOKUP(F38,list!$J$48:$K$50,2,))+(time_tot-time),((MIN(20,time)*VLOOKUP(F38,list!$J$48:$K$50,2,)) + (time_tot-MIN(20,time)) -IF(F38="Exponential",time_tot-20+0.217*time*(EXP(4.606*(20-time_tot)/time)-1),((time_tot-20)^2)*(0.5/time)))))))))</f>
        <v/>
      </c>
      <c r="J38" s="3179">
        <f>IF(ABS(-$R16*((MIN($D38,G38)*MIN(20,time_tot))+IF(H38="Immediate",IF(G38&gt;$D38,G38*MIN(20,time_tot),0),IF($D38&gt;G38,($D38-G38)*IF(time&gt;20,IF(H38="Linear",time-((time-20)^2)/(2*time),(0.215*time)-(time/4.6)*(EXP(-92.1/time)-0.01)),time*(1-VLOOKUP(H38,list!$J$48:$K$50,2,))),(G38-$D38)*IF(time_tot&gt;time+20,20,IF(time_tot&lt;20,(time*VLOOKUP(H38,list!$J$48:$K$50,2,))+(time_tot-time),((MIN(20,time)*VLOOKUP(H38,list!$J$48:$K$50,2,))+(time_tot-MIN(20,time))-IF(H38="Exponential",time_tot-20+0.217*time*(EXP(4.606*(20-time_tot)/time)-1),((time_tot-20)^2)*(0.5/time)))))))))&gt;=ABS(-Q16*MAX(G38,D38)), -Q16*MAX(G38,D38), -$R16*((MIN($D38,G38)*MIN(20,time_tot))+IF(H38="Immediate",IF(G38&gt;$D38,G38*MIN(20,time_tot),0),IF($D38&gt;G38,($D38-G38)*IF(time&gt;20,IF(H38="Linear",time-((time-20)^2)/(2*time),(0.215*time)-(time/4.6)*(EXP(-92.1/time)-0.01)),time*(1-VLOOKUP(H38,list!$J$48:$K$50,2,))),(G38-$D38)*IF(time_tot&gt;time+20,20,IF(time_tot&lt;20,(time*VLOOKUP(H38,list!$J$48:$K$50,2,))+(time_tot-time),((MIN(20,time)*VLOOKUP(H38,list!$J$48:$K$50,2,))+(time_tot-MIN(20,time))-IF(H38="Exponential",time_tot-20+0.217*time*(EXP(4.606*(20-time_tot)/time)-1),((time_tot-20)^2)*(0.5/time)))))))))</f>
        <v/>
      </c>
      <c r="K38" s="3544">
        <f>(MIN(D38,E38)*time_tot+ABS(E38-D38)*IF(E38&gt;D38,time_cap+time*(VLOOKUP(F38,list!$J$47:$K$50,2,FALSE)),time*(1-(VLOOKUP(F38, list!$J$47:$K$50, 2, FALSE)))))*annual!$U16</f>
        <v/>
      </c>
      <c r="L38" s="3544">
        <f>(MIN(D38, G38) * time_tot + ABS(G38-D38) * IF(G38&gt;D38, time_cap + time*(VLOOKUP(H38, list!$J$48:$K$50, 2, FALSE)), time*(1-(VLOOKUP(H38, list!$J$48:$K$50, 2, FALSE)))))*annual!U16</f>
        <v/>
      </c>
      <c r="M38" s="3544">
        <f>-V16*(MIN(D38,E38)*time_tot+ABS(E38-D38)*IF(E38&gt;D38,time_cap+time*(VLOOKUP(F38,list!$J$47:$K$50,2,FALSE)),time*(1-(VLOOKUP(F38, list!$J$47:$K$50, 2, FALSE)))))</f>
        <v/>
      </c>
      <c r="N38" s="3544">
        <f>-V16*(MIN(D38, G38) * time_tot + ABS(G38-D38) * IF(G38&gt;D38, time_cap + time*(VLOOKUP(H38, list!$J$48:$K$50, 2, FALSE)), time*(1-(VLOOKUP(H38, list!$J$48:$K$50, 2, FALSE)))))</f>
        <v/>
      </c>
      <c r="O38" s="3544">
        <f>I38+K38+M38</f>
        <v/>
      </c>
      <c r="P38" s="3544">
        <f>J38+L38+N38</f>
        <v/>
      </c>
      <c r="Q38" s="3180">
        <f>P38-O38</f>
        <v/>
      </c>
      <c r="S38" s="3263">
        <f>$J16*(time*((ABS(E38-D38)*(IF(D38&lt;=E38, VLOOKUP(F38, list!$J$48:$K$50, 2, FALSE),1-VLOOKUP(F38, list!$J$48:$K$50, 2, FALSE))))+ MIN(E38,D38))+(annual!E38*time_cap))</f>
        <v/>
      </c>
      <c r="T38" s="3264">
        <f>$J16*(time*((ABS(G38-D38)*(IF(D38&lt;=G38, VLOOKUP(H38, list!$J$48:$K$50, 2, FALSE),1-VLOOKUP(annual!H38, list!$J$48:$K$50, 2, FALSE))))+MIN(G38,D38))+(G38*time_cap))</f>
        <v/>
      </c>
      <c r="U38" s="3265">
        <f>T38-S38</f>
        <v/>
      </c>
      <c r="AE38" s="3463">
        <f>IF($M16 &gt;0, $D38, 0)</f>
        <v/>
      </c>
      <c r="AF38" s="3463">
        <f>IF($F16&lt;&gt;"Please select", $D38,0)</f>
        <v/>
      </c>
      <c r="AG38" s="3463">
        <f>IF($G16&lt;&gt;"Please select", $D38,0)</f>
        <v/>
      </c>
      <c r="AH38" s="3463">
        <f>IF($H16&lt;&gt;"Please select", $D38,0)</f>
        <v/>
      </c>
      <c r="AI38" s="3463">
        <f>IF($M16 &gt;0, $E38, 0)</f>
        <v/>
      </c>
      <c r="AJ38" s="3463">
        <f>IF($F16&lt;&gt;"Please select", $E38,0)</f>
        <v/>
      </c>
      <c r="AK38" s="3463">
        <f>IF($G16&lt;&gt;"Please select", $E38,0)</f>
        <v/>
      </c>
      <c r="AL38" s="3463">
        <f>IF($H16&lt;&gt;"Please select", $E38,0)</f>
        <v/>
      </c>
      <c r="AM38" s="3463">
        <f>IF($M16 &gt;0, $G38, 0)</f>
        <v/>
      </c>
      <c r="AN38" s="3463">
        <f>IF($F16&lt;&gt;"Please select", $G38,0)</f>
        <v/>
      </c>
      <c r="AO38" s="3463">
        <f>IF($G16&lt;&gt;"Please select", $G38,0)</f>
        <v/>
      </c>
      <c r="AP38" s="3463">
        <f>IF($H16&lt;&gt;"Please select", $G38,0)</f>
        <v/>
      </c>
      <c r="AQ38" s="4608" t="n"/>
      <c r="AR38" s="3463">
        <f>IF(U16&gt;0, K38/$U16,0)</f>
        <v/>
      </c>
      <c r="AS38" s="3464">
        <f>IF(U16&gt;0, L38/$U16,0)</f>
        <v/>
      </c>
    </row>
    <row r="39">
      <c r="C39" s="862">
        <f>C17</f>
        <v/>
      </c>
      <c r="D39" s="3207">
        <f>'3.Cropland'!Q26</f>
        <v/>
      </c>
      <c r="E39" s="3208">
        <f>'3.Cropland'!R26</f>
        <v/>
      </c>
      <c r="F39" s="3208">
        <f>VLOOKUP('3.Cropland'!S26, list!$I$48:$J$50, 2, FALSE)</f>
        <v/>
      </c>
      <c r="G39" s="3208">
        <f>'3.Cropland'!T26</f>
        <v/>
      </c>
      <c r="H39" s="3219">
        <f>VLOOKUP('3.Cropland'!U26, list!$I$48:$J$50, 2, FALSE)</f>
        <v/>
      </c>
      <c r="I39" s="3179">
        <f>IF(ABS(-$R17*((MIN($D39,E39)*MIN(20,time_tot)) +IF(F39="Immediate",IF(E39&gt;$D39,E39*MIN(20,time_tot),0),IF($D39&gt;E39,($D39-E39)* IF(time&gt;20,IF(F39="Linear",time-((time-20)^2)/(2*time),(0.215*time)-(time/4.6)*(EXP(-92.1/time)-0.01)),time*(1-VLOOKUP(F39,list!$J$48:$K$50,2,))),(E39-$D39)*IF(time_tot&gt;time+20,20,IF(time_tot&lt;20,(time*VLOOKUP(F39,list!$J$48:$K$50,2,))+(time_tot-time),((MIN(20,time)*VLOOKUP(F39,list!$J$48:$K$50,2,)) + (time_tot-MIN(20,time)) -IF(F39="Exponential",time_tot-20+0.217*time*(EXP(4.606*(20-time_tot)/time)-1),((time_tot-20)^2)*(0.5/time)))))))))&gt;=ABS(-Q17*MAX(E39,D39)),-Q17*MAX(E39,D39),-$R17*((MIN($D39,E39)*MIN(20,time_tot)) +IF(F39="Immediate",IF(E39&gt;$D39,E39*MIN(20,time_tot),0),IF($D39&gt;E39,($D39-E39)* IF(time&gt;20,IF(F39="Linear",time-((time-20)^2)/(2*time),(0.215*time)-(time/4.6)*(EXP(-92.1/time)-0.01)),time*(1-VLOOKUP(F39,list!$J$48:$K$50,2,))),(E39-$D39)*IF(time_tot&gt;time+20,20,IF(time_tot&lt;20,(time*VLOOKUP(F39,list!$J$48:$K$50,2,))+(time_tot-time),((MIN(20,time)*VLOOKUP(F39,list!$J$48:$K$50,2,)) + (time_tot-MIN(20,time)) -IF(F39="Exponential",time_tot-20+0.217*time*(EXP(4.606*(20-time_tot)/time)-1),((time_tot-20)^2)*(0.5/time)))))))))</f>
        <v/>
      </c>
      <c r="J39" s="3179">
        <f>IF(ABS(-$R17*((MIN($D39,G39)*MIN(20,time_tot))+IF(H39="Immediate",IF(G39&gt;$D39,G39*MIN(20,time_tot),0),IF($D39&gt;G39,($D39-G39)*IF(time&gt;20,IF(H39="Linear",time-((time-20)^2)/(2*time),(0.215*time)-(time/4.6)*(EXP(-92.1/time)-0.01)),time*(1-VLOOKUP(H39,list!$J$48:$K$50,2,))),(G39-$D39)*IF(time_tot&gt;time+20,20,IF(time_tot&lt;20,(time*VLOOKUP(H39,list!$J$48:$K$50,2,))+(time_tot-time),((MIN(20,time)*VLOOKUP(H39,list!$J$48:$K$50,2,))+(time_tot-MIN(20,time))-IF(H39="Exponential",time_tot-20+0.217*time*(EXP(4.606*(20-time_tot)/time)-1),((time_tot-20)^2)*(0.5/time)))))))))&gt;=ABS(-Q17*MAX(G39,D39)), -Q17*MAX(G39,D39), -$R17*((MIN($D39,G39)*MIN(20,time_tot))+IF(H39="Immediate",IF(G39&gt;$D39,G39*MIN(20,time_tot),0),IF($D39&gt;G39,($D39-G39)*IF(time&gt;20,IF(H39="Linear",time-((time-20)^2)/(2*time),(0.215*time)-(time/4.6)*(EXP(-92.1/time)-0.01)),time*(1-VLOOKUP(H39,list!$J$48:$K$50,2,))),(G39-$D39)*IF(time_tot&gt;time+20,20,IF(time_tot&lt;20,(time*VLOOKUP(H39,list!$J$48:$K$50,2,))+(time_tot-time),((MIN(20,time)*VLOOKUP(H39,list!$J$48:$K$50,2,))+(time_tot-MIN(20,time))-IF(H39="Exponential",time_tot-20+0.217*time*(EXP(4.606*(20-time_tot)/time)-1),((time_tot-20)^2)*(0.5/time)))))))))</f>
        <v/>
      </c>
      <c r="K39" s="3245">
        <f>(MIN(D39,E39)*time_tot+ABS(E39-D39)*IF(E39&gt;D39,time_cap+time*(VLOOKUP(F39,list!$J$47:$K$50,2,FALSE)),time*(1-(VLOOKUP(F39, list!$J$47:$K$50, 2, FALSE)))))*annual!U17</f>
        <v/>
      </c>
      <c r="L39" s="3245">
        <f>(MIN(D39, G39) * time_tot + ABS(G39-D39) * IF(G39&gt;D39, time_cap + time*(VLOOKUP(H39, list!$J$48:$K$50, 2, FALSE)), time*(1-(VLOOKUP(H39, list!$J$48:$K$50, 2, FALSE)))))*annual!U17</f>
        <v/>
      </c>
      <c r="M39" s="3544">
        <f>-V17*(MIN(D39,E39)*time_tot+ABS(E39-D39)*IF(E39&gt;D39,time_cap+time*(VLOOKUP(F39,list!$J$47:$K$50,2,FALSE)),time*(1-(VLOOKUP(F39, list!$J$47:$K$50, 2, FALSE)))))</f>
        <v/>
      </c>
      <c r="N39" s="3544">
        <f>-V17*(MIN(D39, G39) * time_tot + ABS(G39-D39) * IF(G39&gt;D39, time_cap + time*(VLOOKUP(H39, list!$J$48:$K$50, 2, FALSE)), time*(1-(VLOOKUP(H39, list!$J$48:$K$50, 2, FALSE)))))</f>
        <v/>
      </c>
      <c r="O39" s="3245">
        <f>I39+K39+M39</f>
        <v/>
      </c>
      <c r="P39" s="3245">
        <f>J39+L39+N39</f>
        <v/>
      </c>
      <c r="Q39" s="3175">
        <f>P39-O39</f>
        <v/>
      </c>
      <c r="S39" s="3256">
        <f>$J17*(time*((ABS(E39-D39)*(IF(D39&lt;=E39, VLOOKUP(F39, list!$J$48:$K$50, 2, FALSE),1-VLOOKUP(F39, list!$J$48:$K$50, 2, FALSE))))+ MIN(E39,D39))+(annual!E39*time_cap))</f>
        <v/>
      </c>
      <c r="T39" s="3257">
        <f>$J17*(time*((ABS(G39-D39)*(IF(D39&lt;=G39, VLOOKUP(H39, list!$J$48:$K$50, 2, FALSE),1-VLOOKUP(annual!H39, list!$J$48:$K$50, 2, FALSE))))+MIN(G39,D39))+(G39*time_cap))</f>
        <v/>
      </c>
      <c r="U39" s="3258">
        <f>T39-S39</f>
        <v/>
      </c>
      <c r="W39" s="3231" t="inlineStr">
        <is>
          <t>Categories</t>
        </is>
      </c>
      <c r="X39" s="3232" t="inlineStr">
        <is>
          <t>Without</t>
        </is>
      </c>
      <c r="Y39" s="3232" t="inlineStr">
        <is>
          <t>With</t>
        </is>
      </c>
      <c r="AE39" s="3465">
        <f>IF($M17 &gt;0, $D39, 0)</f>
        <v/>
      </c>
      <c r="AF39" s="3465">
        <f>IF($F17&lt;&gt;"Please select", $D39,0)</f>
        <v/>
      </c>
      <c r="AG39" s="3465">
        <f>IF($G17&lt;&gt;"Please select", $D39,0)</f>
        <v/>
      </c>
      <c r="AH39" s="3465">
        <f>IF($H17&lt;&gt;"Please select", $D39,0)</f>
        <v/>
      </c>
      <c r="AI39" s="3465">
        <f>IF($M17 &gt;0, $E39, 0)</f>
        <v/>
      </c>
      <c r="AJ39" s="3465">
        <f>IF($F17&lt;&gt;"Please select", $E39,0)</f>
        <v/>
      </c>
      <c r="AK39" s="3465">
        <f>IF($G17&lt;&gt;"Please select", $E39,0)</f>
        <v/>
      </c>
      <c r="AL39" s="3465">
        <f>IF($H17&lt;&gt;"Please select", $E39,0)</f>
        <v/>
      </c>
      <c r="AM39" s="3465">
        <f>IF($M17 &gt;0, $G39, 0)</f>
        <v/>
      </c>
      <c r="AN39" s="3465">
        <f>IF($F17&lt;&gt;"Please select", $G39,0)</f>
        <v/>
      </c>
      <c r="AO39" s="3465">
        <f>IF($G17&lt;&gt;"Please select", $G39,0)</f>
        <v/>
      </c>
      <c r="AP39" s="3465">
        <f>IF($H17&lt;&gt;"Please select", $G39,0)</f>
        <v/>
      </c>
      <c r="AQ39" s="4608" t="n"/>
      <c r="AR39" s="3465">
        <f>IF(U17&gt;0, K39/$U17,0)</f>
        <v/>
      </c>
      <c r="AS39" s="3466">
        <f>IF(U17&gt;0, L39/$U17,0)</f>
        <v/>
      </c>
    </row>
    <row r="40">
      <c r="C40" s="862">
        <f>C18</f>
        <v/>
      </c>
      <c r="D40" s="3207">
        <f>'3.Cropland'!Q27</f>
        <v/>
      </c>
      <c r="E40" s="3208">
        <f>'3.Cropland'!R27</f>
        <v/>
      </c>
      <c r="F40" s="3208">
        <f>VLOOKUP('3.Cropland'!S27, list!$I$48:$J$50, 2, FALSE)</f>
        <v/>
      </c>
      <c r="G40" s="3208">
        <f>'3.Cropland'!T27</f>
        <v/>
      </c>
      <c r="H40" s="3219">
        <f>VLOOKUP('3.Cropland'!U27, list!$I$48:$J$50, 2, FALSE)</f>
        <v/>
      </c>
      <c r="I40" s="3179">
        <f>IF(ABS(-$R18*((MIN($D40,E40)*MIN(20,time_tot)) +IF(F40="Immediate",IF(E40&gt;$D40,E40*MIN(20,time_tot),0),IF($D40&gt;E40,($D40-E40)* IF(time&gt;20,IF(F40="Linear",time-((time-20)^2)/(2*time),(0.215*time)-(time/4.6)*(EXP(-92.1/time)-0.01)),time*(1-VLOOKUP(F40,list!$J$48:$K$50,2,))),(E40-$D40)*IF(time_tot&gt;time+20,20,IF(time_tot&lt;20,(time*VLOOKUP(F40,list!$J$48:$K$50,2,))+(time_tot-time),((MIN(20,time)*VLOOKUP(F40,list!$J$48:$K$50,2,)) + (time_tot-MIN(20,time)) -IF(F40="Exponential",time_tot-20+0.217*time*(EXP(4.606*(20-time_tot)/time)-1),((time_tot-20)^2)*(0.5/time)))))))))&gt;=ABS(-Q18*MAX(E40,D40)),-Q18*MAX(E40,D40),-$R18*((MIN($D40,E40)*MIN(20,time_tot)) +IF(F40="Immediate",IF(E40&gt;$D40,E40*MIN(20,time_tot),0),IF($D40&gt;E40,($D40-E40)* IF(time&gt;20,IF(F40="Linear",time-((time-20)^2)/(2*time),(0.215*time)-(time/4.6)*(EXP(-92.1/time)-0.01)),time*(1-VLOOKUP(F40,list!$J$48:$K$50,2,))),(E40-$D40)*IF(time_tot&gt;time+20,20,IF(time_tot&lt;20,(time*VLOOKUP(F40,list!$J$48:$K$50,2,))+(time_tot-time),((MIN(20,time)*VLOOKUP(F40,list!$J$48:$K$50,2,)) + (time_tot-MIN(20,time)) -IF(F40="Exponential",time_tot-20+0.217*time*(EXP(4.606*(20-time_tot)/time)-1),((time_tot-20)^2)*(0.5/time)))))))))</f>
        <v/>
      </c>
      <c r="J40" s="3179">
        <f>IF(ABS(-$R18*((MIN($D40,G40)*MIN(20,time_tot))+IF(H40="Immediate",IF(G40&gt;$D40,G40*MIN(20,time_tot),0),IF($D40&gt;G40,($D40-G40)*IF(time&gt;20,IF(H40="Linear",time-((time-20)^2)/(2*time),(0.215*time)-(time/4.6)*(EXP(-92.1/time)-0.01)),time*(1-VLOOKUP(H40,list!$J$48:$K$50,2,))),(G40-$D40)*IF(time_tot&gt;time+20,20,IF(time_tot&lt;20,(time*VLOOKUP(H40,list!$J$48:$K$50,2,))+(time_tot-time),((MIN(20,time)*VLOOKUP(H40,list!$J$48:$K$50,2,))+(time_tot-MIN(20,time))-IF(H40="Exponential",time_tot-20+0.217*time*(EXP(4.606*(20-time_tot)/time)-1),((time_tot-20)^2)*(0.5/time)))))))))&gt;=ABS(-Q18*MAX(G40,D40)), -Q18*MAX(G40,D40), -$R18*((MIN($D40,G40)*MIN(20,time_tot))+IF(H40="Immediate",IF(G40&gt;$D40,G40*MIN(20,time_tot),0),IF($D40&gt;G40,($D40-G40)*IF(time&gt;20,IF(H40="Linear",time-((time-20)^2)/(2*time),(0.215*time)-(time/4.6)*(EXP(-92.1/time)-0.01)),time*(1-VLOOKUP(H40,list!$J$48:$K$50,2,))),(G40-$D40)*IF(time_tot&gt;time+20,20,IF(time_tot&lt;20,(time*VLOOKUP(H40,list!$J$48:$K$50,2,))+(time_tot-time),((MIN(20,time)*VLOOKUP(H40,list!$J$48:$K$50,2,))+(time_tot-MIN(20,time))-IF(H40="Exponential",time_tot-20+0.217*time*(EXP(4.606*(20-time_tot)/time)-1),((time_tot-20)^2)*(0.5/time)))))))))</f>
        <v/>
      </c>
      <c r="K40" s="3245">
        <f>(MIN(D40,E40)*time_tot+ABS(E40-D40)*IF(E40&gt;D40,time_cap+time*(VLOOKUP(F40,list!$J$47:$K$50,2,FALSE)),time*(1-(VLOOKUP(F40, list!$J$47:$K$50, 2, FALSE)))))*annual!U18</f>
        <v/>
      </c>
      <c r="L40" s="3245">
        <f>(MIN(D40, G40) * time_tot + ABS(G40-D40) * IF(G40&gt;D40, time_cap + time*(VLOOKUP(H40, list!$J$48:$K$50, 2, FALSE)), time*(1-(VLOOKUP(H40, list!$J$48:$K$50, 2, FALSE)))))*annual!U18</f>
        <v/>
      </c>
      <c r="M40" s="3544">
        <f>-V18*(MIN(D40,E40)*time_tot+ABS(E40-D40)*IF(E40&gt;D40,time_cap+time*(VLOOKUP(F40,list!$J$47:$K$50,2,FALSE)),time*(1-(VLOOKUP(F40, list!$J$47:$K$50, 2, FALSE)))))</f>
        <v/>
      </c>
      <c r="N40" s="3544">
        <f>-V18*(MIN(D40, G40) * time_tot + ABS(G40-D40) * IF(G40&gt;D40, time_cap + time*(VLOOKUP(H40, list!$J$48:$K$50, 2, FALSE)), time*(1-(VLOOKUP(H40, list!$J$48:$K$50, 2, FALSE)))))</f>
        <v/>
      </c>
      <c r="O40" s="3245">
        <f>I40+K40+M40</f>
        <v/>
      </c>
      <c r="P40" s="3245">
        <f>J40+L40+N40</f>
        <v/>
      </c>
      <c r="Q40" s="3175">
        <f>P40-O40</f>
        <v/>
      </c>
      <c r="S40" s="3256">
        <f>$J18*(time*((ABS(E40-D40)*(IF(D40&lt;=E40, VLOOKUP(F40, list!$J$48:$K$50, 2, FALSE),1-VLOOKUP(F40, list!$J$48:$K$50, 2, FALSE))))+ MIN(E40,D40))+(annual!E40*time_cap))</f>
        <v/>
      </c>
      <c r="T40" s="3257">
        <f>$J18*(time*((ABS(G40-D40)*(IF(D40&lt;=G40, VLOOKUP(H40, list!$J$48:$K$50, 2, FALSE),1-VLOOKUP(annual!H40, list!$J$48:$K$50, 2, FALSE))))+MIN(G40,D40))+(G40*time_cap))</f>
        <v/>
      </c>
      <c r="U40" s="3258">
        <f>T40-S40</f>
        <v/>
      </c>
      <c r="W40" s="3233" t="inlineStr">
        <is>
          <t>CO2 Biomass</t>
        </is>
      </c>
      <c r="X40" s="3234" t="n">
        <v>0</v>
      </c>
      <c r="Y40" s="3235" t="n">
        <v>0</v>
      </c>
      <c r="AE40" s="3465">
        <f>IF($M18 &gt;0, $D40, 0)</f>
        <v/>
      </c>
      <c r="AF40" s="3465">
        <f>IF($F18&lt;&gt;"Please select", $D40,0)</f>
        <v/>
      </c>
      <c r="AG40" s="3465">
        <f>IF($G18&lt;&gt;"Please select", $D40,0)</f>
        <v/>
      </c>
      <c r="AH40" s="3465">
        <f>IF($H18&lt;&gt;"Please select", $D40,0)</f>
        <v/>
      </c>
      <c r="AI40" s="3465">
        <f>IF($M18 &gt;0, $E40, 0)</f>
        <v/>
      </c>
      <c r="AJ40" s="3465">
        <f>IF($F18&lt;&gt;"Please select", $E40,0)</f>
        <v/>
      </c>
      <c r="AK40" s="3465">
        <f>IF($G18&lt;&gt;"Please select", $E40,0)</f>
        <v/>
      </c>
      <c r="AL40" s="3465">
        <f>IF($H18&lt;&gt;"Please select", $E40,0)</f>
        <v/>
      </c>
      <c r="AM40" s="3465">
        <f>IF($M18 &gt;0, $G40, 0)</f>
        <v/>
      </c>
      <c r="AN40" s="3465">
        <f>IF($F18&lt;&gt;"Please select", $G40,0)</f>
        <v/>
      </c>
      <c r="AO40" s="3465">
        <f>IF($G18&lt;&gt;"Please select", $G40,0)</f>
        <v/>
      </c>
      <c r="AP40" s="3465">
        <f>IF($H18&lt;&gt;"Please select", $G40,0)</f>
        <v/>
      </c>
      <c r="AQ40" s="4608" t="n"/>
      <c r="AR40" s="3465">
        <f>IF(U18&gt;0, K40/$U18,0)</f>
        <v/>
      </c>
      <c r="AS40" s="3466">
        <f>IF(U18&gt;0, L40/$U18,0)</f>
        <v/>
      </c>
    </row>
    <row r="41">
      <c r="C41" s="862">
        <f>C19</f>
        <v/>
      </c>
      <c r="D41" s="3207">
        <f>'3.Cropland'!Q28</f>
        <v/>
      </c>
      <c r="E41" s="3208">
        <f>'3.Cropland'!R28</f>
        <v/>
      </c>
      <c r="F41" s="3208">
        <f>VLOOKUP('3.Cropland'!S28, list!$I$48:$J$50, 2, FALSE)</f>
        <v/>
      </c>
      <c r="G41" s="3208">
        <f>'3.Cropland'!T28</f>
        <v/>
      </c>
      <c r="H41" s="3219">
        <f>VLOOKUP('3.Cropland'!U28, list!$I$48:$J$50, 2, FALSE)</f>
        <v/>
      </c>
      <c r="I41" s="3179">
        <f>IF(ABS(-$R19*((MIN($D41,E41)*MIN(20,time_tot)) +IF(F41="Immediate",IF(E41&gt;$D41,E41*MIN(20,time_tot),0),IF($D41&gt;E41,($D41-E41)* IF(time&gt;20,IF(F41="Linear",time-((time-20)^2)/(2*time),(0.215*time)-(time/4.6)*(EXP(-92.1/time)-0.01)),time*(1-VLOOKUP(F41,list!$J$48:$K$50,2,))),(E41-$D41)*IF(time_tot&gt;time+20,20,IF(time_tot&lt;20,(time*VLOOKUP(F41,list!$J$48:$K$50,2,))+(time_tot-time),((MIN(20,time)*VLOOKUP(F41,list!$J$48:$K$50,2,)) + (time_tot-MIN(20,time)) -IF(F41="Exponential",time_tot-20+0.217*time*(EXP(4.606*(20-time_tot)/time)-1),((time_tot-20)^2)*(0.5/time)))))))))&gt;=ABS(-Q19*MAX(E41,D41)),-Q19*MAX(E41,D41),-$R19*((MIN($D41,E41)*MIN(20,time_tot)) +IF(F41="Immediate",IF(E41&gt;$D41,E41*MIN(20,time_tot),0),IF($D41&gt;E41,($D41-E41)* IF(time&gt;20,IF(F41="Linear",time-((time-20)^2)/(2*time),(0.215*time)-(time/4.6)*(EXP(-92.1/time)-0.01)),time*(1-VLOOKUP(F41,list!$J$48:$K$50,2,))),(E41-$D41)*IF(time_tot&gt;time+20,20,IF(time_tot&lt;20,(time*VLOOKUP(F41,list!$J$48:$K$50,2,))+(time_tot-time),((MIN(20,time)*VLOOKUP(F41,list!$J$48:$K$50,2,)) + (time_tot-MIN(20,time)) -IF(F41="Exponential",time_tot-20+0.217*time*(EXP(4.606*(20-time_tot)/time)-1),((time_tot-20)^2)*(0.5/time)))))))))</f>
        <v/>
      </c>
      <c r="J41" s="3179">
        <f>IF(ABS(-$R19*((MIN($D41,G41)*MIN(20,time_tot))+IF(H41="Immediate",IF(G41&gt;$D41,G41*MIN(20,time_tot),0),IF($D41&gt;G41,($D41-G41)*IF(time&gt;20,IF(H41="Linear",time-((time-20)^2)/(2*time),(0.215*time)-(time/4.6)*(EXP(-92.1/time)-0.01)),time*(1-VLOOKUP(H41,list!$J$48:$K$50,2,))),(G41-$D41)*IF(time_tot&gt;time+20,20,IF(time_tot&lt;20,(time*VLOOKUP(H41,list!$J$48:$K$50,2,))+(time_tot-time),((MIN(20,time)*VLOOKUP(H41,list!$J$48:$K$50,2,))+(time_tot-MIN(20,time))-IF(H41="Exponential",time_tot-20+0.217*time*(EXP(4.606*(20-time_tot)/time)-1),((time_tot-20)^2)*(0.5/time)))))))))&gt;=ABS(-Q19*MAX(G41,D41)), -Q19*MAX(G41,D41), -$R19*((MIN($D41,G41)*MIN(20,time_tot))+IF(H41="Immediate",IF(G41&gt;$D41,G41*MIN(20,time_tot),0),IF($D41&gt;G41,($D41-G41)*IF(time&gt;20,IF(H41="Linear",time-((time-20)^2)/(2*time),(0.215*time)-(time/4.6)*(EXP(-92.1/time)-0.01)),time*(1-VLOOKUP(H41,list!$J$48:$K$50,2,))),(G41-$D41)*IF(time_tot&gt;time+20,20,IF(time_tot&lt;20,(time*VLOOKUP(H41,list!$J$48:$K$50,2,))+(time_tot-time),((MIN(20,time)*VLOOKUP(H41,list!$J$48:$K$50,2,))+(time_tot-MIN(20,time))-IF(H41="Exponential",time_tot-20+0.217*time*(EXP(4.606*(20-time_tot)/time)-1),((time_tot-20)^2)*(0.5/time)))))))))</f>
        <v/>
      </c>
      <c r="K41" s="3245">
        <f>(MIN(D41,E41)*time_tot+ABS(E41-D41)*IF(E41&gt;D41,time_cap+time*(VLOOKUP(F41,list!$J$47:$K$50,2,FALSE)),time*(1-(VLOOKUP(F41, list!$J$47:$K$50, 2, FALSE)))))*annual!U19</f>
        <v/>
      </c>
      <c r="L41" s="3245">
        <f>(MIN(D41, G41) * time_tot + ABS(G41-D41) * IF(G41&gt;D41, time_cap + time*(VLOOKUP(H41, list!$J$48:$K$50, 2, FALSE)), time*(1-(VLOOKUP(H41, list!$J$48:$K$50, 2, FALSE)))))*annual!U19</f>
        <v/>
      </c>
      <c r="M41" s="3544">
        <f>-V19*(MIN(D41,E41)*time_tot+ABS(E41-D41)*IF(E41&gt;D41,time_cap+time*(VLOOKUP(F41,list!$J$47:$K$50,2,FALSE)),time*(1-(VLOOKUP(F41, list!$J$47:$K$50, 2, FALSE)))))</f>
        <v/>
      </c>
      <c r="N41" s="3544">
        <f>-V19*(MIN(D41, G41) * time_tot + ABS(G41-D41) * IF(G41&gt;D41, time_cap + time*(VLOOKUP(H41, list!$J$48:$K$50, 2, FALSE)), time*(1-(VLOOKUP(H41, list!$J$48:$K$50, 2, FALSE)))))</f>
        <v/>
      </c>
      <c r="O41" s="3245">
        <f>I41+K41+M41</f>
        <v/>
      </c>
      <c r="P41" s="3245">
        <f>J41+L41+N41</f>
        <v/>
      </c>
      <c r="Q41" s="3175">
        <f>P41-O41</f>
        <v/>
      </c>
      <c r="S41" s="3256">
        <f>$J19*(time*((ABS(E41-D41)*(IF(D41&lt;=E41, VLOOKUP(F41, list!$J$48:$K$50, 2, FALSE),1-VLOOKUP(F41, list!$J$48:$K$50, 2, FALSE))))+ MIN(E41,D41))+(annual!E41*time_cap))</f>
        <v/>
      </c>
      <c r="T41" s="3257">
        <f>$J19*(time*((ABS(G41-D41)*(IF(D41&lt;=G41, VLOOKUP(H41, list!$J$48:$K$50, 2, FALSE),1-VLOOKUP(annual!H41, list!$J$48:$K$50, 2, FALSE))))+MIN(G41,D41))+(G41*time_cap))</f>
        <v/>
      </c>
      <c r="U41" s="3258">
        <f>T41-S41</f>
        <v/>
      </c>
      <c r="W41" s="3233" t="inlineStr">
        <is>
          <t>CO2 soil</t>
        </is>
      </c>
      <c r="X41" s="3237">
        <f>SUM(I34:I47)</f>
        <v/>
      </c>
      <c r="Y41" s="3238">
        <f>SUM(J34:J47)</f>
        <v/>
      </c>
      <c r="AE41" s="3465">
        <f>IF($M19 &gt;0, $D41, 0)</f>
        <v/>
      </c>
      <c r="AF41" s="3465">
        <f>IF($F19&lt;&gt;"Please select", $D41,0)</f>
        <v/>
      </c>
      <c r="AG41" s="3465">
        <f>IF($G19&lt;&gt;"Please select", $D41,0)</f>
        <v/>
      </c>
      <c r="AH41" s="3465">
        <f>IF($H19&lt;&gt;"Please select", $D41,0)</f>
        <v/>
      </c>
      <c r="AI41" s="3465">
        <f>IF($M19 &gt;0, $E41, 0)</f>
        <v/>
      </c>
      <c r="AJ41" s="3465">
        <f>IF($F19&lt;&gt;"Please select", $E41,0)</f>
        <v/>
      </c>
      <c r="AK41" s="3465">
        <f>IF($G19&lt;&gt;"Please select", $E41,0)</f>
        <v/>
      </c>
      <c r="AL41" s="3465">
        <f>IF($H19&lt;&gt;"Please select", $E41,0)</f>
        <v/>
      </c>
      <c r="AM41" s="3465">
        <f>IF($M19 &gt;0, $G41, 0)</f>
        <v/>
      </c>
      <c r="AN41" s="3465">
        <f>IF($F19&lt;&gt;"Please select", $G41,0)</f>
        <v/>
      </c>
      <c r="AO41" s="3465">
        <f>IF($G19&lt;&gt;"Please select", $G41,0)</f>
        <v/>
      </c>
      <c r="AP41" s="3465">
        <f>IF($H19&lt;&gt;"Please select", $G41,0)</f>
        <v/>
      </c>
      <c r="AQ41" s="4608" t="n"/>
      <c r="AR41" s="3465">
        <f>IF(U19&gt;0, K41/$U19,0)</f>
        <v/>
      </c>
      <c r="AS41" s="3466">
        <f>IF(U19&gt;0, L41/$U19,0)</f>
        <v/>
      </c>
    </row>
    <row r="42">
      <c r="C42" s="862">
        <f>C20</f>
        <v/>
      </c>
      <c r="D42" s="3207">
        <f>'3.Cropland'!Q29</f>
        <v/>
      </c>
      <c r="E42" s="3208">
        <f>'3.Cropland'!R29</f>
        <v/>
      </c>
      <c r="F42" s="3208">
        <f>VLOOKUP('3.Cropland'!S29, list!$I$48:$J$50, 2, FALSE)</f>
        <v/>
      </c>
      <c r="G42" s="3208">
        <f>'3.Cropland'!T29</f>
        <v/>
      </c>
      <c r="H42" s="3219">
        <f>VLOOKUP('3.Cropland'!U29, list!$I$48:$J$50, 2, FALSE)</f>
        <v/>
      </c>
      <c r="I42" s="3179">
        <f>IF(ABS(-$R20*((MIN($D42,E42)*MIN(20,time_tot)) +IF(F42="Immediate",IF(E42&gt;$D42,E42*MIN(20,time_tot),0),IF($D42&gt;E42,($D42-E42)* IF(time&gt;20,IF(F42="Linear",time-((time-20)^2)/(2*time),(0.215*time)-(time/4.6)*(EXP(-92.1/time)-0.01)),time*(1-VLOOKUP(F42,list!$J$48:$K$50,2,))),(E42-$D42)*IF(time_tot&gt;time+20,20,IF(time_tot&lt;20,(time*VLOOKUP(F42,list!$J$48:$K$50,2,))+(time_tot-time),((MIN(20,time)*VLOOKUP(F42,list!$J$48:$K$50,2,)) + (time_tot-MIN(20,time)) -IF(F42="Exponential",time_tot-20+0.217*time*(EXP(4.606*(20-time_tot)/time)-1),((time_tot-20)^2)*(0.5/time)))))))))&gt;=ABS(-Q20*MAX(E42,D42)),-Q20*MAX(E42,D42),-$R20*((MIN($D42,E42)*MIN(20,time_tot)) +IF(F42="Immediate",IF(E42&gt;$D42,E42*MIN(20,time_tot),0),IF($D42&gt;E42,($D42-E42)* IF(time&gt;20,IF(F42="Linear",time-((time-20)^2)/(2*time),(0.215*time)-(time/4.6)*(EXP(-92.1/time)-0.01)),time*(1-VLOOKUP(F42,list!$J$48:$K$50,2,))),(E42-$D42)*IF(time_tot&gt;time+20,20,IF(time_tot&lt;20,(time*VLOOKUP(F42,list!$J$48:$K$50,2,))+(time_tot-time),((MIN(20,time)*VLOOKUP(F42,list!$J$48:$K$50,2,)) + (time_tot-MIN(20,time)) -IF(F42="Exponential",time_tot-20+0.217*time*(EXP(4.606*(20-time_tot)/time)-1),((time_tot-20)^2)*(0.5/time)))))))))</f>
        <v/>
      </c>
      <c r="J42" s="3179">
        <f>IF(ABS(-$R20*((MIN($D42,G42)*MIN(20,time_tot))+IF(H42="Immediate",IF(G42&gt;$D42,G42*MIN(20,time_tot),0),IF($D42&gt;G42,($D42-G42)*IF(time&gt;20,IF(H42="Linear",time-((time-20)^2)/(2*time),(0.215*time)-(time/4.6)*(EXP(-92.1/time)-0.01)),time*(1-VLOOKUP(H42,list!$J$48:$K$50,2,))),(G42-$D42)*IF(time_tot&gt;time+20,20,IF(time_tot&lt;20,(time*VLOOKUP(H42,list!$J$48:$K$50,2,))+(time_tot-time),((MIN(20,time)*VLOOKUP(H42,list!$J$48:$K$50,2,))+(time_tot-MIN(20,time))-IF(H42="Exponential",time_tot-20+0.217*time*(EXP(4.606*(20-time_tot)/time)-1),((time_tot-20)^2)*(0.5/time)))))))))&gt;=ABS(-Q20*MAX(G42,D42)), -Q20*MAX(G42,D42), -$R20*((MIN($D42,G42)*MIN(20,time_tot))+IF(H42="Immediate",IF(G42&gt;$D42,G42*MIN(20,time_tot),0),IF($D42&gt;G42,($D42-G42)*IF(time&gt;20,IF(H42="Linear",time-((time-20)^2)/(2*time),(0.215*time)-(time/4.6)*(EXP(-92.1/time)-0.01)),time*(1-VLOOKUP(H42,list!$J$48:$K$50,2,))),(G42-$D42)*IF(time_tot&gt;time+20,20,IF(time_tot&lt;20,(time*VLOOKUP(H42,list!$J$48:$K$50,2,))+(time_tot-time),((MIN(20,time)*VLOOKUP(H42,list!$J$48:$K$50,2,))+(time_tot-MIN(20,time))-IF(H42="Exponential",time_tot-20+0.217*time*(EXP(4.606*(20-time_tot)/time)-1),((time_tot-20)^2)*(0.5/time)))))))))</f>
        <v/>
      </c>
      <c r="K42" s="3245">
        <f>(MIN(D42,E42)*time_tot+ABS(E42-D42)*IF(E42&gt;D42,time_cap+time*(VLOOKUP(F42,list!$J$47:$K$50,2,FALSE)),time*(1-(VLOOKUP(F42, list!$J$47:$K$50, 2, FALSE)))))*annual!U20</f>
        <v/>
      </c>
      <c r="L42" s="3245">
        <f>(MIN(D42, G42) * time_tot + ABS(G42-D42) * IF(G42&gt;D42, time_cap + time*(VLOOKUP(H42, list!$J$48:$K$50, 2, FALSE)), time*(1-(VLOOKUP(H42, list!$J$48:$K$50, 2, FALSE)))))*annual!U20</f>
        <v/>
      </c>
      <c r="M42" s="3544">
        <f>-V20*(MIN(D42,E42)*time_tot+ABS(E42-D42)*IF(E42&gt;D42,time_cap+time*(VLOOKUP(F42,list!$J$47:$K$50,2,FALSE)),time*(1-(VLOOKUP(F42, list!$J$47:$K$50, 2, FALSE)))))</f>
        <v/>
      </c>
      <c r="N42" s="3544">
        <f>-V20*(MIN(D42, G42) * time_tot + ABS(G42-D42) * IF(G42&gt;D42, time_cap + time*(VLOOKUP(H42, list!$J$48:$K$50, 2, FALSE)), time*(1-(VLOOKUP(H42, list!$J$48:$K$50, 2, FALSE)))))</f>
        <v/>
      </c>
      <c r="O42" s="3245">
        <f>I42+K42+M42</f>
        <v/>
      </c>
      <c r="P42" s="3245">
        <f>J42+L42+N42</f>
        <v/>
      </c>
      <c r="Q42" s="3175">
        <f>P42-O42</f>
        <v/>
      </c>
      <c r="S42" s="3256">
        <f>$J20*(time*((ABS(E42-D42)*(IF(D42&lt;=E42, VLOOKUP(F42, list!$J$48:$K$50, 2, FALSE),1-VLOOKUP(F42, list!$J$48:$K$50, 2, FALSE))))+ MIN(E42,D42))+(annual!E42*time_cap))</f>
        <v/>
      </c>
      <c r="T42" s="3257">
        <f>$J20*(time*((ABS(G42-D42)*(IF(D42&lt;=G42, VLOOKUP(H42, list!$J$48:$K$50, 2, FALSE),1-VLOOKUP(annual!H42, list!$J$48:$K$50, 2, FALSE))))+MIN(G42,D42))+(G42*time_cap))</f>
        <v/>
      </c>
      <c r="U42" s="3258">
        <f>T42-S42</f>
        <v/>
      </c>
      <c r="W42" s="3233" t="inlineStr">
        <is>
          <t>N2O soil</t>
        </is>
      </c>
      <c r="X42" s="3244">
        <f>SUM(M34:M47)</f>
        <v/>
      </c>
      <c r="Y42" s="3244">
        <f>SUM(N34:N47)</f>
        <v/>
      </c>
      <c r="Z42" s="388" t="n"/>
      <c r="AE42" s="3465">
        <f>IF($M20 &gt;0, $D42, 0)</f>
        <v/>
      </c>
      <c r="AF42" s="3465">
        <f>IF($F20&lt;&gt;"Please select", $D42,0)</f>
        <v/>
      </c>
      <c r="AG42" s="3465">
        <f>IF($G20&lt;&gt;"Please select", $D42,0)</f>
        <v/>
      </c>
      <c r="AH42" s="3465">
        <f>IF($H20&lt;&gt;"Please select", $D42,0)</f>
        <v/>
      </c>
      <c r="AI42" s="3465">
        <f>IF($M20 &gt;0, $E42, 0)</f>
        <v/>
      </c>
      <c r="AJ42" s="3465">
        <f>IF($F20&lt;&gt;"Please select", $E42,0)</f>
        <v/>
      </c>
      <c r="AK42" s="3465">
        <f>IF($G20&lt;&gt;"Please select", $E42,0)</f>
        <v/>
      </c>
      <c r="AL42" s="3465">
        <f>IF($H20&lt;&gt;"Please select", $E42,0)</f>
        <v/>
      </c>
      <c r="AM42" s="3465">
        <f>IF($M20 &gt;0, $G42, 0)</f>
        <v/>
      </c>
      <c r="AN42" s="3465">
        <f>IF($F20&lt;&gt;"Please select", $G42,0)</f>
        <v/>
      </c>
      <c r="AO42" s="3465">
        <f>IF($G20&lt;&gt;"Please select", $G42,0)</f>
        <v/>
      </c>
      <c r="AP42" s="3465">
        <f>IF($H20&lt;&gt;"Please select", $G42,0)</f>
        <v/>
      </c>
      <c r="AQ42" s="4608" t="n"/>
      <c r="AR42" s="3465">
        <f>IF(U20&gt;0, K42/$U20,0)</f>
        <v/>
      </c>
      <c r="AS42" s="3466">
        <f>IF(U20&gt;0, L42/$U20,0)</f>
        <v/>
      </c>
    </row>
    <row r="43">
      <c r="C43" s="862">
        <f>C21</f>
        <v/>
      </c>
      <c r="D43" s="3207">
        <f>'3.Cropland'!Q30</f>
        <v/>
      </c>
      <c r="E43" s="3208">
        <f>'3.Cropland'!R30</f>
        <v/>
      </c>
      <c r="F43" s="3208">
        <f>VLOOKUP('3.Cropland'!S30, list!$I$48:$J$50, 2, FALSE)</f>
        <v/>
      </c>
      <c r="G43" s="3208">
        <f>'3.Cropland'!T30</f>
        <v/>
      </c>
      <c r="H43" s="3219">
        <f>VLOOKUP('3.Cropland'!U30, list!$I$48:$J$50, 2, FALSE)</f>
        <v/>
      </c>
      <c r="I43" s="3179">
        <f>IF(ABS(-$R21*((MIN($D43,E43)*MIN(20,time_tot)) +IF(F43="Immediate",IF(E43&gt;$D43,E43*MIN(20,time_tot),0),IF($D43&gt;E43,($D43-E43)* IF(time&gt;20,IF(F43="Linear",time-((time-20)^2)/(2*time),(0.215*time)-(time/4.6)*(EXP(-92.1/time)-0.01)),time*(1-VLOOKUP(F43,list!$J$48:$K$50,2,))),(E43-$D43)*IF(time_tot&gt;time+20,20,IF(time_tot&lt;20,(time*VLOOKUP(F43,list!$J$48:$K$50,2,))+(time_tot-time),((MIN(20,time)*VLOOKUP(F43,list!$J$48:$K$50,2,)) + (time_tot-MIN(20,time)) -IF(F43="Exponential",time_tot-20+0.217*time*(EXP(4.606*(20-time_tot)/time)-1),((time_tot-20)^2)*(0.5/time)))))))))&gt;=ABS(-Q21*MAX(E43,D43)),-Q21*MAX(E43,D43),-$R21*((MIN($D43,E43)*MIN(20,time_tot)) +IF(F43="Immediate",IF(E43&gt;$D43,E43*MIN(20,time_tot),0),IF($D43&gt;E43,($D43-E43)* IF(time&gt;20,IF(F43="Linear",time-((time-20)^2)/(2*time),(0.215*time)-(time/4.6)*(EXP(-92.1/time)-0.01)),time*(1-VLOOKUP(F43,list!$J$48:$K$50,2,))),(E43-$D43)*IF(time_tot&gt;time+20,20,IF(time_tot&lt;20,(time*VLOOKUP(F43,list!$J$48:$K$50,2,))+(time_tot-time),((MIN(20,time)*VLOOKUP(F43,list!$J$48:$K$50,2,)) + (time_tot-MIN(20,time)) -IF(F43="Exponential",time_tot-20+0.217*time*(EXP(4.606*(20-time_tot)/time)-1),((time_tot-20)^2)*(0.5/time)))))))))</f>
        <v/>
      </c>
      <c r="J43" s="3179">
        <f>IF(ABS(-$R21*((MIN($D43,G43)*MIN(20,time_tot))+IF(H43="Immediate",IF(G43&gt;$D43,G43*MIN(20,time_tot),0),IF($D43&gt;G43,($D43-G43)*IF(time&gt;20,IF(H43="Linear",time-((time-20)^2)/(2*time),(0.215*time)-(time/4.6)*(EXP(-92.1/time)-0.01)),time*(1-VLOOKUP(H43,list!$J$48:$K$50,2,))),(G43-$D43)*IF(time_tot&gt;time+20,20,IF(time_tot&lt;20,(time*VLOOKUP(H43,list!$J$48:$K$50,2,))+(time_tot-time),((MIN(20,time)*VLOOKUP(H43,list!$J$48:$K$50,2,))+(time_tot-MIN(20,time))-IF(H43="Exponential",time_tot-20+0.217*time*(EXP(4.606*(20-time_tot)/time)-1),((time_tot-20)^2)*(0.5/time)))))))))&gt;=ABS(-Q21*MAX(G43,D43)), -Q21*MAX(G43,D43), -$R21*((MIN($D43,G43)*MIN(20,time_tot))+IF(H43="Immediate",IF(G43&gt;$D43,G43*MIN(20,time_tot),0),IF($D43&gt;G43,($D43-G43)*IF(time&gt;20,IF(H43="Linear",time-((time-20)^2)/(2*time),(0.215*time)-(time/4.6)*(EXP(-92.1/time)-0.01)),time*(1-VLOOKUP(H43,list!$J$48:$K$50,2,))),(G43-$D43)*IF(time_tot&gt;time+20,20,IF(time_tot&lt;20,(time*VLOOKUP(H43,list!$J$48:$K$50,2,))+(time_tot-time),((MIN(20,time)*VLOOKUP(H43,list!$J$48:$K$50,2,))+(time_tot-MIN(20,time))-IF(H43="Exponential",time_tot-20+0.217*time*(EXP(4.606*(20-time_tot)/time)-1),((time_tot-20)^2)*(0.5/time)))))))))</f>
        <v/>
      </c>
      <c r="K43" s="3245">
        <f>(MIN(D43,E43)*time_tot+ABS(E43-D43)*IF(E43&gt;D43,time_cap+time*(VLOOKUP(F43,list!$J$47:$K$50,2,FALSE)),time*(1-(VLOOKUP(F43, list!$J$47:$K$50, 2, FALSE)))))*annual!U21</f>
        <v/>
      </c>
      <c r="L43" s="3245">
        <f>(MIN(D43, G43) * time_tot + ABS(G43-D43) * IF(G43&gt;D43, time_cap + time*(VLOOKUP(H43, list!$J$48:$K$50, 2, FALSE)), time*(1-(VLOOKUP(H43, list!$J$48:$K$50, 2, FALSE)))))*annual!U21</f>
        <v/>
      </c>
      <c r="M43" s="3544">
        <f>-V21*(MIN(D43,E43)*time_tot+ABS(E43-D43)*IF(E43&gt;D43,time_cap+time*(VLOOKUP(F43,list!$J$47:$K$50,2,FALSE)),time*(1-(VLOOKUP(F43, list!$J$47:$K$50, 2, FALSE)))))</f>
        <v/>
      </c>
      <c r="N43" s="3544">
        <f>-V21*(MIN(D43, G43) * time_tot + ABS(G43-D43) * IF(G43&gt;D43, time_cap + time*(VLOOKUP(H43, list!$J$48:$K$50, 2, FALSE)), time*(1-(VLOOKUP(H43, list!$J$48:$K$50, 2, FALSE)))))</f>
        <v/>
      </c>
      <c r="O43" s="3245">
        <f>I43+K43+M43</f>
        <v/>
      </c>
      <c r="P43" s="3245">
        <f>J43+L43+N43</f>
        <v/>
      </c>
      <c r="Q43" s="3175">
        <f>P43-O43</f>
        <v/>
      </c>
      <c r="S43" s="3256">
        <f>$J21*(time*((ABS(E43-D43)*(IF(D43&lt;=E43, VLOOKUP(F43, list!$J$48:$K$50, 2, FALSE),1-VLOOKUP(F43, list!$J$48:$K$50, 2, FALSE))))+ MIN(E43,D43))+(annual!E43*time_cap))</f>
        <v/>
      </c>
      <c r="T43" s="3257">
        <f>$J21*(time*((ABS(G43-D43)*(IF(D43&lt;=G43, VLOOKUP(H43, list!$J$48:$K$50, 2, FALSE),1-VLOOKUP(annual!H43, list!$J$48:$K$50, 2, FALSE))))+MIN(G43,D43))+(G43*time_cap))</f>
        <v/>
      </c>
      <c r="U43" s="3258">
        <f>T43-S43</f>
        <v/>
      </c>
      <c r="W43" s="3233" t="inlineStr">
        <is>
          <t>CH4 fire</t>
        </is>
      </c>
      <c r="X43" s="3237">
        <f>SUM(AE12:AE25)</f>
        <v/>
      </c>
      <c r="Y43" s="3238">
        <f>SUM(AF12:AF25)</f>
        <v/>
      </c>
      <c r="AE43" s="3465">
        <f>IF($M21 &gt;0, $D43, 0)</f>
        <v/>
      </c>
      <c r="AF43" s="3465">
        <f>IF($F21&lt;&gt;"Please select", $D43,0)</f>
        <v/>
      </c>
      <c r="AG43" s="3465">
        <f>IF($G21&lt;&gt;"Please select", $D43,0)</f>
        <v/>
      </c>
      <c r="AH43" s="3465">
        <f>IF($H21&lt;&gt;"Please select", $D43,0)</f>
        <v/>
      </c>
      <c r="AI43" s="3465">
        <f>IF($M21 &gt;0, $E43, 0)</f>
        <v/>
      </c>
      <c r="AJ43" s="3465">
        <f>IF($F21&lt;&gt;"Please select", $E43,0)</f>
        <v/>
      </c>
      <c r="AK43" s="3465">
        <f>IF($G21&lt;&gt;"Please select", $E43,0)</f>
        <v/>
      </c>
      <c r="AL43" s="3465">
        <f>IF($H21&lt;&gt;"Please select", $E43,0)</f>
        <v/>
      </c>
      <c r="AM43" s="3465">
        <f>IF($M21 &gt;0, $G43, 0)</f>
        <v/>
      </c>
      <c r="AN43" s="3465">
        <f>IF($F21&lt;&gt;"Please select", $G43,0)</f>
        <v/>
      </c>
      <c r="AO43" s="3465">
        <f>IF($G21&lt;&gt;"Please select", $G43,0)</f>
        <v/>
      </c>
      <c r="AP43" s="3465">
        <f>IF($H21&lt;&gt;"Please select", $G43,0)</f>
        <v/>
      </c>
      <c r="AQ43" s="4608" t="n"/>
      <c r="AR43" s="3465">
        <f>IF(U21&gt;0, K43/$U21,0)</f>
        <v/>
      </c>
      <c r="AS43" s="3466">
        <f>IF(U21&gt;0, L43/$U21,0)</f>
        <v/>
      </c>
    </row>
    <row r="44">
      <c r="C44" s="862">
        <f>C22</f>
        <v/>
      </c>
      <c r="D44" s="3207">
        <f>'3.Cropland'!Q31</f>
        <v/>
      </c>
      <c r="E44" s="3208">
        <f>'3.Cropland'!R31</f>
        <v/>
      </c>
      <c r="F44" s="3208">
        <f>VLOOKUP('3.Cropland'!S31, list!$I$48:$J$50, 2, FALSE)</f>
        <v/>
      </c>
      <c r="G44" s="3208">
        <f>'3.Cropland'!T31</f>
        <v/>
      </c>
      <c r="H44" s="3219">
        <f>VLOOKUP('3.Cropland'!U31, list!$I$48:$J$50, 2, FALSE)</f>
        <v/>
      </c>
      <c r="I44" s="3179">
        <f>IF(ABS(-$R22*((MIN($D44,E44)*MIN(20,time_tot)) +IF(F44="Immediate",IF(E44&gt;$D44,E44*MIN(20,time_tot),0),IF($D44&gt;E44,($D44-E44)* IF(time&gt;20,IF(F44="Linear",time-((time-20)^2)/(2*time),(0.215*time)-(time/4.6)*(EXP(-92.1/time)-0.01)),time*(1-VLOOKUP(F44,list!$J$48:$K$50,2,))),(E44-$D44)*IF(time_tot&gt;time+20,20,IF(time_tot&lt;20,(time*VLOOKUP(F44,list!$J$48:$K$50,2,))+(time_tot-time),((MIN(20,time)*VLOOKUP(F44,list!$J$48:$K$50,2,)) + (time_tot-MIN(20,time)) -IF(F44="Exponential",time_tot-20+0.217*time*(EXP(4.606*(20-time_tot)/time)-1),((time_tot-20)^2)*(0.5/time)))))))))&gt;=ABS(-Q22*MAX(E44,D44)),-Q22*MAX(E44,D44),-$R22*((MIN($D44,E44)*MIN(20,time_tot)) +IF(F44="Immediate",IF(E44&gt;$D44,E44*MIN(20,time_tot),0),IF($D44&gt;E44,($D44-E44)* IF(time&gt;20,IF(F44="Linear",time-((time-20)^2)/(2*time),(0.215*time)-(time/4.6)*(EXP(-92.1/time)-0.01)),time*(1-VLOOKUP(F44,list!$J$48:$K$50,2,))),(E44-$D44)*IF(time_tot&gt;time+20,20,IF(time_tot&lt;20,(time*VLOOKUP(F44,list!$J$48:$K$50,2,))+(time_tot-time),((MIN(20,time)*VLOOKUP(F44,list!$J$48:$K$50,2,)) + (time_tot-MIN(20,time)) -IF(F44="Exponential",time_tot-20+0.217*time*(EXP(4.606*(20-time_tot)/time)-1),((time_tot-20)^2)*(0.5/time)))))))))</f>
        <v/>
      </c>
      <c r="J44" s="3179">
        <f>IF(ABS(-$R22*((MIN($D44,G44)*MIN(20,time_tot))+IF(H44="Immediate",IF(G44&gt;$D44,G44*MIN(20,time_tot),0),IF($D44&gt;G44,($D44-G44)*IF(time&gt;20,IF(H44="Linear",time-((time-20)^2)/(2*time),(0.215*time)-(time/4.6)*(EXP(-92.1/time)-0.01)),time*(1-VLOOKUP(H44,list!$J$48:$K$50,2,))),(G44-$D44)*IF(time_tot&gt;time+20,20,IF(time_tot&lt;20,(time*VLOOKUP(H44,list!$J$48:$K$50,2,))+(time_tot-time),((MIN(20,time)*VLOOKUP(H44,list!$J$48:$K$50,2,))+(time_tot-MIN(20,time))-IF(H44="Exponential",time_tot-20+0.217*time*(EXP(4.606*(20-time_tot)/time)-1),((time_tot-20)^2)*(0.5/time)))))))))&gt;=ABS(-Q22*MAX(G44,D44)), -Q22*MAX(G44,D44), -$R22*((MIN($D44,G44)*MIN(20,time_tot))+IF(H44="Immediate",IF(G44&gt;$D44,G44*MIN(20,time_tot),0),IF($D44&gt;G44,($D44-G44)*IF(time&gt;20,IF(H44="Linear",time-((time-20)^2)/(2*time),(0.215*time)-(time/4.6)*(EXP(-92.1/time)-0.01)),time*(1-VLOOKUP(H44,list!$J$48:$K$50,2,))),(G44-$D44)*IF(time_tot&gt;time+20,20,IF(time_tot&lt;20,(time*VLOOKUP(H44,list!$J$48:$K$50,2,))+(time_tot-time),((MIN(20,time)*VLOOKUP(H44,list!$J$48:$K$50,2,))+(time_tot-MIN(20,time))-IF(H44="Exponential",time_tot-20+0.217*time*(EXP(4.606*(20-time_tot)/time)-1),((time_tot-20)^2)*(0.5/time)))))))))</f>
        <v/>
      </c>
      <c r="K44" s="3245">
        <f>(MIN(D44,E44)*time_tot+ABS(E44-D44)*IF(E44&gt;D44,time_cap+time*(VLOOKUP(F44,list!$J$47:$K$50,2,FALSE)),time*(1-(VLOOKUP(F44, list!$J$47:$K$50, 2, FALSE)))))*annual!U22</f>
        <v/>
      </c>
      <c r="L44" s="3245">
        <f>(MIN(D44, G44) * time_tot + ABS(G44-D44) * IF(G44&gt;D44, time_cap + time*(VLOOKUP(H44, list!$J$48:$K$50, 2, FALSE)), time*(1-(VLOOKUP(H44, list!$J$48:$K$50, 2, FALSE)))))*annual!U22</f>
        <v/>
      </c>
      <c r="M44" s="3544">
        <f>-V22*(MIN(D44,E44)*time_tot+ABS(E44-D44)*IF(E44&gt;D44,time_cap+time*(VLOOKUP(F44,list!$J$47:$K$50,2,FALSE)),time*(1-(VLOOKUP(F44, list!$J$47:$K$50, 2, FALSE)))))</f>
        <v/>
      </c>
      <c r="N44" s="3544">
        <f>-V22*(MIN(D44, G44) * time_tot + ABS(G44-D44) * IF(G44&gt;D44, time_cap + time*(VLOOKUP(H44, list!$J$48:$K$50, 2, FALSE)), time*(1-(VLOOKUP(H44, list!$J$48:$K$50, 2, FALSE)))))</f>
        <v/>
      </c>
      <c r="O44" s="3245">
        <f>I44+K44+M44</f>
        <v/>
      </c>
      <c r="P44" s="3245">
        <f>J44+L44+N44</f>
        <v/>
      </c>
      <c r="Q44" s="3175">
        <f>P44-O44</f>
        <v/>
      </c>
      <c r="S44" s="3256">
        <f>$J22*(time*((ABS(E44-D44)*(IF(D44&lt;=E44, VLOOKUP(F44, list!$J$48:$K$50, 2, FALSE),1-VLOOKUP(F44, list!$J$48:$K$50, 2, FALSE))))+ MIN(E44,D44))+(annual!E44*time_cap))</f>
        <v/>
      </c>
      <c r="T44" s="3257">
        <f>$J22*(time*((ABS(G44-D44)*(IF(D44&lt;=G44, VLOOKUP(H44, list!$J$48:$K$50, 2, FALSE),1-VLOOKUP(annual!H44, list!$J$48:$K$50, 2, FALSE))))+MIN(G44,D44))+(G44*time_cap))</f>
        <v/>
      </c>
      <c r="U44" s="3258">
        <f>T44-S44</f>
        <v/>
      </c>
      <c r="W44" s="3233" t="inlineStr">
        <is>
          <t>N2O Fire</t>
        </is>
      </c>
      <c r="X44" s="3240">
        <f>SUM(AG12:AG25)</f>
        <v/>
      </c>
      <c r="Y44" s="3241">
        <f>SUM(AH12:AH25)</f>
        <v/>
      </c>
      <c r="AE44" s="3465">
        <f>IF($M22 &gt;0, $D44, 0)</f>
        <v/>
      </c>
      <c r="AF44" s="3465">
        <f>IF($F22&lt;&gt;"Please select", $D44,0)</f>
        <v/>
      </c>
      <c r="AG44" s="3465">
        <f>IF($G22&lt;&gt;"Please select", $D44,0)</f>
        <v/>
      </c>
      <c r="AH44" s="3465">
        <f>IF($H22&lt;&gt;"Please select", $D44,0)</f>
        <v/>
      </c>
      <c r="AI44" s="3465">
        <f>IF($M22 &gt;0, $E44, 0)</f>
        <v/>
      </c>
      <c r="AJ44" s="3465">
        <f>IF($F22&lt;&gt;"Please select", $E44,0)</f>
        <v/>
      </c>
      <c r="AK44" s="3465">
        <f>IF($G22&lt;&gt;"Please select", $E44,0)</f>
        <v/>
      </c>
      <c r="AL44" s="3465">
        <f>IF($H22&lt;&gt;"Please select", $E44,0)</f>
        <v/>
      </c>
      <c r="AM44" s="3465">
        <f>IF($M22 &gt;0, $G44, 0)</f>
        <v/>
      </c>
      <c r="AN44" s="3465">
        <f>IF($F22&lt;&gt;"Please select", $G44,0)</f>
        <v/>
      </c>
      <c r="AO44" s="3465">
        <f>IF($G22&lt;&gt;"Please select", $G44,0)</f>
        <v/>
      </c>
      <c r="AP44" s="3465">
        <f>IF($H22&lt;&gt;"Please select", $G44,0)</f>
        <v/>
      </c>
      <c r="AQ44" s="4608" t="n"/>
      <c r="AR44" s="3465">
        <f>IF(U22&gt;0, K44/$U22,0)</f>
        <v/>
      </c>
      <c r="AS44" s="3466">
        <f>IF(U22&gt;0, L44/$U22,0)</f>
        <v/>
      </c>
    </row>
    <row r="45">
      <c r="C45" s="862">
        <f>C23</f>
        <v/>
      </c>
      <c r="D45" s="3207">
        <f>'3.Cropland'!Q32</f>
        <v/>
      </c>
      <c r="E45" s="3208">
        <f>'3.Cropland'!R32</f>
        <v/>
      </c>
      <c r="F45" s="3208">
        <f>VLOOKUP('3.Cropland'!S32, list!$I$48:$J$50, 2, FALSE)</f>
        <v/>
      </c>
      <c r="G45" s="3208">
        <f>'3.Cropland'!T32</f>
        <v/>
      </c>
      <c r="H45" s="3219">
        <f>VLOOKUP('3.Cropland'!U32, list!$I$48:$J$50, 2, FALSE)</f>
        <v/>
      </c>
      <c r="I45" s="3179">
        <f>IF(ABS(-$R23*((MIN($D45,E45)*MIN(20,time_tot)) +IF(F45="Immediate",IF(E45&gt;$D45,E45*MIN(20,time_tot),0),IF($D45&gt;E45,($D45-E45)* IF(time&gt;20,IF(F45="Linear",time-((time-20)^2)/(2*time),(0.215*time)-(time/4.6)*(EXP(-92.1/time)-0.01)),time*(1-VLOOKUP(F45,list!$J$48:$K$50,2,))),(E45-$D45)*IF(time_tot&gt;time+20,20,IF(time_tot&lt;20,(time*VLOOKUP(F45,list!$J$48:$K$50,2,))+(time_tot-time),((MIN(20,time)*VLOOKUP(F45,list!$J$48:$K$50,2,)) + (time_tot-MIN(20,time)) -IF(F45="Exponential",time_tot-20+0.217*time*(EXP(4.606*(20-time_tot)/time)-1),((time_tot-20)^2)*(0.5/time)))))))))&gt;=ABS(-Q23*MAX(E45,D45)),-Q23*MAX(E45,D45),-$R23*((MIN($D45,E45)*MIN(20,time_tot)) +IF(F45="Immediate",IF(E45&gt;$D45,E45*MIN(20,time_tot),0),IF($D45&gt;E45,($D45-E45)* IF(time&gt;20,IF(F45="Linear",time-((time-20)^2)/(2*time),(0.215*time)-(time/4.6)*(EXP(-92.1/time)-0.01)),time*(1-VLOOKUP(F45,list!$J$48:$K$50,2,))),(E45-$D45)*IF(time_tot&gt;time+20,20,IF(time_tot&lt;20,(time*VLOOKUP(F45,list!$J$48:$K$50,2,))+(time_tot-time),((MIN(20,time)*VLOOKUP(F45,list!$J$48:$K$50,2,)) + (time_tot-MIN(20,time)) -IF(F45="Exponential",time_tot-20+0.217*time*(EXP(4.606*(20-time_tot)/time)-1),((time_tot-20)^2)*(0.5/time)))))))))</f>
        <v/>
      </c>
      <c r="J45" s="3179">
        <f>IF(ABS(-$R23*((MIN($D45,G45)*MIN(20,time_tot))+IF(H45="Immediate",IF(G45&gt;$D45,G45*MIN(20,time_tot),0),IF($D45&gt;G45,($D45-G45)*IF(time&gt;20,IF(H45="Linear",time-((time-20)^2)/(2*time),(0.215*time)-(time/4.6)*(EXP(-92.1/time)-0.01)),time*(1-VLOOKUP(H45,list!$J$48:$K$50,2,))),(G45-$D45)*IF(time_tot&gt;time+20,20,IF(time_tot&lt;20,(time*VLOOKUP(H45,list!$J$48:$K$50,2,))+(time_tot-time),((MIN(20,time)*VLOOKUP(H45,list!$J$48:$K$50,2,))+(time_tot-MIN(20,time))-IF(H45="Exponential",time_tot-20+0.217*time*(EXP(4.606*(20-time_tot)/time)-1),((time_tot-20)^2)*(0.5/time)))))))))&gt;=ABS(-Q23*MAX(G45,D45)), -Q23*MAX(G45,D45), -$R23*((MIN($D45,G45)*MIN(20,time_tot))+IF(H45="Immediate",IF(G45&gt;$D45,G45*MIN(20,time_tot),0),IF($D45&gt;G45,($D45-G45)*IF(time&gt;20,IF(H45="Linear",time-((time-20)^2)/(2*time),(0.215*time)-(time/4.6)*(EXP(-92.1/time)-0.01)),time*(1-VLOOKUP(H45,list!$J$48:$K$50,2,))),(G45-$D45)*IF(time_tot&gt;time+20,20,IF(time_tot&lt;20,(time*VLOOKUP(H45,list!$J$48:$K$50,2,))+(time_tot-time),((MIN(20,time)*VLOOKUP(H45,list!$J$48:$K$50,2,))+(time_tot-MIN(20,time))-IF(H45="Exponential",time_tot-20+0.217*time*(EXP(4.606*(20-time_tot)/time)-1),((time_tot-20)^2)*(0.5/time)))))))))</f>
        <v/>
      </c>
      <c r="K45" s="3245">
        <f>(MIN(D45,E45)*time_tot+ABS(E45-D45)*IF(E45&gt;D45,time_cap+time*(VLOOKUP(F45,list!$J$47:$K$50,2,FALSE)),time*(1-(VLOOKUP(F45, list!$J$47:$K$50, 2, FALSE)))))*annual!U23</f>
        <v/>
      </c>
      <c r="L45" s="3245">
        <f>(MIN(D45, G45) * time_tot + ABS(G45-D45) * IF(G45&gt;D45, time_cap + time*(VLOOKUP(H45, list!$J$48:$K$50, 2, FALSE)), time*(1-(VLOOKUP(H45, list!$J$48:$K$50, 2, FALSE)))))*annual!U23</f>
        <v/>
      </c>
      <c r="M45" s="3544">
        <f>-V23*(MIN(D45,E45)*time_tot+ABS(E45-D45)*IF(E45&gt;D45,time_cap+time*(VLOOKUP(F45,list!$J$47:$K$50,2,FALSE)),time*(1-(VLOOKUP(F45, list!$J$47:$K$50, 2, FALSE)))))</f>
        <v/>
      </c>
      <c r="N45" s="3544">
        <f>-V23*(MIN(D45, G45) * time_tot + ABS(G45-D45) * IF(G45&gt;D45, time_cap + time*(VLOOKUP(H45, list!$J$48:$K$50, 2, FALSE)), time*(1-(VLOOKUP(H45, list!$J$48:$K$50, 2, FALSE)))))</f>
        <v/>
      </c>
      <c r="O45" s="3245">
        <f>I45+K45+M45</f>
        <v/>
      </c>
      <c r="P45" s="3245">
        <f>J45+L45+N45</f>
        <v/>
      </c>
      <c r="Q45" s="3175">
        <f>P45-O45</f>
        <v/>
      </c>
      <c r="S45" s="3256">
        <f>$J23*(time*((ABS(E45-D45)*(IF(D45&lt;=E45, VLOOKUP(F45, list!$J$48:$K$50, 2, FALSE),1-VLOOKUP(F45, list!$J$48:$K$50, 2, FALSE))))+ MIN(E45,D45))+(annual!E45*time_cap))</f>
        <v/>
      </c>
      <c r="T45" s="3257">
        <f>$J23*(time*((ABS(G45-D45)*(IF(D45&lt;=G45, VLOOKUP(H45, list!$J$48:$K$50, 2, FALSE),1-VLOOKUP(annual!H45, list!$J$48:$K$50, 2, FALSE))))+MIN(G45,D45))+(G45*time_cap))</f>
        <v/>
      </c>
      <c r="U45" s="3258">
        <f>T45-S45</f>
        <v/>
      </c>
      <c r="W45" s="3230" t="inlineStr">
        <is>
          <t xml:space="preserve">Total </t>
        </is>
      </c>
      <c r="X45" s="3243">
        <f>SUM(X40:X44)</f>
        <v/>
      </c>
      <c r="Y45" s="3243">
        <f>SUM(Y40:Y44)</f>
        <v/>
      </c>
      <c r="Z45" s="388" t="n"/>
      <c r="AE45" s="3465">
        <f>IF($M23 &gt;0, $D45, 0)</f>
        <v/>
      </c>
      <c r="AF45" s="3465">
        <f>IF($F23&lt;&gt;"Please select", $D45,0)</f>
        <v/>
      </c>
      <c r="AG45" s="3465">
        <f>IF($G23&lt;&gt;"Please select", $D45,0)</f>
        <v/>
      </c>
      <c r="AH45" s="3465">
        <f>IF($H23&lt;&gt;"Please select", $D45,0)</f>
        <v/>
      </c>
      <c r="AI45" s="3465">
        <f>IF($M23 &gt;0, $E45, 0)</f>
        <v/>
      </c>
      <c r="AJ45" s="3465">
        <f>IF($F23&lt;&gt;"Please select", $E45,0)</f>
        <v/>
      </c>
      <c r="AK45" s="3465">
        <f>IF($G23&lt;&gt;"Please select", $E45,0)</f>
        <v/>
      </c>
      <c r="AL45" s="3465">
        <f>IF($H23&lt;&gt;"Please select", $E45,0)</f>
        <v/>
      </c>
      <c r="AM45" s="3465">
        <f>IF($M23 &gt;0, $G45, 0)</f>
        <v/>
      </c>
      <c r="AN45" s="3465">
        <f>IF($F23&lt;&gt;"Please select", $G45,0)</f>
        <v/>
      </c>
      <c r="AO45" s="3465">
        <f>IF($G23&lt;&gt;"Please select", $G45,0)</f>
        <v/>
      </c>
      <c r="AP45" s="3465">
        <f>IF($H23&lt;&gt;"Please select", $G45,0)</f>
        <v/>
      </c>
      <c r="AQ45" s="4608" t="n"/>
      <c r="AR45" s="3465">
        <f>IF(U23&gt;0, K45/$U23,0)</f>
        <v/>
      </c>
      <c r="AS45" s="3466">
        <f>IF(U23&gt;0, L45/$U23,0)</f>
        <v/>
      </c>
    </row>
    <row r="46">
      <c r="C46" s="862">
        <f>C24</f>
        <v/>
      </c>
      <c r="D46" s="3207">
        <f>'3.Cropland'!Q33</f>
        <v/>
      </c>
      <c r="E46" s="3208">
        <f>'3.Cropland'!R33</f>
        <v/>
      </c>
      <c r="F46" s="3208">
        <f>VLOOKUP('3.Cropland'!S33, list!$I$48:$J$50, 2, FALSE)</f>
        <v/>
      </c>
      <c r="G46" s="3208">
        <f>'3.Cropland'!T33</f>
        <v/>
      </c>
      <c r="H46" s="3219">
        <f>VLOOKUP('3.Cropland'!U33, list!$I$48:$J$50, 2, FALSE)</f>
        <v/>
      </c>
      <c r="I46" s="3179">
        <f>IF(ABS(-$R24*((MIN($D46,E46)*MIN(20,time_tot)) +IF(F46="Immediate",IF(E46&gt;$D46,E46*MIN(20,time_tot),0),IF($D46&gt;E46,($D46-E46)* IF(time&gt;20,IF(F46="Linear",time-((time-20)^2)/(2*time),(0.215*time)-(time/4.6)*(EXP(-92.1/time)-0.01)),time*(1-VLOOKUP(F46,list!$J$48:$K$50,2,))),(E46-$D46)*IF(time_tot&gt;time+20,20,IF(time_tot&lt;20,(time*VLOOKUP(F46,list!$J$48:$K$50,2,))+(time_tot-time),((MIN(20,time)*VLOOKUP(F46,list!$J$48:$K$50,2,)) + (time_tot-MIN(20,time)) -IF(F46="Exponential",time_tot-20+0.217*time*(EXP(4.606*(20-time_tot)/time)-1),((time_tot-20)^2)*(0.5/time)))))))))&gt;=ABS(-Q24*MAX(E46,D46)),-Q24*MAX(E46,D46),-$R24*((MIN($D46,E46)*MIN(20,time_tot)) +IF(F46="Immediate",IF(E46&gt;$D46,E46*MIN(20,time_tot),0),IF($D46&gt;E46,($D46-E46)* IF(time&gt;20,IF(F46="Linear",time-((time-20)^2)/(2*time),(0.215*time)-(time/4.6)*(EXP(-92.1/time)-0.01)),time*(1-VLOOKUP(F46,list!$J$48:$K$50,2,))),(E46-$D46)*IF(time_tot&gt;time+20,20,IF(time_tot&lt;20,(time*VLOOKUP(F46,list!$J$48:$K$50,2,))+(time_tot-time),((MIN(20,time)*VLOOKUP(F46,list!$J$48:$K$50,2,)) + (time_tot-MIN(20,time)) -IF(F46="Exponential",time_tot-20+0.217*time*(EXP(4.606*(20-time_tot)/time)-1),((time_tot-20)^2)*(0.5/time)))))))))</f>
        <v/>
      </c>
      <c r="J46" s="3179">
        <f>IF(ABS(-$R24*((MIN($D46,G46)*MIN(20,time_tot))+IF(H46="Immediate",IF(G46&gt;$D46,G46*MIN(20,time_tot),0),IF($D46&gt;G46,($D46-G46)*IF(time&gt;20,IF(H46="Linear",time-((time-20)^2)/(2*time),(0.215*time)-(time/4.6)*(EXP(-92.1/time)-0.01)),time*(1-VLOOKUP(H46,list!$J$48:$K$50,2,))),(G46-$D46)*IF(time_tot&gt;time+20,20,IF(time_tot&lt;20,(time*VLOOKUP(H46,list!$J$48:$K$50,2,))+(time_tot-time),((MIN(20,time)*VLOOKUP(H46,list!$J$48:$K$50,2,))+(time_tot-MIN(20,time))-IF(H46="Exponential",time_tot-20+0.217*time*(EXP(4.606*(20-time_tot)/time)-1),((time_tot-20)^2)*(0.5/time)))))))))&gt;=ABS(-Q24*MAX(G46,D46)), -Q24*MAX(G46,D46), -$R24*((MIN($D46,G46)*MIN(20,time_tot))+IF(H46="Immediate",IF(G46&gt;$D46,G46*MIN(20,time_tot),0),IF($D46&gt;G46,($D46-G46)*IF(time&gt;20,IF(H46="Linear",time-((time-20)^2)/(2*time),(0.215*time)-(time/4.6)*(EXP(-92.1/time)-0.01)),time*(1-VLOOKUP(H46,list!$J$48:$K$50,2,))),(G46-$D46)*IF(time_tot&gt;time+20,20,IF(time_tot&lt;20,(time*VLOOKUP(H46,list!$J$48:$K$50,2,))+(time_tot-time),((MIN(20,time)*VLOOKUP(H46,list!$J$48:$K$50,2,))+(time_tot-MIN(20,time))-IF(H46="Exponential",time_tot-20+0.217*time*(EXP(4.606*(20-time_tot)/time)-1),((time_tot-20)^2)*(0.5/time)))))))))</f>
        <v/>
      </c>
      <c r="K46" s="3245">
        <f>(MIN(D46,E46)*time_tot+ABS(E46-D46)*IF(E46&gt;D46,time_cap+time*(VLOOKUP(F46,list!$J$47:$K$50,2,FALSE)),time*(1-(VLOOKUP(F46, list!$J$47:$K$50, 2, FALSE)))))*annual!U24</f>
        <v/>
      </c>
      <c r="L46" s="3245">
        <f>(MIN(D46, G46) * time_tot + ABS(G46-D46) * IF(G46&gt;D46, time_cap + time*(VLOOKUP(H46, list!$J$48:$K$50, 2, FALSE)), time*(1-(VLOOKUP(H46, list!$J$48:$K$50, 2, FALSE)))))*annual!U24</f>
        <v/>
      </c>
      <c r="M46" s="3544">
        <f>-V24*(MIN(D46,E46)*time_tot+ABS(E46-D46)*IF(E46&gt;D46,time_cap+time*(VLOOKUP(F46,list!$J$47:$K$50,2,FALSE)),time*(1-(VLOOKUP(F46, list!$J$47:$K$50, 2, FALSE)))))</f>
        <v/>
      </c>
      <c r="N46" s="3544">
        <f>-V24*(MIN(D46, G46) * time_tot + ABS(G46-D46) * IF(G46&gt;D46, time_cap + time*(VLOOKUP(H46, list!$J$48:$K$50, 2, FALSE)), time*(1-(VLOOKUP(H46, list!$J$48:$K$50, 2, FALSE)))))</f>
        <v/>
      </c>
      <c r="O46" s="3245">
        <f>I46+K46+M46</f>
        <v/>
      </c>
      <c r="P46" s="3245">
        <f>J46+L46+N46</f>
        <v/>
      </c>
      <c r="Q46" s="3175">
        <f>P46-O46</f>
        <v/>
      </c>
      <c r="S46" s="3256">
        <f>$J24*(time*((ABS(E46-D46)*(IF(D46&lt;=E46, VLOOKUP(F46, list!$J$48:$K$50, 2, FALSE),1-VLOOKUP(F46, list!$J$48:$K$50, 2, FALSE))))+ MIN(E46,D46))+(annual!E46*time_cap))</f>
        <v/>
      </c>
      <c r="T46" s="3257">
        <f>$J24*(time*((ABS(G46-D46)*(IF(D46&lt;=G46, VLOOKUP(H46, list!$J$48:$K$50, 2, FALSE),1-VLOOKUP(annual!H46, list!$J$48:$K$50, 2, FALSE))))+MIN(G46,D46))+(G46*time_cap))</f>
        <v/>
      </c>
      <c r="U46" s="3258">
        <f>T46-S46</f>
        <v/>
      </c>
      <c r="AE46" s="3465">
        <f>IF($M24 &gt;0, $D46, 0)</f>
        <v/>
      </c>
      <c r="AF46" s="3465">
        <f>IF($F24&lt;&gt;"Please select", $D46,0)</f>
        <v/>
      </c>
      <c r="AG46" s="3465">
        <f>IF($G24&lt;&gt;"Please select", $D46,0)</f>
        <v/>
      </c>
      <c r="AH46" s="3465">
        <f>IF($H24&lt;&gt;"Please select", $D46,0)</f>
        <v/>
      </c>
      <c r="AI46" s="3465">
        <f>IF($M24 &gt;0, $E46, 0)</f>
        <v/>
      </c>
      <c r="AJ46" s="3465">
        <f>IF($F24&lt;&gt;"Please select", $E46,0)</f>
        <v/>
      </c>
      <c r="AK46" s="3465">
        <f>IF($G24&lt;&gt;"Please select", $E46,0)</f>
        <v/>
      </c>
      <c r="AL46" s="3465">
        <f>IF($H24&lt;&gt;"Please select", $E46,0)</f>
        <v/>
      </c>
      <c r="AM46" s="3465">
        <f>IF($M24 &gt;0, $G46, 0)</f>
        <v/>
      </c>
      <c r="AN46" s="3465">
        <f>IF($F24&lt;&gt;"Please select", $G46,0)</f>
        <v/>
      </c>
      <c r="AO46" s="3465">
        <f>IF($G24&lt;&gt;"Please select", $G46,0)</f>
        <v/>
      </c>
      <c r="AP46" s="3465">
        <f>IF($H24&lt;&gt;"Please select", $G46,0)</f>
        <v/>
      </c>
      <c r="AQ46" s="4608" t="n"/>
      <c r="AR46" s="3465">
        <f>IF(U24&gt;0, K46/$U24,0)</f>
        <v/>
      </c>
      <c r="AS46" s="3466">
        <f>IF(U24&gt;0, L46/$U24,0)</f>
        <v/>
      </c>
    </row>
    <row r="47">
      <c r="C47" s="702">
        <f>C25</f>
        <v/>
      </c>
      <c r="D47" s="3209">
        <f>'3.Cropland'!Q34</f>
        <v/>
      </c>
      <c r="E47" s="3210">
        <f>'3.Cropland'!R34</f>
        <v/>
      </c>
      <c r="F47" s="3210">
        <f>VLOOKUP('3.Cropland'!S34, list!$I$48:$J$50, 2, FALSE)</f>
        <v/>
      </c>
      <c r="G47" s="3210">
        <f>'3.Cropland'!T34</f>
        <v/>
      </c>
      <c r="H47" s="3220">
        <f>VLOOKUP('3.Cropland'!U34, list!$I$48:$J$50, 2, FALSE)</f>
        <v/>
      </c>
      <c r="I47" s="3179">
        <f>IF(ABS(-$R25*((MIN($D47,E47)*MIN(20,time_tot)) +IF(F47="Immediate",IF(E47&gt;$D47,E47*MIN(20,time_tot),0),IF($D47&gt;E47,($D47-E47)* IF(time&gt;20,IF(F47="Linear",time-((time-20)^2)/(2*time),(0.215*time)-(time/4.6)*(EXP(-92.1/time)-0.01)),time*(1-VLOOKUP(F47,list!$J$48:$K$50,2,))),(E47-$D47)*IF(time_tot&gt;time+20,20,IF(time_tot&lt;20,(time*VLOOKUP(F47,list!$J$48:$K$50,2,))+(time_tot-time),((MIN(20,time)*VLOOKUP(F47,list!$J$48:$K$50,2,)) + (time_tot-MIN(20,time)) -IF(F47="Exponential",time_tot-20+0.217*time*(EXP(4.606*(20-time_tot)/time)-1),((time_tot-20)^2)*(0.5/time)))))))))&gt;=ABS(-Q25*MAX(E47,D47)),-Q25*MAX(E47,D47),-$R25*((MIN($D47,E47)*MIN(20,time_tot)) +IF(F47="Immediate",IF(E47&gt;$D47,E47*MIN(20,time_tot),0),IF($D47&gt;E47,($D47-E47)* IF(time&gt;20,IF(F47="Linear",time-((time-20)^2)/(2*time),(0.215*time)-(time/4.6)*(EXP(-92.1/time)-0.01)),time*(1-VLOOKUP(F47,list!$J$48:$K$50,2,))),(E47-$D47)*IF(time_tot&gt;time+20,20,IF(time_tot&lt;20,(time*VLOOKUP(F47,list!$J$48:$K$50,2,))+(time_tot-time),((MIN(20,time)*VLOOKUP(F47,list!$J$48:$K$50,2,)) + (time_tot-MIN(20,time)) -IF(F47="Exponential",time_tot-20+0.217*time*(EXP(4.606*(20-time_tot)/time)-1),((time_tot-20)^2)*(0.5/time)))))))))</f>
        <v/>
      </c>
      <c r="J47" s="3179">
        <f>IF(ABS(-$R25*((MIN($D47,G47)*MIN(20,time_tot))+IF(H47="Immediate",IF(G47&gt;$D47,G47*MIN(20,time_tot),0),IF($D47&gt;G47,($D47-G47)*IF(time&gt;20,IF(H47="Linear",time-((time-20)^2)/(2*time),(0.215*time)-(time/4.6)*(EXP(-92.1/time)-0.01)),time*(1-VLOOKUP(H47,list!$J$48:$K$50,2,))),(G47-$D47)*IF(time_tot&gt;time+20,20,IF(time_tot&lt;20,(time*VLOOKUP(H47,list!$J$48:$K$50,2,))+(time_tot-time),((MIN(20,time)*VLOOKUP(H47,list!$J$48:$K$50,2,))+(time_tot-MIN(20,time))-IF(H47="Exponential",time_tot-20+0.217*time*(EXP(4.606*(20-time_tot)/time)-1),((time_tot-20)^2)*(0.5/time)))))))))&gt;=ABS(-Q25*MAX(G47,D47)), -Q25*MAX(G47,D47), -$R25*((MIN($D47,G47)*MIN(20,time_tot))+IF(H47="Immediate",IF(G47&gt;$D47,G47*MIN(20,time_tot),0),IF($D47&gt;G47,($D47-G47)*IF(time&gt;20,IF(H47="Linear",time-((time-20)^2)/(2*time),(0.215*time)-(time/4.6)*(EXP(-92.1/time)-0.01)),time*(1-VLOOKUP(H47,list!$J$48:$K$50,2,))),(G47-$D47)*IF(time_tot&gt;time+20,20,IF(time_tot&lt;20,(time*VLOOKUP(H47,list!$J$48:$K$50,2,))+(time_tot-time),((MIN(20,time)*VLOOKUP(H47,list!$J$48:$K$50,2,))+(time_tot-MIN(20,time))-IF(H47="Exponential",time_tot-20+0.217*time*(EXP(4.606*(20-time_tot)/time)-1),((time_tot-20)^2)*(0.5/time)))))))))</f>
        <v/>
      </c>
      <c r="K47" s="3327">
        <f>(MIN(D47,E47)*time_tot+ABS(E47-D47)*IF(E47&gt;D47,time_cap+time*(VLOOKUP(F47,list!$J$47:$K$50,2,FALSE)),time*(1-(VLOOKUP(F47, list!$J$47:$K$50, 2, FALSE)))))*annual!U25</f>
        <v/>
      </c>
      <c r="L47" s="3327">
        <f>(MIN(D47, G47) * time_tot + ABS(G47-D47) * IF(G47&gt;D47, time_cap + time*(VLOOKUP(H47, list!$J$48:$K$50, 2, FALSE)), time*(1-(VLOOKUP(H47, list!$J$48:$K$50, 2, FALSE)))))*annual!U25</f>
        <v/>
      </c>
      <c r="M47" s="3544">
        <f>-V25*(MIN(D47,E47)*time_tot+ABS(E47-D47)*IF(E47&gt;D47,time_cap+time*(VLOOKUP(F47,list!$J$47:$K$50,2,FALSE)),time*(1-(VLOOKUP(F47, list!$J$47:$K$50, 2, FALSE)))))</f>
        <v/>
      </c>
      <c r="N47" s="3544">
        <f>-V25*(MIN(D47, G47) * time_tot + ABS(G47-D47) * IF(G47&gt;D47, time_cap + time*(VLOOKUP(H47, list!$J$48:$K$50, 2, FALSE)), time*(1-(VLOOKUP(H47, list!$J$48:$K$50, 2, FALSE)))))</f>
        <v/>
      </c>
      <c r="O47" s="3327">
        <f>I47+K47+M47</f>
        <v/>
      </c>
      <c r="P47" s="3327">
        <f>J47+L47+N47</f>
        <v/>
      </c>
      <c r="Q47" s="3176">
        <f>P47-O47</f>
        <v/>
      </c>
      <c r="S47" s="3259">
        <f>$J25*(time*((ABS(E47-D47)*(IF(D47&lt;=E47, VLOOKUP(F47, list!$J$48:$K$50, 2, FALSE),1-VLOOKUP(F47, list!$J$48:$K$50, 2, FALSE))))+ MIN(E47,D47))+(annual!E47*time_cap))</f>
        <v/>
      </c>
      <c r="T47" s="3260">
        <f>$J25*(time*((ABS(G47-D47)*(IF(D47&lt;=G47, VLOOKUP(H47, list!$J$48:$K$50, 2, FALSE),1-VLOOKUP(annual!H47, list!$J$48:$K$50, 2, FALSE))))+MIN(G47,D47))+(G47*time_cap))</f>
        <v/>
      </c>
      <c r="U47" s="3261">
        <f>T47-S47</f>
        <v/>
      </c>
      <c r="AE47" s="3465">
        <f>IF($M25 &gt;0, $D47, 0)</f>
        <v/>
      </c>
      <c r="AF47" s="3465">
        <f>IF($F25&lt;&gt;"Please select", $D47,0)</f>
        <v/>
      </c>
      <c r="AG47" s="3465">
        <f>IF($G25&lt;&gt;"Please select", $D47,0)</f>
        <v/>
      </c>
      <c r="AH47" s="3465">
        <f>IF($H25&lt;&gt;"Please select", $D47,0)</f>
        <v/>
      </c>
      <c r="AI47" s="3465">
        <f>IF($M25 &gt;0, $E47, 0)</f>
        <v/>
      </c>
      <c r="AJ47" s="3465">
        <f>IF($F25&lt;&gt;"Please select", $E47,0)</f>
        <v/>
      </c>
      <c r="AK47" s="3465">
        <f>IF($G25&lt;&gt;"Please select", $E47,0)</f>
        <v/>
      </c>
      <c r="AL47" s="3465">
        <f>IF($H25&lt;&gt;"Please select", $E47,0)</f>
        <v/>
      </c>
      <c r="AM47" s="3465">
        <f>IF($M25 &gt;0, $G47, 0)</f>
        <v/>
      </c>
      <c r="AN47" s="3465">
        <f>IF($F25&lt;&gt;"Please select", $G47,0)</f>
        <v/>
      </c>
      <c r="AO47" s="3465">
        <f>IF($G25&lt;&gt;"Please select", $G47,0)</f>
        <v/>
      </c>
      <c r="AP47" s="3465">
        <f>IF($H25&lt;&gt;"Please select", $G47,0)</f>
        <v/>
      </c>
      <c r="AQ47" s="4608" t="n"/>
      <c r="AR47" s="3467">
        <f>IF(U25&gt;0, K47/$U25,0)</f>
        <v/>
      </c>
      <c r="AS47" s="3468">
        <f>IF(U25&gt;0, L47/$U25,0)</f>
        <v/>
      </c>
    </row>
    <row r="48">
      <c r="C48" s="3170" t="inlineStr">
        <is>
          <t>Total Syst 1-10</t>
        </is>
      </c>
      <c r="D48" s="3171">
        <f>SUM(D38:D47)</f>
        <v/>
      </c>
      <c r="E48" s="3171">
        <f>SUM(E38:E47)</f>
        <v/>
      </c>
      <c r="F48" s="3171" t="n"/>
      <c r="G48" s="3171">
        <f>SUM(G38:G47)</f>
        <v/>
      </c>
      <c r="H48" s="3893">
        <f>IF(D48=E48, IF(E48=G48,"", "Check areas!"), "Check areas!")</f>
        <v/>
      </c>
      <c r="I48" s="3894" t="n"/>
      <c r="J48" s="3894" t="n"/>
      <c r="K48" s="3894" t="n"/>
      <c r="L48" s="3894" t="n"/>
      <c r="M48" s="3894" t="n"/>
      <c r="N48" s="3894" t="n"/>
      <c r="O48" s="3894" t="n"/>
      <c r="P48" s="3894" t="n"/>
      <c r="Q48" s="3894" t="n"/>
      <c r="S48" s="3262">
        <f>SUM(S34:S47)</f>
        <v/>
      </c>
      <c r="T48" s="3262">
        <f>SUM(T34:T47)</f>
        <v/>
      </c>
      <c r="U48" s="3262">
        <f>SUM(U34:U47)</f>
        <v/>
      </c>
      <c r="AE48" s="3469">
        <f>SUM(AE34:AE47)</f>
        <v/>
      </c>
      <c r="AF48" s="3470">
        <f>SUM(AF34:AF47)</f>
        <v/>
      </c>
      <c r="AG48" s="3469">
        <f>SUM(AG34:AG47)</f>
        <v/>
      </c>
      <c r="AH48" s="3469">
        <f>SUM(AH34:AH47)</f>
        <v/>
      </c>
      <c r="AI48" s="3469">
        <f>SUM(AI34:AI47)</f>
        <v/>
      </c>
      <c r="AJ48" s="3470">
        <f>SUM(AJ34:AJ47)</f>
        <v/>
      </c>
      <c r="AK48" s="3469">
        <f>SUM(AK34:AK47)</f>
        <v/>
      </c>
      <c r="AL48" s="3469">
        <f>SUM(AL34:AL47)</f>
        <v/>
      </c>
      <c r="AM48" s="3469">
        <f>SUM(AM34:AM47)</f>
        <v/>
      </c>
      <c r="AN48" s="3470">
        <f>SUM(AN34:AN47)</f>
        <v/>
      </c>
      <c r="AO48" s="3469">
        <f>SUM(AO34:AO47)</f>
        <v/>
      </c>
      <c r="AP48" s="3469">
        <f>SUM(AP34:AP47)</f>
        <v/>
      </c>
      <c r="AR48" s="3469">
        <f>SUM(AR34:AR47)</f>
        <v/>
      </c>
      <c r="AS48" s="3471">
        <f>SUM(AS34:AS47)</f>
        <v/>
      </c>
    </row>
    <row r="49">
      <c r="L49" s="3174" t="n"/>
      <c r="N49" s="3172" t="inlineStr">
        <is>
          <t>Agric. Annual Total</t>
        </is>
      </c>
      <c r="O49" s="3541">
        <f>SUM(O34:O47)</f>
        <v/>
      </c>
      <c r="P49" s="3541">
        <f>SUM(P34:P47)</f>
        <v/>
      </c>
      <c r="Q49" s="3541">
        <f>SUM(Q34:Q47)</f>
        <v/>
      </c>
    </row>
    <row r="50">
      <c r="I50" s="4673" t="n"/>
      <c r="J50" s="17" t="n"/>
    </row>
    <row r="51">
      <c r="P51" s="1079" t="inlineStr">
        <is>
          <t>TEST TIER 2</t>
        </is>
      </c>
      <c r="Q51" s="1079">
        <f>SUM('3.Cropland'!AT25:AT34)</f>
        <v/>
      </c>
    </row>
    <row r="52" ht="15" customHeight="1"/>
    <row r="56" ht="15" customHeight="1" thickBot="1">
      <c r="C56" s="8" t="n"/>
      <c r="D56" s="8" t="n"/>
      <c r="E56" s="8" t="n"/>
      <c r="F56" s="8" t="n"/>
      <c r="G56" s="8" t="n"/>
      <c r="H56" s="8" t="n"/>
      <c r="I56" s="8" t="n"/>
      <c r="J56" s="8" t="n"/>
      <c r="K56" s="8" t="n"/>
      <c r="L56" s="8" t="n"/>
      <c r="M56" s="8" t="n"/>
      <c r="O56" s="8" t="n"/>
      <c r="P56" s="8" t="n"/>
      <c r="Q56" s="8" t="n"/>
      <c r="R56" s="8" t="n"/>
      <c r="S56" s="8" t="n"/>
      <c r="T56" s="8" t="n"/>
      <c r="U56" s="8" t="n"/>
      <c r="V56" s="8" t="n"/>
      <c r="W56" s="8" t="n"/>
      <c r="X56" s="8" t="n"/>
    </row>
    <row r="57" ht="15" customHeight="1" thickBot="1">
      <c r="C57" s="228" t="n"/>
      <c r="D57" s="159" t="n"/>
      <c r="E57" s="159" t="n"/>
      <c r="F57" s="159" t="n"/>
      <c r="G57" s="159" t="n"/>
      <c r="H57" s="229" t="inlineStr">
        <is>
          <t xml:space="preserve">Main season crop </t>
        </is>
      </c>
      <c r="I57" s="229" t="n"/>
      <c r="J57" s="159" t="n"/>
      <c r="K57" s="159" t="n"/>
      <c r="L57" s="230" t="n"/>
      <c r="M57" s="161" t="n"/>
      <c r="O57" s="110" t="n"/>
      <c r="P57" s="159" t="n"/>
      <c r="Q57" s="159" t="n"/>
      <c r="R57" s="159" t="n"/>
      <c r="S57" s="160" t="inlineStr">
        <is>
          <t xml:space="preserve">Minor  season crop </t>
        </is>
      </c>
      <c r="T57" s="159" t="n"/>
      <c r="U57" s="159" t="n"/>
      <c r="V57" s="159" t="n"/>
      <c r="W57" s="159" t="n"/>
      <c r="X57" s="161" t="n"/>
    </row>
    <row r="58" ht="18" customHeight="1">
      <c r="C58" s="88" t="n"/>
      <c r="D58" s="89" t="n"/>
      <c r="E58" s="112" t="inlineStr">
        <is>
          <t xml:space="preserve">Chain: </t>
        </is>
      </c>
      <c r="F58" s="111" t="inlineStr">
        <is>
          <t xml:space="preserve">Crop (T)
</t>
        </is>
      </c>
      <c r="G58" s="90" t="n"/>
      <c r="H58" s="94" t="inlineStr">
        <is>
          <t>AGDM (T)</t>
        </is>
      </c>
      <c r="I58" s="94" t="inlineStr">
        <is>
          <t>AGDM (T)</t>
        </is>
      </c>
      <c r="J58" s="94" t="inlineStr">
        <is>
          <t>N AG(T)</t>
        </is>
      </c>
      <c r="K58" s="94" t="inlineStr">
        <is>
          <t>RS (T)</t>
        </is>
      </c>
      <c r="L58" s="122" t="inlineStr">
        <is>
          <t>N BG(T)</t>
        </is>
      </c>
      <c r="M58" s="94" t="inlineStr">
        <is>
          <t>FCR / ha</t>
        </is>
      </c>
      <c r="O58" s="112" t="n"/>
      <c r="P58" s="112" t="inlineStr">
        <is>
          <t xml:space="preserve">Chain: </t>
        </is>
      </c>
      <c r="Q58" s="157" t="inlineStr">
        <is>
          <t xml:space="preserve">Crop (T)
</t>
        </is>
      </c>
      <c r="R58" s="158" t="n"/>
      <c r="S58" s="94" t="inlineStr">
        <is>
          <t>AGDM (T)</t>
        </is>
      </c>
      <c r="T58" s="94" t="inlineStr">
        <is>
          <t>AGDM (T)</t>
        </is>
      </c>
      <c r="U58" s="94" t="inlineStr">
        <is>
          <t>N AG(T)</t>
        </is>
      </c>
      <c r="V58" s="94" t="inlineStr">
        <is>
          <t>RS (T)</t>
        </is>
      </c>
      <c r="W58" s="94" t="inlineStr">
        <is>
          <t>N BG(T)</t>
        </is>
      </c>
      <c r="X58" s="94" t="inlineStr">
        <is>
          <t>FCR / ha</t>
        </is>
      </c>
    </row>
    <row r="59" ht="15" customHeight="1">
      <c r="C59" s="88" t="n"/>
      <c r="D59" s="94" t="inlineStr">
        <is>
          <t xml:space="preserve">Crop type </t>
        </is>
      </c>
      <c r="E59" s="95" t="inlineStr">
        <is>
          <t>EX-ACT area</t>
        </is>
      </c>
      <c r="F59" s="99" t="inlineStr">
        <is>
          <t xml:space="preserve">yield </t>
        </is>
      </c>
      <c r="G59" s="92" t="n"/>
      <c r="H59" s="101" t="inlineStr">
        <is>
          <t>Residue DM</t>
        </is>
      </c>
      <c r="I59" s="101" t="inlineStr">
        <is>
          <t>Residue DM</t>
        </is>
      </c>
      <c r="J59" s="94" t="inlineStr">
        <is>
          <t>N content of</t>
        </is>
      </c>
      <c r="K59" s="94" t="inlineStr">
        <is>
          <t xml:space="preserve">Ratio of BG </t>
        </is>
      </c>
      <c r="L59" s="122" t="inlineStr">
        <is>
          <t>N content of</t>
        </is>
      </c>
      <c r="M59" s="94" t="inlineStr">
        <is>
          <t>Annual amount</t>
        </is>
      </c>
      <c r="O59" s="113" t="inlineStr">
        <is>
          <t xml:space="preserve">Crop type </t>
        </is>
      </c>
      <c r="P59" s="114" t="inlineStr">
        <is>
          <t>IPCC area</t>
        </is>
      </c>
      <c r="Q59" s="119" t="inlineStr">
        <is>
          <t xml:space="preserve">yield </t>
        </is>
      </c>
      <c r="R59" s="120" t="n"/>
      <c r="S59" s="101" t="inlineStr">
        <is>
          <t>Residue DM</t>
        </is>
      </c>
      <c r="T59" s="101" t="inlineStr">
        <is>
          <t>Residue DM</t>
        </is>
      </c>
      <c r="U59" s="94" t="inlineStr">
        <is>
          <t>N content of</t>
        </is>
      </c>
      <c r="V59" s="94" t="inlineStr">
        <is>
          <t xml:space="preserve">Ratio of BG </t>
        </is>
      </c>
      <c r="W59" s="94" t="inlineStr">
        <is>
          <t>N content of</t>
        </is>
      </c>
      <c r="X59" s="94" t="inlineStr">
        <is>
          <t>Annual amount</t>
        </is>
      </c>
    </row>
    <row r="60" ht="15" customHeight="1">
      <c r="C60" s="88" t="n"/>
      <c r="D60" s="94" t="inlineStr">
        <is>
          <t>(IPCC)</t>
        </is>
      </c>
      <c r="E60" s="226" t="inlineStr">
        <is>
          <t>FAOSTAT item</t>
        </is>
      </c>
      <c r="F60" s="85" t="inlineStr">
        <is>
          <t xml:space="preserve">FAOSTAT </t>
        </is>
      </c>
      <c r="G60" s="96" t="inlineStr">
        <is>
          <t>Yield</t>
        </is>
      </c>
      <c r="H60" s="97" t="inlineStr">
        <is>
          <t xml:space="preserve">Picking defaults </t>
        </is>
      </c>
      <c r="I60" s="97" t="inlineStr">
        <is>
          <t xml:space="preserve">Picking defaults </t>
        </is>
      </c>
      <c r="J60" s="94" t="inlineStr">
        <is>
          <t>AG residues</t>
        </is>
      </c>
      <c r="K60" s="94" t="inlineStr">
        <is>
          <t>to AG biomass</t>
        </is>
      </c>
      <c r="L60" s="122" t="inlineStr">
        <is>
          <t xml:space="preserve">BG residues </t>
        </is>
      </c>
      <c r="M60" s="94" t="inlineStr">
        <is>
          <t xml:space="preserve">of N in </t>
        </is>
      </c>
      <c r="O60" s="113" t="inlineStr">
        <is>
          <t>(IPCC)</t>
        </is>
      </c>
      <c r="P60" s="115" t="inlineStr">
        <is>
          <t>- FAOSTAT</t>
        </is>
      </c>
      <c r="Q60" s="117" t="inlineStr">
        <is>
          <t xml:space="preserve">FAOSTAT </t>
        </is>
      </c>
      <c r="R60" s="117" t="inlineStr">
        <is>
          <t>Yield</t>
        </is>
      </c>
      <c r="S60" s="97" t="inlineStr">
        <is>
          <t xml:space="preserve">Picking defaults </t>
        </is>
      </c>
      <c r="T60" s="97" t="inlineStr">
        <is>
          <t xml:space="preserve">Picking defaults </t>
        </is>
      </c>
      <c r="U60" s="94" t="inlineStr">
        <is>
          <t>AG residues</t>
        </is>
      </c>
      <c r="V60" s="94" t="inlineStr">
        <is>
          <t>to AG biomass</t>
        </is>
      </c>
      <c r="W60" s="94" t="inlineStr">
        <is>
          <t xml:space="preserve">BG residues </t>
        </is>
      </c>
      <c r="X60" s="94" t="inlineStr">
        <is>
          <t xml:space="preserve">of N in </t>
        </is>
      </c>
    </row>
    <row r="61" ht="15" customHeight="1">
      <c r="C61" s="88" t="n"/>
      <c r="D61" s="89" t="n"/>
      <c r="E61" s="95" t="n"/>
      <c r="F61" s="85" t="inlineStr">
        <is>
          <t>Yield</t>
        </is>
      </c>
      <c r="G61" s="96" t="inlineStr">
        <is>
          <t xml:space="preserve">Picking Tier 2 </t>
        </is>
      </c>
      <c r="H61" s="97" t="inlineStr">
        <is>
          <t>or Tier 2 if specified</t>
        </is>
      </c>
      <c r="I61" s="97" t="inlineStr">
        <is>
          <t>or Tier 2 if specified</t>
        </is>
      </c>
      <c r="J61" s="101" t="inlineStr">
        <is>
          <t>for crop T</t>
        </is>
      </c>
      <c r="K61" s="101" t="n"/>
      <c r="L61" s="122" t="inlineStr">
        <is>
          <t>for crop T</t>
        </is>
      </c>
      <c r="M61" s="101" t="inlineStr">
        <is>
          <t>crop residues</t>
        </is>
      </c>
      <c r="O61" s="116" t="n"/>
      <c r="P61" s="115" t="inlineStr">
        <is>
          <t xml:space="preserve"> item</t>
        </is>
      </c>
      <c r="Q61" s="85" t="inlineStr">
        <is>
          <t>Yield</t>
        </is>
      </c>
      <c r="R61" s="85" t="inlineStr">
        <is>
          <t xml:space="preserve">Picking Tier 2 </t>
        </is>
      </c>
      <c r="S61" s="97" t="inlineStr">
        <is>
          <t>or Tier 2 if specified</t>
        </is>
      </c>
      <c r="T61" s="97" t="inlineStr">
        <is>
          <t>or Tier 2 if specified</t>
        </is>
      </c>
      <c r="U61" s="101" t="inlineStr">
        <is>
          <t>for crop T</t>
        </is>
      </c>
      <c r="V61" s="101" t="n"/>
      <c r="W61" s="101" t="inlineStr">
        <is>
          <t>for crop T</t>
        </is>
      </c>
      <c r="X61" s="101" t="inlineStr">
        <is>
          <t>crop residues</t>
        </is>
      </c>
    </row>
    <row r="62" ht="28.5" customHeight="1">
      <c r="C62" s="93" t="n"/>
      <c r="D62" s="91" t="n"/>
      <c r="E62" s="91" t="n"/>
      <c r="F62" s="4441" t="inlineStr">
        <is>
          <t>Average over 5 yrs (2016-2020)</t>
        </is>
      </c>
      <c r="G62" s="96" t="inlineStr">
        <is>
          <t>(if specified)</t>
        </is>
      </c>
      <c r="H62" s="224" t="inlineStr">
        <is>
          <t>Table  11.2 (Updated)</t>
        </is>
      </c>
      <c r="I62" s="224" t="inlineStr">
        <is>
          <t>Table  11.2 (Updated)</t>
        </is>
      </c>
      <c r="J62" s="86" t="inlineStr">
        <is>
          <t>Table 11.1A</t>
        </is>
      </c>
      <c r="K62" s="86" t="inlineStr">
        <is>
          <t>Table 11.1A</t>
        </is>
      </c>
      <c r="L62" s="100" t="inlineStr">
        <is>
          <t>Table 11.1A</t>
        </is>
      </c>
      <c r="M62" s="100" t="inlineStr">
        <is>
          <t>Upated Eq. 11.6</t>
        </is>
      </c>
      <c r="O62" s="113" t="n"/>
      <c r="P62" s="113" t="n"/>
      <c r="Q62" s="83" t="inlineStr">
        <is>
          <t>Average over 5 yrs (2016-2020)</t>
        </is>
      </c>
      <c r="R62" s="85" t="inlineStr">
        <is>
          <t>(if specified)</t>
        </is>
      </c>
      <c r="S62" s="98" t="inlineStr">
        <is>
          <t>Table  11.2 (Updated)</t>
        </is>
      </c>
      <c r="T62" s="98" t="inlineStr">
        <is>
          <t>Table  11.2 (Updated)</t>
        </is>
      </c>
      <c r="U62" s="86" t="inlineStr">
        <is>
          <t>Table 11.1A</t>
        </is>
      </c>
      <c r="V62" s="86" t="inlineStr">
        <is>
          <t>Table 11.1A</t>
        </is>
      </c>
      <c r="W62" s="100" t="inlineStr">
        <is>
          <t>Table 11.1A</t>
        </is>
      </c>
      <c r="X62" s="100" t="inlineStr">
        <is>
          <t>Upated Eq. 11.6</t>
        </is>
      </c>
    </row>
    <row r="63" ht="15" customHeight="1">
      <c r="C63" s="88" t="n"/>
      <c r="D63" s="88" t="n"/>
      <c r="E63" s="93" t="n"/>
      <c r="F63" s="86" t="inlineStr">
        <is>
          <t>kg dm ha-1</t>
        </is>
      </c>
      <c r="G63" s="100" t="inlineStr">
        <is>
          <t>kg dm ha-1</t>
        </is>
      </c>
      <c r="H63" s="86" t="inlineStr">
        <is>
          <t>kg d.m ha-1</t>
        </is>
      </c>
      <c r="I63" s="86" t="inlineStr">
        <is>
          <t>t d.m ha-1</t>
        </is>
      </c>
      <c r="J63" s="86" t="inlineStr">
        <is>
          <t>kg N (kg dm-1)</t>
        </is>
      </c>
      <c r="K63" s="123" t="inlineStr">
        <is>
          <t>kg d.m.ha-1  (kg d.m. ha-1)-1</t>
        </is>
      </c>
      <c r="L63" s="118" t="inlineStr">
        <is>
          <t>kg N (kg dm-1)</t>
        </is>
      </c>
      <c r="M63" s="100" t="inlineStr">
        <is>
          <t>kg N /ha</t>
        </is>
      </c>
      <c r="O63" s="121" t="n"/>
      <c r="P63" s="121" t="n"/>
      <c r="Q63" s="100" t="inlineStr">
        <is>
          <t>kg dm ha-1</t>
        </is>
      </c>
      <c r="R63" s="100" t="inlineStr">
        <is>
          <t>kg dm ha-1</t>
        </is>
      </c>
      <c r="S63" s="86" t="inlineStr">
        <is>
          <t>kg d.m ha-1</t>
        </is>
      </c>
      <c r="T63" s="86" t="inlineStr">
        <is>
          <t>t dm ha-1</t>
        </is>
      </c>
      <c r="U63" s="86" t="inlineStr">
        <is>
          <t>kg N (kg dm-1)</t>
        </is>
      </c>
      <c r="V63" s="123" t="inlineStr">
        <is>
          <t>kg d.m.ha-1  (kg d.m. ha-1)-1</t>
        </is>
      </c>
      <c r="W63" s="118" t="inlineStr">
        <is>
          <t>kg N (kg dm-1)</t>
        </is>
      </c>
      <c r="X63" s="100" t="inlineStr">
        <is>
          <t>kg N /ha</t>
        </is>
      </c>
    </row>
    <row r="64" ht="15" customHeight="1">
      <c r="B64" s="700" t="inlineStr">
        <is>
          <t>Deforestation (FL -&gt; OL)</t>
        </is>
      </c>
      <c r="C64" s="622">
        <f>'3.Cropland'!C14</f>
        <v/>
      </c>
      <c r="D64" s="621">
        <f>'3.Cropland'!E14</f>
        <v/>
      </c>
      <c r="E64" s="623">
        <f>IF($D64&lt;&gt;"Default", CONCATENATE(continent_selected,VLOOKUP($D64, list_region_country!$C$29:$D$46, 2, FALSE)), CONCATENATE(continent_selected,annual!$D$80))</f>
        <v/>
      </c>
      <c r="F64" s="624">
        <f>IFERROR(VLOOKUP(E64,Stats_yield_ton_per_ha!$A$9:$L$289, 12, FALSE)*1000,0)</f>
        <v/>
      </c>
      <c r="G64" s="624">
        <f>IF('3.Cropland'!$M14&lt;&gt;"", '3.Cropland'!$M14*1000, annual!$F64)</f>
        <v/>
      </c>
      <c r="H64" s="625">
        <f>_xlfn.IFNA(IF('3.Cropland'!$BB14 &lt;&gt;"", '3.Cropland'!$BB14 *1000,IF($D64&lt;&gt;"Default",($G64*VLOOKUP($D64,IPCC!$A$8:$C$32,2,FALSE)+VLOOKUP($D64,IPCC!$A$8:$C$32,3,FALSE)),(($G64*VLOOKUP(annual!$D$79,IPCC!$A$8:$C$32,2,FALSE)+VLOOKUP($D$79,IPCC!$A$8:$C$32,3,FALSE))))),0)</f>
        <v/>
      </c>
      <c r="I64" s="625">
        <f>$H64/1000</f>
        <v/>
      </c>
      <c r="J64" s="625">
        <f>IF(OR(D64="Oilseeds",D64="Vegetables"),VLOOKUP($D$79,IPCC!$A$8:$D$34,4,FALSE),IF($D64&lt;&gt;"Default",VLOOKUP($D64,IPCC!$A$8:$D$34,4,FALSE),VLOOKUP($D$79,IPCC!$A$8:$D$34,4,FALSE)))</f>
        <v/>
      </c>
      <c r="K64" s="625">
        <f>IF(OR(D64="Oilseeds",D64="Vegetables"), VLOOKUP($D$79, IPCC!$A$8:$E$34, 5, FALSE),IF($D64&lt;&gt;"Default", VLOOKUP($D64, IPCC!$A$8:$E$34, 5, FALSE), VLOOKUP($D$79, IPCC!$A$8:$E$34, 5, FALSE)))</f>
        <v/>
      </c>
      <c r="L64" s="625">
        <f>IF(OR(D64="Oilseeds",D64="Vegetables"),VLOOKUP($D$79, IPCC!$A$8:$F$34, 6, FALSE),IF($D64&lt;&gt;"Default", VLOOKUP($D64, IPCC!$A$8:$F$34, 6, FALSE), VLOOKUP($D$79, IPCC!$A$8:$F$34, 6, FALSE)))</f>
        <v/>
      </c>
      <c r="M64" s="4674">
        <f>$H64*$J64+(($G64+$H64)*$K64)*$L64</f>
        <v/>
      </c>
      <c r="O64" s="626">
        <f>'3.Cropland'!BH14</f>
        <v/>
      </c>
      <c r="P64" s="4054">
        <f>IFERROR(IF($O64 &lt;&gt;"Default", CONCATENATE(continent_selected,VLOOKUP($O64, list_region_country!$C$29:$D$46, 2, FALSE)), CONCATENATE(continent_selected,annual!$D$80)),0)</f>
        <v/>
      </c>
      <c r="Q64" s="626">
        <f>(VLOOKUP($P64, Stats_yield_ton_per_ha!A2:L289, 12,FALSE )*1000)</f>
        <v/>
      </c>
      <c r="R64" s="626">
        <f>IF('3.Cropland'!$BI14 &lt;&gt; "", '3.Cropland'!$BI14*1000, annual!$Q64)</f>
        <v/>
      </c>
      <c r="S64" s="626">
        <f>_xlfn.IFNA(IF('3.Cropland'!$BL14 &lt;&gt;"", '3.Cropland'!$BL14*1000, IF($O64 &lt;&gt;"Default",($R64 *VLOOKUP($O64,IPCC!$A$8:$C$32,2,FALSE)+VLOOKUP($O64,IPCC!$A$8:$C$32,3,FALSE)),(($R64*VLOOKUP(annual!$D$79,IPCC!$A$8:$C$32,2,FALSE)+VLOOKUP($D$79,IPCC!$A$8:$C$32,3,FALSE))))),0)</f>
        <v/>
      </c>
      <c r="T64" s="626">
        <f>$S64/1000</f>
        <v/>
      </c>
      <c r="U64" s="626">
        <f>IF(OR(O64="Oilseeds",O64="Vegetables"),VLOOKUP($D$79,IPCC!$A$8:$D$34,4,FALSE),IF($O64&lt;&gt;"Default",VLOOKUP($O64,IPCC!$A$8:$D$34,4,FALSE),VLOOKUP($D$79,IPCC!$A$8:$D$34,4,FALSE)))</f>
        <v/>
      </c>
      <c r="V64" s="716">
        <f>IF(OR(O64="Oilseeds",O64="Vegetables"),VLOOKUP($D$79, IPCC!$A$8:$E$34, 5, FALSE),IF($O64 &lt;&gt;"Default", VLOOKUP($O64, IPCC!$A$8:$E$34, 5, FALSE), VLOOKUP($D$79, IPCC!$A$8:$E$34, 5, FALSE)))</f>
        <v/>
      </c>
      <c r="W64" s="626">
        <f>IF(OR(O64="Oilseeds",O64="Vegetables"),VLOOKUP($D$79, IPCC!$A$8:$F$34, 6, FALSE),IF($O64 &lt;&gt;"Default", VLOOKUP($O64, IPCC!$A$8:$F$34, 6, FALSE), VLOOKUP($D$79, IPCC!$A$8:$F$34, 6, FALSE)))</f>
        <v/>
      </c>
      <c r="X64" s="626">
        <f>($S64*$U64+(($R64+$S64)*$V64)*$W64)</f>
        <v/>
      </c>
    </row>
    <row r="65" ht="15" customHeight="1">
      <c r="B65" s="701" t="inlineStr">
        <is>
          <t>Afforestation (OL-&gt; FL)</t>
        </is>
      </c>
      <c r="C65" s="686">
        <f>'3.Cropland'!C15</f>
        <v/>
      </c>
      <c r="D65" s="688">
        <f>'3.Cropland'!E15</f>
        <v/>
      </c>
      <c r="E65" s="688">
        <f>IF($D65&lt;&gt;"Default", CONCATENATE(continent_selected,VLOOKUP($D65, list_region_country!$C$29:$D$46, 2, FALSE)), CONCATENATE(continent_selected,annual!$D$80))</f>
        <v/>
      </c>
      <c r="F65" s="4157">
        <f>IFERROR(VLOOKUP(E65,Stats_yield_ton_per_ha!$A$9:$L$289, 12, FALSE)*1000,0)</f>
        <v/>
      </c>
      <c r="G65" s="4157">
        <f>IF('3.Cropland'!$M15&lt;&gt;"", '3.Cropland'!$M15*1000, annual!$F65)</f>
        <v/>
      </c>
      <c r="H65" s="4158">
        <f>_xlfn.IFNA(IF('3.Cropland'!$BB15 &lt;&gt;"", '3.Cropland'!$BB15 *1000,IF($D65&lt;&gt;"Default",($G65*VLOOKUP($D65,IPCC!$A$8:$C$32,2,FALSE)+VLOOKUP($D65,IPCC!$A$8:$C$32,3,FALSE)),(($G65*VLOOKUP(annual!$D$79,IPCC!$A$8:$C$32,2,FALSE)+VLOOKUP($D$79,IPCC!$A$8:$C$32,3,FALSE))))),0)</f>
        <v/>
      </c>
      <c r="I65" s="4158">
        <f>$H65/1000</f>
        <v/>
      </c>
      <c r="J65" s="4158">
        <f>IF(OR(D65="Oilseeds",D65="Vegetables"),VLOOKUP($D$79,IPCC!$A$8:$D$34,4,FALSE),IF($D65&lt;&gt;"Default",VLOOKUP($D65,IPCC!$A$8:$D$34,4,FALSE),VLOOKUP($D$79,IPCC!$A$8:$D$34,4,FALSE)))</f>
        <v/>
      </c>
      <c r="K65" s="4158">
        <f>IF(OR(D65="Oilseeds",D65="Vegetables"), VLOOKUP($D$79, IPCC!$A$8:$E$34, 5, FALSE),IF($D65&lt;&gt;"Default", VLOOKUP($D65, IPCC!$A$8:$E$34, 5, FALSE), VLOOKUP($D$79, IPCC!$A$8:$E$34, 5, FALSE)))</f>
        <v/>
      </c>
      <c r="L65" s="4158">
        <f>IF(OR(D65="Oilseeds",D65="Vegetables"),VLOOKUP($D$79, IPCC!$A$8:$F$34, 6, FALSE),IF($D65&lt;&gt;"Default", VLOOKUP($D65, IPCC!$A$8:$F$34, 6, FALSE), VLOOKUP($D$79, IPCC!$A$8:$F$34, 6, FALSE)))</f>
        <v/>
      </c>
      <c r="M65" s="4675">
        <f>$H65*$J65+(($G65+$H65)*$K65)*$L65</f>
        <v/>
      </c>
      <c r="O65" s="687">
        <f>'3.Cropland'!BH15</f>
        <v/>
      </c>
      <c r="P65" s="687">
        <f>IFERROR(IF($O65 &lt;&gt;"Default", CONCATENATE(continent_selected,VLOOKUP($O65, list_region_country!$C$29:$D$46, 2, FALSE)), CONCATENATE(continent_selected,annual!$D$80)),0)</f>
        <v/>
      </c>
      <c r="Q65" s="687">
        <f>(VLOOKUP($P65, Stats_yield_ton_per_ha!$A$2:$L$289, 12,FALSE )*1000)</f>
        <v/>
      </c>
      <c r="R65" s="687">
        <f>IF('3.Cropland'!$BI15 &lt;&gt; "", '3.Cropland'!$BI15*1000, annual!$Q65)</f>
        <v/>
      </c>
      <c r="S65" s="687">
        <f>_xlfn.IFNA(IF('3.Cropland'!$BL15&lt;&gt;"", '3.Cropland'!$BL15*1000, IF($O65 &lt;&gt;"Default",($R65 *VLOOKUP($O65,IPCC!$A$8:$C$32,2,FALSE)+VLOOKUP($O65,IPCC!$A$8:$C$32,3,FALSE)),(($R65*VLOOKUP(annual!$D$79,IPCC!$A$8:$C$32,2,FALSE)+VLOOKUP($D$79,IPCC!$A$8:$C$32,3,FALSE))))),0)</f>
        <v/>
      </c>
      <c r="T65" s="687">
        <f>$S65/1000</f>
        <v/>
      </c>
      <c r="U65" s="687">
        <f>IF(OR(O65="Oilseeds",O65="Vegetables"),VLOOKUP($D$79,IPCC!$A$8:$D$34,4,FALSE),IF($O65&lt;&gt;"Default",VLOOKUP($O65,IPCC!$A$8:$D$34,4,FALSE),VLOOKUP($D$79,IPCC!$A$8:$D$34,4,FALSE)))</f>
        <v/>
      </c>
      <c r="V65" s="687">
        <f>IF(OR(O65="Oilseeds",O65="Vegetables"),VLOOKUP($D$79, IPCC!$A$8:$E$34, 5, FALSE),IF($O65 &lt;&gt;"Default", VLOOKUP($O65, IPCC!$A$8:$E$34, 5, FALSE), VLOOKUP($D$79, IPCC!$A$8:$E$34, 5, FALSE)))</f>
        <v/>
      </c>
      <c r="W65" s="687">
        <f>IF(OR(O65="Oilseeds",O65="Vegetables"),VLOOKUP($D$79, IPCC!$A$8:$F$34, 6, FALSE),IF($O65 &lt;&gt;"Default", VLOOKUP($O65, IPCC!$A$8:$F$34, 6, FALSE), VLOOKUP($D$79, IPCC!$A$8:$F$34, 6, FALSE)))</f>
        <v/>
      </c>
      <c r="X65" s="687">
        <f>($S65*$U65+(($R65+$S65)*$V65)*$W65)</f>
        <v/>
      </c>
    </row>
    <row r="66" ht="15" customHeight="1">
      <c r="B66" s="787" t="inlineStr">
        <is>
          <t xml:space="preserve">non-FL converted Annual </t>
        </is>
      </c>
      <c r="C66" s="785">
        <f>'3.Cropland'!C16</f>
        <v/>
      </c>
      <c r="D66" s="790">
        <f>'3.Cropland'!E16</f>
        <v/>
      </c>
      <c r="E66" s="790">
        <f>IF($D66&lt;&gt;"Default", CONCATENATE(continent_selected,VLOOKUP($D66, list_region_country!$C$29:$D$46, 2, FALSE)), CONCATENATE(continent_selected,annual!$D$80))</f>
        <v/>
      </c>
      <c r="F66" s="786">
        <f>IFERROR(VLOOKUP(E66,Stats_yield_ton_per_ha!$A$9:$L$289, 12, FALSE)*1000,0)</f>
        <v/>
      </c>
      <c r="G66" s="786">
        <f>IF('3.Cropland'!$M16&lt;&gt;"", '3.Cropland'!$M16*1000, annual!$F66)</f>
        <v/>
      </c>
      <c r="H66" s="4160">
        <f>_xlfn.IFNA(IF('3.Cropland'!$BB16 &lt;&gt;"", '3.Cropland'!$BB16 *1000,IF($D66&lt;&gt;"Default",($G66*VLOOKUP($D66,IPCC!$A$8:$C$32,2,FALSE)+VLOOKUP($D66,IPCC!$A$8:$C$32,3,FALSE)),(($G66*VLOOKUP(annual!$D$79,IPCC!$A$8:$C$32,2,FALSE)+VLOOKUP($D$79,IPCC!$A$8:$C$32,3,FALSE))))),0)</f>
        <v/>
      </c>
      <c r="I66" s="4160">
        <f>$H66/1000</f>
        <v/>
      </c>
      <c r="J66" s="4160">
        <f>IF(OR(D66="Oilseeds",D66="Vegetables"),VLOOKUP($D$79,IPCC!$A$8:$D$34,4,FALSE),IF($D66&lt;&gt;"Default",VLOOKUP($D66,IPCC!$A$8:$D$34,4,FALSE),VLOOKUP($D$79,IPCC!$A$8:$D$34,4,FALSE)))</f>
        <v/>
      </c>
      <c r="K66" s="4160">
        <f>IF(OR(D66="Oilseeds",D66="Vegetables"), VLOOKUP($D$79, IPCC!$A$8:$E$34, 5, FALSE),IF($D66&lt;&gt;"Default", VLOOKUP($D66, IPCC!$A$8:$E$34, 5, FALSE), VLOOKUP($D$79, IPCC!$A$8:$E$34, 5, FALSE)))</f>
        <v/>
      </c>
      <c r="L66" s="4160">
        <f>IF(OR(D66="Oilseeds",D66="Vegetables"),VLOOKUP($D$79, IPCC!$A$8:$F$34, 6, FALSE),IF($D66&lt;&gt;"Default", VLOOKUP($D66, IPCC!$A$8:$F$34, 6, FALSE), VLOOKUP($D$79, IPCC!$A$8:$F$34, 6, FALSE)))</f>
        <v/>
      </c>
      <c r="M66" s="4676">
        <f>$H66*$J66+(($G66+$H66)*$K66)*$L66</f>
        <v/>
      </c>
      <c r="O66" s="788">
        <f>'3.Cropland'!BH16</f>
        <v/>
      </c>
      <c r="P66" s="788">
        <f>IFERROR(IF($O66 &lt;&gt;"Default", CONCATENATE(continent_selected,VLOOKUP($O66, list_region_country!$C$29:$D$46, 2, FALSE)), CONCATENATE(continent_selected,annual!$D$80)),0)</f>
        <v/>
      </c>
      <c r="Q66" s="788">
        <f>(VLOOKUP($P66, Stats_yield_ton_per_ha!$A$2:$L$289, 12,FALSE )*1000)</f>
        <v/>
      </c>
      <c r="R66" s="788">
        <f>IF('3.Cropland'!$BI16 &lt;&gt; "", '3.Cropland'!$BI16*1000, annual!$Q66)</f>
        <v/>
      </c>
      <c r="S66" s="788">
        <f>_xlfn.IFNA(IF('3.Cropland'!$BL16&lt;&gt;"", '3.Cropland'!$BL16*1000, IF($O66 &lt;&gt;"Default",($R66 *VLOOKUP($O66,IPCC!$A$8:$C$32,2,FALSE)+VLOOKUP($O66,IPCC!$A$8:$C$32,3,FALSE)),(($R66*VLOOKUP(annual!$D$79,IPCC!$A$8:$C$32,2,FALSE)+VLOOKUP($D$79,IPCC!$A$8:$C$32,3,FALSE))))),0)</f>
        <v/>
      </c>
      <c r="T66" s="788">
        <f>$S66/1000</f>
        <v/>
      </c>
      <c r="U66" s="788">
        <f>IF(OR(O66="Oilseeds",O66="Vegetables"),VLOOKUP($D$79,IPCC!$A$8:$D$34,4,FALSE),IF($O66&lt;&gt;"Default",VLOOKUP($O66,IPCC!$A$8:$D$34,4,FALSE),VLOOKUP($D$79,IPCC!$A$8:$D$34,4,FALSE)))</f>
        <v/>
      </c>
      <c r="V66" s="788">
        <f>IF(OR(O66="Oilseeds",O66="Vegetables"),VLOOKUP($D$79, IPCC!$A$8:$E$34, 5, FALSE),IF($O66 &lt;&gt;"Default", VLOOKUP($O66, IPCC!$A$8:$E$34, 5, FALSE), VLOOKUP($D$79, IPCC!$A$8:$E$34, 5, FALSE)))</f>
        <v/>
      </c>
      <c r="W66" s="788">
        <f>IF(OR(O66="Oilseeds",O66="Vegetables"),VLOOKUP($D$79, IPCC!$A$8:$F$34, 6, FALSE),IF($O66 &lt;&gt;"Default", VLOOKUP($O66, IPCC!$A$8:$F$34, 6, FALSE), VLOOKUP($D$79, IPCC!$A$8:$F$34, 6, FALSE)))</f>
        <v/>
      </c>
      <c r="X66" s="788">
        <f>($S66*$U66+(($R66+$S66)*$V66)*$W66)</f>
        <v/>
      </c>
    </row>
    <row r="67" ht="15" customHeight="1">
      <c r="C67" s="186">
        <f>'3.Cropland'!C17</f>
        <v/>
      </c>
      <c r="D67" s="706">
        <f>'3.Cropland'!E17</f>
        <v/>
      </c>
      <c r="E67" s="705">
        <f>IF($D67&lt;&gt;"Default", CONCATENATE(continent_selected,VLOOKUP($D67, list_region_country!$C$29:$D$46, 2, FALSE)), CONCATENATE(continent_selected,annual!$D$80))</f>
        <v/>
      </c>
      <c r="F67" s="826">
        <f>IFERROR(VLOOKUP(E67,Stats_yield_ton_per_ha!$A$9:$L$289, 12, FALSE)*1000,0)</f>
        <v/>
      </c>
      <c r="G67" s="4149">
        <f>IF('3.Cropland'!$M17&lt;&gt;"", '3.Cropland'!$M17*1000, annual!$F67)</f>
        <v/>
      </c>
      <c r="H67" s="4150">
        <f>_xlfn.IFNA(IF('3.Cropland'!$BB17 &lt;&gt;"", '3.Cropland'!$BB17 *1000,IF($D67&lt;&gt;"Default",($G67*VLOOKUP($D67,IPCC!$A$8:$C$32,2,FALSE)+VLOOKUP($D67,IPCC!$A$8:$C$32,3,FALSE)),(($G67*VLOOKUP(annual!$D$79,IPCC!$A$8:$C$32,2,FALSE)+VLOOKUP($D$79,IPCC!$A$8:$C$32,3,FALSE))))),0)</f>
        <v/>
      </c>
      <c r="I67" s="4150">
        <f>$H67/1000</f>
        <v/>
      </c>
      <c r="J67" s="4150">
        <f>IF(OR(D67="Oilseeds",D67="Vegetables"),VLOOKUP($D$79,IPCC!$A$8:$D$34,4,FALSE),IF($D67&lt;&gt;"Default",VLOOKUP($D67,IPCC!$A$8:$D$34,4,FALSE),VLOOKUP($D$79,IPCC!$A$8:$D$34,4,FALSE)))</f>
        <v/>
      </c>
      <c r="K67" s="4150">
        <f>IF(OR(D67="Oilseeds",D67="Vegetables"), VLOOKUP($D$79, IPCC!$A$8:$E$34, 5, FALSE),IF($D67&lt;&gt;"Default", VLOOKUP($D67, IPCC!$A$8:$E$34, 5, FALSE), VLOOKUP($D$79, IPCC!$A$8:$E$34, 5, FALSE)))</f>
        <v/>
      </c>
      <c r="L67" s="4150">
        <f>IF(OR(D67="Oilseeds",D67="Vegetables"),VLOOKUP($D$79, IPCC!$A$8:$F$34, 6, FALSE),IF($D67&lt;&gt;"Default", VLOOKUP($D67, IPCC!$A$8:$F$34, 6, FALSE), VLOOKUP($D$79, IPCC!$A$8:$F$34, 6, FALSE)))</f>
        <v/>
      </c>
      <c r="M67" s="4677">
        <f>$H67*$J67+(($G67+$H67)*$K67)*$L67</f>
        <v/>
      </c>
      <c r="O67" s="703">
        <f>'3.Cropland'!BH17</f>
        <v/>
      </c>
      <c r="P67" s="703">
        <f>IFERROR(IF($O67 &lt;&gt;"Default", CONCATENATE(continent_selected,VLOOKUP($O67, list_region_country!$C$29:$D$46, 2, FALSE)), CONCATENATE(continent_selected,annual!$D$80)),0)</f>
        <v/>
      </c>
      <c r="Q67" s="703">
        <f>(VLOOKUP($P67, Stats_yield_ton_per_ha!$A$2:$L$289, 12,FALSE )*1000)</f>
        <v/>
      </c>
      <c r="R67" s="703">
        <f>IF('3.Cropland'!$BI17 &lt;&gt; "", '3.Cropland'!$BI17*1000, annual!$Q67)</f>
        <v/>
      </c>
      <c r="S67" s="703">
        <f>_xlfn.IFNA(IF('3.Cropland'!$BL17&lt;&gt;"", '3.Cropland'!$BL17*1000, IF($O67 &lt;&gt;"Default",($R67 *VLOOKUP($O67,IPCC!$A$8:$C$32,2,FALSE)+VLOOKUP($O67,IPCC!$A$8:$C$32,3,FALSE)),(($R67*VLOOKUP(annual!$D$79,IPCC!$A$8:$C$32,2,FALSE)+VLOOKUP($D$79,IPCC!$A$8:$C$32,3,FALSE))))),0)</f>
        <v/>
      </c>
      <c r="T67" s="703">
        <f>$S67/1000</f>
        <v/>
      </c>
      <c r="U67" s="703">
        <f>IF(OR(O67="Oilseeds",O67="Vegetables"),VLOOKUP($D$79,IPCC!$A$8:$D$34,4,FALSE),IF($O67&lt;&gt;"Default",VLOOKUP($O67,IPCC!$A$8:$D$34,4,FALSE),VLOOKUP($D$79,IPCC!$A$8:$D$34,4,FALSE)))</f>
        <v/>
      </c>
      <c r="V67" s="703">
        <f>IF(OR(O67="Oilseeds",O67="Vegetables"),VLOOKUP($D$79, IPCC!$A$8:$E$34, 5, FALSE),IF($O67 &lt;&gt;"Default", VLOOKUP($O67, IPCC!$A$8:$E$34, 5, FALSE), VLOOKUP($D$79, IPCC!$A$8:$E$34, 5, FALSE)))</f>
        <v/>
      </c>
      <c r="W67" s="703">
        <f>IF(OR(O67="Oilseeds",O67="Vegetables"),VLOOKUP($D$79, IPCC!$A$8:$F$34, 6, FALSE),IF($O67 &lt;&gt;"Default", VLOOKUP($O67, IPCC!$A$8:$F$34, 6, FALSE), VLOOKUP($D$79, IPCC!$A$8:$F$34, 6, FALSE)))</f>
        <v/>
      </c>
      <c r="X67" s="703">
        <f>($S67*$U67+(($R67+$S67)*$V67)*$W67)</f>
        <v/>
      </c>
    </row>
    <row r="68" ht="15" customHeight="1">
      <c r="C68" s="862">
        <f>C16</f>
        <v/>
      </c>
      <c r="D68" s="711">
        <f>'3.Cropland'!E25</f>
        <v/>
      </c>
      <c r="E68" s="702">
        <f>IF(D68&lt;&gt;"Default", CONCATENATE(continent_selected,VLOOKUP(D68, list_region_country!$C$29:$D$46, 2, FALSE)), CONCATENATE(continent_selected,annual!$D$80))</f>
        <v/>
      </c>
      <c r="F68" s="4444">
        <f>IFERROR(VLOOKUP(E68,Stats_yield_ton_per_ha!$A$9:$L$289, 12, FALSE)*1000,0)</f>
        <v/>
      </c>
      <c r="G68" s="4163">
        <f>IF('3.Cropland'!$M25&lt;&gt;"", '3.Cropland'!$M25*1000, annual!$F68)</f>
        <v/>
      </c>
      <c r="H68" s="4164">
        <f>_xlfn.IFNA(IF('3.Cropland'!$BB25 &lt;&gt;"", '3.Cropland'!$BB25 *1000,IF($D68&lt;&gt;"Default",($G68*VLOOKUP($D68,IPCC!$A$8:$C$32,2,FALSE)+VLOOKUP($D68,IPCC!$A$8:$C$32,3,FALSE)),(($G68*VLOOKUP(annual!$D$79,IPCC!$A$8:$C$32,2,FALSE)+VLOOKUP($D$79,IPCC!$A$8:$C$32,3,FALSE))))),0)</f>
        <v/>
      </c>
      <c r="I68" s="4446">
        <f>$H68/1000</f>
        <v/>
      </c>
      <c r="J68" s="4446">
        <f>IF(OR(D68="Oilseeds",D68="Vegetables"),VLOOKUP($D$79,IPCC!$A$8:$D$34,4,FALSE),IF($D68&lt;&gt;"Default",VLOOKUP($D68,IPCC!$A$8:$D$34,4,FALSE),VLOOKUP($D$79,IPCC!$A$8:$D$34,4,FALSE)))</f>
        <v/>
      </c>
      <c r="K68" s="4446">
        <f>IF(OR(D68="Oilseeds",D68="Vegetables"), VLOOKUP($D$79, IPCC!$A$8:$E$34, 5, FALSE),IF($D68&lt;&gt;"Default", VLOOKUP($D68, IPCC!$A$8:$E$34, 5, FALSE), VLOOKUP($D$79, IPCC!$A$8:$E$34, 5, FALSE)))</f>
        <v/>
      </c>
      <c r="L68" s="4164">
        <f>IF(OR(D68="Oilseeds",D68="Vegetables"),VLOOKUP($D$79, IPCC!$A$8:$F$34, 6, FALSE),IF($D68&lt;&gt;"Default", VLOOKUP($D68, IPCC!$A$8:$F$34, 6, FALSE), VLOOKUP($D$79, IPCC!$A$8:$F$34, 6, FALSE)))</f>
        <v/>
      </c>
      <c r="M68" s="4678">
        <f>$H68*$J68+(($G68+$H68)*$K68)*$L68</f>
        <v/>
      </c>
      <c r="N68" s="231" t="n"/>
      <c r="O68" s="4679">
        <f>'3.Cropland'!$BH25</f>
        <v/>
      </c>
      <c r="P68" s="4679">
        <f>IFERROR(IF($O68 &lt;&gt;"Default", CONCATENATE(continent_selected,VLOOKUP($O68, list_region_country!$C$29:$D$46, 2, FALSE)), CONCATENATE(continent_selected,annual!$D$80)),0)</f>
        <v/>
      </c>
      <c r="Q68" s="4679">
        <f>(VLOOKUP($P68, Stats_yield_ton_per_ha!$A$2:$L$289, 12,FALSE )*1000)</f>
        <v/>
      </c>
      <c r="R68" s="4679">
        <f>IF('3.Cropland'!$BI25&lt;&gt; "", '3.Cropland'!$BI25*1000, annual!$Q68)</f>
        <v/>
      </c>
      <c r="S68" s="4679">
        <f>_xlfn.IFNA(IF('3.Cropland'!$BL25 &lt;&gt;"", '3.Cropland'!$BL25*1000, IF($O68&lt;&gt;"Default",($R68*VLOOKUP($O68,IPCC!$A$8:$C$32,2,FALSE)+VLOOKUP($O68,IPCC!$A$8:$C$32,3,FALSE)),(($R68*VLOOKUP(annual!$D$79,IPCC!$A$8:$C$32,2,FALSE)+VLOOKUP($D$79,IPCC!$A$8:$C$32,3,FALSE))))),0)</f>
        <v/>
      </c>
      <c r="T68" s="4679">
        <f>$S68/1000</f>
        <v/>
      </c>
      <c r="U68" s="4679">
        <f>IF(OR(O68="Oilseeds",O68="Vegetables"),VLOOKUP($D$79,IPCC!$A$8:$D$34,4,FALSE),IF($O68&lt;&gt;"Default",VLOOKUP($O68,IPCC!$A$8:$D$34,4,FALSE),VLOOKUP($D$79,IPCC!$A$8:$D$34,4,FALSE)))</f>
        <v/>
      </c>
      <c r="V68" s="4679">
        <f>IF(OR(O68="Oilseeds",O68="Vegetables"),VLOOKUP($D$79, IPCC!$A$8:$E$34, 5, FALSE),IF($O68 &lt;&gt;"Default", VLOOKUP($O68, IPCC!$A$8:$E$34, 5, FALSE), VLOOKUP($D$79, IPCC!$A$8:$E$34, 5, FALSE)))</f>
        <v/>
      </c>
      <c r="W68" s="4679">
        <f>IF(OR(O68="Oilseeds",O68="Vegetables"),VLOOKUP($D$79, IPCC!$A$8:$F$34, 6, FALSE),IF($O68 &lt;&gt;"Default", VLOOKUP($O68, IPCC!$A$8:$F$34, 6, FALSE), VLOOKUP($D$79, IPCC!$A$8:$F$34, 6, FALSE)))</f>
        <v/>
      </c>
      <c r="X68" s="709">
        <f>($S68*$U68+(($R68+$S68)*$V68)*$W68)</f>
        <v/>
      </c>
    </row>
    <row r="69" ht="15" customHeight="1">
      <c r="C69" s="862">
        <f>C17</f>
        <v/>
      </c>
      <c r="D69" s="711">
        <f>'3.Cropland'!E26</f>
        <v/>
      </c>
      <c r="E69" s="703">
        <f>IF(D69&lt;&gt;"Default", CONCATENATE(continent_selected,VLOOKUP(D69, list_region_country!$C$29:$D$46, 2, FALSE)), CONCATENATE(continent_selected,annual!$D$80))</f>
        <v/>
      </c>
      <c r="F69" s="4444">
        <f>IFERROR(VLOOKUP(E69,Stats_yield_ton_per_ha!$A$9:$L$289, 12, FALSE)*1000,0)</f>
        <v/>
      </c>
      <c r="G69" s="4149">
        <f>IF('3.Cropland'!$M26&lt;&gt;"", '3.Cropland'!$M26*1000, annual!$F69)</f>
        <v/>
      </c>
      <c r="H69" s="4165">
        <f>_xlfn.IFNA(IF('3.Cropland'!$BB26 &lt;&gt;"", '3.Cropland'!$BB26 *1000,IF($D69&lt;&gt;"Default",($G69*VLOOKUP($D69,IPCC!$A$8:$C$32,2,FALSE)+VLOOKUP($D69,IPCC!$A$8:$C$32,3,FALSE)),(($G69*VLOOKUP(annual!$D$79,IPCC!$A$8:$C$32,2,FALSE)+VLOOKUP($D$79,IPCC!$A$8:$C$32,3,FALSE))))),0)</f>
        <v/>
      </c>
      <c r="I69" s="4447">
        <f>$H69/1000</f>
        <v/>
      </c>
      <c r="J69" s="4447">
        <f>IF(OR(D69="Oilseeds",D69="Vegetables"),VLOOKUP($D$79,IPCC!$A$8:$D$34,4,FALSE),IF($D69&lt;&gt;"Default",VLOOKUP($D69,IPCC!$A$8:$D$34,4,FALSE),VLOOKUP($D$79,IPCC!$A$8:$D$34,4,FALSE)))</f>
        <v/>
      </c>
      <c r="K69" s="4447">
        <f>IF(OR(D69="Oilseeds",D69="Vegetables"), VLOOKUP($D$79, IPCC!$A$8:$E$34, 5, FALSE),IF($D69&lt;&gt;"Default", VLOOKUP($D69, IPCC!$A$8:$E$34, 5, FALSE), VLOOKUP($D$79, IPCC!$A$8:$E$34, 5, FALSE)))</f>
        <v/>
      </c>
      <c r="L69" s="4165">
        <f>IF(OR(D69="Oilseeds",D69="Vegetables"),VLOOKUP($D$79, IPCC!$A$8:$F$34, 6, FALSE),IF($D69&lt;&gt;"Default", VLOOKUP($D69, IPCC!$A$8:$F$34, 6, FALSE), VLOOKUP($D$79, IPCC!$A$8:$F$34, 6, FALSE)))</f>
        <v/>
      </c>
      <c r="M69" s="4680">
        <f>$H69*$J69+(($G69+$H69)*$K69)*$L69</f>
        <v/>
      </c>
      <c r="O69" s="4681">
        <f>'3.Cropland'!$BH26</f>
        <v/>
      </c>
      <c r="P69" s="4681">
        <f>IFERROR(IF($O69 &lt;&gt;"Default", CONCATENATE(continent_selected,VLOOKUP($O69, list_region_country!$C$29:$D$46, 2, FALSE)), CONCATENATE(continent_selected,annual!$D$80)),0)</f>
        <v/>
      </c>
      <c r="Q69" s="4681">
        <f>(VLOOKUP($P69, Stats_yield_ton_per_ha!$A$2:$L$289, 12,FALSE )*1000)</f>
        <v/>
      </c>
      <c r="R69" s="4681">
        <f>IF('3.Cropland'!$BI26&lt;&gt; "", '3.Cropland'!$BI26*1000, annual!$Q69)</f>
        <v/>
      </c>
      <c r="S69" s="4681">
        <f>_xlfn.IFNA(IF('3.Cropland'!$BL26 &lt;&gt;"", '3.Cropland'!$BL26*1000, IF($O69&lt;&gt;"Default",($R69*VLOOKUP($O69,IPCC!$A$8:$C$32,2,FALSE)+VLOOKUP($O69,IPCC!$A$8:$C$32,3,FALSE)),(($R69*VLOOKUP(annual!$D$79,IPCC!$A$8:$C$32,2,FALSE)+VLOOKUP($D$79,IPCC!$A$8:$C$32,3,FALSE))))),0)</f>
        <v/>
      </c>
      <c r="T69" s="4681">
        <f>$S69/1000</f>
        <v/>
      </c>
      <c r="U69" s="4681">
        <f>IF(OR(O69="Oilseeds",O69="Vegetables"),VLOOKUP($D$79,IPCC!$A$8:$D$34,4,FALSE),IF($O69&lt;&gt;"Default",VLOOKUP($O69,IPCC!$A$8:$D$34,4,FALSE),VLOOKUP($D$79,IPCC!$A$8:$D$34,4,FALSE)))</f>
        <v/>
      </c>
      <c r="V69" s="4681">
        <f>IF(OR(O69="Oilseeds",O69="Vegetables"),VLOOKUP($D$79, IPCC!$A$8:$E$34, 5, FALSE),IF($O69 &lt;&gt;"Default", VLOOKUP($O69, IPCC!$A$8:$E$34, 5, FALSE), VLOOKUP($D$79, IPCC!$A$8:$E$34, 5, FALSE)))</f>
        <v/>
      </c>
      <c r="W69" s="4681">
        <f>IF(OR(O69="Oilseeds",O69="Vegetables"),VLOOKUP($D$79, IPCC!$A$8:$F$34, 6, FALSE),IF($O69 &lt;&gt;"Default", VLOOKUP($O69, IPCC!$A$8:$F$34, 6, FALSE), VLOOKUP($D$79, IPCC!$A$8:$F$34, 6, FALSE)))</f>
        <v/>
      </c>
      <c r="X69" s="712">
        <f>($S69*$U69+(($R69+$S69)*$V69)*$W69)</f>
        <v/>
      </c>
    </row>
    <row r="70" ht="15" customHeight="1">
      <c r="C70" s="862">
        <f>C18</f>
        <v/>
      </c>
      <c r="D70" s="711">
        <f>'3.Cropland'!E27</f>
        <v/>
      </c>
      <c r="E70" s="703">
        <f>IF(D70&lt;&gt;"Default", CONCATENATE(continent_selected,VLOOKUP(D70, list_region_country!$C$29:$D$46, 2, FALSE)), CONCATENATE(continent_selected,annual!$D$80))</f>
        <v/>
      </c>
      <c r="F70" s="4444">
        <f>IFERROR(VLOOKUP(E70,Stats_yield_ton_per_ha!$A$9:$L$289, 12, FALSE)*1000,0)</f>
        <v/>
      </c>
      <c r="G70" s="4149">
        <f>IF('3.Cropland'!$M27&lt;&gt;"", '3.Cropland'!$M27*1000, annual!$F70)</f>
        <v/>
      </c>
      <c r="H70" s="4165">
        <f>_xlfn.IFNA(IF('3.Cropland'!$BB27 &lt;&gt;"", '3.Cropland'!$BB27 *1000,IF($D70&lt;&gt;"Default",($G70*VLOOKUP($D70,IPCC!$A$8:$C$32,2,FALSE)+VLOOKUP($D70,IPCC!$A$8:$C$32,3,FALSE)),(($G70*VLOOKUP(annual!$D$79,IPCC!$A$8:$C$32,2,FALSE)+VLOOKUP($D$79,IPCC!$A$8:$C$32,3,FALSE))))),0)</f>
        <v/>
      </c>
      <c r="I70" s="4447">
        <f>$H70/1000</f>
        <v/>
      </c>
      <c r="J70" s="4447">
        <f>IF(OR(D70="Oilseeds",D70="Vegetables"),VLOOKUP($D$79,IPCC!$A$8:$D$34,4,FALSE),IF($D70&lt;&gt;"Default",VLOOKUP($D70,IPCC!$A$8:$D$34,4,FALSE),VLOOKUP($D$79,IPCC!$A$8:$D$34,4,FALSE)))</f>
        <v/>
      </c>
      <c r="K70" s="4447">
        <f>IF(OR(D70="Oilseeds",D70="Vegetables"), VLOOKUP($D$79, IPCC!$A$8:$E$34, 5, FALSE),IF($D70&lt;&gt;"Default", VLOOKUP($D70, IPCC!$A$8:$E$34, 5, FALSE), VLOOKUP($D$79, IPCC!$A$8:$E$34, 5, FALSE)))</f>
        <v/>
      </c>
      <c r="L70" s="4165">
        <f>IF(OR(D70="Oilseeds",D70="Vegetables"),VLOOKUP($D$79, IPCC!$A$8:$F$34, 6, FALSE),IF($D70&lt;&gt;"Default", VLOOKUP($D70, IPCC!$A$8:$F$34, 6, FALSE), VLOOKUP($D$79, IPCC!$A$8:$F$34, 6, FALSE)))</f>
        <v/>
      </c>
      <c r="M70" s="4680">
        <f>$H70*$J70+(($G70+$H70)*$K70)*$L70</f>
        <v/>
      </c>
      <c r="O70" s="4681">
        <f>'3.Cropland'!$BH27</f>
        <v/>
      </c>
      <c r="P70" s="4681">
        <f>IFERROR(IF($O70 &lt;&gt;"Default", CONCATENATE(continent_selected,VLOOKUP($O70, list_region_country!$C$29:$D$46, 2, FALSE)), CONCATENATE(continent_selected,annual!$D$80)),0)</f>
        <v/>
      </c>
      <c r="Q70" s="4681">
        <f>(VLOOKUP($P70, Stats_yield_ton_per_ha!$A$2:$L$289, 12,FALSE )*1000)</f>
        <v/>
      </c>
      <c r="R70" s="4681">
        <f>IF('3.Cropland'!$BI27&lt;&gt; "", '3.Cropland'!$BI27*1000, annual!$Q70)</f>
        <v/>
      </c>
      <c r="S70" s="4681">
        <f>_xlfn.IFNA(IF('3.Cropland'!$BL27 &lt;&gt;"", '3.Cropland'!$BL27*1000, IF($O70&lt;&gt;"Default",($R70*VLOOKUP($O70,IPCC!$A$8:$C$32,2,FALSE)+VLOOKUP($O70,IPCC!$A$8:$C$32,3,FALSE)),(($R70*VLOOKUP(annual!$D$79,IPCC!$A$8:$C$32,2,FALSE)+VLOOKUP($D$79,IPCC!$A$8:$C$32,3,FALSE))))),0)</f>
        <v/>
      </c>
      <c r="T70" s="4681">
        <f>$S70/1000</f>
        <v/>
      </c>
      <c r="U70" s="4681">
        <f>IF(OR(O70="Oilseeds",O70="Vegetables"),VLOOKUP($D$79,IPCC!$A$8:$D$34,4,FALSE),IF($O70&lt;&gt;"Default",VLOOKUP($O70,IPCC!$A$8:$D$34,4,FALSE),VLOOKUP($D$79,IPCC!$A$8:$D$34,4,FALSE)))</f>
        <v/>
      </c>
      <c r="V70" s="4681">
        <f>IF(OR(O70="Oilseeds",O70="Vegetables"),VLOOKUP($D$79, IPCC!$A$8:$E$34, 5, FALSE),IF($O70 &lt;&gt;"Default", VLOOKUP($O70, IPCC!$A$8:$E$34, 5, FALSE), VLOOKUP($D$79, IPCC!$A$8:$E$34, 5, FALSE)))</f>
        <v/>
      </c>
      <c r="W70" s="4681">
        <f>IF(OR(O70="Oilseeds",O70="Vegetables"),VLOOKUP($D$79, IPCC!$A$8:$F$34, 6, FALSE),IF($O70 &lt;&gt;"Default", VLOOKUP($O70, IPCC!$A$8:$F$34, 6, FALSE), VLOOKUP($D$79, IPCC!$A$8:$F$34, 6, FALSE)))</f>
        <v/>
      </c>
      <c r="X70" s="712">
        <f>($S70*$U70+(($R70+$S70)*$V70)*$W70)</f>
        <v/>
      </c>
    </row>
    <row r="71" ht="15" customHeight="1">
      <c r="C71" s="863">
        <f>C19</f>
        <v/>
      </c>
      <c r="D71" s="851">
        <f>'3.Cropland'!E28</f>
        <v/>
      </c>
      <c r="E71" s="703">
        <f>IF(D71&lt;&gt;"Default", CONCATENATE(continent_selected,VLOOKUP(D71, list_region_country!$C$29:$D$46, 2, FALSE)), CONCATENATE(continent_selected,annual!$D$80))</f>
        <v/>
      </c>
      <c r="F71" s="4444">
        <f>IFERROR(VLOOKUP(E71,Stats_yield_ton_per_ha!$A$9:$L$289, 12, FALSE)*1000,0)</f>
        <v/>
      </c>
      <c r="G71" s="4149">
        <f>IF('3.Cropland'!$M28&lt;&gt;"", '3.Cropland'!$M28*1000, annual!$F71)</f>
        <v/>
      </c>
      <c r="H71" s="4165">
        <f>_xlfn.IFNA(IF('3.Cropland'!$BB28 &lt;&gt;"", '3.Cropland'!$BB28 *1000,IF($D71&lt;&gt;"Default",($G71*VLOOKUP($D71,IPCC!$A$8:$C$32,2,FALSE)+VLOOKUP($D71,IPCC!$A$8:$C$32,3,FALSE)),(($G71*VLOOKUP(annual!$D$79,IPCC!$A$8:$C$32,2,FALSE)+VLOOKUP($D$79,IPCC!$A$8:$C$32,3,FALSE))))),0)</f>
        <v/>
      </c>
      <c r="I71" s="4447">
        <f>$H71/1000</f>
        <v/>
      </c>
      <c r="J71" s="4447">
        <f>IF(OR(D71="Oilseeds",D71="Vegetables"),VLOOKUP($D$79,IPCC!$A$8:$D$34,4,FALSE),IF($D71&lt;&gt;"Default",VLOOKUP($D71,IPCC!$A$8:$D$34,4,FALSE),VLOOKUP($D$79,IPCC!$A$8:$D$34,4,FALSE)))</f>
        <v/>
      </c>
      <c r="K71" s="4447">
        <f>IF(OR(D71="Oilseeds",D71="Vegetables"), VLOOKUP($D$79, IPCC!$A$8:$E$34, 5, FALSE),IF($D71&lt;&gt;"Default", VLOOKUP($D71, IPCC!$A$8:$E$34, 5, FALSE), VLOOKUP($D$79, IPCC!$A$8:$E$34, 5, FALSE)))</f>
        <v/>
      </c>
      <c r="L71" s="4165">
        <f>IF(OR(D71="Oilseeds",D71="Vegetables"),VLOOKUP($D$79, IPCC!$A$8:$F$34, 6, FALSE),IF($D71&lt;&gt;"Default", VLOOKUP($D71, IPCC!$A$8:$F$34, 6, FALSE), VLOOKUP($D$79, IPCC!$A$8:$F$34, 6, FALSE)))</f>
        <v/>
      </c>
      <c r="M71" s="4680">
        <f>$H71*$J71+(($G71+$H71)*$K71)*$L71</f>
        <v/>
      </c>
      <c r="O71" s="4681">
        <f>'3.Cropland'!$BH28</f>
        <v/>
      </c>
      <c r="P71" s="4681">
        <f>IFERROR(IF($O71 &lt;&gt;"Default", CONCATENATE(continent_selected,VLOOKUP($O71, list_region_country!$C$29:$D$46, 2, FALSE)), CONCATENATE(continent_selected,annual!$D$80)),0)</f>
        <v/>
      </c>
      <c r="Q71" s="4681">
        <f>(VLOOKUP($P71, Stats_yield_ton_per_ha!$A$2:$L$289, 12,FALSE )*1000)</f>
        <v/>
      </c>
      <c r="R71" s="4681">
        <f>IF('3.Cropland'!$BI28&lt;&gt; "", '3.Cropland'!$BI28*1000, annual!$Q71)</f>
        <v/>
      </c>
      <c r="S71" s="4681">
        <f>_xlfn.IFNA(IF('3.Cropland'!$BL28 &lt;&gt;"", '3.Cropland'!$BL28*1000, IF($O71&lt;&gt;"Default",($R71*VLOOKUP($O71,IPCC!$A$8:$C$32,2,FALSE)+VLOOKUP($O71,IPCC!$A$8:$C$32,3,FALSE)),(($R71*VLOOKUP(annual!$D$79,IPCC!$A$8:$C$32,2,FALSE)+VLOOKUP($D$79,IPCC!$A$8:$C$32,3,FALSE))))),0)</f>
        <v/>
      </c>
      <c r="T71" s="4681">
        <f>$S71/1000</f>
        <v/>
      </c>
      <c r="U71" s="4681">
        <f>IF(OR(O71="Oilseeds",O71="Vegetables"),VLOOKUP($D$79,IPCC!$A$8:$D$34,4,FALSE),IF($O71&lt;&gt;"Default",VLOOKUP($O71,IPCC!$A$8:$D$34,4,FALSE),VLOOKUP($D$79,IPCC!$A$8:$D$34,4,FALSE)))</f>
        <v/>
      </c>
      <c r="V71" s="4681">
        <f>IF(OR(O71="Oilseeds",O71="Vegetables"),VLOOKUP($D$79, IPCC!$A$8:$E$34, 5, FALSE),IF($O71 &lt;&gt;"Default", VLOOKUP($O71, IPCC!$A$8:$E$34, 5, FALSE), VLOOKUP($D$79, IPCC!$A$8:$E$34, 5, FALSE)))</f>
        <v/>
      </c>
      <c r="W71" s="4681">
        <f>IF(OR(O71="Oilseeds",O71="Vegetables"),VLOOKUP($D$79, IPCC!$A$8:$F$34, 6, FALSE),IF($O71 &lt;&gt;"Default", VLOOKUP($O71, IPCC!$A$8:$F$34, 6, FALSE), VLOOKUP($D$79, IPCC!$A$8:$F$34, 6, FALSE)))</f>
        <v/>
      </c>
      <c r="X71" s="712">
        <f>($S71*$U71+(($R71+$S71)*$V71)*$W71)</f>
        <v/>
      </c>
    </row>
    <row r="72" ht="15" customHeight="1">
      <c r="C72" s="863">
        <f>C20</f>
        <v/>
      </c>
      <c r="D72" s="851">
        <f>'3.Cropland'!E29</f>
        <v/>
      </c>
      <c r="E72" s="703">
        <f>IF(D72&lt;&gt;"Default", CONCATENATE(continent_selected,VLOOKUP(D72, list_region_country!$C$29:$D$46, 2, FALSE)), CONCATENATE(continent_selected,annual!$D$80))</f>
        <v/>
      </c>
      <c r="F72" s="4444">
        <f>IFERROR(VLOOKUP(E72,Stats_yield_ton_per_ha!$A$9:$L$289, 12, FALSE)*1000,0)</f>
        <v/>
      </c>
      <c r="G72" s="4149">
        <f>IF('3.Cropland'!$M29&lt;&gt;"", '3.Cropland'!$M29*1000, annual!$F72)</f>
        <v/>
      </c>
      <c r="H72" s="4165">
        <f>_xlfn.IFNA(IF('3.Cropland'!$BB29 &lt;&gt;"", '3.Cropland'!$BB29 *1000,IF($D72&lt;&gt;"Default",($G72*VLOOKUP($D72,IPCC!$A$8:$C$32,2,FALSE)+VLOOKUP($D72,IPCC!$A$8:$C$32,3,FALSE)),(($G72*VLOOKUP(annual!$D$79,IPCC!$A$8:$C$32,2,FALSE)+VLOOKUP($D$79,IPCC!$A$8:$C$32,3,FALSE))))),0)</f>
        <v/>
      </c>
      <c r="I72" s="4447">
        <f>$H72/1000</f>
        <v/>
      </c>
      <c r="J72" s="4447">
        <f>IF(OR(D72="Oilseeds",D72="Vegetables"),VLOOKUP($D$79,IPCC!$A$8:$D$34,4,FALSE),IF($D72&lt;&gt;"Default",VLOOKUP($D72,IPCC!$A$8:$D$34,4,FALSE),VLOOKUP($D$79,IPCC!$A$8:$D$34,4,FALSE)))</f>
        <v/>
      </c>
      <c r="K72" s="4447">
        <f>IF(OR(D72="Oilseeds",D72="Vegetables"), VLOOKUP($D$79, IPCC!$A$8:$E$34, 5, FALSE),IF($D72&lt;&gt;"Default", VLOOKUP($D72, IPCC!$A$8:$E$34, 5, FALSE), VLOOKUP($D$79, IPCC!$A$8:$E$34, 5, FALSE)))</f>
        <v/>
      </c>
      <c r="L72" s="4165">
        <f>IF(OR(D72="Oilseeds",D72="Vegetables"),VLOOKUP($D$79, IPCC!$A$8:$F$34, 6, FALSE),IF($D72&lt;&gt;"Default", VLOOKUP($D72, IPCC!$A$8:$F$34, 6, FALSE), VLOOKUP($D$79, IPCC!$A$8:$F$34, 6, FALSE)))</f>
        <v/>
      </c>
      <c r="M72" s="4680">
        <f>$H72*$J72+(($G72+$H72)*$K72)*$L72</f>
        <v/>
      </c>
      <c r="O72" s="4681">
        <f>'3.Cropland'!$BH29</f>
        <v/>
      </c>
      <c r="P72" s="4681">
        <f>IFERROR(IF($O72 &lt;&gt;"Default", CONCATENATE(continent_selected,VLOOKUP($O72, list_region_country!$C$29:$D$46, 2, FALSE)), CONCATENATE(continent_selected,annual!$D$80)),0)</f>
        <v/>
      </c>
      <c r="Q72" s="4681">
        <f>(VLOOKUP($P72, Stats_yield_ton_per_ha!$A$2:$L$289, 12,FALSE )*1000)</f>
        <v/>
      </c>
      <c r="R72" s="4681">
        <f>IF('3.Cropland'!$BI29&lt;&gt; "", '3.Cropland'!$BI29*1000, annual!$Q72)</f>
        <v/>
      </c>
      <c r="S72" s="4681">
        <f>_xlfn.IFNA(IF('3.Cropland'!$BL29 &lt;&gt;"", '3.Cropland'!$BL29*1000, IF($O72&lt;&gt;"Default",($R72*VLOOKUP($O72,IPCC!$A$8:$C$32,2,FALSE)+VLOOKUP($O72,IPCC!$A$8:$C$32,3,FALSE)),(($R72*VLOOKUP(annual!$D$79,IPCC!$A$8:$C$32,2,FALSE)+VLOOKUP($D$79,IPCC!$A$8:$C$32,3,FALSE))))),0)</f>
        <v/>
      </c>
      <c r="T72" s="4681">
        <f>$S72/1000</f>
        <v/>
      </c>
      <c r="U72" s="4681">
        <f>IF(OR(O72="Oilseeds",O72="Vegetables"),VLOOKUP($D$79,IPCC!$A$8:$D$34,4,FALSE),IF($O72&lt;&gt;"Default",VLOOKUP($O72,IPCC!$A$8:$D$34,4,FALSE),VLOOKUP($D$79,IPCC!$A$8:$D$34,4,FALSE)))</f>
        <v/>
      </c>
      <c r="V72" s="4681">
        <f>IF(OR(O72="Oilseeds",O72="Vegetables"),VLOOKUP($D$79, IPCC!$A$8:$E$34, 5, FALSE),IF($O72 &lt;&gt;"Default", VLOOKUP($O72, IPCC!$A$8:$E$34, 5, FALSE), VLOOKUP($D$79, IPCC!$A$8:$E$34, 5, FALSE)))</f>
        <v/>
      </c>
      <c r="W72" s="4681">
        <f>IF(OR(O72="Oilseeds",O72="Vegetables"),VLOOKUP($D$79, IPCC!$A$8:$F$34, 6, FALSE),IF($O72 &lt;&gt;"Default", VLOOKUP($O72, IPCC!$A$8:$F$34, 6, FALSE), VLOOKUP($D$79, IPCC!$A$8:$F$34, 6, FALSE)))</f>
        <v/>
      </c>
      <c r="X72" s="712">
        <f>($S72*$U72+(($R72+$S72)*$V72)*$W72)</f>
        <v/>
      </c>
    </row>
    <row r="73" ht="15" customHeight="1">
      <c r="C73" s="862">
        <f>C21</f>
        <v/>
      </c>
      <c r="D73" s="711">
        <f>'3.Cropland'!E30</f>
        <v/>
      </c>
      <c r="E73" s="703">
        <f>IF(D73&lt;&gt;"Default", CONCATENATE(continent_selected,VLOOKUP(D73, list_region_country!$C$29:$D$46, 2, FALSE)), CONCATENATE(continent_selected,annual!$D$80))</f>
        <v/>
      </c>
      <c r="F73" s="4444">
        <f>IFERROR(VLOOKUP(E73,Stats_yield_ton_per_ha!$A$9:$L$289, 12, FALSE)*1000,0)</f>
        <v/>
      </c>
      <c r="G73" s="4149">
        <f>IF('3.Cropland'!$M30&lt;&gt;"", '3.Cropland'!$M30*1000, annual!$F73)</f>
        <v/>
      </c>
      <c r="H73" s="4165">
        <f>_xlfn.IFNA(IF('3.Cropland'!$BB30 &lt;&gt;"", '3.Cropland'!$BB30 *1000,IF($D73&lt;&gt;"Default",($G73*VLOOKUP($D73,IPCC!$A$8:$C$32,2,FALSE)+VLOOKUP($D73,IPCC!$A$8:$C$32,3,FALSE)),(($G73*VLOOKUP(annual!$D$79,IPCC!$A$8:$C$32,2,FALSE)+VLOOKUP($D$79,IPCC!$A$8:$C$32,3,FALSE))))),0)</f>
        <v/>
      </c>
      <c r="I73" s="4447">
        <f>$H73/1000</f>
        <v/>
      </c>
      <c r="J73" s="4447">
        <f>IF(OR(D73="Oilseeds",D73="Vegetables"),VLOOKUP($D$79,IPCC!$A$8:$D$34,4,FALSE),IF($D73&lt;&gt;"Default",VLOOKUP($D73,IPCC!$A$8:$D$34,4,FALSE),VLOOKUP($D$79,IPCC!$A$8:$D$34,4,FALSE)))</f>
        <v/>
      </c>
      <c r="K73" s="4447">
        <f>IF(OR(D73="Oilseeds",D73="Vegetables"), VLOOKUP($D$79, IPCC!$A$8:$E$34, 5, FALSE),IF($D73&lt;&gt;"Default", VLOOKUP($D73, IPCC!$A$8:$E$34, 5, FALSE), VLOOKUP($D$79, IPCC!$A$8:$E$34, 5, FALSE)))</f>
        <v/>
      </c>
      <c r="L73" s="4165">
        <f>IF(OR(D73="Oilseeds",D73="Vegetables"),VLOOKUP($D$79, IPCC!$A$8:$F$34, 6, FALSE),IF($D73&lt;&gt;"Default", VLOOKUP($D73, IPCC!$A$8:$F$34, 6, FALSE), VLOOKUP($D$79, IPCC!$A$8:$F$34, 6, FALSE)))</f>
        <v/>
      </c>
      <c r="M73" s="4680">
        <f>$H73*$J73+(($G73+$H73)*$K73)*$L73</f>
        <v/>
      </c>
      <c r="O73" s="4681">
        <f>'3.Cropland'!$BH30</f>
        <v/>
      </c>
      <c r="P73" s="4681">
        <f>IFERROR(IF($O73 &lt;&gt;"Default", CONCATENATE(continent_selected,VLOOKUP($O73, list_region_country!$C$29:$D$46, 2, FALSE)), CONCATENATE(continent_selected,annual!$D$80)),0)</f>
        <v/>
      </c>
      <c r="Q73" s="4681">
        <f>(VLOOKUP($P73, Stats_yield_ton_per_ha!$A$2:$L$289, 12,FALSE )*1000)</f>
        <v/>
      </c>
      <c r="R73" s="4681">
        <f>IF('3.Cropland'!$BI30&lt;&gt; "", '3.Cropland'!$BI30*1000, annual!$Q73)</f>
        <v/>
      </c>
      <c r="S73" s="4681">
        <f>_xlfn.IFNA(IF('3.Cropland'!$BL30 &lt;&gt;"", '3.Cropland'!$BL30*1000, IF($O73&lt;&gt;"Default",($R73*VLOOKUP($O73,IPCC!$A$8:$C$32,2,FALSE)+VLOOKUP($O73,IPCC!$A$8:$C$32,3,FALSE)),(($R73*VLOOKUP(annual!$D$79,IPCC!$A$8:$C$32,2,FALSE)+VLOOKUP($D$79,IPCC!$A$8:$C$32,3,FALSE))))),0)</f>
        <v/>
      </c>
      <c r="T73" s="4681">
        <f>$S73/1000</f>
        <v/>
      </c>
      <c r="U73" s="4681">
        <f>IF(OR(O73="Oilseeds",O73="Vegetables"),VLOOKUP($D$79,IPCC!$A$8:$D$34,4,FALSE),IF($O73&lt;&gt;"Default",VLOOKUP($O73,IPCC!$A$8:$D$34,4,FALSE),VLOOKUP($D$79,IPCC!$A$8:$D$34,4,FALSE)))</f>
        <v/>
      </c>
      <c r="V73" s="4681">
        <f>IF(OR(O73="Oilseeds",O73="Vegetables"),VLOOKUP($D$79, IPCC!$A$8:$E$34, 5, FALSE),IF($O73 &lt;&gt;"Default", VLOOKUP($O73, IPCC!$A$8:$E$34, 5, FALSE), VLOOKUP($D$79, IPCC!$A$8:$E$34, 5, FALSE)))</f>
        <v/>
      </c>
      <c r="W73" s="4681">
        <f>IF(OR(O73="Oilseeds",O73="Vegetables"),VLOOKUP($D$79, IPCC!$A$8:$F$34, 6, FALSE),IF($O73 &lt;&gt;"Default", VLOOKUP($O73, IPCC!$A$8:$F$34, 6, FALSE), VLOOKUP($D$79, IPCC!$A$8:$F$34, 6, FALSE)))</f>
        <v/>
      </c>
      <c r="X73" s="712">
        <f>($S73*$U73+(($R73+$S73)*$V73)*$W73)</f>
        <v/>
      </c>
    </row>
    <row r="74" ht="15" customHeight="1">
      <c r="C74" s="862">
        <f>C22</f>
        <v/>
      </c>
      <c r="D74" s="711">
        <f>'3.Cropland'!E31</f>
        <v/>
      </c>
      <c r="E74" s="703">
        <f>IF(D74&lt;&gt;"Default", CONCATENATE(continent_selected,VLOOKUP(D74, list_region_country!$C$29:$D$46, 2, FALSE)), CONCATENATE(continent_selected,annual!$D$80))</f>
        <v/>
      </c>
      <c r="F74" s="4444">
        <f>IFERROR(VLOOKUP(E74,Stats_yield_ton_per_ha!$A$9:$L$289, 12, FALSE)*1000,0)</f>
        <v/>
      </c>
      <c r="G74" s="4149">
        <f>IF('3.Cropland'!$M31&lt;&gt;"", '3.Cropland'!$M31*1000, annual!$F74)</f>
        <v/>
      </c>
      <c r="H74" s="4165">
        <f>_xlfn.IFNA(IF('3.Cropland'!$BB31 &lt;&gt;"", '3.Cropland'!$BB31 *1000,IF($D74&lt;&gt;"Default",($G74*VLOOKUP($D74,IPCC!$A$8:$C$32,2,FALSE)+VLOOKUP($D74,IPCC!$A$8:$C$32,3,FALSE)),(($G74*VLOOKUP(annual!$D$79,IPCC!$A$8:$C$32,2,FALSE)+VLOOKUP($D$79,IPCC!$A$8:$C$32,3,FALSE))))),0)</f>
        <v/>
      </c>
      <c r="I74" s="4447">
        <f>$H74/1000</f>
        <v/>
      </c>
      <c r="J74" s="4447">
        <f>IF(OR(D74="Oilseeds",D74="Vegetables"),VLOOKUP($D$79,IPCC!$A$8:$D$34,4,FALSE),IF($D74&lt;&gt;"Default",VLOOKUP($D74,IPCC!$A$8:$D$34,4,FALSE),VLOOKUP($D$79,IPCC!$A$8:$D$34,4,FALSE)))</f>
        <v/>
      </c>
      <c r="K74" s="4447">
        <f>IF(OR(D74="Oilseeds",D74="Vegetables"), VLOOKUP($D$79, IPCC!$A$8:$E$34, 5, FALSE),IF($D74&lt;&gt;"Default", VLOOKUP($D74, IPCC!$A$8:$E$34, 5, FALSE), VLOOKUP($D$79, IPCC!$A$8:$E$34, 5, FALSE)))</f>
        <v/>
      </c>
      <c r="L74" s="4165">
        <f>IF(OR(D74="Oilseeds",D74="Vegetables"),VLOOKUP($D$79, IPCC!$A$8:$F$34, 6, FALSE),IF($D74&lt;&gt;"Default", VLOOKUP($D74, IPCC!$A$8:$F$34, 6, FALSE), VLOOKUP($D$79, IPCC!$A$8:$F$34, 6, FALSE)))</f>
        <v/>
      </c>
      <c r="M74" s="4680">
        <f>$H74*$J74+(($G74+$H74)*$K74)*$L74</f>
        <v/>
      </c>
      <c r="O74" s="4681">
        <f>'3.Cropland'!$BH31</f>
        <v/>
      </c>
      <c r="P74" s="4681">
        <f>IFERROR(IF($O74 &lt;&gt;"Default", CONCATENATE(continent_selected,VLOOKUP($O74, list_region_country!$C$29:$D$46, 2, FALSE)), CONCATENATE(continent_selected,annual!$D$80)),0)</f>
        <v/>
      </c>
      <c r="Q74" s="4681">
        <f>(VLOOKUP($P74, Stats_yield_ton_per_ha!$A$2:$L$289, 12,FALSE )*1000)</f>
        <v/>
      </c>
      <c r="R74" s="4681">
        <f>IF('3.Cropland'!$BI31&lt;&gt; "", '3.Cropland'!$BI31*1000, annual!$Q74)</f>
        <v/>
      </c>
      <c r="S74" s="4681">
        <f>_xlfn.IFNA(IF('3.Cropland'!$BL31 &lt;&gt;"", '3.Cropland'!$BL31*1000, IF($O74&lt;&gt;"Default",($R74*VLOOKUP($O74,IPCC!$A$8:$C$32,2,FALSE)+VLOOKUP($O74,IPCC!$A$8:$C$32,3,FALSE)),(($R74*VLOOKUP(annual!$D$79,IPCC!$A$8:$C$32,2,FALSE)+VLOOKUP($D$79,IPCC!$A$8:$C$32,3,FALSE))))),0)</f>
        <v/>
      </c>
      <c r="T74" s="4681">
        <f>$S74/1000</f>
        <v/>
      </c>
      <c r="U74" s="4681">
        <f>IF(OR(O74="Oilseeds",O74="Vegetables"),VLOOKUP($D$79,IPCC!$A$8:$D$34,4,FALSE),IF($O74&lt;&gt;"Default",VLOOKUP($O74,IPCC!$A$8:$D$34,4,FALSE),VLOOKUP($D$79,IPCC!$A$8:$D$34,4,FALSE)))</f>
        <v/>
      </c>
      <c r="V74" s="4681">
        <f>IF(OR(O74="Oilseeds",O74="Vegetables"),VLOOKUP($D$79, IPCC!$A$8:$E$34, 5, FALSE),IF($O74 &lt;&gt;"Default", VLOOKUP($O74, IPCC!$A$8:$E$34, 5, FALSE), VLOOKUP($D$79, IPCC!$A$8:$E$34, 5, FALSE)))</f>
        <v/>
      </c>
      <c r="W74" s="4681">
        <f>IF(OR(O74="Oilseeds",O74="Vegetables"),VLOOKUP($D$79, IPCC!$A$8:$F$34, 6, FALSE),IF($O74 &lt;&gt;"Default", VLOOKUP($O74, IPCC!$A$8:$F$34, 6, FALSE), VLOOKUP($D$79, IPCC!$A$8:$F$34, 6, FALSE)))</f>
        <v/>
      </c>
      <c r="X74" s="712">
        <f>($S74*$U74+(($R74+$S74)*$V74)*$W74)</f>
        <v/>
      </c>
    </row>
    <row r="75" ht="15" customHeight="1">
      <c r="C75" s="862">
        <f>C23</f>
        <v/>
      </c>
      <c r="D75" s="711">
        <f>'3.Cropland'!E32</f>
        <v/>
      </c>
      <c r="E75" s="703">
        <f>IF(D75&lt;&gt;"Default", CONCATENATE(continent_selected,VLOOKUP(D75, list_region_country!$C$29:$D$46, 2, FALSE)), CONCATENATE(continent_selected,annual!$D$80))</f>
        <v/>
      </c>
      <c r="F75" s="4444">
        <f>IFERROR(VLOOKUP(E75,Stats_yield_ton_per_ha!$A$9:$L$289, 12, FALSE)*1000,0)</f>
        <v/>
      </c>
      <c r="G75" s="4149">
        <f>IF('3.Cropland'!$M32&lt;&gt;"", '3.Cropland'!$M32*1000, annual!$F75)</f>
        <v/>
      </c>
      <c r="H75" s="4165">
        <f>_xlfn.IFNA(IF('3.Cropland'!$BB32 &lt;&gt;"", '3.Cropland'!$BB32 *1000,IF($D75&lt;&gt;"Default",($G75*VLOOKUP($D75,IPCC!$A$8:$C$32,2,FALSE)+VLOOKUP($D75,IPCC!$A$8:$C$32,3,FALSE)),(($G75*VLOOKUP(annual!$D$79,IPCC!$A$8:$C$32,2,FALSE)+VLOOKUP($D$79,IPCC!$A$8:$C$32,3,FALSE))))),0)</f>
        <v/>
      </c>
      <c r="I75" s="4447">
        <f>$H75/1000</f>
        <v/>
      </c>
      <c r="J75" s="4447">
        <f>IF(OR(D75="Oilseeds",D75="Vegetables"),VLOOKUP($D$79,IPCC!$A$8:$D$34,4,FALSE),IF($D75&lt;&gt;"Default",VLOOKUP($D75,IPCC!$A$8:$D$34,4,FALSE),VLOOKUP($D$79,IPCC!$A$8:$D$34,4,FALSE)))</f>
        <v/>
      </c>
      <c r="K75" s="4447">
        <f>IF(OR(D75="Oilseeds",D75="Vegetables"), VLOOKUP($D$79, IPCC!$A$8:$E$34, 5, FALSE),IF($D75&lt;&gt;"Default", VLOOKUP($D75, IPCC!$A$8:$E$34, 5, FALSE), VLOOKUP($D$79, IPCC!$A$8:$E$34, 5, FALSE)))</f>
        <v/>
      </c>
      <c r="L75" s="4165">
        <f>IF(OR(D75="Oilseeds",D75="Vegetables"),VLOOKUP($D$79, IPCC!$A$8:$F$34, 6, FALSE),IF($D75&lt;&gt;"Default", VLOOKUP($D75, IPCC!$A$8:$F$34, 6, FALSE), VLOOKUP($D$79, IPCC!$A$8:$F$34, 6, FALSE)))</f>
        <v/>
      </c>
      <c r="M75" s="4680">
        <f>$H75*$J75+(($G75+$H75)*$K75)*$L75</f>
        <v/>
      </c>
      <c r="O75" s="4681">
        <f>'3.Cropland'!$BH32</f>
        <v/>
      </c>
      <c r="P75" s="4681">
        <f>IFERROR(IF($O75 &lt;&gt;"Default", CONCATENATE(continent_selected,VLOOKUP($O75, list_region_country!$C$29:$D$46, 2, FALSE)), CONCATENATE(continent_selected,annual!$D$80)),0)</f>
        <v/>
      </c>
      <c r="Q75" s="4681">
        <f>(VLOOKUP($P75, Stats_yield_ton_per_ha!$A$2:$L$289, 12,FALSE )*1000)</f>
        <v/>
      </c>
      <c r="R75" s="4681">
        <f>IF('3.Cropland'!$BI32&lt;&gt; "", '3.Cropland'!$BI32*1000, annual!$Q75)</f>
        <v/>
      </c>
      <c r="S75" s="4681">
        <f>_xlfn.IFNA(IF('3.Cropland'!$BL32 &lt;&gt;"", '3.Cropland'!$BL32*1000, IF($O75&lt;&gt;"Default",($R75*VLOOKUP($O75,IPCC!$A$8:$C$32,2,FALSE)+VLOOKUP($O75,IPCC!$A$8:$C$32,3,FALSE)),(($R75*VLOOKUP(annual!$D$79,IPCC!$A$8:$C$32,2,FALSE)+VLOOKUP($D$79,IPCC!$A$8:$C$32,3,FALSE))))),0)</f>
        <v/>
      </c>
      <c r="T75" s="4681">
        <f>$S75/1000</f>
        <v/>
      </c>
      <c r="U75" s="4681">
        <f>IF(OR(O75="Oilseeds",O75="Vegetables"),VLOOKUP($D$79,IPCC!$A$8:$D$34,4,FALSE),IF($O75&lt;&gt;"Default",VLOOKUP($O75,IPCC!$A$8:$D$34,4,FALSE),VLOOKUP($D$79,IPCC!$A$8:$D$34,4,FALSE)))</f>
        <v/>
      </c>
      <c r="V75" s="4681">
        <f>IF(OR(O75="Oilseeds",O75="Vegetables"),VLOOKUP($D$79, IPCC!$A$8:$E$34, 5, FALSE),IF($O75 &lt;&gt;"Default", VLOOKUP($O75, IPCC!$A$8:$E$34, 5, FALSE), VLOOKUP($D$79, IPCC!$A$8:$E$34, 5, FALSE)))</f>
        <v/>
      </c>
      <c r="W75" s="4681">
        <f>IF(OR(O75="Oilseeds",O75="Vegetables"),VLOOKUP($D$79, IPCC!$A$8:$F$34, 6, FALSE),IF($O75 &lt;&gt;"Default", VLOOKUP($O75, IPCC!$A$8:$F$34, 6, FALSE), VLOOKUP($D$79, IPCC!$A$8:$F$34, 6, FALSE)))</f>
        <v/>
      </c>
      <c r="X75" s="712">
        <f>($S75*$U75+(($R75+$S75)*$V75)*$W75)</f>
        <v/>
      </c>
    </row>
    <row r="76" ht="15" customHeight="1">
      <c r="C76" s="862">
        <f>C24</f>
        <v/>
      </c>
      <c r="D76" s="711">
        <f>'3.Cropland'!E33</f>
        <v/>
      </c>
      <c r="E76" s="703">
        <f>IF(D76&lt;&gt;"Default", CONCATENATE(continent_selected,VLOOKUP(D76, list_region_country!$C$29:$D$46, 2, FALSE)), CONCATENATE(continent_selected,annual!$D$80))</f>
        <v/>
      </c>
      <c r="F76" s="4444">
        <f>IFERROR(VLOOKUP(E76,Stats_yield_ton_per_ha!$A$9:$L$289, 12, FALSE)*1000,0)</f>
        <v/>
      </c>
      <c r="G76" s="4149">
        <f>IF('3.Cropland'!$M33&lt;&gt;"", '3.Cropland'!$M33*1000, annual!$F76)</f>
        <v/>
      </c>
      <c r="H76" s="4165">
        <f>_xlfn.IFNA(IF('3.Cropland'!$BB33 &lt;&gt;"", '3.Cropland'!$BB33 *1000,IF($D76&lt;&gt;"Default",($G76*VLOOKUP($D76,IPCC!$A$8:$C$32,2,FALSE)+VLOOKUP($D76,IPCC!$A$8:$C$32,3,FALSE)),(($G76*VLOOKUP(annual!$D$79,IPCC!$A$8:$C$32,2,FALSE)+VLOOKUP($D$79,IPCC!$A$8:$C$32,3,FALSE))))),0)</f>
        <v/>
      </c>
      <c r="I76" s="4447">
        <f>$H76/1000</f>
        <v/>
      </c>
      <c r="J76" s="4447">
        <f>IF(OR(D76="Oilseeds",D76="Vegetables"),VLOOKUP($D$79,IPCC!$A$8:$D$34,4,FALSE),IF($D76&lt;&gt;"Default",VLOOKUP($D76,IPCC!$A$8:$D$34,4,FALSE),VLOOKUP($D$79,IPCC!$A$8:$D$34,4,FALSE)))</f>
        <v/>
      </c>
      <c r="K76" s="4447">
        <f>IF(OR(D76="Oilseeds",D76="Vegetables"), VLOOKUP($D$79, IPCC!$A$8:$E$34, 5, FALSE),IF($D76&lt;&gt;"Default", VLOOKUP($D76, IPCC!$A$8:$E$34, 5, FALSE), VLOOKUP($D$79, IPCC!$A$8:$E$34, 5, FALSE)))</f>
        <v/>
      </c>
      <c r="L76" s="4165">
        <f>IF(OR(D76="Oilseeds",D76="Vegetables"),VLOOKUP($D$79, IPCC!$A$8:$F$34, 6, FALSE),IF($D76&lt;&gt;"Default", VLOOKUP($D76, IPCC!$A$8:$F$34, 6, FALSE), VLOOKUP($D$79, IPCC!$A$8:$F$34, 6, FALSE)))</f>
        <v/>
      </c>
      <c r="M76" s="4680">
        <f>$H76*$J76+(($G76+$H76)*$K76)*$L76</f>
        <v/>
      </c>
      <c r="O76" s="4681">
        <f>'3.Cropland'!$BH33</f>
        <v/>
      </c>
      <c r="P76" s="4681">
        <f>IFERROR(IF($O76 &lt;&gt;"Default", CONCATENATE(continent_selected,VLOOKUP($O76, list_region_country!$C$29:$D$46, 2, FALSE)), CONCATENATE(continent_selected,annual!$D$80)),0)</f>
        <v/>
      </c>
      <c r="Q76" s="4681">
        <f>(VLOOKUP($P76, Stats_yield_ton_per_ha!$A$2:$L$289, 12,FALSE )*1000)</f>
        <v/>
      </c>
      <c r="R76" s="4681">
        <f>IF('3.Cropland'!$BI33&lt;&gt; "", '3.Cropland'!$BI33*1000, annual!$Q76)</f>
        <v/>
      </c>
      <c r="S76" s="4681">
        <f>_xlfn.IFNA(IF('3.Cropland'!$BL33 &lt;&gt;"", '3.Cropland'!$BL33*1000, IF($O76&lt;&gt;"Default",($R76*VLOOKUP($O76,IPCC!$A$8:$C$32,2,FALSE)+VLOOKUP($O76,IPCC!$A$8:$C$32,3,FALSE)),(($R76*VLOOKUP(annual!$D$79,IPCC!$A$8:$C$32,2,FALSE)+VLOOKUP($D$79,IPCC!$A$8:$C$32,3,FALSE))))),0)</f>
        <v/>
      </c>
      <c r="T76" s="4681">
        <f>$S76/1000</f>
        <v/>
      </c>
      <c r="U76" s="4681">
        <f>IF(OR(O76="Oilseeds",O76="Vegetables"),VLOOKUP($D$79,IPCC!$A$8:$D$34,4,FALSE),IF($O76&lt;&gt;"Default",VLOOKUP($O76,IPCC!$A$8:$D$34,4,FALSE),VLOOKUP($D$79,IPCC!$A$8:$D$34,4,FALSE)))</f>
        <v/>
      </c>
      <c r="V76" s="4681">
        <f>IF(OR(O76="Oilseeds",O76="Vegetables"),VLOOKUP($D$79, IPCC!$A$8:$E$34, 5, FALSE),IF($O76 &lt;&gt;"Default", VLOOKUP($O76, IPCC!$A$8:$E$34, 5, FALSE), VLOOKUP($D$79, IPCC!$A$8:$E$34, 5, FALSE)))</f>
        <v/>
      </c>
      <c r="W76" s="4681">
        <f>IF(OR(O76="Oilseeds",O76="Vegetables"),VLOOKUP($D$79, IPCC!$A$8:$F$34, 6, FALSE),IF($O76 &lt;&gt;"Default", VLOOKUP($O76, IPCC!$A$8:$F$34, 6, FALSE), VLOOKUP($D$79, IPCC!$A$8:$F$34, 6, FALSE)))</f>
        <v/>
      </c>
      <c r="X76" s="712">
        <f>($S76*$U76+(($R76+$S76)*$V76)*$W76)</f>
        <v/>
      </c>
    </row>
    <row r="77">
      <c r="C77" s="862">
        <f>C25</f>
        <v/>
      </c>
      <c r="D77" s="714">
        <f>'3.Cropland'!E34</f>
        <v/>
      </c>
      <c r="E77" s="704">
        <f>IF(D77&lt;&gt;"Default", CONCATENATE(continent_selected,VLOOKUP(D77, list_region_country!$C$29:$D$46, 2, FALSE)), CONCATENATE(continent_selected,annual!$D$80))</f>
        <v/>
      </c>
      <c r="F77" s="4445">
        <f>IFERROR(VLOOKUP(E77,Stats_yield_ton_per_ha!$A$9:$L$289, 12, FALSE)*1000,0)</f>
        <v/>
      </c>
      <c r="G77" s="826">
        <f>IF('3.Cropland'!$M34&lt;&gt;"", '3.Cropland'!$M34*1000, annual!$F77)</f>
        <v/>
      </c>
      <c r="H77" s="4166">
        <f>_xlfn.IFNA(IF('3.Cropland'!$BB34 &lt;&gt;"", '3.Cropland'!$BB34 *1000,IF($D77&lt;&gt;"Default",($G77*VLOOKUP($D77,IPCC!$A$8:$C$32,2,FALSE)+VLOOKUP($D77,IPCC!$A$8:$C$32,3,FALSE)),(($G77*VLOOKUP(annual!$D$79,IPCC!$A$8:$C$32,2,FALSE)+VLOOKUP($D$79,IPCC!$A$8:$C$32,3,FALSE))))),0)</f>
        <v/>
      </c>
      <c r="I77" s="4448">
        <f>$H77/1000</f>
        <v/>
      </c>
      <c r="J77" s="4448">
        <f>IF(OR(D77="Oilseeds",D77="Vegetables"),VLOOKUP($D$79,IPCC!$A$8:$D$34,4,FALSE),IF($D77&lt;&gt;"Default",VLOOKUP($D77,IPCC!$A$8:$D$34,4,FALSE),VLOOKUP($D$79,IPCC!$A$8:$D$34,4,FALSE)))</f>
        <v/>
      </c>
      <c r="K77" s="4448">
        <f>IF(OR(D77="Oilseeds",D77="Vegetables"), VLOOKUP($D$79, IPCC!$A$8:$E$34, 5, FALSE),IF($D77&lt;&gt;"Default", VLOOKUP($D77, IPCC!$A$8:$E$34, 5, FALSE), VLOOKUP($D$79, IPCC!$A$8:$E$34, 5, FALSE)))</f>
        <v/>
      </c>
      <c r="L77" s="4166">
        <f>IF(OR(D77="Oilseeds",D77="Vegetables"),VLOOKUP($D$79, IPCC!$A$8:$F$34, 6, FALSE),IF($D77&lt;&gt;"Default", VLOOKUP($D77, IPCC!$A$8:$F$34, 6, FALSE), VLOOKUP($D$79, IPCC!$A$8:$F$34, 6, FALSE)))</f>
        <v/>
      </c>
      <c r="M77" s="4682">
        <f>$H77*$J77+(($G77+$H77)*$K77)*$L77</f>
        <v/>
      </c>
      <c r="O77" s="4683">
        <f>'3.Cropland'!$BH34</f>
        <v/>
      </c>
      <c r="P77" s="4683">
        <f>IFERROR(IF($O77 &lt;&gt;"Default", CONCATENATE(continent_selected,VLOOKUP($O77, list_region_country!$C$29:$D$46, 2, FALSE)), CONCATENATE(continent_selected,annual!$D$80)),0)</f>
        <v/>
      </c>
      <c r="Q77" s="4683">
        <f>(VLOOKUP($P77, Stats_yield_ton_per_ha!$A$2:$L$289, 12,FALSE )*1000)</f>
        <v/>
      </c>
      <c r="R77" s="4683">
        <f>IF('3.Cropland'!$BI34&lt;&gt; "", '3.Cropland'!$BI34*1000, annual!$Q77)</f>
        <v/>
      </c>
      <c r="S77" s="4683">
        <f>_xlfn.IFNA(IF('3.Cropland'!$BL34 &lt;&gt;"", '3.Cropland'!$BL34*1000, IF($O77&lt;&gt;"Default",($R77*VLOOKUP($O77,IPCC!$A$8:$C$32,2,FALSE)+VLOOKUP($O77,IPCC!$A$8:$C$32,3,FALSE)),(($R77*VLOOKUP(annual!$D$79,IPCC!$A$8:$C$32,2,FALSE)+VLOOKUP($D$79,IPCC!$A$8:$C$32,3,FALSE))))),0)</f>
        <v/>
      </c>
      <c r="T77" s="4683">
        <f>$S77/1000</f>
        <v/>
      </c>
      <c r="U77" s="4683">
        <f>IF(OR(O77="Oilseeds",O77="Vegetables"),VLOOKUP($D$79,IPCC!$A$8:$D$34,4,FALSE),IF($O77&lt;&gt;"Default",VLOOKUP($O77,IPCC!$A$8:$D$34,4,FALSE),VLOOKUP($D$79,IPCC!$A$8:$D$34,4,FALSE)))</f>
        <v/>
      </c>
      <c r="V77" s="4683">
        <f>IF(OR(O77="Oilseeds",O77="Vegetables"),VLOOKUP($D$79, IPCC!$A$8:$E$34, 5, FALSE),IF($O77 &lt;&gt;"Default", VLOOKUP($O77, IPCC!$A$8:$E$34, 5, FALSE), VLOOKUP($D$79, IPCC!$A$8:$E$34, 5, FALSE)))</f>
        <v/>
      </c>
      <c r="W77" s="4683">
        <f>IF(OR(O77="Oilseeds",O77="Vegetables"),VLOOKUP($D$79, IPCC!$A$8:$F$34, 6, FALSE),IF($O77 &lt;&gt;"Default", VLOOKUP($O77, IPCC!$A$8:$F$34, 6, FALSE), VLOOKUP($D$79, IPCC!$A$8:$F$34, 6, FALSE)))</f>
        <v/>
      </c>
      <c r="X77" s="715">
        <f>($S77*$U77+(($R77+$S77)*$V77)*$W77)</f>
        <v/>
      </c>
    </row>
    <row r="78">
      <c r="D78" s="9" t="inlineStr">
        <is>
          <t xml:space="preserve">*default = </t>
        </is>
      </c>
      <c r="F78" s="9" t="inlineStr">
        <is>
          <t xml:space="preserve">*default = </t>
        </is>
      </c>
      <c r="G78" s="223" t="n"/>
      <c r="H78" s="9" t="inlineStr">
        <is>
          <t xml:space="preserve">*default = </t>
        </is>
      </c>
      <c r="I78" s="227" t="n"/>
    </row>
    <row r="79">
      <c r="D79" s="9" t="inlineStr">
        <is>
          <t>Grains</t>
        </is>
      </c>
      <c r="F79" s="9" t="inlineStr">
        <is>
          <t>Grains</t>
        </is>
      </c>
      <c r="G79" s="223" t="n"/>
      <c r="H79" s="9" t="inlineStr">
        <is>
          <t>Grains</t>
        </is>
      </c>
      <c r="I79" s="227" t="n"/>
      <c r="L79" s="58" t="n"/>
      <c r="M79" s="311">
        <f>H69*J69</f>
        <v/>
      </c>
      <c r="V79" s="4672" t="n"/>
    </row>
    <row r="80">
      <c r="D80" s="9" t="inlineStr">
        <is>
          <t>Default</t>
        </is>
      </c>
      <c r="F80" s="9" t="inlineStr">
        <is>
          <t>Default</t>
        </is>
      </c>
      <c r="G80" s="223" t="n"/>
      <c r="H80" s="9" t="inlineStr">
        <is>
          <t>Cereals,Total</t>
        </is>
      </c>
      <c r="I80" s="227" t="n"/>
      <c r="M80">
        <f>((G69+H69)*K69)*L69</f>
        <v/>
      </c>
    </row>
    <row r="81">
      <c r="G81" s="223" t="n"/>
      <c r="H81" s="16" t="n"/>
      <c r="T81" s="4672" t="n"/>
    </row>
    <row r="83">
      <c r="F83" s="17" t="n"/>
      <c r="H83" s="223" t="n"/>
      <c r="I83" s="232" t="inlineStr">
        <is>
          <t>FCR</t>
        </is>
      </c>
      <c r="J83" s="232" t="n"/>
      <c r="K83" s="58" t="n"/>
    </row>
    <row r="84">
      <c r="F84" s="17" t="n"/>
      <c r="H84" s="223" t="n"/>
      <c r="I84" s="233" t="inlineStr">
        <is>
          <t>above-ground</t>
        </is>
      </c>
      <c r="J84" s="232">
        <f>H68*J68</f>
        <v/>
      </c>
    </row>
    <row r="85">
      <c r="F85" s="17" t="n"/>
      <c r="H85" s="223" t="n"/>
      <c r="I85" s="232" t="inlineStr">
        <is>
          <t>below-ground</t>
        </is>
      </c>
      <c r="J85" s="232">
        <f>((G68+H68)*K68)*L68</f>
        <v/>
      </c>
    </row>
    <row r="86">
      <c r="H86" s="223" t="n"/>
      <c r="I86" s="58" t="n"/>
    </row>
    <row r="87">
      <c r="H87" s="433" t="n"/>
    </row>
    <row r="90">
      <c r="F90" s="16" t="n"/>
    </row>
  </sheetData>
  <mergeCells count="2">
    <mergeCell ref="AI10:AJ10"/>
    <mergeCell ref="Q13:Q14"/>
  </mergeCells>
  <pageMargins left="0.7" right="0.7" top="0.75" bottom="0.75" header="0.3" footer="0.3"/>
  <pageSetup orientation="portrait" paperSize="9"/>
  <legacyDrawing r:id="anysvml"/>
</worksheet>
</file>

<file path=xl/worksheets/sheet10.xml><?xml version="1.0" encoding="utf-8"?>
<worksheet xmlns:r="http://schemas.openxmlformats.org/officeDocument/2006/relationships" xmlns="http://schemas.openxmlformats.org/spreadsheetml/2006/main">
  <sheetPr codeName="Sheet13">
    <outlinePr summaryBelow="1" summaryRight="1"/>
    <pageSetUpPr/>
  </sheetPr>
  <dimension ref="A2:AY53"/>
  <sheetViews>
    <sheetView showGridLines="0" topLeftCell="K11" zoomScaleNormal="100" workbookViewId="0">
      <selection activeCell="O16" sqref="O16"/>
    </sheetView>
  </sheetViews>
  <sheetFormatPr baseColWidth="10" defaultColWidth="8.6640625" defaultRowHeight="15"/>
  <cols>
    <col width="29.5" customWidth="1" min="1" max="1"/>
    <col width="34.5" bestFit="1" customWidth="1" min="2" max="2"/>
    <col width="14.5" customWidth="1" min="3" max="3"/>
    <col width="19.5" customWidth="1" min="6" max="6"/>
    <col width="9.5" customWidth="1" min="7" max="7"/>
    <col width="13.5" customWidth="1" min="8" max="8"/>
    <col width="11.5" customWidth="1" min="9" max="9"/>
    <col width="12" customWidth="1" min="10" max="10"/>
    <col width="17.6640625" customWidth="1" min="11" max="11"/>
    <col width="11.5" customWidth="1" min="12" max="12"/>
    <col width="14.5" customWidth="1" min="13" max="13"/>
    <col width="30.5" customWidth="1" min="14" max="14"/>
    <col width="17" customWidth="1" min="15" max="15"/>
    <col width="27.5" customWidth="1" min="16" max="16"/>
    <col width="22.6640625" customWidth="1" min="17" max="17"/>
    <col width="26" bestFit="1" customWidth="1" min="18" max="18"/>
    <col width="21.5" bestFit="1" customWidth="1" min="19" max="19"/>
    <col width="36" customWidth="1" min="20" max="20"/>
    <col width="15.5" customWidth="1" min="21" max="21"/>
    <col width="12.5" bestFit="1" customWidth="1" min="23" max="23"/>
    <col width="12.5" customWidth="1" min="27" max="27"/>
    <col width="33" bestFit="1" customWidth="1" min="33" max="33"/>
    <col width="14.5" customWidth="1" min="35" max="35"/>
    <col width="12.6640625" customWidth="1" min="40" max="40"/>
    <col width="12.5" customWidth="1" min="41" max="41"/>
    <col width="9.6640625" customWidth="1" min="42" max="42"/>
    <col width="13.5" customWidth="1" min="43" max="43"/>
    <col width="19.5" customWidth="1" min="44" max="44"/>
    <col width="14.5" customWidth="1" min="46" max="46"/>
    <col width="15.33203125" customWidth="1" min="47" max="47"/>
    <col width="13.5" bestFit="1" customWidth="1" min="48" max="48"/>
    <col width="14.6640625" bestFit="1" customWidth="1" min="50" max="50"/>
    <col width="11.6640625" bestFit="1" customWidth="1" min="51" max="51"/>
  </cols>
  <sheetData>
    <row r="2" ht="52.5" customHeight="1">
      <c r="A2" s="4065" t="inlineStr">
        <is>
          <t>3.2. Perennial cropping systems</t>
        </is>
      </c>
      <c r="B2" s="383" t="n"/>
      <c r="C2" s="383" t="n"/>
      <c r="D2" s="383" t="n"/>
      <c r="E2" s="383" t="n"/>
      <c r="F2" s="383" t="n"/>
      <c r="G2" s="383" t="n"/>
      <c r="H2" s="383" t="n"/>
      <c r="I2" s="383" t="n"/>
      <c r="J2" s="383" t="n"/>
      <c r="K2" s="383" t="n"/>
      <c r="L2" s="383" t="n"/>
      <c r="M2" s="383" t="n"/>
      <c r="N2" s="383" t="n"/>
      <c r="O2" s="383" t="n"/>
      <c r="P2" s="383" t="n"/>
      <c r="Q2" s="383" t="n"/>
      <c r="R2" s="383" t="n"/>
      <c r="S2" s="383" t="n"/>
      <c r="T2" s="383" t="n"/>
      <c r="U2" s="383" t="n"/>
      <c r="V2" s="383" t="n"/>
      <c r="W2" s="383" t="n"/>
      <c r="X2" s="383" t="n"/>
      <c r="Y2" s="383" t="n"/>
      <c r="Z2" s="383" t="n"/>
      <c r="AA2" s="383" t="n"/>
      <c r="AB2" s="383" t="n"/>
      <c r="AC2" s="383" t="n"/>
      <c r="AD2" s="383" t="n"/>
      <c r="AE2" s="383" t="n"/>
      <c r="AF2" s="383" t="n"/>
      <c r="AG2" s="383" t="n"/>
      <c r="AH2" s="383" t="n"/>
      <c r="AI2" s="383" t="n"/>
      <c r="AJ2" s="383" t="n"/>
      <c r="AK2" s="383" t="n"/>
      <c r="AL2" s="383" t="n"/>
      <c r="AM2" s="383" t="n"/>
      <c r="AN2" s="383" t="n"/>
      <c r="AO2" s="383" t="n"/>
      <c r="AP2" s="383" t="n"/>
      <c r="AQ2" s="383" t="n"/>
      <c r="AR2" s="383" t="n"/>
      <c r="AS2" s="383" t="n"/>
      <c r="AT2" s="383" t="n"/>
      <c r="AU2" s="383" t="n"/>
      <c r="AV2" s="383" t="n"/>
      <c r="AW2" s="383" t="n"/>
      <c r="AX2" s="383" t="n"/>
      <c r="AY2" s="383" t="n"/>
    </row>
    <row r="3" customFormat="1" s="284"/>
    <row r="4" ht="19" customFormat="1" customHeight="1" s="284">
      <c r="B4" s="3779" t="n"/>
      <c r="C4" s="3779" t="n"/>
      <c r="D4" s="3779" t="n"/>
      <c r="E4" s="3779" t="n"/>
      <c r="F4" s="3779" t="n"/>
      <c r="G4" s="3779" t="inlineStr">
        <is>
          <t>-L15*D36+-J15*M15,0),-$K15*((MIN($C36,D36)*MIN(20,time_tot))+IF(E36="Immediate",IF(D36&gt;$C36,D36*MIN(20,time_tot),0),IF($C36&gt;D36,($C36-D36)*IF(time&gt;20,IF(E36="Linear",time-((time-20)^2)/(2*time),(0.215*time)-(time/4.6)*(EXP(-92.1/time)-0.01)),time*(1-VLOOK</t>
        </is>
      </c>
      <c r="H4" s="3779" t="n"/>
      <c r="I4" s="3779" t="n"/>
      <c r="J4" s="3779" t="n"/>
      <c r="K4" s="3779" t="n"/>
      <c r="O4" s="847" t="inlineStr">
        <is>
          <t>Perennial associated with Module 2 'Land-use changes'</t>
        </is>
      </c>
      <c r="P4" s="3487" t="n"/>
      <c r="Q4" s="3487" t="n"/>
      <c r="R4" s="3487" t="n"/>
      <c r="S4" s="3750" t="n"/>
      <c r="V4" s="847" t="inlineStr">
        <is>
          <t>Perennial from Module 2</t>
        </is>
      </c>
      <c r="W4" s="3486" t="n"/>
      <c r="X4" s="3488" t="n"/>
      <c r="Y4" s="3488" t="n"/>
    </row>
    <row r="5" ht="16" customFormat="1" customHeight="1" s="284">
      <c r="O5" s="3685" t="inlineStr">
        <is>
          <t>soil C</t>
        </is>
      </c>
      <c r="P5" s="3686" t="inlineStr">
        <is>
          <t>Soil C</t>
        </is>
      </c>
      <c r="Q5" s="3687" t="inlineStr">
        <is>
          <t>Soil C</t>
        </is>
      </c>
      <c r="R5" s="3751" t="inlineStr">
        <is>
          <t>Delta Soil C* limited to 20 yrs</t>
        </is>
      </c>
      <c r="S5" s="3478" t="n"/>
      <c r="V5" s="3792" t="inlineStr">
        <is>
          <t>Main and minor crop</t>
        </is>
      </c>
      <c r="W5" s="3793" t="n"/>
      <c r="X5" s="3794" t="n"/>
      <c r="Y5" s="3794" t="n"/>
    </row>
    <row r="6" ht="16" customFormat="1" customHeight="1" s="284">
      <c r="O6" s="3685" t="inlineStr">
        <is>
          <t>START</t>
        </is>
      </c>
      <c r="P6" s="3686" t="inlineStr">
        <is>
          <t>Without</t>
        </is>
      </c>
      <c r="Q6" s="3687" t="inlineStr">
        <is>
          <t>With</t>
        </is>
      </c>
      <c r="R6" s="3686" t="inlineStr">
        <is>
          <t>Without</t>
        </is>
      </c>
      <c r="S6" s="3687" t="inlineStr">
        <is>
          <t>With</t>
        </is>
      </c>
      <c r="V6" s="3660" t="inlineStr">
        <is>
          <t>CH4</t>
        </is>
      </c>
      <c r="W6" s="3660" t="inlineStr">
        <is>
          <t>N2O</t>
        </is>
      </c>
      <c r="X6" s="3660" t="inlineStr">
        <is>
          <t>CO2eq</t>
        </is>
      </c>
      <c r="Y6" s="3660" t="inlineStr">
        <is>
          <t>Yields</t>
        </is>
      </c>
    </row>
    <row r="7" ht="16" customFormat="1" customHeight="1" s="284">
      <c r="O7" s="3685" t="inlineStr">
        <is>
          <t>t C/ha</t>
        </is>
      </c>
      <c r="P7" s="3686" t="inlineStr">
        <is>
          <t>t C/ha</t>
        </is>
      </c>
      <c r="Q7" s="3687" t="inlineStr">
        <is>
          <t>tC/ha</t>
        </is>
      </c>
      <c r="R7" s="3246" t="inlineStr">
        <is>
          <t>tCO2eq/ha/yr</t>
        </is>
      </c>
      <c r="S7" s="3247" t="inlineStr">
        <is>
          <t>tCO2eq/ha/yr</t>
        </is>
      </c>
      <c r="V7" s="3660" t="inlineStr">
        <is>
          <t>kg/ha/yr</t>
        </is>
      </c>
      <c r="W7" s="3660" t="inlineStr">
        <is>
          <t>kg/ha/yr</t>
        </is>
      </c>
      <c r="X7" s="3660" t="inlineStr">
        <is>
          <t>tCO2eq/ha/yr</t>
        </is>
      </c>
      <c r="Y7" s="3660" t="inlineStr">
        <is>
          <t>(t/ha/yr)</t>
        </is>
      </c>
    </row>
    <row r="8">
      <c r="N8" s="720" t="inlineStr">
        <is>
          <t>Deforestation (FL -&gt; Perennial)</t>
        </is>
      </c>
      <c r="O8" s="3293">
        <f>IF($C$12&lt;&gt; "Please select", SOCref*INDEX(IPCC!$B$1687:$W$1698,MATCH(clim_moist, IPCC!$A$1687:$A$1698,0),MATCH($C$12, IPCC!$B$1687:$W$1687,0)),0)</f>
        <v/>
      </c>
      <c r="P8" s="3294">
        <f>$O$8*(IF('3.Cropland'!$BB$56="",'3.Cropland'!$BA$56,'3.Cropland'!$BB$56)*IF('3.Cropland'!$BD$56="",'3.Cropland'!$BC$56,'3.Cropland'!$BD$56))</f>
        <v/>
      </c>
      <c r="Q8" s="3294">
        <f>P8</f>
        <v/>
      </c>
      <c r="R8" s="3752">
        <f>(P8-O8)/20*(-44/12)</f>
        <v/>
      </c>
      <c r="S8" s="3752">
        <f>(Q8-O8)/20*(-44/12)</f>
        <v/>
      </c>
      <c r="T8" s="3753" t="n"/>
      <c r="U8" s="3753" t="n"/>
      <c r="V8" s="3752">
        <f>IF($D12="YES", $F12*IPCC!$D$75,0)*IPCC!$B$89/$E12</f>
        <v/>
      </c>
      <c r="W8" s="3752">
        <f>IF($D12="YES", $F12* IPCC!$E$75,0)*IPCC!$B$89/$E12</f>
        <v/>
      </c>
      <c r="X8" s="3752">
        <f>(V8*methane+W8*Nitrous)/1000</f>
        <v/>
      </c>
      <c r="Y8" s="3754">
        <f>'3.Cropland'!M56</f>
        <v/>
      </c>
      <c r="AI8" s="3721" t="inlineStr">
        <is>
          <t>Total period (Implementation + Cap)</t>
        </is>
      </c>
      <c r="AJ8" s="3722" t="n"/>
      <c r="AP8" s="3701" t="inlineStr">
        <is>
          <t>Implementation phase alone</t>
        </is>
      </c>
      <c r="AQ8" s="3702" t="n"/>
      <c r="AR8" s="3702" t="n"/>
      <c r="AS8" s="3702" t="n"/>
      <c r="AT8" s="3702" t="n"/>
      <c r="AU8" s="3702" t="n"/>
      <c r="AV8" s="3702" t="n"/>
      <c r="AW8" s="3702" t="n"/>
      <c r="AX8" s="3702" t="n"/>
      <c r="AY8" s="3702" t="n"/>
    </row>
    <row r="9">
      <c r="B9" s="875" t="n"/>
      <c r="C9" s="1015" t="n"/>
      <c r="D9" s="3791" t="inlineStr">
        <is>
          <t>Residue/Biomass</t>
        </is>
      </c>
      <c r="E9" s="4552" t="n"/>
      <c r="F9" s="3763" t="inlineStr">
        <is>
          <t>Biomass combustion for fires for all savanna grasslands</t>
        </is>
      </c>
      <c r="G9" s="4552" t="inlineStr">
        <is>
          <t>AGB accumulation</t>
        </is>
      </c>
      <c r="I9" s="4552" t="inlineStr">
        <is>
          <t>BGB accumulation</t>
        </is>
      </c>
      <c r="K9" s="4552" t="inlineStr">
        <is>
          <t xml:space="preserve">Total Biomass </t>
        </is>
      </c>
      <c r="L9" s="4552" t="inlineStr">
        <is>
          <t>MAX AGB</t>
        </is>
      </c>
      <c r="M9" s="4552" t="inlineStr">
        <is>
          <t>Max years growth</t>
        </is>
      </c>
      <c r="N9" s="701" t="inlineStr">
        <is>
          <t>Afforestation (Perennial-&gt; FL)</t>
        </is>
      </c>
      <c r="O9" s="3755">
        <f>IF('3.Cropland'!$AX$57="",IF($C$13&lt;&gt; "Please select", SOCref*INDEX(IPCC!$B$1687:$W$1698,MATCH(clim_moist, IPCC!$A$1687:$A$1698,0),MATCH($C$13, IPCC!$B$1687:$W$1687,0)),0),'3.Cropland'!$AX$57)</f>
        <v/>
      </c>
      <c r="P9" s="3755">
        <f>$O$9*(IF('3.Cropland'!$BB$57="",'3.Cropland'!$BA$57,'3.Cropland'!$BB$57)*IF('3.Cropland'!$BD$57="",'3.Cropland'!$BC$57,'3.Cropland'!$BD$57))</f>
        <v/>
      </c>
      <c r="Q9" s="3755">
        <f>P9</f>
        <v/>
      </c>
      <c r="R9" s="3755">
        <f>(P9-O9)/20*(-44/12)</f>
        <v/>
      </c>
      <c r="S9" s="3755">
        <f>(Q9-O9)/20*(-44/12)</f>
        <v/>
      </c>
      <c r="T9" s="3756" t="n"/>
      <c r="U9" s="3756" t="n"/>
      <c r="V9" s="3755">
        <f>IF($D13="YES", $F13*IPCC!$D$75,0)*IPCC!$B$89/$E13</f>
        <v/>
      </c>
      <c r="W9" s="3755">
        <f>IF($D13="YES", $F13* IPCC!$E$75,0)*IPCC!$B$89/$E13</f>
        <v/>
      </c>
      <c r="X9" s="3755">
        <f>(V9*methane+W9*Nitrous)/1000</f>
        <v/>
      </c>
      <c r="Y9" s="3757">
        <f>'3.Cropland'!M57</f>
        <v/>
      </c>
      <c r="AP9" s="3701" t="inlineStr">
        <is>
          <t>Time_tot = time and time_cap=0</t>
        </is>
      </c>
      <c r="AQ9" s="3702" t="n"/>
      <c r="AR9" s="3702" t="n"/>
      <c r="AS9" s="3702" t="n"/>
      <c r="AT9" s="3702" t="n"/>
      <c r="AU9" s="3702" t="n"/>
      <c r="AV9" s="3702" t="n"/>
      <c r="AW9" s="3702" t="n"/>
      <c r="AX9" s="3702" t="n"/>
      <c r="AY9" s="3702" t="n"/>
    </row>
    <row r="10">
      <c r="B10" s="875" t="inlineStr">
        <is>
          <t>Your description</t>
        </is>
      </c>
      <c r="C10" s="4552">
        <f>'3.Cropland'!E64</f>
        <v/>
      </c>
      <c r="D10" s="4552" t="inlineStr">
        <is>
          <t>Burning</t>
        </is>
      </c>
      <c r="E10" s="4552" t="inlineStr">
        <is>
          <t>Interval</t>
        </is>
      </c>
      <c r="F10" s="4552" t="inlineStr">
        <is>
          <t>Tonne dm/ha</t>
        </is>
      </c>
      <c r="G10" s="4552" t="inlineStr">
        <is>
          <t xml:space="preserve"> rate (tCO2/ha/year)</t>
        </is>
      </c>
      <c r="I10" s="4552" t="inlineStr">
        <is>
          <t xml:space="preserve"> rate (tCO2/ha/year)</t>
        </is>
      </c>
      <c r="K10" s="4552" t="inlineStr">
        <is>
          <t xml:space="preserve"> accumulation rate </t>
        </is>
      </c>
      <c r="L10" s="4552" t="inlineStr">
        <is>
          <t>Lmax</t>
        </is>
      </c>
      <c r="M10" s="4552" t="n"/>
      <c r="N10" s="787" t="inlineStr">
        <is>
          <t>non-FL converted -&gt; Perennial</t>
        </is>
      </c>
      <c r="O10" s="3662">
        <f>IF($C$14&lt;&gt; "Please select", SOCref*INDEX(IPCC!$B$1687:$W$1698,MATCH(clim_moist, IPCC!$A$1687:$A$1698,0),MATCH($C$14, IPCC!$B$1687:$W$1687,0)),0)</f>
        <v/>
      </c>
      <c r="P10" s="3758">
        <f>$O$10*(IF('3.Cropland'!$BB$58="",'3.Cropland'!$BA$58,'3.Cropland'!$BB$58)*IF('3.Cropland'!$BD$58="",'3.Cropland'!$BC$58,'3.Cropland'!$BD$58))</f>
        <v/>
      </c>
      <c r="Q10" s="3663">
        <f>P10</f>
        <v/>
      </c>
      <c r="R10" s="3663">
        <f>(P10-O10)/20*(-44/12)</f>
        <v/>
      </c>
      <c r="S10" s="3663">
        <f>(Q10-O10)/20*(-44/12)</f>
        <v/>
      </c>
      <c r="T10" s="3756" t="n"/>
      <c r="U10" s="3756" t="n"/>
      <c r="V10" s="3663">
        <f>IF($D14="YES", $F14*IPCC!$D$75,0)*IPCC!$B$89/$E14</f>
        <v/>
      </c>
      <c r="W10" s="3663">
        <f>IF($D14="YES", $F14* IPCC!$E$75,0)*IPCC!$B$89/$E14</f>
        <v/>
      </c>
      <c r="X10" s="3663">
        <f>(V10*methane+W10*Nitrous)/1000</f>
        <v/>
      </c>
      <c r="Y10" s="3664">
        <f>'3.Cropland'!M58</f>
        <v/>
      </c>
      <c r="AI10" s="3723" t="inlineStr">
        <is>
          <t>CH4 in tCO2-e</t>
        </is>
      </c>
      <c r="AJ10" s="3288" t="n"/>
      <c r="AK10" s="3724" t="inlineStr">
        <is>
          <t>N2O in tCO2-e</t>
        </is>
      </c>
      <c r="AL10" s="223" t="n"/>
      <c r="AP10" s="3703" t="inlineStr">
        <is>
          <t>Biomass (tCO2)</t>
        </is>
      </c>
      <c r="AQ10" s="3704" t="n"/>
      <c r="AR10" s="3703" t="inlineStr">
        <is>
          <t>Soil  (tCO2)</t>
        </is>
      </c>
      <c r="AS10" s="3705" t="n"/>
      <c r="AT10" s="3706" t="inlineStr">
        <is>
          <t>tCO2-e from CH4 fire</t>
        </is>
      </c>
      <c r="AU10" s="3707" t="n"/>
      <c r="AV10" s="3708" t="inlineStr">
        <is>
          <t>tCO2-e from  N2O fire</t>
        </is>
      </c>
      <c r="AW10" s="3704" t="n"/>
      <c r="AX10" s="3708" t="inlineStr">
        <is>
          <t>tCO2-e from  N2O fire</t>
        </is>
      </c>
      <c r="AY10" s="3704" t="n"/>
    </row>
    <row r="11">
      <c r="B11" s="875" t="n"/>
      <c r="C11" s="4552">
        <f>'3.Cropland'!E65</f>
        <v/>
      </c>
      <c r="D11" s="1015" t="n"/>
      <c r="E11" s="4552" t="inlineStr">
        <is>
          <t xml:space="preserve"> (yr)</t>
        </is>
      </c>
      <c r="F11" s="4552" t="inlineStr">
        <is>
          <t>Table 2.4</t>
        </is>
      </c>
      <c r="G11" s="4552" t="inlineStr">
        <is>
          <t>Default</t>
        </is>
      </c>
      <c r="H11" s="4552" t="inlineStr">
        <is>
          <t>Tier 2</t>
        </is>
      </c>
      <c r="I11" s="4552" t="inlineStr">
        <is>
          <t>Default</t>
        </is>
      </c>
      <c r="J11" s="4552" t="inlineStr">
        <is>
          <t>Tier 2</t>
        </is>
      </c>
      <c r="K11" s="4552" t="inlineStr">
        <is>
          <t>(tCO2/ha/year)</t>
        </is>
      </c>
      <c r="L11" s="4552" t="inlineStr">
        <is>
          <t>tCO2/ha</t>
        </is>
      </c>
      <c r="M11" s="4552" t="n"/>
      <c r="N11" s="3749" t="inlineStr">
        <is>
          <t>Perennial -&gt; non-forest LU</t>
        </is>
      </c>
      <c r="O11" s="3759">
        <f>IF('3.Cropland'!$AX$59="",IF($C$15&lt;&gt; "Please select", SOCref*INDEX(IPCC!$B$1687:$W$1698,MATCH(clim_moist, IPCC!$A$1687:$A$1698,0),MATCH($C$15, IPCC!$B$1687:$W$1687,0)),0),'3.Cropland'!$AX$59)</f>
        <v/>
      </c>
      <c r="P11" s="3759">
        <f>$O$11*(IF('3.Cropland'!$BB$59="",'3.Cropland'!$BA$59,'3.Cropland'!$BB$59)*IF('3.Cropland'!$BD$59="",'3.Cropland'!$BC$59,'3.Cropland'!$BD$59))</f>
        <v/>
      </c>
      <c r="Q11" s="3760">
        <f>P11</f>
        <v/>
      </c>
      <c r="R11" s="3760">
        <f>(P11-O11)/20*(-44/12)</f>
        <v/>
      </c>
      <c r="S11" s="3760">
        <f>(Q11-O11)/20*(-44/12)</f>
        <v/>
      </c>
      <c r="T11" s="3761" t="n"/>
      <c r="U11" s="3761" t="n"/>
      <c r="V11" s="3760">
        <f>IF($D15="YES", $F15*IPCC!$D$75,0)*IPCC!$B$89/$E15</f>
        <v/>
      </c>
      <c r="W11" s="3760">
        <f>IF($D15="YES", $F15* IPCC!$E$75,0)*IPCC!$B$89/$E15</f>
        <v/>
      </c>
      <c r="X11" s="3760">
        <f>(V11*methane+W11*Nitrous)/1000</f>
        <v/>
      </c>
      <c r="Y11" s="3762">
        <f>'3.Cropland'!M59</f>
        <v/>
      </c>
      <c r="AB11" s="284" t="n"/>
      <c r="AC11" s="284" t="n"/>
      <c r="AD11" s="284" t="n"/>
      <c r="AE11" s="284" t="n"/>
      <c r="AF11" s="284" t="n"/>
      <c r="AG11" s="284" t="n"/>
      <c r="AI11" s="3288" t="inlineStr">
        <is>
          <t>w/out</t>
        </is>
      </c>
      <c r="AJ11" s="3289" t="inlineStr">
        <is>
          <t>with</t>
        </is>
      </c>
      <c r="AK11" s="3288" t="inlineStr">
        <is>
          <t>w/out</t>
        </is>
      </c>
      <c r="AL11" s="3289" t="inlineStr">
        <is>
          <t>with</t>
        </is>
      </c>
      <c r="AP11" s="3709" t="inlineStr">
        <is>
          <t>w/out</t>
        </is>
      </c>
      <c r="AQ11" s="3710" t="inlineStr">
        <is>
          <t>with</t>
        </is>
      </c>
      <c r="AR11" s="3711" t="inlineStr">
        <is>
          <t>without</t>
        </is>
      </c>
      <c r="AS11" s="3711" t="inlineStr">
        <is>
          <t>With</t>
        </is>
      </c>
      <c r="AT11" s="3711" t="inlineStr">
        <is>
          <t>w/out</t>
        </is>
      </c>
      <c r="AU11" s="3711" t="inlineStr">
        <is>
          <t>With</t>
        </is>
      </c>
      <c r="AV11" s="3711" t="inlineStr">
        <is>
          <t>w/out</t>
        </is>
      </c>
      <c r="AW11" s="3711" t="inlineStr">
        <is>
          <t>With</t>
        </is>
      </c>
      <c r="AX11" s="3711" t="inlineStr">
        <is>
          <t>w/out</t>
        </is>
      </c>
      <c r="AY11" s="3711" t="inlineStr">
        <is>
          <t>With</t>
        </is>
      </c>
    </row>
    <row r="12" ht="19" customHeight="1">
      <c r="A12" s="720" t="inlineStr">
        <is>
          <t>Deforestation (FL -&gt; Perennial)</t>
        </is>
      </c>
      <c r="B12" s="3775" t="inlineStr">
        <is>
          <t>Perennial after deforestation</t>
        </is>
      </c>
      <c r="C12" s="3775">
        <f>'3.Cropland'!$E56</f>
        <v/>
      </c>
      <c r="D12" s="3731">
        <f>'3.Cropland'!$K56</f>
        <v/>
      </c>
      <c r="E12" s="3267">
        <f>IF('3.Cropland'!$BH56="", '3.Cropland'!$BG56, '3.Cropland'!$BH56)</f>
        <v/>
      </c>
      <c r="F12" s="3267">
        <f>IF('3.Cropland'!$BF56="", '3.Cropland'!$BE56, '3.Cropland'!$BF56)</f>
        <v/>
      </c>
      <c r="G12" s="4079">
        <f>(IF('3.Cropland'!$E56&lt;&gt;"Please select", INDEX(IPCC!$E$105:$T$298,MATCH(clim_moist_cont,IPCC!$C$105:$C$298,0),MATCH('3.Cropland'!$E56,IPCC!$E$105:$T$105,0))*(44/12), 0))</f>
        <v/>
      </c>
      <c r="H12" s="4079">
        <f>IF('3.Cropland'!$AT56&lt;&gt;"", '3.Cropland'!$AT56*(44/12), '3.Cropland'!$AS56*(44/12))</f>
        <v/>
      </c>
      <c r="I12" s="4079">
        <f>(IF('3.Cropland'!$E56&lt;&gt;"Please select",INDEX(IPCC!$E$308:$T$501,MATCH(clim_moist_cont,IPCC!$C$308:$C$501,0),MATCH('3.Cropland'!$E56,IPCC!$E$308:$T$308,0))*(44/12),0))</f>
        <v/>
      </c>
      <c r="J12" s="4079">
        <f>IF('3.Cropland'!$AV56&lt;&gt;"", '3.Cropland'!$AV56*(44/12), '3.Cropland'!$AU56*(44/12))</f>
        <v/>
      </c>
      <c r="K12" s="4080">
        <f>H12+J12</f>
        <v/>
      </c>
      <c r="L12" s="4080">
        <f>IF(OR(C12="Please select",G12&lt;&gt;H12),0,INDEX(IPCC!$A$3235:$Q$3241,MATCH(climate,IPCC!$A$3235:$A$3241,0),MATCH(perennial!C12,IPCC!$A$3235:$Q$3235,0)))*44/12</f>
        <v/>
      </c>
      <c r="M12" s="3181">
        <f>IFERROR(L12/H12,0)</f>
        <v/>
      </c>
      <c r="O12" s="3303" t="inlineStr">
        <is>
          <t xml:space="preserve">Perennial  remainining Perennial </t>
        </is>
      </c>
      <c r="P12" s="3304" t="n"/>
      <c r="Q12" s="872" t="n"/>
      <c r="R12" s="872" t="n"/>
      <c r="S12" s="872" t="n"/>
      <c r="T12" s="872" t="n"/>
      <c r="U12" s="872" t="n"/>
      <c r="V12" s="872" t="n"/>
      <c r="W12" s="872" t="n"/>
      <c r="X12" s="3309" t="n"/>
      <c r="Y12" s="872" t="n"/>
      <c r="AB12" s="284" t="n"/>
      <c r="AC12" s="284" t="n"/>
      <c r="AD12" s="284" t="n"/>
      <c r="AE12" s="284" t="n"/>
      <c r="AF12" s="284" t="n"/>
      <c r="AG12" s="284" t="n"/>
      <c r="AH12" s="3481" t="inlineStr">
        <is>
          <t>Perennial after deforestation</t>
        </is>
      </c>
      <c r="AI12" s="3725">
        <f>(MIN(C33,D33)*time_tot+ABS(D33-C33)*IF(D33&gt;C33,time_cap+time*(VLOOKUP(E33, list!$J$48:$K$50,2,)),time*(1-(VLOOKUP(E33, list!$J$48:$K$50,2,)))))*perennial!V8*methane/1000</f>
        <v/>
      </c>
      <c r="AJ12" s="3725">
        <f>(($C33*time)+((F33-$C33))*(VLOOKUP(G33, list!$J$48:$K$50,2,)*time)+(F33*time_cap))*perennial!V8*methane/1000</f>
        <v/>
      </c>
      <c r="AK12" s="3725">
        <f>(MIN(C33,D33)*time_tot+ABS(D33-C33)*IF(D33&gt;C33,time_cap+time*(VLOOKUP(E33, list!$J$48:$K$50,2,)),time*(1-(VLOOKUP(E33, list!$J$48:$K$50,2,)))))*W8*Nitrous/1000</f>
        <v/>
      </c>
      <c r="AL12" s="3726">
        <f>(($C33*time)+((F33-$C33))*(VLOOKUP(G33, list!$J$48:$K$50,2,)*time)+(F33*time_cap))*W8*Nitrous/1000</f>
        <v/>
      </c>
      <c r="AP12" s="3290">
        <f>-(MIN(C33,D33)*time+ABS(D33-C33)*IF(D33&gt;C33,0+(time-1)*(VLOOKUP(E33, list!$J$48:$K$50,2,)),(time-1)*(1-(VLOOKUP(E33, list!$J$48:$K$50,2,)))))*$K12</f>
        <v/>
      </c>
      <c r="AQ12" s="3291">
        <f>-(MIN(C33,F33)*time+ABS(F33-C33)*IF(F33&gt;C33, 0+(time-1)*(VLOOKUP(G33,list!$J$48:$K$50,2,)),(time-1)*(1-(VLOOKUP(G33, list!$J$48:$K$50,2,)))))*K12</f>
        <v/>
      </c>
      <c r="AR12" s="3291">
        <f>-$R8*((MIN($C33,D33)*MIN(20,time))+IF(E33="Immediate",IF(D33&gt;$C33,D33*MIN(20,time),0),IF($C33&gt;D33,($C33-D33)*IF(time&gt;20,IF(E33="Linear",time-((time-20)^2)/(2*time),(0.215*time)-(time/4.6)*(EXP(-92.1/time)-0.01)),time*(1-VLOOKUP(E33, list!$J$48:$K$50,2,))),(D33-$C33)*IF(time&gt;time+20,20,IF(time&lt;20,(time*VLOOKUP(E33, list!$J$48:$K$50,2,))+(time-time),((MIN(20,time)*VLOOKUP(E33, list!$J$48:$K$50,2,))+(time-MIN(20,time))-IF(E33="Exponential",time-20+0.217*time*(EXP(4.606*(20-time)/time)-1),((time-20)^2)*(0.5/time))))))))</f>
        <v/>
      </c>
      <c r="AS12" s="3291">
        <f>-$S8*((MIN($C33,F33)*MIN(20,time))+IF(G33="Immediate",IF(F33&gt;$C33,F33*MIN(20,time),0),IF($C33&gt;F33,($C33-F33)*IF(time&gt;20,IF(G33="Linear",time-((time-20)^2)/(2*time),(0.215*time)-(time/4.6)*(EXP(-92.1/time)-0.01)),time*(1-VLOOKUP(G33, list!$J$48:$K$50,2,))),(F33-$C33)*IF(time&gt;time+20,20,IF(time&lt;20,(time*VLOOKUP(G33, list!$J$48:$K$50,2,))+(time-time),((MIN(20,time)*VLOOKUP(G33, list!$J$48:$K$50,2,))+(time-MIN(20,time))-IF(G33="Exponential",time-20+0.217*time*(EXP(4.606*(20-time)/time)-1),((time-20)^2)*(0.5/time))))))))</f>
        <v/>
      </c>
      <c r="AT12" s="3291">
        <f>(MIN(C33,D33)*time+ABS(D33-C33)*IF(D33&gt;C33,0+time*(VLOOKUP(E33, list!$J$48:$K$50,2,)),time*(1-(VLOOKUP(E33, list!$J$48:$K$50,2,)))))*perennial!V8*methane/1000</f>
        <v/>
      </c>
      <c r="AU12" s="3291">
        <f>(($C33*time)+((F33-$C33))*(VLOOKUP(G33, list!$J$48:$K$50,2,)*time)+(F33*0))*perennial!V8*methane/1000</f>
        <v/>
      </c>
      <c r="AV12" s="3291">
        <f>(MIN(C33,D33)*time+ABS(D33-C33)*IF(D33&gt;C33,0+time*(VLOOKUP(E33, list!$J$48:$K$50,2,)),time*(1-(VLOOKUP(E33, list!$J$48:$K$50,2,)))))*W8*Nitrous/1000</f>
        <v/>
      </c>
      <c r="AW12" s="3291">
        <f>(($C33*time)+((F33-$C33))*(VLOOKUP(G33, list!$J$48:$K$50,2,)*time)+(F33*0))*W8*Nitrous/1000</f>
        <v/>
      </c>
      <c r="AX12" s="3291">
        <f>IF(P8&lt;O8,(O8-P8)/20/10*1000*N2O_N_conversion/1000*((MIN($C33,D33)*MIN(20,time))+IF(E33="Immediate",IF(D33&gt;$C33,D33*MIN(20,time),0),IF($C33&gt;D33,($C33-D33)*IF(time&gt;20,IF(E33="Linear",time-((time-20)^2)/(2*time),(0.215*time)-(time/4.6)*(EXP(-92.1/time)-0.01)),time*(1-VLOOKUP(E33, list!$J$48:$K$50,2,))),(D33-$C33)*IF(time&gt;time+20,20,IF(time&lt;20,(time*VLOOKUP(E33, list!$J$48:$K$50,2,))+(time-time),((MIN(20,time)*VLOOKUP(E33, list!$J$48:$K$50,2,))+(time-MIN(20,time))-IF(E33="Exponential",time-20+0.217*time*(EXP(4.606*(20-time)/time)-1),((time_tot-20)^2)*(0.5/time)))))))),0)</f>
        <v/>
      </c>
      <c r="AY12" s="3292">
        <f>IF(Q8&lt;O8,(O8-Q8)/20/10*1000*N2O_N_conversion/1000*((MIN($C33,F33)*MIN(20,time))+IF(G33="Immediate",IF(F33&gt;$C33,F33*MIN(20,time),0),IF($C33&gt;F33,($C33-F33)*IF(time&gt;20,IF(G33="Linear",time-((time-20)^2)/(2*time),(0.215*time)-(time/4.6)*(EXP(-92.1/time)-0.01)),time*(1-VLOOKUP(G33, list!$J$48:$K$50,2,))),(F33-$C33)*IF(time&gt;time+20,20,IF(time&lt;20,(time*VLOOKUP(G33, list!$J$48:$K$50,2,))+(time-time),((MIN(20,time)*VLOOKUP(G33, list!$J$48:$K$50,2,))+(time-MIN(20,time))-IF(G33="Exponential",time-20+0.217*time*(EXP(4.606*(20-tim)/time)-1),((time-20)^2)*(0.5/time)))))))),0)</f>
        <v/>
      </c>
    </row>
    <row r="13">
      <c r="A13" s="701" t="inlineStr">
        <is>
          <t>Afforestation (Perennial -&gt; FL)</t>
        </is>
      </c>
      <c r="B13" s="3482" t="inlineStr">
        <is>
          <t>Perennial converted to forest land</t>
        </is>
      </c>
      <c r="C13" s="3482">
        <f>'3.Cropland'!$E57</f>
        <v/>
      </c>
      <c r="D13" s="3652">
        <f>'3.Cropland'!$K57</f>
        <v/>
      </c>
      <c r="E13" s="3653">
        <f>IF('3.Cropland'!$BH57="", '3.Cropland'!$BG57, '3.Cropland'!$BH57)</f>
        <v/>
      </c>
      <c r="F13" s="3653">
        <f>IF('3.Cropland'!$BF57="", '3.Cropland'!$BE57, '3.Cropland'!$BF57)</f>
        <v/>
      </c>
      <c r="G13" s="4081">
        <f>(IF('3.Cropland'!$E57&lt;&gt;"Please select", INDEX(IPCC!$E$105:$T$298,MATCH(clim_moist_cont,IPCC!$C$105:$C$298,0),MATCH('3.Cropland'!$E57,IPCC!$E$105:$T$105,0))*(44/12), 0))</f>
        <v/>
      </c>
      <c r="H13" s="4081">
        <f>IF('3.Cropland'!$AT57&lt;&gt;"", '3.Cropland'!$AT57*(44/12), '3.Cropland'!$AS57*(44/12))</f>
        <v/>
      </c>
      <c r="I13" s="4081">
        <f>(IF('3.Cropland'!$E57&lt;&gt;"Please select",INDEX(IPCC!$E$308:$T$501,MATCH(clim_moist_cont,IPCC!$C$308:$C$501,0),MATCH('3.Cropland'!$E57,IPCC!$E$308:$T$308,0))*(44/12),0))</f>
        <v/>
      </c>
      <c r="J13" s="4081">
        <f>IF('3.Cropland'!$AV57&lt;&gt;"", '3.Cropland'!$AV57*(44/12), '3.Cropland'!$AU57*(44/12))</f>
        <v/>
      </c>
      <c r="K13" s="4082">
        <f>H13+J13</f>
        <v/>
      </c>
      <c r="L13" s="4082">
        <f>IF(OR(C13="Please select",G13&lt;&gt;H13),0,INDEX(IPCC!$A$3235:$Q$3241,MATCH(climate,IPCC!$A$3235:$A$3241,0),MATCH(perennial!C13,IPCC!$A$3235:$Q$3235,0)))*44/12</f>
        <v/>
      </c>
      <c r="M13" s="3177">
        <f>IFERROR(L13/H13,0)</f>
        <v/>
      </c>
      <c r="O13" s="3669" t="inlineStr">
        <is>
          <t xml:space="preserve">SOC REF </t>
        </is>
      </c>
      <c r="P13" s="3669" t="inlineStr">
        <is>
          <t xml:space="preserve">FLU </t>
        </is>
      </c>
      <c r="Q13" s="3669" t="inlineStr">
        <is>
          <t>FMG</t>
        </is>
      </c>
      <c r="R13" s="3669" t="inlineStr">
        <is>
          <t>FI</t>
        </is>
      </c>
      <c r="S13" s="3669" t="inlineStr">
        <is>
          <t>SOCREF * FLU*FMG*FI</t>
        </is>
      </c>
      <c r="T13" s="3669" t="inlineStr">
        <is>
          <t>delta Soil C = SOCREF * FLU*FMG*FI - SOCREF*FLU</t>
        </is>
      </c>
      <c r="U13" s="3669" t="inlineStr">
        <is>
          <t>SOCREF * FLU*FMG*FI</t>
        </is>
      </c>
      <c r="V13" s="3744" t="inlineStr">
        <is>
          <t>Main and minor crop</t>
        </is>
      </c>
      <c r="W13" s="3745" t="n"/>
      <c r="X13" s="3746" t="n"/>
      <c r="Y13" s="3746" t="n"/>
      <c r="AB13" s="284" t="n"/>
      <c r="AC13" s="284" t="n"/>
      <c r="AD13" s="284" t="n"/>
      <c r="AE13" s="284" t="n"/>
      <c r="AF13" s="284" t="n"/>
      <c r="AG13" s="284" t="n"/>
      <c r="AH13" s="3482" t="inlineStr">
        <is>
          <t>Perennial converted to forest land</t>
        </is>
      </c>
      <c r="AI13" s="3659">
        <f>(MIN(C34,D34)*time_tot+ABS(D34-C34)*IF(D34&gt;C34,time_cap+time*(VLOOKUP(E34, list!$J$48:$K$50,2,)),time*(1-(VLOOKUP(E34, list!$J$48:$K$50,2,)))))*perennial!V9*methane/1000</f>
        <v/>
      </c>
      <c r="AJ13" s="3659">
        <f>(($C34*time)+((F34-$C34))*(VLOOKUP(G34, list!$J$48:$K$50,2,)*time)+(F34*time_cap))*perennial!V9*methane/1000</f>
        <v/>
      </c>
      <c r="AK13" s="3659">
        <f>(MIN(C34,D34)*time_tot+ABS(D34-C34)*IF(D34&gt;C34,time_cap+time*(VLOOKUP(E34, list!$J$48:$K$50,2,)),time*(1-(VLOOKUP(E34, list!$J$48:$K$50,2,)))))*W9*Nitrous/1000</f>
        <v/>
      </c>
      <c r="AL13" s="3659">
        <f>(($C34*time)+((F34-$C34))*(VLOOKUP(G34, list!$J$48:$K$50,2,)*time)+(F34*time_cap))*W9*Nitrous/1000</f>
        <v/>
      </c>
      <c r="AP13" s="3657">
        <f>-(MIN(C34,D34)*time+ABS(D34-C34)*IF(D34&gt;C34,0+(time-1)*(VLOOKUP(E34, list!$J$48:$K$50,2,)),(time-1)*(1-(VLOOKUP(E34, list!$J$48:$K$50,2,)))))*$K13</f>
        <v/>
      </c>
      <c r="AQ13" s="3656">
        <f>-(MIN(C34,F34)*time+ABS(F34-C34)*IF(F34&gt;C34, 0+(time-1)*(VLOOKUP(G34,list!$J$48:$K$50,2,)),(time-1)*(1-(VLOOKUP(G34, list!$J$48:$K$50,2,)))))*K13</f>
        <v/>
      </c>
      <c r="AR13" s="3656">
        <f>-$R9*((MIN($C34,D34)*MIN(20,time))+IF(E34="Immediate",IF(D34&gt;$C34,D34*MIN(20,time),0),IF($C34&gt;D34,($C34-D34)*IF(time&gt;20,IF(E34="Linear",time-((time-20)^2)/(2*time),(0.215*time)-(time/4.6)*(EXP(-92.1/time)-0.01)),time*(1-VLOOKUP(E34, list!$J$48:$K$50,2,))),(D34-$C34)*IF(time&gt;time+20,20,IF(time&lt;20,(time*VLOOKUP(E34, list!$J$48:$K$50,2,))+(time-time),((MIN(20,time)*VLOOKUP(E34, list!$J$48:$K$50,2,))+(time-MIN(20,time))-IF(E34="Exponential",time-20+0.217*time*(EXP(4.606*(20-time)/time)-1),((time-20)^2)*(0.5/time))))))))</f>
        <v/>
      </c>
      <c r="AS13" s="3656">
        <f>-$S9*((MIN($C34,F34)*MIN(20,time))+IF(G34="Immediate",IF(F34&gt;$C34,F34*MIN(20,time),0),IF($C34&gt;F34,($C34-F34)*IF(time&gt;20,IF(G34="Linear",time-((time-20)^2)/(2*time),(0.215*time)-(time/4.6)*(EXP(-92.1/time)-0.01)),time*(1-VLOOKUP(G34, list!$J$48:$K$50,2,))),(F34-$C34)*IF(time&gt;time+20,20,IF(time&lt;20,(time*VLOOKUP(G34, list!$J$48:$K$50,2,))+(time-time),((MIN(20,time)*VLOOKUP(G34, list!$J$48:$K$50,2,))+(time-MIN(20,time))-IF(G34="Exponential",time-20+0.217*time*(EXP(4.606*(20-time)/time)-1),((time-20)^2)*(0.5/time))))))))</f>
        <v/>
      </c>
      <c r="AT13" s="3656">
        <f>(MIN(C34,D34)*time+ABS(D34-C34)*IF(D34&gt;C34,0+time*(VLOOKUP(E34, list!$J$48:$K$50,2,)),time*(1-(VLOOKUP(E34, list!$J$48:$K$50,2,)))))*perennial!V9*methane/1000</f>
        <v/>
      </c>
      <c r="AU13" s="3656">
        <f>(($C34*time)+((F34-$C34))*(VLOOKUP(G34, list!$J$48:$K$50,2,)*time)+(F34*0))*perennial!V9*methane/1000</f>
        <v/>
      </c>
      <c r="AV13" s="3656">
        <f>(MIN(C34,D34)*time+ABS(D34-C34)*IF(D34&gt;C34,0+time*(VLOOKUP(E34, list!$J$48:$K$50,2,)),time*(1-(VLOOKUP(E34, list!$J$48:$K$50,2,)))))*W9*Nitrous/1000</f>
        <v/>
      </c>
      <c r="AW13" s="3656">
        <f>(($C34*time)+((F34-$C34))*(VLOOKUP(G34, list!$J$48:$K$50,2,)*time)+(F34*0))*W9*Nitrous/1000</f>
        <v/>
      </c>
      <c r="AX13" s="3656">
        <f>IF(P9&lt;O9,(O9-P9)/20/10*1000*N2O_N_conversion/1000*((MIN($C34,D34)*MIN(20,time))+IF(E34="Immediate",IF(D34&gt;$C34,D34*MIN(20,time),0),IF($C34&gt;D34,($C34-D34)*IF(time&gt;20,IF(E34="Linear",time-((time-20)^2)/(2*time),(0.215*time)-(time/4.6)*(EXP(-92.1/time)-0.01)),time*(1-VLOOKUP(E34, list!$J$48:$K$50,2,))),(D34-$C34)*IF(time&gt;time+20,20,IF(time&lt;20,(time*VLOOKUP(E34, list!$J$48:$K$50,2,))+(time-time),((MIN(20,time)*VLOOKUP(E34, list!$J$48:$K$50,2,))+(time-MIN(20,time))-IF(E34="Exponential",time-20+0.217*time*(EXP(4.606*(20-time)/time)-1),((time_tot-20)^2)*(0.5/time)))))))),0)</f>
        <v/>
      </c>
      <c r="AY13" s="3658">
        <f>IF(Q9&lt;O9,(O9-Q9)/20/10*1000*N2O_N_conversion/1000*((MIN($C34,F34)*MIN(20,time))+IF(G34="Immediate",IF(F34&gt;$C34,F34*MIN(20,time),0),IF($C34&gt;F34,($C34-F34)*IF(time&gt;20,IF(G34="Linear",time-((time-20)^2)/(2*time),(0.215*time)-(time/4.6)*(EXP(-92.1/time)-0.01)),time*(1-VLOOKUP(G34, list!$J$48:$K$50,2,))),(F34-$C34)*IF(time&gt;time+20,20,IF(time&lt;20,(time*VLOOKUP(G34, list!$J$48:$K$50,2,))+(time-time),((MIN(20,time)*VLOOKUP(G34, list!$J$48:$K$50,2,))+(time-MIN(20,time))-IF(G34="Exponential",time-20+0.217*time*(EXP(4.606*(20-tim)/time)-1),((time-20)^2)*(0.5/time)))))))),0)</f>
        <v/>
      </c>
    </row>
    <row r="14">
      <c r="A14" s="787" t="inlineStr">
        <is>
          <t xml:space="preserve">non-FL converted perennial </t>
        </is>
      </c>
      <c r="B14" s="3647" t="inlineStr">
        <is>
          <t>Perennial after non-forest land use</t>
        </is>
      </c>
      <c r="C14" s="3647">
        <f>'3.Cropland'!$E58</f>
        <v/>
      </c>
      <c r="D14" s="3732">
        <f>'3.Cropland'!$K58</f>
        <v/>
      </c>
      <c r="E14" s="3268">
        <f>IF('3.Cropland'!$BH58="", '3.Cropland'!$BG58, '3.Cropland'!$BH58)</f>
        <v/>
      </c>
      <c r="F14" s="3268">
        <f>IF('3.Cropland'!$BF58="", '3.Cropland'!$BE58, '3.Cropland'!$BF58)</f>
        <v/>
      </c>
      <c r="G14" s="4083">
        <f>(IF('3.Cropland'!$E58&lt;&gt;"Please select", INDEX(IPCC!$E$105:$T$298,MATCH(clim_moist_cont,IPCC!$C$105:$C$298,0),MATCH('3.Cropland'!$E58,IPCC!$E$105:$T$105,0))*(44/12), 0))</f>
        <v/>
      </c>
      <c r="H14" s="4083">
        <f>IF('3.Cropland'!$AT58&lt;&gt;"", '3.Cropland'!$AT58*(44/12), '3.Cropland'!$AS58*(44/12))</f>
        <v/>
      </c>
      <c r="I14" s="4083">
        <f>(IF('3.Cropland'!$E58&lt;&gt;"Please select",INDEX(IPCC!$E$308:$T$501,MATCH(clim_moist_cont,IPCC!$C$308:$C$501,0),MATCH('3.Cropland'!$E58,IPCC!$E$308:$T$308,0))*(44/12),0))</f>
        <v/>
      </c>
      <c r="J14" s="4083">
        <f>IF('3.Cropland'!$AV58&lt;&gt;"", '3.Cropland'!$AV58*(44/12), '3.Cropland'!$AU58*(44/12))</f>
        <v/>
      </c>
      <c r="K14" s="4084">
        <f>H14+J14</f>
        <v/>
      </c>
      <c r="L14" s="4084">
        <f>IF(OR(C14="Please select",G14&lt;&gt;H14),0,INDEX(IPCC!$A$3235:$Q$3241,MATCH(climate,IPCC!$A$3235:$A$3241,0),MATCH(perennial!C14,IPCC!$A$3235:$Q$3235,0)))*44/12</f>
        <v/>
      </c>
      <c r="M14" s="3178">
        <f>IFERROR(L14/H14,0)</f>
        <v/>
      </c>
      <c r="O14" s="3747" t="inlineStr">
        <is>
          <t>tC/ha</t>
        </is>
      </c>
      <c r="P14" s="3669" t="inlineStr">
        <is>
          <t>(-)</t>
        </is>
      </c>
      <c r="Q14" s="3669" t="inlineStr">
        <is>
          <t>(-)</t>
        </is>
      </c>
      <c r="R14" s="3669" t="inlineStr">
        <is>
          <t>(-)</t>
        </is>
      </c>
      <c r="S14" s="3669" t="inlineStr">
        <is>
          <t>tC/ha</t>
        </is>
      </c>
      <c r="T14" s="3669" t="inlineStr">
        <is>
          <t>tCO2/ha</t>
        </is>
      </c>
      <c r="U14" s="3669" t="inlineStr">
        <is>
          <t>tCO2/ha/year</t>
        </is>
      </c>
      <c r="V14" s="3669" t="inlineStr">
        <is>
          <t>CH4</t>
        </is>
      </c>
      <c r="W14" s="3669" t="inlineStr">
        <is>
          <t>N2O</t>
        </is>
      </c>
      <c r="X14" s="3669" t="inlineStr">
        <is>
          <t>CO2eq</t>
        </is>
      </c>
      <c r="Y14" s="3669" t="inlineStr">
        <is>
          <t>Yields</t>
        </is>
      </c>
      <c r="AB14" s="4167" t="n"/>
      <c r="AC14" s="4167" t="n"/>
      <c r="AD14" s="4167" t="n"/>
      <c r="AE14" s="4167" t="n"/>
      <c r="AF14" s="4167" t="n"/>
      <c r="AG14" s="4167" t="n"/>
      <c r="AH14" s="787" t="inlineStr">
        <is>
          <t xml:space="preserve">non-FL converted perennial </t>
        </is>
      </c>
      <c r="AI14" s="3727">
        <f>(MIN(C35,D35)*time_tot+ABS(D35-C35)*IF(D35&gt;C35,time_cap+time*(VLOOKUP(E35, list!$J$48:$K$50,2,)),time*(1-(VLOOKUP(E35, list!$J$48:$K$50,2,)))))*perennial!V10*methane/1000</f>
        <v/>
      </c>
      <c r="AJ14" s="3727">
        <f>(($C35*time)+((F35-$C35))*(VLOOKUP(G35, list!$J$48:$K$50,2,)*time)+(F35*time_cap))*perennial!V10*methane/1000</f>
        <v/>
      </c>
      <c r="AK14" s="3727">
        <f>(MIN(C35,D35)*time_tot+ABS(D35-C35)*IF(D35&gt;C35,time_cap+time*(VLOOKUP(E35, list!$J$48:$K$50,2,)),time*(1-(VLOOKUP(E35, list!$J$48:$K$50,2,)))))*W10*Nitrous/1000</f>
        <v/>
      </c>
      <c r="AL14" s="3727">
        <f>(($C35*time)+((F35-$C35))*(VLOOKUP(G35, list!$J$48:$K$50,2,)*time)+(F35*time_cap))*W10*Nitrous/1000</f>
        <v/>
      </c>
      <c r="AP14" s="3296">
        <f>-(MIN(C35,D35)*time+ABS(D35-C35)*IF(D35&gt;C35,0+(time-1)*(VLOOKUP(E35, list!$J$48:$K$50,2,)),(time-1)*(1-(VLOOKUP(E35, list!$J$48:$K$50,2,)))))*$K14</f>
        <v/>
      </c>
      <c r="AQ14" s="3297">
        <f>-(MIN(C35,F35)*time+ABS(F35-C35)*IF(F35&gt;C35, 0+(time-1)*(VLOOKUP(G35,list!$J$48:$K$50,2,)),(time-1)*(1-(VLOOKUP(G35, list!$J$48:$K$50,2,)))))*K14</f>
        <v/>
      </c>
      <c r="AR14" s="3297">
        <f>-$R10*((MIN($C35,D35)*MIN(20,time))+IF(E35="Immediate",IF(D35&gt;$C35,D35*MIN(20,time),0),IF($C35&gt;D35,($C35-D35)*IF(time&gt;20,IF(E35="Linear",time-((time-20)^2)/(2*time),(0.215*time)-(time/4.6)*(EXP(-92.1/time)-0.01)),time*(1-VLOOKUP(E35, list!$J$48:$K$50,2,))),(D35-$C35)*IF(time&gt;time+20,20,IF(time&lt;20,(time*VLOOKUP(E35, list!$J$48:$K$50,2,))+(time-time),((MIN(20,time)*VLOOKUP(E35, list!$J$48:$K$50,2,))+(time-MIN(20,time))-IF(E35="Exponential",time-20+0.217*time*(EXP(4.606*(20-time)/time)-1),((time-20)^2)*(0.5/time))))))))</f>
        <v/>
      </c>
      <c r="AS14" s="3297">
        <f>-$S10*((MIN($C35,F35)*MIN(20,time))+IF(G35="Immediate",IF(F35&gt;$C35,F35*MIN(20,time),0),IF($C35&gt;F35,($C35-F35)*IF(time&gt;20,IF(G35="Linear",time-((time-20)^2)/(2*time),(0.215*time)-(time/4.6)*(EXP(-92.1/time)-0.01)),time*(1-VLOOKUP(G35, list!$J$48:$K$50,2,))),(F35-$C35)*IF(time&gt;time+20,20,IF(time&lt;20,(time*VLOOKUP(G35, list!$J$48:$K$50,2,))+(time-time),((MIN(20,time)*VLOOKUP(G35, list!$J$48:$K$50,2,))+(time-MIN(20,time))-IF(G35="Exponential",time-20+0.217*time*(EXP(4.606*(20-time)/time)-1),((time-20)^2)*(0.5/time))))))))</f>
        <v/>
      </c>
      <c r="AT14" s="3297">
        <f>(MIN(C35,D35)*time+ABS(D35-C35)*IF(D35&gt;C35,0+time*(VLOOKUP(E35, list!$J$48:$K$50,2,)),time*(1-(VLOOKUP(E35, list!$J$48:$K$50,2,)))))*perennial!V10*methane/1000</f>
        <v/>
      </c>
      <c r="AU14" s="3297">
        <f>(($C35*time)+((F35-$C35))*(VLOOKUP(G35, list!$J$48:$K$50,2,)*time)+(F35*0))*perennial!V10*methane/1000</f>
        <v/>
      </c>
      <c r="AV14" s="3297">
        <f>(MIN(C35,D35)*time+ABS(D35-C35)*IF(D35&gt;C35,0+time*(VLOOKUP(E35, list!$J$48:$K$50,2,)),time*(1-(VLOOKUP(E35, list!$J$48:$K$50,2,)))))*W10*Nitrous/1000</f>
        <v/>
      </c>
      <c r="AW14" s="3297">
        <f>(($C35*time)+((F35-$C35))*(VLOOKUP(G35, list!$J$48:$K$50,2,)*time)+(F35*0))*W10*Nitrous/1000</f>
        <v/>
      </c>
      <c r="AX14" s="3297">
        <f>IF(P10&lt;O10,(O10-P10)/20/10*1000*N2O_N_conversion/1000*((MIN($C35,D35)*MIN(20,time))+IF(E35="Immediate",IF(D35&gt;$C35,D35*MIN(20,time),0),IF($C35&gt;D35,($C35-D35)*IF(time&gt;20,IF(E35="Linear",time-((time-20)^2)/(2*time),(0.215*time)-(time/4.6)*(EXP(-92.1/time)-0.01)),time*(1-VLOOKUP(E35, list!$J$48:$K$50,2,))),(D35-$C35)*IF(time&gt;time+20,20,IF(time&lt;20,(time*VLOOKUP(E35, list!$J$48:$K$50,2,))+(time-time),((MIN(20,time)*VLOOKUP(E35, list!$J$48:$K$50,2,))+(time-MIN(20,time))-IF(E35="Exponential",time-20+0.217*time*(EXP(4.606*(20-time)/time)-1),((time_tot-20)^2)*(0.5/time)))))))),0)</f>
        <v/>
      </c>
      <c r="AY14" s="3298">
        <f>IF(Q10&lt;O10,(O10-Q10)/20/10*1000*N2O_N_conversion/1000*((MIN($C35,F35)*MIN(20,time))+IF(G35="Immediate",IF(F35&gt;$C35,F35*MIN(20,time),0),IF($C35&gt;F35,($C35-F35)*IF(time&gt;20,IF(G35="Linear",time-((time-20)^2)/(2*time),(0.215*time)-(time/4.6)*(EXP(-92.1/time)-0.01)),time*(1-VLOOKUP(G35, list!$J$48:$K$50,2,))),(F35-$C35)*IF(time&gt;time+20,20,IF(time&lt;20,(time*VLOOKUP(G35, list!$J$48:$K$50,2,))+(time-time),((MIN(20,time)*VLOOKUP(G35, list!$J$48:$K$50,2,))+(time-MIN(20,time))-IF(G35="Exponential",time-20+0.217*time*(EXP(4.606*(20-tim)/time)-1),((time-20)^2)*(0.5/time)))))))),0)</f>
        <v/>
      </c>
    </row>
    <row r="15">
      <c r="A15" s="461" t="n"/>
      <c r="B15" s="3774" t="inlineStr">
        <is>
          <t>Perennial converted to other land use</t>
        </is>
      </c>
      <c r="C15" s="3774">
        <f>'3.Cropland'!$E59</f>
        <v/>
      </c>
      <c r="D15" s="3680">
        <f>'3.Cropland'!$K59</f>
        <v/>
      </c>
      <c r="E15" s="3665">
        <f>IF('3.Cropland'!$BH59="", '3.Cropland'!$BG59, '3.Cropland'!$BH59)</f>
        <v/>
      </c>
      <c r="F15" s="3665">
        <f>IF('3.Cropland'!$BF59="", '3.Cropland'!$BE59, '3.Cropland'!$BF59)</f>
        <v/>
      </c>
      <c r="G15" s="4085">
        <f>(IF('3.Cropland'!$E59&lt;&gt;"Please select", INDEX(IPCC!$E$105:$T$298,MATCH(clim_moist_cont,IPCC!$C$105:$C$298,0),MATCH('3.Cropland'!$E59,IPCC!$E$105:$T$105,0))*(44/12), 0))</f>
        <v/>
      </c>
      <c r="H15" s="4085">
        <f>IF('3.Cropland'!$AT59&lt;&gt;"", '3.Cropland'!$AT59*(44/12), '3.Cropland'!$AS59*(44/12))</f>
        <v/>
      </c>
      <c r="I15" s="4085">
        <f>(IF('3.Cropland'!$E59&lt;&gt;"Please select",INDEX(IPCC!$E$308:$T$501,MATCH(clim_moist_cont,IPCC!$C$308:$C$501,0),MATCH('3.Cropland'!$E59,IPCC!$E$308:$T$308,0))*(44/12),0))</f>
        <v/>
      </c>
      <c r="J15" s="4085">
        <f>IF('3.Cropland'!$AV59&lt;&gt;"", '3.Cropland'!$AV59*(44/12), '3.Cropland'!$AU59*(44/12))</f>
        <v/>
      </c>
      <c r="K15" s="4086">
        <f>H15+J15</f>
        <v/>
      </c>
      <c r="L15" s="4086">
        <f>IF(OR(C15="Please select",G15&lt;&gt;H15),0,INDEX(IPCC!$A$3235:$Q$3241,MATCH(climate,IPCC!$A$3235:$A$3241,0),MATCH(perennial!C15,IPCC!$A$3235:$Q$3235,0)))*44/12</f>
        <v/>
      </c>
      <c r="M15" s="4077">
        <f>IFERROR(L15/H15,0)</f>
        <v/>
      </c>
      <c r="O15" s="3330" t="inlineStr">
        <is>
          <t>IPCC default or Picking Tier 2 (if specified)</t>
        </is>
      </c>
      <c r="P15" s="3330" t="inlineStr">
        <is>
          <t>IPCC default or Picking Tier 2 (if specified)</t>
        </is>
      </c>
      <c r="Q15" s="3330" t="inlineStr">
        <is>
          <t>IPCC default or Picking Tier 2 (if specified)</t>
        </is>
      </c>
      <c r="R15" s="3330" t="inlineStr">
        <is>
          <t>IPCC default or Picking Tier 2 (if specified)</t>
        </is>
      </c>
      <c r="S15" s="3330" t="n"/>
      <c r="T15" s="3669" t="n"/>
      <c r="U15" s="3748" t="inlineStr">
        <is>
          <t>limited to 20 years</t>
        </is>
      </c>
      <c r="V15" s="3669" t="inlineStr">
        <is>
          <t>kg/ha/yr</t>
        </is>
      </c>
      <c r="W15" s="3669" t="inlineStr">
        <is>
          <t>kg/ha/yr</t>
        </is>
      </c>
      <c r="X15" s="3669" t="inlineStr">
        <is>
          <t>tCO2eq/ha/yr</t>
        </is>
      </c>
      <c r="Y15" s="3669" t="inlineStr">
        <is>
          <t>(t/ha/yr)</t>
        </is>
      </c>
      <c r="AB15" s="4167" t="n"/>
      <c r="AC15" s="4167" t="n"/>
      <c r="AD15" s="284" t="n"/>
      <c r="AE15" s="284" t="n"/>
      <c r="AF15" s="284" t="n"/>
      <c r="AG15" s="284" t="n"/>
      <c r="AH15" s="3729" t="inlineStr">
        <is>
          <t>Perennial converted to other land use</t>
        </is>
      </c>
      <c r="AI15" s="3730">
        <f>(MIN(C36,D36)*time_tot+ABS(D36-C36)*IF(D36&gt;C36,time_cap+time*(VLOOKUP(E36, list!$J$48:$K$50,2,)),time*(1-(VLOOKUP(E36, list!$J$48:$K$50,2,)))))*perennial!V11*methane/1000</f>
        <v/>
      </c>
      <c r="AJ15" s="3730">
        <f>(($C36*time)+((F36-$C36))*(VLOOKUP(G36, list!$J$48:$K$50,2,)*time)+(F36*time_cap))*perennial!V11*methane/1000</f>
        <v/>
      </c>
      <c r="AK15" s="3730">
        <f>(MIN(C36,D36)*time_tot+ABS(D36-C36)*IF(D36&gt;C36,time_cap+time*(VLOOKUP(E36, list!$J$48:$K$50,2,)),time*(1-(VLOOKUP(E36, list!$J$48:$K$50,2,)))))*W11*Nitrous/1000</f>
        <v/>
      </c>
      <c r="AL15" s="3730">
        <f>(($C36*time)+((F36-$C36))*(VLOOKUP(G36, list!$J$48:$K$50,2,)*time)+(F36*time_cap))*W11*Nitrous/1000</f>
        <v/>
      </c>
      <c r="AP15" s="3418">
        <f>-(MIN(C36,D36)*time+ABS(D36-C36)*IF(D36&gt;C36,0+(time-1)*(VLOOKUP(E36, list!$J$48:$K$50,2,)),(time-1)*(1-(VLOOKUP(E36, list!$J$48:$K$50,2,)))))*$K15</f>
        <v/>
      </c>
      <c r="AQ15" s="3419">
        <f>-(MIN(C36,F36)*time+ABS(F36-C36)*IF(F36&gt;C36, 0+(time-1)*(VLOOKUP(G36,list!$J$48:$K$50,2,)),(time-1)*(1-(VLOOKUP(G36, list!$J$48:$K$50,2,)))))*K15</f>
        <v/>
      </c>
      <c r="AR15" s="3419">
        <f>-$R11*((MIN($C36,D36)*MIN(20,time))+IF(E36="Immediate",IF(D36&gt;$C36,D36*MIN(20,time),0),IF($C36&gt;D36,($C36-D36)*IF(time&gt;20,IF(E36="Linear",time-((time-20)^2)/(2*time),(0.215*time)-(time/4.6)*(EXP(-92.1/time)-0.01)),time*(1-VLOOKUP(E36, list!$J$48:$K$50,2,))),(D36-$C36)*IF(time&gt;time+20,20,IF(time&lt;20,(time*VLOOKUP(E36, list!$J$48:$K$50,2,))+(time-time),((MIN(20,time)*VLOOKUP(E36, list!$J$48:$K$50,2,))+(time-MIN(20,time))-IF(E36="Exponential",time-20+0.217*time*(EXP(4.606*(20-time)/time)-1),((time-20)^2)*(0.5/time))))))))</f>
        <v/>
      </c>
      <c r="AS15" s="3419">
        <f>-$S11*((MIN($C36,F36)*MIN(20,time))+IF(G36="Immediate",IF(F36&gt;$C36,F36*MIN(20,time),0),IF($C36&gt;F36,($C36-F36)*IF(time&gt;20,IF(G36="Linear",time-((time-20)^2)/(2*time),(0.215*time)-(time/4.6)*(EXP(-92.1/time)-0.01)),time*(1-VLOOKUP(G36, list!$J$48:$K$50,2,))),(F36-$C36)*IF(time&gt;time+20,20,IF(time&lt;20,(time*VLOOKUP(G36, list!$J$48:$K$50,2,))+(time-time),((MIN(20,time)*VLOOKUP(G36, list!$J$48:$K$50,2,))+(time-MIN(20,time))-IF(G36="Exponential",time-20+0.217*time*(EXP(4.606*(20-time)/time)-1),((time-20)^2)*(0.5/time))))))))</f>
        <v/>
      </c>
      <c r="AT15" s="3419">
        <f>(MIN(C36,D36)*time+ABS(D36-C36)*IF(D36&gt;C36,0+time*(VLOOKUP(E36, list!$J$48:$K$50,2,)),time*(1-(VLOOKUP(E36, list!$J$48:$K$50,2,)))))*perennial!V11*methane/1000</f>
        <v/>
      </c>
      <c r="AU15" s="3419">
        <f>(($C36*time)+((F36-$C36))*(VLOOKUP(G36, list!$J$48:$K$50,2,)*time)+(F36*0))*perennial!V11*methane/1000</f>
        <v/>
      </c>
      <c r="AV15" s="3419">
        <f>(MIN(C36,D36)*time+ABS(D36-C36)*IF(D36&gt;C36,0+time*(VLOOKUP(E36, list!$J$48:$K$50,2,)),time*(1-(VLOOKUP(E36, list!$J$48:$K$50,2,)))))*W11*Nitrous/1000</f>
        <v/>
      </c>
      <c r="AW15" s="3419">
        <f>(($C36*time)+((F36-$C36))*(VLOOKUP(G36, list!$J$48:$K$50,2,)*time)+(F36*0))*W11*Nitrous/1000</f>
        <v/>
      </c>
      <c r="AX15" s="3419">
        <f>IF(P11&lt;O11,(O11-P11)/20/10*1000*N2O_N_conversion/1000*((MIN($C36,D36)*MIN(20,time))+IF(E36="Immediate",IF(D36&gt;$C36,D36*MIN(20,time),0),IF($C36&gt;D36,($C36-D36)*IF(time&gt;20,IF(E36="Linear",time-((time-20)^2)/(2*time),(0.215*time)-(time/4.6)*(EXP(-92.1/time)-0.01)),time*(1-VLOOKUP(E36, list!$J$48:$K$50,2,))),(D36-$C36)*IF(time&gt;time+20,20,IF(time&lt;20,(time*VLOOKUP(E36, list!$J$48:$K$50,2,))+(time-time),((MIN(20,time)*VLOOKUP(E36, list!$J$48:$K$50,2,))+(time-MIN(20,time))-IF(E36="Exponential",time-20+0.217*time*(EXP(4.606*(20-time)/time)-1),((time_tot-20)^2)*(0.5/time)))))))),0)</f>
        <v/>
      </c>
      <c r="AY15" s="3420">
        <f>IF(Q11&lt;O11,(O11-Q11)/20/10*1000*N2O_N_conversion/1000*((MIN($C36,F36)*MIN(20,time))+IF(G36="Immediate",IF(F36&gt;$C36,F36*MIN(20,time),0),IF($C36&gt;F36,($C36-F36)*IF(time&gt;20,IF(G36="Linear",time-((time-20)^2)/(2*time),(0.215*time)-(time/4.6)*(EXP(-92.1/time)-0.01)),time*(1-VLOOKUP(G36, list!$J$48:$K$50,2,))),(F36-$C36)*IF(time&gt;time+20,20,IF(time&lt;20,(time*VLOOKUP(G36, list!$J$48:$K$50,2,))+(time-time),((MIN(20,time)*VLOOKUP(G36, list!$J$48:$K$50,2,))+(time-MIN(20,time))-IF(G36="Exponential",time-20+0.217*time*(EXP(4.606*(20-tim)/time)-1),((time-20)^2)*(0.5/time)))))))),0)</f>
        <v/>
      </c>
    </row>
    <row r="16">
      <c r="B16" s="4581">
        <f>'3.Cropland'!C66</f>
        <v/>
      </c>
      <c r="C16" s="875">
        <f>'3.Cropland'!$E66</f>
        <v/>
      </c>
      <c r="D16" s="3776">
        <f>'3.Cropland'!$K66</f>
        <v/>
      </c>
      <c r="E16" s="3770">
        <f>IF('3.Cropland'!$BH66="", '3.Cropland'!$BG66, '3.Cropland'!$BH66)</f>
        <v/>
      </c>
      <c r="F16" s="3770">
        <f>IF('3.Cropland'!$BF66="", '3.Cropland'!$BE66, '3.Cropland'!$BF66)</f>
        <v/>
      </c>
      <c r="G16" s="4066">
        <f>(IF(C16&lt;&gt;"Please select", INDEX(IPCC!$E$105:$T$298,MATCH(clim_moist_cont,IPCC!$C$105:$C$298,0),MATCH('3.Cropland'!$E66,IPCC!$E$105:$T$105,0))*(44/12), 0))</f>
        <v/>
      </c>
      <c r="H16" s="3771">
        <f>IF('3.Cropland'!$AT66&lt;&gt;"", '3.Cropland'!$AT66*(44/12), '3.Cropland'!$AS66*(44/12))</f>
        <v/>
      </c>
      <c r="I16" s="4066">
        <f>(IF('3.Cropland'!$E66&lt;&gt;"Please select",INDEX(IPCC!$E$308:$T$501,MATCH(clim_moist_cont,IPCC!$C$308:$C$501,0),MATCH('3.Cropland'!$E66,IPCC!$E$308:$T$308,0))*(44/12),0))</f>
        <v/>
      </c>
      <c r="J16" s="3772">
        <f>IF('3.Cropland'!$AV66&lt;&gt;"", '3.Cropland'!$AV66*(44/12), '3.Cropland'!$AU66*(44/12))</f>
        <v/>
      </c>
      <c r="K16" s="3773">
        <f>H16+J16</f>
        <v/>
      </c>
      <c r="L16" s="4075">
        <f>IF(OR(C16="Please select",G16&lt;&gt;H16),0,INDEX(IPCC!$A$3235:$Q$3241,MATCH(climate,IPCC!$A$3235:$A$3241,0),MATCH(perennial!C16,IPCC!$A$3235:$Q$3235,0)))*44/12</f>
        <v/>
      </c>
      <c r="M16" s="4078">
        <f>IFERROR(L16/H16,0)</f>
        <v/>
      </c>
      <c r="O16" s="3310">
        <f>IF('3.Cropland'!$E66&lt;&gt; "Please select", IF('3.Cropland'!$AX66&lt;&gt;"", '3.Cropland'!$AX66,'3.Cropland'!$AW66),0)</f>
        <v/>
      </c>
      <c r="P16" s="3311">
        <f>(IF('3.Cropland'!$E66&lt;&gt;"Please select",IF('3.Cropland'!$AZ66&lt;&gt;"", '3.Cropland'!$AZ66,VLOOKUP(clim_moist, IPCC!$A$57:$D$68, 4,FALSE)),0))</f>
        <v/>
      </c>
      <c r="Q16" s="3311">
        <f>_xlfn.IFNA(IF('3.Cropland'!$BB66&lt;&gt;"",'3.Cropland'!$BB66,INDEX(IPCC!$F$58:$H$68,MATCH(clim_moist, IPCC!$A$58:$A$68,0),MATCH('3.Cropland'!$G66, IPCC!$F$58:$H$58,0))),)</f>
        <v/>
      </c>
      <c r="R16" s="3311">
        <f>_xlfn.IFNA(IF('3.Cropland'!$BD66&lt;&gt;"", '3.Cropland'!$BD66, INDEX(IPCC!$B$58:$L$68,MATCH(clim_moist,IPCC!$A$58:$A$68,0),MATCH('3.Cropland'!$I66,IPCC!$B$58:$L$58,0))),0)</f>
        <v/>
      </c>
      <c r="S16" s="3311">
        <f>O16*P16*Q16*R16</f>
        <v/>
      </c>
      <c r="T16" s="3312">
        <f>(S16-O16*P16)*(44/12)</f>
        <v/>
      </c>
      <c r="U16" s="3312">
        <f>T16/20</f>
        <v/>
      </c>
      <c r="V16" s="3312">
        <f>IF($D16="YES", $F16*IPCC!$D$75,0)*IPCC!$B$89/$E16</f>
        <v/>
      </c>
      <c r="W16" s="3312">
        <f>IF($D16="YES", $F16* IPCC!$E$75,0)*IPCC!$B$89/$E16</f>
        <v/>
      </c>
      <c r="X16" s="3312">
        <f>(V16*methane+W16*Nitrous)/1000</f>
        <v/>
      </c>
      <c r="Y16" s="3313">
        <f>'3.Cropland'!$M66</f>
        <v/>
      </c>
      <c r="AB16" s="284" t="n"/>
      <c r="AC16" s="284" t="n"/>
      <c r="AD16" s="284" t="n"/>
      <c r="AE16" s="284" t="n"/>
      <c r="AF16" s="284" t="n"/>
      <c r="AG16" s="2813" t="n"/>
      <c r="AI16" s="3728">
        <f>(MIN(C37,D37)*time_tot+ABS(D37-C37)*IF(D37&gt;C37,time_cap+time*(VLOOKUP(E37, list!$J$48:$K$50,2,)),time*(1-(VLOOKUP(E37, list!$J$48:$K$50,2,)))))*perennial!V16*methane/1000</f>
        <v/>
      </c>
      <c r="AJ16" s="3728">
        <f>(($C37*time)+((F37-$C37))*(VLOOKUP(G37, list!$J$48:$K$50,2,)*time)+(F37*time_cap))*perennial!V16*methane/1000</f>
        <v/>
      </c>
      <c r="AK16" s="3728">
        <f>(MIN(C37,D37)*time_tot+ABS(D37-C37)*IF(D37&gt;C37,time_cap+time*(VLOOKUP(E37, list!$J$48:$K$50,2,)),time*(1-(VLOOKUP(E37, list!$J$48:$K$50,2,)))))*W16*Nitrous/1000</f>
        <v/>
      </c>
      <c r="AL16" s="3728">
        <f>(($C37*time)+((F37-$C37))*(VLOOKUP(G37, list!$J$48:$K$50,2,)*time)+(F37*time_cap))*W16*Nitrous/1000</f>
        <v/>
      </c>
      <c r="AP16" s="3421">
        <f>-(MIN(C37,D37)*time+ABS(D37-C37)*IF(D37&gt;C37,time*(VLOOKUP(E37, list!$J$48:$K$50,2,)),time*(1-(VLOOKUP(E37, list!$J$48:$K$50,2,)))))*(IF($H16&gt;0,$H16,$G16)+IF($J16&gt;0,$J16,$I16))</f>
        <v/>
      </c>
      <c r="AQ16" s="3422">
        <f>-(MIN(C37,F37)*time+ABS(F37-C37)*IF(F37&gt;C37,time*(VLOOKUP(G37, list!$J$48:$K$50,2,)),time*(1-(VLOOKUP(G37, list!$J$48:$K$50,2,)))))*(IF($H16&gt;0,$H16,$G16)+IF($J16&gt;0,$J16,$I16))</f>
        <v/>
      </c>
      <c r="AR16" s="3422">
        <f>-$U16*((MIN($C37,D37)*MIN(20,time))+IF(E37="Immediate",IF(D37&gt;$C37,D37*MIN(20,time),0),IF($C37&gt;D37,($C37-D37)*IF(time&gt;20,IF(E37="Linear",time-((time-20)^2)/(2*time),(0.215*time)-(time/4.6)*(EXP(-92.1/time)-0.01)),time*(1-VLOOKUP(E37, list!$J$48:$K$50,2,))),(D37-$C37)*IF(time&gt;time+20,20,IF(time&lt;20,(time*VLOOKUP(E37, list!$J$48:$K$50,2,))+(time-time),((MIN(20,time)*VLOOKUP(E37, list!$J$48:$K$50,2,))+(time-MIN(20,time))-IF(E37="Exponential",time-20+0.217*time*(EXP(4.606*(20-time)/time)-1),((time-20)^2)*(0.5/time))))))))</f>
        <v/>
      </c>
      <c r="AS16" s="3422">
        <f>-$U16*((MIN($C37,F37)*MIN(20,time))+IF(G37="Immediate",IF(F37&gt;$C37,F37*MIN(20,time),0),IF($C37&gt;F37,($C37-F37)*IF(time&gt;20,IF(G37="Linear",time-((time-20)^2)/(2*time),(0.215*time)-(time/4.6)*(EXP(-92.1/time)-0.01)),time*(1-VLOOKUP(G37, list!$J$48:$K$50,2,))),(F37-$C37)*IF(time&gt;time+20,20,IF(time&lt;20,(time*VLOOKUP(G37, list!$J$48:$K$50,2,))+(time-time),((MIN(20,time)*VLOOKUP(G37, list!$J$48:$K$50,2,))+(time-MIN(20,time))-IF(G37="Exponential",time-20+0.217*time*(EXP(4.606*(20-time)/time)-1),((time-20)^2)*(0.5/time))))))))</f>
        <v/>
      </c>
      <c r="AT16" s="3422">
        <f>(MIN(C37,D37)*time+ABS(D37-C37)*IF(D37&gt;C37,time*(VLOOKUP(E37, list!$J$48:$K$50,2,)),time*(1-(VLOOKUP(E37, list!$J$48:$K$50,2,)))))*perennial!V16*methane/1000</f>
        <v/>
      </c>
      <c r="AU16" s="3422">
        <f>(($C37*time)+((F37-$C37))*(VLOOKUP(G37, list!$J$48:$K$50,2,)*time)+(F37*0))*perennial!V16*methane/1000</f>
        <v/>
      </c>
      <c r="AV16" s="3422">
        <f>(MIN(C37,D37)*time+ABS(D37-C37)*IF(D37&gt;C37,+time*(VLOOKUP(E37, list!$J$48:$K$50,2,)),time*(1-(VLOOKUP(E37, list!$J$48:$K$50,2,)))))*W16*Nitrous/1000</f>
        <v/>
      </c>
      <c r="AW16" s="3422">
        <f>(($C37*time)+((F37-$C37))*(VLOOKUP(G37, list!$J$48:$K$50,2,)*time)+(F37*0))*W16*Nitrous/1000</f>
        <v/>
      </c>
      <c r="AX16" s="3422">
        <f>IF(S16&lt;O16,(O16-S16)/20/10*1000*N2O_N_conversion/1000*((MIN($C37,D37)*MIN(20,time))+IF(E37="Immediate",IF(D37&gt;$C37,D37*MIN(20,time),0),IF($C37&gt;D37,($C37-D37)*IF(time&gt;20,IF(E37="Linear",time-((time-20)^2)/(2*time),(0.215*time)-(time/4.6)*(EXP(-92.1/time)-0.01)),time*(1-VLOOKUP(E37, list!$J$48:$K$50,2,))),(D37-$C37)*IF(time&gt;time+20,20,IF(time&lt;20,(time*VLOOKUP(E37, list!$J$48:$K$50,2,))+(time-time),((MIN(20,time)*VLOOKUP(E37, list!$J$48:$K$50,2,))+(time-MIN(20,time))-IF(E37="Exponential",time-20+0.217*time*(EXP(4.606*(20-time)/time)-1),((time-20)^2)*(0.5/time)))))))),0)</f>
        <v/>
      </c>
      <c r="AY16" s="3423">
        <f>IF(S16&lt;O16,(O16-S16)/20/10*1000*N2O_N_conversion/1000*((MIN($C37,F37)*MIN(20,time))+IF(G37="Immediate",IF(F37&gt;$C37,F37*MIN(20,time),0),IF($C37&gt;F37,($C37-F37)*IF(time&gt;20,IF(G37="Linear",time-((time-20)^2)/(2*time),(0.215*time)-(time/4.6)*(EXP(-92.1/time)-0.01)),time*(1-VLOOKUP(G37, list!$J$48:$K$50,2,))),(F37-$C37)*IF(time&gt;time+20,20,IF(time&lt;20,(time*VLOOKUP(G37, list!$J$48:$K$50,2,))+(time-time),((MIN(20,time)*VLOOKUP(G37, list!$J$48:$K$50,2,))+(time-MIN(20,time))-IF(G37="Exponential",time-20+0.217*time*(EXP(4.606*(20-time)/time)-1),((time-20)^2)*(0.5/time)))))))),0)</f>
        <v/>
      </c>
    </row>
    <row r="17">
      <c r="B17" s="4581">
        <f>'3.Cropland'!C67</f>
        <v/>
      </c>
      <c r="C17" s="875">
        <f>'3.Cropland'!$E67</f>
        <v/>
      </c>
      <c r="D17" s="3777">
        <f>'3.Cropland'!$K67</f>
        <v/>
      </c>
      <c r="E17" s="3764">
        <f>IF('3.Cropland'!$BH67="", '3.Cropland'!$BG67, '3.Cropland'!$BH67)</f>
        <v/>
      </c>
      <c r="F17" s="3764">
        <f>IF('3.Cropland'!$BF67="", '3.Cropland'!$BE67, '3.Cropland'!$BF67)</f>
        <v/>
      </c>
      <c r="G17" s="4066">
        <f>(IF(C17&lt;&gt;"Please select", INDEX(IPCC!$E$105:$T$298,MATCH(clim_moist_cont,IPCC!$C$105:$C$298,0),MATCH('3.Cropland'!$E67,IPCC!$E$105:$T$105,0))*(44/12), 0))</f>
        <v/>
      </c>
      <c r="H17" s="3765">
        <f>IF('3.Cropland'!$AT67&lt;&gt;"", '3.Cropland'!$AT67*(44/12), '3.Cropland'!$AS67*(44/12))</f>
        <v/>
      </c>
      <c r="I17" s="4066">
        <f>(IF('3.Cropland'!$E67&lt;&gt;"Please select",INDEX(IPCC!$E$308:$T$501,MATCH(clim_moist_cont,IPCC!$C$308:$C$501,0),MATCH('3.Cropland'!$E67,IPCC!$E$308:$T$308,0))*(44/12),0))</f>
        <v/>
      </c>
      <c r="J17" s="3430">
        <f>IF('3.Cropland'!$AV67&lt;&gt;"", '3.Cropland'!$AV67*(44/12), '3.Cropland'!$AU67*(44/12))</f>
        <v/>
      </c>
      <c r="K17" s="3668">
        <f>H17+J17</f>
        <v/>
      </c>
      <c r="L17" s="4075">
        <f>IF(OR(C17="Please select",G17&lt;&gt;H17),0,INDEX(IPCC!$A$3235:$Q$3241,MATCH(climate,IPCC!$A$3235:$A$3241,0),MATCH(perennial!C17,IPCC!$A$3235:$Q$3235,0)))*44/12</f>
        <v/>
      </c>
      <c r="M17" s="4078">
        <f>IFERROR(L17/H17,0)</f>
        <v/>
      </c>
      <c r="O17" s="3310">
        <f>IF('3.Cropland'!$E67&lt;&gt; "Please select", IF('3.Cropland'!$AX67&lt;&gt;"", '3.Cropland'!$AX67,'3.Cropland'!$AW67),0)</f>
        <v/>
      </c>
      <c r="P17" s="3302">
        <f>(IF('3.Cropland'!$E67&lt;&gt;"Please select",IF('3.Cropland'!$AZ67&lt;&gt;"", '3.Cropland'!$AZ67,VLOOKUP(clim_moist, IPCC!$A$57:$D$68, 4,FALSE)),0))</f>
        <v/>
      </c>
      <c r="Q17" s="3302">
        <f>_xlfn.IFNA(IF('3.Cropland'!$BB67&lt;&gt;"",'3.Cropland'!$BB67,INDEX(IPCC!$F$58:$H$68,MATCH(clim_moist, IPCC!$A$58:$A$68,0),MATCH('3.Cropland'!$G67, IPCC!$F$58:$H$58,0))),)</f>
        <v/>
      </c>
      <c r="R17" s="3302">
        <f>_xlfn.IFNA(IF('3.Cropland'!$BD67&lt;&gt;"", '3.Cropland'!$BD67, INDEX(IPCC!$B$58:$L$68,MATCH(clim_moist,IPCC!$A$58:$A$68,0),MATCH('3.Cropland'!$I67,IPCC!$B$58:$L$58,0))),0)</f>
        <v/>
      </c>
      <c r="S17" s="3302">
        <f>O17*P17*Q17*R17</f>
        <v/>
      </c>
      <c r="T17" s="3312">
        <f>(S17-O17*P17)*(44/12)</f>
        <v/>
      </c>
      <c r="U17" s="3295">
        <f>T17/20</f>
        <v/>
      </c>
      <c r="V17" s="3295">
        <f>IF($D17="YES", $F17*IPCC!$D$75,0)*IPCC!$B$89/$E17</f>
        <v/>
      </c>
      <c r="W17" s="3295">
        <f>IF($D17="YES", $F17* IPCC!$E$75,0)*IPCC!$B$89/$E17</f>
        <v/>
      </c>
      <c r="X17" s="3295">
        <f>(V17*methane+W17*Nitrous)/1000</f>
        <v/>
      </c>
      <c r="Y17" s="3305">
        <f>'3.Cropland'!$M67</f>
        <v/>
      </c>
      <c r="AB17" s="284" t="n"/>
      <c r="AC17" s="284" t="n"/>
      <c r="AD17" s="284" t="n"/>
      <c r="AE17" s="284" t="n"/>
      <c r="AF17" s="284" t="n"/>
      <c r="AG17" s="284" t="n"/>
      <c r="AI17" s="3728">
        <f>(MIN(C38,D38)*time_tot+ABS(D38-C38)*IF(D38&gt;C38,time_cap+time*(VLOOKUP(E38, list!$J$48:$K$50,2,)),time*(1-(VLOOKUP(E38, list!$J$48:$K$50,2,)))))*perennial!V17*methane/1000</f>
        <v/>
      </c>
      <c r="AJ17" s="3728">
        <f>(($C38*time)+((F38-$C38))*(VLOOKUP(G38, list!$J$48:$K$50,2,)*time)+(F38*time_cap))*perennial!V17*methane/1000</f>
        <v/>
      </c>
      <c r="AK17" s="3728">
        <f>(MIN(C38,D38)*time_tot+ABS(D38-C38)*IF(D38&gt;C38,time_cap+time*(VLOOKUP(E38, list!$J$48:$K$50,2,)),time*(1-(VLOOKUP(E38, list!$J$48:$K$50,2,)))))*W17*Nitrous/1000</f>
        <v/>
      </c>
      <c r="AL17" s="3728">
        <f>(($C38*time)+((F38-$C38))*(VLOOKUP(G38, list!$J$48:$K$50,2,)*time)+(F38*time_cap))*W17*Nitrous/1000</f>
        <v/>
      </c>
      <c r="AP17" s="3424">
        <f>-(MIN(C38,D38)*time+ABS(D38-C38)*IF(D38&gt;C38,time*(VLOOKUP(E38, list!$J$48:$K$50,2,)),time*(1-(VLOOKUP(E38, list!$J$48:$K$50,2,)))))*(IF($H17&gt;0,$H17,$G17)+IF($J17&gt;0,$J17,$I17))</f>
        <v/>
      </c>
      <c r="AQ17" s="3425">
        <f>-(MIN(C38,F38)*time+ABS(F38-C38)*IF(F38&gt;C38,time*(VLOOKUP(G38, list!$J$48:$K$50,2,)),time*(1-(VLOOKUP(G38, list!$J$48:$K$50,2,)))))*(IF($H17&gt;0,$H17,$G17)+IF($J17&gt;0,$J17,$I17))</f>
        <v/>
      </c>
      <c r="AR17" s="3425">
        <f>-$U17*((MIN($C38,D38)*MIN(20,time))+IF(E38="Immediate",IF(D38&gt;$C38,D38*MIN(20,time),0),IF($C38&gt;D38,($C38-D38)*IF(time&gt;20,IF(E38="Linear",time-((time-20)^2)/(2*time),(0.215*time)-(time/4.6)*(EXP(-92.1/time)-0.01)),time*(1-VLOOKUP(E38, list!$J$48:$K$50,2,))),(D38-$C38)*IF(time&gt;time+20,20,IF(time&lt;20,(time*VLOOKUP(E38, list!$J$48:$K$50,2,))+(time-time),((MIN(20,time)*VLOOKUP(E38, list!$J$48:$K$50,2,))+(time-MIN(20,time))-IF(E38="Exponential",time-20+0.217*time*(EXP(4.606*(20-time)/time)-1),((time-20)^2)*(0.5/time))))))))</f>
        <v/>
      </c>
      <c r="AS17" s="3425">
        <f>-$U17*((MIN($C38,F38)*MIN(20,time))+IF(G38="Immediate",IF(F38&gt;$C38,F38*MIN(20,time),0),IF($C38&gt;F38,($C38-F38)*IF(time&gt;20,IF(G38="Linear",time-((time-20)^2)/(2*time),(0.215*time)-(time/4.6)*(EXP(-92.1/time)-0.01)),time*(1-VLOOKUP(G38, list!$J$48:$K$50,2,))),(F38-$C38)*IF(time&gt;time+20,20,IF(time&lt;20,(time*VLOOKUP(G38, list!$J$48:$K$50,2,))+(time-time),((MIN(20,time)*VLOOKUP(G38, list!$J$48:$K$50,2,))+(time-MIN(20,time))-IF(G38="Exponential",time-20+0.217*time*(EXP(4.606*(20-time)/time)-1),((time-20)^2)*(0.5/time))))))))</f>
        <v/>
      </c>
      <c r="AT17" s="3425">
        <f>(MIN(C38,D38)*time+ABS(D38-C38)*IF(D38&gt;C38,time*(VLOOKUP(E38, list!$J$48:$K$50,2,)),time*(1-(VLOOKUP(E38, list!$J$48:$K$50,2,)))))*perennial!V17*methane/1000</f>
        <v/>
      </c>
      <c r="AU17" s="3425">
        <f>(($C38*time)+((F38-$C38))*(VLOOKUP(G38, list!$J$48:$K$50,2,)*time)+(F38*0))*perennial!V17*methane/1000</f>
        <v/>
      </c>
      <c r="AV17" s="3425">
        <f>(MIN(C38,D38)*time+ABS(D38-C38)*IF(D38&gt;C38,+time*(VLOOKUP(E38, list!$J$48:$K$50,2,)),time*(1-(VLOOKUP(E38, list!$J$48:$K$50,2,)))))*W17*Nitrous/1000</f>
        <v/>
      </c>
      <c r="AW17" s="3425">
        <f>(($C38*time)+((F38-$C38))*(VLOOKUP(G38, list!$J$48:$K$50,2,)*time)+(F38*0))*W17*Nitrous/1000</f>
        <v/>
      </c>
      <c r="AX17" s="3425">
        <f>IF(S17&lt;O17,(O17-S17)/20/10*1000*N2O_N_conversion/1000*((MIN($C38,D38)*MIN(20,time))+IF(E38="Immediate",IF(D38&gt;$C38,D38*MIN(20,time),0),IF($C38&gt;D38,($C38-D38)*IF(time&gt;20,IF(E38="Linear",time-((time-20)^2)/(2*time),(0.215*time)-(time/4.6)*(EXP(-92.1/time)-0.01)),time*(1-VLOOKUP(E38, list!$J$48:$K$50,2,))),(D38-$C38)*IF(time&gt;time+20,20,IF(time&lt;20,(time*VLOOKUP(E38, list!$J$48:$K$50,2,))+(time-time),((MIN(20,time)*VLOOKUP(E38, list!$J$48:$K$50,2,))+(time-MIN(20,time))-IF(E38="Exponential",time-20+0.217*time*(EXP(4.606*(20-time)/time)-1),((time-20)^2)*(0.5/time)))))))),0)</f>
        <v/>
      </c>
      <c r="AY17" s="3426">
        <f>IF(S17&lt;O17,(O17-S17)/20/10*1000*N2O_N_conversion/1000*((MIN($C38,F38)*MIN(20,time))+IF(G38="Immediate",IF(F38&gt;$C38,F38*MIN(20,time),0),IF($C38&gt;F38,($C38-F38)*IF(time&gt;20,IF(G38="Linear",time-((time-20)^2)/(2*time),(0.215*time)-(time/4.6)*(EXP(-92.1/time)-0.01)),time*(1-VLOOKUP(G38, list!$J$48:$K$50,2,))),(F38-$C38)*IF(time&gt;time+20,20,IF(time&lt;20,(time*VLOOKUP(G38, list!$J$48:$K$50,2,))+(time-time),((MIN(20,time)*VLOOKUP(G38, list!$J$48:$K$50,2,))+(time-MIN(20,time))-IF(G38="Exponential",time-20+0.217*time*(EXP(4.606*(20-time)/time)-1),((time-20)^2)*(0.5/time)))))))),0)</f>
        <v/>
      </c>
    </row>
    <row r="18">
      <c r="B18" s="4581">
        <f>'3.Cropland'!C68</f>
        <v/>
      </c>
      <c r="C18" s="875">
        <f>'3.Cropland'!$E68</f>
        <v/>
      </c>
      <c r="D18" s="3777">
        <f>'3.Cropland'!$K68</f>
        <v/>
      </c>
      <c r="E18" s="3764">
        <f>IF('3.Cropland'!$BH68="", '3.Cropland'!$BG68, '3.Cropland'!$BH68)</f>
        <v/>
      </c>
      <c r="F18" s="3764">
        <f>IF('3.Cropland'!$BF68="", '3.Cropland'!$BE68, '3.Cropland'!$BF68)</f>
        <v/>
      </c>
      <c r="G18" s="4066">
        <f>(IF(C18&lt;&gt;"Please select", INDEX(IPCC!$E$105:$T$298,MATCH(clim_moist_cont,IPCC!$C$105:$C$298,0),MATCH('3.Cropland'!$E68,IPCC!$E$105:$T$105,0))*(44/12), 0))</f>
        <v/>
      </c>
      <c r="H18" s="3765">
        <f>IF('3.Cropland'!$AT68&lt;&gt;"", '3.Cropland'!$AT68*(44/12), '3.Cropland'!$AS68*(44/12))</f>
        <v/>
      </c>
      <c r="I18" s="4066">
        <f>(IF('3.Cropland'!$E68&lt;&gt;"Please select",INDEX(IPCC!$E$308:$T$501,MATCH(clim_moist_cont,IPCC!$C$308:$C$501,0),MATCH('3.Cropland'!$E68,IPCC!$E$308:$T$308,0))*(44/12),0))</f>
        <v/>
      </c>
      <c r="J18" s="3430">
        <f>IF('3.Cropland'!$AV68&lt;&gt;"", '3.Cropland'!$AV68*(44/12), '3.Cropland'!$AU68*(44/12))</f>
        <v/>
      </c>
      <c r="K18" s="3668">
        <f>H18+J18</f>
        <v/>
      </c>
      <c r="L18" s="4075">
        <f>IF(OR(C18="Please select",G18&lt;&gt;H18),0,INDEX(IPCC!$A$3235:$Q$3241,MATCH(climate,IPCC!$A$3235:$A$3241,0),MATCH(perennial!C18,IPCC!$A$3235:$Q$3235,0)))*44/12</f>
        <v/>
      </c>
      <c r="M18" s="4078">
        <f>IFERROR(L18/H18,0)</f>
        <v/>
      </c>
      <c r="O18" s="3310">
        <f>IF('3.Cropland'!$E68&lt;&gt; "Please select", IF('3.Cropland'!$AX68&lt;&gt;"", '3.Cropland'!$AX68,'3.Cropland'!$AW68),0)</f>
        <v/>
      </c>
      <c r="P18" s="3302">
        <f>(IF('3.Cropland'!$E68&lt;&gt;"Please select",IF('3.Cropland'!$AZ68&lt;&gt;"", '3.Cropland'!$AZ68,VLOOKUP(clim_moist, IPCC!$A$57:$D$68, 4,FALSE)),0))</f>
        <v/>
      </c>
      <c r="Q18" s="3302">
        <f>_xlfn.IFNA(IF('3.Cropland'!$BB68&lt;&gt;"",'3.Cropland'!$BB68,INDEX(IPCC!$F$58:$H$68,MATCH(clim_moist, IPCC!$A$58:$A$68,0),MATCH('3.Cropland'!$G68, IPCC!$F$58:$H$58,0))),)</f>
        <v/>
      </c>
      <c r="R18" s="3302">
        <f>_xlfn.IFNA(IF('3.Cropland'!$BD68&lt;&gt;"", '3.Cropland'!$BD68, INDEX(IPCC!$B$58:$L$68,MATCH(clim_moist,IPCC!$A$58:$A$68,0),MATCH('3.Cropland'!$I68,IPCC!$B$58:$L$58,0))),0)</f>
        <v/>
      </c>
      <c r="S18" s="3302">
        <f>O18*P18*Q18*R18</f>
        <v/>
      </c>
      <c r="T18" s="3312">
        <f>(S18-O18*P18)*(44/12)</f>
        <v/>
      </c>
      <c r="U18" s="3295">
        <f>T18/20</f>
        <v/>
      </c>
      <c r="V18" s="3295">
        <f>IF($D18="YES", $F18*IPCC!$D$75,0)*IPCC!$B$89/$E18</f>
        <v/>
      </c>
      <c r="W18" s="3295">
        <f>IF($D18="YES", $F18* IPCC!$E$75,0)*IPCC!$B$89/$E18</f>
        <v/>
      </c>
      <c r="X18" s="3295">
        <f>(V18*methane+W18*Nitrous)/1000</f>
        <v/>
      </c>
      <c r="Y18" s="3305">
        <f>'3.Cropland'!$M68</f>
        <v/>
      </c>
      <c r="AB18" s="284" t="n"/>
      <c r="AC18" s="284" t="n"/>
      <c r="AD18" s="284" t="n"/>
      <c r="AE18" s="284" t="n"/>
      <c r="AF18" s="284" t="n"/>
      <c r="AG18" s="284" t="n"/>
      <c r="AI18" s="3728">
        <f>(MIN(C39,D39)*time_tot+ABS(D39-C39)*IF(D39&gt;C39,time_cap+time*(VLOOKUP(E39, list!$J$48:$K$50,2,)),time*(1-(VLOOKUP(E39, list!$J$48:$K$50,2,)))))*perennial!V18*methane/1000</f>
        <v/>
      </c>
      <c r="AJ18" s="3728">
        <f>(($C39*time)+((F39-$C39))*(VLOOKUP(G39, list!$J$48:$K$50,2,)*time)+(F39*time_cap))*perennial!V18*methane/1000</f>
        <v/>
      </c>
      <c r="AK18" s="3728">
        <f>(MIN(C39,D39)*time_tot+ABS(D39-C39)*IF(D39&gt;C39,time_cap+time*(VLOOKUP(E39, list!$J$48:$K$50,2,)),time*(1-(VLOOKUP(E39, list!$J$48:$K$50,2,)))))*W18*Nitrous/1000</f>
        <v/>
      </c>
      <c r="AL18" s="3728">
        <f>(($C39*time)+((F39-$C39))*(VLOOKUP(G39, list!$J$48:$K$50,2,)*time)+(F39*time_cap))*W18*Nitrous/1000</f>
        <v/>
      </c>
      <c r="AP18" s="3424">
        <f>-(MIN(C39,D39)*time+ABS(D39-C39)*IF(D39&gt;C39,time*(VLOOKUP(E39, list!$J$48:$K$50,2,)),time*(1-(VLOOKUP(E39, list!$J$48:$K$50,2,)))))*(IF($H18&gt;0,$H18,$G18)+IF($J18&gt;0,$J18,$I18))</f>
        <v/>
      </c>
      <c r="AQ18" s="3425">
        <f>-(MIN(C39,F39)*time+ABS(F39-C39)*IF(F39&gt;C39,time*(VLOOKUP(G39, list!$J$48:$K$50,2,)),time*(1-(VLOOKUP(G39, list!$J$48:$K$50,2,)))))*(IF($H18&gt;0,$H18,$G18)+IF($J18&gt;0,$J18,$I18))</f>
        <v/>
      </c>
      <c r="AR18" s="3425">
        <f>-$U18*((MIN($C39,D39)*MIN(20,time))+IF(E39="Immediate",IF(D39&gt;$C39,D39*MIN(20,time),0),IF($C39&gt;D39,($C39-D39)*IF(time&gt;20,IF(E39="Linear",time-((time-20)^2)/(2*time),(0.215*time)-(time/4.6)*(EXP(-92.1/time)-0.01)),time*(1-VLOOKUP(E39, list!$J$48:$K$50,2,))),(D39-$C39)*IF(time&gt;time+20,20,IF(time&lt;20,(time*VLOOKUP(E39, list!$J$48:$K$50,2,))+(time-time),((MIN(20,time)*VLOOKUP(E39, list!$J$48:$K$50,2,))+(time-MIN(20,time))-IF(E39="Exponential",time-20+0.217*time*(EXP(4.606*(20-time)/time)-1),((time-20)^2)*(0.5/time))))))))</f>
        <v/>
      </c>
      <c r="AS18" s="3425">
        <f>-$U18*((MIN($C39,F39)*MIN(20,time))+IF(G39="Immediate",IF(F39&gt;$C39,F39*MIN(20,time),0),IF($C39&gt;F39,($C39-F39)*IF(time&gt;20,IF(G39="Linear",time-((time-20)^2)/(2*time),(0.215*time)-(time/4.6)*(EXP(-92.1/time)-0.01)),time*(1-VLOOKUP(G39, list!$J$48:$K$50,2,))),(F39-$C39)*IF(time&gt;time+20,20,IF(time&lt;20,(time*VLOOKUP(G39, list!$J$48:$K$50,2,))+(time-time),((MIN(20,time)*VLOOKUP(G39, list!$J$48:$K$50,2,))+(time-MIN(20,time))-IF(G39="Exponential",time-20+0.217*time*(EXP(4.606*(20-time)/time)-1),((time-20)^2)*(0.5/time))))))))</f>
        <v/>
      </c>
      <c r="AT18" s="3425">
        <f>(MIN(C39,D39)*time+ABS(D39-C39)*IF(D39&gt;C39,time*(VLOOKUP(E39, list!$J$48:$K$50,2,)),time*(1-(VLOOKUP(E39, list!$J$48:$K$50,2,)))))*perennial!V18*methane/1000</f>
        <v/>
      </c>
      <c r="AU18" s="3425">
        <f>(($C39*time)+((F39-$C39))*(VLOOKUP(G39, list!$J$48:$K$50,2,)*time)+(F39*0))*perennial!V18*methane/1000</f>
        <v/>
      </c>
      <c r="AV18" s="3425">
        <f>(MIN(C39,D39)*time+ABS(D39-C39)*IF(D39&gt;C39,+time*(VLOOKUP(E39, list!$J$48:$K$50,2,)),time*(1-(VLOOKUP(E39, list!$J$48:$K$50,2,)))))*W18*Nitrous/1000</f>
        <v/>
      </c>
      <c r="AW18" s="3425">
        <f>(($C39*time)+((F39-$C39))*(VLOOKUP(G39, list!$J$48:$K$50,2,)*time)+(F39*0))*W18*Nitrous/1000</f>
        <v/>
      </c>
      <c r="AX18" s="3425">
        <f>IF(S18&lt;O18,(O18-S18)/20/10*1000*N2O_N_conversion/1000*((MIN($C39,D39)*MIN(20,time))+IF(E39="Immediate",IF(D39&gt;$C39,D39*MIN(20,time),0),IF($C39&gt;D39,($C39-D39)*IF(time&gt;20,IF(E39="Linear",time-((time-20)^2)/(2*time),(0.215*time)-(time/4.6)*(EXP(-92.1/time)-0.01)),time*(1-VLOOKUP(E39, list!$J$48:$K$50,2,))),(D39-$C39)*IF(time&gt;time+20,20,IF(time&lt;20,(time*VLOOKUP(E39, list!$J$48:$K$50,2,))+(time-time),((MIN(20,time)*VLOOKUP(E39, list!$J$48:$K$50,2,))+(time-MIN(20,time))-IF(E39="Exponential",time-20+0.217*time*(EXP(4.606*(20-time)/time)-1),((time-20)^2)*(0.5/time)))))))),0)</f>
        <v/>
      </c>
      <c r="AY18" s="3426">
        <f>IF(S18&lt;O18,(O18-S18)/20/10*1000*N2O_N_conversion/1000*((MIN($C39,F39)*MIN(20,time))+IF(G39="Immediate",IF(F39&gt;$C39,F39*MIN(20,time),0),IF($C39&gt;F39,($C39-F39)*IF(time&gt;20,IF(G39="Linear",time-((time-20)^2)/(2*time),(0.215*time)-(time/4.6)*(EXP(-92.1/time)-0.01)),time*(1-VLOOKUP(G39, list!$J$48:$K$50,2,))),(F39-$C39)*IF(time&gt;time+20,20,IF(time&lt;20,(time*VLOOKUP(G39, list!$J$48:$K$50,2,))+(time-time),((MIN(20,time)*VLOOKUP(G39, list!$J$48:$K$50,2,))+(time-MIN(20,time))-IF(G39="Exponential",time-20+0.217*time*(EXP(4.606*(20-time)/time)-1),((time-20)^2)*(0.5/time)))))))),0)</f>
        <v/>
      </c>
    </row>
    <row r="19">
      <c r="B19" s="4581">
        <f>'3.Cropland'!C69</f>
        <v/>
      </c>
      <c r="C19" s="875">
        <f>'3.Cropland'!$E69</f>
        <v/>
      </c>
      <c r="D19" s="3777">
        <f>'3.Cropland'!$K69</f>
        <v/>
      </c>
      <c r="E19" s="3764">
        <f>IF('3.Cropland'!$BH69="", '3.Cropland'!$BG69, '3.Cropland'!$BH69)</f>
        <v/>
      </c>
      <c r="F19" s="3764">
        <f>IF('3.Cropland'!$BF69="", '3.Cropland'!$BE69, '3.Cropland'!$BF69)</f>
        <v/>
      </c>
      <c r="G19" s="4066">
        <f>(IF(C19&lt;&gt;"Please select", INDEX(IPCC!$E$105:$T$298,MATCH(clim_moist_cont,IPCC!$C$105:$C$298,0),MATCH('3.Cropland'!$E69,IPCC!$E$105:$T$105,0))*(44/12), 0))</f>
        <v/>
      </c>
      <c r="H19" s="3765">
        <f>IF('3.Cropland'!$AT69&lt;&gt;"", '3.Cropland'!$AT69*(44/12), '3.Cropland'!$AS69*(44/12))</f>
        <v/>
      </c>
      <c r="I19" s="4066">
        <f>(IF('3.Cropland'!$E69&lt;&gt;"Please select",INDEX(IPCC!$E$308:$T$501,MATCH(clim_moist_cont,IPCC!$C$308:$C$501,0),MATCH('3.Cropland'!$E69,IPCC!$E$308:$T$308,0))*(44/12),0))</f>
        <v/>
      </c>
      <c r="J19" s="3430">
        <f>IF('3.Cropland'!$AV69&lt;&gt;"", '3.Cropland'!$AV69*(44/12), '3.Cropland'!$AU69*(44/12))</f>
        <v/>
      </c>
      <c r="K19" s="3668">
        <f>H19+J19</f>
        <v/>
      </c>
      <c r="L19" s="4075">
        <f>IF(OR(C19="Please select",G19&lt;&gt;H19),0,INDEX(IPCC!$A$3235:$Q$3241,MATCH(climate,IPCC!$A$3235:$A$3241,0),MATCH(perennial!C19,IPCC!$A$3235:$Q$3235,0)))*44/12</f>
        <v/>
      </c>
      <c r="M19" s="4078">
        <f>IFERROR(L19/H19,0)</f>
        <v/>
      </c>
      <c r="O19" s="3310">
        <f>IF('3.Cropland'!$E69&lt;&gt; "Please select", IF('3.Cropland'!$AX69&lt;&gt;"", '3.Cropland'!$AX69,'3.Cropland'!$AW69),0)</f>
        <v/>
      </c>
      <c r="P19" s="3302">
        <f>(IF('3.Cropland'!$E69&lt;&gt;"Please select",IF('3.Cropland'!$AZ69&lt;&gt;"", '3.Cropland'!$AZ69,VLOOKUP(clim_moist, IPCC!$A$57:$D$68, 4,FALSE)),0))</f>
        <v/>
      </c>
      <c r="Q19" s="3302">
        <f>_xlfn.IFNA(IF('3.Cropland'!$BB69&lt;&gt;"",'3.Cropland'!$BB69,INDEX(IPCC!$F$58:$H$68,MATCH(clim_moist, IPCC!$A$58:$A$68,0),MATCH('3.Cropland'!$G69, IPCC!$F$58:$H$58,0))),)</f>
        <v/>
      </c>
      <c r="R19" s="3302">
        <f>_xlfn.IFNA(IF('3.Cropland'!$BD69&lt;&gt;"", '3.Cropland'!$BD69, INDEX(IPCC!$B$58:$L$68,MATCH(clim_moist,IPCC!$A$58:$A$68,0),MATCH('3.Cropland'!$I69,IPCC!$B$58:$L$58,0))),0)</f>
        <v/>
      </c>
      <c r="S19" s="3302">
        <f>O19*P19*Q19*R19</f>
        <v/>
      </c>
      <c r="T19" s="3312">
        <f>(S19-O19*P19)*(44/12)</f>
        <v/>
      </c>
      <c r="U19" s="3295">
        <f>T19/20</f>
        <v/>
      </c>
      <c r="V19" s="3295">
        <f>IF($D19="YES", $F19*IPCC!$D$75,0)*IPCC!$B$89/$E19</f>
        <v/>
      </c>
      <c r="W19" s="3295">
        <f>IF($D19="YES", $F19* IPCC!$E$75,0)*IPCC!$B$89/$E19</f>
        <v/>
      </c>
      <c r="X19" s="3295">
        <f>(V19*methane+W19*Nitrous)/1000</f>
        <v/>
      </c>
      <c r="Y19" s="3305">
        <f>'3.Cropland'!$M69</f>
        <v/>
      </c>
      <c r="AB19" s="284" t="n"/>
      <c r="AC19" s="284" t="n"/>
      <c r="AD19" s="284" t="n"/>
      <c r="AE19" s="284" t="n"/>
      <c r="AF19" s="284" t="n"/>
      <c r="AG19" s="284" t="n"/>
      <c r="AI19" s="3728">
        <f>(MIN(C40,D40)*time_tot+ABS(D40-C40)*IF(D40&gt;C40,time_cap+time*(VLOOKUP(E40, list!$J$48:$K$50,2,)),time*(1-(VLOOKUP(E40, list!$J$48:$K$50,2,)))))*perennial!V19*methane/1000</f>
        <v/>
      </c>
      <c r="AJ19" s="3728">
        <f>(($C40*time)+((F40-$C40))*(VLOOKUP(G40, list!$J$48:$K$50,2,)*time)+(F40*time_cap))*perennial!V19*methane/1000</f>
        <v/>
      </c>
      <c r="AK19" s="3728">
        <f>(MIN(C40,D40)*time_tot+ABS(D40-C40)*IF(D40&gt;C40,time_cap+time*(VLOOKUP(E40, list!$J$48:$K$50,2,)),time*(1-(VLOOKUP(E40, list!$J$48:$K$50,2,)))))*W19*Nitrous/1000</f>
        <v/>
      </c>
      <c r="AL19" s="3728">
        <f>(($C40*time)+((F40-$C40))*(VLOOKUP(G40, list!$J$48:$K$50,2,)*time)+(F40*time_cap))*W19*Nitrous/1000</f>
        <v/>
      </c>
      <c r="AP19" s="3424">
        <f>-(MIN(C40,D40)*time+ABS(D40-C40)*IF(D40&gt;C40,time*(VLOOKUP(E40, list!$J$48:$K$50,2,)),time*(1-(VLOOKUP(E40, list!$J$48:$K$50,2,)))))*(IF($H19&gt;0,$H19,$G19)+IF($J19&gt;0,$J19,$I19))</f>
        <v/>
      </c>
      <c r="AQ19" s="3425">
        <f>-(MIN(C40,F40)*time+ABS(F40-C40)*IF(F40&gt;C40,time*(VLOOKUP(G40, list!$J$48:$K$50,2,)),time*(1-(VLOOKUP(G40, list!$J$48:$K$50,2,)))))*(IF($H19&gt;0,$H19,$G19)+IF($J19&gt;0,$J19,$I19))</f>
        <v/>
      </c>
      <c r="AR19" s="3425">
        <f>-$U19*((MIN($C40,D40)*MIN(20,time))+IF(E40="Immediate",IF(D40&gt;$C40,D40*MIN(20,time),0),IF($C40&gt;D40,($C40-D40)*IF(time&gt;20,IF(E40="Linear",time-((time-20)^2)/(2*time),(0.215*time)-(time/4.6)*(EXP(-92.1/time)-0.01)),time*(1-VLOOKUP(E40, list!$J$48:$K$50,2,))),(D40-$C40)*IF(time&gt;time+20,20,IF(time&lt;20,(time*VLOOKUP(E40, list!$J$48:$K$50,2,))+(time-time),((MIN(20,time)*VLOOKUP(E40, list!$J$48:$K$50,2,))+(time-MIN(20,time))-IF(E40="Exponential",time-20+0.217*time*(EXP(4.606*(20-time)/time)-1),((time-20)^2)*(0.5/time))))))))</f>
        <v/>
      </c>
      <c r="AS19" s="3425">
        <f>-$U19*((MIN($C40,F40)*MIN(20,time))+IF(G40="Immediate",IF(F40&gt;$C40,F40*MIN(20,time),0),IF($C40&gt;F40,($C40-F40)*IF(time&gt;20,IF(G40="Linear",time-((time-20)^2)/(2*time),(0.215*time)-(time/4.6)*(EXP(-92.1/time)-0.01)),time*(1-VLOOKUP(G40, list!$J$48:$K$50,2,))),(F40-$C40)*IF(time&gt;time+20,20,IF(time&lt;20,(time*VLOOKUP(G40, list!$J$48:$K$50,2,))+(time-time),((MIN(20,time)*VLOOKUP(G40, list!$J$48:$K$50,2,))+(time-MIN(20,time))-IF(G40="Exponential",time-20+0.217*time*(EXP(4.606*(20-time)/time)-1),((time-20)^2)*(0.5/time))))))))</f>
        <v/>
      </c>
      <c r="AT19" s="3425">
        <f>(MIN(C40,D40)*time+ABS(D40-C40)*IF(D40&gt;C40,time*(VLOOKUP(E40, list!$J$48:$K$50,2,)),time*(1-(VLOOKUP(E40, list!$J$48:$K$50,2,)))))*perennial!V19*methane/1000</f>
        <v/>
      </c>
      <c r="AU19" s="3425">
        <f>(($C40*time)+((F40-$C40))*(VLOOKUP(G40, list!$J$48:$K$50,2,)*time)+(F40*0))*perennial!V19*methane/1000</f>
        <v/>
      </c>
      <c r="AV19" s="3425">
        <f>(MIN(C40,D40)*time+ABS(D40-C40)*IF(D40&gt;C40,+time*(VLOOKUP(E40, list!$J$48:$K$50,2,)),time*(1-(VLOOKUP(E40, list!$J$48:$K$50,2,)))))*W19*Nitrous/1000</f>
        <v/>
      </c>
      <c r="AW19" s="3425">
        <f>(($C40*time)+((F40-$C40))*(VLOOKUP(G40, list!$J$48:$K$50,2,)*time)+(F40*0))*W19*Nitrous/1000</f>
        <v/>
      </c>
      <c r="AX19" s="3425">
        <f>IF(S19&lt;O19,(O19-S19)/20/10*1000*N2O_N_conversion/1000*((MIN($C40,D40)*MIN(20,time))+IF(E40="Immediate",IF(D40&gt;$C40,D40*MIN(20,time),0),IF($C40&gt;D40,($C40-D40)*IF(time&gt;20,IF(E40="Linear",time-((time-20)^2)/(2*time),(0.215*time)-(time/4.6)*(EXP(-92.1/time)-0.01)),time*(1-VLOOKUP(E40, list!$J$48:$K$50,2,))),(D40-$C40)*IF(time&gt;time+20,20,IF(time&lt;20,(time*VLOOKUP(E40, list!$J$48:$K$50,2,))+(time-time),((MIN(20,time)*VLOOKUP(E40, list!$J$48:$K$50,2,))+(time-MIN(20,time))-IF(E40="Exponential",time-20+0.217*time*(EXP(4.606*(20-time)/time)-1),((time-20)^2)*(0.5/time)))))))),0)</f>
        <v/>
      </c>
      <c r="AY19" s="3426">
        <f>IF(S19&lt;O19,(O19-S19)/20/10*1000*N2O_N_conversion/1000*((MIN($C40,F40)*MIN(20,time))+IF(G40="Immediate",IF(F40&gt;$C40,F40*MIN(20,time),0),IF($C40&gt;F40,($C40-F40)*IF(time&gt;20,IF(G40="Linear",time-((time-20)^2)/(2*time),(0.215*time)-(time/4.6)*(EXP(-92.1/time)-0.01)),time*(1-VLOOKUP(G40, list!$J$48:$K$50,2,))),(F40-$C40)*IF(time&gt;time+20,20,IF(time&lt;20,(time*VLOOKUP(G40, list!$J$48:$K$50,2,))+(time-time),((MIN(20,time)*VLOOKUP(G40, list!$J$48:$K$50,2,))+(time-MIN(20,time))-IF(G40="Exponential",time-20+0.217*time*(EXP(4.606*(20-time)/time)-1),((time-20)^2)*(0.5/time)))))))),0)</f>
        <v/>
      </c>
    </row>
    <row r="20">
      <c r="B20" s="4581">
        <f>'3.Cropland'!C70</f>
        <v/>
      </c>
      <c r="C20" s="875">
        <f>'3.Cropland'!$E70</f>
        <v/>
      </c>
      <c r="D20" s="3777">
        <f>'3.Cropland'!$K70</f>
        <v/>
      </c>
      <c r="E20" s="3764">
        <f>IF('3.Cropland'!$BH70="", '3.Cropland'!$BG70, '3.Cropland'!$BH70)</f>
        <v/>
      </c>
      <c r="F20" s="3764">
        <f>IF('3.Cropland'!$BF70="", '3.Cropland'!$BE70, '3.Cropland'!$BF70)</f>
        <v/>
      </c>
      <c r="G20" s="4066">
        <f>(IF(C20&lt;&gt;"Please select", INDEX(IPCC!$E$105:$T$298,MATCH(clim_moist_cont,IPCC!$C$105:$C$298,0),MATCH('3.Cropland'!$E70,IPCC!$E$105:$T$105,0))*(44/12), 0))</f>
        <v/>
      </c>
      <c r="H20" s="3765">
        <f>IF('3.Cropland'!$AT70&lt;&gt;"", '3.Cropland'!$AT70*(44/12), '3.Cropland'!$AS70*(44/12))</f>
        <v/>
      </c>
      <c r="I20" s="4066">
        <f>(IF('3.Cropland'!$E70&lt;&gt;"Please select",INDEX(IPCC!$E$308:$T$501,MATCH(clim_moist_cont,IPCC!$C$308:$C$501,0),MATCH('3.Cropland'!$E70,IPCC!$E$308:$T$308,0))*(44/12),0))</f>
        <v/>
      </c>
      <c r="J20" s="3430">
        <f>IF('3.Cropland'!$AV70&lt;&gt;"", '3.Cropland'!$AV70*(44/12), '3.Cropland'!$AU70*(44/12))</f>
        <v/>
      </c>
      <c r="K20" s="3668">
        <f>H20+J20</f>
        <v/>
      </c>
      <c r="L20" s="4075">
        <f>IF(OR(C20="Please select",G20&lt;&gt;H20),0,INDEX(IPCC!$A$3235:$Q$3241,MATCH(climate,IPCC!$A$3235:$A$3241,0),MATCH(perennial!C20,IPCC!$A$3235:$Q$3235,0)))*44/12</f>
        <v/>
      </c>
      <c r="M20" s="4078">
        <f>IFERROR(L20/H20,0)</f>
        <v/>
      </c>
      <c r="O20" s="3310">
        <f>IF('3.Cropland'!$E70&lt;&gt; "Please select", IF('3.Cropland'!$AX70&lt;&gt;"", '3.Cropland'!$AX70,'3.Cropland'!$AW70),0)</f>
        <v/>
      </c>
      <c r="P20" s="3302">
        <f>(IF('3.Cropland'!$E70&lt;&gt;"Please select",IF('3.Cropland'!$AZ70&lt;&gt;"", '3.Cropland'!$AZ70,VLOOKUP(clim_moist, IPCC!$A$57:$D$68, 4,FALSE)),0))</f>
        <v/>
      </c>
      <c r="Q20" s="3302">
        <f>_xlfn.IFNA(IF('3.Cropland'!$BB70&lt;&gt;"",'3.Cropland'!$BB70,INDEX(IPCC!$F$58:$H$68,MATCH(clim_moist, IPCC!$A$58:$A$68,0),MATCH('3.Cropland'!$G70, IPCC!$F$58:$H$58,0))),)</f>
        <v/>
      </c>
      <c r="R20" s="3302">
        <f>_xlfn.IFNA(IF('3.Cropland'!$BD70&lt;&gt;"", '3.Cropland'!$BD70, INDEX(IPCC!$B$58:$L$68,MATCH(clim_moist,IPCC!$A$58:$A$68,0),MATCH('3.Cropland'!$I70,IPCC!$B$58:$L$58,0))),0)</f>
        <v/>
      </c>
      <c r="S20" s="3302">
        <f>O20*P20*Q20*R20</f>
        <v/>
      </c>
      <c r="T20" s="3312">
        <f>(S20-O20*P20)*(44/12)</f>
        <v/>
      </c>
      <c r="U20" s="3295">
        <f>T20/20</f>
        <v/>
      </c>
      <c r="V20" s="3295">
        <f>IF($D20="YES", $F20*IPCC!$D$75,0)*IPCC!$B$89/$E20</f>
        <v/>
      </c>
      <c r="W20" s="3295">
        <f>IF($D20="YES", $F20* IPCC!$E$75,0)*IPCC!$B$89/$E20</f>
        <v/>
      </c>
      <c r="X20" s="3295">
        <f>(V20*methane+W20*Nitrous)/1000</f>
        <v/>
      </c>
      <c r="Y20" s="3305">
        <f>'3.Cropland'!$M70</f>
        <v/>
      </c>
      <c r="AB20" s="284" t="n"/>
      <c r="AC20" s="284" t="n"/>
      <c r="AD20" s="284" t="n"/>
      <c r="AE20" s="284" t="n"/>
      <c r="AF20" s="284" t="n"/>
      <c r="AG20" s="284" t="n"/>
      <c r="AI20" s="3728">
        <f>(MIN(C41,D41)*time_tot+ABS(D41-C41)*IF(D41&gt;C41,time_cap+time*(VLOOKUP(E41, list!$J$48:$K$50,2,)),time*(1-(VLOOKUP(E41, list!$J$48:$K$50,2,)))))*perennial!V20*methane/1000</f>
        <v/>
      </c>
      <c r="AJ20" s="3728">
        <f>(($C41*time)+((F41-$C41))*(VLOOKUP(G41, list!$J$48:$K$50,2,)*time)+(F41*time_cap))*perennial!V20*methane/1000</f>
        <v/>
      </c>
      <c r="AK20" s="3728">
        <f>(MIN(C41,D41)*time_tot+ABS(D41-C41)*IF(D41&gt;C41,time_cap+time*(VLOOKUP(E41, list!$J$48:$K$50,2,)),time*(1-(VLOOKUP(E41, list!$J$48:$K$50,2,)))))*W20*Nitrous/1000</f>
        <v/>
      </c>
      <c r="AL20" s="3728">
        <f>(($C41*time)+((F41-$C41))*(VLOOKUP(G41, list!$J$48:$K$50,2,)*time)+(F41*time_cap))*W20*Nitrous/1000</f>
        <v/>
      </c>
      <c r="AP20" s="3424">
        <f>-(MIN(C41,D41)*time+ABS(D41-C41)*IF(D41&gt;C41,time*(VLOOKUP(E41, list!$J$48:$K$50,2,)),time*(1-(VLOOKUP(E41, list!$J$48:$K$50,2,)))))*(IF($H20&gt;0,$H20,$G20)+IF($J20&gt;0,$J20,$I20))</f>
        <v/>
      </c>
      <c r="AQ20" s="3425">
        <f>-(MIN(C41,F41)*time+ABS(F41-C41)*IF(F41&gt;C41,time*(VLOOKUP(G41, list!$J$48:$K$50,2,)),time*(1-(VLOOKUP(G41, list!$J$48:$K$50,2,)))))*(IF($H20&gt;0,$H20,$G20)+IF($J20&gt;0,$J20,$I20))</f>
        <v/>
      </c>
      <c r="AR20" s="3425">
        <f>-$U20*((MIN($C41,D41)*MIN(20,time))+IF(E41="Immediate",IF(D41&gt;$C41,D41*MIN(20,time),0),IF($C41&gt;D41,($C41-D41)*IF(time&gt;20,IF(E41="Linear",time-((time-20)^2)/(2*time),(0.215*time)-(time/4.6)*(EXP(-92.1/time)-0.01)),time*(1-VLOOKUP(E41, list!$J$48:$K$50,2,))),(D41-$C41)*IF(time&gt;time+20,20,IF(time&lt;20,(time*VLOOKUP(E41, list!$J$48:$K$50,2,))+(time-time),((MIN(20,time)*VLOOKUP(E41, list!$J$48:$K$50,2,))+(time-MIN(20,time))-IF(E41="Exponential",time-20+0.217*time*(EXP(4.606*(20-time)/time)-1),((time-20)^2)*(0.5/time))))))))</f>
        <v/>
      </c>
      <c r="AS20" s="3425">
        <f>-$U20*((MIN($C41,F41)*MIN(20,time))+IF(G41="Immediate",IF(F41&gt;$C41,F41*MIN(20,time),0),IF($C41&gt;F41,($C41-F41)*IF(time&gt;20,IF(G41="Linear",time-((time-20)^2)/(2*time),(0.215*time)-(time/4.6)*(EXP(-92.1/time)-0.01)),time*(1-VLOOKUP(G41, list!$J$48:$K$50,2,))),(F41-$C41)*IF(time&gt;time+20,20,IF(time&lt;20,(time*VLOOKUP(G41, list!$J$48:$K$50,2,))+(time-time),((MIN(20,time)*VLOOKUP(G41, list!$J$48:$K$50,2,))+(time-MIN(20,time))-IF(G41="Exponential",time-20+0.217*time*(EXP(4.606*(20-time)/time)-1),((time-20)^2)*(0.5/time))))))))</f>
        <v/>
      </c>
      <c r="AT20" s="3425">
        <f>(MIN(C41,D41)*time+ABS(D41-C41)*IF(D41&gt;C41,time*(VLOOKUP(E41, list!$J$48:$K$50,2,)),time*(1-(VLOOKUP(E41, list!$J$48:$K$50,2,)))))*perennial!V20*methane/1000</f>
        <v/>
      </c>
      <c r="AU20" s="3425">
        <f>(($C41*time)+((F41-$C41))*(VLOOKUP(G41, list!$J$48:$K$50,2,)*time)+(F41*0))*perennial!V20*methane/1000</f>
        <v/>
      </c>
      <c r="AV20" s="3425">
        <f>(MIN(C41,D41)*time+ABS(D41-C41)*IF(D41&gt;C41,+time*(VLOOKUP(E41, list!$J$48:$K$50,2,)),time*(1-(VLOOKUP(E41, list!$J$48:$K$50,2,)))))*W20*Nitrous/1000</f>
        <v/>
      </c>
      <c r="AW20" s="3425">
        <f>(($C41*time)+((F41-$C41))*(VLOOKUP(G41, list!$J$48:$K$50,2,)*time)+(F41*0))*W20*Nitrous/1000</f>
        <v/>
      </c>
      <c r="AX20" s="3425">
        <f>IF(S20&lt;O20,(O20-S20)/20/10*1000*N2O_N_conversion/1000*((MIN($C41,D41)*MIN(20,time))+IF(E41="Immediate",IF(D41&gt;$C41,D41*MIN(20,time),0),IF($C41&gt;D41,($C41-D41)*IF(time&gt;20,IF(E41="Linear",time-((time-20)^2)/(2*time),(0.215*time)-(time/4.6)*(EXP(-92.1/time)-0.01)),time*(1-VLOOKUP(E41, list!$J$48:$K$50,2,))),(D41-$C41)*IF(time&gt;time+20,20,IF(time&lt;20,(time*VLOOKUP(E41, list!$J$48:$K$50,2,))+(time-time),((MIN(20,time)*VLOOKUP(E41, list!$J$48:$K$50,2,))+(time-MIN(20,time))-IF(E41="Exponential",time-20+0.217*time*(EXP(4.606*(20-time)/time)-1),((time-20)^2)*(0.5/time)))))))),0)</f>
        <v/>
      </c>
      <c r="AY20" s="3426">
        <f>IF(S20&lt;O20,(O20-S20)/20/10*1000*N2O_N_conversion/1000*((MIN($C41,F41)*MIN(20,time))+IF(G41="Immediate",IF(F41&gt;$C41,F41*MIN(20,time),0),IF($C41&gt;F41,($C41-F41)*IF(time&gt;20,IF(G41="Linear",time-((time-20)^2)/(2*time),(0.215*time)-(time/4.6)*(EXP(-92.1/time)-0.01)),time*(1-VLOOKUP(G41, list!$J$48:$K$50,2,))),(F41-$C41)*IF(time&gt;time+20,20,IF(time&lt;20,(time*VLOOKUP(G41, list!$J$48:$K$50,2,))+(time-time),((MIN(20,time)*VLOOKUP(G41, list!$J$48:$K$50,2,))+(time-MIN(20,time))-IF(G41="Exponential",time-20+0.217*time*(EXP(4.606*(20-time)/time)-1),((time-20)^2)*(0.5/time)))))))),0)</f>
        <v/>
      </c>
    </row>
    <row r="21">
      <c r="B21" s="4581">
        <f>'3.Cropland'!C71</f>
        <v/>
      </c>
      <c r="C21" s="875">
        <f>'3.Cropland'!$E71</f>
        <v/>
      </c>
      <c r="D21" s="3777">
        <f>'3.Cropland'!$K71</f>
        <v/>
      </c>
      <c r="E21" s="3764">
        <f>IF('3.Cropland'!$BH71="", '3.Cropland'!$BG71, '3.Cropland'!$BH71)</f>
        <v/>
      </c>
      <c r="F21" s="3764">
        <f>IF('3.Cropland'!$BF71="", '3.Cropland'!$BE71, '3.Cropland'!$BF71)</f>
        <v/>
      </c>
      <c r="G21" s="4066">
        <f>(IF(C21&lt;&gt;"Please select", INDEX(IPCC!$E$105:$T$298,MATCH(clim_moist_cont,IPCC!$C$105:$C$298,0),MATCH('3.Cropland'!$E71,IPCC!$E$105:$T$105,0))*(44/12), 0))</f>
        <v/>
      </c>
      <c r="H21" s="3765">
        <f>IF('3.Cropland'!$AT71&lt;&gt;"", '3.Cropland'!$AT71*(44/12), '3.Cropland'!$AS71*(44/12))</f>
        <v/>
      </c>
      <c r="I21" s="4066">
        <f>(IF('3.Cropland'!$E71&lt;&gt;"Please select",INDEX(IPCC!$E$308:$T$501,MATCH(clim_moist_cont,IPCC!$C$308:$C$501,0),MATCH('3.Cropland'!$E71,IPCC!$E$308:$T$308,0))*(44/12),0))</f>
        <v/>
      </c>
      <c r="J21" s="3430">
        <f>IF('3.Cropland'!$AV71&lt;&gt;"", '3.Cropland'!$AV71*(44/12), '3.Cropland'!$AU71*(44/12))</f>
        <v/>
      </c>
      <c r="K21" s="3668">
        <f>H21+J21</f>
        <v/>
      </c>
      <c r="L21" s="4075">
        <f>IF(OR(C21="Please select",G21&lt;&gt;H21),0,INDEX(IPCC!$A$3235:$Q$3241,MATCH(climate,IPCC!$A$3235:$A$3241,0),MATCH(perennial!C21,IPCC!$A$3235:$Q$3235,0)))*44/12</f>
        <v/>
      </c>
      <c r="M21" s="4078">
        <f>IFERROR(L21/H21,0)</f>
        <v/>
      </c>
      <c r="O21" s="3310">
        <f>IF('3.Cropland'!$E71&lt;&gt; "Please select", IF('3.Cropland'!$AX71&lt;&gt;"", '3.Cropland'!$AX71,'3.Cropland'!$AW71),0)</f>
        <v/>
      </c>
      <c r="P21" s="3302">
        <f>(IF('3.Cropland'!$E71&lt;&gt;"Please select",IF('3.Cropland'!$AZ71&lt;&gt;"", '3.Cropland'!$AZ71,VLOOKUP(clim_moist, IPCC!$A$57:$D$68, 4,FALSE)),0))</f>
        <v/>
      </c>
      <c r="Q21" s="3302">
        <f>_xlfn.IFNA(IF('3.Cropland'!$BB71&lt;&gt;"",'3.Cropland'!$BB71,INDEX(IPCC!$F$58:$H$68,MATCH(clim_moist, IPCC!$A$58:$A$68,0),MATCH('3.Cropland'!$G71, IPCC!$F$58:$H$58,0))),)</f>
        <v/>
      </c>
      <c r="R21" s="3302">
        <f>_xlfn.IFNA(IF('3.Cropland'!$BD71&lt;&gt;"", '3.Cropland'!$BD71, INDEX(IPCC!$B$58:$L$68,MATCH(clim_moist,IPCC!$A$58:$A$68,0),MATCH('3.Cropland'!$I71,IPCC!$B$58:$L$58,0))),0)</f>
        <v/>
      </c>
      <c r="S21" s="3302">
        <f>O21*P21*Q21*R21</f>
        <v/>
      </c>
      <c r="T21" s="3312">
        <f>(S21-O21*P21)*(44/12)</f>
        <v/>
      </c>
      <c r="U21" s="3295">
        <f>T21/20</f>
        <v/>
      </c>
      <c r="V21" s="3295">
        <f>IF($D21="YES", $F21*IPCC!$D$75,0)*IPCC!$B$89/$E21</f>
        <v/>
      </c>
      <c r="W21" s="3295">
        <f>IF($D21="YES", $F21* IPCC!$E$75,0)*IPCC!$B$89/$E21</f>
        <v/>
      </c>
      <c r="X21" s="3295">
        <f>(V21*methane+W21*Nitrous)/1000</f>
        <v/>
      </c>
      <c r="Y21" s="3305">
        <f>'3.Cropland'!$M71</f>
        <v/>
      </c>
      <c r="AI21" s="3728">
        <f>(MIN(C42,D42)*time_tot+ABS(D42-C42)*IF(D42&gt;C42,time_cap+time*(VLOOKUP(E42, list!$J$48:$K$50,2,)),time*(1-(VLOOKUP(E42, list!$J$48:$K$50,2,)))))*perennial!V21*methane/1000</f>
        <v/>
      </c>
      <c r="AJ21" s="3728">
        <f>(($C42*time)+((F42-$C42))*(VLOOKUP(G42, list!$J$48:$K$50,2,)*time)+(F42*time_cap))*perennial!V21*methane/1000</f>
        <v/>
      </c>
      <c r="AK21" s="3728">
        <f>(MIN(C42,D42)*time_tot+ABS(D42-C42)*IF(D42&gt;C42,time_cap+time*(VLOOKUP(E42, list!$J$48:$K$50,2,)),time*(1-(VLOOKUP(E42, list!$J$48:$K$50,2,)))))*W21*Nitrous/1000</f>
        <v/>
      </c>
      <c r="AL21" s="3728">
        <f>(($C42*time)+((F42-$C42))*(VLOOKUP(G42, list!$J$48:$K$50,2,)*time)+(F42*time_cap))*W21*Nitrous/1000</f>
        <v/>
      </c>
      <c r="AP21" s="3424">
        <f>-(MIN(C42,D42)*time+ABS(D42-C42)*IF(D42&gt;C42,time*(VLOOKUP(E42, list!$J$48:$K$50,2,)),time*(1-(VLOOKUP(E42, list!$J$48:$K$50,2,)))))*(IF($H21&gt;0,$H21,$G21)+IF($J21&gt;0,$J21,$I21))</f>
        <v/>
      </c>
      <c r="AQ21" s="3425">
        <f>-(MIN(C42,F42)*time+ABS(F42-C42)*IF(F42&gt;C42,time*(VLOOKUP(G42, list!$J$48:$K$50,2,)),time*(1-(VLOOKUP(G42, list!$J$48:$K$50,2,)))))*(IF($H21&gt;0,$H21,$G21)+IF($J21&gt;0,$J21,$I21))</f>
        <v/>
      </c>
      <c r="AR21" s="3425">
        <f>-$U21*((MIN($C42,D42)*MIN(20,time))+IF(E42="Immediate",IF(D42&gt;$C42,D42*MIN(20,time),0),IF($C42&gt;D42,($C42-D42)*IF(time&gt;20,IF(E42="Linear",time-((time-20)^2)/(2*time),(0.215*time)-(time/4.6)*(EXP(-92.1/time)-0.01)),time*(1-VLOOKUP(E42, list!$J$48:$K$50,2,))),(D42-$C42)*IF(time&gt;time+20,20,IF(time&lt;20,(time*VLOOKUP(E42, list!$J$48:$K$50,2,))+(time-time),((MIN(20,time)*VLOOKUP(E42, list!$J$48:$K$50,2,))+(time-MIN(20,time))-IF(E42="Exponential",time-20+0.217*time*(EXP(4.606*(20-time)/time)-1),((time-20)^2)*(0.5/time))))))))</f>
        <v/>
      </c>
      <c r="AS21" s="3425">
        <f>-$U21*((MIN($C42,F42)*MIN(20,time))+IF(G42="Immediate",IF(F42&gt;$C42,F42*MIN(20,time),0),IF($C42&gt;F42,($C42-F42)*IF(time&gt;20,IF(G42="Linear",time-((time-20)^2)/(2*time),(0.215*time)-(time/4.6)*(EXP(-92.1/time)-0.01)),time*(1-VLOOKUP(G42, list!$J$48:$K$50,2,))),(F42-$C42)*IF(time&gt;time+20,20,IF(time&lt;20,(time*VLOOKUP(G42, list!$J$48:$K$50,2,))+(time-time),((MIN(20,time)*VLOOKUP(G42, list!$J$48:$K$50,2,))+(time-MIN(20,time))-IF(G42="Exponential",time-20+0.217*time*(EXP(4.606*(20-time)/time)-1),((time-20)^2)*(0.5/time))))))))</f>
        <v/>
      </c>
      <c r="AT21" s="3425">
        <f>(MIN(C42,D42)*time+ABS(D42-C42)*IF(D42&gt;C42,time*(VLOOKUP(E42, list!$J$48:$K$50,2,)),time*(1-(VLOOKUP(E42, list!$J$48:$K$50,2,)))))*perennial!V21*methane/1000</f>
        <v/>
      </c>
      <c r="AU21" s="3425">
        <f>(($C42*time)+((F42-$C42))*(VLOOKUP(G42, list!$J$48:$K$50,2,)*time)+(F42*0))*perennial!V21*methane/1000</f>
        <v/>
      </c>
      <c r="AV21" s="3425">
        <f>(MIN(C42,D42)*time+ABS(D42-C42)*IF(D42&gt;C42,+time*(VLOOKUP(E42, list!$J$48:$K$50,2,)),time*(1-(VLOOKUP(E42, list!$J$48:$K$50,2,)))))*W21*Nitrous/1000</f>
        <v/>
      </c>
      <c r="AW21" s="3425">
        <f>(($C42*time)+((F42-$C42))*(VLOOKUP(G42, list!$J$48:$K$50,2,)*time)+(F42*0))*W21*Nitrous/1000</f>
        <v/>
      </c>
      <c r="AX21" s="3425">
        <f>IF(S21&lt;O21,(O21-S21)/20/10*1000*N2O_N_conversion/1000*((MIN($C42,D42)*MIN(20,time))+IF(E42="Immediate",IF(D42&gt;$C42,D42*MIN(20,time),0),IF($C42&gt;D42,($C42-D42)*IF(time&gt;20,IF(E42="Linear",time-((time-20)^2)/(2*time),(0.215*time)-(time/4.6)*(EXP(-92.1/time)-0.01)),time*(1-VLOOKUP(E42, list!$J$48:$K$50,2,))),(D42-$C42)*IF(time&gt;time+20,20,IF(time&lt;20,(time*VLOOKUP(E42, list!$J$48:$K$50,2,))+(time-time),((MIN(20,time)*VLOOKUP(E42, list!$J$48:$K$50,2,))+(time-MIN(20,time))-IF(E42="Exponential",time-20+0.217*time*(EXP(4.606*(20-time)/time)-1),((time-20)^2)*(0.5/time)))))))),0)</f>
        <v/>
      </c>
      <c r="AY21" s="3426">
        <f>IF(S21&lt;O21,(O21-S21)/20/10*1000*N2O_N_conversion/1000*((MIN($C42,F42)*MIN(20,time))+IF(G42="Immediate",IF(F42&gt;$C42,F42*MIN(20,time),0),IF($C42&gt;F42,($C42-F42)*IF(time&gt;20,IF(G42="Linear",time-((time-20)^2)/(2*time),(0.215*time)-(time/4.6)*(EXP(-92.1/time)-0.01)),time*(1-VLOOKUP(G42, list!$J$48:$K$50,2,))),(F42-$C42)*IF(time&gt;time+20,20,IF(time&lt;20,(time*VLOOKUP(G42, list!$J$48:$K$50,2,))+(time-time),((MIN(20,time)*VLOOKUP(G42, list!$J$48:$K$50,2,))+(time-MIN(20,time))-IF(G42="Exponential",time-20+0.217*time*(EXP(4.606*(20-time)/time)-1),((time-20)^2)*(0.5/time)))))))),0)</f>
        <v/>
      </c>
    </row>
    <row r="22">
      <c r="B22" s="4581">
        <f>'3.Cropland'!C72</f>
        <v/>
      </c>
      <c r="C22" s="875">
        <f>'3.Cropland'!$E72</f>
        <v/>
      </c>
      <c r="D22" s="3777">
        <f>'3.Cropland'!$K72</f>
        <v/>
      </c>
      <c r="E22" s="3764">
        <f>IF('3.Cropland'!$BH72="", '3.Cropland'!$BG72, '3.Cropland'!$BH72)</f>
        <v/>
      </c>
      <c r="F22" s="3764">
        <f>IF('3.Cropland'!$BF72="", '3.Cropland'!$BE72, '3.Cropland'!$BF72)</f>
        <v/>
      </c>
      <c r="G22" s="4066">
        <f>(IF(C22&lt;&gt;"Please select", INDEX(IPCC!$E$105:$T$298,MATCH(clim_moist_cont,IPCC!$C$105:$C$298,0),MATCH('3.Cropland'!$E72,IPCC!$E$105:$T$105,0))*(44/12), 0))</f>
        <v/>
      </c>
      <c r="H22" s="3765">
        <f>IF('3.Cropland'!$AT72&lt;&gt;"", '3.Cropland'!$AT72*(44/12), '3.Cropland'!$AS72*(44/12))</f>
        <v/>
      </c>
      <c r="I22" s="4066">
        <f>(IF('3.Cropland'!$E72&lt;&gt;"Please select",INDEX(IPCC!$E$308:$T$501,MATCH(clim_moist_cont,IPCC!$C$308:$C$501,0),MATCH('3.Cropland'!$E72,IPCC!$E$308:$T$308,0))*(44/12),0))</f>
        <v/>
      </c>
      <c r="J22" s="3430">
        <f>IF('3.Cropland'!$AV72&lt;&gt;"", '3.Cropland'!$AV72*(44/12), '3.Cropland'!$AU72*(44/12))</f>
        <v/>
      </c>
      <c r="K22" s="3668">
        <f>H22+J22</f>
        <v/>
      </c>
      <c r="L22" s="4075">
        <f>IF(OR(C22="Please select",G22&lt;&gt;H22),0,INDEX(IPCC!$A$3235:$Q$3241,MATCH(climate,IPCC!$A$3235:$A$3241,0),MATCH(perennial!C22,IPCC!$A$3235:$Q$3235,0)))*44/12</f>
        <v/>
      </c>
      <c r="M22" s="4078">
        <f>IFERROR(L22/H22,0)</f>
        <v/>
      </c>
      <c r="O22" s="3310">
        <f>IF('3.Cropland'!$E72&lt;&gt; "Please select", IF('3.Cropland'!$AX72&lt;&gt;"", '3.Cropland'!$AX72,'3.Cropland'!$AW72),0)</f>
        <v/>
      </c>
      <c r="P22" s="3302">
        <f>(IF('3.Cropland'!$E72&lt;&gt;"Please select",IF('3.Cropland'!$AZ72&lt;&gt;"", '3.Cropland'!$AZ72,VLOOKUP(clim_moist, IPCC!$A$57:$D$68, 4,FALSE)),0))</f>
        <v/>
      </c>
      <c r="Q22" s="3302">
        <f>_xlfn.IFNA(IF('3.Cropland'!$BB72&lt;&gt;"",'3.Cropland'!$BB72,INDEX(IPCC!$F$58:$H$68,MATCH(clim_moist, IPCC!$A$58:$A$68,0),MATCH('3.Cropland'!$G72, IPCC!$F$58:$H$58,0))),)</f>
        <v/>
      </c>
      <c r="R22" s="3302">
        <f>_xlfn.IFNA(IF('3.Cropland'!$BD72&lt;&gt;"", '3.Cropland'!$BD72, INDEX(IPCC!$B$58:$L$68,MATCH(clim_moist,IPCC!$A$58:$A$68,0),MATCH('3.Cropland'!$I72,IPCC!$B$58:$L$58,0))),0)</f>
        <v/>
      </c>
      <c r="S22" s="3302">
        <f>O22*P22*Q22*R22</f>
        <v/>
      </c>
      <c r="T22" s="3312">
        <f>(S22-O22*P22)*(44/12)</f>
        <v/>
      </c>
      <c r="U22" s="3295">
        <f>T22/20</f>
        <v/>
      </c>
      <c r="V22" s="3295">
        <f>IF($D22="YES", $F22*IPCC!$D$75,0)*IPCC!$B$89/$E22</f>
        <v/>
      </c>
      <c r="W22" s="3295">
        <f>IF($D22="YES", $F22* IPCC!$E$75,0)*IPCC!$B$89/$E22</f>
        <v/>
      </c>
      <c r="X22" s="3295">
        <f>(V22*methane+W22*Nitrous)/1000</f>
        <v/>
      </c>
      <c r="Y22" s="3305">
        <f>'3.Cropland'!$M72</f>
        <v/>
      </c>
      <c r="AI22" s="3728">
        <f>(MIN(C43,D43)*time_tot+ABS(D43-C43)*IF(D43&gt;C43,time_cap+time*(VLOOKUP(E43, list!$J$48:$K$50,2,)),time*(1-(VLOOKUP(E43, list!$J$48:$K$50,2,)))))*perennial!V22*methane/1000</f>
        <v/>
      </c>
      <c r="AJ22" s="3728">
        <f>(($C43*time)+((F43-$C43))*(VLOOKUP(G43, list!$J$48:$K$50,2,)*time)+(F43*time_cap))*perennial!V22*methane/1000</f>
        <v/>
      </c>
      <c r="AK22" s="3728">
        <f>(MIN(C43,D43)*time_tot+ABS(D43-C43)*IF(D43&gt;C43,time_cap+time*(VLOOKUP(E43, list!$J$48:$K$50,2,)),time*(1-(VLOOKUP(E43, list!$J$48:$K$50,2,)))))*W22*Nitrous/1000</f>
        <v/>
      </c>
      <c r="AL22" s="3728">
        <f>(($C43*time)+((F43-$C43))*(VLOOKUP(G43, list!$J$48:$K$50,2,)*time)+(F43*time_cap))*W22*Nitrous/1000</f>
        <v/>
      </c>
      <c r="AP22" s="3424">
        <f>-(MIN(C43,D43)*time+ABS(D43-C43)*IF(D43&gt;C43,time*(VLOOKUP(E43, list!$J$48:$K$50,2,)),time*(1-(VLOOKUP(E43, list!$J$48:$K$50,2,)))))*(IF($H22&gt;0,$H22,$G22)+IF($J22&gt;0,$J22,$I22))</f>
        <v/>
      </c>
      <c r="AQ22" s="3425">
        <f>-(MIN(C43,F43)*time+ABS(F43-C43)*IF(F43&gt;C43,time*(VLOOKUP(G43, list!$J$48:$K$50,2,)),time*(1-(VLOOKUP(G43, list!$J$48:$K$50,2,)))))*(IF($H22&gt;0,$H22,$G22)+IF($J22&gt;0,$J22,$I22))</f>
        <v/>
      </c>
      <c r="AR22" s="3425">
        <f>-$U22*((MIN($C43,D43)*MIN(20,time))+IF(E43="Immediate",IF(D43&gt;$C43,D43*MIN(20,time),0),IF($C43&gt;D43,($C43-D43)*IF(time&gt;20,IF(E43="Linear",time-((time-20)^2)/(2*time),(0.215*time)-(time/4.6)*(EXP(-92.1/time)-0.01)),time*(1-VLOOKUP(E43, list!$J$48:$K$50,2,))),(D43-$C43)*IF(time&gt;time+20,20,IF(time&lt;20,(time*VLOOKUP(E43, list!$J$48:$K$50,2,))+(time-time),((MIN(20,time)*VLOOKUP(E43, list!$J$48:$K$50,2,))+(time-MIN(20,time))-IF(E43="Exponential",time-20+0.217*time*(EXP(4.606*(20-time)/time)-1),((time-20)^2)*(0.5/time))))))))</f>
        <v/>
      </c>
      <c r="AS22" s="3425">
        <f>-$U22*((MIN($C43,F43)*MIN(20,time))+IF(G43="Immediate",IF(F43&gt;$C43,F43*MIN(20,time),0),IF($C43&gt;F43,($C43-F43)*IF(time&gt;20,IF(G43="Linear",time-((time-20)^2)/(2*time),(0.215*time)-(time/4.6)*(EXP(-92.1/time)-0.01)),time*(1-VLOOKUP(G43, list!$J$48:$K$50,2,))),(F43-$C43)*IF(time&gt;time+20,20,IF(time&lt;20,(time*VLOOKUP(G43, list!$J$48:$K$50,2,))+(time-time),((MIN(20,time)*VLOOKUP(G43, list!$J$48:$K$50,2,))+(time-MIN(20,time))-IF(G43="Exponential",time-20+0.217*time*(EXP(4.606*(20-time)/time)-1),((time-20)^2)*(0.5/time))))))))</f>
        <v/>
      </c>
      <c r="AT22" s="3425">
        <f>(MIN(C43,D43)*time+ABS(D43-C43)*IF(D43&gt;C43,time*(VLOOKUP(E43, list!$J$48:$K$50,2,)),time*(1-(VLOOKUP(E43, list!$J$48:$K$50,2,)))))*perennial!V22*methane/1000</f>
        <v/>
      </c>
      <c r="AU22" s="3425">
        <f>(($C43*time)+((F43-$C43))*(VLOOKUP(G43, list!$J$48:$K$50,2,)*time)+(F43*0))*perennial!V22*methane/1000</f>
        <v/>
      </c>
      <c r="AV22" s="3425">
        <f>(MIN(C43,D43)*time+ABS(D43-C43)*IF(D43&gt;C43,+time*(VLOOKUP(E43, list!$J$48:$K$50,2,)),time*(1-(VLOOKUP(E43, list!$J$48:$K$50,2,)))))*W22*Nitrous/1000</f>
        <v/>
      </c>
      <c r="AW22" s="3425">
        <f>(($C43*time)+((F43-$C43))*(VLOOKUP(G43, list!$J$48:$K$50,2,)*time)+(F43*0))*W22*Nitrous/1000</f>
        <v/>
      </c>
      <c r="AX22" s="3425">
        <f>IF(S22&lt;O22,(O22-S22)/20/10*1000*N2O_N_conversion/1000*((MIN($C43,D43)*MIN(20,time))+IF(E43="Immediate",IF(D43&gt;$C43,D43*MIN(20,time),0),IF($C43&gt;D43,($C43-D43)*IF(time&gt;20,IF(E43="Linear",time-((time-20)^2)/(2*time),(0.215*time)-(time/4.6)*(EXP(-92.1/time)-0.01)),time*(1-VLOOKUP(E43, list!$J$48:$K$50,2,))),(D43-$C43)*IF(time&gt;time+20,20,IF(time&lt;20,(time*VLOOKUP(E43, list!$J$48:$K$50,2,))+(time-time),((MIN(20,time)*VLOOKUP(E43, list!$J$48:$K$50,2,))+(time-MIN(20,time))-IF(E43="Exponential",time-20+0.217*time*(EXP(4.606*(20-time)/time)-1),((time-20)^2)*(0.5/time)))))))),0)</f>
        <v/>
      </c>
      <c r="AY22" s="3426">
        <f>IF(S22&lt;O22,(O22-S22)/20/10*1000*N2O_N_conversion/1000*((MIN($C43,F43)*MIN(20,time))+IF(G43="Immediate",IF(F43&gt;$C43,F43*MIN(20,time),0),IF($C43&gt;F43,($C43-F43)*IF(time&gt;20,IF(G43="Linear",time-((time-20)^2)/(2*time),(0.215*time)-(time/4.6)*(EXP(-92.1/time)-0.01)),time*(1-VLOOKUP(G43, list!$J$48:$K$50,2,))),(F43-$C43)*IF(time&gt;time+20,20,IF(time&lt;20,(time*VLOOKUP(G43, list!$J$48:$K$50,2,))+(time-time),((MIN(20,time)*VLOOKUP(G43, list!$J$48:$K$50,2,))+(time-MIN(20,time))-IF(G43="Exponential",time-20+0.217*time*(EXP(4.606*(20-time)/time)-1),((time-20)^2)*(0.5/time)))))))),0)</f>
        <v/>
      </c>
    </row>
    <row r="23">
      <c r="B23" s="4581">
        <f>'3.Cropland'!C73</f>
        <v/>
      </c>
      <c r="C23" s="875">
        <f>'3.Cropland'!$E73</f>
        <v/>
      </c>
      <c r="D23" s="3777">
        <f>'3.Cropland'!$K73</f>
        <v/>
      </c>
      <c r="E23" s="3764">
        <f>IF('3.Cropland'!$BH73="", '3.Cropland'!$BG73, '3.Cropland'!$BH73)</f>
        <v/>
      </c>
      <c r="F23" s="3764">
        <f>IF('3.Cropland'!$BF73="", '3.Cropland'!$BE73, '3.Cropland'!$BF73)</f>
        <v/>
      </c>
      <c r="G23" s="4066">
        <f>(IF(C23&lt;&gt;"Please select", INDEX(IPCC!$E$105:$T$298,MATCH(clim_moist_cont,IPCC!$C$105:$C$298,0),MATCH('3.Cropland'!$E73,IPCC!$E$105:$T$105,0))*(44/12), 0))</f>
        <v/>
      </c>
      <c r="H23" s="3765">
        <f>IF('3.Cropland'!$AT73&lt;&gt;"", '3.Cropland'!$AT73*(44/12), '3.Cropland'!$AS73*(44/12))</f>
        <v/>
      </c>
      <c r="I23" s="4066">
        <f>(IF('3.Cropland'!$E73&lt;&gt;"Please select",INDEX(IPCC!$E$308:$T$501,MATCH(clim_moist_cont,IPCC!$C$308:$C$501,0),MATCH('3.Cropland'!$E73,IPCC!$E$308:$T$308,0))*(44/12),0))</f>
        <v/>
      </c>
      <c r="J23" s="3430">
        <f>IF('3.Cropland'!$AV73&lt;&gt;"", '3.Cropland'!$AV73*(44/12), '3.Cropland'!$AU73*(44/12))</f>
        <v/>
      </c>
      <c r="K23" s="3668">
        <f>H23+J23</f>
        <v/>
      </c>
      <c r="L23" s="4075">
        <f>IF(OR(C23="Please select",G23&lt;&gt;H23),0,INDEX(IPCC!$A$3235:$Q$3241,MATCH(climate,IPCC!$A$3235:$A$3241,0),MATCH(perennial!C23,IPCC!$A$3235:$Q$3235,0)))*44/12</f>
        <v/>
      </c>
      <c r="M23" s="4078">
        <f>IFERROR(L23/H23,0)</f>
        <v/>
      </c>
      <c r="O23" s="3310">
        <f>IF('3.Cropland'!$E73&lt;&gt; "Please select", IF('3.Cropland'!$AX73&lt;&gt;"", '3.Cropland'!$AX73,'3.Cropland'!$AW73),0)</f>
        <v/>
      </c>
      <c r="P23" s="3302">
        <f>(IF('3.Cropland'!$E73&lt;&gt;"Please select",IF('3.Cropland'!$AZ73&lt;&gt;"", '3.Cropland'!$AZ73,VLOOKUP(clim_moist, IPCC!$A$57:$D$68, 4,FALSE)),0))</f>
        <v/>
      </c>
      <c r="Q23" s="3302">
        <f>_xlfn.IFNA(IF('3.Cropland'!$BB73&lt;&gt;"",'3.Cropland'!$BB73,INDEX(IPCC!$F$58:$H$68,MATCH(clim_moist, IPCC!$A$58:$A$68,0),MATCH('3.Cropland'!$G73, IPCC!$F$58:$H$58,0))),)</f>
        <v/>
      </c>
      <c r="R23" s="3302">
        <f>_xlfn.IFNA(IF('3.Cropland'!$BD73&lt;&gt;"", '3.Cropland'!$BD73, INDEX(IPCC!$B$58:$L$68,MATCH(clim_moist,IPCC!$A$58:$A$68,0),MATCH('3.Cropland'!$I73,IPCC!$B$58:$L$58,0))),0)</f>
        <v/>
      </c>
      <c r="S23" s="3302">
        <f>O23*P23*Q23*R23</f>
        <v/>
      </c>
      <c r="T23" s="3312">
        <f>(S23-O23*P23)*(44/12)</f>
        <v/>
      </c>
      <c r="U23" s="3295">
        <f>T23/20</f>
        <v/>
      </c>
      <c r="V23" s="3295">
        <f>IF($D23="YES", $F23*IPCC!$D$75,0)*IPCC!$B$89/$E23</f>
        <v/>
      </c>
      <c r="W23" s="3295">
        <f>IF($D23="YES", $F23* IPCC!$E$75,0)*IPCC!$B$89/$E23</f>
        <v/>
      </c>
      <c r="X23" s="3295">
        <f>(V23*methane+W23*Nitrous)/1000</f>
        <v/>
      </c>
      <c r="Y23" s="3305">
        <f>'3.Cropland'!$M73</f>
        <v/>
      </c>
      <c r="AI23" s="3728">
        <f>(MIN(C44,D44)*time_tot+ABS(D44-C44)*IF(D44&gt;C44,time_cap+time*(VLOOKUP(E44, list!$J$48:$K$50,2,)),time*(1-(VLOOKUP(E44, list!$J$48:$K$50,2,)))))*perennial!V23*methane/1000</f>
        <v/>
      </c>
      <c r="AJ23" s="3728">
        <f>(($C44*time)+((F44-$C44))*(VLOOKUP(G44, list!$J$48:$K$50,2,)*time)+(F44*time_cap))*perennial!V23*methane/1000</f>
        <v/>
      </c>
      <c r="AK23" s="3728">
        <f>(MIN(C44,D44)*time_tot+ABS(D44-C44)*IF(D44&gt;C44,time_cap+time*(VLOOKUP(E44, list!$J$48:$K$50,2,)),time*(1-(VLOOKUP(E44, list!$J$48:$K$50,2,)))))*W23*Nitrous/1000</f>
        <v/>
      </c>
      <c r="AL23" s="3728">
        <f>(($C44*time)+((F44-$C44))*(VLOOKUP(G44, list!$J$48:$K$50,2,)*time)+(F44*time_cap))*W23*Nitrous/1000</f>
        <v/>
      </c>
      <c r="AP23" s="3424">
        <f>-(MIN(C44,D44)*time+ABS(D44-C44)*IF(D44&gt;C44,time*(VLOOKUP(E44, list!$J$48:$K$50,2,)),time*(1-(VLOOKUP(E44, list!$J$48:$K$50,2,)))))*(IF($H23&gt;0,$H23,$G23)+IF($J23&gt;0,$J23,$I23))</f>
        <v/>
      </c>
      <c r="AQ23" s="3425">
        <f>-(MIN(C44,F44)*time+ABS(F44-C44)*IF(F44&gt;C44,time*(VLOOKUP(G44, list!$J$48:$K$50,2,)),time*(1-(VLOOKUP(G44, list!$J$48:$K$50,2,)))))*(IF($H23&gt;0,$H23,$G23)+IF($J23&gt;0,$J23,$I23))</f>
        <v/>
      </c>
      <c r="AR23" s="3425">
        <f>-$U23*((MIN($C44,D44)*MIN(20,time))+IF(E44="Immediate",IF(D44&gt;$C44,D44*MIN(20,time),0),IF($C44&gt;D44,($C44-D44)*IF(time&gt;20,IF(E44="Linear",time-((time-20)^2)/(2*time),(0.215*time)-(time/4.6)*(EXP(-92.1/time)-0.01)),time*(1-VLOOKUP(E44, list!$J$48:$K$50,2,))),(D44-$C44)*IF(time&gt;time+20,20,IF(time&lt;20,(time*VLOOKUP(E44, list!$J$48:$K$50,2,))+(time-time),((MIN(20,time)*VLOOKUP(E44, list!$J$48:$K$50,2,))+(time-MIN(20,time))-IF(E44="Exponential",time-20+0.217*time*(EXP(4.606*(20-time)/time)-1),((time-20)^2)*(0.5/time))))))))</f>
        <v/>
      </c>
      <c r="AS23" s="3425">
        <f>-$U23*((MIN($C44,F44)*MIN(20,time))+IF(G44="Immediate",IF(F44&gt;$C44,F44*MIN(20,time),0),IF($C44&gt;F44,($C44-F44)*IF(time&gt;20,IF(G44="Linear",time-((time-20)^2)/(2*time),(0.215*time)-(time/4.6)*(EXP(-92.1/time)-0.01)),time*(1-VLOOKUP(G44, list!$J$48:$K$50,2,))),(F44-$C44)*IF(time&gt;time+20,20,IF(time&lt;20,(time*VLOOKUP(G44, list!$J$48:$K$50,2,))+(time-time),((MIN(20,time)*VLOOKUP(G44, list!$J$48:$K$50,2,))+(time-MIN(20,time))-IF(G44="Exponential",time-20+0.217*time*(EXP(4.606*(20-time)/time)-1),((time-20)^2)*(0.5/time))))))))</f>
        <v/>
      </c>
      <c r="AT23" s="3425">
        <f>(MIN(C44,D44)*time+ABS(D44-C44)*IF(D44&gt;C44,time*(VLOOKUP(E44, list!$J$48:$K$50,2,)),time*(1-(VLOOKUP(E44, list!$J$48:$K$50,2,)))))*perennial!V23*methane/1000</f>
        <v/>
      </c>
      <c r="AU23" s="3425">
        <f>(($C44*time)+((F44-$C44))*(VLOOKUP(G44, list!$J$48:$K$50,2,)*time)+(F44*0))*perennial!V23*methane/1000</f>
        <v/>
      </c>
      <c r="AV23" s="3425">
        <f>(MIN(C44,D44)*time+ABS(D44-C44)*IF(D44&gt;C44,+time*(VLOOKUP(E44, list!$J$48:$K$50,2,)),time*(1-(VLOOKUP(E44, list!$J$48:$K$50,2,)))))*W23*Nitrous/1000</f>
        <v/>
      </c>
      <c r="AW23" s="3425">
        <f>(($C44*time)+((F44-$C44))*(VLOOKUP(G44, list!$J$48:$K$50,2,)*time)+(F44*0))*W23*Nitrous/1000</f>
        <v/>
      </c>
      <c r="AX23" s="3425">
        <f>IF(S23&lt;O23,(O23-S23)/20/10*1000*N2O_N_conversion/1000*((MIN($C44,D44)*MIN(20,time))+IF(E44="Immediate",IF(D44&gt;$C44,D44*MIN(20,time),0),IF($C44&gt;D44,($C44-D44)*IF(time&gt;20,IF(E44="Linear",time-((time-20)^2)/(2*time),(0.215*time)-(time/4.6)*(EXP(-92.1/time)-0.01)),time*(1-VLOOKUP(E44, list!$J$48:$K$50,2,))),(D44-$C44)*IF(time&gt;time+20,20,IF(time&lt;20,(time*VLOOKUP(E44, list!$J$48:$K$50,2,))+(time-time),((MIN(20,time)*VLOOKUP(E44, list!$J$48:$K$50,2,))+(time-MIN(20,time))-IF(E44="Exponential",time-20+0.217*time*(EXP(4.606*(20-time)/time)-1),((time-20)^2)*(0.5/time)))))))),0)</f>
        <v/>
      </c>
      <c r="AY23" s="3426">
        <f>IF(S23&lt;O23,(O23-S23)/20/10*1000*N2O_N_conversion/1000*((MIN($C44,F44)*MIN(20,time))+IF(G44="Immediate",IF(F44&gt;$C44,F44*MIN(20,time),0),IF($C44&gt;F44,($C44-F44)*IF(time&gt;20,IF(G44="Linear",time-((time-20)^2)/(2*time),(0.215*time)-(time/4.6)*(EXP(-92.1/time)-0.01)),time*(1-VLOOKUP(G44, list!$J$48:$K$50,2,))),(F44-$C44)*IF(time&gt;time+20,20,IF(time&lt;20,(time*VLOOKUP(G44, list!$J$48:$K$50,2,))+(time-time),((MIN(20,time)*VLOOKUP(G44, list!$J$48:$K$50,2,))+(time-MIN(20,time))-IF(G44="Exponential",time-20+0.217*time*(EXP(4.606*(20-time)/time)-1),((time-20)^2)*(0.5/time)))))))),0)</f>
        <v/>
      </c>
    </row>
    <row r="24">
      <c r="B24" s="4581">
        <f>'3.Cropland'!C74</f>
        <v/>
      </c>
      <c r="C24" s="875">
        <f>'3.Cropland'!$E74</f>
        <v/>
      </c>
      <c r="D24" s="3777">
        <f>'3.Cropland'!$K74</f>
        <v/>
      </c>
      <c r="E24" s="3764">
        <f>IF('3.Cropland'!$BH74="", '3.Cropland'!$BG74, '3.Cropland'!$BH74)</f>
        <v/>
      </c>
      <c r="F24" s="3764">
        <f>IF('3.Cropland'!$BF74="", '3.Cropland'!$BE74, '3.Cropland'!$BF74)</f>
        <v/>
      </c>
      <c r="G24" s="4066">
        <f>(IF(C24&lt;&gt;"Please select", INDEX(IPCC!$E$105:$T$298,MATCH(clim_moist_cont,IPCC!$C$105:$C$298,0),MATCH('3.Cropland'!$E74,IPCC!$E$105:$T$105,0))*(44/12), 0))</f>
        <v/>
      </c>
      <c r="H24" s="3765">
        <f>IF('3.Cropland'!$AT74&lt;&gt;"", '3.Cropland'!$AT74*(44/12), '3.Cropland'!$AS74*(44/12))</f>
        <v/>
      </c>
      <c r="I24" s="4066">
        <f>(IF('3.Cropland'!$E74&lt;&gt;"Please select",INDEX(IPCC!$E$308:$T$501,MATCH(clim_moist_cont,IPCC!$C$308:$C$501,0),MATCH('3.Cropland'!$E74,IPCC!$E$308:$T$308,0))*(44/12),0))</f>
        <v/>
      </c>
      <c r="J24" s="3430">
        <f>IF('3.Cropland'!$AV74&lt;&gt;"", '3.Cropland'!$AV74*(44/12), '3.Cropland'!$AU74*(44/12))</f>
        <v/>
      </c>
      <c r="K24" s="3668">
        <f>H24+J24</f>
        <v/>
      </c>
      <c r="L24" s="4075">
        <f>IF(OR(C24="Please select",G24&lt;&gt;H24),0,INDEX(IPCC!$A$3235:$Q$3241,MATCH(climate,IPCC!$A$3235:$A$3241,0),MATCH(perennial!C24,IPCC!$A$3235:$Q$3235,0)))*44/12</f>
        <v/>
      </c>
      <c r="M24" s="4078">
        <f>IFERROR(L24/H24,0)</f>
        <v/>
      </c>
      <c r="O24" s="3310">
        <f>IF('3.Cropland'!$E74&lt;&gt; "Please select", IF('3.Cropland'!$AX74&lt;&gt;"", '3.Cropland'!$AX74,'3.Cropland'!$AW74),0)</f>
        <v/>
      </c>
      <c r="P24" s="3302">
        <f>(IF('3.Cropland'!$E74&lt;&gt;"Please select",IF('3.Cropland'!$AZ74&lt;&gt;"", '3.Cropland'!$AZ74,VLOOKUP(clim_moist, IPCC!$A$57:$D$68, 4,FALSE)),0))</f>
        <v/>
      </c>
      <c r="Q24" s="3302">
        <f>_xlfn.IFNA(IF('3.Cropland'!$BB74&lt;&gt;"",'3.Cropland'!$BB74,INDEX(IPCC!$F$58:$H$68,MATCH(clim_moist, IPCC!$A$58:$A$68,0),MATCH('3.Cropland'!$G74, IPCC!$F$58:$H$58,0))),)</f>
        <v/>
      </c>
      <c r="R24" s="3302">
        <f>_xlfn.IFNA(IF('3.Cropland'!$BD74&lt;&gt;"", '3.Cropland'!$BD74, INDEX(IPCC!$B$58:$L$68,MATCH(clim_moist,IPCC!$A$58:$A$68,0),MATCH('3.Cropland'!$I74,IPCC!$B$58:$L$58,0))),0)</f>
        <v/>
      </c>
      <c r="S24" s="3302">
        <f>O24*P24*Q24*R24</f>
        <v/>
      </c>
      <c r="T24" s="3312">
        <f>(S24-O24*P24)*(44/12)</f>
        <v/>
      </c>
      <c r="U24" s="3295">
        <f>T24/20</f>
        <v/>
      </c>
      <c r="V24" s="3295">
        <f>IF($D24="YES", $F24*IPCC!$D$75,0)*IPCC!$B$89/$E24</f>
        <v/>
      </c>
      <c r="W24" s="3295">
        <f>IF($D24="YES", $F24* IPCC!$E$75,0)*IPCC!$B$89/$E24</f>
        <v/>
      </c>
      <c r="X24" s="3295">
        <f>(V24*methane+W24*Nitrous)/1000</f>
        <v/>
      </c>
      <c r="Y24" s="3305">
        <f>'3.Cropland'!$M74</f>
        <v/>
      </c>
      <c r="AI24" s="3728">
        <f>(MIN(C45,D45)*time_tot+ABS(D45-C45)*IF(D45&gt;C45,time_cap+time*(VLOOKUP(E45, list!$J$48:$K$50,2,)),time*(1-(VLOOKUP(E45, list!$J$48:$K$50,2,)))))*perennial!V24*methane/1000</f>
        <v/>
      </c>
      <c r="AJ24" s="3728">
        <f>(($C45*time)+((F45-$C45))*(VLOOKUP(G45, list!$J$48:$K$50,2,)*time)+(F45*time_cap))*perennial!V24*methane/1000</f>
        <v/>
      </c>
      <c r="AK24" s="3728">
        <f>(MIN(C45,D45)*time_tot+ABS(D45-C45)*IF(D45&gt;C45,time_cap+time*(VLOOKUP(E45, list!$J$48:$K$50,2,)),time*(1-(VLOOKUP(E45, list!$J$48:$K$50,2,)))))*W24*Nitrous/1000</f>
        <v/>
      </c>
      <c r="AL24" s="3728">
        <f>(($C45*time)+((F45-$C45))*(VLOOKUP(G45, list!$J$48:$K$50,2,)*time)+(F45*time_cap))*W24*Nitrous/1000</f>
        <v/>
      </c>
      <c r="AP24" s="3424">
        <f>-(MIN(C45,D45)*time+ABS(D45-C45)*IF(D45&gt;C45,time*(VLOOKUP(E45, list!$J$48:$K$50,2,)),time*(1-(VLOOKUP(E45, list!$J$48:$K$50,2,)))))*(IF($H24&gt;0,$H24,$G24)+IF($J24&gt;0,$J24,$I24))</f>
        <v/>
      </c>
      <c r="AQ24" s="3425">
        <f>-(MIN(C45,F45)*time+ABS(F45-C45)*IF(F45&gt;C45,time*(VLOOKUP(G45, list!$J$48:$K$50,2,)),time*(1-(VLOOKUP(G45, list!$J$48:$K$50,2,)))))*(IF($H24&gt;0,$H24,$G24)+IF($J24&gt;0,$J24,$I24))</f>
        <v/>
      </c>
      <c r="AR24" s="3425">
        <f>-$U24*((MIN($C45,D45)*MIN(20,time))+IF(E45="Immediate",IF(D45&gt;$C45,D45*MIN(20,time),0),IF($C45&gt;D45,($C45-D45)*IF(time&gt;20,IF(E45="Linear",time-((time-20)^2)/(2*time),(0.215*time)-(time/4.6)*(EXP(-92.1/time)-0.01)),time*(1-VLOOKUP(E45, list!$J$48:$K$50,2,))),(D45-$C45)*IF(time&gt;time+20,20,IF(time&lt;20,(time*VLOOKUP(E45, list!$J$48:$K$50,2,))+(time-time),((MIN(20,time)*VLOOKUP(E45, list!$J$48:$K$50,2,))+(time-MIN(20,time))-IF(E45="Exponential",time-20+0.217*time*(EXP(4.606*(20-time)/time)-1),((time-20)^2)*(0.5/time))))))))</f>
        <v/>
      </c>
      <c r="AS24" s="3425">
        <f>-$U24*((MIN($C45,F45)*MIN(20,time))+IF(G45="Immediate",IF(F45&gt;$C45,F45*MIN(20,time),0),IF($C45&gt;F45,($C45-F45)*IF(time&gt;20,IF(G45="Linear",time-((time-20)^2)/(2*time),(0.215*time)-(time/4.6)*(EXP(-92.1/time)-0.01)),time*(1-VLOOKUP(G45, list!$J$48:$K$50,2,))),(F45-$C45)*IF(time&gt;time+20,20,IF(time&lt;20,(time*VLOOKUP(G45, list!$J$48:$K$50,2,))+(time-time),((MIN(20,time)*VLOOKUP(G45, list!$J$48:$K$50,2,))+(time-MIN(20,time))-IF(G45="Exponential",time-20+0.217*time*(EXP(4.606*(20-time)/time)-1),((time-20)^2)*(0.5/time))))))))</f>
        <v/>
      </c>
      <c r="AT24" s="3425">
        <f>(MIN(C45,D45)*time+ABS(D45-C45)*IF(D45&gt;C45,time*(VLOOKUP(E45, list!$J$48:$K$50,2,)),time*(1-(VLOOKUP(E45, list!$J$48:$K$50,2,)))))*perennial!V24*methane/1000</f>
        <v/>
      </c>
      <c r="AU24" s="3425">
        <f>(($C45*time)+((F45-$C45))*(VLOOKUP(G45, list!$J$48:$K$50,2,)*time)+(F45*0))*perennial!V24*methane/1000</f>
        <v/>
      </c>
      <c r="AV24" s="3425">
        <f>(MIN(C45,D45)*time+ABS(D45-C45)*IF(D45&gt;C45,+time*(VLOOKUP(E45, list!$J$48:$K$50,2,)),time*(1-(VLOOKUP(E45, list!$J$48:$K$50,2,)))))*W24*Nitrous/1000</f>
        <v/>
      </c>
      <c r="AW24" s="3425">
        <f>(($C45*time)+((F45-$C45))*(VLOOKUP(G45, list!$J$48:$K$50,2,)*time)+(F45*0))*W24*Nitrous/1000</f>
        <v/>
      </c>
      <c r="AX24" s="3425">
        <f>IF(S24&lt;O24,(O24-S24)/20/10*1000*N2O_N_conversion/1000*((MIN($C45,D45)*MIN(20,time))+IF(E45="Immediate",IF(D45&gt;$C45,D45*MIN(20,time),0),IF($C45&gt;D45,($C45-D45)*IF(time&gt;20,IF(E45="Linear",time-((time-20)^2)/(2*time),(0.215*time)-(time/4.6)*(EXP(-92.1/time)-0.01)),time*(1-VLOOKUP(E45, list!$J$48:$K$50,2,))),(D45-$C45)*IF(time&gt;time+20,20,IF(time&lt;20,(time*VLOOKUP(E45, list!$J$48:$K$50,2,))+(time-time),((MIN(20,time)*VLOOKUP(E45, list!$J$48:$K$50,2,))+(time-MIN(20,time))-IF(E45="Exponential",time-20+0.217*time*(EXP(4.606*(20-time)/time)-1),((time-20)^2)*(0.5/time)))))))),0)</f>
        <v/>
      </c>
      <c r="AY24" s="3426">
        <f>IF(S24&lt;O24,(O24-S24)/20/10*1000*N2O_N_conversion/1000*((MIN($C45,F45)*MIN(20,time))+IF(G45="Immediate",IF(F45&gt;$C45,F45*MIN(20,time),0),IF($C45&gt;F45,($C45-F45)*IF(time&gt;20,IF(G45="Linear",time-((time-20)^2)/(2*time),(0.215*time)-(time/4.6)*(EXP(-92.1/time)-0.01)),time*(1-VLOOKUP(G45, list!$J$48:$K$50,2,))),(F45-$C45)*IF(time&gt;time+20,20,IF(time&lt;20,(time*VLOOKUP(G45, list!$J$48:$K$50,2,))+(time-time),((MIN(20,time)*VLOOKUP(G45, list!$J$48:$K$50,2,))+(time-MIN(20,time))-IF(G45="Exponential",time-20+0.217*time*(EXP(4.606*(20-time)/time)-1),((time-20)^2)*(0.5/time)))))))),0)</f>
        <v/>
      </c>
    </row>
    <row r="25">
      <c r="B25" s="4581">
        <f>'3.Cropland'!C75</f>
        <v/>
      </c>
      <c r="C25" s="875">
        <f>'3.Cropland'!$E75</f>
        <v/>
      </c>
      <c r="D25" s="3778">
        <f>'3.Cropland'!$K75</f>
        <v/>
      </c>
      <c r="E25" s="3766">
        <f>IF('3.Cropland'!$BH75="", '3.Cropland'!$BG75, '3.Cropland'!$BH75)</f>
        <v/>
      </c>
      <c r="F25" s="3766">
        <f>IF('3.Cropland'!$BF75="", '3.Cropland'!$BE75, '3.Cropland'!$BF75)</f>
        <v/>
      </c>
      <c r="G25" s="4066">
        <f>(IF(C25&lt;&gt;"Please select", INDEX(IPCC!$E$105:$T$298,MATCH(clim_moist_cont,IPCC!$C$105:$C$298,0),MATCH('3.Cropland'!$E75,IPCC!$E$105:$T$105,0))*(44/12), 0))</f>
        <v/>
      </c>
      <c r="H25" s="3767">
        <f>IF('3.Cropland'!$AT75&lt;&gt;"", '3.Cropland'!$AT75*(44/12), '3.Cropland'!$AS75*(44/12))</f>
        <v/>
      </c>
      <c r="I25" s="4066">
        <f>(IF('3.Cropland'!$E75&lt;&gt;"Please select",INDEX(IPCC!$E$308:$T$501,MATCH(clim_moist_cont,IPCC!$C$308:$C$501,0),MATCH('3.Cropland'!$E75,IPCC!$E$308:$T$308,0))*(44/12),0))</f>
        <v/>
      </c>
      <c r="J25" s="3768">
        <f>IF('3.Cropland'!$AV75&lt;&gt;"", '3.Cropland'!$AV75*(44/12), '3.Cropland'!$AU75*(44/12))</f>
        <v/>
      </c>
      <c r="K25" s="3769">
        <f>H25+J25</f>
        <v/>
      </c>
      <c r="L25" s="4075">
        <f>IF(OR(C25="Please select",G25&lt;&gt;H25),0,INDEX(IPCC!$A$3235:$Q$3241,MATCH(climate,IPCC!$A$3235:$A$3241,0),MATCH(perennial!C25,IPCC!$A$3235:$Q$3235,0)))*44/12</f>
        <v/>
      </c>
      <c r="M25" s="4078">
        <f>IFERROR(L25/H25,0)</f>
        <v/>
      </c>
      <c r="O25" s="3310">
        <f>IF('3.Cropland'!$E75&lt;&gt; "Please select", IF('3.Cropland'!$AX75&lt;&gt;"", '3.Cropland'!$AX75,'3.Cropland'!$AW75),0)</f>
        <v/>
      </c>
      <c r="P25" s="3306">
        <f>(IF('3.Cropland'!$E75&lt;&gt;"Please select",IF('3.Cropland'!$AZ75&lt;&gt;"", '3.Cropland'!$AZ75,VLOOKUP(clim_moist, IPCC!$A$57:$D$68, 4,FALSE)),0))</f>
        <v/>
      </c>
      <c r="Q25" s="3306">
        <f>_xlfn.IFNA(IF('3.Cropland'!$BB75&lt;&gt;"",'3.Cropland'!$BB75,INDEX(IPCC!$F$58:$H$68,MATCH(clim_moist, IPCC!$A$58:$A$68,0),MATCH('3.Cropland'!$G75, IPCC!$F$58:$H$58,0))),)</f>
        <v/>
      </c>
      <c r="R25" s="3306">
        <f>_xlfn.IFNA(IF('3.Cropland'!$BD75&lt;&gt;"", '3.Cropland'!$BD75, INDEX(IPCC!$B$58:$L$68,MATCH(clim_moist,IPCC!$A$58:$A$68,0),MATCH('3.Cropland'!$I75,IPCC!$B$58:$L$58,0))),0)</f>
        <v/>
      </c>
      <c r="S25" s="3306">
        <f>O25*P25*Q25*R25</f>
        <v/>
      </c>
      <c r="T25" s="3312">
        <f>(S25-O25*P25)*(44/12)</f>
        <v/>
      </c>
      <c r="U25" s="3307">
        <f>T25/20</f>
        <v/>
      </c>
      <c r="V25" s="3307">
        <f>IF($D25="YES", $F25*IPCC!$D$75,0)*IPCC!$B$89/$E25</f>
        <v/>
      </c>
      <c r="W25" s="3307">
        <f>IF($D25="YES", $F25* IPCC!$E$75,0)*IPCC!$B$89/$E25</f>
        <v/>
      </c>
      <c r="X25" s="3307">
        <f>(V25*methane+W25*Nitrous)/1000</f>
        <v/>
      </c>
      <c r="Y25" s="3308">
        <f>'3.Cropland'!$M75</f>
        <v/>
      </c>
      <c r="AI25" s="3728">
        <f>(MIN(C46,D46)*time_tot+ABS(D46-C46)*IF(D46&gt;C46,time_cap+time*(VLOOKUP(E46, list!$J$48:$K$50,2,)),time*(1-(VLOOKUP(E46, list!$J$48:$K$50,2,)))))*perennial!V25*methane/1000</f>
        <v/>
      </c>
      <c r="AJ25" s="3728">
        <f>(($C46*time)+((F46-$C46))*(VLOOKUP(G46, list!$J$48:$K$50,2,)*time)+(F46*time_cap))*perennial!V25*methane/1000</f>
        <v/>
      </c>
      <c r="AK25" s="3728">
        <f>(MIN(C46,D46)*time_tot+ABS(D46-C46)*IF(D46&gt;C46,time_cap+time*(VLOOKUP(E46, list!$J$48:$K$50,2,)),time*(1-(VLOOKUP(E46, list!$J$48:$K$50,2,)))))*W25*Nitrous/1000</f>
        <v/>
      </c>
      <c r="AL25" s="3728">
        <f>(($C46*time)+((F46-$C46))*(VLOOKUP(G46, list!$J$48:$K$50,2,)*time)+(F46*time_cap))*W25*Nitrous/1000</f>
        <v/>
      </c>
      <c r="AP25" s="3427">
        <f>-(MIN(C46,D46)*time+ABS(D46-C46)*IF(D46&gt;C46,time*(VLOOKUP(E46, list!$J$48:$K$50,2,)),time*(1-(VLOOKUP(E46, list!$J$48:$K$50,2,)))))*(IF($H25&gt;0,$H25,$G25)+IF($J25&gt;0,$J25,$I25))</f>
        <v/>
      </c>
      <c r="AQ25" s="3428">
        <f>-(MIN(C46,F46)*time+ABS(F46-C46)*IF(F46&gt;C46,time*(VLOOKUP(G46, list!$J$48:$K$50,2,)),time*(1-(VLOOKUP(G46, list!$J$48:$K$50,2,)))))*(IF($H25&gt;0,$H25,$G25)+IF($J25&gt;0,$J25,$I25))</f>
        <v/>
      </c>
      <c r="AR25" s="3428">
        <f>-$U25*((MIN($C46,D46)*MIN(20,time))+IF(E46="Immediate",IF(D46&gt;$C46,D46*MIN(20,time),0),IF($C46&gt;D46,($C46-D46)*IF(time&gt;20,IF(E46="Linear",time-((time-20)^2)/(2*time),(0.215*time)-(time/4.6)*(EXP(-92.1/time)-0.01)),time*(1-VLOOKUP(E46, list!$J$48:$K$50,2,))),(D46-$C46)*IF(time&gt;time+20,20,IF(time&lt;20,(time*VLOOKUP(E46, list!$J$48:$K$50,2,))+(time-time),((MIN(20,time)*VLOOKUP(E46, list!$J$48:$K$50,2,))+(time-MIN(20,time))-IF(E46="Exponential",time-20+0.217*time*(EXP(4.606*(20-time)/time)-1),((time-20)^2)*(0.5/time))))))))</f>
        <v/>
      </c>
      <c r="AS25" s="3428">
        <f>-$U25*((MIN($C46,F46)*MIN(20,time))+IF(G46="Immediate",IF(F46&gt;$C46,F46*MIN(20,time),0),IF($C46&gt;F46,($C46-F46)*IF(time&gt;20,IF(G46="Linear",time-((time-20)^2)/(2*time),(0.215*time)-(time/4.6)*(EXP(-92.1/time)-0.01)),time*(1-VLOOKUP(G46, list!$J$48:$K$50,2,))),(F46-$C46)*IF(time&gt;time+20,20,IF(time&lt;20,(time*VLOOKUP(G46, list!$J$48:$K$50,2,))+(time-time),((MIN(20,time)*VLOOKUP(G46, list!$J$48:$K$50,2,))+(time-MIN(20,time))-IF(G46="Exponential",time-20+0.217*time*(EXP(4.606*(20-time)/time)-1),((time-20)^2)*(0.5/time))))))))</f>
        <v/>
      </c>
      <c r="AT25" s="3428">
        <f>(MIN(C46,D46)*time+ABS(D46-C46)*IF(D46&gt;C46,time*(VLOOKUP(E46, list!$J$48:$K$50,2,)),time*(1-(VLOOKUP(E46, list!$J$48:$K$50,2,)))))*perennial!V25*methane/1000</f>
        <v/>
      </c>
      <c r="AU25" s="3428">
        <f>(($C46*time)+((F46-$C46))*(VLOOKUP(G46, list!$J$48:$K$50,2,)*time)+(F46*0))*perennial!V25*methane/1000</f>
        <v/>
      </c>
      <c r="AV25" s="3428">
        <f>(MIN(C46,D46)*time+ABS(D46-C46)*IF(D46&gt;C46,+time*(VLOOKUP(E46, list!$J$48:$K$50,2,)),time*(1-(VLOOKUP(E46, list!$J$48:$K$50,2,)))))*W25*Nitrous/1000</f>
        <v/>
      </c>
      <c r="AW25" s="3428">
        <f>(($C46*time)+((F46-$C46))*(VLOOKUP(G46, list!$J$48:$K$50,2,)*time)+(F46*0))*W25*Nitrous/1000</f>
        <v/>
      </c>
      <c r="AX25" s="3428">
        <f>IF(S25&lt;O25,(O25-S25)/20/10*1000*N2O_N_conversion/1000*((MIN($C46,D46)*MIN(20,time))+IF(E46="Immediate",IF(D46&gt;$C46,D46*MIN(20,time),0),IF($C46&gt;D46,($C46-D46)*IF(time&gt;20,IF(E46="Linear",time-((time-20)^2)/(2*time),(0.215*time)-(time/4.6)*(EXP(-92.1/time)-0.01)),time*(1-VLOOKUP(E46, list!$J$48:$K$50,2,))),(D46-$C46)*IF(time&gt;time+20,20,IF(time&lt;20,(time*VLOOKUP(E46, list!$J$48:$K$50,2,))+(time-time),((MIN(20,time)*VLOOKUP(E46, list!$J$48:$K$50,2,))+(time-MIN(20,time))-IF(E46="Exponential",time-20+0.217*time*(EXP(4.606*(20-time)/time)-1),((time-20)^2)*(0.5/time)))))))),0)</f>
        <v/>
      </c>
      <c r="AY25" s="3429">
        <f>IF(S25&lt;O25,(O25-S25)/20/10*1000*N2O_N_conversion/1000*((MIN($C46,F46)*MIN(20,time))+IF(G46="Immediate",IF(F46&gt;$C46,F46*MIN(20,time),0),IF($C46&gt;F46,($C46-F46)*IF(time&gt;20,IF(G46="Linear",time-((time-20)^2)/(2*time),(0.215*time)-(time/4.6)*(EXP(-92.1/time)-0.01)),time*(1-VLOOKUP(G46, list!$J$48:$K$50,2,))),(F46-$C46)*IF(time&gt;time+20,20,IF(time&lt;20,(time*VLOOKUP(G46, list!$J$48:$K$50,2,))+(time-time),((MIN(20,time)*VLOOKUP(G46, list!$J$48:$K$50,2,))+(time-MIN(20,time))-IF(G46="Exponential",time-20+0.217*time*(EXP(4.606*(20-time)/time)-1),((time-20)^2)*(0.5/time)))))))),0)</f>
        <v/>
      </c>
    </row>
    <row r="26">
      <c r="Q26" s="179" t="n"/>
      <c r="R26" s="179" t="n"/>
      <c r="S26" s="179" t="n"/>
    </row>
    <row r="28">
      <c r="AA28" s="3231" t="inlineStr">
        <is>
          <t>Categories</t>
        </is>
      </c>
      <c r="AB28" s="3232" t="inlineStr">
        <is>
          <t>Total</t>
        </is>
      </c>
      <c r="AC28" s="3232" t="inlineStr">
        <is>
          <t>Implementation</t>
        </is>
      </c>
      <c r="AD28" s="3232" t="inlineStr">
        <is>
          <t>Capitalization</t>
        </is>
      </c>
    </row>
    <row r="29">
      <c r="B29" s="3644" t="inlineStr">
        <is>
          <t>Mitigation potential</t>
        </is>
      </c>
      <c r="C29" s="3644" t="n"/>
      <c r="D29" s="3644" t="n"/>
      <c r="E29" s="3644" t="n"/>
      <c r="F29" s="3644" t="n"/>
      <c r="G29" s="3644" t="n"/>
      <c r="H29" s="3644" t="n"/>
      <c r="I29" s="3644" t="n"/>
      <c r="J29" s="3644" t="n"/>
      <c r="K29" s="3644" t="n"/>
      <c r="L29" s="3644" t="n"/>
      <c r="M29" s="3644" t="n"/>
      <c r="N29" s="3644" t="n"/>
      <c r="O29" s="3644" t="n"/>
      <c r="P29" s="3644" t="n"/>
      <c r="Q29" s="3644" t="n"/>
      <c r="R29" s="3644" t="n"/>
      <c r="U29" s="3644" t="inlineStr">
        <is>
          <t>Total yield (in tonnes)</t>
        </is>
      </c>
      <c r="V29" s="3644" t="n"/>
      <c r="W29" s="3644" t="n"/>
      <c r="AA29" s="3233" t="inlineStr">
        <is>
          <t>CO2 Biomass</t>
        </is>
      </c>
      <c r="AB29" s="3234">
        <f>SUM(I33:I46)-SUM(H33:H46)</f>
        <v/>
      </c>
      <c r="AC29" s="3235">
        <f>SUM(AQ12:AQ25)-SUM(AP12:AP25)</f>
        <v/>
      </c>
      <c r="AD29" s="3236">
        <f>AB29-AC29</f>
        <v/>
      </c>
    </row>
    <row r="30" ht="17" customHeight="1">
      <c r="B30" s="284" t="n"/>
      <c r="C30" s="811" t="inlineStr">
        <is>
          <t>Area (ha)</t>
        </is>
      </c>
      <c r="D30" s="3782" t="inlineStr">
        <is>
          <t>Area (ha)</t>
        </is>
      </c>
      <c r="E30" s="3553" t="n"/>
      <c r="F30" s="3783" t="inlineStr">
        <is>
          <t>Area (ha)</t>
        </is>
      </c>
      <c r="G30" s="3553" t="n"/>
      <c r="H30" s="3784" t="inlineStr">
        <is>
          <t>Total biomass CO2 fluxes</t>
        </is>
      </c>
      <c r="I30" s="3785" t="n"/>
      <c r="J30" s="3786" t="inlineStr">
        <is>
          <t>Soil CO2 fluxes</t>
        </is>
      </c>
      <c r="K30" s="3787" t="n"/>
      <c r="L30" s="3788" t="inlineStr">
        <is>
          <t>CO2eq emitted from residues burning</t>
        </is>
      </c>
      <c r="M30" s="3789" t="n"/>
      <c r="N30" s="3789" t="inlineStr">
        <is>
          <t>CO2-e from SOM</t>
        </is>
      </c>
      <c r="O30" s="3789" t="n"/>
      <c r="P30" s="3784" t="inlineStr">
        <is>
          <t>Total CO2 Balance</t>
        </is>
      </c>
      <c r="Q30" s="3790" t="n"/>
      <c r="R30" s="811" t="inlineStr">
        <is>
          <t>Difference</t>
        </is>
      </c>
      <c r="U30" s="3651" t="n"/>
      <c r="V30" s="3651" t="n"/>
      <c r="W30" s="3651" t="n"/>
      <c r="AA30" s="3233" t="inlineStr">
        <is>
          <t>CO2 soil</t>
        </is>
      </c>
      <c r="AB30" s="3237">
        <f>SUM(K33:K46)-SUM(J33:J46)</f>
        <v/>
      </c>
      <c r="AC30" s="3238">
        <f>SUM(AS12:AS25)-SUM(AR12:AR25)</f>
        <v/>
      </c>
      <c r="AD30" s="3239">
        <f>AB30-AC30</f>
        <v/>
      </c>
      <c r="AN30" s="3712" t="inlineStr">
        <is>
          <t>Cumulated area burnt (ha) over 20 yrs</t>
        </is>
      </c>
      <c r="AO30" s="3713" t="n"/>
      <c r="AP30" s="3714" t="n"/>
    </row>
    <row r="31">
      <c r="B31" s="3484" t="inlineStr">
        <is>
          <t>Vegetation</t>
        </is>
      </c>
      <c r="C31" s="3277" t="inlineStr">
        <is>
          <t xml:space="preserve">Start </t>
        </is>
      </c>
      <c r="D31" s="3278" t="inlineStr">
        <is>
          <t xml:space="preserve">Without project </t>
        </is>
      </c>
      <c r="E31" s="3193" t="n"/>
      <c r="F31" s="3279" t="inlineStr">
        <is>
          <t xml:space="preserve">With project </t>
        </is>
      </c>
      <c r="G31" s="3195" t="n"/>
      <c r="H31" s="3648" t="inlineStr">
        <is>
          <t>Without</t>
        </is>
      </c>
      <c r="I31" s="3548" t="inlineStr">
        <is>
          <t>With</t>
        </is>
      </c>
      <c r="J31" s="3648" t="inlineStr">
        <is>
          <t>Without</t>
        </is>
      </c>
      <c r="K31" s="3548" t="inlineStr">
        <is>
          <t>With</t>
        </is>
      </c>
      <c r="L31" s="3648" t="inlineStr">
        <is>
          <t>Without</t>
        </is>
      </c>
      <c r="M31" s="3548" t="inlineStr">
        <is>
          <t>With</t>
        </is>
      </c>
      <c r="N31" s="3648" t="inlineStr">
        <is>
          <t>Without</t>
        </is>
      </c>
      <c r="O31" s="3548" t="inlineStr">
        <is>
          <t>With</t>
        </is>
      </c>
      <c r="P31" s="3648" t="inlineStr">
        <is>
          <t>Without</t>
        </is>
      </c>
      <c r="Q31" s="3548" t="inlineStr">
        <is>
          <t>With</t>
        </is>
      </c>
      <c r="R31" s="3649" t="n"/>
      <c r="U31" s="3648" t="inlineStr">
        <is>
          <t>Without</t>
        </is>
      </c>
      <c r="V31" s="3548" t="inlineStr">
        <is>
          <t>With</t>
        </is>
      </c>
      <c r="W31" s="3646" t="inlineStr">
        <is>
          <t>Difference</t>
        </is>
      </c>
      <c r="AA31" s="3233" t="inlineStr">
        <is>
          <t>N2O soil</t>
        </is>
      </c>
      <c r="AB31" s="3244">
        <f>SUM(O33:O46)-SUM(N33:N46)</f>
        <v/>
      </c>
      <c r="AC31" s="3245">
        <f>SUM(AY12:AY25)-SUM(AX12:AX25)</f>
        <v/>
      </c>
      <c r="AD31" s="3239">
        <f>AB31-AC31</f>
        <v/>
      </c>
      <c r="AO31" s="3715" t="inlineStr">
        <is>
          <t>Without</t>
        </is>
      </c>
      <c r="AP31" s="3715" t="inlineStr">
        <is>
          <t>With</t>
        </is>
      </c>
    </row>
    <row r="32" ht="17" customHeight="1">
      <c r="B32" s="3484" t="inlineStr">
        <is>
          <t>Type</t>
        </is>
      </c>
      <c r="C32" s="3280" t="inlineStr">
        <is>
          <t>t0</t>
        </is>
      </c>
      <c r="D32" s="3196" t="inlineStr">
        <is>
          <t>End</t>
        </is>
      </c>
      <c r="E32" s="3197" t="inlineStr">
        <is>
          <t>Rate</t>
        </is>
      </c>
      <c r="F32" s="3198" t="inlineStr">
        <is>
          <t>End</t>
        </is>
      </c>
      <c r="G32" s="3198" t="inlineStr">
        <is>
          <t>Rate</t>
        </is>
      </c>
      <c r="H32" s="3217" t="inlineStr">
        <is>
          <t>tCO2</t>
        </is>
      </c>
      <c r="I32" s="2847" t="inlineStr">
        <is>
          <t>tCO2</t>
        </is>
      </c>
      <c r="J32" s="3217" t="inlineStr">
        <is>
          <t>tCO2</t>
        </is>
      </c>
      <c r="K32" s="2847" t="inlineStr">
        <is>
          <t>tCO2</t>
        </is>
      </c>
      <c r="L32" s="3217" t="inlineStr">
        <is>
          <t>tCO2</t>
        </is>
      </c>
      <c r="M32" s="2847" t="inlineStr">
        <is>
          <t>tCO2</t>
        </is>
      </c>
      <c r="N32" s="3217" t="inlineStr">
        <is>
          <t>tCO2</t>
        </is>
      </c>
      <c r="O32" s="2847" t="inlineStr">
        <is>
          <t>tCO2</t>
        </is>
      </c>
      <c r="P32" s="3217" t="inlineStr">
        <is>
          <t>tCO2</t>
        </is>
      </c>
      <c r="Q32" s="2847" t="inlineStr">
        <is>
          <t>tCO2</t>
        </is>
      </c>
      <c r="R32" s="3649" t="inlineStr">
        <is>
          <t>tCO2</t>
        </is>
      </c>
      <c r="U32" s="3648" t="inlineStr">
        <is>
          <t>(t)</t>
        </is>
      </c>
      <c r="V32" s="3548" t="inlineStr">
        <is>
          <t>(t)</t>
        </is>
      </c>
      <c r="W32" s="3646" t="n"/>
      <c r="AA32" s="3233" t="inlineStr">
        <is>
          <t>CH4 fire</t>
        </is>
      </c>
      <c r="AB32" s="3237">
        <f>SUM(AJ12:AJ25)-SUM(AI12:AI25)</f>
        <v/>
      </c>
      <c r="AC32" s="3238">
        <f>SUM(AU12:AU25)-SUM(AT12:AT25)</f>
        <v/>
      </c>
      <c r="AD32" s="3239">
        <f>AB32-AC32</f>
        <v/>
      </c>
      <c r="AN32" s="4040" t="inlineStr">
        <is>
          <t>Perennial after deforestation</t>
        </is>
      </c>
      <c r="AO32" s="3716">
        <f>IF(X8&gt;0, L33/$X8,0)/E12</f>
        <v/>
      </c>
      <c r="AP32" s="3716">
        <f>IF(X8&gt;0, M33/$X8,0)/E12</f>
        <v/>
      </c>
    </row>
    <row r="33">
      <c r="A33" s="720" t="inlineStr">
        <is>
          <t>Deforestation (FL -&gt; Perennial)</t>
        </is>
      </c>
      <c r="B33" s="3199" t="inlineStr">
        <is>
          <t>Perennial after deforestation</t>
        </is>
      </c>
      <c r="C33" s="3726" t="n">
        <v>0</v>
      </c>
      <c r="D33" s="4106">
        <f>Matrix!$K$7</f>
        <v/>
      </c>
      <c r="E33" s="4076" t="inlineStr">
        <is>
          <t>Linear</t>
        </is>
      </c>
      <c r="F33" s="4106">
        <f>Matrix!$K$24</f>
        <v/>
      </c>
      <c r="G33" s="4076" t="inlineStr">
        <is>
          <t>Linear</t>
        </is>
      </c>
      <c r="H33" s="3270">
        <f>IF(L12&lt;&gt;0,-1*MIN(($K12*((MIN($C33,D33)*MIN(20,time_tot))+IF(E33="Immediate",IF(D33&gt;$C33,(D33-$C33)*MIN(20,time_tot),0),IF($C33&gt;D33,($C33-D33)*IF(time&gt;20,IF(E33="Linear",time-((time-20)^2)/(2*time),(0.215*time)-(time/4.6)*(EXP(-92.1/time)-0.01)),time*(1-VLOOKUP(E33,list!$J$48:$K$50,2,))),(D33-$C33)*IF(time_tot&gt;time+20,20,IF(time_tot&lt;20,(time*VLOOKUP(E33,list!$J$48:$K$50,2,))+(time_tot-time),((MIN(20,time)*VLOOKUP(E33,list!$J$48:$K$50,2,))+(time_tot-MIN(20,time))-IF(E33="Exponential",time_tot-20+0.217*time*(EXP(4.606*(20-time_tot)/time)-1),((time_tot-20)^2)*(0.5/time))))))))), (L12+J12*M12)*D33),-$K12*((MIN($C33,D33)*MIN(20,time_tot))+IF(E33="Immediate",IF(D33&gt;$C33,(D33-$C33)*MIN(20,time_tot),0),IF($C33&gt;D33,($C33-D33)*IF(time&gt;20,IF(E33="Linear",time-((time-20)^2)/(2*time),(0.215*time)-(time/4.6)*(EXP(-92.1/time)-0.01)),time*(1-VLOOKUP(E33,list!$J$48:$K$50,2,))),(D33-$C33)*IF(time_tot&gt;time+20,20,IF(time_tot&lt;20,(time*VLOOKUP(E33,list!$J$48:$K$50,2,))+(time_tot-time),((MIN(20,time)*VLOOKUP(E33,list!$J$48:$K$50,2,))+(time_tot-MIN(20,time))-IF(E33="Exponential",time_tot-20+0.217*time*(EXP(4.606*(20-time_tot)/time)-1),((time_tot-20)^2)*(0.5/time)))))))))</f>
        <v/>
      </c>
      <c r="I33" s="3270">
        <f>IF(L12&lt;&gt;0,-1*MIN(($K12*((MIN($C33,F33)*MIN(20,time_tot))+IF(G33="Immediate",IF(F33&gt;$C33,(F33-$C33)*MIN(20,time_tot),0),IF($C33&gt;F33,($C33-F33)*IF(time&gt;20,IF(G33="Linear",time-((time-20)^2)/(2*time),(0.215*time)-(time/4.6)*(EXP(-92.1/time)-0.01)),time*(1-VLOOKUP(G33,list!$J$48:$K$50,2,))),(F33-$C33)*IF(time_tot&gt;time+20,20,IF(time_tot&lt;20,(time*VLOOKUP(G33,list!$J$48:$K$50,2,))+(time_tot-time),((MIN(20,time)*VLOOKUP(G33,list!$J$48:$K$50,2,))+(time_tot-MIN(20,time))-IF(G33="Exponential",time_tot-20+0.217*time*(EXP(4.606*(20-time_tot)/time)-1),((time_tot-20)^2)*(0.5/time))))))))), (L12+J12*M12)*F33), -$K12*((MIN($C33,F33)*MIN(20,time_tot))+IF(G33="Immediate",IF(F33&gt;$C33,(F33-$C33)*MIN(20,time_tot),0),IF($C33&gt;F33,($C33-F33)*IF(time&gt;20,IF(G33="Linear",time-((time-20)^2)/(2*time),(0.215*time)-(time/4.6)*(EXP(-92.1/time)-0.01)),time*(1-VLOOKUP(G33,list!$J$48:$K$50,2,))),(F33-$C33)*IF(time_tot&gt;time+20,20,IF(time_tot&lt;20,(time*VLOOKUP(G33,list!$J$48:$K$50,2,))+(time_tot-time),((MIN(20,time)*VLOOKUP(G33,list!$J$48:$K$50,2,))+(time_tot-MIN(20,time))-IF(G33="Exponential",time_tot-20+0.217*time*(EXP(4.606*(20-time_tot)/time)-1),((time_tot-20)^2)*(0.5/time)))))))))</f>
        <v/>
      </c>
      <c r="J33" s="3270">
        <f>IF(ABS($R8*((MIN($C33,D33)*MIN(20,time_tot))+IF(E33="Immediate",IF(D33&gt;$C33,(D33-$C33)*MIN(20,time_tot),0),IF($C33&gt;D33,($C33-D33)*IF(time&gt;20,IF(E33="Linear",time-((time-20)^2)/(2*time),(0.215*time)-(time/4.6)*(EXP(-92.1/time)-0.01)),time*(1-VLOOKUP(E33, list!$J$48:$K$50,2,))),(D33-$C33)*IF(time_tot&gt;time+20,20,IF(time_tot&lt;20,(time*VLOOKUP(E33, list!$J$48:$K$50,2,))+(time_tot-time),((MIN(20,time)*VLOOKUP(E33, list!$J$48:$K$50,2,))+(time_tot-MIN(20,time))-IF(E33="Exponential",time_tot-20+0.217*time*(EXP(4.606*(20-time_tot)/time)-1),((time_tot-20)^2)*(0.5/time)))))))))&gt;=ABS(R8*20*MAX(C33,D33)), R8*20*MAX(C33,D33), $R8*((MIN($C33,D33)*MIN(20,time_tot))+IF(E33="Immediate",IF(D33&gt;$C33,(D33-$C33)*MIN(20,time_tot),0),IF($C33&gt;D33,($C33-D33)*IF(time&gt;20,IF(E33="Linear",time-((time-20)^2)/(2*time),(0.215*time)-(time/4.6)*(EXP(-92.1/time)-0.01)),time*(1-VLOOKUP(E33, list!$J$48:$K$50,2,))),(D33-$C33)*IF(time_tot&gt;time+20,20,IF(time_tot&lt;20,(time*VLOOKUP(E33, list!$J$48:$K$50,2,))+(time_tot-time),((MIN(20,time)*VLOOKUP(E33, list!$J$48:$K$50,2,))+(time_tot-MIN(20,time))-IF(E33="Exponential",time_tot-20+0.217*time*(EXP(4.606*(20-time_tot)/time)-1),((time_tot-20)^2)*(0.5/time)))))))))</f>
        <v/>
      </c>
      <c r="K33" s="3270">
        <f>IF(ABS($S8*((MIN($C33,F33)*MIN(20,time_tot))+IF(G33="Immediate",IF(F33&gt;$C33,(F33-$C33)*MIN(20,time_tot),0),IF($C33&gt;F33,($C33-F33)*IF(time&gt;20,IF(G33="Linear",time-((time-20)^2)/(2*time),(0.215*time)-(time/4.6)*(EXP(-92.1/time)-0.01)),time*(1-VLOOKUP(G33, list!$J$48:$K$50,2,))),(F33-$C33)*IF(time_tot&gt;time+20,20,IF(time_tot&lt;20,(time*VLOOKUP(G33, list!$J$48:$K$50,2,))+(time_tot-time),((MIN(20,time)*VLOOKUP(G33, list!$J$48:$K$50,2,))+(time_tot-MIN(20,time))-IF(G33="Exponential",time_tot-20+0.217*time*(EXP(4.606*(20-time_tot)/time)-1),((time_tot-20)^2)*(0.5/time)))))))))&gt;=ABS(S8*20*MAX(F33,C33)),S8*20*MAX(F33,C33), $S8*((MIN($C33,F33)*MIN(20,time_tot))+IF(G33="Immediate",IF(F33&gt;$C33,(F33-$C33)*MIN(20,time_tot),0),IF($C33&gt;F33,($C33-F33)*IF(time&gt;20,IF(G33="Linear",time-((time-20)^2)/(2*time),(0.215*time)-(time/4.6)*(EXP(-92.1/time)-0.01)),time*(1-VLOOKUP(G33, list!$J$48:$K$50,2,))),(F33-$C33)*IF(time_tot&gt;time+20,20,IF(time_tot&lt;20,(time*VLOOKUP(G33, list!$J$48:$K$50,2,))+(time_tot-time),((MIN(20,time)*VLOOKUP(G33, list!$J$48:$K$50,2,))+(time_tot-MIN(20,time))-IF(G33="Exponential",time_tot-20+0.217*time*(EXP(4.606*(20-time_tot)/time)-1),((time_tot-20)^2)*(0.5/time)))))))))</f>
        <v/>
      </c>
      <c r="L33" s="3271">
        <f>(MIN(C33,D33)*time_tot+ABS(D33-C33)*IF(D33&gt;C33,time_cap+time*(VLOOKUP(E33, list!$J$48:$K$50,2,)),time*(1-(VLOOKUP(E33, list!$J$48:$K$50,2,)))))*$X8</f>
        <v/>
      </c>
      <c r="M33" s="3271">
        <f>(MIN(C33,F33)*time_tot+ABS(F33-C33)*IF(F33&gt;C33, time_cap+time*(VLOOKUP(G33,  list!$J$48:$K$50,2,)),time*(1-(VLOOKUP(G33, list!$J$48:$K$50,2,)))))*$X8</f>
        <v/>
      </c>
      <c r="N33" s="3271">
        <f>IF(P8&lt;O8,(O8-P8)/20/10*1000*N2O_N_conversion/1000*((MIN($C33,D33)*MIN(20,time_tot))+IF(E33="Immediate",IF(D33&gt;$C33,(D33-$C33)*MIN(20,time_tot),0),IF($C33&gt;D33,($C33-D33)*IF(time&gt;20,IF(E33="Linear",time-((time-20)^2)/(2*time),(0.215*time)-(time/4.6)*(EXP(-92.1/time)-0.01)),time*(1-VLOOKUP(E33, list!$J$48:$K$50,2,))),(D33-$C33)*IF(time_tot&gt;time+20,20,IF(time_tot&lt;20,(time*VLOOKUP(E33, list!$J$48:$K$50,2,))+(time_tot-time),((MIN(20,time)*VLOOKUP(E33, list!$J$48:$K$50,2,))+(time_tot-MIN(20,time))-IF(E33="Exponential",time_tot-20+0.217*time*(EXP(4.606*(20-time_tot)/time)-1),((time_tot-20)^2)*(0.5/time)))))))),0)</f>
        <v/>
      </c>
      <c r="O33" s="3271">
        <f>IF(Q8&lt;O8,(O8-Q8)/20/10*1000*N2O_N_conversion/1000*((MIN($C33,F33)*MIN(20,time_tot))+IF(G33="Immediate",IF(F33&gt;$C33,(F33-$C33)*MIN(20,time_tot),0),IF($C33&gt;F33,($C33-F33)*IF(time&gt;20,IF(G33="Linear",time-((time-20)^2)/(2*time),(0.215*time)-(time/4.6)*(EXP(-92.1/time)-0.01)),time*(1-VLOOKUP(G33, list!$J$48:$K$50,2,))),(F33-$C33)*IF(time_tot&gt;time+20,20,IF(time_tot&lt;20,(time*VLOOKUP(G33, list!$J$48:$K$50,2,))+(time_tot-time),((MIN(20,time)*VLOOKUP(G33, list!$J$48:$K$50,2,))+(time_tot-MIN(20,time))-IF(G33="Exponential",time_tot-20+0.217*time*(EXP(4.606*(20-time_tot)/time)-1),((time_tot-20)^2)*(0.5/time)))))))),0)</f>
        <v/>
      </c>
      <c r="P33" s="3271">
        <f>$H33+$J33+$L33+N33</f>
        <v/>
      </c>
      <c r="Q33" s="3271">
        <f>$I33+$K33+$M33+O33</f>
        <v/>
      </c>
      <c r="R33" s="3272">
        <f>Q33-P33</f>
        <v/>
      </c>
      <c r="U33" s="3731">
        <f>$Y8*(time*((ABS(D33-C33)*(IF(C33&lt;=D33,VLOOKUP(E33, list!$J$48:$K$50,2,),1-VLOOKUP(E33, list!$J$48:$K$50,2,))))+MIN(D33,C33))+(D33*time_cap))</f>
        <v/>
      </c>
      <c r="V33" s="3655">
        <f>$Y8*(time*((ABS(F33-C33)*(IF(C33&lt;=F33,VLOOKUP(G33, list!$J$48:$K$50,2,),1-VLOOKUP(G33, list!$J$48:$K$50,2,))))+MIN(F33,C33))+(F33*time_cap))</f>
        <v/>
      </c>
      <c r="W33" s="3670">
        <f>V33-U33</f>
        <v/>
      </c>
      <c r="AA33" s="3233" t="inlineStr">
        <is>
          <t>N2O fire</t>
        </is>
      </c>
      <c r="AB33" s="3240">
        <f>SUM(AL12:AL25)-SUM(AK12:AK25)</f>
        <v/>
      </c>
      <c r="AC33" s="3241">
        <f>SUM(AW12:AW25)-SUM(AV12:AV25)</f>
        <v/>
      </c>
      <c r="AD33" s="3242">
        <f>AB33-AC33</f>
        <v/>
      </c>
      <c r="AN33" s="4041" t="inlineStr">
        <is>
          <t>Perennial converted to forest land</t>
        </is>
      </c>
      <c r="AO33" s="3717">
        <f>IF(X9&gt;0, L34/$X9,0)/E13</f>
        <v/>
      </c>
      <c r="AP33" s="3717">
        <f>IF(X9&gt;0, M34/$X9,0)/E13</f>
        <v/>
      </c>
    </row>
    <row r="34">
      <c r="A34" s="701" t="inlineStr">
        <is>
          <t>Afforestation (Perennial -&gt; FL)</t>
        </is>
      </c>
      <c r="B34" s="3482" t="inlineStr">
        <is>
          <t>Perennial converted to forest land</t>
        </is>
      </c>
      <c r="C34" s="4105">
        <f>SUM(Matrix!$I$9,Matrix!$I$26)</f>
        <v/>
      </c>
      <c r="D34" s="4105">
        <f>SUM(Matrix!$I$9,Matrix!$I$26)-Matrix!$I$9</f>
        <v/>
      </c>
      <c r="E34" s="3659" t="inlineStr">
        <is>
          <t>Linear</t>
        </is>
      </c>
      <c r="F34" s="4105">
        <f>SUM(Matrix!$I$9,Matrix!$I$26)-Matrix!$I$26</f>
        <v/>
      </c>
      <c r="G34" s="3659" t="inlineStr">
        <is>
          <t>Linear</t>
        </is>
      </c>
      <c r="H34" s="3656">
        <f>IF(L13&lt;&gt;0,-1*MIN(($K13*((MIN($C34,D34)*MIN(20,time_tot))+IF(E34="Immediate",IF(D34&gt;$C34,(D34-$C34)*MIN(20,time_tot),0),IF($C34&gt;D34,($C34-D34)*IF(time&gt;20,IF(E34="Linear",time-((time-20)^2)/(2*time),(0.215*time)-(time/4.6)*(EXP(-92.1/time)-0.01)),time*(1-VLOOKUP(E34,list!$J$48:$K$50,2,))),(D34-$C34)*IF(time_tot&gt;time+20,20,IF(time_tot&lt;20,(time*VLOOKUP(E34,list!$J$48:$K$50,2,))+(time_tot-time),((MIN(20,time)*VLOOKUP(E34,list!$J$48:$K$50,2,))+(time_tot-MIN(20,time))-IF(E34="Exponential",time_tot-20+0.217*time*(EXP(4.606*(20-time_tot)/time)-1),((time_tot-20)^2)*(0.5/time))))))))), (L13+J13*M13)*D34),-$K13*((MIN($C34,D34)*MIN(20,time_tot))+IF(E34="Immediate",IF(D34&gt;$C34,(D34-$C34)*MIN(20,time_tot),0),IF($C34&gt;D34,($C34-D34)*IF(time&gt;20,IF(E34="Linear",time-((time-20)^2)/(2*time),(0.215*time)-(time/4.6)*(EXP(-92.1/time)-0.01)),time*(1-VLOOKUP(E34,list!$J$48:$K$50,2,))),(D34-$C34)*IF(time_tot&gt;time+20,20,IF(time_tot&lt;20,(time*VLOOKUP(E34,list!$J$48:$K$50,2,))+(time_tot-time),((MIN(20,time)*VLOOKUP(E34,list!$J$48:$K$50,2,))+(time_tot-MIN(20,time))-IF(E34="Exponential",time_tot-20+0.217*time*(EXP(4.606*(20-time_tot)/time)-1),((time_tot-20)^2)*(0.5/time)))))))))</f>
        <v/>
      </c>
      <c r="I34" s="3656">
        <f>IF(L13&lt;&gt;0,-1*MIN(($K13*((MIN($C34,F34)*MIN(20,time_tot))+IF(G34="Immediate",IF(F34&gt;$C34,(F34-$C34)*MIN(20,time_tot),0),IF($C34&gt;F34,($C34-F34)*IF(time&gt;20,IF(G34="Linear",time-((time-20)^2)/(2*time),(0.215*time)-(time/4.6)*(EXP(-92.1/time)-0.01)),time*(1-VLOOKUP(G34,list!$J$48:$K$50,2,))),(F34-$C34)*IF(time_tot&gt;time+20,20,IF(time_tot&lt;20,(time*VLOOKUP(G34,list!$J$48:$K$50,2,))+(time_tot-time),((MIN(20,time)*VLOOKUP(G34,list!$J$48:$K$50,2,))+(time_tot-MIN(20,time))-IF(G34="Exponential",time_tot-20+0.217*time*(EXP(4.606*(20-time_tot)/time)-1),((time_tot-20)^2)*(0.5/time))))))))), (L13+J13*M13)*F34), -$K13*((MIN($C34,F34)*MIN(20,time_tot))+IF(G34="Immediate",IF(F34&gt;$C34,(F34-$C34)*MIN(20,time_tot),0),IF($C34&gt;F34,($C34-F34)*IF(time&gt;20,IF(G34="Linear",time-((time-20)^2)/(2*time),(0.215*time)-(time/4.6)*(EXP(-92.1/time)-0.01)),time*(1-VLOOKUP(G34,list!$J$48:$K$50,2,))),(F34-$C34)*IF(time_tot&gt;time+20,20,IF(time_tot&lt;20,(time*VLOOKUP(G34,list!$J$48:$K$50,2,))+(time_tot-time),((MIN(20,time)*VLOOKUP(G34,list!$J$48:$K$50,2,))+(time_tot-MIN(20,time))-IF(G34="Exponential",time_tot-20+0.217*time*(EXP(4.606*(20-time_tot)/time)-1),((time_tot-20)^2)*(0.5/time)))))))))</f>
        <v/>
      </c>
      <c r="J34" s="3656">
        <f>IF(ABS($R9*((MIN($C34,D34)*MIN(20,time_tot))+IF(E34="Immediate",IF(D34&gt;$C34,(D34-$C34)*MIN(20,time_tot),0),IF($C34&gt;D34,($C34-D34)*IF(time&gt;20,IF(E34="Linear",time-((time-20)^2)/(2*time),(0.215*time)-(time/4.6)*(EXP(-92.1/time)-0.01)),time*(1-VLOOKUP(E34, list!$J$48:$K$50,2,))),(D34-$C34)*IF(time_tot&gt;time+20,20,IF(time_tot&lt;20,(time*VLOOKUP(E34, list!$J$48:$K$50,2,))+(time_tot-time),((MIN(20,time)*VLOOKUP(E34, list!$J$48:$K$50,2,))+(time_tot-MIN(20,time))-IF(E34="Exponential",time_tot-20+0.217*time*(EXP(4.606*(20-time_tot)/time)-1),((time_tot-20)^2)*(0.5/time)))))))))&gt;=ABS(R9*20*MAX(C34,D34)), R9*20*MAX(C34,D34), $R9*((MIN($C34,D34)*MIN(20,time_tot))+IF(E34="Immediate",IF(D34&gt;$C34,(D34-$C34)*MIN(20,time_tot),0),IF($C34&gt;D34,($C34-D34)*IF(time&gt;20,IF(E34="Linear",time-((time-20)^2)/(2*time),(0.215*time)-(time/4.6)*(EXP(-92.1/time)-0.01)),time*(1-VLOOKUP(E34, list!$J$48:$K$50,2,))),(D34-$C34)*IF(time_tot&gt;time+20,20,IF(time_tot&lt;20,(time*VLOOKUP(E34, list!$J$48:$K$50,2,))+(time_tot-time),((MIN(20,time)*VLOOKUP(E34, list!$J$48:$K$50,2,))+(time_tot-MIN(20,time))-IF(E34="Exponential",time_tot-20+0.217*time*(EXP(4.606*(20-time_tot)/time)-1),((time_tot-20)^2)*(0.5/time)))))))))</f>
        <v/>
      </c>
      <c r="K34" s="3656">
        <f>IF(ABS($S9*((MIN($C34,F34)*MIN(20,time_tot))+IF(G34="Immediate",IF(F34&gt;$C34,(F34-$C34)*MIN(20,time_tot),0),IF($C34&gt;F34,($C34-F34)*IF(time&gt;20,IF(G34="Linear",time-((time-20)^2)/(2*time),(0.215*time)-(time/4.6)*(EXP(-92.1/time)-0.01)),time*(1-VLOOKUP(G34, list!$J$48:$K$50,2,))),(F34-$C34)*IF(time_tot&gt;time+20,20,IF(time_tot&lt;20,(time*VLOOKUP(G34, list!$J$48:$K$50,2,))+(time_tot-time),((MIN(20,time)*VLOOKUP(G34, list!$J$48:$K$50,2,))+(time_tot-MIN(20,time))-IF(G34="Exponential",time_tot-20+0.217*time*(EXP(4.606*(20-time_tot)/time)-1),((time_tot-20)^2)*(0.5/time)))))))))&gt;=ABS(S9*20*MAX(F34,C34)),S9*20*MAX(F34,C34), $S9*((MIN($C34,F34)*MIN(20,time_tot))+IF(G34="Immediate",IF(F34&gt;$C34,(F34-$C34)*MIN(20,time_tot),0),IF($C34&gt;F34,($C34-F34)*IF(time&gt;20,IF(G34="Linear",time-((time-20)^2)/(2*time),(0.215*time)-(time/4.6)*(EXP(-92.1/time)-0.01)),time*(1-VLOOKUP(G34, list!$J$48:$K$50,2,))),(F34-$C34)*IF(time_tot&gt;time+20,20,IF(time_tot&lt;20,(time*VLOOKUP(G34, list!$J$48:$K$50,2,))+(time_tot-time),((MIN(20,time)*VLOOKUP(G34, list!$J$48:$K$50,2,))+(time_tot-MIN(20,time))-IF(G34="Exponential",time_tot-20+0.217*time*(EXP(4.606*(20-time_tot)/time)-1),((time_tot-20)^2)*(0.5/time)))))))))</f>
        <v/>
      </c>
      <c r="L34" s="3656">
        <f>(MIN(C34,D34)*time_tot+ABS(D34-C34)*IF(D34&gt;C34,time_cap+time*(VLOOKUP(E34, list!$J$48:$K$50,2,)),time*(1-(VLOOKUP(E34, list!$J$48:$K$50,2,)))))*$X9</f>
        <v/>
      </c>
      <c r="M34" s="3656">
        <f>(MIN(C34,F34)*time_tot+ABS(F34-C34)*IF(F34&gt;C34, time_cap+time*(VLOOKUP(G34,  list!$J$48:$K$50,2,)),time*(1-(VLOOKUP(G34, list!$J$48:$K$50,2,)))))*$X9</f>
        <v/>
      </c>
      <c r="N34" s="3656">
        <f>IF(P9&lt;O9,(O9-P9)/20/10*1000*N2O_N_conversion/1000*((MIN($C34,D34)*MIN(20,time_tot))+IF(E34="Immediate",IF(D34&gt;$C34,(D34-$C34)*MIN(20,time_tot),0),IF($C34&gt;D34,($C34-D34)*IF(time&gt;20,IF(E34="Linear",time-((time-20)^2)/(2*time),(0.215*time)-(time/4.6)*(EXP(-92.1/time)-0.01)),time*(1-VLOOKUP(E34, list!$J$48:$K$50,2,))),(D34-$C34)*IF(time_tot&gt;time+20,20,IF(time_tot&lt;20,(time*VLOOKUP(E34, list!$J$48:$K$50,2,))+(time_tot-time),((MIN(20,time)*VLOOKUP(E34, list!$J$48:$K$50,2,))+(time_tot-MIN(20,time))-IF(E34="Exponential",time_tot-20+0.217*time*(EXP(4.606*(20-time_tot)/time)-1),((time_tot-20)^2)*(0.5/time)))))))),0)</f>
        <v/>
      </c>
      <c r="O34" s="3656">
        <f>IF(Q9&lt;O9,(O9-Q9)/20/10*1000*N2O_N_conversion/1000*((MIN($C34,F34)*MIN(20,time_tot))+IF(G34="Immediate",IF(F34&gt;$C34,(F34-$C34)*MIN(20,time_tot),0),IF($C34&gt;F34,($C34-F34)*IF(time&gt;20,IF(G34="Linear",time-((time-20)^2)/(2*time),(0.215*time)-(time/4.6)*(EXP(-92.1/time)-0.01)),time*(1-VLOOKUP(G34, list!$J$48:$K$50,2,))),(F34-$C34)*IF(time_tot&gt;time+20,20,IF(time_tot&lt;20,(time*VLOOKUP(G34, list!$J$48:$K$50,2,))+(time_tot-time),((MIN(20,time)*VLOOKUP(G34, list!$J$48:$K$50,2,))+(time_tot-MIN(20,time))-IF(G34="Exponential",time_tot-20+0.217*time*(EXP(4.606*(20-time_tot)/time)-1),((time_tot-20)^2)*(0.5/time)))))))),0)</f>
        <v/>
      </c>
      <c r="P34" s="3656">
        <f>$H34+$J34+$L34+N34</f>
        <v/>
      </c>
      <c r="Q34" s="3656">
        <f>$I34+$K34+$M34+O34</f>
        <v/>
      </c>
      <c r="R34" s="3658">
        <f>Q34-P34</f>
        <v/>
      </c>
      <c r="U34" s="3657">
        <f>$Y9*(time*((ABS(D34-C34)*(IF(C34&lt;=D34,VLOOKUP(E34, list!$J$48:$K$50,2,),1-VLOOKUP(E34, list!$J$48:$K$50,2,))))+MIN(D34,C34))+(D34*time_cap))</f>
        <v/>
      </c>
      <c r="V34" s="3656">
        <f>$Y9*(time*((ABS(F34-C34)*(IF(C34&lt;=F34,VLOOKUP(G34, list!$J$48:$K$50,2,),1-VLOOKUP(G34, list!$J$48:$K$50,2,))))+MIN(F34,C34))+(F34*time_cap))</f>
        <v/>
      </c>
      <c r="W34" s="3658">
        <f>V34-U34</f>
        <v/>
      </c>
      <c r="AA34" s="3230" t="inlineStr">
        <is>
          <t xml:space="preserve">Total </t>
        </is>
      </c>
      <c r="AB34" s="3243">
        <f>SUM(AB29:AB33)</f>
        <v/>
      </c>
      <c r="AC34" s="3243">
        <f>SUM(AC29:AC33)</f>
        <v/>
      </c>
      <c r="AD34" s="3243">
        <f>AB34-AC34</f>
        <v/>
      </c>
      <c r="AN34" s="4042" t="inlineStr">
        <is>
          <t xml:space="preserve">non-FL converted perennial </t>
        </is>
      </c>
      <c r="AO34" s="3718">
        <f>IF(X10&gt;0, L35/$X10,0)/E14</f>
        <v/>
      </c>
      <c r="AP34" s="3718">
        <f>IF(X10&gt;0, M35/$X10,0)/E14</f>
        <v/>
      </c>
    </row>
    <row r="35">
      <c r="A35" s="787" t="inlineStr">
        <is>
          <t xml:space="preserve">non-FL converted perennial </t>
        </is>
      </c>
      <c r="B35" s="3647" t="inlineStr">
        <is>
          <t>Perennial after non-forest land use</t>
        </is>
      </c>
      <c r="C35" s="3203" t="n">
        <v>0</v>
      </c>
      <c r="D35" s="3203">
        <f>SUM(Matrix!$AX$16,Matrix!$BR$16,Matrix!$CC$16,Matrix!$CN$16,Matrix!$CY$16,Matrix!$DJ$16)</f>
        <v/>
      </c>
      <c r="E35" s="3203" t="inlineStr">
        <is>
          <t>Linear</t>
        </is>
      </c>
      <c r="F35" s="3203">
        <f>SUM(Matrix!$AX$34,Matrix!$BR$34,Matrix!$CC$34,Matrix!CN34,Matrix!$CY$34,Matrix!$DJ$34)</f>
        <v/>
      </c>
      <c r="G35" s="3203" t="inlineStr">
        <is>
          <t>Linear</t>
        </is>
      </c>
      <c r="H35" s="3254">
        <f>IF(L14&lt;&gt;0,-1*MIN(($K14*((MIN($C35,D35)*MIN(20,time_tot))+IF(E35="Immediate",IF(D35&gt;$C35,(D35-$C35)*MIN(20,time_tot),0),IF($C35&gt;D35,($C35-D35)*IF(time&gt;20,IF(E35="Linear",time-((time-20)^2)/(2*time),(0.215*time)-(time/4.6)*(EXP(-92.1/time)-0.01)),time*(1-VLOOKUP(E35,list!$J$48:$K$50,2,))),(D35-$C35)*IF(time_tot&gt;time+20,20,IF(time_tot&lt;20,(time*VLOOKUP(E35,list!$J$48:$K$50,2,))+(time_tot-time),((MIN(20,time)*VLOOKUP(E35,list!$J$48:$K$50,2,))+(time_tot-MIN(20,time))-IF(E35="Exponential",time_tot-20+0.217*time*(EXP(4.606*(20-time_tot)/time)-1),((time_tot-20)^2)*(0.5/time))))))))), (L14+J14*M14)*D35),-$K14*((MIN($C35,D35)*MIN(20,time_tot))+IF(E35="Immediate",IF(D35&gt;$C35,(D35-$C35)*MIN(20,time_tot),0),IF($C35&gt;D35,($C35-D35)*IF(time&gt;20,IF(E35="Linear",time-((time-20)^2)/(2*time),(0.215*time)-(time/4.6)*(EXP(-92.1/time)-0.01)),time*(1-VLOOKUP(E35,list!$J$48:$K$50,2,))),(D35-$C35)*IF(time_tot&gt;time+20,20,IF(time_tot&lt;20,(time*VLOOKUP(E35,list!$J$48:$K$50,2,))+(time_tot-time),((MIN(20,time)*VLOOKUP(E35,list!$J$48:$K$50,2,))+(time_tot-MIN(20,time))-IF(E35="Exponential",time_tot-20+0.217*time*(EXP(4.606*(20-time_tot)/time)-1),((time_tot-20)^2)*(0.5/time)))))))))</f>
        <v/>
      </c>
      <c r="I35" s="3254">
        <f>IF(L14&lt;&gt;0,-1*MIN(($K14*((MIN($C35,F35)*MIN(20,time_tot))+IF(G35="Immediate",IF(F35&gt;$C35,(F35-$C35)*MIN(20,time_tot),0),IF($C35&gt;F35,($C35-F35)*IF(time&gt;20,IF(G35="Linear",time-((time-20)^2)/(2*time),(0.215*time)-(time/4.6)*(EXP(-92.1/time)-0.01)),time*(1-VLOOKUP(G35,list!$J$48:$K$50,2,))),(F35-$C35)*IF(time_tot&gt;time+20,20,IF(time_tot&lt;20,(time*VLOOKUP(G35,list!$J$48:$K$50,2,))+(time_tot-time),((MIN(20,time)*VLOOKUP(G35,list!$J$48:$K$50,2,))+(time_tot-MIN(20,time))-IF(G35="Exponential",time_tot-20+0.217*time*(EXP(4.606*(20-time_tot)/time)-1),((time_tot-20)^2)*(0.5/time))))))))), (L14+J14*M14)*F35), -$K14*((MIN($C35,F35)*MIN(20,time_tot))+IF(G35="Immediate",IF(F35&gt;$C35,(F35-$C35)*MIN(20,time_tot),0),IF($C35&gt;F35,($C35-F35)*IF(time&gt;20,IF(G35="Linear",time-((time-20)^2)/(2*time),(0.215*time)-(time/4.6)*(EXP(-92.1/time)-0.01)),time*(1-VLOOKUP(G35,list!$J$48:$K$50,2,))),(F35-$C35)*IF(time_tot&gt;time+20,20,IF(time_tot&lt;20,(time*VLOOKUP(G35,list!$J$48:$K$50,2,))+(time_tot-time),((MIN(20,time)*VLOOKUP(G35,list!$J$48:$K$50,2,))+(time_tot-MIN(20,time))-IF(G35="Exponential",time_tot-20+0.217*time*(EXP(4.606*(20-time_tot)/time)-1),((time_tot-20)^2)*(0.5/time)))))))))</f>
        <v/>
      </c>
      <c r="J35" s="3254">
        <f>IF(ABS($R10*((MIN($C35,D35)*MIN(20,time_tot))+IF(E35="Immediate",IF(D35&gt;$C35,(D35-$C35)*MIN(20,time_tot),0),IF($C35&gt;D35,($C35-D35)*IF(time&gt;20,IF(E35="Linear",time-((time-20)^2)/(2*time),(0.215*time)-(time/4.6)*(EXP(-92.1/time)-0.01)),time*(1-VLOOKUP(E35, list!$J$48:$K$50,2,))),(D35-$C35)*IF(time_tot&gt;time+20,20,IF(time_tot&lt;20,(time*VLOOKUP(E35, list!$J$48:$K$50,2,))+(time_tot-time),((MIN(20,time)*VLOOKUP(E35, list!$J$48:$K$50,2,))+(time_tot-MIN(20,time))-IF(E35="Exponential",time_tot-20+0.217*time*(EXP(4.606*(20-time_tot)/time)-1),((time_tot-20)^2)*(0.5/time)))))))))&gt;=ABS(R10*20*MAX(C35,D35)), R10*20*MAX(C35,D35), $R10*((MIN($C35,D35)*MIN(20,time_tot))+IF(E35="Immediate",IF(D35&gt;$C35,(D35-$C35)*MIN(20,time_tot),0),IF($C35&gt;D35,($C35-D35)*IF(time&gt;20,IF(E35="Linear",time-((time-20)^2)/(2*time),(0.215*time)-(time/4.6)*(EXP(-92.1/time)-0.01)),time*(1-VLOOKUP(E35, list!$J$48:$K$50,2,))),(D35-$C35)*IF(time_tot&gt;time+20,20,IF(time_tot&lt;20,(time*VLOOKUP(E35, list!$J$48:$K$50,2,))+(time_tot-time),((MIN(20,time)*VLOOKUP(E35, list!$J$48:$K$50,2,))+(time_tot-MIN(20,time))-IF(E35="Exponential",time_tot-20+0.217*time*(EXP(4.606*(20-time_tot)/time)-1),((time_tot-20)^2)*(0.5/time)))))))))</f>
        <v/>
      </c>
      <c r="K35" s="3254">
        <f>IF(ABS($S10*((MIN($C35,F35)*MIN(20,time_tot))+IF(G35="Immediate",IF(F35&gt;$C35,(F35-$C35)*MIN(20,time_tot),0),IF($C35&gt;F35,($C35-F35)*IF(time&gt;20,IF(G35="Linear",time-((time-20)^2)/(2*time),(0.215*time)-(time/4.6)*(EXP(-92.1/time)-0.01)),time*(1-VLOOKUP(G35, list!$J$48:$K$50,2,))),(F35-$C35)*IF(time_tot&gt;time+20,20,IF(time_tot&lt;20,(time*VLOOKUP(G35, list!$J$48:$K$50,2,))+(time_tot-time),((MIN(20,time)*VLOOKUP(G35, list!$J$48:$K$50,2,))+(time_tot-MIN(20,time))-IF(G35="Exponential",time_tot-20+0.217*time*(EXP(4.606*(20-time_tot)/time)-1),((time_tot-20)^2)*(0.5/time)))))))))&gt;=ABS(S10*20*MAX(F35,C35)),S10*20*MAX(F35,C35), $S10*((MIN($C35,F35)*MIN(20,time_tot))+IF(G35="Immediate",IF(F35&gt;$C35,(F35-$C35)*MIN(20,time_tot),0),IF($C35&gt;F35,($C35-F35)*IF(time&gt;20,IF(G35="Linear",time-((time-20)^2)/(2*time),(0.215*time)-(time/4.6)*(EXP(-92.1/time)-0.01)),time*(1-VLOOKUP(G35, list!$J$48:$K$50,2,))),(F35-$C35)*IF(time_tot&gt;time+20,20,IF(time_tot&lt;20,(time*VLOOKUP(G35, list!$J$48:$K$50,2,))+(time_tot-time),((MIN(20,time)*VLOOKUP(G35, list!$J$48:$K$50,2,))+(time_tot-MIN(20,time))-IF(G35="Exponential",time_tot-20+0.217*time*(EXP(4.606*(20-time_tot)/time)-1),((time_tot-20)^2)*(0.5/time)))))))))</f>
        <v/>
      </c>
      <c r="L35" s="3254">
        <f>(MIN(C35,D35)*time_tot+ABS(D35-C35)*IF(D35&gt;C35,time_cap+time*(VLOOKUP(E35, list!$J$48:$K$50,2,)),time*(1-(VLOOKUP(E35, list!$J$48:$K$50,2,)))))*$X10</f>
        <v/>
      </c>
      <c r="M35" s="3254">
        <f>(MIN(C35,F35)*time_tot+ABS(F35-C35)*IF(F35&gt;C35, time_cap+time*(VLOOKUP(G35,  list!$J$48:$K$50,2,)),time*(1-(VLOOKUP(G35, list!$J$48:$K$50,2,)))))*$X10</f>
        <v/>
      </c>
      <c r="N35" s="3254">
        <f>IF(P10&lt;O10,(O10-P10)/20/10*1000*N2O_N_conversion/1000*((MIN($C35,D35)*MIN(20,time_tot))+IF(E35="Immediate",IF(D35&gt;$C35,(D35-$C35)*MIN(20,time_tot),0),IF($C35&gt;D35,($C35-D35)*IF(time&gt;20,IF(E35="Linear",time-((time-20)^2)/(2*time),(0.215*time)-(time/4.6)*(EXP(-92.1/time)-0.01)),time*(1-VLOOKUP(E35, list!$J$48:$K$50,2,))),(D35-$C35)*IF(time_tot&gt;time+20,20,IF(time_tot&lt;20,(time*VLOOKUP(E35, list!$J$48:$K$50,2,))+(time_tot-time),((MIN(20,time)*VLOOKUP(E35, list!$J$48:$K$50,2,))+(time_tot-MIN(20,time))-IF(E35="Exponential",time_tot-20+0.217*time*(EXP(4.606*(20-time_tot)/time)-1),((time_tot-20)^2)*(0.5/time)))))))),0)</f>
        <v/>
      </c>
      <c r="O35" s="3254">
        <f>IF(Q10&lt;O10,(O10-Q10)/20/10*1000*N2O_N_conversion/1000*((MIN($C35,F35)*MIN(20,time_tot))+IF(G35="Immediate",IF(F35&gt;$C35,(F35-$C35)*MIN(20,time_tot),0),IF($C35&gt;F35,($C35-F35)*IF(time&gt;20,IF(G35="Linear",time-((time-20)^2)/(2*time),(0.215*time)-(time/4.6)*(EXP(-92.1/time)-0.01)),time*(1-VLOOKUP(G35, list!$J$48:$K$50,2,))),(F35-$C35)*IF(time_tot&gt;time+20,20,IF(time_tot&lt;20,(time*VLOOKUP(G35, list!$J$48:$K$50,2,))+(time_tot-time),((MIN(20,time)*VLOOKUP(G35, list!$J$48:$K$50,2,))+(time_tot-MIN(20,time))-IF(G35="Exponential",time_tot-20+0.217*time*(EXP(4.606*(20-time_tot)/time)-1),((time_tot-20)^2)*(0.5/time)))))))),0)</f>
        <v/>
      </c>
      <c r="P35" s="3254">
        <f>$H35+$J35+$L35+N35</f>
        <v/>
      </c>
      <c r="Q35" s="3254">
        <f>$I35+$K35+$M35+O35</f>
        <v/>
      </c>
      <c r="R35" s="3255">
        <f>Q35-P35</f>
        <v/>
      </c>
      <c r="U35" s="3732">
        <f>$Y10*(time*((ABS(D35-C35)*(IF(C35&lt;=D35,VLOOKUP(E35, list!$J$48:$K$50,2,),1-VLOOKUP(E35, list!$J$48:$K$50,2,))))+MIN(D35,C35))+(D35*time_cap))</f>
        <v/>
      </c>
      <c r="V35" s="3268">
        <f>$Y10*(time*((ABS(F35-C35)*(IF(C35&lt;=F35,VLOOKUP(G35, list!$J$48:$K$50,2,),1-VLOOKUP(G35, list!$J$48:$K$50,2,))))+MIN(F35,C35))+(F35*time_cap))</f>
        <v/>
      </c>
      <c r="W35" s="3733">
        <f>V35-U35</f>
        <v/>
      </c>
      <c r="AN35" s="4043" t="inlineStr">
        <is>
          <t>Perennial converted to OLU</t>
        </is>
      </c>
      <c r="AO35" s="3720">
        <f>IF(X11&gt;0, L36/$X11,0)/E15</f>
        <v/>
      </c>
      <c r="AP35" s="3720">
        <f>IF(X11&gt;0, M36/$X11,0)/E15</f>
        <v/>
      </c>
    </row>
    <row r="36">
      <c r="B36" s="3780" t="inlineStr">
        <is>
          <t>Perennial converted to other land use</t>
        </is>
      </c>
      <c r="C36" s="3781">
        <f>MAX(SUM(Matrix!$BD$16:$BI$16),SUM(Matrix!$BD$34:$BI$34))</f>
        <v/>
      </c>
      <c r="D36" s="3781">
        <f>MAX(SUM(Matrix!$BD$16:$BI$16),SUM(Matrix!$BD$34:$BI$34))-SUM(Matrix!$BD$16:$BI$16)</f>
        <v/>
      </c>
      <c r="E36" s="3781" t="inlineStr">
        <is>
          <t>Linear</t>
        </is>
      </c>
      <c r="F36" s="3781">
        <f>MAX(SUM(Matrix!$BD$16:$BI$16),SUM(Matrix!$BD$34:$BI$34))-SUM(Matrix!$BD$34:$BI$34)</f>
        <v/>
      </c>
      <c r="G36" s="3781" t="inlineStr">
        <is>
          <t>Linear</t>
        </is>
      </c>
      <c r="H36" s="3650">
        <f>IF(L15&lt;&gt;0,-1*MIN(($K15*((MIN($C36,D36)*MIN(20,time_tot))+IF(E36="Immediate",IF(D36&gt;$C36,(D36-$C36)*MIN(20,time_tot),0),IF($C36&gt;D36,($C36-D36)*IF(time&gt;20,IF(E36="Linear",time-((time-20)^2)/(2*time),(0.215*time)-(time/4.6)*(EXP(-92.1/time)-0.01)),time*(1-VLOOKUP(E36,list!$J$48:$K$50,2,))),(D36-$C36)*IF(time_tot&gt;time+20,20,IF(time_tot&lt;20,(time*VLOOKUP(E36,list!$J$48:$K$50,2,))+(time_tot-time),((MIN(20,time)*VLOOKUP(E36,list!$J$48:$K$50,2,))+(time_tot-MIN(20,time))-IF(E36="Exponential",time_tot-20+0.217*time*(EXP(4.606*(20-time_tot)/time)-1),((time_tot-20)^2)*(0.5/time))))))))), (L15+J15*M15)*D36),-$K15*((MIN($C36,D36)*MIN(20,time_tot))+IF(E36="Immediate",IF(D36&gt;$C36,(D36-$C36)*MIN(20,time_tot),0),IF($C36&gt;D36,($C36-D36)*IF(time&gt;20,IF(E36="Linear",time-((time-20)^2)/(2*time),(0.215*time)-(time/4.6)*(EXP(-92.1/time)-0.01)),time*(1-VLOOKUP(E36,list!$J$48:$K$50,2,))),(D36-$C36)*IF(time_tot&gt;time+20,20,IF(time_tot&lt;20,(time*VLOOKUP(E36,list!$J$48:$K$50,2,))+(time_tot-time),((MIN(20,time)*VLOOKUP(E36,list!$J$48:$K$50,2,))+(time_tot-MIN(20,time))-IF(E36="Exponential",time_tot-20+0.217*time*(EXP(4.606*(20-time_tot)/time)-1),((time_tot-20)^2)*(0.5/time)))))))))</f>
        <v/>
      </c>
      <c r="I36" s="3650">
        <f>IF(L15&lt;&gt;0,-1*MIN(($K15*((MIN($C36,F36)*MIN(20,time_tot))+IF(G36="Immediate",IF(F36&gt;$C36,(F36-$C36)*MIN(20,time_tot),0),IF($C36&gt;F36,($C36-F36)*IF(time&gt;20,IF(G36="Linear",time-((time-20)^2)/(2*time),(0.215*time)-(time/4.6)*(EXP(-92.1/time)-0.01)),time*(1-VLOOKUP(G36,list!$J$48:$K$50,2,))),(F36-$C36)*IF(time_tot&gt;time+20,20,IF(time_tot&lt;20,(time*VLOOKUP(G36,list!$J$48:$K$50,2,))+(time_tot-time),((MIN(20,time)*VLOOKUP(G36,list!$J$48:$K$50,2,))+(time_tot-MIN(20,time))-IF(G36="Exponential",time_tot-20+0.217*time*(EXP(4.606*(20-time_tot)/time)-1),((time_tot-20)^2)*(0.5/time))))))))), (L15+J15*M15)*F36), -$K15*((MIN($C36,F36)*MIN(20,time_tot))+IF(G36="Immediate",IF(F36&gt;$C36,(F36-$C36)*MIN(20,time_tot),0),IF($C36&gt;F36,($C36-F36)*IF(time&gt;20,IF(G36="Linear",time-((time-20)^2)/(2*time),(0.215*time)-(time/4.6)*(EXP(-92.1/time)-0.01)),time*(1-VLOOKUP(G36,list!$J$48:$K$50,2,))),(F36-$C36)*IF(time_tot&gt;time+20,20,IF(time_tot&lt;20,(time*VLOOKUP(G36,list!$J$48:$K$50,2,))+(time_tot-time),((MIN(20,time)*VLOOKUP(G36,list!$J$48:$K$50,2,))+(time_tot-MIN(20,time))-IF(G36="Exponential",time_tot-20+0.217*time*(EXP(4.606*(20-time_tot)/time)-1),((time_tot-20)^2)*(0.5/time)))))))))</f>
        <v/>
      </c>
      <c r="J36" s="3650">
        <f>IF(ABS($R11*((MIN($C36,D36)*MIN(20,time_tot))+IF(E36="Immediate",IF(D36&gt;$C36,(D36-$C36)*MIN(20,time_tot),0),IF($C36&gt;D36,($C36-D36)*IF(time&gt;20,IF(E36="Linear",time-((time-20)^2)/(2*time),(0.215*time)-(time/4.6)*(EXP(-92.1/time)-0.01)),time*(1-VLOOKUP(E36, list!$J$48:$K$50,2,))),(D36-$C36)*IF(time_tot&gt;time+20,20,IF(time_tot&lt;20,(time*VLOOKUP(E36, list!$J$48:$K$50,2,))+(time_tot-time),((MIN(20,time)*VLOOKUP(E36, list!$J$48:$K$50,2,))+(time_tot-MIN(20,time))-IF(E36="Exponential",time_tot-20+0.217*time*(EXP(4.606*(20-time_tot)/time)-1),((time_tot-20)^2)*(0.5/time)))))))))&gt;=ABS(R11*20*MAX(C36,D36)), R11*20*MAX(C36,D36), $R11*((MIN($C36,D36)*MIN(20,time_tot))+IF(E36="Immediate",IF(D36&gt;$C36,(D36-$C36)*MIN(20,time_tot),0),IF($C36&gt;D36,($C36-D36)*IF(time&gt;20,IF(E36="Linear",time-((time-20)^2)/(2*time),(0.215*time)-(time/4.6)*(EXP(-92.1/time)-0.01)),time*(1-VLOOKUP(E36, list!$J$48:$K$50,2,))),(D36-$C36)*IF(time_tot&gt;time+20,20,IF(time_tot&lt;20,(time*VLOOKUP(E36, list!$J$48:$K$50,2,))+(time_tot-time),((MIN(20,time)*VLOOKUP(E36, list!$J$48:$K$50,2,))+(time_tot-MIN(20,time))-IF(E36="Exponential",time_tot-20+0.217*time*(EXP(4.606*(20-time_tot)/time)-1),((time_tot-20)^2)*(0.5/time)))))))))</f>
        <v/>
      </c>
      <c r="K36" s="3650">
        <f>IF(ABS($S11*((MIN($C36,F36)*MIN(20,time_tot))+IF(G36="Immediate",IF(F36&gt;$C36,(F36-$C36)*MIN(20,time_tot),0),IF($C36&gt;F36,($C36-F36)*IF(time&gt;20,IF(G36="Linear",time-((time-20)^2)/(2*time),(0.215*time)-(time/4.6)*(EXP(-92.1/time)-0.01)),time*(1-VLOOKUP(G36, list!$J$48:$K$50,2,))),(F36-$C36)*IF(time_tot&gt;time+20,20,IF(time_tot&lt;20,(time*VLOOKUP(G36, list!$J$48:$K$50,2,))+(time_tot-time),((MIN(20,time)*VLOOKUP(G36, list!$J$48:$K$50,2,))+(time_tot-MIN(20,time))-IF(G36="Exponential",time_tot-20+0.217*time*(EXP(4.606*(20-time_tot)/time)-1),((time_tot-20)^2)*(0.5/time)))))))))&gt;=ABS(S11*20*MAX(F36,C36)),S11*20*MAX(F36,C36), $S11*((MIN($C36,F36)*MIN(20,time_tot))+IF(G36="Immediate",IF(F36&gt;$C36,(F36-$C36)*MIN(20,time_tot),0),IF($C36&gt;F36,($C36-F36)*IF(time&gt;20,IF(G36="Linear",time-((time-20)^2)/(2*time),(0.215*time)-(time/4.6)*(EXP(-92.1/time)-0.01)),time*(1-VLOOKUP(G36, list!$J$48:$K$50,2,))),(F36-$C36)*IF(time_tot&gt;time+20,20,IF(time_tot&lt;20,(time*VLOOKUP(G36, list!$J$48:$K$50,2,))+(time_tot-time),((MIN(20,time)*VLOOKUP(G36, list!$J$48:$K$50,2,))+(time_tot-MIN(20,time))-IF(G36="Exponential",time_tot-20+0.217*time*(EXP(4.606*(20-time_tot)/time)-1),((time_tot-20)^2)*(0.5/time)))))))))</f>
        <v/>
      </c>
      <c r="L36" s="3650">
        <f>(MIN(C36,D36)*time_tot+ABS(D36-C36)*IF(D36&gt;C36,time_cap+time*(VLOOKUP(E36, list!$J$48:$K$50,2,)),time*(1-(VLOOKUP(E36, list!$J$48:$K$50,2,)))))*$X11</f>
        <v/>
      </c>
      <c r="M36" s="3650">
        <f>(MIN(C36,F36)*time_tot+ABS(F36-C36)*IF(F36&gt;C36, time_cap+time*(VLOOKUP(G36,  list!$J$48:$K$50,2,)),time*(1-(VLOOKUP(G36, list!$J$48:$K$50,2,)))))*$X11</f>
        <v/>
      </c>
      <c r="N36" s="3650">
        <f>IF(P11&lt;O11,(O11-P11)/20/10*1000*N2O_N_conversion/1000*((MIN($C36,D36)*MIN(20,time_tot))+IF(E36="Immediate",IF(D36&gt;$C36,(D36-$C36)*MIN(20,time_tot),0),IF($C36&gt;D36,($C36-D36)*IF(time&gt;20,IF(E36="Linear",time-((time-20)^2)/(2*time),(0.215*time)-(time/4.6)*(EXP(-92.1/time)-0.01)),time*(1-VLOOKUP(E36, list!$J$48:$K$50,2,))),(D36-$C36)*IF(time_tot&gt;time+20,20,IF(time_tot&lt;20,(time*VLOOKUP(E36, list!$J$48:$K$50,2,))+(time_tot-time),((MIN(20,time)*VLOOKUP(E36, list!$J$48:$K$50,2,))+(time_tot-MIN(20,time))-IF(E36="Exponential",time_tot-20+0.217*time*(EXP(4.606*(20-time_tot)/time)-1),((time_tot-20)^2)*(0.5/time)))))))),0)</f>
        <v/>
      </c>
      <c r="O36" s="3650">
        <f>IF(Q11&lt;O11,(O11-Q11)/20/10*1000*N2O_N_conversion/1000*((MIN($C36,F36)*MIN(20,time_tot))+IF(G36="Immediate",IF(F36&gt;$C36,(F36-$C36)*MIN(20,time_tot),0),IF($C36&gt;F36,($C36-F36)*IF(time&gt;20,IF(G36="Linear",time-((time-20)^2)/(2*time),(0.215*time)-(time/4.6)*(EXP(-92.1/time)-0.01)),time*(1-VLOOKUP(G36, list!$J$48:$K$50,2,))),(F36-$C36)*IF(time_tot&gt;time+20,20,IF(time_tot&lt;20,(time*VLOOKUP(G36, list!$J$48:$K$50,2,))+(time_tot-time),((MIN(20,time)*VLOOKUP(G36, list!$J$48:$K$50,2,))+(time_tot-MIN(20,time))-IF(G36="Exponential",time_tot-20+0.217*time*(EXP(4.606*(20-time_tot)/time)-1),((time_tot-20)^2)*(0.5/time)))))))),0)</f>
        <v/>
      </c>
      <c r="P36" s="3650">
        <f>$H36+$J36+$L36+N36</f>
        <v/>
      </c>
      <c r="Q36" s="3650">
        <f>$I36+$K36+$M36+O36</f>
        <v/>
      </c>
      <c r="R36" s="3654">
        <f>Q36-P36</f>
        <v/>
      </c>
      <c r="U36" s="3680">
        <f>$Y11*(time*((ABS(D36-C36)*(IF(C36&lt;=D36,VLOOKUP(E36, list!$J$48:$K$50,2,),1-VLOOKUP(E36, list!$J$48:$K$50,2,))))+MIN(D36,C36))+(D36*time_cap))</f>
        <v/>
      </c>
      <c r="V36" s="3665">
        <f>$Y11*(time*((ABS(F36-C36)*(IF(C36&lt;=F36,VLOOKUP(G36, list!$J$48:$K$50,2,),1-VLOOKUP(G36, list!$J$48:$K$50,2,))))+MIN(F36,C36))+(F36*time_cap))</f>
        <v/>
      </c>
      <c r="W36" s="3681">
        <f>V36-U36</f>
        <v/>
      </c>
      <c r="AO36" s="4608">
        <f>IF(X16&gt;0, L37/$X16,0)/E16</f>
        <v/>
      </c>
      <c r="AP36" s="4608">
        <f>IF(X16&gt;0, M37/$X16,0)/E16</f>
        <v/>
      </c>
    </row>
    <row r="37">
      <c r="B37" s="4581">
        <f>B16</f>
        <v/>
      </c>
      <c r="C37" s="3283">
        <f>'3.Cropland'!Q66</f>
        <v/>
      </c>
      <c r="D37" s="3283">
        <f>'3.Cropland'!R66</f>
        <v/>
      </c>
      <c r="E37" s="3283">
        <f>VLOOKUP('3.Cropland'!S66, list!$I$48:$J$50, 2, FALSE)</f>
        <v/>
      </c>
      <c r="F37" s="3283">
        <f>'3.Cropland'!T66</f>
        <v/>
      </c>
      <c r="G37" s="3283">
        <f>VLOOKUP('3.Cropland'!U66, list!$I$48:$J$50, 2, FALSE)</f>
        <v/>
      </c>
      <c r="H37" s="3284">
        <f>IF(L16&lt;&gt;0,-1*MIN(($K16*((MIN($C37,D37)*MIN(20,time_tot))+IF(E37="Immediate",IF(D37&gt;$C37,(D37-$C37)*MIN(20,time_tot),0),IF($C37&gt;D37,($C37-D37)*IF(time&gt;20,IF(E37="Linear",time-((time-20)^2)/(2*time),(0.215*time)-(time/4.6)*(EXP(-92.1/time)-0.01)),time*(1-VLOOKUP(E37,list!$J$48:$K$50,2,))),(D37-$C37)*IF(time_tot&gt;time+20,20,IF(time_tot&lt;20,(time*VLOOKUP(E37,list!$J$48:$K$50,2,))+(time_tot-time),((MIN(20,time)*VLOOKUP(E37,list!$J$48:$K$50,2,))+(time_tot-MIN(20,time))-IF(E37="Exponential",time_tot-20+0.217*time*(EXP(4.606*(20-time_tot)/time)-1),((time_tot-20)^2)*(0.5/time))))))))), (L16+J16*M16)*D37),-$K16*((MIN($C37,D37)*MIN(20,time_tot))+IF(E37="Immediate",IF(D37&gt;$C37,(D37-$C37)*MIN(20,time_tot),0),IF($C37&gt;D37,($C37-D37)*IF(time&gt;20,IF(E37="Linear",time-((time-20)^2)/(2*time),(0.215*time)-(time/4.6)*(EXP(-92.1/time)-0.01)),time*(1-VLOOKUP(E37,list!$J$48:$K$50,2,))),(D37-$C37)*IF(time_tot&gt;time+20,20,IF(time_tot&lt;20,(time*VLOOKUP(E37,list!$J$48:$K$50,2,))+(time_tot-time),((MIN(20,time)*VLOOKUP(E37,list!$J$48:$K$50,2,))+(time_tot-MIN(20,time))-IF(E37="Exponential",time_tot-20+0.217*time*(EXP(4.606*(20-time_tot)/time)-1),((time_tot-20)^2)*(0.5/time)))))))))</f>
        <v/>
      </c>
      <c r="I37" s="3284">
        <f>IF(L16&lt;&gt;0,-1*MIN(($K16*((MIN($C37,F37)*MIN(20,time_tot))+IF(G37="Immediate",IF(F37&gt;$C37,(F37-$C37)*MIN(20,time_tot),0),IF($C37&gt;F37,($C37-F37)*IF(time&gt;20,IF(G37="Linear",time-((time-20)^2)/(2*time),(0.215*time)-(time/4.6)*(EXP(-92.1/time)-0.01)),time*(1-VLOOKUP(G37,list!$J$48:$K$50,2,))),(F37-$C37)*IF(time_tot&gt;time+20,20,IF(time_tot&lt;20,(time*VLOOKUP(G37,list!$J$48:$K$50,2,))+(time_tot-time),((MIN(20,time)*VLOOKUP(G37,list!$J$48:$K$50,2,))+(time_tot-MIN(20,time))-IF(G37="Exponential",time_tot-20+0.217*time*(EXP(4.606*(20-time_tot)/time)-1),((time_tot-20)^2)*(0.5/time))))))))), (L16+J16*M16)*F37), -$K16*((MIN($C37,F37)*MIN(20,time_tot))+IF(G37="Immediate",IF(F37&gt;$C37,(F37-$C37)*MIN(20,time_tot),0),IF($C37&gt;F37,($C37-F37)*IF(time&gt;20,IF(G37="Linear",time-((time-20)^2)/(2*time),(0.215*time)-(time/4.6)*(EXP(-92.1/time)-0.01)),time*(1-VLOOKUP(G37,list!$J$48:$K$50,2,))),(F37-$C37)*IF(time_tot&gt;time+20,20,IF(time_tot&lt;20,(time*VLOOKUP(G37,list!$J$48:$K$50,2,))+(time_tot-time),((MIN(20,time)*VLOOKUP(G37,list!$J$48:$K$50,2,))+(time_tot-MIN(20,time))-IF(G37="Exponential",time_tot-20+0.217*time*(EXP(4.606*(20-time_tot)/time)-1),((time_tot-20)^2)*(0.5/time)))))))))</f>
        <v/>
      </c>
      <c r="J37" s="3285">
        <f>IF(ABS(-$U16*((MIN($C37,D37)*MIN(20,time_tot))+IF(E37="Immediate",IF(D37&gt;$C37,(D37-$C37)*MIN(20,time_tot),0),IF($C37&gt;D37,($C37-D37)*IF(time&gt;20,IF(E37="Linear",time-((time-20)^2)/(2*time),(0.215*time)-(time/4.6)*(EXP(-92.1/time)-0.01)),time*(1-VLOOKUP(E37, list!$J$48:$K$50,2,))),(D37-$C37)*IF(time_tot&gt;time+20,20,IF(time_tot&lt;20,(time*VLOOKUP(E37, list!$J$48:$K$50,2,))+(time_tot-time),((MIN(20,time)*VLOOKUP(E37, list!$J$48:$K$50,2,))+(time_tot-MIN(20,time))-IF(E37="Exponential",time_tot-20+0.217*time*(EXP(4.606*(20-time_tot)/time)-1),((time_tot-20)^2)*(0.5/time)))))))))&gt;=ABS(T16*MAX(C37,D37)),-T16*MAX(C37,D37),-$U16*((MIN($C37,D37)*MIN(20,time_tot))+IF(E37="Immediate",IF(D37&gt;$C37,(D37-$C37)*MIN(20,time_tot),0),IF($C37&gt;D37,($C37-D37)*IF(time&gt;20,IF(E37="Linear",time-((time-20)^2)/(2*time),(0.215*time)-(time/4.6)*(EXP(-92.1/time)-0.01)),time*(1-VLOOKUP(E37, list!$J$48:$K$50,2,))),(D37-$C37)*IF(time_tot&gt;time+20,20,IF(time_tot&lt;20,(time*VLOOKUP(E37, list!$J$48:$K$50,2,))+(time_tot-time),((MIN(20,time)*VLOOKUP(E37, list!$J$48:$K$50,2,))+(time_tot-MIN(20,time))-IF(E37="Exponential",time_tot-20+0.217*time*(EXP(4.606*(20-time_tot)/time)-1),((time_tot-20)^2)*(0.5/time)))))))))</f>
        <v/>
      </c>
      <c r="K37" s="3285">
        <f>IF(ABS(-$U16*((MIN($C37,F37)*MIN(20,time_tot))+IF(G37="Immediate",IF(F37&gt;$C37,(F37-$C37)*MIN(20,time_tot),0),IF($C37&gt;F37,($C37-F37)*IF(time&gt;20,IF(G37="Linear",time-((time-20)^2)/(2*time),(0.215*time)-(time/4.6)*(EXP(-92.1/time)-0.01)),time*(1-VLOOKUP(G37, list!$J$48:$K$50,2,))),(F37-$C37)*IF(time_tot&gt;time+20,20,IF(time_tot&lt;20,(time*VLOOKUP(G37, list!$J$48:$K$50,2,))+(time_tot-time),((MIN(20,time)*VLOOKUP(G37, list!$J$48:$K$50,2,))+(time_tot-MIN(20,time))-IF(G37="Exponential",time_tot-20+0.217*time*(EXP(4.606*(20-time_tot)/time)-1),((time_tot-20)^2)*(0.5/time)))))))))&gt;=ABS(T16*MAX(F37,C37)),-T16*MAX(F37,C37), -$U16*((MIN($C37,F37)*MIN(20,time_tot))+IF(G37="Immediate",IF(F37&gt;$C37,(F37-$C37)*MIN(20,time_tot),0),IF($C37&gt;F37,($C37-F37)*IF(time&gt;20,IF(G37="Linear",time-((time-20)^2)/(2*time),(0.215*time)-(time/4.6)*(EXP(-92.1/time)-0.01)),time*(1-VLOOKUP(G37, list!$J$48:$K$50,2,))),(F37-$C37)*IF(time_tot&gt;time+20,20,IF(time_tot&lt;20,(time*VLOOKUP(G37, list!$J$48:$K$50,2,))+(time_tot-time),((MIN(20,time)*VLOOKUP(G37, list!$J$48:$K$50,2,))+(time_tot-MIN(20,time))-IF(G37="Exponential",time_tot-20+0.217*time*(EXP(4.606*(20-time_tot)/time)-1),((time_tot-20)^2)*(0.5/time)))))))))</f>
        <v/>
      </c>
      <c r="L37" s="3285">
        <f>(MIN(C37,D37)*time_tot+ABS(D37-C37)*IF(D37&gt;C37,time_cap+time*(VLOOKUP(E37, list!$J$48:$K$50,2,)),time*(1-(VLOOKUP(E37, list!$J$48:$K$50,2,)))))*$X16</f>
        <v/>
      </c>
      <c r="M37" s="3285">
        <f>(MIN(C37,F37)*time_tot+ABS(F37-C37)*IF(F37&gt;C37, time_cap+time*(VLOOKUP(G37,  list!$J$48:$K$50,2,)),time*(1-(VLOOKUP(G37, list!$J$48:$K$50,2,)))))*$X16</f>
        <v/>
      </c>
      <c r="N37" s="3285">
        <f>IF(S16&lt;O16*P16,(O16*P16-S16)/20/10*1000*N2O_N_conversion/1000*((MIN($C37,D37)*MIN(20,time_tot))+IF(E37="Immediate",IF(D37&gt;$C37,(D37-$C37)*MIN(20,time_tot),0),IF($C37&gt;D37,($C37-D37)*IF(time&gt;20,IF(E37="Linear",time-((time-20)^2)/(2*time),(0.215*time)-(time/4.6)*(EXP(-92.1/time)-0.01)),time*(1-VLOOKUP(E37, list!$J$48:$K$50,2,))),(D37-$C37)*IF(time_tot&gt;time+20,20,IF(time_tot&lt;20,(time*VLOOKUP(E37, list!$J$48:$K$50,2,))+(time_tot-time),((MIN(20,time)*VLOOKUP(E37, list!$J$48:$K$50,2,))+(time_tot-MIN(20,time))-IF(E37="Exponential",time_tot-20+0.217*time*(EXP(4.606*(20-time_tot)/time)-1),((time_tot-20)^2)*(0.5/time)))))))),0)</f>
        <v/>
      </c>
      <c r="O37" s="3285">
        <f>IF(S16&lt;O16*P16,(O16*P16-S16)/20/10*1000*N2O_N_conversion/1000*((MIN($C37,F37)*MIN(20,time_tot))+IF(G37="Immediate",IF(F37&gt;$C37,(F37-$C37)*MIN(20,time_tot),0),IF($C37&gt;F37,($C37-F37)*IF(time&gt;20,IF(G37="Linear",time-((time-20)^2)/(2*time),(0.215*time)-(time/4.6)*(EXP(-92.1/time)-0.01)),time*(1-VLOOKUP(G37, list!$J$48:$K$50,2,))),(F37-$C37)*IF(time_tot&gt;time+20,20,IF(time_tot&lt;20,(time*VLOOKUP(G37, list!$J$48:$K$50,2,))+(time_tot-time),((MIN(20,time)*VLOOKUP(G37, list!$J$48:$K$50,2,))+(time_tot-MIN(20,time))-IF(G37="Exponential",time_tot-20+0.217*time*(EXP(4.606*(20-time_tot)/time)-1),((time_tot-20)^2)*(0.5/time)))))))),0)</f>
        <v/>
      </c>
      <c r="P37" s="3285">
        <f>$H37+$J37+$L37+N37</f>
        <v/>
      </c>
      <c r="Q37" s="3285">
        <f>$I37+$K37+$M37+O37</f>
        <v/>
      </c>
      <c r="R37" s="3287">
        <f>Q37-P37</f>
        <v/>
      </c>
      <c r="U37" s="3740">
        <f>$Y16*(time*((ABS(D37-C37)*(IF(C37&lt;=D37,VLOOKUP(E37, list!$J$48:$K$50,2,),1-VLOOKUP(E37, list!$J$48:$K$50,2,))))+MIN(D37,C37))+(D37*time_cap))</f>
        <v/>
      </c>
      <c r="V37" s="3741">
        <f>$Y16*(time*((ABS(F37-C37)*(IF(C37&lt;=F37,VLOOKUP(G37, list!$J$48:$K$50,2,),1-VLOOKUP(G37, list!$J$48:$K$50,2,))))+MIN(F37,C37))+(F37*time_cap))</f>
        <v/>
      </c>
      <c r="W37" s="3742">
        <f>V37-U37</f>
        <v/>
      </c>
      <c r="AA37" s="3231" t="inlineStr">
        <is>
          <t>Categories</t>
        </is>
      </c>
      <c r="AB37" s="3232" t="inlineStr">
        <is>
          <t>Without</t>
        </is>
      </c>
      <c r="AC37" s="3232" t="inlineStr">
        <is>
          <t>With</t>
        </is>
      </c>
      <c r="AO37" s="4608">
        <f>IF(X17&gt;0, L38/$X17,0)/E17</f>
        <v/>
      </c>
      <c r="AP37" s="4608">
        <f>IF(X17&gt;0, M38/$X17,0)/E17</f>
        <v/>
      </c>
    </row>
    <row r="38">
      <c r="B38" s="4581">
        <f>B17</f>
        <v/>
      </c>
      <c r="C38" s="3283">
        <f>'3.Cropland'!Q67</f>
        <v/>
      </c>
      <c r="D38" s="3283">
        <f>'3.Cropland'!R67</f>
        <v/>
      </c>
      <c r="E38" s="3283">
        <f>VLOOKUP('3.Cropland'!S67, list!$I$48:$J$50, 2, FALSE)</f>
        <v/>
      </c>
      <c r="F38" s="3283">
        <f>'3.Cropland'!T67</f>
        <v/>
      </c>
      <c r="G38" s="3283">
        <f>VLOOKUP('3.Cropland'!U67, list!$I$48:$J$50, 2, FALSE)</f>
        <v/>
      </c>
      <c r="H38" s="3284">
        <f>IF(L17&lt;&gt;0,-1*MIN(($K17*((MIN($C38,D38)*MIN(20,time_tot))+IF(E38="Immediate",IF(D38&gt;$C38,(D38-$C38)*MIN(20,time_tot),0),IF($C38&gt;D38,($C38-D38)*IF(time&gt;20,IF(E38="Linear",time-((time-20)^2)/(2*time),(0.215*time)-(time/4.6)*(EXP(-92.1/time)-0.01)),time*(1-VLOOKUP(E38,list!$J$48:$K$50,2,))),(D38-$C38)*IF(time_tot&gt;time+20,20,IF(time_tot&lt;20,(time*VLOOKUP(E38,list!$J$48:$K$50,2,))+(time_tot-time),((MIN(20,time)*VLOOKUP(E38,list!$J$48:$K$50,2,))+(time_tot-MIN(20,time))-IF(E38="Exponential",time_tot-20+0.217*time*(EXP(4.606*(20-time_tot)/time)-1),((time_tot-20)^2)*(0.5/time))))))))), (L17+J17*M17)*D38),-$K17*((MIN($C38,D38)*MIN(20,time_tot))+IF(E38="Immediate",IF(D38&gt;$C38,(D38-$C38)*MIN(20,time_tot),0),IF($C38&gt;D38,($C38-D38)*IF(time&gt;20,IF(E38="Linear",time-((time-20)^2)/(2*time),(0.215*time)-(time/4.6)*(EXP(-92.1/time)-0.01)),time*(1-VLOOKUP(E38,list!$J$48:$K$50,2,))),(D38-$C38)*IF(time_tot&gt;time+20,20,IF(time_tot&lt;20,(time*VLOOKUP(E38,list!$J$48:$K$50,2,))+(time_tot-time),((MIN(20,time)*VLOOKUP(E38,list!$J$48:$K$50,2,))+(time_tot-MIN(20,time))-IF(E38="Exponential",time_tot-20+0.217*time*(EXP(4.606*(20-time_tot)/time)-1),((time_tot-20)^2)*(0.5/time)))))))))</f>
        <v/>
      </c>
      <c r="I38" s="3284">
        <f>IF(L17&lt;&gt;0,-1*MIN(($K17*((MIN($C38,F38)*MIN(20,time_tot))+IF(G38="Immediate",IF(F38&gt;$C38,(F38-$C38)*MIN(20,time_tot),0),IF($C38&gt;F38,($C38-F38)*IF(time&gt;20,IF(G38="Linear",time-((time-20)^2)/(2*time),(0.215*time)-(time/4.6)*(EXP(-92.1/time)-0.01)),time*(1-VLOOKUP(G38,list!$J$48:$K$50,2,))),(F38-$C38)*IF(time_tot&gt;time+20,20,IF(time_tot&lt;20,(time*VLOOKUP(G38,list!$J$48:$K$50,2,))+(time_tot-time),((MIN(20,time)*VLOOKUP(G38,list!$J$48:$K$50,2,))+(time_tot-MIN(20,time))-IF(G38="Exponential",time_tot-20+0.217*time*(EXP(4.606*(20-time_tot)/time)-1),((time_tot-20)^2)*(0.5/time))))))))), (L17+J17*M17)*F38), -$K17*((MIN($C38,F38)*MIN(20,time_tot))+IF(G38="Immediate",IF(F38&gt;$C38,(F38-$C38)*MIN(20,time_tot),0),IF($C38&gt;F38,($C38-F38)*IF(time&gt;20,IF(G38="Linear",time-((time-20)^2)/(2*time),(0.215*time)-(time/4.6)*(EXP(-92.1/time)-0.01)),time*(1-VLOOKUP(G38,list!$J$48:$K$50,2,))),(F38-$C38)*IF(time_tot&gt;time+20,20,IF(time_tot&lt;20,(time*VLOOKUP(G38,list!$J$48:$K$50,2,))+(time_tot-time),((MIN(20,time)*VLOOKUP(G38,list!$J$48:$K$50,2,))+(time_tot-MIN(20,time))-IF(G38="Exponential",time_tot-20+0.217*time*(EXP(4.606*(20-time_tot)/time)-1),((time_tot-20)^2)*(0.5/time)))))))))</f>
        <v/>
      </c>
      <c r="J38" s="3285">
        <f>IF(ABS(-$U17*((MIN($C38,D38)*MIN(20,time_tot))+IF(E38="Immediate",IF(D38&gt;$C38,(D38-$C38)*MIN(20,time_tot),0),IF($C38&gt;D38,($C38-D38)*IF(time&gt;20,IF(E38="Linear",time-((time-20)^2)/(2*time),(0.215*time)-(time/4.6)*(EXP(-92.1/time)-0.01)),time*(1-VLOOKUP(E38, list!$J$48:$K$50,2,))),(D38-$C38)*IF(time_tot&gt;time+20,20,IF(time_tot&lt;20,(time*VLOOKUP(E38, list!$J$48:$K$50,2,))+(time_tot-time),((MIN(20,time)*VLOOKUP(E38, list!$J$48:$K$50,2,))+(time_tot-MIN(20,time))-IF(E38="Exponential",time_tot-20+0.217*time*(EXP(4.606*(20-time_tot)/time)-1),((time_tot-20)^2)*(0.5/time)))))))))&gt;=ABS(T17*MAX(C38,D38)),-T17*MAX(C38,D38),-$U17*((MIN($C38,D38)*MIN(20,time_tot))+IF(E38="Immediate",IF(D38&gt;$C38,(D38-$C38)*MIN(20,time_tot),0),IF($C38&gt;D38,($C38-D38)*IF(time&gt;20,IF(E38="Linear",time-((time-20)^2)/(2*time),(0.215*time)-(time/4.6)*(EXP(-92.1/time)-0.01)),time*(1-VLOOKUP(E38, list!$J$48:$K$50,2,))),(D38-$C38)*IF(time_tot&gt;time+20,20,IF(time_tot&lt;20,(time*VLOOKUP(E38, list!$J$48:$K$50,2,))+(time_tot-time),((MIN(20,time)*VLOOKUP(E38, list!$J$48:$K$50,2,))+(time_tot-MIN(20,time))-IF(E38="Exponential",time_tot-20+0.217*time*(EXP(4.606*(20-time_tot)/time)-1),((time_tot-20)^2)*(0.5/time)))))))))</f>
        <v/>
      </c>
      <c r="K38" s="3285">
        <f>IF(ABS(-$U17*((MIN($C38,F38)*MIN(20,time_tot))+IF(G38="Immediate",IF(F38&gt;$C38,(F38-$C38)*MIN(20,time_tot),0),IF($C38&gt;F38,($C38-F38)*IF(time&gt;20,IF(G38="Linear",time-((time-20)^2)/(2*time),(0.215*time)-(time/4.6)*(EXP(-92.1/time)-0.01)),time*(1-VLOOKUP(G38, list!$J$48:$K$50,2,))),(F38-$C38)*IF(time_tot&gt;time+20,20,IF(time_tot&lt;20,(time*VLOOKUP(G38, list!$J$48:$K$50,2,))+(time_tot-time),((MIN(20,time)*VLOOKUP(G38, list!$J$48:$K$50,2,))+(time_tot-MIN(20,time))-IF(G38="Exponential",time_tot-20+0.217*time*(EXP(4.606*(20-time_tot)/time)-1),((time_tot-20)^2)*(0.5/time)))))))))&gt;=ABS(T17*MAX(F38,C38)),-T17*MAX(F38,C38), -$U17*((MIN($C38,F38)*MIN(20,time_tot))+IF(G38="Immediate",IF(F38&gt;$C38,(F38-$C38)*MIN(20,time_tot),0),IF($C38&gt;F38,($C38-F38)*IF(time&gt;20,IF(G38="Linear",time-((time-20)^2)/(2*time),(0.215*time)-(time/4.6)*(EXP(-92.1/time)-0.01)),time*(1-VLOOKUP(G38, list!$J$48:$K$50,2,))),(F38-$C38)*IF(time_tot&gt;time+20,20,IF(time_tot&lt;20,(time*VLOOKUP(G38, list!$J$48:$K$50,2,))+(time_tot-time),((MIN(20,time)*VLOOKUP(G38, list!$J$48:$K$50,2,))+(time_tot-MIN(20,time))-IF(G38="Exponential",time_tot-20+0.217*time*(EXP(4.606*(20-time_tot)/time)-1),((time_tot-20)^2)*(0.5/time)))))))))</f>
        <v/>
      </c>
      <c r="L38" s="3269">
        <f>(MIN(C38,D38)*time_tot+ABS(D38-C38)*IF(D38&gt;C38,time_cap+time*(VLOOKUP(E38, list!$J$48:$K$50,2,)),time*(1-(VLOOKUP(E38, list!$J$48:$K$50,2,)))))*$X17</f>
        <v/>
      </c>
      <c r="M38" s="3269">
        <f>(MIN(C38,F38)*time_tot+ABS(F38-C38)*IF(F38&gt;C38, time_cap+time*(VLOOKUP(G38,  list!$J$48:$K$50,2,)),time*(1-(VLOOKUP(G38, list!$J$48:$K$50,2,)))))*$X17</f>
        <v/>
      </c>
      <c r="N38" s="3285">
        <f>IF(S17&lt;O17*P17,(O17*P17-S17)/20/10*1000*N2O_N_conversion/1000*((MIN($C38,D38)*MIN(20,time_tot))+IF(E38="Immediate",IF(D38&gt;$C38,(D38-$C38)*MIN(20,time_tot),0),IF($C38&gt;D38,($C38-D38)*IF(time&gt;20,IF(E38="Linear",time-((time-20)^2)/(2*time),(0.215*time)-(time/4.6)*(EXP(-92.1/time)-0.01)),time*(1-VLOOKUP(E38, list!$J$48:$K$50,2,))),(D38-$C38)*IF(time_tot&gt;time+20,20,IF(time_tot&lt;20,(time*VLOOKUP(E38, list!$J$48:$K$50,2,))+(time_tot-time),((MIN(20,time)*VLOOKUP(E38, list!$J$48:$K$50,2,))+(time_tot-MIN(20,time))-IF(E38="Exponential",time_tot-20+0.217*time*(EXP(4.606*(20-time_tot)/time)-1),((time_tot-20)^2)*(0.5/time)))))))),0)</f>
        <v/>
      </c>
      <c r="O38" s="3285">
        <f>IF(S17&lt;O17*P17,(O17*P17-S17)/20/10*1000*N2O_N_conversion/1000*((MIN($C38,F38)*MIN(20,time_tot))+IF(G38="Immediate",IF(F38&gt;$C38,(F38-$C38)*MIN(20,time_tot),0),IF($C38&gt;F38,($C38-F38)*IF(time&gt;20,IF(G38="Linear",time-((time-20)^2)/(2*time),(0.215*time)-(time/4.6)*(EXP(-92.1/time)-0.01)),time*(1-VLOOKUP(G38, list!$J$48:$K$50,2,))),(F38-$C38)*IF(time_tot&gt;time+20,20,IF(time_tot&lt;20,(time*VLOOKUP(G38, list!$J$48:$K$50,2,))+(time_tot-time),((MIN(20,time)*VLOOKUP(G38, list!$J$48:$K$50,2,))+(time_tot-MIN(20,time))-IF(G38="Exponential",time_tot-20+0.217*time*(EXP(4.606*(20-time_tot)/time)-1),((time_tot-20)^2)*(0.5/time)))))))),0)</f>
        <v/>
      </c>
      <c r="P38" s="3269">
        <f>$H38+$J38+$L38+N38</f>
        <v/>
      </c>
      <c r="Q38" s="3269">
        <f>$I38+$K38+$M38+O38</f>
        <v/>
      </c>
      <c r="R38" s="3273">
        <f>Q38-P38</f>
        <v/>
      </c>
      <c r="U38" s="3734">
        <f>$Y17*(time*((ABS(D38-C38)*(IF(C38&lt;=D38,VLOOKUP(E38, list!$J$48:$K$50,2,),1-VLOOKUP(E38, list!$J$48:$K$50,2,))))+MIN(D38,C38))+(D38*time_cap))</f>
        <v/>
      </c>
      <c r="V38" s="3735">
        <f>$Y17*(time*((ABS(F38-C38)*(IF(C38&lt;=F38,VLOOKUP(G38, list!$J$48:$K$50,2,),1-VLOOKUP(G38, list!$J$48:$K$50,2,))))+MIN(F38,C38))+(F38*time_cap))</f>
        <v/>
      </c>
      <c r="W38" s="3736">
        <f>V38-U38</f>
        <v/>
      </c>
      <c r="AA38" s="3233" t="inlineStr">
        <is>
          <t>CO2 Biomass</t>
        </is>
      </c>
      <c r="AB38" s="3234">
        <f>SUM(H33:H46)</f>
        <v/>
      </c>
      <c r="AC38" s="3235">
        <f>SUM(I33:I46)</f>
        <v/>
      </c>
      <c r="AO38" s="4608">
        <f>IF(X18&gt;0, L39/$X18,0)/E18</f>
        <v/>
      </c>
      <c r="AP38" s="4608">
        <f>IF(X18&gt;0, M39/$X18,0)/E18</f>
        <v/>
      </c>
    </row>
    <row r="39">
      <c r="B39" s="4581">
        <f>B18</f>
        <v/>
      </c>
      <c r="C39" s="3283">
        <f>'3.Cropland'!Q68</f>
        <v/>
      </c>
      <c r="D39" s="3283">
        <f>'3.Cropland'!R68</f>
        <v/>
      </c>
      <c r="E39" s="3283">
        <f>VLOOKUP('3.Cropland'!S68, list!$I$48:$J$50, 2, FALSE)</f>
        <v/>
      </c>
      <c r="F39" s="3283">
        <f>'3.Cropland'!T68</f>
        <v/>
      </c>
      <c r="G39" s="3283">
        <f>VLOOKUP('3.Cropland'!U68, list!$I$48:$J$50, 2, FALSE)</f>
        <v/>
      </c>
      <c r="H39" s="3284">
        <f>IF(L18&lt;&gt;0,-1*MIN(($K18*((MIN($C39,D39)*MIN(20,time_tot))+IF(E39="Immediate",IF(D39&gt;$C39,(D39-$C39)*MIN(20,time_tot),0),IF($C39&gt;D39,($C39-D39)*IF(time&gt;20,IF(E39="Linear",time-((time-20)^2)/(2*time),(0.215*time)-(time/4.6)*(EXP(-92.1/time)-0.01)),time*(1-VLOOKUP(E39,list!$J$48:$K$50,2,))),(D39-$C39)*IF(time_tot&gt;time+20,20,IF(time_tot&lt;20,(time*VLOOKUP(E39,list!$J$48:$K$50,2,))+(time_tot-time),((MIN(20,time)*VLOOKUP(E39,list!$J$48:$K$50,2,))+(time_tot-MIN(20,time))-IF(E39="Exponential",time_tot-20+0.217*time*(EXP(4.606*(20-time_tot)/time)-1),((time_tot-20)^2)*(0.5/time))))))))), (L18+J18*M18)*D39),-$K18*((MIN($C39,D39)*MIN(20,time_tot))+IF(E39="Immediate",IF(D39&gt;$C39,(D39-$C39)*MIN(20,time_tot),0),IF($C39&gt;D39,($C39-D39)*IF(time&gt;20,IF(E39="Linear",time-((time-20)^2)/(2*time),(0.215*time)-(time/4.6)*(EXP(-92.1/time)-0.01)),time*(1-VLOOKUP(E39,list!$J$48:$K$50,2,))),(D39-$C39)*IF(time_tot&gt;time+20,20,IF(time_tot&lt;20,(time*VLOOKUP(E39,list!$J$48:$K$50,2,))+(time_tot-time),((MIN(20,time)*VLOOKUP(E39,list!$J$48:$K$50,2,))+(time_tot-MIN(20,time))-IF(E39="Exponential",time_tot-20+0.217*time*(EXP(4.606*(20-time_tot)/time)-1),((time_tot-20)^2)*(0.5/time)))))))))</f>
        <v/>
      </c>
      <c r="I39" s="3284">
        <f>IF(L18&lt;&gt;0,-1*MIN(($K18*((MIN($C39,F39)*MIN(20,time_tot))+IF(G39="Immediate",IF(F39&gt;$C39,(F39-$C39)*MIN(20,time_tot),0),IF($C39&gt;F39,($C39-F39)*IF(time&gt;20,IF(G39="Linear",time-((time-20)^2)/(2*time),(0.215*time)-(time/4.6)*(EXP(-92.1/time)-0.01)),time*(1-VLOOKUP(G39,list!$J$48:$K$50,2,))),(F39-$C39)*IF(time_tot&gt;time+20,20,IF(time_tot&lt;20,(time*VLOOKUP(G39,list!$J$48:$K$50,2,))+(time_tot-time),((MIN(20,time)*VLOOKUP(G39,list!$J$48:$K$50,2,))+(time_tot-MIN(20,time))-IF(G39="Exponential",time_tot-20+0.217*time*(EXP(4.606*(20-time_tot)/time)-1),((time_tot-20)^2)*(0.5/time))))))))), (L18+J18*M18)*F39), -$K18*((MIN($C39,F39)*MIN(20,time_tot))+IF(G39="Immediate",IF(F39&gt;$C39,(F39-$C39)*MIN(20,time_tot),0),IF($C39&gt;F39,($C39-F39)*IF(time&gt;20,IF(G39="Linear",time-((time-20)^2)/(2*time),(0.215*time)-(time/4.6)*(EXP(-92.1/time)-0.01)),time*(1-VLOOKUP(G39,list!$J$48:$K$50,2,))),(F39-$C39)*IF(time_tot&gt;time+20,20,IF(time_tot&lt;20,(time*VLOOKUP(G39,list!$J$48:$K$50,2,))+(time_tot-time),((MIN(20,time)*VLOOKUP(G39,list!$J$48:$K$50,2,))+(time_tot-MIN(20,time))-IF(G39="Exponential",time_tot-20+0.217*time*(EXP(4.606*(20-time_tot)/time)-1),((time_tot-20)^2)*(0.5/time)))))))))</f>
        <v/>
      </c>
      <c r="J39" s="3285">
        <f>IF(ABS(-$U18*((MIN($C39,D39)*MIN(20,time_tot))+IF(E39="Immediate",IF(D39&gt;$C39,(D39-$C39)*MIN(20,time_tot),0),IF($C39&gt;D39,($C39-D39)*IF(time&gt;20,IF(E39="Linear",time-((time-20)^2)/(2*time),(0.215*time)-(time/4.6)*(EXP(-92.1/time)-0.01)),time*(1-VLOOKUP(E39, list!$J$48:$K$50,2,))),(D39-$C39)*IF(time_tot&gt;time+20,20,IF(time_tot&lt;20,(time*VLOOKUP(E39, list!$J$48:$K$50,2,))+(time_tot-time),((MIN(20,time)*VLOOKUP(E39, list!$J$48:$K$50,2,))+(time_tot-MIN(20,time))-IF(E39="Exponential",time_tot-20+0.217*time*(EXP(4.606*(20-time_tot)/time)-1),((time_tot-20)^2)*(0.5/time)))))))))&gt;=ABS(T18*MAX(C39,D39)),-T18*MAX(C39,D39),-$U18*((MIN($C39,D39)*MIN(20,time_tot))+IF(E39="Immediate",IF(D39&gt;$C39,(D39-$C39)*MIN(20,time_tot),0),IF($C39&gt;D39,($C39-D39)*IF(time&gt;20,IF(E39="Linear",time-((time-20)^2)/(2*time),(0.215*time)-(time/4.6)*(EXP(-92.1/time)-0.01)),time*(1-VLOOKUP(E39, list!$J$48:$K$50,2,))),(D39-$C39)*IF(time_tot&gt;time+20,20,IF(time_tot&lt;20,(time*VLOOKUP(E39, list!$J$48:$K$50,2,))+(time_tot-time),((MIN(20,time)*VLOOKUP(E39, list!$J$48:$K$50,2,))+(time_tot-MIN(20,time))-IF(E39="Exponential",time_tot-20+0.217*time*(EXP(4.606*(20-time_tot)/time)-1),((time_tot-20)^2)*(0.5/time)))))))))</f>
        <v/>
      </c>
      <c r="K39" s="3285">
        <f>IF(ABS(-$U18*((MIN($C39,F39)*MIN(20,time_tot))+IF(G39="Immediate",IF(F39&gt;$C39,(F39-$C39)*MIN(20,time_tot),0),IF($C39&gt;F39,($C39-F39)*IF(time&gt;20,IF(G39="Linear",time-((time-20)^2)/(2*time),(0.215*time)-(time/4.6)*(EXP(-92.1/time)-0.01)),time*(1-VLOOKUP(G39, list!$J$48:$K$50,2,))),(F39-$C39)*IF(time_tot&gt;time+20,20,IF(time_tot&lt;20,(time*VLOOKUP(G39, list!$J$48:$K$50,2,))+(time_tot-time),((MIN(20,time)*VLOOKUP(G39, list!$J$48:$K$50,2,))+(time_tot-MIN(20,time))-IF(G39="Exponential",time_tot-20+0.217*time*(EXP(4.606*(20-time_tot)/time)-1),((time_tot-20)^2)*(0.5/time)))))))))&gt;=ABS(T18*MAX(F39,C39)),-T18*MAX(F39,C39), -$U18*((MIN($C39,F39)*MIN(20,time_tot))+IF(G39="Immediate",IF(F39&gt;$C39,(F39-$C39)*MIN(20,time_tot),0),IF($C39&gt;F39,($C39-F39)*IF(time&gt;20,IF(G39="Linear",time-((time-20)^2)/(2*time),(0.215*time)-(time/4.6)*(EXP(-92.1/time)-0.01)),time*(1-VLOOKUP(G39, list!$J$48:$K$50,2,))),(F39-$C39)*IF(time_tot&gt;time+20,20,IF(time_tot&lt;20,(time*VLOOKUP(G39, list!$J$48:$K$50,2,))+(time_tot-time),((MIN(20,time)*VLOOKUP(G39, list!$J$48:$K$50,2,))+(time_tot-MIN(20,time))-IF(G39="Exponential",time_tot-20+0.217*time*(EXP(4.606*(20-time_tot)/time)-1),((time_tot-20)^2)*(0.5/time)))))))))</f>
        <v/>
      </c>
      <c r="L39" s="3269">
        <f>(MIN(C39,D39)*time_tot+ABS(D39-C39)*IF(D39&gt;C39,time_cap+time*(VLOOKUP(E39, list!$J$48:$K$50,2,)),time*(1-(VLOOKUP(E39, list!$J$48:$K$50,2,)))))*$X18</f>
        <v/>
      </c>
      <c r="M39" s="3269">
        <f>(MIN(C39,F39)*time_tot+ABS(F39-C39)*IF(F39&gt;C39, time_cap+time*(VLOOKUP(G39,  list!$J$48:$K$50,2,)),time*(1-(VLOOKUP(G39, list!$J$48:$K$50,2,)))))*$X18</f>
        <v/>
      </c>
      <c r="N39" s="3285">
        <f>IF(S18&lt;O18*P18,(O18*P18-S18)/20/10*1000*N2O_N_conversion/1000*((MIN($C39,D39)*MIN(20,time_tot))+IF(E39="Immediate",IF(D39&gt;$C39,(D39-$C39)*MIN(20,time_tot),0),IF($C39&gt;D39,($C39-D39)*IF(time&gt;20,IF(E39="Linear",time-((time-20)^2)/(2*time),(0.215*time)-(time/4.6)*(EXP(-92.1/time)-0.01)),time*(1-VLOOKUP(E39, list!$J$48:$K$50,2,))),(D39-$C39)*IF(time_tot&gt;time+20,20,IF(time_tot&lt;20,(time*VLOOKUP(E39, list!$J$48:$K$50,2,))+(time_tot-time),((MIN(20,time)*VLOOKUP(E39, list!$J$48:$K$50,2,))+(time_tot-MIN(20,time))-IF(E39="Exponential",time_tot-20+0.217*time*(EXP(4.606*(20-time_tot)/time)-1),((time_tot-20)^2)*(0.5/time)))))))),0)</f>
        <v/>
      </c>
      <c r="O39" s="3285">
        <f>IF(S18&lt;O18*P18,(O18*P18-S18)/20/10*1000*N2O_N_conversion/1000*((MIN($C39,F39)*MIN(20,time_tot))+IF(G39="Immediate",IF(F39&gt;$C39,(F39-$C39)*MIN(20,time_tot),0),IF($C39&gt;F39,($C39-F39)*IF(time&gt;20,IF(G39="Linear",time-((time-20)^2)/(2*time),(0.215*time)-(time/4.6)*(EXP(-92.1/time)-0.01)),time*(1-VLOOKUP(G39, list!$J$48:$K$50,2,))),(F39-$C39)*IF(time_tot&gt;time+20,20,IF(time_tot&lt;20,(time*VLOOKUP(G39, list!$J$48:$K$50,2,))+(time_tot-time),((MIN(20,time)*VLOOKUP(G39, list!$J$48:$K$50,2,))+(time_tot-MIN(20,time))-IF(G39="Exponential",time_tot-20+0.217*time*(EXP(4.606*(20-time_tot)/time)-1),((time_tot-20)^2)*(0.5/time)))))))),0)</f>
        <v/>
      </c>
      <c r="P39" s="3269">
        <f>$H39+$J39+$L39+N39</f>
        <v/>
      </c>
      <c r="Q39" s="3269">
        <f>$I39+$K39+$M39+O39</f>
        <v/>
      </c>
      <c r="R39" s="3273">
        <f>Q39-P39</f>
        <v/>
      </c>
      <c r="U39" s="3734">
        <f>$Y18*(time*((ABS(D39-C39)*(IF(C39&lt;=D39,VLOOKUP(E39, list!$J$48:$K$50,2,),1-VLOOKUP(E39, list!$J$48:$K$50,2,))))+MIN(D39,C39))+(D39*time_cap))</f>
        <v/>
      </c>
      <c r="V39" s="3735">
        <f>$Y18*(time*((ABS(F39-C39)*(IF(C39&lt;=F39,VLOOKUP(G39, list!$J$48:$K$50,2,),1-VLOOKUP(G39, list!$J$48:$K$50,2,))))+MIN(F39,C39))+(F39*time_cap))</f>
        <v/>
      </c>
      <c r="W39" s="3736">
        <f>V39-U39</f>
        <v/>
      </c>
      <c r="AA39" s="3233" t="inlineStr">
        <is>
          <t>CO2 soil</t>
        </is>
      </c>
      <c r="AB39" s="3237">
        <f>SUM(J33:J46)</f>
        <v/>
      </c>
      <c r="AC39" s="3238">
        <f>SUM(K33:K46)</f>
        <v/>
      </c>
      <c r="AO39" s="4608">
        <f>IF(X19&gt;0, L40/$X19,0)/E19</f>
        <v/>
      </c>
      <c r="AP39" s="4608">
        <f>IF(X19&gt;0, M40/$X19,0)/E19</f>
        <v/>
      </c>
    </row>
    <row r="40">
      <c r="B40" s="4581">
        <f>B19</f>
        <v/>
      </c>
      <c r="C40" s="3283">
        <f>'3.Cropland'!Q69</f>
        <v/>
      </c>
      <c r="D40" s="3283">
        <f>'3.Cropland'!R69</f>
        <v/>
      </c>
      <c r="E40" s="3283">
        <f>VLOOKUP('3.Cropland'!S69, list!$I$48:$J$50, 2, FALSE)</f>
        <v/>
      </c>
      <c r="F40" s="3283">
        <f>'3.Cropland'!T69</f>
        <v/>
      </c>
      <c r="G40" s="3283">
        <f>VLOOKUP('3.Cropland'!U69, list!$I$48:$J$50, 2, FALSE)</f>
        <v/>
      </c>
      <c r="H40" s="3284">
        <f>IF(L19&lt;&gt;0,-1*MIN(($K19*((MIN($C40,D40)*MIN(20,time_tot))+IF(E40="Immediate",IF(D40&gt;$C40,(D40-$C40)*MIN(20,time_tot),0),IF($C40&gt;D40,($C40-D40)*IF(time&gt;20,IF(E40="Linear",time-((time-20)^2)/(2*time),(0.215*time)-(time/4.6)*(EXP(-92.1/time)-0.01)),time*(1-VLOOKUP(E40,list!$J$48:$K$50,2,))),(D40-$C40)*IF(time_tot&gt;time+20,20,IF(time_tot&lt;20,(time*VLOOKUP(E40,list!$J$48:$K$50,2,))+(time_tot-time),((MIN(20,time)*VLOOKUP(E40,list!$J$48:$K$50,2,))+(time_tot-MIN(20,time))-IF(E40="Exponential",time_tot-20+0.217*time*(EXP(4.606*(20-time_tot)/time)-1),((time_tot-20)^2)*(0.5/time))))))))), (L19+J19*M19)*D40),-$K19*((MIN($C40,D40)*MIN(20,time_tot))+IF(E40="Immediate",IF(D40&gt;$C40,(D40-$C40)*MIN(20,time_tot),0),IF($C40&gt;D40,($C40-D40)*IF(time&gt;20,IF(E40="Linear",time-((time-20)^2)/(2*time),(0.215*time)-(time/4.6)*(EXP(-92.1/time)-0.01)),time*(1-VLOOKUP(E40,list!$J$48:$K$50,2,))),(D40-$C40)*IF(time_tot&gt;time+20,20,IF(time_tot&lt;20,(time*VLOOKUP(E40,list!$J$48:$K$50,2,))+(time_tot-time),((MIN(20,time)*VLOOKUP(E40,list!$J$48:$K$50,2,))+(time_tot-MIN(20,time))-IF(E40="Exponential",time_tot-20+0.217*time*(EXP(4.606*(20-time_tot)/time)-1),((time_tot-20)^2)*(0.5/time)))))))))</f>
        <v/>
      </c>
      <c r="I40" s="3284">
        <f>IF(L19&lt;&gt;0,-1*MIN(($K19*((MIN($C40,F40)*MIN(20,time_tot))+IF(G40="Immediate",IF(F40&gt;$C40,(F40-$C40)*MIN(20,time_tot),0),IF($C40&gt;F40,($C40-F40)*IF(time&gt;20,IF(G40="Linear",time-((time-20)^2)/(2*time),(0.215*time)-(time/4.6)*(EXP(-92.1/time)-0.01)),time*(1-VLOOKUP(G40,list!$J$48:$K$50,2,))),(F40-$C40)*IF(time_tot&gt;time+20,20,IF(time_tot&lt;20,(time*VLOOKUP(G40,list!$J$48:$K$50,2,))+(time_tot-time),((MIN(20,time)*VLOOKUP(G40,list!$J$48:$K$50,2,))+(time_tot-MIN(20,time))-IF(G40="Exponential",time_tot-20+0.217*time*(EXP(4.606*(20-time_tot)/time)-1),((time_tot-20)^2)*(0.5/time))))))))), (L19+J19*M19)*F40), -$K19*((MIN($C40,F40)*MIN(20,time_tot))+IF(G40="Immediate",IF(F40&gt;$C40,(F40-$C40)*MIN(20,time_tot),0),IF($C40&gt;F40,($C40-F40)*IF(time&gt;20,IF(G40="Linear",time-((time-20)^2)/(2*time),(0.215*time)-(time/4.6)*(EXP(-92.1/time)-0.01)),time*(1-VLOOKUP(G40,list!$J$48:$K$50,2,))),(F40-$C40)*IF(time_tot&gt;time+20,20,IF(time_tot&lt;20,(time*VLOOKUP(G40,list!$J$48:$K$50,2,))+(time_tot-time),((MIN(20,time)*VLOOKUP(G40,list!$J$48:$K$50,2,))+(time_tot-MIN(20,time))-IF(G40="Exponential",time_tot-20+0.217*time*(EXP(4.606*(20-time_tot)/time)-1),((time_tot-20)^2)*(0.5/time)))))))))</f>
        <v/>
      </c>
      <c r="J40" s="3285">
        <f>IF(ABS(-$U19*((MIN($C40,D40)*MIN(20,time_tot))+IF(E40="Immediate",IF(D40&gt;$C40,(D40-$C40)*MIN(20,time_tot),0),IF($C40&gt;D40,($C40-D40)*IF(time&gt;20,IF(E40="Linear",time-((time-20)^2)/(2*time),(0.215*time)-(time/4.6)*(EXP(-92.1/time)-0.01)),time*(1-VLOOKUP(E40, list!$J$48:$K$50,2,))),(D40-$C40)*IF(time_tot&gt;time+20,20,IF(time_tot&lt;20,(time*VLOOKUP(E40, list!$J$48:$K$50,2,))+(time_tot-time),((MIN(20,time)*VLOOKUP(E40, list!$J$48:$K$50,2,))+(time_tot-MIN(20,time))-IF(E40="Exponential",time_tot-20+0.217*time*(EXP(4.606*(20-time_tot)/time)-1),((time_tot-20)^2)*(0.5/time)))))))))&gt;=ABS(T19*MAX(C40,D40)),-T19*MAX(C40,D40),-$U19*((MIN($C40,D40)*MIN(20,time_tot))+IF(E40="Immediate",IF(D40&gt;$C40,(D40-$C40)*MIN(20,time_tot),0),IF($C40&gt;D40,($C40-D40)*IF(time&gt;20,IF(E40="Linear",time-((time-20)^2)/(2*time),(0.215*time)-(time/4.6)*(EXP(-92.1/time)-0.01)),time*(1-VLOOKUP(E40, list!$J$48:$K$50,2,))),(D40-$C40)*IF(time_tot&gt;time+20,20,IF(time_tot&lt;20,(time*VLOOKUP(E40, list!$J$48:$K$50,2,))+(time_tot-time),((MIN(20,time)*VLOOKUP(E40, list!$J$48:$K$50,2,))+(time_tot-MIN(20,time))-IF(E40="Exponential",time_tot-20+0.217*time*(EXP(4.606*(20-time_tot)/time)-1),((time_tot-20)^2)*(0.5/time)))))))))</f>
        <v/>
      </c>
      <c r="K40" s="3285">
        <f>IF(ABS(-$U19*((MIN($C40,F40)*MIN(20,time_tot))+IF(G40="Immediate",IF(F40&gt;$C40,(F40-$C40)*MIN(20,time_tot),0),IF($C40&gt;F40,($C40-F40)*IF(time&gt;20,IF(G40="Linear",time-((time-20)^2)/(2*time),(0.215*time)-(time/4.6)*(EXP(-92.1/time)-0.01)),time*(1-VLOOKUP(G40, list!$J$48:$K$50,2,))),(F40-$C40)*IF(time_tot&gt;time+20,20,IF(time_tot&lt;20,(time*VLOOKUP(G40, list!$J$48:$K$50,2,))+(time_tot-time),((MIN(20,time)*VLOOKUP(G40, list!$J$48:$K$50,2,))+(time_tot-MIN(20,time))-IF(G40="Exponential",time_tot-20+0.217*time*(EXP(4.606*(20-time_tot)/time)-1),((time_tot-20)^2)*(0.5/time)))))))))&gt;=ABS(T19*MAX(F40,C40)),-T19*MAX(F40,C40), -$U19*((MIN($C40,F40)*MIN(20,time_tot))+IF(G40="Immediate",IF(F40&gt;$C40,(F40-$C40)*MIN(20,time_tot),0),IF($C40&gt;F40,($C40-F40)*IF(time&gt;20,IF(G40="Linear",time-((time-20)^2)/(2*time),(0.215*time)-(time/4.6)*(EXP(-92.1/time)-0.01)),time*(1-VLOOKUP(G40, list!$J$48:$K$50,2,))),(F40-$C40)*IF(time_tot&gt;time+20,20,IF(time_tot&lt;20,(time*VLOOKUP(G40, list!$J$48:$K$50,2,))+(time_tot-time),((MIN(20,time)*VLOOKUP(G40, list!$J$48:$K$50,2,))+(time_tot-MIN(20,time))-IF(G40="Exponential",time_tot-20+0.217*time*(EXP(4.606*(20-time_tot)/time)-1),((time_tot-20)^2)*(0.5/time)))))))))</f>
        <v/>
      </c>
      <c r="L40" s="3269">
        <f>(MIN(C40,D40)*time_tot+ABS(D40-C40)*IF(D40&gt;C40,time_cap+time*(VLOOKUP(E40, list!$J$48:$K$50,2,)),time*(1-(VLOOKUP(E40, list!$J$48:$K$50,2,)))))*$X19</f>
        <v/>
      </c>
      <c r="M40" s="3269">
        <f>(MIN(C40,F40)*time_tot+ABS(F40-C40)*IF(F40&gt;C40, time_cap+time*(VLOOKUP(G40,  list!$J$48:$K$50,2,)),time*(1-(VLOOKUP(G40, list!$J$48:$K$50,2,)))))*$X19</f>
        <v/>
      </c>
      <c r="N40" s="3285">
        <f>IF(S19&lt;O19*P19,(O19*P19-S19)/20/10*1000*N2O_N_conversion/1000*((MIN($C40,D40)*MIN(20,time_tot))+IF(E40="Immediate",IF(D40&gt;$C40,(D40-$C40)*MIN(20,time_tot),0),IF($C40&gt;D40,($C40-D40)*IF(time&gt;20,IF(E40="Linear",time-((time-20)^2)/(2*time),(0.215*time)-(time/4.6)*(EXP(-92.1/time)-0.01)),time*(1-VLOOKUP(E40, list!$J$48:$K$50,2,))),(D40-$C40)*IF(time_tot&gt;time+20,20,IF(time_tot&lt;20,(time*VLOOKUP(E40, list!$J$48:$K$50,2,))+(time_tot-time),((MIN(20,time)*VLOOKUP(E40, list!$J$48:$K$50,2,))+(time_tot-MIN(20,time))-IF(E40="Exponential",time_tot-20+0.217*time*(EXP(4.606*(20-time_tot)/time)-1),((time_tot-20)^2)*(0.5/time)))))))),0)</f>
        <v/>
      </c>
      <c r="O40" s="3285">
        <f>IF(S19&lt;O19*P19,(O19*P19-S19)/20/10*1000*N2O_N_conversion/1000*((MIN($C40,F40)*MIN(20,time_tot))+IF(G40="Immediate",IF(F40&gt;$C40,(F40-$C40)*MIN(20,time_tot),0),IF($C40&gt;F40,($C40-F40)*IF(time&gt;20,IF(G40="Linear",time-((time-20)^2)/(2*time),(0.215*time)-(time/4.6)*(EXP(-92.1/time)-0.01)),time*(1-VLOOKUP(G40, list!$J$48:$K$50,2,))),(F40-$C40)*IF(time_tot&gt;time+20,20,IF(time_tot&lt;20,(time*VLOOKUP(G40, list!$J$48:$K$50,2,))+(time_tot-time),((MIN(20,time)*VLOOKUP(G40, list!$J$48:$K$50,2,))+(time_tot-MIN(20,time))-IF(G40="Exponential",time_tot-20+0.217*time*(EXP(4.606*(20-time_tot)/time)-1),((time_tot-20)^2)*(0.5/time)))))))),0)</f>
        <v/>
      </c>
      <c r="P40" s="3269">
        <f>$H40+$J40+$L40+N40</f>
        <v/>
      </c>
      <c r="Q40" s="3269">
        <f>$I40+$K40+$M40+O40</f>
        <v/>
      </c>
      <c r="R40" s="3273">
        <f>Q40-P40</f>
        <v/>
      </c>
      <c r="U40" s="3734">
        <f>$Y19*(time*((ABS(D40-C40)*(IF(C40&lt;=D40,VLOOKUP(E40, list!$J$48:$K$50,2,),1-VLOOKUP(E40, list!$J$48:$K$50,2,))))+MIN(D40,C40))+(D40*time_cap))</f>
        <v/>
      </c>
      <c r="V40" s="3735">
        <f>$Y19*(time*((ABS(F40-C40)*(IF(C40&lt;=F40,VLOOKUP(G40, list!$J$48:$K$50,2,),1-VLOOKUP(G40, list!$J$48:$K$50,2,))))+MIN(F40,C40))+(F40*time_cap))</f>
        <v/>
      </c>
      <c r="W40" s="3736">
        <f>V40-U40</f>
        <v/>
      </c>
      <c r="AA40" s="3233" t="inlineStr">
        <is>
          <t>N2O soil</t>
        </is>
      </c>
      <c r="AB40" s="3244">
        <f>SUM(N33:N46)</f>
        <v/>
      </c>
      <c r="AC40" s="3244">
        <f>SUM(O33:O46)</f>
        <v/>
      </c>
      <c r="AO40" s="4608">
        <f>IF(X20&gt;0, L41/$X20,0)/E20</f>
        <v/>
      </c>
      <c r="AP40" s="4608">
        <f>IF(X20&gt;0, M41/$X20,0)/E20</f>
        <v/>
      </c>
    </row>
    <row r="41">
      <c r="B41" s="4581">
        <f>B20</f>
        <v/>
      </c>
      <c r="C41" s="3283">
        <f>'3.Cropland'!Q70</f>
        <v/>
      </c>
      <c r="D41" s="3283">
        <f>'3.Cropland'!R70</f>
        <v/>
      </c>
      <c r="E41" s="3283">
        <f>VLOOKUP('3.Cropland'!S70, list!$I$48:$J$50, 2, FALSE)</f>
        <v/>
      </c>
      <c r="F41" s="3283">
        <f>'3.Cropland'!T70</f>
        <v/>
      </c>
      <c r="G41" s="3283">
        <f>VLOOKUP('3.Cropland'!U70, list!$I$48:$J$50, 2, FALSE)</f>
        <v/>
      </c>
      <c r="H41" s="3284">
        <f>IF(L20&lt;&gt;0,-1*MIN(($K20*((MIN($C41,D41)*MIN(20,time_tot))+IF(E41="Immediate",IF(D41&gt;$C41,(D41-$C41)*MIN(20,time_tot),0),IF($C41&gt;D41,($C41-D41)*IF(time&gt;20,IF(E41="Linear",time-((time-20)^2)/(2*time),(0.215*time)-(time/4.6)*(EXP(-92.1/time)-0.01)),time*(1-VLOOKUP(E41,list!$J$48:$K$50,2,))),(D41-$C41)*IF(time_tot&gt;time+20,20,IF(time_tot&lt;20,(time*VLOOKUP(E41,list!$J$48:$K$50,2,))+(time_tot-time),((MIN(20,time)*VLOOKUP(E41,list!$J$48:$K$50,2,))+(time_tot-MIN(20,time))-IF(E41="Exponential",time_tot-20+0.217*time*(EXP(4.606*(20-time_tot)/time)-1),((time_tot-20)^2)*(0.5/time))))))))), (L20+J20*M20)*D41),-$K20*((MIN($C41,D41)*MIN(20,time_tot))+IF(E41="Immediate",IF(D41&gt;$C41,(D41-$C41)*MIN(20,time_tot),0),IF($C41&gt;D41,($C41-D41)*IF(time&gt;20,IF(E41="Linear",time-((time-20)^2)/(2*time),(0.215*time)-(time/4.6)*(EXP(-92.1/time)-0.01)),time*(1-VLOOKUP(E41,list!$J$48:$K$50,2,))),(D41-$C41)*IF(time_tot&gt;time+20,20,IF(time_tot&lt;20,(time*VLOOKUP(E41,list!$J$48:$K$50,2,))+(time_tot-time),((MIN(20,time)*VLOOKUP(E41,list!$J$48:$K$50,2,))+(time_tot-MIN(20,time))-IF(E41="Exponential",time_tot-20+0.217*time*(EXP(4.606*(20-time_tot)/time)-1),((time_tot-20)^2)*(0.5/time)))))))))</f>
        <v/>
      </c>
      <c r="I41" s="3284">
        <f>IF(L20&lt;&gt;0,-1*MIN(($K20*((MIN($C41,F41)*MIN(20,time_tot))+IF(G41="Immediate",IF(F41&gt;$C41,(F41-$C41)*MIN(20,time_tot),0),IF($C41&gt;F41,($C41-F41)*IF(time&gt;20,IF(G41="Linear",time-((time-20)^2)/(2*time),(0.215*time)-(time/4.6)*(EXP(-92.1/time)-0.01)),time*(1-VLOOKUP(G41,list!$J$48:$K$50,2,))),(F41-$C41)*IF(time_tot&gt;time+20,20,IF(time_tot&lt;20,(time*VLOOKUP(G41,list!$J$48:$K$50,2,))+(time_tot-time),((MIN(20,time)*VLOOKUP(G41,list!$J$48:$K$50,2,))+(time_tot-MIN(20,time))-IF(G41="Exponential",time_tot-20+0.217*time*(EXP(4.606*(20-time_tot)/time)-1),((time_tot-20)^2)*(0.5/time))))))))), (L20+J20*M20)*F41), -$K20*((MIN($C41,F41)*MIN(20,time_tot))+IF(G41="Immediate",IF(F41&gt;$C41,(F41-$C41)*MIN(20,time_tot),0),IF($C41&gt;F41,($C41-F41)*IF(time&gt;20,IF(G41="Linear",time-((time-20)^2)/(2*time),(0.215*time)-(time/4.6)*(EXP(-92.1/time)-0.01)),time*(1-VLOOKUP(G41,list!$J$48:$K$50,2,))),(F41-$C41)*IF(time_tot&gt;time+20,20,IF(time_tot&lt;20,(time*VLOOKUP(G41,list!$J$48:$K$50,2,))+(time_tot-time),((MIN(20,time)*VLOOKUP(G41,list!$J$48:$K$50,2,))+(time_tot-MIN(20,time))-IF(G41="Exponential",time_tot-20+0.217*time*(EXP(4.606*(20-time_tot)/time)-1),((time_tot-20)^2)*(0.5/time)))))))))</f>
        <v/>
      </c>
      <c r="J41" s="3285">
        <f>IF(ABS(-$U20*((MIN($C41,D41)*MIN(20,time_tot))+IF(E41="Immediate",IF(D41&gt;$C41,(D41-$C41)*MIN(20,time_tot),0),IF($C41&gt;D41,($C41-D41)*IF(time&gt;20,IF(E41="Linear",time-((time-20)^2)/(2*time),(0.215*time)-(time/4.6)*(EXP(-92.1/time)-0.01)),time*(1-VLOOKUP(E41, list!$J$48:$K$50,2,))),(D41-$C41)*IF(time_tot&gt;time+20,20,IF(time_tot&lt;20,(time*VLOOKUP(E41, list!$J$48:$K$50,2,))+(time_tot-time),((MIN(20,time)*VLOOKUP(E41, list!$J$48:$K$50,2,))+(time_tot-MIN(20,time))-IF(E41="Exponential",time_tot-20+0.217*time*(EXP(4.606*(20-time_tot)/time)-1),((time_tot-20)^2)*(0.5/time)))))))))&gt;=ABS(T20*MAX(C41,D41)),-T20*MAX(C41,D41),-$U20*((MIN($C41,D41)*MIN(20,time_tot))+IF(E41="Immediate",IF(D41&gt;$C41,(D41-$C41)*MIN(20,time_tot),0),IF($C41&gt;D41,($C41-D41)*IF(time&gt;20,IF(E41="Linear",time-((time-20)^2)/(2*time),(0.215*time)-(time/4.6)*(EXP(-92.1/time)-0.01)),time*(1-VLOOKUP(E41, list!$J$48:$K$50,2,))),(D41-$C41)*IF(time_tot&gt;time+20,20,IF(time_tot&lt;20,(time*VLOOKUP(E41, list!$J$48:$K$50,2,))+(time_tot-time),((MIN(20,time)*VLOOKUP(E41, list!$J$48:$K$50,2,))+(time_tot-MIN(20,time))-IF(E41="Exponential",time_tot-20+0.217*time*(EXP(4.606*(20-time_tot)/time)-1),((time_tot-20)^2)*(0.5/time)))))))))</f>
        <v/>
      </c>
      <c r="K41" s="3285">
        <f>IF(ABS(-$U20*((MIN($C41,F41)*MIN(20,time_tot))+IF(G41="Immediate",IF(F41&gt;$C41,(F41-$C41)*MIN(20,time_tot),0),IF($C41&gt;F41,($C41-F41)*IF(time&gt;20,IF(G41="Linear",time-((time-20)^2)/(2*time),(0.215*time)-(time/4.6)*(EXP(-92.1/time)-0.01)),time*(1-VLOOKUP(G41, list!$J$48:$K$50,2,))),(F41-$C41)*IF(time_tot&gt;time+20,20,IF(time_tot&lt;20,(time*VLOOKUP(G41, list!$J$48:$K$50,2,))+(time_tot-time),((MIN(20,time)*VLOOKUP(G41, list!$J$48:$K$50,2,))+(time_tot-MIN(20,time))-IF(G41="Exponential",time_tot-20+0.217*time*(EXP(4.606*(20-time_tot)/time)-1),((time_tot-20)^2)*(0.5/time)))))))))&gt;=ABS(T20*MAX(F41,C41)),-T20*MAX(F41,C41), -$U20*((MIN($C41,F41)*MIN(20,time_tot))+IF(G41="Immediate",IF(F41&gt;$C41,(F41-$C41)*MIN(20,time_tot),0),IF($C41&gt;F41,($C41-F41)*IF(time&gt;20,IF(G41="Linear",time-((time-20)^2)/(2*time),(0.215*time)-(time/4.6)*(EXP(-92.1/time)-0.01)),time*(1-VLOOKUP(G41, list!$J$48:$K$50,2,))),(F41-$C41)*IF(time_tot&gt;time+20,20,IF(time_tot&lt;20,(time*VLOOKUP(G41, list!$J$48:$K$50,2,))+(time_tot-time),((MIN(20,time)*VLOOKUP(G41, list!$J$48:$K$50,2,))+(time_tot-MIN(20,time))-IF(G41="Exponential",time_tot-20+0.217*time*(EXP(4.606*(20-time_tot)/time)-1),((time_tot-20)^2)*(0.5/time)))))))))</f>
        <v/>
      </c>
      <c r="L41" s="3269">
        <f>(MIN(C41,D41)*time_tot+ABS(D41-C41)*IF(D41&gt;C41,time_cap+time*(VLOOKUP(E41, list!$J$48:$K$50,2,)),time*(1-(VLOOKUP(E41, list!$J$48:$K$50,2,)))))*$X20</f>
        <v/>
      </c>
      <c r="M41" s="3269">
        <f>(MIN(C41,F41)*time_tot+ABS(F41-C41)*IF(F41&gt;C41, time_cap+time*(VLOOKUP(G41,  list!$J$48:$K$50,2,)),time*(1-(VLOOKUP(G41, list!$J$48:$K$50,2,)))))*$X20</f>
        <v/>
      </c>
      <c r="N41" s="3285">
        <f>IF(S20&lt;O20*P20,(O20*P20-S20)/20/10*1000*N2O_N_conversion/1000*((MIN($C41,D41)*MIN(20,time_tot))+IF(E41="Immediate",IF(D41&gt;$C41,(D41-$C41)*MIN(20,time_tot),0),IF($C41&gt;D41,($C41-D41)*IF(time&gt;20,IF(E41="Linear",time-((time-20)^2)/(2*time),(0.215*time)-(time/4.6)*(EXP(-92.1/time)-0.01)),time*(1-VLOOKUP(E41, list!$J$48:$K$50,2,))),(D41-$C41)*IF(time_tot&gt;time+20,20,IF(time_tot&lt;20,(time*VLOOKUP(E41, list!$J$48:$K$50,2,))+(time_tot-time),((MIN(20,time)*VLOOKUP(E41, list!$J$48:$K$50,2,))+(time_tot-MIN(20,time))-IF(E41="Exponential",time_tot-20+0.217*time*(EXP(4.606*(20-time_tot)/time)-1),((time_tot-20)^2)*(0.5/time)))))))),0)</f>
        <v/>
      </c>
      <c r="O41" s="3285">
        <f>IF(S20&lt;O20*P20,(O20*P20-S20)/20/10*1000*N2O_N_conversion/1000*((MIN($C41,F41)*MIN(20,time_tot))+IF(G41="Immediate",IF(F41&gt;$C41,(F41-$C41)*MIN(20,time_tot),0),IF($C41&gt;F41,($C41-F41)*IF(time&gt;20,IF(G41="Linear",time-((time-20)^2)/(2*time),(0.215*time)-(time/4.6)*(EXP(-92.1/time)-0.01)),time*(1-VLOOKUP(G41, list!$J$48:$K$50,2,))),(F41-$C41)*IF(time_tot&gt;time+20,20,IF(time_tot&lt;20,(time*VLOOKUP(G41, list!$J$48:$K$50,2,))+(time_tot-time),((MIN(20,time)*VLOOKUP(G41, list!$J$48:$K$50,2,))+(time_tot-MIN(20,time))-IF(G41="Exponential",time_tot-20+0.217*time*(EXP(4.606*(20-time_tot)/time)-1),((time_tot-20)^2)*(0.5/time)))))))),0)</f>
        <v/>
      </c>
      <c r="P41" s="3269">
        <f>$H41+$J41+$L41+N41</f>
        <v/>
      </c>
      <c r="Q41" s="3269">
        <f>$I41+$K41+$M41+O41</f>
        <v/>
      </c>
      <c r="R41" s="3273">
        <f>Q41-P41</f>
        <v/>
      </c>
      <c r="U41" s="3734">
        <f>$Y20*(time*((ABS(D41-C41)*(IF(C41&lt;=D41,VLOOKUP(E41, list!$J$48:$K$50,2,),1-VLOOKUP(E41, list!$J$48:$K$50,2,))))+MIN(D41,C41))+(D41*time_cap))</f>
        <v/>
      </c>
      <c r="V41" s="3735">
        <f>$Y20*(time*((ABS(F41-C41)*(IF(C41&lt;=F41,VLOOKUP(G41, list!$J$48:$K$50,2,),1-VLOOKUP(G41, list!$J$48:$K$50,2,))))+MIN(F41,C41))+(F41*time_cap))</f>
        <v/>
      </c>
      <c r="W41" s="3736">
        <f>V41-U41</f>
        <v/>
      </c>
      <c r="AA41" s="3233" t="inlineStr">
        <is>
          <t>CH4 fire</t>
        </is>
      </c>
      <c r="AB41" s="3237">
        <f>SUM(AI12:AI25)</f>
        <v/>
      </c>
      <c r="AC41" s="3238">
        <f>SUM(AJ12:AJ25)</f>
        <v/>
      </c>
      <c r="AO41" s="4608">
        <f>IF(X21&gt;0, L42/$X21,0)/E21</f>
        <v/>
      </c>
      <c r="AP41" s="4608">
        <f>IF(X21&gt;0, M42/$X21,0)/E21</f>
        <v/>
      </c>
    </row>
    <row r="42">
      <c r="B42" s="4581">
        <f>B21</f>
        <v/>
      </c>
      <c r="C42" s="3283">
        <f>'3.Cropland'!Q71</f>
        <v/>
      </c>
      <c r="D42" s="3283">
        <f>'3.Cropland'!R71</f>
        <v/>
      </c>
      <c r="E42" s="3283">
        <f>VLOOKUP('3.Cropland'!S71, list!$I$48:$J$50, 2, FALSE)</f>
        <v/>
      </c>
      <c r="F42" s="3283">
        <f>'3.Cropland'!T71</f>
        <v/>
      </c>
      <c r="G42" s="3283">
        <f>VLOOKUP('3.Cropland'!U71, list!$I$48:$J$50, 2, FALSE)</f>
        <v/>
      </c>
      <c r="H42" s="3284">
        <f>IF(L21&lt;&gt;0,-1*MIN(($K21*((MIN($C42,D42)*MIN(20,time_tot))+IF(E42="Immediate",IF(D42&gt;$C42,(D42-$C42)*MIN(20,time_tot),0),IF($C42&gt;D42,($C42-D42)*IF(time&gt;20,IF(E42="Linear",time-((time-20)^2)/(2*time),(0.215*time)-(time/4.6)*(EXP(-92.1/time)-0.01)),time*(1-VLOOKUP(E42,list!$J$48:$K$50,2,))),(D42-$C42)*IF(time_tot&gt;time+20,20,IF(time_tot&lt;20,(time*VLOOKUP(E42,list!$J$48:$K$50,2,))+(time_tot-time),((MIN(20,time)*VLOOKUP(E42,list!$J$48:$K$50,2,))+(time_tot-MIN(20,time))-IF(E42="Exponential",time_tot-20+0.217*time*(EXP(4.606*(20-time_tot)/time)-1),((time_tot-20)^2)*(0.5/time))))))))), (L21+J21*M21)*D42),-$K21*((MIN($C42,D42)*MIN(20,time_tot))+IF(E42="Immediate",IF(D42&gt;$C42,(D42-$C42)*MIN(20,time_tot),0),IF($C42&gt;D42,($C42-D42)*IF(time&gt;20,IF(E42="Linear",time-((time-20)^2)/(2*time),(0.215*time)-(time/4.6)*(EXP(-92.1/time)-0.01)),time*(1-VLOOKUP(E42,list!$J$48:$K$50,2,))),(D42-$C42)*IF(time_tot&gt;time+20,20,IF(time_tot&lt;20,(time*VLOOKUP(E42,list!$J$48:$K$50,2,))+(time_tot-time),((MIN(20,time)*VLOOKUP(E42,list!$J$48:$K$50,2,))+(time_tot-MIN(20,time))-IF(E42="Exponential",time_tot-20+0.217*time*(EXP(4.606*(20-time_tot)/time)-1),((time_tot-20)^2)*(0.5/time)))))))))</f>
        <v/>
      </c>
      <c r="I42" s="3284">
        <f>IF(L21&lt;&gt;0,-1*MIN(($K21*((MIN($C42,F42)*MIN(20,time_tot))+IF(G42="Immediate",IF(F42&gt;$C42,(F42-$C42)*MIN(20,time_tot),0),IF($C42&gt;F42,($C42-F42)*IF(time&gt;20,IF(G42="Linear",time-((time-20)^2)/(2*time),(0.215*time)-(time/4.6)*(EXP(-92.1/time)-0.01)),time*(1-VLOOKUP(G42,list!$J$48:$K$50,2,))),(F42-$C42)*IF(time_tot&gt;time+20,20,IF(time_tot&lt;20,(time*VLOOKUP(G42,list!$J$48:$K$50,2,))+(time_tot-time),((MIN(20,time)*VLOOKUP(G42,list!$J$48:$K$50,2,))+(time_tot-MIN(20,time))-IF(G42="Exponential",time_tot-20+0.217*time*(EXP(4.606*(20-time_tot)/time)-1),((time_tot-20)^2)*(0.5/time))))))))), (L21+J21*M21)*F42), -$K21*((MIN($C42,F42)*MIN(20,time_tot))+IF(G42="Immediate",IF(F42&gt;$C42,(F42-$C42)*MIN(20,time_tot),0),IF($C42&gt;F42,($C42-F42)*IF(time&gt;20,IF(G42="Linear",time-((time-20)^2)/(2*time),(0.215*time)-(time/4.6)*(EXP(-92.1/time)-0.01)),time*(1-VLOOKUP(G42,list!$J$48:$K$50,2,))),(F42-$C42)*IF(time_tot&gt;time+20,20,IF(time_tot&lt;20,(time*VLOOKUP(G42,list!$J$48:$K$50,2,))+(time_tot-time),((MIN(20,time)*VLOOKUP(G42,list!$J$48:$K$50,2,))+(time_tot-MIN(20,time))-IF(G42="Exponential",time_tot-20+0.217*time*(EXP(4.606*(20-time_tot)/time)-1),((time_tot-20)^2)*(0.5/time)))))))))</f>
        <v/>
      </c>
      <c r="J42" s="3285">
        <f>IF(ABS(-$U21*((MIN($C42,D42)*MIN(20,time_tot))+IF(E42="Immediate",IF(D42&gt;$C42,(D42-$C42)*MIN(20,time_tot),0),IF($C42&gt;D42,($C42-D42)*IF(time&gt;20,IF(E42="Linear",time-((time-20)^2)/(2*time),(0.215*time)-(time/4.6)*(EXP(-92.1/time)-0.01)),time*(1-VLOOKUP(E42, list!$J$48:$K$50,2,))),(D42-$C42)*IF(time_tot&gt;time+20,20,IF(time_tot&lt;20,(time*VLOOKUP(E42, list!$J$48:$K$50,2,))+(time_tot-time),((MIN(20,time)*VLOOKUP(E42, list!$J$48:$K$50,2,))+(time_tot-MIN(20,time))-IF(E42="Exponential",time_tot-20+0.217*time*(EXP(4.606*(20-time_tot)/time)-1),((time_tot-20)^2)*(0.5/time)))))))))&gt;=ABS(T21*MAX(C42,D42)),-T21*MAX(C42,D42),-$U21*((MIN($C42,D42)*MIN(20,time_tot))+IF(E42="Immediate",IF(D42&gt;$C42,(D42-$C42)*MIN(20,time_tot),0),IF($C42&gt;D42,($C42-D42)*IF(time&gt;20,IF(E42="Linear",time-((time-20)^2)/(2*time),(0.215*time)-(time/4.6)*(EXP(-92.1/time)-0.01)),time*(1-VLOOKUP(E42, list!$J$48:$K$50,2,))),(D42-$C42)*IF(time_tot&gt;time+20,20,IF(time_tot&lt;20,(time*VLOOKUP(E42, list!$J$48:$K$50,2,))+(time_tot-time),((MIN(20,time)*VLOOKUP(E42, list!$J$48:$K$50,2,))+(time_tot-MIN(20,time))-IF(E42="Exponential",time_tot-20+0.217*time*(EXP(4.606*(20-time_tot)/time)-1),((time_tot-20)^2)*(0.5/time)))))))))</f>
        <v/>
      </c>
      <c r="K42" s="3285">
        <f>IF(ABS(-$U21*((MIN($C42,F42)*MIN(20,time_tot))+IF(G42="Immediate",IF(F42&gt;$C42,(F42-$C42)*MIN(20,time_tot),0),IF($C42&gt;F42,($C42-F42)*IF(time&gt;20,IF(G42="Linear",time-((time-20)^2)/(2*time),(0.215*time)-(time/4.6)*(EXP(-92.1/time)-0.01)),time*(1-VLOOKUP(G42, list!$J$48:$K$50,2,))),(F42-$C42)*IF(time_tot&gt;time+20,20,IF(time_tot&lt;20,(time*VLOOKUP(G42, list!$J$48:$K$50,2,))+(time_tot-time),((MIN(20,time)*VLOOKUP(G42, list!$J$48:$K$50,2,))+(time_tot-MIN(20,time))-IF(G42="Exponential",time_tot-20+0.217*time*(EXP(4.606*(20-time_tot)/time)-1),((time_tot-20)^2)*(0.5/time)))))))))&gt;=ABS(T21*MAX(F42,C42)),-T21*MAX(F42,C42), -$U21*((MIN($C42,F42)*MIN(20,time_tot))+IF(G42="Immediate",IF(F42&gt;$C42,(F42-$C42)*MIN(20,time_tot),0),IF($C42&gt;F42,($C42-F42)*IF(time&gt;20,IF(G42="Linear",time-((time-20)^2)/(2*time),(0.215*time)-(time/4.6)*(EXP(-92.1/time)-0.01)),time*(1-VLOOKUP(G42, list!$J$48:$K$50,2,))),(F42-$C42)*IF(time_tot&gt;time+20,20,IF(time_tot&lt;20,(time*VLOOKUP(G42, list!$J$48:$K$50,2,))+(time_tot-time),((MIN(20,time)*VLOOKUP(G42, list!$J$48:$K$50,2,))+(time_tot-MIN(20,time))-IF(G42="Exponential",time_tot-20+0.217*time*(EXP(4.606*(20-time_tot)/time)-1),((time_tot-20)^2)*(0.5/time)))))))))</f>
        <v/>
      </c>
      <c r="L42" s="3269">
        <f>(MIN(C42,D42)*time_tot+ABS(D42-C42)*IF(D42&gt;C42,time_cap+time*(VLOOKUP(E42, list!$J$48:$K$50,2,)),time*(1-(VLOOKUP(E42, list!$J$48:$K$50,2,)))))*$X21</f>
        <v/>
      </c>
      <c r="M42" s="3269">
        <f>(MIN(C42,F42)*time_tot+ABS(F42-C42)*IF(F42&gt;C42, time_cap+time*(VLOOKUP(G42,  list!$J$48:$K$50,2,)),time*(1-(VLOOKUP(G42, list!$J$48:$K$50,2,)))))*$X21</f>
        <v/>
      </c>
      <c r="N42" s="3285">
        <f>IF(S21&lt;O21*P21,(O21*P21-S21)/20/10*1000*N2O_N_conversion/1000*((MIN($C42,D42)*MIN(20,time_tot))+IF(E42="Immediate",IF(D42&gt;$C42,(D42-$C42)*MIN(20,time_tot),0),IF($C42&gt;D42,($C42-D42)*IF(time&gt;20,IF(E42="Linear",time-((time-20)^2)/(2*time),(0.215*time)-(time/4.6)*(EXP(-92.1/time)-0.01)),time*(1-VLOOKUP(E42, list!$J$48:$K$50,2,))),(D42-$C42)*IF(time_tot&gt;time+20,20,IF(time_tot&lt;20,(time*VLOOKUP(E42, list!$J$48:$K$50,2,))+(time_tot-time),((MIN(20,time)*VLOOKUP(E42, list!$J$48:$K$50,2,))+(time_tot-MIN(20,time))-IF(E42="Exponential",time_tot-20+0.217*time*(EXP(4.606*(20-time_tot)/time)-1),((time_tot-20)^2)*(0.5/time)))))))),0)</f>
        <v/>
      </c>
      <c r="O42" s="3285">
        <f>IF(S21&lt;O21*P21,(O21*P21-S21)/20/10*1000*N2O_N_conversion/1000*((MIN($C42,F42)*MIN(20,time_tot))+IF(G42="Immediate",IF(F42&gt;$C42,(F42-$C42)*MIN(20,time_tot),0),IF($C42&gt;F42,($C42-F42)*IF(time&gt;20,IF(G42="Linear",time-((time-20)^2)/(2*time),(0.215*time)-(time/4.6)*(EXP(-92.1/time)-0.01)),time*(1-VLOOKUP(G42, list!$J$48:$K$50,2,))),(F42-$C42)*IF(time_tot&gt;time+20,20,IF(time_tot&lt;20,(time*VLOOKUP(G42, list!$J$48:$K$50,2,))+(time_tot-time),((MIN(20,time)*VLOOKUP(G42, list!$J$48:$K$50,2,))+(time_tot-MIN(20,time))-IF(G42="Exponential",time_tot-20+0.217*time*(EXP(4.606*(20-time_tot)/time)-1),((time_tot-20)^2)*(0.5/time)))))))),0)</f>
        <v/>
      </c>
      <c r="P42" s="3269">
        <f>$H42+$J42+$L42+N42</f>
        <v/>
      </c>
      <c r="Q42" s="3269">
        <f>$I42+$K42+$M42+O42</f>
        <v/>
      </c>
      <c r="R42" s="3273">
        <f>Q42-P42</f>
        <v/>
      </c>
      <c r="U42" s="3734">
        <f>$Y21*(time*((ABS(D42-C42)*(IF(C42&lt;=D42,VLOOKUP(E42, list!$J$48:$K$50,2,),1-VLOOKUP(E42, list!$J$48:$K$50,2,))))+MIN(D42,C42))+(D42*time_cap))</f>
        <v/>
      </c>
      <c r="V42" s="3735">
        <f>$Y21*(time*((ABS(F42-C42)*(IF(C42&lt;=F42,VLOOKUP(G42, list!$J$48:$K$50,2,),1-VLOOKUP(G42, list!$J$48:$K$50,2,))))+MIN(F42,C42))+(F42*time_cap))</f>
        <v/>
      </c>
      <c r="W42" s="3736">
        <f>V42-U42</f>
        <v/>
      </c>
      <c r="AA42" s="3233" t="inlineStr">
        <is>
          <t>N2O fire</t>
        </is>
      </c>
      <c r="AB42" s="3240">
        <f>SUM(AK12:AK25)</f>
        <v/>
      </c>
      <c r="AC42" s="3241">
        <f>SUM(AL12:AL25)</f>
        <v/>
      </c>
      <c r="AO42" s="4608">
        <f>IF(X22&gt;0, L43/$X22,0)/E22</f>
        <v/>
      </c>
      <c r="AP42" s="4608">
        <f>IF(X22&gt;0, M43/$X22,0)/E22</f>
        <v/>
      </c>
    </row>
    <row r="43">
      <c r="B43" s="4581">
        <f>B22</f>
        <v/>
      </c>
      <c r="C43" s="3283">
        <f>'3.Cropland'!Q72</f>
        <v/>
      </c>
      <c r="D43" s="3283">
        <f>'3.Cropland'!R72</f>
        <v/>
      </c>
      <c r="E43" s="3283">
        <f>VLOOKUP('3.Cropland'!S72, list!$I$48:$J$50, 2, FALSE)</f>
        <v/>
      </c>
      <c r="F43" s="3283">
        <f>'3.Cropland'!T72</f>
        <v/>
      </c>
      <c r="G43" s="3283">
        <f>VLOOKUP('3.Cropland'!U72, list!$I$48:$J$50, 2, FALSE)</f>
        <v/>
      </c>
      <c r="H43" s="3284">
        <f>IF(L22&lt;&gt;0,-1*MIN(($K22*((MIN($C43,D43)*MIN(20,time_tot))+IF(E43="Immediate",IF(D43&gt;$C43,(D43-$C43)*MIN(20,time_tot),0),IF($C43&gt;D43,($C43-D43)*IF(time&gt;20,IF(E43="Linear",time-((time-20)^2)/(2*time),(0.215*time)-(time/4.6)*(EXP(-92.1/time)-0.01)),time*(1-VLOOKUP(E43,list!$J$48:$K$50,2,))),(D43-$C43)*IF(time_tot&gt;time+20,20,IF(time_tot&lt;20,(time*VLOOKUP(E43,list!$J$48:$K$50,2,))+(time_tot-time),((MIN(20,time)*VLOOKUP(E43,list!$J$48:$K$50,2,))+(time_tot-MIN(20,time))-IF(E43="Exponential",time_tot-20+0.217*time*(EXP(4.606*(20-time_tot)/time)-1),((time_tot-20)^2)*(0.5/time))))))))), (L22+J22*M22)*D43),-$K22*((MIN($C43,D43)*MIN(20,time_tot))+IF(E43="Immediate",IF(D43&gt;$C43,(D43-$C43)*MIN(20,time_tot),0),IF($C43&gt;D43,($C43-D43)*IF(time&gt;20,IF(E43="Linear",time-((time-20)^2)/(2*time),(0.215*time)-(time/4.6)*(EXP(-92.1/time)-0.01)),time*(1-VLOOKUP(E43,list!$J$48:$K$50,2,))),(D43-$C43)*IF(time_tot&gt;time+20,20,IF(time_tot&lt;20,(time*VLOOKUP(E43,list!$J$48:$K$50,2,))+(time_tot-time),((MIN(20,time)*VLOOKUP(E43,list!$J$48:$K$50,2,))+(time_tot-MIN(20,time))-IF(E43="Exponential",time_tot-20+0.217*time*(EXP(4.606*(20-time_tot)/time)-1),((time_tot-20)^2)*(0.5/time)))))))))</f>
        <v/>
      </c>
      <c r="I43" s="3284">
        <f>IF(L22&lt;&gt;0,-1*MIN(($K22*((MIN($C43,F43)*MIN(20,time_tot))+IF(G43="Immediate",IF(F43&gt;$C43,(F43-$C43)*MIN(20,time_tot),0),IF($C43&gt;F43,($C43-F43)*IF(time&gt;20,IF(G43="Linear",time-((time-20)^2)/(2*time),(0.215*time)-(time/4.6)*(EXP(-92.1/time)-0.01)),time*(1-VLOOKUP(G43,list!$J$48:$K$50,2,))),(F43-$C43)*IF(time_tot&gt;time+20,20,IF(time_tot&lt;20,(time*VLOOKUP(G43,list!$J$48:$K$50,2,))+(time_tot-time),((MIN(20,time)*VLOOKUP(G43,list!$J$48:$K$50,2,))+(time_tot-MIN(20,time))-IF(G43="Exponential",time_tot-20+0.217*time*(EXP(4.606*(20-time_tot)/time)-1),((time_tot-20)^2)*(0.5/time))))))))), (L22+J22*M22)*F43), -$K22*((MIN($C43,F43)*MIN(20,time_tot))+IF(G43="Immediate",IF(F43&gt;$C43,(F43-$C43)*MIN(20,time_tot),0),IF($C43&gt;F43,($C43-F43)*IF(time&gt;20,IF(G43="Linear",time-((time-20)^2)/(2*time),(0.215*time)-(time/4.6)*(EXP(-92.1/time)-0.01)),time*(1-VLOOKUP(G43,list!$J$48:$K$50,2,))),(F43-$C43)*IF(time_tot&gt;time+20,20,IF(time_tot&lt;20,(time*VLOOKUP(G43,list!$J$48:$K$50,2,))+(time_tot-time),((MIN(20,time)*VLOOKUP(G43,list!$J$48:$K$50,2,))+(time_tot-MIN(20,time))-IF(G43="Exponential",time_tot-20+0.217*time*(EXP(4.606*(20-time_tot)/time)-1),((time_tot-20)^2)*(0.5/time)))))))))</f>
        <v/>
      </c>
      <c r="J43" s="3285">
        <f>IF(ABS(-$U22*((MIN($C43,D43)*MIN(20,time_tot))+IF(E43="Immediate",IF(D43&gt;$C43,(D43-$C43)*MIN(20,time_tot),0),IF($C43&gt;D43,($C43-D43)*IF(time&gt;20,IF(E43="Linear",time-((time-20)^2)/(2*time),(0.215*time)-(time/4.6)*(EXP(-92.1/time)-0.01)),time*(1-VLOOKUP(E43, list!$J$48:$K$50,2,))),(D43-$C43)*IF(time_tot&gt;time+20,20,IF(time_tot&lt;20,(time*VLOOKUP(E43, list!$J$48:$K$50,2,))+(time_tot-time),((MIN(20,time)*VLOOKUP(E43, list!$J$48:$K$50,2,))+(time_tot-MIN(20,time))-IF(E43="Exponential",time_tot-20+0.217*time*(EXP(4.606*(20-time_tot)/time)-1),((time_tot-20)^2)*(0.5/time)))))))))&gt;=ABS(T22*MAX(C43,D43)),-T22*MAX(C43,D43),-$U22*((MIN($C43,D43)*MIN(20,time_tot))+IF(E43="Immediate",IF(D43&gt;$C43,(D43-$C43)*MIN(20,time_tot),0),IF($C43&gt;D43,($C43-D43)*IF(time&gt;20,IF(E43="Linear",time-((time-20)^2)/(2*time),(0.215*time)-(time/4.6)*(EXP(-92.1/time)-0.01)),time*(1-VLOOKUP(E43, list!$J$48:$K$50,2,))),(D43-$C43)*IF(time_tot&gt;time+20,20,IF(time_tot&lt;20,(time*VLOOKUP(E43, list!$J$48:$K$50,2,))+(time_tot-time),((MIN(20,time)*VLOOKUP(E43, list!$J$48:$K$50,2,))+(time_tot-MIN(20,time))-IF(E43="Exponential",time_tot-20+0.217*time*(EXP(4.606*(20-time_tot)/time)-1),((time_tot-20)^2)*(0.5/time)))))))))</f>
        <v/>
      </c>
      <c r="K43" s="3285">
        <f>IF(ABS(-$U22*((MIN($C43,F43)*MIN(20,time_tot))+IF(G43="Immediate",IF(F43&gt;$C43,(F43-$C43)*MIN(20,time_tot),0),IF($C43&gt;F43,($C43-F43)*IF(time&gt;20,IF(G43="Linear",time-((time-20)^2)/(2*time),(0.215*time)-(time/4.6)*(EXP(-92.1/time)-0.01)),time*(1-VLOOKUP(G43, list!$J$48:$K$50,2,))),(F43-$C43)*IF(time_tot&gt;time+20,20,IF(time_tot&lt;20,(time*VLOOKUP(G43, list!$J$48:$K$50,2,))+(time_tot-time),((MIN(20,time)*VLOOKUP(G43, list!$J$48:$K$50,2,))+(time_tot-MIN(20,time))-IF(G43="Exponential",time_tot-20+0.217*time*(EXP(4.606*(20-time_tot)/time)-1),((time_tot-20)^2)*(0.5/time)))))))))&gt;=ABS(T22*MAX(F43,C43)),-T22*MAX(F43,C43), -$U22*((MIN($C43,F43)*MIN(20,time_tot))+IF(G43="Immediate",IF(F43&gt;$C43,(F43-$C43)*MIN(20,time_tot),0),IF($C43&gt;F43,($C43-F43)*IF(time&gt;20,IF(G43="Linear",time-((time-20)^2)/(2*time),(0.215*time)-(time/4.6)*(EXP(-92.1/time)-0.01)),time*(1-VLOOKUP(G43, list!$J$48:$K$50,2,))),(F43-$C43)*IF(time_tot&gt;time+20,20,IF(time_tot&lt;20,(time*VLOOKUP(G43, list!$J$48:$K$50,2,))+(time_tot-time),((MIN(20,time)*VLOOKUP(G43, list!$J$48:$K$50,2,))+(time_tot-MIN(20,time))-IF(G43="Exponential",time_tot-20+0.217*time*(EXP(4.606*(20-time_tot)/time)-1),((time_tot-20)^2)*(0.5/time)))))))))</f>
        <v/>
      </c>
      <c r="L43" s="3269">
        <f>(MIN(C43,D43)*time_tot+ABS(D43-C43)*IF(D43&gt;C43,time_cap+time*(VLOOKUP(E43, list!$J$48:$K$50,2,)),time*(1-(VLOOKUP(E43, list!$J$48:$K$50,2,)))))*$X22</f>
        <v/>
      </c>
      <c r="M43" s="3269">
        <f>(MIN(C43,F43)*time_tot+ABS(F43-C43)*IF(F43&gt;C43, time_cap+time*(VLOOKUP(G43,  list!$J$48:$K$50,2,)),time*(1-(VLOOKUP(G43, list!$J$48:$K$50,2,)))))*$X22</f>
        <v/>
      </c>
      <c r="N43" s="3285">
        <f>IF(S22&lt;O22*P22,(O22*P22-S22)/20/10*1000*N2O_N_conversion/1000*((MIN($C43,D43)*MIN(20,time_tot))+IF(E43="Immediate",IF(D43&gt;$C43,(D43-$C43)*MIN(20,time_tot),0),IF($C43&gt;D43,($C43-D43)*IF(time&gt;20,IF(E43="Linear",time-((time-20)^2)/(2*time),(0.215*time)-(time/4.6)*(EXP(-92.1/time)-0.01)),time*(1-VLOOKUP(E43, list!$J$48:$K$50,2,))),(D43-$C43)*IF(time_tot&gt;time+20,20,IF(time_tot&lt;20,(time*VLOOKUP(E43, list!$J$48:$K$50,2,))+(time_tot-time),((MIN(20,time)*VLOOKUP(E43, list!$J$48:$K$50,2,))+(time_tot-MIN(20,time))-IF(E43="Exponential",time_tot-20+0.217*time*(EXP(4.606*(20-time_tot)/time)-1),((time_tot-20)^2)*(0.5/time)))))))),0)</f>
        <v/>
      </c>
      <c r="O43" s="3285">
        <f>IF(S22&lt;O22*P22,(O22*P22-S22)/20/10*1000*N2O_N_conversion/1000*((MIN($C43,F43)*MIN(20,time_tot))+IF(G43="Immediate",IF(F43&gt;$C43,(F43-$C43)*MIN(20,time_tot),0),IF($C43&gt;F43,($C43-F43)*IF(time&gt;20,IF(G43="Linear",time-((time-20)^2)/(2*time),(0.215*time)-(time/4.6)*(EXP(-92.1/time)-0.01)),time*(1-VLOOKUP(G43, list!$J$48:$K$50,2,))),(F43-$C43)*IF(time_tot&gt;time+20,20,IF(time_tot&lt;20,(time*VLOOKUP(G43, list!$J$48:$K$50,2,))+(time_tot-time),((MIN(20,time)*VLOOKUP(G43, list!$J$48:$K$50,2,))+(time_tot-MIN(20,time))-IF(G43="Exponential",time_tot-20+0.217*time*(EXP(4.606*(20-time_tot)/time)-1),((time_tot-20)^2)*(0.5/time)))))))),0)</f>
        <v/>
      </c>
      <c r="P43" s="3269">
        <f>$H43+$J43+$L43+N43</f>
        <v/>
      </c>
      <c r="Q43" s="3269">
        <f>$I43+$K43+$M43+O43</f>
        <v/>
      </c>
      <c r="R43" s="3273">
        <f>Q43-P43</f>
        <v/>
      </c>
      <c r="U43" s="3734">
        <f>$Y22*(time*((ABS(D43-C43)*(IF(C43&lt;=D43,VLOOKUP(E43, list!$J$48:$K$50,2,),1-VLOOKUP(E43, list!$J$48:$K$50,2,))))+MIN(D43,C43))+(D43*time_cap))</f>
        <v/>
      </c>
      <c r="V43" s="3735">
        <f>$Y22*(time*((ABS(F43-C43)*(IF(C43&lt;=F43,VLOOKUP(G43, list!$J$48:$K$50,2,),1-VLOOKUP(G43, list!$J$48:$K$50,2,))))+MIN(F43,C43))+(F43*time_cap))</f>
        <v/>
      </c>
      <c r="W43" s="3736">
        <f>V43-U43</f>
        <v/>
      </c>
      <c r="AA43" s="3230" t="inlineStr">
        <is>
          <t xml:space="preserve">Total </t>
        </is>
      </c>
      <c r="AB43" s="3243">
        <f>SUM(AB38:AB42)</f>
        <v/>
      </c>
      <c r="AC43" s="3243">
        <f>SUM(AC38:AC42)</f>
        <v/>
      </c>
      <c r="AD43" s="388" t="n"/>
      <c r="AO43" s="4608">
        <f>IF(X23&gt;0, L44/$X23,0)/E23</f>
        <v/>
      </c>
      <c r="AP43" s="4608">
        <f>IF(X23&gt;0, M44/$X23,0)/E23</f>
        <v/>
      </c>
    </row>
    <row r="44">
      <c r="B44" s="4581">
        <f>B23</f>
        <v/>
      </c>
      <c r="C44" s="3283">
        <f>'3.Cropland'!Q73</f>
        <v/>
      </c>
      <c r="D44" s="3283">
        <f>'3.Cropland'!R73</f>
        <v/>
      </c>
      <c r="E44" s="3283">
        <f>VLOOKUP('3.Cropland'!S73, list!$I$48:$J$50, 2, FALSE)</f>
        <v/>
      </c>
      <c r="F44" s="3283">
        <f>'3.Cropland'!T73</f>
        <v/>
      </c>
      <c r="G44" s="3283">
        <f>VLOOKUP('3.Cropland'!U73, list!$I$48:$J$50, 2, FALSE)</f>
        <v/>
      </c>
      <c r="H44" s="3284">
        <f>IF(L23&lt;&gt;0,-1*MIN(($K23*((MIN($C44,D44)*MIN(20,time_tot))+IF(E44="Immediate",IF(D44&gt;$C44,(D44-$C44)*MIN(20,time_tot),0),IF($C44&gt;D44,($C44-D44)*IF(time&gt;20,IF(E44="Linear",time-((time-20)^2)/(2*time),(0.215*time)-(time/4.6)*(EXP(-92.1/time)-0.01)),time*(1-VLOOKUP(E44,list!$J$48:$K$50,2,))),(D44-$C44)*IF(time_tot&gt;time+20,20,IF(time_tot&lt;20,(time*VLOOKUP(E44,list!$J$48:$K$50,2,))+(time_tot-time),((MIN(20,time)*VLOOKUP(E44,list!$J$48:$K$50,2,))+(time_tot-MIN(20,time))-IF(E44="Exponential",time_tot-20+0.217*time*(EXP(4.606*(20-time_tot)/time)-1),((time_tot-20)^2)*(0.5/time))))))))), (L23+J23*M23)*D44),-$K23*((MIN($C44,D44)*MIN(20,time_tot))+IF(E44="Immediate",IF(D44&gt;$C44,(D44-$C44)*MIN(20,time_tot),0),IF($C44&gt;D44,($C44-D44)*IF(time&gt;20,IF(E44="Linear",time-((time-20)^2)/(2*time),(0.215*time)-(time/4.6)*(EXP(-92.1/time)-0.01)),time*(1-VLOOKUP(E44,list!$J$48:$K$50,2,))),(D44-$C44)*IF(time_tot&gt;time+20,20,IF(time_tot&lt;20,(time*VLOOKUP(E44,list!$J$48:$K$50,2,))+(time_tot-time),((MIN(20,time)*VLOOKUP(E44,list!$J$48:$K$50,2,))+(time_tot-MIN(20,time))-IF(E44="Exponential",time_tot-20+0.217*time*(EXP(4.606*(20-time_tot)/time)-1),((time_tot-20)^2)*(0.5/time)))))))))</f>
        <v/>
      </c>
      <c r="I44" s="3284">
        <f>IF(L23&lt;&gt;0,-1*MIN(($K23*((MIN($C44,F44)*MIN(20,time_tot))+IF(G44="Immediate",IF(F44&gt;$C44,(F44-$C44)*MIN(20,time_tot),0),IF($C44&gt;F44,($C44-F44)*IF(time&gt;20,IF(G44="Linear",time-((time-20)^2)/(2*time),(0.215*time)-(time/4.6)*(EXP(-92.1/time)-0.01)),time*(1-VLOOKUP(G44,list!$J$48:$K$50,2,))),(F44-$C44)*IF(time_tot&gt;time+20,20,IF(time_tot&lt;20,(time*VLOOKUP(G44,list!$J$48:$K$50,2,))+(time_tot-time),((MIN(20,time)*VLOOKUP(G44,list!$J$48:$K$50,2,))+(time_tot-MIN(20,time))-IF(G44="Exponential",time_tot-20+0.217*time*(EXP(4.606*(20-time_tot)/time)-1),((time_tot-20)^2)*(0.5/time))))))))), (L23+J23*M23)*F44), -$K23*((MIN($C44,F44)*MIN(20,time_tot))+IF(G44="Immediate",IF(F44&gt;$C44,(F44-$C44)*MIN(20,time_tot),0),IF($C44&gt;F44,($C44-F44)*IF(time&gt;20,IF(G44="Linear",time-((time-20)^2)/(2*time),(0.215*time)-(time/4.6)*(EXP(-92.1/time)-0.01)),time*(1-VLOOKUP(G44,list!$J$48:$K$50,2,))),(F44-$C44)*IF(time_tot&gt;time+20,20,IF(time_tot&lt;20,(time*VLOOKUP(G44,list!$J$48:$K$50,2,))+(time_tot-time),((MIN(20,time)*VLOOKUP(G44,list!$J$48:$K$50,2,))+(time_tot-MIN(20,time))-IF(G44="Exponential",time_tot-20+0.217*time*(EXP(4.606*(20-time_tot)/time)-1),((time_tot-20)^2)*(0.5/time)))))))))</f>
        <v/>
      </c>
      <c r="J44" s="3285">
        <f>IF(ABS(-$U23*((MIN($C44,D44)*MIN(20,time_tot))+IF(E44="Immediate",IF(D44&gt;$C44,(D44-$C44)*MIN(20,time_tot),0),IF($C44&gt;D44,($C44-D44)*IF(time&gt;20,IF(E44="Linear",time-((time-20)^2)/(2*time),(0.215*time)-(time/4.6)*(EXP(-92.1/time)-0.01)),time*(1-VLOOKUP(E44, list!$J$48:$K$50,2,))),(D44-$C44)*IF(time_tot&gt;time+20,20,IF(time_tot&lt;20,(time*VLOOKUP(E44, list!$J$48:$K$50,2,))+(time_tot-time),((MIN(20,time)*VLOOKUP(E44, list!$J$48:$K$50,2,))+(time_tot-MIN(20,time))-IF(E44="Exponential",time_tot-20+0.217*time*(EXP(4.606*(20-time_tot)/time)-1),((time_tot-20)^2)*(0.5/time)))))))))&gt;=ABS(T23*MAX(C44,D44)),-T23*MAX(C44,D44),-$U23*((MIN($C44,D44)*MIN(20,time_tot))+IF(E44="Immediate",IF(D44&gt;$C44,(D44-$C44)*MIN(20,time_tot),0),IF($C44&gt;D44,($C44-D44)*IF(time&gt;20,IF(E44="Linear",time-((time-20)^2)/(2*time),(0.215*time)-(time/4.6)*(EXP(-92.1/time)-0.01)),time*(1-VLOOKUP(E44, list!$J$48:$K$50,2,))),(D44-$C44)*IF(time_tot&gt;time+20,20,IF(time_tot&lt;20,(time*VLOOKUP(E44, list!$J$48:$K$50,2,))+(time_tot-time),((MIN(20,time)*VLOOKUP(E44, list!$J$48:$K$50,2,))+(time_tot-MIN(20,time))-IF(E44="Exponential",time_tot-20+0.217*time*(EXP(4.606*(20-time_tot)/time)-1),((time_tot-20)^2)*(0.5/time)))))))))</f>
        <v/>
      </c>
      <c r="K44" s="3285">
        <f>IF(ABS(-$U23*((MIN($C44,F44)*MIN(20,time_tot))+IF(G44="Immediate",IF(F44&gt;$C44,(F44-$C44)*MIN(20,time_tot),0),IF($C44&gt;F44,($C44-F44)*IF(time&gt;20,IF(G44="Linear",time-((time-20)^2)/(2*time),(0.215*time)-(time/4.6)*(EXP(-92.1/time)-0.01)),time*(1-VLOOKUP(G44, list!$J$48:$K$50,2,))),(F44-$C44)*IF(time_tot&gt;time+20,20,IF(time_tot&lt;20,(time*VLOOKUP(G44, list!$J$48:$K$50,2,))+(time_tot-time),((MIN(20,time)*VLOOKUP(G44, list!$J$48:$K$50,2,))+(time_tot-MIN(20,time))-IF(G44="Exponential",time_tot-20+0.217*time*(EXP(4.606*(20-time_tot)/time)-1),((time_tot-20)^2)*(0.5/time)))))))))&gt;=ABS(T23*MAX(F44,C44)),-T23*MAX(F44,C44), -$U23*((MIN($C44,F44)*MIN(20,time_tot))+IF(G44="Immediate",IF(F44&gt;$C44,(F44-$C44)*MIN(20,time_tot),0),IF($C44&gt;F44,($C44-F44)*IF(time&gt;20,IF(G44="Linear",time-((time-20)^2)/(2*time),(0.215*time)-(time/4.6)*(EXP(-92.1/time)-0.01)),time*(1-VLOOKUP(G44, list!$J$48:$K$50,2,))),(F44-$C44)*IF(time_tot&gt;time+20,20,IF(time_tot&lt;20,(time*VLOOKUP(G44, list!$J$48:$K$50,2,))+(time_tot-time),((MIN(20,time)*VLOOKUP(G44, list!$J$48:$K$50,2,))+(time_tot-MIN(20,time))-IF(G44="Exponential",time_tot-20+0.217*time*(EXP(4.606*(20-time_tot)/time)-1),((time_tot-20)^2)*(0.5/time)))))))))</f>
        <v/>
      </c>
      <c r="L44" s="3269">
        <f>(MIN(C44,D44)*time_tot+ABS(D44-C44)*IF(D44&gt;C44,time_cap+time*(VLOOKUP(E44, list!$J$48:$K$50,2,)),time*(1-(VLOOKUP(E44, list!$J$48:$K$50,2,)))))*$X23</f>
        <v/>
      </c>
      <c r="M44" s="3269">
        <f>(MIN(C44,F44)*time_tot+ABS(F44-C44)*IF(F44&gt;C44, time_cap+time*(VLOOKUP(G44,  list!$J$48:$K$50,2,)),time*(1-(VLOOKUP(G44, list!$J$48:$K$50,2,)))))*$X23</f>
        <v/>
      </c>
      <c r="N44" s="3285">
        <f>IF(S23&lt;O23*P23,(O23*P23-S23)/20/10*1000*N2O_N_conversion/1000*((MIN($C44,D44)*MIN(20,time_tot))+IF(E44="Immediate",IF(D44&gt;$C44,(D44-$C44)*MIN(20,time_tot),0),IF($C44&gt;D44,($C44-D44)*IF(time&gt;20,IF(E44="Linear",time-((time-20)^2)/(2*time),(0.215*time)-(time/4.6)*(EXP(-92.1/time)-0.01)),time*(1-VLOOKUP(E44, list!$J$48:$K$50,2,))),(D44-$C44)*IF(time_tot&gt;time+20,20,IF(time_tot&lt;20,(time*VLOOKUP(E44, list!$J$48:$K$50,2,))+(time_tot-time),((MIN(20,time)*VLOOKUP(E44, list!$J$48:$K$50,2,))+(time_tot-MIN(20,time))-IF(E44="Exponential",time_tot-20+0.217*time*(EXP(4.606*(20-time_tot)/time)-1),((time_tot-20)^2)*(0.5/time)))))))),0)</f>
        <v/>
      </c>
      <c r="O44" s="3285">
        <f>IF(S23&lt;O23*P23,(O23*P23-S23)/20/10*1000*N2O_N_conversion/1000*((MIN($C44,F44)*MIN(20,time_tot))+IF(G44="Immediate",IF(F44&gt;$C44,(F44-$C44)*MIN(20,time_tot),0),IF($C44&gt;F44,($C44-F44)*IF(time&gt;20,IF(G44="Linear",time-((time-20)^2)/(2*time),(0.215*time)-(time/4.6)*(EXP(-92.1/time)-0.01)),time*(1-VLOOKUP(G44, list!$J$48:$K$50,2,))),(F44-$C44)*IF(time_tot&gt;time+20,20,IF(time_tot&lt;20,(time*VLOOKUP(G44, list!$J$48:$K$50,2,))+(time_tot-time),((MIN(20,time)*VLOOKUP(G44, list!$J$48:$K$50,2,))+(time_tot-MIN(20,time))-IF(G44="Exponential",time_tot-20+0.217*time*(EXP(4.606*(20-time_tot)/time)-1),((time_tot-20)^2)*(0.5/time)))))))),0)</f>
        <v/>
      </c>
      <c r="P44" s="3269">
        <f>$H44+$J44+$L44+N44</f>
        <v/>
      </c>
      <c r="Q44" s="3269">
        <f>$I44+$K44+$M44+O44</f>
        <v/>
      </c>
      <c r="R44" s="3273">
        <f>Q44-P44</f>
        <v/>
      </c>
      <c r="U44" s="3734">
        <f>$Y23*(time*((ABS(D44-C44)*(IF(C44&lt;=D44,VLOOKUP(E44, list!$J$48:$K$50,2,),1-VLOOKUP(E44, list!$J$48:$K$50,2,))))+MIN(D44,C44))+(D44*time_cap))</f>
        <v/>
      </c>
      <c r="V44" s="3735">
        <f>$Y23*(time*((ABS(F44-C44)*(IF(C44&lt;=F44,VLOOKUP(G44, list!$J$48:$K$50,2,),1-VLOOKUP(G44, list!$J$48:$K$50,2,))))+MIN(F44,C44))+(F44*time_cap))</f>
        <v/>
      </c>
      <c r="W44" s="3736">
        <f>V44-U44</f>
        <v/>
      </c>
      <c r="AO44" s="4608">
        <f>IF(X24&gt;0, L45/$X24,0)/E24</f>
        <v/>
      </c>
      <c r="AP44" s="4608">
        <f>IF(X24&gt;0, M45/$X24,0)/E24</f>
        <v/>
      </c>
    </row>
    <row r="45">
      <c r="B45" s="4581">
        <f>B24</f>
        <v/>
      </c>
      <c r="C45" s="3283">
        <f>'3.Cropland'!Q74</f>
        <v/>
      </c>
      <c r="D45" s="3283">
        <f>'3.Cropland'!R74</f>
        <v/>
      </c>
      <c r="E45" s="3283">
        <f>VLOOKUP('3.Cropland'!S74, list!$I$48:$J$50, 2, FALSE)</f>
        <v/>
      </c>
      <c r="F45" s="3283">
        <f>'3.Cropland'!T74</f>
        <v/>
      </c>
      <c r="G45" s="3283">
        <f>VLOOKUP('3.Cropland'!U74, list!$I$48:$J$50, 2, FALSE)</f>
        <v/>
      </c>
      <c r="H45" s="3284">
        <f>IF(L24&lt;&gt;0,-1*MIN(($K24*((MIN($C45,D45)*MIN(20,time_tot))+IF(E45="Immediate",IF(D45&gt;$C45,(D45-$C45)*MIN(20,time_tot),0),IF($C45&gt;D45,($C45-D45)*IF(time&gt;20,IF(E45="Linear",time-((time-20)^2)/(2*time),(0.215*time)-(time/4.6)*(EXP(-92.1/time)-0.01)),time*(1-VLOOKUP(E45,list!$J$48:$K$50,2,))),(D45-$C45)*IF(time_tot&gt;time+20,20,IF(time_tot&lt;20,(time*VLOOKUP(E45,list!$J$48:$K$50,2,))+(time_tot-time),((MIN(20,time)*VLOOKUP(E45,list!$J$48:$K$50,2,))+(time_tot-MIN(20,time))-IF(E45="Exponential",time_tot-20+0.217*time*(EXP(4.606*(20-time_tot)/time)-1),((time_tot-20)^2)*(0.5/time))))))))), (L24+J24*M24)*D45),-$K24*((MIN($C45,D45)*MIN(20,time_tot))+IF(E45="Immediate",IF(D45&gt;$C45,(D45-$C45)*MIN(20,time_tot),0),IF($C45&gt;D45,($C45-D45)*IF(time&gt;20,IF(E45="Linear",time-((time-20)^2)/(2*time),(0.215*time)-(time/4.6)*(EXP(-92.1/time)-0.01)),time*(1-VLOOKUP(E45,list!$J$48:$K$50,2,))),(D45-$C45)*IF(time_tot&gt;time+20,20,IF(time_tot&lt;20,(time*VLOOKUP(E45,list!$J$48:$K$50,2,))+(time_tot-time),((MIN(20,time)*VLOOKUP(E45,list!$J$48:$K$50,2,))+(time_tot-MIN(20,time))-IF(E45="Exponential",time_tot-20+0.217*time*(EXP(4.606*(20-time_tot)/time)-1),((time_tot-20)^2)*(0.5/time)))))))))</f>
        <v/>
      </c>
      <c r="I45" s="3284">
        <f>IF(L24&lt;&gt;0,-1*MIN(($K24*((MIN($C45,F45)*MIN(20,time_tot))+IF(G45="Immediate",IF(F45&gt;$C45,(F45-$C45)*MIN(20,time_tot),0),IF($C45&gt;F45,($C45-F45)*IF(time&gt;20,IF(G45="Linear",time-((time-20)^2)/(2*time),(0.215*time)-(time/4.6)*(EXP(-92.1/time)-0.01)),time*(1-VLOOKUP(G45,list!$J$48:$K$50,2,))),(F45-$C45)*IF(time_tot&gt;time+20,20,IF(time_tot&lt;20,(time*VLOOKUP(G45,list!$J$48:$K$50,2,))+(time_tot-time),((MIN(20,time)*VLOOKUP(G45,list!$J$48:$K$50,2,))+(time_tot-MIN(20,time))-IF(G45="Exponential",time_tot-20+0.217*time*(EXP(4.606*(20-time_tot)/time)-1),((time_tot-20)^2)*(0.5/time))))))))), (L24+J24*M24)*F45), -$K24*((MIN($C45,F45)*MIN(20,time_tot))+IF(G45="Immediate",IF(F45&gt;$C45,(F45-$C45)*MIN(20,time_tot),0),IF($C45&gt;F45,($C45-F45)*IF(time&gt;20,IF(G45="Linear",time-((time-20)^2)/(2*time),(0.215*time)-(time/4.6)*(EXP(-92.1/time)-0.01)),time*(1-VLOOKUP(G45,list!$J$48:$K$50,2,))),(F45-$C45)*IF(time_tot&gt;time+20,20,IF(time_tot&lt;20,(time*VLOOKUP(G45,list!$J$48:$K$50,2,))+(time_tot-time),((MIN(20,time)*VLOOKUP(G45,list!$J$48:$K$50,2,))+(time_tot-MIN(20,time))-IF(G45="Exponential",time_tot-20+0.217*time*(EXP(4.606*(20-time_tot)/time)-1),((time_tot-20)^2)*(0.5/time)))))))))</f>
        <v/>
      </c>
      <c r="J45" s="3285">
        <f>IF(ABS(-$U24*((MIN($C45,D45)*MIN(20,time_tot))+IF(E45="Immediate",IF(D45&gt;$C45,(D45-$C45)*MIN(20,time_tot),0),IF($C45&gt;D45,($C45-D45)*IF(time&gt;20,IF(E45="Linear",time-((time-20)^2)/(2*time),(0.215*time)-(time/4.6)*(EXP(-92.1/time)-0.01)),time*(1-VLOOKUP(E45, list!$J$48:$K$50,2,))),(D45-$C45)*IF(time_tot&gt;time+20,20,IF(time_tot&lt;20,(time*VLOOKUP(E45, list!$J$48:$K$50,2,))+(time_tot-time),((MIN(20,time)*VLOOKUP(E45, list!$J$48:$K$50,2,))+(time_tot-MIN(20,time))-IF(E45="Exponential",time_tot-20+0.217*time*(EXP(4.606*(20-time_tot)/time)-1),((time_tot-20)^2)*(0.5/time)))))))))&gt;=ABS(T24*MAX(C45,D45)),-T24*MAX(C45,D45),-$U24*((MIN($C45,D45)*MIN(20,time_tot))+IF(E45="Immediate",IF(D45&gt;$C45,(D45-$C45)*MIN(20,time_tot),0),IF($C45&gt;D45,($C45-D45)*IF(time&gt;20,IF(E45="Linear",time-((time-20)^2)/(2*time),(0.215*time)-(time/4.6)*(EXP(-92.1/time)-0.01)),time*(1-VLOOKUP(E45, list!$J$48:$K$50,2,))),(D45-$C45)*IF(time_tot&gt;time+20,20,IF(time_tot&lt;20,(time*VLOOKUP(E45, list!$J$48:$K$50,2,))+(time_tot-time),((MIN(20,time)*VLOOKUP(E45, list!$J$48:$K$50,2,))+(time_tot-MIN(20,time))-IF(E45="Exponential",time_tot-20+0.217*time*(EXP(4.606*(20-time_tot)/time)-1),((time_tot-20)^2)*(0.5/time)))))))))</f>
        <v/>
      </c>
      <c r="K45" s="3285">
        <f>IF(ABS(-$U24*((MIN($C45,F45)*MIN(20,time_tot))+IF(G45="Immediate",IF(F45&gt;$C45,(F45-$C45)*MIN(20,time_tot),0),IF($C45&gt;F45,($C45-F45)*IF(time&gt;20,IF(G45="Linear",time-((time-20)^2)/(2*time),(0.215*time)-(time/4.6)*(EXP(-92.1/time)-0.01)),time*(1-VLOOKUP(G45, list!$J$48:$K$50,2,))),(F45-$C45)*IF(time_tot&gt;time+20,20,IF(time_tot&lt;20,(time*VLOOKUP(G45, list!$J$48:$K$50,2,))+(time_tot-time),((MIN(20,time)*VLOOKUP(G45, list!$J$48:$K$50,2,))+(time_tot-MIN(20,time))-IF(G45="Exponential",time_tot-20+0.217*time*(EXP(4.606*(20-time_tot)/time)-1),((time_tot-20)^2)*(0.5/time)))))))))&gt;=ABS(T24*MAX(F45,C45)),-T24*MAX(F45,C45), -$U24*((MIN($C45,F45)*MIN(20,time_tot))+IF(G45="Immediate",IF(F45&gt;$C45,(F45-$C45)*MIN(20,time_tot),0),IF($C45&gt;F45,($C45-F45)*IF(time&gt;20,IF(G45="Linear",time-((time-20)^2)/(2*time),(0.215*time)-(time/4.6)*(EXP(-92.1/time)-0.01)),time*(1-VLOOKUP(G45, list!$J$48:$K$50,2,))),(F45-$C45)*IF(time_tot&gt;time+20,20,IF(time_tot&lt;20,(time*VLOOKUP(G45, list!$J$48:$K$50,2,))+(time_tot-time),((MIN(20,time)*VLOOKUP(G45, list!$J$48:$K$50,2,))+(time_tot-MIN(20,time))-IF(G45="Exponential",time_tot-20+0.217*time*(EXP(4.606*(20-time_tot)/time)-1),((time_tot-20)^2)*(0.5/time)))))))))</f>
        <v/>
      </c>
      <c r="L45" s="3269">
        <f>(MIN(C45,D45)*time_tot+ABS(D45-C45)*IF(D45&gt;C45,time_cap+time*(VLOOKUP(E45, list!$J$48:$K$50,2,)),time*(1-(VLOOKUP(E45, list!$J$48:$K$50,2,)))))*$X24</f>
        <v/>
      </c>
      <c r="M45" s="3269">
        <f>(MIN(C45,F45)*time_tot+ABS(F45-C45)*IF(F45&gt;C45, time_cap+time*(VLOOKUP(G45,  list!$J$48:$K$50,2,)),time*(1-(VLOOKUP(G45, list!$J$48:$K$50,2,)))))*$X24</f>
        <v/>
      </c>
      <c r="N45" s="3285">
        <f>IF(S24&lt;O24*P24,(O24*P24-S24)/20/10*1000*N2O_N_conversion/1000*((MIN($C45,D45)*MIN(20,time_tot))+IF(E45="Immediate",IF(D45&gt;$C45,(D45-$C45)*MIN(20,time_tot),0),IF($C45&gt;D45,($C45-D45)*IF(time&gt;20,IF(E45="Linear",time-((time-20)^2)/(2*time),(0.215*time)-(time/4.6)*(EXP(-92.1/time)-0.01)),time*(1-VLOOKUP(E45, list!$J$48:$K$50,2,))),(D45-$C45)*IF(time_tot&gt;time+20,20,IF(time_tot&lt;20,(time*VLOOKUP(E45, list!$J$48:$K$50,2,))+(time_tot-time),((MIN(20,time)*VLOOKUP(E45, list!$J$48:$K$50,2,))+(time_tot-MIN(20,time))-IF(E45="Exponential",time_tot-20+0.217*time*(EXP(4.606*(20-time_tot)/time)-1),((time_tot-20)^2)*(0.5/time)))))))),0)</f>
        <v/>
      </c>
      <c r="O45" s="3285">
        <f>IF(S24&lt;O24*P24,(O24*P24-S24)/20/10*1000*N2O_N_conversion/1000*((MIN($C45,F45)*MIN(20,time_tot))+IF(G45="Immediate",IF(F45&gt;$C45,(F45-$C45)*MIN(20,time_tot),0),IF($C45&gt;F45,($C45-F45)*IF(time&gt;20,IF(G45="Linear",time-((time-20)^2)/(2*time),(0.215*time)-(time/4.6)*(EXP(-92.1/time)-0.01)),time*(1-VLOOKUP(G45, list!$J$48:$K$50,2,))),(F45-$C45)*IF(time_tot&gt;time+20,20,IF(time_tot&lt;20,(time*VLOOKUP(G45, list!$J$48:$K$50,2,))+(time_tot-time),((MIN(20,time)*VLOOKUP(G45, list!$J$48:$K$50,2,))+(time_tot-MIN(20,time))-IF(G45="Exponential",time_tot-20+0.217*time*(EXP(4.606*(20-time_tot)/time)-1),((time_tot-20)^2)*(0.5/time)))))))),0)</f>
        <v/>
      </c>
      <c r="P45" s="3269">
        <f>$H45+$J45+$L45+N45</f>
        <v/>
      </c>
      <c r="Q45" s="3269">
        <f>$I45+$K45+$M45+O45</f>
        <v/>
      </c>
      <c r="R45" s="3273">
        <f>Q45-P45</f>
        <v/>
      </c>
      <c r="U45" s="3734">
        <f>$Y24*(time*((ABS(D45-C45)*(IF(C45&lt;=D45,VLOOKUP(E45, list!$J$48:$K$50,2,),1-VLOOKUP(E45, list!$J$48:$K$50,2,))))+MIN(D45,C45))+(D45*time_cap))</f>
        <v/>
      </c>
      <c r="V45" s="3735">
        <f>$Y24*(time*((ABS(F45-C45)*(IF(C45&lt;=F45,VLOOKUP(G45, list!$J$48:$K$50,2,),1-VLOOKUP(G45, list!$J$48:$K$50,2,))))+MIN(F45,C45))+(F45*time_cap))</f>
        <v/>
      </c>
      <c r="W45" s="3736">
        <f>V45-U45</f>
        <v/>
      </c>
      <c r="AO45" s="4608">
        <f>IF(X25&gt;0, L46/$X25,0)/E25</f>
        <v/>
      </c>
      <c r="AP45" s="4608">
        <f>IF(X25&gt;0, M46/$X25,0)/E25</f>
        <v/>
      </c>
    </row>
    <row r="46">
      <c r="B46" s="4581">
        <f>B25</f>
        <v/>
      </c>
      <c r="C46" s="3283">
        <f>'3.Cropland'!Q75</f>
        <v/>
      </c>
      <c r="D46" s="3283">
        <f>'3.Cropland'!R75</f>
        <v/>
      </c>
      <c r="E46" s="3283">
        <f>VLOOKUP('3.Cropland'!S75, list!$I$48:$J$50, 2, FALSE)</f>
        <v/>
      </c>
      <c r="F46" s="3283">
        <f>'3.Cropland'!T75</f>
        <v/>
      </c>
      <c r="G46" s="3283">
        <f>VLOOKUP('3.Cropland'!U75, list!$I$48:$J$50, 2, FALSE)</f>
        <v/>
      </c>
      <c r="H46" s="3284">
        <f>IF(L25&lt;&gt;0,-1*MIN(($K25*((MIN($C46,D46)*MIN(20,time_tot))+IF(E46="Immediate",IF(D46&gt;$C46,(D46-$C46)*MIN(20,time_tot),0),IF($C46&gt;D46,($C46-D46)*IF(time&gt;20,IF(E46="Linear",time-((time-20)^2)/(2*time),(0.215*time)-(time/4.6)*(EXP(-92.1/time)-0.01)),time*(1-VLOOKUP(E46,list!$J$48:$K$50,2,))),(D46-$C46)*IF(time_tot&gt;time+20,20,IF(time_tot&lt;20,(time*VLOOKUP(E46,list!$J$48:$K$50,2,))+(time_tot-time),((MIN(20,time)*VLOOKUP(E46,list!$J$48:$K$50,2,))+(time_tot-MIN(20,time))-IF(E46="Exponential",time_tot-20+0.217*time*(EXP(4.606*(20-time_tot)/time)-1),((time_tot-20)^2)*(0.5/time))))))))), (L25+J25*M25)*D46),-$K25*((MIN($C46,D46)*MIN(20,time_tot))+IF(E46="Immediate",IF(D46&gt;$C46,(D46-$C46)*MIN(20,time_tot),0),IF($C46&gt;D46,($C46-D46)*IF(time&gt;20,IF(E46="Linear",time-((time-20)^2)/(2*time),(0.215*time)-(time/4.6)*(EXP(-92.1/time)-0.01)),time*(1-VLOOKUP(E46,list!$J$48:$K$50,2,))),(D46-$C46)*IF(time_tot&gt;time+20,20,IF(time_tot&lt;20,(time*VLOOKUP(E46,list!$J$48:$K$50,2,))+(time_tot-time),((MIN(20,time)*VLOOKUP(E46,list!$J$48:$K$50,2,))+(time_tot-MIN(20,time))-IF(E46="Exponential",time_tot-20+0.217*time*(EXP(4.606*(20-time_tot)/time)-1),((time_tot-20)^2)*(0.5/time)))))))))</f>
        <v/>
      </c>
      <c r="I46" s="3284">
        <f>IF(L25&lt;&gt;0,-1*MIN(($K25*((MIN($C46,F46)*MIN(20,time_tot))+IF(G46="Immediate",IF(F46&gt;$C46,(F46-$C46)*MIN(20,time_tot),0),IF($C46&gt;F46,($C46-F46)*IF(time&gt;20,IF(G46="Linear",time-((time-20)^2)/(2*time),(0.215*time)-(time/4.6)*(EXP(-92.1/time)-0.01)),time*(1-VLOOKUP(G46,list!$J$48:$K$50,2,))),(F46-$C46)*IF(time_tot&gt;time+20,20,IF(time_tot&lt;20,(time*VLOOKUP(G46,list!$J$48:$K$50,2,))+(time_tot-time),((MIN(20,time)*VLOOKUP(G46,list!$J$48:$K$50,2,))+(time_tot-MIN(20,time))-IF(G46="Exponential",time_tot-20+0.217*time*(EXP(4.606*(20-time_tot)/time)-1),((time_tot-20)^2)*(0.5/time))))))))), (L25+J25*M25)*F46), -$K25*((MIN($C46,F46)*MIN(20,time_tot))+IF(G46="Immediate",IF(F46&gt;$C46,(F46-$C46)*MIN(20,time_tot),0),IF($C46&gt;F46,($C46-F46)*IF(time&gt;20,IF(G46="Linear",time-((time-20)^2)/(2*time),(0.215*time)-(time/4.6)*(EXP(-92.1/time)-0.01)),time*(1-VLOOKUP(G46,list!$J$48:$K$50,2,))),(F46-$C46)*IF(time_tot&gt;time+20,20,IF(time_tot&lt;20,(time*VLOOKUP(G46,list!$J$48:$K$50,2,))+(time_tot-time),((MIN(20,time)*VLOOKUP(G46,list!$J$48:$K$50,2,))+(time_tot-MIN(20,time))-IF(G46="Exponential",time_tot-20+0.217*time*(EXP(4.606*(20-time_tot)/time)-1),((time_tot-20)^2)*(0.5/time)))))))))</f>
        <v/>
      </c>
      <c r="J46" s="3285">
        <f>IF(ABS(-$U25*((MIN($C46,D46)*MIN(20,time_tot))+IF(E46="Immediate",IF(D46&gt;$C46,(D46-$C46)*MIN(20,time_tot),0),IF($C46&gt;D46,($C46-D46)*IF(time&gt;20,IF(E46="Linear",time-((time-20)^2)/(2*time),(0.215*time)-(time/4.6)*(EXP(-92.1/time)-0.01)),time*(1-VLOOKUP(E46, list!$J$48:$K$50,2,))),(D46-$C46)*IF(time_tot&gt;time+20,20,IF(time_tot&lt;20,(time*VLOOKUP(E46, list!$J$48:$K$50,2,))+(time_tot-time),((MIN(20,time)*VLOOKUP(E46, list!$J$48:$K$50,2,))+(time_tot-MIN(20,time))-IF(E46="Exponential",time_tot-20+0.217*time*(EXP(4.606*(20-time_tot)/time)-1),((time_tot-20)^2)*(0.5/time)))))))))&gt;=ABS(T25*MAX(C46,D46)),-T25*MAX(C46,D46),-$U25*((MIN($C46,D46)*MIN(20,time_tot))+IF(E46="Immediate",IF(D46&gt;$C46,(D46-$C46)*MIN(20,time_tot),0),IF($C46&gt;D46,($C46-D46)*IF(time&gt;20,IF(E46="Linear",time-((time-20)^2)/(2*time),(0.215*time)-(time/4.6)*(EXP(-92.1/time)-0.01)),time*(1-VLOOKUP(E46, list!$J$48:$K$50,2,))),(D46-$C46)*IF(time_tot&gt;time+20,20,IF(time_tot&lt;20,(time*VLOOKUP(E46, list!$J$48:$K$50,2,))+(time_tot-time),((MIN(20,time)*VLOOKUP(E46, list!$J$48:$K$50,2,))+(time_tot-MIN(20,time))-IF(E46="Exponential",time_tot-20+0.217*time*(EXP(4.606*(20-time_tot)/time)-1),((time_tot-20)^2)*(0.5/time)))))))))</f>
        <v/>
      </c>
      <c r="K46" s="3285">
        <f>IF(ABS(-$U25*((MIN($C46,F46)*MIN(20,time_tot))+IF(G46="Immediate",IF(F46&gt;$C46,(F46-$C46)*MIN(20,time_tot),0),IF($C46&gt;F46,($C46-F46)*IF(time&gt;20,IF(G46="Linear",time-((time-20)^2)/(2*time),(0.215*time)-(time/4.6)*(EXP(-92.1/time)-0.01)),time*(1-VLOOKUP(G46, list!$J$48:$K$50,2,))),(F46-$C46)*IF(time_tot&gt;time+20,20,IF(time_tot&lt;20,(time*VLOOKUP(G46, list!$J$48:$K$50,2,))+(time_tot-time),((MIN(20,time)*VLOOKUP(G46, list!$J$48:$K$50,2,))+(time_tot-MIN(20,time))-IF(G46="Exponential",time_tot-20+0.217*time*(EXP(4.606*(20-time_tot)/time)-1),((time_tot-20)^2)*(0.5/time)))))))))&gt;=ABS(T25*MAX(F46,C46)),-T25*MAX(F46,C46), -$U25*((MIN($C46,F46)*MIN(20,time_tot))+IF(G46="Immediate",IF(F46&gt;$C46,(F46-$C46)*MIN(20,time_tot),0),IF($C46&gt;F46,($C46-F46)*IF(time&gt;20,IF(G46="Linear",time-((time-20)^2)/(2*time),(0.215*time)-(time/4.6)*(EXP(-92.1/time)-0.01)),time*(1-VLOOKUP(G46, list!$J$48:$K$50,2,))),(F46-$C46)*IF(time_tot&gt;time+20,20,IF(time_tot&lt;20,(time*VLOOKUP(G46, list!$J$48:$K$50,2,))+(time_tot-time),((MIN(20,time)*VLOOKUP(G46, list!$J$48:$K$50,2,))+(time_tot-MIN(20,time))-IF(G46="Exponential",time_tot-20+0.217*time*(EXP(4.606*(20-time_tot)/time)-1),((time_tot-20)^2)*(0.5/time)))))))))</f>
        <v/>
      </c>
      <c r="L46" s="3274">
        <f>(MIN(C46,D46)*time_tot+ABS(D46-C46)*IF(D46&gt;C46,time_cap+time*(VLOOKUP(E46, list!$J$48:$K$50,2,)),time*(1-(VLOOKUP(E46, list!$J$48:$K$50,2,)))))*$X25</f>
        <v/>
      </c>
      <c r="M46" s="3274">
        <f>(MIN(C46,F46)*time_tot+ABS(F46-C46)*IF(F46&gt;C46, time_cap+time*(VLOOKUP(G46,  list!$J$48:$K$50,2,)),time*(1-(VLOOKUP(G46, list!$J$48:$K$50,2,)))))*$X25</f>
        <v/>
      </c>
      <c r="N46" s="3285">
        <f>IF(S25&lt;O25*P25,(O25*P25-S25)/20/10*1000*N2O_N_conversion/1000*((MIN($C46,D46)*MIN(20,time_tot))+IF(E46="Immediate",IF(D46&gt;$C46,(D46-$C46)*MIN(20,time_tot),0),IF($C46&gt;D46,($C46-D46)*IF(time&gt;20,IF(E46="Linear",time-((time-20)^2)/(2*time),(0.215*time)-(time/4.6)*(EXP(-92.1/time)-0.01)),time*(1-VLOOKUP(E46, list!$J$48:$K$50,2,))),(D46-$C46)*IF(time_tot&gt;time+20,20,IF(time_tot&lt;20,(time*VLOOKUP(E46, list!$J$48:$K$50,2,))+(time_tot-time),((MIN(20,time)*VLOOKUP(E46, list!$J$48:$K$50,2,))+(time_tot-MIN(20,time))-IF(E46="Exponential",time_tot-20+0.217*time*(EXP(4.606*(20-time_tot)/time)-1),((time_tot-20)^2)*(0.5/time)))))))),0)</f>
        <v/>
      </c>
      <c r="O46" s="3285">
        <f>IF(S25&lt;O25*P25,(O25*P25-S25)/20/10*1000*N2O_N_conversion/1000*((MIN($C46,F46)*MIN(20,time_tot))+IF(G46="Immediate",IF(F46&gt;$C46,(F46-$C46)*MIN(20,time_tot),0),IF($C46&gt;F46,($C46-F46)*IF(time&gt;20,IF(G46="Linear",time-((time-20)^2)/(2*time),(0.215*time)-(time/4.6)*(EXP(-92.1/time)-0.01)),time*(1-VLOOKUP(G46, list!$J$48:$K$50,2,))),(F46-$C46)*IF(time_tot&gt;time+20,20,IF(time_tot&lt;20,(time*VLOOKUP(G46, list!$J$48:$K$50,2,))+(time_tot-time),((MIN(20,time)*VLOOKUP(G46, list!$J$48:$K$50,2,))+(time_tot-MIN(20,time))-IF(G46="Exponential",time_tot-20+0.217*time*(EXP(4.606*(20-time_tot)/time)-1),((time_tot-20)^2)*(0.5/time)))))))),0)</f>
        <v/>
      </c>
      <c r="P46" s="3274">
        <f>$H46+$J46+$L46+N46</f>
        <v/>
      </c>
      <c r="Q46" s="3274">
        <f>$I46+$K46+$M46+O46</f>
        <v/>
      </c>
      <c r="R46" s="3275">
        <f>Q46-P46</f>
        <v/>
      </c>
      <c r="U46" s="3737">
        <f>$Y25*(time*((ABS(D46-C46)*(IF(C46&lt;=D46,VLOOKUP(E46, list!$J$48:$K$50,2,),1-VLOOKUP(E46, list!$J$48:$K$50,2,))))+MIN(D46,C46))+(D46*time_cap))</f>
        <v/>
      </c>
      <c r="V46" s="3738">
        <f>$Y25*(time*((ABS(F46-C46)*(IF(C46&lt;=F46,VLOOKUP(G46, list!$J$48:$K$50,2,),1-VLOOKUP(G46, list!$J$48:$K$50,2,))))+MIN(F46,C46))+(F46*time_cap))</f>
        <v/>
      </c>
      <c r="W46" s="3739">
        <f>V46-U46</f>
        <v/>
      </c>
      <c r="AN46" s="3719" t="inlineStr">
        <is>
          <t xml:space="preserve">Total </t>
        </is>
      </c>
      <c r="AO46" s="3719">
        <f>SUM(AO32:AO45)</f>
        <v/>
      </c>
      <c r="AP46" s="3719">
        <f>SUM(AP32:AP45)</f>
        <v/>
      </c>
    </row>
    <row r="47">
      <c r="B47" s="3170" t="inlineStr">
        <is>
          <t>Total Syst 1-10</t>
        </is>
      </c>
      <c r="C47" s="3661">
        <f>SUM(C37:C46)</f>
        <v/>
      </c>
      <c r="D47" s="3661">
        <f>SUM(D37:D46)</f>
        <v/>
      </c>
      <c r="E47" s="3661" t="n"/>
      <c r="F47" s="3661">
        <f>SUM(F37:F46)</f>
        <v/>
      </c>
      <c r="G47" s="662" t="n"/>
    </row>
    <row r="48">
      <c r="N48" s="3276" t="inlineStr">
        <is>
          <t>Agric. Perennial  Total</t>
        </is>
      </c>
      <c r="O48" s="21" t="n"/>
      <c r="P48" s="3173">
        <f>SUM(P33:P46)</f>
        <v/>
      </c>
      <c r="Q48" s="3173">
        <f>SUM(Q33:Q46)</f>
        <v/>
      </c>
      <c r="R48" s="3173">
        <f>SUM(R33:R46)</f>
        <v/>
      </c>
      <c r="U48" s="3743">
        <f>SUM(U33:U46)</f>
        <v/>
      </c>
      <c r="V48" s="3743">
        <f>SUM(V33:V46)</f>
        <v/>
      </c>
      <c r="W48" s="3743">
        <f>SUM(W33:W46)</f>
        <v/>
      </c>
    </row>
    <row r="50">
      <c r="O50" s="1079" t="inlineStr">
        <is>
          <t>TEST TIER 2</t>
        </is>
      </c>
      <c r="P50" s="1079">
        <f>SUM('3.Cropland'!AT66:AT75)</f>
        <v/>
      </c>
    </row>
    <row r="53" ht="15" customHeight="1">
      <c r="D53" s="317" t="n"/>
    </row>
  </sheetData>
  <mergeCells count="4">
    <mergeCell ref="I9:J9"/>
    <mergeCell ref="G9:H9"/>
    <mergeCell ref="I10:J10"/>
    <mergeCell ref="G10:H10"/>
  </mergeCells>
  <dataValidations count="1">
    <dataValidation sqref="E12:F25 H12:H25 J12:J25 K12:K15 S16:S25" showDropDown="0" showInputMessage="1" showErrorMessage="1" allowBlank="0" type="decimal" operator="greaterThanOrEqual">
      <formula1>0</formula1>
    </dataValidation>
  </dataValidations>
  <pageMargins left="0.7" right="0.7" top="0.75" bottom="0.75" header="0.3" footer="0.3"/>
  <pageSetup orientation="portrait" paperSize="9"/>
  <legacyDrawing r:id="anysvml"/>
</worksheet>
</file>

<file path=xl/worksheets/sheet11.xml><?xml version="1.0" encoding="utf-8"?>
<worksheet xmlns="http://schemas.openxmlformats.org/spreadsheetml/2006/main">
  <sheetPr codeName="Sheet12">
    <outlinePr summaryBelow="1" summaryRight="1"/>
    <pageSetUpPr/>
  </sheetPr>
  <dimension ref="A2:BK52"/>
  <sheetViews>
    <sheetView showGridLines="0" topLeftCell="D7" zoomScale="85" zoomScaleNormal="85" workbookViewId="0">
      <selection activeCell="J14" sqref="J14"/>
    </sheetView>
  </sheetViews>
  <sheetFormatPr baseColWidth="10" defaultColWidth="8.6640625" defaultRowHeight="15"/>
  <cols>
    <col width="4.6640625" customWidth="1" min="1" max="1"/>
    <col width="29.6640625" customWidth="1" min="2" max="2"/>
    <col width="14.5" customWidth="1" min="3" max="3"/>
    <col width="16" customWidth="1" min="4" max="4"/>
    <col width="26.5" customWidth="1" min="5" max="5"/>
    <col width="24.6640625" customWidth="1" min="6" max="6"/>
    <col width="16.5" customWidth="1" min="7" max="8"/>
    <col width="14.5" customWidth="1" min="9" max="9"/>
    <col width="11.6640625" customWidth="1" min="10" max="10"/>
    <col width="13.5" customWidth="1" min="11" max="11"/>
    <col width="35.5" customWidth="1" min="12" max="12"/>
    <col width="21.6640625" customWidth="1" min="13" max="13"/>
    <col width="16.6640625" customWidth="1" min="14" max="14"/>
    <col width="24.5" bestFit="1" customWidth="1" min="15" max="15"/>
    <col width="16.5" bestFit="1" customWidth="1" min="16" max="16"/>
    <col width="14.5" bestFit="1" customWidth="1" min="17" max="17"/>
    <col width="16.33203125" customWidth="1" min="18" max="18"/>
    <col width="13.5" customWidth="1" min="19" max="20"/>
    <col width="10.6640625" customWidth="1" min="21" max="21"/>
    <col width="13.5" bestFit="1" customWidth="1" min="22" max="22"/>
    <col width="10.6640625" customWidth="1" min="23" max="23"/>
    <col width="12.33203125" customWidth="1" min="28" max="28"/>
    <col width="15.6640625" customWidth="1" min="29" max="29"/>
    <col width="21" customWidth="1" min="30" max="30"/>
    <col width="13.1640625" customWidth="1" min="31" max="31"/>
    <col width="8.6640625" customWidth="1" min="32" max="32"/>
    <col width="29.5" bestFit="1" customWidth="1" min="36" max="36"/>
    <col width="11.5" customWidth="1" min="37" max="37"/>
    <col width="14.33203125" customWidth="1" min="39" max="39"/>
    <col width="12.5" customWidth="1" min="40" max="40"/>
    <col width="25.33203125" bestFit="1" customWidth="1" min="41" max="41"/>
    <col width="23" customWidth="1" min="42" max="42"/>
    <col width="19.5" customWidth="1" min="44" max="44"/>
    <col width="26.33203125" customWidth="1" min="50" max="50"/>
    <col width="10.5" customWidth="1" min="51" max="51"/>
    <col width="14.6640625" customWidth="1" min="52" max="52"/>
    <col width="12.6640625" customWidth="1" min="53" max="53"/>
  </cols>
  <sheetData>
    <row r="1" customFormat="1" s="284"/>
    <row r="2" ht="19" customFormat="1" customHeight="1" s="387">
      <c r="A2" s="383" t="n"/>
      <c r="B2" s="847" t="inlineStr">
        <is>
          <t>RICE from Module 2 'Land use change'</t>
        </is>
      </c>
      <c r="C2" s="842" t="n"/>
      <c r="D2" s="3486" t="n"/>
      <c r="E2" s="3486" t="n"/>
      <c r="F2" s="3486" t="n"/>
      <c r="G2" s="3486" t="n"/>
      <c r="H2" s="3486" t="n"/>
      <c r="I2" s="3486" t="n"/>
      <c r="J2" s="3486" t="n"/>
      <c r="K2" s="3488" t="n"/>
      <c r="L2" s="3488" t="n"/>
      <c r="M2" s="3488" t="n"/>
      <c r="N2" s="3488" t="n"/>
      <c r="O2" s="3488" t="n"/>
      <c r="P2" s="3488" t="n"/>
      <c r="Q2" s="3488" t="n"/>
      <c r="R2" s="3488" t="n"/>
      <c r="S2" s="3488" t="n"/>
      <c r="T2" s="284" t="n"/>
      <c r="U2" s="284" t="n"/>
      <c r="V2" s="284" t="n"/>
      <c r="W2" s="284" t="n"/>
      <c r="X2" s="284" t="n"/>
      <c r="Y2" s="284" t="n"/>
      <c r="Z2" s="284" t="n"/>
      <c r="AA2" s="284" t="n"/>
      <c r="AB2" s="284" t="n"/>
      <c r="AC2" s="284" t="n"/>
      <c r="AD2" s="284" t="n"/>
      <c r="AE2" s="284" t="n"/>
      <c r="AF2" s="284" t="n"/>
      <c r="AG2" s="284" t="n"/>
      <c r="AH2" s="284" t="n"/>
      <c r="AI2" s="284" t="n"/>
      <c r="AJ2" s="284" t="n"/>
      <c r="AK2" s="284" t="n"/>
      <c r="AL2" s="284" t="n"/>
      <c r="AM2" s="284" t="n"/>
      <c r="AN2" s="284" t="n"/>
      <c r="AO2" s="284" t="n"/>
      <c r="AP2" s="284" t="n"/>
      <c r="AQ2" s="284" t="n"/>
      <c r="AR2" s="284" t="n"/>
      <c r="AS2" s="284" t="n"/>
      <c r="AT2" s="284" t="n"/>
      <c r="AU2" s="284" t="n"/>
      <c r="AV2" s="284" t="n"/>
      <c r="AW2" s="284" t="n"/>
      <c r="AX2" s="284" t="n"/>
      <c r="AY2" s="284" t="n"/>
      <c r="AZ2" s="284" t="n"/>
      <c r="BA2" s="284" t="n"/>
      <c r="BB2" s="284" t="n"/>
      <c r="BC2" s="284" t="n"/>
      <c r="BD2" s="284" t="n"/>
      <c r="BE2" s="284" t="n"/>
      <c r="BF2" s="284" t="n"/>
      <c r="BG2" s="284" t="n"/>
      <c r="BH2" s="284" t="n"/>
      <c r="BI2" s="284" t="n"/>
      <c r="BJ2" s="284" t="n"/>
      <c r="BK2" s="284" t="n"/>
    </row>
    <row r="3" ht="16" customFormat="1" customHeight="1" s="387">
      <c r="A3" s="284" t="n"/>
      <c r="B3" s="383" t="n"/>
      <c r="C3" s="383" t="n"/>
      <c r="D3" s="3381" t="n"/>
      <c r="E3" s="3381" t="n"/>
      <c r="F3" s="3382" t="n"/>
      <c r="G3" s="871" t="n"/>
      <c r="H3" s="871" t="n"/>
      <c r="I3" s="3383" t="inlineStr">
        <is>
          <t>Amount rice</t>
        </is>
      </c>
      <c r="J3" s="3685" t="inlineStr">
        <is>
          <t>soil C</t>
        </is>
      </c>
      <c r="K3" s="3686" t="inlineStr">
        <is>
          <t>Soil C</t>
        </is>
      </c>
      <c r="L3" s="3687" t="inlineStr">
        <is>
          <t>Soil C</t>
        </is>
      </c>
      <c r="M3" s="3394" t="inlineStr">
        <is>
          <t>Delta Soil C* limited to 20 yrs</t>
        </is>
      </c>
      <c r="N3" s="871" t="n"/>
      <c r="O3" s="3383" t="inlineStr">
        <is>
          <t>Adj. daily EF</t>
        </is>
      </c>
      <c r="P3" s="3383" t="inlineStr">
        <is>
          <t>Adj. daily EF</t>
        </is>
      </c>
      <c r="Q3" s="4553" t="inlineStr">
        <is>
          <t>Straw</t>
        </is>
      </c>
      <c r="R3" s="4553" t="n"/>
      <c r="S3" s="4553" t="inlineStr">
        <is>
          <t>Yield</t>
        </is>
      </c>
      <c r="T3" s="284" t="n"/>
      <c r="U3" s="284" t="n"/>
      <c r="V3" s="284" t="n"/>
      <c r="W3" s="284" t="n"/>
      <c r="X3" s="284" t="n"/>
      <c r="Y3" s="284" t="n"/>
      <c r="Z3" s="284" t="n"/>
      <c r="AA3" s="284" t="n"/>
      <c r="AB3" s="284" t="n"/>
      <c r="AC3" s="295" t="inlineStr">
        <is>
          <t>EX-ACT region</t>
        </is>
      </c>
      <c r="AD3" s="295" t="inlineStr">
        <is>
          <t>faostat_rice yield_2020 (t dm/ha)</t>
        </is>
      </c>
      <c r="AE3" s="284" t="n"/>
      <c r="AF3" s="284" t="inlineStr">
        <is>
          <t>Africa</t>
        </is>
      </c>
      <c r="AG3" s="284" t="n">
        <v>2.2061</v>
      </c>
      <c r="AH3" s="284" t="n"/>
      <c r="AI3" s="284" t="n"/>
      <c r="AJ3" s="284" t="n"/>
      <c r="AK3" s="284" t="n"/>
      <c r="AL3" s="284" t="n"/>
      <c r="AM3" s="284" t="n"/>
      <c r="AN3" s="284" t="n"/>
      <c r="AO3" s="284" t="n"/>
      <c r="AP3" s="284" t="n"/>
      <c r="AQ3" s="284" t="n"/>
      <c r="AR3" s="284" t="n"/>
      <c r="AS3" s="284" t="n"/>
      <c r="AT3" s="284" t="n"/>
      <c r="AU3" s="284" t="n"/>
      <c r="AV3" s="284" t="n"/>
      <c r="AW3" s="284" t="n"/>
      <c r="AX3" s="284" t="n"/>
      <c r="AY3" s="284" t="n"/>
      <c r="AZ3" s="284" t="n"/>
      <c r="BA3" s="284" t="n"/>
      <c r="BB3" s="284" t="n"/>
      <c r="BC3" s="284" t="n"/>
      <c r="BD3" s="284" t="n"/>
      <c r="BE3" s="284" t="n"/>
      <c r="BF3" s="284" t="n"/>
      <c r="BG3" s="284" t="n"/>
      <c r="BH3" s="284" t="n"/>
      <c r="BI3" s="284" t="n"/>
      <c r="BJ3" s="284" t="n"/>
      <c r="BK3" s="284" t="n"/>
    </row>
    <row r="4" ht="16" customFormat="1" customHeight="1" s="387">
      <c r="A4" s="284" t="n"/>
      <c r="B4" s="383" t="n"/>
      <c r="C4" s="383" t="n"/>
      <c r="D4" s="871" t="inlineStr">
        <is>
          <t xml:space="preserve">Cultivation  </t>
        </is>
      </c>
      <c r="E4" s="3381" t="inlineStr">
        <is>
          <t>Water regime</t>
        </is>
      </c>
      <c r="F4" s="3382" t="n"/>
      <c r="G4" s="3384" t="inlineStr">
        <is>
          <t xml:space="preserve"> Amendment </t>
        </is>
      </c>
      <c r="H4" s="3384" t="n"/>
      <c r="I4" s="870" t="inlineStr">
        <is>
          <t>Straw burnt</t>
        </is>
      </c>
      <c r="J4" s="3685" t="inlineStr">
        <is>
          <t>START</t>
        </is>
      </c>
      <c r="K4" s="3686" t="inlineStr">
        <is>
          <t>Without</t>
        </is>
      </c>
      <c r="L4" s="3687" t="inlineStr">
        <is>
          <t>With</t>
        </is>
      </c>
      <c r="M4" s="3686" t="inlineStr">
        <is>
          <t>Without</t>
        </is>
      </c>
      <c r="N4" s="3687" t="inlineStr">
        <is>
          <t>With</t>
        </is>
      </c>
      <c r="O4" s="3383" t="inlineStr">
        <is>
          <t>EFi</t>
        </is>
      </c>
      <c r="P4" s="3383" t="inlineStr">
        <is>
          <t>EFi</t>
        </is>
      </c>
      <c r="Q4" s="4553" t="inlineStr">
        <is>
          <t>Burnt</t>
        </is>
      </c>
      <c r="R4" s="4553" t="n"/>
      <c r="S4" s="3190" t="n"/>
      <c r="T4" s="284" t="n"/>
      <c r="U4" s="284" t="n"/>
      <c r="V4" s="284" t="n"/>
      <c r="W4" s="284" t="n"/>
      <c r="X4" s="284" t="n"/>
      <c r="Y4" s="284" t="n"/>
      <c r="Z4" s="284" t="n"/>
      <c r="AA4" s="284" t="n"/>
      <c r="AB4" s="284" t="n"/>
      <c r="AC4" s="368" t="inlineStr">
        <is>
          <t>Caribbean</t>
        </is>
      </c>
      <c r="AD4" s="365" t="n">
        <v>4.2997</v>
      </c>
      <c r="AE4" s="284" t="n"/>
      <c r="AF4" s="369" t="inlineStr">
        <is>
          <t>Eastern Africa</t>
        </is>
      </c>
      <c r="AG4" s="284" t="n">
        <v>2.5449</v>
      </c>
      <c r="AH4" s="284" t="n"/>
      <c r="AI4" s="284" t="n"/>
      <c r="AJ4" s="284" t="n"/>
      <c r="AK4" s="284" t="n"/>
      <c r="AL4" s="284" t="n"/>
      <c r="AM4" s="284" t="n"/>
      <c r="AN4" s="284" t="n"/>
      <c r="AO4" s="284" t="n"/>
      <c r="AP4" s="284" t="n"/>
      <c r="AQ4" s="284" t="n"/>
      <c r="AR4" s="284" t="n"/>
      <c r="AS4" s="284" t="n"/>
      <c r="AT4" s="284" t="n"/>
      <c r="AU4" s="284" t="n"/>
      <c r="AV4" s="284" t="n"/>
      <c r="AW4" s="284" t="n"/>
      <c r="AX4" s="284" t="n"/>
      <c r="AY4" s="284" t="n"/>
      <c r="AZ4" s="284" t="n"/>
      <c r="BA4" s="284" t="n"/>
      <c r="BB4" s="284" t="n"/>
      <c r="BC4" s="284" t="n"/>
      <c r="BD4" s="284" t="n"/>
      <c r="BE4" s="284" t="n"/>
      <c r="BF4" s="284" t="n"/>
      <c r="BG4" s="284" t="n"/>
      <c r="BH4" s="284" t="n"/>
      <c r="BI4" s="284" t="n"/>
      <c r="BJ4" s="284" t="n"/>
      <c r="BK4" s="284" t="n"/>
    </row>
    <row r="5" ht="18" customFormat="1" customHeight="1" s="387">
      <c r="A5" s="284" t="n"/>
      <c r="B5" s="383" t="n"/>
      <c r="C5" s="383" t="n"/>
      <c r="D5" s="871" t="inlineStr">
        <is>
          <t>period</t>
        </is>
      </c>
      <c r="E5" s="3386" t="inlineStr">
        <is>
          <t>During  cultivation period</t>
        </is>
      </c>
      <c r="F5" s="3387" t="inlineStr">
        <is>
          <t>Before  cultivation period</t>
        </is>
      </c>
      <c r="G5" s="3388" t="inlineStr">
        <is>
          <t>applied</t>
        </is>
      </c>
      <c r="H5" s="3388" t="inlineStr">
        <is>
          <t>Yield</t>
        </is>
      </c>
      <c r="I5" s="3389" t="inlineStr">
        <is>
          <t>tonnes dm ha-1</t>
        </is>
      </c>
      <c r="J5" s="3685" t="inlineStr">
        <is>
          <t>t C/ha</t>
        </is>
      </c>
      <c r="K5" s="3686" t="inlineStr">
        <is>
          <t>t C/ha</t>
        </is>
      </c>
      <c r="L5" s="3395" t="inlineStr">
        <is>
          <t>tC/ha</t>
        </is>
      </c>
      <c r="M5" s="3246" t="inlineStr">
        <is>
          <t>tCO2eq/ha/yr</t>
        </is>
      </c>
      <c r="N5" s="3247" t="inlineStr">
        <is>
          <t>tCO2eq/ha/yr</t>
        </is>
      </c>
      <c r="O5" s="3391" t="inlineStr">
        <is>
          <t>kg CH4  per ha per day</t>
        </is>
      </c>
      <c r="P5" s="3383" t="inlineStr">
        <is>
          <t>kg CH4  per ha</t>
        </is>
      </c>
      <c r="Q5" s="4553" t="inlineStr">
        <is>
          <t>CH4 in t CO2-e/ha</t>
        </is>
      </c>
      <c r="R5" s="4553" t="inlineStr">
        <is>
          <t>N2O in tCO2-e/ha</t>
        </is>
      </c>
      <c r="S5" s="3190" t="inlineStr">
        <is>
          <t>t/ha/year</t>
        </is>
      </c>
      <c r="T5" s="284" t="n"/>
      <c r="U5" s="284" t="n"/>
      <c r="V5" s="3231" t="inlineStr">
        <is>
          <t>Categories</t>
        </is>
      </c>
      <c r="W5" s="3232" t="inlineStr">
        <is>
          <t>Total</t>
        </is>
      </c>
      <c r="X5" s="3232" t="inlineStr">
        <is>
          <t>Implementation</t>
        </is>
      </c>
      <c r="Y5" s="3232" t="inlineStr">
        <is>
          <t>Capitalization</t>
        </is>
      </c>
      <c r="Z5" s="284" t="n"/>
      <c r="AA5" s="284" t="n"/>
      <c r="AB5" s="284" t="n"/>
      <c r="AC5" s="369" t="inlineStr">
        <is>
          <t>Central America</t>
        </is>
      </c>
      <c r="AD5" s="366" t="n">
        <v>4.9066</v>
      </c>
      <c r="AE5" s="284" t="n"/>
      <c r="AF5" s="284" t="inlineStr">
        <is>
          <t>Middle Africa</t>
        </is>
      </c>
      <c r="AG5" s="284" t="n">
        <v>1.1161</v>
      </c>
      <c r="AH5" s="284" t="n"/>
      <c r="AI5" s="284" t="n"/>
      <c r="AJ5" s="284" t="n"/>
      <c r="AK5" s="284" t="n"/>
      <c r="AL5" s="284" t="n"/>
      <c r="AM5" s="284" t="n"/>
      <c r="AN5" s="284" t="n"/>
      <c r="AO5" s="284" t="n"/>
      <c r="AP5" s="284" t="n"/>
      <c r="AQ5" s="284" t="n"/>
      <c r="AR5" s="284" t="n"/>
      <c r="AS5" s="284" t="n"/>
      <c r="AT5" s="284" t="n"/>
      <c r="AU5" s="284" t="n"/>
      <c r="AV5" s="284" t="n"/>
      <c r="AW5" s="284" t="n"/>
      <c r="AX5" s="284" t="n"/>
      <c r="AY5" s="284" t="n"/>
      <c r="AZ5" s="284" t="n"/>
      <c r="BA5" s="284" t="n"/>
      <c r="BB5" s="284" t="n"/>
      <c r="BC5" s="284" t="n"/>
      <c r="BD5" s="284" t="n"/>
      <c r="BE5" s="284" t="n"/>
      <c r="BF5" s="284" t="n"/>
      <c r="BG5" s="284" t="n"/>
      <c r="BH5" s="284" t="n"/>
      <c r="BI5" s="284" t="n"/>
      <c r="BJ5" s="284" t="n"/>
      <c r="BK5" s="284" t="n"/>
    </row>
    <row r="6">
      <c r="B6" s="3481" t="inlineStr">
        <is>
          <t>Rice after deforestation</t>
        </is>
      </c>
      <c r="C6" s="3397" t="n"/>
      <c r="D6" s="3400">
        <f>IF('3.Cropland'!$AS97="", '3.Cropland'!$AR97, '3.Cropland'!AS97)</f>
        <v/>
      </c>
      <c r="E6" s="3396">
        <f>'3.Cropland'!G97</f>
        <v/>
      </c>
      <c r="F6" s="3396">
        <f>'3.Cropland'!I97</f>
        <v/>
      </c>
      <c r="G6" s="3396">
        <f>'3.Cropland'!K97</f>
        <v/>
      </c>
      <c r="H6" s="3396">
        <f>IF('3.Cropland'!M97="", VLOOKUP(continent,rice!$AC$3:$AD$18,2,FALSE), '3.Cropland'!M97)</f>
        <v/>
      </c>
      <c r="I6" s="3396">
        <f>IF('3.Cropland'!$BI97="", '3.Cropland'!$BH97, '3.Cropland'!$BI97)</f>
        <v/>
      </c>
      <c r="J6" s="3396">
        <f>IFERROR(INDEX(IPCC!$B$38:$H$48,MATCH(clim_moist,IPCC!$A$38:$A$48,0),MATCH(soil,IPCC!$B$38:$H$38,0))*VLOOKUP(clim_moist,IPCC!$A$58:$C$68,3),0)</f>
        <v/>
      </c>
      <c r="K6" s="3396">
        <f>J6</f>
        <v/>
      </c>
      <c r="L6" s="3396">
        <f>J6</f>
        <v/>
      </c>
      <c r="M6" s="3396">
        <f>(K6-J6)/20*(-44/12)</f>
        <v/>
      </c>
      <c r="N6" s="3396">
        <f>(L6-J6)/20*(-44/12)</f>
        <v/>
      </c>
      <c r="O6" s="3396">
        <f>IF('3.Cropland'!$BG97="", '3.Cropland'!BF97, '3.Cropland'!BG97)</f>
        <v/>
      </c>
      <c r="P6" s="3396">
        <f>D6*O6</f>
        <v/>
      </c>
      <c r="Q6" s="3396">
        <f>IF('3.Cropland'!$K97="Straw burnt", rice!$I6*IPCC!$B$87*(IPCC!$D$76*methane)/1000,0)</f>
        <v/>
      </c>
      <c r="R6" s="3396">
        <f>IF('3.Cropland'!$K97="Straw burnt", rice!$I6*IPCC!$B$87*(IPCC!$E$76*Nitrous)/1000,0)</f>
        <v/>
      </c>
      <c r="S6" s="3396">
        <f>'3.Cropland'!M97</f>
        <v/>
      </c>
      <c r="T6" s="284" t="n"/>
      <c r="U6" s="284" t="n"/>
      <c r="V6" s="3233" t="inlineStr">
        <is>
          <t>CO2 Biomass</t>
        </is>
      </c>
      <c r="W6" s="3234" t="n"/>
      <c r="X6" s="3235" t="n"/>
      <c r="Y6" s="3236" t="n"/>
      <c r="Z6" s="284" t="n"/>
      <c r="AA6" s="284" t="n"/>
      <c r="AB6" s="284" t="n"/>
      <c r="AC6" s="369" t="inlineStr">
        <is>
          <t>Central Asia</t>
        </is>
      </c>
      <c r="AD6" s="366" t="n">
        <v>3.6902</v>
      </c>
      <c r="AE6" s="284" t="n"/>
      <c r="AF6" t="inlineStr">
        <is>
          <t>Northern Africa</t>
        </is>
      </c>
      <c r="AG6" t="n">
        <v>8.6981</v>
      </c>
      <c r="AH6" s="284" t="n"/>
      <c r="AI6" s="284" t="n"/>
      <c r="AJ6" s="284" t="n"/>
      <c r="AK6" s="284" t="n"/>
      <c r="AL6" s="284" t="n"/>
      <c r="AM6" s="284" t="n"/>
      <c r="AN6" s="284" t="n"/>
      <c r="AO6" s="873" t="inlineStr">
        <is>
          <t>Implementation phase alone</t>
        </is>
      </c>
      <c r="AP6" s="874" t="n"/>
      <c r="AQ6" s="874" t="n"/>
      <c r="AR6" s="284" t="n"/>
      <c r="AS6" s="284" t="n"/>
      <c r="AT6" s="284" t="n"/>
      <c r="AU6" s="284" t="n"/>
      <c r="AV6" s="284" t="n"/>
      <c r="AW6" s="284" t="n"/>
      <c r="AX6" s="284" t="n"/>
      <c r="AY6" s="284" t="n"/>
      <c r="AZ6" s="284" t="n"/>
      <c r="BA6" s="284" t="n"/>
      <c r="BB6" s="284" t="n"/>
      <c r="BC6" s="284" t="n"/>
      <c r="BD6" s="284" t="n"/>
      <c r="BE6" s="284" t="n"/>
      <c r="BF6" s="284" t="n"/>
      <c r="BG6" s="284" t="n"/>
      <c r="BH6" s="284" t="n"/>
      <c r="BI6" s="284" t="n"/>
      <c r="BJ6" s="284" t="n"/>
      <c r="BK6" s="284" t="n"/>
    </row>
    <row r="7">
      <c r="B7" s="3315" t="inlineStr">
        <is>
          <t>Rice converted to forest land</t>
        </is>
      </c>
      <c r="C7" s="3397" t="n"/>
      <c r="D7" s="3401">
        <f>IF('3.Cropland'!$AS98="", '3.Cropland'!$AR98, '3.Cropland'!AS98)</f>
        <v/>
      </c>
      <c r="E7" s="3317">
        <f>'3.Cropland'!G98</f>
        <v/>
      </c>
      <c r="F7" s="3317">
        <f>'3.Cropland'!I98</f>
        <v/>
      </c>
      <c r="G7" s="3317">
        <f>'3.Cropland'!K98</f>
        <v/>
      </c>
      <c r="H7" s="3317">
        <f>IF('3.Cropland'!M98="", VLOOKUP(continent,rice!$AC$3:$AD$18,2,FALSE), '3.Cropland'!M98)</f>
        <v/>
      </c>
      <c r="I7" s="3317">
        <f>IF('3.Cropland'!$BI98="", '3.Cropland'!$BH98, '3.Cropland'!$BI98)</f>
        <v/>
      </c>
      <c r="J7" s="3317">
        <f>IFERROR(IF('3.Cropland'!$AU$98="",INDEX(IPCC!$B$38:$H$48,MATCH(clim_moist,IPCC!$A$38:$A$48,0),MATCH(soil,IPCC!$B$38:$H$38,0))*VLOOKUP(clim_moist,IPCC!$A$58:$C$68,3),0),0)</f>
        <v/>
      </c>
      <c r="K7" s="3317">
        <f>J7</f>
        <v/>
      </c>
      <c r="L7" s="3317">
        <f>J7</f>
        <v/>
      </c>
      <c r="M7" s="3317">
        <f>(K7-J7)/20*(-44/12)</f>
        <v/>
      </c>
      <c r="N7" s="3317">
        <f>(L7-J7)/20*(-44/12)</f>
        <v/>
      </c>
      <c r="O7" s="3317">
        <f>IF('3.Cropland'!$BG98="", '3.Cropland'!BF98, '3.Cropland'!BG98)</f>
        <v/>
      </c>
      <c r="P7" s="3317">
        <f>D7*O7</f>
        <v/>
      </c>
      <c r="Q7" s="3317">
        <f>IF('3.Cropland'!$K98="Straw burnt", rice!$I7*IPCC!$B$87*(IPCC!$D$76*methane)/1000,0)</f>
        <v/>
      </c>
      <c r="R7" s="3317">
        <f>IF('3.Cropland'!$K98="Straw burnt", rice!$I7*IPCC!$B$87*(IPCC!$E$76*Nitrous)/1000,0)</f>
        <v/>
      </c>
      <c r="S7" s="3317">
        <f>'3.Cropland'!M98</f>
        <v/>
      </c>
      <c r="T7" s="284" t="n"/>
      <c r="U7" s="284" t="n"/>
      <c r="V7" s="3233" t="inlineStr">
        <is>
          <t>CO2 soil</t>
        </is>
      </c>
      <c r="W7" s="3237">
        <f>SUM(O30:O43)-SUM(N30:N43)</f>
        <v/>
      </c>
      <c r="X7" s="3238">
        <f>SUM(AP10:AP23)-SUM(AO10:AO23)</f>
        <v/>
      </c>
      <c r="Y7" s="3239">
        <f>W7-X7</f>
        <v/>
      </c>
      <c r="Z7" s="284" t="n"/>
      <c r="AA7" s="284" t="n"/>
      <c r="AB7" s="284" t="n"/>
      <c r="AC7" s="369" t="inlineStr">
        <is>
          <t>Eastern Africa</t>
        </is>
      </c>
      <c r="AD7" s="366" t="n">
        <v>2.5449</v>
      </c>
      <c r="AE7" s="284" t="n"/>
      <c r="AF7" t="inlineStr">
        <is>
          <t>Southern Africa</t>
        </is>
      </c>
      <c r="AG7" t="n">
        <v>2.9177</v>
      </c>
      <c r="AO7" s="390" t="inlineStr">
        <is>
          <t>Time_tot = time and time2=0</t>
        </is>
      </c>
      <c r="AP7" s="389" t="n"/>
      <c r="AQ7" s="389" t="n"/>
      <c r="BK7" s="284" t="n"/>
    </row>
    <row r="8">
      <c r="B8" s="3334" t="inlineStr">
        <is>
          <t>Rice after non-forest land use</t>
        </is>
      </c>
      <c r="C8" s="3398" t="n"/>
      <c r="D8" s="3370">
        <f>IF('3.Cropland'!$AS99="", '3.Cropland'!$AR99, '3.Cropland'!AS99)</f>
        <v/>
      </c>
      <c r="E8" s="3318">
        <f>'3.Cropland'!G99</f>
        <v/>
      </c>
      <c r="F8" s="3318">
        <f>'3.Cropland'!I99</f>
        <v/>
      </c>
      <c r="G8" s="3318">
        <f>'3.Cropland'!K99</f>
        <v/>
      </c>
      <c r="H8" s="3318">
        <f>IF('3.Cropland'!M99="", VLOOKUP(continent,rice!$AC$3:$AD$18,2,FALSE), '3.Cropland'!M99)</f>
        <v/>
      </c>
      <c r="I8" s="3318">
        <f>IF('3.Cropland'!$BI99="", '3.Cropland'!$BH99, '3.Cropland'!$BI99)</f>
        <v/>
      </c>
      <c r="J8" s="3318">
        <f>IFERROR(INDEX(IPCC!$B$38:$H$48,MATCH(clim_moist,IPCC!$A$38:$A$48,0),MATCH(soil,IPCC!$B$38:$H$38,0))*VLOOKUP(clim_moist,IPCC!$A$58:$C$68,3),0)</f>
        <v/>
      </c>
      <c r="K8" s="3318">
        <f>J8</f>
        <v/>
      </c>
      <c r="L8" s="3318">
        <f>J8</f>
        <v/>
      </c>
      <c r="M8" s="3318">
        <f>(K8-J8)/20*(-44/12)</f>
        <v/>
      </c>
      <c r="N8" s="3318">
        <f>(L8-J8)/20*(-44/12)</f>
        <v/>
      </c>
      <c r="O8" s="3318">
        <f>IF('3.Cropland'!$BG99="", '3.Cropland'!BF99, '3.Cropland'!BG99)</f>
        <v/>
      </c>
      <c r="P8" s="3318">
        <f>D8*O8</f>
        <v/>
      </c>
      <c r="Q8" s="3318">
        <f>IF('3.Cropland'!$K99="Straw burnt", rice!$I8*IPCC!$B$87*(IPCC!$D$76*methane)/1000,0)</f>
        <v/>
      </c>
      <c r="R8" s="3318">
        <f>IF('3.Cropland'!$K99="Straw burnt", rice!$I8*IPCC!$B$87*(IPCC!$E$76*Nitrous)/1000,0)</f>
        <v/>
      </c>
      <c r="S8" s="3318">
        <f>'3.Cropland'!M99</f>
        <v/>
      </c>
      <c r="V8" s="3233" t="inlineStr">
        <is>
          <t>CH4 rice cultivation</t>
        </is>
      </c>
      <c r="W8" s="3244">
        <f>SUM(Q30:Q43)-SUM(P30:P43)</f>
        <v/>
      </c>
      <c r="X8" s="3245">
        <f>SUM(AR10:AR23)-SUM(AQ10:AQ23)</f>
        <v/>
      </c>
      <c r="Y8" s="3239">
        <f>W8-X8</f>
        <v/>
      </c>
      <c r="AC8" s="369" t="inlineStr">
        <is>
          <t>Eastern Asia</t>
        </is>
      </c>
      <c r="AD8" s="366" t="n">
        <v>6.9739</v>
      </c>
      <c r="AE8" s="284" t="n"/>
      <c r="AF8" t="inlineStr">
        <is>
          <t>Western Africa</t>
        </is>
      </c>
      <c r="AG8" t="n">
        <v>1.9235</v>
      </c>
      <c r="AK8" s="3328" t="inlineStr">
        <is>
          <t>Straw burning CH4</t>
        </is>
      </c>
      <c r="AL8" s="3328" t="n"/>
      <c r="AM8" s="3328" t="inlineStr">
        <is>
          <t>Straw burning N20</t>
        </is>
      </c>
      <c r="AN8" s="3329" t="n"/>
      <c r="AO8" s="3330" t="inlineStr">
        <is>
          <t>CO2 soil Change</t>
        </is>
      </c>
      <c r="AP8" s="3669" t="n"/>
      <c r="AQ8" s="3331" t="inlineStr">
        <is>
          <t>CH4 emitted during implementation time</t>
        </is>
      </c>
      <c r="AR8" s="3332" t="n"/>
      <c r="AS8" s="3333" t="inlineStr">
        <is>
          <t>Straw burning CH4</t>
        </is>
      </c>
      <c r="AT8" s="3333" t="n"/>
      <c r="AU8" s="3328" t="inlineStr">
        <is>
          <t>Straw burning N2O</t>
        </is>
      </c>
      <c r="AV8" s="3329" t="n"/>
    </row>
    <row r="9">
      <c r="B9" s="3281" t="inlineStr">
        <is>
          <t>Rice converted to other land use</t>
        </is>
      </c>
      <c r="C9" s="3397" t="n"/>
      <c r="D9" s="3402">
        <f>IF('3.Cropland'!$AS100="", '3.Cropland'!$AR100, '3.Cropland'!AS100)</f>
        <v/>
      </c>
      <c r="E9" s="4608">
        <f>'3.Cropland'!G100</f>
        <v/>
      </c>
      <c r="F9" s="4608">
        <f>'3.Cropland'!I100</f>
        <v/>
      </c>
      <c r="G9" s="4608">
        <f>'3.Cropland'!K100</f>
        <v/>
      </c>
      <c r="H9" s="4608">
        <f>IF('3.Cropland'!M100="", VLOOKUP(continent,rice!$AC$3:$AD$18,2,FALSE), '3.Cropland'!M100)</f>
        <v/>
      </c>
      <c r="I9" s="4608">
        <f>IF('3.Cropland'!$BI100="", '3.Cropland'!$BH100, '3.Cropland'!$BI100)</f>
        <v/>
      </c>
      <c r="J9" s="3319">
        <f>IFERROR(IF('3.Cropland'!$AU$100="",INDEX(IPCC!$B$38:$H$48,MATCH(clim_moist,IPCC!$A$38:$A$48,0),MATCH(soil,IPCC!$B$38:$H$38,0))*VLOOKUP(clim_moist,IPCC!$A$58:$C$68,3)),0)</f>
        <v/>
      </c>
      <c r="K9" s="3319">
        <f>J9</f>
        <v/>
      </c>
      <c r="L9" s="3319">
        <f>J9</f>
        <v/>
      </c>
      <c r="M9" s="3319">
        <f>(K9-J9)/20*(-44/12)</f>
        <v/>
      </c>
      <c r="N9" s="3319">
        <f>(L9-J9)/20*(-44/12)</f>
        <v/>
      </c>
      <c r="O9" s="3319">
        <f>IF('3.Cropland'!$BG100="", '3.Cropland'!BF100, '3.Cropland'!BG100)</f>
        <v/>
      </c>
      <c r="P9" s="3319">
        <f>D9*O9</f>
        <v/>
      </c>
      <c r="Q9" s="3319">
        <f>IF('3.Cropland'!$K100="Straw burnt", rice!$I9*IPCC!$B$87*(IPCC!$D$76*methane)/1000,0)</f>
        <v/>
      </c>
      <c r="R9" s="3319">
        <f>IF('3.Cropland'!$K100="Straw burnt", rice!$I9*IPCC!$B$87*(IPCC!$E$76*Nitrous)/1000,0)</f>
        <v/>
      </c>
      <c r="S9" s="3319">
        <f>'3.Cropland'!M100</f>
        <v/>
      </c>
      <c r="V9" s="3233" t="inlineStr">
        <is>
          <t>CH4 fire</t>
        </is>
      </c>
      <c r="W9" s="3237">
        <f>SUM(AL10:AL23)-SUM(AK10:AK23)</f>
        <v/>
      </c>
      <c r="X9" s="3238">
        <f>SUM(AT10:AT23)-SUM(AS10:AS23)</f>
        <v/>
      </c>
      <c r="Y9" s="3239">
        <f>W9-X9</f>
        <v/>
      </c>
      <c r="AC9" s="369" t="inlineStr">
        <is>
          <t>Europe</t>
        </is>
      </c>
      <c r="AD9" s="366" t="n">
        <v>6.3766</v>
      </c>
      <c r="AE9" s="284" t="n"/>
      <c r="AF9" t="inlineStr">
        <is>
          <t>Americas</t>
        </is>
      </c>
      <c r="AG9" t="n">
        <v>6.4526</v>
      </c>
      <c r="AK9" s="3669" t="inlineStr">
        <is>
          <t>w/out</t>
        </is>
      </c>
      <c r="AL9" s="3669" t="inlineStr">
        <is>
          <t>With</t>
        </is>
      </c>
      <c r="AM9" s="3669" t="inlineStr">
        <is>
          <t>W/out</t>
        </is>
      </c>
      <c r="AN9" s="3669" t="inlineStr">
        <is>
          <t>With</t>
        </is>
      </c>
      <c r="AO9" s="3669" t="inlineStr">
        <is>
          <t>W/out</t>
        </is>
      </c>
      <c r="AP9" s="3669" t="inlineStr">
        <is>
          <t>With</t>
        </is>
      </c>
      <c r="AQ9" s="3332" t="inlineStr">
        <is>
          <t>Without</t>
        </is>
      </c>
      <c r="AR9" s="3332" t="inlineStr">
        <is>
          <t>With</t>
        </is>
      </c>
      <c r="AS9" s="3332" t="inlineStr">
        <is>
          <t>without</t>
        </is>
      </c>
      <c r="AT9" s="3332" t="inlineStr">
        <is>
          <t>With</t>
        </is>
      </c>
      <c r="AU9" s="3669" t="inlineStr">
        <is>
          <t>W/out</t>
        </is>
      </c>
      <c r="AV9" s="3669" t="inlineStr">
        <is>
          <t>With</t>
        </is>
      </c>
    </row>
    <row r="10" ht="19" customHeight="1">
      <c r="B10" s="3393" t="inlineStr">
        <is>
          <t xml:space="preserve">RICE remainining RICE </t>
        </is>
      </c>
      <c r="C10" s="3399" t="n"/>
      <c r="D10" s="872" t="n"/>
      <c r="E10" s="872" t="n"/>
      <c r="F10" s="872" t="n"/>
      <c r="G10" s="872" t="n"/>
      <c r="H10" s="872" t="n"/>
      <c r="I10" s="872" t="n"/>
      <c r="J10" s="872" t="n"/>
      <c r="K10" s="872" t="n"/>
      <c r="L10" s="3309" t="n"/>
      <c r="M10" s="3309" t="n"/>
      <c r="N10" s="3309" t="n"/>
      <c r="O10" s="3309" t="n"/>
      <c r="P10" s="3309" t="n"/>
      <c r="Q10" s="872" t="n"/>
      <c r="R10" s="2813" t="n"/>
      <c r="V10" s="3233" t="inlineStr">
        <is>
          <t>N2O fire</t>
        </is>
      </c>
      <c r="W10" s="3240">
        <f>SUM(AN10:AN23)-SUM(AM10:AM23)</f>
        <v/>
      </c>
      <c r="X10" s="3241">
        <f>SUM(AV10:AV23)-SUM(AU10:AU23)</f>
        <v/>
      </c>
      <c r="Y10" s="3242">
        <f>W10-X10</f>
        <v/>
      </c>
      <c r="AC10" s="369" t="inlineStr">
        <is>
          <t>Central Africa</t>
        </is>
      </c>
      <c r="AD10" s="366" t="n">
        <v>1.1161</v>
      </c>
      <c r="AE10" s="284" t="n"/>
      <c r="AF10" t="inlineStr">
        <is>
          <t>Northern America</t>
        </is>
      </c>
      <c r="AG10" t="n">
        <v>8.5398</v>
      </c>
      <c r="AJ10" s="3481" t="inlineStr">
        <is>
          <t>Rice after deforestation</t>
        </is>
      </c>
      <c r="AK10" s="3320">
        <f>(MIN(C30,D30)*time_tot+ABS(D30-C30)*IF(D30&gt;C30,time_cap+time*(VLOOKUP(E30, list!$J$48:$K$50,2,)),time*(1-(VLOOKUP(E30, list!$J$48:$K$50,2,)))))*IF('3.Cropland'!K97="Straw burnt", rice!I6*IPCC!$B$87*(IPCC!$D$76*methane)/1000,0)</f>
        <v/>
      </c>
      <c r="AL10" s="3321">
        <f>(MIN(C30,F30)*time_tot+ABS(F30-C30)*IF(F30&gt;C30, time_cap + time*(VLOOKUP(G30, list!$J$48:$K$50,2,)),time*(1-(VLOOKUP(G30, list!$J$48:$K$50,2,)))))*IF('3.Cropland'!K97="Straw burnt", rice!I6*IPCC!$B$87*(IPCC!$D$76*methane)/1000,0)</f>
        <v/>
      </c>
      <c r="AM10" s="3321">
        <f>(MIN(C30,D30)*time_tot+ABS(D30-C30)*IF(D30&gt;C30,time_cap+time*(VLOOKUP(E30, list!$J$48:$K$50,2,)),time*(1-(VLOOKUP(E30, list!$J$48:$K$50,2,)))))*IF('3.Cropland'!K97="Straw burnt", rice!I6*IPCC!$B$87*(IPCC!$E$76*Nitrous)/1000,0)</f>
        <v/>
      </c>
      <c r="AN10" s="3321">
        <f>(MIN(C30,F30)*time_tot+ABS(F30-C30)*IF(F30&gt;C30, time_cap + time*(VLOOKUP(G30, list!$J$48:$K$50,2,)),time*(1-(VLOOKUP(G30, list!$J$48:$K$50,2,)))))*IF('3.Cropland'!K97="Straw burnt", rice!I6*IPCC!$B$87*(IPCC!$E$76*Nitrous)/1000,0)</f>
        <v/>
      </c>
      <c r="AO10" s="3321">
        <f>$M6*((MIN($C30,D30)*MIN(20,time))+IF(E30="Immediate",IF(D30 &gt; $C30, D30*MIN(20,time),0),IF($C30&gt;D30,($C30-D30)*IF(time&gt;20,IF(E30="Linear",time-((time-20)^2)/(2*time),(0.215*time)-(time/4.6)*(EXP(-92.1/time)-0.01)),time*(1-VLOOKUP(E30, list!$J$48:$K$50, 2,))), (D30-$C30)*IF(time&gt;time+20,20,IF(time&lt;20,(time*VLOOKUP(E30, list!$J$48:$K$50, 2,))+(time-time),((MIN(20,time)*VLOOKUP(E30, list!$J$48:$K$50, 2,)) +(time-MIN(20,time))-IF(E30="Exponential",time-20+0.217*time*(EXP(4.606*(20-time)/time)-1),((time-20)^2)*(0.5/time))))))))</f>
        <v/>
      </c>
      <c r="AP10" s="3321">
        <f>$N6*((MIN($C30,F30)*MIN(20,time))+IF(K30="Immediate",IF(F30 &gt; $C30, F30*MIN(20,time),0),IF($C30 &gt; F30,($C30-F30)*IF(time&gt;20,IF(K30="Linear",time-((time-20)^2)/(2*time),(0.215*time)-(time/4.6)*(EXP(-92.1/time)-0.01)),time*(1-VLOOKUP(K30, list!$J$48:$K$50, 2,))), (F30-$C30)*IF(time&gt;time+20,20,IF(time&lt;20,(time*VLOOKUP(K30, list!$J$48:$K$50, 2,))+(time-time),((MIN(20,time)*VLOOKUP(K30, list!$J$48:$K$50, 2,)) +(time-MIN(20,time))-IF(K30="Exponential",time-20+0.217*time*(EXP(4.606*(20-time)/time)-1),((time-20)^2)*(0.5/time))))))))</f>
        <v/>
      </c>
      <c r="AQ10" s="3322">
        <f>(MIN(I30,J30)*time+ABS(J30-I30)*IF(J30 &gt; I30, time*(VLOOKUP(K30, list!$J$48:$K$50,2,)),time*(1-(VLOOKUP(K30, list!$J$48:$K$50,2,)))))*$P6*methane/1000</f>
        <v/>
      </c>
      <c r="AR10" s="3321">
        <f>(MIN(I30,L30)*time+ABS(L30-I30)*IF(L30&gt;I30, time*(VLOOKUP(M30, list!$J$48:$K$50,2,)),time*(1-(VLOOKUP(M30, list!$J$48:$K$50,2,)))))*$P6*methane/1000</f>
        <v/>
      </c>
      <c r="AS10" s="3321">
        <f>(MIN(C30,D30)*time+ABS(D30-C30)*IF(D30&gt;C30,time*(VLOOKUP(E30, list!$J$48:$K$50,2,)),time*(1-(VLOOKUP(E30, list!$J$48:$K$50,2,)))))*IF('3.Cropland'!K97="Straw burnt", rice!I6*IPCC!$B$87*(IPCC!$D$76*methane)/1000,0)</f>
        <v/>
      </c>
      <c r="AT10" s="3321">
        <f>(MIN(C30,F30)*time+ABS(F30-C30)*IF(F30&gt;C30,  time*(VLOOKUP(G30, list!$J$48:$K$50,2,)),time*(1-(VLOOKUP(G30, list!$J$48:$K$50,2,)))))*IF('3.Cropland'!K97="Straw burnt", rice!I6*IPCC!$B$87*(IPCC!$D$76*methane)/1000,0)</f>
        <v/>
      </c>
      <c r="AU10" s="3321">
        <f>(MIN(C30,D30)*time+ABS(D30-C30)*IF(D30&gt;C30,time*(VLOOKUP(E30, list!$J$48:$K$50,2,)),time*(1-(VLOOKUP(E30, list!$J$48:$K$50,2,)))))*IF('3.Cropland'!K97="Straw burnt", rice!I6*IPCC!$B$87*(IPCC!$E$76*Nitrous)/1000,0)</f>
        <v/>
      </c>
      <c r="AV10" s="3323">
        <f>(MIN(C30,F30)*time+ABS(F30-C30)*IF(F30&gt;C30,  time*(VLOOKUP(G30, list!$J$48:$K$50,2,)),time*(1-(VLOOKUP(G30, list!$J$48:$K$50,2,)))))*IF('3.Cropland'!K97="Straw burnt", rice!I6*IPCC!$B$87*(IPCC!$E$76*Nitrous)/1000,0)</f>
        <v/>
      </c>
    </row>
    <row r="11">
      <c r="B11" s="3381" t="n"/>
      <c r="C11" s="3397" t="n"/>
      <c r="D11" s="3381" t="n"/>
      <c r="E11" s="3381" t="n"/>
      <c r="F11" s="3382" t="n"/>
      <c r="G11" s="871" t="n"/>
      <c r="H11" s="871" t="n"/>
      <c r="I11" s="3383" t="inlineStr">
        <is>
          <t>Amount rice</t>
        </is>
      </c>
      <c r="J11" s="3383" t="inlineStr">
        <is>
          <t>SOCREF</t>
        </is>
      </c>
      <c r="K11" s="3383" t="inlineStr">
        <is>
          <t>FLU</t>
        </is>
      </c>
      <c r="L11" s="3383" t="inlineStr">
        <is>
          <t>delta SOC = 0</t>
        </is>
      </c>
      <c r="M11" s="3383" t="inlineStr">
        <is>
          <t>Adj. daily EF</t>
        </is>
      </c>
      <c r="N11" s="3383" t="inlineStr">
        <is>
          <t>Adj. daily EF</t>
        </is>
      </c>
      <c r="O11" s="4553" t="inlineStr">
        <is>
          <t>Straw</t>
        </is>
      </c>
      <c r="P11" s="4553" t="n"/>
      <c r="Q11" s="4553" t="inlineStr">
        <is>
          <t>Yield</t>
        </is>
      </c>
      <c r="R11" s="3484" t="n"/>
      <c r="V11" s="3230" t="inlineStr">
        <is>
          <t xml:space="preserve">Total </t>
        </is>
      </c>
      <c r="W11" s="3243">
        <f>SUM(W6:W10)</f>
        <v/>
      </c>
      <c r="X11" s="3243">
        <f>SUM(X6:X10)</f>
        <v/>
      </c>
      <c r="Y11" s="3243">
        <f>SUM(Y6:Y10)</f>
        <v/>
      </c>
      <c r="AC11" s="369" t="inlineStr">
        <is>
          <t>Northern Africa</t>
        </is>
      </c>
      <c r="AD11" s="366" t="n">
        <v>8.6981</v>
      </c>
      <c r="AF11" t="inlineStr">
        <is>
          <t>Central America</t>
        </is>
      </c>
      <c r="AG11" t="n">
        <v>4.9066</v>
      </c>
      <c r="AJ11" s="3315" t="inlineStr">
        <is>
          <t>Rice converted to forest land</t>
        </is>
      </c>
      <c r="AK11" s="3324">
        <f>(MIN(C31,D31)*time_tot+ABS(D31-C31)*IF(D31&gt;C31,time_cap+time*(VLOOKUP(E31, list!$J$48:$K$50,2,)),time*(1-(VLOOKUP(E31, list!$J$48:$K$50,2,)))))*IF('3.Cropland'!K98="Straw burnt", rice!I7*IPCC!$B$87*(IPCC!$D$76*methane)/1000,0)</f>
        <v/>
      </c>
      <c r="AL11" s="3314">
        <f>(MIN(C31,F31)*time_tot+ABS(F31-C31)*IF(F31&gt;C31, time_cap + time*(VLOOKUP(G31, list!$J$48:$K$50,2,)),time*(1-(VLOOKUP(G31, list!$J$48:$K$50,2,)))))*IF('3.Cropland'!K98="Straw burnt", rice!I7*IPCC!$B$87*(IPCC!$D$76*methane)/1000,0)</f>
        <v/>
      </c>
      <c r="AM11" s="3314">
        <f>(MIN(C31,D31)*time_tot+ABS(D31-C31)*IF(D31&gt;C31,time_cap+time*(VLOOKUP(E31, list!$J$48:$K$50,2,)),time*(1-(VLOOKUP(E31, list!$J$48:$K$50,2,)))))*IF('3.Cropland'!K98="Straw burnt", rice!I7*IPCC!$B$87*(IPCC!$E$76*Nitrous)/1000,0)</f>
        <v/>
      </c>
      <c r="AN11" s="3314">
        <f>(MIN(C31,F31)*time_tot+ABS(F31-C31)*IF(F31&gt;C31, time_cap + time*(VLOOKUP(G31, list!$J$48:$K$50,2,)),time*(1-(VLOOKUP(G31, list!$J$48:$K$50,2,)))))*IF('3.Cropland'!K98="Straw burnt", rice!I7*IPCC!$B$87*(IPCC!$E$76*Nitrous)/1000,0)</f>
        <v/>
      </c>
      <c r="AO11" s="3314">
        <f>$M7*((MIN($C31,D31)*MIN(20,time))+IF(E31="Immediate",IF(D31 &gt; $C31, D31*MIN(20,time),0),IF($C31&gt;D31,($C31-D31)*IF(time&gt;20,IF(E31="Linear",time-((time-20)^2)/(2*time),(0.215*time)-(time/4.6)*(EXP(-92.1/time)-0.01)),time*(1-VLOOKUP(E31, list!$J$48:$K$50, 2,))), (D31-$C31)*IF(time&gt;time+20,20,IF(time&lt;20,(time*VLOOKUP(E31, list!$J$48:$K$50, 2,))+(time-time),((MIN(20,time)*VLOOKUP(E31, list!$J$48:$K$50, 2,)) +(time-MIN(20,time))-IF(E31="Exponential",time-20+0.217*time*(EXP(4.606*(20-time)/time)-1),((time-20)^2)*(0.5/time))))))))</f>
        <v/>
      </c>
      <c r="AP11" s="3314">
        <f>$N7*((MIN($C31,F31)*MIN(20,time))+IF(K31="Immediate",IF(F31 &gt; $C31, F31*MIN(20,time),0),IF($C31 &gt; F31,($C31-F31)*IF(time&gt;20,IF(K31="Linear",time-((time-20)^2)/(2*time),(0.215*time)-(time/4.6)*(EXP(-92.1/time)-0.01)),time*(1-VLOOKUP(K31, list!$J$48:$K$50, 2,))), (F31-$C31)*IF(time&gt;time+20,20,IF(time&lt;20,(time*VLOOKUP(K31, list!$J$48:$K$50, 2,))+(time-time),((MIN(20,time)*VLOOKUP(K31, list!$J$48:$K$50, 2,)) +(time-MIN(20,time))-IF(K31="Exponential",time-20+0.217*time*(EXP(4.606*(20-time)/time)-1),((time-20)^2)*(0.5/time))))))))</f>
        <v/>
      </c>
      <c r="AQ11" s="3314">
        <f>(MIN(I31,J31)*time+ABS(J31-I31)*IF(J31 &gt; I31, time*(VLOOKUP(K31, list!$J$48:$K$50,2,)),time*(1-(VLOOKUP(K31, list!$J$48:$K$50,2,)))))*$P7*methane/1000</f>
        <v/>
      </c>
      <c r="AR11" s="3314">
        <f>(MIN(I31,L31)*time+ABS(L31-I31)*IF(L31&gt;I31, time*(VLOOKUP(M31, list!$J$48:$K$50,2,)),time*(1-(VLOOKUP(M31, list!$J$48:$K$50,2,)))))*$P7*methane/1000</f>
        <v/>
      </c>
      <c r="AS11" s="3314">
        <f>(MIN(C31,D31)*time+ABS(D31-C31)*IF(D31&gt;C31,time*(VLOOKUP(E31, list!$J$48:$K$50,2,)),time*(1-(VLOOKUP(E31, list!$J$48:$K$50,2,)))))*IF('3.Cropland'!K98="Straw burnt", rice!I7*IPCC!$B$87*(IPCC!$D$76*methane)/1000,0)</f>
        <v/>
      </c>
      <c r="AT11" s="3314">
        <f>(MIN(C31,F31)*time+ABS(F31-C31)*IF(F31&gt;C31,  time*(VLOOKUP(G31, list!$J$48:$K$50,2,)),time*(1-(VLOOKUP(G31, list!$J$48:$K$50,2,)))))*IF('3.Cropland'!K98="Straw burnt", rice!I7*IPCC!$B$87*(IPCC!$D$76*methane)/1000,0)</f>
        <v/>
      </c>
      <c r="AU11" s="3314">
        <f>(MIN(C31,D31)*time+ABS(D31-C31)*IF(D31&gt;C31,time*(VLOOKUP(E31, list!$J$48:$K$50,2,)),time*(1-(VLOOKUP(E31, list!$J$48:$K$50,2,)))))*IF('3.Cropland'!K98="Straw burnt", rice!I7*IPCC!$B$87*(IPCC!$E$76*Nitrous)/1000,0)</f>
        <v/>
      </c>
      <c r="AV11" s="3325">
        <f>(MIN(C31,F31)*time+ABS(F31-C31)*IF(F31&gt;C31,  time*(VLOOKUP(G31, list!$J$48:$K$50,2,)),time*(1-(VLOOKUP(G31, list!$J$48:$K$50,2,)))))*IF('3.Cropland'!K98="Straw burnt", rice!I7*IPCC!$B$87*(IPCC!$E$76*Nitrous)/1000,0)</f>
        <v/>
      </c>
    </row>
    <row r="12">
      <c r="B12" s="871" t="inlineStr">
        <is>
          <t>User notes</t>
        </is>
      </c>
      <c r="C12" s="3397" t="n"/>
      <c r="D12" s="871" t="inlineStr">
        <is>
          <t xml:space="preserve">Cultivation  </t>
        </is>
      </c>
      <c r="E12" s="3381" t="inlineStr">
        <is>
          <t>Water regime</t>
        </is>
      </c>
      <c r="F12" s="3382" t="n"/>
      <c r="G12" s="3384" t="inlineStr">
        <is>
          <t xml:space="preserve"> Amendment </t>
        </is>
      </c>
      <c r="H12" s="3384" t="n"/>
      <c r="I12" s="870" t="inlineStr">
        <is>
          <t>Straw burnt</t>
        </is>
      </c>
      <c r="J12" s="3383" t="inlineStr">
        <is>
          <t>Tab. 2.3</t>
        </is>
      </c>
      <c r="K12" s="3383" t="inlineStr">
        <is>
          <t>Tab. 5.5</t>
        </is>
      </c>
      <c r="L12" s="3385" t="inlineStr">
        <is>
          <t>limited to 20 yrs</t>
        </is>
      </c>
      <c r="M12" s="3383" t="inlineStr">
        <is>
          <t>EFi</t>
        </is>
      </c>
      <c r="N12" s="3383" t="inlineStr">
        <is>
          <t>EFi</t>
        </is>
      </c>
      <c r="O12" s="4553" t="inlineStr">
        <is>
          <t>Burnt</t>
        </is>
      </c>
      <c r="P12" s="4553" t="n"/>
      <c r="Q12" s="3190" t="n"/>
      <c r="R12" s="1202" t="n"/>
      <c r="AC12" s="369" t="inlineStr">
        <is>
          <t>Oceania</t>
        </is>
      </c>
      <c r="AD12" s="366" t="n">
        <v>6.6937</v>
      </c>
      <c r="AE12" s="284" t="n"/>
      <c r="AF12" t="inlineStr">
        <is>
          <t>Caribbean</t>
        </is>
      </c>
      <c r="AG12" t="n">
        <v>4.2997</v>
      </c>
      <c r="AJ12" s="233" t="inlineStr">
        <is>
          <t>Rice after non-forest land use</t>
        </is>
      </c>
      <c r="AK12" s="3662">
        <f>(MIN(C32,D32)*time_tot+ABS(D32-C32)*IF(D32&gt;C32,time_cap+time*(VLOOKUP(E32, list!$J$48:$K$50,2,)),time*(1-(VLOOKUP(E32, list!$J$48:$K$50,2,)))))*IF('3.Cropland'!K99="Straw burnt", rice!I8*IPCC!$B$87*(IPCC!$D$76*methane)/1000,0)</f>
        <v/>
      </c>
      <c r="AL12" s="3663">
        <f>(MIN(C32,F32)*time_tot+ABS(F32-C32)*IF(F32&gt;C32, time_cap + time*(VLOOKUP(G32, list!$J$48:$K$50,2,)),time*(1-(VLOOKUP(G32, list!$J$48:$K$50,2,)))))*IF('3.Cropland'!K99="Straw burnt", rice!I8*IPCC!$B$87*(IPCC!$D$76*methane)/1000,0)</f>
        <v/>
      </c>
      <c r="AM12" s="3663">
        <f>(MIN(C32,D32)*time_tot+ABS(D32-C32)*IF(D32&gt;C32,time_cap+time*(VLOOKUP(E32, list!$J$48:$K$50,2,)),time*(1-(VLOOKUP(E32, list!$J$48:$K$50,2,)))))*IF('3.Cropland'!K99="Straw burnt", rice!I8*IPCC!$B$87*(IPCC!$E$76*Nitrous)/1000,0)</f>
        <v/>
      </c>
      <c r="AN12" s="3663">
        <f>(MIN(C32,F32)*time_tot+ABS(F32-C32)*IF(F32&gt;C32, time_cap + time*(VLOOKUP(G32, list!$J$48:$K$50,2,)),time*(1-(VLOOKUP(G32, list!$J$48:$K$50,2,)))))*IF('3.Cropland'!K99="Straw burnt", rice!I8*IPCC!$B$87*(IPCC!$E$76*Nitrous)/1000,0)</f>
        <v/>
      </c>
      <c r="AO12" s="3663">
        <f>$M8*((MIN($C32,D32)*MIN(20,time))+IF(E32="Immediate",IF(D32 &gt; $C32, D32*MIN(20,time),0),IF($C32&gt;D32,($C32-D32)*IF(time&gt;20,IF(E32="Linear",time-((time-20)^2)/(2*time),(0.215*time)-(time/4.6)*(EXP(-92.1/time)-0.01)),time*(1-VLOOKUP(E32, list!$J$48:$K$50, 2,))), (D32-$C32)*IF(time&gt;time+20,20,IF(time&lt;20,(time*VLOOKUP(E32, list!$J$48:$K$50, 2,))+(time-time),((MIN(20,time)*VLOOKUP(E32, list!$J$48:$K$50, 2,)) +(time-MIN(20,time))-IF(E32="Exponential",time-20+0.217*time*(EXP(4.606*(20-time)/time)-1),((time-20)^2)*(0.5/time))))))))</f>
        <v/>
      </c>
      <c r="AP12" s="3663">
        <f>$N8*((MIN($C32,F32)*MIN(20,time))+IF(K32="Immediate",IF(F32 &gt; $C32, F32*MIN(20,time),0),IF($C32 &gt; F32,($C32-F32)*IF(time&gt;20,IF(K32="Linear",time-((time-20)^2)/(2*time),(0.215*time)-(time/4.6)*(EXP(-92.1/time)-0.01)),time*(1-VLOOKUP(K32, list!$J$48:$K$50, 2,))), (F32-$C32)*IF(time&gt;time+20,20,IF(time&lt;20,(time*VLOOKUP(K32, list!$J$48:$K$50, 2,))+(time-time),((MIN(20,time)*VLOOKUP(K32, list!$J$48:$K$50, 2,)) +(time-MIN(20,time))-IF(K32="Exponential",time-20+0.217*time*(EXP(4.606*(20-time)/time)-1),((time-20)^2)*(0.5/time))))))))</f>
        <v/>
      </c>
      <c r="AQ12" s="3663">
        <f>(MIN(I32,J32)*time+ABS(J32-I32)*IF(J32 &gt; I32, time*(VLOOKUP(K32, list!$J$48:$K$50,2,)),time*(1-(VLOOKUP(K32, list!$J$48:$K$50,2,)))))*$P8*methane/1000</f>
        <v/>
      </c>
      <c r="AR12" s="3663">
        <f>(MIN(I32,L32)*time+ABS(L32-I32)*IF(L32&gt;I32, time*(VLOOKUP(M32, list!$J$48:$K$50,2,)),time*(1-(VLOOKUP(M32, list!$J$48:$K$50,2,)))))*$P8*methane/1000</f>
        <v/>
      </c>
      <c r="AS12" s="3663">
        <f>(MIN(C32,D32)*time+ABS(D32-C32)*IF(D32&gt;C32,time*(VLOOKUP(E32, list!$J$48:$K$50,2,)),time*(1-(VLOOKUP(E32, list!$J$48:$K$50,2,)))))*IF('3.Cropland'!K99="Straw burnt", rice!I8*IPCC!$B$87*(IPCC!$D$76*methane)/1000,0)</f>
        <v/>
      </c>
      <c r="AT12" s="3663">
        <f>(MIN(C32,F32)*time+ABS(F32-C32)*IF(F32&gt;C32,  time*(VLOOKUP(G32, list!$J$48:$K$50,2,)),time*(1-(VLOOKUP(G32, list!$J$48:$K$50,2,)))))*IF('3.Cropland'!K99="Straw burnt", rice!I8*IPCC!$B$87*(IPCC!$D$76*methane)/1000,0)</f>
        <v/>
      </c>
      <c r="AU12" s="3663">
        <f>(MIN(C32,D32)*time+ABS(D32-C32)*IF(D32&gt;C32,time*(VLOOKUP(E32, list!$J$48:$K$50,2,)),time*(1-(VLOOKUP(E32, list!$J$48:$K$50,2,)))))*IF('3.Cropland'!K99="Straw burnt", rice!I8*IPCC!$B$87*(IPCC!$E$76*Nitrous)/1000,0)</f>
        <v/>
      </c>
      <c r="AV12" s="3664">
        <f>(MIN(C32,F32)*time+ABS(F32-C32)*IF(F32&gt;C32,  time*(VLOOKUP(G32, list!$J$48:$K$50,2,)),time*(1-(VLOOKUP(G32, list!$J$48:$K$50,2,)))))*IF('3.Cropland'!K99="Straw burnt", rice!I8*IPCC!$B$87*(IPCC!$E$76*Nitrous)/1000,0)</f>
        <v/>
      </c>
    </row>
    <row r="13" ht="18" customHeight="1">
      <c r="B13" s="871" t="n"/>
      <c r="C13" s="3397" t="n"/>
      <c r="D13" s="871" t="inlineStr">
        <is>
          <t>period</t>
        </is>
      </c>
      <c r="E13" s="3386" t="inlineStr">
        <is>
          <t>During  cultivation period</t>
        </is>
      </c>
      <c r="F13" s="3387" t="inlineStr">
        <is>
          <t>Before  cultivation period</t>
        </is>
      </c>
      <c r="G13" s="3388" t="inlineStr">
        <is>
          <t>applied</t>
        </is>
      </c>
      <c r="H13" s="3388" t="inlineStr">
        <is>
          <t>Yield</t>
        </is>
      </c>
      <c r="I13" s="3389" t="inlineStr">
        <is>
          <t>tonnes dm ha-1</t>
        </is>
      </c>
      <c r="J13" s="3389" t="inlineStr">
        <is>
          <t>tC/ha</t>
        </is>
      </c>
      <c r="K13" s="3389" t="inlineStr">
        <is>
          <t>(-)</t>
        </is>
      </c>
      <c r="L13" s="3390" t="inlineStr">
        <is>
          <t>tCO2/ha/year</t>
        </is>
      </c>
      <c r="M13" s="3391" t="inlineStr">
        <is>
          <t>kg CH4  per ha per day</t>
        </is>
      </c>
      <c r="N13" s="3383" t="inlineStr">
        <is>
          <t>kg CH4  per ha</t>
        </is>
      </c>
      <c r="O13" s="4553" t="inlineStr">
        <is>
          <t>CH4 in t CO2-e/ha</t>
        </is>
      </c>
      <c r="P13" s="4553" t="inlineStr">
        <is>
          <t>N2O in tCO2-e/ha</t>
        </is>
      </c>
      <c r="Q13" s="3190" t="inlineStr">
        <is>
          <t>t/ha/year</t>
        </is>
      </c>
      <c r="R13" s="1202" t="n"/>
      <c r="V13" s="3231" t="inlineStr">
        <is>
          <t>Categories</t>
        </is>
      </c>
      <c r="W13" s="3232" t="inlineStr">
        <is>
          <t>Without</t>
        </is>
      </c>
      <c r="X13" s="3232" t="inlineStr">
        <is>
          <t>With</t>
        </is>
      </c>
      <c r="AC13" s="369" t="inlineStr">
        <is>
          <t>South America</t>
        </is>
      </c>
      <c r="AD13" s="366" t="n">
        <v>6.1154</v>
      </c>
      <c r="AE13" s="284" t="n"/>
      <c r="AF13" t="inlineStr">
        <is>
          <t>South America</t>
        </is>
      </c>
      <c r="AG13" t="n">
        <v>6.1154</v>
      </c>
      <c r="AJ13" s="58" t="inlineStr">
        <is>
          <t>Rice converted to other land use</t>
        </is>
      </c>
      <c r="AK13" s="3326">
        <f>(MIN(C33,D33)*time_tot+ABS(D33-C33)*IF(D33&gt;C33,time_cap+time*(VLOOKUP(E33, list!$J$48:$K$50,2,)),time*(1-(VLOOKUP(E33, list!$J$48:$K$50,2,)))))*IF('3.Cropland'!K100="Straw burnt", rice!I9*IPCC!$B$87*(IPCC!$D$76*methane)/1000,0)</f>
        <v/>
      </c>
      <c r="AL13" s="2816">
        <f>(MIN(C33,F33)*time_tot+ABS(F33-C33)*IF(F33&gt;C33, time_cap + time*(VLOOKUP(G33, list!$J$48:$K$50,2,)),time*(1-(VLOOKUP(G33, list!$J$48:$K$50,2,)))))*IF('3.Cropland'!K100="Straw burnt", rice!I9*IPCC!$B$87*(IPCC!$D$76*methane)/1000,0)</f>
        <v/>
      </c>
      <c r="AM13" s="2816">
        <f>(MIN(C33,D33)*time_tot+ABS(D33-C33)*IF(D33&gt;C33,time_cap+time*(VLOOKUP(E33, list!$J$48:$K$50,2,)),time*(1-(VLOOKUP(E33, list!$J$48:$K$50,2,)))))*IF('3.Cropland'!K100="Straw burnt", rice!I9*IPCC!$B$87*(IPCC!$E$76*Nitrous)/1000,0)</f>
        <v/>
      </c>
      <c r="AN13" s="2816">
        <f>(MIN(C33,F33)*time_tot+ABS(F33-C33)*IF(F33&gt;C33, time_cap + time*(VLOOKUP(G33, list!$J$48:$K$50,2,)),time*(1-(VLOOKUP(G33, list!$J$48:$K$50,2,)))))*IF('3.Cropland'!K100="Straw burnt", rice!I9*IPCC!$B$87*(IPCC!$E$76*Nitrous)/1000,0)</f>
        <v/>
      </c>
      <c r="AO13" s="2816">
        <f>$M9*((MIN($C33,D33)*MIN(20,time))+IF(E33="Immediate",IF(D33 &gt; $C33, D33*MIN(20,time),0),IF($C33&gt;D33,($C33-D33)*IF(time&gt;20,IF(E33="Linear",time-((time-20)^2)/(2*time),(0.215*time)-(time/4.6)*(EXP(-92.1/time)-0.01)),time*(1-VLOOKUP(E33, list!$J$48:$K$50, 2,))), (D33-$C33)*IF(time&gt;time+20,20,IF(time&lt;20,(time*VLOOKUP(E33, list!$J$48:$K$50, 2,))+(time-time),((MIN(20,time)*VLOOKUP(E33, list!$J$48:$K$50, 2,)) +(time-MIN(20,time))-IF(E33="Exponential",time-20+0.217*time*(EXP(4.606*(20-time)/time)-1),((time-20)^2)*(0.5/time))))))))</f>
        <v/>
      </c>
      <c r="AP13" s="2816">
        <f>$N9*((MIN($C33,F33)*MIN(20,time))+IF(K33="Immediate",IF(F33 &gt; $C33, F33*MIN(20,time),0),IF($C33 &gt; F33,($C33-F33)*IF(time&gt;20,IF(K33="Linear",time-((time-20)^2)/(2*time),(0.215*time)-(time/4.6)*(EXP(-92.1/time)-0.01)),time*(1-VLOOKUP(K33, list!$J$48:$K$50, 2,))), (F33-$C33)*IF(time&gt;time+20,20,IF(time&lt;20,(time*VLOOKUP(K33, list!$J$48:$K$50, 2,))+(time-time),((MIN(20,time)*VLOOKUP(K33, list!$J$48:$K$50, 2,)) +(time-MIN(20,time))-IF(K33="Exponential",time-20+0.217*time*(EXP(4.606*(20-time)/time)-1),((time-20)^2)*(0.5/time))))))))</f>
        <v/>
      </c>
      <c r="AQ13" s="2816">
        <f>(MIN(I33,J33)*time+ABS(J33-I33)*IF(J33 &gt; I33, time*(VLOOKUP(K33, list!$J$48:$K$50,2,)),time*(1-(VLOOKUP(K33, list!$J$48:$K$50,2,)))))*$P9*methane/1000</f>
        <v/>
      </c>
      <c r="AR13" s="2816">
        <f>(MIN(I33,L33)*time+ABS(L33-I33)*IF(L33&gt;I33, time*(VLOOKUP(M33, list!$J$48:$K$50,2,)),time*(1-(VLOOKUP(M33, list!$J$48:$K$50,2,)))))*$P9*methane/1000</f>
        <v/>
      </c>
      <c r="AS13" s="2816">
        <f>(MIN(C33,D33)*time+ABS(D33-C33)*IF(D33&gt;C33,time*(VLOOKUP(E33, list!$J$48:$K$50,2,)),time*(1-(VLOOKUP(E33, list!$J$48:$K$50,2,)))))*IF('3.Cropland'!K100="Straw burnt", rice!I9*IPCC!$B$87*(IPCC!$D$76*methane)/1000,0)</f>
        <v/>
      </c>
      <c r="AT13" s="2816">
        <f>(MIN(C33,F33)*time+ABS(F33-C33)*IF(F33&gt;C33,  time*(VLOOKUP(G33, list!$J$48:$K$50,2,)),time*(1-(VLOOKUP(G33, list!$J$48:$K$50,2,)))))*IF('3.Cropland'!K100="Straw burnt", rice!I9*IPCC!$B$87*(IPCC!$D$76*methane)/1000,0)</f>
        <v/>
      </c>
      <c r="AU13" s="2816">
        <f>(MIN(C33,D33)*time+ABS(D33-C33)*IF(D33&gt;C33,time*(VLOOKUP(E33, list!$J$48:$K$50,2,)),time*(1-(VLOOKUP(E33, list!$J$48:$K$50,2,)))))*IF('3.Cropland'!K100="Straw burnt", rice!I9*IPCC!$B$87*(IPCC!$E$76*Nitrous)/1000,0)</f>
        <v/>
      </c>
      <c r="AV13" s="3668">
        <f>(MIN(C33,F33)*time+ABS(F33-C33)*IF(F33&gt;C33,  time*(VLOOKUP(G33, list!$J$48:$K$50,2,)),time*(1-(VLOOKUP(G33, list!$J$48:$K$50,2,)))))*IF('3.Cropland'!K100="Straw burnt", rice!I9*IPCC!$B$87*(IPCC!$E$76*Nitrous)/1000,0)</f>
        <v/>
      </c>
    </row>
    <row r="14">
      <c r="B14" s="682">
        <f>'3.Cropland'!C108</f>
        <v/>
      </c>
      <c r="C14" s="3397" t="n"/>
      <c r="D14" s="682">
        <f>IF('3.Cropland'!$AS108="", '3.Cropland'!$AR108, '3.Cropland'!AS108)</f>
        <v/>
      </c>
      <c r="E14" s="682">
        <f>'3.Cropland'!$G108</f>
        <v/>
      </c>
      <c r="F14" s="682">
        <f>'3.Cropland'!$I108</f>
        <v/>
      </c>
      <c r="G14" s="682">
        <f>'3.Cropland'!$K108</f>
        <v/>
      </c>
      <c r="H14" s="3542">
        <f>IF('3.Cropland'!M108="", VLOOKUP(continent,rice!$AC$3:$AD$18,2,FALSE), '3.Cropland'!M108)</f>
        <v/>
      </c>
      <c r="I14" s="3542">
        <f>IF('3.Cropland'!$BI108="", '3.Cropland'!$BH108, '3.Cropland'!$BI108)</f>
        <v/>
      </c>
      <c r="J14" s="2834">
        <f>IF('3.Cropland'!$AU108="", '3.Cropland'!$AT108, '3.Cropland'!$AU108)</f>
        <v/>
      </c>
      <c r="K14" s="2834">
        <f>IF('3.Cropland'!$AW108="", '3.Cropland'!$AV108, '3.Cropland'!$AW108)</f>
        <v/>
      </c>
      <c r="L14" s="2834">
        <f>(J14*K14-J14*K14)*(44/12)/20</f>
        <v/>
      </c>
      <c r="M14" s="2834">
        <f>IF('3.Cropland'!$BG108="", '3.Cropland'!BF108, '3.Cropland'!BG108)</f>
        <v/>
      </c>
      <c r="N14" s="2835">
        <f>$M14*$D14</f>
        <v/>
      </c>
      <c r="O14" s="2834">
        <f>IF('3.Cropland'!$K108="Straw burnt", rice!$I14*IPCC!$B$87*(IPCC!$D$76*methane)/1000,0)</f>
        <v/>
      </c>
      <c r="P14" s="3380">
        <f>IF('3.Cropland'!$K108="Straw burnt", rice!$I14*IPCC!$B$87*(IPCC!$E$76*Nitrous)/1000,0)</f>
        <v/>
      </c>
      <c r="Q14" s="3392">
        <f>'3.Cropland'!M108</f>
        <v/>
      </c>
      <c r="R14" s="3484" t="n"/>
      <c r="V14" s="3233" t="inlineStr">
        <is>
          <t>CO2 Biomass</t>
        </is>
      </c>
      <c r="W14" s="3234" t="n">
        <v>0</v>
      </c>
      <c r="X14" s="3235" t="n">
        <v>0</v>
      </c>
      <c r="AC14" s="369" t="inlineStr">
        <is>
          <t>South-eastern Asia</t>
        </is>
      </c>
      <c r="AD14" s="366" t="n">
        <v>4.2911</v>
      </c>
      <c r="AE14" s="284" t="n"/>
      <c r="AF14" t="inlineStr">
        <is>
          <t>Asia</t>
        </is>
      </c>
      <c r="AG14" t="n">
        <v>4.817</v>
      </c>
      <c r="AK14" s="3244">
        <f>(MIN(C34,D34)*time_tot+ABS(D34-C34)*IF(D34&gt;C34,time_cap+time*(VLOOKUP(E34, list!$J$48:$K$50,2,)),time*(1-(VLOOKUP(E34, list!$J$48:$K$50,2,)))))*IF('3.Cropland'!K108="Straw burnt", rice!I14*IPCC!$B$87*(IPCC!$D$76*methane)/1000,0)</f>
        <v/>
      </c>
      <c r="AL14" s="3245">
        <f>(MIN(C34,F34)*time_tot+ABS(F34-C34)*IF(F34&gt;C34, time_cap + time*(VLOOKUP(G34, list!$J$48:$K$50,2,)),time*(1-(VLOOKUP(G34, list!$J$48:$K$50,2,)))))*IF('3.Cropland'!K108="Straw burnt", rice!I14*IPCC!$B$87*(IPCC!$D$76*methane)/1000,0)</f>
        <v/>
      </c>
      <c r="AM14" s="2406">
        <f>(MIN(C34,D34)*time_tot+ABS(D34-C34)*IF(D34&gt;C34,time_cap+time*(VLOOKUP(E34, list!$J$48:$K$50,2,)),time*(1-(VLOOKUP(E34, list!$J$48:$K$50,2,)))))*IF('3.Cropland'!K108="Straw burnt", rice!I14*IPCC!$B$87*(IPCC!$E$76*Nitrous)/1000,0)</f>
        <v/>
      </c>
      <c r="AN14" s="2406">
        <f>(MIN(C34,F34)*time_tot+ABS(F34-C34)*IF(F34&gt;C34, time_cap + time*(VLOOKUP(G34, list!$J$48:$K$50,2,)),time*(1-(VLOOKUP(G34, list!$J$48:$K$50,2,)))))*IF('3.Cropland'!K108="Straw burnt", rice!I14*IPCC!$B$87*(IPCC!$E$76*Nitrous)/1000,0)</f>
        <v/>
      </c>
      <c r="AO14" s="2406">
        <f>-$L14*((MIN($C34,D34)*MIN(20,time))+IF(E34="Immediate",IF(D34&gt;$C34,D34*MIN(20,time),0),IF($C34&gt;D34,($C34-D34)*IF(time&gt;20,IF(E34="Linear",time-((time-20)^2)/(2*time),(0.215*time)-(time/4.6)*(EXP(-92.1/time)-0.01)),time*(1-VLOOKUP(E34, list!$J$48:$K$50,2,))),(D34-$C34)*IF(time&gt;time+20,20,IF(time&lt;20,(time*VLOOKUP(E34, list!$J$48:$K$50,2,))+(time-time),((MIN(20,time)*VLOOKUP(E34, list!$J$48:$K$50,2,))+(time-MIN(20,time))-IF(E34="Exponential",time-20+0.217*time*(EXP(4.606*(20-time)/time)-1),((time-20)^2)*(0.5/time))))))))</f>
        <v/>
      </c>
      <c r="AP14" s="2406">
        <f>-$L14*((MIN($C34,F34)*MIN(20,time))+IF(G34="Immediate",IF(F34&gt;$C34,F34*MIN(20,time),0),IF($C34&gt;F34,($C34-F34)*IF(time&gt;20,IF(G34="Linear",time-((time-20)^2)/(2*time),(0.215*time)-(time/4.6)*(EXP(-92.1/time)-0.01)),time*(1-VLOOKUP(G34, list!$J$48:$K$50,2,))),(F34-$C34)*IF(time&gt;time+20,20,IF(time&lt;20,(time*VLOOKUP(G34, list!$J$48:$K$50,2,))+(time-time),((MIN(20,time)*VLOOKUP(G34, list!$J$48:$K$50,2,))+(time-MIN(20,time))-IF(G34="Exponential",time-20+0.217*time*(EXP(4.606*(20-time)/time)-1),((time-20)^2)*(0.5/time))))))))</f>
        <v/>
      </c>
      <c r="AQ14" s="3245">
        <f>(MIN(I34,J34)*time+ABS(J34-I34)*IF(J34 &gt; I34, time*(VLOOKUP(K34, list!$J$48:$K$50,2,)),time*(1-(VLOOKUP(K34, list!$J$48:$K$50,2,)))))*$N14*methane/1000</f>
        <v/>
      </c>
      <c r="AR14" s="2406">
        <f>(MIN(I34,L34)*time+ABS(L34-I34)*IF(L34&gt;I34, time*(VLOOKUP(M34, list!$J$48:$K$50,2,)),time*(1-(VLOOKUP(M34, list!$J$48:$K$50,2,)))))*$N14*methane/1000</f>
        <v/>
      </c>
      <c r="AS14" s="2406">
        <f>(MIN(C34,D34)*time+ABS(D34-C34)*IF(D34&gt;C34,time*(VLOOKUP(E34, list!$J$48:$K$50,2,)),time*(1-(VLOOKUP(E34, list!$J$48:$K$50,2,)))))*IF('3.Cropland'!K108="Straw burnt", rice!I14*IPCC!$B$87*(IPCC!$D$76*methane)/1000,0)</f>
        <v/>
      </c>
      <c r="AT14" s="2406">
        <f>(MIN(C34,F34)*time+ABS(F34-C34)*IF(F34&gt;C34,  time*(VLOOKUP(G34, list!$J$48:$K$50,2,)),time*(1-(VLOOKUP(G34, list!$J$48:$K$50,2,)))))*IF('3.Cropland'!K108="Straw burnt", rice!I14*IPCC!$B$87*(IPCC!$D$76*methane)/1000,0)</f>
        <v/>
      </c>
      <c r="AU14" s="2406">
        <f>(MIN(C34,D34)*time+ABS(D34-C34)*IF(D34&gt;C34,time*(VLOOKUP(E34, list!$J$48:$K$50,2,)),time*(1-(VLOOKUP(E34, list!$J$48:$K$50,2,)))))*IF('3.Cropland'!K108="Straw burnt", rice!I14*IPCC!$B$87*(IPCC!$E$76*Nitrous)/1000,0)</f>
        <v/>
      </c>
      <c r="AV14" s="2407">
        <f>(MIN(C34,F34)*time+ABS(F34-C34)*IF(F34&gt;C34,  time*(VLOOKUP(G34, list!$J$48:$K$50,2,)),time*(1-(VLOOKUP(G34, list!$J$48:$K$50,2,)))))*IF('3.Cropland'!K108="Straw burnt", rice!I14*IPCC!$B$87*(IPCC!$E$76*Nitrous)/1000,0)</f>
        <v/>
      </c>
    </row>
    <row r="15">
      <c r="B15" s="682">
        <f>'3.Cropland'!C109</f>
        <v/>
      </c>
      <c r="C15" s="3397" t="n"/>
      <c r="D15" s="682">
        <f>IF('3.Cropland'!$AS109="", '3.Cropland'!$AR109, '3.Cropland'!AS109)</f>
        <v/>
      </c>
      <c r="E15" s="682">
        <f>'3.Cropland'!$G109</f>
        <v/>
      </c>
      <c r="F15" s="682">
        <f>'3.Cropland'!$I109</f>
        <v/>
      </c>
      <c r="G15" s="682">
        <f>'3.Cropland'!$K109</f>
        <v/>
      </c>
      <c r="H15" s="3683">
        <f>IF('3.Cropland'!M109="", VLOOKUP(continent,rice!$AC$3:$AD$18,2,FALSE), '3.Cropland'!M109)</f>
        <v/>
      </c>
      <c r="I15" s="3683">
        <f>IF('3.Cropland'!$BI109="", '3.Cropland'!$BH109, '3.Cropland'!$BI109)</f>
        <v/>
      </c>
      <c r="J15" s="2816">
        <f>IF('3.Cropland'!$AU109="", '3.Cropland'!$AT109, '3.Cropland'!$AU109)</f>
        <v/>
      </c>
      <c r="K15" s="2816">
        <f>IF('3.Cropland'!$AW109="", '3.Cropland'!$AV109, '3.Cropland'!$AW109)</f>
        <v/>
      </c>
      <c r="L15" s="2834">
        <f>(J15*K15-J15*K15)*(44/12)/20</f>
        <v/>
      </c>
      <c r="M15" s="2816">
        <f>IF('3.Cropland'!$BG109="", '3.Cropland'!BF109, '3.Cropland'!BG109)</f>
        <v/>
      </c>
      <c r="N15" s="2817">
        <f>$M15*$D15</f>
        <v/>
      </c>
      <c r="O15" s="2816">
        <f>IF('3.Cropland'!$K109="Straw burnt", rice!$I15*IPCC!$B$87*(IPCC!$D$76*methane)/1000,0)</f>
        <v/>
      </c>
      <c r="P15" s="2406">
        <f>IF('3.Cropland'!$K109="Straw burnt", rice!$I15*IPCC!$B$87*(IPCC!$E$76*Nitrous)/1000,0)</f>
        <v/>
      </c>
      <c r="Q15" s="2407">
        <f>'3.Cropland'!M109</f>
        <v/>
      </c>
      <c r="R15" s="3484" t="n"/>
      <c r="V15" s="3233" t="inlineStr">
        <is>
          <t>CO2 soil</t>
        </is>
      </c>
      <c r="W15" s="3237">
        <f>SUM(N30:N43)</f>
        <v/>
      </c>
      <c r="X15" s="3238">
        <f>SUM(O30:O43)</f>
        <v/>
      </c>
      <c r="AC15" s="369" t="inlineStr">
        <is>
          <t>Southern Africa</t>
        </is>
      </c>
      <c r="AD15" s="366" t="n">
        <v>2.9177</v>
      </c>
      <c r="AE15" s="284" t="n"/>
      <c r="AF15" t="inlineStr">
        <is>
          <t>Central Asia</t>
        </is>
      </c>
      <c r="AG15" t="n">
        <v>3.6902</v>
      </c>
      <c r="AK15" s="3244">
        <f>(MIN(C35,D35)*time_tot+ABS(D35-C35)*IF(D35&gt;C35,time_cap+time*(VLOOKUP(E35, list!$J$48:$K$50,2,)),time*(1-(VLOOKUP(E35, list!$J$48:$K$50,2,)))))*IF('3.Cropland'!K109="Straw burnt", rice!I15*IPCC!$B$87*(IPCC!$D$76*methane)/1000,0)</f>
        <v/>
      </c>
      <c r="AL15" s="3245">
        <f>(MIN(C35,F35)*time_tot+ABS(F35-C35)*IF(F35&gt;C35, time_cap + time*(VLOOKUP(G35, list!$J$48:$K$50,2,)),time*(1-(VLOOKUP(G35, list!$J$48:$K$50,2,)))))*IF('3.Cropland'!K109="Straw burnt", rice!I15*IPCC!$B$87*(IPCC!$D$76*methane)/1000,0)</f>
        <v/>
      </c>
      <c r="AM15" s="2406">
        <f>(MIN(C35,D35)*time_tot+ABS(D35-C35)*IF(D35&gt;C35,time_cap+time*(VLOOKUP(E35, list!$J$48:$K$50,2,)),time*(1-(VLOOKUP(E35, list!$J$48:$K$50,2,)))))*IF('3.Cropland'!K109="Straw burnt", rice!I15*IPCC!$B$87*(IPCC!$E$76*Nitrous)/1000,0)</f>
        <v/>
      </c>
      <c r="AN15" s="2406">
        <f>(MIN(C35,F35)*time_tot+ABS(F35-C35)*IF(F35&gt;C35, time_cap + time*(VLOOKUP(G35, list!$J$48:$K$50,2,)),time*(1-(VLOOKUP(G35, list!$J$48:$K$50,2,)))))*IF('3.Cropland'!K109="Straw burnt", rice!I15*IPCC!$B$87*(IPCC!$E$76*Nitrous)/1000,0)</f>
        <v/>
      </c>
      <c r="AO15" s="2406">
        <f>-$L15*((MIN($C35,D35)*MIN(20,time))+IF(E35="Immediate",IF(D35&gt;$C35,D35*MIN(20,time),0),IF($C35&gt;D35,($C35-D35)*IF(time&gt;20,IF(E35="Linear",time-((time-20)^2)/(2*time),(0.215*time)-(time/4.6)*(EXP(-92.1/time)-0.01)),time*(1-VLOOKUP(E35, list!$J$48:$K$50,2,))),(D35-$C35)*IF(time&gt;time+20,20,IF(time&lt;20,(time*VLOOKUP(E35, list!$J$48:$K$50,2,))+(time-time),((MIN(20,time)*VLOOKUP(E35, list!$J$48:$K$50,2,))+(time-MIN(20,time))-IF(E35="Exponential",time-20+0.217*time*(EXP(4.606*(20-time)/time)-1),((time-20)^2)*(0.5/time))))))))</f>
        <v/>
      </c>
      <c r="AP15" s="2406">
        <f>-$L15*((MIN($C35,F35)*MIN(20,time))+IF(G35="Immediate",IF(F35&gt;$C35,F35*MIN(20,time),0),IF($C35&gt;F35,($C35-F35)*IF(time&gt;20,IF(G35="Linear",time-((time-20)^2)/(2*time),(0.215*time)-(time/4.6)*(EXP(-92.1/time)-0.01)),time*(1-VLOOKUP(G35, list!$J$48:$K$50,2,))),(F35-$C35)*IF(time&gt;time+20,20,IF(time&lt;20,(time*VLOOKUP(G35, list!$J$48:$K$50,2,))+(time-time),((MIN(20,time)*VLOOKUP(G35, list!$J$48:$K$50,2,))+(time-MIN(20,time))-IF(G35="Exponential",time-20+0.217*time*(EXP(4.606*(20-time)/time)-1),((time-20)^2)*(0.5/time))))))))</f>
        <v/>
      </c>
      <c r="AQ15" s="3245">
        <f>(MIN(I35,J35)*time+ABS(J35-I35)*IF(J35 &gt; I35, time*(VLOOKUP(K35, list!$J$48:$K$50,2,)),time*(1-(VLOOKUP(K35, list!$J$48:$K$50,2,)))))*$N15*methane/1000</f>
        <v/>
      </c>
      <c r="AR15" s="2406">
        <f>(MIN(I35,L35)*time+ABS(L35-I35)*IF(L35&gt;I35, time*(VLOOKUP(M35, list!$J$48:$K$50,2,)),time*(1-(VLOOKUP(M35, list!$J$48:$K$50,2,)))))*$N15*methane/1000</f>
        <v/>
      </c>
      <c r="AS15" s="2406">
        <f>(MIN(C35,D35)*time+ABS(D35-C35)*IF(D35&gt;C35,time*(VLOOKUP(E35, list!$J$48:$K$50,2,)),time*(1-(VLOOKUP(E35, list!$J$48:$K$50,2,)))))*IF('3.Cropland'!K109="Straw burnt", rice!I15*IPCC!$B$87*(IPCC!$D$76*methane)/1000,0)</f>
        <v/>
      </c>
      <c r="AT15" s="2406">
        <f>(MIN(C35,F35)*time+ABS(F35-C35)*IF(F35&gt;C35,  time*(VLOOKUP(G35, list!$J$48:$K$50,2,)),time*(1-(VLOOKUP(G35, list!$J$48:$K$50,2,)))))*IF('3.Cropland'!K109="Straw burnt", rice!I15*IPCC!$B$87*(IPCC!$D$76*methane)/1000,0)</f>
        <v/>
      </c>
      <c r="AU15" s="2406">
        <f>(MIN(C35,D35)*time+ABS(D35-C35)*IF(D35&gt;C35,time*(VLOOKUP(E35, list!$J$48:$K$50,2,)),time*(1-(VLOOKUP(E35, list!$J$48:$K$50,2,)))))*IF('3.Cropland'!K109="Straw burnt", rice!I15*IPCC!$B$87*(IPCC!$E$76*Nitrous)/1000,0)</f>
        <v/>
      </c>
      <c r="AV15" s="2407">
        <f>(MIN(C35,F35)*time+ABS(F35-C35)*IF(F35&gt;C35,  time*(VLOOKUP(G35, list!$J$48:$K$50,2,)),time*(1-(VLOOKUP(G35, list!$J$48:$K$50,2,)))))*IF('3.Cropland'!K109="Straw burnt", rice!I15*IPCC!$B$87*(IPCC!$E$76*Nitrous)/1000,0)</f>
        <v/>
      </c>
    </row>
    <row r="16">
      <c r="B16" s="682">
        <f>'3.Cropland'!C110</f>
        <v/>
      </c>
      <c r="C16" s="3397" t="n"/>
      <c r="D16" s="682">
        <f>IF('3.Cropland'!$AS110="", '3.Cropland'!$AR110, '3.Cropland'!AS110)</f>
        <v/>
      </c>
      <c r="E16" s="682">
        <f>'3.Cropland'!$G110</f>
        <v/>
      </c>
      <c r="F16" s="682">
        <f>'3.Cropland'!$I110</f>
        <v/>
      </c>
      <c r="G16" s="682">
        <f>'3.Cropland'!$K110</f>
        <v/>
      </c>
      <c r="H16" s="3683">
        <f>IF('3.Cropland'!M110="", VLOOKUP(continent,rice!$AC$3:$AD$18,2,FALSE), '3.Cropland'!M110)</f>
        <v/>
      </c>
      <c r="I16" s="3683">
        <f>IF('3.Cropland'!$BI110="", '3.Cropland'!$BH110, '3.Cropland'!$BI110)</f>
        <v/>
      </c>
      <c r="J16" s="2816">
        <f>IF('3.Cropland'!$AU110="", '3.Cropland'!$AT110, '3.Cropland'!$AU110)</f>
        <v/>
      </c>
      <c r="K16" s="2816">
        <f>IF('3.Cropland'!$AW110="", '3.Cropland'!$AV110, '3.Cropland'!$AW110)</f>
        <v/>
      </c>
      <c r="L16" s="2834">
        <f>(J16*K16-J16*K16)*(44/12)/20</f>
        <v/>
      </c>
      <c r="M16" s="2816">
        <f>IF('3.Cropland'!$BG110="", '3.Cropland'!BF110, '3.Cropland'!BG110)</f>
        <v/>
      </c>
      <c r="N16" s="2817">
        <f>$M16*$D16</f>
        <v/>
      </c>
      <c r="O16" s="2816">
        <f>IF('3.Cropland'!$K110="Straw burnt", rice!$I16*IPCC!$B$87*(IPCC!$D$76*methane)/1000,0)</f>
        <v/>
      </c>
      <c r="P16" s="2406">
        <f>IF('3.Cropland'!$K110="Straw burnt", rice!$I16*IPCC!$B$87*(IPCC!$E$76*Nitrous)/1000,0)</f>
        <v/>
      </c>
      <c r="Q16" s="2407">
        <f>'3.Cropland'!M110</f>
        <v/>
      </c>
      <c r="R16" s="3484" t="n"/>
      <c r="V16" s="3233" t="inlineStr">
        <is>
          <t>CH4 rice cultivation</t>
        </is>
      </c>
      <c r="W16" s="3244">
        <f>SUM(P30:P43)</f>
        <v/>
      </c>
      <c r="X16" s="3244">
        <f>SUM(Q30:Q43)</f>
        <v/>
      </c>
      <c r="AC16" s="369" t="inlineStr">
        <is>
          <t>Southern Asia</t>
        </is>
      </c>
      <c r="AD16" s="366" t="n">
        <v>4.0533</v>
      </c>
      <c r="AF16" t="inlineStr">
        <is>
          <t>Eastern Asia</t>
        </is>
      </c>
      <c r="AG16" t="n">
        <v>6.9739</v>
      </c>
      <c r="AK16" s="3244">
        <f>(MIN(C36,D36)*time_tot+ABS(D36-C36)*IF(D36&gt;C36,time_cap+time*(VLOOKUP(E36, list!$J$48:$K$50,2,)),time*(1-(VLOOKUP(E36, list!$J$48:$K$50,2,)))))*IF('3.Cropland'!K110="Straw burnt", rice!I16*IPCC!$B$87*(IPCC!$D$76*methane)/1000,0)</f>
        <v/>
      </c>
      <c r="AL16" s="3245">
        <f>(MIN(C36,F36)*time_tot+ABS(F36-C36)*IF(F36&gt;C36, time_cap + time*(VLOOKUP(G36, list!$J$48:$K$50,2,)),time*(1-(VLOOKUP(G36, list!$J$48:$K$50,2,)))))*IF('3.Cropland'!K110="Straw burnt", rice!I16*IPCC!$B$87*(IPCC!$D$76*methane)/1000,0)</f>
        <v/>
      </c>
      <c r="AM16" s="2406">
        <f>(MIN(C36,D36)*time_tot+ABS(D36-C36)*IF(D36&gt;C36,time_cap+time*(VLOOKUP(E36, list!$J$48:$K$50,2,)),time*(1-(VLOOKUP(E36, list!$J$48:$K$50,2,)))))*IF('3.Cropland'!K110="Straw burnt", rice!I16*IPCC!$B$87*(IPCC!$E$76*Nitrous)/1000,0)</f>
        <v/>
      </c>
      <c r="AN16" s="2406">
        <f>(MIN(C36,F36)*time_tot+ABS(F36-C36)*IF(F36&gt;C36, time_cap + time*(VLOOKUP(G36, list!$J$48:$K$50,2,)),time*(1-(VLOOKUP(G36, list!$J$48:$K$50,2,)))))*IF('3.Cropland'!K110="Straw burnt", rice!I16*IPCC!$B$87*(IPCC!$E$76*Nitrous)/1000,0)</f>
        <v/>
      </c>
      <c r="AO16" s="2406">
        <f>-$L16*((MIN($C36,D36)*MIN(20,time))+IF(E36="Immediate",IF(D36&gt;$C36,D36*MIN(20,time),0),IF($C36&gt;D36,($C36-D36)*IF(time&gt;20,IF(E36="Linear",time-((time-20)^2)/(2*time),(0.215*time)-(time/4.6)*(EXP(-92.1/time)-0.01)),time*(1-VLOOKUP(E36, list!$J$48:$K$50,2,))),(D36-$C36)*IF(time&gt;time+20,20,IF(time&lt;20,(time*VLOOKUP(E36, list!$J$48:$K$50,2,))+(time-time),((MIN(20,time)*VLOOKUP(E36, list!$J$48:$K$50,2,))+(time-MIN(20,time))-IF(E36="Exponential",time-20+0.217*time*(EXP(4.606*(20-time)/time)-1),((time-20)^2)*(0.5/time))))))))</f>
        <v/>
      </c>
      <c r="AP16" s="2406">
        <f>-$L16*((MIN($C36,F36)*MIN(20,time))+IF(G36="Immediate",IF(F36&gt;$C36,F36*MIN(20,time),0),IF($C36&gt;F36,($C36-F36)*IF(time&gt;20,IF(G36="Linear",time-((time-20)^2)/(2*time),(0.215*time)-(time/4.6)*(EXP(-92.1/time)-0.01)),time*(1-VLOOKUP(G36, list!$J$48:$K$50,2,))),(F36-$C36)*IF(time&gt;time+20,20,IF(time&lt;20,(time*VLOOKUP(G36, list!$J$48:$K$50,2,))+(time-time),((MIN(20,time)*VLOOKUP(G36, list!$J$48:$K$50,2,))+(time-MIN(20,time))-IF(G36="Exponential",time-20+0.217*time*(EXP(4.606*(20-time)/time)-1),((time-20)^2)*(0.5/time))))))))</f>
        <v/>
      </c>
      <c r="AQ16" s="3245">
        <f>(MIN(I36,J36)*time+ABS(J36-I36)*IF(J36 &gt; I36, time*(VLOOKUP(K36, list!$J$48:$K$50,2,)),time*(1-(VLOOKUP(K36, list!$J$48:$K$50,2,)))))*$N16*methane/1000</f>
        <v/>
      </c>
      <c r="AR16" s="2406">
        <f>(MIN(I36,L36)*time+ABS(L36-I36)*IF(L36&gt;I36, time*(VLOOKUP(M36, list!$J$48:$K$50,2,)),time*(1-(VLOOKUP(M36, list!$J$48:$K$50,2,)))))*$N16*methane/1000</f>
        <v/>
      </c>
      <c r="AS16" s="2406">
        <f>(MIN(C36,D36)*time+ABS(D36-C36)*IF(D36&gt;C36,time*(VLOOKUP(E36, list!$J$48:$K$50,2,)),time*(1-(VLOOKUP(E36, list!$J$48:$K$50,2,)))))*IF('3.Cropland'!K110="Straw burnt", rice!I16*IPCC!$B$87*(IPCC!$D$76*methane)/1000,0)</f>
        <v/>
      </c>
      <c r="AT16" s="2406">
        <f>(MIN(C36,F36)*time+ABS(F36-C36)*IF(F36&gt;C36,  time*(VLOOKUP(G36, list!$J$48:$K$50,2,)),time*(1-(VLOOKUP(G36, list!$J$48:$K$50,2,)))))*IF('3.Cropland'!K110="Straw burnt", rice!I16*IPCC!$B$87*(IPCC!$D$76*methane)/1000,0)</f>
        <v/>
      </c>
      <c r="AU16" s="2406">
        <f>(MIN(C36,D36)*time+ABS(D36-C36)*IF(D36&gt;C36,time*(VLOOKUP(E36, list!$J$48:$K$50,2,)),time*(1-(VLOOKUP(E36, list!$J$48:$K$50,2,)))))*IF('3.Cropland'!K110="Straw burnt", rice!I16*IPCC!$B$87*(IPCC!$E$76*Nitrous)/1000,0)</f>
        <v/>
      </c>
      <c r="AV16" s="2407">
        <f>(MIN(C36,F36)*time+ABS(F36-C36)*IF(F36&gt;C36,  time*(VLOOKUP(G36, list!$J$48:$K$50,2,)),time*(1-(VLOOKUP(G36, list!$J$48:$K$50,2,)))))*IF('3.Cropland'!K110="Straw burnt", rice!I16*IPCC!$B$87*(IPCC!$E$76*Nitrous)/1000,0)</f>
        <v/>
      </c>
    </row>
    <row r="17">
      <c r="B17" s="682">
        <f>'3.Cropland'!C111</f>
        <v/>
      </c>
      <c r="C17" s="3397" t="n"/>
      <c r="D17" s="682">
        <f>IF('3.Cropland'!$AS111="", '3.Cropland'!$AR111, '3.Cropland'!AS111)</f>
        <v/>
      </c>
      <c r="E17" s="682">
        <f>'3.Cropland'!$G111</f>
        <v/>
      </c>
      <c r="F17" s="682">
        <f>'3.Cropland'!$I111</f>
        <v/>
      </c>
      <c r="G17" s="682">
        <f>'3.Cropland'!$K111</f>
        <v/>
      </c>
      <c r="H17" s="3683">
        <f>IF('3.Cropland'!M111="", VLOOKUP(continent,rice!$AC$3:$AD$18,2,FALSE), '3.Cropland'!M111)</f>
        <v/>
      </c>
      <c r="I17" s="3683">
        <f>IF('3.Cropland'!$BI111="", '3.Cropland'!$BH111, '3.Cropland'!$BI111)</f>
        <v/>
      </c>
      <c r="J17" s="2816">
        <f>IF('3.Cropland'!$AU111="", '3.Cropland'!$AT111, '3.Cropland'!$AU111)</f>
        <v/>
      </c>
      <c r="K17" s="2816">
        <f>IF('3.Cropland'!$AW111="", '3.Cropland'!$AV111, '3.Cropland'!$AW111)</f>
        <v/>
      </c>
      <c r="L17" s="2834">
        <f>(J17*K17-J17*K17)*(44/12)/20</f>
        <v/>
      </c>
      <c r="M17" s="2816">
        <f>IF('3.Cropland'!$BG111="", '3.Cropland'!BF111, '3.Cropland'!BG111)</f>
        <v/>
      </c>
      <c r="N17" s="2817">
        <f>$M17*$D17</f>
        <v/>
      </c>
      <c r="O17" s="2816">
        <f>IF('3.Cropland'!$K111="Straw burnt", rice!$I17*IPCC!$B$87*(IPCC!$D$76*methane)/1000,0)</f>
        <v/>
      </c>
      <c r="P17" s="2406">
        <f>IF('3.Cropland'!$K111="Straw burnt", rice!$I17*IPCC!$B$87*(IPCC!$E$76*Nitrous)/1000,0)</f>
        <v/>
      </c>
      <c r="Q17" s="2407">
        <f>'3.Cropland'!M111</f>
        <v/>
      </c>
      <c r="R17" s="3484" t="n"/>
      <c r="V17" s="3233" t="inlineStr">
        <is>
          <t>CH4 fire</t>
        </is>
      </c>
      <c r="W17" s="3237">
        <f>SUM(AK10:AK23)</f>
        <v/>
      </c>
      <c r="X17" s="3238">
        <f>SUM(AL10:AL23)</f>
        <v/>
      </c>
      <c r="AC17" s="369" t="inlineStr">
        <is>
          <t>Western Africa</t>
        </is>
      </c>
      <c r="AD17" s="366" t="n">
        <v>1.9235</v>
      </c>
      <c r="AE17" s="284" t="n"/>
      <c r="AF17" t="inlineStr">
        <is>
          <t>Southern Asia</t>
        </is>
      </c>
      <c r="AG17" t="n">
        <v>4.0533</v>
      </c>
      <c r="AK17" s="3244">
        <f>(MIN(C37,D37)*time_tot+ABS(D37-C37)*IF(D37&gt;C37,time_cap+time*(VLOOKUP(E37, list!$J$48:$K$50,2,)),time*(1-(VLOOKUP(E37, list!$J$48:$K$50,2,)))))*IF('3.Cropland'!K111="Straw burnt", rice!I17*IPCC!$B$87*(IPCC!$D$76*methane)/1000,0)</f>
        <v/>
      </c>
      <c r="AL17" s="3245">
        <f>(MIN(C37,F37)*time_tot+ABS(F37-C37)*IF(F37&gt;C37, time_cap + time*(VLOOKUP(G37, list!$J$48:$K$50,2,)),time*(1-(VLOOKUP(G37, list!$J$48:$K$50,2,)))))*IF('3.Cropland'!K111="Straw burnt", rice!I17*IPCC!$B$87*(IPCC!$D$76*methane)/1000,0)</f>
        <v/>
      </c>
      <c r="AM17" s="2406">
        <f>(MIN(C37,D37)*time_tot+ABS(D37-C37)*IF(D37&gt;C37,time_cap+time*(VLOOKUP(E37, list!$J$48:$K$50,2,)),time*(1-(VLOOKUP(E37, list!$J$48:$K$50,2,)))))*IF('3.Cropland'!K111="Straw burnt", rice!I17*IPCC!$B$87*(IPCC!$E$76*Nitrous)/1000,0)</f>
        <v/>
      </c>
      <c r="AN17" s="2406">
        <f>(MIN(C37,F37)*time_tot+ABS(F37-C37)*IF(F37&gt;C37, time_cap + time*(VLOOKUP(G37, list!$J$48:$K$50,2,)),time*(1-(VLOOKUP(G37, list!$J$48:$K$50,2,)))))*IF('3.Cropland'!K111="Straw burnt", rice!I17*IPCC!$B$87*(IPCC!$E$76*Nitrous)/1000,0)</f>
        <v/>
      </c>
      <c r="AO17" s="2406">
        <f>-$L17*((MIN($C37,D37)*MIN(20,time))+IF(E37="Immediate",IF(D37&gt;$C37,D37*MIN(20,time),0),IF($C37&gt;D37,($C37-D37)*IF(time&gt;20,IF(E37="Linear",time-((time-20)^2)/(2*time),(0.215*time)-(time/4.6)*(EXP(-92.1/time)-0.01)),time*(1-VLOOKUP(E37, list!$J$48:$K$50,2,))),(D37-$C37)*IF(time&gt;time+20,20,IF(time&lt;20,(time*VLOOKUP(E37, list!$J$48:$K$50,2,))+(time-time),((MIN(20,time)*VLOOKUP(E37, list!$J$48:$K$50,2,))+(time-MIN(20,time))-IF(E37="Exponential",time-20+0.217*time*(EXP(4.606*(20-time)/time)-1),((time-20)^2)*(0.5/time))))))))</f>
        <v/>
      </c>
      <c r="AP17" s="2406">
        <f>-$L17*((MIN($C37,F37)*MIN(20,time))+IF(G37="Immediate",IF(F37&gt;$C37,F37*MIN(20,time),0),IF($C37&gt;F37,($C37-F37)*IF(time&gt;20,IF(G37="Linear",time-((time-20)^2)/(2*time),(0.215*time)-(time/4.6)*(EXP(-92.1/time)-0.01)),time*(1-VLOOKUP(G37, list!$J$48:$K$50,2,))),(F37-$C37)*IF(time&gt;time+20,20,IF(time&lt;20,(time*VLOOKUP(G37, list!$J$48:$K$50,2,))+(time-time),((MIN(20,time)*VLOOKUP(G37, list!$J$48:$K$50,2,))+(time-MIN(20,time))-IF(G37="Exponential",time-20+0.217*time*(EXP(4.606*(20-time)/time)-1),((time-20)^2)*(0.5/time))))))))</f>
        <v/>
      </c>
      <c r="AQ17" s="3245">
        <f>(MIN(I37,J37)*time+ABS(J37-I37)*IF(J37 &gt; I37, time*(VLOOKUP(K37, list!$J$48:$K$50,2,)),time*(1-(VLOOKUP(K37, list!$J$48:$K$50,2,)))))*$N17*methane/1000</f>
        <v/>
      </c>
      <c r="AR17" s="2406">
        <f>(MIN(I37,L37)*time+ABS(L37-I37)*IF(L37&gt;I37, time*(VLOOKUP(M37, list!$J$48:$K$50,2,)),time*(1-(VLOOKUP(M37, list!$J$48:$K$50,2,)))))*$N17*methane/1000</f>
        <v/>
      </c>
      <c r="AS17" s="2406">
        <f>(MIN(C37,D37)*time+ABS(D37-C37)*IF(D37&gt;C37,time*(VLOOKUP(E37, list!$J$48:$K$50,2,)),time*(1-(VLOOKUP(E37, list!$J$48:$K$50,2,)))))*IF('3.Cropland'!K111="Straw burnt", rice!I17*IPCC!$B$87*(IPCC!$D$76*methane)/1000,0)</f>
        <v/>
      </c>
      <c r="AT17" s="2406">
        <f>(MIN(C37,F37)*time+ABS(F37-C37)*IF(F37&gt;C37,  time*(VLOOKUP(G37, list!$J$48:$K$50,2,)),time*(1-(VLOOKUP(G37, list!$J$48:$K$50,2,)))))*IF('3.Cropland'!K111="Straw burnt", rice!I17*IPCC!$B$87*(IPCC!$D$76*methane)/1000,0)</f>
        <v/>
      </c>
      <c r="AU17" s="2406">
        <f>(MIN(C37,D37)*time+ABS(D37-C37)*IF(D37&gt;C37,time*(VLOOKUP(E37, list!$J$48:$K$50,2,)),time*(1-(VLOOKUP(E37, list!$J$48:$K$50,2,)))))*IF('3.Cropland'!K111="Straw burnt", rice!I17*IPCC!$B$87*(IPCC!$E$76*Nitrous)/1000,0)</f>
        <v/>
      </c>
      <c r="AV17" s="2407">
        <f>(MIN(C37,F37)*time+ABS(F37-C37)*IF(F37&gt;C37,  time*(VLOOKUP(G37, list!$J$48:$K$50,2,)),time*(1-(VLOOKUP(G37, list!$J$48:$K$50,2,)))))*IF('3.Cropland'!K111="Straw burnt", rice!I17*IPCC!$B$87*(IPCC!$E$76*Nitrous)/1000,0)</f>
        <v/>
      </c>
    </row>
    <row r="18">
      <c r="B18" s="682">
        <f>'3.Cropland'!C112</f>
        <v/>
      </c>
      <c r="C18" s="3397" t="n"/>
      <c r="D18" s="682">
        <f>IF('3.Cropland'!$AS112="", '3.Cropland'!$AR112, '3.Cropland'!AS112)</f>
        <v/>
      </c>
      <c r="E18" s="682">
        <f>'3.Cropland'!$G112</f>
        <v/>
      </c>
      <c r="F18" s="682">
        <f>'3.Cropland'!$I112</f>
        <v/>
      </c>
      <c r="G18" s="682">
        <f>'3.Cropland'!$K112</f>
        <v/>
      </c>
      <c r="H18" s="3683">
        <f>IF('3.Cropland'!M112="", VLOOKUP(continent,rice!$AC$3:$AD$18,2,FALSE), '3.Cropland'!M112)</f>
        <v/>
      </c>
      <c r="I18" s="3683">
        <f>IF('3.Cropland'!$BI112="", '3.Cropland'!$BH112, '3.Cropland'!$BI112)</f>
        <v/>
      </c>
      <c r="J18" s="2816">
        <f>IF('3.Cropland'!$AU112="", '3.Cropland'!$AT112, '3.Cropland'!$AU112)</f>
        <v/>
      </c>
      <c r="K18" s="2816">
        <f>IF('3.Cropland'!$AW112="", '3.Cropland'!$AV112, '3.Cropland'!$AW112)</f>
        <v/>
      </c>
      <c r="L18" s="2834">
        <f>(J18*K18-J18*K18)*(44/12)/20</f>
        <v/>
      </c>
      <c r="M18" s="2816">
        <f>IF('3.Cropland'!$BG112="", '3.Cropland'!BF112, '3.Cropland'!BG112)</f>
        <v/>
      </c>
      <c r="N18" s="2817">
        <f>$M18*$D18</f>
        <v/>
      </c>
      <c r="O18" s="2816">
        <f>IF('3.Cropland'!$K112="Straw burnt", rice!$I18*IPCC!$B$87*(IPCC!$D$76*methane)/1000,0)</f>
        <v/>
      </c>
      <c r="P18" s="2406">
        <f>IF('3.Cropland'!$K112="Straw burnt", rice!$I18*IPCC!$B$87*(IPCC!$E$76*Nitrous)/1000,0)</f>
        <v/>
      </c>
      <c r="Q18" s="2407">
        <f>'3.Cropland'!M112</f>
        <v/>
      </c>
      <c r="R18" s="3484" t="n"/>
      <c r="V18" s="3233" t="inlineStr">
        <is>
          <t>N2O fire</t>
        </is>
      </c>
      <c r="W18" s="3240">
        <f>SUM(AM10:AM23)</f>
        <v/>
      </c>
      <c r="X18" s="3241">
        <f>SUM(AN10:AN23)</f>
        <v/>
      </c>
      <c r="AC18" s="370" t="inlineStr">
        <is>
          <t>Western Asia</t>
        </is>
      </c>
      <c r="AD18" s="367" t="n">
        <v>6.3167</v>
      </c>
      <c r="AF18" t="inlineStr">
        <is>
          <t>South-eastern Asia</t>
        </is>
      </c>
      <c r="AG18" t="n">
        <v>4.2911</v>
      </c>
      <c r="AK18" s="3244">
        <f>(MIN(C38,D38)*time_tot+ABS(D38-C38)*IF(D38&gt;C38,time_cap+time*(VLOOKUP(E38, list!$J$48:$K$50,2,)),time*(1-(VLOOKUP(E38, list!$J$48:$K$50,2,)))))*IF('3.Cropland'!K112="Straw burnt", rice!I18*IPCC!$B$87*(IPCC!$D$76*methane)/1000,0)</f>
        <v/>
      </c>
      <c r="AL18" s="3245">
        <f>(MIN(C38,F38)*time_tot+ABS(F38-C38)*IF(F38&gt;C38, time_cap + time*(VLOOKUP(G38, list!$J$48:$K$50,2,)),time*(1-(VLOOKUP(G38, list!$J$48:$K$50,2,)))))*IF('3.Cropland'!K112="Straw burnt", rice!I18*IPCC!$B$87*(IPCC!$D$76*methane)/1000,0)</f>
        <v/>
      </c>
      <c r="AM18" s="2406">
        <f>(MIN(C38,D38)*time_tot+ABS(D38-C38)*IF(D38&gt;C38,time_cap+time*(VLOOKUP(E38, list!$J$48:$K$50,2,)),time*(1-(VLOOKUP(E38, list!$J$48:$K$50,2,)))))*IF('3.Cropland'!K112="Straw burnt", rice!I18*IPCC!$B$87*(IPCC!$E$76*Nitrous)/1000,0)</f>
        <v/>
      </c>
      <c r="AN18" s="2406">
        <f>(MIN(C38,F38)*time_tot+ABS(F38-C38)*IF(F38&gt;C38, time_cap + time*(VLOOKUP(G38, list!$J$48:$K$50,2,)),time*(1-(VLOOKUP(G38, list!$J$48:$K$50,2,)))))*IF('3.Cropland'!K112="Straw burnt", rice!I18*IPCC!$B$87*(IPCC!$E$76*Nitrous)/1000,0)</f>
        <v/>
      </c>
      <c r="AO18" s="2406">
        <f>-$L18*((MIN($C38,D38)*MIN(20,time))+IF(E38="Immediate",IF(D38&gt;$C38,D38*MIN(20,time),0),IF($C38&gt;D38,($C38-D38)*IF(time&gt;20,IF(E38="Linear",time-((time-20)^2)/(2*time),(0.215*time)-(time/4.6)*(EXP(-92.1/time)-0.01)),time*(1-VLOOKUP(E38, list!$J$48:$K$50,2,))),(D38-$C38)*IF(time&gt;time+20,20,IF(time&lt;20,(time*VLOOKUP(E38, list!$J$48:$K$50,2,))+(time-time),((MIN(20,time)*VLOOKUP(E38, list!$J$48:$K$50,2,))+(time-MIN(20,time))-IF(E38="Exponential",time-20+0.217*time*(EXP(4.606*(20-time)/time)-1),((time-20)^2)*(0.5/time))))))))</f>
        <v/>
      </c>
      <c r="AP18" s="2406">
        <f>-$L18*((MIN($C38,F38)*MIN(20,time))+IF(G38="Immediate",IF(F38&gt;$C38,F38*MIN(20,time),0),IF($C38&gt;F38,($C38-F38)*IF(time&gt;20,IF(G38="Linear",time-((time-20)^2)/(2*time),(0.215*time)-(time/4.6)*(EXP(-92.1/time)-0.01)),time*(1-VLOOKUP(G38, list!$J$48:$K$50,2,))),(F38-$C38)*IF(time&gt;time+20,20,IF(time&lt;20,(time*VLOOKUP(G38, list!$J$48:$K$50,2,))+(time-time),((MIN(20,time)*VLOOKUP(G38, list!$J$48:$K$50,2,))+(time-MIN(20,time))-IF(G38="Exponential",time-20+0.217*time*(EXP(4.606*(20-time)/time)-1),((time-20)^2)*(0.5/time))))))))</f>
        <v/>
      </c>
      <c r="AQ18" s="3245">
        <f>(MIN(I38,J38)*time+ABS(J38-I38)*IF(J38 &gt; I38, time*(VLOOKUP(K38, list!$J$48:$K$50,2,)),time*(1-(VLOOKUP(K38, list!$J$48:$K$50,2,)))))*$N18*methane/1000</f>
        <v/>
      </c>
      <c r="AR18" s="2406">
        <f>(MIN(I38,L38)*time+ABS(L38-I38)*IF(L38&gt;I38, time*(VLOOKUP(M38, list!$J$48:$K$50,2,)),time*(1-(VLOOKUP(M38, list!$J$48:$K$50,2,)))))*$N18*methane/1000</f>
        <v/>
      </c>
      <c r="AS18" s="2406">
        <f>(MIN(C38,D38)*time+ABS(D38-C38)*IF(D38&gt;C38,time*(VLOOKUP(E38, list!$J$48:$K$50,2,)),time*(1-(VLOOKUP(E38, list!$J$48:$K$50,2,)))))*IF('3.Cropland'!K112="Straw burnt", rice!I18*IPCC!$B$87*(IPCC!$D$76*methane)/1000,0)</f>
        <v/>
      </c>
      <c r="AT18" s="2406">
        <f>(MIN(C38,F38)*time+ABS(F38-C38)*IF(F38&gt;C38,  time*(VLOOKUP(G38, list!$J$48:$K$50,2,)),time*(1-(VLOOKUP(G38, list!$J$48:$K$50,2,)))))*IF('3.Cropland'!K112="Straw burnt", rice!I18*IPCC!$B$87*(IPCC!$D$76*methane)/1000,0)</f>
        <v/>
      </c>
      <c r="AU18" s="2406">
        <f>(MIN(C38,D38)*time+ABS(D38-C38)*IF(D38&gt;C38,time*(VLOOKUP(E38, list!$J$48:$K$50,2,)),time*(1-(VLOOKUP(E38, list!$J$48:$K$50,2,)))))*IF('3.Cropland'!K112="Straw burnt", rice!I18*IPCC!$B$87*(IPCC!$E$76*Nitrous)/1000,0)</f>
        <v/>
      </c>
      <c r="AV18" s="2407">
        <f>(MIN(C38,F38)*time+ABS(F38-C38)*IF(F38&gt;C38,  time*(VLOOKUP(G38, list!$J$48:$K$50,2,)),time*(1-(VLOOKUP(G38, list!$J$48:$K$50,2,)))))*IF('3.Cropland'!K112="Straw burnt", rice!I18*IPCC!$B$87*(IPCC!$E$76*Nitrous)/1000,0)</f>
        <v/>
      </c>
    </row>
    <row r="19">
      <c r="B19" s="682">
        <f>'3.Cropland'!C113</f>
        <v/>
      </c>
      <c r="C19" s="3397" t="n"/>
      <c r="D19" s="682">
        <f>IF('3.Cropland'!$AS113="", '3.Cropland'!$AR113, '3.Cropland'!AS113)</f>
        <v/>
      </c>
      <c r="E19" s="682">
        <f>'3.Cropland'!$G113</f>
        <v/>
      </c>
      <c r="F19" s="682">
        <f>'3.Cropland'!$I113</f>
        <v/>
      </c>
      <c r="G19" s="682">
        <f>'3.Cropland'!$K113</f>
        <v/>
      </c>
      <c r="H19" s="3683">
        <f>IF('3.Cropland'!M113="", VLOOKUP(continent,rice!$AC$3:$AD$18,2,FALSE), '3.Cropland'!M113)</f>
        <v/>
      </c>
      <c r="I19" s="3683">
        <f>IF('3.Cropland'!$BI113="", '3.Cropland'!$BH113, '3.Cropland'!$BI113)</f>
        <v/>
      </c>
      <c r="J19" s="2816">
        <f>IF('3.Cropland'!$AU113="", '3.Cropland'!$AT113, '3.Cropland'!$AU113)</f>
        <v/>
      </c>
      <c r="K19" s="2816">
        <f>IF('3.Cropland'!$AW113="", '3.Cropland'!$AV113, '3.Cropland'!$AW113)</f>
        <v/>
      </c>
      <c r="L19" s="2834">
        <f>(J19*K19-J19*K19)*(44/12)/20</f>
        <v/>
      </c>
      <c r="M19" s="2816">
        <f>IF('3.Cropland'!$BG113="", '3.Cropland'!BF113, '3.Cropland'!BG113)</f>
        <v/>
      </c>
      <c r="N19" s="2817">
        <f>$M19*$D19</f>
        <v/>
      </c>
      <c r="O19" s="2816">
        <f>IF('3.Cropland'!$K113="Straw burnt", rice!$I19*IPCC!$B$87*(IPCC!$D$76*methane)/1000,0)</f>
        <v/>
      </c>
      <c r="P19" s="2406">
        <f>IF('3.Cropland'!$K113="Straw burnt", rice!$I19*IPCC!$B$87*(IPCC!$E$76*Nitrous)/1000,0)</f>
        <v/>
      </c>
      <c r="Q19" s="2407">
        <f>'3.Cropland'!M113</f>
        <v/>
      </c>
      <c r="R19" s="3484" t="n"/>
      <c r="V19" s="3230" t="inlineStr">
        <is>
          <t xml:space="preserve">Total </t>
        </is>
      </c>
      <c r="W19" s="3243">
        <f>SUM(W14:W18)</f>
        <v/>
      </c>
      <c r="X19" s="3243">
        <f>SUM(X14:X18)</f>
        <v/>
      </c>
      <c r="Y19" s="388" t="n"/>
      <c r="AE19" s="284" t="n"/>
      <c r="AF19" t="inlineStr">
        <is>
          <t>Western Asia</t>
        </is>
      </c>
      <c r="AG19" t="n">
        <v>6.3167</v>
      </c>
      <c r="AK19" s="3244">
        <f>(MIN(C39,D39)*time_tot+ABS(D39-C39)*IF(D39&gt;C39,time_cap+time*(VLOOKUP(E39, list!$J$48:$K$50,2,)),time*(1-(VLOOKUP(E39, list!$J$48:$K$50,2,)))))*IF('3.Cropland'!K113="Straw burnt", rice!I19*IPCC!$B$87*(IPCC!$D$76*methane)/1000,0)</f>
        <v/>
      </c>
      <c r="AL19" s="3245">
        <f>(MIN(C39,F39)*time_tot+ABS(F39-C39)*IF(F39&gt;C39, time_cap + time*(VLOOKUP(G39, list!$J$48:$K$50,2,)),time*(1-(VLOOKUP(G39, list!$J$48:$K$50,2,)))))*IF('3.Cropland'!K113="Straw burnt", rice!I19*IPCC!$B$87*(IPCC!$D$76*methane)/1000,0)</f>
        <v/>
      </c>
      <c r="AM19" s="2406">
        <f>(MIN(C39,D39)*time_tot+ABS(D39-C39)*IF(D39&gt;C39,time_cap+time*(VLOOKUP(E39, list!$J$48:$K$50,2,)),time*(1-(VLOOKUP(E39, list!$J$48:$K$50,2,)))))*IF('3.Cropland'!K113="Straw burnt", rice!I19*IPCC!$B$87*(IPCC!$E$76*Nitrous)/1000,0)</f>
        <v/>
      </c>
      <c r="AN19" s="2406">
        <f>(MIN(C39,F39)*time_tot+ABS(F39-C39)*IF(F39&gt;C39, time_cap + time*(VLOOKUP(G39, list!$J$48:$K$50,2,)),time*(1-(VLOOKUP(G39, list!$J$48:$K$50,2,)))))*IF('3.Cropland'!K113="Straw burnt", rice!I19*IPCC!$B$87*(IPCC!$E$76*Nitrous)/1000,0)</f>
        <v/>
      </c>
      <c r="AO19" s="2406">
        <f>-$L19*((MIN($C39,D39)*MIN(20,time))+IF(E39="Immediate",IF(D39&gt;$C39,D39*MIN(20,time),0),IF($C39&gt;D39,($C39-D39)*IF(time&gt;20,IF(E39="Linear",time-((time-20)^2)/(2*time),(0.215*time)-(time/4.6)*(EXP(-92.1/time)-0.01)),time*(1-VLOOKUP(E39, list!$J$48:$K$50,2,))),(D39-$C39)*IF(time&gt;time+20,20,IF(time&lt;20,(time*VLOOKUP(E39, list!$J$48:$K$50,2,))+(time-time),((MIN(20,time)*VLOOKUP(E39, list!$J$48:$K$50,2,))+(time-MIN(20,time))-IF(E39="Exponential",time-20+0.217*time*(EXP(4.606*(20-time)/time)-1),((time-20)^2)*(0.5/time))))))))</f>
        <v/>
      </c>
      <c r="AP19" s="2406">
        <f>-$L19*((MIN($C39,F39)*MIN(20,time))+IF(G39="Immediate",IF(F39&gt;$C39,F39*MIN(20,time),0),IF($C39&gt;F39,($C39-F39)*IF(time&gt;20,IF(G39="Linear",time-((time-20)^2)/(2*time),(0.215*time)-(time/4.6)*(EXP(-92.1/time)-0.01)),time*(1-VLOOKUP(G39, list!$J$48:$K$50,2,))),(F39-$C39)*IF(time&gt;time+20,20,IF(time&lt;20,(time*VLOOKUP(G39, list!$J$48:$K$50,2,))+(time-time),((MIN(20,time)*VLOOKUP(G39, list!$J$48:$K$50,2,))+(time-MIN(20,time))-IF(G39="Exponential",time-20+0.217*time*(EXP(4.606*(20-time)/time)-1),((time-20)^2)*(0.5/time))))))))</f>
        <v/>
      </c>
      <c r="AQ19" s="3245">
        <f>(MIN(I39,J39)*time+ABS(J39-I39)*IF(J39 &gt; I39, time*(VLOOKUP(K39, list!$J$48:$K$50,2,)),time*(1-(VLOOKUP(K39, list!$J$48:$K$50,2,)))))*$N19*methane/1000</f>
        <v/>
      </c>
      <c r="AR19" s="2406">
        <f>(MIN(I39,L39)*time+ABS(L39-I39)*IF(L39&gt;I39, time*(VLOOKUP(M39, list!$J$48:$K$50,2,)),time*(1-(VLOOKUP(M39, list!$J$48:$K$50,2,)))))*$N19*methane/1000</f>
        <v/>
      </c>
      <c r="AS19" s="2406">
        <f>(MIN(C39,D39)*time+ABS(D39-C39)*IF(D39&gt;C39,time*(VLOOKUP(E39, list!$J$48:$K$50,2,)),time*(1-(VLOOKUP(E39, list!$J$48:$K$50,2,)))))*IF('3.Cropland'!K113="Straw burnt", rice!I19*IPCC!$B$87*(IPCC!$D$76*methane)/1000,0)</f>
        <v/>
      </c>
      <c r="AT19" s="2406">
        <f>(MIN(C39,F39)*time+ABS(F39-C39)*IF(F39&gt;C39,  time*(VLOOKUP(G39, list!$J$48:$K$50,2,)),time*(1-(VLOOKUP(G39, list!$J$48:$K$50,2,)))))*IF('3.Cropland'!K113="Straw burnt", rice!I19*IPCC!$B$87*(IPCC!$D$76*methane)/1000,0)</f>
        <v/>
      </c>
      <c r="AU19" s="2406">
        <f>(MIN(C39,D39)*time+ABS(D39-C39)*IF(D39&gt;C39,time*(VLOOKUP(E39, list!$J$48:$K$50,2,)),time*(1-(VLOOKUP(E39, list!$J$48:$K$50,2,)))))*IF('3.Cropland'!K113="Straw burnt", rice!I19*IPCC!$B$87*(IPCC!$E$76*Nitrous)/1000,0)</f>
        <v/>
      </c>
      <c r="AV19" s="2407">
        <f>(MIN(C39,F39)*time+ABS(F39-C39)*IF(F39&gt;C39,  time*(VLOOKUP(G39, list!$J$48:$K$50,2,)),time*(1-(VLOOKUP(G39, list!$J$48:$K$50,2,)))))*IF('3.Cropland'!K113="Straw burnt", rice!I19*IPCC!$B$87*(IPCC!$E$76*Nitrous)/1000,0)</f>
        <v/>
      </c>
    </row>
    <row r="20">
      <c r="B20" s="682">
        <f>'3.Cropland'!C114</f>
        <v/>
      </c>
      <c r="C20" s="3397" t="n"/>
      <c r="D20" s="682">
        <f>IF('3.Cropland'!$AS114="", '3.Cropland'!$AR114, '3.Cropland'!AS114)</f>
        <v/>
      </c>
      <c r="E20" s="682">
        <f>'3.Cropland'!$G114</f>
        <v/>
      </c>
      <c r="F20" s="682">
        <f>'3.Cropland'!$I114</f>
        <v/>
      </c>
      <c r="G20" s="682">
        <f>'3.Cropland'!$K114</f>
        <v/>
      </c>
      <c r="H20" s="3683">
        <f>IF('3.Cropland'!M114="", VLOOKUP(continent,rice!$AC$3:$AD$18,2,FALSE), '3.Cropland'!M114)</f>
        <v/>
      </c>
      <c r="I20" s="3683">
        <f>IF('3.Cropland'!$BI114="", '3.Cropland'!$BH114, '3.Cropland'!$BI114)</f>
        <v/>
      </c>
      <c r="J20" s="2816">
        <f>IF('3.Cropland'!$AU114="", '3.Cropland'!$AT114, '3.Cropland'!$AU114)</f>
        <v/>
      </c>
      <c r="K20" s="2816">
        <f>IF('3.Cropland'!$AW114="", '3.Cropland'!$AV114, '3.Cropland'!$AW114)</f>
        <v/>
      </c>
      <c r="L20" s="2834">
        <f>(J20*K20-J20*K20)*(44/12)/20</f>
        <v/>
      </c>
      <c r="M20" s="2816">
        <f>IF('3.Cropland'!$BG114="", '3.Cropland'!BF114, '3.Cropland'!BG114)</f>
        <v/>
      </c>
      <c r="N20" s="2817">
        <f>$M20*$D20</f>
        <v/>
      </c>
      <c r="O20" s="2816">
        <f>IF('3.Cropland'!$K114="Straw burnt", rice!$I20*IPCC!$B$87*(IPCC!$D$76*methane)/1000,0)</f>
        <v/>
      </c>
      <c r="P20" s="2406">
        <f>IF('3.Cropland'!$K114="Straw burnt", rice!$I20*IPCC!$B$87*(IPCC!$E$76*Nitrous)/1000,0)</f>
        <v/>
      </c>
      <c r="Q20" s="2407">
        <f>'3.Cropland'!M114</f>
        <v/>
      </c>
      <c r="R20" s="3484" t="n"/>
      <c r="AF20" t="inlineStr">
        <is>
          <t>Europe</t>
        </is>
      </c>
      <c r="AG20" t="n">
        <v>6.3766</v>
      </c>
      <c r="AK20" s="3244">
        <f>(MIN(C40,D40)*time_tot+ABS(D40-C40)*IF(D40&gt;C40,time_cap+time*(VLOOKUP(E40, list!$J$48:$K$50,2,)),time*(1-(VLOOKUP(E40, list!$J$48:$K$50,2,)))))*IF('3.Cropland'!K114="Straw burnt", rice!I20*IPCC!$B$87*(IPCC!$D$76*methane)/1000,0)</f>
        <v/>
      </c>
      <c r="AL20" s="3245">
        <f>(MIN(C40,F40)*time_tot+ABS(F40-C40)*IF(F40&gt;C40, time_cap + time*(VLOOKUP(G40, list!$J$48:$K$50,2,)),time*(1-(VLOOKUP(G40, list!$J$48:$K$50,2,)))))*IF('3.Cropland'!K114="Straw burnt", rice!I20*IPCC!$B$87*(IPCC!$D$76*methane)/1000,0)</f>
        <v/>
      </c>
      <c r="AM20" s="2406">
        <f>(MIN(C40,D40)*time_tot+ABS(D40-C40)*IF(D40&gt;C40,time_cap+time*(VLOOKUP(E40, list!$J$48:$K$50,2,)),time*(1-(VLOOKUP(E40, list!$J$48:$K$50,2,)))))*IF('3.Cropland'!K114="Straw burnt", rice!I20*IPCC!$B$87*(IPCC!$E$76*Nitrous)/1000,0)</f>
        <v/>
      </c>
      <c r="AN20" s="2406">
        <f>(MIN(C40,F40)*time_tot+ABS(F40-C40)*IF(F40&gt;C40, time_cap + time*(VLOOKUP(G40, list!$J$48:$K$50,2,)),time*(1-(VLOOKUP(G40, list!$J$48:$K$50,2,)))))*IF('3.Cropland'!K114="Straw burnt", rice!I20*IPCC!$B$87*(IPCC!$E$76*Nitrous)/1000,0)</f>
        <v/>
      </c>
      <c r="AO20" s="2406">
        <f>-$L20*((MIN($C40,D40)*MIN(20,time))+IF(E40="Immediate",IF(D40&gt;$C40,D40*MIN(20,time),0),IF($C40&gt;D40,($C40-D40)*IF(time&gt;20,IF(E40="Linear",time-((time-20)^2)/(2*time),(0.215*time)-(time/4.6)*(EXP(-92.1/time)-0.01)),time*(1-VLOOKUP(E40, list!$J$48:$K$50,2,))),(D40-$C40)*IF(time&gt;time+20,20,IF(time&lt;20,(time*VLOOKUP(E40, list!$J$48:$K$50,2,))+(time-time),((MIN(20,time)*VLOOKUP(E40, list!$J$48:$K$50,2,))+(time-MIN(20,time))-IF(E40="Exponential",time-20+0.217*time*(EXP(4.606*(20-time)/time)-1),((time-20)^2)*(0.5/time))))))))</f>
        <v/>
      </c>
      <c r="AP20" s="2406">
        <f>-$L20*((MIN($C40,F40)*MIN(20,time))+IF(G40="Immediate",IF(F40&gt;$C40,F40*MIN(20,time),0),IF($C40&gt;F40,($C40-F40)*IF(time&gt;20,IF(G40="Linear",time-((time-20)^2)/(2*time),(0.215*time)-(time/4.6)*(EXP(-92.1/time)-0.01)),time*(1-VLOOKUP(G40, list!$J$48:$K$50,2,))),(F40-$C40)*IF(time&gt;time+20,20,IF(time&lt;20,(time*VLOOKUP(G40, list!$J$48:$K$50,2,))+(time-time),((MIN(20,time)*VLOOKUP(G40, list!$J$48:$K$50,2,))+(time-MIN(20,time))-IF(G40="Exponential",time-20+0.217*time*(EXP(4.606*(20-time)/time)-1),((time-20)^2)*(0.5/time))))))))</f>
        <v/>
      </c>
      <c r="AQ20" s="3245">
        <f>(MIN(I40,J40)*time+ABS(J40-I40)*IF(J40 &gt; I40, time*(VLOOKUP(K40, list!$J$48:$K$50,2,)),time*(1-(VLOOKUP(K40, list!$J$48:$K$50,2,)))))*$N20*methane/1000</f>
        <v/>
      </c>
      <c r="AR20" s="2406">
        <f>(MIN(I40,L40)*time+ABS(L40-I40)*IF(L40&gt;I40, time*(VLOOKUP(M40, list!$J$48:$K$50,2,)),time*(1-(VLOOKUP(M40, list!$J$48:$K$50,2,)))))*$N20*methane/1000</f>
        <v/>
      </c>
      <c r="AS20" s="2406">
        <f>(MIN(C40,D40)*time+ABS(D40-C40)*IF(D40&gt;C40,time*(VLOOKUP(E40, list!$J$48:$K$50,2,)),time*(1-(VLOOKUP(E40, list!$J$48:$K$50,2,)))))*IF('3.Cropland'!K114="Straw burnt", rice!I20*IPCC!$B$87*(IPCC!$D$76*methane)/1000,0)</f>
        <v/>
      </c>
      <c r="AT20" s="2406">
        <f>(MIN(C40,F40)*time+ABS(F40-C40)*IF(F40&gt;C40,  time*(VLOOKUP(G40, list!$J$48:$K$50,2,)),time*(1-(VLOOKUP(G40, list!$J$48:$K$50,2,)))))*IF('3.Cropland'!K114="Straw burnt", rice!I20*IPCC!$B$87*(IPCC!$D$76*methane)/1000,0)</f>
        <v/>
      </c>
      <c r="AU20" s="2406">
        <f>(MIN(C40,D40)*time+ABS(D40-C40)*IF(D40&gt;C40,time*(VLOOKUP(E40, list!$J$48:$K$50,2,)),time*(1-(VLOOKUP(E40, list!$J$48:$K$50,2,)))))*IF('3.Cropland'!K114="Straw burnt", rice!I20*IPCC!$B$87*(IPCC!$E$76*Nitrous)/1000,0)</f>
        <v/>
      </c>
      <c r="AV20" s="2407">
        <f>(MIN(C40,F40)*time+ABS(F40-C40)*IF(F40&gt;C40,  time*(VLOOKUP(G40, list!$J$48:$K$50,2,)),time*(1-(VLOOKUP(G40, list!$J$48:$K$50,2,)))))*IF('3.Cropland'!K114="Straw burnt", rice!I20*IPCC!$B$87*(IPCC!$E$76*Nitrous)/1000,0)</f>
        <v/>
      </c>
    </row>
    <row r="21">
      <c r="B21" s="682">
        <f>'3.Cropland'!C115</f>
        <v/>
      </c>
      <c r="C21" s="3397" t="n"/>
      <c r="D21" s="682">
        <f>IF('3.Cropland'!$AS115="", '3.Cropland'!$AR115, '3.Cropland'!AS115)</f>
        <v/>
      </c>
      <c r="E21" s="682">
        <f>'3.Cropland'!$G115</f>
        <v/>
      </c>
      <c r="F21" s="682">
        <f>'3.Cropland'!$I115</f>
        <v/>
      </c>
      <c r="G21" s="682">
        <f>'3.Cropland'!$K115</f>
        <v/>
      </c>
      <c r="H21" s="3683">
        <f>IF('3.Cropland'!M115="", VLOOKUP(continent,rice!$AC$3:$AD$18,2,FALSE), '3.Cropland'!M115)</f>
        <v/>
      </c>
      <c r="I21" s="3683">
        <f>IF('3.Cropland'!$BI115="", '3.Cropland'!$BH115, '3.Cropland'!$BI115)</f>
        <v/>
      </c>
      <c r="J21" s="2816">
        <f>IF('3.Cropland'!$AU115="", '3.Cropland'!$AT115, '3.Cropland'!$AU115)</f>
        <v/>
      </c>
      <c r="K21" s="2816">
        <f>IF('3.Cropland'!$AW115="", '3.Cropland'!$AV115, '3.Cropland'!$AW115)</f>
        <v/>
      </c>
      <c r="L21" s="2834">
        <f>(J21*K21-J21*K21)*(44/12)/20</f>
        <v/>
      </c>
      <c r="M21" s="2816">
        <f>IF('3.Cropland'!$BG115="", '3.Cropland'!BF115, '3.Cropland'!BG115)</f>
        <v/>
      </c>
      <c r="N21" s="2817">
        <f>$M21*$D21</f>
        <v/>
      </c>
      <c r="O21" s="2816">
        <f>IF('3.Cropland'!$K115="Straw burnt", rice!$I21*IPCC!$B$87*(IPCC!$D$76*methane)/1000,0)</f>
        <v/>
      </c>
      <c r="P21" s="2406">
        <f>IF('3.Cropland'!$K115="Straw burnt", rice!$I21*IPCC!$B$87*(IPCC!$E$76*Nitrous)/1000,0)</f>
        <v/>
      </c>
      <c r="Q21" s="2407">
        <f>'3.Cropland'!M115</f>
        <v/>
      </c>
      <c r="R21" s="3484" t="n"/>
      <c r="AF21" t="inlineStr">
        <is>
          <t>Eastern Europe</t>
        </is>
      </c>
      <c r="AG21" t="n">
        <v>5.7106</v>
      </c>
      <c r="AK21" s="3244">
        <f>(MIN(C41,D41)*time_tot+ABS(D41-C41)*IF(D41&gt;C41,time_cap+time*(VLOOKUP(E41, list!$J$48:$K$50,2,)),time*(1-(VLOOKUP(E41, list!$J$48:$K$50,2,)))))*IF('3.Cropland'!K115="Straw burnt", rice!I21*IPCC!$B$87*(IPCC!$D$76*methane)/1000,0)</f>
        <v/>
      </c>
      <c r="AL21" s="3245">
        <f>(MIN(C41,F41)*time_tot+ABS(F41-C41)*IF(F41&gt;C41, time_cap + time*(VLOOKUP(G41, list!$J$48:$K$50,2,)),time*(1-(VLOOKUP(G41, list!$J$48:$K$50,2,)))))*IF('3.Cropland'!K115="Straw burnt", rice!I21*IPCC!$B$87*(IPCC!$D$76*methane)/1000,0)</f>
        <v/>
      </c>
      <c r="AM21" s="2406">
        <f>(MIN(C41,D41)*time_tot+ABS(D41-C41)*IF(D41&gt;C41,time_cap+time*(VLOOKUP(E41, list!$J$48:$K$50,2,)),time*(1-(VLOOKUP(E41, list!$J$48:$K$50,2,)))))*IF('3.Cropland'!K115="Straw burnt", rice!I21*IPCC!$B$87*(IPCC!$E$76*Nitrous)/1000,0)</f>
        <v/>
      </c>
      <c r="AN21" s="2406">
        <f>(MIN(C41,F41)*time_tot+ABS(F41-C41)*IF(F41&gt;C41, time_cap + time*(VLOOKUP(G41, list!$J$48:$K$50,2,)),time*(1-(VLOOKUP(G41, list!$J$48:$K$50,2,)))))*IF('3.Cropland'!K115="Straw burnt", rice!I21*IPCC!$B$87*(IPCC!$E$76*Nitrous)/1000,0)</f>
        <v/>
      </c>
      <c r="AO21" s="2406">
        <f>-$L21*((MIN($C41,D41)*MIN(20,time))+IF(E41="Immediate",IF(D41&gt;$C41,D41*MIN(20,time),0),IF($C41&gt;D41,($C41-D41)*IF(time&gt;20,IF(E41="Linear",time-((time-20)^2)/(2*time),(0.215*time)-(time/4.6)*(EXP(-92.1/time)-0.01)),time*(1-VLOOKUP(E41, list!$J$48:$K$50,2,))),(D41-$C41)*IF(time&gt;time+20,20,IF(time&lt;20,(time*VLOOKUP(E41, list!$J$48:$K$50,2,))+(time-time),((MIN(20,time)*VLOOKUP(E41, list!$J$48:$K$50,2,))+(time-MIN(20,time))-IF(E41="Exponential",time-20+0.217*time*(EXP(4.606*(20-time)/time)-1),((time-20)^2)*(0.5/time))))))))</f>
        <v/>
      </c>
      <c r="AP21" s="2406">
        <f>-$L21*((MIN($C41,F41)*MIN(20,time))+IF(G41="Immediate",IF(F41&gt;$C41,F41*MIN(20,time),0),IF($C41&gt;F41,($C41-F41)*IF(time&gt;20,IF(G41="Linear",time-((time-20)^2)/(2*time),(0.215*time)-(time/4.6)*(EXP(-92.1/time)-0.01)),time*(1-VLOOKUP(G41, list!$J$48:$K$50,2,))),(F41-$C41)*IF(time&gt;time+20,20,IF(time&lt;20,(time*VLOOKUP(G41, list!$J$48:$K$50,2,))+(time-time),((MIN(20,time)*VLOOKUP(G41, list!$J$48:$K$50,2,))+(time-MIN(20,time))-IF(G41="Exponential",time-20+0.217*time*(EXP(4.606*(20-time)/time)-1),((time-20)^2)*(0.5/time))))))))</f>
        <v/>
      </c>
      <c r="AQ21" s="3245">
        <f>(MIN(I41,J41)*time+ABS(J41-I41)*IF(J41 &gt; I41, time*(VLOOKUP(K41, list!$J$48:$K$50,2,)),time*(1-(VLOOKUP(K41, list!$J$48:$K$50,2,)))))*$N21*methane/1000</f>
        <v/>
      </c>
      <c r="AR21" s="2406">
        <f>(MIN(I41,L41)*time+ABS(L41-I41)*IF(L41&gt;I41, time*(VLOOKUP(M41, list!$J$48:$K$50,2,)),time*(1-(VLOOKUP(M41, list!$J$48:$K$50,2,)))))*$N21*methane/1000</f>
        <v/>
      </c>
      <c r="AS21" s="2406">
        <f>(MIN(C41,D41)*time+ABS(D41-C41)*IF(D41&gt;C41,time*(VLOOKUP(E41, list!$J$48:$K$50,2,)),time*(1-(VLOOKUP(E41, list!$J$48:$K$50,2,)))))*IF('3.Cropland'!K115="Straw burnt", rice!I21*IPCC!$B$87*(IPCC!$D$76*methane)/1000,0)</f>
        <v/>
      </c>
      <c r="AT21" s="2406">
        <f>(MIN(C41,F41)*time+ABS(F41-C41)*IF(F41&gt;C41,  time*(VLOOKUP(G41, list!$J$48:$K$50,2,)),time*(1-(VLOOKUP(G41, list!$J$48:$K$50,2,)))))*IF('3.Cropland'!K115="Straw burnt", rice!I21*IPCC!$B$87*(IPCC!$D$76*methane)/1000,0)</f>
        <v/>
      </c>
      <c r="AU21" s="2406">
        <f>(MIN(C41,D41)*time+ABS(D41-C41)*IF(D41&gt;C41,time*(VLOOKUP(E41, list!$J$48:$K$50,2,)),time*(1-(VLOOKUP(E41, list!$J$48:$K$50,2,)))))*IF('3.Cropland'!K115="Straw burnt", rice!I21*IPCC!$B$87*(IPCC!$E$76*Nitrous)/1000,0)</f>
        <v/>
      </c>
      <c r="AV21" s="2407">
        <f>(MIN(C41,F41)*time+ABS(F41-C41)*IF(F41&gt;C41,  time*(VLOOKUP(G41, list!$J$48:$K$50,2,)),time*(1-(VLOOKUP(G41, list!$J$48:$K$50,2,)))))*IF('3.Cropland'!K115="Straw burnt", rice!I21*IPCC!$B$87*(IPCC!$E$76*Nitrous)/1000,0)</f>
        <v/>
      </c>
    </row>
    <row r="22">
      <c r="B22" s="682">
        <f>'3.Cropland'!C116</f>
        <v/>
      </c>
      <c r="C22" s="3397" t="n"/>
      <c r="D22" s="682">
        <f>IF('3.Cropland'!$AS116="", '3.Cropland'!$AR116, '3.Cropland'!AS116)</f>
        <v/>
      </c>
      <c r="E22" s="682">
        <f>'3.Cropland'!$G116</f>
        <v/>
      </c>
      <c r="F22" s="682">
        <f>'3.Cropland'!$I116</f>
        <v/>
      </c>
      <c r="G22" s="682">
        <f>'3.Cropland'!$K116</f>
        <v/>
      </c>
      <c r="H22" s="3683">
        <f>IF('3.Cropland'!M116="", VLOOKUP(continent,rice!$AC$3:$AD$18,2,FALSE), '3.Cropland'!M116)</f>
        <v/>
      </c>
      <c r="I22" s="3683">
        <f>IF('3.Cropland'!$BI116="", '3.Cropland'!$BH116, '3.Cropland'!$BI116)</f>
        <v/>
      </c>
      <c r="J22" s="2816">
        <f>IF('3.Cropland'!$AU116="", '3.Cropland'!$AT116, '3.Cropland'!$AU116)</f>
        <v/>
      </c>
      <c r="K22" s="2816">
        <f>IF('3.Cropland'!$AW116="", '3.Cropland'!$AV116, '3.Cropland'!$AW116)</f>
        <v/>
      </c>
      <c r="L22" s="2834">
        <f>(J22*K22-J22*K22)*(44/12)/20</f>
        <v/>
      </c>
      <c r="M22" s="2816">
        <f>IF('3.Cropland'!$BG116="", '3.Cropland'!BF116, '3.Cropland'!BG116)</f>
        <v/>
      </c>
      <c r="N22" s="2817">
        <f>$M22*$D22</f>
        <v/>
      </c>
      <c r="O22" s="2816">
        <f>IF('3.Cropland'!$K116="Straw burnt", rice!$I22*IPCC!$B$87*(IPCC!$D$76*methane)/1000,0)</f>
        <v/>
      </c>
      <c r="P22" s="2406">
        <f>IF('3.Cropland'!$K116="Straw burnt", rice!$I22*IPCC!$B$87*(IPCC!$E$76*Nitrous)/1000,0)</f>
        <v/>
      </c>
      <c r="Q22" s="2407">
        <f>'3.Cropland'!M116</f>
        <v/>
      </c>
      <c r="R22" s="3484" t="n"/>
      <c r="AF22" t="inlineStr">
        <is>
          <t>Southern Europe</t>
        </is>
      </c>
      <c r="AG22" t="n">
        <v>6.8082</v>
      </c>
      <c r="AK22" s="3244">
        <f>(MIN(C42,D42)*time_tot+ABS(D42-C42)*IF(D42&gt;C42,time_cap+time*(VLOOKUP(E42, list!$J$48:$K$50,2,)),time*(1-(VLOOKUP(E42, list!$J$48:$K$50,2,)))))*IF('3.Cropland'!K116="Straw burnt", rice!I22*IPCC!$B$87*(IPCC!$D$76*methane)/1000,0)</f>
        <v/>
      </c>
      <c r="AL22" s="3245">
        <f>(MIN(C42,F42)*time_tot+ABS(F42-C42)*IF(F42&gt;C42, time_cap + time*(VLOOKUP(G42, list!$J$48:$K$50,2,)),time*(1-(VLOOKUP(G42, list!$J$48:$K$50,2,)))))*IF('3.Cropland'!K116="Straw burnt", rice!I22*IPCC!$B$87*(IPCC!$D$76*methane)/1000,0)</f>
        <v/>
      </c>
      <c r="AM22" s="2406">
        <f>(MIN(C42,D42)*time_tot+ABS(D42-C42)*IF(D42&gt;C42,time_cap+time*(VLOOKUP(E42, list!$J$48:$K$50,2,)),time*(1-(VLOOKUP(E42, list!$J$48:$K$50,2,)))))*IF('3.Cropland'!K116="Straw burnt", rice!I22*IPCC!$B$87*(IPCC!$E$76*Nitrous)/1000,0)</f>
        <v/>
      </c>
      <c r="AN22" s="2406">
        <f>(MIN(C42,F42)*time_tot+ABS(F42-C42)*IF(F42&gt;C42, time_cap + time*(VLOOKUP(G42, list!$J$48:$K$50,2,)),time*(1-(VLOOKUP(G42, list!$J$48:$K$50,2,)))))*IF('3.Cropland'!K116="Straw burnt", rice!I22*IPCC!$B$87*(IPCC!$E$76*Nitrous)/1000,0)</f>
        <v/>
      </c>
      <c r="AO22" s="2406">
        <f>-$L22*((MIN($C42,D42)*MIN(20,time))+IF(E42="Immediate",IF(D42&gt;$C42,D42*MIN(20,time),0),IF($C42&gt;D42,($C42-D42)*IF(time&gt;20,IF(E42="Linear",time-((time-20)^2)/(2*time),(0.215*time)-(time/4.6)*(EXP(-92.1/time)-0.01)),time*(1-VLOOKUP(E42, list!$J$48:$K$50,2,))),(D42-$C42)*IF(time&gt;time+20,20,IF(time&lt;20,(time*VLOOKUP(E42, list!$J$48:$K$50,2,))+(time-time),((MIN(20,time)*VLOOKUP(E42, list!$J$48:$K$50,2,))+(time-MIN(20,time))-IF(E42="Exponential",time-20+0.217*time*(EXP(4.606*(20-time)/time)-1),((time-20)^2)*(0.5/time))))))))</f>
        <v/>
      </c>
      <c r="AP22" s="2406">
        <f>-$L22*((MIN($C42,F42)*MIN(20,time))+IF(G42="Immediate",IF(F42&gt;$C42,F42*MIN(20,time),0),IF($C42&gt;F42,($C42-F42)*IF(time&gt;20,IF(G42="Linear",time-((time-20)^2)/(2*time),(0.215*time)-(time/4.6)*(EXP(-92.1/time)-0.01)),time*(1-VLOOKUP(G42, list!$J$48:$K$50,2,))),(F42-$C42)*IF(time&gt;time+20,20,IF(time&lt;20,(time*VLOOKUP(G42, list!$J$48:$K$50,2,))+(time-time),((MIN(20,time)*VLOOKUP(G42, list!$J$48:$K$50,2,))+(time-MIN(20,time))-IF(G42="Exponential",time-20+0.217*time*(EXP(4.606*(20-time)/time)-1),((time-20)^2)*(0.5/time))))))))</f>
        <v/>
      </c>
      <c r="AQ22" s="3245">
        <f>(MIN(I42,J42)*time+ABS(J42-I42)*IF(J42 &gt; I42, time*(VLOOKUP(K42, list!$J$48:$K$50,2,)),time*(1-(VLOOKUP(K42, list!$J$48:$K$50,2,)))))*$N22*methane/1000</f>
        <v/>
      </c>
      <c r="AR22" s="2406">
        <f>(MIN(I42,L42)*time+ABS(L42-I42)*IF(L42&gt;I42, time*(VLOOKUP(M42, list!$J$48:$K$50,2,)),time*(1-(VLOOKUP(M42, list!$J$48:$K$50,2,)))))*$N22*methane/1000</f>
        <v/>
      </c>
      <c r="AS22" s="2406">
        <f>(MIN(C42,D42)*time+ABS(D42-C42)*IF(D42&gt;C42,time*(VLOOKUP(E42, list!$J$48:$K$50,2,)),time*(1-(VLOOKUP(E42, list!$J$48:$K$50,2,)))))*IF('3.Cropland'!K116="Straw burnt", rice!I22*IPCC!$B$87*(IPCC!$D$76*methane)/1000,0)</f>
        <v/>
      </c>
      <c r="AT22" s="2406">
        <f>(MIN(C42,F42)*time+ABS(F42-C42)*IF(F42&gt;C42,  time*(VLOOKUP(G42, list!$J$48:$K$50,2,)),time*(1-(VLOOKUP(G42, list!$J$48:$K$50,2,)))))*IF('3.Cropland'!K116="Straw burnt", rice!I22*IPCC!$B$87*(IPCC!$D$76*methane)/1000,0)</f>
        <v/>
      </c>
      <c r="AU22" s="2406">
        <f>(MIN(C42,D42)*time+ABS(D42-C42)*IF(D42&gt;C42,time*(VLOOKUP(E42, list!$J$48:$K$50,2,)),time*(1-(VLOOKUP(E42, list!$J$48:$K$50,2,)))))*IF('3.Cropland'!K116="Straw burnt", rice!I22*IPCC!$B$87*(IPCC!$E$76*Nitrous)/1000,0)</f>
        <v/>
      </c>
      <c r="AV22" s="2407">
        <f>(MIN(C42,F42)*time+ABS(F42-C42)*IF(F42&gt;C42,  time*(VLOOKUP(G42, list!$J$48:$K$50,2,)),time*(1-(VLOOKUP(G42, list!$J$48:$K$50,2,)))))*IF('3.Cropland'!K116="Straw burnt", rice!I22*IPCC!$B$87*(IPCC!$E$76*Nitrous)/1000,0)</f>
        <v/>
      </c>
    </row>
    <row r="23">
      <c r="B23" s="682">
        <f>'3.Cropland'!C117</f>
        <v/>
      </c>
      <c r="C23" s="3397" t="n"/>
      <c r="D23" s="682">
        <f>IF('3.Cropland'!$AS117="", '3.Cropland'!$AR117, '3.Cropland'!AS117)</f>
        <v/>
      </c>
      <c r="E23" s="682">
        <f>'3.Cropland'!$G117</f>
        <v/>
      </c>
      <c r="F23" s="682">
        <f>'3.Cropland'!$I117</f>
        <v/>
      </c>
      <c r="G23" s="682">
        <f>'3.Cropland'!$K117</f>
        <v/>
      </c>
      <c r="H23" s="3684">
        <f>IF('3.Cropland'!M117="", VLOOKUP(continent,rice!$AC$3:$AD$18,2,FALSE), '3.Cropland'!M117)</f>
        <v/>
      </c>
      <c r="I23" s="3684">
        <f>IF('3.Cropland'!$BI117="", '3.Cropland'!$BH117, '3.Cropland'!$BI117)</f>
        <v/>
      </c>
      <c r="J23" s="2838">
        <f>IF('3.Cropland'!$AU117="", '3.Cropland'!$AT117, '3.Cropland'!$AU117)</f>
        <v/>
      </c>
      <c r="K23" s="2838">
        <f>IF('3.Cropland'!$AW117="", '3.Cropland'!$AV117, '3.Cropland'!$AW117)</f>
        <v/>
      </c>
      <c r="L23" s="2834">
        <f>(J23*K23-J23*K23)*(44/12)/20</f>
        <v/>
      </c>
      <c r="M23" s="2838">
        <f>IF('3.Cropland'!$BG117="", '3.Cropland'!BF117, '3.Cropland'!BG117)</f>
        <v/>
      </c>
      <c r="N23" s="2839">
        <f>$M23*$D23</f>
        <v/>
      </c>
      <c r="O23" s="2838">
        <f>IF('3.Cropland'!$K117="Straw burnt", rice!$I23*IPCC!$B$87*(IPCC!$D$76*methane)/1000,0)</f>
        <v/>
      </c>
      <c r="P23" s="2409">
        <f>IF('3.Cropland'!$K117="Straw burnt", rice!$I23*IPCC!$B$87*(IPCC!$E$76*Nitrous)/1000,0)</f>
        <v/>
      </c>
      <c r="Q23" s="2410">
        <f>'3.Cropland'!M117</f>
        <v/>
      </c>
      <c r="R23" s="3484" t="n"/>
      <c r="AF23" t="inlineStr">
        <is>
          <t>Western Europe</t>
        </is>
      </c>
      <c r="AG23" t="n">
        <v>5.1533</v>
      </c>
      <c r="AK23" s="2849">
        <f>(MIN(C43,D43)*time_tot+ABS(D43-C43)*IF(D43&gt;C43,time_cap+time*(VLOOKUP(E43, list!$J$48:$K$50,2,)),time*(1-(VLOOKUP(E43, list!$J$48:$K$50,2,)))))*IF('3.Cropland'!K117="Straw burnt", rice!I23*IPCC!$B$87*(IPCC!$D$76*methane)/1000,0)</f>
        <v/>
      </c>
      <c r="AL23" s="3327">
        <f>(MIN(C43,F43)*time_tot+ABS(F43-C43)*IF(F43&gt;C43, time_cap + time*(VLOOKUP(G43, list!$J$48:$K$50,2,)),time*(1-(VLOOKUP(G43, list!$J$48:$K$50,2,)))))*IF('3.Cropland'!K117="Straw burnt", rice!I23*IPCC!$B$87*(IPCC!$D$76*methane)/1000,0)</f>
        <v/>
      </c>
      <c r="AM23" s="2409">
        <f>(MIN(C43,D43)*time_tot+ABS(D43-C43)*IF(D43&gt;C43,time_cap+time*(VLOOKUP(E43, list!$J$48:$K$50,2,)),time*(1-(VLOOKUP(E43, list!$J$48:$K$50,2,)))))*IF('3.Cropland'!K117="Straw burnt", rice!I23*IPCC!$B$87*(IPCC!$E$76*Nitrous)/1000,0)</f>
        <v/>
      </c>
      <c r="AN23" s="2409">
        <f>(MIN(C43,F43)*time_tot+ABS(F43-C43)*IF(F43&gt;C43, time_cap + time*(VLOOKUP(G43, list!$J$48:$K$50,2,)),time*(1-(VLOOKUP(G43, list!$J$48:$K$50,2,)))))*IF('3.Cropland'!K117="Straw burnt", rice!I23*IPCC!$B$87*(IPCC!$E$76*Nitrous)/1000,0)</f>
        <v/>
      </c>
      <c r="AO23" s="2409">
        <f>-$L23*((MIN($C43,D43)*MIN(20,time))+IF(E43="Immediate",IF(D43&gt;$C43,D43*MIN(20,time),0),IF($C43&gt;D43,($C43-D43)*IF(time&gt;20,IF(E43="Linear",time-((time-20)^2)/(2*time),(0.215*time)-(time/4.6)*(EXP(-92.1/time)-0.01)),time*(1-VLOOKUP(E43, list!$J$48:$K$50,2,))),(D43-$C43)*IF(time&gt;time+20,20,IF(time&lt;20,(time*VLOOKUP(E43, list!$J$48:$K$50,2,))+(time-time),((MIN(20,time)*VLOOKUP(E43, list!$J$48:$K$50,2,))+(time-MIN(20,time))-IF(E43="Exponential",time-20+0.217*time*(EXP(4.606*(20-time)/time)-1),((time-20)^2)*(0.5/time))))))))</f>
        <v/>
      </c>
      <c r="AP23" s="2409">
        <f>-$L23*((MIN($C43,F43)*MIN(20,time))+IF(G43="Immediate",IF(F43&gt;$C43,F43*MIN(20,time),0),IF($C43&gt;F43,($C43-F43)*IF(time&gt;20,IF(G43="Linear",time-((time-20)^2)/(2*time),(0.215*time)-(time/4.6)*(EXP(-92.1/time)-0.01)),time*(1-VLOOKUP(G43, list!$J$48:$K$50,2,))),(F43-$C43)*IF(time&gt;time+20,20,IF(time&lt;20,(time*VLOOKUP(G43, list!$J$48:$K$50,2,))+(time-time),((MIN(20,time)*VLOOKUP(G43, list!$J$48:$K$50,2,))+(time-MIN(20,time))-IF(G43="Exponential",time-20+0.217*time*(EXP(4.606*(20-time)/time)-1),((time-20)^2)*(0.5/time))))))))</f>
        <v/>
      </c>
      <c r="AQ23" s="3327">
        <f>(MIN(I43,J43)*time+ABS(J43-I43)*IF(J43 &gt; I43, time*(VLOOKUP(K43, list!$J$48:$K$50,2,)),time*(1-(VLOOKUP(K43, list!$J$48:$K$50,2,)))))*$N23*methane/1000</f>
        <v/>
      </c>
      <c r="AR23" s="2409">
        <f>(MIN(I43,L43)*time+ABS(L43-I43)*IF(L43&gt;I43, time*(VLOOKUP(M43, list!$J$48:$K$50,2,)),time*(1-(VLOOKUP(M43, list!$J$48:$K$50,2,)))))*$N23*methane/1000</f>
        <v/>
      </c>
      <c r="AS23" s="2409">
        <f>(MIN(C43,D43)*time+ABS(D43-C43)*IF(D43&gt;C43,time*(VLOOKUP(E43, list!$J$48:$K$50,2,)),time*(1-(VLOOKUP(E43, list!$J$48:$K$50,2,)))))*IF('3.Cropland'!K117="Straw burnt", rice!I23*IPCC!$B$87*(IPCC!$D$76*methane)/1000,0)</f>
        <v/>
      </c>
      <c r="AT23" s="2409">
        <f>(MIN(C43,F43)*time+ABS(F43-C43)*IF(F43&gt;C43,  time*(VLOOKUP(G43, list!$J$48:$K$50,2,)),time*(1-(VLOOKUP(G43, list!$J$48:$K$50,2,)))))*IF('3.Cropland'!K117="Straw burnt", rice!I23*IPCC!$B$87*(IPCC!$D$76*methane)/1000,0)</f>
        <v/>
      </c>
      <c r="AU23" s="2409">
        <f>(MIN(C43,D43)*time+ABS(D43-C43)*IF(D43&gt;C43,time*(VLOOKUP(E43, list!$J$48:$K$50,2,)),time*(1-(VLOOKUP(E43, list!$J$48:$K$50,2,)))))*IF('3.Cropland'!K117="Straw burnt", rice!I23*IPCC!$B$87*(IPCC!$E$76*Nitrous)/1000,0)</f>
        <v/>
      </c>
      <c r="AV23" s="2410">
        <f>(MIN(C43,F43)*time+ABS(F43-C43)*IF(F43&gt;C43,  time*(VLOOKUP(G43, list!$J$48:$K$50,2,)),time*(1-(VLOOKUP(G43, list!$J$48:$K$50,2,)))))*IF('3.Cropland'!K117="Straw burnt", rice!I23*IPCC!$B$87*(IPCC!$E$76*Nitrous)/1000,0)</f>
        <v/>
      </c>
    </row>
    <row r="24">
      <c r="AF24" t="inlineStr">
        <is>
          <t>Oceania</t>
        </is>
      </c>
      <c r="AG24" t="n">
        <v>6.6937</v>
      </c>
    </row>
    <row r="26" ht="17" customHeight="1">
      <c r="B26" s="3352" t="inlineStr">
        <is>
          <t>CH4 emission from rice systems</t>
        </is>
      </c>
      <c r="C26" s="383" t="n"/>
      <c r="D26" s="383" t="n"/>
      <c r="E26" s="383" t="n"/>
      <c r="F26" s="383" t="n"/>
      <c r="G26" s="383" t="n"/>
      <c r="H26" s="383" t="n"/>
      <c r="I26" s="383" t="n"/>
      <c r="J26" s="383" t="n"/>
      <c r="K26" s="383" t="n"/>
      <c r="L26" s="383" t="n"/>
      <c r="M26" s="383" t="n"/>
      <c r="N26" s="383" t="n"/>
      <c r="O26" s="383" t="n"/>
      <c r="P26" s="383" t="n"/>
      <c r="Q26" s="383" t="n"/>
      <c r="R26" s="383" t="n"/>
      <c r="S26" s="383" t="n"/>
      <c r="T26" s="383" t="n"/>
      <c r="U26" s="383" t="n"/>
      <c r="V26" s="383" t="n"/>
      <c r="Z26" s="66" t="inlineStr">
        <is>
          <t>Total yield (in tonnes)</t>
        </is>
      </c>
      <c r="AA26" s="384" t="n"/>
      <c r="AB26" s="385" t="n"/>
      <c r="AK26" s="3336" t="inlineStr">
        <is>
          <t>Area Burnt (ha)</t>
        </is>
      </c>
      <c r="AL26" s="3337" t="n"/>
      <c r="AM26" s="3337" t="n"/>
      <c r="AN26" s="921" t="inlineStr">
        <is>
          <t>Cumulated area burnt (ha)</t>
        </is>
      </c>
      <c r="AO26" s="921" t="n"/>
    </row>
    <row r="27" ht="17" customHeight="1">
      <c r="B27" s="284" t="n"/>
      <c r="C27" s="3646" t="inlineStr">
        <is>
          <t>Area (ha)</t>
        </is>
      </c>
      <c r="D27" s="3353" t="inlineStr">
        <is>
          <t>Area (ha)</t>
        </is>
      </c>
      <c r="E27" s="3188" t="n"/>
      <c r="F27" s="3646" t="inlineStr">
        <is>
          <t>Area (ha)</t>
        </is>
      </c>
      <c r="G27" s="3188" t="n"/>
      <c r="H27" s="3188" t="n"/>
      <c r="I27" s="3354" t="inlineStr">
        <is>
          <t>Annual Harvested Area (ha/year)</t>
        </is>
      </c>
      <c r="J27" s="3355" t="inlineStr">
        <is>
          <t>Annual Harvested Area (ha/year)</t>
        </is>
      </c>
      <c r="K27" s="3356" t="n"/>
      <c r="L27" s="3355" t="inlineStr">
        <is>
          <t>Harvested Area (ha/year)</t>
        </is>
      </c>
      <c r="M27" s="3356" t="n"/>
      <c r="N27" s="3357" t="inlineStr">
        <is>
          <t>Soil CO2 Change</t>
        </is>
      </c>
      <c r="O27" s="3358" t="n"/>
      <c r="P27" s="4553" t="inlineStr">
        <is>
          <t>CH4 emitted All period</t>
        </is>
      </c>
      <c r="R27" s="3359" t="inlineStr">
        <is>
          <t>Straw burning</t>
        </is>
      </c>
      <c r="S27" s="3360" t="n"/>
      <c r="T27" s="3361" t="inlineStr">
        <is>
          <t>Total</t>
        </is>
      </c>
      <c r="U27" s="3361" t="n"/>
      <c r="V27" s="4553" t="inlineStr">
        <is>
          <t>Difference</t>
        </is>
      </c>
      <c r="Z27" s="66" t="n"/>
      <c r="AA27" s="384" t="n"/>
      <c r="AB27" s="385" t="n"/>
      <c r="AK27" s="3669" t="n"/>
      <c r="AL27" s="3669" t="n"/>
      <c r="AM27" s="3669" t="n"/>
      <c r="AN27" s="3669" t="n"/>
      <c r="AO27" s="3669" t="n"/>
    </row>
    <row r="28">
      <c r="B28" s="3282" t="n"/>
      <c r="C28" s="3277" t="inlineStr">
        <is>
          <t xml:space="preserve">Start </t>
        </is>
      </c>
      <c r="D28" s="3362" t="inlineStr">
        <is>
          <t xml:space="preserve">Without project </t>
        </is>
      </c>
      <c r="E28" s="3363" t="n"/>
      <c r="F28" s="3364" t="inlineStr">
        <is>
          <t xml:space="preserve">With project </t>
        </is>
      </c>
      <c r="G28" s="3195" t="n"/>
      <c r="H28" s="3195" t="n"/>
      <c r="I28" s="3277" t="inlineStr">
        <is>
          <t xml:space="preserve">Start </t>
        </is>
      </c>
      <c r="J28" s="3362" t="inlineStr">
        <is>
          <t xml:space="preserve">Without project </t>
        </is>
      </c>
      <c r="K28" s="3363" t="n"/>
      <c r="L28" s="3364" t="inlineStr">
        <is>
          <t xml:space="preserve">With project </t>
        </is>
      </c>
      <c r="M28" s="3195" t="n"/>
      <c r="N28" s="3217" t="inlineStr">
        <is>
          <t>Without</t>
        </is>
      </c>
      <c r="O28" s="2847" t="inlineStr">
        <is>
          <t>With</t>
        </is>
      </c>
      <c r="P28" s="3217" t="inlineStr">
        <is>
          <t>Without</t>
        </is>
      </c>
      <c r="Q28" s="2847" t="inlineStr">
        <is>
          <t>With</t>
        </is>
      </c>
      <c r="R28" s="3217" t="inlineStr">
        <is>
          <t>Without</t>
        </is>
      </c>
      <c r="S28" s="2847" t="inlineStr">
        <is>
          <t>With</t>
        </is>
      </c>
      <c r="T28" s="3217" t="inlineStr">
        <is>
          <t>Without</t>
        </is>
      </c>
      <c r="U28" s="2847" t="inlineStr">
        <is>
          <t>With</t>
        </is>
      </c>
      <c r="V28" s="4553" t="inlineStr">
        <is>
          <t>tCO2eq</t>
        </is>
      </c>
      <c r="Z28" s="3648" t="inlineStr">
        <is>
          <t>Without</t>
        </is>
      </c>
      <c r="AA28" s="3548" t="inlineStr">
        <is>
          <t>With</t>
        </is>
      </c>
      <c r="AB28" s="3338" t="inlineStr">
        <is>
          <t>Difference</t>
        </is>
      </c>
      <c r="AK28" s="1047">
        <f>C28</f>
        <v/>
      </c>
      <c r="AL28" s="1047" t="inlineStr">
        <is>
          <t>End</t>
        </is>
      </c>
      <c r="AM28" s="1047" t="inlineStr">
        <is>
          <t>End</t>
        </is>
      </c>
      <c r="AN28" s="1047" t="inlineStr">
        <is>
          <t>End</t>
        </is>
      </c>
      <c r="AO28" s="1047" t="inlineStr">
        <is>
          <t>End</t>
        </is>
      </c>
    </row>
    <row r="29">
      <c r="B29" s="3282" t="n"/>
      <c r="C29" s="3277" t="n"/>
      <c r="D29" s="3196" t="inlineStr">
        <is>
          <t>End</t>
        </is>
      </c>
      <c r="E29" s="3197" t="inlineStr">
        <is>
          <t>Rate</t>
        </is>
      </c>
      <c r="F29" s="3198" t="inlineStr">
        <is>
          <t>End</t>
        </is>
      </c>
      <c r="G29" s="3198" t="inlineStr">
        <is>
          <t>Rate</t>
        </is>
      </c>
      <c r="H29" s="3198" t="n"/>
      <c r="I29" s="3277" t="inlineStr">
        <is>
          <t>(ha/year)</t>
        </is>
      </c>
      <c r="J29" s="3196" t="inlineStr">
        <is>
          <t>End</t>
        </is>
      </c>
      <c r="K29" s="3197" t="inlineStr">
        <is>
          <t>Rate</t>
        </is>
      </c>
      <c r="L29" s="3198" t="inlineStr">
        <is>
          <t>End</t>
        </is>
      </c>
      <c r="M29" s="3198" t="inlineStr">
        <is>
          <t>Rate</t>
        </is>
      </c>
      <c r="N29" s="3217" t="inlineStr">
        <is>
          <t>tCO2</t>
        </is>
      </c>
      <c r="O29" s="2847" t="inlineStr">
        <is>
          <t>tCO2</t>
        </is>
      </c>
      <c r="P29" s="3217" t="inlineStr">
        <is>
          <t>tCO2 eq</t>
        </is>
      </c>
      <c r="Q29" s="2847" t="inlineStr">
        <is>
          <t>tCO2 eq</t>
        </is>
      </c>
      <c r="R29" s="3217" t="inlineStr">
        <is>
          <t>t CO2 eq</t>
        </is>
      </c>
      <c r="S29" s="2847" t="inlineStr">
        <is>
          <t>t CO2 eq</t>
        </is>
      </c>
      <c r="T29" s="3217" t="inlineStr">
        <is>
          <t>t CO2 eq</t>
        </is>
      </c>
      <c r="U29" s="2847" t="inlineStr">
        <is>
          <t>t CO2 eq</t>
        </is>
      </c>
      <c r="V29" s="3365" t="n"/>
      <c r="Z29" s="3648" t="inlineStr">
        <is>
          <t>(tonnes)</t>
        </is>
      </c>
      <c r="AA29" s="3548" t="inlineStr">
        <is>
          <t>(tonnes)</t>
        </is>
      </c>
      <c r="AB29" s="3338" t="n"/>
      <c r="AK29" s="1047" t="n"/>
      <c r="AL29" s="1047" t="inlineStr">
        <is>
          <t>W/out</t>
        </is>
      </c>
      <c r="AM29" s="1047" t="inlineStr">
        <is>
          <t xml:space="preserve">With </t>
        </is>
      </c>
      <c r="AN29" s="1047" t="inlineStr">
        <is>
          <t>W/out</t>
        </is>
      </c>
      <c r="AO29" s="1047" t="inlineStr">
        <is>
          <t xml:space="preserve">With </t>
        </is>
      </c>
    </row>
    <row r="30">
      <c r="B30" s="3481" t="inlineStr">
        <is>
          <t>Rice after deforestation</t>
        </is>
      </c>
      <c r="C30" s="3316" t="n">
        <v>0</v>
      </c>
      <c r="D30" s="3316">
        <f>Matrix!L7</f>
        <v/>
      </c>
      <c r="E30" s="3316" t="inlineStr">
        <is>
          <t>Linear</t>
        </is>
      </c>
      <c r="F30" s="3316">
        <f>Matrix!L24</f>
        <v/>
      </c>
      <c r="G30" s="3316" t="inlineStr">
        <is>
          <t>Linear</t>
        </is>
      </c>
      <c r="H30" s="3316" t="n"/>
      <c r="I30" s="3316">
        <f>$C30</f>
        <v/>
      </c>
      <c r="J30" s="3316">
        <f>$D30</f>
        <v/>
      </c>
      <c r="K30" s="3316" t="inlineStr">
        <is>
          <t>Linear</t>
        </is>
      </c>
      <c r="L30" s="3316">
        <f>F30</f>
        <v/>
      </c>
      <c r="M30" s="3316" t="inlineStr">
        <is>
          <t>Linear</t>
        </is>
      </c>
      <c r="N30" s="3316">
        <f>IF(ABS($M6*((MIN($C30,D30)*MIN(20,time_tot))+IF(E30="Immediate",IF(D30 &gt; $C30, D30*MIN(20,time_tot),0),IF($C30&gt;D30,($C30-D30)*IF(time&gt;20,IF(E30="Linear",time-((time-20)^2)/(2*time),(0.215*time)-(time/4.6)*(EXP(-92.1/time)-0.01)),time*(1-VLOOKUP(E30, list!$J$48:$K$50, 2,))), (D30-$C30)*IF(time_tot&gt;time+20,20,IF(time_tot&lt;20,(time*VLOOKUP(E30, list!$J$48:$K$50, 2,))+(time_tot-time),((MIN(20,time)*VLOOKUP(E30, list!$J$48:$K$50, 2,)) +(time_tot-MIN(20,time))-IF(E30="Exponential",time_tot-20+0.217*time*(EXP(4.606*(20-time_tot)/time)-1),((time_tot-20)^2)*(0.5/time)))))))))&gt;=ABS(M6*20*MAX(C30,D30)), M6*20*MAX(C30,D30), $M6*((MIN($C30,D30)*MIN(20,time_tot))+IF(E30="Immediate",IF(D30 &gt; $C30, D30*MIN(20,time_tot),0),IF($C30&gt;D30,($C30-D30)*IF(time&gt;20,IF(E30="Linear",time-((time-20)^2)/(2*time),(0.215*time)-(time/4.6)*(EXP(-92.1/time)-0.01)),time*(1-VLOOKUP(E30, list!$J$48:$K$50, 2,))), (D30-$C30)*IF(time_tot&gt;time+20,20,IF(time_tot&lt;20,(time*VLOOKUP(E30, list!$J$48:$K$50, 2,))+(time_tot-time),((MIN(20,time)*VLOOKUP(E30, list!$J$48:$K$50, 2,)) +(time_tot-MIN(20,time))-IF(E30="Exponential",time_tot-20+0.217*time*(EXP(4.606*(20-time_tot)/time)-1),((time_tot-20)^2)*(0.5/time)))))))))</f>
        <v/>
      </c>
      <c r="O30" s="3316">
        <f>IF(ABS($N6*((MIN($C30,F30)*MIN(20,time_tot))+IF(K30="Immediate",IF(F30 &gt; $C30, F30*MIN(20,time_tot),0),IF($C30 &gt; F30,($C30-F30)*IF(time&gt;20,IF(K30="Linear",time-((time-20)^2)/(2*time),(0.215*time)-(time/4.6)*(EXP(-92.1/time)-0.01)),time*(1-VLOOKUP(K30, list!$J$48:$K$50, 2,))), (F30-$C30)*IF(time_tot&gt;time+20,20,IF(time_tot&lt;20,(time*VLOOKUP(K30, list!$J$48:$K$50, 2,))+(time_tot-time),((MIN(20,time)*VLOOKUP(K30, list!$J$48:$K$50, 2,)) +(time_tot-MIN(20,time))-IF(K30="Exponential",time_tot-20+0.217*time*(EXP(4.606*(20-time_tot)/time)-1),((time_tot-20)^2)*(0.5/time)))))))))&gt;=ABS(N6*20*MAX(C30,F30)), N6*20*MAX(C30,F30), $N6*((MIN($C30,F30)*MIN(20,time_tot))+IF(K30="Immediate",IF(F30 &gt; $C30, F30*MIN(20,time_tot),0),IF($C30 &gt; F30,($C30-F30)*IF(time&gt;20,IF(K30="Linear",time-((time-20)^2)/(2*time),(0.215*time)-(time/4.6)*(EXP(-92.1/time)-0.01)),time*(1-VLOOKUP(K30, list!$J$48:$K$50, 2,))), (F30-$C30)*IF(time_tot&gt;time+20,20,IF(time_tot&lt;20,(time*VLOOKUP(K30, list!$J$48:$K$50, 2,))+(time_tot-time),((MIN(20,time)*VLOOKUP(K30, list!$J$48:$K$50, 2,)) +(time_tot-MIN(20,time))-IF(K30="Exponential",time_tot-20+0.217*time*(EXP(4.606*(20-time_tot)/time)-1),((time_tot-20)^2)*(0.5/time)))))))))</f>
        <v/>
      </c>
      <c r="P30" s="3322">
        <f>(MIN(I30,J30)*time_tot+ABS(J30-I30)*IF(J30 &gt; I30, time_cap+time*(VLOOKUP(K30, list!$J$48:$K$50,2,)),time*(1-(VLOOKUP(K30, list!$J$48:$K$50,2,)))))*$P6*methane/1000</f>
        <v/>
      </c>
      <c r="Q30" s="3322">
        <f>(MIN(I30,L30)*time_tot+ABS(L30-I30)*IF(L30&gt;I30, time_cap+time*(VLOOKUP(M30, list!$J$48:$K$50,2,)),time*(1-(VLOOKUP(M30, list!$J$48:$K$50,2,)))))*$P6*methane/1000</f>
        <v/>
      </c>
      <c r="R30" s="3367">
        <f>(MIN(C30,D30)*time_tot+ABS(D30-C30)*IF(D30&gt;C30,time_cap+time*(VLOOKUP(E30, list!$J$48:$K$50,2,)),time*(1-(VLOOKUP(E30, list!$J$48:$K$50,2,)))))*($Q6+R6)</f>
        <v/>
      </c>
      <c r="S30" s="3367">
        <f>(MIN(C30,F30)*time_tot+ABS(F30-C30)*IF(F30&gt;C30, time_cap + time*(VLOOKUP(G30, list!$J$48:$K$50,2,)),time*(1-(VLOOKUP(G30, list!$J$48:$K$50,2,)))))*($Q6+R6)</f>
        <v/>
      </c>
      <c r="T30" s="3367">
        <f>N30+P30+R30</f>
        <v/>
      </c>
      <c r="U30" s="3322">
        <f>O30+Q30+S30</f>
        <v/>
      </c>
      <c r="V30" s="3371">
        <f>U30-T30</f>
        <v/>
      </c>
      <c r="Z30" s="3339">
        <f>$S6*(time*((ABS(D30-C30)*(IF(C30&lt;=D30,VLOOKUP(E30, list!$J$48:$K$50,2,),1-VLOOKUP(E30, list!$J$48:$K$50,2,))))+MIN(D30,C30))+(D30* time_cap))</f>
        <v/>
      </c>
      <c r="AA30" s="3339">
        <f>$S6*(time*((ABS(F30-C30)*(IF(C30&lt;=F30,VLOOKUP(G30, list!$J$48:$K$50,2,),1-VLOOKUP(G30, list!$J$48:$K$50,2,))))+MIN(F30,C30))+(F30* time_cap))</f>
        <v/>
      </c>
      <c r="AB30" s="3339">
        <f>AA30-Z30</f>
        <v/>
      </c>
      <c r="AJ30" s="3481" t="inlineStr">
        <is>
          <t>Rice after deforestation</t>
        </is>
      </c>
      <c r="AK30" s="3335">
        <f>C30*IF(G6="Straw burnt",1,0)</f>
        <v/>
      </c>
      <c r="AL30" s="3655">
        <f>D30*IF(G6="Straw burnt",1,0)</f>
        <v/>
      </c>
      <c r="AM30" s="3655">
        <f>F30*IF(G6="Straw burnt",1,0)</f>
        <v/>
      </c>
      <c r="AN30" s="3655">
        <f>IF(R30&gt;0, R30/$Q6,0)</f>
        <v/>
      </c>
      <c r="AO30" s="3670">
        <f>IF(S30&gt;0, S30/$Q6,0)</f>
        <v/>
      </c>
    </row>
    <row r="31">
      <c r="B31" s="3315" t="inlineStr">
        <is>
          <t>Rice converted to forest land</t>
        </is>
      </c>
      <c r="C31" s="3317">
        <f>MAX(Matrix!I10,Matrix!I27)</f>
        <v/>
      </c>
      <c r="D31" s="3317">
        <f>C31-Matrix!I10</f>
        <v/>
      </c>
      <c r="E31" s="3317" t="inlineStr">
        <is>
          <t>Linear</t>
        </is>
      </c>
      <c r="F31" s="3317">
        <f>C31-Matrix!I27</f>
        <v/>
      </c>
      <c r="G31" s="3317" t="inlineStr">
        <is>
          <t>Linear</t>
        </is>
      </c>
      <c r="H31" s="3317" t="n"/>
      <c r="I31" s="3317">
        <f>$C31</f>
        <v/>
      </c>
      <c r="J31" s="3317">
        <f>$D31</f>
        <v/>
      </c>
      <c r="K31" s="3317" t="inlineStr">
        <is>
          <t>Linear</t>
        </is>
      </c>
      <c r="L31" s="3317">
        <f>F31</f>
        <v/>
      </c>
      <c r="M31" s="3317" t="inlineStr">
        <is>
          <t>Linear</t>
        </is>
      </c>
      <c r="N31" s="3317">
        <f>IF(ABS($M7*((MIN($C31,D31)*MIN(20,time_tot))+IF(E31="Immediate",IF(D31 &gt; $C31, D31*MIN(20,time_tot),0),IF($C31&gt;D31,($C31-D31)*IF(time&gt;20,IF(E31="Linear",time-((time-20)^2)/(2*time),(0.215*time)-(time/4.6)*(EXP(-92.1/time)-0.01)),time*(1-VLOOKUP(E31, list!$J$48:$K$50, 2,))), (D31-$C31)*IF(time_tot&gt;time+20,20,IF(time_tot&lt;20,(time*VLOOKUP(E31, list!$J$48:$K$50, 2,))+(time_tot-time),((MIN(20,time)*VLOOKUP(E31, list!$J$48:$K$50, 2,)) +(time_tot-MIN(20,time))-IF(E31="Exponential",time_tot-20+0.217*time*(EXP(4.606*(20-time_tot)/time)-1),((time_tot-20)^2)*(0.5/time)))))))))&gt;=ABS(M7*20*MAX(C31,D31)), M7*20*MAX(C31,D31), $M7*((MIN($C31,D31)*MIN(20,time_tot))+IF(E31="Immediate",IF(D31 &gt; $C31, D31*MIN(20,time_tot),0),IF($C31&gt;D31,($C31-D31)*IF(time&gt;20,IF(E31="Linear",time-((time-20)^2)/(2*time),(0.215*time)-(time/4.6)*(EXP(-92.1/time)-0.01)),time*(1-VLOOKUP(E31, list!$J$48:$K$50, 2,))), (D31-$C31)*IF(time_tot&gt;time+20,20,IF(time_tot&lt;20,(time*VLOOKUP(E31, list!$J$48:$K$50, 2,))+(time_tot-time),((MIN(20,time)*VLOOKUP(E31, list!$J$48:$K$50, 2,)) +(time_tot-MIN(20,time))-IF(E31="Exponential",time_tot-20+0.217*time*(EXP(4.606*(20-time_tot)/time)-1),((time_tot-20)^2)*(0.5/time)))))))))</f>
        <v/>
      </c>
      <c r="O31" s="3317">
        <f>IF(ABS($N7*((MIN($C31,F31)*MIN(20,time_tot))+IF(K31="Immediate",IF(F31 &gt; $C31, F31*MIN(20,time_tot),0),IF($C31 &gt; F31,($C31-F31)*IF(time&gt;20,IF(K31="Linear",time-((time-20)^2)/(2*time),(0.215*time)-(time/4.6)*(EXP(-92.1/time)-0.01)),time*(1-VLOOKUP(K31, list!$J$48:$K$50, 2,))), (F31-$C31)*IF(time_tot&gt;time+20,20,IF(time_tot&lt;20,(time*VLOOKUP(K31, list!$J$48:$K$50, 2,))+(time_tot-time),((MIN(20,time)*VLOOKUP(K31, list!$J$48:$K$50, 2,)) +(time_tot-MIN(20,time))-IF(K31="Exponential",time_tot-20+0.217*time*(EXP(4.606*(20-time_tot)/time)-1),((time_tot-20)^2)*(0.5/time)))))))))&gt;=ABS(N7*20*MAX(C31,F31)), N7*20*MAX(C31,F31), $N7*((MIN($C31,F31)*MIN(20,time_tot))+IF(K31="Immediate",IF(F31 &gt; $C31, F31*MIN(20,time_tot),0),IF($C31 &gt; F31,($C31-F31)*IF(time&gt;20,IF(K31="Linear",time-((time-20)^2)/(2*time),(0.215*time)-(time/4.6)*(EXP(-92.1/time)-0.01)),time*(1-VLOOKUP(K31, list!$J$48:$K$50, 2,))), (F31-$C31)*IF(time_tot&gt;time+20,20,IF(time_tot&lt;20,(time*VLOOKUP(K31, list!$J$48:$K$50, 2,))+(time_tot-time),((MIN(20,time)*VLOOKUP(K31, list!$J$48:$K$50, 2,)) +(time_tot-MIN(20,time))-IF(K31="Exponential",time_tot-20+0.217*time*(EXP(4.606*(20-time_tot)/time)-1),((time_tot-20)^2)*(0.5/time)))))))))</f>
        <v/>
      </c>
      <c r="P31" s="3314">
        <f>(MIN(I31,J31)*time_tot+ABS(J31-I31)*IF(J31 &gt; I31, time_cap+time*(VLOOKUP(K31, list!$J$48:$K$50,2,)),time*(1-(VLOOKUP(K31, list!$J$48:$K$50,2,)))))*$P7*methane/1000</f>
        <v/>
      </c>
      <c r="Q31" s="3314">
        <f>(MIN(I31,L31)*time_tot+ABS(L31-I31)*IF(L31&gt;I31, time_cap+time*(VLOOKUP(M31, list!$J$48:$K$50,2,)),time*(1-(VLOOKUP(M31, list!$J$48:$K$50,2,)))))*$P7*methane/1000</f>
        <v/>
      </c>
      <c r="R31" s="3314">
        <f>(MIN(C31,D31)*time_tot+ABS(D31-C31)*IF(D31&gt;C31,time_cap+time*(VLOOKUP(E31, list!$J$48:$K$50,2,)),time*(1-(VLOOKUP(E31, list!$J$48:$K$50,2,)))))*($Q7+R7)</f>
        <v/>
      </c>
      <c r="S31" s="3314">
        <f>(MIN(C31,F31)*time_tot+ABS(F31-C31)*IF(F31&gt;C31, time_cap + time*(VLOOKUP(G31, list!$J$48:$K$50,2,)),time*(1-(VLOOKUP(G31, list!$J$48:$K$50,2,)))))*($Q7+R7)</f>
        <v/>
      </c>
      <c r="T31" s="3314">
        <f>N31+P31+R31</f>
        <v/>
      </c>
      <c r="U31" s="3314">
        <f>O31+Q31+S31</f>
        <v/>
      </c>
      <c r="V31" s="3372">
        <f>U31-T31</f>
        <v/>
      </c>
      <c r="Z31" s="3340">
        <f>$S7*(time*((ABS(D31-C31)*(IF(C31&lt;=D31,VLOOKUP(E31, list!$J$48:$K$50,2,),1-VLOOKUP(E31, list!$J$48:$K$50,2,))))+MIN(D31,C31))+(D31* time_cap))</f>
        <v/>
      </c>
      <c r="AA31" s="3340">
        <f>$S7*(time*((ABS(F31-C31)*(IF(C31&lt;=F31,VLOOKUP(G31, list!$J$48:$K$50,2,),1-VLOOKUP(G31, list!$J$48:$K$50,2,))))+MIN(F31,C31))+(F31* time_cap))</f>
        <v/>
      </c>
      <c r="AB31" s="3340">
        <f>AA31-Z31</f>
        <v/>
      </c>
      <c r="AJ31" s="3315" t="inlineStr">
        <is>
          <t>Rice converted to forest land</t>
        </is>
      </c>
      <c r="AK31" s="3324">
        <f>C31*IF(G7="Straw burnt",1,0)</f>
        <v/>
      </c>
      <c r="AL31" s="3314">
        <f>D31*IF(G7="Straw burnt",1,0)</f>
        <v/>
      </c>
      <c r="AM31" s="3314">
        <f>F31*IF(G7="Straw burnt",1,0)</f>
        <v/>
      </c>
      <c r="AN31" s="3314">
        <f>IF(R31&gt;0, R31/$Q7,0)</f>
        <v/>
      </c>
      <c r="AO31" s="3325">
        <f>IF(S31&gt;0, S31/$Q7,0)</f>
        <v/>
      </c>
    </row>
    <row r="32">
      <c r="B32" s="3334" t="inlineStr">
        <is>
          <t>Rice after non-forest land use</t>
        </is>
      </c>
      <c r="C32" s="3318" t="n">
        <v>0</v>
      </c>
      <c r="D32" s="3318">
        <f>Matrix!AU16+Matrix!BG16+Matrix!CA16+Matrix!CL16+Matrix!CW16+Matrix!DH16</f>
        <v/>
      </c>
      <c r="E32" s="3318" t="inlineStr">
        <is>
          <t>Linear</t>
        </is>
      </c>
      <c r="F32" s="3370">
        <f>Matrix!AU34+Matrix!BG34+Matrix!CA34+Matrix!CL34+Matrix!CW34+Matrix!DH34</f>
        <v/>
      </c>
      <c r="G32" s="3318" t="inlineStr">
        <is>
          <t>Linear</t>
        </is>
      </c>
      <c r="H32" s="3318" t="n"/>
      <c r="I32" s="3318">
        <f>$C32</f>
        <v/>
      </c>
      <c r="J32" s="3318">
        <f>$D32</f>
        <v/>
      </c>
      <c r="K32" s="3318" t="inlineStr">
        <is>
          <t>Linear</t>
        </is>
      </c>
      <c r="L32" s="3318">
        <f>F32</f>
        <v/>
      </c>
      <c r="M32" s="3318" t="inlineStr">
        <is>
          <t>Linear</t>
        </is>
      </c>
      <c r="N32" s="3318">
        <f>IF(ABS($M8*((MIN($C32,D32)*MIN(20,time_tot))+IF(E32="Immediate",IF(D32 &gt; $C32, D32*MIN(20,time_tot),0),IF($C32&gt;D32,($C32-D32)*IF(time&gt;20,IF(E32="Linear",time-((time-20)^2)/(2*time),(0.215*time)-(time/4.6)*(EXP(-92.1/time)-0.01)),time*(1-VLOOKUP(E32, list!$J$48:$K$50, 2,))), (D32-$C32)*IF(time_tot&gt;time+20,20,IF(time_tot&lt;20,(time*VLOOKUP(E32, list!$J$48:$K$50, 2,))+(time_tot-time),((MIN(20,time)*VLOOKUP(E32, list!$J$48:$K$50, 2,)) +(time_tot-MIN(20,time))-IF(E32="Exponential",time_tot-20+0.217*time*(EXP(4.606*(20-time_tot)/time)-1),((time_tot-20)^2)*(0.5/time)))))))))&gt;=ABS(M8*20*MAX(C32,D32)), M8*20*MAX(C32,D32), $M8*((MIN($C32,D32)*MIN(20,time_tot))+IF(E32="Immediate",IF(D32 &gt; $C32, D32*MIN(20,time_tot),0),IF($C32&gt;D32,($C32-D32)*IF(time&gt;20,IF(E32="Linear",time-((time-20)^2)/(2*time),(0.215*time)-(time/4.6)*(EXP(-92.1/time)-0.01)),time*(1-VLOOKUP(E32, list!$J$48:$K$50, 2,))), (D32-$C32)*IF(time_tot&gt;time+20,20,IF(time_tot&lt;20,(time*VLOOKUP(E32, list!$J$48:$K$50, 2,))+(time_tot-time),((MIN(20,time)*VLOOKUP(E32, list!$J$48:$K$50, 2,)) +(time_tot-MIN(20,time))-IF(E32="Exponential",time_tot-20+0.217*time*(EXP(4.606*(20-time_tot)/time)-1),((time_tot-20)^2)*(0.5/time)))))))))</f>
        <v/>
      </c>
      <c r="O32" s="3318">
        <f>IF(ABS($N8*((MIN($C32,F32)*MIN(20,time_tot))+IF(K32="Immediate",IF(F32 &gt; $C32, F32*MIN(20,time_tot),0),IF($C32 &gt; F32,($C32-F32)*IF(time&gt;20,IF(K32="Linear",time-((time-20)^2)/(2*time),(0.215*time)-(time/4.6)*(EXP(-92.1/time)-0.01)),time*(1-VLOOKUP(K32, list!$J$48:$K$50, 2,))), (F32-$C32)*IF(time_tot&gt;time+20,20,IF(time_tot&lt;20,(time*VLOOKUP(K32, list!$J$48:$K$50, 2,))+(time_tot-time),((MIN(20,time)*VLOOKUP(K32, list!$J$48:$K$50, 2,)) +(time_tot-MIN(20,time))-IF(K32="Exponential",time_tot-20+0.217*time*(EXP(4.606*(20-time_tot)/time)-1),((time_tot-20)^2)*(0.5/time)))))))))&gt;=ABS(N8*20*MAX(C32,F32)), N8*20*MAX(C32,F32), $N8*((MIN($C32,F32)*MIN(20,time_tot))+IF(K32="Immediate",IF(F32 &gt; $C32, F32*MIN(20,time_tot),0),IF($C32 &gt; F32,($C32-F32)*IF(time&gt;20,IF(K32="Linear",time-((time-20)^2)/(2*time),(0.215*time)-(time/4.6)*(EXP(-92.1/time)-0.01)),time*(1-VLOOKUP(K32, list!$J$48:$K$50, 2,))), (F32-$C32)*IF(time_tot&gt;time+20,20,IF(time_tot&lt;20,(time*VLOOKUP(K32, list!$J$48:$K$50, 2,))+(time_tot-time),((MIN(20,time)*VLOOKUP(K32, list!$J$48:$K$50, 2,)) +(time_tot-MIN(20,time))-IF(K32="Exponential",time_tot-20+0.217*time*(EXP(4.606*(20-time_tot)/time)-1),((time_tot-20)^2)*(0.5/time)))))))))</f>
        <v/>
      </c>
      <c r="P32" s="3663">
        <f>(MIN(I32,J32)*time_tot+ABS(J32-I32)*IF(J32 &gt; I32, time_cap+time*(VLOOKUP(K32, list!$J$48:$K$50,2,)),time*(1-(VLOOKUP(K32, list!$J$48:$K$50,2,)))))*$P8*methane/1000</f>
        <v/>
      </c>
      <c r="Q32" s="3663">
        <f>(MIN(I32,L32)*time_tot+ABS(L32-I32)*IF(L32&gt;I32, time_cap+time*(VLOOKUP(M32, list!$J$48:$K$50,2,)),time*(1-(VLOOKUP(M32, list!$J$48:$K$50,2,)))))*$P8*methane/1000</f>
        <v/>
      </c>
      <c r="R32" s="3663">
        <f>(MIN(C32,D32)*time_tot+ABS(D32-C32)*IF(D32&gt;C32,time_cap+time*(VLOOKUP(E32, list!$J$48:$K$50,2,)),time*(1-(VLOOKUP(E32, list!$J$48:$K$50,2,)))))*($Q8+R8)</f>
        <v/>
      </c>
      <c r="S32" s="3663">
        <f>(MIN(C32,F32)*time_tot+ABS(F32-C32)*IF(F32&gt;C32, time_cap + time*(VLOOKUP(G32, list!$J$48:$K$50,2,)),time*(1-(VLOOKUP(G32, list!$J$48:$K$50,2,)))))*($Q8+R8)</f>
        <v/>
      </c>
      <c r="T32" s="3663">
        <f>N32+P32+R32</f>
        <v/>
      </c>
      <c r="U32" s="3663">
        <f>O32+Q32+S32</f>
        <v/>
      </c>
      <c r="V32" s="3373">
        <f>U32-T32</f>
        <v/>
      </c>
      <c r="Z32" s="3341">
        <f>$S8*(time*((ABS(D32-C32)*(IF(C32&lt;=D32,VLOOKUP(E32, list!$J$48:$K$50,2,),1-VLOOKUP(E32, list!$J$48:$K$50,2,))))+MIN(D32,C32))+(D32* time_cap))</f>
        <v/>
      </c>
      <c r="AA32" s="3341">
        <f>$S8*(time*((ABS(F32-C32)*(IF(C32&lt;=F32,VLOOKUP(G32, list!$J$48:$K$50,2,),1-VLOOKUP(G32, list!$J$48:$K$50,2,))))+MIN(F32,C32))+(F32* time_cap))</f>
        <v/>
      </c>
      <c r="AB32" s="3341">
        <f>AA32-Z32</f>
        <v/>
      </c>
      <c r="AJ32" s="3281" t="inlineStr">
        <is>
          <t>Rice after non-forest land use</t>
        </is>
      </c>
      <c r="AK32" s="3662">
        <f>C32*IF(G8="Straw burnt",1,0)</f>
        <v/>
      </c>
      <c r="AL32" s="3663">
        <f>D32*IF(G8="Straw burnt",1,0)</f>
        <v/>
      </c>
      <c r="AM32" s="3663">
        <f>F32*IF(G8="Straw burnt",1,0)</f>
        <v/>
      </c>
      <c r="AN32" s="3663">
        <f>IF(R32&gt;0, R32/$Q8,0)</f>
        <v/>
      </c>
      <c r="AO32" s="3664">
        <f>IF(S32&gt;0, S32/$Q8,0)</f>
        <v/>
      </c>
    </row>
    <row r="33">
      <c r="B33" s="3774" t="inlineStr">
        <is>
          <t>Rice converted to other land use</t>
        </is>
      </c>
      <c r="C33" s="4090">
        <f>MAX(SUM(Matrix!BO16:BT16),SUM(Matrix!BO34:BT34))</f>
        <v/>
      </c>
      <c r="D33" s="4090">
        <f>C33-SUM(Matrix!BO16:BT16)</f>
        <v/>
      </c>
      <c r="E33" s="4090" t="inlineStr">
        <is>
          <t>Linear</t>
        </is>
      </c>
      <c r="F33" s="4090">
        <f>C33-SUM(Matrix!BO34:BT34)</f>
        <v/>
      </c>
      <c r="G33" s="4090" t="inlineStr">
        <is>
          <t>Linear</t>
        </is>
      </c>
      <c r="H33" s="4090" t="n"/>
      <c r="I33" s="4090">
        <f>$C33</f>
        <v/>
      </c>
      <c r="J33" s="4090">
        <f>$D33</f>
        <v/>
      </c>
      <c r="K33" s="4090" t="inlineStr">
        <is>
          <t>Linear</t>
        </is>
      </c>
      <c r="L33" s="4090">
        <f>F33</f>
        <v/>
      </c>
      <c r="M33" s="4090" t="inlineStr">
        <is>
          <t>Linear</t>
        </is>
      </c>
      <c r="N33" s="4090">
        <f>IF(ABS($M9*((MIN($C33,D33)*MIN(20,time_tot))+IF(E33="Immediate",IF(D33 &gt; $C33, D33*MIN(20,time_tot),0),IF($C33&gt;D33,($C33-D33)*IF(time&gt;20,IF(E33="Linear",time-((time-20)^2)/(2*time),(0.215*time)-(time/4.6)*(EXP(-92.1/time)-0.01)),time*(1-VLOOKUP(E33, list!$J$48:$K$50, 2,))), (D33-$C33)*IF(time_tot&gt;time+20,20,IF(time_tot&lt;20,(time*VLOOKUP(E33, list!$J$48:$K$50, 2,))+(time_tot-time),((MIN(20,time)*VLOOKUP(E33, list!$J$48:$K$50, 2,)) +(time_tot-MIN(20,time))-IF(E33="Exponential",time_tot-20+0.217*time*(EXP(4.606*(20-time_tot)/time)-1),((time_tot-20)^2)*(0.5/time)))))))))&gt;=ABS(M9*20*MAX(C33,D33)), M9*20*MAX(C33,D33), $M9*((MIN($C33,D33)*MIN(20,time_tot))+IF(E33="Immediate",IF(D33 &gt; $C33, D33*MIN(20,time_tot),0),IF($C33&gt;D33,($C33-D33)*IF(time&gt;20,IF(E33="Linear",time-((time-20)^2)/(2*time),(0.215*time)-(time/4.6)*(EXP(-92.1/time)-0.01)),time*(1-VLOOKUP(E33, list!$J$48:$K$50, 2,))), (D33-$C33)*IF(time_tot&gt;time+20,20,IF(time_tot&lt;20,(time*VLOOKUP(E33, list!$J$48:$K$50, 2,))+(time_tot-time),((MIN(20,time)*VLOOKUP(E33, list!$J$48:$K$50, 2,)) +(time_tot-MIN(20,time))-IF(E33="Exponential",time_tot-20+0.217*time*(EXP(4.606*(20-time_tot)/time)-1),((time_tot-20)^2)*(0.5/time)))))))))</f>
        <v/>
      </c>
      <c r="O33" s="4090">
        <f>IF(ABS($N9*((MIN($C33,F33)*MIN(20,time_tot))+IF(K33="Immediate",IF(F33 &gt; $C33, F33*MIN(20,time_tot),0),IF($C33 &gt; F33,($C33-F33)*IF(time&gt;20,IF(K33="Linear",time-((time-20)^2)/(2*time),(0.215*time)-(time/4.6)*(EXP(-92.1/time)-0.01)),time*(1-VLOOKUP(K33, list!$J$48:$K$50, 2,))), (F33-$C33)*IF(time_tot&gt;time+20,20,IF(time_tot&lt;20,(time*VLOOKUP(K33, list!$J$48:$K$50, 2,))+(time_tot-time),((MIN(20,time)*VLOOKUP(K33, list!$J$48:$K$50, 2,)) +(time_tot-MIN(20,time))-IF(K33="Exponential",time_tot-20+0.217*time*(EXP(4.606*(20-time_tot)/time)-1),((time_tot-20)^2)*(0.5/time)))))))))&gt;=ABS(N9*20*MAX(C33,F33)), N9*20*MAX(C33,F33), $N9*((MIN($C33,F33)*MIN(20,time_tot))+IF(K33="Immediate",IF(F33 &gt; $C33, F33*MIN(20,time_tot),0),IF($C33 &gt; F33,($C33-F33)*IF(time&gt;20,IF(K33="Linear",time-((time-20)^2)/(2*time),(0.215*time)-(time/4.6)*(EXP(-92.1/time)-0.01)),time*(1-VLOOKUP(K33, list!$J$48:$K$50, 2,))), (F33-$C33)*IF(time_tot&gt;time+20,20,IF(time_tot&lt;20,(time*VLOOKUP(K33, list!$J$48:$K$50, 2,))+(time_tot-time),((MIN(20,time)*VLOOKUP(K33, list!$J$48:$K$50, 2,)) +(time_tot-MIN(20,time))-IF(K33="Exponential",time_tot-20+0.217*time*(EXP(4.606*(20-time_tot)/time)-1),((time_tot-20)^2)*(0.5/time)))))))))</f>
        <v/>
      </c>
      <c r="P33" s="3665">
        <f>(MIN(I33,J33)*time_tot+ABS(J33-I33)*IF(J33 &gt; I33, time_cap+time*(VLOOKUP(K33, list!$J$48:$K$50,2,)),time*(1-(VLOOKUP(K33, list!$J$48:$K$50,2,)))))*$P9*methane/1000</f>
        <v/>
      </c>
      <c r="Q33" s="3665">
        <f>(MIN(I33,L33)*time_tot+ABS(L33-I33)*IF(L33&gt;I33, time_cap+time*(VLOOKUP(M33, list!$J$48:$K$50,2,)),time*(1-(VLOOKUP(M33, list!$J$48:$K$50,2,)))))*$P9*methane/1000</f>
        <v/>
      </c>
      <c r="R33" s="3665">
        <f>(MIN(C33,D33)*time_tot+ABS(D33-C33)*IF(D33&gt;C33,time_cap+time*(VLOOKUP(E33, list!$J$48:$K$50,2,)),time*(1-(VLOOKUP(E33, list!$J$48:$K$50,2,)))))*($Q9+R9)</f>
        <v/>
      </c>
      <c r="S33" s="3665">
        <f>(MIN(C33,F33)*time_tot+ABS(F33-C33)*IF(F33&gt;C33, time_cap + time*(VLOOKUP(G33, list!$J$48:$K$50,2,)),time*(1-(VLOOKUP(G33, list!$J$48:$K$50,2,)))))*($Q9+R9)</f>
        <v/>
      </c>
      <c r="T33" s="3665">
        <f>N33+P33+R33</f>
        <v/>
      </c>
      <c r="U33" s="3665">
        <f>O33+Q33+S33</f>
        <v/>
      </c>
      <c r="V33" s="3374">
        <f>U33-T33</f>
        <v/>
      </c>
      <c r="Z33" s="3342">
        <f>$S9*(time*((ABS(D33-C33)*(IF(C33&lt;=D33,VLOOKUP(E33, list!$J$48:$K$50,2,),1-VLOOKUP(E33, list!$J$48:$K$50,2,))))+MIN(D33,C33))+(D33* time_cap))</f>
        <v/>
      </c>
      <c r="AA33" s="3342">
        <f>$S9*(time*((ABS(F33-C33)*(IF(C33&lt;=F33,VLOOKUP(G33, list!$J$48:$K$50,2,),1-VLOOKUP(G33, list!$J$48:$K$50,2,))))+MIN(F33,C33))+(F33* time_cap))</f>
        <v/>
      </c>
      <c r="AB33" s="3342">
        <f>AA33-Z33</f>
        <v/>
      </c>
      <c r="AJ33" s="3281" t="inlineStr">
        <is>
          <t>Rice converted to other land use</t>
        </is>
      </c>
      <c r="AK33" s="3680">
        <f>C33*IF(G9="Straw burnt",1,0)</f>
        <v/>
      </c>
      <c r="AL33" s="3665">
        <f>D33*IF(G9="Straw burnt",1,0)</f>
        <v/>
      </c>
      <c r="AM33" s="3665">
        <f>F33*IF(G9="Straw burnt",1,0)</f>
        <v/>
      </c>
      <c r="AN33" s="3665">
        <f>IF(R33&gt;0, R33/$Q9,0)</f>
        <v/>
      </c>
      <c r="AO33" s="3681">
        <f>IF(S33&gt;0, S33/$Q9,0)</f>
        <v/>
      </c>
    </row>
    <row r="34">
      <c r="B34" s="3300">
        <f>B14</f>
        <v/>
      </c>
      <c r="C34" s="3301">
        <f>'3.Cropland'!Q108</f>
        <v/>
      </c>
      <c r="D34" s="3301">
        <f>'3.Cropland'!R108</f>
        <v/>
      </c>
      <c r="E34" s="3300">
        <f>VLOOKUP('3.Cropland'!S108, list!$I$48:$J$50,2, FALSE)</f>
        <v/>
      </c>
      <c r="F34" s="3301">
        <f>'3.Cropland'!T108</f>
        <v/>
      </c>
      <c r="G34" s="3300">
        <f>VLOOKUP('3.Cropland'!U108, list!$I$48:$J$50,2, FALSE)</f>
        <v/>
      </c>
      <c r="H34" s="3300" t="n"/>
      <c r="I34" s="3301">
        <f>$C34</f>
        <v/>
      </c>
      <c r="J34" s="3301">
        <f>$D34</f>
        <v/>
      </c>
      <c r="K34" s="3300">
        <f>E34</f>
        <v/>
      </c>
      <c r="L34" s="3301">
        <f>F34</f>
        <v/>
      </c>
      <c r="M34" s="3300">
        <f>G34</f>
        <v/>
      </c>
      <c r="N34" s="3284">
        <f>IF(ABS(-$L14*((MIN($C34,D34)*MIN(20,time_tot))+IF(E34="Immediate",IF(D34&gt;$C34,D34*MIN(20,time_tot),0),IF($C34&gt;D34,($C34-D34)*IF(time&gt;20,IF(E34="Linear",time-((time-20)^2)/(2*time),(0.215*time)-(time/4.6)*(EXP(-92.1/time)-0.01)),time*(1-VLOOKUP(E34, list!$J$48:$K$50,2,))),(D34-$C34)*IF(time_tot&gt;time+20,20,IF(time_tot&lt;20,(time*VLOOKUP(E34, list!$J$48:$K$50,2,))+(time_tot-time),((MIN(20,time)*VLOOKUP(E34, list!$J$48:$K$50,2,))+(time_tot-MIN(20,time))-IF(E34="Exponential",time_tot-20+0.217*time*(EXP(4.606*(20-time_tot)/time)-1),((time_tot-20)^2)*(0.5/time)))))))))&gt;=ABS(L14*20*MAX(D34,C34)), -L14*20*MAX(D34,C34), -$L14*((MIN($C34,D34)*MIN(20,time_tot))+IF(E34="Immediate",IF(D34&gt;$C34,D34*MIN(20,time_tot),0),IF($C34&gt;D34,($C34-D34)*IF(time&gt;20,IF(E34="Linear",time-((time-20)^2)/(2*time),(0.215*time)-(time/4.6)*(EXP(-92.1/time)-0.01)),time*(1-VLOOKUP(E34, list!$J$48:$K$50,2,))),(D34-$C34)*IF(time_tot&gt;time+20,20,IF(time_tot&lt;20,(time*VLOOKUP(E34, list!$J$48:$K$50,2,))+(time_tot-time),((MIN(20,time)*VLOOKUP(E34, list!$J$48:$K$50,2,))+(time_tot-MIN(20,time))-IF(E34="Exponential",time_tot-20+0.217*time*(EXP(4.606*(20-time_tot)/time)-1),((time_tot-20)^2)*(0.5/time)))))))))</f>
        <v/>
      </c>
      <c r="O34" s="3285">
        <f>IF(ABS(-$L14*((MIN($C34,F34)*MIN(20,time_tot))+IF(G34="Immediate",IF(F34&gt;$C34,F34*MIN(20,time_tot),0),IF($C34&gt;F34,($C34-F34)*IF(time&gt;20,IF(G34="Linear",time-((time-20)^2)/(2*time),(0.215*time)-(time/4.6)*(EXP(-92.1/time)-0.01)),time*(1-VLOOKUP(G34, list!$J$48:$K$50,2,))),(F34-$C34)*IF(time_tot&gt;time+20,20,IF(time_tot&lt;20,(time*VLOOKUP(G34, list!$J$48:$K$50,2,))+(time_tot-time),((MIN(20,time)*VLOOKUP(G34, list!$J$48:$K$50,2,))+(time_tot-MIN(20,time))-IF(G34="Exponential",time_tot-20+0.217*time*(EXP(4.606*(20-time_tot)/time)-1),((time_tot-20)^2)*(0.5/time)))))))))&gt;=ABS(L14*20*MAX(C34,F34)), -L14*20*MAX(C34,F34), -$L14*((MIN($C34,F34)*MIN(20,time_tot))+IF(G34="Immediate",IF(F34&gt;$C34,F34*MIN(20,time_tot),0),IF($C34&gt;F34,($C34-F34)*IF(time&gt;20,IF(G34="Linear",time-((time-20)^2)/(2*time),(0.215*time)-(time/4.6)*(EXP(-92.1/time)-0.01)),time*(1-VLOOKUP(G34, list!$J$48:$K$50,2,))),(F34-$C34)*IF(time_tot&gt;time+20,20,IF(time_tot&lt;20,(time*VLOOKUP(G34, list!$J$48:$K$50,2,))+(time_tot-time),((MIN(20,time)*VLOOKUP(G34, list!$J$48:$K$50,2,))+(time_tot-MIN(20,time))-IF(G34="Exponential",time_tot-20+0.217*time*(EXP(4.606*(20-time_tot)/time)-1),((time_tot-20)^2)*(0.5/time)))))))))</f>
        <v/>
      </c>
      <c r="P34" s="3285">
        <f>(MIN(I34,J34)*time_tot+ABS(J34-I34)*IF(J34 &gt; I34, time_cap+time*(VLOOKUP(K34, list!$J$48:$K$50,2,)),time*(1-(VLOOKUP(K34, list!$J$48:$K$50,2,)))))*$N14*methane/1000</f>
        <v/>
      </c>
      <c r="Q34" s="3285">
        <f>(MIN(I34,L34)*time_tot+ABS(L34-I34)*IF(L34&gt;I34, time_cap+time*(VLOOKUP(M34, list!$J$48:$K$50,2,)),time*(1-(VLOOKUP(M34, list!$J$48:$K$50,2,)))))*$N14*methane/1000</f>
        <v/>
      </c>
      <c r="R34" s="3285">
        <f>(MIN(C34,D34)*time_tot+ABS(D34-C34)*IF(D34&gt;C34,time_cap+time*(VLOOKUP(E34, list!$J$48:$K$50,2,)),time*(1-(VLOOKUP(E34, list!$J$48:$K$50,2,)))))*($O14+P14)</f>
        <v/>
      </c>
      <c r="S34" s="3285">
        <f>(MIN(C34,F34)*time_tot+ABS(F34-C34)*IF(F34&gt;C34, time_cap + time*(VLOOKUP(G34, list!$J$48:$K$50,2,)),time*(1-(VLOOKUP(G34, list!$J$48:$K$50,2,)))))*($O14+P14)</f>
        <v/>
      </c>
      <c r="T34" s="3666">
        <f>SUM(N34,P34,R34)</f>
        <v/>
      </c>
      <c r="U34" s="3666">
        <f>SUM(O34,Q34,S34)</f>
        <v/>
      </c>
      <c r="V34" s="3375">
        <f>U34-T34</f>
        <v/>
      </c>
      <c r="Z34" s="3343">
        <f>$Q14*(time*((ABS(D34-C34)*(IF(C34&lt;=D34,VLOOKUP(E34, list!$J$48:$K$50,2,),1-VLOOKUP(E34, list!$J$48:$K$50,2,))))+MIN(D34,C34))+(D34* time_cap))</f>
        <v/>
      </c>
      <c r="AA34" s="3344">
        <f>$Q14*(time*((ABS(F34-C34)*(IF(C34&lt;=F34,VLOOKUP(G34, list!$J$48:$K$50,2,),1-VLOOKUP(G34, list!$J$48:$K$50,2,))))+MIN(F34,C34))+(F34* time_cap))</f>
        <v/>
      </c>
      <c r="AB34" s="3345">
        <f>AA34-Z34</f>
        <v/>
      </c>
      <c r="AK34" s="3677">
        <f>C34*IF(G14="Straw burnt",1,0)</f>
        <v/>
      </c>
      <c r="AL34" s="3678">
        <f>D34*IF(G14="Straw burnt",1,0)</f>
        <v/>
      </c>
      <c r="AM34" s="3678">
        <f>F34*IF(G14="Straw burnt",1,0)</f>
        <v/>
      </c>
      <c r="AN34" s="3678">
        <f>IF(R34&gt;0, R34/$O14,0)</f>
        <v/>
      </c>
      <c r="AO34" s="3679">
        <f>IF(S34&gt;0, S34/$O14,0)</f>
        <v/>
      </c>
    </row>
    <row r="35">
      <c r="B35" s="3300">
        <f>B15</f>
        <v/>
      </c>
      <c r="C35" s="3301">
        <f>'3.Cropland'!Q109</f>
        <v/>
      </c>
      <c r="D35" s="3301">
        <f>'3.Cropland'!R109</f>
        <v/>
      </c>
      <c r="E35" s="3300">
        <f>VLOOKUP('3.Cropland'!S109, list!$I$48:$J$50,2, FALSE)</f>
        <v/>
      </c>
      <c r="F35" s="3301">
        <f>'3.Cropland'!T109</f>
        <v/>
      </c>
      <c r="G35" s="3300">
        <f>VLOOKUP('3.Cropland'!U109, list!$I$48:$J$50,2, FALSE)</f>
        <v/>
      </c>
      <c r="H35" s="3300" t="n"/>
      <c r="I35" s="3301">
        <f>$C35</f>
        <v/>
      </c>
      <c r="J35" s="3301">
        <f>$D35</f>
        <v/>
      </c>
      <c r="K35" s="3300">
        <f>E35</f>
        <v/>
      </c>
      <c r="L35" s="3301">
        <f>F35</f>
        <v/>
      </c>
      <c r="M35" s="3300">
        <f>G35</f>
        <v/>
      </c>
      <c r="N35" s="3284">
        <f>IF(ABS(-$L15*((MIN($C35,D35)*MIN(20,time_tot))+IF(E35="Immediate",IF(D35&gt;$C35,D35*MIN(20,time_tot),0),IF($C35&gt;D35,($C35-D35)*IF(time&gt;20,IF(E35="Linear",time-((time-20)^2)/(2*time),(0.215*time)-(time/4.6)*(EXP(-92.1/time)-0.01)),time*(1-VLOOKUP(E35, list!$J$48:$K$50,2,))),(D35-$C35)*IF(time_tot&gt;time+20,20,IF(time_tot&lt;20,(time*VLOOKUP(E35, list!$J$48:$K$50,2,))+(time_tot-time),((MIN(20,time)*VLOOKUP(E35, list!$J$48:$K$50,2,))+(time_tot-MIN(20,time))-IF(E35="Exponential",time_tot-20+0.217*time*(EXP(4.606*(20-time_tot)/time)-1),((time_tot-20)^2)*(0.5/time)))))))))&gt;=ABS(L15*20*MAX(D35,C35)), -L15*20*MAX(D35,C35), -$L15*((MIN($C35,D35)*MIN(20,time_tot))+IF(E35="Immediate",IF(D35&gt;$C35,D35*MIN(20,time_tot),0),IF($C35&gt;D35,($C35-D35)*IF(time&gt;20,IF(E35="Linear",time-((time-20)^2)/(2*time),(0.215*time)-(time/4.6)*(EXP(-92.1/time)-0.01)),time*(1-VLOOKUP(E35, list!$J$48:$K$50,2,))),(D35-$C35)*IF(time_tot&gt;time+20,20,IF(time_tot&lt;20,(time*VLOOKUP(E35, list!$J$48:$K$50,2,))+(time_tot-time),((MIN(20,time)*VLOOKUP(E35, list!$J$48:$K$50,2,))+(time_tot-MIN(20,time))-IF(E35="Exponential",time_tot-20+0.217*time*(EXP(4.606*(20-time_tot)/time)-1),((time_tot-20)^2)*(0.5/time)))))))))</f>
        <v/>
      </c>
      <c r="O35" s="3285">
        <f>IF(ABS(-$L15*((MIN($C35,F35)*MIN(20,time_tot))+IF(G35="Immediate",IF(F35&gt;$C35,F35*MIN(20,time_tot),0),IF($C35&gt;F35,($C35-F35)*IF(time&gt;20,IF(G35="Linear",time-((time-20)^2)/(2*time),(0.215*time)-(time/4.6)*(EXP(-92.1/time)-0.01)),time*(1-VLOOKUP(G35, list!$J$48:$K$50,2,))),(F35-$C35)*IF(time_tot&gt;time+20,20,IF(time_tot&lt;20,(time*VLOOKUP(G35, list!$J$48:$K$50,2,))+(time_tot-time),((MIN(20,time)*VLOOKUP(G35, list!$J$48:$K$50,2,))+(time_tot-MIN(20,time))-IF(G35="Exponential",time_tot-20+0.217*time*(EXP(4.606*(20-time_tot)/time)-1),((time_tot-20)^2)*(0.5/time)))))))))&gt;=ABS(L15*20*MAX(C35,F35)), -L15*20*MAX(C35,F35), -$L15*((MIN($C35,F35)*MIN(20,time_tot))+IF(G35="Immediate",IF(F35&gt;$C35,F35*MIN(20,time_tot),0),IF($C35&gt;F35,($C35-F35)*IF(time&gt;20,IF(G35="Linear",time-((time-20)^2)/(2*time),(0.215*time)-(time/4.6)*(EXP(-92.1/time)-0.01)),time*(1-VLOOKUP(G35, list!$J$48:$K$50,2,))),(F35-$C35)*IF(time_tot&gt;time+20,20,IF(time_tot&lt;20,(time*VLOOKUP(G35, list!$J$48:$K$50,2,))+(time_tot-time),((MIN(20,time)*VLOOKUP(G35, list!$J$48:$K$50,2,))+(time_tot-MIN(20,time))-IF(G35="Exponential",time_tot-20+0.217*time*(EXP(4.606*(20-time_tot)/time)-1),((time_tot-20)^2)*(0.5/time)))))))))</f>
        <v/>
      </c>
      <c r="P35" s="3269">
        <f>(MIN(I35,J35)*time_tot+ABS(J35-I35)*IF(J35 &gt; I35, time_cap+time*(VLOOKUP(K35, list!$J$48:$K$50,2,)),time*(1-(VLOOKUP(K35, list!$J$48:$K$50,2,)))))*$N15*methane/1000</f>
        <v/>
      </c>
      <c r="Q35" s="3269">
        <f>(MIN(I35,L35)*time_tot+ABS(L35-I35)*IF(L35&gt;I35, time_cap+time*(VLOOKUP(M35, list!$J$48:$K$50,2,)),time*(1-(VLOOKUP(M35, list!$J$48:$K$50,2,)))))*$N15*methane/1000</f>
        <v/>
      </c>
      <c r="R35" s="3269">
        <f>(MIN(C35,D35)*time_tot+ABS(D35-C35)*IF(D35&gt;C35,time_cap+time*(VLOOKUP(E35, list!$J$48:$K$50,2,)),time*(1-(VLOOKUP(E35, list!$J$48:$K$50,2,)))))*($O15+P15)</f>
        <v/>
      </c>
      <c r="S35" s="3269">
        <f>(MIN(C35,F35)*time_tot+ABS(F35-C35)*IF(F35&gt;C35, time_cap + time*(VLOOKUP(G35, list!$J$48:$K$50,2,)),time*(1-(VLOOKUP(G35, list!$J$48:$K$50,2,)))))*($O15+P15)</f>
        <v/>
      </c>
      <c r="T35" s="3667">
        <f>SUM(N35,P35,R35)</f>
        <v/>
      </c>
      <c r="U35" s="3667">
        <f>SUM(O35,Q35,S35)</f>
        <v/>
      </c>
      <c r="V35" s="3376">
        <f>U35-T35</f>
        <v/>
      </c>
      <c r="Z35" s="3346">
        <f>$Q15*(time*((ABS(D35-C35)*(IF(C35&lt;=D35,VLOOKUP(E35, list!$J$48:$K$50,2,),1-VLOOKUP(E35, list!$J$48:$K$50,2,))))+MIN(D35,C35))+(D35* time_cap))</f>
        <v/>
      </c>
      <c r="AA35" s="3347">
        <f>$Q15*(time*((ABS(F35-C35)*(IF(C35&lt;=F35,VLOOKUP(G35, list!$J$48:$K$50,2,),1-VLOOKUP(G35, list!$J$48:$K$50,2,))))+MIN(F35,C35))+(F35* time_cap))</f>
        <v/>
      </c>
      <c r="AB35" s="3348">
        <f>AA35-Z35</f>
        <v/>
      </c>
      <c r="AK35" s="3671">
        <f>C35*IF(G15="Straw burnt",1,0)</f>
        <v/>
      </c>
      <c r="AL35" s="3672">
        <f>D35*IF(G15="Straw burnt",1,0)</f>
        <v/>
      </c>
      <c r="AM35" s="3672">
        <f>F35*IF(G15="Straw burnt",1,0)</f>
        <v/>
      </c>
      <c r="AN35" s="3672">
        <f>IF(R35&gt;0, R35/$O15,0)</f>
        <v/>
      </c>
      <c r="AO35" s="3673">
        <f>IF(S35&gt;0, S35/$O15,0)</f>
        <v/>
      </c>
    </row>
    <row r="36">
      <c r="B36" s="3300">
        <f>B16</f>
        <v/>
      </c>
      <c r="C36" s="3301">
        <f>'3.Cropland'!Q110</f>
        <v/>
      </c>
      <c r="D36" s="3301">
        <f>'3.Cropland'!R110</f>
        <v/>
      </c>
      <c r="E36" s="3300">
        <f>VLOOKUP('3.Cropland'!S110, list!$I$48:$J$50,2, FALSE)</f>
        <v/>
      </c>
      <c r="F36" s="3301">
        <f>'3.Cropland'!T110</f>
        <v/>
      </c>
      <c r="G36" s="3300">
        <f>VLOOKUP('3.Cropland'!U110, list!$I$48:$J$50,2, FALSE)</f>
        <v/>
      </c>
      <c r="H36" s="3300" t="n"/>
      <c r="I36" s="3301">
        <f>$C36</f>
        <v/>
      </c>
      <c r="J36" s="3301">
        <f>$D36</f>
        <v/>
      </c>
      <c r="K36" s="3300">
        <f>E36</f>
        <v/>
      </c>
      <c r="L36" s="3301">
        <f>F36</f>
        <v/>
      </c>
      <c r="M36" s="3300">
        <f>G36</f>
        <v/>
      </c>
      <c r="N36" s="3284">
        <f>IF(ABS(-$L16*((MIN($C36,D36)*MIN(20,time_tot))+IF(E36="Immediate",IF(D36&gt;$C36,D36*MIN(20,time_tot),0),IF($C36&gt;D36,($C36-D36)*IF(time&gt;20,IF(E36="Linear",time-((time-20)^2)/(2*time),(0.215*time)-(time/4.6)*(EXP(-92.1/time)-0.01)),time*(1-VLOOKUP(E36, list!$J$48:$K$50,2,))),(D36-$C36)*IF(time_tot&gt;time+20,20,IF(time_tot&lt;20,(time*VLOOKUP(E36, list!$J$48:$K$50,2,))+(time_tot-time),((MIN(20,time)*VLOOKUP(E36, list!$J$48:$K$50,2,))+(time_tot-MIN(20,time))-IF(E36="Exponential",time_tot-20+0.217*time*(EXP(4.606*(20-time_tot)/time)-1),((time_tot-20)^2)*(0.5/time)))))))))&gt;=ABS(L16*20*MAX(D36,C36)), -L16*20*MAX(D36,C36), -$L16*((MIN($C36,D36)*MIN(20,time_tot))+IF(E36="Immediate",IF(D36&gt;$C36,D36*MIN(20,time_tot),0),IF($C36&gt;D36,($C36-D36)*IF(time&gt;20,IF(E36="Linear",time-((time-20)^2)/(2*time),(0.215*time)-(time/4.6)*(EXP(-92.1/time)-0.01)),time*(1-VLOOKUP(E36, list!$J$48:$K$50,2,))),(D36-$C36)*IF(time_tot&gt;time+20,20,IF(time_tot&lt;20,(time*VLOOKUP(E36, list!$J$48:$K$50,2,))+(time_tot-time),((MIN(20,time)*VLOOKUP(E36, list!$J$48:$K$50,2,))+(time_tot-MIN(20,time))-IF(E36="Exponential",time_tot-20+0.217*time*(EXP(4.606*(20-time_tot)/time)-1),((time_tot-20)^2)*(0.5/time)))))))))</f>
        <v/>
      </c>
      <c r="O36" s="3285">
        <f>IF(ABS(-$L16*((MIN($C36,F36)*MIN(20,time_tot))+IF(G36="Immediate",IF(F36&gt;$C36,F36*MIN(20,time_tot),0),IF($C36&gt;F36,($C36-F36)*IF(time&gt;20,IF(G36="Linear",time-((time-20)^2)/(2*time),(0.215*time)-(time/4.6)*(EXP(-92.1/time)-0.01)),time*(1-VLOOKUP(G36, list!$J$48:$K$50,2,))),(F36-$C36)*IF(time_tot&gt;time+20,20,IF(time_tot&lt;20,(time*VLOOKUP(G36, list!$J$48:$K$50,2,))+(time_tot-time),((MIN(20,time)*VLOOKUP(G36, list!$J$48:$K$50,2,))+(time_tot-MIN(20,time))-IF(G36="Exponential",time_tot-20+0.217*time*(EXP(4.606*(20-time_tot)/time)-1),((time_tot-20)^2)*(0.5/time)))))))))&gt;=ABS(L16*20*MAX(C36,F36)), -L16*20*MAX(C36,F36), -$L16*((MIN($C36,F36)*MIN(20,time_tot))+IF(G36="Immediate",IF(F36&gt;$C36,F36*MIN(20,time_tot),0),IF($C36&gt;F36,($C36-F36)*IF(time&gt;20,IF(G36="Linear",time-((time-20)^2)/(2*time),(0.215*time)-(time/4.6)*(EXP(-92.1/time)-0.01)),time*(1-VLOOKUP(G36, list!$J$48:$K$50,2,))),(F36-$C36)*IF(time_tot&gt;time+20,20,IF(time_tot&lt;20,(time*VLOOKUP(G36, list!$J$48:$K$50,2,))+(time_tot-time),((MIN(20,time)*VLOOKUP(G36, list!$J$48:$K$50,2,))+(time_tot-MIN(20,time))-IF(G36="Exponential",time_tot-20+0.217*time*(EXP(4.606*(20-time_tot)/time)-1),((time_tot-20)^2)*(0.5/time)))))))))</f>
        <v/>
      </c>
      <c r="P36" s="3269">
        <f>(MIN(I36,J36)*time_tot+ABS(J36-I36)*IF(J36 &gt; I36, time_cap+time*(VLOOKUP(K36, list!$J$48:$K$50,2,)),time*(1-(VLOOKUP(K36, list!$J$48:$K$50,2,)))))*$N16*methane/1000</f>
        <v/>
      </c>
      <c r="Q36" s="3269">
        <f>(MIN(I36,L36)*time_tot+ABS(L36-I36)*IF(L36&gt;I36, time_cap+time*(VLOOKUP(M36, list!$J$48:$K$50,2,)),time*(1-(VLOOKUP(M36, list!$J$48:$K$50,2,)))))*$N16*methane/1000</f>
        <v/>
      </c>
      <c r="R36" s="3269">
        <f>(MIN(C36,D36)*time_tot+ABS(D36-C36)*IF(D36&gt;C36,time_cap+time*(VLOOKUP(E36, list!$J$48:$K$50,2,)),time*(1-(VLOOKUP(E36, list!$J$48:$K$50,2,)))))*($O16+P16)</f>
        <v/>
      </c>
      <c r="S36" s="3269">
        <f>(MIN(C36,F36)*time_tot+ABS(F36-C36)*IF(F36&gt;C36, time_cap + time*(VLOOKUP(G36, list!$J$48:$K$50,2,)),time*(1-(VLOOKUP(G36, list!$J$48:$K$50,2,)))))*($O16+P16)</f>
        <v/>
      </c>
      <c r="T36" s="3667">
        <f>SUM(N36,P36,R36)</f>
        <v/>
      </c>
      <c r="U36" s="3667">
        <f>SUM(O36,Q36,S36)</f>
        <v/>
      </c>
      <c r="V36" s="3376">
        <f>U36-T36</f>
        <v/>
      </c>
      <c r="Z36" s="3346">
        <f>$Q16*(time*((ABS(D36-C36)*(IF(C36&lt;=D36,VLOOKUP(E36, list!$J$48:$K$50,2,),1-VLOOKUP(E36, list!$J$48:$K$50,2,))))+MIN(D36,C36))+(D36* time_cap))</f>
        <v/>
      </c>
      <c r="AA36" s="3347">
        <f>$Q16*(time*((ABS(F36-C36)*(IF(C36&lt;=F36,VLOOKUP(G36, list!$J$48:$K$50,2,),1-VLOOKUP(G36, list!$J$48:$K$50,2,))))+MIN(F36,C36))+(F36* time_cap))</f>
        <v/>
      </c>
      <c r="AB36" s="3348">
        <f>AA36-Z36</f>
        <v/>
      </c>
      <c r="AK36" s="3671">
        <f>C36*IF(G16="Straw burnt",1,0)</f>
        <v/>
      </c>
      <c r="AL36" s="3672">
        <f>D36*IF(G16="Straw burnt",1,0)</f>
        <v/>
      </c>
      <c r="AM36" s="3672">
        <f>F36*IF(G16="Straw burnt",1,0)</f>
        <v/>
      </c>
      <c r="AN36" s="3672">
        <f>IF(R36&gt;0, R36/$O16,0)</f>
        <v/>
      </c>
      <c r="AO36" s="3673">
        <f>IF(S36&gt;0, S36/$O16,0)</f>
        <v/>
      </c>
    </row>
    <row r="37">
      <c r="B37" s="3300">
        <f>B17</f>
        <v/>
      </c>
      <c r="C37" s="3301">
        <f>'3.Cropland'!Q111</f>
        <v/>
      </c>
      <c r="D37" s="3301">
        <f>'3.Cropland'!R111</f>
        <v/>
      </c>
      <c r="E37" s="3300">
        <f>VLOOKUP('3.Cropland'!S111, list!$I$48:$J$50,2, FALSE)</f>
        <v/>
      </c>
      <c r="F37" s="3301">
        <f>'3.Cropland'!T111</f>
        <v/>
      </c>
      <c r="G37" s="3300">
        <f>VLOOKUP('3.Cropland'!U111, list!$I$48:$J$50,2, FALSE)</f>
        <v/>
      </c>
      <c r="H37" s="3300" t="n"/>
      <c r="I37" s="3301">
        <f>$C37</f>
        <v/>
      </c>
      <c r="J37" s="3301">
        <f>$D37</f>
        <v/>
      </c>
      <c r="K37" s="3300">
        <f>E37</f>
        <v/>
      </c>
      <c r="L37" s="3301">
        <f>F37</f>
        <v/>
      </c>
      <c r="M37" s="3300">
        <f>G37</f>
        <v/>
      </c>
      <c r="N37" s="3284">
        <f>IF(ABS(-$L17*((MIN($C37,D37)*MIN(20,time_tot))+IF(E37="Immediate",IF(D37&gt;$C37,D37*MIN(20,time_tot),0),IF($C37&gt;D37,($C37-D37)*IF(time&gt;20,IF(E37="Linear",time-((time-20)^2)/(2*time),(0.215*time)-(time/4.6)*(EXP(-92.1/time)-0.01)),time*(1-VLOOKUP(E37, list!$J$48:$K$50,2,))),(D37-$C37)*IF(time_tot&gt;time+20,20,IF(time_tot&lt;20,(time*VLOOKUP(E37, list!$J$48:$K$50,2,))+(time_tot-time),((MIN(20,time)*VLOOKUP(E37, list!$J$48:$K$50,2,))+(time_tot-MIN(20,time))-IF(E37="Exponential",time_tot-20+0.217*time*(EXP(4.606*(20-time_tot)/time)-1),((time_tot-20)^2)*(0.5/time)))))))))&gt;=ABS(L17*20*MAX(D37,C37)), -L17*20*MAX(D37,C37), -$L17*((MIN($C37,D37)*MIN(20,time_tot))+IF(E37="Immediate",IF(D37&gt;$C37,D37*MIN(20,time_tot),0),IF($C37&gt;D37,($C37-D37)*IF(time&gt;20,IF(E37="Linear",time-((time-20)^2)/(2*time),(0.215*time)-(time/4.6)*(EXP(-92.1/time)-0.01)),time*(1-VLOOKUP(E37, list!$J$48:$K$50,2,))),(D37-$C37)*IF(time_tot&gt;time+20,20,IF(time_tot&lt;20,(time*VLOOKUP(E37, list!$J$48:$K$50,2,))+(time_tot-time),((MIN(20,time)*VLOOKUP(E37, list!$J$48:$K$50,2,))+(time_tot-MIN(20,time))-IF(E37="Exponential",time_tot-20+0.217*time*(EXP(4.606*(20-time_tot)/time)-1),((time_tot-20)^2)*(0.5/time)))))))))</f>
        <v/>
      </c>
      <c r="O37" s="3285">
        <f>IF(ABS(-$L17*((MIN($C37,F37)*MIN(20,time_tot))+IF(G37="Immediate",IF(F37&gt;$C37,F37*MIN(20,time_tot),0),IF($C37&gt;F37,($C37-F37)*IF(time&gt;20,IF(G37="Linear",time-((time-20)^2)/(2*time),(0.215*time)-(time/4.6)*(EXP(-92.1/time)-0.01)),time*(1-VLOOKUP(G37, list!$J$48:$K$50,2,))),(F37-$C37)*IF(time_tot&gt;time+20,20,IF(time_tot&lt;20,(time*VLOOKUP(G37, list!$J$48:$K$50,2,))+(time_tot-time),((MIN(20,time)*VLOOKUP(G37, list!$J$48:$K$50,2,))+(time_tot-MIN(20,time))-IF(G37="Exponential",time_tot-20+0.217*time*(EXP(4.606*(20-time_tot)/time)-1),((time_tot-20)^2)*(0.5/time)))))))))&gt;=ABS(L17*20*MAX(C37,F37)), -L17*20*MAX(C37,F37), -$L17*((MIN($C37,F37)*MIN(20,time_tot))+IF(G37="Immediate",IF(F37&gt;$C37,F37*MIN(20,time_tot),0),IF($C37&gt;F37,($C37-F37)*IF(time&gt;20,IF(G37="Linear",time-((time-20)^2)/(2*time),(0.215*time)-(time/4.6)*(EXP(-92.1/time)-0.01)),time*(1-VLOOKUP(G37, list!$J$48:$K$50,2,))),(F37-$C37)*IF(time_tot&gt;time+20,20,IF(time_tot&lt;20,(time*VLOOKUP(G37, list!$J$48:$K$50,2,))+(time_tot-time),((MIN(20,time)*VLOOKUP(G37, list!$J$48:$K$50,2,))+(time_tot-MIN(20,time))-IF(G37="Exponential",time_tot-20+0.217*time*(EXP(4.606*(20-time_tot)/time)-1),((time_tot-20)^2)*(0.5/time)))))))))</f>
        <v/>
      </c>
      <c r="P37" s="3269">
        <f>(MIN(I37,J37)*time_tot+ABS(J37-I37)*IF(J37 &gt; I37, time_cap+time*(VLOOKUP(K37, list!$J$48:$K$50,2,)),time*(1-(VLOOKUP(K37, list!$J$48:$K$50,2,)))))*$N17*methane/1000</f>
        <v/>
      </c>
      <c r="Q37" s="3269">
        <f>(MIN(I37,L37)*time_tot+ABS(L37-I37)*IF(L37&gt;I37, time_cap+time*(VLOOKUP(M37, list!$J$48:$K$50,2,)),time*(1-(VLOOKUP(M37, list!$J$48:$K$50,2,)))))*$N17*methane/1000</f>
        <v/>
      </c>
      <c r="R37" s="3269">
        <f>(MIN(C37,D37)*time_tot+ABS(D37-C37)*IF(D37&gt;C37,time_cap+time*(VLOOKUP(E37, list!$J$48:$K$50,2,)),time*(1-(VLOOKUP(E37, list!$J$48:$K$50,2,)))))*($O17+P17)</f>
        <v/>
      </c>
      <c r="S37" s="3269">
        <f>(MIN(C37,F37)*time_tot+ABS(F37-C37)*IF(F37&gt;C37, time_cap + time*(VLOOKUP(G37, list!$J$48:$K$50,2,)),time*(1-(VLOOKUP(G37, list!$J$48:$K$50,2,)))))*($O17+P17)</f>
        <v/>
      </c>
      <c r="T37" s="3667">
        <f>SUM(N37,P37,R37)</f>
        <v/>
      </c>
      <c r="U37" s="3667">
        <f>SUM(O37,Q37,S37)</f>
        <v/>
      </c>
      <c r="V37" s="3376">
        <f>U37-T37</f>
        <v/>
      </c>
      <c r="Z37" s="3346">
        <f>$Q17*(time*((ABS(D37-C37)*(IF(C37&lt;=D37,VLOOKUP(E37, list!$J$48:$K$50,2,),1-VLOOKUP(E37, list!$J$48:$K$50,2,))))+MIN(D37,C37))+(D37* time_cap))</f>
        <v/>
      </c>
      <c r="AA37" s="3347">
        <f>$Q17*(time*((ABS(F37-C37)*(IF(C37&lt;=F37,VLOOKUP(G37, list!$J$48:$K$50,2,),1-VLOOKUP(G37, list!$J$48:$K$50,2,))))+MIN(F37,C37))+(F37* time_cap))</f>
        <v/>
      </c>
      <c r="AB37" s="3348">
        <f>AA37-Z37</f>
        <v/>
      </c>
      <c r="AK37" s="3671">
        <f>C37*IF(G17="Straw burnt",1,0)</f>
        <v/>
      </c>
      <c r="AL37" s="3672">
        <f>D37*IF(G17="Straw burnt",1,0)</f>
        <v/>
      </c>
      <c r="AM37" s="3672">
        <f>F37*IF(G17="Straw burnt",1,0)</f>
        <v/>
      </c>
      <c r="AN37" s="3672">
        <f>IF(R37&gt;0, R37/$O17,0)</f>
        <v/>
      </c>
      <c r="AO37" s="3673">
        <f>IF(S37&gt;0, S37/$O17,0)</f>
        <v/>
      </c>
    </row>
    <row r="38">
      <c r="B38" s="3300">
        <f>B18</f>
        <v/>
      </c>
      <c r="C38" s="3301">
        <f>'3.Cropland'!Q112</f>
        <v/>
      </c>
      <c r="D38" s="3301">
        <f>'3.Cropland'!R112</f>
        <v/>
      </c>
      <c r="E38" s="3300">
        <f>VLOOKUP('3.Cropland'!S112, list!$I$48:$J$50,2, FALSE)</f>
        <v/>
      </c>
      <c r="F38" s="3301">
        <f>'3.Cropland'!T112</f>
        <v/>
      </c>
      <c r="G38" s="3300">
        <f>VLOOKUP('3.Cropland'!U112, list!$I$48:$J$50,2, FALSE)</f>
        <v/>
      </c>
      <c r="H38" s="3300" t="n"/>
      <c r="I38" s="3301">
        <f>$C38</f>
        <v/>
      </c>
      <c r="J38" s="3301">
        <f>$D38</f>
        <v/>
      </c>
      <c r="K38" s="3300">
        <f>E38</f>
        <v/>
      </c>
      <c r="L38" s="3301">
        <f>F38</f>
        <v/>
      </c>
      <c r="M38" s="3300">
        <f>G38</f>
        <v/>
      </c>
      <c r="N38" s="3284">
        <f>IF(ABS(-$L18*((MIN($C38,D38)*MIN(20,time_tot))+IF(E38="Immediate",IF(D38&gt;$C38,D38*MIN(20,time_tot),0),IF($C38&gt;D38,($C38-D38)*IF(time&gt;20,IF(E38="Linear",time-((time-20)^2)/(2*time),(0.215*time)-(time/4.6)*(EXP(-92.1/time)-0.01)),time*(1-VLOOKUP(E38, list!$J$48:$K$50,2,))),(D38-$C38)*IF(time_tot&gt;time+20,20,IF(time_tot&lt;20,(time*VLOOKUP(E38, list!$J$48:$K$50,2,))+(time_tot-time),((MIN(20,time)*VLOOKUP(E38, list!$J$48:$K$50,2,))+(time_tot-MIN(20,time))-IF(E38="Exponential",time_tot-20+0.217*time*(EXP(4.606*(20-time_tot)/time)-1),((time_tot-20)^2)*(0.5/time)))))))))&gt;=ABS(L18*20*MAX(D38,C38)), -L18*20*MAX(D38,C38), -$L18*((MIN($C38,D38)*MIN(20,time_tot))+IF(E38="Immediate",IF(D38&gt;$C38,D38*MIN(20,time_tot),0),IF($C38&gt;D38,($C38-D38)*IF(time&gt;20,IF(E38="Linear",time-((time-20)^2)/(2*time),(0.215*time)-(time/4.6)*(EXP(-92.1/time)-0.01)),time*(1-VLOOKUP(E38, list!$J$48:$K$50,2,))),(D38-$C38)*IF(time_tot&gt;time+20,20,IF(time_tot&lt;20,(time*VLOOKUP(E38, list!$J$48:$K$50,2,))+(time_tot-time),((MIN(20,time)*VLOOKUP(E38, list!$J$48:$K$50,2,))+(time_tot-MIN(20,time))-IF(E38="Exponential",time_tot-20+0.217*time*(EXP(4.606*(20-time_tot)/time)-1),((time_tot-20)^2)*(0.5/time)))))))))</f>
        <v/>
      </c>
      <c r="O38" s="3285">
        <f>IF(ABS(-$L18*((MIN($C38,F38)*MIN(20,time_tot))+IF(G38="Immediate",IF(F38&gt;$C38,F38*MIN(20,time_tot),0),IF($C38&gt;F38,($C38-F38)*IF(time&gt;20,IF(G38="Linear",time-((time-20)^2)/(2*time),(0.215*time)-(time/4.6)*(EXP(-92.1/time)-0.01)),time*(1-VLOOKUP(G38, list!$J$48:$K$50,2,))),(F38-$C38)*IF(time_tot&gt;time+20,20,IF(time_tot&lt;20,(time*VLOOKUP(G38, list!$J$48:$K$50,2,))+(time_tot-time),((MIN(20,time)*VLOOKUP(G38, list!$J$48:$K$50,2,))+(time_tot-MIN(20,time))-IF(G38="Exponential",time_tot-20+0.217*time*(EXP(4.606*(20-time_tot)/time)-1),((time_tot-20)^2)*(0.5/time)))))))))&gt;=ABS(L18*20*MAX(C38,F38)), -L18*20*MAX(C38,F38), -$L18*((MIN($C38,F38)*MIN(20,time_tot))+IF(G38="Immediate",IF(F38&gt;$C38,F38*MIN(20,time_tot),0),IF($C38&gt;F38,($C38-F38)*IF(time&gt;20,IF(G38="Linear",time-((time-20)^2)/(2*time),(0.215*time)-(time/4.6)*(EXP(-92.1/time)-0.01)),time*(1-VLOOKUP(G38, list!$J$48:$K$50,2,))),(F38-$C38)*IF(time_tot&gt;time+20,20,IF(time_tot&lt;20,(time*VLOOKUP(G38, list!$J$48:$K$50,2,))+(time_tot-time),((MIN(20,time)*VLOOKUP(G38, list!$J$48:$K$50,2,))+(time_tot-MIN(20,time))-IF(G38="Exponential",time_tot-20+0.217*time*(EXP(4.606*(20-time_tot)/time)-1),((time_tot-20)^2)*(0.5/time)))))))))</f>
        <v/>
      </c>
      <c r="P38" s="3269">
        <f>(MIN(I38,J38)*time_tot+ABS(J38-I38)*IF(J38 &gt; I38, time_cap+time*(VLOOKUP(K38, list!$J$48:$K$50,2,)),time*(1-(VLOOKUP(K38, list!$J$48:$K$50,2,)))))*$N18*methane/1000</f>
        <v/>
      </c>
      <c r="Q38" s="3269">
        <f>(MIN(I38,L38)*time_tot+ABS(L38-I38)*IF(L38&gt;I38, time_cap+time*(VLOOKUP(M38, list!$J$48:$K$50,2,)),time*(1-(VLOOKUP(M38, list!$J$48:$K$50,2,)))))*$N18*methane/1000</f>
        <v/>
      </c>
      <c r="R38" s="3269">
        <f>(MIN(C38,D38)*time_tot+ABS(D38-C38)*IF(D38&gt;C38,time_cap+time*(VLOOKUP(E38, list!$J$48:$K$50,2,)),time*(1-(VLOOKUP(E38, list!$J$48:$K$50,2,)))))*($O18+P18)</f>
        <v/>
      </c>
      <c r="S38" s="3269">
        <f>(MIN(C38,F38)*time_tot+ABS(F38-C38)*IF(F38&gt;C38, time_cap + time*(VLOOKUP(G38, list!$J$48:$K$50,2,)),time*(1-(VLOOKUP(G38, list!$J$48:$K$50,2,)))))*($O18+P18)</f>
        <v/>
      </c>
      <c r="T38" s="3667">
        <f>SUM(N38,P38,R38)</f>
        <v/>
      </c>
      <c r="U38" s="3667">
        <f>SUM(O38,Q38,S38)</f>
        <v/>
      </c>
      <c r="V38" s="3376">
        <f>U38-T38</f>
        <v/>
      </c>
      <c r="Z38" s="3346">
        <f>$Q18*(time*((ABS(D38-C38)*(IF(C38&lt;=D38,VLOOKUP(E38, list!$J$48:$K$50,2,),1-VLOOKUP(E38, list!$J$48:$K$50,2,))))+MIN(D38,C38))+(D38* time_cap))</f>
        <v/>
      </c>
      <c r="AA38" s="3347">
        <f>$Q18*(time*((ABS(F38-C38)*(IF(C38&lt;=F38,VLOOKUP(G38, list!$J$48:$K$50,2,),1-VLOOKUP(G38, list!$J$48:$K$50,2,))))+MIN(F38,C38))+(F38* time_cap))</f>
        <v/>
      </c>
      <c r="AB38" s="3348">
        <f>AA38-Z38</f>
        <v/>
      </c>
      <c r="AK38" s="3671">
        <f>C38*IF(G18="Straw burnt",1,0)</f>
        <v/>
      </c>
      <c r="AL38" s="3672">
        <f>D38*IF(G18="Straw burnt",1,0)</f>
        <v/>
      </c>
      <c r="AM38" s="3672">
        <f>F38*IF(G18="Straw burnt",1,0)</f>
        <v/>
      </c>
      <c r="AN38" s="3672">
        <f>IF(R38&gt;0, R38/$O18,0)</f>
        <v/>
      </c>
      <c r="AO38" s="3673">
        <f>IF(S38&gt;0, S38/$O18,0)</f>
        <v/>
      </c>
    </row>
    <row r="39">
      <c r="B39" s="3300">
        <f>B19</f>
        <v/>
      </c>
      <c r="C39" s="3301">
        <f>'3.Cropland'!Q113</f>
        <v/>
      </c>
      <c r="D39" s="3301">
        <f>'3.Cropland'!R113</f>
        <v/>
      </c>
      <c r="E39" s="3300">
        <f>VLOOKUP('3.Cropland'!S113, list!$I$48:$J$50,2, FALSE)</f>
        <v/>
      </c>
      <c r="F39" s="3301">
        <f>'3.Cropland'!T113</f>
        <v/>
      </c>
      <c r="G39" s="3300">
        <f>VLOOKUP('3.Cropland'!U113, list!$I$48:$J$50,2, FALSE)</f>
        <v/>
      </c>
      <c r="H39" s="3300" t="n"/>
      <c r="I39" s="3301">
        <f>$C39</f>
        <v/>
      </c>
      <c r="J39" s="3301">
        <f>$D39</f>
        <v/>
      </c>
      <c r="K39" s="3300">
        <f>E39</f>
        <v/>
      </c>
      <c r="L39" s="3301">
        <f>F39</f>
        <v/>
      </c>
      <c r="M39" s="3300">
        <f>G39</f>
        <v/>
      </c>
      <c r="N39" s="3284">
        <f>IF(ABS(-$L19*((MIN($C39,D39)*MIN(20,time_tot))+IF(E39="Immediate",IF(D39&gt;$C39,D39*MIN(20,time_tot),0),IF($C39&gt;D39,($C39-D39)*IF(time&gt;20,IF(E39="Linear",time-((time-20)^2)/(2*time),(0.215*time)-(time/4.6)*(EXP(-92.1/time)-0.01)),time*(1-VLOOKUP(E39, list!$J$48:$K$50,2,))),(D39-$C39)*IF(time_tot&gt;time+20,20,IF(time_tot&lt;20,(time*VLOOKUP(E39, list!$J$48:$K$50,2,))+(time_tot-time),((MIN(20,time)*VLOOKUP(E39, list!$J$48:$K$50,2,))+(time_tot-MIN(20,time))-IF(E39="Exponential",time_tot-20+0.217*time*(EXP(4.606*(20-time_tot)/time)-1),((time_tot-20)^2)*(0.5/time)))))))))&gt;=ABS(L19*20*MAX(D39,C39)), -L19*20*MAX(D39,C39), -$L19*((MIN($C39,D39)*MIN(20,time_tot))+IF(E39="Immediate",IF(D39&gt;$C39,D39*MIN(20,time_tot),0),IF($C39&gt;D39,($C39-D39)*IF(time&gt;20,IF(E39="Linear",time-((time-20)^2)/(2*time),(0.215*time)-(time/4.6)*(EXP(-92.1/time)-0.01)),time*(1-VLOOKUP(E39, list!$J$48:$K$50,2,))),(D39-$C39)*IF(time_tot&gt;time+20,20,IF(time_tot&lt;20,(time*VLOOKUP(E39, list!$J$48:$K$50,2,))+(time_tot-time),((MIN(20,time)*VLOOKUP(E39, list!$J$48:$K$50,2,))+(time_tot-MIN(20,time))-IF(E39="Exponential",time_tot-20+0.217*time*(EXP(4.606*(20-time_tot)/time)-1),((time_tot-20)^2)*(0.5/time)))))))))</f>
        <v/>
      </c>
      <c r="O39" s="3285">
        <f>IF(ABS(-$L19*((MIN($C39,F39)*MIN(20,time_tot))+IF(G39="Immediate",IF(F39&gt;$C39,F39*MIN(20,time_tot),0),IF($C39&gt;F39,($C39-F39)*IF(time&gt;20,IF(G39="Linear",time-((time-20)^2)/(2*time),(0.215*time)-(time/4.6)*(EXP(-92.1/time)-0.01)),time*(1-VLOOKUP(G39, list!$J$48:$K$50,2,))),(F39-$C39)*IF(time_tot&gt;time+20,20,IF(time_tot&lt;20,(time*VLOOKUP(G39, list!$J$48:$K$50,2,))+(time_tot-time),((MIN(20,time)*VLOOKUP(G39, list!$J$48:$K$50,2,))+(time_tot-MIN(20,time))-IF(G39="Exponential",time_tot-20+0.217*time*(EXP(4.606*(20-time_tot)/time)-1),((time_tot-20)^2)*(0.5/time)))))))))&gt;=ABS(L19*20*MAX(C39,F39)), -L19*20*MAX(C39,F39), -$L19*((MIN($C39,F39)*MIN(20,time_tot))+IF(G39="Immediate",IF(F39&gt;$C39,F39*MIN(20,time_tot),0),IF($C39&gt;F39,($C39-F39)*IF(time&gt;20,IF(G39="Linear",time-((time-20)^2)/(2*time),(0.215*time)-(time/4.6)*(EXP(-92.1/time)-0.01)),time*(1-VLOOKUP(G39, list!$J$48:$K$50,2,))),(F39-$C39)*IF(time_tot&gt;time+20,20,IF(time_tot&lt;20,(time*VLOOKUP(G39, list!$J$48:$K$50,2,))+(time_tot-time),((MIN(20,time)*VLOOKUP(G39, list!$J$48:$K$50,2,))+(time_tot-MIN(20,time))-IF(G39="Exponential",time_tot-20+0.217*time*(EXP(4.606*(20-time_tot)/time)-1),((time_tot-20)^2)*(0.5/time)))))))))</f>
        <v/>
      </c>
      <c r="P39" s="3269">
        <f>(MIN(I39,J39)*time_tot+ABS(J39-I39)*IF(J39 &gt; I39, time_cap+time*(VLOOKUP(K39, list!$J$48:$K$50,2,)),time*(1-(VLOOKUP(K39, list!$J$48:$K$50,2,)))))*$N19*methane/1000</f>
        <v/>
      </c>
      <c r="Q39" s="3269">
        <f>(MIN(I39,L39)*time_tot+ABS(L39-I39)*IF(L39&gt;I39, time_cap+time*(VLOOKUP(M39, list!$J$48:$K$50,2,)),time*(1-(VLOOKUP(M39, list!$J$48:$K$50,2,)))))*$N19*methane/1000</f>
        <v/>
      </c>
      <c r="R39" s="3269">
        <f>(MIN(C39,D39)*time_tot+ABS(D39-C39)*IF(D39&gt;C39,time_cap+time*(VLOOKUP(E39, list!$J$48:$K$50,2,)),time*(1-(VLOOKUP(E39, list!$J$48:$K$50,2,)))))*($O19+P19)</f>
        <v/>
      </c>
      <c r="S39" s="3269">
        <f>(MIN(C39,F39)*time_tot+ABS(F39-C39)*IF(F39&gt;C39, time_cap + time*(VLOOKUP(G39, list!$J$48:$K$50,2,)),time*(1-(VLOOKUP(G39, list!$J$48:$K$50,2,)))))*($O19+P19)</f>
        <v/>
      </c>
      <c r="T39" s="3667">
        <f>SUM(N39,P39,R39)</f>
        <v/>
      </c>
      <c r="U39" s="3667">
        <f>SUM(O39,Q39,S39)</f>
        <v/>
      </c>
      <c r="V39" s="3376">
        <f>U39-T39</f>
        <v/>
      </c>
      <c r="Z39" s="3346">
        <f>$Q19*(time*((ABS(D39-C39)*(IF(C39&lt;=D39,VLOOKUP(E39, list!$J$48:$K$50,2,),1-VLOOKUP(E39, list!$J$48:$K$50,2,))))+MIN(D39,C39))+(D39* time_cap))</f>
        <v/>
      </c>
      <c r="AA39" s="3347">
        <f>$Q19*(time*((ABS(F39-C39)*(IF(C39&lt;=F39,VLOOKUP(G39, list!$J$48:$K$50,2,),1-VLOOKUP(G39, list!$J$48:$K$50,2,))))+MIN(F39,C39))+(F39* time_cap))</f>
        <v/>
      </c>
      <c r="AB39" s="3348">
        <f>AA39-Z39</f>
        <v/>
      </c>
      <c r="AK39" s="3671">
        <f>C39*IF(G19="Straw burnt",1,0)</f>
        <v/>
      </c>
      <c r="AL39" s="3672">
        <f>D39*IF(G19="Straw burnt",1,0)</f>
        <v/>
      </c>
      <c r="AM39" s="3672">
        <f>F39*IF(G19="Straw burnt",1,0)</f>
        <v/>
      </c>
      <c r="AN39" s="3672">
        <f>IF(R39&gt;0, R39/$O19,0)</f>
        <v/>
      </c>
      <c r="AO39" s="3673">
        <f>IF(S39&gt;0, S39/$O19,0)</f>
        <v/>
      </c>
    </row>
    <row r="40">
      <c r="B40" s="3300">
        <f>B20</f>
        <v/>
      </c>
      <c r="C40" s="3301">
        <f>'3.Cropland'!Q114</f>
        <v/>
      </c>
      <c r="D40" s="3301">
        <f>'3.Cropland'!R114</f>
        <v/>
      </c>
      <c r="E40" s="3300">
        <f>VLOOKUP('3.Cropland'!S114, list!$I$48:$J$50,2, FALSE)</f>
        <v/>
      </c>
      <c r="F40" s="3301">
        <f>'3.Cropland'!T114</f>
        <v/>
      </c>
      <c r="G40" s="3300">
        <f>VLOOKUP('3.Cropland'!U114, list!$I$48:$J$50,2, FALSE)</f>
        <v/>
      </c>
      <c r="H40" s="3300" t="n"/>
      <c r="I40" s="3301">
        <f>$C40</f>
        <v/>
      </c>
      <c r="J40" s="3301">
        <f>$D40</f>
        <v/>
      </c>
      <c r="K40" s="3300">
        <f>E40</f>
        <v/>
      </c>
      <c r="L40" s="3301">
        <f>F40</f>
        <v/>
      </c>
      <c r="M40" s="3300">
        <f>G40</f>
        <v/>
      </c>
      <c r="N40" s="3284">
        <f>IF(ABS(-$L20*((MIN($C40,D40)*MIN(20,time_tot))+IF(E40="Immediate",IF(D40&gt;$C40,D40*MIN(20,time_tot),0),IF($C40&gt;D40,($C40-D40)*IF(time&gt;20,IF(E40="Linear",time-((time-20)^2)/(2*time),(0.215*time)-(time/4.6)*(EXP(-92.1/time)-0.01)),time*(1-VLOOKUP(E40, list!$J$48:$K$50,2,))),(D40-$C40)*IF(time_tot&gt;time+20,20,IF(time_tot&lt;20,(time*VLOOKUP(E40, list!$J$48:$K$50,2,))+(time_tot-time),((MIN(20,time)*VLOOKUP(E40, list!$J$48:$K$50,2,))+(time_tot-MIN(20,time))-IF(E40="Exponential",time_tot-20+0.217*time*(EXP(4.606*(20-time_tot)/time)-1),((time_tot-20)^2)*(0.5/time)))))))))&gt;=ABS(L20*20*MAX(D40,C40)), -L20*20*MAX(D40,C40), -$L20*((MIN($C40,D40)*MIN(20,time_tot))+IF(E40="Immediate",IF(D40&gt;$C40,D40*MIN(20,time_tot),0),IF($C40&gt;D40,($C40-D40)*IF(time&gt;20,IF(E40="Linear",time-((time-20)^2)/(2*time),(0.215*time)-(time/4.6)*(EXP(-92.1/time)-0.01)),time*(1-VLOOKUP(E40, list!$J$48:$K$50,2,))),(D40-$C40)*IF(time_tot&gt;time+20,20,IF(time_tot&lt;20,(time*VLOOKUP(E40, list!$J$48:$K$50,2,))+(time_tot-time),((MIN(20,time)*VLOOKUP(E40, list!$J$48:$K$50,2,))+(time_tot-MIN(20,time))-IF(E40="Exponential",time_tot-20+0.217*time*(EXP(4.606*(20-time_tot)/time)-1),((time_tot-20)^2)*(0.5/time)))))))))</f>
        <v/>
      </c>
      <c r="O40" s="3285">
        <f>IF(ABS(-$L20*((MIN($C40,F40)*MIN(20,time_tot))+IF(G40="Immediate",IF(F40&gt;$C40,F40*MIN(20,time_tot),0),IF($C40&gt;F40,($C40-F40)*IF(time&gt;20,IF(G40="Linear",time-((time-20)^2)/(2*time),(0.215*time)-(time/4.6)*(EXP(-92.1/time)-0.01)),time*(1-VLOOKUP(G40, list!$J$48:$K$50,2,))),(F40-$C40)*IF(time_tot&gt;time+20,20,IF(time_tot&lt;20,(time*VLOOKUP(G40, list!$J$48:$K$50,2,))+(time_tot-time),((MIN(20,time)*VLOOKUP(G40, list!$J$48:$K$50,2,))+(time_tot-MIN(20,time))-IF(G40="Exponential",time_tot-20+0.217*time*(EXP(4.606*(20-time_tot)/time)-1),((time_tot-20)^2)*(0.5/time)))))))))&gt;=ABS(L20*20*MAX(C40,F40)), -L20*20*MAX(C40,F40), -$L20*((MIN($C40,F40)*MIN(20,time_tot))+IF(G40="Immediate",IF(F40&gt;$C40,F40*MIN(20,time_tot),0),IF($C40&gt;F40,($C40-F40)*IF(time&gt;20,IF(G40="Linear",time-((time-20)^2)/(2*time),(0.215*time)-(time/4.6)*(EXP(-92.1/time)-0.01)),time*(1-VLOOKUP(G40, list!$J$48:$K$50,2,))),(F40-$C40)*IF(time_tot&gt;time+20,20,IF(time_tot&lt;20,(time*VLOOKUP(G40, list!$J$48:$K$50,2,))+(time_tot-time),((MIN(20,time)*VLOOKUP(G40, list!$J$48:$K$50,2,))+(time_tot-MIN(20,time))-IF(G40="Exponential",time_tot-20+0.217*time*(EXP(4.606*(20-time_tot)/time)-1),((time_tot-20)^2)*(0.5/time)))))))))</f>
        <v/>
      </c>
      <c r="P40" s="3269">
        <f>(MIN(I40,J40)*time_tot+ABS(J40-I40)*IF(J40 &gt; I40, time_cap+time*(VLOOKUP(K40, list!$J$48:$K$50,2,)),time*(1-(VLOOKUP(K40, list!$J$48:$K$50,2,)))))*$N20*methane/1000</f>
        <v/>
      </c>
      <c r="Q40" s="3269">
        <f>(MIN(I40,L40)*time_tot+ABS(L40-I40)*IF(L40&gt;I40, time_cap+time*(VLOOKUP(M40, list!$J$48:$K$50,2,)),time*(1-(VLOOKUP(M40, list!$J$48:$K$50,2,)))))*$N20*methane/1000</f>
        <v/>
      </c>
      <c r="R40" s="3269">
        <f>(MIN(C40,D40)*time_tot+ABS(D40-C40)*IF(D40&gt;C40,time_cap+time*(VLOOKUP(E40, list!$J$48:$K$50,2,)),time*(1-(VLOOKUP(E40, list!$J$48:$K$50,2,)))))*($O20+P20)</f>
        <v/>
      </c>
      <c r="S40" s="3269">
        <f>(MIN(C40,F40)*time_tot+ABS(F40-C40)*IF(F40&gt;C40, time_cap + time*(VLOOKUP(G40, list!$J$48:$K$50,2,)),time*(1-(VLOOKUP(G40, list!$J$48:$K$50,2,)))))*($O20+P20)</f>
        <v/>
      </c>
      <c r="T40" s="3667">
        <f>SUM(N40,P40,R40)</f>
        <v/>
      </c>
      <c r="U40" s="3667">
        <f>SUM(O40,Q40,S40)</f>
        <v/>
      </c>
      <c r="V40" s="3376">
        <f>U40-T40</f>
        <v/>
      </c>
      <c r="Z40" s="3346">
        <f>$Q20*(time*((ABS(D40-C40)*(IF(C40&lt;=D40,VLOOKUP(E40, list!$J$48:$K$50,2,),1-VLOOKUP(E40, list!$J$48:$K$50,2,))))+MIN(D40,C40))+(D40* time_cap))</f>
        <v/>
      </c>
      <c r="AA40" s="3347">
        <f>$Q20*(time*((ABS(F40-C40)*(IF(C40&lt;=F40,VLOOKUP(G40, list!$J$48:$K$50,2,),1-VLOOKUP(G40, list!$J$48:$K$50,2,))))+MIN(F40,C40))+(F40* time_cap))</f>
        <v/>
      </c>
      <c r="AB40" s="3348">
        <f>AA40-Z40</f>
        <v/>
      </c>
      <c r="AK40" s="3671">
        <f>C40*IF(G20="Straw burnt",1,0)</f>
        <v/>
      </c>
      <c r="AL40" s="3672">
        <f>D40*IF(G20="Straw burnt",1,0)</f>
        <v/>
      </c>
      <c r="AM40" s="3672">
        <f>F40*IF(G20="Straw burnt",1,0)</f>
        <v/>
      </c>
      <c r="AN40" s="3672">
        <f>IF(R40&gt;0, R40/$O20,0)</f>
        <v/>
      </c>
      <c r="AO40" s="3673">
        <f>IF(S40&gt;0, S40/$O20,0)</f>
        <v/>
      </c>
    </row>
    <row r="41">
      <c r="B41" s="3300">
        <f>B21</f>
        <v/>
      </c>
      <c r="C41" s="3301">
        <f>'3.Cropland'!Q115</f>
        <v/>
      </c>
      <c r="D41" s="3301">
        <f>'3.Cropland'!R115</f>
        <v/>
      </c>
      <c r="E41" s="3300">
        <f>VLOOKUP('3.Cropland'!S115, list!$I$48:$J$50,2, FALSE)</f>
        <v/>
      </c>
      <c r="F41" s="3301">
        <f>'3.Cropland'!T115</f>
        <v/>
      </c>
      <c r="G41" s="3300">
        <f>VLOOKUP('3.Cropland'!U115, list!$I$48:$J$50,2, FALSE)</f>
        <v/>
      </c>
      <c r="H41" s="3300" t="n"/>
      <c r="I41" s="3301">
        <f>$C41</f>
        <v/>
      </c>
      <c r="J41" s="3301">
        <f>$D41</f>
        <v/>
      </c>
      <c r="K41" s="3300">
        <f>E41</f>
        <v/>
      </c>
      <c r="L41" s="3301">
        <f>F41</f>
        <v/>
      </c>
      <c r="M41" s="3300">
        <f>G41</f>
        <v/>
      </c>
      <c r="N41" s="3284">
        <f>IF(ABS(-$L21*((MIN($C41,D41)*MIN(20,time_tot))+IF(E41="Immediate",IF(D41&gt;$C41,D41*MIN(20,time_tot),0),IF($C41&gt;D41,($C41-D41)*IF(time&gt;20,IF(E41="Linear",time-((time-20)^2)/(2*time),(0.215*time)-(time/4.6)*(EXP(-92.1/time)-0.01)),time*(1-VLOOKUP(E41, list!$J$48:$K$50,2,))),(D41-$C41)*IF(time_tot&gt;time+20,20,IF(time_tot&lt;20,(time*VLOOKUP(E41, list!$J$48:$K$50,2,))+(time_tot-time),((MIN(20,time)*VLOOKUP(E41, list!$J$48:$K$50,2,))+(time_tot-MIN(20,time))-IF(E41="Exponential",time_tot-20+0.217*time*(EXP(4.606*(20-time_tot)/time)-1),((time_tot-20)^2)*(0.5/time)))))))))&gt;=ABS(L21*20*MAX(D41,C41)), -L21*20*MAX(D41,C41), -$L21*((MIN($C41,D41)*MIN(20,time_tot))+IF(E41="Immediate",IF(D41&gt;$C41,D41*MIN(20,time_tot),0),IF($C41&gt;D41,($C41-D41)*IF(time&gt;20,IF(E41="Linear",time-((time-20)^2)/(2*time),(0.215*time)-(time/4.6)*(EXP(-92.1/time)-0.01)),time*(1-VLOOKUP(E41, list!$J$48:$K$50,2,))),(D41-$C41)*IF(time_tot&gt;time+20,20,IF(time_tot&lt;20,(time*VLOOKUP(E41, list!$J$48:$K$50,2,))+(time_tot-time),((MIN(20,time)*VLOOKUP(E41, list!$J$48:$K$50,2,))+(time_tot-MIN(20,time))-IF(E41="Exponential",time_tot-20+0.217*time*(EXP(4.606*(20-time_tot)/time)-1),((time_tot-20)^2)*(0.5/time)))))))))</f>
        <v/>
      </c>
      <c r="O41" s="3285">
        <f>IF(ABS(-$L21*((MIN($C41,F41)*MIN(20,time_tot))+IF(G41="Immediate",IF(F41&gt;$C41,F41*MIN(20,time_tot),0),IF($C41&gt;F41,($C41-F41)*IF(time&gt;20,IF(G41="Linear",time-((time-20)^2)/(2*time),(0.215*time)-(time/4.6)*(EXP(-92.1/time)-0.01)),time*(1-VLOOKUP(G41, list!$J$48:$K$50,2,))),(F41-$C41)*IF(time_tot&gt;time+20,20,IF(time_tot&lt;20,(time*VLOOKUP(G41, list!$J$48:$K$50,2,))+(time_tot-time),((MIN(20,time)*VLOOKUP(G41, list!$J$48:$K$50,2,))+(time_tot-MIN(20,time))-IF(G41="Exponential",time_tot-20+0.217*time*(EXP(4.606*(20-time_tot)/time)-1),((time_tot-20)^2)*(0.5/time)))))))))&gt;=ABS(L21*20*MAX(C41,F41)), -L21*20*MAX(C41,F41), -$L21*((MIN($C41,F41)*MIN(20,time_tot))+IF(G41="Immediate",IF(F41&gt;$C41,F41*MIN(20,time_tot),0),IF($C41&gt;F41,($C41-F41)*IF(time&gt;20,IF(G41="Linear",time-((time-20)^2)/(2*time),(0.215*time)-(time/4.6)*(EXP(-92.1/time)-0.01)),time*(1-VLOOKUP(G41, list!$J$48:$K$50,2,))),(F41-$C41)*IF(time_tot&gt;time+20,20,IF(time_tot&lt;20,(time*VLOOKUP(G41, list!$J$48:$K$50,2,))+(time_tot-time),((MIN(20,time)*VLOOKUP(G41, list!$J$48:$K$50,2,))+(time_tot-MIN(20,time))-IF(G41="Exponential",time_tot-20+0.217*time*(EXP(4.606*(20-time_tot)/time)-1),((time_tot-20)^2)*(0.5/time)))))))))</f>
        <v/>
      </c>
      <c r="P41" s="3269">
        <f>(MIN(I41,J41)*time_tot+ABS(J41-I41)*IF(J41 &gt; I41, time_cap+time*(VLOOKUP(K41, list!$J$48:$K$50,2,)),time*(1-(VLOOKUP(K41, list!$J$48:$K$50,2,)))))*$N21*methane/1000</f>
        <v/>
      </c>
      <c r="Q41" s="3269">
        <f>(MIN(I41,L41)*time_tot+ABS(L41-I41)*IF(L41&gt;I41, time_cap+time*(VLOOKUP(M41, list!$J$48:$K$50,2,)),time*(1-(VLOOKUP(M41, list!$J$48:$K$50,2,)))))*$N21*methane/1000</f>
        <v/>
      </c>
      <c r="R41" s="3269">
        <f>(MIN(C41,D41)*time_tot+ABS(D41-C41)*IF(D41&gt;C41,time_cap+time*(VLOOKUP(E41, list!$J$48:$K$50,2,)),time*(1-(VLOOKUP(E41, list!$J$48:$K$50,2,)))))*($O21+P21)</f>
        <v/>
      </c>
      <c r="S41" s="3269">
        <f>(MIN(C41,F41)*time_tot+ABS(F41-C41)*IF(F41&gt;C41, time_cap + time*(VLOOKUP(G41, list!$J$48:$K$50,2,)),time*(1-(VLOOKUP(G41, list!$J$48:$K$50,2,)))))*($O21+P21)</f>
        <v/>
      </c>
      <c r="T41" s="3667">
        <f>SUM(N41,P41,R41)</f>
        <v/>
      </c>
      <c r="U41" s="3667">
        <f>SUM(O41,Q41,S41)</f>
        <v/>
      </c>
      <c r="V41" s="3376">
        <f>U41-T41</f>
        <v/>
      </c>
      <c r="Z41" s="3346">
        <f>$Q21*(time*((ABS(D41-C41)*(IF(C41&lt;=D41,VLOOKUP(E41, list!$J$48:$K$50,2,),1-VLOOKUP(E41, list!$J$48:$K$50,2,))))+MIN(D41,C41))+(D41* time_cap))</f>
        <v/>
      </c>
      <c r="AA41" s="3347">
        <f>$Q21*(time*((ABS(F41-C41)*(IF(C41&lt;=F41,VLOOKUP(G41, list!$J$48:$K$50,2,),1-VLOOKUP(G41, list!$J$48:$K$50,2,))))+MIN(F41,C41))+(F41* time_cap))</f>
        <v/>
      </c>
      <c r="AB41" s="3348">
        <f>AA41-Z41</f>
        <v/>
      </c>
      <c r="AK41" s="3671">
        <f>C41*IF(G21="Straw burnt",1,0)</f>
        <v/>
      </c>
      <c r="AL41" s="3672">
        <f>D41*IF(G21="Straw burnt",1,0)</f>
        <v/>
      </c>
      <c r="AM41" s="3672">
        <f>F41*IF(G21="Straw burnt",1,0)</f>
        <v/>
      </c>
      <c r="AN41" s="3672">
        <f>IF(R41&gt;0, R41/$O21,0)</f>
        <v/>
      </c>
      <c r="AO41" s="3673">
        <f>IF(S41&gt;0, S41/$O21,0)</f>
        <v/>
      </c>
    </row>
    <row r="42">
      <c r="B42" s="3300">
        <f>B22</f>
        <v/>
      </c>
      <c r="C42" s="3301">
        <f>'3.Cropland'!Q116</f>
        <v/>
      </c>
      <c r="D42" s="3301">
        <f>'3.Cropland'!R116</f>
        <v/>
      </c>
      <c r="E42" s="3300">
        <f>VLOOKUP('3.Cropland'!S116, list!$I$48:$J$50,2, FALSE)</f>
        <v/>
      </c>
      <c r="F42" s="3301">
        <f>'3.Cropland'!T116</f>
        <v/>
      </c>
      <c r="G42" s="3300">
        <f>VLOOKUP('3.Cropland'!U116, list!$I$48:$J$50,2, FALSE)</f>
        <v/>
      </c>
      <c r="H42" s="3300" t="n"/>
      <c r="I42" s="3301">
        <f>$C42</f>
        <v/>
      </c>
      <c r="J42" s="3301">
        <f>$D42</f>
        <v/>
      </c>
      <c r="K42" s="3300">
        <f>E42</f>
        <v/>
      </c>
      <c r="L42" s="3301">
        <f>F42</f>
        <v/>
      </c>
      <c r="M42" s="3300">
        <f>G42</f>
        <v/>
      </c>
      <c r="N42" s="3284">
        <f>IF(ABS(-$L22*((MIN($C42,D42)*MIN(20,time_tot))+IF(E42="Immediate",IF(D42&gt;$C42,D42*MIN(20,time_tot),0),IF($C42&gt;D42,($C42-D42)*IF(time&gt;20,IF(E42="Linear",time-((time-20)^2)/(2*time),(0.215*time)-(time/4.6)*(EXP(-92.1/time)-0.01)),time*(1-VLOOKUP(E42, list!$J$48:$K$50,2,))),(D42-$C42)*IF(time_tot&gt;time+20,20,IF(time_tot&lt;20,(time*VLOOKUP(E42, list!$J$48:$K$50,2,))+(time_tot-time),((MIN(20,time)*VLOOKUP(E42, list!$J$48:$K$50,2,))+(time_tot-MIN(20,time))-IF(E42="Exponential",time_tot-20+0.217*time*(EXP(4.606*(20-time_tot)/time)-1),((time_tot-20)^2)*(0.5/time)))))))))&gt;=ABS(L22*20*MAX(D42,C42)), -L22*20*MAX(D42,C42), -$L22*((MIN($C42,D42)*MIN(20,time_tot))+IF(E42="Immediate",IF(D42&gt;$C42,D42*MIN(20,time_tot),0),IF($C42&gt;D42,($C42-D42)*IF(time&gt;20,IF(E42="Linear",time-((time-20)^2)/(2*time),(0.215*time)-(time/4.6)*(EXP(-92.1/time)-0.01)),time*(1-VLOOKUP(E42, list!$J$48:$K$50,2,))),(D42-$C42)*IF(time_tot&gt;time+20,20,IF(time_tot&lt;20,(time*VLOOKUP(E42, list!$J$48:$K$50,2,))+(time_tot-time),((MIN(20,time)*VLOOKUP(E42, list!$J$48:$K$50,2,))+(time_tot-MIN(20,time))-IF(E42="Exponential",time_tot-20+0.217*time*(EXP(4.606*(20-time_tot)/time)-1),((time_tot-20)^2)*(0.5/time)))))))))</f>
        <v/>
      </c>
      <c r="O42" s="3285">
        <f>IF(ABS(-$L22*((MIN($C42,F42)*MIN(20,time_tot))+IF(G42="Immediate",IF(F42&gt;$C42,F42*MIN(20,time_tot),0),IF($C42&gt;F42,($C42-F42)*IF(time&gt;20,IF(G42="Linear",time-((time-20)^2)/(2*time),(0.215*time)-(time/4.6)*(EXP(-92.1/time)-0.01)),time*(1-VLOOKUP(G42, list!$J$48:$K$50,2,))),(F42-$C42)*IF(time_tot&gt;time+20,20,IF(time_tot&lt;20,(time*VLOOKUP(G42, list!$J$48:$K$50,2,))+(time_tot-time),((MIN(20,time)*VLOOKUP(G42, list!$J$48:$K$50,2,))+(time_tot-MIN(20,time))-IF(G42="Exponential",time_tot-20+0.217*time*(EXP(4.606*(20-time_tot)/time)-1),((time_tot-20)^2)*(0.5/time)))))))))&gt;=ABS(L22*20*MAX(C42,F42)), -L22*20*MAX(C42,F42), -$L22*((MIN($C42,F42)*MIN(20,time_tot))+IF(G42="Immediate",IF(F42&gt;$C42,F42*MIN(20,time_tot),0),IF($C42&gt;F42,($C42-F42)*IF(time&gt;20,IF(G42="Linear",time-((time-20)^2)/(2*time),(0.215*time)-(time/4.6)*(EXP(-92.1/time)-0.01)),time*(1-VLOOKUP(G42, list!$J$48:$K$50,2,))),(F42-$C42)*IF(time_tot&gt;time+20,20,IF(time_tot&lt;20,(time*VLOOKUP(G42, list!$J$48:$K$50,2,))+(time_tot-time),((MIN(20,time)*VLOOKUP(G42, list!$J$48:$K$50,2,))+(time_tot-MIN(20,time))-IF(G42="Exponential",time_tot-20+0.217*time*(EXP(4.606*(20-time_tot)/time)-1),((time_tot-20)^2)*(0.5/time)))))))))</f>
        <v/>
      </c>
      <c r="P42" s="3269">
        <f>(MIN(I42,J42)*time_tot+ABS(J42-I42)*IF(J42 &gt; I42, time_cap+time*(VLOOKUP(K42, list!$J$48:$K$50,2,)),time*(1-(VLOOKUP(K42, list!$J$48:$K$50,2,)))))*$N22*methane/1000</f>
        <v/>
      </c>
      <c r="Q42" s="3269">
        <f>(MIN(I42,L42)*time_tot+ABS(L42-I42)*IF(L42&gt;I42, time_cap+time*(VLOOKUP(M42, list!$J$48:$K$50,2,)),time*(1-(VLOOKUP(M42, list!$J$48:$K$50,2,)))))*$N22*methane/1000</f>
        <v/>
      </c>
      <c r="R42" s="3269">
        <f>(MIN(C42,D42)*time_tot+ABS(D42-C42)*IF(D42&gt;C42,time_cap+time*(VLOOKUP(E42, list!$J$48:$K$50,2,)),time*(1-(VLOOKUP(E42, list!$J$48:$K$50,2,)))))*($O22+P22)</f>
        <v/>
      </c>
      <c r="S42" s="3269">
        <f>(MIN(C42,F42)*time_tot+ABS(F42-C42)*IF(F42&gt;C42, time_cap + time*(VLOOKUP(G42, list!$J$48:$K$50,2,)),time*(1-(VLOOKUP(G42, list!$J$48:$K$50,2,)))))*($O22+P22)</f>
        <v/>
      </c>
      <c r="T42" s="3667">
        <f>SUM(N42,P42,R42)</f>
        <v/>
      </c>
      <c r="U42" s="3667">
        <f>SUM(O42,Q42,S42)</f>
        <v/>
      </c>
      <c r="V42" s="3376">
        <f>U42-T42</f>
        <v/>
      </c>
      <c r="Z42" s="3346">
        <f>$Q22*(time*((ABS(D42-C42)*(IF(C42&lt;=D42,VLOOKUP(E42, list!$J$48:$K$50,2,),1-VLOOKUP(E42, list!$J$48:$K$50,2,))))+MIN(D42,C42))+(D42* time_cap))</f>
        <v/>
      </c>
      <c r="AA42" s="3347">
        <f>$Q22*(time*((ABS(F42-C42)*(IF(C42&lt;=F42,VLOOKUP(G42, list!$J$48:$K$50,2,),1-VLOOKUP(G42, list!$J$48:$K$50,2,))))+MIN(F42,C42))+(F42* time_cap))</f>
        <v/>
      </c>
      <c r="AB42" s="3348">
        <f>AA42-Z42</f>
        <v/>
      </c>
      <c r="AK42" s="3671">
        <f>C42*IF(G22="Straw burnt",1,0)</f>
        <v/>
      </c>
      <c r="AL42" s="3672">
        <f>D42*IF(G22="Straw burnt",1,0)</f>
        <v/>
      </c>
      <c r="AM42" s="3672">
        <f>F42*IF(G22="Straw burnt",1,0)</f>
        <v/>
      </c>
      <c r="AN42" s="3672">
        <f>IF(R42&gt;0, R42/$O22,0)</f>
        <v/>
      </c>
      <c r="AO42" s="3673">
        <f>IF(S42&gt;0, S42/$O22,0)</f>
        <v/>
      </c>
    </row>
    <row r="43">
      <c r="B43" s="3300">
        <f>B23</f>
        <v/>
      </c>
      <c r="C43" s="3301">
        <f>'3.Cropland'!Q117</f>
        <v/>
      </c>
      <c r="D43" s="3301">
        <f>'3.Cropland'!R117</f>
        <v/>
      </c>
      <c r="E43" s="3300">
        <f>VLOOKUP('3.Cropland'!S117, list!$I$48:$J$50,2, FALSE)</f>
        <v/>
      </c>
      <c r="F43" s="3301">
        <f>'3.Cropland'!T117</f>
        <v/>
      </c>
      <c r="G43" s="3300">
        <f>VLOOKUP('3.Cropland'!U117, list!$I$48:$J$50,2, FALSE)</f>
        <v/>
      </c>
      <c r="H43" s="3300" t="n"/>
      <c r="I43" s="3301">
        <f>$C43</f>
        <v/>
      </c>
      <c r="J43" s="3301">
        <f>$D43</f>
        <v/>
      </c>
      <c r="K43" s="3300">
        <f>E43</f>
        <v/>
      </c>
      <c r="L43" s="3301">
        <f>F43</f>
        <v/>
      </c>
      <c r="M43" s="3300">
        <f>G43</f>
        <v/>
      </c>
      <c r="N43" s="3284">
        <f>IF(ABS(-$L23*((MIN($C43,D43)*MIN(20,time_tot))+IF(E43="Immediate",IF(D43&gt;$C43,D43*MIN(20,time_tot),0),IF($C43&gt;D43,($C43-D43)*IF(time&gt;20,IF(E43="Linear",time-((time-20)^2)/(2*time),(0.215*time)-(time/4.6)*(EXP(-92.1/time)-0.01)),time*(1-VLOOKUP(E43, list!$J$48:$K$50,2,))),(D43-$C43)*IF(time_tot&gt;time+20,20,IF(time_tot&lt;20,(time*VLOOKUP(E43, list!$J$48:$K$50,2,))+(time_tot-time),((MIN(20,time)*VLOOKUP(E43, list!$J$48:$K$50,2,))+(time_tot-MIN(20,time))-IF(E43="Exponential",time_tot-20+0.217*time*(EXP(4.606*(20-time_tot)/time)-1),((time_tot-20)^2)*(0.5/time)))))))))&gt;=ABS(L23*20*MAX(D43,C43)), -L23*20*MAX(D43,C43), -$L23*((MIN($C43,D43)*MIN(20,time_tot))+IF(E43="Immediate",IF(D43&gt;$C43,D43*MIN(20,time_tot),0),IF($C43&gt;D43,($C43-D43)*IF(time&gt;20,IF(E43="Linear",time-((time-20)^2)/(2*time),(0.215*time)-(time/4.6)*(EXP(-92.1/time)-0.01)),time*(1-VLOOKUP(E43, list!$J$48:$K$50,2,))),(D43-$C43)*IF(time_tot&gt;time+20,20,IF(time_tot&lt;20,(time*VLOOKUP(E43, list!$J$48:$K$50,2,))+(time_tot-time),((MIN(20,time)*VLOOKUP(E43, list!$J$48:$K$50,2,))+(time_tot-MIN(20,time))-IF(E43="Exponential",time_tot-20+0.217*time*(EXP(4.606*(20-time_tot)/time)-1),((time_tot-20)^2)*(0.5/time)))))))))</f>
        <v/>
      </c>
      <c r="O43" s="3285">
        <f>IF(ABS(-$L23*((MIN($C43,F43)*MIN(20,time_tot))+IF(G43="Immediate",IF(F43&gt;$C43,F43*MIN(20,time_tot),0),IF($C43&gt;F43,($C43-F43)*IF(time&gt;20,IF(G43="Linear",time-((time-20)^2)/(2*time),(0.215*time)-(time/4.6)*(EXP(-92.1/time)-0.01)),time*(1-VLOOKUP(G43, list!$J$48:$K$50,2,))),(F43-$C43)*IF(time_tot&gt;time+20,20,IF(time_tot&lt;20,(time*VLOOKUP(G43, list!$J$48:$K$50,2,))+(time_tot-time),((MIN(20,time)*VLOOKUP(G43, list!$J$48:$K$50,2,))+(time_tot-MIN(20,time))-IF(G43="Exponential",time_tot-20+0.217*time*(EXP(4.606*(20-time_tot)/time)-1),((time_tot-20)^2)*(0.5/time)))))))))&gt;=ABS(L23*20*MAX(C43,F43)), -L23*20*MAX(C43,F43), -$L23*((MIN($C43,F43)*MIN(20,time_tot))+IF(G43="Immediate",IF(F43&gt;$C43,F43*MIN(20,time_tot),0),IF($C43&gt;F43,($C43-F43)*IF(time&gt;20,IF(G43="Linear",time-((time-20)^2)/(2*time),(0.215*time)-(time/4.6)*(EXP(-92.1/time)-0.01)),time*(1-VLOOKUP(G43, list!$J$48:$K$50,2,))),(F43-$C43)*IF(time_tot&gt;time+20,20,IF(time_tot&lt;20,(time*VLOOKUP(G43, list!$J$48:$K$50,2,))+(time_tot-time),((MIN(20,time)*VLOOKUP(G43, list!$J$48:$K$50,2,))+(time_tot-MIN(20,time))-IF(G43="Exponential",time_tot-20+0.217*time*(EXP(4.606*(20-time_tot)/time)-1),((time_tot-20)^2)*(0.5/time)))))))))</f>
        <v/>
      </c>
      <c r="P43" s="3274">
        <f>(MIN(I43,J43)*time_tot+ABS(J43-I43)*IF(J43 &gt; I43, time_cap+time*(VLOOKUP(K43, list!$J$48:$K$50,2,)),time*(1-(VLOOKUP(K43, list!$J$48:$K$50,2,)))))*$N23*methane/1000</f>
        <v/>
      </c>
      <c r="Q43" s="3274">
        <f>(MIN(I43,L43)*time_tot+ABS(L43-I43)*IF(L43&gt;I43, time_cap+time*(VLOOKUP(M43, list!$J$48:$K$50,2,)),time*(1-(VLOOKUP(M43, list!$J$48:$K$50,2,)))))*$N23*methane/1000</f>
        <v/>
      </c>
      <c r="R43" s="3274">
        <f>(MIN(C43,D43)*time_tot+ABS(D43-C43)*IF(D43&gt;C43,time_cap+time*(VLOOKUP(E43, list!$J$48:$K$50,2,)),time*(1-(VLOOKUP(E43, list!$J$48:$K$50,2,)))))*($O23+P23)</f>
        <v/>
      </c>
      <c r="S43" s="3274">
        <f>(MIN(C43,F43)*time_tot+ABS(F43-C43)*IF(F43&gt;C43, time_cap + time*(VLOOKUP(G43, list!$J$48:$K$50,2,)),time*(1-(VLOOKUP(G43, list!$J$48:$K$50,2,)))))*($O23+P23)</f>
        <v/>
      </c>
      <c r="T43" s="3682">
        <f>SUM(N43,P43,R43)</f>
        <v/>
      </c>
      <c r="U43" s="3682">
        <f>SUM(O43,Q43,S43)</f>
        <v/>
      </c>
      <c r="V43" s="3377">
        <f>U43-T43</f>
        <v/>
      </c>
      <c r="Z43" s="3349">
        <f>$Q23*(time*((ABS(D43-C43)*(IF(C43&lt;=D43,VLOOKUP(E43, list!$J$48:$K$50,2,),1-VLOOKUP(E43, list!$J$48:$K$50,2,))))+MIN(D43,C43))+(D43* time_cap))</f>
        <v/>
      </c>
      <c r="AA43" s="3350">
        <f>$Q23*(time*((ABS(F43-C43)*(IF(C43&lt;=F43,VLOOKUP(G43, list!$J$48:$K$50,2,),1-VLOOKUP(G43, list!$J$48:$K$50,2,))))+MIN(F43,C43))+(F43* time_cap))</f>
        <v/>
      </c>
      <c r="AB43" s="3351">
        <f>AA43-Z43</f>
        <v/>
      </c>
      <c r="AK43" s="3674">
        <f>C43*IF(G23="Straw burnt",1,0)</f>
        <v/>
      </c>
      <c r="AL43" s="3675">
        <f>D43*IF(G23="Straw burnt",1,0)</f>
        <v/>
      </c>
      <c r="AM43" s="3675">
        <f>F43*IF(G23="Straw burnt",1,0)</f>
        <v/>
      </c>
      <c r="AN43" s="3675">
        <f>IF(R43&gt;0, R43/$O23,0)</f>
        <v/>
      </c>
      <c r="AO43" s="3676">
        <f>IF(S43&gt;0, S43/$O23,0)</f>
        <v/>
      </c>
    </row>
    <row r="44">
      <c r="B44" s="3366" t="inlineStr">
        <is>
          <t>Total Rice remain Rice</t>
        </is>
      </c>
      <c r="C44" s="3404">
        <f>SUM(C34:C43)</f>
        <v/>
      </c>
      <c r="D44" s="3404">
        <f>SUM(D34:D43)</f>
        <v/>
      </c>
      <c r="E44" s="738" t="n"/>
      <c r="F44" s="3404">
        <f>SUM(F34:F43)</f>
        <v/>
      </c>
      <c r="G44" s="3403">
        <f>IF(C44=D44, IF(D44=F44, "", "            Please check areas!"), "            Please check areas!")</f>
        <v/>
      </c>
      <c r="H44" s="3403" t="n"/>
      <c r="I44" s="4684">
        <f>SUM(I34:I43)</f>
        <v/>
      </c>
      <c r="J44" s="4685">
        <f>SUM(J34:J43)</f>
        <v/>
      </c>
      <c r="K44" s="4685" t="n"/>
      <c r="L44" s="4684">
        <f>SUM(L34:L43)</f>
        <v/>
      </c>
      <c r="M44" s="3407" t="n"/>
      <c r="N44" s="3553" t="n"/>
      <c r="O44" s="3553" t="n"/>
      <c r="P44" s="3553" t="n"/>
      <c r="Q44" s="3553" t="n"/>
      <c r="R44" s="3553" t="n"/>
      <c r="S44" s="3553" t="n"/>
      <c r="T44" s="3553" t="n"/>
      <c r="U44" s="3553" t="n"/>
      <c r="V44" s="3553" t="n"/>
      <c r="AJ44" s="461" t="inlineStr">
        <is>
          <t xml:space="preserve">Total </t>
        </is>
      </c>
      <c r="AK44" s="811">
        <f>SUM(AK30:AK43)</f>
        <v/>
      </c>
      <c r="AL44" s="811">
        <f>SUM(AL30:AL43)</f>
        <v/>
      </c>
      <c r="AM44" s="811">
        <f>SUM(AM30:AM43)</f>
        <v/>
      </c>
      <c r="AN44" s="811">
        <f>SUM(AN30:AN43)</f>
        <v/>
      </c>
      <c r="AO44" s="811">
        <f>SUM(AO30:AO43)</f>
        <v/>
      </c>
    </row>
    <row r="45">
      <c r="R45" s="2818" t="n"/>
      <c r="S45" s="3378" t="inlineStr">
        <is>
          <t>Total rice</t>
        </is>
      </c>
      <c r="T45" s="3379">
        <f>SUM(T30:T43)</f>
        <v/>
      </c>
      <c r="U45" s="3379">
        <f>SUM(U30:U43)</f>
        <v/>
      </c>
      <c r="V45" s="3379">
        <f>SUM(V30:V43)</f>
        <v/>
      </c>
    </row>
    <row r="47">
      <c r="I47" s="4686" t="n"/>
      <c r="K47" s="71" t="n"/>
      <c r="L47" s="71" t="n"/>
      <c r="M47" s="71" t="n"/>
      <c r="N47" s="71" t="n"/>
      <c r="O47" s="71" t="n"/>
      <c r="P47" s="71" t="n"/>
      <c r="Q47" s="71" t="n"/>
      <c r="U47" s="1079" t="inlineStr">
        <is>
          <t>TEST TIER 2</t>
        </is>
      </c>
      <c r="V47" s="1079">
        <f>SUM('3.Cropland'!BG108:BG117)</f>
        <v/>
      </c>
    </row>
    <row r="48">
      <c r="I48" s="4673" t="n"/>
      <c r="J48" s="58" t="n"/>
      <c r="K48" s="4687" t="n"/>
      <c r="L48" s="4688" t="n"/>
      <c r="M48" s="71" t="n"/>
      <c r="N48" s="71" t="n"/>
      <c r="O48" s="71" t="n"/>
      <c r="P48" s="71" t="n"/>
      <c r="Q48" s="71" t="n"/>
    </row>
    <row r="49">
      <c r="K49" s="2269" t="n"/>
      <c r="L49" s="2270" t="n"/>
      <c r="M49" s="2271" t="n"/>
      <c r="N49" s="71" t="n"/>
      <c r="O49" s="4687" t="n"/>
      <c r="P49" s="71" t="n"/>
      <c r="Q49" s="71" t="n"/>
    </row>
    <row r="50">
      <c r="K50" s="2270" t="n"/>
      <c r="L50" s="4687" t="n"/>
      <c r="M50" s="2271" t="n"/>
      <c r="N50" s="4687" t="n"/>
      <c r="O50" s="4689" t="n"/>
      <c r="P50" s="71" t="n"/>
      <c r="Q50" s="71" t="n"/>
    </row>
    <row r="51">
      <c r="K51" s="2270" t="n"/>
      <c r="L51" s="2271" t="n"/>
      <c r="M51" s="71" t="n"/>
      <c r="N51" s="4690" t="n"/>
      <c r="O51" s="71" t="n"/>
      <c r="P51" s="71" t="n"/>
      <c r="Q51" s="71" t="n"/>
    </row>
    <row r="52">
      <c r="K52" s="4687" t="n"/>
      <c r="L52" s="71" t="n"/>
      <c r="M52" s="71" t="n"/>
      <c r="N52" s="71" t="n"/>
      <c r="O52" s="71" t="n"/>
      <c r="P52" s="71" t="n"/>
      <c r="Q52" s="71" t="n"/>
    </row>
  </sheetData>
  <mergeCells count="1">
    <mergeCell ref="P27:Q27"/>
  </mergeCells>
  <pageMargins left="0.7" right="0.7" top="0.75" bottom="0.75" header="0.3" footer="0.3"/>
  <pageSetup orientation="portrait" paperSize="9"/>
</worksheet>
</file>

<file path=xl/worksheets/sheet12.xml><?xml version="1.0" encoding="utf-8"?>
<worksheet xmlns="http://schemas.openxmlformats.org/spreadsheetml/2006/main">
  <sheetPr codeName="Sheet9">
    <tabColor rgb="FF172735"/>
    <outlinePr summaryBelow="1" summaryRight="1"/>
    <pageSetUpPr/>
  </sheetPr>
  <dimension ref="B1:CH573"/>
  <sheetViews>
    <sheetView topLeftCell="A13" zoomScale="80" zoomScaleNormal="80" workbookViewId="0">
      <selection activeCell="W28" sqref="W28"/>
    </sheetView>
  </sheetViews>
  <sheetFormatPr baseColWidth="10" defaultColWidth="8.5" defaultRowHeight="14"/>
  <cols>
    <col width="7.5" customWidth="1" style="1771" min="1" max="1"/>
    <col width="1.5" customWidth="1" style="1771" min="2" max="2"/>
    <col width="3.33203125" customWidth="1" style="1771" min="3" max="3"/>
    <col width="29" customWidth="1" style="1771" min="4" max="4"/>
    <col width="12" customWidth="1" style="1771" min="5" max="5"/>
    <col width="1.5" customWidth="1" style="1771" min="6" max="6"/>
    <col width="30.5" customWidth="1" style="1771" min="7" max="7"/>
    <col width="1.5" customWidth="1" style="1771" min="8" max="8"/>
    <col width="29.6640625" customWidth="1" style="1771" min="9" max="9"/>
    <col width="1.5" customWidth="1" style="1771" min="10" max="10"/>
    <col width="29.5" customWidth="1" style="1771" min="11" max="11"/>
    <col width="5.5" customWidth="1" style="1771" min="12" max="12"/>
    <col width="8.5" customWidth="1" style="1771" min="13" max="13"/>
    <col width="8.5" customWidth="1" style="1771" min="14" max="14"/>
    <col width="0.5" customWidth="1" style="1771" min="15" max="15"/>
    <col width="8.5" customWidth="1" style="1771" min="16" max="17"/>
    <col width="5.5" customWidth="1" style="1771" min="18" max="18"/>
    <col width="11.33203125" customWidth="1" style="1771" min="19" max="19"/>
    <col width="10.5" customWidth="1" style="1771" min="20" max="20"/>
    <col width="10.33203125" customWidth="1" style="1771" min="21" max="21"/>
    <col width="5.5" customWidth="1" style="1771" min="22" max="22"/>
    <col width="12.33203125" customWidth="1" style="1771" min="23" max="23"/>
    <col width="11.5" customWidth="1" style="1771" min="24" max="24"/>
    <col width="3.33203125" customWidth="1" style="1771" min="25" max="25"/>
    <col width="11.5" customWidth="1" style="1771" min="26" max="26"/>
    <col width="3.5" customWidth="1" style="1771" min="27" max="27"/>
    <col width="6.5" customWidth="1" style="1771" min="28" max="28"/>
    <col width="7.5" customWidth="1" style="1771" min="29" max="29"/>
    <col width="19.5" customWidth="1" style="1771" min="30" max="30"/>
    <col width="15" customWidth="1" style="1771" min="31" max="31"/>
    <col width="10" customWidth="1" style="1771" min="32" max="32"/>
    <col width="18.5" customWidth="1" style="1771" min="33" max="33"/>
    <col width="8.5" customWidth="1" style="1771" min="34" max="35"/>
    <col width="8.5" customWidth="1" style="1771" min="36" max="45"/>
    <col width="17.33203125" customWidth="1" style="1771" min="46" max="46"/>
    <col width="8.5" customWidth="1" style="1771" min="47" max="51"/>
    <col width="1.5" customWidth="1" style="1771" min="52" max="52"/>
    <col width="34.6640625" customWidth="1" style="1771" min="53" max="53"/>
    <col width="50.33203125" customWidth="1" style="1771" min="54" max="54"/>
    <col width="8.5" customWidth="1" style="1898" min="55" max="55"/>
    <col width="8.5" customWidth="1" style="1771" min="56" max="56"/>
    <col width="8.5" customWidth="1" style="1771" min="57" max="57"/>
    <col width="8.5" customWidth="1" style="1771" min="58" max="58"/>
    <col width="8.5" customWidth="1" style="1771" min="59" max="59"/>
    <col width="8.5" customWidth="1" style="1771" min="60" max="60"/>
    <col width="8.5" customWidth="1" style="1771" min="61" max="61"/>
    <col width="8.5" customWidth="1" style="1771" min="62" max="62"/>
    <col width="8.5" customWidth="1" style="1771" min="63" max="64"/>
    <col width="8.5" customWidth="1" style="1771" min="65" max="65"/>
    <col width="8.5" customWidth="1" style="1771" min="66" max="66"/>
    <col width="8.5" customWidth="1" style="1771" min="67" max="67"/>
    <col width="8.5" customWidth="1" style="1771" min="68" max="69"/>
    <col width="8.5" customWidth="1" style="1771" min="70" max="70"/>
    <col width="12.5" customWidth="1" style="1771" min="71" max="71"/>
    <col width="8.5" customWidth="1" style="1771" min="72" max="72"/>
    <col width="11.5" customWidth="1" style="1771" min="73" max="73"/>
    <col width="10.6640625" customWidth="1" style="1771" min="74" max="74"/>
    <col width="25" customWidth="1" style="1771" min="75" max="75"/>
    <col width="3.5" customWidth="1" style="1771" min="76" max="76"/>
    <col width="10.5" customWidth="1" style="1771" min="77" max="77"/>
    <col width="11.33203125" customWidth="1" style="1771" min="78" max="78"/>
    <col width="3.5" customWidth="1" style="1771" min="79" max="79"/>
    <col width="10.33203125" customWidth="1" style="1771" min="80" max="81"/>
    <col width="8.5" customWidth="1" style="1771" min="82" max="16384"/>
  </cols>
  <sheetData>
    <row r="1" ht="100.5" customFormat="1" customHeight="1" s="1767">
      <c r="BC1" s="2286" t="n"/>
    </row>
    <row r="5" ht="44.75" customHeight="1">
      <c r="B5" s="2057" t="n"/>
      <c r="C5" s="2172">
        <f>Languages!B217</f>
        <v/>
      </c>
      <c r="D5" s="1769" t="n"/>
      <c r="E5" s="1769" t="n"/>
      <c r="F5" s="2057" t="n"/>
      <c r="G5" s="2057" t="n"/>
      <c r="H5" s="1769" t="n"/>
      <c r="I5" s="1769" t="n"/>
      <c r="J5" s="2057" t="n"/>
      <c r="K5" s="2057" t="n"/>
      <c r="L5" s="1769" t="n"/>
      <c r="M5" s="1769" t="n"/>
      <c r="N5" s="2057" t="n"/>
      <c r="O5" s="2057" t="n"/>
      <c r="P5" s="1769" t="n"/>
      <c r="Q5" s="1769" t="n"/>
      <c r="R5" s="2057" t="n"/>
      <c r="S5" s="2057" t="n"/>
      <c r="T5" s="1769" t="n"/>
      <c r="U5" s="1767" t="n"/>
      <c r="V5" s="2057" t="n"/>
      <c r="W5" s="2057" t="n"/>
      <c r="X5" s="1769" t="n"/>
      <c r="Y5" s="1769" t="n"/>
      <c r="Z5" s="2057" t="n"/>
      <c r="AA5" s="2057" t="n"/>
      <c r="AB5" s="1769" t="n"/>
      <c r="AC5" s="1769" t="n"/>
      <c r="AD5" s="2057" t="n"/>
      <c r="AE5" s="2179">
        <f>Languages!B22</f>
        <v/>
      </c>
      <c r="AF5" s="2179" t="n"/>
      <c r="AG5" s="1769" t="n"/>
      <c r="AH5" s="2057" t="n"/>
      <c r="AT5" s="4554">
        <f>Languages!B263</f>
        <v/>
      </c>
      <c r="AZ5" s="1767" t="n"/>
      <c r="BA5" s="2057">
        <f>C5</f>
        <v/>
      </c>
      <c r="BB5" s="1767" t="n"/>
      <c r="BC5" s="2286" t="n"/>
      <c r="BD5" s="1767" t="n"/>
      <c r="BE5" s="1767" t="n"/>
      <c r="BF5" s="1767" t="n"/>
      <c r="BG5" s="1767" t="n"/>
      <c r="BH5" s="1767" t="n"/>
      <c r="BI5" s="1767" t="n"/>
      <c r="BJ5" s="1767" t="n"/>
      <c r="BK5" s="1767" t="n"/>
      <c r="BL5" s="1767" t="n"/>
      <c r="BM5" s="1767" t="n"/>
      <c r="BN5" s="1767" t="n"/>
      <c r="BO5" s="1767" t="n"/>
      <c r="BQ5" s="4404" t="inlineStr">
        <is>
          <t>Annual balance</t>
        </is>
      </c>
      <c r="BR5" s="4404" t="n"/>
      <c r="BS5" s="4404" t="n"/>
    </row>
    <row r="6" ht="5.25" customHeight="1">
      <c r="AT6" s="4394" t="n"/>
      <c r="AU6" s="4394" t="n"/>
      <c r="AV6" s="4394" t="n"/>
      <c r="AZ6" s="1868" t="n"/>
      <c r="BA6" s="2287" t="n"/>
      <c r="BB6" s="1868" t="n"/>
      <c r="BC6" s="2288" t="n"/>
      <c r="BD6" s="1868" t="n"/>
      <c r="BE6" s="1868" t="n"/>
      <c r="BF6" s="1868" t="n"/>
      <c r="BG6" s="1868" t="n"/>
      <c r="BH6" s="1868" t="n"/>
      <c r="BI6" s="1868" t="n"/>
      <c r="BJ6" s="1868" t="n"/>
      <c r="BK6" s="1868" t="n"/>
      <c r="BL6" s="1868" t="n"/>
      <c r="BM6" s="1868" t="n"/>
      <c r="BN6" s="1868" t="n"/>
      <c r="BO6" s="1868" t="n"/>
      <c r="BQ6" s="1916" t="n"/>
      <c r="BR6" s="1916" t="n"/>
    </row>
    <row r="7" ht="20.25" customHeight="1">
      <c r="B7" s="1766" t="n"/>
      <c r="C7" s="1978">
        <f>Languages!B218</f>
        <v/>
      </c>
      <c r="D7" s="1766" t="n"/>
      <c r="E7" s="1766" t="n"/>
      <c r="F7" s="1766" t="n"/>
      <c r="G7" s="1766" t="n"/>
      <c r="H7" s="1766" t="n"/>
      <c r="I7" s="1766" t="n"/>
      <c r="J7" s="1766" t="n"/>
      <c r="K7" s="1766" t="n"/>
      <c r="L7" s="1766" t="n"/>
      <c r="M7" s="1766" t="n"/>
      <c r="N7" s="1766" t="n"/>
      <c r="O7" s="1766" t="n"/>
      <c r="P7" s="1766" t="n"/>
      <c r="Q7" s="1766" t="n"/>
      <c r="R7" s="1766" t="n"/>
      <c r="S7" s="1766" t="n"/>
      <c r="T7" s="1766" t="n"/>
      <c r="U7" s="1766" t="n"/>
      <c r="V7" s="1766" t="n"/>
      <c r="W7" s="1766" t="n"/>
      <c r="X7" s="1766" t="n"/>
      <c r="Y7" s="1766" t="n"/>
      <c r="Z7" s="1766" t="n"/>
      <c r="AA7" s="1766" t="n"/>
      <c r="AB7" s="1766" t="n"/>
      <c r="AC7" s="1766" t="n"/>
      <c r="AD7" s="1766" t="n"/>
      <c r="AE7" s="1766" t="n"/>
      <c r="AF7" s="1766" t="n"/>
      <c r="AG7" s="1766" t="n"/>
      <c r="AH7" s="1766" t="n"/>
      <c r="AT7" s="2026">
        <f>Languages!B264</f>
        <v/>
      </c>
      <c r="AU7" s="2032" t="n"/>
      <c r="AV7" s="2032" t="inlineStr">
        <is>
          <t>SOC</t>
        </is>
      </c>
      <c r="AZ7" s="2289" t="n"/>
      <c r="BA7" s="1766">
        <f>C7</f>
        <v/>
      </c>
      <c r="BB7" s="1766" t="n"/>
      <c r="BC7" s="2143" t="n"/>
      <c r="BD7" s="1766" t="n"/>
      <c r="BE7" s="1766" t="n"/>
      <c r="BF7" s="1766" t="n"/>
      <c r="BG7" s="1766" t="n"/>
      <c r="BH7" s="1766" t="n"/>
      <c r="BI7" s="1766" t="n"/>
      <c r="BJ7" s="1766" t="n"/>
      <c r="BK7" s="1766" t="n"/>
      <c r="BL7" s="1766" t="n"/>
      <c r="BM7" s="1766" t="n"/>
      <c r="BN7" s="1766" t="n"/>
      <c r="BO7" s="1766" t="n"/>
      <c r="BQ7" s="1766" t="n"/>
      <c r="BR7" s="1766" t="n"/>
      <c r="BS7" s="1766" t="n"/>
    </row>
    <row r="8" ht="15" customHeight="1">
      <c r="B8" s="1781" t="n"/>
      <c r="C8" s="1826" t="n"/>
      <c r="D8" s="1781" t="n"/>
      <c r="E8" s="1781" t="n"/>
      <c r="F8" s="1781" t="n"/>
      <c r="G8" s="1781" t="n"/>
      <c r="H8" s="1781" t="n"/>
      <c r="I8" s="1827" t="n"/>
      <c r="J8" s="2084" t="n"/>
      <c r="K8" s="2084" t="n"/>
      <c r="L8" s="2290" t="n"/>
      <c r="M8" s="1780" t="n"/>
      <c r="N8" s="1780" t="n"/>
      <c r="O8" s="1780" t="n"/>
      <c r="P8" s="1780" t="n"/>
      <c r="Q8" s="1780" t="n"/>
      <c r="R8" s="1780" t="n"/>
      <c r="S8" s="1780" t="n"/>
      <c r="T8" s="1780" t="n"/>
      <c r="U8" s="1826" t="n"/>
      <c r="V8" s="1781" t="n"/>
      <c r="W8" s="1781" t="n"/>
      <c r="X8" s="1781" t="n"/>
      <c r="Y8" s="1781" t="n"/>
      <c r="Z8" s="1781" t="n"/>
      <c r="AA8" s="1781" t="n"/>
      <c r="AB8" s="1781" t="n"/>
      <c r="AC8" s="1781" t="n"/>
      <c r="AD8" s="1781" t="n"/>
      <c r="AE8" s="1781" t="n"/>
      <c r="AF8" s="1781" t="n"/>
      <c r="AG8" s="1781" t="n"/>
      <c r="AH8" s="1781" t="n"/>
      <c r="AT8" s="2032" t="n"/>
      <c r="AU8" s="2032" t="n"/>
      <c r="AV8" s="2032">
        <f>Languages!B90</f>
        <v/>
      </c>
      <c r="AZ8" s="2291" t="n"/>
      <c r="BA8" s="1782" t="n"/>
      <c r="BB8" s="1782" t="n"/>
      <c r="BC8" s="2155" t="n"/>
      <c r="BD8" s="1782" t="n"/>
      <c r="BE8" s="1782" t="n"/>
      <c r="BF8" s="1782" t="n"/>
      <c r="BG8" s="1782" t="n"/>
      <c r="BH8" s="1782" t="n"/>
      <c r="BI8" s="1782" t="n"/>
      <c r="BJ8" s="1782" t="n"/>
      <c r="BK8" s="1782" t="n"/>
      <c r="BL8" s="1782" t="n"/>
      <c r="BM8" s="1782" t="n"/>
      <c r="BN8" s="1782" t="n"/>
      <c r="BO8" s="2291" t="n"/>
      <c r="BQ8" s="1890" t="inlineStr">
        <is>
          <t xml:space="preserve">Start year of </t>
        </is>
      </c>
      <c r="BR8" s="1890" t="n"/>
      <c r="BS8" s="1997" t="n"/>
    </row>
    <row r="9" ht="15" customHeight="1">
      <c r="B9" s="1781" t="n"/>
      <c r="C9" s="2292">
        <f>Languages!B228</f>
        <v/>
      </c>
      <c r="D9" s="1781" t="n"/>
      <c r="E9" s="1781" t="n"/>
      <c r="F9" s="1781" t="n"/>
      <c r="G9" s="1789" t="n"/>
      <c r="H9" s="1789" t="n"/>
      <c r="I9" s="2139">
        <f>Languages!B224</f>
        <v/>
      </c>
      <c r="J9" s="2140" t="n"/>
      <c r="K9" s="2140" t="n"/>
      <c r="L9" s="2290" t="n"/>
      <c r="M9" s="2293">
        <f>Languages!B225</f>
        <v/>
      </c>
      <c r="N9" s="2294" t="n"/>
      <c r="O9" s="2294" t="n"/>
      <c r="P9" s="2127" t="n"/>
      <c r="Q9" s="2127" t="n"/>
      <c r="R9" s="1780" t="n"/>
      <c r="S9" s="2295">
        <f>Languages!B226</f>
        <v/>
      </c>
      <c r="T9" s="2296" t="n"/>
      <c r="U9" s="2127" t="n"/>
      <c r="V9" s="1781" t="n"/>
      <c r="W9" s="2098" t="n"/>
      <c r="X9" s="2094">
        <f>Languages!B115</f>
        <v/>
      </c>
      <c r="Y9" s="2095" t="n"/>
      <c r="Z9" s="2096" t="n"/>
      <c r="AA9" s="1781" t="n"/>
      <c r="AB9" s="1781" t="n"/>
      <c r="AC9" s="2121" t="n"/>
      <c r="AD9" s="2297">
        <f>Languages!B9</f>
        <v/>
      </c>
      <c r="AE9" s="1789" t="n"/>
      <c r="AF9" s="1781" t="n"/>
      <c r="AG9" s="2081">
        <f>Languages!B10</f>
        <v/>
      </c>
      <c r="AH9" s="1781" t="n"/>
      <c r="AT9" s="2026">
        <f>Languages!B265</f>
        <v/>
      </c>
      <c r="AU9" s="2026" t="n"/>
      <c r="AV9" s="2034">
        <f>IFERROR(grass!Y28, 0)</f>
        <v/>
      </c>
      <c r="AZ9" s="2291" t="n"/>
      <c r="BA9" s="2298">
        <f>C9</f>
        <v/>
      </c>
      <c r="BB9" s="1847" t="n"/>
      <c r="BC9" s="2029">
        <f>Languages!B271</f>
        <v/>
      </c>
      <c r="BD9" s="2299" t="n"/>
      <c r="BE9" s="2029" t="n"/>
      <c r="BF9" s="2300" t="n"/>
      <c r="BG9" s="2301" t="n"/>
      <c r="BH9" s="2301" t="n"/>
      <c r="BI9" s="2029">
        <f>Languages!B231</f>
        <v/>
      </c>
      <c r="BJ9" s="2301" t="n"/>
      <c r="BK9" s="2291" t="n"/>
      <c r="BL9" s="2029">
        <f>Languages!B232</f>
        <v/>
      </c>
      <c r="BM9" s="2302" t="n"/>
      <c r="BN9" s="2291" t="n"/>
      <c r="BO9" s="2291" t="n"/>
      <c r="BQ9" s="2015" t="inlineStr">
        <is>
          <t>implementation</t>
        </is>
      </c>
      <c r="BR9" s="2015" t="n"/>
      <c r="BS9" s="1997" t="n"/>
    </row>
    <row r="10" ht="15" customHeight="1">
      <c r="B10" s="1781" t="n"/>
      <c r="C10" s="2303" t="n"/>
      <c r="D10" s="1781" t="n"/>
      <c r="E10" s="1781" t="n"/>
      <c r="F10" s="1781" t="n"/>
      <c r="G10" s="1781" t="n"/>
      <c r="H10" s="1781" t="n"/>
      <c r="I10" s="2084" t="n"/>
      <c r="J10" s="2084" t="n"/>
      <c r="K10" s="2084" t="n"/>
      <c r="L10" s="2290" t="n"/>
      <c r="M10" s="1780" t="n"/>
      <c r="N10" s="1780" t="n"/>
      <c r="O10" s="1780" t="n"/>
      <c r="P10" s="1780" t="n"/>
      <c r="Q10" s="1780" t="n"/>
      <c r="R10" s="1780" t="n"/>
      <c r="S10" s="2088" t="n"/>
      <c r="T10" s="2088" t="n"/>
      <c r="U10" s="2086" t="n"/>
      <c r="V10" s="1781" t="n"/>
      <c r="W10" s="2103" t="n"/>
      <c r="X10" s="2103" t="n"/>
      <c r="Y10" s="2103" t="n"/>
      <c r="Z10" s="2103" t="n"/>
      <c r="AA10" s="1781" t="n"/>
      <c r="AB10" s="1781" t="n"/>
      <c r="AC10" s="1781" t="n"/>
      <c r="AD10" s="1781" t="n"/>
      <c r="AE10" s="1781" t="n"/>
      <c r="AF10" s="1781" t="n"/>
      <c r="AG10" s="1781" t="n"/>
      <c r="AH10" s="1781" t="n"/>
      <c r="AT10" s="2026">
        <f>Languages!B266</f>
        <v/>
      </c>
      <c r="AU10" s="2026" t="n"/>
      <c r="AV10" s="2034">
        <f>IFERROR(grass!Y29, 0)</f>
        <v/>
      </c>
      <c r="AZ10" s="2291" t="n"/>
      <c r="BA10" s="1847" t="n"/>
      <c r="BB10" s="1847" t="n"/>
      <c r="BC10" s="2304">
        <f>G11</f>
        <v/>
      </c>
      <c r="BD10" s="2026" t="n"/>
      <c r="BE10" s="2305">
        <f>I11</f>
        <v/>
      </c>
      <c r="BF10" s="2026" t="n"/>
      <c r="BG10" s="2304">
        <f>K11</f>
        <v/>
      </c>
      <c r="BH10" s="2026" t="n"/>
      <c r="BI10" s="2291" t="n"/>
      <c r="BJ10" s="2291" t="n"/>
      <c r="BK10" s="2291" t="n"/>
      <c r="BL10" s="2291" t="n"/>
      <c r="BM10" s="2291" t="n"/>
      <c r="BN10" s="2291" t="n"/>
      <c r="BO10" s="2291" t="n"/>
      <c r="BQ10" s="1997" t="n"/>
      <c r="BR10" s="1894" t="n"/>
      <c r="BS10" s="1997" t="n"/>
    </row>
    <row r="11" ht="15" customHeight="1">
      <c r="B11" s="1781" t="n"/>
      <c r="C11" s="2306">
        <f>Languages!B229</f>
        <v/>
      </c>
      <c r="D11" s="1781" t="n"/>
      <c r="E11" s="1781" t="n"/>
      <c r="F11" s="1781" t="n"/>
      <c r="G11" s="1929">
        <f>Languages!B11</f>
        <v/>
      </c>
      <c r="H11" s="2086" t="n"/>
      <c r="I11" s="1929">
        <f>Languages!B12</f>
        <v/>
      </c>
      <c r="J11" s="2141" t="n"/>
      <c r="K11" s="1929">
        <f>Languages!B13</f>
        <v/>
      </c>
      <c r="L11" s="2290" t="n"/>
      <c r="M11" s="2088">
        <f>I11</f>
        <v/>
      </c>
      <c r="N11" s="2085" t="n"/>
      <c r="O11" s="2085" t="n"/>
      <c r="P11" s="2307">
        <f>K11</f>
        <v/>
      </c>
      <c r="Q11" s="2086" t="n"/>
      <c r="R11" s="2081" t="n"/>
      <c r="S11" s="1929">
        <f>G11</f>
        <v/>
      </c>
      <c r="T11" s="1929">
        <f>I11</f>
        <v/>
      </c>
      <c r="U11" s="1929">
        <f>K11</f>
        <v/>
      </c>
      <c r="V11" s="2086" t="n"/>
      <c r="W11" s="1929">
        <f>S11</f>
        <v/>
      </c>
      <c r="X11" s="1929">
        <f>T11</f>
        <v/>
      </c>
      <c r="Y11" s="1929" t="n"/>
      <c r="Z11" s="1929">
        <f>U11</f>
        <v/>
      </c>
      <c r="AA11" s="1806" t="n"/>
      <c r="AB11" s="1781" t="n"/>
      <c r="AC11" s="2308" t="n"/>
      <c r="AD11" s="1929">
        <f>T11</f>
        <v/>
      </c>
      <c r="AE11" s="1929">
        <f>Z11</f>
        <v/>
      </c>
      <c r="AF11" s="1781" t="n"/>
      <c r="AG11" s="1781" t="n"/>
      <c r="AH11" s="1781" t="n"/>
      <c r="AT11" s="2026">
        <f>Languages!B267</f>
        <v/>
      </c>
      <c r="AU11" s="2026" t="n"/>
      <c r="AV11" s="2034">
        <f>IFERROR(grass!Y30, 0)</f>
        <v/>
      </c>
      <c r="AZ11" s="2291" t="n"/>
      <c r="BA11" s="2309">
        <f>C11</f>
        <v/>
      </c>
      <c r="BB11" s="1847" t="n"/>
      <c r="BC11" s="2032">
        <f>Languages!B16</f>
        <v/>
      </c>
      <c r="BD11" s="2032">
        <f>Languages!B17</f>
        <v/>
      </c>
      <c r="BE11" s="2026">
        <f>BC11</f>
        <v/>
      </c>
      <c r="BF11" s="2032">
        <f>BD11</f>
        <v/>
      </c>
      <c r="BG11" s="2026">
        <f>BE11</f>
        <v/>
      </c>
      <c r="BH11" s="2032">
        <f>BF11</f>
        <v/>
      </c>
      <c r="BI11" s="2032">
        <f>BG11</f>
        <v/>
      </c>
      <c r="BJ11" s="2032">
        <f>BH11</f>
        <v/>
      </c>
      <c r="BK11" s="2310" t="n"/>
      <c r="BL11" s="2032">
        <f>BI11</f>
        <v/>
      </c>
      <c r="BM11" s="2032">
        <f>BJ11</f>
        <v/>
      </c>
      <c r="BN11" s="2291" t="n"/>
      <c r="BO11" s="2310" t="n"/>
      <c r="BQ11" s="1997" t="n"/>
      <c r="BR11" s="1894" t="n"/>
      <c r="BS11" s="1997" t="n"/>
    </row>
    <row r="12" ht="15" customHeight="1">
      <c r="B12" s="1781" t="n"/>
      <c r="C12" s="1781" t="n"/>
      <c r="D12" s="1781" t="n"/>
      <c r="E12" s="1781" t="n"/>
      <c r="F12" s="1781" t="n"/>
      <c r="G12" s="1781" t="n"/>
      <c r="H12" s="1781" t="n"/>
      <c r="I12" s="1827" t="n"/>
      <c r="J12" s="2084" t="n"/>
      <c r="K12" s="2084" t="n"/>
      <c r="L12" s="2290" t="n"/>
      <c r="M12" s="1806">
        <f>Languages!B62</f>
        <v/>
      </c>
      <c r="N12" s="1806">
        <f>Languages!B30</f>
        <v/>
      </c>
      <c r="O12" s="1944" t="n"/>
      <c r="P12" s="1806">
        <f>M12</f>
        <v/>
      </c>
      <c r="Q12" s="1806">
        <f>N12</f>
        <v/>
      </c>
      <c r="R12" s="1780" t="n"/>
      <c r="S12" s="2088" t="n"/>
      <c r="T12" s="2088" t="n"/>
      <c r="U12" s="2086" t="n"/>
      <c r="V12" s="1781" t="n"/>
      <c r="W12" s="1806" t="n"/>
      <c r="X12" s="1806" t="n"/>
      <c r="Y12" s="1781" t="n"/>
      <c r="Z12" s="1806" t="n"/>
      <c r="AA12" s="1806" t="n"/>
      <c r="AB12" s="1781" t="n"/>
      <c r="AC12" s="1781" t="n"/>
      <c r="AD12" s="1806" t="n"/>
      <c r="AE12" s="1806" t="n"/>
      <c r="AF12" s="1781" t="n"/>
      <c r="AG12" s="1781" t="n"/>
      <c r="AH12" s="1781" t="n"/>
      <c r="AT12" s="2026">
        <f>Languages!B268</f>
        <v/>
      </c>
      <c r="AU12" s="2026" t="n"/>
      <c r="AV12" s="2034">
        <f>IFERROR(grass!Y31, 0)</f>
        <v/>
      </c>
      <c r="AZ12" s="2291" t="n"/>
      <c r="BA12" s="1847" t="n"/>
      <c r="BB12" s="1847" t="n"/>
      <c r="BC12" s="2072" t="n"/>
      <c r="BD12" s="1887" t="n"/>
      <c r="BE12" s="1887" t="n"/>
      <c r="BF12" s="1887" t="n"/>
      <c r="BG12" s="1887" t="n"/>
      <c r="BH12" s="1887" t="n"/>
      <c r="BI12" s="2291" t="n"/>
      <c r="BJ12" s="2291" t="n"/>
      <c r="BK12" s="2291" t="n"/>
      <c r="BL12" s="2291" t="n"/>
      <c r="BM12" s="2291" t="n"/>
      <c r="BN12" s="2291" t="n"/>
      <c r="BO12" s="2291" t="n"/>
      <c r="BQ12" s="1997" t="n"/>
      <c r="BR12" s="1894" t="n"/>
      <c r="BS12" s="1997" t="n"/>
    </row>
    <row r="13" ht="15" customHeight="1">
      <c r="B13" s="1781" t="n"/>
      <c r="C13" s="1814">
        <f>Languages!B220</f>
        <v/>
      </c>
      <c r="D13" s="1781" t="n"/>
      <c r="E13" s="1781" t="n"/>
      <c r="F13" s="1781" t="n"/>
      <c r="G13" s="2142" t="inlineStr">
        <is>
          <t>Please select</t>
        </is>
      </c>
      <c r="H13" s="1781" t="n"/>
      <c r="I13" s="2142" t="inlineStr">
        <is>
          <t>Please select</t>
        </is>
      </c>
      <c r="J13" s="2084" t="n"/>
      <c r="K13" s="2142" t="inlineStr">
        <is>
          <t>Please select</t>
        </is>
      </c>
      <c r="L13" s="2290" t="n"/>
      <c r="M13" s="2148" t="inlineStr">
        <is>
          <t>NO</t>
        </is>
      </c>
      <c r="N13" s="2107" t="n">
        <v>5</v>
      </c>
      <c r="O13" s="2085" t="n"/>
      <c r="P13" s="2148" t="inlineStr">
        <is>
          <t>NO</t>
        </is>
      </c>
      <c r="Q13" s="2107" t="n">
        <v>5</v>
      </c>
      <c r="R13" s="1780" t="n"/>
      <c r="S13" s="2149" t="n"/>
      <c r="T13" s="2150" t="n"/>
      <c r="U13" s="2151" t="n"/>
      <c r="V13" s="1781" t="n"/>
      <c r="W13" s="1897" t="n">
        <v>0</v>
      </c>
      <c r="X13" s="1841">
        <f>grass!$D30</f>
        <v/>
      </c>
      <c r="Y13" s="2134" t="n"/>
      <c r="Z13" s="1841">
        <f>grass!$F30</f>
        <v/>
      </c>
      <c r="AA13" s="1806" t="n"/>
      <c r="AB13" s="1781" t="n"/>
      <c r="AC13" s="1781" t="n"/>
      <c r="AD13" s="1841">
        <f>grass!$L30</f>
        <v/>
      </c>
      <c r="AE13" s="1841">
        <f>grass!M30</f>
        <v/>
      </c>
      <c r="AF13" s="1781" t="n"/>
      <c r="AG13" s="1816">
        <f>grass!$N30</f>
        <v/>
      </c>
      <c r="AH13" s="1781" t="n"/>
      <c r="AT13" s="2026">
        <f>Languages!B269</f>
        <v/>
      </c>
      <c r="AU13" s="2026" t="n"/>
      <c r="AV13" s="2034">
        <f>IFERROR(grass!Y32, 0)</f>
        <v/>
      </c>
      <c r="AZ13" s="2291" t="n"/>
      <c r="BA13" s="1801">
        <f>C13</f>
        <v/>
      </c>
      <c r="BB13" s="1847" t="n"/>
      <c r="BC13" s="2034">
        <f>IFERROR(grass!K10, 0)</f>
        <v/>
      </c>
      <c r="BD13" s="2353" t="n"/>
      <c r="BE13" s="2001">
        <f>grass!M10</f>
        <v/>
      </c>
      <c r="BF13" s="4356" t="n"/>
      <c r="BG13" s="2001">
        <f>grass!O10</f>
        <v/>
      </c>
      <c r="BH13" s="4356" t="n"/>
      <c r="BI13" s="1795">
        <f>IF(AND(W13=0, X13=0, Z13=0), 0, VLOOKUP(clim_moist, IPCC!$A$553:$B$562,2, FALSE))</f>
        <v/>
      </c>
      <c r="BJ13" s="2354" t="n"/>
      <c r="BK13" s="2291" t="n"/>
      <c r="BL13" s="4425" t="n">
        <v>0.77</v>
      </c>
      <c r="BM13" s="4426" t="n"/>
      <c r="BN13" s="2291" t="n"/>
      <c r="BO13" s="2291" t="n"/>
      <c r="BQ13" s="4401" t="n">
        <v>1</v>
      </c>
      <c r="BR13" s="4402" t="n"/>
      <c r="BS13" s="1997" t="n"/>
    </row>
    <row r="14" ht="15" customHeight="1">
      <c r="B14" s="1781" t="n"/>
      <c r="C14" s="1814">
        <f>Languages!B222</f>
        <v/>
      </c>
      <c r="D14" s="1781" t="n"/>
      <c r="E14" s="1781" t="n"/>
      <c r="F14" s="1781" t="n"/>
      <c r="G14" s="2142" t="inlineStr">
        <is>
          <t>Please select</t>
        </is>
      </c>
      <c r="H14" s="1781" t="n"/>
      <c r="I14" s="2142" t="inlineStr">
        <is>
          <t>Please select</t>
        </is>
      </c>
      <c r="J14" s="2084" t="n"/>
      <c r="K14" s="2142" t="inlineStr">
        <is>
          <t>Please select</t>
        </is>
      </c>
      <c r="L14" s="2290" t="n"/>
      <c r="M14" s="2148" t="inlineStr">
        <is>
          <t>NO</t>
        </is>
      </c>
      <c r="N14" s="2107" t="n">
        <v>5</v>
      </c>
      <c r="O14" s="2085" t="n"/>
      <c r="P14" s="2148" t="inlineStr">
        <is>
          <t>NO</t>
        </is>
      </c>
      <c r="Q14" s="2107" t="n">
        <v>5</v>
      </c>
      <c r="R14" s="1780" t="n"/>
      <c r="S14" s="2149" t="n"/>
      <c r="T14" s="2150" t="n"/>
      <c r="U14" s="2151" t="n"/>
      <c r="V14" s="1781" t="n"/>
      <c r="W14" s="1841">
        <f>grass!$C31</f>
        <v/>
      </c>
      <c r="X14" s="1841">
        <f>grass!$D31</f>
        <v/>
      </c>
      <c r="Y14" s="2134" t="n"/>
      <c r="Z14" s="1841">
        <f>grass!$F31</f>
        <v/>
      </c>
      <c r="AA14" s="1806" t="n"/>
      <c r="AB14" s="1781" t="n"/>
      <c r="AC14" s="1781" t="n"/>
      <c r="AD14" s="1841">
        <f>grass!$L31</f>
        <v/>
      </c>
      <c r="AE14" s="1841">
        <f>grass!M31</f>
        <v/>
      </c>
      <c r="AF14" s="1781" t="n"/>
      <c r="AG14" s="1816">
        <f>grass!$N31</f>
        <v/>
      </c>
      <c r="AH14" s="1781" t="n"/>
      <c r="AT14" s="2026">
        <f>Languages!B270</f>
        <v/>
      </c>
      <c r="AU14" s="2026" t="n"/>
      <c r="AV14" s="2034">
        <f>IFERROR(grass!Y33, 0)</f>
        <v/>
      </c>
      <c r="AZ14" s="2291" t="n"/>
      <c r="BA14" s="1801">
        <f>C14</f>
        <v/>
      </c>
      <c r="BB14" s="1847" t="n"/>
      <c r="BC14" s="2034">
        <f>grass!K11</f>
        <v/>
      </c>
      <c r="BD14" s="2353" t="n"/>
      <c r="BE14" s="2001">
        <f>grass!M11</f>
        <v/>
      </c>
      <c r="BF14" s="4356" t="n"/>
      <c r="BG14" s="2001">
        <f>grass!O11</f>
        <v/>
      </c>
      <c r="BH14" s="4356" t="n"/>
      <c r="BI14" s="1795">
        <f>IF(AND(W14=0, X14=0, Z14=0), 0, VLOOKUP(clim_moist, IPCC!$A$553:$B$562,2, FALSE))</f>
        <v/>
      </c>
      <c r="BJ14" s="2354" t="n"/>
      <c r="BK14" s="2291" t="n"/>
      <c r="BL14" s="4425" t="n">
        <v>0.77</v>
      </c>
      <c r="BM14" s="4426" t="n"/>
      <c r="BN14" s="2291" t="n"/>
      <c r="BO14" s="2291" t="n"/>
      <c r="BQ14" s="4401" t="n">
        <v>1</v>
      </c>
      <c r="BR14" s="4402" t="n"/>
      <c r="BS14" s="1997" t="n"/>
    </row>
    <row r="15" ht="15" customHeight="1">
      <c r="B15" s="1781" t="n"/>
      <c r="C15" s="1814">
        <f>Languages!B221</f>
        <v/>
      </c>
      <c r="D15" s="1781" t="n"/>
      <c r="E15" s="1781" t="n"/>
      <c r="F15" s="1781" t="n"/>
      <c r="G15" s="2142" t="inlineStr">
        <is>
          <t>Please select</t>
        </is>
      </c>
      <c r="H15" s="1781" t="n"/>
      <c r="I15" s="2142" t="inlineStr">
        <is>
          <t>Please select</t>
        </is>
      </c>
      <c r="J15" s="2084" t="n"/>
      <c r="K15" s="2142" t="inlineStr">
        <is>
          <t>Non-degraded</t>
        </is>
      </c>
      <c r="L15" s="2290" t="n"/>
      <c r="M15" s="2148" t="inlineStr">
        <is>
          <t>NO</t>
        </is>
      </c>
      <c r="N15" s="2107" t="n">
        <v>5</v>
      </c>
      <c r="O15" s="2085" t="n"/>
      <c r="P15" s="2148" t="inlineStr">
        <is>
          <t>NO</t>
        </is>
      </c>
      <c r="Q15" s="2107" t="n">
        <v>5</v>
      </c>
      <c r="R15" s="1780" t="n"/>
      <c r="S15" s="2149" t="n"/>
      <c r="T15" s="2150" t="n"/>
      <c r="U15" s="2151" t="n"/>
      <c r="V15" s="1781" t="n"/>
      <c r="W15" s="1897" t="n">
        <v>0</v>
      </c>
      <c r="X15" s="1841">
        <f>grass!$D32</f>
        <v/>
      </c>
      <c r="Y15" s="2134" t="n"/>
      <c r="Z15" s="1841">
        <f>grass!$F32</f>
        <v/>
      </c>
      <c r="AA15" s="1806" t="n"/>
      <c r="AB15" s="1781" t="n"/>
      <c r="AC15" s="1781" t="n"/>
      <c r="AD15" s="1841">
        <f>grass!$L32</f>
        <v/>
      </c>
      <c r="AE15" s="1841">
        <f>grass!M32</f>
        <v/>
      </c>
      <c r="AF15" s="1781" t="n"/>
      <c r="AG15" s="1816">
        <f>grass!$N32</f>
        <v/>
      </c>
      <c r="AH15" s="1781" t="n"/>
      <c r="AZ15" s="2291" t="n"/>
      <c r="BA15" s="1801">
        <f>C15</f>
        <v/>
      </c>
      <c r="BB15" s="1847" t="n"/>
      <c r="BC15" s="2034">
        <f>IFERROR(grass!K12, 0)</f>
        <v/>
      </c>
      <c r="BD15" s="2353" t="n"/>
      <c r="BE15" s="2001">
        <f>grass!M12</f>
        <v/>
      </c>
      <c r="BF15" s="4356" t="n"/>
      <c r="BG15" s="2001">
        <f>grass!O12</f>
        <v/>
      </c>
      <c r="BH15" s="4356" t="n"/>
      <c r="BI15" s="1795">
        <f>IF(AND(W15=0, X15=0, Z15=0), 0, VLOOKUP(clim_moist, IPCC!$A$553:$B$562,2, FALSE))</f>
        <v/>
      </c>
      <c r="BJ15" s="2354" t="n"/>
      <c r="BK15" s="2291" t="n"/>
      <c r="BL15" s="4425" t="n">
        <v>0.77</v>
      </c>
      <c r="BM15" s="4426" t="n"/>
      <c r="BN15" s="2291" t="n"/>
      <c r="BO15" s="2291" t="n"/>
      <c r="BQ15" s="4401" t="n">
        <v>1</v>
      </c>
      <c r="BR15" s="4402" t="n"/>
      <c r="BS15" s="1997" t="n"/>
    </row>
    <row r="16" ht="15" customHeight="1">
      <c r="B16" s="1781" t="n"/>
      <c r="C16" s="1814">
        <f>Languages!B223</f>
        <v/>
      </c>
      <c r="D16" s="1781" t="n"/>
      <c r="E16" s="1781" t="n"/>
      <c r="F16" s="1781" t="n"/>
      <c r="G16" s="2142" t="inlineStr">
        <is>
          <t>Please select</t>
        </is>
      </c>
      <c r="H16" s="1781" t="n"/>
      <c r="I16" s="2142" t="inlineStr">
        <is>
          <t>Please select</t>
        </is>
      </c>
      <c r="J16" s="2084" t="n"/>
      <c r="K16" s="2142" t="inlineStr">
        <is>
          <t>Please select</t>
        </is>
      </c>
      <c r="L16" s="2290" t="n"/>
      <c r="M16" s="2148" t="inlineStr">
        <is>
          <t>NO</t>
        </is>
      </c>
      <c r="N16" s="2107" t="n">
        <v>5</v>
      </c>
      <c r="O16" s="2085" t="n"/>
      <c r="P16" s="2148" t="inlineStr">
        <is>
          <t>NO</t>
        </is>
      </c>
      <c r="Q16" s="2107" t="n">
        <v>5</v>
      </c>
      <c r="R16" s="1780" t="n"/>
      <c r="S16" s="2149" t="n"/>
      <c r="T16" s="2150" t="n"/>
      <c r="U16" s="2151" t="n"/>
      <c r="V16" s="1781" t="n"/>
      <c r="W16" s="1841">
        <f>grass!$C33</f>
        <v/>
      </c>
      <c r="X16" s="1841">
        <f>grass!$D33</f>
        <v/>
      </c>
      <c r="Y16" s="2134" t="n"/>
      <c r="Z16" s="1841">
        <f>grass!$F33</f>
        <v/>
      </c>
      <c r="AA16" s="1806" t="n"/>
      <c r="AB16" s="1781" t="n"/>
      <c r="AC16" s="1781" t="n"/>
      <c r="AD16" s="1841">
        <f>grass!$L33</f>
        <v/>
      </c>
      <c r="AE16" s="1841">
        <f>grass!M33</f>
        <v/>
      </c>
      <c r="AF16" s="1781" t="n"/>
      <c r="AG16" s="1816">
        <f>grass!$N33</f>
        <v/>
      </c>
      <c r="AH16" s="1781" t="n"/>
      <c r="AZ16" s="2291" t="n"/>
      <c r="BA16" s="1801">
        <f>C16</f>
        <v/>
      </c>
      <c r="BB16" s="1847" t="n"/>
      <c r="BC16" s="2034">
        <f>grass!K13</f>
        <v/>
      </c>
      <c r="BD16" s="2353" t="n"/>
      <c r="BE16" s="2001">
        <f>grass!M13</f>
        <v/>
      </c>
      <c r="BF16" s="4356" t="n"/>
      <c r="BG16" s="2001">
        <f>grass!O13</f>
        <v/>
      </c>
      <c r="BH16" s="4356" t="n"/>
      <c r="BI16" s="1795">
        <f>IF(AND(W16=0, X16=0, Z16=0), 0, VLOOKUP(clim_moist, IPCC!$A$553:$B$562,2, FALSE))</f>
        <v/>
      </c>
      <c r="BJ16" s="2354" t="n"/>
      <c r="BK16" s="2291" t="n"/>
      <c r="BL16" s="4425" t="n">
        <v>0.77</v>
      </c>
      <c r="BM16" s="4426" t="n"/>
      <c r="BN16" s="2291" t="n"/>
      <c r="BO16" s="2291" t="n"/>
      <c r="BQ16" s="4401" t="n">
        <v>1</v>
      </c>
      <c r="BR16" s="4402" t="n"/>
      <c r="BS16" s="1997" t="n"/>
    </row>
    <row r="17" ht="15" customHeight="1">
      <c r="B17" s="1781" t="n"/>
      <c r="C17" s="1781" t="n"/>
      <c r="D17" s="1781" t="n"/>
      <c r="E17" s="1781" t="n"/>
      <c r="F17" s="1781" t="n"/>
      <c r="G17" s="1781" t="n"/>
      <c r="H17" s="1781" t="n"/>
      <c r="I17" s="1781" t="n"/>
      <c r="J17" s="1781" t="n"/>
      <c r="K17" s="1781" t="n"/>
      <c r="L17" s="1781" t="n"/>
      <c r="M17" s="1781" t="n"/>
      <c r="N17" s="1781" t="n"/>
      <c r="O17" s="1781" t="n"/>
      <c r="P17" s="1781" t="n"/>
      <c r="Q17" s="1781" t="n"/>
      <c r="R17" s="1781" t="n"/>
      <c r="S17" s="1781" t="n"/>
      <c r="T17" s="1781" t="n"/>
      <c r="U17" s="1781" t="n"/>
      <c r="V17" s="1781" t="n"/>
      <c r="W17" s="1781" t="n"/>
      <c r="X17" s="1781" t="n"/>
      <c r="Y17" s="1781" t="n"/>
      <c r="Z17" s="1781" t="n"/>
      <c r="AA17" s="1781" t="n"/>
      <c r="AB17" s="1781" t="n"/>
      <c r="AC17" s="1781" t="n"/>
      <c r="AD17" s="1806" t="n"/>
      <c r="AE17" s="1806" t="n"/>
      <c r="AF17" s="1781" t="n"/>
      <c r="AG17" s="1806" t="n"/>
      <c r="AH17" s="1781" t="n"/>
      <c r="AZ17" s="2291" t="n"/>
      <c r="BA17" s="1847" t="n"/>
      <c r="BB17" s="1847" t="n"/>
      <c r="BC17" s="2032" t="n"/>
      <c r="BD17" s="2291" t="n"/>
      <c r="BE17" s="2311" t="n"/>
      <c r="BF17" s="2291" t="n"/>
      <c r="BG17" s="2311" t="n"/>
      <c r="BH17" s="2291" t="n"/>
      <c r="BI17" s="2291" t="n"/>
      <c r="BJ17" s="2291" t="n"/>
      <c r="BK17" s="2291" t="n"/>
      <c r="BL17" s="2291" t="n"/>
      <c r="BM17" s="2291" t="n"/>
      <c r="BN17" s="2291" t="n"/>
      <c r="BO17" s="2291" t="n"/>
      <c r="BQ17" s="1997" t="n"/>
      <c r="BR17" s="1894" t="n"/>
      <c r="BS17" s="1997" t="n"/>
    </row>
    <row r="18" ht="5.25" customHeight="1">
      <c r="AD18" s="1898" t="n"/>
      <c r="AE18" s="1898" t="n"/>
      <c r="AG18" s="1898" t="n"/>
      <c r="AZ18" s="1782" t="n"/>
      <c r="BA18" s="1782" t="n"/>
      <c r="BB18" s="1782" t="n"/>
      <c r="BC18" s="2155" t="n"/>
      <c r="BD18" s="1782" t="n"/>
      <c r="BE18" s="1782" t="n"/>
      <c r="BF18" s="1782" t="n"/>
      <c r="BG18" s="1782" t="n"/>
      <c r="BH18" s="1782" t="n"/>
      <c r="BI18" s="1782" t="n"/>
      <c r="BJ18" s="1782" t="n"/>
      <c r="BK18" s="1782" t="n"/>
      <c r="BL18" s="1782" t="n"/>
      <c r="BM18" s="1782" t="n"/>
      <c r="BN18" s="1782" t="n"/>
      <c r="BO18" s="1782" t="n"/>
      <c r="BQ18" s="1997" t="n"/>
      <c r="BR18" s="1894" t="n"/>
      <c r="BS18" s="1997" t="n"/>
    </row>
    <row r="19" ht="20.25" customHeight="1">
      <c r="B19" s="1766" t="n"/>
      <c r="C19" s="1978">
        <f>Languages!B227</f>
        <v/>
      </c>
      <c r="D19" s="1766" t="n"/>
      <c r="E19" s="1766" t="n"/>
      <c r="F19" s="1766" t="n"/>
      <c r="G19" s="1766" t="n"/>
      <c r="H19" s="1766" t="n"/>
      <c r="I19" s="1766" t="n"/>
      <c r="J19" s="1766" t="n"/>
      <c r="K19" s="1766" t="n"/>
      <c r="L19" s="1766" t="n"/>
      <c r="M19" s="1766" t="n"/>
      <c r="N19" s="1766" t="n"/>
      <c r="O19" s="1766" t="n"/>
      <c r="P19" s="1766" t="n"/>
      <c r="Q19" s="1766" t="n"/>
      <c r="R19" s="1766" t="n"/>
      <c r="S19" s="1766" t="n"/>
      <c r="T19" s="1766" t="n"/>
      <c r="U19" s="1766" t="n"/>
      <c r="V19" s="1766" t="n"/>
      <c r="W19" s="1766" t="n"/>
      <c r="X19" s="1766" t="n"/>
      <c r="Y19" s="1766" t="n"/>
      <c r="Z19" s="1766" t="n"/>
      <c r="AA19" s="1766" t="n"/>
      <c r="AB19" s="1766" t="n"/>
      <c r="AC19" s="1766" t="n"/>
      <c r="AD19" s="2143" t="n"/>
      <c r="AE19" s="2143" t="n"/>
      <c r="AF19" s="1766" t="n"/>
      <c r="AG19" s="2143" t="n"/>
      <c r="AH19" s="1766" t="n"/>
      <c r="AZ19" s="2312" t="n"/>
      <c r="BA19" s="1766">
        <f>C19</f>
        <v/>
      </c>
      <c r="BB19" s="2312" t="n"/>
      <c r="BC19" s="2313" t="n"/>
      <c r="BD19" s="2312" t="n"/>
      <c r="BE19" s="2312" t="n"/>
      <c r="BF19" s="2312" t="n"/>
      <c r="BG19" s="2312" t="n"/>
      <c r="BH19" s="2312" t="n"/>
      <c r="BI19" s="2312" t="n"/>
      <c r="BJ19" s="2312" t="n"/>
      <c r="BK19" s="2312" t="n"/>
      <c r="BL19" s="2312" t="n"/>
      <c r="BM19" s="2312" t="n"/>
      <c r="BN19" s="2312" t="n"/>
      <c r="BO19" s="2312" t="n"/>
      <c r="BQ19" s="2312" t="n"/>
      <c r="BR19" s="2312" t="n"/>
      <c r="BS19" s="2312" t="n"/>
    </row>
    <row r="20" ht="15" customHeight="1">
      <c r="B20" s="2081" t="n"/>
      <c r="C20" s="2082" t="n"/>
      <c r="D20" s="2086" t="n"/>
      <c r="E20" s="2086" t="n"/>
      <c r="F20" s="2086" t="n"/>
      <c r="G20" s="2081" t="n"/>
      <c r="H20" s="2083" t="n"/>
      <c r="I20" s="2084" t="n"/>
      <c r="J20" s="2084" t="n"/>
      <c r="K20" s="2084" t="n"/>
      <c r="L20" s="2085" t="n"/>
      <c r="M20" s="2082" t="n"/>
      <c r="N20" s="2085" t="n"/>
      <c r="O20" s="2085" t="n"/>
      <c r="P20" s="2086" t="n"/>
      <c r="Q20" s="2086" t="n"/>
      <c r="R20" s="2087" t="n"/>
      <c r="S20" s="2088" t="n"/>
      <c r="T20" s="2088" t="n"/>
      <c r="U20" s="2086" t="n"/>
      <c r="V20" s="2091" t="n"/>
      <c r="W20" s="2103" t="n"/>
      <c r="X20" s="2103" t="n"/>
      <c r="Y20" s="2103" t="n"/>
      <c r="Z20" s="2103" t="n"/>
      <c r="AA20" s="2089" t="n"/>
      <c r="AB20" s="2089" t="n"/>
      <c r="AC20" s="2089" t="n"/>
      <c r="AD20" s="2090" t="n"/>
      <c r="AE20" s="2090" t="n"/>
      <c r="AF20" s="2089" t="n"/>
      <c r="AG20" s="2090" t="n"/>
      <c r="AH20" s="2089" t="n"/>
      <c r="AZ20" s="1782" t="n"/>
      <c r="BA20" s="1782" t="n"/>
      <c r="BB20" s="1782" t="n"/>
      <c r="BC20" s="2155" t="n"/>
      <c r="BD20" s="1782" t="n"/>
      <c r="BE20" s="1782" t="n"/>
      <c r="BF20" s="1782" t="n"/>
      <c r="BG20" s="1782" t="n"/>
      <c r="BH20" s="1782" t="n"/>
      <c r="BI20" s="1782" t="n"/>
      <c r="BJ20" s="1782" t="n"/>
      <c r="BK20" s="1782" t="n"/>
      <c r="BL20" s="1782" t="n"/>
      <c r="BM20" s="1782" t="n"/>
      <c r="BN20" s="1782" t="n"/>
      <c r="BO20" s="1782" t="n"/>
      <c r="BQ20" s="4423" t="n"/>
      <c r="BR20" s="4423" t="n"/>
      <c r="BS20" s="4423" t="n"/>
    </row>
    <row r="21" ht="15" customHeight="1">
      <c r="B21" s="2081" t="n"/>
      <c r="C21" s="2082" t="n"/>
      <c r="D21" s="2086" t="n"/>
      <c r="E21" s="2086" t="n"/>
      <c r="F21" s="2086" t="n"/>
      <c r="G21" s="2091" t="n"/>
      <c r="H21" s="2083" t="n"/>
      <c r="I21" s="2084" t="n"/>
      <c r="J21" s="2084" t="n"/>
      <c r="K21" s="2084" t="n"/>
      <c r="L21" s="2085" t="n"/>
      <c r="M21" s="2082" t="n"/>
      <c r="N21" s="2085" t="n"/>
      <c r="O21" s="2085" t="n"/>
      <c r="P21" s="2086" t="n"/>
      <c r="Q21" s="2086" t="n"/>
      <c r="R21" s="2087" t="n"/>
      <c r="S21" s="2088" t="n"/>
      <c r="T21" s="2088" t="n"/>
      <c r="U21" s="2086" t="n"/>
      <c r="V21" s="2091" t="n"/>
      <c r="W21" s="2103" t="n"/>
      <c r="X21" s="2103" t="n"/>
      <c r="Y21" s="2103" t="n"/>
      <c r="Z21" s="2103" t="n"/>
      <c r="AA21" s="2089" t="n"/>
      <c r="AB21" s="2089" t="n"/>
      <c r="AC21" s="2089" t="n"/>
      <c r="AD21" s="2090" t="n"/>
      <c r="AE21" s="2090" t="n"/>
      <c r="AF21" s="2089" t="n"/>
      <c r="AG21" s="2090" t="n"/>
      <c r="AH21" s="2089" t="n"/>
      <c r="AZ21" s="1782" t="n"/>
      <c r="BA21" s="1782" t="n"/>
      <c r="BB21" s="1782" t="n"/>
      <c r="BC21" s="2155" t="n"/>
      <c r="BD21" s="1782" t="n"/>
      <c r="BE21" s="1782" t="n"/>
      <c r="BF21" s="1782" t="n"/>
      <c r="BG21" s="1782" t="n"/>
      <c r="BH21" s="1782" t="n"/>
      <c r="BI21" s="1782" t="n"/>
      <c r="BJ21" s="1782" t="n"/>
      <c r="BK21" s="1782" t="n"/>
      <c r="BL21" s="1782" t="n"/>
      <c r="BM21" s="1782" t="n"/>
      <c r="BN21" s="1782" t="n"/>
      <c r="BO21" s="1782" t="n"/>
      <c r="BQ21" s="4423" t="n"/>
      <c r="BR21" s="4423" t="n"/>
      <c r="BS21" s="4423" t="n"/>
    </row>
    <row r="22" ht="15" customHeight="1">
      <c r="B22" s="2081" t="n"/>
      <c r="C22" s="2102" t="n"/>
      <c r="D22" s="2043">
        <f>'3.Cropland'!C22</f>
        <v/>
      </c>
      <c r="E22" s="2086" t="n"/>
      <c r="F22" s="2086" t="n"/>
      <c r="G22" s="2094" t="n"/>
      <c r="H22" s="2094" t="n"/>
      <c r="I22" s="2139">
        <f>I9</f>
        <v/>
      </c>
      <c r="J22" s="2139" t="n"/>
      <c r="K22" s="2139" t="n"/>
      <c r="L22" s="2085" t="n"/>
      <c r="M22" s="2293">
        <f>M9</f>
        <v/>
      </c>
      <c r="N22" s="2294" t="n"/>
      <c r="O22" s="2294" t="n"/>
      <c r="P22" s="2127" t="n"/>
      <c r="Q22" s="2127" t="n"/>
      <c r="R22" s="2087" t="n"/>
      <c r="S22" s="2295">
        <f>S9</f>
        <v/>
      </c>
      <c r="T22" s="2296" t="n"/>
      <c r="U22" s="2127" t="n"/>
      <c r="V22" s="2091" t="n"/>
      <c r="W22" s="2096" t="n"/>
      <c r="X22" s="2094">
        <f>X9</f>
        <v/>
      </c>
      <c r="Y22" s="2095" t="n"/>
      <c r="Z22" s="2096" t="n"/>
      <c r="AA22" s="2097" t="n"/>
      <c r="AB22" s="2089" t="n"/>
      <c r="AC22" s="2118" t="n"/>
      <c r="AD22" s="2314">
        <f>AD9</f>
        <v/>
      </c>
      <c r="AE22" s="2094" t="n"/>
      <c r="AF22" s="2089" t="n"/>
      <c r="AG22" s="2081">
        <f>AG9</f>
        <v/>
      </c>
      <c r="AH22" s="2082" t="n"/>
      <c r="AZ22" s="1782" t="n"/>
      <c r="BA22" s="1782" t="n"/>
      <c r="BB22" s="1782" t="n"/>
      <c r="BC22" s="2029">
        <f>BC9</f>
        <v/>
      </c>
      <c r="BD22" s="2029" t="n"/>
      <c r="BE22" s="2029" t="n"/>
      <c r="BF22" s="2029" t="n"/>
      <c r="BG22" s="2029" t="n"/>
      <c r="BH22" s="2029" t="n"/>
      <c r="BI22" s="2029">
        <f>BI9</f>
        <v/>
      </c>
      <c r="BJ22" s="2029" t="n"/>
      <c r="BK22" s="2028" t="n"/>
      <c r="BL22" s="2029">
        <f>BL9</f>
        <v/>
      </c>
      <c r="BM22" s="2029" t="n"/>
      <c r="BN22" s="2028" t="n"/>
      <c r="BO22" s="1782" t="n"/>
      <c r="BQ22" s="1997" t="n"/>
      <c r="BR22" s="1894" t="n"/>
      <c r="BS22" s="1997" t="n"/>
    </row>
    <row r="23" ht="15" customHeight="1">
      <c r="B23" s="2081" t="n"/>
      <c r="C23" s="2102" t="n"/>
      <c r="D23" s="2086" t="n"/>
      <c r="E23" s="2086" t="n"/>
      <c r="F23" s="2086" t="n"/>
      <c r="G23" s="2315" t="n"/>
      <c r="H23" s="2083" t="n"/>
      <c r="I23" s="2084" t="n"/>
      <c r="J23" s="2084" t="n"/>
      <c r="K23" s="2084" t="n"/>
      <c r="L23" s="2085" t="n"/>
      <c r="M23" s="2082" t="n"/>
      <c r="N23" s="2085" t="n"/>
      <c r="O23" s="2085" t="n"/>
      <c r="P23" s="2086" t="n"/>
      <c r="Q23" s="2086" t="n"/>
      <c r="R23" s="2087" t="n"/>
      <c r="S23" s="2088" t="n"/>
      <c r="T23" s="2088" t="n"/>
      <c r="U23" s="2086" t="n"/>
      <c r="V23" s="2091" t="n"/>
      <c r="W23" s="2103" t="n"/>
      <c r="X23" s="2103" t="n"/>
      <c r="Y23" s="2103" t="n"/>
      <c r="Z23" s="2103" t="n"/>
      <c r="AA23" s="2089" t="n"/>
      <c r="AB23" s="2089" t="n"/>
      <c r="AC23" s="2089" t="n"/>
      <c r="AD23" s="2090" t="n"/>
      <c r="AE23" s="2090" t="n"/>
      <c r="AF23" s="2089" t="n"/>
      <c r="AG23" s="2090" t="n"/>
      <c r="AH23" s="2089" t="n"/>
      <c r="AZ23" s="1782" t="n"/>
      <c r="BA23" s="1782" t="n"/>
      <c r="BB23" s="1782" t="n"/>
      <c r="BC23" s="2316">
        <f>BC10</f>
        <v/>
      </c>
      <c r="BD23" s="2026" t="n"/>
      <c r="BE23" s="2317">
        <f>BE10</f>
        <v/>
      </c>
      <c r="BF23" s="2026" t="n"/>
      <c r="BG23" s="2317">
        <f>BG10</f>
        <v/>
      </c>
      <c r="BH23" s="2026" t="n"/>
      <c r="BI23" s="2026" t="n"/>
      <c r="BJ23" s="2026" t="n"/>
      <c r="BK23" s="2026" t="n"/>
      <c r="BL23" s="2026" t="n"/>
      <c r="BM23" s="2026" t="n"/>
      <c r="BN23" s="2026" t="n"/>
      <c r="BO23" s="1782" t="n"/>
      <c r="BQ23" s="1997" t="n"/>
      <c r="BR23" s="1894" t="n"/>
      <c r="BS23" s="1997" t="n"/>
    </row>
    <row r="24" ht="15" customHeight="1">
      <c r="B24" s="2081" t="n"/>
      <c r="C24" s="1779" t="n"/>
      <c r="D24" s="2086" t="n"/>
      <c r="E24" s="2086" t="n"/>
      <c r="F24" s="2086" t="n"/>
      <c r="G24" s="1929">
        <f>G11</f>
        <v/>
      </c>
      <c r="H24" s="2318" t="n"/>
      <c r="I24" s="1929">
        <f>I11</f>
        <v/>
      </c>
      <c r="J24" s="2141" t="n"/>
      <c r="K24" s="1929">
        <f>K11</f>
        <v/>
      </c>
      <c r="L24" s="2085" t="n"/>
      <c r="M24" s="2088">
        <f>M11</f>
        <v/>
      </c>
      <c r="N24" s="2085" t="n"/>
      <c r="O24" s="2085" t="n"/>
      <c r="P24" s="2307">
        <f>P11</f>
        <v/>
      </c>
      <c r="Q24" s="2086" t="n"/>
      <c r="R24" s="2087" t="n"/>
      <c r="S24" s="1929">
        <f>S11</f>
        <v/>
      </c>
      <c r="T24" s="1929">
        <f>T11</f>
        <v/>
      </c>
      <c r="U24" s="1929">
        <f>U11</f>
        <v/>
      </c>
      <c r="V24" s="2091" t="n"/>
      <c r="W24" s="1929">
        <f>W11</f>
        <v/>
      </c>
      <c r="X24" s="1929">
        <f>X11</f>
        <v/>
      </c>
      <c r="Y24" s="1929" t="n"/>
      <c r="Z24" s="1929">
        <f>Z11</f>
        <v/>
      </c>
      <c r="AA24" s="1806" t="n"/>
      <c r="AB24" s="2090" t="n"/>
      <c r="AC24" s="2308" t="n"/>
      <c r="AD24" s="1929">
        <f>AD11</f>
        <v/>
      </c>
      <c r="AE24" s="1929">
        <f>AE11</f>
        <v/>
      </c>
      <c r="AF24" s="2307" t="n"/>
      <c r="AG24" s="2090" t="n"/>
      <c r="AH24" s="2089" t="n"/>
      <c r="AZ24" s="2291" t="n"/>
      <c r="BA24" s="2309">
        <f>Languages!B233</f>
        <v/>
      </c>
      <c r="BB24" s="1847" t="n"/>
      <c r="BC24" s="2032">
        <f>BC11</f>
        <v/>
      </c>
      <c r="BD24" s="2032">
        <f>BD11</f>
        <v/>
      </c>
      <c r="BE24" s="2032">
        <f>BE11</f>
        <v/>
      </c>
      <c r="BF24" s="2032">
        <f>BF11</f>
        <v/>
      </c>
      <c r="BG24" s="2032">
        <f>BG11</f>
        <v/>
      </c>
      <c r="BH24" s="2032">
        <f>BH11</f>
        <v/>
      </c>
      <c r="BI24" s="2032">
        <f>BI11</f>
        <v/>
      </c>
      <c r="BJ24" s="2032">
        <f>BJ11</f>
        <v/>
      </c>
      <c r="BK24" s="2032" t="n"/>
      <c r="BL24" s="2032">
        <f>BL11</f>
        <v/>
      </c>
      <c r="BM24" s="2032">
        <f>BM11</f>
        <v/>
      </c>
      <c r="BN24" s="2026" t="n"/>
      <c r="BO24" s="2291" t="n"/>
      <c r="BQ24" s="1997" t="n"/>
      <c r="BR24" s="1997" t="n"/>
      <c r="BS24" s="1997" t="n"/>
    </row>
    <row r="25" ht="15" customHeight="1">
      <c r="B25" s="2081" t="n"/>
      <c r="C25" s="2082" t="n"/>
      <c r="D25" s="2086" t="n"/>
      <c r="E25" s="2086" t="n"/>
      <c r="F25" s="2086" t="n"/>
      <c r="G25" s="2081" t="n"/>
      <c r="H25" s="2083" t="n"/>
      <c r="I25" s="2084" t="n"/>
      <c r="J25" s="2084" t="n"/>
      <c r="K25" s="2084" t="n"/>
      <c r="L25" s="2085" t="n"/>
      <c r="M25" s="1806" t="inlineStr">
        <is>
          <t>(y/n)</t>
        </is>
      </c>
      <c r="N25" s="1806">
        <f>N12</f>
        <v/>
      </c>
      <c r="O25" s="1944" t="n"/>
      <c r="P25" s="1806" t="inlineStr">
        <is>
          <t>(y/n)</t>
        </is>
      </c>
      <c r="Q25" s="1806">
        <f>Q12</f>
        <v/>
      </c>
      <c r="R25" s="2087" t="n"/>
      <c r="S25" s="2088" t="n"/>
      <c r="T25" s="2088" t="n"/>
      <c r="U25" s="2086" t="n"/>
      <c r="V25" s="2091" t="n"/>
      <c r="W25" s="2103" t="n"/>
      <c r="X25" s="2103" t="n"/>
      <c r="Y25" s="1929" t="inlineStr">
        <is>
          <t>*</t>
        </is>
      </c>
      <c r="Z25" s="2103" t="n"/>
      <c r="AA25" s="2089" t="n"/>
      <c r="AB25" s="2089" t="n"/>
      <c r="AC25" s="2089" t="n"/>
      <c r="AD25" s="2090" t="n"/>
      <c r="AE25" s="2090" t="n"/>
      <c r="AF25" s="2089" t="n"/>
      <c r="AG25" s="2090" t="n"/>
      <c r="AH25" s="2089" t="n"/>
      <c r="AZ25" s="2291" t="n"/>
      <c r="BA25" s="1847" t="n"/>
      <c r="BB25" s="1847" t="n"/>
      <c r="BC25" s="2032" t="n"/>
      <c r="BD25" s="2291" t="n"/>
      <c r="BE25" s="2311" t="n"/>
      <c r="BF25" s="2291" t="n"/>
      <c r="BG25" s="2311" t="n"/>
      <c r="BH25" s="2291" t="n"/>
      <c r="BI25" s="2291" t="n"/>
      <c r="BJ25" s="2291" t="n"/>
      <c r="BK25" s="2291" t="n"/>
      <c r="BL25" s="2291" t="n"/>
      <c r="BM25" s="2291" t="n"/>
      <c r="BN25" s="2291" t="n"/>
      <c r="BO25" s="2291" t="n"/>
      <c r="BQ25" s="1997" t="n"/>
      <c r="BR25" s="1997" t="n"/>
      <c r="BS25" s="1997" t="n"/>
    </row>
    <row r="26" ht="15" customHeight="1">
      <c r="B26" s="2081" t="n"/>
      <c r="C26" s="1820" t="n"/>
      <c r="D26" s="2144" t="inlineStr">
        <is>
          <t xml:space="preserve">Restoration with endemic and fodder shrubs </t>
        </is>
      </c>
      <c r="E26" s="2144" t="n"/>
      <c r="F26" s="2086" t="n"/>
      <c r="G26" s="2145" t="inlineStr">
        <is>
          <t>High intensity grazing</t>
        </is>
      </c>
      <c r="H26" s="1820" t="n"/>
      <c r="I26" s="2145" t="inlineStr">
        <is>
          <t>High intensity grazing</t>
        </is>
      </c>
      <c r="J26" s="2146" t="n"/>
      <c r="K26" s="2147" t="inlineStr">
        <is>
          <t>Non-degraded</t>
        </is>
      </c>
      <c r="L26" s="2085" t="n"/>
      <c r="M26" s="2148" t="inlineStr">
        <is>
          <t>NO</t>
        </is>
      </c>
      <c r="N26" s="2107" t="n">
        <v>5</v>
      </c>
      <c r="O26" s="2085" t="n"/>
      <c r="P26" s="2148" t="inlineStr">
        <is>
          <t>NO</t>
        </is>
      </c>
      <c r="Q26" s="2107" t="n">
        <v>5</v>
      </c>
      <c r="R26" s="2087" t="n"/>
      <c r="S26" s="2149" t="n"/>
      <c r="T26" s="2150" t="n"/>
      <c r="U26" s="2151" t="n"/>
      <c r="V26" s="2091" t="n"/>
      <c r="W26" s="2107">
        <f>Calculations!C39</f>
        <v/>
      </c>
      <c r="X26" s="1806">
        <f>grass!$D34</f>
        <v/>
      </c>
      <c r="Y26" s="2108" t="inlineStr">
        <is>
          <t>D</t>
        </is>
      </c>
      <c r="Z26" s="1806">
        <f>grass!$F34</f>
        <v/>
      </c>
      <c r="AA26" s="2108" t="inlineStr">
        <is>
          <t>D</t>
        </is>
      </c>
      <c r="AB26" s="2089" t="n"/>
      <c r="AC26" s="2089" t="n"/>
      <c r="AD26" s="1841">
        <f>grass!L34</f>
        <v/>
      </c>
      <c r="AE26" s="1841">
        <f>grass!M34</f>
        <v/>
      </c>
      <c r="AF26" s="1780" t="n"/>
      <c r="AG26" s="1816">
        <f>grass!N34</f>
        <v/>
      </c>
      <c r="AH26" s="2089" t="n"/>
      <c r="AZ26" s="2291" t="n"/>
      <c r="BA26" s="2319">
        <f>IF(D26="","",D26)</f>
        <v/>
      </c>
      <c r="BB26" s="2320" t="n"/>
      <c r="BC26" s="2034">
        <f>grass!K14</f>
        <v/>
      </c>
      <c r="BD26" s="2354" t="n"/>
      <c r="BE26" s="2034">
        <f>grass!M14</f>
        <v/>
      </c>
      <c r="BF26" s="2354" t="n"/>
      <c r="BG26" s="2034">
        <f>grass!O14</f>
        <v/>
      </c>
      <c r="BH26" s="2354" t="n"/>
      <c r="BI26" s="2034">
        <f>IF($G26&lt;&gt; "Please select", VLOOKUP(clim_moist, IPCC!$A$553:$B$562,2, FALSE),0)</f>
        <v/>
      </c>
      <c r="BJ26" s="2354" t="n"/>
      <c r="BK26" s="2291" t="n"/>
      <c r="BL26" s="4425" t="n">
        <v>0.77</v>
      </c>
      <c r="BM26" s="4426" t="n"/>
      <c r="BN26" s="2291" t="n"/>
      <c r="BO26" s="2291" t="n"/>
      <c r="BQ26" s="4401" t="n">
        <v>1</v>
      </c>
      <c r="BR26" s="4402" t="n"/>
      <c r="BS26" s="1997" t="n"/>
    </row>
    <row r="27" ht="15" customHeight="1">
      <c r="B27" s="2081" t="n"/>
      <c r="C27" s="1820" t="n"/>
      <c r="D27" s="2152" t="inlineStr">
        <is>
          <t>Seeding for grasslands</t>
        </is>
      </c>
      <c r="E27" s="2152" t="n"/>
      <c r="F27" s="2086" t="n"/>
      <c r="G27" s="2145" t="inlineStr">
        <is>
          <t>Non-degraded</t>
        </is>
      </c>
      <c r="H27" s="1820" t="n"/>
      <c r="I27" s="2145" t="inlineStr">
        <is>
          <t>Non-degraded</t>
        </is>
      </c>
      <c r="J27" s="2146" t="n"/>
      <c r="K27" s="2147" t="inlineStr">
        <is>
          <t>Improved grassland</t>
        </is>
      </c>
      <c r="L27" s="2085" t="n"/>
      <c r="M27" s="2148" t="inlineStr">
        <is>
          <t>NO</t>
        </is>
      </c>
      <c r="N27" s="2107" t="n">
        <v>5</v>
      </c>
      <c r="O27" s="2085" t="n"/>
      <c r="P27" s="2148" t="inlineStr">
        <is>
          <t>NO</t>
        </is>
      </c>
      <c r="Q27" s="2107" t="n">
        <v>5</v>
      </c>
      <c r="R27" s="2087" t="n"/>
      <c r="S27" s="2149" t="n"/>
      <c r="T27" s="2150" t="n"/>
      <c r="U27" s="2151" t="n"/>
      <c r="V27" s="2091" t="n"/>
      <c r="W27" s="2107">
        <f>Calculations!C40+Calculations!C29</f>
        <v/>
      </c>
      <c r="X27" s="1806">
        <f>grass!$D35</f>
        <v/>
      </c>
      <c r="Y27" s="2108" t="inlineStr">
        <is>
          <t>D</t>
        </is>
      </c>
      <c r="Z27" s="1806">
        <f>grass!$F35</f>
        <v/>
      </c>
      <c r="AA27" s="2108" t="inlineStr">
        <is>
          <t>D</t>
        </is>
      </c>
      <c r="AB27" s="2089" t="n"/>
      <c r="AC27" s="2089" t="n"/>
      <c r="AD27" s="1841">
        <f>grass!L35</f>
        <v/>
      </c>
      <c r="AE27" s="1841">
        <f>grass!M35</f>
        <v/>
      </c>
      <c r="AF27" s="1780" t="n"/>
      <c r="AG27" s="1816">
        <f>grass!N35</f>
        <v/>
      </c>
      <c r="AH27" s="2089" t="n"/>
      <c r="AZ27" s="2291" t="n"/>
      <c r="BA27" s="2319">
        <f>IF(D27="","",D27)</f>
        <v/>
      </c>
      <c r="BB27" s="2320" t="n"/>
      <c r="BC27" s="2034">
        <f>grass!K15</f>
        <v/>
      </c>
      <c r="BD27" s="2354" t="n"/>
      <c r="BE27" s="2034">
        <f>grass!M15</f>
        <v/>
      </c>
      <c r="BF27" s="2354" t="n"/>
      <c r="BG27" s="2034">
        <f>grass!O15</f>
        <v/>
      </c>
      <c r="BH27" s="2354" t="n"/>
      <c r="BI27" s="2034">
        <f>IF($G27&lt;&gt; "Please select", VLOOKUP(clim_moist, IPCC!$A$553:$B$562,2, FALSE),0)</f>
        <v/>
      </c>
      <c r="BJ27" s="2354" t="n"/>
      <c r="BK27" s="2291" t="n"/>
      <c r="BL27" s="4425" t="n">
        <v>0.77</v>
      </c>
      <c r="BM27" s="4426" t="n"/>
      <c r="BN27" s="2291" t="n"/>
      <c r="BO27" s="2291" t="n"/>
      <c r="BQ27" s="4401" t="n">
        <v>1</v>
      </c>
      <c r="BR27" s="4402" t="n"/>
      <c r="BS27" s="1997" t="n"/>
    </row>
    <row r="28" ht="15" customHeight="1">
      <c r="B28" s="2081" t="n"/>
      <c r="C28" s="1820" t="n"/>
      <c r="D28" s="2152" t="n"/>
      <c r="E28" s="2152" t="n"/>
      <c r="F28" s="2086" t="n"/>
      <c r="G28" s="2145" t="inlineStr">
        <is>
          <t>Please select</t>
        </is>
      </c>
      <c r="H28" s="1820" t="n"/>
      <c r="I28" s="2145" t="inlineStr">
        <is>
          <t>Please select</t>
        </is>
      </c>
      <c r="J28" s="2146" t="n"/>
      <c r="K28" s="2147" t="inlineStr">
        <is>
          <t>Please select</t>
        </is>
      </c>
      <c r="L28" s="2085" t="n"/>
      <c r="M28" s="2148" t="inlineStr">
        <is>
          <t>NO</t>
        </is>
      </c>
      <c r="N28" s="2107" t="n">
        <v>5</v>
      </c>
      <c r="O28" s="2085" t="n"/>
      <c r="P28" s="2148" t="inlineStr">
        <is>
          <t>NO</t>
        </is>
      </c>
      <c r="Q28" s="2107" t="n">
        <v>5</v>
      </c>
      <c r="R28" s="2087" t="n"/>
      <c r="S28" s="2149" t="n"/>
      <c r="T28" s="2150" t="n"/>
      <c r="U28" s="2151" t="n"/>
      <c r="V28" s="2091" t="n"/>
      <c r="W28" s="2107" t="n">
        <v>0</v>
      </c>
      <c r="X28" s="1806">
        <f>grass!$D36</f>
        <v/>
      </c>
      <c r="Y28" s="2108" t="inlineStr">
        <is>
          <t>D</t>
        </is>
      </c>
      <c r="Z28" s="1806">
        <f>grass!$F36</f>
        <v/>
      </c>
      <c r="AA28" s="2108" t="inlineStr">
        <is>
          <t>D</t>
        </is>
      </c>
      <c r="AB28" s="2089" t="n"/>
      <c r="AC28" s="2089" t="n"/>
      <c r="AD28" s="1841">
        <f>grass!L36</f>
        <v/>
      </c>
      <c r="AE28" s="1841">
        <f>grass!M36</f>
        <v/>
      </c>
      <c r="AF28" s="1780" t="n"/>
      <c r="AG28" s="1816">
        <f>grass!N36</f>
        <v/>
      </c>
      <c r="AH28" s="2089" t="n"/>
      <c r="AZ28" s="2291" t="n"/>
      <c r="BA28" s="2319">
        <f>IF(D28="","",D28)</f>
        <v/>
      </c>
      <c r="BB28" s="2320" t="n"/>
      <c r="BC28" s="2034">
        <f>grass!K16</f>
        <v/>
      </c>
      <c r="BD28" s="2354" t="n"/>
      <c r="BE28" s="2034">
        <f>grass!M16</f>
        <v/>
      </c>
      <c r="BF28" s="2354" t="n"/>
      <c r="BG28" s="2034">
        <f>grass!O16</f>
        <v/>
      </c>
      <c r="BH28" s="2354" t="n"/>
      <c r="BI28" s="2034">
        <f>IF($G28&lt;&gt; "Please select", VLOOKUP(clim_moist, IPCC!$A$553:$B$562,2, FALSE),0)</f>
        <v/>
      </c>
      <c r="BJ28" s="2354" t="n"/>
      <c r="BK28" s="2291" t="n"/>
      <c r="BL28" s="4425" t="n">
        <v>0.77</v>
      </c>
      <c r="BM28" s="4426" t="n"/>
      <c r="BN28" s="2291" t="n"/>
      <c r="BO28" s="2291" t="n"/>
      <c r="BQ28" s="4401" t="n">
        <v>1</v>
      </c>
      <c r="BR28" s="4402" t="n"/>
      <c r="BS28" s="1997" t="n"/>
    </row>
    <row r="29" ht="15" customHeight="1">
      <c r="B29" s="2081" t="n"/>
      <c r="C29" s="1820" t="n"/>
      <c r="D29" s="2152" t="n"/>
      <c r="E29" s="2152" t="n"/>
      <c r="F29" s="2086" t="n"/>
      <c r="G29" s="2145" t="inlineStr">
        <is>
          <t>Please select</t>
        </is>
      </c>
      <c r="H29" s="1820" t="n"/>
      <c r="I29" s="2145" t="inlineStr">
        <is>
          <t>Please select</t>
        </is>
      </c>
      <c r="J29" s="2146" t="n"/>
      <c r="K29" s="2147" t="inlineStr">
        <is>
          <t>Please select</t>
        </is>
      </c>
      <c r="L29" s="2085" t="n"/>
      <c r="M29" s="2148" t="inlineStr">
        <is>
          <t>NO</t>
        </is>
      </c>
      <c r="N29" s="2107" t="n">
        <v>5</v>
      </c>
      <c r="O29" s="2085" t="n"/>
      <c r="P29" s="2148" t="inlineStr">
        <is>
          <t>NO</t>
        </is>
      </c>
      <c r="Q29" s="2107" t="n">
        <v>5</v>
      </c>
      <c r="R29" s="2087" t="n"/>
      <c r="S29" s="2149" t="n"/>
      <c r="T29" s="2150" t="n"/>
      <c r="U29" s="2151" t="n"/>
      <c r="V29" s="2091" t="n"/>
      <c r="W29" s="2107" t="n">
        <v>0</v>
      </c>
      <c r="X29" s="1806">
        <f>grass!$D37</f>
        <v/>
      </c>
      <c r="Y29" s="2108" t="inlineStr">
        <is>
          <t>D</t>
        </is>
      </c>
      <c r="Z29" s="1806">
        <f>grass!$F37</f>
        <v/>
      </c>
      <c r="AA29" s="2108" t="inlineStr">
        <is>
          <t>D</t>
        </is>
      </c>
      <c r="AB29" s="2089" t="n"/>
      <c r="AC29" s="2089" t="n"/>
      <c r="AD29" s="1841">
        <f>grass!L37</f>
        <v/>
      </c>
      <c r="AE29" s="1841">
        <f>grass!M37</f>
        <v/>
      </c>
      <c r="AF29" s="1780" t="n"/>
      <c r="AG29" s="1816">
        <f>grass!N37</f>
        <v/>
      </c>
      <c r="AH29" s="2089" t="n"/>
      <c r="AZ29" s="2291" t="n"/>
      <c r="BA29" s="2319">
        <f>IF(D29="","",D29)</f>
        <v/>
      </c>
      <c r="BB29" s="2320" t="n"/>
      <c r="BC29" s="2034">
        <f>grass!K17</f>
        <v/>
      </c>
      <c r="BD29" s="2354" t="n"/>
      <c r="BE29" s="2034">
        <f>grass!M17</f>
        <v/>
      </c>
      <c r="BF29" s="2354" t="n"/>
      <c r="BG29" s="2034">
        <f>grass!O17</f>
        <v/>
      </c>
      <c r="BH29" s="2354" t="n"/>
      <c r="BI29" s="2034">
        <f>IF($G29&lt;&gt; "Please select", VLOOKUP(clim_moist, IPCC!$A$553:$B$562,2, FALSE),0)</f>
        <v/>
      </c>
      <c r="BJ29" s="2354" t="n"/>
      <c r="BK29" s="2291" t="n"/>
      <c r="BL29" s="4425" t="n">
        <v>0.77</v>
      </c>
      <c r="BM29" s="4426" t="n"/>
      <c r="BN29" s="2291" t="n"/>
      <c r="BO29" s="2291" t="n"/>
      <c r="BQ29" s="4401" t="n">
        <v>1</v>
      </c>
      <c r="BR29" s="4402" t="n"/>
      <c r="BS29" s="1997" t="n"/>
    </row>
    <row r="30" ht="15" customHeight="1">
      <c r="B30" s="2081" t="n"/>
      <c r="C30" s="1820" t="n"/>
      <c r="D30" s="2152" t="n"/>
      <c r="E30" s="2152" t="n"/>
      <c r="F30" s="2086" t="n"/>
      <c r="G30" s="2145" t="inlineStr">
        <is>
          <t>Please select</t>
        </is>
      </c>
      <c r="H30" s="1820" t="n"/>
      <c r="I30" s="2145" t="inlineStr">
        <is>
          <t>Please select</t>
        </is>
      </c>
      <c r="J30" s="2146" t="n"/>
      <c r="K30" s="2147" t="inlineStr">
        <is>
          <t>Please select</t>
        </is>
      </c>
      <c r="L30" s="2085" t="n"/>
      <c r="M30" s="2148" t="inlineStr">
        <is>
          <t>NO</t>
        </is>
      </c>
      <c r="N30" s="2107" t="n">
        <v>5</v>
      </c>
      <c r="O30" s="2085" t="n"/>
      <c r="P30" s="2148" t="inlineStr">
        <is>
          <t>NO</t>
        </is>
      </c>
      <c r="Q30" s="2107" t="n">
        <v>5</v>
      </c>
      <c r="R30" s="2087" t="n"/>
      <c r="S30" s="2149" t="n"/>
      <c r="T30" s="2150" t="n"/>
      <c r="U30" s="2151" t="n"/>
      <c r="V30" s="2091" t="n"/>
      <c r="W30" s="2107" t="n">
        <v>0</v>
      </c>
      <c r="X30" s="1806">
        <f>grass!$D38</f>
        <v/>
      </c>
      <c r="Y30" s="2108" t="inlineStr">
        <is>
          <t>D</t>
        </is>
      </c>
      <c r="Z30" s="1806">
        <f>grass!$F38</f>
        <v/>
      </c>
      <c r="AA30" s="2108" t="inlineStr">
        <is>
          <t>D</t>
        </is>
      </c>
      <c r="AB30" s="2089" t="n"/>
      <c r="AC30" s="2089" t="n"/>
      <c r="AD30" s="1841">
        <f>grass!L38</f>
        <v/>
      </c>
      <c r="AE30" s="1841">
        <f>grass!M38</f>
        <v/>
      </c>
      <c r="AF30" s="1780" t="n"/>
      <c r="AG30" s="1816">
        <f>grass!N38</f>
        <v/>
      </c>
      <c r="AH30" s="2089" t="n"/>
      <c r="AZ30" s="2291" t="n"/>
      <c r="BA30" s="2319">
        <f>IF(D30="","",D30)</f>
        <v/>
      </c>
      <c r="BB30" s="2320" t="n"/>
      <c r="BC30" s="2034">
        <f>grass!K18</f>
        <v/>
      </c>
      <c r="BD30" s="2354" t="n"/>
      <c r="BE30" s="2034">
        <f>grass!M18</f>
        <v/>
      </c>
      <c r="BF30" s="2354" t="n"/>
      <c r="BG30" s="2034">
        <f>grass!O18</f>
        <v/>
      </c>
      <c r="BH30" s="2354" t="n"/>
      <c r="BI30" s="2034">
        <f>IF($G30&lt;&gt; "Please select", VLOOKUP(clim_moist, IPCC!$A$553:$B$562,2, FALSE),0)</f>
        <v/>
      </c>
      <c r="BJ30" s="2354" t="n"/>
      <c r="BK30" s="2291" t="n"/>
      <c r="BL30" s="4425" t="n">
        <v>0.77</v>
      </c>
      <c r="BM30" s="4426" t="n"/>
      <c r="BN30" s="2291" t="n"/>
      <c r="BO30" s="2291" t="n"/>
      <c r="BQ30" s="4401" t="n">
        <v>1</v>
      </c>
      <c r="BR30" s="4402" t="n"/>
      <c r="BS30" s="1997" t="n"/>
    </row>
    <row r="31" ht="15" customHeight="1">
      <c r="B31" s="2081" t="n"/>
      <c r="C31" s="1820" t="n"/>
      <c r="D31" s="2152" t="n"/>
      <c r="E31" s="2152" t="n"/>
      <c r="F31" s="2086" t="n"/>
      <c r="G31" s="2145" t="inlineStr">
        <is>
          <t>Please select</t>
        </is>
      </c>
      <c r="H31" s="1820" t="n"/>
      <c r="I31" s="2145" t="inlineStr">
        <is>
          <t>Please select</t>
        </is>
      </c>
      <c r="J31" s="2146" t="n"/>
      <c r="K31" s="2147" t="inlineStr">
        <is>
          <t>Please select</t>
        </is>
      </c>
      <c r="L31" s="2085" t="n"/>
      <c r="M31" s="2148" t="inlineStr">
        <is>
          <t>NO</t>
        </is>
      </c>
      <c r="N31" s="2107" t="n">
        <v>5</v>
      </c>
      <c r="O31" s="2085" t="n"/>
      <c r="P31" s="2148" t="inlineStr">
        <is>
          <t>NO</t>
        </is>
      </c>
      <c r="Q31" s="2107" t="n">
        <v>5</v>
      </c>
      <c r="R31" s="2087" t="n"/>
      <c r="S31" s="2149" t="n"/>
      <c r="T31" s="2150" t="n"/>
      <c r="U31" s="2151" t="n"/>
      <c r="V31" s="2091" t="n"/>
      <c r="W31" s="2107" t="n">
        <v>0</v>
      </c>
      <c r="X31" s="1806">
        <f>grass!$D39</f>
        <v/>
      </c>
      <c r="Y31" s="2108" t="inlineStr">
        <is>
          <t>D</t>
        </is>
      </c>
      <c r="Z31" s="1806">
        <f>grass!$F39</f>
        <v/>
      </c>
      <c r="AA31" s="2108" t="inlineStr">
        <is>
          <t>D</t>
        </is>
      </c>
      <c r="AB31" s="2089" t="n"/>
      <c r="AC31" s="2089" t="n"/>
      <c r="AD31" s="1841">
        <f>grass!L39</f>
        <v/>
      </c>
      <c r="AE31" s="1841">
        <f>grass!M39</f>
        <v/>
      </c>
      <c r="AF31" s="1780" t="n"/>
      <c r="AG31" s="1816">
        <f>grass!N39</f>
        <v/>
      </c>
      <c r="AH31" s="2089" t="n"/>
      <c r="AZ31" s="2291" t="n"/>
      <c r="BA31" s="2319">
        <f>IF(D31="","",D31)</f>
        <v/>
      </c>
      <c r="BB31" s="2320" t="n"/>
      <c r="BC31" s="2034">
        <f>grass!K19</f>
        <v/>
      </c>
      <c r="BD31" s="2354" t="n"/>
      <c r="BE31" s="2034">
        <f>grass!M19</f>
        <v/>
      </c>
      <c r="BF31" s="2354" t="n"/>
      <c r="BG31" s="2034">
        <f>grass!O19</f>
        <v/>
      </c>
      <c r="BH31" s="2354" t="n"/>
      <c r="BI31" s="2034">
        <f>IF($G31&lt;&gt; "Please select", VLOOKUP(clim_moist, IPCC!$A$553:$B$562,2, FALSE),0)</f>
        <v/>
      </c>
      <c r="BJ31" s="2354" t="n"/>
      <c r="BK31" s="2291" t="n"/>
      <c r="BL31" s="4425" t="n">
        <v>0.77</v>
      </c>
      <c r="BM31" s="4426" t="n"/>
      <c r="BN31" s="2291" t="n"/>
      <c r="BO31" s="2291" t="n"/>
      <c r="BQ31" s="4401" t="n">
        <v>1</v>
      </c>
      <c r="BR31" s="4402" t="n"/>
      <c r="BS31" s="1997" t="n"/>
    </row>
    <row r="32" ht="15" customHeight="1">
      <c r="B32" s="2081" t="n"/>
      <c r="C32" s="1820" t="n"/>
      <c r="D32" s="2152" t="n"/>
      <c r="E32" s="2152" t="n"/>
      <c r="F32" s="2086" t="n"/>
      <c r="G32" s="2145" t="inlineStr">
        <is>
          <t>Please select</t>
        </is>
      </c>
      <c r="H32" s="1820" t="n"/>
      <c r="I32" s="2145" t="inlineStr">
        <is>
          <t>Please select</t>
        </is>
      </c>
      <c r="J32" s="2146" t="n"/>
      <c r="K32" s="2147" t="inlineStr">
        <is>
          <t>Please select</t>
        </is>
      </c>
      <c r="L32" s="2085" t="n"/>
      <c r="M32" s="2148" t="inlineStr">
        <is>
          <t>NO</t>
        </is>
      </c>
      <c r="N32" s="2107" t="n">
        <v>5</v>
      </c>
      <c r="O32" s="2085" t="n"/>
      <c r="P32" s="2148" t="inlineStr">
        <is>
          <t>NO</t>
        </is>
      </c>
      <c r="Q32" s="2107" t="n">
        <v>5</v>
      </c>
      <c r="R32" s="2087" t="n"/>
      <c r="S32" s="2149" t="n"/>
      <c r="T32" s="2150" t="n"/>
      <c r="U32" s="2151" t="n"/>
      <c r="V32" s="2091" t="n"/>
      <c r="W32" s="2107" t="n">
        <v>0</v>
      </c>
      <c r="X32" s="1806">
        <f>grass!$D40</f>
        <v/>
      </c>
      <c r="Y32" s="2108" t="inlineStr">
        <is>
          <t>D</t>
        </is>
      </c>
      <c r="Z32" s="1806">
        <f>grass!$F40</f>
        <v/>
      </c>
      <c r="AA32" s="2108" t="inlineStr">
        <is>
          <t>D</t>
        </is>
      </c>
      <c r="AB32" s="2089" t="n"/>
      <c r="AC32" s="2089" t="n"/>
      <c r="AD32" s="1841">
        <f>grass!L40</f>
        <v/>
      </c>
      <c r="AE32" s="1841">
        <f>grass!M40</f>
        <v/>
      </c>
      <c r="AF32" s="1780" t="n"/>
      <c r="AG32" s="1816">
        <f>grass!N40</f>
        <v/>
      </c>
      <c r="AH32" s="2089" t="n"/>
      <c r="AZ32" s="2291" t="n"/>
      <c r="BA32" s="2319">
        <f>IF(D32="","",D32)</f>
        <v/>
      </c>
      <c r="BB32" s="2320" t="n"/>
      <c r="BC32" s="2034">
        <f>grass!K20</f>
        <v/>
      </c>
      <c r="BD32" s="2354" t="n"/>
      <c r="BE32" s="2034">
        <f>grass!M20</f>
        <v/>
      </c>
      <c r="BF32" s="2354" t="n"/>
      <c r="BG32" s="2034">
        <f>grass!O20</f>
        <v/>
      </c>
      <c r="BH32" s="2354" t="n"/>
      <c r="BI32" s="2034">
        <f>IF($G32&lt;&gt; "Please select", VLOOKUP(clim_moist, IPCC!$A$553:$B$562,2, FALSE),0)</f>
        <v/>
      </c>
      <c r="BJ32" s="2354" t="n"/>
      <c r="BK32" s="2291" t="n"/>
      <c r="BL32" s="4425" t="n">
        <v>0.77</v>
      </c>
      <c r="BM32" s="4426" t="n"/>
      <c r="BN32" s="2291" t="n"/>
      <c r="BO32" s="2291" t="n"/>
      <c r="BQ32" s="4401" t="n">
        <v>1</v>
      </c>
      <c r="BR32" s="4402" t="n"/>
      <c r="BS32" s="1997" t="n"/>
    </row>
    <row r="33" ht="15" customHeight="1">
      <c r="B33" s="2081" t="n"/>
      <c r="C33" s="1820" t="n"/>
      <c r="D33" s="2152" t="n"/>
      <c r="E33" s="2152" t="n"/>
      <c r="F33" s="2086" t="n"/>
      <c r="G33" s="2145" t="inlineStr">
        <is>
          <t>Please select</t>
        </is>
      </c>
      <c r="H33" s="1820" t="n"/>
      <c r="I33" s="2145" t="inlineStr">
        <is>
          <t>Please select</t>
        </is>
      </c>
      <c r="J33" s="2146" t="n"/>
      <c r="K33" s="2147" t="inlineStr">
        <is>
          <t>Please select</t>
        </is>
      </c>
      <c r="L33" s="2085" t="n"/>
      <c r="M33" s="2148" t="inlineStr">
        <is>
          <t>NO</t>
        </is>
      </c>
      <c r="N33" s="2107" t="n">
        <v>5</v>
      </c>
      <c r="O33" s="2085" t="n"/>
      <c r="P33" s="2148" t="inlineStr">
        <is>
          <t>NO</t>
        </is>
      </c>
      <c r="Q33" s="2107" t="n">
        <v>5</v>
      </c>
      <c r="R33" s="2087" t="n"/>
      <c r="S33" s="2149" t="n"/>
      <c r="T33" s="2150" t="n"/>
      <c r="U33" s="2151" t="n"/>
      <c r="V33" s="2091" t="n"/>
      <c r="W33" s="2107" t="n">
        <v>0</v>
      </c>
      <c r="X33" s="1806">
        <f>grass!$D41</f>
        <v/>
      </c>
      <c r="Y33" s="2108" t="inlineStr">
        <is>
          <t>D</t>
        </is>
      </c>
      <c r="Z33" s="1806">
        <f>grass!$F41</f>
        <v/>
      </c>
      <c r="AA33" s="2108" t="inlineStr">
        <is>
          <t>D</t>
        </is>
      </c>
      <c r="AB33" s="2089" t="n"/>
      <c r="AC33" s="2089" t="n"/>
      <c r="AD33" s="1841">
        <f>grass!L41</f>
        <v/>
      </c>
      <c r="AE33" s="1841">
        <f>grass!M41</f>
        <v/>
      </c>
      <c r="AF33" s="1780" t="n"/>
      <c r="AG33" s="1816">
        <f>grass!N41</f>
        <v/>
      </c>
      <c r="AH33" s="2089" t="n"/>
      <c r="AZ33" s="2291" t="n"/>
      <c r="BA33" s="2319">
        <f>IF(D33="","",D33)</f>
        <v/>
      </c>
      <c r="BB33" s="2320" t="n"/>
      <c r="BC33" s="2034">
        <f>grass!K21</f>
        <v/>
      </c>
      <c r="BD33" s="2354" t="n"/>
      <c r="BE33" s="2034">
        <f>grass!M21</f>
        <v/>
      </c>
      <c r="BF33" s="2354" t="n"/>
      <c r="BG33" s="2034">
        <f>grass!O21</f>
        <v/>
      </c>
      <c r="BH33" s="2354" t="n"/>
      <c r="BI33" s="2034">
        <f>IF($G33&lt;&gt; "Please select", VLOOKUP(clim_moist, IPCC!$A$553:$B$562,2, FALSE),0)</f>
        <v/>
      </c>
      <c r="BJ33" s="2354" t="n"/>
      <c r="BK33" s="2291" t="n"/>
      <c r="BL33" s="4425" t="n">
        <v>0.77</v>
      </c>
      <c r="BM33" s="4426" t="n"/>
      <c r="BN33" s="2291" t="n"/>
      <c r="BO33" s="2291" t="n"/>
      <c r="BQ33" s="4401" t="n">
        <v>1</v>
      </c>
      <c r="BR33" s="4402" t="n"/>
      <c r="BS33" s="1997" t="n"/>
    </row>
    <row r="34" ht="15" customHeight="1">
      <c r="B34" s="2081" t="n"/>
      <c r="C34" s="1820" t="n"/>
      <c r="D34" s="2152" t="n"/>
      <c r="E34" s="2152" t="n"/>
      <c r="F34" s="2086" t="n"/>
      <c r="G34" s="2145" t="inlineStr">
        <is>
          <t>Please select</t>
        </is>
      </c>
      <c r="H34" s="1820" t="n"/>
      <c r="I34" s="2145" t="inlineStr">
        <is>
          <t>Please select</t>
        </is>
      </c>
      <c r="J34" s="2146" t="n"/>
      <c r="K34" s="2147" t="inlineStr">
        <is>
          <t>Please select</t>
        </is>
      </c>
      <c r="L34" s="2085" t="n"/>
      <c r="M34" s="2148" t="inlineStr">
        <is>
          <t>NO</t>
        </is>
      </c>
      <c r="N34" s="2107" t="n">
        <v>5</v>
      </c>
      <c r="O34" s="2085" t="n"/>
      <c r="P34" s="2148" t="inlineStr">
        <is>
          <t>NO</t>
        </is>
      </c>
      <c r="Q34" s="2107" t="n">
        <v>5</v>
      </c>
      <c r="R34" s="2087" t="n"/>
      <c r="S34" s="2149" t="n"/>
      <c r="T34" s="2150" t="n"/>
      <c r="U34" s="2151" t="n"/>
      <c r="V34" s="2091" t="n"/>
      <c r="W34" s="2107" t="n">
        <v>0</v>
      </c>
      <c r="X34" s="1806">
        <f>grass!$D42</f>
        <v/>
      </c>
      <c r="Y34" s="2108" t="inlineStr">
        <is>
          <t>D</t>
        </is>
      </c>
      <c r="Z34" s="1806">
        <f>grass!$F42</f>
        <v/>
      </c>
      <c r="AA34" s="2108" t="inlineStr">
        <is>
          <t>D</t>
        </is>
      </c>
      <c r="AB34" s="2089" t="n"/>
      <c r="AC34" s="2089" t="n"/>
      <c r="AD34" s="1841">
        <f>grass!L42</f>
        <v/>
      </c>
      <c r="AE34" s="1841">
        <f>grass!M42</f>
        <v/>
      </c>
      <c r="AF34" s="1780" t="n"/>
      <c r="AG34" s="1816">
        <f>grass!N42</f>
        <v/>
      </c>
      <c r="AH34" s="2089" t="n"/>
      <c r="AZ34" s="2291" t="n"/>
      <c r="BA34" s="2319">
        <f>IF(D34="","",D34)</f>
        <v/>
      </c>
      <c r="BB34" s="2320" t="n"/>
      <c r="BC34" s="2034">
        <f>grass!K22</f>
        <v/>
      </c>
      <c r="BD34" s="2354" t="n"/>
      <c r="BE34" s="2034">
        <f>grass!M22</f>
        <v/>
      </c>
      <c r="BF34" s="2354" t="n"/>
      <c r="BG34" s="2034">
        <f>grass!O22</f>
        <v/>
      </c>
      <c r="BH34" s="2354" t="n"/>
      <c r="BI34" s="2034">
        <f>IF($G34&lt;&gt; "Please select", VLOOKUP(clim_moist, IPCC!$A$553:$B$562,2, FALSE),0)</f>
        <v/>
      </c>
      <c r="BJ34" s="2354" t="n"/>
      <c r="BK34" s="2291" t="n"/>
      <c r="BL34" s="4425" t="n">
        <v>0.77</v>
      </c>
      <c r="BM34" s="4426" t="n"/>
      <c r="BN34" s="2291" t="n"/>
      <c r="BO34" s="2291" t="n"/>
      <c r="BQ34" s="4401" t="n">
        <v>1</v>
      </c>
      <c r="BR34" s="4402" t="n"/>
      <c r="BS34" s="1997" t="n"/>
    </row>
    <row r="35" ht="15" customHeight="1">
      <c r="B35" s="2081" t="n"/>
      <c r="C35" s="1820" t="n"/>
      <c r="D35" s="2153" t="n"/>
      <c r="E35" s="2153" t="n"/>
      <c r="F35" s="2086" t="n"/>
      <c r="G35" s="2145" t="inlineStr">
        <is>
          <t>Please select</t>
        </is>
      </c>
      <c r="H35" s="1820" t="n"/>
      <c r="I35" s="2145" t="inlineStr">
        <is>
          <t>Please select</t>
        </is>
      </c>
      <c r="J35" s="2146" t="n"/>
      <c r="K35" s="2147" t="inlineStr">
        <is>
          <t>Please select</t>
        </is>
      </c>
      <c r="L35" s="2085" t="n"/>
      <c r="M35" s="2148" t="inlineStr">
        <is>
          <t>NO</t>
        </is>
      </c>
      <c r="N35" s="2107" t="n">
        <v>5</v>
      </c>
      <c r="O35" s="2085" t="n"/>
      <c r="P35" s="2148" t="inlineStr">
        <is>
          <t>NO</t>
        </is>
      </c>
      <c r="Q35" s="2107" t="n">
        <v>5</v>
      </c>
      <c r="R35" s="2087" t="n"/>
      <c r="S35" s="2149" t="n"/>
      <c r="T35" s="2150" t="n"/>
      <c r="U35" s="2151" t="n"/>
      <c r="V35" s="2091" t="n"/>
      <c r="W35" s="2107" t="n">
        <v>0</v>
      </c>
      <c r="X35" s="1806">
        <f>grass!$D43</f>
        <v/>
      </c>
      <c r="Y35" s="2108" t="inlineStr">
        <is>
          <t>D</t>
        </is>
      </c>
      <c r="Z35" s="1806">
        <f>grass!$F43</f>
        <v/>
      </c>
      <c r="AA35" s="2108" t="inlineStr">
        <is>
          <t>D</t>
        </is>
      </c>
      <c r="AB35" s="2089" t="n"/>
      <c r="AC35" s="2089" t="n"/>
      <c r="AD35" s="1841">
        <f>grass!L43</f>
        <v/>
      </c>
      <c r="AE35" s="1841">
        <f>grass!M43</f>
        <v/>
      </c>
      <c r="AF35" s="2089" t="n"/>
      <c r="AG35" s="1816">
        <f>grass!N43</f>
        <v/>
      </c>
      <c r="AH35" s="2089" t="n"/>
      <c r="AZ35" s="2291" t="n"/>
      <c r="BA35" s="2319">
        <f>IF(D35="","",D35)</f>
        <v/>
      </c>
      <c r="BB35" s="2320" t="n"/>
      <c r="BC35" s="2034">
        <f>grass!K23</f>
        <v/>
      </c>
      <c r="BD35" s="2354" t="n"/>
      <c r="BE35" s="2034">
        <f>grass!M23</f>
        <v/>
      </c>
      <c r="BF35" s="2354" t="n"/>
      <c r="BG35" s="2034">
        <f>grass!O23</f>
        <v/>
      </c>
      <c r="BH35" s="2354" t="n"/>
      <c r="BI35" s="2034">
        <f>IF($G35&lt;&gt; "Please select", VLOOKUP(clim_moist, IPCC!$A$553:$B$562,2, FALSE),0)</f>
        <v/>
      </c>
      <c r="BJ35" s="2354" t="n"/>
      <c r="BK35" s="2291" t="n"/>
      <c r="BL35" s="4425" t="n">
        <v>0.77</v>
      </c>
      <c r="BM35" s="4426" t="n"/>
      <c r="BN35" s="2291" t="n"/>
      <c r="BO35" s="2291" t="n"/>
      <c r="BQ35" s="4401" t="n">
        <v>1</v>
      </c>
      <c r="BR35" s="4402" t="n"/>
      <c r="BS35" s="1997" t="n"/>
    </row>
    <row r="36" ht="15" customHeight="1">
      <c r="B36" s="2081" t="n"/>
      <c r="C36" s="2086" t="n"/>
      <c r="D36" s="2086" t="n"/>
      <c r="E36" s="2086" t="n"/>
      <c r="F36" s="2086" t="n"/>
      <c r="G36" s="2086" t="n"/>
      <c r="H36" s="2086" t="n"/>
      <c r="I36" s="2086" t="n"/>
      <c r="J36" s="2086" t="n"/>
      <c r="K36" s="2086" t="n"/>
      <c r="L36" s="2086" t="n"/>
      <c r="M36" s="2086" t="n"/>
      <c r="N36" s="2086" t="n"/>
      <c r="O36" s="2085" t="n"/>
      <c r="P36" s="2086" t="n"/>
      <c r="Q36" s="2086" t="n"/>
      <c r="R36" s="2087" t="n"/>
      <c r="S36" s="2088" t="n"/>
      <c r="T36" s="1929" t="n"/>
      <c r="U36" s="2086" t="n"/>
      <c r="V36" s="2086" t="n"/>
      <c r="W36" s="2086" t="n"/>
      <c r="X36" s="2086" t="n"/>
      <c r="Y36" s="2086" t="n"/>
      <c r="Z36" s="2086" t="n"/>
      <c r="AA36" s="2086" t="n"/>
      <c r="AB36" s="2086" t="n"/>
      <c r="AC36" s="2017" t="n"/>
      <c r="AD36" s="1929" t="n"/>
      <c r="AE36" s="1929" t="n"/>
      <c r="AF36" s="2086" t="n"/>
      <c r="AG36" s="1816" t="n"/>
      <c r="AH36" s="2086" t="n"/>
      <c r="AZ36" s="2291" t="n"/>
      <c r="BA36" s="2291" t="n"/>
      <c r="BB36" s="2291" t="n"/>
      <c r="BC36" s="2321" t="n"/>
      <c r="BD36" s="2291" t="n"/>
      <c r="BE36" s="2291" t="n"/>
      <c r="BF36" s="2291" t="n"/>
      <c r="BG36" s="2291" t="n"/>
      <c r="BH36" s="2291" t="n"/>
      <c r="BI36" s="2291" t="n"/>
      <c r="BJ36" s="2291" t="n"/>
      <c r="BK36" s="2291" t="n"/>
      <c r="BL36" s="2291" t="n"/>
      <c r="BM36" s="2291" t="n"/>
      <c r="BN36" s="2291" t="n"/>
      <c r="BO36" s="2291" t="n"/>
      <c r="BQ36" s="4401" t="n"/>
      <c r="BR36" s="1894" t="n"/>
      <c r="BS36" s="1997" t="n"/>
    </row>
    <row r="37" ht="15" customHeight="1">
      <c r="B37" s="2081" t="n"/>
      <c r="C37" s="2086" t="n"/>
      <c r="D37" s="2086" t="n"/>
      <c r="E37" s="2086" t="n"/>
      <c r="F37" s="2086" t="n"/>
      <c r="G37" s="2086" t="n"/>
      <c r="H37" s="2086" t="n"/>
      <c r="I37" s="2086" t="n"/>
      <c r="J37" s="2086" t="n"/>
      <c r="K37" s="2086" t="n"/>
      <c r="L37" s="2086" t="n"/>
      <c r="M37" s="2086" t="n"/>
      <c r="N37" s="2086" t="n"/>
      <c r="O37" s="2086" t="n"/>
      <c r="P37" s="2086" t="n"/>
      <c r="Q37" s="2086" t="n"/>
      <c r="R37" s="2086" t="n"/>
      <c r="S37" s="2086" t="n"/>
      <c r="T37" s="1929" t="n"/>
      <c r="U37" s="2086" t="n"/>
      <c r="V37" s="2086" t="n"/>
      <c r="W37" s="2086" t="n"/>
      <c r="X37" s="2086" t="n"/>
      <c r="Y37" s="2086" t="n"/>
      <c r="Z37" s="2086" t="n"/>
      <c r="AA37" s="2086" t="n"/>
      <c r="AB37" s="2086" t="n"/>
      <c r="AC37" s="2086" t="n"/>
      <c r="AD37" s="1929" t="n"/>
      <c r="AE37" s="1929" t="n"/>
      <c r="AF37" s="2086" t="n"/>
      <c r="AG37" s="1929" t="n"/>
      <c r="AH37" s="2086" t="n"/>
      <c r="AZ37" s="1862" t="n"/>
      <c r="BA37" s="1862" t="n"/>
      <c r="BB37" s="1862" t="n"/>
      <c r="BC37" s="2322" t="n"/>
      <c r="BD37" s="1862" t="n"/>
      <c r="BE37" s="1782" t="n"/>
      <c r="BF37" s="1782" t="n"/>
      <c r="BG37" s="1782" t="n"/>
      <c r="BH37" s="1782" t="n"/>
      <c r="BI37" s="1782" t="n"/>
      <c r="BJ37" s="1782" t="n"/>
      <c r="BK37" s="1782" t="n"/>
      <c r="BL37" s="1782" t="n"/>
      <c r="BM37" s="1782" t="n"/>
      <c r="BN37" s="1782" t="n"/>
      <c r="BO37" s="1782" t="n"/>
      <c r="BQ37" s="4548" t="inlineStr">
        <is>
          <t>Use this part only if you want to refine yearly GHG fluxes</t>
        </is>
      </c>
    </row>
    <row r="38" ht="15" customHeight="1">
      <c r="B38" s="2081" t="n"/>
      <c r="C38" s="2121" t="n"/>
      <c r="D38" s="1820">
        <f>Languages!B256</f>
        <v/>
      </c>
      <c r="E38" s="2086" t="n"/>
      <c r="F38" s="2086" t="n"/>
      <c r="G38" s="2086" t="n"/>
      <c r="H38" s="2086" t="n"/>
      <c r="I38" s="2086" t="n"/>
      <c r="J38" s="2086" t="n"/>
      <c r="K38" s="2086" t="n"/>
      <c r="L38" s="2086" t="n"/>
      <c r="M38" s="2086" t="n"/>
      <c r="N38" s="2086" t="n"/>
      <c r="O38" s="2086" t="n"/>
      <c r="P38" s="2086" t="n"/>
      <c r="Q38" s="2086" t="n"/>
      <c r="R38" s="2086" t="n"/>
      <c r="S38" s="2086" t="n"/>
      <c r="T38" s="1929" t="n"/>
      <c r="U38" s="2086" t="n"/>
      <c r="V38" s="2086" t="n"/>
      <c r="W38" s="1856" t="n"/>
      <c r="X38" s="1856" t="n"/>
      <c r="Y38" s="1856" t="n"/>
      <c r="Z38" s="1856" t="n"/>
      <c r="AA38" s="1856" t="n"/>
      <c r="AB38" s="2019">
        <f>Languages!B234</f>
        <v/>
      </c>
      <c r="AC38" s="1856" t="n"/>
      <c r="AD38" s="2039">
        <f>grass!L44</f>
        <v/>
      </c>
      <c r="AE38" s="2039">
        <f>grass!M44</f>
        <v/>
      </c>
      <c r="AF38" s="2009" t="n"/>
      <c r="AG38" s="1860">
        <f>grass!N44</f>
        <v/>
      </c>
      <c r="AH38" s="2086" t="n"/>
      <c r="AZ38" s="1862" t="n"/>
      <c r="BA38" s="2323">
        <f>'5.Management'!AQ23</f>
        <v/>
      </c>
      <c r="BB38" s="1862" t="n"/>
      <c r="BC38" s="2322" t="n"/>
      <c r="BD38" s="1862" t="n"/>
      <c r="BE38" s="1782" t="n"/>
      <c r="BF38" s="1782" t="n"/>
      <c r="BG38" s="1782" t="n"/>
      <c r="BH38" s="1782" t="n"/>
      <c r="BI38" s="1782" t="n"/>
      <c r="BJ38" s="1782" t="n"/>
      <c r="BK38" s="1782" t="n"/>
      <c r="BL38" s="1782" t="n"/>
      <c r="BM38" s="1782" t="n"/>
      <c r="BN38" s="1782" t="n"/>
      <c r="BO38" s="1782" t="n"/>
    </row>
    <row r="39" ht="15" customHeight="1">
      <c r="B39" s="2081" t="n"/>
      <c r="C39" s="2086" t="n"/>
      <c r="D39" s="2086" t="n"/>
      <c r="E39" s="2086" t="n"/>
      <c r="F39" s="2086" t="n"/>
      <c r="G39" s="2086" t="n"/>
      <c r="H39" s="2086" t="n"/>
      <c r="I39" s="2086" t="n"/>
      <c r="J39" s="2086" t="n"/>
      <c r="K39" s="2086" t="n"/>
      <c r="L39" s="2086" t="n"/>
      <c r="M39" s="2086" t="n"/>
      <c r="N39" s="2086" t="n"/>
      <c r="O39" s="2086" t="n"/>
      <c r="P39" s="2086" t="n"/>
      <c r="Q39" s="2086" t="n"/>
      <c r="R39" s="2086" t="n"/>
      <c r="S39" s="2086" t="n"/>
      <c r="T39" s="1929" t="n"/>
      <c r="U39" s="2086" t="n"/>
      <c r="V39" s="2086" t="n"/>
      <c r="W39" s="2086" t="n"/>
      <c r="X39" s="2086" t="n"/>
      <c r="Y39" s="2086" t="n"/>
      <c r="Z39" s="2086" t="n"/>
      <c r="AA39" s="2086" t="n"/>
      <c r="AB39" s="2086" t="n"/>
      <c r="AC39" s="2086" t="n"/>
      <c r="AD39" s="2086" t="n"/>
      <c r="AE39" s="2086" t="n"/>
      <c r="AF39" s="2086" t="n"/>
      <c r="AG39" s="2086" t="n"/>
      <c r="AH39" s="2086" t="n"/>
      <c r="AZ39" s="1862" t="n"/>
      <c r="BA39" s="2323">
        <f>'5.Management'!AQ24</f>
        <v/>
      </c>
      <c r="BB39" s="1862" t="n"/>
      <c r="BC39" s="2322" t="n"/>
      <c r="BD39" s="1862" t="n"/>
      <c r="BE39" s="1782" t="n"/>
      <c r="BF39" s="1782" t="n"/>
      <c r="BG39" s="1782" t="n"/>
      <c r="BH39" s="1782" t="n"/>
      <c r="BI39" s="1782" t="n"/>
      <c r="BJ39" s="1782" t="n"/>
      <c r="BK39" s="1782" t="n"/>
      <c r="BL39" s="1782" t="n"/>
      <c r="BM39" s="1782" t="n"/>
      <c r="BN39" s="1782" t="n"/>
      <c r="BO39" s="1782" t="n"/>
    </row>
    <row r="40" ht="15" customHeight="1">
      <c r="B40" s="2081" t="n"/>
      <c r="C40" s="1820">
        <f>Languages!B23</f>
        <v/>
      </c>
      <c r="D40" s="2086" t="n"/>
      <c r="E40" s="2086" t="n"/>
      <c r="F40" s="2086" t="n"/>
      <c r="G40" s="2086" t="n"/>
      <c r="H40" s="2086" t="n"/>
      <c r="I40" s="2086" t="n"/>
      <c r="J40" s="2086" t="n"/>
      <c r="K40" s="2086" t="n"/>
      <c r="L40" s="2086" t="n"/>
      <c r="M40" s="2086" t="n"/>
      <c r="N40" s="2086" t="n"/>
      <c r="O40" s="2086" t="n"/>
      <c r="P40" s="2086" t="n"/>
      <c r="Q40" s="2086" t="n"/>
      <c r="R40" s="2086" t="n"/>
      <c r="S40" s="2086" t="n"/>
      <c r="T40" s="2086" t="n"/>
      <c r="U40" s="2086" t="n"/>
      <c r="V40" s="2086" t="n"/>
      <c r="W40" s="2086" t="n"/>
      <c r="X40" s="2086" t="n"/>
      <c r="Y40" s="2086" t="n"/>
      <c r="Z40" s="2086" t="n"/>
      <c r="AA40" s="2086" t="n"/>
      <c r="AB40" s="2086" t="n"/>
      <c r="AC40" s="2086" t="n"/>
      <c r="AD40" s="2086" t="n"/>
      <c r="AE40" s="2086" t="n"/>
      <c r="AF40" s="2086" t="n"/>
      <c r="AG40" s="2086" t="n"/>
      <c r="AH40" s="2086" t="n"/>
      <c r="AZ40" s="1782" t="n"/>
      <c r="BA40" s="1782" t="n"/>
      <c r="BB40" s="1782" t="n"/>
      <c r="BC40" s="2155" t="n"/>
      <c r="BD40" s="1782" t="n"/>
      <c r="BE40" s="1782" t="n"/>
      <c r="BF40" s="1782" t="n"/>
      <c r="BG40" s="1782" t="n"/>
      <c r="BH40" s="1782" t="n"/>
      <c r="BI40" s="1782" t="n"/>
      <c r="BJ40" s="1782" t="n"/>
      <c r="BK40" s="1782" t="n"/>
      <c r="BL40" s="1782" t="n"/>
      <c r="BM40" s="1782" t="n"/>
      <c r="BN40" s="1782" t="n"/>
      <c r="BO40" s="1782" t="n"/>
    </row>
    <row r="42" ht="10.25" customHeight="1"/>
    <row r="46">
      <c r="AZ46" s="1772" t="n"/>
      <c r="BA46" s="1772" t="n"/>
      <c r="BB46" s="1772" t="n"/>
      <c r="BC46" s="2324" t="n"/>
      <c r="BD46" s="1772" t="n"/>
    </row>
    <row r="47">
      <c r="AZ47" s="1772" t="n"/>
      <c r="BA47" s="1772" t="n"/>
      <c r="BB47" s="1772" t="n"/>
      <c r="BC47" s="2324" t="n"/>
      <c r="BD47" s="1772" t="n"/>
    </row>
    <row r="48" ht="44.75" customHeight="1">
      <c r="B48" s="2057" t="n"/>
      <c r="C48" s="2172">
        <f>Languages!B235</f>
        <v/>
      </c>
      <c r="D48" s="1769" t="n"/>
      <c r="E48" s="1769" t="n"/>
      <c r="F48" s="2057" t="n"/>
      <c r="G48" s="2057" t="n"/>
      <c r="H48" s="1769" t="n"/>
      <c r="I48" s="1769" t="n"/>
      <c r="J48" s="2057" t="n"/>
      <c r="K48" s="2057" t="n"/>
      <c r="L48" s="1769" t="n"/>
      <c r="M48" s="1769" t="n"/>
      <c r="N48" s="2057" t="n"/>
      <c r="O48" s="2057" t="n"/>
      <c r="P48" s="1769" t="n"/>
      <c r="Q48" s="1769" t="n"/>
      <c r="R48" s="2057" t="n"/>
      <c r="S48" s="2057" t="n"/>
      <c r="T48" s="1769" t="n"/>
      <c r="U48" s="1769" t="n"/>
      <c r="V48" s="2057" t="n"/>
      <c r="W48" s="2057" t="n"/>
      <c r="X48" s="1769" t="n"/>
      <c r="Y48" s="1769" t="n"/>
      <c r="Z48" s="2057" t="n"/>
      <c r="AA48" s="2057" t="n"/>
      <c r="AB48" s="1769" t="n"/>
      <c r="AC48" s="1769" t="n"/>
      <c r="AD48" s="2057" t="n"/>
      <c r="AE48" s="2179">
        <f>AE5</f>
        <v/>
      </c>
      <c r="AF48" s="2057" t="n"/>
      <c r="AG48" s="1769" t="n"/>
      <c r="AH48" s="2057" t="n"/>
      <c r="AZ48" s="1767" t="n"/>
      <c r="BA48" s="2057">
        <f>C48</f>
        <v/>
      </c>
      <c r="BB48" s="2057" t="n"/>
      <c r="BC48" s="2278" t="n"/>
      <c r="BD48" s="2057" t="n"/>
      <c r="BE48" s="2057" t="n"/>
      <c r="BF48" s="2057" t="n"/>
      <c r="BG48" s="2057" t="n"/>
      <c r="BH48" s="2057" t="n"/>
      <c r="BI48" s="2057" t="n"/>
      <c r="BJ48" s="2057" t="n"/>
      <c r="BK48" s="2057" t="n"/>
      <c r="BL48" s="2057" t="n"/>
      <c r="BM48" s="2057" t="n"/>
      <c r="BN48" s="2057" t="n"/>
      <c r="BO48" s="2057" t="n"/>
      <c r="BP48" s="2057" t="n"/>
      <c r="BQ48" s="2057" t="n"/>
      <c r="BR48" s="2057" t="n"/>
      <c r="BS48" s="2057" t="n"/>
      <c r="BT48" s="2057" t="n"/>
      <c r="BU48" s="2057" t="n"/>
      <c r="BV48" s="2057" t="n"/>
      <c r="BW48" s="2057" t="n"/>
      <c r="BX48" s="2057" t="n"/>
      <c r="BY48" s="2057" t="n"/>
      <c r="BZ48" s="2057" t="n"/>
      <c r="CA48" s="1767" t="n"/>
      <c r="CB48" s="1767" t="n"/>
      <c r="CC48" s="1767" t="n"/>
      <c r="CD48" s="1767" t="n"/>
      <c r="CF48" s="4404" t="inlineStr">
        <is>
          <t>Annual balance</t>
        </is>
      </c>
      <c r="CG48" s="4404" t="n"/>
      <c r="CH48" s="4404" t="n"/>
    </row>
    <row r="49" ht="5.25" customHeight="1">
      <c r="BC49" s="1771" t="n"/>
      <c r="CF49" s="1916" t="n"/>
      <c r="CG49" s="1916" t="n"/>
    </row>
    <row r="50" ht="18" customHeight="1" thickBot="1">
      <c r="B50" s="2325" t="n"/>
      <c r="C50" s="2082" t="n"/>
      <c r="D50" s="1827" t="n"/>
      <c r="E50" s="1827" t="n"/>
      <c r="F50" s="1827" t="n"/>
      <c r="G50" s="1827" t="n"/>
      <c r="H50" s="1827" t="n"/>
      <c r="I50" s="1827" t="n"/>
      <c r="J50" s="1827" t="n"/>
      <c r="K50" s="1827" t="n"/>
      <c r="L50" s="1827" t="n"/>
      <c r="M50" s="1827" t="n"/>
      <c r="N50" s="1827" t="n"/>
      <c r="O50" s="1827" t="n"/>
      <c r="P50" s="1827" t="n"/>
      <c r="Q50" s="1827" t="n"/>
      <c r="R50" s="1827" t="n"/>
      <c r="S50" s="1827" t="n"/>
      <c r="T50" s="1827" t="n"/>
      <c r="U50" s="1827" t="n"/>
      <c r="V50" s="1827" t="n"/>
      <c r="W50" s="1827" t="n"/>
      <c r="X50" s="1827" t="n"/>
      <c r="Y50" s="1827" t="n"/>
      <c r="Z50" s="1827" t="n"/>
      <c r="AA50" s="1827" t="n"/>
      <c r="AB50" s="1827" t="n"/>
      <c r="AC50" s="1827" t="n"/>
      <c r="AD50" s="1827" t="n"/>
      <c r="AE50" s="1827" t="n"/>
      <c r="AF50" s="1827" t="n"/>
      <c r="AG50" s="1827" t="n"/>
      <c r="AH50" s="2082" t="n"/>
      <c r="AZ50" s="1782" t="n"/>
      <c r="BA50" s="1783" t="n"/>
      <c r="BB50" s="2326" t="n"/>
      <c r="BC50" s="1782" t="n"/>
      <c r="BD50" s="1782" t="n"/>
      <c r="BE50" s="1782" t="n"/>
      <c r="BF50" s="1782" t="n"/>
      <c r="BG50" s="1782" t="n"/>
      <c r="BH50" s="2327" t="n"/>
      <c r="BI50" s="2327" t="n"/>
      <c r="BJ50" s="2327" t="n"/>
      <c r="BK50" s="2327" t="n"/>
      <c r="BL50" s="2327" t="n"/>
      <c r="BM50" s="2327" t="inlineStr">
        <is>
          <t>Manure management</t>
        </is>
      </c>
      <c r="BN50" s="2328" t="n"/>
      <c r="BO50" s="2328" t="n"/>
      <c r="BP50" s="2328" t="n"/>
      <c r="BQ50" s="2328" t="n"/>
      <c r="BR50" s="2328" t="n"/>
      <c r="BS50" s="2328" t="n"/>
      <c r="BT50" s="2328" t="n"/>
      <c r="BU50" s="2328" t="n"/>
      <c r="BV50" s="2328" t="n"/>
      <c r="BW50" s="2329" t="n"/>
      <c r="BX50" s="2329" t="n"/>
      <c r="BY50" s="2329" t="n"/>
      <c r="BZ50" s="2329" t="n"/>
      <c r="CA50" s="2329" t="n"/>
      <c r="CB50" s="2329" t="n"/>
      <c r="CC50" s="2329" t="n"/>
      <c r="CD50" s="1782" t="n"/>
      <c r="CF50" s="1784" t="n"/>
      <c r="CG50" s="1784" t="n"/>
      <c r="CH50" s="1997" t="n"/>
    </row>
    <row r="51" ht="17" customHeight="1" thickTop="1">
      <c r="B51" s="2082" t="n"/>
      <c r="C51" s="2082" t="n"/>
      <c r="D51" s="1827" t="n"/>
      <c r="E51" s="1827" t="n"/>
      <c r="F51" s="1827" t="n"/>
      <c r="G51" s="1827" t="n"/>
      <c r="H51" s="1827" t="n"/>
      <c r="I51" s="1827" t="n"/>
      <c r="J51" s="1827" t="n"/>
      <c r="K51" s="1827" t="n"/>
      <c r="L51" s="1827" t="n"/>
      <c r="M51" s="1827" t="n"/>
      <c r="N51" s="1827" t="n"/>
      <c r="O51" s="1827" t="n"/>
      <c r="P51" s="1827" t="n"/>
      <c r="Q51" s="1827" t="n"/>
      <c r="R51" s="1827" t="n"/>
      <c r="S51" s="1827" t="n"/>
      <c r="T51" s="1827" t="n"/>
      <c r="U51" s="1827" t="n"/>
      <c r="V51" s="1827" t="n"/>
      <c r="W51" s="1827" t="n"/>
      <c r="X51" s="1827" t="n"/>
      <c r="Y51" s="1827" t="n"/>
      <c r="Z51" s="1827" t="n"/>
      <c r="AA51" s="1827" t="n"/>
      <c r="AB51" s="1827" t="n"/>
      <c r="AC51" s="1827" t="n"/>
      <c r="AD51" s="1827" t="n"/>
      <c r="AE51" s="1827" t="n"/>
      <c r="AF51" s="1827" t="n"/>
      <c r="AG51" s="1827" t="n"/>
      <c r="AH51" s="2082" t="n"/>
      <c r="AZ51" s="1782" t="n"/>
      <c r="BA51" s="1782" t="n"/>
      <c r="BB51" s="2355" t="n"/>
      <c r="BC51" s="1782" t="n"/>
      <c r="BD51" s="1782" t="n"/>
      <c r="BE51" s="1782" t="n"/>
      <c r="BF51" s="1782" t="n"/>
      <c r="BG51" s="1782" t="n"/>
      <c r="BH51" s="1782" t="n"/>
      <c r="BI51" s="1782" t="n"/>
      <c r="BJ51" s="1782" t="n"/>
      <c r="BK51" s="1782" t="n"/>
      <c r="BL51" s="1782" t="n"/>
      <c r="BM51" s="2330" t="n"/>
      <c r="BN51" s="2330" t="n"/>
      <c r="BO51" s="2330" t="n"/>
      <c r="BP51" s="2330" t="n"/>
      <c r="BQ51" s="2330" t="n"/>
      <c r="BR51" s="2330" t="n"/>
      <c r="BS51" s="2330" t="n"/>
      <c r="BT51" s="2330" t="n"/>
      <c r="BU51" s="2330" t="n"/>
      <c r="BV51" s="1782" t="n"/>
      <c r="BW51" s="1782" t="n"/>
      <c r="BX51" s="1782" t="n"/>
      <c r="BY51" s="1782" t="n"/>
      <c r="BZ51" s="1782" t="n"/>
      <c r="CA51" s="1782" t="n"/>
      <c r="CB51" s="1782" t="n"/>
      <c r="CC51" s="1782" t="n"/>
      <c r="CD51" s="1782" t="n"/>
      <c r="CF51" s="1890" t="inlineStr">
        <is>
          <t xml:space="preserve">Start year of </t>
        </is>
      </c>
      <c r="CG51" s="1890" t="n"/>
      <c r="CH51" s="1997" t="n"/>
    </row>
    <row r="52" ht="16" customHeight="1">
      <c r="B52" s="2082" t="n"/>
      <c r="C52" s="2082" t="n"/>
      <c r="D52" s="1781" t="n"/>
      <c r="E52" s="1827" t="n"/>
      <c r="F52" s="1827" t="n"/>
      <c r="G52" s="1781" t="n"/>
      <c r="H52" s="2047" t="n"/>
      <c r="I52" s="2047" t="n"/>
      <c r="J52" s="1781" t="n"/>
      <c r="K52" s="1781" t="n"/>
      <c r="L52" s="1827" t="n"/>
      <c r="M52" s="1781" t="n"/>
      <c r="N52" s="1781" t="n"/>
      <c r="O52" s="1781" t="n"/>
      <c r="P52" s="1781" t="n"/>
      <c r="Q52" s="1781" t="n"/>
      <c r="R52" s="1827" t="n"/>
      <c r="S52" s="1779">
        <f>Languages!B258</f>
        <v/>
      </c>
      <c r="T52" s="1827" t="n"/>
      <c r="U52" s="1827" t="n"/>
      <c r="V52" s="1827" t="n"/>
      <c r="W52" s="2174">
        <f>Languages!B260</f>
        <v/>
      </c>
      <c r="X52" s="2175" t="n"/>
      <c r="Y52" s="2175" t="n"/>
      <c r="Z52" s="2175" t="n"/>
      <c r="AA52" s="2175" t="n"/>
      <c r="AB52" s="2176" t="n"/>
      <c r="AC52" s="2331" t="n"/>
      <c r="AD52" s="2331">
        <f>AD22</f>
        <v/>
      </c>
      <c r="AE52" s="1832" t="n"/>
      <c r="AF52" s="2332" t="n"/>
      <c r="AG52" s="1780">
        <f>AG22</f>
        <v/>
      </c>
      <c r="AH52" s="2082" t="n"/>
      <c r="AZ52" s="1782" t="n"/>
      <c r="BA52" s="1782" t="n"/>
      <c r="BB52" s="1782" t="n"/>
      <c r="BC52" s="1782" t="n"/>
      <c r="BD52" s="1782" t="n"/>
      <c r="BE52" s="1782" t="n"/>
      <c r="BF52" s="1782" t="n"/>
      <c r="BG52" s="1782" t="n"/>
      <c r="BH52" s="1783">
        <f>Languages!B273</f>
        <v/>
      </c>
      <c r="BI52" s="1782" t="n"/>
      <c r="BJ52" s="1782" t="n"/>
      <c r="BK52" s="1782" t="n"/>
      <c r="BL52" s="1782" t="n"/>
      <c r="BM52" s="2333">
        <f>Languages!B280</f>
        <v/>
      </c>
      <c r="BN52" s="2334" t="n"/>
      <c r="BO52" s="2334" t="n"/>
      <c r="BP52" s="2334" t="n"/>
      <c r="BQ52" s="2334" t="n"/>
      <c r="BR52" s="2334" t="n"/>
      <c r="BS52" s="2334" t="n"/>
      <c r="BT52" s="2334" t="n"/>
      <c r="BU52" s="2334" t="n"/>
      <c r="BV52" s="1782" t="n"/>
      <c r="BW52" s="2335">
        <f>Languages!B282</f>
        <v/>
      </c>
      <c r="BX52" s="2334" t="n"/>
      <c r="BY52" s="2334" t="n"/>
      <c r="BZ52" s="2334" t="n"/>
      <c r="CA52" s="2334" t="n"/>
      <c r="CB52" s="2334" t="n"/>
      <c r="CC52" s="2334" t="n"/>
      <c r="CD52" s="1782" t="n"/>
      <c r="CF52" s="2015" t="inlineStr">
        <is>
          <t>implementation</t>
        </is>
      </c>
      <c r="CG52" s="2015" t="n"/>
      <c r="CH52" s="1997" t="n"/>
    </row>
    <row r="53" ht="16" customHeight="1">
      <c r="B53" s="2325" t="n"/>
      <c r="C53" s="2082" t="n"/>
      <c r="D53" s="1827" t="n"/>
      <c r="E53" s="1826">
        <f>D22</f>
        <v/>
      </c>
      <c r="F53" s="1827" t="n"/>
      <c r="G53" s="1781" t="n"/>
      <c r="H53" s="1781" t="n"/>
      <c r="I53" s="1780">
        <f>Languages!B253</f>
        <v/>
      </c>
      <c r="J53" s="2047" t="n"/>
      <c r="K53" s="1779">
        <f>Languages!B254</f>
        <v/>
      </c>
      <c r="L53" s="1827" t="n"/>
      <c r="M53" s="1781" t="n"/>
      <c r="N53" s="1781" t="n"/>
      <c r="O53" s="1781" t="n"/>
      <c r="P53" s="1781" t="n"/>
      <c r="Q53" s="1781" t="n"/>
      <c r="R53" s="1827" t="n"/>
      <c r="S53" s="1779">
        <f>Languages!B259</f>
        <v/>
      </c>
      <c r="T53" s="1827" t="n"/>
      <c r="U53" s="1827" t="n"/>
      <c r="V53" s="1827" t="n"/>
      <c r="W53" s="4470">
        <f>Languages!B261</f>
        <v/>
      </c>
      <c r="X53" s="2336" t="n"/>
      <c r="Y53" s="2176" t="n"/>
      <c r="Z53" s="2176" t="n"/>
      <c r="AA53" s="2176" t="n"/>
      <c r="AB53" s="2176" t="n"/>
      <c r="AC53" s="2332" t="n"/>
      <c r="AD53" s="1832" t="n"/>
      <c r="AE53" s="1832" t="n"/>
      <c r="AF53" s="2332" t="n"/>
      <c r="AG53" s="1832" t="n"/>
      <c r="AH53" s="2082" t="n"/>
      <c r="AZ53" s="1782" t="n"/>
      <c r="BA53" s="2337">
        <f>I53</f>
        <v/>
      </c>
      <c r="BB53" s="2337">
        <f>K53</f>
        <v/>
      </c>
      <c r="BC53" s="2338">
        <f>Languages!B272</f>
        <v/>
      </c>
      <c r="BD53" s="2339" t="n"/>
      <c r="BE53" s="1785" t="n"/>
      <c r="BF53" s="1785" t="n"/>
      <c r="BG53" s="1782" t="n"/>
      <c r="BH53" s="2338">
        <f>Languages!B274</f>
        <v/>
      </c>
      <c r="BI53" s="1785" t="n"/>
      <c r="BJ53" s="1785" t="n"/>
      <c r="BK53" s="1785" t="n"/>
      <c r="BL53" s="1782" t="n"/>
      <c r="BM53" s="2338">
        <f>Languages!B279</f>
        <v/>
      </c>
      <c r="BN53" s="2338" t="n"/>
      <c r="BO53" s="2338" t="n"/>
      <c r="BP53" s="2338" t="n"/>
      <c r="BQ53" s="1782" t="n"/>
      <c r="BR53" s="2338">
        <f>Languages!B278</f>
        <v/>
      </c>
      <c r="BS53" s="2338" t="n"/>
      <c r="BT53" s="2338" t="n"/>
      <c r="BU53" s="2338" t="n"/>
      <c r="BV53" s="1782" t="n"/>
      <c r="BW53" s="2154" t="n"/>
      <c r="BX53" s="1782" t="n"/>
      <c r="BY53" s="2338">
        <f>Languages!B283</f>
        <v/>
      </c>
      <c r="BZ53" s="2338" t="n"/>
      <c r="CA53" s="1785" t="n"/>
      <c r="CB53" s="2338">
        <f>Languages!B284</f>
        <v/>
      </c>
      <c r="CC53" s="1785" t="n"/>
      <c r="CD53" s="1782" t="n"/>
      <c r="CF53" s="1997" t="n"/>
      <c r="CG53" s="1894" t="n"/>
      <c r="CH53" s="1997" t="n"/>
    </row>
    <row r="54" ht="16" customHeight="1">
      <c r="B54" s="2082" t="n"/>
      <c r="C54" s="2082" t="n"/>
      <c r="D54" s="1827" t="n"/>
      <c r="E54" s="1827" t="n"/>
      <c r="F54" s="1827" t="n"/>
      <c r="G54" s="1781" t="n"/>
      <c r="H54" s="1781" t="n"/>
      <c r="I54" s="2069" t="n"/>
      <c r="J54" s="2047" t="n"/>
      <c r="K54" s="1781" t="n"/>
      <c r="L54" s="1827" t="n"/>
      <c r="M54" s="1781" t="n"/>
      <c r="N54" s="1781" t="n"/>
      <c r="O54" s="1781" t="n"/>
      <c r="P54" s="1781" t="n"/>
      <c r="Q54" s="1781" t="n"/>
      <c r="R54" s="1781" t="n"/>
      <c r="S54" s="1838">
        <f>S24</f>
        <v/>
      </c>
      <c r="T54" s="1814">
        <f>T24</f>
        <v/>
      </c>
      <c r="U54" s="1814">
        <f>U24</f>
        <v/>
      </c>
      <c r="V54" s="1827" t="n"/>
      <c r="W54" s="1806">
        <f>S54</f>
        <v/>
      </c>
      <c r="X54" s="1849">
        <f>T54</f>
        <v/>
      </c>
      <c r="Y54" s="1806" t="n"/>
      <c r="Z54" s="1806">
        <f>U54</f>
        <v/>
      </c>
      <c r="AA54" s="2177" t="n"/>
      <c r="AB54" s="1806" t="n"/>
      <c r="AC54" s="2340" t="n"/>
      <c r="AD54" s="1806">
        <f>AD24</f>
        <v/>
      </c>
      <c r="AE54" s="1806">
        <f>AE24</f>
        <v/>
      </c>
      <c r="AF54" s="2069" t="n"/>
      <c r="AG54" s="1832" t="n"/>
      <c r="AH54" s="2082" t="n"/>
      <c r="AZ54" s="1782" t="n"/>
      <c r="BA54" s="1782" t="n"/>
      <c r="BB54" s="1782" t="n"/>
      <c r="BC54" s="2319">
        <f>Languages!B276</f>
        <v/>
      </c>
      <c r="BD54" s="2319" t="n"/>
      <c r="BE54" s="1782" t="n"/>
      <c r="BF54" s="1782" t="n"/>
      <c r="BG54" s="1782" t="n"/>
      <c r="BH54" s="1782" t="n"/>
      <c r="BI54" s="1782" t="n"/>
      <c r="BJ54" s="1782" t="n"/>
      <c r="BK54" s="1782" t="n"/>
      <c r="BL54" s="1782" t="n"/>
      <c r="BM54" s="1782">
        <f>BC54</f>
        <v/>
      </c>
      <c r="BN54" s="1782" t="n"/>
      <c r="BO54" s="1782" t="n"/>
      <c r="BP54" s="1782" t="n"/>
      <c r="BQ54" s="1782" t="n"/>
      <c r="BR54" s="1782">
        <f>Languages!B277</f>
        <v/>
      </c>
      <c r="BS54" s="1782" t="n"/>
      <c r="BT54" s="1782" t="n"/>
      <c r="BU54" s="1782" t="n"/>
      <c r="BV54" s="1782" t="n"/>
      <c r="BW54" s="1782" t="n"/>
      <c r="BX54" s="1782" t="n"/>
      <c r="BY54" s="1782">
        <f>BM54</f>
        <v/>
      </c>
      <c r="BZ54" s="1782" t="n"/>
      <c r="CA54" s="1782" t="n"/>
      <c r="CB54" s="1782">
        <f>BR54</f>
        <v/>
      </c>
      <c r="CC54" s="1782" t="n"/>
      <c r="CD54" s="1782" t="n"/>
      <c r="CF54" s="1997" t="n"/>
      <c r="CG54" s="1997" t="n"/>
      <c r="CH54" s="1997" t="n"/>
    </row>
    <row r="55" ht="16" customHeight="1">
      <c r="B55" s="2082" t="n"/>
      <c r="C55" s="2082" t="n"/>
      <c r="D55" s="1827" t="n"/>
      <c r="E55" s="1827" t="n"/>
      <c r="F55" s="1827" t="n"/>
      <c r="G55" s="1781" t="n"/>
      <c r="H55" s="1781" t="n"/>
      <c r="I55" s="2069" t="n"/>
      <c r="J55" s="2047" t="n"/>
      <c r="K55" s="2047" t="n"/>
      <c r="L55" s="1827" t="n"/>
      <c r="M55" s="1781" t="n"/>
      <c r="N55" s="1781" t="n"/>
      <c r="O55" s="1781" t="n"/>
      <c r="P55" s="1781" t="n"/>
      <c r="Q55" s="1781" t="n"/>
      <c r="R55" s="1781" t="n"/>
      <c r="S55" s="1827" t="n"/>
      <c r="T55" s="1827" t="n"/>
      <c r="U55" s="1827" t="n"/>
      <c r="V55" s="1827" t="n"/>
      <c r="W55" s="1827" t="n"/>
      <c r="X55" s="1827" t="n"/>
      <c r="Y55" s="1827" t="n"/>
      <c r="Z55" s="1827" t="n"/>
      <c r="AA55" s="1827" t="n"/>
      <c r="AB55" s="1827" t="n"/>
      <c r="AC55" s="1827" t="n"/>
      <c r="AD55" s="1780" t="n"/>
      <c r="AE55" s="1827" t="n"/>
      <c r="AF55" s="1827" t="n"/>
      <c r="AG55" s="1827" t="n"/>
      <c r="AH55" s="2082" t="n"/>
      <c r="AZ55" s="1782" t="n"/>
      <c r="BA55" s="1782" t="n"/>
      <c r="BB55" s="1782" t="n"/>
      <c r="BC55" s="2341">
        <f>BC24</f>
        <v/>
      </c>
      <c r="BD55" s="2341">
        <f>W54</f>
        <v/>
      </c>
      <c r="BE55" s="2155">
        <f>X54</f>
        <v/>
      </c>
      <c r="BF55" s="2155">
        <f>Z54</f>
        <v/>
      </c>
      <c r="BG55" s="1782" t="n"/>
      <c r="BH55" s="2155">
        <f>BC55</f>
        <v/>
      </c>
      <c r="BI55" s="2155">
        <f>BD55</f>
        <v/>
      </c>
      <c r="BJ55" s="2155">
        <f>BE55</f>
        <v/>
      </c>
      <c r="BK55" s="2155">
        <f>BF55</f>
        <v/>
      </c>
      <c r="BL55" s="1782" t="n"/>
      <c r="BM55" s="2155">
        <f>BH55</f>
        <v/>
      </c>
      <c r="BN55" s="2155">
        <f>BI55</f>
        <v/>
      </c>
      <c r="BO55" s="2155">
        <f>BJ55</f>
        <v/>
      </c>
      <c r="BP55" s="2155">
        <f>BK55</f>
        <v/>
      </c>
      <c r="BQ55" s="1782" t="n"/>
      <c r="BR55" s="2155">
        <f>BM55</f>
        <v/>
      </c>
      <c r="BS55" s="2155">
        <f>BN55</f>
        <v/>
      </c>
      <c r="BT55" s="2155">
        <f>BO55</f>
        <v/>
      </c>
      <c r="BU55" s="2155">
        <f>BP55</f>
        <v/>
      </c>
      <c r="BV55" s="1782" t="n"/>
      <c r="BW55" s="1782" t="n"/>
      <c r="BX55" s="1782" t="n"/>
      <c r="BY55" s="2155">
        <f>BR55</f>
        <v/>
      </c>
      <c r="BZ55" s="2155">
        <f>BM24</f>
        <v/>
      </c>
      <c r="CA55" s="1782" t="n"/>
      <c r="CB55" s="2155">
        <f>BY55</f>
        <v/>
      </c>
      <c r="CC55" s="2155">
        <f>BZ55</f>
        <v/>
      </c>
      <c r="CD55" s="1782" t="n"/>
      <c r="CF55" s="1997" t="n"/>
      <c r="CG55" s="1997" t="n"/>
      <c r="CH55" s="1997" t="n"/>
    </row>
    <row r="56" ht="16" customHeight="1">
      <c r="B56" s="2325" t="n"/>
      <c r="C56" s="2082" t="n"/>
      <c r="D56" s="1806">
        <f>Languages!B236</f>
        <v/>
      </c>
      <c r="E56" s="2178" t="n"/>
      <c r="F56" s="2178" t="n"/>
      <c r="G56" s="2178" t="n"/>
      <c r="H56" s="1781" t="n"/>
      <c r="I56" s="2135" t="inlineStr">
        <is>
          <t>Please select</t>
        </is>
      </c>
      <c r="J56" s="2047" t="n"/>
      <c r="K56" s="2135" t="inlineStr">
        <is>
          <t>Please select</t>
        </is>
      </c>
      <c r="L56" s="1827" t="n"/>
      <c r="M56" s="1781" t="n"/>
      <c r="N56" s="1781" t="n"/>
      <c r="O56" s="1781" t="n"/>
      <c r="P56" s="1781" t="n"/>
      <c r="Q56" s="1781" t="n"/>
      <c r="R56" s="1781" t="n"/>
      <c r="S56" s="4303" t="n"/>
      <c r="T56" s="4304" t="n"/>
      <c r="U56" s="4305" t="n"/>
      <c r="V56" s="1827" t="n"/>
      <c r="W56" s="2106" t="n">
        <v>0</v>
      </c>
      <c r="X56" s="2107" t="n">
        <v>0</v>
      </c>
      <c r="Y56" s="2108" t="inlineStr">
        <is>
          <t>D</t>
        </is>
      </c>
      <c r="Z56" s="2107" t="n">
        <v>0</v>
      </c>
      <c r="AA56" s="2108" t="inlineStr">
        <is>
          <t>D</t>
        </is>
      </c>
      <c r="AB56" s="1781" t="n"/>
      <c r="AC56" s="1781" t="n"/>
      <c r="AD56" s="2111">
        <f>SUM(Livestock!Z8,Livestock!Z62,Livestock!Z90,Livestock!Z118,Livestock!Z144)</f>
        <v/>
      </c>
      <c r="AE56" s="2111">
        <f>SUM(Livestock!AA8,Livestock!AA62,Livestock!AA90,Livestock!AA118,Livestock!AA144)</f>
        <v/>
      </c>
      <c r="AF56" s="1841" t="n"/>
      <c r="AG56" s="1816">
        <f>AE56-AD56</f>
        <v/>
      </c>
      <c r="AH56" s="2082" t="n"/>
      <c r="AZ56" s="1782" t="n"/>
      <c r="BA56" s="1782">
        <f>I56</f>
        <v/>
      </c>
      <c r="BB56" s="1782">
        <f>K56</f>
        <v/>
      </c>
      <c r="BC56" s="4691">
        <f>Livestock!D8</f>
        <v/>
      </c>
      <c r="BD56" s="4692" t="n"/>
      <c r="BE56" s="4693" t="n"/>
      <c r="BF56" s="4694" t="n"/>
      <c r="BG56" s="1782" t="n"/>
      <c r="BH56" s="4268">
        <f>Livestock!I62/100</f>
        <v/>
      </c>
      <c r="BI56" s="2359" t="n"/>
      <c r="BJ56" s="2360" t="n"/>
      <c r="BK56" s="2361" t="n"/>
      <c r="BL56" s="1782" t="n"/>
      <c r="BM56" s="2344">
        <f>Livestock!P62</f>
        <v/>
      </c>
      <c r="BN56" s="2362" t="n"/>
      <c r="BO56" s="2363" t="n"/>
      <c r="BP56" s="2364" t="n"/>
      <c r="BQ56" s="1782" t="n"/>
      <c r="BR56" s="2344">
        <f>Livestock!P90</f>
        <v/>
      </c>
      <c r="BS56" s="2362" t="n"/>
      <c r="BT56" s="2363" t="n"/>
      <c r="BU56" s="2364" t="n"/>
      <c r="BV56" s="1782" t="n"/>
      <c r="BW56" s="2365" t="inlineStr">
        <is>
          <t>Please select</t>
        </is>
      </c>
      <c r="BX56" s="1782" t="n"/>
      <c r="BY56" s="2345">
        <f>Livestock!N62</f>
        <v/>
      </c>
      <c r="BZ56" s="2366" t="n"/>
      <c r="CA56" s="1782" t="n"/>
      <c r="CB56" s="2346">
        <f>Livestock!N90</f>
        <v/>
      </c>
      <c r="CC56" s="2366" t="n"/>
      <c r="CD56" s="1782" t="n"/>
      <c r="CF56" s="4401" t="n">
        <v>1</v>
      </c>
      <c r="CG56" s="4402" t="n"/>
      <c r="CH56" s="1997" t="n"/>
    </row>
    <row r="57" ht="16" customHeight="1">
      <c r="B57" s="2082" t="n"/>
      <c r="C57" s="2082" t="n"/>
      <c r="D57" s="1806">
        <f>Languages!B237</f>
        <v/>
      </c>
      <c r="E57" s="2178" t="n"/>
      <c r="F57" s="2178" t="n"/>
      <c r="G57" s="2178" t="n"/>
      <c r="H57" s="1781" t="n"/>
      <c r="I57" s="2135" t="inlineStr">
        <is>
          <t>Please select</t>
        </is>
      </c>
      <c r="J57" s="2047" t="n"/>
      <c r="K57" s="2135" t="inlineStr">
        <is>
          <t>Please select</t>
        </is>
      </c>
      <c r="L57" s="1827" t="n"/>
      <c r="M57" s="1781" t="n"/>
      <c r="N57" s="1781" t="n"/>
      <c r="O57" s="1781" t="n"/>
      <c r="P57" s="1781" t="n"/>
      <c r="Q57" s="1781" t="n"/>
      <c r="R57" s="1781" t="n"/>
      <c r="S57" s="4303" t="n"/>
      <c r="T57" s="4304" t="n"/>
      <c r="U57" s="4305" t="n"/>
      <c r="V57" s="1827" t="n"/>
      <c r="W57" s="2106" t="n">
        <v>0</v>
      </c>
      <c r="X57" s="2107" t="n">
        <v>0</v>
      </c>
      <c r="Y57" s="2108" t="inlineStr">
        <is>
          <t>D</t>
        </is>
      </c>
      <c r="Z57" s="2107" t="n">
        <v>0</v>
      </c>
      <c r="AA57" s="2108" t="inlineStr">
        <is>
          <t>D</t>
        </is>
      </c>
      <c r="AB57" s="1781" t="n"/>
      <c r="AC57" s="1781" t="n"/>
      <c r="AD57" s="2111">
        <f>SUM(Livestock!Z9,Livestock!Z63,Livestock!Z91,Livestock!Z119,Livestock!Z145)</f>
        <v/>
      </c>
      <c r="AE57" s="2111">
        <f>SUM(Livestock!AA9,Livestock!AA63,Livestock!AA91,Livestock!AA119,Livestock!AA145)</f>
        <v/>
      </c>
      <c r="AF57" s="1841" t="n"/>
      <c r="AG57" s="1816">
        <f>AE57-AD57</f>
        <v/>
      </c>
      <c r="AH57" s="2082" t="n"/>
      <c r="AZ57" s="1782" t="n"/>
      <c r="BA57" s="1782">
        <f>I57</f>
        <v/>
      </c>
      <c r="BB57" s="1782">
        <f>K57</f>
        <v/>
      </c>
      <c r="BC57" s="4691">
        <f>Livestock!D9</f>
        <v/>
      </c>
      <c r="BD57" s="4692" t="n"/>
      <c r="BE57" s="4693" t="n"/>
      <c r="BF57" s="4694" t="n"/>
      <c r="BG57" s="1782" t="n"/>
      <c r="BH57" s="4268">
        <f>Livestock!I63/100</f>
        <v/>
      </c>
      <c r="BI57" s="2359" t="n"/>
      <c r="BJ57" s="2360" t="n"/>
      <c r="BK57" s="2361" t="n"/>
      <c r="BL57" s="1782" t="n"/>
      <c r="BM57" s="2344">
        <f>Livestock!P63</f>
        <v/>
      </c>
      <c r="BN57" s="2362" t="n"/>
      <c r="BO57" s="2363" t="n"/>
      <c r="BP57" s="2364" t="n"/>
      <c r="BQ57" s="1782" t="n"/>
      <c r="BR57" s="2344">
        <f>Livestock!P91</f>
        <v/>
      </c>
      <c r="BS57" s="2362" t="n"/>
      <c r="BT57" s="2363" t="n"/>
      <c r="BU57" s="2364" t="n"/>
      <c r="BV57" s="1782" t="n"/>
      <c r="BW57" s="2365" t="inlineStr">
        <is>
          <t>Please select</t>
        </is>
      </c>
      <c r="BX57" s="1782" t="n"/>
      <c r="BY57" s="2345">
        <f>Livestock!N63</f>
        <v/>
      </c>
      <c r="BZ57" s="2366" t="n"/>
      <c r="CA57" s="1782" t="n"/>
      <c r="CB57" s="2346">
        <f>Livestock!N91</f>
        <v/>
      </c>
      <c r="CC57" s="2366" t="n"/>
      <c r="CD57" s="1782" t="n"/>
      <c r="CF57" s="4401" t="n">
        <v>1</v>
      </c>
      <c r="CG57" s="4402" t="n"/>
      <c r="CH57" s="1997" t="n"/>
    </row>
    <row r="58" ht="16" customHeight="1">
      <c r="B58" s="2082" t="n"/>
      <c r="C58" s="2082" t="n"/>
      <c r="D58" s="1806">
        <f>Languages!B238</f>
        <v/>
      </c>
      <c r="E58" s="2178" t="n"/>
      <c r="F58" s="2178" t="n"/>
      <c r="G58" s="2178" t="n"/>
      <c r="H58" s="1781" t="n"/>
      <c r="I58" s="2135" t="inlineStr">
        <is>
          <t>Please select</t>
        </is>
      </c>
      <c r="J58" s="2047" t="n"/>
      <c r="K58" s="2135" t="inlineStr">
        <is>
          <t>Please select</t>
        </is>
      </c>
      <c r="L58" s="1827" t="n"/>
      <c r="M58" s="1781" t="n"/>
      <c r="N58" s="1781" t="n"/>
      <c r="O58" s="1781" t="n"/>
      <c r="P58" s="1781" t="n"/>
      <c r="Q58" s="1781" t="n"/>
      <c r="R58" s="1781" t="n"/>
      <c r="S58" s="4303" t="n"/>
      <c r="T58" s="4304" t="n"/>
      <c r="U58" s="4305" t="n"/>
      <c r="V58" s="1827" t="n"/>
      <c r="W58" s="2106" t="n">
        <v>0</v>
      </c>
      <c r="X58" s="2107" t="n">
        <v>0</v>
      </c>
      <c r="Y58" s="2108" t="inlineStr">
        <is>
          <t>D</t>
        </is>
      </c>
      <c r="Z58" s="2107" t="n">
        <v>0</v>
      </c>
      <c r="AA58" s="2108" t="inlineStr">
        <is>
          <t>D</t>
        </is>
      </c>
      <c r="AB58" s="1781" t="n"/>
      <c r="AC58" s="1781" t="n"/>
      <c r="AD58" s="2111">
        <f>SUM(Livestock!Z10,Livestock!Z64,Livestock!Z92,Livestock!Z120,Livestock!Z146)</f>
        <v/>
      </c>
      <c r="AE58" s="2111">
        <f>SUM(Livestock!AA10,Livestock!AA64,Livestock!AA92,Livestock!AA120,Livestock!AA146)</f>
        <v/>
      </c>
      <c r="AF58" s="1841" t="n"/>
      <c r="AG58" s="1816">
        <f>AE58-AD58</f>
        <v/>
      </c>
      <c r="AH58" s="2082" t="n"/>
      <c r="AZ58" s="1782" t="n"/>
      <c r="BA58" s="1782">
        <f>I58</f>
        <v/>
      </c>
      <c r="BB58" s="1782">
        <f>K58</f>
        <v/>
      </c>
      <c r="BC58" s="4691">
        <f>Livestock!D10</f>
        <v/>
      </c>
      <c r="BD58" s="4692" t="n"/>
      <c r="BE58" s="4693" t="n"/>
      <c r="BF58" s="4694" t="n"/>
      <c r="BG58" s="1782" t="n"/>
      <c r="BH58" s="4268">
        <f>Livestock!I64/100</f>
        <v/>
      </c>
      <c r="BI58" s="2359" t="n"/>
      <c r="BJ58" s="2360" t="n"/>
      <c r="BK58" s="2361" t="n"/>
      <c r="BL58" s="1782" t="n"/>
      <c r="BM58" s="2344">
        <f>Livestock!P64</f>
        <v/>
      </c>
      <c r="BN58" s="2362" t="n"/>
      <c r="BO58" s="2363" t="n"/>
      <c r="BP58" s="2364" t="n"/>
      <c r="BQ58" s="1782" t="n"/>
      <c r="BR58" s="2344">
        <f>Livestock!P92</f>
        <v/>
      </c>
      <c r="BS58" s="2362" t="n"/>
      <c r="BT58" s="2363" t="n"/>
      <c r="BU58" s="2364" t="n"/>
      <c r="BV58" s="1782" t="n"/>
      <c r="BW58" s="2365" t="inlineStr">
        <is>
          <t>Please select</t>
        </is>
      </c>
      <c r="BX58" s="1782" t="n"/>
      <c r="BY58" s="2345">
        <f>Livestock!N64</f>
        <v/>
      </c>
      <c r="BZ58" s="2366" t="n"/>
      <c r="CA58" s="1782" t="n"/>
      <c r="CB58" s="2346">
        <f>Livestock!N92</f>
        <v/>
      </c>
      <c r="CC58" s="2366" t="n"/>
      <c r="CD58" s="1782" t="n"/>
      <c r="CF58" s="4401" t="n">
        <v>1</v>
      </c>
      <c r="CG58" s="4402" t="n"/>
      <c r="CH58" s="1997" t="n"/>
    </row>
    <row r="59" ht="16" customHeight="1">
      <c r="B59" s="2325" t="n"/>
      <c r="C59" s="2082" t="n"/>
      <c r="D59" s="1806">
        <f>Languages!B239</f>
        <v/>
      </c>
      <c r="E59" s="2178" t="n"/>
      <c r="F59" s="2178" t="n"/>
      <c r="G59" s="2178" t="n"/>
      <c r="H59" s="1781" t="n"/>
      <c r="I59" s="2135" t="inlineStr">
        <is>
          <t>Please select</t>
        </is>
      </c>
      <c r="J59" s="2047" t="n"/>
      <c r="K59" s="2135" t="inlineStr">
        <is>
          <t>Please select</t>
        </is>
      </c>
      <c r="L59" s="1827" t="n"/>
      <c r="M59" s="1781" t="n"/>
      <c r="N59" s="1781" t="n"/>
      <c r="O59" s="1781" t="n"/>
      <c r="P59" s="1781" t="n"/>
      <c r="Q59" s="1781" t="n"/>
      <c r="R59" s="1781" t="n"/>
      <c r="S59" s="4303" t="n"/>
      <c r="T59" s="4304" t="n"/>
      <c r="U59" s="4305" t="n"/>
      <c r="V59" s="1827" t="n"/>
      <c r="W59" s="2106" t="n">
        <v>0</v>
      </c>
      <c r="X59" s="2107" t="n">
        <v>0</v>
      </c>
      <c r="Y59" s="2108" t="inlineStr">
        <is>
          <t>D</t>
        </is>
      </c>
      <c r="Z59" s="2107" t="n">
        <v>0</v>
      </c>
      <c r="AA59" s="2108" t="inlineStr">
        <is>
          <t>D</t>
        </is>
      </c>
      <c r="AB59" s="1781" t="n"/>
      <c r="AC59" s="1781" t="n"/>
      <c r="AD59" s="2111">
        <f>SUM(Livestock!Z11,Livestock!Z65,Livestock!Z93,Livestock!Z121,Livestock!Z147)</f>
        <v/>
      </c>
      <c r="AE59" s="2111">
        <f>SUM(Livestock!AA11,Livestock!AA65,Livestock!AA93,Livestock!AA121,Livestock!AA147)</f>
        <v/>
      </c>
      <c r="AF59" s="1841" t="n"/>
      <c r="AG59" s="1816">
        <f>AE59-AD59</f>
        <v/>
      </c>
      <c r="AH59" s="2082" t="n"/>
      <c r="AZ59" s="1782" t="n"/>
      <c r="BA59" s="1782">
        <f>I59</f>
        <v/>
      </c>
      <c r="BB59" s="1782">
        <f>K59</f>
        <v/>
      </c>
      <c r="BC59" s="4691">
        <f>Livestock!D11</f>
        <v/>
      </c>
      <c r="BD59" s="4692" t="n"/>
      <c r="BE59" s="4693" t="n"/>
      <c r="BF59" s="4694" t="n"/>
      <c r="BG59" s="1782" t="n"/>
      <c r="BH59" s="4268">
        <f>Livestock!I65/100</f>
        <v/>
      </c>
      <c r="BI59" s="2359" t="n"/>
      <c r="BJ59" s="2360" t="n"/>
      <c r="BK59" s="2361" t="n"/>
      <c r="BL59" s="1782" t="n"/>
      <c r="BM59" s="2344">
        <f>Livestock!P65</f>
        <v/>
      </c>
      <c r="BN59" s="2362" t="n"/>
      <c r="BO59" s="2363" t="n"/>
      <c r="BP59" s="2364" t="n"/>
      <c r="BQ59" s="1782" t="n"/>
      <c r="BR59" s="2344">
        <f>Livestock!P93</f>
        <v/>
      </c>
      <c r="BS59" s="2362" t="n"/>
      <c r="BT59" s="2363" t="n"/>
      <c r="BU59" s="2364" t="n"/>
      <c r="BV59" s="1782" t="n"/>
      <c r="BW59" s="2365" t="inlineStr">
        <is>
          <t>Please select</t>
        </is>
      </c>
      <c r="BX59" s="1782" t="n"/>
      <c r="BY59" s="2345">
        <f>Livestock!N65</f>
        <v/>
      </c>
      <c r="BZ59" s="2366" t="n"/>
      <c r="CA59" s="1782" t="n"/>
      <c r="CB59" s="2346">
        <f>Livestock!N93</f>
        <v/>
      </c>
      <c r="CC59" s="2366" t="n"/>
      <c r="CD59" s="1782" t="n"/>
      <c r="CF59" s="4401" t="n">
        <v>1</v>
      </c>
      <c r="CG59" s="4402" t="n"/>
      <c r="CH59" s="1997" t="n"/>
    </row>
    <row r="60" ht="16" customHeight="1">
      <c r="B60" s="2082" t="n"/>
      <c r="C60" s="2082" t="n"/>
      <c r="D60" s="1806">
        <f>Languages!B240</f>
        <v/>
      </c>
      <c r="E60" s="2178" t="n"/>
      <c r="F60" s="2178" t="n"/>
      <c r="G60" s="2178" t="n"/>
      <c r="H60" s="1781" t="n"/>
      <c r="I60" s="2135" t="inlineStr">
        <is>
          <t>Please select</t>
        </is>
      </c>
      <c r="J60" s="2047" t="n"/>
      <c r="K60" s="2135" t="inlineStr">
        <is>
          <t>Please select</t>
        </is>
      </c>
      <c r="L60" s="1827" t="n"/>
      <c r="M60" s="1781" t="n"/>
      <c r="N60" s="1781" t="n"/>
      <c r="O60" s="1781" t="n"/>
      <c r="P60" s="1781" t="n"/>
      <c r="Q60" s="1781" t="n"/>
      <c r="R60" s="1781" t="n"/>
      <c r="S60" s="4303" t="n"/>
      <c r="T60" s="4304" t="n"/>
      <c r="U60" s="4305" t="n"/>
      <c r="V60" s="1827" t="n"/>
      <c r="W60" s="2106" t="n">
        <v>0</v>
      </c>
      <c r="X60" s="2107" t="n">
        <v>0</v>
      </c>
      <c r="Y60" s="2108" t="inlineStr">
        <is>
          <t>D</t>
        </is>
      </c>
      <c r="Z60" s="2107" t="n">
        <v>0</v>
      </c>
      <c r="AA60" s="2108" t="inlineStr">
        <is>
          <t>D</t>
        </is>
      </c>
      <c r="AB60" s="1781" t="n"/>
      <c r="AC60" s="1781" t="n"/>
      <c r="AD60" s="2111">
        <f>SUM(Livestock!Z12,Livestock!Z66,Livestock!Z94,Livestock!Z122,Livestock!Z148)</f>
        <v/>
      </c>
      <c r="AE60" s="2111">
        <f>SUM(Livestock!AA12,Livestock!AA66,Livestock!AA94,Livestock!AA122,Livestock!AA148)</f>
        <v/>
      </c>
      <c r="AF60" s="1841" t="n"/>
      <c r="AG60" s="1816">
        <f>AE60-AD60</f>
        <v/>
      </c>
      <c r="AH60" s="2082" t="n"/>
      <c r="AZ60" s="1782" t="n"/>
      <c r="BA60" s="1782">
        <f>I60</f>
        <v/>
      </c>
      <c r="BB60" s="1782">
        <f>K60</f>
        <v/>
      </c>
      <c r="BC60" s="4691">
        <f>Livestock!D12</f>
        <v/>
      </c>
      <c r="BD60" s="4692" t="n"/>
      <c r="BE60" s="4693" t="n"/>
      <c r="BF60" s="4694" t="n"/>
      <c r="BG60" s="1782" t="n"/>
      <c r="BH60" s="4268">
        <f>Livestock!I66/100</f>
        <v/>
      </c>
      <c r="BI60" s="2359" t="n"/>
      <c r="BJ60" s="2360" t="n"/>
      <c r="BK60" s="2361" t="n"/>
      <c r="BL60" s="1782" t="n"/>
      <c r="BM60" s="2344">
        <f>Livestock!P66</f>
        <v/>
      </c>
      <c r="BN60" s="2362" t="n"/>
      <c r="BO60" s="2363" t="n"/>
      <c r="BP60" s="2364" t="n"/>
      <c r="BQ60" s="1782" t="n"/>
      <c r="BR60" s="2344">
        <f>Livestock!P94</f>
        <v/>
      </c>
      <c r="BS60" s="2362" t="n"/>
      <c r="BT60" s="2363" t="n"/>
      <c r="BU60" s="2364" t="n"/>
      <c r="BV60" s="1782" t="n"/>
      <c r="BW60" s="2365" t="inlineStr">
        <is>
          <t>Please select</t>
        </is>
      </c>
      <c r="BX60" s="1782" t="n"/>
      <c r="BY60" s="2345">
        <f>Livestock!N66</f>
        <v/>
      </c>
      <c r="BZ60" s="2366" t="n"/>
      <c r="CA60" s="1782" t="n"/>
      <c r="CB60" s="2346">
        <f>Livestock!N94</f>
        <v/>
      </c>
      <c r="CC60" s="2366" t="n"/>
      <c r="CD60" s="1782" t="n"/>
      <c r="CF60" s="4401" t="n">
        <v>1</v>
      </c>
      <c r="CG60" s="4402" t="n"/>
      <c r="CH60" s="1997" t="n"/>
    </row>
    <row r="61" ht="16" customHeight="1">
      <c r="B61" s="2082" t="n"/>
      <c r="C61" s="2082" t="n"/>
      <c r="D61" s="1806">
        <f>Languages!B241</f>
        <v/>
      </c>
      <c r="E61" s="2178" t="n"/>
      <c r="F61" s="2178" t="n"/>
      <c r="G61" s="2178" t="n"/>
      <c r="H61" s="1781" t="n"/>
      <c r="I61" s="2135" t="inlineStr">
        <is>
          <t>Please select</t>
        </is>
      </c>
      <c r="J61" s="2047" t="n"/>
      <c r="K61" s="2135" t="inlineStr">
        <is>
          <t>Please select</t>
        </is>
      </c>
      <c r="L61" s="1827" t="n"/>
      <c r="M61" s="1781" t="n"/>
      <c r="N61" s="1781" t="n"/>
      <c r="O61" s="1781" t="n"/>
      <c r="P61" s="1781" t="n"/>
      <c r="Q61" s="1781" t="n"/>
      <c r="R61" s="1781" t="n"/>
      <c r="S61" s="4303" t="n"/>
      <c r="T61" s="4304" t="n"/>
      <c r="U61" s="4305" t="n"/>
      <c r="V61" s="1827" t="n"/>
      <c r="W61" s="2106" t="n">
        <v>0</v>
      </c>
      <c r="X61" s="2107" t="n">
        <v>0</v>
      </c>
      <c r="Y61" s="2108" t="inlineStr">
        <is>
          <t>D</t>
        </is>
      </c>
      <c r="Z61" s="2107" t="n">
        <v>0</v>
      </c>
      <c r="AA61" s="2108" t="inlineStr">
        <is>
          <t>D</t>
        </is>
      </c>
      <c r="AB61" s="1781" t="n"/>
      <c r="AC61" s="1781" t="n"/>
      <c r="AD61" s="2111">
        <f>SUM(Livestock!Z13,Livestock!Z67,Livestock!Z95,Livestock!Z123,Livestock!Z149)</f>
        <v/>
      </c>
      <c r="AE61" s="2111">
        <f>SUM(Livestock!AA13,Livestock!AA67,Livestock!AA95,Livestock!AA123,Livestock!AA149)</f>
        <v/>
      </c>
      <c r="AF61" s="1841" t="n"/>
      <c r="AG61" s="1816">
        <f>AE61-AD61</f>
        <v/>
      </c>
      <c r="AH61" s="2082" t="n"/>
      <c r="AZ61" s="1782" t="n"/>
      <c r="BA61" s="1782">
        <f>I61</f>
        <v/>
      </c>
      <c r="BB61" s="1782">
        <f>K61</f>
        <v/>
      </c>
      <c r="BC61" s="4691">
        <f>Livestock!D13</f>
        <v/>
      </c>
      <c r="BD61" s="4692" t="n"/>
      <c r="BE61" s="4693" t="n"/>
      <c r="BF61" s="4694" t="n"/>
      <c r="BG61" s="1782" t="n"/>
      <c r="BH61" s="4268">
        <f>Livestock!I67/100</f>
        <v/>
      </c>
      <c r="BI61" s="2359" t="n"/>
      <c r="BJ61" s="2360" t="n"/>
      <c r="BK61" s="2361" t="n"/>
      <c r="BL61" s="1782" t="n"/>
      <c r="BM61" s="2344">
        <f>Livestock!P67</f>
        <v/>
      </c>
      <c r="BN61" s="2362" t="n"/>
      <c r="BO61" s="2363" t="n"/>
      <c r="BP61" s="2364" t="n"/>
      <c r="BQ61" s="1782" t="n"/>
      <c r="BR61" s="2344">
        <f>Livestock!P95</f>
        <v/>
      </c>
      <c r="BS61" s="2362" t="n"/>
      <c r="BT61" s="2363" t="n"/>
      <c r="BU61" s="2364" t="n"/>
      <c r="BV61" s="1782" t="n"/>
      <c r="BW61" s="2365" t="inlineStr">
        <is>
          <t>Please select</t>
        </is>
      </c>
      <c r="BX61" s="1782" t="n"/>
      <c r="BY61" s="2345">
        <f>Livestock!N67</f>
        <v/>
      </c>
      <c r="BZ61" s="2366" t="n"/>
      <c r="CA61" s="1782" t="n"/>
      <c r="CB61" s="2346">
        <f>Livestock!N95</f>
        <v/>
      </c>
      <c r="CC61" s="2366" t="n"/>
      <c r="CD61" s="1782" t="n"/>
      <c r="CF61" s="4401" t="n">
        <v>1</v>
      </c>
      <c r="CG61" s="4402" t="n"/>
      <c r="CH61" s="1997" t="n"/>
    </row>
    <row r="62" ht="16" customHeight="1">
      <c r="B62" s="2325" t="n"/>
      <c r="C62" s="2082" t="n"/>
      <c r="D62" s="1806">
        <f>Languages!B242</f>
        <v/>
      </c>
      <c r="E62" s="2178" t="n"/>
      <c r="F62" s="2178" t="n"/>
      <c r="G62" s="2178" t="n"/>
      <c r="H62" s="1781" t="n"/>
      <c r="I62" s="2135" t="inlineStr">
        <is>
          <t>Please select</t>
        </is>
      </c>
      <c r="J62" s="2047" t="n"/>
      <c r="K62" s="2135" t="inlineStr">
        <is>
          <t>Please select</t>
        </is>
      </c>
      <c r="L62" s="1827" t="n"/>
      <c r="M62" s="1781" t="n"/>
      <c r="N62" s="1781" t="n"/>
      <c r="O62" s="1781" t="n"/>
      <c r="P62" s="1781" t="n"/>
      <c r="Q62" s="1781" t="n"/>
      <c r="R62" s="1781" t="n"/>
      <c r="S62" s="4303" t="n"/>
      <c r="T62" s="4304" t="n"/>
      <c r="U62" s="4305" t="n"/>
      <c r="V62" s="1827" t="n"/>
      <c r="W62" s="2106" t="n">
        <v>0</v>
      </c>
      <c r="X62" s="2107" t="n">
        <v>0</v>
      </c>
      <c r="Y62" s="2108" t="inlineStr">
        <is>
          <t>D</t>
        </is>
      </c>
      <c r="Z62" s="2107" t="n">
        <v>0</v>
      </c>
      <c r="AA62" s="2108" t="inlineStr">
        <is>
          <t>D</t>
        </is>
      </c>
      <c r="AB62" s="1781" t="n"/>
      <c r="AC62" s="1781" t="n"/>
      <c r="AD62" s="2111">
        <f>SUM(Livestock!Z14,Livestock!Z68,Livestock!Z96,Livestock!Z124,Livestock!Z150)</f>
        <v/>
      </c>
      <c r="AE62" s="2111">
        <f>SUM(Livestock!AA14,Livestock!AA68,Livestock!AA96,Livestock!AA124,Livestock!AA150)</f>
        <v/>
      </c>
      <c r="AF62" s="1841" t="n"/>
      <c r="AG62" s="1816">
        <f>AE62-AD62</f>
        <v/>
      </c>
      <c r="AH62" s="2082" t="n"/>
      <c r="AZ62" s="1782" t="n"/>
      <c r="BA62" s="1782">
        <f>I62</f>
        <v/>
      </c>
      <c r="BB62" s="1782">
        <f>K62</f>
        <v/>
      </c>
      <c r="BC62" s="4691">
        <f>Livestock!D14</f>
        <v/>
      </c>
      <c r="BD62" s="4692" t="n"/>
      <c r="BE62" s="4693" t="n"/>
      <c r="BF62" s="4694" t="n"/>
      <c r="BG62" s="1782" t="n"/>
      <c r="BH62" s="4268">
        <f>Livestock!I68/100</f>
        <v/>
      </c>
      <c r="BI62" s="2359" t="n"/>
      <c r="BJ62" s="2360" t="n"/>
      <c r="BK62" s="2361" t="n"/>
      <c r="BL62" s="1782" t="n"/>
      <c r="BM62" s="2344">
        <f>Livestock!P68</f>
        <v/>
      </c>
      <c r="BN62" s="2362" t="n"/>
      <c r="BO62" s="2363" t="n"/>
      <c r="BP62" s="2364" t="n"/>
      <c r="BQ62" s="1782" t="n"/>
      <c r="BR62" s="2344">
        <f>Livestock!P96</f>
        <v/>
      </c>
      <c r="BS62" s="2362" t="n"/>
      <c r="BT62" s="2363" t="n"/>
      <c r="BU62" s="2364" t="n"/>
      <c r="BV62" s="1782" t="n"/>
      <c r="BW62" s="2365" t="inlineStr">
        <is>
          <t>Please select</t>
        </is>
      </c>
      <c r="BX62" s="1782" t="n"/>
      <c r="BY62" s="2345">
        <f>Livestock!N68</f>
        <v/>
      </c>
      <c r="BZ62" s="2366" t="n"/>
      <c r="CA62" s="1782" t="n"/>
      <c r="CB62" s="2346">
        <f>Livestock!N96</f>
        <v/>
      </c>
      <c r="CC62" s="2366" t="n"/>
      <c r="CD62" s="1782" t="n"/>
      <c r="CF62" s="4401" t="n">
        <v>1</v>
      </c>
      <c r="CG62" s="4402" t="n"/>
      <c r="CH62" s="1997" t="n"/>
    </row>
    <row r="63" ht="16" customHeight="1">
      <c r="B63" s="2082" t="n"/>
      <c r="C63" s="2082" t="n"/>
      <c r="D63" s="1806">
        <f>Languages!B243</f>
        <v/>
      </c>
      <c r="E63" s="2178" t="n"/>
      <c r="F63" s="2178" t="n"/>
      <c r="G63" s="2178" t="n"/>
      <c r="H63" s="1781" t="n"/>
      <c r="I63" s="2135" t="inlineStr">
        <is>
          <t>Please select</t>
        </is>
      </c>
      <c r="J63" s="2047" t="n"/>
      <c r="K63" s="2135" t="inlineStr">
        <is>
          <t>Please select</t>
        </is>
      </c>
      <c r="L63" s="1827" t="n"/>
      <c r="M63" s="1781" t="n"/>
      <c r="N63" s="1781" t="n"/>
      <c r="O63" s="1781" t="n"/>
      <c r="P63" s="1781" t="n"/>
      <c r="Q63" s="1781" t="n"/>
      <c r="R63" s="1781" t="n"/>
      <c r="S63" s="4303" t="n"/>
      <c r="T63" s="4304" t="n"/>
      <c r="U63" s="4305" t="n"/>
      <c r="V63" s="1827" t="n"/>
      <c r="W63" s="2106" t="n">
        <v>0</v>
      </c>
      <c r="X63" s="2107" t="n">
        <v>0</v>
      </c>
      <c r="Y63" s="2108" t="inlineStr">
        <is>
          <t>D</t>
        </is>
      </c>
      <c r="Z63" s="2107" t="n">
        <v>0</v>
      </c>
      <c r="AA63" s="2108" t="inlineStr">
        <is>
          <t>D</t>
        </is>
      </c>
      <c r="AB63" s="1781" t="n"/>
      <c r="AC63" s="1781" t="n"/>
      <c r="AD63" s="2111">
        <f>SUM(Livestock!Z15,Livestock!Z69,Livestock!Z97,Livestock!Z125,Livestock!Z151)</f>
        <v/>
      </c>
      <c r="AE63" s="2111">
        <f>SUM(Livestock!AA15,Livestock!AA69,Livestock!AA97,Livestock!AA125,Livestock!AA151)</f>
        <v/>
      </c>
      <c r="AF63" s="1841" t="n"/>
      <c r="AG63" s="1816">
        <f>AE63-AD63</f>
        <v/>
      </c>
      <c r="AH63" s="2082" t="n"/>
      <c r="AZ63" s="1782" t="n"/>
      <c r="BA63" s="1782">
        <f>I63</f>
        <v/>
      </c>
      <c r="BB63" s="1782">
        <f>K63</f>
        <v/>
      </c>
      <c r="BC63" s="4691">
        <f>Livestock!D15</f>
        <v/>
      </c>
      <c r="BD63" s="4692" t="n"/>
      <c r="BE63" s="4693" t="n"/>
      <c r="BF63" s="4694" t="n"/>
      <c r="BG63" s="1782" t="n"/>
      <c r="BH63" s="4268">
        <f>Livestock!I69/100</f>
        <v/>
      </c>
      <c r="BI63" s="2359" t="n"/>
      <c r="BJ63" s="2360" t="n"/>
      <c r="BK63" s="2361" t="n"/>
      <c r="BL63" s="1782" t="n"/>
      <c r="BM63" s="2344">
        <f>Livestock!P69</f>
        <v/>
      </c>
      <c r="BN63" s="2362" t="n"/>
      <c r="BO63" s="2363" t="n"/>
      <c r="BP63" s="2364" t="n"/>
      <c r="BQ63" s="1782" t="n"/>
      <c r="BR63" s="2344">
        <f>Livestock!P97</f>
        <v/>
      </c>
      <c r="BS63" s="2362" t="n"/>
      <c r="BT63" s="2363" t="n"/>
      <c r="BU63" s="2364" t="n"/>
      <c r="BV63" s="1782" t="n"/>
      <c r="BW63" s="2365" t="inlineStr">
        <is>
          <t>Please select</t>
        </is>
      </c>
      <c r="BX63" s="1782" t="n"/>
      <c r="BY63" s="2345">
        <f>Livestock!N69</f>
        <v/>
      </c>
      <c r="BZ63" s="2366" t="n"/>
      <c r="CA63" s="1782" t="n"/>
      <c r="CB63" s="2346">
        <f>Livestock!N97</f>
        <v/>
      </c>
      <c r="CC63" s="2366" t="n"/>
      <c r="CD63" s="1782" t="n"/>
      <c r="CF63" s="4401" t="n">
        <v>1</v>
      </c>
      <c r="CG63" s="4402" t="n"/>
      <c r="CH63" s="1997" t="n"/>
    </row>
    <row r="64" ht="16" customHeight="1">
      <c r="B64" s="2082" t="n"/>
      <c r="C64" s="2082" t="n"/>
      <c r="D64" s="1806">
        <f>Languages!B244</f>
        <v/>
      </c>
      <c r="E64" s="2178" t="n"/>
      <c r="F64" s="2178" t="n"/>
      <c r="G64" s="2178" t="n"/>
      <c r="H64" s="1781" t="n"/>
      <c r="I64" s="2135" t="inlineStr">
        <is>
          <t>Please select</t>
        </is>
      </c>
      <c r="J64" s="2047" t="n"/>
      <c r="K64" s="2135" t="inlineStr">
        <is>
          <t>Please select</t>
        </is>
      </c>
      <c r="L64" s="1827" t="n"/>
      <c r="M64" s="1781" t="n"/>
      <c r="N64" s="1781" t="n"/>
      <c r="O64" s="1781" t="n"/>
      <c r="P64" s="1781" t="n"/>
      <c r="Q64" s="1781" t="n"/>
      <c r="R64" s="1781" t="n"/>
      <c r="S64" s="4303" t="n"/>
      <c r="T64" s="4304" t="n"/>
      <c r="U64" s="4305" t="n"/>
      <c r="V64" s="1827" t="n"/>
      <c r="W64" s="2106" t="n">
        <v>0</v>
      </c>
      <c r="X64" s="2107" t="n">
        <v>0</v>
      </c>
      <c r="Y64" s="2108" t="inlineStr">
        <is>
          <t>D</t>
        </is>
      </c>
      <c r="Z64" s="2107" t="n">
        <v>0</v>
      </c>
      <c r="AA64" s="2108" t="inlineStr">
        <is>
          <t>D</t>
        </is>
      </c>
      <c r="AB64" s="1781" t="n"/>
      <c r="AC64" s="1781" t="n"/>
      <c r="AD64" s="2111">
        <f>SUM(Livestock!Z16,Livestock!Z70,Livestock!Z98,Livestock!Z126,Livestock!Z152)</f>
        <v/>
      </c>
      <c r="AE64" s="2111">
        <f>SUM(Livestock!AA16,Livestock!AA70,Livestock!AA98,Livestock!AA126,Livestock!AA152)</f>
        <v/>
      </c>
      <c r="AF64" s="1841" t="n"/>
      <c r="AG64" s="1816">
        <f>AE64-AD64</f>
        <v/>
      </c>
      <c r="AH64" s="2082" t="n"/>
      <c r="AZ64" s="1782" t="n"/>
      <c r="BA64" s="1782">
        <f>I64</f>
        <v/>
      </c>
      <c r="BB64" s="1782">
        <f>K64</f>
        <v/>
      </c>
      <c r="BC64" s="4691">
        <f>Livestock!D16</f>
        <v/>
      </c>
      <c r="BD64" s="4692" t="n"/>
      <c r="BE64" s="4693" t="n"/>
      <c r="BF64" s="4694" t="n"/>
      <c r="BG64" s="1782" t="n"/>
      <c r="BH64" s="4268">
        <f>Livestock!I70/100</f>
        <v/>
      </c>
      <c r="BI64" s="2359" t="n"/>
      <c r="BJ64" s="2360" t="n"/>
      <c r="BK64" s="2361" t="n"/>
      <c r="BL64" s="1782" t="n"/>
      <c r="BM64" s="2344">
        <f>Livestock!P70</f>
        <v/>
      </c>
      <c r="BN64" s="2362" t="n"/>
      <c r="BO64" s="2363" t="n"/>
      <c r="BP64" s="2364" t="n"/>
      <c r="BQ64" s="1782" t="n"/>
      <c r="BR64" s="2344">
        <f>Livestock!P98</f>
        <v/>
      </c>
      <c r="BS64" s="2362" t="n"/>
      <c r="BT64" s="2363" t="n"/>
      <c r="BU64" s="2364" t="n"/>
      <c r="BV64" s="1782" t="n"/>
      <c r="BW64" s="2365" t="inlineStr">
        <is>
          <t>Please select</t>
        </is>
      </c>
      <c r="BX64" s="1782" t="n"/>
      <c r="BY64" s="2345">
        <f>Livestock!N70</f>
        <v/>
      </c>
      <c r="BZ64" s="2366" t="n"/>
      <c r="CA64" s="1782" t="n"/>
      <c r="CB64" s="2346">
        <f>Livestock!N98</f>
        <v/>
      </c>
      <c r="CC64" s="2366" t="n"/>
      <c r="CD64" s="1782" t="n"/>
      <c r="CF64" s="4401" t="n">
        <v>1</v>
      </c>
      <c r="CG64" s="4402" t="n"/>
      <c r="CH64" s="1997" t="n"/>
    </row>
    <row r="65" ht="16" customHeight="1">
      <c r="B65" s="2325" t="n"/>
      <c r="C65" s="2082" t="n"/>
      <c r="D65" s="1806">
        <f>Languages!B245</f>
        <v/>
      </c>
      <c r="E65" s="2178" t="n"/>
      <c r="F65" s="2178" t="n"/>
      <c r="G65" s="2178" t="n"/>
      <c r="H65" s="1781" t="n"/>
      <c r="I65" s="2135" t="inlineStr">
        <is>
          <t>Please select</t>
        </is>
      </c>
      <c r="J65" s="2047" t="n"/>
      <c r="K65" s="2135" t="inlineStr">
        <is>
          <t>Please select</t>
        </is>
      </c>
      <c r="L65" s="1827" t="n"/>
      <c r="M65" s="1781" t="n"/>
      <c r="N65" s="1781" t="n"/>
      <c r="O65" s="1781" t="n"/>
      <c r="P65" s="1781" t="n"/>
      <c r="Q65" s="1781" t="n"/>
      <c r="R65" s="1781" t="n"/>
      <c r="S65" s="4303" t="n"/>
      <c r="T65" s="4304" t="n"/>
      <c r="U65" s="4305" t="n"/>
      <c r="V65" s="1827" t="n"/>
      <c r="W65" s="2106" t="n">
        <v>0</v>
      </c>
      <c r="X65" s="2107" t="n">
        <v>0</v>
      </c>
      <c r="Y65" s="2108" t="inlineStr">
        <is>
          <t>D</t>
        </is>
      </c>
      <c r="Z65" s="2107" t="n">
        <v>0</v>
      </c>
      <c r="AA65" s="2108" t="inlineStr">
        <is>
          <t>D</t>
        </is>
      </c>
      <c r="AB65" s="1781" t="n"/>
      <c r="AC65" s="1781" t="n"/>
      <c r="AD65" s="2111">
        <f>SUM(Livestock!Z17,Livestock!Z71,Livestock!Z99,Livestock!Z127,Livestock!Z153)</f>
        <v/>
      </c>
      <c r="AE65" s="2111">
        <f>SUM(Livestock!AA17,Livestock!AA71,Livestock!AA99,Livestock!AA127,Livestock!AA153)</f>
        <v/>
      </c>
      <c r="AF65" s="1841" t="n"/>
      <c r="AG65" s="1816">
        <f>AE65-AD65</f>
        <v/>
      </c>
      <c r="AH65" s="2082" t="n"/>
      <c r="AZ65" s="1782" t="n"/>
      <c r="BA65" s="1782">
        <f>I65</f>
        <v/>
      </c>
      <c r="BB65" s="1782">
        <f>K65</f>
        <v/>
      </c>
      <c r="BC65" s="4691">
        <f>Livestock!D17</f>
        <v/>
      </c>
      <c r="BD65" s="4692" t="n"/>
      <c r="BE65" s="4693" t="n"/>
      <c r="BF65" s="4694" t="n"/>
      <c r="BG65" s="1782" t="n"/>
      <c r="BH65" s="4268">
        <f>Livestock!I71/100</f>
        <v/>
      </c>
      <c r="BI65" s="2359" t="n"/>
      <c r="BJ65" s="2360" t="n"/>
      <c r="BK65" s="2361" t="n"/>
      <c r="BL65" s="1782" t="n"/>
      <c r="BM65" s="2344">
        <f>Livestock!P71</f>
        <v/>
      </c>
      <c r="BN65" s="2362" t="n"/>
      <c r="BO65" s="2363" t="n"/>
      <c r="BP65" s="2364" t="n"/>
      <c r="BQ65" s="1782" t="n"/>
      <c r="BR65" s="2344">
        <f>Livestock!P99</f>
        <v/>
      </c>
      <c r="BS65" s="2362" t="n"/>
      <c r="BT65" s="2363" t="n"/>
      <c r="BU65" s="2364" t="n"/>
      <c r="BV65" s="1782" t="n"/>
      <c r="BW65" s="2365" t="inlineStr">
        <is>
          <t>Please select</t>
        </is>
      </c>
      <c r="BX65" s="1782" t="n"/>
      <c r="BY65" s="2345">
        <f>Livestock!N71</f>
        <v/>
      </c>
      <c r="BZ65" s="2366" t="n"/>
      <c r="CA65" s="1782" t="n"/>
      <c r="CB65" s="2346">
        <f>Livestock!N99</f>
        <v/>
      </c>
      <c r="CC65" s="2366" t="n"/>
      <c r="CD65" s="1782" t="n"/>
      <c r="CF65" s="4401" t="n">
        <v>1</v>
      </c>
      <c r="CG65" s="4402" t="n"/>
      <c r="CH65" s="1997" t="n"/>
    </row>
    <row r="66" ht="16" customHeight="1">
      <c r="B66" s="2082" t="n"/>
      <c r="C66" s="2082" t="n"/>
      <c r="D66" s="1806">
        <f>Languages!B246</f>
        <v/>
      </c>
      <c r="E66" s="2178" t="n"/>
      <c r="F66" s="2178" t="n"/>
      <c r="G66" s="2178" t="n"/>
      <c r="H66" s="1781" t="n"/>
      <c r="I66" s="2135" t="inlineStr">
        <is>
          <t>Please select</t>
        </is>
      </c>
      <c r="J66" s="2047" t="n"/>
      <c r="K66" s="2135" t="inlineStr">
        <is>
          <t>Please select</t>
        </is>
      </c>
      <c r="L66" s="1827" t="n"/>
      <c r="M66" s="1781" t="n"/>
      <c r="N66" s="1781" t="n"/>
      <c r="O66" s="1781" t="n"/>
      <c r="P66" s="1781" t="n"/>
      <c r="Q66" s="1781" t="n"/>
      <c r="R66" s="1781" t="n"/>
      <c r="S66" s="4303" t="n"/>
      <c r="T66" s="4304" t="n"/>
      <c r="U66" s="4305" t="n"/>
      <c r="V66" s="1827" t="n"/>
      <c r="W66" s="2106" t="n">
        <v>0</v>
      </c>
      <c r="X66" s="2107" t="n">
        <v>0</v>
      </c>
      <c r="Y66" s="2108" t="inlineStr">
        <is>
          <t>D</t>
        </is>
      </c>
      <c r="Z66" s="2107" t="n">
        <v>0</v>
      </c>
      <c r="AA66" s="2108" t="inlineStr">
        <is>
          <t>D</t>
        </is>
      </c>
      <c r="AB66" s="1781" t="n"/>
      <c r="AC66" s="1781" t="n"/>
      <c r="AD66" s="2111">
        <f>SUM(Livestock!Z18,Livestock!Z72,Livestock!Z100,Livestock!Z128,Livestock!Z154)</f>
        <v/>
      </c>
      <c r="AE66" s="2111">
        <f>SUM(Livestock!AA18,Livestock!AA72,Livestock!AA100,Livestock!AA128,Livestock!AA154)</f>
        <v/>
      </c>
      <c r="AF66" s="1841" t="n"/>
      <c r="AG66" s="1816">
        <f>AE66-AD66</f>
        <v/>
      </c>
      <c r="AH66" s="2082" t="n"/>
      <c r="AZ66" s="1782" t="n"/>
      <c r="BA66" s="1782">
        <f>I66</f>
        <v/>
      </c>
      <c r="BB66" s="1782">
        <f>K66</f>
        <v/>
      </c>
      <c r="BC66" s="4691">
        <f>Livestock!D18</f>
        <v/>
      </c>
      <c r="BD66" s="4692" t="n"/>
      <c r="BE66" s="4693" t="n"/>
      <c r="BF66" s="4694" t="n"/>
      <c r="BG66" s="1782" t="n"/>
      <c r="BH66" s="4268">
        <f>Livestock!I72/100</f>
        <v/>
      </c>
      <c r="BI66" s="2359" t="n"/>
      <c r="BJ66" s="2360" t="n"/>
      <c r="BK66" s="2361" t="n"/>
      <c r="BL66" s="1782" t="n"/>
      <c r="BM66" s="2344">
        <f>Livestock!P72</f>
        <v/>
      </c>
      <c r="BN66" s="2362" t="n"/>
      <c r="BO66" s="2363" t="n"/>
      <c r="BP66" s="2364" t="n"/>
      <c r="BQ66" s="1782" t="n"/>
      <c r="BR66" s="2344">
        <f>Livestock!P100</f>
        <v/>
      </c>
      <c r="BS66" s="2362" t="n"/>
      <c r="BT66" s="2363" t="n"/>
      <c r="BU66" s="2364" t="n"/>
      <c r="BV66" s="1782" t="n"/>
      <c r="BW66" s="2365" t="inlineStr">
        <is>
          <t>Please select</t>
        </is>
      </c>
      <c r="BX66" s="1782" t="n"/>
      <c r="BY66" s="2345">
        <f>Livestock!N72</f>
        <v/>
      </c>
      <c r="BZ66" s="2366" t="n"/>
      <c r="CA66" s="1782" t="n"/>
      <c r="CB66" s="2346">
        <f>Livestock!N100</f>
        <v/>
      </c>
      <c r="CC66" s="2366" t="n"/>
      <c r="CD66" s="1782" t="n"/>
      <c r="CF66" s="4401" t="n">
        <v>1</v>
      </c>
      <c r="CG66" s="4402" t="n"/>
      <c r="CH66" s="1997" t="n"/>
    </row>
    <row r="67" ht="16" customHeight="1">
      <c r="B67" s="2082" t="n"/>
      <c r="C67" s="2082" t="n"/>
      <c r="D67" s="1806">
        <f>Languages!B247</f>
        <v/>
      </c>
      <c r="E67" s="2178" t="n"/>
      <c r="F67" s="2178" t="n"/>
      <c r="G67" s="2178" t="n"/>
      <c r="H67" s="1781" t="n"/>
      <c r="I67" s="2135" t="inlineStr">
        <is>
          <t>Please select</t>
        </is>
      </c>
      <c r="J67" s="2047" t="n"/>
      <c r="K67" s="2135" t="inlineStr">
        <is>
          <t>Please select</t>
        </is>
      </c>
      <c r="L67" s="1827" t="n"/>
      <c r="M67" s="1781" t="n"/>
      <c r="N67" s="1781" t="n"/>
      <c r="O67" s="1781" t="n"/>
      <c r="P67" s="1781" t="n"/>
      <c r="Q67" s="1781" t="n"/>
      <c r="R67" s="1781" t="n"/>
      <c r="S67" s="4303" t="n"/>
      <c r="T67" s="4304" t="n"/>
      <c r="U67" s="4305" t="n"/>
      <c r="V67" s="1827" t="n"/>
      <c r="W67" s="2106" t="n">
        <v>0</v>
      </c>
      <c r="X67" s="2107" t="n">
        <v>0</v>
      </c>
      <c r="Y67" s="2108" t="inlineStr">
        <is>
          <t>D</t>
        </is>
      </c>
      <c r="Z67" s="2107" t="n">
        <v>0</v>
      </c>
      <c r="AA67" s="2108" t="inlineStr">
        <is>
          <t>D</t>
        </is>
      </c>
      <c r="AB67" s="1781" t="n"/>
      <c r="AC67" s="1781" t="n"/>
      <c r="AD67" s="2111">
        <f>SUM(Livestock!Z19,Livestock!Z73,Livestock!Z101,Livestock!Z129,Livestock!Z155)</f>
        <v/>
      </c>
      <c r="AE67" s="2111">
        <f>SUM(Livestock!AA19,Livestock!AA73,Livestock!AA101,Livestock!AA129,Livestock!AA155)</f>
        <v/>
      </c>
      <c r="AF67" s="1827" t="n"/>
      <c r="AG67" s="1816">
        <f>AE67-AD67</f>
        <v/>
      </c>
      <c r="AH67" s="2082" t="n"/>
      <c r="AZ67" s="1782" t="n"/>
      <c r="BA67" s="1782">
        <f>I67</f>
        <v/>
      </c>
      <c r="BB67" s="1782">
        <f>K67</f>
        <v/>
      </c>
      <c r="BC67" s="4691">
        <f>Livestock!D19</f>
        <v/>
      </c>
      <c r="BD67" s="4692" t="n"/>
      <c r="BE67" s="4693" t="n"/>
      <c r="BF67" s="4694" t="n"/>
      <c r="BG67" s="1782" t="n"/>
      <c r="BH67" s="4268">
        <f>Livestock!I73/100</f>
        <v/>
      </c>
      <c r="BI67" s="2359" t="n"/>
      <c r="BJ67" s="2360" t="n"/>
      <c r="BK67" s="2361" t="n"/>
      <c r="BL67" s="1782" t="n"/>
      <c r="BM67" s="2344">
        <f>Livestock!P73</f>
        <v/>
      </c>
      <c r="BN67" s="2362" t="n"/>
      <c r="BO67" s="2363" t="n"/>
      <c r="BP67" s="2364" t="n"/>
      <c r="BQ67" s="1782" t="n"/>
      <c r="BR67" s="2344">
        <f>Livestock!P101</f>
        <v/>
      </c>
      <c r="BS67" s="2362" t="n"/>
      <c r="BT67" s="2363" t="n"/>
      <c r="BU67" s="2364" t="n"/>
      <c r="BV67" s="1782" t="n"/>
      <c r="BW67" s="2365" t="inlineStr">
        <is>
          <t>Please select</t>
        </is>
      </c>
      <c r="BX67" s="1782" t="n"/>
      <c r="BY67" s="2345">
        <f>Livestock!N73</f>
        <v/>
      </c>
      <c r="BZ67" s="2366" t="n"/>
      <c r="CA67" s="1782" t="n"/>
      <c r="CB67" s="2346">
        <f>Livestock!N101</f>
        <v/>
      </c>
      <c r="CC67" s="2366" t="n"/>
      <c r="CD67" s="1782" t="n"/>
      <c r="CF67" s="4401" t="n">
        <v>1</v>
      </c>
      <c r="CG67" s="4402" t="n"/>
      <c r="CH67" s="1997" t="n"/>
    </row>
    <row r="68" ht="16" customHeight="1">
      <c r="B68" s="2325" t="n"/>
      <c r="C68" s="2082" t="n"/>
      <c r="D68" s="1806">
        <f>Languages!B248</f>
        <v/>
      </c>
      <c r="E68" s="2178" t="n"/>
      <c r="F68" s="2178" t="n"/>
      <c r="G68" s="2178" t="n"/>
      <c r="H68" s="1781" t="n"/>
      <c r="I68" s="2135" t="inlineStr">
        <is>
          <t>Please select</t>
        </is>
      </c>
      <c r="J68" s="2047" t="n"/>
      <c r="K68" s="2135" t="inlineStr">
        <is>
          <t>Please select</t>
        </is>
      </c>
      <c r="L68" s="1827" t="n"/>
      <c r="M68" s="1781" t="n"/>
      <c r="N68" s="1781" t="n"/>
      <c r="O68" s="1781" t="n"/>
      <c r="P68" s="1781" t="n"/>
      <c r="Q68" s="1781" t="n"/>
      <c r="R68" s="1781" t="n"/>
      <c r="S68" s="4303" t="n"/>
      <c r="T68" s="4304" t="n"/>
      <c r="U68" s="4305" t="n"/>
      <c r="V68" s="1827" t="n"/>
      <c r="W68" s="2106" t="n">
        <v>0</v>
      </c>
      <c r="X68" s="2107" t="n">
        <v>0</v>
      </c>
      <c r="Y68" s="2108" t="inlineStr">
        <is>
          <t>D</t>
        </is>
      </c>
      <c r="Z68" s="2107" t="n">
        <v>0</v>
      </c>
      <c r="AA68" s="2108" t="inlineStr">
        <is>
          <t>D</t>
        </is>
      </c>
      <c r="AB68" s="1952" t="n"/>
      <c r="AC68" s="1952" t="n"/>
      <c r="AD68" s="2111">
        <f>SUM(Livestock!Z20,Livestock!Z74,Livestock!Z102,Livestock!Z130,Livestock!Z156)</f>
        <v/>
      </c>
      <c r="AE68" s="2111">
        <f>SUM(Livestock!AA20,Livestock!AA74,Livestock!AA102,Livestock!AA130,Livestock!AA156)</f>
        <v/>
      </c>
      <c r="AF68" s="1952" t="n"/>
      <c r="AG68" s="1816">
        <f>AE68-AD68</f>
        <v/>
      </c>
      <c r="AH68" s="2082" t="n"/>
      <c r="AZ68" s="1782" t="n"/>
      <c r="BA68" s="1782">
        <f>I68</f>
        <v/>
      </c>
      <c r="BB68" s="1782">
        <f>K68</f>
        <v/>
      </c>
      <c r="BC68" s="4691">
        <f>Livestock!D20</f>
        <v/>
      </c>
      <c r="BD68" s="4692" t="n"/>
      <c r="BE68" s="4693" t="n"/>
      <c r="BF68" s="4694" t="n"/>
      <c r="BG68" s="1782" t="n"/>
      <c r="BH68" s="4268">
        <f>Livestock!I74/100</f>
        <v/>
      </c>
      <c r="BI68" s="2359" t="n"/>
      <c r="BJ68" s="2360" t="n"/>
      <c r="BK68" s="2361" t="n"/>
      <c r="BL68" s="1782" t="n"/>
      <c r="BM68" s="2344">
        <f>Livestock!P74</f>
        <v/>
      </c>
      <c r="BN68" s="2362" t="n"/>
      <c r="BO68" s="2363" t="n"/>
      <c r="BP68" s="2364" t="n"/>
      <c r="BQ68" s="1782" t="n"/>
      <c r="BR68" s="2344">
        <f>Livestock!P102</f>
        <v/>
      </c>
      <c r="BS68" s="2362" t="n"/>
      <c r="BT68" s="2363" t="n"/>
      <c r="BU68" s="2364" t="n"/>
      <c r="BV68" s="1782" t="n"/>
      <c r="BW68" s="2365" t="inlineStr">
        <is>
          <t>Please select</t>
        </is>
      </c>
      <c r="BX68" s="1782" t="n"/>
      <c r="BY68" s="2345">
        <f>Livestock!N74</f>
        <v/>
      </c>
      <c r="BZ68" s="2366" t="n"/>
      <c r="CA68" s="1782" t="n"/>
      <c r="CB68" s="2346">
        <f>Livestock!N102</f>
        <v/>
      </c>
      <c r="CC68" s="2366" t="n"/>
      <c r="CD68" s="1782" t="n"/>
      <c r="CF68" s="4401" t="n">
        <v>1</v>
      </c>
      <c r="CG68" s="4402" t="n"/>
      <c r="CH68" s="1782" t="n"/>
    </row>
    <row r="69" ht="16" customHeight="1">
      <c r="B69" s="2082" t="n"/>
      <c r="C69" s="2082" t="n"/>
      <c r="D69" s="1806">
        <f>Languages!B249</f>
        <v/>
      </c>
      <c r="E69" s="2178" t="n"/>
      <c r="F69" s="2178" t="n"/>
      <c r="G69" s="2178" t="n"/>
      <c r="H69" s="1781" t="n"/>
      <c r="I69" s="2135" t="inlineStr">
        <is>
          <t>Please select</t>
        </is>
      </c>
      <c r="J69" s="2047" t="n"/>
      <c r="K69" s="2135" t="inlineStr">
        <is>
          <t>Please select</t>
        </is>
      </c>
      <c r="L69" s="1827" t="n"/>
      <c r="M69" s="1781" t="n"/>
      <c r="N69" s="1781" t="n"/>
      <c r="O69" s="1781" t="n"/>
      <c r="P69" s="1781" t="n"/>
      <c r="Q69" s="1781" t="n"/>
      <c r="R69" s="1781" t="n"/>
      <c r="S69" s="4303" t="n"/>
      <c r="T69" s="4304" t="n"/>
      <c r="U69" s="4305" t="n"/>
      <c r="V69" s="1827" t="n"/>
      <c r="W69" s="2106" t="n">
        <v>0</v>
      </c>
      <c r="X69" s="2107" t="n">
        <v>0</v>
      </c>
      <c r="Y69" s="2108" t="inlineStr">
        <is>
          <t>D</t>
        </is>
      </c>
      <c r="Z69" s="2107" t="n">
        <v>0</v>
      </c>
      <c r="AA69" s="2108" t="inlineStr">
        <is>
          <t>D</t>
        </is>
      </c>
      <c r="AB69" s="1952" t="n"/>
      <c r="AC69" s="1952" t="n"/>
      <c r="AD69" s="2111">
        <f>SUM(Livestock!Z21,Livestock!Z75,Livestock!Z103,Livestock!Z131,Livestock!Z157)</f>
        <v/>
      </c>
      <c r="AE69" s="2111">
        <f>SUM(Livestock!AA21,Livestock!AA75,Livestock!AA103,Livestock!AA131,Livestock!AA157)</f>
        <v/>
      </c>
      <c r="AF69" s="1952" t="n"/>
      <c r="AG69" s="1816">
        <f>AE69-AD69</f>
        <v/>
      </c>
      <c r="AH69" s="2082" t="n"/>
      <c r="AZ69" s="1782" t="n"/>
      <c r="BA69" s="1782">
        <f>I69</f>
        <v/>
      </c>
      <c r="BB69" s="1782">
        <f>K69</f>
        <v/>
      </c>
      <c r="BC69" s="4691">
        <f>Livestock!D21</f>
        <v/>
      </c>
      <c r="BD69" s="4692" t="n"/>
      <c r="BE69" s="4693" t="n"/>
      <c r="BF69" s="4694" t="n"/>
      <c r="BG69" s="1782" t="n"/>
      <c r="BH69" s="4268">
        <f>Livestock!I75/100</f>
        <v/>
      </c>
      <c r="BI69" s="2359" t="n"/>
      <c r="BJ69" s="2360" t="n"/>
      <c r="BK69" s="2361" t="n"/>
      <c r="BL69" s="1782" t="n"/>
      <c r="BM69" s="2344">
        <f>Livestock!P75</f>
        <v/>
      </c>
      <c r="BN69" s="2362" t="n"/>
      <c r="BO69" s="2363" t="n"/>
      <c r="BP69" s="2364" t="n"/>
      <c r="BQ69" s="1782" t="n"/>
      <c r="BR69" s="2344">
        <f>Livestock!P103</f>
        <v/>
      </c>
      <c r="BS69" s="2362" t="n"/>
      <c r="BT69" s="2363" t="n"/>
      <c r="BU69" s="2364" t="n"/>
      <c r="BV69" s="1782" t="n"/>
      <c r="BW69" s="2365" t="inlineStr">
        <is>
          <t>Please select</t>
        </is>
      </c>
      <c r="BX69" s="1782" t="n"/>
      <c r="BY69" s="2345">
        <f>Livestock!N75</f>
        <v/>
      </c>
      <c r="BZ69" s="2366" t="n"/>
      <c r="CA69" s="1782" t="n"/>
      <c r="CB69" s="2346">
        <f>Livestock!N103</f>
        <v/>
      </c>
      <c r="CC69" s="2366" t="n"/>
      <c r="CD69" s="1782" t="n"/>
      <c r="CF69" s="4401" t="n">
        <v>1</v>
      </c>
      <c r="CG69" s="4402" t="n"/>
      <c r="CH69" s="1782" t="n"/>
    </row>
    <row r="70" ht="16" customHeight="1">
      <c r="B70" s="2082" t="n"/>
      <c r="C70" s="2082" t="n"/>
      <c r="D70" s="1806">
        <f>Languages!B250</f>
        <v/>
      </c>
      <c r="E70" s="2178" t="n"/>
      <c r="F70" s="2178" t="n"/>
      <c r="G70" s="2178" t="n"/>
      <c r="H70" s="1781" t="n"/>
      <c r="I70" s="2135" t="inlineStr">
        <is>
          <t>Please select</t>
        </is>
      </c>
      <c r="J70" s="2047" t="n"/>
      <c r="K70" s="2135" t="inlineStr">
        <is>
          <t>Please select</t>
        </is>
      </c>
      <c r="L70" s="1827" t="n"/>
      <c r="M70" s="1781" t="n"/>
      <c r="N70" s="1781" t="n"/>
      <c r="O70" s="1781" t="n"/>
      <c r="P70" s="1781" t="n"/>
      <c r="Q70" s="1781" t="n"/>
      <c r="R70" s="1781" t="n"/>
      <c r="S70" s="4303" t="n"/>
      <c r="T70" s="4304" t="n"/>
      <c r="U70" s="4305" t="n"/>
      <c r="V70" s="1827" t="n"/>
      <c r="W70" s="2106" t="n">
        <v>0</v>
      </c>
      <c r="X70" s="2107" t="n">
        <v>0</v>
      </c>
      <c r="Y70" s="2108" t="inlineStr">
        <is>
          <t>D</t>
        </is>
      </c>
      <c r="Z70" s="2107" t="n">
        <v>0</v>
      </c>
      <c r="AA70" s="2108" t="inlineStr">
        <is>
          <t>D</t>
        </is>
      </c>
      <c r="AB70" s="1952" t="n"/>
      <c r="AC70" s="1952" t="n"/>
      <c r="AD70" s="2111">
        <f>SUM(Livestock!Z22,Livestock!Z76,Livestock!Z104,Livestock!Z132,Livestock!Z158)</f>
        <v/>
      </c>
      <c r="AE70" s="2111">
        <f>SUM(Livestock!AA22,Livestock!AA76,Livestock!AA104,Livestock!AA132,Livestock!AA158)</f>
        <v/>
      </c>
      <c r="AF70" s="1952" t="n"/>
      <c r="AG70" s="1816">
        <f>AE70-AD70</f>
        <v/>
      </c>
      <c r="AH70" s="2082" t="n"/>
      <c r="AZ70" s="1782" t="n"/>
      <c r="BA70" s="1782">
        <f>I70</f>
        <v/>
      </c>
      <c r="BB70" s="1782">
        <f>K70</f>
        <v/>
      </c>
      <c r="BC70" s="4691">
        <f>Livestock!D22</f>
        <v/>
      </c>
      <c r="BD70" s="4692" t="n"/>
      <c r="BE70" s="4693" t="n"/>
      <c r="BF70" s="4694" t="n"/>
      <c r="BG70" s="1782" t="n"/>
      <c r="BH70" s="4268">
        <f>Livestock!I76/100</f>
        <v/>
      </c>
      <c r="BI70" s="2359" t="n"/>
      <c r="BJ70" s="2360" t="n"/>
      <c r="BK70" s="2361" t="n"/>
      <c r="BL70" s="1782" t="n"/>
      <c r="BM70" s="2344">
        <f>Livestock!P76</f>
        <v/>
      </c>
      <c r="BN70" s="2362" t="n"/>
      <c r="BO70" s="2363" t="n"/>
      <c r="BP70" s="2364" t="n"/>
      <c r="BQ70" s="1782" t="n"/>
      <c r="BR70" s="2344">
        <f>Livestock!P104</f>
        <v/>
      </c>
      <c r="BS70" s="2362" t="n"/>
      <c r="BT70" s="2363" t="n"/>
      <c r="BU70" s="2364" t="n"/>
      <c r="BV70" s="1782" t="n"/>
      <c r="BW70" s="2365" t="inlineStr">
        <is>
          <t>Please select</t>
        </is>
      </c>
      <c r="BX70" s="1782" t="n"/>
      <c r="BY70" s="2345">
        <f>Livestock!N76</f>
        <v/>
      </c>
      <c r="BZ70" s="2366" t="n"/>
      <c r="CA70" s="1782" t="n"/>
      <c r="CB70" s="2346">
        <f>Livestock!N104</f>
        <v/>
      </c>
      <c r="CC70" s="2366" t="n"/>
      <c r="CD70" s="1782" t="n"/>
      <c r="CF70" s="4401" t="n">
        <v>1</v>
      </c>
      <c r="CG70" s="4402" t="n"/>
      <c r="CH70" s="1782" t="n"/>
    </row>
    <row r="71" ht="16" customHeight="1">
      <c r="B71" s="2082" t="n"/>
      <c r="C71" s="2086" t="n"/>
      <c r="D71" s="1806">
        <f>Languages!B251</f>
        <v/>
      </c>
      <c r="E71" s="2178" t="n"/>
      <c r="F71" s="2178" t="n"/>
      <c r="G71" s="2178" t="n"/>
      <c r="H71" s="1781" t="n"/>
      <c r="I71" s="2135" t="inlineStr">
        <is>
          <t>Please select</t>
        </is>
      </c>
      <c r="J71" s="2047" t="n"/>
      <c r="K71" s="2135" t="inlineStr">
        <is>
          <t>Please select</t>
        </is>
      </c>
      <c r="L71" s="1827" t="n"/>
      <c r="M71" s="1781" t="n"/>
      <c r="N71" s="1781" t="n"/>
      <c r="O71" s="1781" t="n"/>
      <c r="P71" s="1781" t="n"/>
      <c r="Q71" s="1781" t="n"/>
      <c r="R71" s="1781" t="n"/>
      <c r="S71" s="4303" t="n"/>
      <c r="T71" s="4304" t="n"/>
      <c r="U71" s="4305" t="n"/>
      <c r="V71" s="1827" t="n"/>
      <c r="W71" s="2106" t="n">
        <v>0</v>
      </c>
      <c r="X71" s="2107" t="n">
        <v>0</v>
      </c>
      <c r="Y71" s="2108" t="inlineStr">
        <is>
          <t>D</t>
        </is>
      </c>
      <c r="Z71" s="2107" t="n">
        <v>0</v>
      </c>
      <c r="AA71" s="2108" t="inlineStr">
        <is>
          <t>D</t>
        </is>
      </c>
      <c r="AB71" s="1827" t="n"/>
      <c r="AC71" s="1827" t="n"/>
      <c r="AD71" s="2111">
        <f>SUM(Livestock!Z23,Livestock!Z77,Livestock!Z105,Livestock!Z133,Livestock!Z159)</f>
        <v/>
      </c>
      <c r="AE71" s="2111">
        <f>SUM(Livestock!AA23,Livestock!AA77,Livestock!AA105,Livestock!AA133,Livestock!AA159)</f>
        <v/>
      </c>
      <c r="AF71" s="1827" t="n"/>
      <c r="AG71" s="1816">
        <f>AE71-AD71</f>
        <v/>
      </c>
      <c r="AH71" s="2082" t="n"/>
      <c r="AZ71" s="1782" t="n"/>
      <c r="BA71" s="1782">
        <f>I71</f>
        <v/>
      </c>
      <c r="BB71" s="1782">
        <f>K71</f>
        <v/>
      </c>
      <c r="BC71" s="4691">
        <f>Livestock!D23</f>
        <v/>
      </c>
      <c r="BD71" s="4692" t="n"/>
      <c r="BE71" s="4693" t="n"/>
      <c r="BF71" s="4694" t="n"/>
      <c r="BG71" s="1782" t="n"/>
      <c r="BH71" s="4268">
        <f>Livestock!I77/100</f>
        <v/>
      </c>
      <c r="BI71" s="2359" t="n"/>
      <c r="BJ71" s="2360" t="n"/>
      <c r="BK71" s="2361" t="n"/>
      <c r="BL71" s="1782" t="n"/>
      <c r="BM71" s="2344">
        <f>Livestock!P77</f>
        <v/>
      </c>
      <c r="BN71" s="2362" t="n"/>
      <c r="BO71" s="2363" t="n"/>
      <c r="BP71" s="2364" t="n"/>
      <c r="BQ71" s="1782" t="n"/>
      <c r="BR71" s="2344">
        <f>Livestock!P105</f>
        <v/>
      </c>
      <c r="BS71" s="2362" t="n"/>
      <c r="BT71" s="2363" t="n"/>
      <c r="BU71" s="2364" t="n"/>
      <c r="BV71" s="1782" t="n"/>
      <c r="BW71" s="2365" t="inlineStr">
        <is>
          <t>Please select</t>
        </is>
      </c>
      <c r="BX71" s="1782" t="n"/>
      <c r="BY71" s="2345">
        <f>Livestock!N77</f>
        <v/>
      </c>
      <c r="BZ71" s="2366" t="n"/>
      <c r="CA71" s="1782" t="n"/>
      <c r="CB71" s="2346">
        <f>Livestock!N105</f>
        <v/>
      </c>
      <c r="CC71" s="2366" t="n"/>
      <c r="CD71" s="1782" t="n"/>
      <c r="CF71" s="4401" t="n">
        <v>1</v>
      </c>
      <c r="CG71" s="4402" t="n"/>
      <c r="CH71" s="1997" t="n"/>
    </row>
    <row r="72" ht="16" customHeight="1">
      <c r="B72" s="2082" t="n"/>
      <c r="C72" s="1781" t="n"/>
      <c r="D72" s="1806">
        <f>Languages!B252</f>
        <v/>
      </c>
      <c r="E72" s="2178" t="n"/>
      <c r="F72" s="2178" t="n"/>
      <c r="G72" s="2178" t="n"/>
      <c r="H72" s="1781" t="n"/>
      <c r="I72" s="2135" t="inlineStr">
        <is>
          <t>Please select</t>
        </is>
      </c>
      <c r="J72" s="2047" t="n"/>
      <c r="K72" s="2135" t="inlineStr">
        <is>
          <t>Please select</t>
        </is>
      </c>
      <c r="L72" s="1827" t="n"/>
      <c r="M72" s="1781" t="n"/>
      <c r="N72" s="1781" t="n"/>
      <c r="O72" s="1781" t="n"/>
      <c r="P72" s="1781" t="n"/>
      <c r="Q72" s="1781" t="n"/>
      <c r="R72" s="1781" t="n"/>
      <c r="S72" s="4303" t="n"/>
      <c r="T72" s="4304" t="n"/>
      <c r="U72" s="4305" t="n"/>
      <c r="V72" s="1827" t="n"/>
      <c r="W72" s="2106" t="n">
        <v>0</v>
      </c>
      <c r="X72" s="2107" t="n">
        <v>0</v>
      </c>
      <c r="Y72" s="2108" t="inlineStr">
        <is>
          <t>D</t>
        </is>
      </c>
      <c r="Z72" s="2107" t="n">
        <v>0</v>
      </c>
      <c r="AA72" s="2108" t="inlineStr">
        <is>
          <t>D</t>
        </is>
      </c>
      <c r="AB72" s="1827" t="n"/>
      <c r="AC72" s="1827" t="n"/>
      <c r="AD72" s="2111">
        <f>SUM(Livestock!Z24,Livestock!Z78,Livestock!Z106,Livestock!Z134,Livestock!Z160)</f>
        <v/>
      </c>
      <c r="AE72" s="2111">
        <f>SUM(Livestock!AA24,Livestock!AA78,Livestock!AA106,Livestock!AA134,Livestock!AA160)</f>
        <v/>
      </c>
      <c r="AF72" s="1827" t="n"/>
      <c r="AG72" s="1816">
        <f>AE72-AD72</f>
        <v/>
      </c>
      <c r="AH72" s="2082" t="n"/>
      <c r="AZ72" s="1782" t="n"/>
      <c r="BA72" s="1782">
        <f>I72</f>
        <v/>
      </c>
      <c r="BB72" s="1782">
        <f>K72</f>
        <v/>
      </c>
      <c r="BC72" s="4691">
        <f>Livestock!D24</f>
        <v/>
      </c>
      <c r="BD72" s="4692" t="n"/>
      <c r="BE72" s="4693" t="n"/>
      <c r="BF72" s="4694" t="n"/>
      <c r="BG72" s="1782" t="n"/>
      <c r="BH72" s="4268">
        <f>Livestock!I78/100</f>
        <v/>
      </c>
      <c r="BI72" s="2359" t="n"/>
      <c r="BJ72" s="2360" t="n"/>
      <c r="BK72" s="2361" t="n"/>
      <c r="BL72" s="1782" t="n"/>
      <c r="BM72" s="2344">
        <f>Livestock!P78</f>
        <v/>
      </c>
      <c r="BN72" s="2362" t="n"/>
      <c r="BO72" s="2363" t="n"/>
      <c r="BP72" s="2364" t="n"/>
      <c r="BQ72" s="1782" t="n"/>
      <c r="BR72" s="2344">
        <f>Livestock!P106</f>
        <v/>
      </c>
      <c r="BS72" s="2362" t="n"/>
      <c r="BT72" s="2363" t="n"/>
      <c r="BU72" s="2364" t="n"/>
      <c r="BV72" s="1782" t="n"/>
      <c r="BW72" s="2365" t="inlineStr">
        <is>
          <t>Please select</t>
        </is>
      </c>
      <c r="BX72" s="1782" t="n"/>
      <c r="BY72" s="2345">
        <f>Livestock!N78</f>
        <v/>
      </c>
      <c r="BZ72" s="2366" t="n"/>
      <c r="CA72" s="1782" t="n"/>
      <c r="CB72" s="2346">
        <f>Livestock!N106</f>
        <v/>
      </c>
      <c r="CC72" s="2366" t="n"/>
      <c r="CD72" s="1782" t="n"/>
      <c r="CF72" s="4401" t="n">
        <v>1</v>
      </c>
      <c r="CG72" s="4402" t="n"/>
      <c r="CH72" s="1997" t="n"/>
    </row>
    <row r="73">
      <c r="B73" s="1781" t="n"/>
      <c r="C73" s="1781" t="n"/>
      <c r="D73" s="1781" t="n"/>
      <c r="E73" s="1781" t="n"/>
      <c r="F73" s="1781" t="n"/>
      <c r="G73" s="1781" t="n"/>
      <c r="H73" s="1781" t="n"/>
      <c r="I73" s="1781" t="n"/>
      <c r="J73" s="1781" t="n"/>
      <c r="K73" s="1781" t="n"/>
      <c r="L73" s="1781" t="n"/>
      <c r="M73" s="1781" t="n"/>
      <c r="N73" s="1781" t="n"/>
      <c r="O73" s="1781" t="n"/>
      <c r="P73" s="1781" t="n"/>
      <c r="Q73" s="1781" t="n"/>
      <c r="R73" s="1781" t="n"/>
      <c r="S73" s="1781" t="n"/>
      <c r="T73" s="1781" t="n"/>
      <c r="U73" s="1781" t="n"/>
      <c r="V73" s="1781" t="n"/>
      <c r="W73" s="1781" t="n"/>
      <c r="X73" s="1781" t="n"/>
      <c r="Y73" s="1781" t="n"/>
      <c r="Z73" s="1781" t="n"/>
      <c r="AA73" s="1781" t="n"/>
      <c r="AB73" s="1781" t="n"/>
      <c r="AC73" s="1781" t="n"/>
      <c r="AD73" s="1781" t="n"/>
      <c r="AE73" s="1781" t="n"/>
      <c r="AF73" s="1781" t="n"/>
      <c r="AG73" s="1781" t="n"/>
      <c r="AH73" s="1781" t="n"/>
      <c r="AZ73" s="1782" t="n"/>
      <c r="BA73" s="1782" t="n"/>
      <c r="BB73" s="1782" t="n"/>
      <c r="BC73" s="1782" t="n"/>
      <c r="BD73" s="1782" t="n"/>
      <c r="BE73" s="1782" t="n"/>
      <c r="BF73" s="1782" t="n"/>
      <c r="BG73" s="1782" t="n"/>
      <c r="BH73" s="1782" t="n"/>
      <c r="BI73" s="1782" t="n"/>
      <c r="BJ73" s="1782" t="n"/>
      <c r="BK73" s="1782" t="n"/>
      <c r="BL73" s="1782" t="n"/>
      <c r="BM73" s="1782" t="n"/>
      <c r="BN73" s="1782" t="n"/>
      <c r="BO73" s="1782" t="n"/>
      <c r="BP73" s="1782" t="n"/>
      <c r="BQ73" s="1782" t="n"/>
      <c r="BR73" s="1782" t="n"/>
      <c r="BS73" s="1782" t="n"/>
      <c r="BT73" s="1782" t="n"/>
      <c r="BU73" s="1782" t="n"/>
      <c r="BV73" s="1782" t="n"/>
      <c r="BW73" s="1782" t="n"/>
      <c r="BX73" s="1782" t="n"/>
      <c r="BY73" s="1782" t="n"/>
      <c r="BZ73" s="1782" t="n"/>
      <c r="CA73" s="1782" t="n"/>
      <c r="CB73" s="1782" t="n"/>
      <c r="CC73" s="1782" t="n"/>
      <c r="CD73" s="1782" t="n"/>
      <c r="CF73" s="1782" t="n"/>
      <c r="CG73" s="1782" t="n"/>
      <c r="CH73" s="1782" t="n"/>
    </row>
    <row r="74">
      <c r="B74" s="1781" t="n"/>
      <c r="C74" s="1781" t="n"/>
      <c r="D74" s="1781" t="n"/>
      <c r="E74" s="1781" t="n"/>
      <c r="F74" s="1781" t="n"/>
      <c r="G74" s="1781" t="n"/>
      <c r="H74" s="1781" t="n"/>
      <c r="I74" s="1781" t="n"/>
      <c r="J74" s="1781" t="n"/>
      <c r="K74" s="1781" t="n"/>
      <c r="L74" s="1781" t="n"/>
      <c r="M74" s="1781" t="n"/>
      <c r="N74" s="1781" t="n"/>
      <c r="O74" s="1781" t="n"/>
      <c r="P74" s="1781" t="n"/>
      <c r="Q74" s="1781" t="n"/>
      <c r="R74" s="1781" t="n"/>
      <c r="S74" s="1781" t="n"/>
      <c r="T74" s="1781" t="n"/>
      <c r="U74" s="1781" t="n"/>
      <c r="V74" s="1781" t="n"/>
      <c r="W74" s="1781" t="n"/>
      <c r="X74" s="1781" t="n"/>
      <c r="Y74" s="1781" t="n"/>
      <c r="Z74" s="1781" t="n"/>
      <c r="AA74" s="1781" t="n"/>
      <c r="AB74" s="1781" t="n"/>
      <c r="AC74" s="1781" t="n"/>
      <c r="AD74" s="1781" t="n"/>
      <c r="AE74" s="1781" t="n"/>
      <c r="AF74" s="1781" t="n"/>
      <c r="AG74" s="1781" t="n"/>
      <c r="AH74" s="1781" t="n"/>
      <c r="AZ74" s="1782" t="n"/>
      <c r="BA74" s="1782" t="n"/>
      <c r="BB74" s="1782" t="n"/>
      <c r="BC74" s="1782" t="n"/>
      <c r="BD74" s="1782" t="n"/>
      <c r="BE74" s="1782" t="n"/>
      <c r="BF74" s="1782" t="n"/>
      <c r="BG74" s="1782" t="n"/>
      <c r="BH74" s="1782" t="n"/>
      <c r="BI74" s="1782" t="n"/>
      <c r="BJ74" s="1782" t="n"/>
      <c r="BK74" s="1782" t="n"/>
      <c r="BL74" s="1782" t="n"/>
      <c r="BM74" s="1782" t="n"/>
      <c r="BN74" s="1782" t="n"/>
      <c r="BO74" s="1782" t="n"/>
      <c r="BP74" s="1782" t="n"/>
      <c r="BQ74" s="1782" t="n"/>
      <c r="BR74" s="1782" t="n"/>
      <c r="BS74" s="1782" t="n"/>
      <c r="BT74" s="1782" t="n"/>
      <c r="BU74" s="1782" t="n"/>
      <c r="BV74" s="1782" t="n"/>
      <c r="BW74" s="1782" t="n"/>
      <c r="BX74" s="1782" t="n"/>
      <c r="BY74" s="1782" t="n"/>
      <c r="BZ74" s="1782" t="n"/>
      <c r="CA74" s="1782" t="n"/>
      <c r="CB74" s="1782" t="n"/>
      <c r="CC74" s="1782" t="n"/>
      <c r="CD74" s="1782" t="n"/>
      <c r="CF74" s="1782" t="n"/>
      <c r="CG74" s="1782" t="n"/>
      <c r="CH74" s="1782" t="n"/>
    </row>
    <row r="75" ht="16" customHeight="1">
      <c r="B75" s="1781" t="n"/>
      <c r="C75" s="1781" t="n"/>
      <c r="D75" s="2086">
        <f>Languages!B255</f>
        <v/>
      </c>
      <c r="E75" s="1781" t="n"/>
      <c r="F75" s="1781" t="n"/>
      <c r="G75" s="1781" t="n"/>
      <c r="H75" s="1781" t="n"/>
      <c r="I75" s="1781" t="n"/>
      <c r="J75" s="1781" t="n"/>
      <c r="K75" s="1781" t="n"/>
      <c r="L75" s="1781" t="n"/>
      <c r="M75" s="1781" t="n"/>
      <c r="N75" s="1781" t="n"/>
      <c r="O75" s="1781" t="n"/>
      <c r="P75" s="1781" t="n"/>
      <c r="Q75" s="1781" t="n"/>
      <c r="R75" s="1781" t="n"/>
      <c r="S75" s="1781" t="n"/>
      <c r="T75" s="1781" t="n"/>
      <c r="U75" s="1781" t="n"/>
      <c r="V75" s="1781" t="n"/>
      <c r="W75" s="1827" t="n"/>
      <c r="X75" s="1827" t="n"/>
      <c r="Y75" s="1827" t="n"/>
      <c r="Z75" s="1827" t="n"/>
      <c r="AA75" s="1827" t="n"/>
      <c r="AB75" s="1827" t="n"/>
      <c r="AC75" s="1827" t="n"/>
      <c r="AD75" s="1827" t="n"/>
      <c r="AE75" s="1827" t="n"/>
      <c r="AF75" s="1827" t="n"/>
      <c r="AG75" s="1827" t="n"/>
      <c r="AH75" s="1781" t="n"/>
      <c r="AZ75" s="1782" t="n"/>
      <c r="BA75" s="1782" t="n"/>
      <c r="BB75" s="1782" t="n"/>
      <c r="BC75" s="1782" t="n"/>
      <c r="BD75" s="1782" t="n"/>
      <c r="BE75" s="1782" t="n"/>
      <c r="BF75" s="1782" t="n"/>
      <c r="BG75" s="1782" t="n"/>
      <c r="BH75" s="1782" t="n"/>
      <c r="BI75" s="1782" t="n"/>
      <c r="BJ75" s="1782" t="n"/>
      <c r="BK75" s="1782" t="n"/>
      <c r="BL75" s="1782" t="n"/>
      <c r="BM75" s="1782" t="n"/>
      <c r="BN75" s="1782" t="n"/>
      <c r="BO75" s="1782" t="n"/>
      <c r="BP75" s="1782" t="n"/>
      <c r="BQ75" s="1782" t="n"/>
      <c r="BR75" s="1782" t="n"/>
      <c r="BS75" s="1782" t="n"/>
      <c r="BT75" s="1782" t="n"/>
      <c r="BU75" s="1782" t="n"/>
      <c r="BV75" s="1782" t="n"/>
      <c r="BW75" s="1782" t="n"/>
      <c r="BX75" s="1782" t="n"/>
      <c r="BY75" s="1782" t="n"/>
      <c r="BZ75" s="1782" t="n"/>
      <c r="CA75" s="1782" t="n"/>
      <c r="CB75" s="1782" t="n"/>
      <c r="CC75" s="1782" t="n"/>
      <c r="CD75" s="1782" t="n"/>
      <c r="CF75" s="1782" t="n"/>
      <c r="CG75" s="1782" t="n"/>
      <c r="CH75" s="1782" t="n"/>
    </row>
    <row r="76">
      <c r="B76" s="1781" t="n"/>
      <c r="C76" s="1781" t="n"/>
      <c r="D76" s="1781" t="n"/>
      <c r="E76" s="1781" t="n"/>
      <c r="F76" s="1781" t="n"/>
      <c r="G76" s="1781" t="n"/>
      <c r="H76" s="1781" t="n"/>
      <c r="I76" s="1781" t="n"/>
      <c r="J76" s="1781" t="n"/>
      <c r="K76" s="1781" t="n"/>
      <c r="L76" s="1781" t="n"/>
      <c r="M76" s="1781" t="n"/>
      <c r="N76" s="1781" t="n"/>
      <c r="O76" s="1781" t="n"/>
      <c r="P76" s="1781" t="n"/>
      <c r="Q76" s="1781" t="n"/>
      <c r="R76" s="1781" t="n"/>
      <c r="S76" s="1781" t="n"/>
      <c r="T76" s="1781" t="n"/>
      <c r="U76" s="1781" t="n"/>
      <c r="V76" s="1781" t="n"/>
      <c r="W76" s="1853" t="n"/>
      <c r="X76" s="1853" t="n"/>
      <c r="Y76" s="1853" t="n"/>
      <c r="Z76" s="1853" t="n"/>
      <c r="AA76" s="1853" t="n"/>
      <c r="AB76" s="2019" t="inlineStr">
        <is>
          <t>Total livestock (tCO2-e)</t>
        </is>
      </c>
      <c r="AC76" s="1853" t="n"/>
      <c r="AD76" s="2039">
        <f>SUM(AD56:AD72)</f>
        <v/>
      </c>
      <c r="AE76" s="2039">
        <f>SUM(AE56:AE72)</f>
        <v/>
      </c>
      <c r="AF76" s="2009" t="n"/>
      <c r="AG76" s="1860">
        <f>SUM(AG56:AG72)</f>
        <v/>
      </c>
      <c r="AH76" s="1781" t="n"/>
      <c r="AZ76" s="1782" t="n"/>
      <c r="BA76" s="1782">
        <f>Languages!B275</f>
        <v/>
      </c>
      <c r="BB76" s="1782" t="n"/>
      <c r="BC76" s="1782" t="n"/>
      <c r="BD76" s="1782" t="n"/>
      <c r="BE76" s="1782" t="n"/>
      <c r="BF76" s="1782" t="n"/>
      <c r="BG76" s="1782" t="n"/>
      <c r="BH76" s="1782" t="n"/>
      <c r="BI76" s="1782" t="n"/>
      <c r="BJ76" s="1782" t="n"/>
      <c r="BK76" s="1782" t="n"/>
      <c r="BL76" s="1782" t="n"/>
      <c r="BM76" s="1782" t="n"/>
      <c r="BN76" s="1782" t="n"/>
      <c r="BO76" s="1782" t="n"/>
      <c r="BP76" s="1782" t="n"/>
      <c r="BQ76" s="1782" t="n"/>
      <c r="BR76" s="1782" t="n"/>
      <c r="BS76" s="1782" t="n"/>
      <c r="BT76" s="1782" t="n"/>
      <c r="BU76" s="1782" t="n"/>
      <c r="BV76" s="1782" t="n"/>
      <c r="BW76" s="1782" t="n"/>
      <c r="BX76" s="1782" t="n"/>
      <c r="BY76" s="1782" t="n"/>
      <c r="BZ76" s="1782" t="n"/>
      <c r="CA76" s="1782" t="n"/>
      <c r="CB76" s="1782" t="n"/>
      <c r="CC76" s="1782" t="n"/>
      <c r="CD76" s="1782" t="n"/>
      <c r="CF76" s="1782" t="n"/>
      <c r="CG76" s="1782" t="n"/>
      <c r="CH76" s="1782" t="n"/>
    </row>
    <row r="77">
      <c r="B77" s="1781" t="n"/>
      <c r="C77" s="1781" t="n"/>
      <c r="D77" s="1781" t="n"/>
      <c r="E77" s="1781" t="n"/>
      <c r="F77" s="1781" t="n"/>
      <c r="G77" s="1781" t="n"/>
      <c r="H77" s="1781" t="n"/>
      <c r="I77" s="1781" t="n"/>
      <c r="J77" s="1781" t="n"/>
      <c r="K77" s="1781" t="n"/>
      <c r="L77" s="1781" t="n"/>
      <c r="M77" s="1781" t="n"/>
      <c r="N77" s="1781" t="n"/>
      <c r="O77" s="1781" t="n"/>
      <c r="P77" s="1781" t="n"/>
      <c r="Q77" s="1781" t="n"/>
      <c r="R77" s="1781" t="n"/>
      <c r="S77" s="1781" t="n"/>
      <c r="T77" s="1781" t="n"/>
      <c r="U77" s="1781" t="n"/>
      <c r="V77" s="1781" t="n"/>
      <c r="W77" s="1781" t="n"/>
      <c r="X77" s="1781" t="n"/>
      <c r="Y77" s="1781" t="n"/>
      <c r="Z77" s="1781" t="n"/>
      <c r="AA77" s="1781" t="n"/>
      <c r="AB77" s="1781" t="n"/>
      <c r="AC77" s="1781" t="n"/>
      <c r="AD77" s="1781" t="n"/>
      <c r="AE77" s="1781" t="n"/>
      <c r="AF77" s="1781" t="n"/>
      <c r="AG77" s="1781" t="n"/>
      <c r="AH77" s="1781" t="n"/>
      <c r="AZ77" s="1782" t="n"/>
      <c r="BA77" s="1782" t="n"/>
      <c r="BB77" s="1782" t="n"/>
      <c r="BC77" s="1782" t="n"/>
      <c r="BD77" s="1782" t="n"/>
      <c r="BE77" s="1782" t="n"/>
      <c r="BF77" s="1782" t="n"/>
      <c r="BG77" s="1782" t="n"/>
      <c r="BH77" s="1782" t="n"/>
      <c r="BI77" s="1782" t="n"/>
      <c r="BJ77" s="1782" t="n"/>
      <c r="BK77" s="1782" t="n"/>
      <c r="BL77" s="1782" t="n"/>
      <c r="BM77" s="1782" t="n"/>
      <c r="BN77" s="1782" t="n"/>
      <c r="BO77" s="1782" t="n"/>
      <c r="BP77" s="1782" t="n"/>
      <c r="BQ77" s="1782" t="n"/>
      <c r="BR77" s="1782" t="n"/>
      <c r="BS77" s="1782" t="n"/>
      <c r="BT77" s="1782" t="n"/>
      <c r="BU77" s="1782" t="n"/>
      <c r="BV77" s="1782" t="n"/>
      <c r="BW77" s="1782" t="n"/>
      <c r="BX77" s="1782" t="n"/>
      <c r="BY77" s="1782" t="n"/>
      <c r="BZ77" s="1782" t="n"/>
      <c r="CA77" s="1782" t="n"/>
      <c r="CB77" s="1782" t="n"/>
      <c r="CC77" s="1782" t="n"/>
      <c r="CD77" s="1782" t="n"/>
      <c r="CF77" s="1782" t="n"/>
      <c r="CG77" s="1782" t="n"/>
      <c r="CH77" s="1782" t="n"/>
    </row>
    <row r="78">
      <c r="B78" s="1781" t="n"/>
      <c r="C78" s="1781" t="n"/>
      <c r="D78" s="1781" t="n"/>
      <c r="E78" s="1781" t="n"/>
      <c r="F78" s="1781" t="n"/>
      <c r="G78" s="1781" t="n"/>
      <c r="H78" s="1781" t="n"/>
      <c r="I78" s="1781" t="n"/>
      <c r="J78" s="1781" t="n"/>
      <c r="K78" s="1781" t="n"/>
      <c r="L78" s="1781" t="n"/>
      <c r="M78" s="1781" t="n"/>
      <c r="N78" s="1781" t="n"/>
      <c r="O78" s="1781" t="n"/>
      <c r="P78" s="1781" t="n"/>
      <c r="Q78" s="1781" t="n"/>
      <c r="R78" s="1781" t="n"/>
      <c r="S78" s="1781" t="n"/>
      <c r="T78" s="1781" t="n"/>
      <c r="U78" s="1781" t="n"/>
      <c r="V78" s="1781" t="n"/>
      <c r="W78" s="1781" t="n"/>
      <c r="X78" s="1781" t="n"/>
      <c r="Y78" s="1781" t="n"/>
      <c r="Z78" s="1781" t="n"/>
      <c r="AA78" s="1781" t="n"/>
      <c r="AB78" s="1781" t="n"/>
      <c r="AC78" s="1781" t="n"/>
      <c r="AD78" s="1781" t="n"/>
      <c r="AE78" s="1781" t="n"/>
      <c r="AF78" s="1781" t="n"/>
      <c r="AG78" s="1781" t="n"/>
      <c r="AH78" s="1781" t="n"/>
      <c r="AZ78" s="1782" t="n"/>
      <c r="BA78" s="1782" t="n"/>
      <c r="BB78" s="1782" t="n"/>
      <c r="BC78" s="1782" t="n"/>
      <c r="BD78" s="1782" t="n"/>
      <c r="BE78" s="1782" t="n"/>
      <c r="BF78" s="1782" t="n"/>
      <c r="BG78" s="1782" t="n"/>
      <c r="BH78" s="1782" t="n"/>
      <c r="BI78" s="1782" t="n"/>
      <c r="BJ78" s="1782" t="n"/>
      <c r="BK78" s="1782" t="n"/>
      <c r="BL78" s="1782" t="n"/>
      <c r="BM78" s="1782" t="n"/>
      <c r="BN78" s="1782" t="n"/>
      <c r="BO78" s="1782" t="n"/>
      <c r="BP78" s="1782" t="n"/>
      <c r="BQ78" s="1782" t="n"/>
      <c r="BR78" s="1782" t="n"/>
      <c r="BS78" s="1782" t="n"/>
      <c r="BT78" s="1782" t="n"/>
      <c r="BU78" s="1782" t="n"/>
      <c r="BV78" s="1782" t="n"/>
      <c r="BW78" s="1782" t="n"/>
      <c r="BX78" s="1782" t="n"/>
      <c r="BY78" s="1782" t="n"/>
      <c r="BZ78" s="1782" t="n"/>
      <c r="CA78" s="1782" t="n"/>
      <c r="CB78" s="1782" t="n"/>
      <c r="CC78" s="1782" t="n"/>
      <c r="CD78" s="1782" t="n"/>
      <c r="CF78" s="1782" t="n"/>
      <c r="CG78" s="1782" t="n"/>
      <c r="CH78" s="1782" t="n"/>
    </row>
    <row r="79">
      <c r="B79" s="1781" t="n"/>
      <c r="C79" s="1781" t="n"/>
      <c r="D79" s="1781" t="n"/>
      <c r="E79" s="1781" t="n"/>
      <c r="F79" s="1781" t="n"/>
      <c r="G79" s="1781" t="n"/>
      <c r="H79" s="1781" t="n"/>
      <c r="I79" s="1781" t="n"/>
      <c r="J79" s="1781" t="n"/>
      <c r="K79" s="1781" t="n"/>
      <c r="L79" s="1781" t="n"/>
      <c r="M79" s="1781" t="n"/>
      <c r="N79" s="1781" t="n"/>
      <c r="O79" s="1781" t="n"/>
      <c r="P79" s="1781" t="n"/>
      <c r="Q79" s="1781" t="n"/>
      <c r="R79" s="1781" t="n"/>
      <c r="S79" s="1781" t="n"/>
      <c r="T79" s="1781" t="n"/>
      <c r="U79" s="1781" t="n"/>
      <c r="V79" s="1781" t="n"/>
      <c r="W79" s="1781" t="n"/>
      <c r="X79" s="1781" t="n"/>
      <c r="Y79" s="1781" t="n"/>
      <c r="Z79" s="1781" t="n"/>
      <c r="AA79" s="1781" t="n"/>
      <c r="AB79" s="1781" t="n"/>
      <c r="AC79" s="1781" t="n"/>
      <c r="AD79" s="1781" t="n"/>
      <c r="AE79" s="1781" t="n"/>
      <c r="AF79" s="1781" t="n"/>
      <c r="AG79" s="1781" t="n"/>
      <c r="AH79" s="1781" t="n"/>
      <c r="AZ79" s="1782" t="n"/>
      <c r="BA79" s="1782">
        <f>BA38</f>
        <v/>
      </c>
      <c r="BB79" s="1782" t="n"/>
      <c r="BC79" s="1782" t="n"/>
      <c r="BD79" s="1782" t="n"/>
      <c r="BE79" s="1782" t="n"/>
      <c r="BF79" s="1782" t="n"/>
      <c r="BG79" s="1782" t="n"/>
      <c r="BH79" s="1782" t="n"/>
      <c r="BI79" s="1782" t="n"/>
      <c r="BJ79" s="1782" t="n"/>
      <c r="BK79" s="1782" t="n"/>
      <c r="BL79" s="1782" t="n"/>
      <c r="BM79" s="1782" t="n"/>
      <c r="BN79" s="1782" t="n"/>
      <c r="BO79" s="1782" t="n"/>
      <c r="BP79" s="1782" t="n"/>
      <c r="BQ79" s="1782" t="n"/>
      <c r="BR79" s="1782" t="n"/>
      <c r="BS79" s="1782" t="n"/>
      <c r="BT79" s="1782" t="n"/>
      <c r="BU79" s="1782" t="n"/>
      <c r="BV79" s="1782" t="n"/>
      <c r="BW79" s="1782" t="n"/>
      <c r="BX79" s="1782" t="n"/>
      <c r="BY79" s="1782" t="n"/>
      <c r="BZ79" s="1782" t="n"/>
      <c r="CA79" s="1782" t="n"/>
      <c r="CB79" s="1782" t="n"/>
      <c r="CC79" s="1782" t="n"/>
      <c r="CD79" s="1782" t="n"/>
      <c r="CF79" s="4548" t="inlineStr">
        <is>
          <t>Use this part only if you want to refine yearly GHG fluxes</t>
        </is>
      </c>
    </row>
    <row r="80">
      <c r="B80" s="1781" t="n"/>
      <c r="C80" s="1781" t="n"/>
      <c r="D80" s="1781" t="n"/>
      <c r="E80" s="1781" t="n"/>
      <c r="F80" s="1781" t="n"/>
      <c r="G80" s="1781" t="n"/>
      <c r="H80" s="1781" t="n"/>
      <c r="I80" s="1781" t="n"/>
      <c r="J80" s="1781" t="n"/>
      <c r="K80" s="1781" t="n"/>
      <c r="L80" s="1781" t="n"/>
      <c r="M80" s="1781" t="n"/>
      <c r="N80" s="1781" t="n"/>
      <c r="O80" s="1781" t="n"/>
      <c r="P80" s="1781" t="n"/>
      <c r="Q80" s="1781" t="n"/>
      <c r="R80" s="1781" t="n"/>
      <c r="S80" s="1781" t="n"/>
      <c r="T80" s="1781" t="n"/>
      <c r="U80" s="1781" t="n"/>
      <c r="V80" s="1781" t="n"/>
      <c r="W80" s="1781" t="n"/>
      <c r="X80" s="1781" t="n"/>
      <c r="Y80" s="1781" t="n"/>
      <c r="Z80" s="1781" t="n"/>
      <c r="AA80" s="1781" t="n"/>
      <c r="AB80" s="1781" t="n"/>
      <c r="AC80" s="1781" t="n"/>
      <c r="AD80" s="1781" t="n"/>
      <c r="AE80" s="1781" t="n"/>
      <c r="AF80" s="1781" t="n"/>
      <c r="AG80" s="1781" t="n"/>
      <c r="AH80" s="1781" t="n"/>
      <c r="AZ80" s="1782" t="n"/>
      <c r="BA80" s="1782" t="n"/>
      <c r="BB80" s="1782" t="n"/>
      <c r="BC80" s="1782" t="n"/>
      <c r="BD80" s="1782" t="n"/>
      <c r="BE80" s="1782" t="n"/>
      <c r="BF80" s="1782" t="n"/>
      <c r="BG80" s="1782" t="n"/>
      <c r="BH80" s="1782" t="n"/>
      <c r="BI80" s="1782" t="n"/>
      <c r="BJ80" s="1782" t="n"/>
      <c r="BK80" s="1782" t="n"/>
      <c r="BL80" s="1782" t="n"/>
      <c r="BM80" s="1782" t="n"/>
      <c r="BN80" s="1782" t="n"/>
      <c r="BO80" s="1782" t="n"/>
      <c r="BP80" s="1782" t="n"/>
      <c r="BQ80" s="1782" t="n"/>
      <c r="BR80" s="1782" t="n"/>
      <c r="BS80" s="1782" t="n"/>
      <c r="BT80" s="1782" t="n"/>
      <c r="BU80" s="1782" t="n"/>
      <c r="BV80" s="1782" t="n"/>
      <c r="BW80" s="1782" t="n"/>
      <c r="BX80" s="1782" t="n"/>
      <c r="BY80" s="1782" t="n"/>
      <c r="BZ80" s="1782" t="n"/>
      <c r="CA80" s="1782" t="n"/>
      <c r="CB80" s="1782" t="n"/>
      <c r="CC80" s="1782" t="n"/>
      <c r="CD80" s="1782" t="n"/>
    </row>
    <row r="81" ht="16" customHeight="1">
      <c r="B81" s="1781" t="n"/>
      <c r="C81" s="2086">
        <f>Languages!B257</f>
        <v/>
      </c>
      <c r="D81" s="1781" t="n"/>
      <c r="E81" s="1781" t="n"/>
      <c r="F81" s="1781" t="n"/>
      <c r="G81" s="1781" t="n"/>
      <c r="H81" s="1781" t="n"/>
      <c r="I81" s="1781" t="n"/>
      <c r="J81" s="1781" t="n"/>
      <c r="K81" s="1781" t="n"/>
      <c r="L81" s="1781" t="n"/>
      <c r="M81" s="1781" t="n"/>
      <c r="N81" s="1781" t="n"/>
      <c r="O81" s="1781" t="n"/>
      <c r="P81" s="1781" t="n"/>
      <c r="Q81" s="1781" t="n"/>
      <c r="R81" s="1781" t="n"/>
      <c r="S81" s="1781" t="n"/>
      <c r="T81" s="1781" t="n"/>
      <c r="U81" s="1781" t="n"/>
      <c r="V81" s="1781" t="n"/>
      <c r="W81" s="1781" t="n"/>
      <c r="X81" s="1781" t="n"/>
      <c r="Y81" s="1781" t="n"/>
      <c r="Z81" s="1781" t="n"/>
      <c r="AA81" s="1781" t="n"/>
      <c r="AB81" s="1781" t="n"/>
      <c r="AC81" s="1781" t="n"/>
      <c r="AD81" s="1781" t="n"/>
      <c r="AE81" s="1781" t="n"/>
      <c r="AF81" s="1781" t="n"/>
      <c r="AG81" s="1781" t="n"/>
      <c r="AH81" s="1781" t="n"/>
      <c r="AZ81" s="1782" t="n"/>
      <c r="BA81" s="1782">
        <f>BA39</f>
        <v/>
      </c>
      <c r="BB81" s="1782" t="n"/>
      <c r="BC81" s="1782" t="n"/>
      <c r="BD81" s="1782" t="n"/>
      <c r="BE81" s="1782" t="n"/>
      <c r="BF81" s="1782" t="n"/>
      <c r="BG81" s="1782" t="n"/>
      <c r="BH81" s="1782" t="n"/>
      <c r="BI81" s="1782" t="n"/>
      <c r="BJ81" s="1782" t="n"/>
      <c r="BK81" s="1782" t="n"/>
      <c r="BL81" s="1782" t="n"/>
      <c r="BM81" s="1782" t="n"/>
      <c r="BN81" s="1782" t="n"/>
      <c r="BO81" s="1782" t="n"/>
      <c r="BP81" s="1782" t="n"/>
      <c r="BQ81" s="1782" t="n"/>
      <c r="BR81" s="1782" t="n"/>
      <c r="BS81" s="1782" t="n"/>
      <c r="BT81" s="1782" t="n"/>
      <c r="BU81" s="1782" t="n"/>
      <c r="BV81" s="1782" t="n"/>
      <c r="BW81" s="1782" t="n"/>
      <c r="BX81" s="1782" t="n"/>
      <c r="BY81" s="1782" t="n"/>
      <c r="BZ81" s="1782" t="n"/>
      <c r="CA81" s="1782" t="n"/>
      <c r="CB81" s="1782" t="n"/>
      <c r="CC81" s="1782" t="n"/>
      <c r="CD81" s="1782" t="n"/>
    </row>
    <row r="82">
      <c r="B82" s="1781" t="n"/>
      <c r="C82" s="1781">
        <f>C40</f>
        <v/>
      </c>
      <c r="D82" s="1781" t="n"/>
      <c r="E82" s="1781" t="n"/>
      <c r="F82" s="1781" t="n"/>
      <c r="G82" s="1781" t="n"/>
      <c r="H82" s="1781" t="n"/>
      <c r="I82" s="1781" t="n"/>
      <c r="J82" s="1781" t="n"/>
      <c r="K82" s="1781" t="n"/>
      <c r="L82" s="1781" t="n"/>
      <c r="M82" s="1781" t="n"/>
      <c r="N82" s="1781" t="n"/>
      <c r="O82" s="1781" t="n"/>
      <c r="P82" s="1781" t="n"/>
      <c r="Q82" s="1781" t="n"/>
      <c r="R82" s="1781" t="n"/>
      <c r="S82" s="1781" t="n"/>
      <c r="T82" s="1781" t="n"/>
      <c r="U82" s="1781" t="n"/>
      <c r="V82" s="1781" t="n"/>
      <c r="W82" s="1781" t="n"/>
      <c r="X82" s="1781" t="n"/>
      <c r="Y82" s="1781" t="n"/>
      <c r="Z82" s="1781" t="n"/>
      <c r="AA82" s="1781" t="n"/>
      <c r="AB82" s="1781" t="n"/>
      <c r="AC82" s="1781" t="n"/>
      <c r="AD82" s="1781" t="n"/>
      <c r="AE82" s="1781" t="n"/>
      <c r="AF82" s="1781" t="n"/>
      <c r="AG82" s="1781" t="n"/>
      <c r="AH82" s="1781" t="n"/>
      <c r="AZ82" s="1782" t="n"/>
      <c r="BA82" s="1782" t="n"/>
      <c r="BB82" s="1782" t="n"/>
      <c r="BC82" s="1782" t="n"/>
      <c r="BD82" s="1782" t="n"/>
      <c r="BE82" s="1782" t="n"/>
      <c r="BF82" s="1782" t="n"/>
      <c r="BG82" s="1782" t="n"/>
      <c r="BH82" s="1782" t="n"/>
      <c r="BI82" s="1782" t="n"/>
      <c r="BJ82" s="1782" t="n"/>
      <c r="BK82" s="1782" t="n"/>
      <c r="BL82" s="1782" t="n"/>
      <c r="BM82" s="1782" t="n"/>
      <c r="BN82" s="1782" t="n"/>
      <c r="BO82" s="1782" t="n"/>
      <c r="BP82" s="1782" t="n"/>
      <c r="BQ82" s="1782" t="n"/>
      <c r="BR82" s="1782" t="n"/>
      <c r="BS82" s="1782" t="n"/>
      <c r="BT82" s="1782" t="n"/>
      <c r="BU82" s="1782" t="n"/>
      <c r="BV82" s="1782" t="n"/>
      <c r="BW82" s="1782" t="n"/>
      <c r="BX82" s="1782" t="n"/>
      <c r="BY82" s="1782" t="n"/>
      <c r="BZ82" s="1782" t="n"/>
      <c r="CA82" s="1782" t="n"/>
      <c r="CB82" s="1782" t="n"/>
      <c r="CC82" s="1782" t="n"/>
      <c r="CD82" s="1782" t="n"/>
      <c r="CF82" s="1782" t="n"/>
      <c r="CG82" s="1782" t="n"/>
      <c r="CH82" s="1782" t="n"/>
    </row>
    <row r="556" ht="17" customHeight="1">
      <c r="C556" s="2347" t="n"/>
      <c r="D556" s="2348" t="n"/>
    </row>
    <row r="558">
      <c r="C558" s="2349" t="n"/>
      <c r="H558" s="1965" t="n"/>
      <c r="I558" s="1965" t="n"/>
      <c r="J558" s="1965" t="n"/>
    </row>
    <row r="559">
      <c r="C559" s="2350" t="n"/>
      <c r="D559" s="1965" t="n"/>
      <c r="E559" s="1965" t="n"/>
    </row>
    <row r="561">
      <c r="C561" s="2349" t="n"/>
    </row>
    <row r="562">
      <c r="C562" s="2351" t="n"/>
      <c r="D562" s="1898" t="n"/>
    </row>
    <row r="565">
      <c r="C565" s="2352" t="n"/>
    </row>
    <row r="566">
      <c r="C566" s="2351" t="n"/>
    </row>
    <row r="567">
      <c r="C567" s="2351" t="n"/>
    </row>
    <row r="569">
      <c r="C569" s="2352" t="n"/>
    </row>
    <row r="570">
      <c r="C570" s="2352" t="n"/>
    </row>
    <row r="572">
      <c r="C572" s="2352" t="n"/>
    </row>
    <row r="573">
      <c r="C573" s="2352" t="n"/>
    </row>
  </sheetData>
  <sheetProtection selectLockedCells="0" selectUnlockedCells="0" algorithmName="SHA-512" sheet="1" objects="0" insertRows="1" insertHyperlinks="1" autoFilter="1" scenarios="0" formatColumns="0" deleteColumns="1" insertColumns="1" pivotTables="1" deleteRows="1" formatCells="1" saltValue="l15EDHko6H4HJh10+oOfuA==" formatRows="1" sort="1" spinCount="100000" hashValue="U9At4jSpUgsUEwWYhQP69Z1MUYrFu7hGR+LbUZq9QzRYS9FEUF5freKr/XKcZ6wtoIzxZtCO7T4dY+gdG8RGoA=="/>
  <mergeCells count="3">
    <mergeCell ref="AT5:AV5"/>
    <mergeCell ref="BQ37:BS39"/>
    <mergeCell ref="CF79:CH81"/>
  </mergeCells>
  <conditionalFormatting sqref="G13:G16">
    <cfRule type="expression" priority="10" dxfId="221">
      <formula>$W13&lt;&gt;0</formula>
    </cfRule>
  </conditionalFormatting>
  <conditionalFormatting sqref="I13:I16">
    <cfRule type="expression" priority="9" dxfId="221">
      <formula>$X13&lt;&gt;0</formula>
    </cfRule>
  </conditionalFormatting>
  <conditionalFormatting sqref="K13:K16">
    <cfRule type="expression" priority="8" dxfId="221">
      <formula>$Z13&lt;&gt;0</formula>
    </cfRule>
  </conditionalFormatting>
  <conditionalFormatting sqref="BF13:BF16">
    <cfRule type="expression" priority="2" dxfId="221">
      <formula>$X13&lt;&gt;0</formula>
    </cfRule>
  </conditionalFormatting>
  <conditionalFormatting sqref="BH13:BH16">
    <cfRule type="expression" priority="1" dxfId="221">
      <formula>$Z13&lt;&gt;0</formula>
    </cfRule>
  </conditionalFormatting>
  <conditionalFormatting sqref="BW56:BW72 BY56:CC72">
    <cfRule type="expression" priority="5" dxfId="320">
      <formula>OR($BA56="Deer",$BA56="Ostrich")</formula>
    </cfRule>
  </conditionalFormatting>
  <conditionalFormatting sqref="BY56:BZ72">
    <cfRule type="expression" priority="465" dxfId="320">
      <formula>OR($BW56="Regional share",$BW56="Please select")</formula>
    </cfRule>
  </conditionalFormatting>
  <conditionalFormatting sqref="CB56:CB72">
    <cfRule type="expression" priority="4" dxfId="320">
      <formula>OR($BW56="please select",$BW56="Regional share")</formula>
    </cfRule>
  </conditionalFormatting>
  <conditionalFormatting sqref="CC56:CC72">
    <cfRule type="expression" priority="6" dxfId="320">
      <formula>OR($BW56="Please select",BW56="Regional share")</formula>
    </cfRule>
  </conditionalFormatting>
  <dataValidations count="1">
    <dataValidation sqref="S13:U16 S26:U35 W26:W35 BD13:BD16 BD26:BD35 BF13:BF16 BF26:BF35 BH13:BH16 BH26:BH35 BJ13:BJ16 BJ26:BJ35 BM13:BM16 BM26:BM35" showDropDown="0" showInputMessage="1" showErrorMessage="1" allowBlank="0" type="decimal" operator="greaterThanOrEqual">
      <formula1>0</formula1>
    </dataValidation>
  </dataValidations>
  <pageMargins left="0.7" right="0.7" top="0.75" bottom="0.75" header="0.3" footer="0.3"/>
  <pageSetup orientation="portrait" paperSize="9"/>
</worksheet>
</file>

<file path=xl/worksheets/sheet13.xml><?xml version="1.0" encoding="utf-8"?>
<worksheet xmlns:r="http://schemas.openxmlformats.org/officeDocument/2006/relationships" xmlns="http://schemas.openxmlformats.org/spreadsheetml/2006/main">
  <sheetPr codeName="Sheet10">
    <outlinePr summaryBelow="1" summaryRight="1"/>
    <pageSetUpPr/>
  </sheetPr>
  <dimension ref="A1:AV49"/>
  <sheetViews>
    <sheetView showGridLines="0" zoomScale="80" zoomScaleNormal="80" workbookViewId="0">
      <selection activeCell="C33" sqref="C33"/>
    </sheetView>
  </sheetViews>
  <sheetFormatPr baseColWidth="10" defaultColWidth="8.6640625" defaultRowHeight="14"/>
  <cols>
    <col width="46.5" bestFit="1" customWidth="1" style="1324" min="1" max="1"/>
    <col width="39" customWidth="1" style="1324" min="2" max="2"/>
    <col width="10.5" customWidth="1" style="1324" min="3" max="3"/>
    <col width="22.5" customWidth="1" style="1324" min="4" max="4"/>
    <col width="32.5" bestFit="1" customWidth="1" style="1324" min="5" max="5"/>
    <col width="23.5" bestFit="1" customWidth="1" style="1324" min="6" max="6"/>
    <col width="10.5" customWidth="1" style="1324" min="7" max="10"/>
    <col width="11.5" customWidth="1" style="1324" min="11" max="11"/>
    <col width="17.5" customWidth="1" style="1324" min="12" max="12"/>
    <col width="15.5" customWidth="1" style="1324" min="13" max="13"/>
    <col width="11" customWidth="1" style="1324" min="14" max="14"/>
    <col width="8.6640625" customWidth="1" style="1324" min="15" max="15"/>
    <col width="12.5" customWidth="1" style="1324" min="16" max="16"/>
    <col width="12.6640625" customWidth="1" style="1324" min="17" max="17"/>
    <col width="12.5" customWidth="1" style="1324" min="18" max="18"/>
    <col width="26.33203125" bestFit="1" customWidth="1" style="1324" min="19" max="19"/>
    <col width="29.6640625" bestFit="1" customWidth="1" style="1324" min="20" max="20"/>
    <col width="24.5" bestFit="1" customWidth="1" style="1324" min="21" max="21"/>
    <col width="20.5" customWidth="1" style="1324" min="22" max="22"/>
    <col width="20.5" bestFit="1" customWidth="1" style="1324" min="23" max="23"/>
    <col width="36" bestFit="1" customWidth="1" style="1324" min="24" max="24"/>
    <col width="15.5" customWidth="1" style="1324" min="25" max="25"/>
    <col width="13.5" customWidth="1" style="1324" min="26" max="26"/>
    <col width="8.6640625" customWidth="1" style="1324" min="27" max="27"/>
    <col width="8.6640625" customWidth="1" style="973" min="28" max="29"/>
    <col width="8.6640625" customWidth="1" style="1324" min="30" max="31"/>
    <col width="38.6640625" bestFit="1" customWidth="1" style="1324" min="32" max="32"/>
    <col width="8.6640625" customWidth="1" style="1324" min="33" max="34"/>
    <col width="16.5" bestFit="1" customWidth="1" style="1324" min="35" max="35"/>
    <col width="8.6640625" customWidth="1" style="1324" min="36" max="37"/>
    <col width="12.33203125" bestFit="1" customWidth="1" style="1324" min="38" max="38"/>
    <col width="9.5" bestFit="1" customWidth="1" style="1324" min="39" max="39"/>
    <col width="8.6640625" customWidth="1" style="1324" min="40" max="40"/>
    <col width="9.5" bestFit="1" customWidth="1" style="1324" min="41" max="41"/>
    <col width="8.6640625" customWidth="1" style="1324" min="42" max="43"/>
    <col width="12.5" bestFit="1" customWidth="1" style="1324" min="44" max="44"/>
    <col width="11.5" bestFit="1" customWidth="1" style="1324" min="45" max="45"/>
    <col width="17.33203125" customWidth="1" style="1324" min="46" max="46"/>
    <col width="15.5" customWidth="1" style="1324" min="47" max="47"/>
    <col width="8.6640625" customWidth="1" style="1324" min="48" max="16384"/>
  </cols>
  <sheetData>
    <row r="1" ht="23" customFormat="1" customHeight="1" s="973">
      <c r="A1" s="2970" t="n"/>
      <c r="B1" s="2971" t="n"/>
      <c r="C1" s="2972" t="n"/>
      <c r="F1" s="2972" t="n"/>
      <c r="H1" s="1688" t="n"/>
    </row>
    <row r="2" ht="65.25" customFormat="1" customHeight="1" s="973">
      <c r="A2" s="1605" t="inlineStr">
        <is>
          <t>4.1. Grassland management</t>
        </is>
      </c>
      <c r="B2" s="2973" t="n"/>
      <c r="C2" s="1398" t="n"/>
      <c r="D2" s="1398" t="n"/>
      <c r="E2" s="1398" t="n"/>
      <c r="F2" s="1398" t="n"/>
      <c r="G2" s="1398" t="n"/>
      <c r="H2" s="2974" t="n"/>
      <c r="I2" s="1398" t="n"/>
      <c r="J2" s="1398" t="n"/>
      <c r="K2" s="2975" t="n"/>
      <c r="L2" s="1398" t="n"/>
      <c r="M2" s="1398" t="n"/>
      <c r="N2" s="1398" t="n"/>
      <c r="O2" s="1398" t="n"/>
      <c r="P2" s="1398" t="n"/>
      <c r="Q2" s="1398" t="n"/>
      <c r="R2" s="1398" t="n"/>
      <c r="S2" s="1398" t="n"/>
      <c r="T2" s="1398" t="n"/>
      <c r="U2" s="1398" t="n"/>
      <c r="V2" s="1398" t="n"/>
      <c r="W2" s="1398" t="n"/>
      <c r="X2" s="1398" t="n"/>
      <c r="Y2" s="1398" t="n"/>
      <c r="Z2" s="1398" t="n"/>
      <c r="AA2" s="1398" t="n"/>
      <c r="AB2" s="1398" t="n"/>
      <c r="AC2" s="1398" t="n"/>
      <c r="AD2" s="1398" t="n"/>
      <c r="AE2" s="1398" t="n"/>
      <c r="AF2" s="1398" t="n"/>
      <c r="AG2" s="1398" t="n"/>
      <c r="AH2" s="1398" t="n"/>
      <c r="AI2" s="1398" t="n"/>
      <c r="AJ2" s="1398" t="n"/>
      <c r="AK2" s="1398" t="n"/>
      <c r="AL2" s="1398" t="n"/>
      <c r="AM2" s="1398" t="n"/>
      <c r="AN2" s="1398" t="n"/>
      <c r="AO2" s="1398" t="n"/>
      <c r="AP2" s="1398" t="n"/>
      <c r="AQ2" s="1398" t="n"/>
      <c r="AR2" s="1398" t="n"/>
      <c r="AS2" s="1398" t="n"/>
      <c r="AT2" s="1398" t="n"/>
      <c r="AU2" s="1398" t="n"/>
      <c r="AV2" s="1398" t="n"/>
    </row>
    <row r="3" ht="23" customFormat="1" customHeight="1" s="973">
      <c r="H3" s="1688" t="n"/>
      <c r="X3" s="2976">
        <f>soil</f>
        <v/>
      </c>
    </row>
    <row r="4" ht="23" customFormat="1" customHeight="1" s="1609">
      <c r="D4" s="973" t="n"/>
      <c r="H4" s="1575" t="n"/>
      <c r="I4" s="973" t="n"/>
      <c r="J4" s="973" t="n"/>
      <c r="K4" s="973" t="n"/>
      <c r="X4" s="2976">
        <f>clim_moist</f>
        <v/>
      </c>
      <c r="AN4" s="973" t="n"/>
      <c r="AO4" s="973" t="n"/>
      <c r="AP4" s="973" t="n"/>
      <c r="AQ4" s="973" t="n"/>
      <c r="AR4" s="973" t="n"/>
      <c r="AS4" s="973" t="n"/>
      <c r="AT4" s="973" t="n"/>
    </row>
    <row r="6">
      <c r="B6" s="2977" t="inlineStr">
        <is>
          <t>Description of Grassland type, their management and areas (ha)</t>
        </is>
      </c>
      <c r="C6" s="2978" t="n"/>
      <c r="D6" s="2979" t="n"/>
      <c r="E6" s="2979" t="n"/>
      <c r="F6" s="2979" t="n"/>
      <c r="G6" s="2978" t="n"/>
      <c r="H6" s="2978" t="n"/>
      <c r="I6" s="2978" t="n"/>
      <c r="J6" s="2978" t="n"/>
      <c r="K6" s="2978" t="n"/>
      <c r="L6" s="2978" t="n"/>
      <c r="M6" s="2978" t="n"/>
      <c r="N6" s="2978" t="n"/>
      <c r="O6" s="2978" t="n"/>
      <c r="P6" s="2978" t="n"/>
      <c r="Q6" s="2978" t="n"/>
      <c r="R6" s="2978" t="n"/>
      <c r="S6" s="2978" t="n"/>
      <c r="T6" s="2978" t="n"/>
      <c r="U6" s="2980" t="n"/>
      <c r="V6" s="2981" t="inlineStr">
        <is>
          <t>Table 6.4 in IPCC 2006</t>
        </is>
      </c>
      <c r="W6" s="2981" t="inlineStr">
        <is>
          <t>Updated Table 2.6, in IPCC 2019</t>
        </is>
      </c>
      <c r="X6" s="2982" t="inlineStr">
        <is>
          <t>AGB x Cf x Gef (savanna)</t>
        </is>
      </c>
      <c r="Y6" s="2983" t="inlineStr">
        <is>
          <t>AGB x Cf x Gef (savanna)</t>
        </is>
      </c>
      <c r="Z6" s="2984" t="n"/>
      <c r="AB6" s="1688" t="n"/>
      <c r="AG6" s="3049" t="inlineStr">
        <is>
          <t>All preriod</t>
        </is>
      </c>
      <c r="AH6" s="2886" t="n"/>
      <c r="AI6" s="2886" t="n"/>
      <c r="AJ6" s="2886" t="n"/>
      <c r="AK6" s="3050" t="inlineStr">
        <is>
          <t>Implementation phase alone</t>
        </is>
      </c>
      <c r="AL6" s="2925" t="n"/>
      <c r="AM6" s="2925" t="n"/>
      <c r="AN6" s="2925" t="n"/>
      <c r="AO6" s="2925" t="n"/>
      <c r="AP6" s="2925" t="n"/>
    </row>
    <row r="7">
      <c r="B7" s="2985" t="inlineStr">
        <is>
          <t>Description of the systems</t>
        </is>
      </c>
      <c r="C7" s="2986" t="n"/>
      <c r="D7" s="2987" t="n"/>
      <c r="E7" s="2988" t="inlineStr">
        <is>
          <t>Final State of the grassland</t>
        </is>
      </c>
      <c r="F7" s="2989" t="n"/>
      <c r="G7" s="2990" t="inlineStr">
        <is>
          <t>Fire  used to manage</t>
        </is>
      </c>
      <c r="H7" s="2991" t="n"/>
      <c r="I7" s="2992" t="n"/>
      <c r="J7" s="2993" t="n"/>
      <c r="K7" s="4346" t="inlineStr">
        <is>
          <t>SOC initial in tC/ha</t>
        </is>
      </c>
      <c r="L7" s="4346" t="n"/>
      <c r="M7" s="2998" t="inlineStr">
        <is>
          <t>SOC (after 20 yrs) in tC/ha</t>
        </is>
      </c>
      <c r="N7" s="362" t="n"/>
      <c r="O7" s="362" t="n"/>
      <c r="P7" s="365" t="n"/>
      <c r="Q7" s="2994" t="inlineStr">
        <is>
          <t>Delta Soil C*</t>
        </is>
      </c>
      <c r="R7" s="2995" t="n"/>
      <c r="S7" s="2996" t="n"/>
      <c r="T7" s="2997" t="inlineStr">
        <is>
          <t>Yield (t/ha)</t>
        </is>
      </c>
      <c r="U7" s="2997" t="n"/>
      <c r="V7" s="2998" t="inlineStr">
        <is>
          <t>AGB of savannas</t>
        </is>
      </c>
      <c r="W7" s="2998" t="inlineStr">
        <is>
          <t>Cf</t>
        </is>
      </c>
      <c r="X7" s="2981" t="n"/>
      <c r="Y7" s="2999" t="inlineStr">
        <is>
          <t>tCO2-e/ha/year</t>
        </is>
      </c>
      <c r="Z7" s="2999" t="inlineStr">
        <is>
          <t>tCO2-e/ha/year</t>
        </is>
      </c>
      <c r="AB7" s="1688" t="n"/>
      <c r="AG7" s="2886" t="n"/>
      <c r="AH7" s="2886" t="n"/>
      <c r="AI7" s="2886" t="n"/>
      <c r="AJ7" s="2886" t="n"/>
      <c r="AK7" s="2926" t="inlineStr">
        <is>
          <t>time_tot= time and time_cap = 0</t>
        </is>
      </c>
      <c r="AL7" s="2925" t="n"/>
      <c r="AM7" s="2925" t="n"/>
      <c r="AN7" s="2925" t="n"/>
      <c r="AO7" s="2925" t="n"/>
      <c r="AP7" s="2925" t="n"/>
    </row>
    <row r="8" ht="17" customHeight="1">
      <c r="B8" s="3000" t="n"/>
      <c r="C8" s="3001" t="n"/>
      <c r="D8" s="1697" t="n"/>
      <c r="E8" s="3002" t="n"/>
      <c r="F8" s="3003" t="n"/>
      <c r="G8" s="4695" t="inlineStr">
        <is>
          <t>WITHOUT</t>
        </is>
      </c>
      <c r="H8" s="366" t="n"/>
      <c r="I8" s="4696" t="inlineStr">
        <is>
          <t>WITH</t>
        </is>
      </c>
      <c r="J8" s="366" t="n"/>
      <c r="K8" s="4697" t="inlineStr">
        <is>
          <t>START</t>
        </is>
      </c>
      <c r="L8" s="366" t="n"/>
      <c r="M8" s="4698" t="inlineStr">
        <is>
          <t>WITHOUT</t>
        </is>
      </c>
      <c r="N8" s="366" t="n"/>
      <c r="O8" s="4696" t="inlineStr">
        <is>
          <t>WITH</t>
        </is>
      </c>
      <c r="P8" s="366" t="n"/>
      <c r="Q8" s="1734" t="inlineStr">
        <is>
          <t>WITHOUT</t>
        </is>
      </c>
      <c r="R8" s="1736" t="inlineStr">
        <is>
          <t>WITH</t>
        </is>
      </c>
      <c r="S8" s="3004" t="inlineStr">
        <is>
          <t>Cstart</t>
        </is>
      </c>
      <c r="T8" s="3005" t="inlineStr">
        <is>
          <t>Cend without</t>
        </is>
      </c>
      <c r="U8" s="3006" t="inlineStr">
        <is>
          <t>Cend with</t>
        </is>
      </c>
      <c r="V8" s="3007" t="inlineStr">
        <is>
          <t>(tonnes d.m. ha-1)</t>
        </is>
      </c>
      <c r="W8" s="2998" t="inlineStr">
        <is>
          <t>%</t>
        </is>
      </c>
      <c r="X8" s="3008" t="inlineStr">
        <is>
          <t>tCO2 eq/ha</t>
        </is>
      </c>
      <c r="Y8" s="3008" t="inlineStr">
        <is>
          <t xml:space="preserve"> for one combustion</t>
        </is>
      </c>
      <c r="Z8" s="3009" t="inlineStr">
        <is>
          <t xml:space="preserve"> for one combustion</t>
        </is>
      </c>
      <c r="AB8" s="1187" t="n"/>
      <c r="AG8" s="2927" t="inlineStr">
        <is>
          <t>CH4 (tCO2 eq)</t>
        </is>
      </c>
      <c r="AH8" s="2928" t="n"/>
      <c r="AI8" s="2927" t="inlineStr">
        <is>
          <t>N20 (tCO2 eq)</t>
        </is>
      </c>
      <c r="AJ8" s="2929" t="n"/>
      <c r="AK8" s="2930" t="inlineStr">
        <is>
          <t xml:space="preserve">Soil </t>
        </is>
      </c>
      <c r="AL8" s="2928" t="n"/>
      <c r="AM8" s="2930" t="inlineStr">
        <is>
          <t>CH4</t>
        </is>
      </c>
      <c r="AN8" s="3051" t="n"/>
      <c r="AO8" s="3078" t="inlineStr">
        <is>
          <t>N2O</t>
        </is>
      </c>
      <c r="AP8" s="3051" t="n"/>
    </row>
    <row r="9">
      <c r="B9" s="3000" t="n"/>
      <c r="C9" s="3001" t="n"/>
      <c r="D9" s="1699" t="inlineStr">
        <is>
          <t>START</t>
        </is>
      </c>
      <c r="E9" s="3010" t="inlineStr">
        <is>
          <t>WITHOUT</t>
        </is>
      </c>
      <c r="F9" s="3011" t="inlineStr">
        <is>
          <t>WITH</t>
        </is>
      </c>
      <c r="G9" s="3012" t="inlineStr">
        <is>
          <t>Fire*</t>
        </is>
      </c>
      <c r="H9" s="3013" t="inlineStr">
        <is>
          <t>Interval (yr)</t>
        </is>
      </c>
      <c r="I9" s="3014" t="inlineStr">
        <is>
          <t>Fire*</t>
        </is>
      </c>
      <c r="J9" s="988" t="inlineStr">
        <is>
          <t>Interval (yr)</t>
        </is>
      </c>
      <c r="K9" s="4562" t="inlineStr">
        <is>
          <t>Default</t>
        </is>
      </c>
      <c r="L9" s="4563" t="inlineStr">
        <is>
          <t>Tier 2</t>
        </is>
      </c>
      <c r="M9" s="4562" t="inlineStr">
        <is>
          <t>Default</t>
        </is>
      </c>
      <c r="N9" s="4563" t="inlineStr">
        <is>
          <t>Tier 2</t>
        </is>
      </c>
      <c r="O9" s="4562" t="inlineStr">
        <is>
          <t>Default</t>
        </is>
      </c>
      <c r="P9" s="4563" t="inlineStr">
        <is>
          <t>Tier 2</t>
        </is>
      </c>
      <c r="Q9" s="3015" t="inlineStr">
        <is>
          <t>tCO2eq/ha/yr</t>
        </is>
      </c>
      <c r="R9" s="3016" t="n"/>
      <c r="S9" s="3008" t="inlineStr">
        <is>
          <t>t/ha</t>
        </is>
      </c>
      <c r="T9" s="3008" t="inlineStr">
        <is>
          <t>t/ha</t>
        </is>
      </c>
      <c r="U9" s="3008" t="inlineStr">
        <is>
          <t>t/ha</t>
        </is>
      </c>
      <c r="V9" s="3017" t="inlineStr">
        <is>
          <t>IPCC default or picking Tier 2</t>
        </is>
      </c>
      <c r="W9" s="3007" t="inlineStr">
        <is>
          <t>IPCC default or picking Tier 2</t>
        </is>
      </c>
      <c r="X9" s="3008" t="inlineStr">
        <is>
          <t xml:space="preserve"> for one combustion</t>
        </is>
      </c>
      <c r="Y9" s="1734" t="inlineStr">
        <is>
          <t>WITHOUT</t>
        </is>
      </c>
      <c r="Z9" s="1736" t="inlineStr">
        <is>
          <t>WITH</t>
        </is>
      </c>
      <c r="AB9" s="1187" t="n"/>
      <c r="AC9" s="1187" t="n"/>
      <c r="AG9" s="3065" t="inlineStr">
        <is>
          <t>w/out</t>
        </is>
      </c>
      <c r="AH9" s="3066" t="inlineStr">
        <is>
          <t>with</t>
        </is>
      </c>
      <c r="AI9" s="3067" t="inlineStr">
        <is>
          <t>w/out</t>
        </is>
      </c>
      <c r="AJ9" s="3066" t="inlineStr">
        <is>
          <t>with</t>
        </is>
      </c>
      <c r="AK9" s="3067" t="inlineStr">
        <is>
          <t>w/out</t>
        </is>
      </c>
      <c r="AL9" s="3066" t="inlineStr">
        <is>
          <t>with</t>
        </is>
      </c>
      <c r="AM9" s="3067" t="inlineStr">
        <is>
          <t>w/out</t>
        </is>
      </c>
      <c r="AN9" s="3066" t="inlineStr">
        <is>
          <t>with</t>
        </is>
      </c>
      <c r="AO9" s="3067" t="inlineStr">
        <is>
          <t>w/out</t>
        </is>
      </c>
      <c r="AP9" s="3068" t="inlineStr">
        <is>
          <t>with</t>
        </is>
      </c>
    </row>
    <row r="10">
      <c r="A10" s="3018" t="inlineStr">
        <is>
          <t>Deforestation (FL -&gt; Grassland)</t>
        </is>
      </c>
      <c r="B10" s="3019" t="inlineStr">
        <is>
          <t>Grassland after deforestation</t>
        </is>
      </c>
      <c r="C10" s="4345" t="n"/>
      <c r="D10" s="3020">
        <f>'4.Grassland'!G13</f>
        <v/>
      </c>
      <c r="E10" s="3019">
        <f>'4.Grassland'!I13</f>
        <v/>
      </c>
      <c r="F10" s="3020">
        <f>'4.Grassland'!K13</f>
        <v/>
      </c>
      <c r="G10" s="3021">
        <f>'4.Grassland'!M13</f>
        <v/>
      </c>
      <c r="H10" s="3021">
        <f>'4.Grassland'!N13</f>
        <v/>
      </c>
      <c r="I10" s="3021">
        <f>'4.Grassland'!P13</f>
        <v/>
      </c>
      <c r="J10" s="3022">
        <f>'4.Grassland'!Q13</f>
        <v/>
      </c>
      <c r="K10" s="4699">
        <f>SOCref</f>
        <v/>
      </c>
      <c r="L10" s="4642">
        <f>IF('4.Grassland'!BD13="",'4.Grassland'!BC13,'4.Grassland'!BD13)</f>
        <v/>
      </c>
      <c r="M10" s="4700">
        <f>IFERROR(IF($E10 &lt;&gt; "Please select", VLOOKUP($E$10, grass!$W$28:$Y$33,3, FALSE),SOCref),0)</f>
        <v/>
      </c>
      <c r="N10" s="4642">
        <f>IF('4.Grassland'!$X13&lt;&gt;0, IF('4.Grassland'!BF13="",'4.Grassland'!BE13,'4.Grassland'!BF13), $L10)</f>
        <v/>
      </c>
      <c r="O10" s="4700">
        <f>IFERROR(IF($F$10&lt;&gt;"Please select",VLOOKUP($F$10,grass!$W$28:$Y$33,3,FALSE),SOCref),0)</f>
        <v/>
      </c>
      <c r="P10" s="4642">
        <f>IF('4.Grassland'!$Z13&lt;&gt;0,IF('4.Grassland'!BH13="",'4.Grassland'!BG13,'4.Grassland'!BH13), $L10)</f>
        <v/>
      </c>
      <c r="Q10" s="4701">
        <f>($N10-$L10)/20*(-44/12)</f>
        <v/>
      </c>
      <c r="R10" s="4702">
        <f>($P10-$L10)/20*(-44/12)</f>
        <v/>
      </c>
      <c r="S10" s="3027">
        <f>'4.Grassland'!S13</f>
        <v/>
      </c>
      <c r="T10" s="3027">
        <f>'4.Grassland'!T13</f>
        <v/>
      </c>
      <c r="U10" s="3027">
        <f>'4.Grassland'!U13</f>
        <v/>
      </c>
      <c r="V10" s="3027">
        <f>IF('4.Grassland'!$BJ13="", '4.Grassland'!$BI13, '4.Grassland'!$BJ13)</f>
        <v/>
      </c>
      <c r="W10" s="3128">
        <f>IF('4.Grassland'!$BM13="", '4.Grassland'!$BL13, '4.Grassland'!$BM13)</f>
        <v/>
      </c>
      <c r="X10" s="3129">
        <f>V10*$W10*(IPCC!$D$75*methane+IPCC!$E$75*Nitrous)/1000</f>
        <v/>
      </c>
      <c r="Y10" s="3129">
        <f>$X10/$H10</f>
        <v/>
      </c>
      <c r="Z10" s="3130">
        <f>$X10/$J10</f>
        <v/>
      </c>
      <c r="AB10" s="1187" t="n"/>
      <c r="AC10" s="1187" t="n"/>
      <c r="AF10" s="3061" t="inlineStr">
        <is>
          <t>Grassland after deforestation</t>
        </is>
      </c>
      <c r="AG10" s="3069">
        <f>IF($G10="YES",(MIN(C30,D30)*time_tot+ABS(D30-C30)*IF(D30&gt;C30,time_cap+time*(VLOOKUP(E30,list!$J$48:$K$50,2,)),time*(1-(VLOOKUP($E30,list!$J$48:$K$50,2,))))),0)*($V10*$W10*(IPCC!$D$75*methane)/1000)/$H10</f>
        <v/>
      </c>
      <c r="AH10" s="3070">
        <f>IF($I10="YES",(MIN(C30,F30)*time_tot+ABS(F30-C30)*IF(F30&gt;C30,time_cap+time*(VLOOKUP(G30,list!$J$48:$K$50,2,)),time*(1-(VLOOKUP($G30,list!$J$48:$K$50,2,))))),0)*($V10*$W10*(IPCC!$D$75*methane)/1000)/$J10</f>
        <v/>
      </c>
      <c r="AI10" s="3070">
        <f>IF($G10="YES",(MIN(C30,D30)*time_tot+ABS(D30-C30)*IF(D30&gt;C30,time_cap+time*(VLOOKUP(E30,list!$J$48:$K$50,2,)),time*(1-(VLOOKUP(E30,list!$J$48:$K$50,2,))))),0)*($V10*$W10*(IPCC!$E$75*Nitrous)/1000)/$H10</f>
        <v/>
      </c>
      <c r="AJ10" s="3070">
        <f>IF($I10="YES",(MIN(C30,F30)*time_tot+ABS(F30-C30)*IF(F30&gt;C30,time_cap+time*(VLOOKUP(G30,list!$J$48:$K$50,2,)),time*(1-(VLOOKUP(G30,list!$J$48:$K$50,2,))))),0)*($V10*$W10*(IPCC!$E$75*Nitrous)/1000)/$J10</f>
        <v/>
      </c>
      <c r="AK10" s="3070">
        <f>$Q10*(IF(E30="Immediate",IF(C30&gt;0,C30*MIN(20,time),0),C30*IF(time&gt;time+20,20,IF(time&lt;20,(time*VLOOKUP(E30, list!$J$48:$K$50,2,))+(time-time),((MIN(20,time)*VLOOKUP(E30, list!$J$48:$K$50,2,))+(time-MIN(20,time))-IF(E30="Exponential",time-20+0.217*time*(EXP(4.606*(20-time)/time)-1),((time-20)^2)*(0.5/time)))))))</f>
        <v/>
      </c>
      <c r="AL10" s="3070">
        <f>$R10*(IF(G30="Immediate",IF(C30&gt;0,C30*MIN(20,time),0),C30*IF(time&gt;time+20,20,IF(time&lt;20,(time*VLOOKUP(G30, list!$J$48:$K$50,2,))+(time-time),((MIN(20,time)*VLOOKUP(G30, list!$J$48:$K$50,2,))+(time_tot-MIN(20,time))-IF(G30="Exponential",time-20+0.217*time*(EXP(4.606*(20-time)/time)-1),((time-20)^2)*(0.5/time)))))))</f>
        <v/>
      </c>
      <c r="AM10" s="3070">
        <f>IF($G10="YES",(MIN(C30,D30)*time+ABS(D30-C30)*IF(D30&gt;C30,time*(VLOOKUP(E30,list!$J$48:$K$50,2,)),time*(1-(VLOOKUP(E30,list!$J$48:$K$50,2,))))),0)*($V10*$W10*(IPCC!$D$75*methane)/1000)/$H10</f>
        <v/>
      </c>
      <c r="AN10" s="3070">
        <f>IF($I10="YES",(MIN(C30,F30)*time+ABS(F30-C30)*IF(F30&gt;C30,time*(VLOOKUP(G30,list!$J$48:$K$50,2,)),time*(1-(VLOOKUP(G30,list!$J$48:$K$50,2,))))),0)*($V10*$W10*(IPCC!$D$75*methane)/1000)/$J10</f>
        <v/>
      </c>
      <c r="AO10" s="3070">
        <f>IF($G10="YES",(MIN(C30,D30)*time+ABS(D30-C30)*IF(D30&gt;C30,time*(VLOOKUP(E30,list!$J$48:$K$50,2,)),time*(1-(VLOOKUP(E30,list!$J$48:$K$50,2,))))),0)*($V10*$W10*(IPCC!$E$75*Nitrous)/1000)/$H10</f>
        <v/>
      </c>
      <c r="AP10" s="3071">
        <f>IF($I10="YES",(MIN(C30,F30)*time+ABS(F30-C30)*IF(F30&gt;C30,time*(VLOOKUP(G30,list!$J$48:$K$50,2,)),time*(1-(VLOOKUP(G30,list!$J$48:$K$50,2,))))),0)*($V10*$W10*(IPCC!$E$75*Nitrous)/1000)/$J10</f>
        <v/>
      </c>
    </row>
    <row r="11">
      <c r="A11" s="3034" t="inlineStr">
        <is>
          <t>Afforestation (Grassland -&gt; FL)</t>
        </is>
      </c>
      <c r="B11" s="3035" t="inlineStr">
        <is>
          <t>Grassland converted to forest land</t>
        </is>
      </c>
      <c r="C11" s="3036" t="n"/>
      <c r="D11" s="3036">
        <f>'4.Grassland'!G14</f>
        <v/>
      </c>
      <c r="E11" s="3035">
        <f>'4.Grassland'!I14</f>
        <v/>
      </c>
      <c r="F11" s="3036">
        <f>'4.Grassland'!K14</f>
        <v/>
      </c>
      <c r="G11" s="3037">
        <f>'4.Grassland'!M14</f>
        <v/>
      </c>
      <c r="H11" s="3037">
        <f>'4.Grassland'!N14</f>
        <v/>
      </c>
      <c r="I11" s="3037">
        <f>'4.Grassland'!P14</f>
        <v/>
      </c>
      <c r="J11" s="3038">
        <f>'4.Grassland'!Q14</f>
        <v/>
      </c>
      <c r="K11" s="4700">
        <f>IFERROR(IF($D$11 &lt;&gt; "Please select", VLOOKUP($D$11, grass!$W$28:$Y$33,3, FALSE),SOCref),0)</f>
        <v/>
      </c>
      <c r="L11" s="4642">
        <f>IF('4.Grassland'!BD14="",'4.Grassland'!BC14,'4.Grassland'!BD14)</f>
        <v/>
      </c>
      <c r="M11" s="4700">
        <f>IFERROR(IF($E$11 &lt;&gt; "Please select", VLOOKUP($E$11, grass!$W$28:$Y$33,3, FALSE),SOCref),0)</f>
        <v/>
      </c>
      <c r="N11" s="4642">
        <f>IF('4.Grassland'!$X14&lt;&gt;0, IF('4.Grassland'!BF14="",'4.Grassland'!BE14,'4.Grassland'!BF14), $L11)</f>
        <v/>
      </c>
      <c r="O11" s="4700">
        <f>IFERROR(IF($F$11 &lt;&gt; "Please select", VLOOKUP($F$11, grass!$W$28:$Y$33,3, FALSE),SOCref),0)</f>
        <v/>
      </c>
      <c r="P11" s="4642">
        <f>IF('4.Grassland'!$Z14&lt;&gt;0,IF('4.Grassland'!BH14="",'4.Grassland'!BG14,'4.Grassland'!BH14), $L11)</f>
        <v/>
      </c>
      <c r="Q11" s="4703">
        <f>($N11-$L11)/20*(-44/12)</f>
        <v/>
      </c>
      <c r="R11" s="4703">
        <f>($P11-$L11)/20*(-44/12)</f>
        <v/>
      </c>
      <c r="S11" s="3037">
        <f>'4.Grassland'!S14</f>
        <v/>
      </c>
      <c r="T11" s="3037">
        <f>'4.Grassland'!T14</f>
        <v/>
      </c>
      <c r="U11" s="3037">
        <f>'4.Grassland'!U14</f>
        <v/>
      </c>
      <c r="V11" s="3037">
        <f>IF('4.Grassland'!$BJ14="", '4.Grassland'!$BI14, '4.Grassland'!$BJ14)</f>
        <v/>
      </c>
      <c r="W11" s="3037">
        <f>IF('4.Grassland'!$BM14="", '4.Grassland'!$BL14, '4.Grassland'!$BM14)</f>
        <v/>
      </c>
      <c r="X11" s="3132">
        <f>V11*$W11*(IPCC!$D$75*methane+IPCC!$E$75*Nitrous)/1000</f>
        <v/>
      </c>
      <c r="Y11" s="3132">
        <f>$X11/$H11</f>
        <v/>
      </c>
      <c r="Z11" s="3132">
        <f>$X11/$J11</f>
        <v/>
      </c>
      <c r="AB11" s="1187" t="n"/>
      <c r="AC11" s="1187" t="n"/>
      <c r="AF11" s="3063" t="inlineStr">
        <is>
          <t>Grassland converted to forest land</t>
        </is>
      </c>
      <c r="AG11" s="3075">
        <f>IF($G11="YES",(MIN(C31,D31)*time_tot+ABS(D31-C31)*IF(D31&gt;C31,time_cap+time*(VLOOKUP(E31,list!$J$48:$K$50,2,)),time*(1-(VLOOKUP($E31,list!$J$48:$K$50,2,))))),0)*($V11*$W11*(IPCC!$D$75*methane)/1000)/$H11</f>
        <v/>
      </c>
      <c r="AH11" s="3076">
        <f>IF($I11="YES",(MIN(C31,F31)*time_tot+ABS(F31-C31)*IF(F31&gt;C31,time_cap+time*(VLOOKUP(G31,list!$J$48:$K$50,2,)),time*(1-(VLOOKUP($G31,list!$J$48:$K$50,2,))))),0)*($V11*$W11*(IPCC!$D$75*methane)/1000)/$J11</f>
        <v/>
      </c>
      <c r="AI11" s="3076">
        <f>IF($G11="YES",(MIN(C31,D31)*time_tot+ABS(D31-C31)*IF(D31&gt;C31,time_cap+time*(VLOOKUP(E31,list!$J$48:$K$50,2,)),time*(1-(VLOOKUP(E31,list!$J$48:$K$50,2,))))),0)*($V11*$W11*(IPCC!$E$75*Nitrous)/1000)/$H11</f>
        <v/>
      </c>
      <c r="AJ11" s="3076">
        <f>IF($I11="YES",(MIN(C31,F31)*time_tot+ABS(F31-C31)*IF(F31&gt;C31,time_cap+time*(VLOOKUP(G31,list!$J$48:$K$50,2,)),time*(1-(VLOOKUP(G31,list!$J$48:$K$50,2,))))),0)*($V11*$W11*(IPCC!$E$75*Nitrous)/1000)/$J11</f>
        <v/>
      </c>
      <c r="AK11" s="3076">
        <f>$Q11*(IF(E31="Immediate",IF(C31&gt;0,C31*MIN(20,time),0),C31*IF(time&gt;time+20,20,IF(time&lt;20,(time*VLOOKUP(E31, list!$J$48:$K$50,2,))+(time-time),((MIN(20,time)*VLOOKUP(E31, list!$J$48:$K$50,2,))+(time-MIN(20,time))-IF(E31="Exponential",time-20+0.217*time*(EXP(4.606*(20-time)/time)-1),((time-20)^2)*(0.5/time)))))))</f>
        <v/>
      </c>
      <c r="AL11" s="3076">
        <f>$R11*(IF(G31="Immediate",IF(C31&gt;0,C31*MIN(20,time),0),C31*IF(time&gt;time+20,20,IF(time&lt;20,(time*VLOOKUP(G31, list!$J$48:$K$50,2,))+(time-time),((MIN(20,time)*VLOOKUP(G31, list!$J$48:$K$50,2,))+(time_tot-MIN(20,time))-IF(G31="Exponential",time-20+0.217*time*(EXP(4.606*(20-time)/time)-1),((time-20)^2)*(0.5/time)))))))</f>
        <v/>
      </c>
      <c r="AM11" s="3076">
        <f>IF($G11="YES",(MIN(C31,D31)*time+ABS(D31-C31)*IF(D31&gt;C31,time*(VLOOKUP(E31,list!$J$48:$K$50,2,)),time*(1-(VLOOKUP(E31,list!$J$48:$K$50,2,))))),0)*($V11*$W11*(IPCC!$D$75*methane)/1000)/$H11</f>
        <v/>
      </c>
      <c r="AN11" s="3076">
        <f>IF($I11="YES",(MIN(C31,F31)*time+ABS(F31-C31)*IF(F31&gt;C31,time*(VLOOKUP(G31,list!$J$48:$K$50,2,)),time*(1-(VLOOKUP(G31,list!$J$48:$K$50,2,))))),0)*($V11*$W11*(IPCC!$D$75*methane)/1000)/$J11</f>
        <v/>
      </c>
      <c r="AO11" s="3076">
        <f>IF($G11="YES",(MIN(C31,D31)*time+ABS(D31-C31)*IF(D31&gt;C31,time*(VLOOKUP(E31,list!$J$48:$K$50,2,)),time*(1-(VLOOKUP(E31,list!$J$48:$K$50,2,))))),0)*($V11*$W11*(IPCC!$E$75*Nitrous)/1000)/$H11</f>
        <v/>
      </c>
      <c r="AP11" s="3077">
        <f>IF($I11="YES",(MIN(C31,F31)*time+ABS(F31-C31)*IF(F31&gt;C31,time*(VLOOKUP(G31,list!$J$48:$K$50,2,)),time*(1-(VLOOKUP(G31,list!$J$48:$K$50,2,))))),0)*($V11*$W11*(IPCC!$E$75*Nitrous)/1000)/$J11</f>
        <v/>
      </c>
    </row>
    <row r="12">
      <c r="A12" s="3028" t="inlineStr">
        <is>
          <t xml:space="preserve">non-FL converted to Grassland </t>
        </is>
      </c>
      <c r="B12" s="3029" t="inlineStr">
        <is>
          <t>Grassland after non-forest LUs</t>
        </is>
      </c>
      <c r="C12" s="4344" t="n"/>
      <c r="D12" s="3031">
        <f>'4.Grassland'!G15</f>
        <v/>
      </c>
      <c r="E12" s="3029">
        <f>'4.Grassland'!I15</f>
        <v/>
      </c>
      <c r="F12" s="3031">
        <f>'4.Grassland'!K15</f>
        <v/>
      </c>
      <c r="G12" s="3030">
        <f>'4.Grassland'!M15</f>
        <v/>
      </c>
      <c r="H12" s="3030">
        <f>'4.Grassland'!N15</f>
        <v/>
      </c>
      <c r="I12" s="3030">
        <f>'4.Grassland'!P15</f>
        <v/>
      </c>
      <c r="J12" s="3032">
        <f>'4.Grassland'!Q15</f>
        <v/>
      </c>
      <c r="K12" s="4699">
        <f>SOCref</f>
        <v/>
      </c>
      <c r="L12" s="4642">
        <f>IF('4.Grassland'!BD15="",'4.Grassland'!BC15,'4.Grassland'!BD15)</f>
        <v/>
      </c>
      <c r="M12" s="4700">
        <f>IFERROR(IF($C$12&gt;0,$C$12,IF($E$12 &lt;&gt; "Please select", VLOOKUP($E$12, grass!$W$28:$Y$33,3, FALSE),SOCref)),0)</f>
        <v/>
      </c>
      <c r="N12" s="4642">
        <f>IF('4.Grassland'!$X15&lt;&gt;0, IF('4.Grassland'!BF15="",'4.Grassland'!BE15,'4.Grassland'!BF15), $L12)</f>
        <v/>
      </c>
      <c r="O12" s="4700">
        <f>IFERROR(IF($C$12&gt;0,$C$12,IF($F$12 &lt;&gt; "Please select", VLOOKUP($F$12, grass!$W$28:$Y$33,3, FALSE),SOCref)),0)</f>
        <v/>
      </c>
      <c r="P12" s="4642">
        <f>IF('4.Grassland'!$Z15&lt;&gt;0,IF('4.Grassland'!BH15="",'4.Grassland'!BG15,'4.Grassland'!BH15), $L12)</f>
        <v/>
      </c>
      <c r="Q12" s="4704">
        <f>($N12-$L12)/20*(-44/12)</f>
        <v/>
      </c>
      <c r="R12" s="4704">
        <f>($P12-$L12)/20*(-44/12)</f>
        <v/>
      </c>
      <c r="S12" s="3030">
        <f>'4.Grassland'!S15</f>
        <v/>
      </c>
      <c r="T12" s="3030">
        <f>'4.Grassland'!T15</f>
        <v/>
      </c>
      <c r="U12" s="3030">
        <f>'4.Grassland'!U15</f>
        <v/>
      </c>
      <c r="V12" s="3030">
        <f>IF('4.Grassland'!$BJ15="", '4.Grassland'!$BI15, '4.Grassland'!$BJ15)</f>
        <v/>
      </c>
      <c r="W12" s="3030">
        <f>IF('4.Grassland'!$BM15="", '4.Grassland'!$BL15, '4.Grassland'!$BM15)</f>
        <v/>
      </c>
      <c r="X12" s="3131">
        <f>V12*$W12*(IPCC!$D$75*methane+IPCC!$E$75*Nitrous)/1000</f>
        <v/>
      </c>
      <c r="Y12" s="3131">
        <f>$X12/$H12</f>
        <v/>
      </c>
      <c r="Z12" s="3131">
        <f>$X12/$J12</f>
        <v/>
      </c>
      <c r="AB12" s="1187" t="n"/>
      <c r="AC12" s="1187" t="n"/>
      <c r="AF12" s="3062" t="inlineStr">
        <is>
          <t>Grassland converted from non-forest LUs</t>
        </is>
      </c>
      <c r="AG12" s="3072">
        <f>IF($G12="YES",(MIN(C32,D32)*time_tot+ABS(D32-C32)*IF(D32&gt;C32,time_cap+time*(VLOOKUP(E32,list!$J$48:$K$50,2,)),time*(1-(VLOOKUP($E32,list!$J$48:$K$50,2,))))),0)*($V12*$W12*(IPCC!$D$75*methane)/1000)/$H12</f>
        <v/>
      </c>
      <c r="AH12" s="3073">
        <f>IF($I12="YES",(MIN(C32,F32)*time_tot+ABS(F32-C32)*IF(F32&gt;C32,time_cap+time*(VLOOKUP(G32,list!$J$48:$K$50,2,)),time*(1-(VLOOKUP($G32,list!$J$48:$K$50,2,))))),0)*($V12*$W12*(IPCC!$D$75*methane)/1000)/$J12</f>
        <v/>
      </c>
      <c r="AI12" s="3073">
        <f>IF($G12="YES",(MIN(C32,D32)*time_tot+ABS(D32-C32)*IF(D32&gt;C32,time_cap+time*(VLOOKUP(E32,list!$J$48:$K$50,2,)),time*(1-(VLOOKUP(E32,list!$J$48:$K$50,2,))))),0)*($V12*$W12*(IPCC!$E$75*Nitrous)/1000)/$H12</f>
        <v/>
      </c>
      <c r="AJ12" s="3073">
        <f>IF($I12="YES",(MIN(C32,F32)*time_tot+ABS(F32-C32)*IF(F32&gt;C32,time_cap+time*(VLOOKUP(G32,list!$J$48:$K$50,2,)),time*(1-(VLOOKUP(G32,list!$J$48:$K$50,2,))))),0)*($V12*$W12*(IPCC!$E$75*Nitrous)/1000)/$J12</f>
        <v/>
      </c>
      <c r="AK12" s="3073">
        <f>$Q12*(IF(E32="Immediate",IF(C32&gt;0,C32*MIN(20,time),0),C32*IF(time&gt;time+20,20,IF(time&lt;20,(time*VLOOKUP(E32, list!$J$48:$K$50,2,))+(time-time),((MIN(20,time)*VLOOKUP(E32, list!$J$48:$K$50,2,))+(time-MIN(20,time))-IF(E32="Exponential",time-20+0.217*time*(EXP(4.606*(20-time)/time)-1),((time-20)^2)*(0.5/time)))))))</f>
        <v/>
      </c>
      <c r="AL12" s="3073">
        <f>$R12*(IF(G32="Immediate",IF(C32&gt;0,C32*MIN(20,time),0),C32*IF(time&gt;time+20,20,IF(time&lt;20,(time*VLOOKUP(G32, list!$J$48:$K$50,2,))+(time-time),((MIN(20,time)*VLOOKUP(G32, list!$J$48:$K$50,2,))+(time_tot-MIN(20,time))-IF(G32="Exponential",time-20+0.217*time*(EXP(4.606*(20-time)/time)-1),((time-20)^2)*(0.5/time)))))))</f>
        <v/>
      </c>
      <c r="AM12" s="3073">
        <f>IF($G12="YES",(MIN(C32,D32)*time+ABS(D32-C32)*IF(D32&gt;C32,time*(VLOOKUP(E32,list!$J$48:$K$50,2,)),time*(1-(VLOOKUP(E32,list!$J$48:$K$50,2,))))),0)*($V12*$W12*(IPCC!$D$75*methane)/1000)/$H12</f>
        <v/>
      </c>
      <c r="AN12" s="3073">
        <f>IF($I12="YES",(MIN(C32,F32)*time+ABS(F32-C32)*IF(F32&gt;C32,time*(VLOOKUP(G32,list!$J$48:$K$50,2,)),time*(1-(VLOOKUP(G32,list!$J$48:$K$50,2,))))),0)*($V12*$W12*(IPCC!$D$75*methane)/1000)/$J12</f>
        <v/>
      </c>
      <c r="AO12" s="3073">
        <f>IF($G12="YES",(MIN(C32,D32)*time+ABS(D32-C32)*IF(D32&gt;C32,time*(VLOOKUP(E32,list!$J$48:$K$50,2,)),time*(1-(VLOOKUP(E32,list!$J$48:$K$50,2,))))),0)*($V12*$W12*(IPCC!$E$75*Nitrous)/1000)/$H12</f>
        <v/>
      </c>
      <c r="AP12" s="3074">
        <f>IF($I12="YES",(MIN(C32,F32)*time+ABS(F32-C32)*IF(F32&gt;C32,time*(VLOOKUP(G32,list!$J$48:$K$50,2,)),time*(1-(VLOOKUP(G32,list!$J$48:$K$50,2,))))),0)*($V12*$W12*(IPCC!$E$75*Nitrous)/1000)/$J12</f>
        <v/>
      </c>
    </row>
    <row r="13">
      <c r="A13" s="3040" t="inlineStr">
        <is>
          <t>GL --&gt; non-Forest LU</t>
        </is>
      </c>
      <c r="B13" s="3041" t="inlineStr">
        <is>
          <t xml:space="preserve">Grasslands converted to non-forest LUs   </t>
        </is>
      </c>
      <c r="C13" s="3042" t="n"/>
      <c r="D13" s="3043">
        <f>'4.Grassland'!G16</f>
        <v/>
      </c>
      <c r="E13" s="3041">
        <f>'4.Grassland'!I16</f>
        <v/>
      </c>
      <c r="F13" s="3043">
        <f>'4.Grassland'!K16</f>
        <v/>
      </c>
      <c r="G13" s="3042">
        <f>'4.Grassland'!M16</f>
        <v/>
      </c>
      <c r="H13" s="3042">
        <f>'4.Grassland'!N16</f>
        <v/>
      </c>
      <c r="I13" s="3042">
        <f>'4.Grassland'!P16</f>
        <v/>
      </c>
      <c r="J13" s="3044">
        <f>'4.Grassland'!Q16</f>
        <v/>
      </c>
      <c r="K13" s="4705">
        <f>IFERROR(IF($C$13&gt;0,$C$13,IF($D$13 &lt;&gt; "Please select", VLOOKUP($D$13, grass!$W$28:$Y$33,3, FALSE),SOCref)),0)</f>
        <v/>
      </c>
      <c r="L13" s="4645">
        <f>IF('4.Grassland'!BD16="",'4.Grassland'!BC16,'4.Grassland'!BD16)</f>
        <v/>
      </c>
      <c r="M13" s="4705">
        <f>IFERROR(IF($C$13&gt;0,$C$13,IF($E$13 &lt;&gt; "Please select", VLOOKUP($E$13, grass!$W$28:$Y$33,3, FALSE),SOCref)),0)</f>
        <v/>
      </c>
      <c r="N13" s="4642">
        <f>IF('4.Grassland'!$X16&lt;&gt;0, IF('4.Grassland'!BF16="",'4.Grassland'!BE16,'4.Grassland'!BF16), $L13)</f>
        <v/>
      </c>
      <c r="O13" s="4705">
        <f>IFERROR(IF($C$13&gt;0,$C$13,IF($F$13 &lt;&gt; "Please select", VLOOKUP($F$13, grass!$W$28:$Y$33,3, FALSE),SOCref)),0)</f>
        <v/>
      </c>
      <c r="P13" s="4642">
        <f>IF('4.Grassland'!$Z16&lt;&gt;0,IF('4.Grassland'!BH16="",'4.Grassland'!BG16,'4.Grassland'!BH16), $L13)</f>
        <v/>
      </c>
      <c r="Q13" s="4706">
        <f>($N13-$L13)/20*(-44/12)</f>
        <v/>
      </c>
      <c r="R13" s="4706">
        <f>($P13-$L13)/20*(-44/12)</f>
        <v/>
      </c>
      <c r="S13" s="3042">
        <f>'4.Grassland'!S16</f>
        <v/>
      </c>
      <c r="T13" s="3042">
        <f>'4.Grassland'!T16</f>
        <v/>
      </c>
      <c r="U13" s="3042">
        <f>'4.Grassland'!U16</f>
        <v/>
      </c>
      <c r="V13" s="3042">
        <f>IF('4.Grassland'!$BJ16="", '4.Grassland'!$BI16, '4.Grassland'!$BJ16)</f>
        <v/>
      </c>
      <c r="W13" s="3042">
        <f>IF('4.Grassland'!$BM16="", '4.Grassland'!$BL16, '4.Grassland'!$BM16)</f>
        <v/>
      </c>
      <c r="X13" s="3133">
        <f>V13*$W13*(IPCC!$D$75*methane+IPCC!$E$75*Nitrous)/1000</f>
        <v/>
      </c>
      <c r="Y13" s="3133">
        <f>$X13/$H13</f>
        <v/>
      </c>
      <c r="Z13" s="3133">
        <f>$X13/$J13</f>
        <v/>
      </c>
      <c r="AB13" s="1187" t="n"/>
      <c r="AC13" s="1187" t="n"/>
      <c r="AF13" s="3064" t="inlineStr">
        <is>
          <t xml:space="preserve">Grasslands converted to non-forest LUs   </t>
        </is>
      </c>
      <c r="AG13" s="3688">
        <f>IF($G13="YES",(MIN(C33,D33)*time_tot+ABS(D33-C33)*IF(D33&gt;C33,time_cap+time*(VLOOKUP(E33,list!$J$48:$K$50,2,)),time*(1-(VLOOKUP($E33,list!$J$48:$K$50,2,))))),0)*($V13*$W13*(IPCC!$D$75*methane)/1000)/$H13</f>
        <v/>
      </c>
      <c r="AH13" s="3689">
        <f>IF($I13="YES",(MIN(C33,F33)*time_tot+ABS(F33-C33)*IF(F33&gt;C33,time_cap+time*(VLOOKUP(G33,list!$J$48:$K$50,2,)),time*(1-(VLOOKUP($G33,list!$J$48:$K$50,2,))))),0)*($V13*$W13*(IPCC!$D$75*methane)/1000)/$J13</f>
        <v/>
      </c>
      <c r="AI13" s="3689">
        <f>IF($G13="YES",(MIN(C33,D33)*time_tot+ABS(D33-C33)*IF(D33&gt;C33,time_cap+time*(VLOOKUP(E33,list!$J$48:$K$50,2,)),time*(1-(VLOOKUP(E33,list!$J$48:$K$50,2,))))),0)*($V13*$W13*(IPCC!$E$75*Nitrous)/1000)/$H13</f>
        <v/>
      </c>
      <c r="AJ13" s="3689">
        <f>IF($I13="YES",(MIN(C33,F33)*time_tot+ABS(F33-C33)*IF(F33&gt;C33,time_cap+time*(VLOOKUP(G33,list!$J$48:$K$50,2,)),time*(1-(VLOOKUP(G33,list!$J$48:$K$50,2,))))),0)*($V13*$W13*(IPCC!$E$75*Nitrous)/1000)/$J13</f>
        <v/>
      </c>
      <c r="AK13" s="3689">
        <f>$Q13*(IF(E33="Immediate",IF(C33&gt;0,C33*MIN(20,time),0),C33*IF(time&gt;time+20,20,IF(time&lt;20,(time*VLOOKUP(E33, list!$J$48:$K$50,2,))+(time-time),((MIN(20,time)*VLOOKUP(E33, list!$J$48:$K$50,2,))+(time-MIN(20,time))-IF(E33="Exponential",time-20+0.217*time*(EXP(4.606*(20-time)/time)-1),((time-20)^2)*(0.5/time)))))))</f>
        <v/>
      </c>
      <c r="AL13" s="3689">
        <f>$R13*(IF(G33="Immediate",IF(C33&gt;0,C33*MIN(20,time),0),C33*IF(time&gt;time+20,20,IF(time&lt;20,(time*VLOOKUP(G33, list!$J$48:$K$50,2,))+(time-time),((MIN(20,time)*VLOOKUP(G33, list!$J$48:$K$50,2,))+(time_tot-MIN(20,time))-IF(G33="Exponential",time-20+0.217*time*(EXP(4.606*(20-time)/time)-1),((time-20)^2)*(0.5/time)))))))</f>
        <v/>
      </c>
      <c r="AM13" s="3689">
        <f>IF($G13="YES",(MIN(C33,D33)*time+ABS(D33-C33)*IF(D33&gt;C33,time*(VLOOKUP(E33,list!$J$48:$K$50,2,)),time*(1-(VLOOKUP(E33,list!$J$48:$K$50,2,))))),0)*($V13*$W13*(IPCC!$D$75*methane)/1000)/$H13</f>
        <v/>
      </c>
      <c r="AN13" s="3689">
        <f>IF($I13="YES",(MIN(C33,F33)*time+ABS(F33-C33)*IF(F33&gt;C33,time*(VLOOKUP(G33,list!$J$48:$K$50,2,)),time*(1-(VLOOKUP(G33,list!$J$48:$K$50,2,))))),0)*($V13*$W13*(IPCC!$D$75*methane)/1000)/$J13</f>
        <v/>
      </c>
      <c r="AO13" s="3689">
        <f>IF($G13="YES",(MIN(C33,D33)*time+ABS(D33-C33)*IF(D33&gt;C33,time*(VLOOKUP(E33,list!$J$48:$K$50,2,)),time*(1-(VLOOKUP(E33,list!$J$48:$K$50,2,))))),0)*($V13*$W13*(IPCC!$E$75*Nitrous)/1000)/$H13</f>
        <v/>
      </c>
      <c r="AP13" s="3690">
        <f>IF($I13="YES",(MIN(C33,F33)*time+ABS(F33-C33)*IF(F33&gt;C33,time*(VLOOKUP(G33,list!$J$48:$K$50,2,)),time*(1-(VLOOKUP(G33,list!$J$48:$K$50,2,))))),0)*($V13*$W13*(IPCC!$E$75*Nitrous)/1000)/$J13</f>
        <v/>
      </c>
    </row>
    <row r="14">
      <c r="B14" s="3118">
        <f>'4.Grassland'!C26</f>
        <v/>
      </c>
      <c r="C14" s="1300" t="n"/>
      <c r="D14" s="1300">
        <f>'4.Grassland'!$G26</f>
        <v/>
      </c>
      <c r="E14" s="3119">
        <f>'4.Grassland'!$I26</f>
        <v/>
      </c>
      <c r="F14" s="3119">
        <f>'4.Grassland'!$K26</f>
        <v/>
      </c>
      <c r="G14" s="3119">
        <f>'4.Grassland'!$M26</f>
        <v/>
      </c>
      <c r="H14" s="3119">
        <f>'4.Grassland'!$N26</f>
        <v/>
      </c>
      <c r="I14" s="3119">
        <f>'4.Grassland'!$P26</f>
        <v/>
      </c>
      <c r="J14" s="3119">
        <f>'4.Grassland'!$Q26</f>
        <v/>
      </c>
      <c r="K14" s="4707">
        <f>IFERROR(IF($D14&lt;&gt; "Please select", VLOOKUP($D14, grass!$W$28:$Y$33,3, FALSE),SOCref),0)</f>
        <v/>
      </c>
      <c r="L14" s="4708">
        <f>IF('4.Grassland'!BD26="",'4.Grassland'!BC26,'4.Grassland'!BD26)</f>
        <v/>
      </c>
      <c r="M14" s="4707">
        <f>IFERROR(IF($E14&lt;&gt; "Please select", VLOOKUP($E14, grass!$W$28:$Y$33,3, FALSE),SOCref),0)</f>
        <v/>
      </c>
      <c r="N14" s="4708">
        <f>IF('4.Grassland'!BF26="",'4.Grassland'!BE26,'4.Grassland'!BF26)</f>
        <v/>
      </c>
      <c r="O14" s="4707">
        <f>IFERROR(IF($F14&lt;&gt; "Please select", VLOOKUP($F14, grass!$W$28:$Y$33,3, FALSE),SOCref),0)</f>
        <v/>
      </c>
      <c r="P14" s="4708">
        <f>IF('4.Grassland'!BH26="",'4.Grassland'!BG26,'4.Grassland'!BH26)</f>
        <v/>
      </c>
      <c r="Q14" s="4709">
        <f>($N14-$L14)/20*(-44/12)</f>
        <v/>
      </c>
      <c r="R14" s="4710">
        <f>($P14-$L14)/20*(-44/12)</f>
        <v/>
      </c>
      <c r="S14" s="3119">
        <f>'4.Grassland'!$S26</f>
        <v/>
      </c>
      <c r="T14" s="3119">
        <f>'4.Grassland'!$T26</f>
        <v/>
      </c>
      <c r="U14" s="3119">
        <f>'4.Grassland'!$U26</f>
        <v/>
      </c>
      <c r="V14" s="1361">
        <f>IF('4.Grassland'!$BJ26="", '4.Grassland'!$BI26, '4.Grassland'!$BJ26)</f>
        <v/>
      </c>
      <c r="W14" s="1361">
        <f>IF('4.Grassland'!$BM26="", '4.Grassland'!$BL26, '4.Grassland'!$BM26)</f>
        <v/>
      </c>
      <c r="X14" s="4711">
        <f>V14*$W14*(IPCC!$D$75*methane+IPCC!$E$75*Nitrous)/1000</f>
        <v/>
      </c>
      <c r="Y14" s="3416">
        <f>$X14/$H14</f>
        <v/>
      </c>
      <c r="Z14" s="3416">
        <f>$X14/$J14</f>
        <v/>
      </c>
      <c r="AG14" s="3052">
        <f>IF($G14="YES",(MIN(C34,D34)*time_tot+ABS(D34-C34)*IF(D34&gt;C34,time_cap+time*(VLOOKUP(E34,list!$J$48:$K$50,2,)),time*(1-(VLOOKUP($E34,list!$J$48:$K$50,2,))))),0)*($V14*$W14*(IPCC!$D$75*methane)/1000)/$H14</f>
        <v/>
      </c>
      <c r="AH14" s="3053">
        <f>IF($I14="YES",(MIN(D34,F34)*time_tot+ABS(F34-D34)*IF(F34&gt;D34,time_cap+time*(VLOOKUP(G34,list!$J$48:$K$50,2,)),time*(1-(VLOOKUP(G34,list!$J$48:$K$50,2,))))),0)*($V14*$W14*(IPCC!$D$75*methane)/1000)/$H14</f>
        <v/>
      </c>
      <c r="AI14" s="3053">
        <f>IF($G14="YES",(MIN(C34,D34)*time_tot+ABS(D34-C34)*IF(D34&gt;C34,time_cap+time*(VLOOKUP(E34,list!$J$48:$K$50,2,)),time*(1-(VLOOKUP(E34,list!$J$48:$K$50,2,))))),0)*($V14*$W14*(IPCC!$E$75*Nitrous)/1000)/$H14</f>
        <v/>
      </c>
      <c r="AJ14" s="3053">
        <f>IF($I14="YES",(MIN(D34,F34)*time_tot+ABS(F34-D34)*IF(F34&gt;D34,time_cap+time*(VLOOKUP(G34,list!$J$48:$K$50,2,)),time*(1-(VLOOKUP(G34,list!$J$48:$K$50,2,))))),0)*($V14*$W14*(IPCC!$E$75*Nitrous)/1000)/$H14</f>
        <v/>
      </c>
      <c r="AK14" s="3053">
        <f>$Q14*(IF(E34="Immediate",IF(C34&gt;0,C34*MIN(20,time),0),C34*IF(time&gt;time+20,20,IF(time&lt;20,(time*VLOOKUP(E34, list!$J$48:$K$50,2,))+(time-time),((MIN(20,time)*VLOOKUP(E34, list!$J$48:$K$50,2,))+(time-MIN(20,time))-IF(E34="Exponential",time-20+0.217*time*(EXP(4.606*(20-time)/time)-1),((time-20)^2)*(0.5/time)))))))</f>
        <v/>
      </c>
      <c r="AL14" s="3053">
        <f>$R14*(IF(G34="Immediate",IF(C34&gt;0,C34*MIN(20,time),0),C34*IF(time&gt;time+20,20,IF(time&lt;20,(time*VLOOKUP(G34, list!$J$48:$K$50,2,))+(time-time),((MIN(20,time)*VLOOKUP(G34, list!$J$48:$K$50,2,))+(time_tot-MIN(20,time))-IF(G34="Exponential",time-20+0.217*time*(EXP(4.606*(20-time)/time)-1),((time-20)^2)*(0.5/time)))))))</f>
        <v/>
      </c>
      <c r="AM14" s="3053">
        <f>IF($G14="YES",(MIN(C34,D34)*time+ABS(D34-C34)*IF(D34&gt;C34,time*(VLOOKUP(E34,list!$J$48:$K$50,2,)),time*(1-(VLOOKUP(E34,list!$J$48:$K$50,2,))))),0)*($V14*$W14*(IPCC!$D$75*methane)/1000)/$H14</f>
        <v/>
      </c>
      <c r="AN14" s="3053">
        <f>IF($I14="YES",(MIN(D34,F34)*time+ABS(F34-D34)*IF(F34&gt;D34,time*(VLOOKUP(G34,list!$J$48:$K$50,2,)),time*(1-(VLOOKUP(G34,list!$J$48:$K$50,2,))))),0)*($V14*$W14*(IPCC!$D$75*methane)/1000)/$H14</f>
        <v/>
      </c>
      <c r="AO14" s="3053">
        <f>IF($G14="YES",(MIN(C34,D34)*time+ABS(D34-C34)*IF(D34&gt;C34,time*(VLOOKUP(E34,list!$J$48:$K$50,2,)),time*(1-(VLOOKUP(E34,list!$J$48:$K$50,2,))))),0)*($V14*$W14*(IPCC!$E$75*Nitrous)/1000)/$H14</f>
        <v/>
      </c>
      <c r="AP14" s="3054">
        <f>IF($I14="YES",(MIN(D34,F34)*time+ABS(F34-D34)*IF(F34&gt;D34,time*(VLOOKUP(G34,list!$J$48:$K$50,2,)),time*(1-(VLOOKUP(G34,list!$J$48:$K$50,2,))))),0)*($V14*$W14*(IPCC!$E$75*Nitrous)/1000)/$H14</f>
        <v/>
      </c>
    </row>
    <row r="15">
      <c r="B15" s="3120">
        <f>'4.Grassland'!C27</f>
        <v/>
      </c>
      <c r="C15" s="1688" t="n"/>
      <c r="D15" s="1688">
        <f>'4.Grassland'!$G27</f>
        <v/>
      </c>
      <c r="E15" s="3115">
        <f>'4.Grassland'!$I27</f>
        <v/>
      </c>
      <c r="F15" s="3115">
        <f>'4.Grassland'!$K27</f>
        <v/>
      </c>
      <c r="G15" s="3115">
        <f>'4.Grassland'!$M27</f>
        <v/>
      </c>
      <c r="H15" s="3115">
        <f>'4.Grassland'!$N27</f>
        <v/>
      </c>
      <c r="I15" s="3115">
        <f>'4.Grassland'!$P27</f>
        <v/>
      </c>
      <c r="J15" s="3115">
        <f>'4.Grassland'!$Q27</f>
        <v/>
      </c>
      <c r="K15" s="4712">
        <f>IFERROR(IF($D15&lt;&gt; "Please select", VLOOKUP($D15, grass!$W$28:$Y$33,3, FALSE),SOCref),0)</f>
        <v/>
      </c>
      <c r="L15" s="4642">
        <f>IF('4.Grassland'!BD27="",'4.Grassland'!BC27,'4.Grassland'!BD27)</f>
        <v/>
      </c>
      <c r="M15" s="4712">
        <f>IFERROR(IF($E15&lt;&gt; "Please select", VLOOKUP($E15, grass!$W$28:$Y$33,3, FALSE),SOCref),0)</f>
        <v/>
      </c>
      <c r="N15" s="4642">
        <f>IF('4.Grassland'!BF27="",'4.Grassland'!BE27,'4.Grassland'!BF27)</f>
        <v/>
      </c>
      <c r="O15" s="4712">
        <f>IFERROR(IF($F15&lt;&gt; "Please select", VLOOKUP($F15, grass!$W$28:$Y$33,3, FALSE),SOCref),0)</f>
        <v/>
      </c>
      <c r="P15" s="4642">
        <f>IF('4.Grassland'!BH27="",'4.Grassland'!BG27,'4.Grassland'!BH27)</f>
        <v/>
      </c>
      <c r="Q15" s="4713">
        <f>($N15-$L15)/20*(-44/12)</f>
        <v/>
      </c>
      <c r="R15" s="4714">
        <f>($P15-$L15)/20*(-44/12)</f>
        <v/>
      </c>
      <c r="S15" s="3115">
        <f>'4.Grassland'!$S27</f>
        <v/>
      </c>
      <c r="T15" s="3115">
        <f>'4.Grassland'!$T27</f>
        <v/>
      </c>
      <c r="U15" s="3115">
        <f>'4.Grassland'!$U27</f>
        <v/>
      </c>
      <c r="V15" s="1104">
        <f>IF('4.Grassland'!$BJ27="", '4.Grassland'!$BI27, '4.Grassland'!$BJ27)</f>
        <v/>
      </c>
      <c r="W15" s="1104">
        <f>IF('4.Grassland'!$BM27="", '4.Grassland'!$BL27, '4.Grassland'!$BM27)</f>
        <v/>
      </c>
      <c r="X15" s="4715">
        <f>V15*$W15*(IPCC!$D$75*methane+IPCC!$E$75*Nitrous)/1000</f>
        <v/>
      </c>
      <c r="Y15" s="3417">
        <f>$X15/$H15</f>
        <v/>
      </c>
      <c r="Z15" s="3417">
        <f>$X15/$J15</f>
        <v/>
      </c>
      <c r="AG15" s="3055">
        <f>IF($G15="YES",(MIN(C35,D35)*time_tot+ABS(D35-C35)*IF(D35&gt;C35,time_cap+time*(VLOOKUP(E35,list!$J$48:$K$50,2,)),time*(1-(VLOOKUP($E35,list!$J$48:$K$50,2,))))),0)*($V15*$W15*(IPCC!$D$75*methane)/1000)/$H15</f>
        <v/>
      </c>
      <c r="AH15" s="3056">
        <f>IF($I15="YES",(MIN(D35,F35)*time_tot+ABS(F35-D35)*IF(F35&gt;D35,time_cap+time*(VLOOKUP(G35,list!$J$48:$K$50,2,)),time*(1-(VLOOKUP(G35,list!$J$48:$K$50,2,))))),0)*($V15*$W15*(IPCC!$D$75*methane)/1000)/$H15</f>
        <v/>
      </c>
      <c r="AI15" s="3056">
        <f>IF($G15="YES",(MIN(C35,D35)*time_tot+ABS(D35-C35)*IF(D35&gt;C35,time_cap+time*(VLOOKUP(E35,list!$J$48:$K$50,2,)),time*(1-(VLOOKUP(E35,list!$J$48:$K$50,2,))))),0)*($V15*$W15*(IPCC!$E$75*Nitrous)/1000)/$H15</f>
        <v/>
      </c>
      <c r="AJ15" s="3056">
        <f>IF($I15="YES",(MIN(D35,F35)*time_tot+ABS(F35-D35)*IF(F35&gt;D35,time_cap+time*(VLOOKUP(G35,list!$J$48:$K$50,2,)),time*(1-(VLOOKUP(G35,list!$J$48:$K$50,2,))))),0)*($V15*$W15*(IPCC!$E$75*Nitrous)/1000)/$H15</f>
        <v/>
      </c>
      <c r="AK15" s="3056">
        <f>$Q15*(IF(E35="Immediate",IF(C35&gt;0,C35*MIN(20,time),0),C35*IF(time&gt;time+20,20,IF(time&lt;20,(time*VLOOKUP(E35, list!$J$48:$K$50,2,))+(time-time),((MIN(20,time)*VLOOKUP(E35, list!$J$48:$K$50,2,))+(time-MIN(20,time))-IF(E35="Exponential",time-20+0.217*time*(EXP(4.606*(20-time)/time)-1),((time-20)^2)*(0.5/time)))))))</f>
        <v/>
      </c>
      <c r="AL15" s="3056">
        <f>$R15*(IF(G35="Immediate",IF(C35&gt;0,C35*MIN(20,time),0),C35*IF(time&gt;time+20,20,IF(time&lt;20,(time*VLOOKUP(G35, list!$J$48:$K$50,2,))+(time-time),((MIN(20,time)*VLOOKUP(G35, list!$J$48:$K$50,2,))+(time_tot-MIN(20,time))-IF(G35="Exponential",time-20+0.217*time*(EXP(4.606*(20-time)/time)-1),((time-20)^2)*(0.5/time)))))))</f>
        <v/>
      </c>
      <c r="AM15" s="3056">
        <f>IF($G15="YES",(MIN(C35,D35)*time+ABS(D35-C35)*IF(D35&gt;C35,time*(VLOOKUP(E35,list!$J$48:$K$50,2,)),time*(1-(VLOOKUP(E35,list!$J$48:$K$50,2,))))),0)*($V15*$W15*(IPCC!$D$75*methane)/1000)/$H15</f>
        <v/>
      </c>
      <c r="AN15" s="3056">
        <f>IF($I15="YES",(MIN(D35,F35)*time+ABS(F35-D35)*IF(F35&gt;D35,time*(VLOOKUP(G35,list!$J$48:$K$50,2,)),time*(1-(VLOOKUP(G35,list!$J$48:$K$50,2,))))),0)*($V15*$W15*(IPCC!$D$75*methane)/1000)/$H15</f>
        <v/>
      </c>
      <c r="AO15" s="3056">
        <f>IF($G15="YES",(MIN(C35,D35)*time+ABS(D35-C35)*IF(D35&gt;C35,time*(VLOOKUP(E35,list!$J$48:$K$50,2,)),time*(1-(VLOOKUP(E35,list!$J$48:$K$50,2,))))),0)*($V15*$W15*(IPCC!$E$75*Nitrous)/1000)/$H15</f>
        <v/>
      </c>
      <c r="AP15" s="3057">
        <f>IF($I15="YES",(MIN(D35,F35)*time+ABS(F35-D35)*IF(F35&gt;D35,time*(VLOOKUP(G35,list!$J$48:$K$50,2,)),time*(1-(VLOOKUP(G35,list!$J$48:$K$50,2,))))),0)*($V15*$W15*(IPCC!$E$75*Nitrous)/1000)/$H15</f>
        <v/>
      </c>
    </row>
    <row r="16">
      <c r="B16" s="3120">
        <f>'4.Grassland'!C28</f>
        <v/>
      </c>
      <c r="C16" s="1688" t="n"/>
      <c r="D16" s="1688">
        <f>'4.Grassland'!$G28</f>
        <v/>
      </c>
      <c r="E16" s="3115">
        <f>'4.Grassland'!$I28</f>
        <v/>
      </c>
      <c r="F16" s="3115">
        <f>'4.Grassland'!$K28</f>
        <v/>
      </c>
      <c r="G16" s="3115">
        <f>'4.Grassland'!$M28</f>
        <v/>
      </c>
      <c r="H16" s="3115">
        <f>'4.Grassland'!$N28</f>
        <v/>
      </c>
      <c r="I16" s="3115">
        <f>'4.Grassland'!$P28</f>
        <v/>
      </c>
      <c r="J16" s="3115">
        <f>'4.Grassland'!$Q28</f>
        <v/>
      </c>
      <c r="K16" s="4712">
        <f>IFERROR(IF($D16&lt;&gt; "Please select", VLOOKUP($D16, grass!$W$28:$Y$33,3, FALSE),SOCref),0)</f>
        <v/>
      </c>
      <c r="L16" s="4642">
        <f>IF('4.Grassland'!BD28="",'4.Grassland'!BC28,'4.Grassland'!BD28)</f>
        <v/>
      </c>
      <c r="M16" s="4712">
        <f>IFERROR(IF($E16&lt;&gt; "Please select", VLOOKUP($E16, grass!$W$28:$Y$33,3, FALSE),SOCref),0)</f>
        <v/>
      </c>
      <c r="N16" s="4642">
        <f>IF('4.Grassland'!BF28="",'4.Grassland'!BE28,'4.Grassland'!BF28)</f>
        <v/>
      </c>
      <c r="O16" s="4712">
        <f>IFERROR(IF($F16&lt;&gt; "Please select", VLOOKUP($F16, grass!$W$28:$Y$33,3, FALSE),SOCref),0)</f>
        <v/>
      </c>
      <c r="P16" s="4642">
        <f>IF('4.Grassland'!BH28="",'4.Grassland'!BG28,'4.Grassland'!BH28)</f>
        <v/>
      </c>
      <c r="Q16" s="4713">
        <f>($N16-$L16)/20*(-44/12)</f>
        <v/>
      </c>
      <c r="R16" s="4714">
        <f>($P16-$L16)/20*(-44/12)</f>
        <v/>
      </c>
      <c r="S16" s="3115">
        <f>'4.Grassland'!$S28</f>
        <v/>
      </c>
      <c r="T16" s="3115">
        <f>'4.Grassland'!$T28</f>
        <v/>
      </c>
      <c r="U16" s="3115">
        <f>'4.Grassland'!$U28</f>
        <v/>
      </c>
      <c r="V16" s="1104">
        <f>IF('4.Grassland'!$BJ28="", '4.Grassland'!$BI28, '4.Grassland'!$BJ28)</f>
        <v/>
      </c>
      <c r="W16" s="1104">
        <f>IF('4.Grassland'!$BM28="", '4.Grassland'!$BL28, '4.Grassland'!$BM28)</f>
        <v/>
      </c>
      <c r="X16" s="4715">
        <f>V16*$W16*(IPCC!$D$75*methane+IPCC!$E$75*Nitrous)/1000</f>
        <v/>
      </c>
      <c r="Y16" s="3417">
        <f>$X16/$H16</f>
        <v/>
      </c>
      <c r="Z16" s="3417">
        <f>$X16/$J16</f>
        <v/>
      </c>
      <c r="AG16" s="3055">
        <f>IF($G16="YES",(MIN(C36,D36)*time_tot+ABS(D36-C36)*IF(D36&gt;C36,time_cap+time*(VLOOKUP(E36,list!$J$48:$K$50,2,)),time*(1-(VLOOKUP($E36,list!$J$48:$K$50,2,))))),0)*($V16*$W16*(IPCC!$D$75*methane)/1000)/$H16</f>
        <v/>
      </c>
      <c r="AH16" s="3056">
        <f>IF($I16="YES",(MIN(D36,F36)*time_tot+ABS(F36-D36)*IF(F36&gt;D36,time_cap+time*(VLOOKUP(G36,list!$J$48:$K$50,2,)),time*(1-(VLOOKUP(G36,list!$J$48:$K$50,2,))))),0)*($V16*$W16*(IPCC!$D$75*methane)/1000)/$H16</f>
        <v/>
      </c>
      <c r="AI16" s="3056">
        <f>IF($G16="YES",(MIN(C36,D36)*time_tot+ABS(D36-C36)*IF(D36&gt;C36,time_cap+time*(VLOOKUP(E36,list!$J$48:$K$50,2,)),time*(1-(VLOOKUP(E36,list!$J$48:$K$50,2,))))),0)*($V16*$W16*(IPCC!$E$75*Nitrous)/1000)/$H16</f>
        <v/>
      </c>
      <c r="AJ16" s="3056">
        <f>IF($I16="YES",(MIN(D36,F36)*time_tot+ABS(F36-D36)*IF(F36&gt;D36,time_cap+time*(VLOOKUP(G36,list!$J$48:$K$50,2,)),time*(1-(VLOOKUP(G36,list!$J$48:$K$50,2,))))),0)*($V16*$W16*(IPCC!$E$75*Nitrous)/1000)/$H16</f>
        <v/>
      </c>
      <c r="AK16" s="3056">
        <f>$Q16*(IF(E36="Immediate",IF(C36&gt;0,C36*MIN(20,time),0),C36*IF(time&gt;time+20,20,IF(time&lt;20,(time*VLOOKUP(E36, list!$J$48:$K$50,2,))+(time-time),((MIN(20,time)*VLOOKUP(E36, list!$J$48:$K$50,2,))+(time-MIN(20,time))-IF(E36="Exponential",time-20+0.217*time*(EXP(4.606*(20-time)/time)-1),((time-20)^2)*(0.5/time)))))))</f>
        <v/>
      </c>
      <c r="AL16" s="3056">
        <f>$R16*(IF(G36="Immediate",IF(C36&gt;0,C36*MIN(20,time),0),C36*IF(time&gt;time+20,20,IF(time&lt;20,(time*VLOOKUP(G36, list!$J$48:$K$50,2,))+(time-time),((MIN(20,time)*VLOOKUP(G36, list!$J$48:$K$50,2,))+(time_tot-MIN(20,time))-IF(G36="Exponential",time-20+0.217*time*(EXP(4.606*(20-time)/time)-1),((time-20)^2)*(0.5/time)))))))</f>
        <v/>
      </c>
      <c r="AM16" s="3056">
        <f>IF($G16="YES",(MIN(C36,D36)*time+ABS(D36-C36)*IF(D36&gt;C36,time*(VLOOKUP(E36,list!$J$48:$K$50,2,)),time*(1-(VLOOKUP(E36,list!$J$48:$K$50,2,))))),0)*($V16*$W16*(IPCC!$D$75*methane)/1000)/$H16</f>
        <v/>
      </c>
      <c r="AN16" s="3056">
        <f>IF($I16="YES",(MIN(D36,F36)*time+ABS(F36-D36)*IF(F36&gt;D36,time*(VLOOKUP(G36,list!$J$48:$K$50,2,)),time*(1-(VLOOKUP(G36,list!$J$48:$K$50,2,))))),0)*($V16*$W16*(IPCC!$D$75*methane)/1000)/$H16</f>
        <v/>
      </c>
      <c r="AO16" s="3056">
        <f>IF($G16="YES",(MIN(C36,D36)*time+ABS(D36-C36)*IF(D36&gt;C36,time*(VLOOKUP(E36,list!$J$48:$K$50,2,)),time*(1-(VLOOKUP(E36,list!$J$48:$K$50,2,))))),0)*($V16*$W16*(IPCC!$E$75*Nitrous)/1000)/$H16</f>
        <v/>
      </c>
      <c r="AP16" s="3057">
        <f>IF($I16="YES",(MIN(D36,F36)*time+ABS(F36-D36)*IF(F36&gt;D36,time*(VLOOKUP(G36,list!$J$48:$K$50,2,)),time*(1-(VLOOKUP(G36,list!$J$48:$K$50,2,))))),0)*($V16*$W16*(IPCC!$E$75*Nitrous)/1000)/$H16</f>
        <v/>
      </c>
    </row>
    <row r="17">
      <c r="B17" s="3120">
        <f>'4.Grassland'!C29</f>
        <v/>
      </c>
      <c r="C17" s="1688" t="n"/>
      <c r="D17" s="1688">
        <f>'4.Grassland'!$G29</f>
        <v/>
      </c>
      <c r="E17" s="3115">
        <f>'4.Grassland'!$I29</f>
        <v/>
      </c>
      <c r="F17" s="3115">
        <f>'4.Grassland'!$K29</f>
        <v/>
      </c>
      <c r="G17" s="3115">
        <f>'4.Grassland'!$M29</f>
        <v/>
      </c>
      <c r="H17" s="3115">
        <f>'4.Grassland'!$N29</f>
        <v/>
      </c>
      <c r="I17" s="3115">
        <f>'4.Grassland'!$P29</f>
        <v/>
      </c>
      <c r="J17" s="3115">
        <f>'4.Grassland'!$Q29</f>
        <v/>
      </c>
      <c r="K17" s="4712">
        <f>IFERROR(IF($D17&lt;&gt; "Please select", VLOOKUP($D17, grass!$W$28:$Y$33,3, FALSE),SOCref),0)</f>
        <v/>
      </c>
      <c r="L17" s="4642">
        <f>IF('4.Grassland'!BD29="",'4.Grassland'!BC29,'4.Grassland'!BD29)</f>
        <v/>
      </c>
      <c r="M17" s="4712">
        <f>IFERROR(IF($E17&lt;&gt; "Please select", VLOOKUP($E17, grass!$W$28:$Y$33,3, FALSE),SOCref),0)</f>
        <v/>
      </c>
      <c r="N17" s="4642">
        <f>IF('4.Grassland'!BF29="",'4.Grassland'!BE29,'4.Grassland'!BF29)</f>
        <v/>
      </c>
      <c r="O17" s="4712">
        <f>IFERROR(IF($F17&lt;&gt; "Please select", VLOOKUP($F17, grass!$W$28:$Y$33,3, FALSE),SOCref),0)</f>
        <v/>
      </c>
      <c r="P17" s="4642">
        <f>IF('4.Grassland'!BH29="",'4.Grassland'!BG29,'4.Grassland'!BH29)</f>
        <v/>
      </c>
      <c r="Q17" s="4713">
        <f>($N17-$L17)/20*(-44/12)</f>
        <v/>
      </c>
      <c r="R17" s="4714">
        <f>($P17-$L17)/20*(-44/12)</f>
        <v/>
      </c>
      <c r="S17" s="3115">
        <f>'4.Grassland'!$S29</f>
        <v/>
      </c>
      <c r="T17" s="3115">
        <f>'4.Grassland'!$T29</f>
        <v/>
      </c>
      <c r="U17" s="3115">
        <f>'4.Grassland'!$U29</f>
        <v/>
      </c>
      <c r="V17" s="1104">
        <f>IF('4.Grassland'!$BJ29="", '4.Grassland'!$BI29, '4.Grassland'!$BJ29)</f>
        <v/>
      </c>
      <c r="W17" s="1104">
        <f>IF('4.Grassland'!$BM29="", '4.Grassland'!$BL29, '4.Grassland'!$BM29)</f>
        <v/>
      </c>
      <c r="X17" s="4715">
        <f>V17*$W17*(IPCC!$D$75*methane+IPCC!$E$75*Nitrous)/1000</f>
        <v/>
      </c>
      <c r="Y17" s="3417">
        <f>$X17/$H17</f>
        <v/>
      </c>
      <c r="Z17" s="3417">
        <f>$X17/$J17</f>
        <v/>
      </c>
      <c r="AG17" s="3055">
        <f>IF($G17="YES",(MIN(C37,D37)*time_tot+ABS(D37-C37)*IF(D37&gt;C37,time_cap+time*(VLOOKUP(E37,list!$J$48:$K$50,2,)),time*(1-(VLOOKUP($E37,list!$J$48:$K$50,2,))))),0)*($V17*$W17*(IPCC!$D$75*methane)/1000)/$H17</f>
        <v/>
      </c>
      <c r="AH17" s="3056">
        <f>IF($I17="YES",(MIN(D37,F37)*time_tot+ABS(F37-D37)*IF(F37&gt;D37,time_cap+time*(VLOOKUP(G37,list!$J$48:$K$50,2,)),time*(1-(VLOOKUP(G37,list!$J$48:$K$50,2,))))),0)*($V17*$W17*(IPCC!$D$75*methane)/1000)/$H17</f>
        <v/>
      </c>
      <c r="AI17" s="3056">
        <f>IF($G17="YES",(MIN(C37,D37)*time_tot+ABS(D37-C37)*IF(D37&gt;C37,time_cap+time*(VLOOKUP(E37,list!$J$48:$K$50,2,)),time*(1-(VLOOKUP(E37,list!$J$48:$K$50,2,))))),0)*($V17*$W17*(IPCC!$E$75*Nitrous)/1000)/$H17</f>
        <v/>
      </c>
      <c r="AJ17" s="3056">
        <f>IF($I17="YES",(MIN(D37,F37)*time_tot+ABS(F37-D37)*IF(F37&gt;D37,time_cap+time*(VLOOKUP(G37,list!$J$48:$K$50,2,)),time*(1-(VLOOKUP(G37,list!$J$48:$K$50,2,))))),0)*($V17*$W17*(IPCC!$E$75*Nitrous)/1000)/$H17</f>
        <v/>
      </c>
      <c r="AK17" s="3056">
        <f>$Q17*(IF(E37="Immediate",IF(C37&gt;0,C37*MIN(20,time),0),C37*IF(time&gt;time+20,20,IF(time&lt;20,(time*VLOOKUP(E37, list!$J$48:$K$50,2,))+(time-time),((MIN(20,time)*VLOOKUP(E37, list!$J$48:$K$50,2,))+(time-MIN(20,time))-IF(E37="Exponential",time-20+0.217*time*(EXP(4.606*(20-time)/time)-1),((time-20)^2)*(0.5/time)))))))</f>
        <v/>
      </c>
      <c r="AL17" s="3056">
        <f>$R17*(IF(G37="Immediate",IF(C37&gt;0,C37*MIN(20,time),0),C37*IF(time&gt;time+20,20,IF(time&lt;20,(time*VLOOKUP(G37, list!$J$48:$K$50,2,))+(time-time),((MIN(20,time)*VLOOKUP(G37, list!$J$48:$K$50,2,))+(time_tot-MIN(20,time))-IF(G37="Exponential",time-20+0.217*time*(EXP(4.606*(20-time)/time)-1),((time-20)^2)*(0.5/time)))))))</f>
        <v/>
      </c>
      <c r="AM17" s="3056">
        <f>IF($G17="YES",(MIN(C37,D37)*time+ABS(D37-C37)*IF(D37&gt;C37,time*(VLOOKUP(E37,list!$J$48:$K$50,2,)),time*(1-(VLOOKUP(E37,list!$J$48:$K$50,2,))))),0)*($V17*$W17*(IPCC!$D$75*methane)/1000)/$H17</f>
        <v/>
      </c>
      <c r="AN17" s="3056">
        <f>IF($I17="YES",(MIN(D37,F37)*time+ABS(F37-D37)*IF(F37&gt;D37,time*(VLOOKUP(G37,list!$J$48:$K$50,2,)),time*(1-(VLOOKUP(G37,list!$J$48:$K$50,2,))))),0)*($V17*$W17*(IPCC!$D$75*methane)/1000)/$H17</f>
        <v/>
      </c>
      <c r="AO17" s="3056">
        <f>IF($G17="YES",(MIN(C37,D37)*time+ABS(D37-C37)*IF(D37&gt;C37,time*(VLOOKUP(E37,list!$J$48:$K$50,2,)),time*(1-(VLOOKUP(E37,list!$J$48:$K$50,2,))))),0)*($V17*$W17*(IPCC!$E$75*Nitrous)/1000)/$H17</f>
        <v/>
      </c>
      <c r="AP17" s="3057">
        <f>IF($I17="YES",(MIN(D37,F37)*time+ABS(F37-D37)*IF(F37&gt;D37,time*(VLOOKUP(G37,list!$J$48:$K$50,2,)),time*(1-(VLOOKUP(G37,list!$J$48:$K$50,2,))))),0)*($V17*$W17*(IPCC!$E$75*Nitrous)/1000)/$H17</f>
        <v/>
      </c>
    </row>
    <row r="18">
      <c r="B18" s="3120">
        <f>'4.Grassland'!C30</f>
        <v/>
      </c>
      <c r="C18" s="1688" t="n"/>
      <c r="D18" s="1688">
        <f>'4.Grassland'!$G30</f>
        <v/>
      </c>
      <c r="E18" s="3115">
        <f>'4.Grassland'!$I30</f>
        <v/>
      </c>
      <c r="F18" s="3115">
        <f>'4.Grassland'!$K30</f>
        <v/>
      </c>
      <c r="G18" s="3115">
        <f>'4.Grassland'!$M30</f>
        <v/>
      </c>
      <c r="H18" s="3115">
        <f>'4.Grassland'!$N30</f>
        <v/>
      </c>
      <c r="I18" s="3115">
        <f>'4.Grassland'!$P30</f>
        <v/>
      </c>
      <c r="J18" s="3115">
        <f>'4.Grassland'!$Q30</f>
        <v/>
      </c>
      <c r="K18" s="4712">
        <f>IFERROR(IF($D18&lt;&gt; "Please select", VLOOKUP($D18, grass!$W$28:$Y$33,3, FALSE),SOCref),0)</f>
        <v/>
      </c>
      <c r="L18" s="4642">
        <f>IF('4.Grassland'!BD30="",'4.Grassland'!BC30,'4.Grassland'!BD30)</f>
        <v/>
      </c>
      <c r="M18" s="4712">
        <f>IFERROR(IF($E18&lt;&gt; "Please select", VLOOKUP($E18, grass!$W$28:$Y$33,3, FALSE),SOCref),0)</f>
        <v/>
      </c>
      <c r="N18" s="4642">
        <f>IF('4.Grassland'!BF30="",'4.Grassland'!BE30,'4.Grassland'!BF30)</f>
        <v/>
      </c>
      <c r="O18" s="4712">
        <f>IFERROR(IF($F18&lt;&gt; "Please select", VLOOKUP($F18, grass!$W$28:$Y$33,3, FALSE),SOCref),0)</f>
        <v/>
      </c>
      <c r="P18" s="4642">
        <f>IF('4.Grassland'!BH30="",'4.Grassland'!BG30,'4.Grassland'!BH30)</f>
        <v/>
      </c>
      <c r="Q18" s="4713">
        <f>($N18-$L18)/20*(-44/12)</f>
        <v/>
      </c>
      <c r="R18" s="4714">
        <f>($P18-$L18)/20*(-44/12)</f>
        <v/>
      </c>
      <c r="S18" s="3115">
        <f>'4.Grassland'!$S30</f>
        <v/>
      </c>
      <c r="T18" s="3115">
        <f>'4.Grassland'!$T30</f>
        <v/>
      </c>
      <c r="U18" s="3115">
        <f>'4.Grassland'!$U30</f>
        <v/>
      </c>
      <c r="V18" s="1104">
        <f>IF('4.Grassland'!$BJ30="", '4.Grassland'!$BI30, '4.Grassland'!$BJ30)</f>
        <v/>
      </c>
      <c r="W18" s="1104">
        <f>IF('4.Grassland'!$BM30="", '4.Grassland'!$BL30, '4.Grassland'!$BM30)</f>
        <v/>
      </c>
      <c r="X18" s="4715">
        <f>V18*$W18*(IPCC!$D$75*methane+IPCC!$E$75*Nitrous)/1000</f>
        <v/>
      </c>
      <c r="Y18" s="3417">
        <f>$X18/$H18</f>
        <v/>
      </c>
      <c r="Z18" s="3417">
        <f>$X18/$J18</f>
        <v/>
      </c>
      <c r="AG18" s="3055">
        <f>IF($G18="YES",(MIN(C38,D38)*time_tot+ABS(D38-C38)*IF(D38&gt;C38,time_cap+time*(VLOOKUP(E38,list!$J$48:$K$50,2,)),time*(1-(VLOOKUP($E38,list!$J$48:$K$50,2,))))),0)*($V18*$W18*(IPCC!$D$75*methane)/1000)/$H18</f>
        <v/>
      </c>
      <c r="AH18" s="3056">
        <f>IF($I18="YES",(MIN(D38,F38)*time_tot+ABS(F38-D38)*IF(F38&gt;D38,time_cap+time*(VLOOKUP(G38,list!$J$48:$K$50,2,)),time*(1-(VLOOKUP(G38,list!$J$48:$K$50,2,))))),0)*($V18*$W18*(IPCC!$D$75*methane)/1000)/$H18</f>
        <v/>
      </c>
      <c r="AI18" s="3056">
        <f>IF($G18="YES",(MIN(C38,D38)*time_tot+ABS(D38-C38)*IF(D38&gt;C38,time_cap+time*(VLOOKUP(E38,list!$J$48:$K$50,2,)),time*(1-(VLOOKUP(E38,list!$J$48:$K$50,2,))))),0)*($V18*$W18*(IPCC!$E$75*Nitrous)/1000)/$H18</f>
        <v/>
      </c>
      <c r="AJ18" s="3056">
        <f>IF($I18="YES",(MIN(D38,F38)*time_tot+ABS(F38-D38)*IF(F38&gt;D38,time_cap+time*(VLOOKUP(G38,list!$J$48:$K$50,2,)),time*(1-(VLOOKUP(G38,list!$J$48:$K$50,2,))))),0)*($V18*$W18*(IPCC!$E$75*Nitrous)/1000)/$H18</f>
        <v/>
      </c>
      <c r="AK18" s="3056">
        <f>$Q18*(IF(E38="Immediate",IF(C38&gt;0,C38*MIN(20,time),0),C38*IF(time&gt;time+20,20,IF(time&lt;20,(time*VLOOKUP(E38, list!$J$48:$K$50,2,))+(time-time),((MIN(20,time)*VLOOKUP(E38, list!$J$48:$K$50,2,))+(time-MIN(20,time))-IF(E38="Exponential",time-20+0.217*time*(EXP(4.606*(20-time)/time)-1),((time-20)^2)*(0.5/time)))))))</f>
        <v/>
      </c>
      <c r="AL18" s="3056">
        <f>$R18*(IF(G38="Immediate",IF(C38&gt;0,C38*MIN(20,time),0),C38*IF(time&gt;time+20,20,IF(time&lt;20,(time*VLOOKUP(G38, list!$J$48:$K$50,2,))+(time-time),((MIN(20,time)*VLOOKUP(G38, list!$J$48:$K$50,2,))+(time_tot-MIN(20,time))-IF(G38="Exponential",time-20+0.217*time*(EXP(4.606*(20-time)/time)-1),((time-20)^2)*(0.5/time)))))))</f>
        <v/>
      </c>
      <c r="AM18" s="3056">
        <f>IF($G18="YES",(MIN(C38,D38)*time+ABS(D38-C38)*IF(D38&gt;C38,time*(VLOOKUP(E38,list!$J$48:$K$50,2,)),time*(1-(VLOOKUP(E38,list!$J$48:$K$50,2,))))),0)*($V18*$W18*(IPCC!$D$75*methane)/1000)/$H18</f>
        <v/>
      </c>
      <c r="AN18" s="3056">
        <f>IF($I18="YES",(MIN(D38,F38)*time+ABS(F38-D38)*IF(F38&gt;D38,time*(VLOOKUP(G38,list!$J$48:$K$50,2,)),time*(1-(VLOOKUP(G38,list!$J$48:$K$50,2,))))),0)*($V18*$W18*(IPCC!$D$75*methane)/1000)/$H18</f>
        <v/>
      </c>
      <c r="AO18" s="3056">
        <f>IF($G18="YES",(MIN(C38,D38)*time+ABS(D38-C38)*IF(D38&gt;C38,time*(VLOOKUP(E38,list!$J$48:$K$50,2,)),time*(1-(VLOOKUP(E38,list!$J$48:$K$50,2,))))),0)*($V18*$W18*(IPCC!$E$75*Nitrous)/1000)/$H18</f>
        <v/>
      </c>
      <c r="AP18" s="3057">
        <f>IF($I18="YES",(MIN(D38,F38)*time+ABS(F38-D38)*IF(F38&gt;D38,time*(VLOOKUP(G38,list!$J$48:$K$50,2,)),time*(1-(VLOOKUP(G38,list!$J$48:$K$50,2,))))),0)*($V18*$W18*(IPCC!$E$75*Nitrous)/1000)/$H18</f>
        <v/>
      </c>
    </row>
    <row r="19">
      <c r="B19" s="3120">
        <f>'4.Grassland'!C31</f>
        <v/>
      </c>
      <c r="C19" s="1688" t="n"/>
      <c r="D19" s="1688">
        <f>'4.Grassland'!$G31</f>
        <v/>
      </c>
      <c r="E19" s="3115">
        <f>'4.Grassland'!$I31</f>
        <v/>
      </c>
      <c r="F19" s="3115">
        <f>'4.Grassland'!$K31</f>
        <v/>
      </c>
      <c r="G19" s="3115">
        <f>'4.Grassland'!$M31</f>
        <v/>
      </c>
      <c r="H19" s="3115">
        <f>'4.Grassland'!$N31</f>
        <v/>
      </c>
      <c r="I19" s="3115">
        <f>'4.Grassland'!$P31</f>
        <v/>
      </c>
      <c r="J19" s="3115">
        <f>'4.Grassland'!$Q31</f>
        <v/>
      </c>
      <c r="K19" s="4712">
        <f>IFERROR(IF($D19&lt;&gt; "Please select", VLOOKUP($D19, grass!$W$28:$Y$33,3, FALSE),SOCref),0)</f>
        <v/>
      </c>
      <c r="L19" s="4642">
        <f>IF('4.Grassland'!BD31="",'4.Grassland'!BC31,'4.Grassland'!BD31)</f>
        <v/>
      </c>
      <c r="M19" s="4712">
        <f>IFERROR(IF($E19&lt;&gt; "Please select", VLOOKUP($E19, grass!$W$28:$Y$33,3, FALSE),SOCref),0)</f>
        <v/>
      </c>
      <c r="N19" s="4642">
        <f>IF('4.Grassland'!BF31="",'4.Grassland'!BE31,'4.Grassland'!BF31)</f>
        <v/>
      </c>
      <c r="O19" s="4712">
        <f>IFERROR(IF($F19&lt;&gt; "Please select", VLOOKUP($F19, grass!$W$28:$Y$33,3, FALSE),SOCref),0)</f>
        <v/>
      </c>
      <c r="P19" s="4642">
        <f>IF('4.Grassland'!BH31="",'4.Grassland'!BG31,'4.Grassland'!BH31)</f>
        <v/>
      </c>
      <c r="Q19" s="4713">
        <f>($N19-$L19)/20*(-44/12)</f>
        <v/>
      </c>
      <c r="R19" s="4714">
        <f>($P19-$L19)/20*(-44/12)</f>
        <v/>
      </c>
      <c r="S19" s="3115">
        <f>'4.Grassland'!$S31</f>
        <v/>
      </c>
      <c r="T19" s="3115">
        <f>'4.Grassland'!$T31</f>
        <v/>
      </c>
      <c r="U19" s="3115">
        <f>'4.Grassland'!$U31</f>
        <v/>
      </c>
      <c r="V19" s="1104">
        <f>IF('4.Grassland'!$BJ31="", '4.Grassland'!$BI31, '4.Grassland'!$BJ31)</f>
        <v/>
      </c>
      <c r="W19" s="1104">
        <f>IF('4.Grassland'!$BM31="", '4.Grassland'!$BL31, '4.Grassland'!$BM31)</f>
        <v/>
      </c>
      <c r="X19" s="4715">
        <f>V19*$W19*(IPCC!$D$75*methane+IPCC!$E$75*Nitrous)/1000</f>
        <v/>
      </c>
      <c r="Y19" s="3417">
        <f>$X19/$H19</f>
        <v/>
      </c>
      <c r="Z19" s="3417">
        <f>$X19/$J19</f>
        <v/>
      </c>
      <c r="AG19" s="3055">
        <f>IF($G19="YES",(MIN(C39,D39)*time_tot+ABS(D39-C39)*IF(D39&gt;C39,time_cap+time*(VLOOKUP(E39,list!$J$48:$K$50,2,)),time*(1-(VLOOKUP($E39,list!$J$48:$K$50,2,))))),0)*($V19*$W19*(IPCC!$D$75*methane)/1000)/$H19</f>
        <v/>
      </c>
      <c r="AH19" s="3056">
        <f>IF($I19="YES",(MIN(D39,F39)*time_tot+ABS(F39-D39)*IF(F39&gt;D39,time_cap+time*(VLOOKUP(G39,list!$J$48:$K$50,2,)),time*(1-(VLOOKUP(G39,list!$J$48:$K$50,2,))))),0)*($V19*$W19*(IPCC!$D$75*methane)/1000)/$H19</f>
        <v/>
      </c>
      <c r="AI19" s="3056">
        <f>IF($G19="YES",(MIN(C39,D39)*time_tot+ABS(D39-C39)*IF(D39&gt;C39,time_cap+time*(VLOOKUP(E39,list!$J$48:$K$50,2,)),time*(1-(VLOOKUP(E39,list!$J$48:$K$50,2,))))),0)*($V19*$W19*(IPCC!$E$75*Nitrous)/1000)/$H19</f>
        <v/>
      </c>
      <c r="AJ19" s="3056">
        <f>IF($I19="YES",(MIN(D39,F39)*time_tot+ABS(F39-D39)*IF(F39&gt;D39,time_cap+time*(VLOOKUP(G39,list!$J$48:$K$50,2,)),time*(1-(VLOOKUP(G39,list!$J$48:$K$50,2,))))),0)*($V19*$W19*(IPCC!$E$75*Nitrous)/1000)/$H19</f>
        <v/>
      </c>
      <c r="AK19" s="3056">
        <f>$Q19*(IF(E39="Immediate",IF(C39&gt;0,C39*MIN(20,time),0),C39*IF(time&gt;time+20,20,IF(time&lt;20,(time*VLOOKUP(E39, list!$J$48:$K$50,2,))+(time-time),((MIN(20,time)*VLOOKUP(E39, list!$J$48:$K$50,2,))+(time-MIN(20,time))-IF(E39="Exponential",time-20+0.217*time*(EXP(4.606*(20-time)/time)-1),((time-20)^2)*(0.5/time)))))))</f>
        <v/>
      </c>
      <c r="AL19" s="3056">
        <f>$R19*(IF(G39="Immediate",IF(C39&gt;0,C39*MIN(20,time),0),C39*IF(time&gt;time+20,20,IF(time&lt;20,(time*VLOOKUP(G39, list!$J$48:$K$50,2,))+(time-time),((MIN(20,time)*VLOOKUP(G39, list!$J$48:$K$50,2,))+(time_tot-MIN(20,time))-IF(G39="Exponential",time-20+0.217*time*(EXP(4.606*(20-time)/time)-1),((time-20)^2)*(0.5/time)))))))</f>
        <v/>
      </c>
      <c r="AM19" s="3056">
        <f>IF($G19="YES",(MIN(C39,D39)*time+ABS(D39-C39)*IF(D39&gt;C39,time*(VLOOKUP(E39,list!$J$48:$K$50,2,)),time*(1-(VLOOKUP(E39,list!$J$48:$K$50,2,))))),0)*($V19*$W19*(IPCC!$D$75*methane)/1000)/$H19</f>
        <v/>
      </c>
      <c r="AN19" s="3056">
        <f>IF($I19="YES",(MIN(D39,F39)*time+ABS(F39-D39)*IF(F39&gt;D39,time*(VLOOKUP(G39,list!$J$48:$K$50,2,)),time*(1-(VLOOKUP(G39,list!$J$48:$K$50,2,))))),0)*($V19*$W19*(IPCC!$D$75*methane)/1000)/$H19</f>
        <v/>
      </c>
      <c r="AO19" s="3056">
        <f>IF($G19="YES",(MIN(C39,D39)*time+ABS(D39-C39)*IF(D39&gt;C39,time*(VLOOKUP(E39,list!$J$48:$K$50,2,)),time*(1-(VLOOKUP(E39,list!$J$48:$K$50,2,))))),0)*($V19*$W19*(IPCC!$E$75*Nitrous)/1000)/$H19</f>
        <v/>
      </c>
      <c r="AP19" s="3057">
        <f>IF($I19="YES",(MIN(D39,F39)*time+ABS(F39-D39)*IF(F39&gt;D39,time*(VLOOKUP(G39,list!$J$48:$K$50,2,)),time*(1-(VLOOKUP(G39,list!$J$48:$K$50,2,))))),0)*($V19*$W19*(IPCC!$E$75*Nitrous)/1000)/$H19</f>
        <v/>
      </c>
    </row>
    <row r="20">
      <c r="B20" s="3120">
        <f>'4.Grassland'!C32</f>
        <v/>
      </c>
      <c r="C20" s="1688" t="n"/>
      <c r="D20" s="1688">
        <f>'4.Grassland'!$G32</f>
        <v/>
      </c>
      <c r="E20" s="3115">
        <f>'4.Grassland'!$I32</f>
        <v/>
      </c>
      <c r="F20" s="3115">
        <f>'4.Grassland'!$K32</f>
        <v/>
      </c>
      <c r="G20" s="3115">
        <f>'4.Grassland'!$M32</f>
        <v/>
      </c>
      <c r="H20" s="3115">
        <f>'4.Grassland'!$N32</f>
        <v/>
      </c>
      <c r="I20" s="3115">
        <f>'4.Grassland'!$P32</f>
        <v/>
      </c>
      <c r="J20" s="3115">
        <f>'4.Grassland'!$Q32</f>
        <v/>
      </c>
      <c r="K20" s="4712">
        <f>IFERROR(IF($D20&lt;&gt; "Please select", VLOOKUP($D20, grass!$W$28:$Y$33,3, FALSE),SOCref),0)</f>
        <v/>
      </c>
      <c r="L20" s="4642">
        <f>IF('4.Grassland'!BD32="",'4.Grassland'!BC32,'4.Grassland'!BD32)</f>
        <v/>
      </c>
      <c r="M20" s="4712">
        <f>IFERROR(IF($E20&lt;&gt; "Please select", VLOOKUP($E20, grass!$W$28:$Y$33,3, FALSE),SOCref),0)</f>
        <v/>
      </c>
      <c r="N20" s="4642">
        <f>IF('4.Grassland'!BF32="",'4.Grassland'!BE32,'4.Grassland'!BF32)</f>
        <v/>
      </c>
      <c r="O20" s="4712">
        <f>IFERROR(IF($F20&lt;&gt; "Please select", VLOOKUP($F20, grass!$W$28:$Y$33,3, FALSE),SOCref),0)</f>
        <v/>
      </c>
      <c r="P20" s="4642">
        <f>IF('4.Grassland'!BH32="",'4.Grassland'!BG32,'4.Grassland'!BH32)</f>
        <v/>
      </c>
      <c r="Q20" s="4713">
        <f>($N20-$L20)/20*(-44/12)</f>
        <v/>
      </c>
      <c r="R20" s="4714">
        <f>($P20-$L20)/20*(-44/12)</f>
        <v/>
      </c>
      <c r="S20" s="3115">
        <f>'4.Grassland'!$S32</f>
        <v/>
      </c>
      <c r="T20" s="3115">
        <f>'4.Grassland'!$T32</f>
        <v/>
      </c>
      <c r="U20" s="3115">
        <f>'4.Grassland'!$U32</f>
        <v/>
      </c>
      <c r="V20" s="1104">
        <f>IF('4.Grassland'!$BJ32="", '4.Grassland'!$BI32, '4.Grassland'!$BJ32)</f>
        <v/>
      </c>
      <c r="W20" s="1104">
        <f>IF('4.Grassland'!$BM32="", '4.Grassland'!$BL32, '4.Grassland'!$BM32)</f>
        <v/>
      </c>
      <c r="X20" s="4715">
        <f>V20*$W20*(IPCC!$D$75*methane+IPCC!$E$75*Nitrous)/1000</f>
        <v/>
      </c>
      <c r="Y20" s="3417">
        <f>$X20/$H20</f>
        <v/>
      </c>
      <c r="Z20" s="3417">
        <f>$X20/$J20</f>
        <v/>
      </c>
      <c r="AG20" s="3055">
        <f>IF($G20="YES",(MIN(C40,D40)*time_tot+ABS(D40-C40)*IF(D40&gt;C40,time_cap+time*(VLOOKUP(E40,list!$J$48:$K$50,2,)),time*(1-(VLOOKUP($E40,list!$J$48:$K$50,2,))))),0)*($V20*$W20*(IPCC!$D$75*methane)/1000)/$H20</f>
        <v/>
      </c>
      <c r="AH20" s="3056">
        <f>IF($I20="YES",(MIN(D40,F40)*time_tot+ABS(F40-D40)*IF(F40&gt;D40,time_cap+time*(VLOOKUP(G40,list!$J$48:$K$50,2,)),time*(1-(VLOOKUP(G40,list!$J$48:$K$50,2,))))),0)*($V20*$W20*(IPCC!$D$75*methane)/1000)/$H20</f>
        <v/>
      </c>
      <c r="AI20" s="3056">
        <f>IF($G20="YES",(MIN(C40,D40)*time_tot+ABS(D40-C40)*IF(D40&gt;C40,time_cap+time*(VLOOKUP(E40,list!$J$48:$K$50,2,)),time*(1-(VLOOKUP(E40,list!$J$48:$K$50,2,))))),0)*($V20*$W20*(IPCC!$E$75*Nitrous)/1000)/$H20</f>
        <v/>
      </c>
      <c r="AJ20" s="3056">
        <f>IF($I20="YES",(MIN(D40,F40)*time_tot+ABS(F40-D40)*IF(F40&gt;D40,time_cap+time*(VLOOKUP(G40,list!$J$48:$K$50,2,)),time*(1-(VLOOKUP(G40,list!$J$48:$K$50,2,))))),0)*($V20*$W20*(IPCC!$E$75*Nitrous)/1000)/$H20</f>
        <v/>
      </c>
      <c r="AK20" s="3056">
        <f>$Q20*(IF(E40="Immediate",IF(C40&gt;0,C40*MIN(20,time),0),C40*IF(time&gt;time+20,20,IF(time&lt;20,(time*VLOOKUP(E40, list!$J$48:$K$50,2,))+(time-time),((MIN(20,time)*VLOOKUP(E40, list!$J$48:$K$50,2,))+(time-MIN(20,time))-IF(E40="Exponential",time-20+0.217*time*(EXP(4.606*(20-time)/time)-1),((time-20)^2)*(0.5/time)))))))</f>
        <v/>
      </c>
      <c r="AL20" s="3056">
        <f>$R20*(IF(G40="Immediate",IF(C40&gt;0,C40*MIN(20,time),0),C40*IF(time&gt;time+20,20,IF(time&lt;20,(time*VLOOKUP(G40, list!$J$48:$K$50,2,))+(time-time),((MIN(20,time)*VLOOKUP(G40, list!$J$48:$K$50,2,))+(time_tot-MIN(20,time))-IF(G40="Exponential",time-20+0.217*time*(EXP(4.606*(20-time)/time)-1),((time-20)^2)*(0.5/time)))))))</f>
        <v/>
      </c>
      <c r="AM20" s="3056">
        <f>IF($G20="YES",(MIN(C40,D40)*time+ABS(D40-C40)*IF(D40&gt;C40,time*(VLOOKUP(E40,list!$J$48:$K$50,2,)),time*(1-(VLOOKUP(E40,list!$J$48:$K$50,2,))))),0)*($V20*$W20*(IPCC!$D$75*methane)/1000)/$H20</f>
        <v/>
      </c>
      <c r="AN20" s="3056">
        <f>IF($I20="YES",(MIN(D40,F40)*time+ABS(F40-D40)*IF(F40&gt;D40,time*(VLOOKUP(G40,list!$J$48:$K$50,2,)),time*(1-(VLOOKUP(G40,list!$J$48:$K$50,2,))))),0)*($V20*$W20*(IPCC!$D$75*methane)/1000)/$H20</f>
        <v/>
      </c>
      <c r="AO20" s="3056">
        <f>IF($G20="YES",(MIN(C40,D40)*time+ABS(D40-C40)*IF(D40&gt;C40,time*(VLOOKUP(E40,list!$J$48:$K$50,2,)),time*(1-(VLOOKUP(E40,list!$J$48:$K$50,2,))))),0)*($V20*$W20*(IPCC!$E$75*Nitrous)/1000)/$H20</f>
        <v/>
      </c>
      <c r="AP20" s="3057">
        <f>IF($I20="YES",(MIN(D40,F40)*time+ABS(F40-D40)*IF(F40&gt;D40,time*(VLOOKUP(G40,list!$J$48:$K$50,2,)),time*(1-(VLOOKUP(G40,list!$J$48:$K$50,2,))))),0)*($V20*$W20*(IPCC!$E$75*Nitrous)/1000)/$H20</f>
        <v/>
      </c>
    </row>
    <row r="21">
      <c r="B21" s="3120">
        <f>'4.Grassland'!C33</f>
        <v/>
      </c>
      <c r="C21" s="1688" t="n"/>
      <c r="D21" s="1688">
        <f>'4.Grassland'!$G33</f>
        <v/>
      </c>
      <c r="E21" s="3115">
        <f>'4.Grassland'!$I33</f>
        <v/>
      </c>
      <c r="F21" s="3115">
        <f>'4.Grassland'!$K33</f>
        <v/>
      </c>
      <c r="G21" s="3115">
        <f>'4.Grassland'!$M33</f>
        <v/>
      </c>
      <c r="H21" s="3115">
        <f>'4.Grassland'!$N33</f>
        <v/>
      </c>
      <c r="I21" s="3115">
        <f>'4.Grassland'!$P33</f>
        <v/>
      </c>
      <c r="J21" s="3115">
        <f>'4.Grassland'!$Q33</f>
        <v/>
      </c>
      <c r="K21" s="4712">
        <f>IFERROR(IF($D21&lt;&gt; "Please select", VLOOKUP($D21, grass!$W$28:$Y$33,3, FALSE),SOCref),0)</f>
        <v/>
      </c>
      <c r="L21" s="4642">
        <f>IF('4.Grassland'!BD33="",'4.Grassland'!BC33,'4.Grassland'!BD33)</f>
        <v/>
      </c>
      <c r="M21" s="4712">
        <f>IFERROR(IF($E21&lt;&gt; "Please select", VLOOKUP($E21, grass!$W$28:$Y$33,3, FALSE),SOCref),0)</f>
        <v/>
      </c>
      <c r="N21" s="4642">
        <f>IF('4.Grassland'!BF33="",'4.Grassland'!BE33,'4.Grassland'!BF33)</f>
        <v/>
      </c>
      <c r="O21" s="4712">
        <f>IFERROR(IF($F21&lt;&gt; "Please select", VLOOKUP($F21, grass!$W$28:$Y$33,3, FALSE),SOCref),0)</f>
        <v/>
      </c>
      <c r="P21" s="4642">
        <f>IF('4.Grassland'!BH33="",'4.Grassland'!BG33,'4.Grassland'!BH33)</f>
        <v/>
      </c>
      <c r="Q21" s="4713">
        <f>($N21-$L21)/20*(-44/12)</f>
        <v/>
      </c>
      <c r="R21" s="4714">
        <f>($P21-$L21)/20*(-44/12)</f>
        <v/>
      </c>
      <c r="S21" s="3115">
        <f>'4.Grassland'!$S33</f>
        <v/>
      </c>
      <c r="T21" s="3115">
        <f>'4.Grassland'!$T33</f>
        <v/>
      </c>
      <c r="U21" s="3115">
        <f>'4.Grassland'!$U33</f>
        <v/>
      </c>
      <c r="V21" s="1104">
        <f>IF('4.Grassland'!$BJ33="", '4.Grassland'!$BI33, '4.Grassland'!$BJ33)</f>
        <v/>
      </c>
      <c r="W21" s="1104">
        <f>IF('4.Grassland'!$BM33="", '4.Grassland'!$BL33, '4.Grassland'!$BM33)</f>
        <v/>
      </c>
      <c r="X21" s="4715">
        <f>V21*$W21*(IPCC!$D$75*methane+IPCC!$E$75*Nitrous)/1000</f>
        <v/>
      </c>
      <c r="Y21" s="3417">
        <f>$X21/$H21</f>
        <v/>
      </c>
      <c r="Z21" s="3417">
        <f>$X21/$J21</f>
        <v/>
      </c>
      <c r="AG21" s="3055">
        <f>IF($G21="YES",(MIN(C41,D41)*time_tot+ABS(D41-C41)*IF(D41&gt;C41,time_cap+time*(VLOOKUP(E41,list!$J$48:$K$50,2,)),time*(1-(VLOOKUP($E41,list!$J$48:$K$50,2,))))),0)*($V21*$W21*(IPCC!$D$75*methane)/1000)/$H21</f>
        <v/>
      </c>
      <c r="AH21" s="3056">
        <f>IF($I21="YES",(MIN(D41,F41)*time_tot+ABS(F41-D41)*IF(F41&gt;D41,time_cap+time*(VLOOKUP(G41,list!$J$48:$K$50,2,)),time*(1-(VLOOKUP(G41,list!$J$48:$K$50,2,))))),0)*($V21*$W21*(IPCC!$D$75*methane)/1000)/$H21</f>
        <v/>
      </c>
      <c r="AI21" s="3056">
        <f>IF($G21="YES",(MIN(C41,D41)*time_tot+ABS(D41-C41)*IF(D41&gt;C41,time_cap+time*(VLOOKUP(E41,list!$J$48:$K$50,2,)),time*(1-(VLOOKUP(E41,list!$J$48:$K$50,2,))))),0)*($V21*$W21*(IPCC!$E$75*Nitrous)/1000)/$H21</f>
        <v/>
      </c>
      <c r="AJ21" s="3056">
        <f>IF($I21="YES",(MIN(D41,F41)*time_tot+ABS(F41-D41)*IF(F41&gt;D41,time_cap+time*(VLOOKUP(G41,list!$J$48:$K$50,2,)),time*(1-(VLOOKUP(G41,list!$J$48:$K$50,2,))))),0)*($V21*$W21*(IPCC!$E$75*Nitrous)/1000)/$H21</f>
        <v/>
      </c>
      <c r="AK21" s="3056">
        <f>$Q21*(IF(E41="Immediate",IF(C41&gt;0,C41*MIN(20,time),0),C41*IF(time&gt;time+20,20,IF(time&lt;20,(time*VLOOKUP(E41, list!$J$48:$K$50,2,))+(time-time),((MIN(20,time)*VLOOKUP(E41, list!$J$48:$K$50,2,))+(time-MIN(20,time))-IF(E41="Exponential",time-20+0.217*time*(EXP(4.606*(20-time)/time)-1),((time-20)^2)*(0.5/time)))))))</f>
        <v/>
      </c>
      <c r="AL21" s="3056">
        <f>$R21*(IF(G41="Immediate",IF(C41&gt;0,C41*MIN(20,time),0),C41*IF(time&gt;time+20,20,IF(time&lt;20,(time*VLOOKUP(G41, list!$J$48:$K$50,2,))+(time-time),((MIN(20,time)*VLOOKUP(G41, list!$J$48:$K$50,2,))+(time_tot-MIN(20,time))-IF(G41="Exponential",time-20+0.217*time*(EXP(4.606*(20-time)/time)-1),((time-20)^2)*(0.5/time)))))))</f>
        <v/>
      </c>
      <c r="AM21" s="3056">
        <f>IF($G21="YES",(MIN(C41,D41)*time+ABS(D41-C41)*IF(D41&gt;C41,time*(VLOOKUP(E41,list!$J$48:$K$50,2,)),time*(1-(VLOOKUP(E41,list!$J$48:$K$50,2,))))),0)*($V21*$W21*(IPCC!$D$75*methane)/1000)/$H21</f>
        <v/>
      </c>
      <c r="AN21" s="3056">
        <f>IF($I21="YES",(MIN(D41,F41)*time+ABS(F41-D41)*IF(F41&gt;D41,time*(VLOOKUP(G41,list!$J$48:$K$50,2,)),time*(1-(VLOOKUP(G41,list!$J$48:$K$50,2,))))),0)*($V21*$W21*(IPCC!$D$75*methane)/1000)/$H21</f>
        <v/>
      </c>
      <c r="AO21" s="3056">
        <f>IF($G21="YES",(MIN(C41,D41)*time+ABS(D41-C41)*IF(D41&gt;C41,time*(VLOOKUP(E41,list!$J$48:$K$50,2,)),time*(1-(VLOOKUP(E41,list!$J$48:$K$50,2,))))),0)*($V21*$W21*(IPCC!$E$75*Nitrous)/1000)/$H21</f>
        <v/>
      </c>
      <c r="AP21" s="3057">
        <f>IF($I21="YES",(MIN(D41,F41)*time+ABS(F41-D41)*IF(F41&gt;D41,time*(VLOOKUP(G41,list!$J$48:$K$50,2,)),time*(1-(VLOOKUP(G41,list!$J$48:$K$50,2,))))),0)*($V21*$W21*(IPCC!$E$75*Nitrous)/1000)/$H21</f>
        <v/>
      </c>
    </row>
    <row r="22">
      <c r="B22" s="3120">
        <f>'4.Grassland'!C34</f>
        <v/>
      </c>
      <c r="C22" s="1688" t="n"/>
      <c r="D22" s="1688">
        <f>'4.Grassland'!$G34</f>
        <v/>
      </c>
      <c r="E22" s="3115">
        <f>'4.Grassland'!$I34</f>
        <v/>
      </c>
      <c r="F22" s="3115">
        <f>'4.Grassland'!$K34</f>
        <v/>
      </c>
      <c r="G22" s="3115">
        <f>'4.Grassland'!$M34</f>
        <v/>
      </c>
      <c r="H22" s="3115">
        <f>'4.Grassland'!$N34</f>
        <v/>
      </c>
      <c r="I22" s="3115">
        <f>'4.Grassland'!$P34</f>
        <v/>
      </c>
      <c r="J22" s="3115">
        <f>'4.Grassland'!$Q34</f>
        <v/>
      </c>
      <c r="K22" s="4712">
        <f>IFERROR(IF($D22&lt;&gt; "Please select", VLOOKUP($D22, grass!$W$28:$Y$33,3, FALSE),SOCref),0)</f>
        <v/>
      </c>
      <c r="L22" s="4642">
        <f>IF('4.Grassland'!BD34="",'4.Grassland'!BC34,'4.Grassland'!BD34)</f>
        <v/>
      </c>
      <c r="M22" s="4712">
        <f>IFERROR(IF($E22&lt;&gt; "Please select", VLOOKUP($E22, grass!$W$28:$Y$33,3, FALSE),SOCref),0)</f>
        <v/>
      </c>
      <c r="N22" s="4642">
        <f>IF('4.Grassland'!BF34="",'4.Grassland'!BE34,'4.Grassland'!BF34)</f>
        <v/>
      </c>
      <c r="O22" s="4712">
        <f>IFERROR(IF($F22&lt;&gt; "Please select", VLOOKUP($F22, grass!$W$28:$Y$33,3, FALSE),SOCref),0)</f>
        <v/>
      </c>
      <c r="P22" s="4642">
        <f>IF('4.Grassland'!BH34="",'4.Grassland'!BG34,'4.Grassland'!BH34)</f>
        <v/>
      </c>
      <c r="Q22" s="4713">
        <f>($N22-$L22)/20*(-44/12)</f>
        <v/>
      </c>
      <c r="R22" s="4714">
        <f>($P22-$L22)/20*(-44/12)</f>
        <v/>
      </c>
      <c r="S22" s="3115">
        <f>'4.Grassland'!$S34</f>
        <v/>
      </c>
      <c r="T22" s="3115">
        <f>'4.Grassland'!$T34</f>
        <v/>
      </c>
      <c r="U22" s="3115">
        <f>'4.Grassland'!$U34</f>
        <v/>
      </c>
      <c r="V22" s="1104">
        <f>IF('4.Grassland'!$BJ34="", '4.Grassland'!$BI34, '4.Grassland'!$BJ34)</f>
        <v/>
      </c>
      <c r="W22" s="1104">
        <f>IF('4.Grassland'!$BM34="", '4.Grassland'!$BL34, '4.Grassland'!$BM34)</f>
        <v/>
      </c>
      <c r="X22" s="4715">
        <f>V22*$W22*(IPCC!$D$75*methane+IPCC!$E$75*Nitrous)/1000</f>
        <v/>
      </c>
      <c r="Y22" s="3417">
        <f>$X22/$H22</f>
        <v/>
      </c>
      <c r="Z22" s="3417">
        <f>$X22/$J22</f>
        <v/>
      </c>
      <c r="AG22" s="3055">
        <f>IF($G22="YES",(MIN(C42,D42)*time_tot+ABS(D42-C42)*IF(D42&gt;C42,time_cap+time*(VLOOKUP(E42,list!$J$48:$K$50,2,)),time*(1-(VLOOKUP($E42,list!$J$48:$K$50,2,))))),0)*($V22*$W22*(IPCC!$D$75*methane)/1000)/$H22</f>
        <v/>
      </c>
      <c r="AH22" s="3056">
        <f>IF($I22="YES",(MIN(D42,F42)*time_tot+ABS(F42-D42)*IF(F42&gt;D42,time_cap+time*(VLOOKUP(G42,list!$J$48:$K$50,2,)),time*(1-(VLOOKUP(G42,list!$J$48:$K$50,2,))))),0)*($V22*$W22*(IPCC!$D$75*methane)/1000)/$H22</f>
        <v/>
      </c>
      <c r="AI22" s="3056">
        <f>IF($G22="YES",(MIN(C42,D42)*time_tot+ABS(D42-C42)*IF(D42&gt;C42,time_cap+time*(VLOOKUP(E42,list!$J$48:$K$50,2,)),time*(1-(VLOOKUP(E42,list!$J$48:$K$50,2,))))),0)*($V22*$W22*(IPCC!$E$75*Nitrous)/1000)/$H22</f>
        <v/>
      </c>
      <c r="AJ22" s="3056">
        <f>IF($I22="YES",(MIN(D42,F42)*time_tot+ABS(F42-D42)*IF(F42&gt;D42,time_cap+time*(VLOOKUP(G42,list!$J$48:$K$50,2,)),time*(1-(VLOOKUP(G42,list!$J$48:$K$50,2,))))),0)*($V22*$W22*(IPCC!$E$75*Nitrous)/1000)/$H22</f>
        <v/>
      </c>
      <c r="AK22" s="3056">
        <f>$Q22*(IF(E42="Immediate",IF(C42&gt;0,C42*MIN(20,time),0),C42*IF(time&gt;time+20,20,IF(time&lt;20,(time*VLOOKUP(E42, list!$J$48:$K$50,2,))+(time-time),((MIN(20,time)*VLOOKUP(E42, list!$J$48:$K$50,2,))+(time-MIN(20,time))-IF(E42="Exponential",time-20+0.217*time*(EXP(4.606*(20-time)/time)-1),((time-20)^2)*(0.5/time)))))))</f>
        <v/>
      </c>
      <c r="AL22" s="3056">
        <f>$R22*(IF(G42="Immediate",IF(C42&gt;0,C42*MIN(20,time),0),C42*IF(time&gt;time+20,20,IF(time&lt;20,(time*VLOOKUP(G42, list!$J$48:$K$50,2,))+(time-time),((MIN(20,time)*VLOOKUP(G42, list!$J$48:$K$50,2,))+(time_tot-MIN(20,time))-IF(G42="Exponential",time-20+0.217*time*(EXP(4.606*(20-time)/time)-1),((time-20)^2)*(0.5/time)))))))</f>
        <v/>
      </c>
      <c r="AM22" s="3056">
        <f>IF($G22="YES",(MIN(C42,D42)*time+ABS(D42-C42)*IF(D42&gt;C42,time*(VLOOKUP(E42,list!$J$48:$K$50,2,)),time*(1-(VLOOKUP(E42,list!$J$48:$K$50,2,))))),0)*($V22*$W22*(IPCC!$D$75*methane)/1000)/$H22</f>
        <v/>
      </c>
      <c r="AN22" s="3056">
        <f>IF($I22="YES",(MIN(D42,F42)*time+ABS(F42-D42)*IF(F42&gt;D42,time*(VLOOKUP(G42,list!$J$48:$K$50,2,)),time*(1-(VLOOKUP(G42,list!$J$48:$K$50,2,))))),0)*($V22*$W22*(IPCC!$D$75*methane)/1000)/$H22</f>
        <v/>
      </c>
      <c r="AO22" s="3056">
        <f>IF($G22="YES",(MIN(C42,D42)*time+ABS(D42-C42)*IF(D42&gt;C42,time*(VLOOKUP(E42,list!$J$48:$K$50,2,)),time*(1-(VLOOKUP(E42,list!$J$48:$K$50,2,))))),0)*($V22*$W22*(IPCC!$E$75*Nitrous)/1000)/$H22</f>
        <v/>
      </c>
      <c r="AP22" s="3057">
        <f>IF($I22="YES",(MIN(D42,F42)*time+ABS(F42-D42)*IF(F42&gt;D42,time*(VLOOKUP(G42,list!$J$48:$K$50,2,)),time*(1-(VLOOKUP(G42,list!$J$48:$K$50,2,))))),0)*($V22*$W22*(IPCC!$E$75*Nitrous)/1000)/$H22</f>
        <v/>
      </c>
    </row>
    <row r="23">
      <c r="B23" s="3120">
        <f>'4.Grassland'!C35</f>
        <v/>
      </c>
      <c r="C23" s="1688" t="n"/>
      <c r="D23" s="1688">
        <f>'4.Grassland'!$G35</f>
        <v/>
      </c>
      <c r="E23" s="3115">
        <f>'4.Grassland'!$I35</f>
        <v/>
      </c>
      <c r="F23" s="3115">
        <f>'4.Grassland'!$K35</f>
        <v/>
      </c>
      <c r="G23" s="3115">
        <f>'4.Grassland'!$M35</f>
        <v/>
      </c>
      <c r="H23" s="3115">
        <f>'4.Grassland'!$N35</f>
        <v/>
      </c>
      <c r="I23" s="3115">
        <f>'4.Grassland'!$P35</f>
        <v/>
      </c>
      <c r="J23" s="3115">
        <f>'4.Grassland'!$Q35</f>
        <v/>
      </c>
      <c r="K23" s="4712">
        <f>IFERROR(IF($D23&lt;&gt; "Please select", VLOOKUP($D23, grass!$W$28:$Y$33,3, FALSE),SOCref),0)</f>
        <v/>
      </c>
      <c r="L23" s="4642">
        <f>IF('4.Grassland'!BD35="",'4.Grassland'!BC35,'4.Grassland'!BD35)</f>
        <v/>
      </c>
      <c r="M23" s="4712">
        <f>IFERROR(IF($E23&lt;&gt; "Please select", VLOOKUP($E23, grass!$W$28:$Y$33,3, FALSE),SOCref),0)</f>
        <v/>
      </c>
      <c r="N23" s="4642">
        <f>IF('4.Grassland'!BF35="",'4.Grassland'!BE35,'4.Grassland'!BF35)</f>
        <v/>
      </c>
      <c r="O23" s="4712">
        <f>IFERROR(IF($F23&lt;&gt; "Please select", VLOOKUP($F23, grass!$W$28:$Y$33,3, FALSE),SOCref),0)</f>
        <v/>
      </c>
      <c r="P23" s="4642">
        <f>IF('4.Grassland'!BH35="",'4.Grassland'!BG35,'4.Grassland'!BH35)</f>
        <v/>
      </c>
      <c r="Q23" s="4716">
        <f>($N23-$L23)/20*(-44/12)</f>
        <v/>
      </c>
      <c r="R23" s="4717">
        <f>($P23-$L23)/20*(-44/12)</f>
        <v/>
      </c>
      <c r="S23" s="3115">
        <f>'4.Grassland'!$S35</f>
        <v/>
      </c>
      <c r="T23" s="3115">
        <f>'4.Grassland'!$T35</f>
        <v/>
      </c>
      <c r="U23" s="3115">
        <f>'4.Grassland'!$U35</f>
        <v/>
      </c>
      <c r="V23" s="1104">
        <f>IF('4.Grassland'!$BJ35="", '4.Grassland'!$BI35, '4.Grassland'!$BJ35)</f>
        <v/>
      </c>
      <c r="W23" s="1104">
        <f>IF('4.Grassland'!$BM35="", '4.Grassland'!$BL35, '4.Grassland'!$BM35)</f>
        <v/>
      </c>
      <c r="X23" s="4715">
        <f>V23*$W23*(IPCC!$D$75*methane+IPCC!$E$75*Nitrous)/1000</f>
        <v/>
      </c>
      <c r="Y23" s="3417">
        <f>$X23/$H23</f>
        <v/>
      </c>
      <c r="Z23" s="3417">
        <f>$X23/$J23</f>
        <v/>
      </c>
      <c r="AG23" s="3058">
        <f>IF($G23="YES",(MIN(C43,D43)*time_tot+ABS(D43-C43)*IF(D43&gt;C43,time_cap+time*(VLOOKUP(E43,list!$J$48:$K$50,2,)),time*(1-(VLOOKUP($E43,list!$J$48:$K$50,2,))))),0)*($V23*$W23*(IPCC!$D$75*methane)/1000)/$H23</f>
        <v/>
      </c>
      <c r="AH23" s="3059">
        <f>IF($I23="YES",(MIN(D43,F43)*time_tot+ABS(F43-D43)*IF(F43&gt;D43,time_cap+time*(VLOOKUP(G43,list!$J$48:$K$50,2,)),time*(1-(VLOOKUP(G43,list!$J$48:$K$50,2,))))),0)*($V23*$W23*(IPCC!$D$75*methane)/1000)/$H23</f>
        <v/>
      </c>
      <c r="AI23" s="3059">
        <f>IF($G23="YES",(MIN(C43,D43)*time_tot+ABS(D43-C43)*IF(D43&gt;C43,time_cap+time*(VLOOKUP(E43,list!$J$48:$K$50,2,)),time*(1-(VLOOKUP(E43,list!$J$48:$K$50,2,))))),0)*($V23*$W23*(IPCC!$E$75*Nitrous)/1000)/$H23</f>
        <v/>
      </c>
      <c r="AJ23" s="3059">
        <f>IF($I23="YES",(MIN(D43,F43)*time_tot+ABS(F43-D43)*IF(F43&gt;D43,time_cap+time*(VLOOKUP(G43,list!$J$48:$K$50,2,)),time*(1-(VLOOKUP(G43,list!$J$48:$K$50,2,))))),0)*($V23*$W23*(IPCC!$E$75*Nitrous)/1000)/$H23</f>
        <v/>
      </c>
      <c r="AK23" s="3059">
        <f>$Q23*(IF(E43="Immediate",IF(C43&gt;0,C43*MIN(20,time),0),C43*IF(time&gt;time+20,20,IF(time&lt;20,(time*VLOOKUP(E43, list!$J$48:$K$50,2,))+(time-time),((MIN(20,time)*VLOOKUP(E43, list!$J$48:$K$50,2,))+(time-MIN(20,time))-IF(E43="Exponential",time-20+0.217*time*(EXP(4.606*(20-time)/time)-1),((time-20)^2)*(0.5/time)))))))</f>
        <v/>
      </c>
      <c r="AL23" s="3059">
        <f>$R23*(IF(G43="Immediate",IF(C43&gt;0,C43*MIN(20,time),0),C43*IF(time&gt;time+20,20,IF(time&lt;20,(time*VLOOKUP(G43, list!$J$48:$K$50,2,))+(time-time),((MIN(20,time)*VLOOKUP(G43, list!$J$48:$K$50,2,))+(time_tot-MIN(20,time))-IF(G43="Exponential",time-20+0.217*time*(EXP(4.606*(20-time)/time)-1),((time-20)^2)*(0.5/time)))))))</f>
        <v/>
      </c>
      <c r="AM23" s="3059">
        <f>IF($G23="YES",(MIN(C43,D43)*time+ABS(D43-C43)*IF(D43&gt;C43,time*(VLOOKUP(E43,list!$J$48:$K$50,2,)),time*(1-(VLOOKUP(E43,list!$J$48:$K$50,2,))))),0)*($V23*$W23*(IPCC!$D$75*methane)/1000)/$H23</f>
        <v/>
      </c>
      <c r="AN23" s="3059">
        <f>IF($I23="YES",(MIN(D43,F43)*time+ABS(F43-D43)*IF(F43&gt;D43,time*(VLOOKUP(G43,list!$J$48:$K$50,2,)),time*(1-(VLOOKUP(G43,list!$J$48:$K$50,2,))))),0)*($V23*$W23*(IPCC!$D$75*methane)/1000)/$H23</f>
        <v/>
      </c>
      <c r="AO23" s="3059">
        <f>IF($G23="YES",(MIN(C43,D43)*time+ABS(D43-C43)*IF(D43&gt;C43,time*(VLOOKUP(E43,list!$J$48:$K$50,2,)),time*(1-(VLOOKUP(E43,list!$J$48:$K$50,2,))))),0)*($V23*$W23*(IPCC!$E$75*Nitrous)/1000)/$H23</f>
        <v/>
      </c>
      <c r="AP23" s="3060">
        <f>IF($I23="YES",(MIN(D43,F43)*time+ABS(F43-D43)*IF(F43&gt;D43,time*(VLOOKUP(G43,list!$J$48:$K$50,2,)),time*(1-(VLOOKUP(G43,list!$J$48:$K$50,2,))))),0)*($V23*$W23*(IPCC!$E$75*Nitrous)/1000)/$H23</f>
        <v/>
      </c>
    </row>
    <row r="26">
      <c r="B26" s="1573" t="n"/>
      <c r="C26" s="1573" t="n"/>
      <c r="D26" s="1573" t="n"/>
      <c r="E26" s="1573" t="n"/>
      <c r="F26" s="1573" t="n"/>
      <c r="G26" s="1573" t="n"/>
      <c r="H26" s="1573" t="n"/>
      <c r="I26" s="1573" t="n"/>
      <c r="J26" s="1573" t="n"/>
      <c r="K26" s="1573" t="n"/>
      <c r="L26" s="1573" t="n"/>
      <c r="M26" s="1573" t="n"/>
      <c r="N26" s="1573" t="n"/>
      <c r="P26" s="3408" t="inlineStr">
        <is>
          <t>Yield (in tonnes per year)</t>
        </is>
      </c>
      <c r="Q26" s="3408" t="n"/>
      <c r="R26" s="3408" t="n"/>
      <c r="S26" s="3409" t="inlineStr">
        <is>
          <t>Total yield (in tonnes)</t>
        </is>
      </c>
      <c r="T26" s="3410" t="n"/>
      <c r="U26" s="3410" t="n"/>
      <c r="W26" s="3079" t="inlineStr">
        <is>
          <t>Avalaible options for Grassland</t>
        </is>
      </c>
      <c r="X26" s="3079" t="n"/>
      <c r="Y26" s="3080" t="inlineStr">
        <is>
          <t>SOC</t>
        </is>
      </c>
    </row>
    <row r="27" ht="18" customHeight="1">
      <c r="B27" s="1081" t="n"/>
      <c r="C27" s="998" t="inlineStr">
        <is>
          <t>Area (ha)</t>
        </is>
      </c>
      <c r="D27" s="3090" t="inlineStr">
        <is>
          <t>Area (ha)</t>
        </is>
      </c>
      <c r="E27" s="978" t="n"/>
      <c r="F27" s="998" t="inlineStr">
        <is>
          <t>Area (ha)</t>
        </is>
      </c>
      <c r="G27" s="978" t="n"/>
      <c r="H27" s="3091" t="inlineStr">
        <is>
          <t>Soil CO2 fluxes</t>
        </is>
      </c>
      <c r="I27" s="3092" t="n"/>
      <c r="J27" s="3093" t="inlineStr">
        <is>
          <t>Total fire</t>
        </is>
      </c>
      <c r="K27" s="3094" t="n"/>
      <c r="L27" s="3091" t="inlineStr">
        <is>
          <t>Total CO2 Balance</t>
        </is>
      </c>
      <c r="M27" s="3095" t="n"/>
      <c r="N27" s="998" t="inlineStr">
        <is>
          <t>Difference</t>
        </is>
      </c>
      <c r="P27" s="3097" t="inlineStr">
        <is>
          <t xml:space="preserve">Start </t>
        </is>
      </c>
      <c r="Q27" s="3101" t="inlineStr">
        <is>
          <t>Without</t>
        </is>
      </c>
      <c r="R27" s="1548" t="inlineStr">
        <is>
          <t>With</t>
        </is>
      </c>
      <c r="S27" s="3101" t="inlineStr">
        <is>
          <t>Without</t>
        </is>
      </c>
      <c r="T27" s="1548" t="inlineStr">
        <is>
          <t>With</t>
        </is>
      </c>
      <c r="U27" s="998" t="inlineStr">
        <is>
          <t>Difference</t>
        </is>
      </c>
      <c r="V27" s="3048" t="n"/>
      <c r="W27" s="3089" t="inlineStr">
        <is>
          <t>!!!! DO NOT DELETE !!!!</t>
        </is>
      </c>
      <c r="X27" s="3081" t="n"/>
      <c r="Y27" s="3082" t="inlineStr">
        <is>
          <t>tC/ha</t>
        </is>
      </c>
      <c r="AG27" s="3698" t="inlineStr">
        <is>
          <t>Cumulated area burnt (ha)</t>
        </is>
      </c>
      <c r="AH27" s="3697" t="n"/>
      <c r="AI27" s="3697" t="n"/>
    </row>
    <row r="28">
      <c r="B28" s="3096" t="n"/>
      <c r="C28" s="3097" t="inlineStr">
        <is>
          <t xml:space="preserve">Start </t>
        </is>
      </c>
      <c r="D28" s="3098" t="inlineStr">
        <is>
          <t xml:space="preserve">Without project </t>
        </is>
      </c>
      <c r="E28" s="3099" t="n"/>
      <c r="F28" s="3100" t="inlineStr">
        <is>
          <t xml:space="preserve">With project </t>
        </is>
      </c>
      <c r="G28" s="982" t="n"/>
      <c r="H28" s="3101" t="inlineStr">
        <is>
          <t>Without</t>
        </is>
      </c>
      <c r="I28" s="1548" t="inlineStr">
        <is>
          <t>With</t>
        </is>
      </c>
      <c r="J28" s="3101" t="inlineStr">
        <is>
          <t>Without</t>
        </is>
      </c>
      <c r="K28" s="1548" t="inlineStr">
        <is>
          <t>With</t>
        </is>
      </c>
      <c r="L28" s="3101" t="inlineStr">
        <is>
          <t>Without</t>
        </is>
      </c>
      <c r="M28" s="1548" t="inlineStr">
        <is>
          <t>With</t>
        </is>
      </c>
      <c r="N28" s="1069" t="n"/>
      <c r="P28" s="1069" t="n"/>
      <c r="Q28" s="1069" t="n"/>
      <c r="R28" s="1069" t="n"/>
      <c r="S28" s="1069" t="n"/>
      <c r="T28" s="1069" t="n"/>
      <c r="U28" s="1069" t="n"/>
      <c r="W28" s="3083" t="inlineStr">
        <is>
          <t>Non-degraded</t>
        </is>
      </c>
      <c r="X28" s="3083" t="n"/>
      <c r="Y28" s="3086">
        <f>SOCref*IPCC!$D$537*IPCC!$D$538</f>
        <v/>
      </c>
      <c r="AG28" s="3048" t="n"/>
      <c r="AH28" s="3697" t="inlineStr">
        <is>
          <t>without</t>
        </is>
      </c>
      <c r="AI28" s="3697" t="inlineStr">
        <is>
          <t>With</t>
        </is>
      </c>
    </row>
    <row r="29" ht="18" customHeight="1">
      <c r="B29" s="3096" t="n"/>
      <c r="C29" s="3102" t="inlineStr">
        <is>
          <t>t0</t>
        </is>
      </c>
      <c r="D29" s="3103" t="inlineStr">
        <is>
          <t>End</t>
        </is>
      </c>
      <c r="E29" s="3104" t="inlineStr">
        <is>
          <t>Rate</t>
        </is>
      </c>
      <c r="F29" s="988" t="inlineStr">
        <is>
          <t>End</t>
        </is>
      </c>
      <c r="G29" s="988" t="inlineStr">
        <is>
          <t>Rate</t>
        </is>
      </c>
      <c r="H29" s="3105" t="inlineStr">
        <is>
          <t>tCO2</t>
        </is>
      </c>
      <c r="I29" s="3106" t="inlineStr">
        <is>
          <t>tCO2</t>
        </is>
      </c>
      <c r="J29" s="3105" t="inlineStr">
        <is>
          <t>tCO2</t>
        </is>
      </c>
      <c r="K29" s="3106" t="inlineStr">
        <is>
          <t>tCO2</t>
        </is>
      </c>
      <c r="L29" s="3105" t="inlineStr">
        <is>
          <t>tCO2</t>
        </is>
      </c>
      <c r="M29" s="3106" t="inlineStr">
        <is>
          <t>tCO2</t>
        </is>
      </c>
      <c r="N29" s="1069" t="inlineStr">
        <is>
          <t>tCO2</t>
        </is>
      </c>
      <c r="P29" s="1069" t="n"/>
      <c r="Q29" s="1069" t="n"/>
      <c r="R29" s="1069" t="n"/>
      <c r="S29" s="1069" t="n"/>
      <c r="T29" s="1069" t="n"/>
      <c r="U29" s="1069" t="n"/>
      <c r="W29" s="3084" t="inlineStr">
        <is>
          <t>High intensity grazing</t>
        </is>
      </c>
      <c r="X29" s="3084" t="n"/>
      <c r="Y29" s="3087">
        <f>SOCref*IPCC!$D$537*IPCC!$D$539</f>
        <v/>
      </c>
      <c r="AF29" s="3566" t="inlineStr">
        <is>
          <t>Grassland after deforestation</t>
        </is>
      </c>
      <c r="AG29" s="3476" t="n"/>
      <c r="AH29" s="3475">
        <f>IF($J30&gt;0, $J30/$X10,0)</f>
        <v/>
      </c>
      <c r="AI29" s="3475">
        <f>IF($K30&gt;0, $K30/$X10,0)</f>
        <v/>
      </c>
    </row>
    <row r="30">
      <c r="A30" s="3018" t="inlineStr">
        <is>
          <t>Deforestation (FL -&gt; Grassland)</t>
        </is>
      </c>
      <c r="B30" s="3566">
        <f>B10</f>
        <v/>
      </c>
      <c r="C30" s="3107" t="n">
        <v>0</v>
      </c>
      <c r="D30" s="3107">
        <f>Matrix!M7</f>
        <v/>
      </c>
      <c r="E30" s="3108" t="inlineStr">
        <is>
          <t>Linear</t>
        </is>
      </c>
      <c r="F30" s="3107">
        <f>Matrix!M24</f>
        <v/>
      </c>
      <c r="G30" s="3108" t="inlineStr">
        <is>
          <t>Linear</t>
        </is>
      </c>
      <c r="H30" s="3108">
        <f>IF(ABS($Q10*((MIN($C30,D30)*MIN(20,time_tot))+IF(E30="Immediate",IF(D30 &gt; $C30,D30*MIN(20,time_tot),0),IF($C30&gt;D30,($C30-D30)*IF(time&gt;20,IF(E30="Linear",time-((time-20)^2)/(2*time),(0.215*time)-(time/4.6)*(EXP(-92.1/time)-0.01)),time*(1-VLOOKUP(E30, list!$J$48:$K$50, 2,))), (D30-$C30)*IF(time_tot&gt;time+20,20,IF(time_tot&lt;20,(time*VLOOKUP(E30, list!$J$48:$K$50, 2,))+(time_tot-time),((MIN(20,time)*VLOOKUP(E30, list!$J$48:$K$50, 2,)) +(time_tot-MIN(20,time))-IF(E30="Exponential",time_tot-20+0.217*time*(EXP(4.606*(20-time_tot)/time)-1),((time_tot-20)^2)*(0.5/time)))))))))&gt;=ABS(Q10*20*MAX(D30,C30)),Q10*20*MAX(D30,C30), $Q10*((MIN($C30,D30)*MIN(20,time_tot))+IF(E30="Immediate",IF(D30 &gt; $C30,D30*MIN(20,time_tot),0),IF($C30&gt;D30,($C30-D30)*IF(time&gt;20,IF(E30="Linear",time-((time-20)^2)/(2*time),(0.215*time)-(time/4.6)*(EXP(-92.1/time)-0.01)),time*(1-VLOOKUP(E30, list!$J$48:$K$50, 2,))), (D30-$C30)*IF(time_tot&gt;time+20,20,IF(time_tot&lt;20,(time*VLOOKUP(E30, list!$J$48:$K$50, 2,))+(time_tot-time),((MIN(20,time)*VLOOKUP(E30, list!$J$48:$K$50, 2,)) +(time_tot-MIN(20,time))-IF(E30="Exponential",time_tot-20+0.217*time*(EXP(4.606*(20-time_tot)/time)-1),((time_tot-20)^2)*(0.5/time)))))))))</f>
        <v/>
      </c>
      <c r="I30" s="3108">
        <f>IF(ABS(R10*((MIN($C30,F30)*MIN(20,time_tot))+IF(G30="Immediate",IF(F30 &gt; $C30,F30*MIN(20,time_tot),0),IF($C30&gt;F30,($C30-F30)*IF(time&gt;20,IF(G30="Linear",time-((time-20)^2)/(2*time),(0.215*time)-(time/4.6)*(EXP(-92.1/time)-0.01)),time*(1-VLOOKUP(G30, list!$J$48:$K$50, 2,))), (F30-$C30)*IF(time_tot&gt;time+20,20,IF(time_tot&lt;20,(time*VLOOKUP(G30, list!$J$48:$K$50, 2,))+(time_tot-time),((MIN(20,time)*VLOOKUP(G30, list!$J$48:$K$50, 2,)) +(time_tot-MIN(20,time))-IF(G30="Exponential",time_tot-20+0.217*time*(EXP(4.606*(20-time_tot)/time)-1),((time_tot-20)^2)*(0.5/time)))))))))&gt;=ABS(R10*20*MAX(F30,C30)),R10*20*MAX(F30,C30),R10*((MIN($C30,F30)*MIN(20,time_tot))+IF(G30="Immediate",IF(F30 &gt; $C30,F30*MIN(20,time_tot),0),IF($C30&gt;F30,($C30-F30)*IF(time&gt;20,IF(G30="Linear",time-((time-20)^2)/(2*time),(0.215*time)-(time/4.6)*(EXP(-92.1/time)-0.01)),time*(1-VLOOKUP(G30, list!$J$48:$K$50, 2,))), (F30-$C30)*IF(time_tot&gt;time+20,20,IF(time_tot&lt;20,(time*VLOOKUP(G30, list!$J$48:$K$50, 2,))+(time_tot-time),((MIN(20,time)*VLOOKUP(G30, list!$J$48:$K$50, 2,)) +(time_tot-MIN(20,time))-IF(G30="Exponential",time_tot-20+0.217*time*(EXP(4.606*(20-time_tot)/time)-1),((time_tot-20)^2)*(0.5/time)))))))))</f>
        <v/>
      </c>
      <c r="J30" s="3109">
        <f>IF(H10&gt;time_tot,0,IF($G10="YES",(MIN(C30,D30)*time_tot+ABS(D30-C30)*IF(D30&gt;C30,time_cap+time*(VLOOKUP($E30,list!$J$48:$K$50,2,)),time*(1-(VLOOKUP($E30,list!$J$48:$K$50,2,))))),0)*$Y10)</f>
        <v/>
      </c>
      <c r="K30" s="3109">
        <f>IF(J10&gt;time_tot,0,IF($I10="YES",(MIN(C30,F30)*time_tot+ABS(F30-C30)*IF(F30&gt;C30,time_cap+time*(VLOOKUP($G30,list!$J$48:$K$50,2,)),time*(1-(VLOOKUP($G30,list!$J$48:$K$50,2,))))),0)*$Z10)</f>
        <v/>
      </c>
      <c r="L30" s="3109">
        <f>H30+J30</f>
        <v/>
      </c>
      <c r="M30" s="3109">
        <f>I30+K30</f>
        <v/>
      </c>
      <c r="N30" s="2231">
        <f>M30-L30</f>
        <v/>
      </c>
      <c r="P30" s="3411">
        <f>S10*C30</f>
        <v/>
      </c>
      <c r="Q30" s="3412">
        <f>T10*D30</f>
        <v/>
      </c>
      <c r="R30" s="3412">
        <f>$U10*$F30</f>
        <v/>
      </c>
      <c r="S30" s="3412">
        <f>(time*((ABS(Q30-P30)*(IF(P30&lt;=Q30,VLOOKUP(E30, list!$J$48:$K$50,2,),1-VLOOKUP(grass!E30, list!$J$48:$K$50,2,))))+MIN(grass!Q30,grass!P30))+(grass!Q30*time_cap))</f>
        <v/>
      </c>
      <c r="T30" s="3412">
        <f>(time*((ABS(R30-P30)*(IF(R30&lt;=P30,VLOOKUP(G30,list!$J$48:$K$50,2,),1-VLOOKUP(grass!G30, list!$J$48:$K$50,2,))))+MIN(grass!R30,grass!P30))+(grass!R30*time_cap))</f>
        <v/>
      </c>
      <c r="U30" s="3413">
        <f>T30-S30</f>
        <v/>
      </c>
      <c r="W30" s="3084" t="inlineStr">
        <is>
          <t>Severely degraded</t>
        </is>
      </c>
      <c r="X30" s="3084" t="n"/>
      <c r="Y30" s="3087">
        <f>SOCref*IPCC!$D$537*IPCC!$D$540</f>
        <v/>
      </c>
      <c r="AF30" s="3568" t="inlineStr">
        <is>
          <t>Grassland converted to forest land</t>
        </is>
      </c>
      <c r="AG30" s="3528" t="n"/>
      <c r="AH30" s="3691">
        <f>IF($J31&gt;0, $J31/$X11,0)</f>
        <v/>
      </c>
      <c r="AI30" s="3691">
        <f>IF($K31&gt;0, $K31/$X11,0)</f>
        <v/>
      </c>
    </row>
    <row r="31">
      <c r="A31" s="3034" t="inlineStr">
        <is>
          <t>Afforestation (Grassland -&gt; FL)</t>
        </is>
      </c>
      <c r="B31" s="3568">
        <f>B11</f>
        <v/>
      </c>
      <c r="C31" s="3112">
        <f>MAX(Matrix!I11,Matrix!I28)</f>
        <v/>
      </c>
      <c r="D31" s="3111">
        <f>SUM(Matrix!I11,Matrix!I28)-Matrix!I11</f>
        <v/>
      </c>
      <c r="E31" s="3111" t="inlineStr">
        <is>
          <t>Linear</t>
        </is>
      </c>
      <c r="F31" s="3111">
        <f>SUM(Matrix!I11,Matrix!I28)-Matrix!I28</f>
        <v/>
      </c>
      <c r="G31" s="3111" t="inlineStr">
        <is>
          <t>Linear</t>
        </is>
      </c>
      <c r="H31" s="3111">
        <f>IF(ABS($Q11*((MIN($C31,D31)*MIN(20,time_tot))+IF(E31="Immediate",IF(D31 &gt; $C31,D31*MIN(20,time_tot),0),IF($C31&gt;D31,($C31-D31)*IF(time&gt;20,IF(E31="Linear",time-((time-20)^2)/(2*time),(0.215*time)-(time/4.6)*(EXP(-92.1/time)-0.01)),time*(1-VLOOKUP(E31, list!$J$48:$K$50, 2,))), (D31-$C31)*IF(time_tot&gt;time+20,20,IF(time_tot&lt;20,(time*VLOOKUP(E31, list!$J$48:$K$50, 2,))+(time_tot-time),((MIN(20,time)*VLOOKUP(E31, list!$J$48:$K$50, 2,)) +(time_tot-MIN(20,time))-IF(E31="Exponential",time_tot-20+0.217*time*(EXP(4.606*(20-time_tot)/time)-1),((time_tot-20)^2)*(0.5/time)))))))))&gt;=ABS(Q11*20*MAX(D31,C31)),Q11*20*MAX(D31,C31), $Q11*((MIN($C31,D31)*MIN(20,time_tot))+IF(E31="Immediate",IF(D31 &gt; $C31,D31*MIN(20,time_tot),0),IF($C31&gt;D31,($C31-D31)*IF(time&gt;20,IF(E31="Linear",time-((time-20)^2)/(2*time),(0.215*time)-(time/4.6)*(EXP(-92.1/time)-0.01)),time*(1-VLOOKUP(E31, list!$J$48:$K$50, 2,))), (D31-$C31)*IF(time_tot&gt;time+20,20,IF(time_tot&lt;20,(time*VLOOKUP(E31, list!$J$48:$K$50, 2,))+(time_tot-time),((MIN(20,time)*VLOOKUP(E31, list!$J$48:$K$50, 2,)) +(time_tot-MIN(20,time))-IF(E31="Exponential",time_tot-20+0.217*time*(EXP(4.606*(20-time_tot)/time)-1),((time_tot-20)^2)*(0.5/time)))))))))</f>
        <v/>
      </c>
      <c r="I31" s="3111">
        <f>IF(ABS(R11*((MIN($C31,F31)*MIN(20,time_tot))+IF(G31="Immediate",IF(F31 &gt; $C31,F31*MIN(20,time_tot),0),IF($C31&gt;F31,($C31-F31)*IF(time&gt;20,IF(G31="Linear",time-((time-20)^2)/(2*time),(0.215*time)-(time/4.6)*(EXP(-92.1/time)-0.01)),time*(1-VLOOKUP(G31, list!$J$48:$K$50, 2,))), (F31-$C31)*IF(time_tot&gt;time+20,20,IF(time_tot&lt;20,(time*VLOOKUP(G31, list!$J$48:$K$50, 2,))+(time_tot-time),((MIN(20,time)*VLOOKUP(G31, list!$J$48:$K$50, 2,)) +(time_tot-MIN(20,time))-IF(G31="Exponential",time_tot-20+0.217*time*(EXP(4.606*(20-time_tot)/time)-1),((time_tot-20)^2)*(0.5/time)))))))))&gt;=ABS(R11*20*MAX(F31,C31)),R11*20*MAX(F31,C31),R11*((MIN($C31,F31)*MIN(20,time_tot))+IF(G31="Immediate",IF(F31 &gt; $C31,F31*MIN(20,time_tot),0),IF($C31&gt;F31,($C31-F31)*IF(time&gt;20,IF(G31="Linear",time-((time-20)^2)/(2*time),(0.215*time)-(time/4.6)*(EXP(-92.1/time)-0.01)),time*(1-VLOOKUP(G31, list!$J$48:$K$50, 2,))), (F31-$C31)*IF(time_tot&gt;time+20,20,IF(time_tot&lt;20,(time*VLOOKUP(G31, list!$J$48:$K$50, 2,))+(time_tot-time),((MIN(20,time)*VLOOKUP(G31, list!$J$48:$K$50, 2,)) +(time_tot-MIN(20,time))-IF(G31="Exponential",time_tot-20+0.217*time*(EXP(4.606*(20-time_tot)/time)-1),((time_tot-20)^2)*(0.5/time)))))))))</f>
        <v/>
      </c>
      <c r="J31" s="3112">
        <f>IF(H11&gt;time_tot,0,IF($G11="YES",(MIN(C31,D31)*time_tot+ABS(D31-C31)*IF(D31&gt;C31,time_cap+time*(VLOOKUP($E31,list!$J$48:$K$50,2,)),time*(1-(VLOOKUP($E31,list!$J$48:$K$50,2,))))),0)*$Y11)</f>
        <v/>
      </c>
      <c r="K31" s="3112">
        <f>IF(J11&gt;time_tot,0,IF($I11="YES",(MIN(C31,F31)*time_tot+ABS(F31-C31)*IF(F31&gt;C31,time_cap+time*(VLOOKUP($G31,list!$J$48:$K$50,2,)),time*(1-(VLOOKUP($G31,list!$J$48:$K$50,2,))))),0)*$Z11)</f>
        <v/>
      </c>
      <c r="L31" s="3112">
        <f>H31+J31</f>
        <v/>
      </c>
      <c r="M31" s="3112">
        <f>I31+K31</f>
        <v/>
      </c>
      <c r="N31" s="2231">
        <f>M31-L31</f>
        <v/>
      </c>
      <c r="P31" s="3075">
        <f>S11*C31</f>
        <v/>
      </c>
      <c r="Q31" s="3076">
        <f>T11*D31</f>
        <v/>
      </c>
      <c r="R31" s="3076">
        <f>$U11*$F31</f>
        <v/>
      </c>
      <c r="S31" s="3076">
        <f>(time*((ABS(Q31-P31)*(IF(P31&lt;=Q31,VLOOKUP(E31, list!$J$48:$K$50,2,),1-VLOOKUP(grass!E31, list!$J$48:$K$50,2,))))+MIN(grass!Q31,grass!P31))+(grass!Q31*time_cap))</f>
        <v/>
      </c>
      <c r="T31" s="3076">
        <f>(time*((ABS(R31-P31)*(IF(R31&lt;=P31,VLOOKUP(G31,list!$J$48:$K$50,2,),1-VLOOKUP(grass!G31, list!$J$48:$K$50,2,))))+MIN(grass!R31,grass!P31))+(grass!R31*time_cap))</f>
        <v/>
      </c>
      <c r="U31" s="3077">
        <f>T31-S31</f>
        <v/>
      </c>
      <c r="W31" s="3084" t="inlineStr">
        <is>
          <t>Improved with medium inputs</t>
        </is>
      </c>
      <c r="X31" s="3084" t="n"/>
      <c r="Y31" s="3087">
        <f>SOCref*IPCC!$D$537*VLOOKUP(climate, IPCC!$C$541:$D$545,2, FALSE)*IPCC!$D$546</f>
        <v/>
      </c>
      <c r="AF31" s="3567" t="inlineStr">
        <is>
          <t>Grassland converted from non-forest LUs</t>
        </is>
      </c>
      <c r="AG31" s="3692" t="n"/>
      <c r="AH31" s="3693" t="n"/>
      <c r="AI31" s="3693" t="n"/>
    </row>
    <row r="32">
      <c r="A32" s="3028" t="inlineStr">
        <is>
          <t xml:space="preserve">non-FL converted to Grassland </t>
        </is>
      </c>
      <c r="B32" s="3567">
        <f>B12</f>
        <v/>
      </c>
      <c r="C32" s="2215" t="n">
        <v>0</v>
      </c>
      <c r="D32" s="2215">
        <f>SUM(Matrix!AV16,Matrix!BH16,Matrix!BS16,Matrix!CD16,Matrix!CX16,Matrix!DI16)</f>
        <v/>
      </c>
      <c r="E32" s="2215" t="inlineStr">
        <is>
          <t>Linear</t>
        </is>
      </c>
      <c r="F32" s="2215">
        <f>SUM(Matrix!AV34,Matrix!BH34,Matrix!BS34,Matrix!CD34,Matrix!CX34,Matrix!DI34)</f>
        <v/>
      </c>
      <c r="G32" s="2215" t="inlineStr">
        <is>
          <t>Linear</t>
        </is>
      </c>
      <c r="H32" s="2215">
        <f>IF(ABS($Q12*((MIN($C32,D32)*MIN(20,time_tot))+IF(E32="Immediate",IF(D32 &gt; $C32,D32*MIN(20,time_tot),0),IF($C32&gt;D32,($C32-D32)*IF(time&gt;20,IF(E32="Linear",time-((time-20)^2)/(2*time),(0.215*time)-(time/4.6)*(EXP(-92.1/time)-0.01)),time*(1-VLOOKUP(E32, list!$J$48:$K$50, 2,))), (D32-$C32)*IF(time_tot&gt;time+20,20,IF(time_tot&lt;20,(time*VLOOKUP(E32, list!$J$48:$K$50, 2,))+(time_tot-time),((MIN(20,time)*VLOOKUP(E32, list!$J$48:$K$50, 2,)) +(time_tot-MIN(20,time))-IF(E32="Exponential",time_tot-20+0.217*time*(EXP(4.606*(20-time_tot)/time)-1),((time_tot-20)^2)*(0.5/time)))))))))&gt;=ABS(Q12*20*MAX(D32,C32)),Q12*20*MAX(D32,C32), $Q12*((MIN($C32,D32)*MIN(20,time_tot))+IF(E32="Immediate",IF(D32 &gt; $C32,D32*MIN(20,time_tot),0),IF($C32&gt;D32,($C32-D32)*IF(time&gt;20,IF(E32="Linear",time-((time-20)^2)/(2*time),(0.215*time)-(time/4.6)*(EXP(-92.1/time)-0.01)),time*(1-VLOOKUP(E32, list!$J$48:$K$50, 2,))), (D32-$C32)*IF(time_tot&gt;time+20,20,IF(time_tot&lt;20,(time*VLOOKUP(E32, list!$J$48:$K$50, 2,))+(time_tot-time),((MIN(20,time)*VLOOKUP(E32, list!$J$48:$K$50, 2,)) +(time_tot-MIN(20,time))-IF(E32="Exponential",time_tot-20+0.217*time*(EXP(4.606*(20-time_tot)/time)-1),((time_tot-20)^2)*(0.5/time)))))))))</f>
        <v/>
      </c>
      <c r="I32" s="2215">
        <f>IF(ABS(R12*((MIN($C32,F32)*MIN(20,time_tot))+IF(G32="Immediate",IF(F32 &gt; $C32,F32*MIN(20,time_tot),0),IF($C32&gt;F32,($C32-F32)*IF(time&gt;20,IF(G32="Linear",time-((time-20)^2)/(2*time),(0.215*time)-(time/4.6)*(EXP(-92.1/time)-0.01)),time*(1-VLOOKUP(G32, list!$J$48:$K$50, 2,))), (F32-$C32)*IF(time_tot&gt;time+20,20,IF(time_tot&lt;20,(time*VLOOKUP(G32, list!$J$48:$K$50, 2,))+(time_tot-time),((MIN(20,time)*VLOOKUP(G32, list!$J$48:$K$50, 2,)) +(time_tot-MIN(20,time))-IF(G32="Exponential",time_tot-20+0.217*time*(EXP(4.606*(20-time_tot)/time)-1),((time_tot-20)^2)*(0.5/time)))))))))&gt;=ABS(R12*20*MAX(F32,C32)),R12*20*MAX(F32,C32),R12*((MIN($C32,F32)*MIN(20,time_tot))+IF(G32="Immediate",IF(F32 &gt; $C32,F32*MIN(20,time_tot),0),IF($C32&gt;F32,($C32-F32)*IF(time&gt;20,IF(G32="Linear",time-((time-20)^2)/(2*time),(0.215*time)-(time/4.6)*(EXP(-92.1/time)-0.01)),time*(1-VLOOKUP(G32, list!$J$48:$K$50, 2,))), (F32-$C32)*IF(time_tot&gt;time+20,20,IF(time_tot&lt;20,(time*VLOOKUP(G32, list!$J$48:$K$50, 2,))+(time_tot-time),((MIN(20,time)*VLOOKUP(G32, list!$J$48:$K$50, 2,)) +(time_tot-MIN(20,time))-IF(G32="Exponential",time_tot-20+0.217*time*(EXP(4.606*(20-time_tot)/time)-1),((time_tot-20)^2)*(0.5/time)))))))))</f>
        <v/>
      </c>
      <c r="J32" s="3110">
        <f>IF(H12&gt;time_tot,0,IF($G12="YES",(MIN(C32,D32)*time_tot+ABS(D32-C32)*IF(D32&gt;C32,time_cap+time*(VLOOKUP($E32,list!$J$48:$K$50,2,)),time*(1-(VLOOKUP($E32,list!$J$48:$K$50,2,))))),0)*$Y12)</f>
        <v/>
      </c>
      <c r="K32" s="3110">
        <f>IF(J12&gt;time_tot,0,IF($I12="YES",(MIN(C32,F32)*time_tot+ABS(F32-C32)*IF(F32&gt;C32,time_cap+time*(VLOOKUP($G32,list!$J$48:$K$50,2,)),time*(1-(VLOOKUP($G32,list!$J$48:$K$50,2,))))),0)*$Z12)</f>
        <v/>
      </c>
      <c r="L32" s="3110">
        <f>H32+J32</f>
        <v/>
      </c>
      <c r="M32" s="3110">
        <f>I32+K32</f>
        <v/>
      </c>
      <c r="N32" s="2231">
        <f>M32-L32</f>
        <v/>
      </c>
      <c r="P32" s="3072">
        <f>S12*C32</f>
        <v/>
      </c>
      <c r="Q32" s="3073">
        <f>T12*D32</f>
        <v/>
      </c>
      <c r="R32" s="3073">
        <f>$U12*$F32</f>
        <v/>
      </c>
      <c r="S32" s="3073">
        <f>(time*((ABS(Q32-P32)*(IF(P32&lt;=Q32,VLOOKUP(E32, list!$J$48:$K$50,2,),1-VLOOKUP(grass!E32, list!$J$48:$K$50,2,))))+MIN(grass!Q32,grass!P32))+(grass!Q32*time_cap))</f>
        <v/>
      </c>
      <c r="T32" s="3073">
        <f>(time*((ABS(R32-P32)*(IF(R32&lt;=P32,VLOOKUP(G32,list!$J$48:$K$50,2,),1-VLOOKUP(grass!G32, list!$J$48:$K$50,2,))))+MIN(grass!R32,grass!P32))+(grass!R32*time_cap))</f>
        <v/>
      </c>
      <c r="U32" s="3074">
        <f>T32-S32</f>
        <v/>
      </c>
      <c r="W32" s="3084" t="inlineStr">
        <is>
          <t>Improved grassland</t>
        </is>
      </c>
      <c r="X32" s="3084" t="n"/>
      <c r="Y32" s="3087">
        <f>SOCref*IPCC!$D$537*VLOOKUP(climate, IPCC!$C$541:$D$545,2, FALSE)</f>
        <v/>
      </c>
      <c r="AF32" s="1131" t="inlineStr">
        <is>
          <t xml:space="preserve">Grasslands converted to non-forest LUs   </t>
        </is>
      </c>
      <c r="AG32" s="3695" t="n"/>
      <c r="AH32" s="3696" t="n"/>
      <c r="AI32" s="3696" t="n"/>
    </row>
    <row r="33">
      <c r="A33" s="3040" t="inlineStr">
        <is>
          <t>GL --&gt; non-Forest LU</t>
        </is>
      </c>
      <c r="B33" s="1131">
        <f>B13</f>
        <v/>
      </c>
      <c r="C33" s="1137">
        <f>MAX(SUM(Matrix!CK16:CP16),SUM(Matrix!CK34:CP34))</f>
        <v/>
      </c>
      <c r="D33" s="1137">
        <f>MAX(SUM(Matrix!CK16:CP16),SUM(Matrix!CK34:CP34))-SUM(Matrix!CK16:CP16)</f>
        <v/>
      </c>
      <c r="E33" s="1137" t="inlineStr">
        <is>
          <t>Linear</t>
        </is>
      </c>
      <c r="F33" s="1137">
        <f>MAX(SUM(Matrix!CK16:CP16),SUM(Matrix!CK34:CP34))-SUM(Matrix!CK34:CP34)</f>
        <v/>
      </c>
      <c r="G33" s="1137" t="inlineStr">
        <is>
          <t>Linear</t>
        </is>
      </c>
      <c r="H33" s="3414">
        <f>IF(ABS($Q13*((MIN($C33,D33)*MIN(20,time_tot))+IF(E33="Immediate",IF(D33 &gt; $C33,D33*MIN(20,time_tot),0),IF($C33&gt;D33,($C33-D33)*IF(time&gt;20,IF(E33="Linear",time-((time-20)^2)/(2*time),(0.215*time)-(time/4.6)*(EXP(-92.1/time)-0.01)),time*(1-VLOOKUP(E33, list!$J$48:$K$50, 2,))), (D33-$C33)*IF(time_tot&gt;time+20,20,IF(time_tot&lt;20,(time*VLOOKUP(E33, list!$J$48:$K$50, 2,))+(time_tot-time),((MIN(20,time)*VLOOKUP(E33, list!$J$48:$K$50, 2,)) +(time_tot-MIN(20,time))-IF(E33="Exponential",time_tot-20+0.217*time*(EXP(4.606*(20-time_tot)/time)-1),((time_tot-20)^2)*(0.5/time)))))))))&gt;=ABS(Q13*20*MAX(D33,C33)),Q13*20*MAX(D33,C33), $Q13*((MIN($C33,D33)*MIN(20,time_tot))+IF(E33="Immediate",IF(D33 &gt; $C33,D33*MIN(20,time_tot),0),IF($C33&gt;D33,($C33-D33)*IF(time&gt;20,IF(E33="Linear",time-((time-20)^2)/(2*time),(0.215*time)-(time/4.6)*(EXP(-92.1/time)-0.01)),time*(1-VLOOKUP(E33, list!$J$48:$K$50, 2,))), (D33-$C33)*IF(time_tot&gt;time+20,20,IF(time_tot&lt;20,(time*VLOOKUP(E33, list!$J$48:$K$50, 2,))+(time_tot-time),((MIN(20,time)*VLOOKUP(E33, list!$J$48:$K$50, 2,)) +(time_tot-MIN(20,time))-IF(E33="Exponential",time_tot-20+0.217*time*(EXP(4.606*(20-time_tot)/time)-1),((time_tot-20)^2)*(0.5/time)))))))))</f>
        <v/>
      </c>
      <c r="I33" s="3414">
        <f>IF(ABS(R13*((MIN($C33,F33)*MIN(20,time_tot))+IF(G33="Immediate",IF(F33 &gt; $C33,F33*MIN(20,time_tot),0),IF($C33&gt;F33,($C33-F33)*IF(time&gt;20,IF(G33="Linear",time-((time-20)^2)/(2*time),(0.215*time)-(time/4.6)*(EXP(-92.1/time)-0.01)),time*(1-VLOOKUP(G33, list!$J$48:$K$50, 2,))), (F33-$C33)*IF(time_tot&gt;time+20,20,IF(time_tot&lt;20,(time*VLOOKUP(G33, list!$J$48:$K$50, 2,))+(time_tot-time),((MIN(20,time)*VLOOKUP(G33, list!$J$48:$K$50, 2,)) +(time_tot-MIN(20,time))-IF(G33="Exponential",time_tot-20+0.217*time*(EXP(4.606*(20-time_tot)/time)-1),((time_tot-20)^2)*(0.5/time)))))))))&gt;=ABS(R13*20*MAX(F33,C33)),R13*20*MAX(F33,C33),R13*((MIN($C33,F33)*MIN(20,time_tot))+IF(G33="Immediate",IF(F33 &gt; $C33,F33*MIN(20,time_tot),0),IF($C33&gt;F33,($C33-F33)*IF(time&gt;20,IF(G33="Linear",time-((time-20)^2)/(2*time),(0.215*time)-(time/4.6)*(EXP(-92.1/time)-0.01)),time*(1-VLOOKUP(G33, list!$J$48:$K$50, 2,))), (F33-$C33)*IF(time_tot&gt;time+20,20,IF(time_tot&lt;20,(time*VLOOKUP(G33, list!$J$48:$K$50, 2,))+(time_tot-time),((MIN(20,time)*VLOOKUP(G33, list!$J$48:$K$50, 2,)) +(time_tot-MIN(20,time))-IF(G33="Exponential",time_tot-20+0.217*time*(EXP(4.606*(20-time_tot)/time)-1),((time_tot-20)^2)*(0.5/time)))))))))</f>
        <v/>
      </c>
      <c r="J33" s="3414">
        <f>IF(H13&gt;time_tot,0,IF($G13="YES",(MIN(C33,D33)*time_tot+ABS(D33-C33)*IF(D33&gt;C33,time_cap+time*(VLOOKUP($E33,list!$J$48:$K$50,2,)),time*(1-(VLOOKUP($E33,list!$J$48:$K$50,2,))))),0)*$Y13)</f>
        <v/>
      </c>
      <c r="K33" s="3414">
        <f>IF(J13&gt;time_tot,0,IF($I13="YES",(MIN(C33,F33)*time_tot+ABS(F33-C33)*IF(F33&gt;C33,time_cap+time*(VLOOKUP($G33,list!$J$48:$K$50,2,)),time*(1-(VLOOKUP($G33,list!$J$48:$K$50,2,))))),0)*$Z13)</f>
        <v/>
      </c>
      <c r="L33" s="3414">
        <f>H33+J33</f>
        <v/>
      </c>
      <c r="M33" s="3414">
        <f>I33+K33</f>
        <v/>
      </c>
      <c r="N33" s="3415">
        <f>M33-L33</f>
        <v/>
      </c>
      <c r="P33" s="3688">
        <f>S13*C33</f>
        <v/>
      </c>
      <c r="Q33" s="3689">
        <f>T13*D33</f>
        <v/>
      </c>
      <c r="R33" s="3689">
        <f>$U13*$F33</f>
        <v/>
      </c>
      <c r="S33" s="3689">
        <f>(time*((ABS(Q33-P33)*(IF(P33&lt;=Q33,VLOOKUP(E33, list!$J$48:$K$50,2,),1-VLOOKUP(grass!E33, list!$J$48:$K$50,2,))))+MIN(grass!Q33,grass!P33))+(grass!Q33*time_cap))</f>
        <v/>
      </c>
      <c r="T33" s="3689">
        <f>(time*((ABS(R33-P33)*(IF(R33&lt;=P33,VLOOKUP(G33,list!$J$48:$K$50,2,),1-VLOOKUP(grass!G33, list!$J$48:$K$50,2,))))+MIN(grass!R33,grass!P33))+(grass!R33*time_cap))</f>
        <v/>
      </c>
      <c r="U33" s="3690">
        <f>T33-S33</f>
        <v/>
      </c>
      <c r="W33" s="3085" t="inlineStr">
        <is>
          <t>Improved with high inputs</t>
        </is>
      </c>
      <c r="X33" s="3085" t="n"/>
      <c r="Y33" s="3088">
        <f>SOCref*IPCC!$D$537*VLOOKUP(climate, IPCC!$C$541:$D$545,2, FALSE)*IPCC!$D$547</f>
        <v/>
      </c>
      <c r="AH33" s="3694">
        <f>IF($J34&gt;0, $J34/$X14,0)</f>
        <v/>
      </c>
      <c r="AI33" s="3694">
        <f>IF($K34&gt;0, $K34/$X14,0)</f>
        <v/>
      </c>
    </row>
    <row r="34">
      <c r="B34" s="2192">
        <f>B14</f>
        <v/>
      </c>
      <c r="C34" s="3115">
        <f>'4.Grassland'!$W26</f>
        <v/>
      </c>
      <c r="D34" s="3115">
        <f>$C34</f>
        <v/>
      </c>
      <c r="E34" s="3115">
        <f>VLOOKUP('4.Grassland'!$Y26, list!$I$48:$J$50, 2, FALSE)</f>
        <v/>
      </c>
      <c r="F34" s="3115">
        <f>$C34</f>
        <v/>
      </c>
      <c r="G34" s="3115">
        <f>VLOOKUP('4.Grassland'!$AA26, list!$I$48:$J$50, 2, FALSE)</f>
        <v/>
      </c>
      <c r="H34" s="3493">
        <f>IF(ABS($Q14*(IF(E34="Immediate",IF(C34&gt;0,C34*MIN(20,time_tot),0),C34*IF(time_tot&gt;time+20,20,IF(time_tot&lt;20,(time*VLOOKUP(E34, list!$J$48:$K$50,2,))+(time_tot-time),((MIN(20,time)*VLOOKUP(E34, list!$J$48:$K$50,2,))+(time_tot-MIN(20,time))-IF(E34="Exponential",time_tot-20+0.217*time*(EXP(4.606*(20-time_tot)/time)-1),((time_tot-20)^2)*(0.5/time))))))))&gt;=ABS(Q14*20*MAX(C34,D34)), Q14*20*MAX(C34,D34), $Q14*(IF(E34="Immediate",IF(C34&gt;0,C34*MIN(20,time_tot),0),C34*IF(time_tot&gt;time+20,20,IF(time_tot&lt;20,(time*VLOOKUP(E34, list!$J$48:$K$50,2,))+(time_tot-time),((MIN(20,time)*VLOOKUP(E34, list!$J$48:$K$50,2,))+(time_tot-MIN(20,time))-IF(E34="Exponential",time_tot-20+0.217*time*(EXP(4.606*(20-time_tot)/time)-1),((time_tot-20)^2)*(0.5/time))))))))</f>
        <v/>
      </c>
      <c r="I34" s="1151">
        <f>IF(ABS($R14*(IF(G34="Immediate",IF(C34&gt;0,C34*MIN(20,time_tot),0),C34*IF(time_tot&gt;time+20,20,IF(time_tot&lt;20,(time*VLOOKUP(G34, list!$J$48:$K$50,2,))+(time_tot-time),((MIN(20,time)*VLOOKUP(G34, list!$J$48:$K$50,2,))+(time_tot-MIN(20,time))-IF(G34="Exponential",time_tot-20+0.217*time*(EXP(4.606*(20-time_tot)/time)-1),((time_tot-20)^2)*(0.5/time))))))))&gt;=ABS(R14*20*MAX(C34,F34)),R14*20*MAX(C34,F34), $R14*(IF(G34="Immediate",IF(C34&gt;0,C34*MIN(20,time_tot),0),C34*IF(time_tot&gt;time+20,20,IF(time_tot&lt;20,(time*VLOOKUP(G34, list!$J$48:$K$50,2,))+(time_tot-time),((MIN(20,time)*VLOOKUP(G34, list!$J$48:$K$50,2,))+(time_tot-MIN(20,time))-IF(G34="Exponential",time_tot-20+0.217*time*(EXP(4.606*(20-time_tot)/time)-1),((time_tot-20)^2)*(0.5/time))))))))</f>
        <v/>
      </c>
      <c r="J34" s="1151">
        <f>IF(H14&gt;time_tot,0,IF($G14="YES",(MIN(C34,D34)*time_tot+ABS(D34-C34)*IF(D34&gt;C34,time_cap+time*(VLOOKUP($E34,list!$J$48:$K$50,2,)),time*(1-(VLOOKUP($E34,list!$J$48:$K$50,2,))))),0)*$Y14)</f>
        <v/>
      </c>
      <c r="K34" s="1151">
        <f>IF(J14&gt;time_tot,0,IF($I14="YES",(MIN(D34,F34)*time_tot+ABS(F34-D34)*IF(F34&gt;D34,time_cap+time*(VLOOKUP(G34,list!$J$48:$K$50,2,)),time*(1-(VLOOKUP(G34,list!$J$48:$K$50,2,))))),0)*$Z14)</f>
        <v/>
      </c>
      <c r="L34" s="1151">
        <f>H34+J34</f>
        <v/>
      </c>
      <c r="M34" s="1151">
        <f>I34+K34</f>
        <v/>
      </c>
      <c r="N34" s="2223">
        <f>M34-L34</f>
        <v/>
      </c>
      <c r="P34" s="2218">
        <f>S14*C34</f>
        <v/>
      </c>
      <c r="Q34" s="1154">
        <f>D34*T14</f>
        <v/>
      </c>
      <c r="R34" s="1154">
        <f>F34*U14</f>
        <v/>
      </c>
      <c r="S34" s="1154">
        <f>(time*((ABS(Q34-P34)*(IF(P34&lt;=Q34,VLOOKUP(E34, list!$J$48:$K$50,2,),1-VLOOKUP(grass!E34, list!$J$48:$K$50,2,))))+MIN(grass!Q34,grass!P34))+(grass!Q34*time_cap))</f>
        <v/>
      </c>
      <c r="T34" s="1154">
        <f>(time*((ABS(R34-P34)*(IF(R34&lt;=P34,VLOOKUP(G34,list!$J$48:$K$50,2,),1-VLOOKUP(grass!G34, list!$J$48:$K$50,2,))))+MIN(grass!R34,grass!P34))+(grass!R34*time_cap))</f>
        <v/>
      </c>
      <c r="U34" s="2221">
        <f>T34-S34</f>
        <v/>
      </c>
      <c r="AH34" s="3694">
        <f>IF($J35&gt;0, $J35/$X15,0)</f>
        <v/>
      </c>
      <c r="AI34" s="3694">
        <f>IF($K35&gt;0, $K35/$X15,0)</f>
        <v/>
      </c>
    </row>
    <row r="35">
      <c r="B35" s="2192">
        <f>B15</f>
        <v/>
      </c>
      <c r="C35" s="3115">
        <f>'4.Grassland'!$W27</f>
        <v/>
      </c>
      <c r="D35" s="3115">
        <f>$C35</f>
        <v/>
      </c>
      <c r="E35" s="3115">
        <f>VLOOKUP('4.Grassland'!$Y27, list!$I$48:$J$50, 2, FALSE)</f>
        <v/>
      </c>
      <c r="F35" s="3115">
        <f>$C35</f>
        <v/>
      </c>
      <c r="G35" s="3115">
        <f>VLOOKUP('4.Grassland'!$AA27, list!$I$48:$J$50, 2, FALSE)</f>
        <v/>
      </c>
      <c r="H35" s="3493">
        <f>IF(ABS($Q15*(IF(E35="Immediate",IF(C35&gt;0,C35*MIN(20,time_tot),0),C35*IF(time_tot&gt;time+20,20,IF(time_tot&lt;20,(time*VLOOKUP(E35, list!$J$48:$K$50,2,))+(time_tot-time),((MIN(20,time)*VLOOKUP(E35, list!$J$48:$K$50,2,))+(time_tot-MIN(20,time))-IF(E35="Exponential",time_tot-20+0.217*time*(EXP(4.606*(20-time_tot)/time)-1),((time_tot-20)^2)*(0.5/time))))))))&gt;=ABS(Q15*20*MAX(C35,D35)), Q15*20*MAX(C35,D35), $Q15*(IF(E35="Immediate",IF(C35&gt;0,C35*MIN(20,time_tot),0),C35*IF(time_tot&gt;time+20,20,IF(time_tot&lt;20,(time*VLOOKUP(E35, list!$J$48:$K$50,2,))+(time_tot-time),((MIN(20,time)*VLOOKUP(E35, list!$J$48:$K$50,2,))+(time_tot-MIN(20,time))-IF(E35="Exponential",time_tot-20+0.217*time*(EXP(4.606*(20-time_tot)/time)-1),((time_tot-20)^2)*(0.5/time))))))))</f>
        <v/>
      </c>
      <c r="I35" s="1151">
        <f>IF(ABS($R15*(IF(G35="Immediate",IF(C35&gt;0,C35*MIN(20,time_tot),0),C35*IF(time_tot&gt;time+20,20,IF(time_tot&lt;20,(time*VLOOKUP(G35, list!$J$48:$K$50,2,))+(time_tot-time),((MIN(20,time)*VLOOKUP(G35, list!$J$48:$K$50,2,))+(time_tot-MIN(20,time))-IF(G35="Exponential",time_tot-20+0.217*time*(EXP(4.606*(20-time_tot)/time)-1),((time_tot-20)^2)*(0.5/time))))))))&gt;=ABS(R15*20*MAX(C35,F35)),R15*20*MAX(C35,F35), $R15*(IF(G35="Immediate",IF(C35&gt;0,C35*MIN(20,time_tot),0),C35*IF(time_tot&gt;time+20,20,IF(time_tot&lt;20,(time*VLOOKUP(G35, list!$J$48:$K$50,2,))+(time_tot-time),((MIN(20,time)*VLOOKUP(G35, list!$J$48:$K$50,2,))+(time_tot-MIN(20,time))-IF(G35="Exponential",time_tot-20+0.217*time*(EXP(4.606*(20-time_tot)/time)-1),((time_tot-20)^2)*(0.5/time))))))))</f>
        <v/>
      </c>
      <c r="J35" s="1152">
        <f>IF(H15&gt;time_tot,0,IF($G15="YES",(MIN(C35,D35)*time_tot+ABS(D35-C35)*IF(D35&gt;C35,time_cap+time*(VLOOKUP($E35,list!$J$48:$K$50,2,)),time*(1-(VLOOKUP($E35,list!$J$48:$K$50,2,))))),0)*$Y15)</f>
        <v/>
      </c>
      <c r="K35" s="1152">
        <f>IF(J15&gt;time_tot,0,IF($I15="YES",(MIN(D35,F35)*time_tot+ABS(F35-D35)*IF(F35&gt;D35,time_cap+time*(VLOOKUP(G35,list!$J$48:$K$50,2,)),time*(1-(VLOOKUP(G35,list!$J$48:$K$50,2,))))),0)*$Z15)</f>
        <v/>
      </c>
      <c r="L35" s="1152">
        <f>H35+J35</f>
        <v/>
      </c>
      <c r="M35" s="1152">
        <f>I35+K35</f>
        <v/>
      </c>
      <c r="N35" s="2231">
        <f>M35-L35</f>
        <v/>
      </c>
      <c r="P35" s="2226">
        <f>S15*C35</f>
        <v/>
      </c>
      <c r="Q35" s="1157">
        <f>D35*T15</f>
        <v/>
      </c>
      <c r="R35" s="1157">
        <f>F35*U15</f>
        <v/>
      </c>
      <c r="S35" s="1157">
        <f>(time*((ABS(Q35-P35)*(IF(P35&lt;=Q35,VLOOKUP(E35, list!$J$48:$K$50,2,),1-VLOOKUP(grass!E35, list!$J$48:$K$50,2,))))+MIN(grass!Q35,grass!P35))+(grass!Q35*time_cap))</f>
        <v/>
      </c>
      <c r="T35" s="1157">
        <f>(time*((ABS(R35-P35)*(IF(R35&lt;=P35,VLOOKUP(G35,list!$J$48:$K$50,2,),1-VLOOKUP(grass!G35, list!$J$48:$K$50,2,))))+MIN(grass!R35,grass!P35))+(grass!R35*time_cap))</f>
        <v/>
      </c>
      <c r="U35" s="2229">
        <f>T35-S35</f>
        <v/>
      </c>
      <c r="W35" s="3564" t="inlineStr">
        <is>
          <t>Categories</t>
        </is>
      </c>
      <c r="X35" s="3565" t="inlineStr">
        <is>
          <t>Total</t>
        </is>
      </c>
      <c r="Y35" s="3565" t="inlineStr">
        <is>
          <t>Implementation</t>
        </is>
      </c>
      <c r="Z35" s="3565" t="inlineStr">
        <is>
          <t>Capitalization</t>
        </is>
      </c>
      <c r="AH35" s="3694">
        <f>IF($J36&gt;0, $J36/$X16,0)</f>
        <v/>
      </c>
      <c r="AI35" s="3694">
        <f>IF($K36&gt;0, $K36/$X16,0)</f>
        <v/>
      </c>
    </row>
    <row r="36">
      <c r="B36" s="2192">
        <f>B16</f>
        <v/>
      </c>
      <c r="C36" s="3115">
        <f>'4.Grassland'!$W28</f>
        <v/>
      </c>
      <c r="D36" s="3115">
        <f>$C36</f>
        <v/>
      </c>
      <c r="E36" s="3115">
        <f>VLOOKUP('4.Grassland'!$Y28, list!$I$48:$J$50, 2, FALSE)</f>
        <v/>
      </c>
      <c r="F36" s="3115">
        <f>$C36</f>
        <v/>
      </c>
      <c r="G36" s="3115">
        <f>VLOOKUP('4.Grassland'!$AA28, list!$I$48:$J$50, 2, FALSE)</f>
        <v/>
      </c>
      <c r="H36" s="3493">
        <f>IF(ABS($Q16*(IF(E36="Immediate",IF(C36&gt;0,C36*MIN(20,time_tot),0),C36*IF(time_tot&gt;time+20,20,IF(time_tot&lt;20,(time*VLOOKUP(E36, list!$J$48:$K$50,2,))+(time_tot-time),((MIN(20,time)*VLOOKUP(E36, list!$J$48:$K$50,2,))+(time_tot-MIN(20,time))-IF(E36="Exponential",time_tot-20+0.217*time*(EXP(4.606*(20-time_tot)/time)-1),((time_tot-20)^2)*(0.5/time))))))))&gt;=ABS(Q16*20*MAX(C36,D36)), Q16*20*MAX(C36,D36), $Q16*(IF(E36="Immediate",IF(C36&gt;0,C36*MIN(20,time_tot),0),C36*IF(time_tot&gt;time+20,20,IF(time_tot&lt;20,(time*VLOOKUP(E36, list!$J$48:$K$50,2,))+(time_tot-time),((MIN(20,time)*VLOOKUP(E36, list!$J$48:$K$50,2,))+(time_tot-MIN(20,time))-IF(E36="Exponential",time_tot-20+0.217*time*(EXP(4.606*(20-time_tot)/time)-1),((time_tot-20)^2)*(0.5/time))))))))</f>
        <v/>
      </c>
      <c r="I36" s="1151">
        <f>IF(ABS($R16*(IF(G36="Immediate",IF(C36&gt;0,C36*MIN(20,time_tot),0),C36*IF(time_tot&gt;time+20,20,IF(time_tot&lt;20,(time*VLOOKUP(G36, list!$J$48:$K$50,2,))+(time_tot-time),((MIN(20,time)*VLOOKUP(G36, list!$J$48:$K$50,2,))+(time_tot-MIN(20,time))-IF(G36="Exponential",time_tot-20+0.217*time*(EXP(4.606*(20-time_tot)/time)-1),((time_tot-20)^2)*(0.5/time))))))))&gt;=ABS(R16*20*MAX(C36,F36)),R16*20*MAX(C36,F36), $R16*(IF(G36="Immediate",IF(C36&gt;0,C36*MIN(20,time_tot),0),C36*IF(time_tot&gt;time+20,20,IF(time_tot&lt;20,(time*VLOOKUP(G36, list!$J$48:$K$50,2,))+(time_tot-time),((MIN(20,time)*VLOOKUP(G36, list!$J$48:$K$50,2,))+(time_tot-MIN(20,time))-IF(G36="Exponential",time_tot-20+0.217*time*(EXP(4.606*(20-time_tot)/time)-1),((time_tot-20)^2)*(0.5/time))))))))</f>
        <v/>
      </c>
      <c r="J36" s="1152">
        <f>IF(H16&gt;time_tot,0,IF($G16="YES",(MIN(C36,D36)*time_tot+ABS(D36-C36)*IF(D36&gt;C36,time_cap+time*(VLOOKUP($E36,list!$J$48:$K$50,2,)),time*(1-(VLOOKUP($E36,list!$J$48:$K$50,2,))))),0)*$Y16)</f>
        <v/>
      </c>
      <c r="K36" s="1152">
        <f>IF(J16&gt;time_tot,0,IF($I16="YES",(MIN(D36,F36)*time_tot+ABS(F36-D36)*IF(F36&gt;D36,time_cap+time*(VLOOKUP(G36,list!$J$48:$K$50,2,)),time*(1-(VLOOKUP(G36,list!$J$48:$K$50,2,))))),0)*$Z16)</f>
        <v/>
      </c>
      <c r="L36" s="1152">
        <f>H36+J36</f>
        <v/>
      </c>
      <c r="M36" s="1152">
        <f>I36+K36</f>
        <v/>
      </c>
      <c r="N36" s="2231">
        <f>M36-L36</f>
        <v/>
      </c>
      <c r="P36" s="2226">
        <f>S16*C36</f>
        <v/>
      </c>
      <c r="Q36" s="1157">
        <f>D36*T16</f>
        <v/>
      </c>
      <c r="R36" s="1157">
        <f>F36*U16</f>
        <v/>
      </c>
      <c r="S36" s="1157">
        <f>(time*((ABS(Q36-P36)*(IF(P36&lt;=Q36,VLOOKUP(E36, list!$J$48:$K$50,2,),1-VLOOKUP(grass!E36, list!$J$48:$K$50,2,))))+MIN(grass!Q36,grass!P36))+(grass!Q36*time_cap))</f>
        <v/>
      </c>
      <c r="T36" s="1157">
        <f>(time*((ABS(R36-P36)*(IF(R36&lt;=P36,VLOOKUP(G36,list!$J$48:$K$50,2,),1-VLOOKUP(grass!G36, list!$J$48:$K$50,2,))))+MIN(grass!R36,grass!P36))+(grass!R36*time_cap))</f>
        <v/>
      </c>
      <c r="U36" s="2229">
        <f>T36-S36</f>
        <v/>
      </c>
      <c r="W36" s="3524" t="inlineStr">
        <is>
          <t>CO2 biomass</t>
        </is>
      </c>
      <c r="X36" s="3569" t="n">
        <v>0</v>
      </c>
      <c r="Y36" s="3570" t="n">
        <v>0</v>
      </c>
      <c r="Z36" s="3571" t="n">
        <v>0</v>
      </c>
      <c r="AH36" s="3694">
        <f>IF($J37&gt;0, $J37/$X17,0)</f>
        <v/>
      </c>
      <c r="AI36" s="3694">
        <f>IF($K37&gt;0, $K37/$X17,0)</f>
        <v/>
      </c>
    </row>
    <row r="37">
      <c r="B37" s="2192">
        <f>B17</f>
        <v/>
      </c>
      <c r="C37" s="3115">
        <f>'4.Grassland'!$W29</f>
        <v/>
      </c>
      <c r="D37" s="3115">
        <f>$C37</f>
        <v/>
      </c>
      <c r="E37" s="3115">
        <f>VLOOKUP('4.Grassland'!$Y29, list!$I$48:$J$50, 2, FALSE)</f>
        <v/>
      </c>
      <c r="F37" s="3115">
        <f>$C37</f>
        <v/>
      </c>
      <c r="G37" s="3115">
        <f>VLOOKUP('4.Grassland'!$AA29, list!$I$48:$J$50, 2, FALSE)</f>
        <v/>
      </c>
      <c r="H37" s="3493">
        <f>IF(ABS($Q17*(IF(E37="Immediate",IF(C37&gt;0,C37*MIN(20,time_tot),0),C37*IF(time_tot&gt;time+20,20,IF(time_tot&lt;20,(time*VLOOKUP(E37, list!$J$48:$K$50,2,))+(time_tot-time),((MIN(20,time)*VLOOKUP(E37, list!$J$48:$K$50,2,))+(time_tot-MIN(20,time))-IF(E37="Exponential",time_tot-20+0.217*time*(EXP(4.606*(20-time_tot)/time)-1),((time_tot-20)^2)*(0.5/time))))))))&gt;=ABS(Q17*20*MAX(C37,D37)), Q17*20*MAX(C37,D37), $Q17*(IF(E37="Immediate",IF(C37&gt;0,C37*MIN(20,time_tot),0),C37*IF(time_tot&gt;time+20,20,IF(time_tot&lt;20,(time*VLOOKUP(E37, list!$J$48:$K$50,2,))+(time_tot-time),((MIN(20,time)*VLOOKUP(E37, list!$J$48:$K$50,2,))+(time_tot-MIN(20,time))-IF(E37="Exponential",time_tot-20+0.217*time*(EXP(4.606*(20-time_tot)/time)-1),((time_tot-20)^2)*(0.5/time))))))))</f>
        <v/>
      </c>
      <c r="I37" s="1151">
        <f>IF(ABS($R17*(IF(G37="Immediate",IF(C37&gt;0,C37*MIN(20,time_tot),0),C37*IF(time_tot&gt;time+20,20,IF(time_tot&lt;20,(time*VLOOKUP(G37, list!$J$48:$K$50,2,))+(time_tot-time),((MIN(20,time)*VLOOKUP(G37, list!$J$48:$K$50,2,))+(time_tot-MIN(20,time))-IF(G37="Exponential",time_tot-20+0.217*time*(EXP(4.606*(20-time_tot)/time)-1),((time_tot-20)^2)*(0.5/time))))))))&gt;=ABS(R17*20*MAX(C37,F37)),R17*20*MAX(C37,F37), $R17*(IF(G37="Immediate",IF(C37&gt;0,C37*MIN(20,time_tot),0),C37*IF(time_tot&gt;time+20,20,IF(time_tot&lt;20,(time*VLOOKUP(G37, list!$J$48:$K$50,2,))+(time_tot-time),((MIN(20,time)*VLOOKUP(G37, list!$J$48:$K$50,2,))+(time_tot-MIN(20,time))-IF(G37="Exponential",time_tot-20+0.217*time*(EXP(4.606*(20-time_tot)/time)-1),((time_tot-20)^2)*(0.5/time))))))))</f>
        <v/>
      </c>
      <c r="J37" s="1152">
        <f>IF(H17&gt;time_tot,0,IF($G17="YES",(MIN(C37,D37)*time_tot+ABS(D37-C37)*IF(D37&gt;C37,time_cap+time*(VLOOKUP($E37,list!$J$48:$K$50,2,)),time*(1-(VLOOKUP($E37,list!$J$48:$K$50,2,))))),0)*$Y17)</f>
        <v/>
      </c>
      <c r="K37" s="1152">
        <f>IF(J17&gt;time_tot,0,IF($I17="YES",(MIN(D37,F37)*time_tot+ABS(F37-D37)*IF(F37&gt;D37,time_cap+time*(VLOOKUP(G37,list!$J$48:$K$50,2,)),time*(1-(VLOOKUP(G37,list!$J$48:$K$50,2,))))),0)*$Z17)</f>
        <v/>
      </c>
      <c r="L37" s="1152">
        <f>H37+J37</f>
        <v/>
      </c>
      <c r="M37" s="1152">
        <f>I37+K37</f>
        <v/>
      </c>
      <c r="N37" s="2231">
        <f>M37-L37</f>
        <v/>
      </c>
      <c r="P37" s="2226">
        <f>S17*C37</f>
        <v/>
      </c>
      <c r="Q37" s="1157">
        <f>D37*T17</f>
        <v/>
      </c>
      <c r="R37" s="1157">
        <f>F37*U17</f>
        <v/>
      </c>
      <c r="S37" s="1157">
        <f>(time*((ABS(Q37-P37)*(IF(P37&lt;=Q37,VLOOKUP(E37, list!$J$48:$K$50,2,),1-VLOOKUP(grass!E37, list!$J$48:$K$50,2,))))+MIN(grass!Q37,grass!P37))+(grass!Q37*time_cap))</f>
        <v/>
      </c>
      <c r="T37" s="1157">
        <f>(time*((ABS(R37-P37)*(IF(R37&lt;=P37,VLOOKUP(G37,list!$J$48:$K$50,2,),1-VLOOKUP(grass!G37, list!$J$48:$K$50,2,))))+MIN(grass!R37,grass!P37))+(grass!R37*time_cap))</f>
        <v/>
      </c>
      <c r="U37" s="2229">
        <f>T37-S37</f>
        <v/>
      </c>
      <c r="W37" s="3524" t="inlineStr">
        <is>
          <t>CO2 soil</t>
        </is>
      </c>
      <c r="X37" s="3525">
        <f>SUM(I30:I43)-SUM(H30:H43)</f>
        <v/>
      </c>
      <c r="Y37" s="3526">
        <f>SUM(AL10:AL23)-SUM(AK10:AK23)</f>
        <v/>
      </c>
      <c r="Z37" s="3527">
        <f>X37-Y37</f>
        <v/>
      </c>
      <c r="AH37" s="3694">
        <f>IF($J38&gt;0, $J38/$X18,0)</f>
        <v/>
      </c>
      <c r="AI37" s="3694">
        <f>IF($K38&gt;0, $K38/$X18,0)</f>
        <v/>
      </c>
    </row>
    <row r="38">
      <c r="B38" s="2192">
        <f>B18</f>
        <v/>
      </c>
      <c r="C38" s="3115">
        <f>'4.Grassland'!$W30</f>
        <v/>
      </c>
      <c r="D38" s="3115">
        <f>$C38</f>
        <v/>
      </c>
      <c r="E38" s="3115">
        <f>VLOOKUP('4.Grassland'!$Y30, list!$I$48:$J$50, 2, FALSE)</f>
        <v/>
      </c>
      <c r="F38" s="3115">
        <f>$C38</f>
        <v/>
      </c>
      <c r="G38" s="3115">
        <f>VLOOKUP('4.Grassland'!$AA30, list!$I$48:$J$50, 2, FALSE)</f>
        <v/>
      </c>
      <c r="H38" s="3493">
        <f>IF(ABS($Q18*(IF(E38="Immediate",IF(C38&gt;0,C38*MIN(20,time_tot),0),C38*IF(time_tot&gt;time+20,20,IF(time_tot&lt;20,(time*VLOOKUP(E38, list!$J$48:$K$50,2,))+(time_tot-time),((MIN(20,time)*VLOOKUP(E38, list!$J$48:$K$50,2,))+(time_tot-MIN(20,time))-IF(E38="Exponential",time_tot-20+0.217*time*(EXP(4.606*(20-time_tot)/time)-1),((time_tot-20)^2)*(0.5/time))))))))&gt;=ABS(Q18*20*MAX(C38,D38)), Q18*20*MAX(C38,D38), $Q18*(IF(E38="Immediate",IF(C38&gt;0,C38*MIN(20,time_tot),0),C38*IF(time_tot&gt;time+20,20,IF(time_tot&lt;20,(time*VLOOKUP(E38, list!$J$48:$K$50,2,))+(time_tot-time),((MIN(20,time)*VLOOKUP(E38, list!$J$48:$K$50,2,))+(time_tot-MIN(20,time))-IF(E38="Exponential",time_tot-20+0.217*time*(EXP(4.606*(20-time_tot)/time)-1),((time_tot-20)^2)*(0.5/time))))))))</f>
        <v/>
      </c>
      <c r="I38" s="1151">
        <f>IF(ABS($R18*(IF(G38="Immediate",IF(C38&gt;0,C38*MIN(20,time_tot),0),C38*IF(time_tot&gt;time+20,20,IF(time_tot&lt;20,(time*VLOOKUP(G38, list!$J$48:$K$50,2,))+(time_tot-time),((MIN(20,time)*VLOOKUP(G38, list!$J$48:$K$50,2,))+(time_tot-MIN(20,time))-IF(G38="Exponential",time_tot-20+0.217*time*(EXP(4.606*(20-time_tot)/time)-1),((time_tot-20)^2)*(0.5/time))))))))&gt;=ABS(R18*20*MAX(C38,F38)),R18*20*MAX(C38,F38), $R18*(IF(G38="Immediate",IF(C38&gt;0,C38*MIN(20,time_tot),0),C38*IF(time_tot&gt;time+20,20,IF(time_tot&lt;20,(time*VLOOKUP(G38, list!$J$48:$K$50,2,))+(time_tot-time),((MIN(20,time)*VLOOKUP(G38, list!$J$48:$K$50,2,))+(time_tot-MIN(20,time))-IF(G38="Exponential",time_tot-20+0.217*time*(EXP(4.606*(20-time_tot)/time)-1),((time_tot-20)^2)*(0.5/time))))))))</f>
        <v/>
      </c>
      <c r="J38" s="1152">
        <f>IF(H18&gt;time_tot,0,IF($G18="YES",(MIN(C38,D38)*time_tot+ABS(D38-C38)*IF(D38&gt;C38,time_cap+time*(VLOOKUP($E38,list!$J$48:$K$50,2,)),time*(1-(VLOOKUP($E38,list!$J$48:$K$50,2,))))),0)*$Y18)</f>
        <v/>
      </c>
      <c r="K38" s="1152">
        <f>IF(J18&gt;time_tot,0,IF($I18="YES",(MIN(D38,F38)*time_tot+ABS(F38-D38)*IF(F38&gt;D38,time_cap+time*(VLOOKUP(G38,list!$J$48:$K$50,2,)),time*(1-(VLOOKUP(G38,list!$J$48:$K$50,2,))))),0)*$Z18)</f>
        <v/>
      </c>
      <c r="L38" s="1152">
        <f>H38+J38</f>
        <v/>
      </c>
      <c r="M38" s="1152">
        <f>I38+K38</f>
        <v/>
      </c>
      <c r="N38" s="2231">
        <f>M38-L38</f>
        <v/>
      </c>
      <c r="P38" s="2226">
        <f>S18*C38</f>
        <v/>
      </c>
      <c r="Q38" s="1157">
        <f>D38*T18</f>
        <v/>
      </c>
      <c r="R38" s="1157">
        <f>F38*U18</f>
        <v/>
      </c>
      <c r="S38" s="1157">
        <f>(time*((ABS(Q38-P38)*(IF(P38&lt;=Q38,VLOOKUP(E38, list!$J$48:$K$50,2,),1-VLOOKUP(grass!E38, list!$J$48:$K$50,2,))))+MIN(grass!Q38,grass!P38))+(grass!Q38*time_cap))</f>
        <v/>
      </c>
      <c r="T38" s="1157">
        <f>(time*((ABS(R38-P38)*(IF(R38&lt;=P38,VLOOKUP(G38,list!$J$48:$K$50,2,),1-VLOOKUP(grass!G38, list!$J$48:$K$50,2,))))+MIN(grass!R38,grass!P38))+(grass!R38*time_cap))</f>
        <v/>
      </c>
      <c r="U38" s="2229">
        <f>T38-S38</f>
        <v/>
      </c>
      <c r="W38" s="3524" t="inlineStr">
        <is>
          <t>N2O soil</t>
        </is>
      </c>
      <c r="X38" s="3525" t="n">
        <v>0</v>
      </c>
      <c r="Y38" s="3526" t="n">
        <v>0</v>
      </c>
      <c r="Z38" s="3527" t="n">
        <v>0</v>
      </c>
      <c r="AH38" s="3694">
        <f>IF($J39&gt;0, $J39/$X19,0)</f>
        <v/>
      </c>
      <c r="AI38" s="3694">
        <f>IF($K39&gt;0, $K39/$X19,0)</f>
        <v/>
      </c>
    </row>
    <row r="39">
      <c r="B39" s="2192">
        <f>B19</f>
        <v/>
      </c>
      <c r="C39" s="3115">
        <f>'4.Grassland'!$W31</f>
        <v/>
      </c>
      <c r="D39" s="3115">
        <f>$C39</f>
        <v/>
      </c>
      <c r="E39" s="3115">
        <f>VLOOKUP('4.Grassland'!$Y31, list!$I$48:$J$50, 2, FALSE)</f>
        <v/>
      </c>
      <c r="F39" s="3115">
        <f>$C39</f>
        <v/>
      </c>
      <c r="G39" s="3115">
        <f>VLOOKUP('4.Grassland'!$AA31, list!$I$48:$J$50, 2, FALSE)</f>
        <v/>
      </c>
      <c r="H39" s="3493">
        <f>IF(ABS($Q19*(IF(E39="Immediate",IF(C39&gt;0,C39*MIN(20,time_tot),0),C39*IF(time_tot&gt;time+20,20,IF(time_tot&lt;20,(time*VLOOKUP(E39, list!$J$48:$K$50,2,))+(time_tot-time),((MIN(20,time)*VLOOKUP(E39, list!$J$48:$K$50,2,))+(time_tot-MIN(20,time))-IF(E39="Exponential",time_tot-20+0.217*time*(EXP(4.606*(20-time_tot)/time)-1),((time_tot-20)^2)*(0.5/time))))))))&gt;=ABS(Q19*20*MAX(C39,D39)), Q19*20*MAX(C39,D39), $Q19*(IF(E39="Immediate",IF(C39&gt;0,C39*MIN(20,time_tot),0),C39*IF(time_tot&gt;time+20,20,IF(time_tot&lt;20,(time*VLOOKUP(E39, list!$J$48:$K$50,2,))+(time_tot-time),((MIN(20,time)*VLOOKUP(E39, list!$J$48:$K$50,2,))+(time_tot-MIN(20,time))-IF(E39="Exponential",time_tot-20+0.217*time*(EXP(4.606*(20-time_tot)/time)-1),((time_tot-20)^2)*(0.5/time))))))))</f>
        <v/>
      </c>
      <c r="I39" s="1151">
        <f>IF(ABS($R19*(IF(G39="Immediate",IF(C39&gt;0,C39*MIN(20,time_tot),0),C39*IF(time_tot&gt;time+20,20,IF(time_tot&lt;20,(time*VLOOKUP(G39, list!$J$48:$K$50,2,))+(time_tot-time),((MIN(20,time)*VLOOKUP(G39, list!$J$48:$K$50,2,))+(time_tot-MIN(20,time))-IF(G39="Exponential",time_tot-20+0.217*time*(EXP(4.606*(20-time_tot)/time)-1),((time_tot-20)^2)*(0.5/time))))))))&gt;=ABS(R19*20*MAX(C39,F39)),R19*20*MAX(C39,F39), $R19*(IF(G39="Immediate",IF(C39&gt;0,C39*MIN(20,time_tot),0),C39*IF(time_tot&gt;time+20,20,IF(time_tot&lt;20,(time*VLOOKUP(G39, list!$J$48:$K$50,2,))+(time_tot-time),((MIN(20,time)*VLOOKUP(G39, list!$J$48:$K$50,2,))+(time_tot-MIN(20,time))-IF(G39="Exponential",time_tot-20+0.217*time*(EXP(4.606*(20-time_tot)/time)-1),((time_tot-20)^2)*(0.5/time))))))))</f>
        <v/>
      </c>
      <c r="J39" s="1152">
        <f>IF(H19&gt;time_tot,0,IF($G19="YES",(MIN(C39,D39)*time_tot+ABS(D39-C39)*IF(D39&gt;C39,time_cap+time*(VLOOKUP($E39,list!$J$48:$K$50,2,)),time*(1-(VLOOKUP($E39,list!$J$48:$K$50,2,))))),0)*$Y19)</f>
        <v/>
      </c>
      <c r="K39" s="1152">
        <f>IF(J19&gt;time_tot,0,IF($I19="YES",(MIN(D39,F39)*time_tot+ABS(F39-D39)*IF(F39&gt;D39,time_cap+time*(VLOOKUP(G39,list!$J$48:$K$50,2,)),time*(1-(VLOOKUP(G39,list!$J$48:$K$50,2,))))),0)*$Z19)</f>
        <v/>
      </c>
      <c r="L39" s="1152">
        <f>H39+J39</f>
        <v/>
      </c>
      <c r="M39" s="1152">
        <f>I39+K39</f>
        <v/>
      </c>
      <c r="N39" s="2231">
        <f>M39-L39</f>
        <v/>
      </c>
      <c r="P39" s="2226">
        <f>S19*C39</f>
        <v/>
      </c>
      <c r="Q39" s="1157">
        <f>D39*T19</f>
        <v/>
      </c>
      <c r="R39" s="1157">
        <f>F39*U19</f>
        <v/>
      </c>
      <c r="S39" s="1157">
        <f>(time*((ABS(Q39-P39)*(IF(P39&lt;=Q39,VLOOKUP(E39, list!$J$48:$K$50,2,),1-VLOOKUP(grass!E39, list!$J$48:$K$50,2,))))+MIN(grass!Q39,grass!P39))+(grass!Q39*time_cap))</f>
        <v/>
      </c>
      <c r="T39" s="1157">
        <f>(time*((ABS(R39-P39)*(IF(R39&lt;=P39,VLOOKUP(G39,list!$J$48:$K$50,2,),1-VLOOKUP(grass!G39, list!$J$48:$K$50,2,))))+MIN(grass!R39,grass!P39))+(grass!R39*time_cap))</f>
        <v/>
      </c>
      <c r="U39" s="2229">
        <f>T39-S39</f>
        <v/>
      </c>
      <c r="W39" s="3524" t="inlineStr">
        <is>
          <t>N2O fire</t>
        </is>
      </c>
      <c r="X39" s="3572">
        <f>SUM(AJ10:AJ23)-SUM(AI10:AI23)</f>
        <v/>
      </c>
      <c r="Y39" s="3573">
        <f>SUM(AP10:AP23)-SUM(AO10:AO23)</f>
        <v/>
      </c>
      <c r="Z39" s="3574">
        <f>X39-Y39</f>
        <v/>
      </c>
      <c r="AH39" s="3694">
        <f>IF($J40&gt;0, $J40/$X20,0)</f>
        <v/>
      </c>
      <c r="AI39" s="3694">
        <f>IF($K40&gt;0, $K40/$X20,0)</f>
        <v/>
      </c>
    </row>
    <row r="40">
      <c r="B40" s="2192">
        <f>B20</f>
        <v/>
      </c>
      <c r="C40" s="3115">
        <f>'4.Grassland'!$W32</f>
        <v/>
      </c>
      <c r="D40" s="3115">
        <f>$C40</f>
        <v/>
      </c>
      <c r="E40" s="3115">
        <f>VLOOKUP('4.Grassland'!$Y32, list!$I$48:$J$50, 2, FALSE)</f>
        <v/>
      </c>
      <c r="F40" s="3115">
        <f>$C40</f>
        <v/>
      </c>
      <c r="G40" s="3115">
        <f>VLOOKUP('4.Grassland'!$AA32, list!$I$48:$J$50, 2, FALSE)</f>
        <v/>
      </c>
      <c r="H40" s="3493">
        <f>IF(ABS($Q20*(IF(E40="Immediate",IF(C40&gt;0,C40*MIN(20,time_tot),0),C40*IF(time_tot&gt;time+20,20,IF(time_tot&lt;20,(time*VLOOKUP(E40, list!$J$48:$K$50,2,))+(time_tot-time),((MIN(20,time)*VLOOKUP(E40, list!$J$48:$K$50,2,))+(time_tot-MIN(20,time))-IF(E40="Exponential",time_tot-20+0.217*time*(EXP(4.606*(20-time_tot)/time)-1),((time_tot-20)^2)*(0.5/time))))))))&gt;=ABS(Q20*20*MAX(C40,D40)), Q20*20*MAX(C40,D40), $Q20*(IF(E40="Immediate",IF(C40&gt;0,C40*MIN(20,time_tot),0),C40*IF(time_tot&gt;time+20,20,IF(time_tot&lt;20,(time*VLOOKUP(E40, list!$J$48:$K$50,2,))+(time_tot-time),((MIN(20,time)*VLOOKUP(E40, list!$J$48:$K$50,2,))+(time_tot-MIN(20,time))-IF(E40="Exponential",time_tot-20+0.217*time*(EXP(4.606*(20-time_tot)/time)-1),((time_tot-20)^2)*(0.5/time))))))))</f>
        <v/>
      </c>
      <c r="I40" s="1151">
        <f>IF(ABS($R20*(IF(G40="Immediate",IF(C40&gt;0,C40*MIN(20,time_tot),0),C40*IF(time_tot&gt;time+20,20,IF(time_tot&lt;20,(time*VLOOKUP(G40, list!$J$48:$K$50,2,))+(time_tot-time),((MIN(20,time)*VLOOKUP(G40, list!$J$48:$K$50,2,))+(time_tot-MIN(20,time))-IF(G40="Exponential",time_tot-20+0.217*time*(EXP(4.606*(20-time_tot)/time)-1),((time_tot-20)^2)*(0.5/time))))))))&gt;=ABS(R20*20*MAX(C40,F40)),R20*20*MAX(C40,F40), $R20*(IF(G40="Immediate",IF(C40&gt;0,C40*MIN(20,time_tot),0),C40*IF(time_tot&gt;time+20,20,IF(time_tot&lt;20,(time*VLOOKUP(G40, list!$J$48:$K$50,2,))+(time_tot-time),((MIN(20,time)*VLOOKUP(G40, list!$J$48:$K$50,2,))+(time_tot-MIN(20,time))-IF(G40="Exponential",time_tot-20+0.217*time*(EXP(4.606*(20-time_tot)/time)-1),((time_tot-20)^2)*(0.5/time))))))))</f>
        <v/>
      </c>
      <c r="J40" s="1152">
        <f>IF(H20&gt;time_tot,0,IF($G20="YES",(MIN(C40,D40)*time_tot+ABS(D40-C40)*IF(D40&gt;C40,time_cap+time*(VLOOKUP($E40,list!$J$48:$K$50,2,)),time*(1-(VLOOKUP($E40,list!$J$48:$K$50,2,))))),0)*$Y20)</f>
        <v/>
      </c>
      <c r="K40" s="1152">
        <f>IF(J20&gt;time_tot,0,IF($I20="YES",(MIN(D40,F40)*time_tot+ABS(F40-D40)*IF(F40&gt;D40,time_cap+time*(VLOOKUP(G40,list!$J$48:$K$50,2,)),time*(1-(VLOOKUP(G40,list!$J$48:$K$50,2,))))),0)*$Z20)</f>
        <v/>
      </c>
      <c r="L40" s="1152">
        <f>H40+J40</f>
        <v/>
      </c>
      <c r="M40" s="1152">
        <f>I40+K40</f>
        <v/>
      </c>
      <c r="N40" s="2231">
        <f>M40-L40</f>
        <v/>
      </c>
      <c r="P40" s="2226">
        <f>S20*C40</f>
        <v/>
      </c>
      <c r="Q40" s="1157">
        <f>D40*T20</f>
        <v/>
      </c>
      <c r="R40" s="1157">
        <f>F40*U20</f>
        <v/>
      </c>
      <c r="S40" s="1157">
        <f>(time*((ABS(Q40-P40)*(IF(P40&lt;=Q40,VLOOKUP(E40, list!$J$48:$K$50,2,),1-VLOOKUP(grass!E40, list!$J$48:$K$50,2,))))+MIN(grass!Q40,grass!P40))+(grass!Q40*time_cap))</f>
        <v/>
      </c>
      <c r="T40" s="1157">
        <f>(time*((ABS(R40-P40)*(IF(R40&lt;=P40,VLOOKUP(G40,list!$J$48:$K$50,2,),1-VLOOKUP(grass!G40, list!$J$48:$K$50,2,))))+MIN(grass!R40,grass!P40))+(grass!R40*time_cap))</f>
        <v/>
      </c>
      <c r="U40" s="2229">
        <f>T40-S40</f>
        <v/>
      </c>
      <c r="W40" s="3524" t="inlineStr">
        <is>
          <t>CH4 fire</t>
        </is>
      </c>
      <c r="X40" s="3525">
        <f>SUM(AH10:AH23)-SUM(AG10:AG23)</f>
        <v/>
      </c>
      <c r="Y40" s="3526">
        <f>SUM(AN10:AN23)-SUM(AM10:AM23)</f>
        <v/>
      </c>
      <c r="Z40" s="3527">
        <f>X40-Y40</f>
        <v/>
      </c>
      <c r="AH40" s="3694">
        <f>IF($J41&gt;0, $J41/$X21,0)</f>
        <v/>
      </c>
      <c r="AI40" s="3694">
        <f>IF($K41&gt;0, $K41/$X21,0)</f>
        <v/>
      </c>
    </row>
    <row r="41">
      <c r="B41" s="2192">
        <f>B21</f>
        <v/>
      </c>
      <c r="C41" s="3115">
        <f>'4.Grassland'!$W33</f>
        <v/>
      </c>
      <c r="D41" s="3115">
        <f>$C41</f>
        <v/>
      </c>
      <c r="E41" s="3115">
        <f>VLOOKUP('4.Grassland'!$Y33, list!$I$48:$J$50, 2, FALSE)</f>
        <v/>
      </c>
      <c r="F41" s="3115">
        <f>$C41</f>
        <v/>
      </c>
      <c r="G41" s="3115">
        <f>VLOOKUP('4.Grassland'!$AA33, list!$I$48:$J$50, 2, FALSE)</f>
        <v/>
      </c>
      <c r="H41" s="3493">
        <f>IF(ABS($Q21*(IF(E41="Immediate",IF(C41&gt;0,C41*MIN(20,time_tot),0),C41*IF(time_tot&gt;time+20,20,IF(time_tot&lt;20,(time*VLOOKUP(E41, list!$J$48:$K$50,2,))+(time_tot-time),((MIN(20,time)*VLOOKUP(E41, list!$J$48:$K$50,2,))+(time_tot-MIN(20,time))-IF(E41="Exponential",time_tot-20+0.217*time*(EXP(4.606*(20-time_tot)/time)-1),((time_tot-20)^2)*(0.5/time))))))))&gt;=ABS(Q21*20*MAX(C41,D41)), Q21*20*MAX(C41,D41), $Q21*(IF(E41="Immediate",IF(C41&gt;0,C41*MIN(20,time_tot),0),C41*IF(time_tot&gt;time+20,20,IF(time_tot&lt;20,(time*VLOOKUP(E41, list!$J$48:$K$50,2,))+(time_tot-time),((MIN(20,time)*VLOOKUP(E41, list!$J$48:$K$50,2,))+(time_tot-MIN(20,time))-IF(E41="Exponential",time_tot-20+0.217*time*(EXP(4.606*(20-time_tot)/time)-1),((time_tot-20)^2)*(0.5/time))))))))</f>
        <v/>
      </c>
      <c r="I41" s="1151">
        <f>IF(ABS($R21*(IF(G41="Immediate",IF(C41&gt;0,C41*MIN(20,time_tot),0),C41*IF(time_tot&gt;time+20,20,IF(time_tot&lt;20,(time*VLOOKUP(G41, list!$J$48:$K$50,2,))+(time_tot-time),((MIN(20,time)*VLOOKUP(G41, list!$J$48:$K$50,2,))+(time_tot-MIN(20,time))-IF(G41="Exponential",time_tot-20+0.217*time*(EXP(4.606*(20-time_tot)/time)-1),((time_tot-20)^2)*(0.5/time))))))))&gt;=ABS(R21*20*MAX(C41,F41)),R21*20*MAX(C41,F41), $R21*(IF(G41="Immediate",IF(C41&gt;0,C41*MIN(20,time_tot),0),C41*IF(time_tot&gt;time+20,20,IF(time_tot&lt;20,(time*VLOOKUP(G41, list!$J$48:$K$50,2,))+(time_tot-time),((MIN(20,time)*VLOOKUP(G41, list!$J$48:$K$50,2,))+(time_tot-MIN(20,time))-IF(G41="Exponential",time_tot-20+0.217*time*(EXP(4.606*(20-time_tot)/time)-1),((time_tot-20)^2)*(0.5/time))))))))</f>
        <v/>
      </c>
      <c r="J41" s="1152">
        <f>IF(H21&gt;time_tot,0,IF($G21="YES",(MIN(C41,D41)*time_tot+ABS(D41-C41)*IF(D41&gt;C41,time_cap+time*(VLOOKUP($E41,list!$J$48:$K$50,2,)),time*(1-(VLOOKUP($E41,list!$J$48:$K$50,2,))))),0)*$Y21)</f>
        <v/>
      </c>
      <c r="K41" s="1152">
        <f>IF(J21&gt;time_tot,0,IF($I21="YES",(MIN(D41,F41)*time_tot+ABS(F41-D41)*IF(F41&gt;D41,time_cap+time*(VLOOKUP(G41,list!$J$48:$K$50,2,)),time*(1-(VLOOKUP(G41,list!$J$48:$K$50,2,))))),0)*$Z21)</f>
        <v/>
      </c>
      <c r="L41" s="1152">
        <f>H41+J41</f>
        <v/>
      </c>
      <c r="M41" s="1152">
        <f>I41+K41</f>
        <v/>
      </c>
      <c r="N41" s="2231">
        <f>M41-L41</f>
        <v/>
      </c>
      <c r="P41" s="2226">
        <f>S21*C41</f>
        <v/>
      </c>
      <c r="Q41" s="1157">
        <f>D41*T21</f>
        <v/>
      </c>
      <c r="R41" s="1157">
        <f>F41*U21</f>
        <v/>
      </c>
      <c r="S41" s="1157">
        <f>(time*((ABS(Q41-P41)*(IF(P41&lt;=Q41,VLOOKUP(E41, list!$J$48:$K$50,2,),1-VLOOKUP(grass!E41, list!$J$48:$K$50,2,))))+MIN(grass!Q41,grass!P41))+(grass!Q41*time_cap))</f>
        <v/>
      </c>
      <c r="T41" s="1157">
        <f>(time*((ABS(R41-P41)*(IF(R41&lt;=P41,VLOOKUP(G41,list!$J$48:$K$50,2,),1-VLOOKUP(grass!G41, list!$J$48:$K$50,2,))))+MIN(grass!R41,grass!P41))+(grass!R41*time_cap))</f>
        <v/>
      </c>
      <c r="U41" s="2229">
        <f>T41-S41</f>
        <v/>
      </c>
      <c r="W41" s="3563" t="inlineStr">
        <is>
          <t xml:space="preserve">Total </t>
        </is>
      </c>
      <c r="X41" s="3575">
        <f>SUM(X36:X40)</f>
        <v/>
      </c>
      <c r="Y41" s="3576">
        <f>SUM(Y36:Y40)</f>
        <v/>
      </c>
      <c r="Z41" s="3577">
        <f>X41-Y41</f>
        <v/>
      </c>
      <c r="AH41" s="3694">
        <f>IF($J42&gt;0, $J42/$X22,0)</f>
        <v/>
      </c>
      <c r="AI41" s="3694">
        <f>IF($K42&gt;0, $K42/$X22,0)</f>
        <v/>
      </c>
    </row>
    <row r="42">
      <c r="B42" s="2192">
        <f>B22</f>
        <v/>
      </c>
      <c r="C42" s="3115">
        <f>'4.Grassland'!$W34</f>
        <v/>
      </c>
      <c r="D42" s="3115">
        <f>$C42</f>
        <v/>
      </c>
      <c r="E42" s="3115">
        <f>VLOOKUP('4.Grassland'!$Y34, list!$I$48:$J$50, 2, FALSE)</f>
        <v/>
      </c>
      <c r="F42" s="3115">
        <f>$C42</f>
        <v/>
      </c>
      <c r="G42" s="3115">
        <f>VLOOKUP('4.Grassland'!$AA34, list!$I$48:$J$50, 2, FALSE)</f>
        <v/>
      </c>
      <c r="H42" s="3493">
        <f>IF(ABS($Q22*(IF(E42="Immediate",IF(C42&gt;0,C42*MIN(20,time_tot),0),C42*IF(time_tot&gt;time+20,20,IF(time_tot&lt;20,(time*VLOOKUP(E42, list!$J$48:$K$50,2,))+(time_tot-time),((MIN(20,time)*VLOOKUP(E42, list!$J$48:$K$50,2,))+(time_tot-MIN(20,time))-IF(E42="Exponential",time_tot-20+0.217*time*(EXP(4.606*(20-time_tot)/time)-1),((time_tot-20)^2)*(0.5/time))))))))&gt;=ABS(Q22*20*MAX(C42,D42)), Q22*20*MAX(C42,D42), $Q22*(IF(E42="Immediate",IF(C42&gt;0,C42*MIN(20,time_tot),0),C42*IF(time_tot&gt;time+20,20,IF(time_tot&lt;20,(time*VLOOKUP(E42, list!$J$48:$K$50,2,))+(time_tot-time),((MIN(20,time)*VLOOKUP(E42, list!$J$48:$K$50,2,))+(time_tot-MIN(20,time))-IF(E42="Exponential",time_tot-20+0.217*time*(EXP(4.606*(20-time_tot)/time)-1),((time_tot-20)^2)*(0.5/time))))))))</f>
        <v/>
      </c>
      <c r="I42" s="1151">
        <f>IF(ABS($R22*(IF(G42="Immediate",IF(C42&gt;0,C42*MIN(20,time_tot),0),C42*IF(time_tot&gt;time+20,20,IF(time_tot&lt;20,(time*VLOOKUP(G42, list!$J$48:$K$50,2,))+(time_tot-time),((MIN(20,time)*VLOOKUP(G42, list!$J$48:$K$50,2,))+(time_tot-MIN(20,time))-IF(G42="Exponential",time_tot-20+0.217*time*(EXP(4.606*(20-time_tot)/time)-1),((time_tot-20)^2)*(0.5/time))))))))&gt;=ABS(R22*20*MAX(C42,F42)),R22*20*MAX(C42,F42), $R22*(IF(G42="Immediate",IF(C42&gt;0,C42*MIN(20,time_tot),0),C42*IF(time_tot&gt;time+20,20,IF(time_tot&lt;20,(time*VLOOKUP(G42, list!$J$48:$K$50,2,))+(time_tot-time),((MIN(20,time)*VLOOKUP(G42, list!$J$48:$K$50,2,))+(time_tot-MIN(20,time))-IF(G42="Exponential",time_tot-20+0.217*time*(EXP(4.606*(20-time_tot)/time)-1),((time_tot-20)^2)*(0.5/time))))))))</f>
        <v/>
      </c>
      <c r="J42" s="1152">
        <f>IF(H22&gt;time_tot,0,IF($G22="YES",(MIN(C42,D42)*time_tot+ABS(D42-C42)*IF(D42&gt;C42,time_cap+time*(VLOOKUP($E42,list!$J$48:$K$50,2,)),time*(1-(VLOOKUP($E42,list!$J$48:$K$50,2,))))),0)*$Y22)</f>
        <v/>
      </c>
      <c r="K42" s="1152">
        <f>IF(J22&gt;time_tot,0,IF($I22="YES",(MIN(D42,F42)*time_tot+ABS(F42-D42)*IF(F42&gt;D42,time_cap+time*(VLOOKUP(G42,list!$J$48:$K$50,2,)),time*(1-(VLOOKUP(G42,list!$J$48:$K$50,2,))))),0)*$Z22)</f>
        <v/>
      </c>
      <c r="L42" s="1152">
        <f>H42+J42</f>
        <v/>
      </c>
      <c r="M42" s="1152">
        <f>I42+K42</f>
        <v/>
      </c>
      <c r="N42" s="2231">
        <f>M42-L42</f>
        <v/>
      </c>
      <c r="P42" s="2226">
        <f>S22*C42</f>
        <v/>
      </c>
      <c r="Q42" s="1157">
        <f>D42*T22</f>
        <v/>
      </c>
      <c r="R42" s="1157">
        <f>F42*U22</f>
        <v/>
      </c>
      <c r="S42" s="1157">
        <f>(time*((ABS(Q42-P42)*(IF(P42&lt;=Q42,VLOOKUP(E42, list!$J$48:$K$50,2,),1-VLOOKUP(grass!E42, list!$J$48:$K$50,2,))))+MIN(grass!Q42,grass!P42))+(grass!Q42*time_cap))</f>
        <v/>
      </c>
      <c r="T42" s="1157">
        <f>(time*((ABS(R42-P42)*(IF(R42&lt;=P42,VLOOKUP(G42,list!$J$48:$K$50,2,),1-VLOOKUP(grass!G42, list!$J$48:$K$50,2,))))+MIN(grass!R42,grass!P42))+(grass!R42*time_cap))</f>
        <v/>
      </c>
      <c r="U42" s="2229">
        <f>T42-S42</f>
        <v/>
      </c>
      <c r="AH42" s="3694">
        <f>IF($J43&gt;0, $J43/$X23,0)</f>
        <v/>
      </c>
      <c r="AI42" s="3694">
        <f>IF($K43&gt;0, $K43/$X23,0)</f>
        <v/>
      </c>
    </row>
    <row r="43">
      <c r="B43" s="2192">
        <f>B23</f>
        <v/>
      </c>
      <c r="C43" s="3115">
        <f>'4.Grassland'!$W35</f>
        <v/>
      </c>
      <c r="D43" s="3115">
        <f>$C43</f>
        <v/>
      </c>
      <c r="E43" s="3115">
        <f>VLOOKUP('4.Grassland'!$Y35, list!$I$48:$J$50, 2, FALSE)</f>
        <v/>
      </c>
      <c r="F43" s="3115">
        <f>$C43</f>
        <v/>
      </c>
      <c r="G43" s="3115">
        <f>VLOOKUP('4.Grassland'!$AA35, list!$I$48:$J$50, 2, FALSE)</f>
        <v/>
      </c>
      <c r="H43" s="3493">
        <f>IF(ABS($Q23*(IF(E43="Immediate",IF(C43&gt;0,C43*MIN(20,time_tot),0),C43*IF(time_tot&gt;time+20,20,IF(time_tot&lt;20,(time*VLOOKUP(E43, list!$J$48:$K$50,2,))+(time_tot-time),((MIN(20,time)*VLOOKUP(E43, list!$J$48:$K$50,2,))+(time_tot-MIN(20,time))-IF(E43="Exponential",time_tot-20+0.217*time*(EXP(4.606*(20-time_tot)/time)-1),((time_tot-20)^2)*(0.5/time))))))))&gt;=ABS(Q23*20*MAX(C43,D43)), Q23*20*MAX(C43,D43), $Q23*(IF(E43="Immediate",IF(C43&gt;0,C43*MIN(20,time_tot),0),C43*IF(time_tot&gt;time+20,20,IF(time_tot&lt;20,(time*VLOOKUP(E43, list!$J$48:$K$50,2,))+(time_tot-time),((MIN(20,time)*VLOOKUP(E43, list!$J$48:$K$50,2,))+(time_tot-MIN(20,time))-IF(E43="Exponential",time_tot-20+0.217*time*(EXP(4.606*(20-time_tot)/time)-1),((time_tot-20)^2)*(0.5/time))))))))</f>
        <v/>
      </c>
      <c r="I43" s="1151">
        <f>IF(ABS($R23*(IF(G43="Immediate",IF(C43&gt;0,C43*MIN(20,time_tot),0),C43*IF(time_tot&gt;time+20,20,IF(time_tot&lt;20,(time*VLOOKUP(G43, list!$J$48:$K$50,2,))+(time_tot-time),((MIN(20,time)*VLOOKUP(G43, list!$J$48:$K$50,2,))+(time_tot-MIN(20,time))-IF(G43="Exponential",time_tot-20+0.217*time*(EXP(4.606*(20-time_tot)/time)-1),((time_tot-20)^2)*(0.5/time))))))))&gt;=ABS(R23*20*MAX(C43,F43)),R23*20*MAX(C43,F43), $R23*(IF(G43="Immediate",IF(C43&gt;0,C43*MIN(20,time_tot),0),C43*IF(time_tot&gt;time+20,20,IF(time_tot&lt;20,(time*VLOOKUP(G43, list!$J$48:$K$50,2,))+(time_tot-time),((MIN(20,time)*VLOOKUP(G43, list!$J$48:$K$50,2,))+(time_tot-MIN(20,time))-IF(G43="Exponential",time_tot-20+0.217*time*(EXP(4.606*(20-time_tot)/time)-1),((time_tot-20)^2)*(0.5/time))))))))</f>
        <v/>
      </c>
      <c r="J43" s="1153">
        <f>IF(H23&gt;time_tot,0,IF($G23="YES",(MIN(C43,D43)*time_tot+ABS(D43-C43)*IF(D43&gt;C43,time_cap+time*(VLOOKUP($E43,list!$J$48:$K$50,2,)),time*(1-(VLOOKUP($E43,list!$J$48:$K$50,2,))))),0)*$Y23)</f>
        <v/>
      </c>
      <c r="K43" s="1153">
        <f>IF(J23&gt;time_tot,0,IF($I23="YES",(MIN(D43,F43)*time_tot+ABS(F43-D43)*IF(F43&gt;D43,time_cap+time*(VLOOKUP(G43,list!$J$48:$K$50,2,)),time*(1-(VLOOKUP(G43,list!$J$48:$K$50,2,))))),0)*$Z23)</f>
        <v/>
      </c>
      <c r="L43" s="1153">
        <f>H43+J43</f>
        <v/>
      </c>
      <c r="M43" s="1153">
        <f>I43+K43</f>
        <v/>
      </c>
      <c r="N43" s="2237">
        <f>M43-L43</f>
        <v/>
      </c>
      <c r="P43" s="2232">
        <f>S23*C43</f>
        <v/>
      </c>
      <c r="Q43" s="1158">
        <f>D43*T23</f>
        <v/>
      </c>
      <c r="R43" s="1158">
        <f>F43*U23</f>
        <v/>
      </c>
      <c r="S43" s="1158">
        <f>(time*((ABS(Q43-P43)*(IF(P43&lt;=Q43,VLOOKUP(E43, list!$J$48:$K$50,2,),1-VLOOKUP(grass!E43, list!$J$48:$K$50,2,))))+MIN(grass!Q43,grass!P43))+(grass!Q43*time_cap))</f>
        <v/>
      </c>
      <c r="T43" s="1158">
        <f>(time*((ABS(R43-P43)*(IF(R43&lt;=P43,VLOOKUP(G43,list!$J$48:$K$50,2,),1-VLOOKUP(grass!G43, list!$J$48:$K$50,2,))))+MIN(grass!R43,grass!P43))+(grass!R43*time_cap))</f>
        <v/>
      </c>
      <c r="U43" s="2235">
        <f>T43-S43</f>
        <v/>
      </c>
      <c r="W43" s="3564" t="inlineStr">
        <is>
          <t>Categories</t>
        </is>
      </c>
      <c r="X43" s="3565" t="inlineStr">
        <is>
          <t>Without</t>
        </is>
      </c>
      <c r="Y43" s="3565" t="inlineStr">
        <is>
          <t>With</t>
        </is>
      </c>
      <c r="AG43" s="3699" t="inlineStr">
        <is>
          <t>Total</t>
        </is>
      </c>
      <c r="AH43" s="3700">
        <f>SUM(AH29:AH42)</f>
        <v/>
      </c>
      <c r="AI43" s="3700">
        <f>SUM(AI29:AI42)</f>
        <v/>
      </c>
    </row>
    <row r="44">
      <c r="B44" s="1116" t="inlineStr">
        <is>
          <t>Total system 1-10 (GL - GL)</t>
        </is>
      </c>
      <c r="C44" s="1104">
        <f>SUM(C34:C43)</f>
        <v/>
      </c>
      <c r="D44" s="1104">
        <f>SUM(D34:D43)</f>
        <v/>
      </c>
      <c r="E44" s="3113" t="n"/>
      <c r="F44" s="1104">
        <f>SUM(F34:F43)</f>
        <v/>
      </c>
      <c r="G44" s="3113" t="n"/>
      <c r="H44" s="3492" t="n"/>
      <c r="I44" s="3492" t="n"/>
      <c r="J44" s="3114" t="inlineStr">
        <is>
          <t>Grassland total</t>
        </is>
      </c>
      <c r="K44" s="2240" t="n"/>
      <c r="L44" s="2240">
        <f>SUM(L30:L43)</f>
        <v/>
      </c>
      <c r="M44" s="2240">
        <f>SUM(M30:M43)</f>
        <v/>
      </c>
      <c r="N44" s="2240">
        <f>SUM(N30:N43)</f>
        <v/>
      </c>
      <c r="W44" s="3524" t="inlineStr">
        <is>
          <t>CO2 biomass</t>
        </is>
      </c>
      <c r="X44" s="3569" t="n">
        <v>0</v>
      </c>
      <c r="Y44" s="3569" t="n">
        <v>0</v>
      </c>
    </row>
    <row r="45">
      <c r="W45" s="3524" t="inlineStr">
        <is>
          <t>CO2 soil</t>
        </is>
      </c>
      <c r="X45" s="3525">
        <f>SUM(H30:H43)</f>
        <v/>
      </c>
      <c r="Y45" s="3525">
        <f>SUM(I30:I43)</f>
        <v/>
      </c>
    </row>
    <row r="46">
      <c r="M46" s="1445" t="inlineStr">
        <is>
          <t>TEST TIER 2</t>
        </is>
      </c>
      <c r="N46" s="1445">
        <f>SUM('4.Grassland'!BH26:BH35)</f>
        <v/>
      </c>
      <c r="W46" s="3524" t="inlineStr">
        <is>
          <t>N2O soil</t>
        </is>
      </c>
      <c r="X46" s="3525" t="n">
        <v>0</v>
      </c>
      <c r="Y46" s="3525" t="n">
        <v>0</v>
      </c>
    </row>
    <row r="47">
      <c r="W47" s="3524" t="inlineStr">
        <is>
          <t>N2O fire</t>
        </is>
      </c>
      <c r="X47" s="3525">
        <f>SUM(AI10:AI23)</f>
        <v/>
      </c>
      <c r="Y47" s="3525">
        <f>SUM(AJ10:AJ23)</f>
        <v/>
      </c>
    </row>
    <row r="48">
      <c r="W48" s="3524" t="inlineStr">
        <is>
          <t>CH4 fire</t>
        </is>
      </c>
      <c r="X48" s="3572">
        <f>SUM(AG10:AG23)</f>
        <v/>
      </c>
      <c r="Y48" s="3572">
        <f>SUM(AH10:AH23)</f>
        <v/>
      </c>
    </row>
    <row r="49">
      <c r="W49" s="3563" t="inlineStr">
        <is>
          <t xml:space="preserve">Total </t>
        </is>
      </c>
      <c r="X49" s="3575">
        <f>SUM(X44:X48)</f>
        <v/>
      </c>
      <c r="Y49" s="3576">
        <f>SUM(Y44:Y48)</f>
        <v/>
      </c>
      <c r="Z49" s="3477" t="n"/>
    </row>
  </sheetData>
  <mergeCells count="6">
    <mergeCell ref="K8:L8"/>
    <mergeCell ref="M7:P7"/>
    <mergeCell ref="I8:J8"/>
    <mergeCell ref="G8:H8"/>
    <mergeCell ref="M8:N8"/>
    <mergeCell ref="O8:P8"/>
  </mergeCells>
  <pageMargins left="0.7" right="0.7" top="0.75" bottom="0.75" header="0.3" footer="0.3"/>
  <pageSetup orientation="portrait" paperSize="9"/>
  <legacyDrawing r:id="anysvml"/>
</worksheet>
</file>

<file path=xl/worksheets/sheet14.xml><?xml version="1.0" encoding="utf-8"?>
<worksheet xmlns:r="http://schemas.openxmlformats.org/officeDocument/2006/relationships" xmlns="http://schemas.openxmlformats.org/spreadsheetml/2006/main">
  <sheetPr codeName="Sheet19">
    <outlinePr summaryBelow="1" summaryRight="1"/>
    <pageSetUpPr/>
  </sheetPr>
  <dimension ref="A2:AU163"/>
  <sheetViews>
    <sheetView topLeftCell="R1" zoomScale="86" zoomScaleNormal="86" workbookViewId="0">
      <selection activeCell="AM11" sqref="AM11"/>
    </sheetView>
  </sheetViews>
  <sheetFormatPr baseColWidth="10" defaultColWidth="9.33203125" defaultRowHeight="14"/>
  <cols>
    <col width="9.33203125" customWidth="1" style="973" min="1" max="1"/>
    <col width="27.5" customWidth="1" style="973" min="2" max="2"/>
    <col width="14" customWidth="1" style="973" min="3" max="3"/>
    <col width="10.6640625" customWidth="1" style="973" min="4" max="4"/>
    <col width="14.5" customWidth="1" style="973" min="5" max="5"/>
    <col width="43.33203125" customWidth="1" style="973" min="6" max="6"/>
    <col width="8.5" customWidth="1" style="973" min="7" max="7"/>
    <col width="22.6640625" customWidth="1" style="973" min="8" max="8"/>
    <col width="8.5" customWidth="1" style="973" min="9" max="9"/>
    <col width="12" customWidth="1" style="973" min="10" max="10"/>
    <col width="8.5" customWidth="1" style="973" min="11" max="11"/>
    <col width="11.5" customWidth="1" style="973" min="12" max="12"/>
    <col width="23.5" customWidth="1" style="973" min="13" max="13"/>
    <col width="13.6640625" customWidth="1" style="973" min="14" max="14"/>
    <col width="11.6640625" customWidth="1" style="973" min="15" max="15"/>
    <col width="10.33203125" customWidth="1" style="973" min="16" max="16"/>
    <col width="11.5" customWidth="1" style="973" min="17" max="17"/>
    <col width="12.6640625" customWidth="1" style="973" min="18" max="18"/>
    <col width="14.5" bestFit="1" customWidth="1" style="973" min="19" max="19"/>
    <col width="11.6640625" bestFit="1" customWidth="1" style="973" min="20" max="21"/>
    <col width="10.5" customWidth="1" style="973" min="22" max="22"/>
    <col width="14.5" customWidth="1" style="973" min="23" max="23"/>
    <col width="17.5" customWidth="1" style="973" min="24" max="24"/>
    <col width="14.6640625" customWidth="1" style="973" min="25" max="25"/>
    <col width="11.6640625" bestFit="1" customWidth="1" style="973" min="26" max="26"/>
    <col width="13.5" customWidth="1" style="973" min="27" max="27"/>
    <col width="13.33203125" customWidth="1" style="973" min="28" max="28"/>
    <col width="9.33203125" customWidth="1" style="973" min="29" max="30"/>
    <col width="11.33203125" customWidth="1" style="973" min="31" max="31"/>
    <col width="11.6640625" customWidth="1" style="973" min="32" max="32"/>
    <col width="9.33203125" customWidth="1" style="973" min="33" max="38"/>
    <col width="20.5" bestFit="1" customWidth="1" style="973" min="39" max="39"/>
    <col width="13.33203125" customWidth="1" style="973" min="40" max="40"/>
    <col width="12" customWidth="1" style="973" min="41" max="41"/>
    <col width="9.33203125" customWidth="1" style="973" min="42" max="43"/>
    <col width="10.5" customWidth="1" style="973" min="44" max="44"/>
    <col width="11.5" customWidth="1" style="973" min="45" max="45"/>
    <col width="10.5" customWidth="1" style="973" min="46" max="46"/>
    <col width="9.33203125" customWidth="1" style="973" min="47" max="16384"/>
  </cols>
  <sheetData>
    <row r="2">
      <c r="B2" s="1549">
        <f>country_selected</f>
        <v/>
      </c>
      <c r="C2" s="1549">
        <f>VLOOKUP($B$2,'List countries GLEAM'!$A$1:$D$249,4,0)</f>
        <v/>
      </c>
      <c r="D2" s="2171" t="n"/>
    </row>
    <row r="4" ht="45" customHeight="1">
      <c r="A4" s="2518" t="n"/>
      <c r="B4" s="1629" t="inlineStr">
        <is>
          <t>Methane enteric fermentation</t>
        </is>
      </c>
      <c r="C4" s="2518" t="n"/>
      <c r="D4" s="2518" t="n"/>
      <c r="E4" s="2518" t="n"/>
      <c r="F4" s="2518" t="n"/>
      <c r="G4" s="2518" t="n"/>
      <c r="H4" s="2518" t="n"/>
      <c r="I4" s="2518" t="n"/>
      <c r="J4" s="2518" t="n"/>
      <c r="K4" s="2518" t="n"/>
      <c r="L4" s="2518" t="n"/>
      <c r="M4" s="2518" t="n"/>
      <c r="N4" s="2518" t="n"/>
      <c r="O4" s="2518" t="n"/>
      <c r="P4" s="2518" t="n"/>
      <c r="Q4" s="2518" t="n"/>
      <c r="R4" s="2518" t="n"/>
      <c r="S4" s="2518" t="n"/>
      <c r="T4" s="2518" t="n"/>
      <c r="U4" s="2518" t="n"/>
      <c r="V4" s="2518" t="n"/>
      <c r="W4" s="2518" t="n"/>
      <c r="X4" s="2518" t="n"/>
      <c r="Y4" s="2518" t="n"/>
      <c r="Z4" s="2518" t="n"/>
      <c r="AA4" s="2518" t="n"/>
      <c r="AB4" s="2518" t="n"/>
      <c r="AC4" s="2518" t="n"/>
    </row>
    <row r="5">
      <c r="E5" s="1576" t="inlineStr">
        <is>
          <t>Specific factor</t>
        </is>
      </c>
      <c r="F5" s="1688" t="n"/>
      <c r="G5" s="1688" t="n"/>
      <c r="H5" s="1670" t="inlineStr">
        <is>
          <t>Head number</t>
        </is>
      </c>
      <c r="I5" s="3502" t="n"/>
      <c r="J5" s="3502" t="n"/>
      <c r="K5" s="3502" t="n"/>
      <c r="L5" s="3502" t="n"/>
      <c r="V5" s="1281" t="inlineStr">
        <is>
          <t>Emissions (tCO2-eq) per year</t>
        </is>
      </c>
      <c r="Z5" s="1281" t="inlineStr">
        <is>
          <t>Total emissions (tCO2-eq)</t>
        </is>
      </c>
    </row>
    <row r="6" ht="16" customHeight="1">
      <c r="D6" s="973" t="inlineStr">
        <is>
          <t>kgCH4/head</t>
        </is>
      </c>
      <c r="F6" s="1688" t="n"/>
      <c r="G6" s="1688" t="n"/>
      <c r="H6" s="1688" t="n"/>
      <c r="I6" s="1102" t="n"/>
      <c r="J6" s="1102" t="n"/>
      <c r="K6" s="1103" t="n"/>
      <c r="L6" s="1103" t="n"/>
      <c r="W6" s="1100" t="n"/>
      <c r="X6" s="1101" t="n"/>
      <c r="Z6" s="1270" t="n"/>
      <c r="AA6" s="1116" t="n"/>
      <c r="AB6" s="1116" t="n"/>
      <c r="AE6" s="973" t="inlineStr">
        <is>
          <t>IMPLEMENTATION PHASE</t>
        </is>
      </c>
      <c r="AL6" s="1262" t="inlineStr">
        <is>
          <t>GHG PER SCENARIO</t>
        </is>
      </c>
      <c r="AM6" s="3489" t="n"/>
      <c r="AN6" s="3489" t="n"/>
      <c r="AQ6" s="1262" t="inlineStr">
        <is>
          <t>TOTAL BALANCE</t>
        </is>
      </c>
      <c r="AR6" s="3489" t="n"/>
      <c r="AS6" s="3489" t="n"/>
      <c r="AT6" s="3489" t="n"/>
    </row>
    <row r="7" ht="16" customHeight="1">
      <c r="B7" s="1281" t="inlineStr">
        <is>
          <t>Livestock category</t>
        </is>
      </c>
      <c r="C7" s="1281" t="inlineStr">
        <is>
          <t>Livestock productivity</t>
        </is>
      </c>
      <c r="D7" s="1688" t="inlineStr">
        <is>
          <t>IPCC</t>
        </is>
      </c>
      <c r="E7" s="1688" t="inlineStr">
        <is>
          <t>Start</t>
        </is>
      </c>
      <c r="F7" s="1688" t="inlineStr">
        <is>
          <t>W/out</t>
        </is>
      </c>
      <c r="G7" s="1688" t="inlineStr">
        <is>
          <t>With</t>
        </is>
      </c>
      <c r="H7" s="1688" t="inlineStr">
        <is>
          <t>START</t>
        </is>
      </c>
      <c r="I7" s="1102" t="inlineStr">
        <is>
          <t>W/OUT</t>
        </is>
      </c>
      <c r="J7" s="1102" t="inlineStr">
        <is>
          <t>Rate</t>
        </is>
      </c>
      <c r="K7" s="1103" t="inlineStr">
        <is>
          <t>WITH</t>
        </is>
      </c>
      <c r="L7" s="1103" t="inlineStr">
        <is>
          <t>Rate</t>
        </is>
      </c>
      <c r="V7" s="1688" t="inlineStr">
        <is>
          <t>START</t>
        </is>
      </c>
      <c r="W7" s="1102" t="inlineStr">
        <is>
          <t>W/OUT</t>
        </is>
      </c>
      <c r="X7" s="1103" t="inlineStr">
        <is>
          <t>WITH</t>
        </is>
      </c>
      <c r="Y7" s="1688" t="n"/>
      <c r="Z7" s="1521" t="inlineStr">
        <is>
          <t>W/OUT</t>
        </is>
      </c>
      <c r="AA7" s="1101" t="inlineStr">
        <is>
          <t>WITH</t>
        </is>
      </c>
      <c r="AB7" s="1116" t="inlineStr">
        <is>
          <t>BALANCE</t>
        </is>
      </c>
      <c r="AE7" s="1102" t="inlineStr">
        <is>
          <t>WITHOUT</t>
        </is>
      </c>
      <c r="AF7" s="1103" t="inlineStr">
        <is>
          <t>WITH</t>
        </is>
      </c>
    </row>
    <row r="8">
      <c r="B8" s="973">
        <f>'4.Grassland'!I56</f>
        <v/>
      </c>
      <c r="C8" s="1688">
        <f>'4.Grassland'!K56</f>
        <v/>
      </c>
      <c r="D8" s="4718">
        <f>IFERROR(IF(C8="Default",INDEX(CH4_Ent_Default[#All],MATCH(Livestock!$C$2,CH4_Ent_Default[[#All],[IPCC Region]],0),MATCH(Livestock!B8,CH4_Ent_Default[#Headers],0)),
IF(C8="Low-productivity",INDEX(CH4_Ent_LP[#All],MATCH(Livestock!$C$2,CH4_Ent_LP[[#All],[IPCC Region]],0),MATCH(Livestock!B8,CH4_Ent_HP[#Headers],0)),
IF(C8="High-productivity",INDEX(CH4_Ent_HP[#All],MATCH(Livestock!$C$2,CH4_Ent_HP[[#All],[Please select]],0),MATCH(Livestock!B8,CH4_Ent_HP[#Headers],0)),0))),0)</f>
        <v/>
      </c>
      <c r="E8" s="3493">
        <f>IF('4.Grassland'!BD56="",'4.Grassland'!$BC56,'4.Grassland'!BD56)</f>
        <v/>
      </c>
      <c r="F8" s="1151">
        <f>IF('4.Grassland'!BE56="",'4.Grassland'!$BC56,'4.Grassland'!BE56)</f>
        <v/>
      </c>
      <c r="G8" s="3494">
        <f>IF('4.Grassland'!BF56="",'4.Grassland'!$BC56,'4.Grassland'!BF56)</f>
        <v/>
      </c>
      <c r="H8" s="992">
        <f>'4.Grassland'!W56</f>
        <v/>
      </c>
      <c r="I8" s="992">
        <f>'4.Grassland'!X56</f>
        <v/>
      </c>
      <c r="J8" s="1688">
        <f>VLOOKUP('4.Grassland'!Y56, list!$I$48:$J$50,2,FALSE )</f>
        <v/>
      </c>
      <c r="K8" s="992">
        <f>'4.Grassland'!Z56</f>
        <v/>
      </c>
      <c r="L8" s="1688">
        <f>VLOOKUP('4.Grassland'!AA56, list!$I$48:$J$50,2,FALSE )</f>
        <v/>
      </c>
      <c r="V8" s="3493">
        <f>E8/1000*methane*H8</f>
        <v/>
      </c>
      <c r="W8" s="1151">
        <f>F8/1000*methane*I8</f>
        <v/>
      </c>
      <c r="X8" s="3494">
        <f>G8/1000*methane*K8</f>
        <v/>
      </c>
      <c r="Y8" s="1246" t="n"/>
      <c r="Z8" s="3493">
        <f>MIN($V8,$W8)*time_tot+ABS($W8-$V8)*IF($W8&gt;$V8,time_cap+time*(VLOOKUP($J8,list!$J$48:$K$50,2,0)),time*(1-(VLOOKUP($J8,list!$J$48:$K$50,2,0))))</f>
        <v/>
      </c>
      <c r="AA8" s="1151">
        <f>MIN($V8,$X8)*time_tot+ABS($X8-$V8)*IF($X8&gt;$V8,time_cap+time*(VLOOKUP($L8,list!$J$48:$K$50,2,0)),time*(1-(VLOOKUP($L8,list!$J$48:$K$50,2,0))))</f>
        <v/>
      </c>
      <c r="AB8" s="3498">
        <f>AA8-Z8</f>
        <v/>
      </c>
      <c r="AE8" s="992">
        <f>MIN($V8,$W8)*time+ABS($W8-$V8)*IF($W8&gt;$V8,time*(VLOOKUP($J8,list!$J$48:$K$50,2,)),time*(1-(VLOOKUP($J8,list!$J$48:$K$50,2,))))</f>
        <v/>
      </c>
      <c r="AF8" s="992">
        <f>MIN($V8,$X8)*time+ABS($X8-$V8)*IF($X8&gt;$V8,time*(VLOOKUP($L8,list!$J$48:$K$50,2,)),time*(1-(VLOOKUP($L8,list!$J$48:$K$50,2,))))</f>
        <v/>
      </c>
      <c r="AL8" s="1321" t="inlineStr">
        <is>
          <t>CATEGORIES</t>
        </is>
      </c>
      <c r="AM8" s="1317" t="inlineStr">
        <is>
          <t>WITHOUT</t>
        </is>
      </c>
      <c r="AN8" s="1317" t="inlineStr">
        <is>
          <t>WITH</t>
        </is>
      </c>
      <c r="AQ8" s="1321" t="inlineStr">
        <is>
          <t>CATEGORIES</t>
        </is>
      </c>
      <c r="AR8" s="1317" t="inlineStr">
        <is>
          <t>BALANCE</t>
        </is>
      </c>
      <c r="AS8" s="1317" t="inlineStr">
        <is>
          <t>IMPLEM.</t>
        </is>
      </c>
      <c r="AT8" s="1318" t="inlineStr">
        <is>
          <t>CAPITAL.</t>
        </is>
      </c>
      <c r="AU8" s="1454" t="n"/>
    </row>
    <row r="9">
      <c r="B9" s="973">
        <f>'4.Grassland'!I57</f>
        <v/>
      </c>
      <c r="C9" s="1688">
        <f>'4.Grassland'!K57</f>
        <v/>
      </c>
      <c r="D9" s="4718">
        <f>IFERROR(IF(C9="Default",INDEX(CH4_Ent_Default[#All],MATCH(Livestock!$C$2,CH4_Ent_Default[[#All],[IPCC Region]],0),MATCH(Livestock!B9,CH4_Ent_Default[#Headers],0)),
IF(C9="Low-productivity",INDEX(CH4_Ent_LP[#All],MATCH(Livestock!$C$2,CH4_Ent_LP[[#All],[IPCC Region]],0),MATCH(Livestock!B9,CH4_Ent_HP[#Headers],0)),
IF(C9="High-productivity",INDEX(CH4_Ent_HP[#All],MATCH(Livestock!$C$2,CH4_Ent_HP[[#All],[Please select]],0),MATCH(Livestock!B9,CH4_Ent_HP[#Headers],0)),0))),0)</f>
        <v/>
      </c>
      <c r="E9" s="3495">
        <f>IF('4.Grassland'!BD57="",'4.Grassland'!$BC57,'4.Grassland'!BD57)</f>
        <v/>
      </c>
      <c r="F9" s="1152">
        <f>IF('4.Grassland'!BE57="",'4.Grassland'!$BC57,'4.Grassland'!BE57)</f>
        <v/>
      </c>
      <c r="G9" s="3504">
        <f>IF('4.Grassland'!BF57="",'4.Grassland'!$BC57,'4.Grassland'!BF57)</f>
        <v/>
      </c>
      <c r="H9" s="992">
        <f>'4.Grassland'!W57</f>
        <v/>
      </c>
      <c r="I9" s="992">
        <f>'4.Grassland'!X57</f>
        <v/>
      </c>
      <c r="J9" s="1688">
        <f>VLOOKUP('4.Grassland'!Y57, list!$I$48:$J$50,2,FALSE )</f>
        <v/>
      </c>
      <c r="K9" s="992">
        <f>'4.Grassland'!Z57</f>
        <v/>
      </c>
      <c r="L9" s="1688">
        <f>VLOOKUP('4.Grassland'!AA57, list!$I$48:$J$50,2,FALSE )</f>
        <v/>
      </c>
      <c r="V9" s="3493">
        <f>E9/1000*methane*H9</f>
        <v/>
      </c>
      <c r="W9" s="1152">
        <f>F9/1000*methane*I9</f>
        <v/>
      </c>
      <c r="X9" s="3504">
        <f>G9/1000*methane*K9</f>
        <v/>
      </c>
      <c r="Y9" s="1246" t="n"/>
      <c r="Z9" s="3495">
        <f>MIN($V9,$W9)*time_tot+ABS($W9-$V9)*IF($W9&gt;$V9,time_cap+time*(VLOOKUP($J9,list!$J$48:$K$50,2,0)),time*(1-(VLOOKUP($J9,list!$J$48:$K$50,2,0))))</f>
        <v/>
      </c>
      <c r="AA9" s="1152">
        <f>MIN($V9,$X9)*time_tot+ABS($X9-$V9)*IF($X9&gt;$V9,time_cap+time*(VLOOKUP($L9,list!$J$48:$K$50,2,0)),time*(1-(VLOOKUP($L9,list!$J$48:$K$50,2,0))))</f>
        <v/>
      </c>
      <c r="AB9" s="1159">
        <f>AA9-Z9</f>
        <v/>
      </c>
      <c r="AE9" s="992">
        <f>MIN($V9,$W9)*time+ABS($W9-$V9)*IF($W9&gt;$V9,time*(VLOOKUP($J9,list!$J$48:$K$50,2,)),time*(1-(VLOOKUP($J9,list!$J$48:$K$50,2,))))</f>
        <v/>
      </c>
      <c r="AF9" s="992">
        <f>MIN($V9,$X9)*time+ABS($X9-$V9)*IF($X9&gt;$V9,time*(VLOOKUP($L9,list!$J$48:$K$50,2,)),time*(1-(VLOOKUP($L9,list!$J$48:$K$50,2,))))</f>
        <v/>
      </c>
      <c r="AL9" s="1084" t="inlineStr">
        <is>
          <t>Total CH4</t>
        </is>
      </c>
      <c r="AM9" s="1312">
        <f>SUM(Z8:Z24)+SUM(Z62:Z78)</f>
        <v/>
      </c>
      <c r="AN9" s="1312">
        <f>SUM(AA8:AA24)+SUM(AA62:AA78)</f>
        <v/>
      </c>
      <c r="AO9" s="1246">
        <f>AN9-AM9</f>
        <v/>
      </c>
      <c r="AQ9" s="1084" t="inlineStr">
        <is>
          <t>Total CH4</t>
        </is>
      </c>
      <c r="AR9" s="1312">
        <f>SUM(AA8:AA24,AA62:AA78)-SUM(Z8:Z24,Z62:Z78)</f>
        <v/>
      </c>
      <c r="AS9" s="1312">
        <f>IF(time=0,0,SUM(AF8:AF18,AF62:AF72)-SUM(AE8:AE18,AE62:AE72))</f>
        <v/>
      </c>
      <c r="AT9" s="1453">
        <f>AR9-AS9</f>
        <v/>
      </c>
      <c r="AU9" s="1455" t="n"/>
    </row>
    <row r="10">
      <c r="B10" s="973">
        <f>'4.Grassland'!I58</f>
        <v/>
      </c>
      <c r="C10" s="1688">
        <f>'4.Grassland'!K58</f>
        <v/>
      </c>
      <c r="D10" s="4718">
        <f>IFERROR(IF(C10="Default",INDEX(CH4_Ent_Default[#All],MATCH(Livestock!$C$2,CH4_Ent_Default[[#All],[IPCC Region]],0),MATCH(Livestock!B10,CH4_Ent_Default[#Headers],0)),
IF(C10="Low-productivity",INDEX(CH4_Ent_LP[#All],MATCH(Livestock!$C$2,CH4_Ent_LP[[#All],[IPCC Region]],0),MATCH(Livestock!B10,CH4_Ent_HP[#Headers],0)),
IF(C10="High-productivity",INDEX(CH4_Ent_HP[#All],MATCH(Livestock!$C$2,CH4_Ent_HP[[#All],[Please select]],0),MATCH(Livestock!B10,CH4_Ent_HP[#Headers],0)),0))),0)</f>
        <v/>
      </c>
      <c r="E10" s="3495">
        <f>IF('4.Grassland'!BD58="",'4.Grassland'!$BC58,'4.Grassland'!BD58)</f>
        <v/>
      </c>
      <c r="F10" s="1152">
        <f>IF('4.Grassland'!BE58="",'4.Grassland'!$BC58,'4.Grassland'!BE58)</f>
        <v/>
      </c>
      <c r="G10" s="3504">
        <f>IF('4.Grassland'!BF58="",'4.Grassland'!$BC58,'4.Grassland'!BF58)</f>
        <v/>
      </c>
      <c r="H10" s="992">
        <f>'4.Grassland'!W58</f>
        <v/>
      </c>
      <c r="I10" s="992">
        <f>'4.Grassland'!X58</f>
        <v/>
      </c>
      <c r="J10" s="1688">
        <f>VLOOKUP('4.Grassland'!Y58, list!$I$48:$J$50,2,FALSE )</f>
        <v/>
      </c>
      <c r="K10" s="992">
        <f>'4.Grassland'!Z58</f>
        <v/>
      </c>
      <c r="L10" s="1688">
        <f>VLOOKUP('4.Grassland'!AA58, list!$I$48:$J$50,2,FALSE )</f>
        <v/>
      </c>
      <c r="V10" s="3493">
        <f>E10/1000*methane*H10</f>
        <v/>
      </c>
      <c r="W10" s="1152">
        <f>F10/1000*methane*I10</f>
        <v/>
      </c>
      <c r="X10" s="3504">
        <f>G10/1000*methane*K10</f>
        <v/>
      </c>
      <c r="Y10" s="1246" t="n"/>
      <c r="Z10" s="3495">
        <f>MIN($V10,$W10)*time_tot+ABS($W10-$V10)*IF($W10&gt;$V10,time_cap+time*(VLOOKUP($J10,list!$J$48:$K$50,2,0)),time*(1-(VLOOKUP($J10,list!$J$48:$K$50,2,0))))</f>
        <v/>
      </c>
      <c r="AA10" s="1152">
        <f>MIN($V10,$X10)*time_tot+ABS($X10-$V10)*IF($X10&gt;$V10,time_cap+time*(VLOOKUP($L10,list!$J$48:$K$50,2,0)),time*(1-(VLOOKUP($L10,list!$J$48:$K$50,2,0))))</f>
        <v/>
      </c>
      <c r="AB10" s="1159">
        <f>AA10-Z10</f>
        <v/>
      </c>
      <c r="AE10" s="992">
        <f>MIN($V10,$W10)*time+ABS($W10-$V10)*IF($W10&gt;$V10,time*(VLOOKUP($J10,list!$J$48:$K$50,2,)),time*(1-(VLOOKUP($J10,list!$J$48:$K$50,2,))))</f>
        <v/>
      </c>
      <c r="AF10" s="992">
        <f>MIN($V10,$X10)*time+ABS($X10-$V10)*IF($X10&gt;$V10,time*(VLOOKUP($L10,list!$J$48:$K$50,2,)),time*(1-(VLOOKUP($L10,list!$J$48:$K$50,2,))))</f>
        <v/>
      </c>
      <c r="AL10" s="1084" t="inlineStr">
        <is>
          <t>Total N2O</t>
        </is>
      </c>
      <c r="AM10" s="2161">
        <f>SUM(Z90:Z106)+SUM(Z118:Z134)+SUM(Z144:Z160)</f>
        <v/>
      </c>
      <c r="AN10" s="2161">
        <f>SUM(AA90:AA106)+SUM(AA118:AA134)+SUM(AA144:AA160)</f>
        <v/>
      </c>
      <c r="AO10" s="1246">
        <f>AN10-AM10</f>
        <v/>
      </c>
      <c r="AQ10" s="1084" t="inlineStr">
        <is>
          <t>Total N2O</t>
        </is>
      </c>
      <c r="AR10" s="2162">
        <f>SUM(AA90:AA106,AA118:AA134,AA144:AA160)-SUM(Z90:Z106,Z118:Z134,Z144:Z160)</f>
        <v/>
      </c>
      <c r="AS10" s="2162">
        <f>IF(time=0,0,SUM(AF90:AF100,AF118:AF128,AF144:AF154)-SUM(AE90:AE100,AE118:AE128,AE144:AE154))</f>
        <v/>
      </c>
      <c r="AT10" s="2163">
        <f>AR10-AS10</f>
        <v/>
      </c>
      <c r="AU10" s="1455" t="n"/>
    </row>
    <row r="11">
      <c r="B11" s="973">
        <f>'4.Grassland'!I59</f>
        <v/>
      </c>
      <c r="C11" s="1688">
        <f>'4.Grassland'!K59</f>
        <v/>
      </c>
      <c r="D11" s="4718">
        <f>IFERROR(IF(C11="Default",INDEX(CH4_Ent_Default[#All],MATCH(Livestock!$C$2,CH4_Ent_Default[[#All],[IPCC Region]],0),MATCH(Livestock!B11,CH4_Ent_Default[#Headers],0)),
IF(C11="Low-productivity",INDEX(CH4_Ent_LP[#All],MATCH(Livestock!$C$2,CH4_Ent_LP[[#All],[IPCC Region]],0),MATCH(Livestock!B11,CH4_Ent_HP[#Headers],0)),
IF(C11="High-productivity",INDEX(CH4_Ent_HP[#All],MATCH(Livestock!$C$2,CH4_Ent_HP[[#All],[Please select]],0),MATCH(Livestock!B11,CH4_Ent_HP[#Headers],0)),0))),0)</f>
        <v/>
      </c>
      <c r="E11" s="3495">
        <f>IF('4.Grassland'!BD59="",'4.Grassland'!$BC59,'4.Grassland'!BD59)</f>
        <v/>
      </c>
      <c r="F11" s="1152">
        <f>IF('4.Grassland'!BE59="",'4.Grassland'!$BC59,'4.Grassland'!BE59)</f>
        <v/>
      </c>
      <c r="G11" s="3504">
        <f>IF('4.Grassland'!BF59="",'4.Grassland'!$BC59,'4.Grassland'!BF59)</f>
        <v/>
      </c>
      <c r="H11" s="992">
        <f>'4.Grassland'!W59</f>
        <v/>
      </c>
      <c r="I11" s="992">
        <f>'4.Grassland'!X59</f>
        <v/>
      </c>
      <c r="J11" s="1688">
        <f>VLOOKUP('4.Grassland'!Y59, list!$I$48:$J$50,2,FALSE )</f>
        <v/>
      </c>
      <c r="K11" s="992">
        <f>'4.Grassland'!Z59</f>
        <v/>
      </c>
      <c r="L11" s="1688">
        <f>VLOOKUP('4.Grassland'!AA59, list!$I$48:$J$50,2,FALSE )</f>
        <v/>
      </c>
      <c r="V11" s="3493">
        <f>E11/1000*methane*H11</f>
        <v/>
      </c>
      <c r="W11" s="1152">
        <f>F11/1000*methane*I11</f>
        <v/>
      </c>
      <c r="X11" s="3504">
        <f>G11/1000*methane*K11</f>
        <v/>
      </c>
      <c r="Y11" s="1246" t="n"/>
      <c r="Z11" s="3495">
        <f>MIN($V11,$W11)*time_tot+ABS($W11-$V11)*IF($W11&gt;$V11,time_cap+time*(VLOOKUP($J11,list!$J$48:$K$50,2,0)),time*(1-(VLOOKUP($J11,list!$J$48:$K$50,2,0))))</f>
        <v/>
      </c>
      <c r="AA11" s="1152">
        <f>MIN($V11,$X11)*time_tot+ABS($X11-$V11)*IF($X11&gt;$V11,time_cap+time*(VLOOKUP($L11,list!$J$48:$K$50,2,0)),time*(1-(VLOOKUP($L11,list!$J$48:$K$50,2,0))))</f>
        <v/>
      </c>
      <c r="AB11" s="1159">
        <f>AA11-Z11</f>
        <v/>
      </c>
      <c r="AE11" s="992">
        <f>MIN($V11,$W11)*time+ABS($W11-$V11)*IF($W11&gt;$V11,time*(VLOOKUP($J11,list!$J$48:$K$50,2,)),time*(1-(VLOOKUP($J11,list!$J$48:$K$50,2,))))</f>
        <v/>
      </c>
      <c r="AF11" s="992">
        <f>MIN($V11,$X11)*time+ABS($X11-$V11)*IF($X11&gt;$V11,time*(VLOOKUP($L11,list!$J$48:$K$50,2,)),time*(1-(VLOOKUP($L11,list!$J$48:$K$50,2,))))</f>
        <v/>
      </c>
      <c r="AL11" s="2164" t="inlineStr">
        <is>
          <t>TOTAL (tCO2-eq)</t>
        </is>
      </c>
      <c r="AM11" s="3515">
        <f>SUM(AM9:AM10)</f>
        <v/>
      </c>
      <c r="AN11" s="3515">
        <f>SUM(AN9:AN10)</f>
        <v/>
      </c>
      <c r="AO11" s="1246">
        <f>AN11-AM11</f>
        <v/>
      </c>
      <c r="AQ11" s="2164" t="inlineStr">
        <is>
          <t>TOTAL (tCO2-eq)</t>
        </is>
      </c>
      <c r="AR11" s="2165">
        <f>SUM(AR9:AR10)</f>
        <v/>
      </c>
      <c r="AS11" s="2165">
        <f>SUM(AS9:AS10)</f>
        <v/>
      </c>
      <c r="AT11" s="2165">
        <f>SUM(AT9:AT10)</f>
        <v/>
      </c>
      <c r="AU11" s="992" t="n"/>
    </row>
    <row r="12">
      <c r="B12" s="973">
        <f>'4.Grassland'!I60</f>
        <v/>
      </c>
      <c r="C12" s="1688">
        <f>'4.Grassland'!K60</f>
        <v/>
      </c>
      <c r="D12" s="4718">
        <f>IFERROR(IF(C12="Default",INDEX(CH4_Ent_Default[#All],MATCH(Livestock!$C$2,CH4_Ent_Default[[#All],[IPCC Region]],0),MATCH(Livestock!B12,CH4_Ent_Default[#Headers],0)),
IF(C12="Low-productivity",INDEX(CH4_Ent_LP[#All],MATCH(Livestock!$C$2,CH4_Ent_LP[[#All],[IPCC Region]],0),MATCH(Livestock!B12,CH4_Ent_HP[#Headers],0)),
IF(C12="High-productivity",INDEX(CH4_Ent_HP[#All],MATCH(Livestock!$C$2,CH4_Ent_HP[[#All],[Please select]],0),MATCH(Livestock!B12,CH4_Ent_HP[#Headers],0)),0))),0)</f>
        <v/>
      </c>
      <c r="E12" s="3495">
        <f>IF('4.Grassland'!BD60="",'4.Grassland'!$BC60,'4.Grassland'!BD60)</f>
        <v/>
      </c>
      <c r="F12" s="1152">
        <f>IF('4.Grassland'!BE60="",'4.Grassland'!$BC60,'4.Grassland'!BE60)</f>
        <v/>
      </c>
      <c r="G12" s="3504">
        <f>IF('4.Grassland'!BF60="",'4.Grassland'!$BC60,'4.Grassland'!BF60)</f>
        <v/>
      </c>
      <c r="H12" s="992">
        <f>'4.Grassland'!W60</f>
        <v/>
      </c>
      <c r="I12" s="992">
        <f>'4.Grassland'!X60</f>
        <v/>
      </c>
      <c r="J12" s="1688">
        <f>VLOOKUP('4.Grassland'!Y60, list!$I$48:$J$50,2,FALSE )</f>
        <v/>
      </c>
      <c r="K12" s="992">
        <f>'4.Grassland'!Z60</f>
        <v/>
      </c>
      <c r="L12" s="1688">
        <f>VLOOKUP('4.Grassland'!AA60, list!$I$48:$J$50,2,FALSE )</f>
        <v/>
      </c>
      <c r="V12" s="3493">
        <f>E12/1000*methane*H12</f>
        <v/>
      </c>
      <c r="W12" s="1152">
        <f>F12/1000*methane*I12</f>
        <v/>
      </c>
      <c r="X12" s="3504">
        <f>G12/1000*methane*K12</f>
        <v/>
      </c>
      <c r="Y12" s="1246" t="n"/>
      <c r="Z12" s="3495">
        <f>MIN($V12,$W12)*time_tot+ABS($W12-$V12)*IF($W12&gt;$V12,time_cap+time*(VLOOKUP($J12,list!$J$48:$K$50,2,0)),time*(1-(VLOOKUP($J12,list!$J$48:$K$50,2,0))))</f>
        <v/>
      </c>
      <c r="AA12" s="1152">
        <f>MIN($V12,$X12)*time_tot+ABS($X12-$V12)*IF($X12&gt;$V12,time_cap+time*(VLOOKUP($L12,list!$J$48:$K$50,2,0)),time*(1-(VLOOKUP($L12,list!$J$48:$K$50,2,0))))</f>
        <v/>
      </c>
      <c r="AB12" s="1159">
        <f>AA12-Z12</f>
        <v/>
      </c>
      <c r="AE12" s="992">
        <f>MIN($V12,$W12)*time+ABS($W12-$V12)*IF($W12&gt;$V12,time*(VLOOKUP($J12,list!$J$48:$K$50,2,)),time*(1-(VLOOKUP($J12,list!$J$48:$K$50,2,))))</f>
        <v/>
      </c>
      <c r="AF12" s="992">
        <f>MIN($V12,$X12)*time+ABS($X12-$V12)*IF($X12&gt;$V12,time*(VLOOKUP($L12,list!$J$48:$K$50,2,)),time*(1-(VLOOKUP($L12,list!$J$48:$K$50,2,))))</f>
        <v/>
      </c>
      <c r="AO12" s="1246" t="n"/>
    </row>
    <row r="13">
      <c r="B13" s="973">
        <f>'4.Grassland'!I61</f>
        <v/>
      </c>
      <c r="C13" s="1688">
        <f>'4.Grassland'!K61</f>
        <v/>
      </c>
      <c r="D13" s="4718">
        <f>IFERROR(IF(C13="Default",INDEX(CH4_Ent_Default[#All],MATCH(Livestock!$C$2,CH4_Ent_Default[[#All],[IPCC Region]],0),MATCH(Livestock!B13,CH4_Ent_Default[#Headers],0)),
IF(C13="Low-productivity",INDEX(CH4_Ent_LP[#All],MATCH(Livestock!$C$2,CH4_Ent_LP[[#All],[IPCC Region]],0),MATCH(Livestock!B13,CH4_Ent_HP[#Headers],0)),
IF(C13="High-productivity",INDEX(CH4_Ent_HP[#All],MATCH(Livestock!$C$2,CH4_Ent_HP[[#All],[Please select]],0),MATCH(Livestock!B13,CH4_Ent_HP[#Headers],0)),0))),0)</f>
        <v/>
      </c>
      <c r="E13" s="3495">
        <f>IF('4.Grassland'!BD61="",'4.Grassland'!$BC61,'4.Grassland'!BD61)</f>
        <v/>
      </c>
      <c r="F13" s="1152">
        <f>IF('4.Grassland'!BE61="",'4.Grassland'!$BC61,'4.Grassland'!BE61)</f>
        <v/>
      </c>
      <c r="G13" s="3504">
        <f>IF('4.Grassland'!BF61="",'4.Grassland'!$BC61,'4.Grassland'!BF61)</f>
        <v/>
      </c>
      <c r="H13" s="992">
        <f>'4.Grassland'!W61</f>
        <v/>
      </c>
      <c r="I13" s="992">
        <f>'4.Grassland'!X61</f>
        <v/>
      </c>
      <c r="J13" s="1688">
        <f>VLOOKUP('4.Grassland'!Y61, list!$I$48:$J$50,2,FALSE )</f>
        <v/>
      </c>
      <c r="K13" s="992">
        <f>'4.Grassland'!Z61</f>
        <v/>
      </c>
      <c r="L13" s="1688">
        <f>VLOOKUP('4.Grassland'!AA61, list!$I$48:$J$50,2,FALSE )</f>
        <v/>
      </c>
      <c r="V13" s="3493">
        <f>E13/1000*methane*H13</f>
        <v/>
      </c>
      <c r="W13" s="1152">
        <f>F13/1000*methane*I13</f>
        <v/>
      </c>
      <c r="X13" s="3504">
        <f>G13/1000*methane*K13</f>
        <v/>
      </c>
      <c r="Y13" s="1246" t="n"/>
      <c r="Z13" s="3495">
        <f>MIN($V13,$W13)*time_tot+ABS($W13-$V13)*IF($W13&gt;$V13,time_cap+time*(VLOOKUP($J13,list!$J$48:$K$50,2,0)),time*(1-(VLOOKUP($J13,list!$J$48:$K$50,2,0))))</f>
        <v/>
      </c>
      <c r="AA13" s="1152">
        <f>MIN($V13,$X13)*time_tot+ABS($X13-$V13)*IF($X13&gt;$V13,time_cap+time*(VLOOKUP($L13,list!$J$48:$K$50,2,0)),time*(1-(VLOOKUP($L13,list!$J$48:$K$50,2,0))))</f>
        <v/>
      </c>
      <c r="AB13" s="1159">
        <f>AA13-Z13</f>
        <v/>
      </c>
      <c r="AE13" s="992">
        <f>MIN($V13,$W13)*time+ABS($W13-$V13)*IF($W13&gt;$V13,time*(VLOOKUP($J13,list!$J$48:$K$50,2,)),time*(1-(VLOOKUP($J13,list!$J$48:$K$50,2,))))</f>
        <v/>
      </c>
      <c r="AF13" s="992">
        <f>MIN($V13,$X13)*time+ABS($X13-$V13)*IF($X13&gt;$V13,time*(VLOOKUP($L13,list!$J$48:$K$50,2,)),time*(1-(VLOOKUP($L13,list!$J$48:$K$50,2,))))</f>
        <v/>
      </c>
      <c r="AL13" s="1469" t="n"/>
      <c r="AM13" s="992" t="n"/>
      <c r="AN13" s="992" t="n"/>
      <c r="AO13" s="1246" t="n"/>
    </row>
    <row r="14">
      <c r="B14" s="973">
        <f>'4.Grassland'!I62</f>
        <v/>
      </c>
      <c r="C14" s="1688">
        <f>'4.Grassland'!K62</f>
        <v/>
      </c>
      <c r="D14" s="4718">
        <f>IFERROR(IF(C14="Default",INDEX(CH4_Ent_Default[#All],MATCH(Livestock!$C$2,CH4_Ent_Default[[#All],[IPCC Region]],0),MATCH(Livestock!B14,CH4_Ent_Default[#Headers],0)),
IF(C14="Low-productivity",INDEX(CH4_Ent_LP[#All],MATCH(Livestock!$C$2,CH4_Ent_LP[[#All],[IPCC Region]],0),MATCH(Livestock!B14,CH4_Ent_HP[#Headers],0)),
IF(C14="High-productivity",INDEX(CH4_Ent_HP[#All],MATCH(Livestock!$C$2,CH4_Ent_HP[[#All],[Please select]],0),MATCH(Livestock!B14,CH4_Ent_HP[#Headers],0)),0))),0)</f>
        <v/>
      </c>
      <c r="E14" s="3495">
        <f>IF('4.Grassland'!BD62="",'4.Grassland'!$BC62,'4.Grassland'!BD62)</f>
        <v/>
      </c>
      <c r="F14" s="1152">
        <f>IF('4.Grassland'!BE62="",'4.Grassland'!$BC62,'4.Grassland'!BE62)</f>
        <v/>
      </c>
      <c r="G14" s="3504">
        <f>IF('4.Grassland'!BF62="",'4.Grassland'!$BC62,'4.Grassland'!BF62)</f>
        <v/>
      </c>
      <c r="H14" s="992">
        <f>'4.Grassland'!W62</f>
        <v/>
      </c>
      <c r="I14" s="992">
        <f>'4.Grassland'!X62</f>
        <v/>
      </c>
      <c r="J14" s="1688">
        <f>VLOOKUP('4.Grassland'!Y62, list!$I$48:$J$50,2,FALSE )</f>
        <v/>
      </c>
      <c r="K14" s="992">
        <f>'4.Grassland'!Z62</f>
        <v/>
      </c>
      <c r="L14" s="1688">
        <f>VLOOKUP('4.Grassland'!AA62, list!$I$48:$J$50,2,FALSE )</f>
        <v/>
      </c>
      <c r="V14" s="3493">
        <f>E14/1000*methane*H14</f>
        <v/>
      </c>
      <c r="W14" s="1152">
        <f>F14/1000*methane*I14</f>
        <v/>
      </c>
      <c r="X14" s="3504">
        <f>G14/1000*methane*K14</f>
        <v/>
      </c>
      <c r="Y14" s="1246" t="n"/>
      <c r="Z14" s="3495">
        <f>MIN($V14,$W14)*time_tot+ABS($W14-$V14)*IF($W14&gt;$V14,time_cap+time*(VLOOKUP($J14,list!$J$48:$K$50,2,0)),time*(1-(VLOOKUP($J14,list!$J$48:$K$50,2,0))))</f>
        <v/>
      </c>
      <c r="AA14" s="1152">
        <f>MIN($V14,$X14)*time_tot+ABS($X14-$V14)*IF($X14&gt;$V14,time_cap+time*(VLOOKUP($L14,list!$J$48:$K$50,2,0)),time*(1-(VLOOKUP($L14,list!$J$48:$K$50,2,0))))</f>
        <v/>
      </c>
      <c r="AB14" s="1159">
        <f>AA14-Z14</f>
        <v/>
      </c>
      <c r="AE14" s="992">
        <f>MIN($V14,$W14)*time+ABS($W14-$V14)*IF($W14&gt;$V14,time*(VLOOKUP($J14,list!$J$48:$K$50,2,)),time*(1-(VLOOKUP($J14,list!$J$48:$K$50,2,))))</f>
        <v/>
      </c>
      <c r="AF14" s="992">
        <f>MIN($V14,$X14)*time+ABS($X14-$V14)*IF($X14&gt;$V14,time*(VLOOKUP($L14,list!$J$48:$K$50,2,)),time*(1-(VLOOKUP($L14,list!$J$48:$K$50,2,))))</f>
        <v/>
      </c>
      <c r="AO14" s="1246" t="n"/>
    </row>
    <row r="15">
      <c r="B15" s="973">
        <f>'4.Grassland'!I63</f>
        <v/>
      </c>
      <c r="C15" s="1688">
        <f>'4.Grassland'!K63</f>
        <v/>
      </c>
      <c r="D15" s="4718">
        <f>IFERROR(IF(C15="Default",INDEX(CH4_Ent_Default[#All],MATCH(Livestock!$C$2,CH4_Ent_Default[[#All],[IPCC Region]],0),MATCH(Livestock!B15,CH4_Ent_Default[#Headers],0)),
IF(C15="Low-productivity",INDEX(CH4_Ent_LP[#All],MATCH(Livestock!$C$2,CH4_Ent_LP[[#All],[IPCC Region]],0),MATCH(Livestock!B15,CH4_Ent_HP[#Headers],0)),
IF(C15="High-productivity",INDEX(CH4_Ent_HP[#All],MATCH(Livestock!$C$2,CH4_Ent_HP[[#All],[Please select]],0),MATCH(Livestock!B15,CH4_Ent_HP[#Headers],0)),0))),0)</f>
        <v/>
      </c>
      <c r="E15" s="3495">
        <f>IF('4.Grassland'!BD63="",'4.Grassland'!$BC63,'4.Grassland'!BD63)</f>
        <v/>
      </c>
      <c r="F15" s="1152">
        <f>IF('4.Grassland'!BE63="",'4.Grassland'!$BC63,'4.Grassland'!BE63)</f>
        <v/>
      </c>
      <c r="G15" s="3504">
        <f>IF('4.Grassland'!BF63="",'4.Grassland'!$BC63,'4.Grassland'!BF63)</f>
        <v/>
      </c>
      <c r="H15" s="992">
        <f>'4.Grassland'!W63</f>
        <v/>
      </c>
      <c r="I15" s="992">
        <f>'4.Grassland'!X63</f>
        <v/>
      </c>
      <c r="J15" s="1688">
        <f>VLOOKUP('4.Grassland'!Y63, list!$I$48:$J$50,2,FALSE )</f>
        <v/>
      </c>
      <c r="K15" s="992">
        <f>'4.Grassland'!Z63</f>
        <v/>
      </c>
      <c r="L15" s="1688">
        <f>VLOOKUP('4.Grassland'!AA63, list!$I$48:$J$50,2,FALSE )</f>
        <v/>
      </c>
      <c r="V15" s="3493">
        <f>E15/1000*methane*H15</f>
        <v/>
      </c>
      <c r="W15" s="1152">
        <f>F15/1000*methane*I15</f>
        <v/>
      </c>
      <c r="X15" s="3504">
        <f>G15/1000*methane*K15</f>
        <v/>
      </c>
      <c r="Y15" s="1246" t="n"/>
      <c r="Z15" s="3495">
        <f>MIN($V15,$W15)*time_tot+ABS($W15-$V15)*IF($W15&gt;$V15,time_cap+time*(VLOOKUP($J15,list!$J$48:$K$50,2,0)),time*(1-(VLOOKUP($J15,list!$J$48:$K$50,2,0))))</f>
        <v/>
      </c>
      <c r="AA15" s="1152">
        <f>MIN($V15,$X15)*time_tot+ABS($X15-$V15)*IF($X15&gt;$V15,time_cap+time*(VLOOKUP($L15,list!$J$48:$K$50,2,0)),time*(1-(VLOOKUP($L15,list!$J$48:$K$50,2,0))))</f>
        <v/>
      </c>
      <c r="AB15" s="1159">
        <f>AA15-Z15</f>
        <v/>
      </c>
      <c r="AE15" s="992">
        <f>MIN($V15,$W15)*time+ABS($W15-$V15)*IF($W15&gt;$V15,time*(VLOOKUP($J15,list!$J$48:$K$50,2,)),time*(1-(VLOOKUP($J15,list!$J$48:$K$50,2,))))</f>
        <v/>
      </c>
      <c r="AF15" s="992">
        <f>MIN($V15,$X15)*time+ABS($X15-$V15)*IF($X15&gt;$V15,time*(VLOOKUP($L15,list!$J$48:$K$50,2,)),time*(1-(VLOOKUP($L15,list!$J$48:$K$50,2,))))</f>
        <v/>
      </c>
      <c r="AO15" s="1246" t="n"/>
    </row>
    <row r="16">
      <c r="B16" s="973">
        <f>'4.Grassland'!I64</f>
        <v/>
      </c>
      <c r="C16" s="1688">
        <f>'4.Grassland'!K64</f>
        <v/>
      </c>
      <c r="D16" s="4718">
        <f>IFERROR(IF(C16="Default",INDEX(CH4_Ent_Default[#All],MATCH(Livestock!$C$2,CH4_Ent_Default[[#All],[IPCC Region]],0),MATCH(Livestock!B16,CH4_Ent_Default[#Headers],0)),
IF(C16="Low-productivity",INDEX(CH4_Ent_LP[#All],MATCH(Livestock!$C$2,CH4_Ent_LP[[#All],[IPCC Region]],0),MATCH(Livestock!B16,CH4_Ent_HP[#Headers],0)),
IF(C16="High-productivity",INDEX(CH4_Ent_HP[#All],MATCH(Livestock!$C$2,CH4_Ent_HP[[#All],[Please select]],0),MATCH(Livestock!B16,CH4_Ent_HP[#Headers],0)),0))),0)</f>
        <v/>
      </c>
      <c r="E16" s="3495">
        <f>IF('4.Grassland'!BD64="",'4.Grassland'!$BC64,'4.Grassland'!BD64)</f>
        <v/>
      </c>
      <c r="F16" s="1152">
        <f>IF('4.Grassland'!BE64="",'4.Grassland'!$BC64,'4.Grassland'!BE64)</f>
        <v/>
      </c>
      <c r="G16" s="3504">
        <f>IF('4.Grassland'!BF64="",'4.Grassland'!$BC64,'4.Grassland'!BF64)</f>
        <v/>
      </c>
      <c r="H16" s="992">
        <f>'4.Grassland'!W64</f>
        <v/>
      </c>
      <c r="I16" s="992">
        <f>'4.Grassland'!X64</f>
        <v/>
      </c>
      <c r="J16" s="1688">
        <f>VLOOKUP('4.Grassland'!Y64, list!$I$48:$J$50,2,FALSE )</f>
        <v/>
      </c>
      <c r="K16" s="992">
        <f>'4.Grassland'!Z64</f>
        <v/>
      </c>
      <c r="L16" s="1688">
        <f>VLOOKUP('4.Grassland'!AA64, list!$I$48:$J$50,2,FALSE )</f>
        <v/>
      </c>
      <c r="V16" s="3493">
        <f>E16/1000*methane*H16</f>
        <v/>
      </c>
      <c r="W16" s="1152">
        <f>F16/1000*methane*I16</f>
        <v/>
      </c>
      <c r="X16" s="3504">
        <f>G16/1000*methane*K16</f>
        <v/>
      </c>
      <c r="Y16" s="1246" t="n"/>
      <c r="Z16" s="3495">
        <f>MIN($V16,$W16)*time_tot+ABS($W16-$V16)*IF($W16&gt;$V16,time_cap+time*(VLOOKUP($J16,list!$J$48:$K$50,2,0)),time*(1-(VLOOKUP($J16,list!$J$48:$K$50,2,0))))</f>
        <v/>
      </c>
      <c r="AA16" s="1152">
        <f>MIN($V16,$X16)*time_tot+ABS($X16-$V16)*IF($X16&gt;$V16,time_cap+time*(VLOOKUP($L16,list!$J$48:$K$50,2,0)),time*(1-(VLOOKUP($L16,list!$J$48:$K$50,2,0))))</f>
        <v/>
      </c>
      <c r="AB16" s="1159">
        <f>AA16-Z16</f>
        <v/>
      </c>
      <c r="AE16" s="992">
        <f>MIN($V16,$W16)*time+ABS($W16-$V16)*IF($W16&gt;$V16,time*(VLOOKUP($J16,list!$J$48:$K$50,2,)),time*(1-(VLOOKUP($J16,list!$J$48:$K$50,2,))))</f>
        <v/>
      </c>
      <c r="AF16" s="992">
        <f>MIN($V16,$X16)*time+ABS($X16-$V16)*IF($X16&gt;$V16,time*(VLOOKUP($L16,list!$J$48:$K$50,2,)),time*(1-(VLOOKUP($L16,list!$J$48:$K$50,2,))))</f>
        <v/>
      </c>
      <c r="AO16" s="1246" t="n"/>
    </row>
    <row r="17">
      <c r="B17" s="973">
        <f>'4.Grassland'!I65</f>
        <v/>
      </c>
      <c r="C17" s="1688">
        <f>'4.Grassland'!K65</f>
        <v/>
      </c>
      <c r="D17" s="4718">
        <f>IFERROR(IF(C17="Default",INDEX(CH4_Ent_Default[#All],MATCH(Livestock!$C$2,CH4_Ent_Default[[#All],[IPCC Region]],0),MATCH(Livestock!B17,CH4_Ent_Default[#Headers],0)),
IF(C17="Low-productivity",INDEX(CH4_Ent_LP[#All],MATCH(Livestock!$C$2,CH4_Ent_LP[[#All],[IPCC Region]],0),MATCH(Livestock!B17,CH4_Ent_HP[#Headers],0)),
IF(C17="High-productivity",INDEX(CH4_Ent_HP[#All],MATCH(Livestock!$C$2,CH4_Ent_HP[[#All],[Please select]],0),MATCH(Livestock!B17,CH4_Ent_HP[#Headers],0)),0))),0)</f>
        <v/>
      </c>
      <c r="E17" s="3495">
        <f>IF('4.Grassland'!BD65="",'4.Grassland'!$BC65,'4.Grassland'!BD65)</f>
        <v/>
      </c>
      <c r="F17" s="1152">
        <f>IF('4.Grassland'!BE65="",'4.Grassland'!$BC65,'4.Grassland'!BE65)</f>
        <v/>
      </c>
      <c r="G17" s="3504">
        <f>IF('4.Grassland'!BF65="",'4.Grassland'!$BC65,'4.Grassland'!BF65)</f>
        <v/>
      </c>
      <c r="H17" s="992">
        <f>'4.Grassland'!W65</f>
        <v/>
      </c>
      <c r="I17" s="992">
        <f>'4.Grassland'!X65</f>
        <v/>
      </c>
      <c r="J17" s="1688">
        <f>VLOOKUP('4.Grassland'!Y65, list!$I$48:$J$50,2,FALSE )</f>
        <v/>
      </c>
      <c r="K17" s="992">
        <f>'4.Grassland'!Z65</f>
        <v/>
      </c>
      <c r="L17" s="1688">
        <f>VLOOKUP('4.Grassland'!AA65, list!$I$48:$J$50,2,FALSE )</f>
        <v/>
      </c>
      <c r="V17" s="3493">
        <f>E17/1000*methane*H17</f>
        <v/>
      </c>
      <c r="W17" s="1152">
        <f>F17/1000*methane*I17</f>
        <v/>
      </c>
      <c r="X17" s="3504">
        <f>G17/1000*methane*K17</f>
        <v/>
      </c>
      <c r="Y17" s="1246" t="n"/>
      <c r="Z17" s="3495">
        <f>MIN($V17,$W17)*time_tot+ABS($W17-$V17)*IF($W17&gt;$V17,time_cap+time*(VLOOKUP($J17,list!$J$48:$K$50,2,0)),time*(1-(VLOOKUP($J17,list!$J$48:$K$50,2,0))))</f>
        <v/>
      </c>
      <c r="AA17" s="1152">
        <f>MIN($V17,$X17)*time_tot+ABS($X17-$V17)*IF($X17&gt;$V17,time_cap+time*(VLOOKUP($L17,list!$J$48:$K$50,2,0)),time*(1-(VLOOKUP($L17,list!$J$48:$K$50,2,0))))</f>
        <v/>
      </c>
      <c r="AB17" s="1159">
        <f>AA17-Z17</f>
        <v/>
      </c>
      <c r="AE17" s="992">
        <f>MIN($V17,$W17)*time+ABS($W17-$V17)*IF($W17&gt;$V17,time*(VLOOKUP($J17,list!$J$48:$K$50,2,)),time*(1-(VLOOKUP($J17,list!$J$48:$K$50,2,))))</f>
        <v/>
      </c>
      <c r="AF17" s="992">
        <f>MIN($V17,$X17)*time+ABS($X17-$V17)*IF($X17&gt;$V17,time*(VLOOKUP($L17,list!$J$48:$K$50,2,)),time*(1-(VLOOKUP($L17,list!$J$48:$K$50,2,))))</f>
        <v/>
      </c>
      <c r="AO17" s="1246" t="n"/>
    </row>
    <row r="18">
      <c r="B18" s="973">
        <f>'4.Grassland'!I66</f>
        <v/>
      </c>
      <c r="C18" s="1688">
        <f>'4.Grassland'!K66</f>
        <v/>
      </c>
      <c r="D18" s="4718">
        <f>IFERROR(IF(C18="Default",INDEX(CH4_Ent_Default[#All],MATCH(Livestock!$C$2,CH4_Ent_Default[[#All],[IPCC Region]],0),MATCH(Livestock!B18,CH4_Ent_Default[#Headers],0)),
IF(C18="Low-productivity",INDEX(CH4_Ent_LP[#All],MATCH(Livestock!$C$2,CH4_Ent_LP[[#All],[IPCC Region]],0),MATCH(Livestock!B18,CH4_Ent_HP[#Headers],0)),
IF(C18="High-productivity",INDEX(CH4_Ent_HP[#All],MATCH(Livestock!$C$2,CH4_Ent_HP[[#All],[Please select]],0),MATCH(Livestock!B18,CH4_Ent_HP[#Headers],0)),0))),0)</f>
        <v/>
      </c>
      <c r="E18" s="3495">
        <f>IF('4.Grassland'!BD66="",'4.Grassland'!$BC66,'4.Grassland'!BD66)</f>
        <v/>
      </c>
      <c r="F18" s="1153">
        <f>IF('4.Grassland'!BE66="",'4.Grassland'!$BC66,'4.Grassland'!BE66)</f>
        <v/>
      </c>
      <c r="G18" s="3505">
        <f>IF('4.Grassland'!BF66="",'4.Grassland'!$BC66,'4.Grassland'!BF66)</f>
        <v/>
      </c>
      <c r="H18" s="992">
        <f>'4.Grassland'!W66</f>
        <v/>
      </c>
      <c r="I18" s="992">
        <f>'4.Grassland'!X66</f>
        <v/>
      </c>
      <c r="J18" s="1688">
        <f>VLOOKUP('4.Grassland'!Y66, list!$I$48:$J$50,2,FALSE )</f>
        <v/>
      </c>
      <c r="K18" s="992">
        <f>'4.Grassland'!Z66</f>
        <v/>
      </c>
      <c r="L18" s="1688">
        <f>VLOOKUP('4.Grassland'!AA66, list!$I$48:$J$50,2,FALSE )</f>
        <v/>
      </c>
      <c r="V18" s="3493">
        <f>E18/1000*methane*H18</f>
        <v/>
      </c>
      <c r="W18" s="1153">
        <f>F18/1000*methane*I18</f>
        <v/>
      </c>
      <c r="X18" s="3505">
        <f>G18/1000*methane*K18</f>
        <v/>
      </c>
      <c r="Y18" s="1246" t="n"/>
      <c r="Z18" s="3496">
        <f>MIN($V18,$W18)*time_tot+ABS($W18-$V18)*IF($W18&gt;$V18,time_cap+time*(VLOOKUP($J18,list!$J$48:$K$50,2,0)),time*(1-(VLOOKUP($J18,list!$J$48:$K$50,2,0))))</f>
        <v/>
      </c>
      <c r="AA18" s="1153">
        <f>MIN($V18,$X18)*time_tot+ABS($X18-$V18)*IF($X18&gt;$V18,time_cap+time*(VLOOKUP($L18,list!$J$48:$K$50,2,0)),time*(1-(VLOOKUP($L18,list!$J$48:$K$50,2,0))))</f>
        <v/>
      </c>
      <c r="AB18" s="3499">
        <f>AA18-Z18</f>
        <v/>
      </c>
      <c r="AE18" s="992">
        <f>MIN($V18,$W18)*time+ABS($W18-$V18)*IF($W18&gt;$V18,time*(VLOOKUP($J18,list!$J$48:$K$50,2,)),time*(1-(VLOOKUP($J18,list!$J$48:$K$50,2,))))</f>
        <v/>
      </c>
      <c r="AF18" s="992">
        <f>MIN($V18,$X18)*time+ABS($X18-$V18)*IF($X18&gt;$V18,time*(VLOOKUP($L18,list!$J$48:$K$50,2,)),time*(1-(VLOOKUP($L18,list!$J$48:$K$50,2,))))</f>
        <v/>
      </c>
      <c r="AO18" s="1246" t="n"/>
    </row>
    <row r="19">
      <c r="B19" s="973">
        <f>'4.Grassland'!I67</f>
        <v/>
      </c>
      <c r="C19" s="1688">
        <f>'4.Grassland'!K67</f>
        <v/>
      </c>
      <c r="D19" s="4718">
        <f>IFERROR(IF(C19="Default",INDEX(CH4_Ent_Default[#All],MATCH(Livestock!$C$2,CH4_Ent_Default[[#All],[IPCC Region]],0),MATCH(Livestock!B19,CH4_Ent_Default[#Headers],0)),
IF(C19="Low-productivity",INDEX(CH4_Ent_LP[#All],MATCH(Livestock!$C$2,CH4_Ent_LP[[#All],[IPCC Region]],0),MATCH(Livestock!B19,CH4_Ent_HP[#Headers],0)),
IF(C19="High-productivity",INDEX(CH4_Ent_HP[#All],MATCH(Livestock!$C$2,CH4_Ent_HP[[#All],[Please select]],0),MATCH(Livestock!B19,CH4_Ent_HP[#Headers],0)),0))),0)</f>
        <v/>
      </c>
      <c r="E19" s="3495">
        <f>IF('4.Grassland'!BD67="",'4.Grassland'!$BC67,'4.Grassland'!BD67)</f>
        <v/>
      </c>
      <c r="F19" s="1153">
        <f>IF('4.Grassland'!BE67="",'4.Grassland'!$BC67,'4.Grassland'!BE67)</f>
        <v/>
      </c>
      <c r="G19" s="3505">
        <f>IF('4.Grassland'!BF67="",'4.Grassland'!$BC67,'4.Grassland'!BF67)</f>
        <v/>
      </c>
      <c r="H19" s="992">
        <f>'4.Grassland'!W67</f>
        <v/>
      </c>
      <c r="I19" s="992">
        <f>'4.Grassland'!X67</f>
        <v/>
      </c>
      <c r="J19" s="1688">
        <f>VLOOKUP('4.Grassland'!Y67, list!$I$48:$J$50,2,FALSE )</f>
        <v/>
      </c>
      <c r="K19" s="992">
        <f>'4.Grassland'!Z67</f>
        <v/>
      </c>
      <c r="L19" s="1688">
        <f>VLOOKUP('4.Grassland'!AA67, list!$I$48:$J$50,2,FALSE )</f>
        <v/>
      </c>
      <c r="V19" s="3493">
        <f>E19/1000*methane*H19</f>
        <v/>
      </c>
      <c r="W19" s="1153">
        <f>F19/1000*methane*I19</f>
        <v/>
      </c>
      <c r="X19" s="3505">
        <f>G19/1000*methane*K19</f>
        <v/>
      </c>
      <c r="Z19" s="3496">
        <f>MIN($V19,$W19)*time_tot+ABS($W19-$V19)*IF($W19&gt;$V19,time_cap+time*(VLOOKUP($J19,list!$J$48:$K$50,2,0)),time*(1-(VLOOKUP($J19,list!$J$48:$K$50,2,0))))</f>
        <v/>
      </c>
      <c r="AA19" s="1153">
        <f>MIN($V19,$X19)*time_tot+ABS($X19-$V19)*IF($X19&gt;$V19,time_cap+time*(VLOOKUP($L19,list!$J$48:$K$50,2,0)),time*(1-(VLOOKUP($L19,list!$J$48:$K$50,2,0))))</f>
        <v/>
      </c>
      <c r="AB19" s="3499">
        <f>AA19-Z19</f>
        <v/>
      </c>
    </row>
    <row r="20">
      <c r="B20" s="973">
        <f>'4.Grassland'!I68</f>
        <v/>
      </c>
      <c r="C20" s="1688">
        <f>'4.Grassland'!K68</f>
        <v/>
      </c>
      <c r="D20" s="4718">
        <f>IFERROR(IF(C20="Default",INDEX(CH4_Ent_Default[#All],MATCH(Livestock!$C$2,CH4_Ent_Default[[#All],[IPCC Region]],0),MATCH(Livestock!B20,CH4_Ent_Default[#Headers],0)),
IF(C20="Low-productivity",INDEX(CH4_Ent_LP[#All],MATCH(Livestock!$C$2,CH4_Ent_LP[[#All],[IPCC Region]],0),MATCH(Livestock!B20,CH4_Ent_HP[#Headers],0)),
IF(C20="High-productivity",INDEX(CH4_Ent_HP[#All],MATCH(Livestock!$C$2,CH4_Ent_HP[[#All],[Please select]],0),MATCH(Livestock!B20,CH4_Ent_HP[#Headers],0)),0))),0)</f>
        <v/>
      </c>
      <c r="E20" s="3495">
        <f>IF('4.Grassland'!BD68="",'4.Grassland'!$BC68,'4.Grassland'!BD68)</f>
        <v/>
      </c>
      <c r="F20" s="1153">
        <f>IF('4.Grassland'!BE68="",'4.Grassland'!$BC68,'4.Grassland'!BE68)</f>
        <v/>
      </c>
      <c r="G20" s="3505">
        <f>IF('4.Grassland'!BF68="",'4.Grassland'!$BC68,'4.Grassland'!BF68)</f>
        <v/>
      </c>
      <c r="H20" s="992">
        <f>'4.Grassland'!W68</f>
        <v/>
      </c>
      <c r="I20" s="992">
        <f>'4.Grassland'!X68</f>
        <v/>
      </c>
      <c r="J20" s="1688">
        <f>VLOOKUP('4.Grassland'!Y68, list!$I$48:$J$50,2,FALSE )</f>
        <v/>
      </c>
      <c r="K20" s="992">
        <f>'4.Grassland'!Z68</f>
        <v/>
      </c>
      <c r="L20" s="1688">
        <f>VLOOKUP('4.Grassland'!AA68, list!$I$48:$J$50,2,FALSE )</f>
        <v/>
      </c>
      <c r="V20" s="3493">
        <f>E20/1000*methane*H20</f>
        <v/>
      </c>
      <c r="W20" s="1153">
        <f>F20/1000*methane*I20</f>
        <v/>
      </c>
      <c r="X20" s="3505">
        <f>G20/1000*methane*K20</f>
        <v/>
      </c>
      <c r="Z20" s="3496">
        <f>MIN($V20,$W20)*time_tot+ABS($W20-$V20)*IF($W20&gt;$V20,time_cap+time*(VLOOKUP($J20,list!$J$48:$K$50,2,0)),time*(1-(VLOOKUP($J20,list!$J$48:$K$50,2,0))))</f>
        <v/>
      </c>
      <c r="AA20" s="1153">
        <f>MIN($V20,$X20)*time_tot+ABS($X20-$V20)*IF($X20&gt;$V20,time_cap+time*(VLOOKUP($L20,list!$J$48:$K$50,2,0)),time*(1-(VLOOKUP($L20,list!$J$48:$K$50,2,0))))</f>
        <v/>
      </c>
      <c r="AB20" s="3499">
        <f>AA20-Z20</f>
        <v/>
      </c>
      <c r="AO20" s="1246" t="n"/>
      <c r="AP20" s="1246" t="n"/>
    </row>
    <row r="21">
      <c r="B21" s="973">
        <f>'4.Grassland'!I69</f>
        <v/>
      </c>
      <c r="C21" s="1688">
        <f>'4.Grassland'!K69</f>
        <v/>
      </c>
      <c r="D21" s="4718">
        <f>IFERROR(IF(C21="Default",INDEX(CH4_Ent_Default[#All],MATCH(Livestock!$C$2,CH4_Ent_Default[[#All],[IPCC Region]],0),MATCH(Livestock!B21,CH4_Ent_Default[#Headers],0)),
IF(C21="Low-productivity",INDEX(CH4_Ent_LP[#All],MATCH(Livestock!$C$2,CH4_Ent_LP[[#All],[IPCC Region]],0),MATCH(Livestock!B21,CH4_Ent_HP[#Headers],0)),
IF(C21="High-productivity",INDEX(CH4_Ent_HP[#All],MATCH(Livestock!$C$2,CH4_Ent_HP[[#All],[Please select]],0),MATCH(Livestock!B21,CH4_Ent_HP[#Headers],0)),0))),0)</f>
        <v/>
      </c>
      <c r="E21" s="3495">
        <f>IF('4.Grassland'!BD69="",'4.Grassland'!$BC69,'4.Grassland'!BD69)</f>
        <v/>
      </c>
      <c r="F21" s="1153">
        <f>IF('4.Grassland'!BE69="",'4.Grassland'!$BC69,'4.Grassland'!BE69)</f>
        <v/>
      </c>
      <c r="G21" s="3505">
        <f>IF('4.Grassland'!BF69="",'4.Grassland'!$BC69,'4.Grassland'!BF69)</f>
        <v/>
      </c>
      <c r="H21" s="992">
        <f>'4.Grassland'!W69</f>
        <v/>
      </c>
      <c r="I21" s="992">
        <f>'4.Grassland'!X69</f>
        <v/>
      </c>
      <c r="J21" s="1688">
        <f>VLOOKUP('4.Grassland'!Y69, list!$I$48:$J$50,2,FALSE )</f>
        <v/>
      </c>
      <c r="K21" s="992">
        <f>'4.Grassland'!Z69</f>
        <v/>
      </c>
      <c r="L21" s="1688">
        <f>VLOOKUP('4.Grassland'!AA69, list!$I$48:$J$50,2,FALSE )</f>
        <v/>
      </c>
      <c r="V21" s="3493">
        <f>E21/1000*methane*H21</f>
        <v/>
      </c>
      <c r="W21" s="1153">
        <f>F21/1000*methane*I21</f>
        <v/>
      </c>
      <c r="X21" s="3505">
        <f>G21/1000*methane*K21</f>
        <v/>
      </c>
      <c r="Z21" s="3496">
        <f>MIN($V21,$W21)*time_tot+ABS($W21-$V21)*IF($W21&gt;$V21,time_cap+time*(VLOOKUP($J21,list!$J$48:$K$50,2,0)),time*(1-(VLOOKUP($J21,list!$J$48:$K$50,2,0))))</f>
        <v/>
      </c>
      <c r="AA21" s="1153">
        <f>MIN($V21,$X21)*time_tot+ABS($X21-$V21)*IF($X21&gt;$V21,time_cap+time*(VLOOKUP($L21,list!$J$48:$K$50,2,0)),time*(1-(VLOOKUP($L21,list!$J$48:$K$50,2,0))))</f>
        <v/>
      </c>
      <c r="AB21" s="3499">
        <f>AA21-Z21</f>
        <v/>
      </c>
      <c r="AO21" s="992" t="n"/>
      <c r="AP21" s="1246" t="n"/>
    </row>
    <row r="22">
      <c r="B22" s="973">
        <f>'4.Grassland'!I70</f>
        <v/>
      </c>
      <c r="C22" s="1688">
        <f>'4.Grassland'!K70</f>
        <v/>
      </c>
      <c r="D22" s="4718">
        <f>IFERROR(IF(C22="Default",INDEX(CH4_Ent_Default[#All],MATCH(Livestock!$C$2,CH4_Ent_Default[[#All],[IPCC Region]],0),MATCH(Livestock!B22,CH4_Ent_Default[#Headers],0)),
IF(C22="Low-productivity",INDEX(CH4_Ent_LP[#All],MATCH(Livestock!$C$2,CH4_Ent_LP[[#All],[IPCC Region]],0),MATCH(Livestock!B22,CH4_Ent_HP[#Headers],0)),
IF(C22="High-productivity",INDEX(CH4_Ent_HP[#All],MATCH(Livestock!$C$2,CH4_Ent_HP[[#All],[Please select]],0),MATCH(Livestock!B22,CH4_Ent_HP[#Headers],0)),0))),0)</f>
        <v/>
      </c>
      <c r="E22" s="3495">
        <f>IF('4.Grassland'!BD70="",'4.Grassland'!$BC70,'4.Grassland'!BD70)</f>
        <v/>
      </c>
      <c r="F22" s="1153">
        <f>IF('4.Grassland'!BE70="",'4.Grassland'!$BC70,'4.Grassland'!BE70)</f>
        <v/>
      </c>
      <c r="G22" s="3505">
        <f>IF('4.Grassland'!BF70="",'4.Grassland'!$BC70,'4.Grassland'!BF70)</f>
        <v/>
      </c>
      <c r="H22" s="992">
        <f>'4.Grassland'!W70</f>
        <v/>
      </c>
      <c r="I22" s="992">
        <f>'4.Grassland'!X70</f>
        <v/>
      </c>
      <c r="J22" s="1688">
        <f>VLOOKUP('4.Grassland'!Y70, list!$I$48:$J$50,2,FALSE )</f>
        <v/>
      </c>
      <c r="K22" s="992">
        <f>'4.Grassland'!Z70</f>
        <v/>
      </c>
      <c r="L22" s="1688">
        <f>VLOOKUP('4.Grassland'!AA70, list!$I$48:$J$50,2,FALSE )</f>
        <v/>
      </c>
      <c r="V22" s="3493">
        <f>E22/1000*methane*H22</f>
        <v/>
      </c>
      <c r="W22" s="1153">
        <f>F22/1000*methane*I22</f>
        <v/>
      </c>
      <c r="X22" s="3505">
        <f>G22/1000*methane*K22</f>
        <v/>
      </c>
      <c r="Z22" s="3496">
        <f>MIN($V22,$W22)*time_tot+ABS($W22-$V22)*IF($W22&gt;$V22,time_cap+time*(VLOOKUP($J22,list!$J$48:$K$50,2,0)),time*(1-(VLOOKUP($J22,list!$J$48:$K$50,2,0))))</f>
        <v/>
      </c>
      <c r="AA22" s="1153">
        <f>MIN($V22,$X22)*time_tot+ABS($X22-$V22)*IF($X22&gt;$V22,time_cap+time*(VLOOKUP($L22,list!$J$48:$K$50,2,0)),time*(1-(VLOOKUP($L22,list!$J$48:$K$50,2,0))))</f>
        <v/>
      </c>
      <c r="AB22" s="3499">
        <f>AA22-Z22</f>
        <v/>
      </c>
      <c r="AO22" s="992" t="n"/>
      <c r="AP22" s="1246" t="n"/>
    </row>
    <row r="23">
      <c r="B23" s="973">
        <f>'4.Grassland'!I71</f>
        <v/>
      </c>
      <c r="C23" s="1688">
        <f>'4.Grassland'!K71</f>
        <v/>
      </c>
      <c r="D23" s="4718">
        <f>IFERROR(IF(C23="Default",INDEX(CH4_Ent_Default[#All],MATCH(Livestock!$C$2,CH4_Ent_Default[[#All],[IPCC Region]],0),MATCH(Livestock!B23,CH4_Ent_Default[#Headers],0)),
IF(C23="Low-productivity",INDEX(CH4_Ent_LP[#All],MATCH(Livestock!$C$2,CH4_Ent_LP[[#All],[IPCC Region]],0),MATCH(Livestock!B23,CH4_Ent_HP[#Headers],0)),
IF(C23="High-productivity",INDEX(CH4_Ent_HP[#All],MATCH(Livestock!$C$2,CH4_Ent_HP[[#All],[Please select]],0),MATCH(Livestock!B23,CH4_Ent_HP[#Headers],0)),0))),0)</f>
        <v/>
      </c>
      <c r="E23" s="3495">
        <f>IF('4.Grassland'!BD71="",'4.Grassland'!$BC71,'4.Grassland'!BD71)</f>
        <v/>
      </c>
      <c r="F23" s="1153">
        <f>IF('4.Grassland'!BE71="",'4.Grassland'!$BC71,'4.Grassland'!BE71)</f>
        <v/>
      </c>
      <c r="G23" s="3505">
        <f>IF('4.Grassland'!BF71="",'4.Grassland'!$BC71,'4.Grassland'!BF71)</f>
        <v/>
      </c>
      <c r="H23" s="992">
        <f>'4.Grassland'!W71</f>
        <v/>
      </c>
      <c r="I23" s="992">
        <f>'4.Grassland'!X71</f>
        <v/>
      </c>
      <c r="J23" s="1688">
        <f>VLOOKUP('4.Grassland'!Y71, list!$I$48:$J$50,2,FALSE )</f>
        <v/>
      </c>
      <c r="K23" s="992">
        <f>'4.Grassland'!Z71</f>
        <v/>
      </c>
      <c r="L23" s="1688">
        <f>VLOOKUP('4.Grassland'!AA71, list!$I$48:$J$50,2,FALSE )</f>
        <v/>
      </c>
      <c r="V23" s="3493">
        <f>E23/1000*methane*H23</f>
        <v/>
      </c>
      <c r="W23" s="1153">
        <f>F23/1000*methane*I23</f>
        <v/>
      </c>
      <c r="X23" s="3505">
        <f>G23/1000*methane*K23</f>
        <v/>
      </c>
      <c r="Z23" s="3496">
        <f>MIN($V23,$W23)*time_tot+ABS($W23-$V23)*IF($W23&gt;$V23,time_cap+time*(VLOOKUP($J23,list!$J$48:$K$50,2,0)),time*(1-(VLOOKUP($J23,list!$J$48:$K$50,2,0))))</f>
        <v/>
      </c>
      <c r="AA23" s="1153">
        <f>MIN($V23,$X23)*time_tot+ABS($X23-$V23)*IF($X23&gt;$V23,time_cap+time*(VLOOKUP($L23,list!$J$48:$K$50,2,0)),time*(1-(VLOOKUP($L23,list!$J$48:$K$50,2,0))))</f>
        <v/>
      </c>
      <c r="AB23" s="3499">
        <f>AA23-Z23</f>
        <v/>
      </c>
      <c r="AO23" s="992" t="n"/>
      <c r="AP23" s="1246" t="n"/>
    </row>
    <row r="24">
      <c r="B24" s="973">
        <f>'4.Grassland'!I72</f>
        <v/>
      </c>
      <c r="C24" s="1688">
        <f>'4.Grassland'!K72</f>
        <v/>
      </c>
      <c r="D24" s="4718">
        <f>IFERROR(IF(C24="Default",INDEX(CH4_Ent_Default[#All],MATCH(Livestock!$C$2,CH4_Ent_Default[[#All],[IPCC Region]],0),MATCH(Livestock!B24,CH4_Ent_Default[#Headers],0)),
IF(C24="Low-productivity",INDEX(CH4_Ent_LP[#All],MATCH(Livestock!$C$2,CH4_Ent_LP[[#All],[IPCC Region]],0),MATCH(Livestock!B24,CH4_Ent_HP[#Headers],0)),
IF(C24="High-productivity",INDEX(CH4_Ent_HP[#All],MATCH(Livestock!$C$2,CH4_Ent_HP[[#All],[Please select]],0),MATCH(Livestock!B24,CH4_Ent_HP[#Headers],0)),0))),0)</f>
        <v/>
      </c>
      <c r="E24" s="3495">
        <f>IF('4.Grassland'!BD72="",'4.Grassland'!$BC72,'4.Grassland'!BD72)</f>
        <v/>
      </c>
      <c r="F24" s="1153">
        <f>IF('4.Grassland'!BE72="",'4.Grassland'!$BC72,'4.Grassland'!BE72)</f>
        <v/>
      </c>
      <c r="G24" s="3505">
        <f>IF('4.Grassland'!BF72="",'4.Grassland'!$BC72,'4.Grassland'!BF72)</f>
        <v/>
      </c>
      <c r="H24" s="992">
        <f>'4.Grassland'!W72</f>
        <v/>
      </c>
      <c r="I24" s="992">
        <f>'4.Grassland'!X72</f>
        <v/>
      </c>
      <c r="J24" s="1688">
        <f>VLOOKUP('4.Grassland'!Y72, list!$I$48:$J$50,2,FALSE )</f>
        <v/>
      </c>
      <c r="K24" s="992">
        <f>'4.Grassland'!Z72</f>
        <v/>
      </c>
      <c r="L24" s="1688">
        <f>VLOOKUP('4.Grassland'!AA72, list!$I$48:$J$50,2,FALSE )</f>
        <v/>
      </c>
      <c r="V24" s="3493">
        <f>E24/1000*methane*H24</f>
        <v/>
      </c>
      <c r="W24" s="1153">
        <f>F24/1000*methane*I24</f>
        <v/>
      </c>
      <c r="X24" s="3505">
        <f>G24/1000*methane*K24</f>
        <v/>
      </c>
      <c r="Z24" s="3496">
        <f>MIN($V24,$W24)*time_tot+ABS($W24-$V24)*IF($W24&gt;$V24,time_cap+time*(VLOOKUP($J24,list!$J$48:$K$50,2,0)),time*(1-(VLOOKUP($J24,list!$J$48:$K$50,2,0))))</f>
        <v/>
      </c>
      <c r="AA24" s="1153">
        <f>MIN($V24,$X24)*time_tot+ABS($X24-$V24)*IF($X24&gt;$V24,time_cap+time*(VLOOKUP($L24,list!$J$48:$K$50,2,0)),time*(1-(VLOOKUP($L24,list!$J$48:$K$50,2,0))))</f>
        <v/>
      </c>
      <c r="AB24" s="3499">
        <f>AA24-Z24</f>
        <v/>
      </c>
      <c r="AO24" s="992" t="n"/>
      <c r="AP24" s="1246" t="n"/>
    </row>
    <row r="25">
      <c r="AO25" s="992" t="n"/>
      <c r="AP25" s="1246" t="n"/>
    </row>
    <row r="26">
      <c r="AO26" s="992" t="n"/>
      <c r="AP26" s="1246" t="n"/>
    </row>
    <row r="27">
      <c r="W27" s="1163" t="n"/>
      <c r="X27" s="1654" t="n"/>
      <c r="Y27" s="1653" t="inlineStr">
        <is>
          <t>Total Enteric Fermentation</t>
        </is>
      </c>
      <c r="Z27" s="2276">
        <f>SUM(Z8:Z24)</f>
        <v/>
      </c>
      <c r="AA27" s="2276">
        <f>SUM(AA8:AA24)</f>
        <v/>
      </c>
      <c r="AB27" s="2276">
        <f>SUM(AB8:AB24)</f>
        <v/>
      </c>
      <c r="AO27" s="992" t="n"/>
      <c r="AP27" s="1246" t="n"/>
    </row>
    <row r="28">
      <c r="AO28" s="992" t="n"/>
      <c r="AP28" s="1246" t="n"/>
    </row>
    <row r="30">
      <c r="AA30" s="1445" t="inlineStr">
        <is>
          <t>TEST TIER 2</t>
        </is>
      </c>
      <c r="AB30" s="3165">
        <f>SUM('4.Grassland'!BD56:BF66,'4.Grassland'!BN56:BP66,'4.Grassland'!BS56:BU66)</f>
        <v/>
      </c>
    </row>
    <row r="33" ht="45" customHeight="1">
      <c r="A33" s="2518" t="n"/>
      <c r="B33" s="1629" t="inlineStr">
        <is>
          <t>Methane emissions from manure management</t>
        </is>
      </c>
      <c r="C33" s="2518" t="n"/>
      <c r="D33" s="2518" t="n"/>
      <c r="E33" s="2518" t="n"/>
      <c r="F33" s="2518" t="n"/>
      <c r="G33" s="2518" t="n"/>
      <c r="H33" s="2518" t="n"/>
      <c r="I33" s="2518" t="n"/>
      <c r="J33" s="2518" t="n"/>
      <c r="K33" s="2518" t="n"/>
      <c r="L33" s="2518" t="n"/>
      <c r="M33" s="2518" t="n"/>
      <c r="N33" s="2518" t="n"/>
      <c r="O33" s="2518" t="n"/>
      <c r="P33" s="2518" t="n"/>
      <c r="Q33" s="2518" t="n"/>
      <c r="R33" s="2518" t="n"/>
      <c r="S33" s="2518" t="n"/>
      <c r="T33" s="2518" t="n"/>
      <c r="U33" s="2518" t="n"/>
      <c r="V33" s="2518" t="n"/>
      <c r="W33" s="2518" t="n"/>
      <c r="X33" s="2518" t="n"/>
      <c r="Y33" s="2518" t="n"/>
      <c r="Z33" s="2518" t="n"/>
      <c r="AA33" s="2518" t="n"/>
      <c r="AB33" s="2518" t="n"/>
      <c r="AC33" s="2518" t="n"/>
    </row>
    <row r="34">
      <c r="B34" s="1644" t="n"/>
      <c r="C34" s="1644" t="n"/>
      <c r="D34" s="1644" t="n"/>
      <c r="E34" s="1644" t="n"/>
    </row>
    <row r="35">
      <c r="B35" s="1644" t="n"/>
      <c r="C35" s="1644" t="inlineStr">
        <is>
          <t>EFCH4 manure Tables</t>
        </is>
      </c>
      <c r="D35" s="1644" t="n"/>
      <c r="E35" s="1644" t="n"/>
      <c r="I35" s="1644" t="inlineStr">
        <is>
          <t>AWMS Tables</t>
        </is>
      </c>
      <c r="N35" s="1644" t="n"/>
      <c r="O35" s="1644" t="inlineStr">
        <is>
          <t>EF N2O manure management</t>
        </is>
      </c>
      <c r="T35" s="1644" t="n"/>
      <c r="U35" s="1644" t="inlineStr">
        <is>
          <t>Frac gaz MS Tables</t>
        </is>
      </c>
      <c r="V35" s="1644" t="n"/>
      <c r="W35" s="1644" t="n"/>
    </row>
    <row r="36" ht="15" customHeight="1">
      <c r="B36" s="1649" t="inlineStr">
        <is>
          <t>Livestock category</t>
        </is>
      </c>
      <c r="C36" s="1649" t="inlineStr">
        <is>
          <t>Default</t>
        </is>
      </c>
      <c r="D36" s="1649" t="inlineStr">
        <is>
          <t>High-productivity</t>
        </is>
      </c>
      <c r="E36" s="1649" t="inlineStr">
        <is>
          <t>Low-productivity</t>
        </is>
      </c>
      <c r="H36" s="1649" t="inlineStr">
        <is>
          <t>Livestock category</t>
        </is>
      </c>
      <c r="I36" s="1649" t="inlineStr">
        <is>
          <t>Default</t>
        </is>
      </c>
      <c r="J36" s="1649" t="inlineStr">
        <is>
          <t>High-productivity</t>
        </is>
      </c>
      <c r="K36" s="1649" t="inlineStr">
        <is>
          <t>Low-productivity</t>
        </is>
      </c>
      <c r="N36" s="1649" t="inlineStr">
        <is>
          <t>Livestock category</t>
        </is>
      </c>
      <c r="O36" s="1649" t="inlineStr">
        <is>
          <t>Default</t>
        </is>
      </c>
      <c r="P36" s="1649" t="inlineStr">
        <is>
          <t>High-productivity</t>
        </is>
      </c>
      <c r="Q36" s="1649" t="inlineStr">
        <is>
          <t>Low-productivity</t>
        </is>
      </c>
      <c r="S36" s="1202" t="n"/>
      <c r="T36" s="1649" t="inlineStr">
        <is>
          <t>Livestock category</t>
        </is>
      </c>
      <c r="U36" s="1649" t="inlineStr">
        <is>
          <t>Default</t>
        </is>
      </c>
      <c r="V36" s="1649" t="inlineStr">
        <is>
          <t>High-productivity</t>
        </is>
      </c>
      <c r="W36" s="1649" t="inlineStr">
        <is>
          <t>Low-productivity</t>
        </is>
      </c>
    </row>
    <row r="37">
      <c r="B37" s="1667" t="inlineStr">
        <is>
          <t>Dairy cattle</t>
        </is>
      </c>
      <c r="C37" s="1644" t="inlineStr">
        <is>
          <t>CH4_man_Dairy_Cattle_LP</t>
        </is>
      </c>
      <c r="D37" s="1644" t="inlineStr">
        <is>
          <t>CH4_man_Dairy_Cattle_HP</t>
        </is>
      </c>
      <c r="E37" s="1644" t="inlineStr">
        <is>
          <t>CH4_man_Dairy_Cattle_LP</t>
        </is>
      </c>
      <c r="H37" s="1667" t="inlineStr">
        <is>
          <t>Dairy cattle</t>
        </is>
      </c>
      <c r="I37" s="1644" t="inlineStr">
        <is>
          <t>AWMS_Dairy_Cattle</t>
        </is>
      </c>
      <c r="J37" s="1644" t="inlineStr">
        <is>
          <t>AWMS_Dairy_Cattle</t>
        </is>
      </c>
      <c r="K37" s="1644" t="inlineStr">
        <is>
          <t>AWMS_Dairy_Cattle</t>
        </is>
      </c>
      <c r="N37" s="1667" t="inlineStr">
        <is>
          <t>Dairy cattle</t>
        </is>
      </c>
      <c r="O37" s="1644" t="inlineStr">
        <is>
          <t>EF_DIRECT_N2O_manure_mngt_cattle_poultry_pigs</t>
        </is>
      </c>
      <c r="P37" s="1644" t="inlineStr">
        <is>
          <t>EF_DIRECT_N2O_manure_mngt_cattle_poultry_pigs</t>
        </is>
      </c>
      <c r="Q37" s="1644" t="inlineStr">
        <is>
          <t>EF_DIRECT_N2O_manure_mngt_cattle_poultry_pigs</t>
        </is>
      </c>
      <c r="R37" s="1644" t="n"/>
      <c r="S37" s="1644" t="n"/>
      <c r="T37" s="1667" t="inlineStr">
        <is>
          <t>Dairy cattle</t>
        </is>
      </c>
      <c r="U37" s="1644" t="inlineStr">
        <is>
          <t>Frac_vol_dairy_cow</t>
        </is>
      </c>
      <c r="V37" s="1644" t="inlineStr">
        <is>
          <t>Frac_vol_dairy_cow</t>
        </is>
      </c>
      <c r="W37" s="1644" t="inlineStr">
        <is>
          <t>Frac_vol_dairy_cow</t>
        </is>
      </c>
      <c r="X37" s="1644" t="inlineStr">
        <is>
          <t>Frac_vol_dairy_cow</t>
        </is>
      </c>
    </row>
    <row r="38">
      <c r="B38" s="1665" t="inlineStr">
        <is>
          <t>Other cattle</t>
        </is>
      </c>
      <c r="C38" s="1644" t="inlineStr">
        <is>
          <t>CH4_man_Other_Cattle_LP</t>
        </is>
      </c>
      <c r="D38" s="1644" t="inlineStr">
        <is>
          <t>CH4_man_Other_Cattle_HP</t>
        </is>
      </c>
      <c r="E38" s="1644" t="inlineStr">
        <is>
          <t>CH4_man_Other_Cattle_LP</t>
        </is>
      </c>
      <c r="H38" s="1665" t="inlineStr">
        <is>
          <t>Other cattle</t>
        </is>
      </c>
      <c r="I38" s="1644" t="inlineStr">
        <is>
          <t>AWMS_Other_Cattle</t>
        </is>
      </c>
      <c r="J38" s="1644" t="inlineStr">
        <is>
          <t>AWMS_Other_Cattle</t>
        </is>
      </c>
      <c r="K38" s="1644" t="inlineStr">
        <is>
          <t>AWMS_Other_Cattle</t>
        </is>
      </c>
      <c r="N38" s="1665" t="inlineStr">
        <is>
          <t>Other cattle</t>
        </is>
      </c>
      <c r="O38" s="1644" t="inlineStr">
        <is>
          <t>EF_DIRECT_N2O_manure_mngt_cattle_poultry_pigs</t>
        </is>
      </c>
      <c r="P38" s="1644" t="inlineStr">
        <is>
          <t>EF_DIRECT_N2O_manure_mngt_cattle_poultry_pigs</t>
        </is>
      </c>
      <c r="Q38" s="1644" t="inlineStr">
        <is>
          <t>EF_DIRECT_N2O_manure_mngt_cattle_poultry_pigs</t>
        </is>
      </c>
      <c r="R38" s="1644" t="n"/>
      <c r="S38" s="1041" t="n"/>
      <c r="T38" s="1665" t="inlineStr">
        <is>
          <t>Other cattle</t>
        </is>
      </c>
      <c r="U38" s="1644" t="inlineStr">
        <is>
          <t>Frac_vol_Other_Cattle</t>
        </is>
      </c>
      <c r="V38" s="1644" t="inlineStr">
        <is>
          <t>Frac_vol_Other_Cattle</t>
        </is>
      </c>
      <c r="W38" s="1644" t="inlineStr">
        <is>
          <t>Frac_vol_Other_Cattle</t>
        </is>
      </c>
      <c r="X38" s="1644" t="inlineStr">
        <is>
          <t>Frac_vol_Other_Cattle</t>
        </is>
      </c>
      <c r="Y38" s="1663" t="n"/>
      <c r="Z38" s="1669" t="n"/>
      <c r="AA38" s="1663" t="n"/>
      <c r="AB38" s="1663" t="n"/>
      <c r="AC38" s="1662" t="n"/>
    </row>
    <row r="39">
      <c r="B39" s="1665" t="inlineStr">
        <is>
          <t>Dairy buffalo</t>
        </is>
      </c>
      <c r="C39" s="1644" t="inlineStr">
        <is>
          <t>CH4_man_Other_Cattle_LP</t>
        </is>
      </c>
      <c r="D39" s="1644" t="inlineStr">
        <is>
          <t>CH4_man_Other_Cattle_LP</t>
        </is>
      </c>
      <c r="E39" s="1644" t="inlineStr">
        <is>
          <t>CH4_man_Other_Cattle_LP</t>
        </is>
      </c>
      <c r="H39" s="1665" t="inlineStr">
        <is>
          <t>Dairy buffalo</t>
        </is>
      </c>
      <c r="I39" s="1644" t="inlineStr">
        <is>
          <t>AWMS_Dairy_Buffalo</t>
        </is>
      </c>
      <c r="J39" s="1644" t="inlineStr">
        <is>
          <t>AWMS_Dairy_Buffalo</t>
        </is>
      </c>
      <c r="K39" s="1644" t="inlineStr">
        <is>
          <t>AWMS_Dairy_Buffalo</t>
        </is>
      </c>
      <c r="N39" s="1665" t="inlineStr">
        <is>
          <t>Dairy buffalo</t>
        </is>
      </c>
      <c r="O39" s="1644" t="inlineStr">
        <is>
          <t>EF_DIRECT_N2O_manure_mngt_cattle_poultry_pigs</t>
        </is>
      </c>
      <c r="P39" s="1644" t="inlineStr">
        <is>
          <t>EF_DIRECT_N2O_manure_mngt_cattle_poultry_pigs</t>
        </is>
      </c>
      <c r="Q39" s="1644" t="inlineStr">
        <is>
          <t>EF_DIRECT_N2O_manure_mngt_cattle_poultry_pigs</t>
        </is>
      </c>
      <c r="R39" s="1644" t="n"/>
      <c r="S39" s="1041" t="n"/>
      <c r="T39" s="1665" t="inlineStr">
        <is>
          <t>Dairy buffalo</t>
        </is>
      </c>
      <c r="U39" s="1644" t="inlineStr">
        <is>
          <t>Frac_vol_Other_Animal</t>
        </is>
      </c>
      <c r="V39" s="1644" t="inlineStr">
        <is>
          <t>Frac_vol_Other_Animal</t>
        </is>
      </c>
      <c r="W39" s="1644" t="inlineStr">
        <is>
          <t>Frac_vol_Other_Animal</t>
        </is>
      </c>
      <c r="X39" s="1644" t="n"/>
      <c r="Y39" s="1663" t="n"/>
      <c r="Z39" s="1669" t="n"/>
      <c r="AA39" s="1663" t="n"/>
      <c r="AB39" s="1663" t="n"/>
      <c r="AC39" s="1662" t="n"/>
    </row>
    <row r="40">
      <c r="B40" s="1665" t="inlineStr">
        <is>
          <t>Other buffalo</t>
        </is>
      </c>
      <c r="C40" s="1644" t="inlineStr">
        <is>
          <t>CH4_man_Other_Cattle_LP</t>
        </is>
      </c>
      <c r="D40" s="1644" t="inlineStr">
        <is>
          <t>CH4_man_Other_Cattle_LP</t>
        </is>
      </c>
      <c r="E40" s="1644" t="inlineStr">
        <is>
          <t>CH4_man_Other_Cattle_LP</t>
        </is>
      </c>
      <c r="H40" s="1665" t="inlineStr">
        <is>
          <t>Other buffalo</t>
        </is>
      </c>
      <c r="I40" s="1644" t="inlineStr">
        <is>
          <t>AWMS_Other_Buffalo</t>
        </is>
      </c>
      <c r="J40" s="1644" t="inlineStr">
        <is>
          <t>AWMS_Other_Buffalo</t>
        </is>
      </c>
      <c r="K40" s="1644" t="inlineStr">
        <is>
          <t>AWMS_Other_Buffalo</t>
        </is>
      </c>
      <c r="N40" s="1665" t="inlineStr">
        <is>
          <t>Other buffalo</t>
        </is>
      </c>
      <c r="O40" s="1644" t="inlineStr">
        <is>
          <t>EF_DIRECT_N2O_manure_mngt_cattle_poultry_pigs</t>
        </is>
      </c>
      <c r="P40" s="1644" t="inlineStr">
        <is>
          <t>EF_DIRECT_N2O_manure_mngt_cattle_poultry_pigs</t>
        </is>
      </c>
      <c r="Q40" s="1644" t="inlineStr">
        <is>
          <t>EF_DIRECT_N2O_manure_mngt_cattle_poultry_pigs</t>
        </is>
      </c>
      <c r="R40" s="1644" t="n"/>
      <c r="S40" s="1041" t="n"/>
      <c r="T40" s="1665" t="inlineStr">
        <is>
          <t>Other buffalo</t>
        </is>
      </c>
      <c r="U40" s="1644" t="inlineStr">
        <is>
          <t>Frac_vol_Other_Animal</t>
        </is>
      </c>
      <c r="V40" s="1644" t="inlineStr">
        <is>
          <t>Frac_vol_Other_Animal</t>
        </is>
      </c>
      <c r="W40" s="1644" t="inlineStr">
        <is>
          <t>Frac_vol_Other_Animal</t>
        </is>
      </c>
      <c r="X40" s="1644" t="n"/>
      <c r="Y40" s="1663" t="n"/>
      <c r="Z40" s="1669" t="n"/>
      <c r="AA40" s="1663" t="n"/>
      <c r="AB40" s="1663" t="n"/>
      <c r="AC40" s="1662" t="n"/>
    </row>
    <row r="41">
      <c r="B41" s="1664" t="inlineStr">
        <is>
          <t>Dairy sheep</t>
        </is>
      </c>
      <c r="C41" s="1644" t="inlineStr">
        <is>
          <t>CH4_man_Sheep_LP</t>
        </is>
      </c>
      <c r="D41" s="1644" t="inlineStr">
        <is>
          <t>CH4_man_Sheep_HP</t>
        </is>
      </c>
      <c r="E41" s="1644" t="inlineStr">
        <is>
          <t>CH4_man_Sheep_LP</t>
        </is>
      </c>
      <c r="H41" s="1664" t="inlineStr">
        <is>
          <t>Dairy sheep</t>
        </is>
      </c>
      <c r="I41" s="1644" t="inlineStr">
        <is>
          <t>AWMS_Sheep_dairy</t>
        </is>
      </c>
      <c r="J41" s="1644" t="inlineStr">
        <is>
          <t>AWMS_Sheep_dairy</t>
        </is>
      </c>
      <c r="K41" s="1644" t="inlineStr">
        <is>
          <t>AWMS_Sheep_dairy</t>
        </is>
      </c>
      <c r="N41" s="1664" t="inlineStr">
        <is>
          <t>Dairy sheep</t>
        </is>
      </c>
      <c r="O41" s="1644" t="inlineStr">
        <is>
          <t>EF_DIRECT_N2O_manure_mngt_Sheeps_others</t>
        </is>
      </c>
      <c r="P41" s="1644" t="inlineStr">
        <is>
          <t>EF_DIRECT_N2O_manure_mngt_Sheeps_others</t>
        </is>
      </c>
      <c r="Q41" s="1644" t="inlineStr">
        <is>
          <t>EF_DIRECT_N2O_manure_mngt_Sheeps_others</t>
        </is>
      </c>
      <c r="S41" s="1041" t="n"/>
      <c r="T41" s="1664" t="inlineStr">
        <is>
          <t>Dairy sheep</t>
        </is>
      </c>
      <c r="U41" s="1644" t="inlineStr">
        <is>
          <t>Frac_vol_Other_Animal</t>
        </is>
      </c>
      <c r="V41" s="1644" t="inlineStr">
        <is>
          <t>Frac_vol_Other_Animal</t>
        </is>
      </c>
      <c r="W41" s="1644" t="inlineStr">
        <is>
          <t>Frac_vol_Other_Animal</t>
        </is>
      </c>
      <c r="X41" s="1644" t="n"/>
      <c r="Y41" s="1663" t="n"/>
      <c r="Z41" s="1669" t="n"/>
      <c r="AA41" s="1663" t="n"/>
      <c r="AB41" s="1663" t="n"/>
      <c r="AC41" s="1662" t="n"/>
    </row>
    <row r="42">
      <c r="B42" s="1665" t="inlineStr">
        <is>
          <t>Other Sheep</t>
        </is>
      </c>
      <c r="C42" s="1644" t="inlineStr">
        <is>
          <t>CH4_man_Sheep_LP</t>
        </is>
      </c>
      <c r="D42" s="1644" t="inlineStr">
        <is>
          <t>CH4_man_Sheep_HP</t>
        </is>
      </c>
      <c r="E42" s="1644" t="inlineStr">
        <is>
          <t>CH4_man_Sheep_LP</t>
        </is>
      </c>
      <c r="H42" s="1665" t="inlineStr">
        <is>
          <t>Other Sheep</t>
        </is>
      </c>
      <c r="I42" s="1644" t="inlineStr">
        <is>
          <t>AWMS_Other_Sheep</t>
        </is>
      </c>
      <c r="J42" s="1644" t="inlineStr">
        <is>
          <t>AWMS_Other_Sheep</t>
        </is>
      </c>
      <c r="K42" s="1644" t="inlineStr">
        <is>
          <t>AWMS_Other_Sheep</t>
        </is>
      </c>
      <c r="N42" s="1665" t="inlineStr">
        <is>
          <t>Other Sheep</t>
        </is>
      </c>
      <c r="O42" s="1644" t="inlineStr">
        <is>
          <t>EF_DIRECT_N2O_manure_mngt_Sheeps_others</t>
        </is>
      </c>
      <c r="P42" s="1644" t="inlineStr">
        <is>
          <t>EF_DIRECT_N2O_manure_mngt_Sheeps_others</t>
        </is>
      </c>
      <c r="Q42" s="1644" t="inlineStr">
        <is>
          <t>EF_DIRECT_N2O_manure_mngt_Sheeps_others</t>
        </is>
      </c>
      <c r="S42" s="1041" t="n"/>
      <c r="T42" s="1665" t="inlineStr">
        <is>
          <t>Other Sheep</t>
        </is>
      </c>
      <c r="U42" s="1644" t="inlineStr">
        <is>
          <t>Frac_vol_Other_Animal</t>
        </is>
      </c>
      <c r="V42" s="1644" t="inlineStr">
        <is>
          <t>Frac_vol_Other_Animal</t>
        </is>
      </c>
      <c r="W42" s="1644" t="inlineStr">
        <is>
          <t>Frac_vol_Other_Animal</t>
        </is>
      </c>
      <c r="X42" s="1644" t="n"/>
      <c r="Y42" s="1663" t="n"/>
      <c r="Z42" s="1669" t="n"/>
      <c r="AA42" s="1663" t="n"/>
      <c r="AB42" s="1663" t="n"/>
      <c r="AC42" s="1662" t="n"/>
    </row>
    <row r="43">
      <c r="B43" s="1664" t="inlineStr">
        <is>
          <t>Growing swine</t>
        </is>
      </c>
      <c r="C43" s="1644" t="inlineStr">
        <is>
          <t>CH4_man_Swine_LP</t>
        </is>
      </c>
      <c r="D43" s="1644" t="inlineStr">
        <is>
          <t>CH4_man_Swine_HP</t>
        </is>
      </c>
      <c r="E43" s="1644" t="inlineStr">
        <is>
          <t>CH4_man_Swine_LP</t>
        </is>
      </c>
      <c r="H43" s="1664" t="inlineStr">
        <is>
          <t>Growing swine</t>
        </is>
      </c>
      <c r="I43" s="1644" t="inlineStr">
        <is>
          <t>AWMS_Growing_Swine_LP</t>
        </is>
      </c>
      <c r="J43" s="1644" t="inlineStr">
        <is>
          <t>AMWS_Growing_Swine_HP</t>
        </is>
      </c>
      <c r="K43" s="1644" t="inlineStr">
        <is>
          <t>AWMS_Growing_Swine_LP</t>
        </is>
      </c>
      <c r="N43" s="1664" t="inlineStr">
        <is>
          <t>Growing swine</t>
        </is>
      </c>
      <c r="O43" s="1644" t="inlineStr">
        <is>
          <t>EF_DIRECT_N2O_manure_mngt_cattle_poultry_pigs</t>
        </is>
      </c>
      <c r="P43" s="1644" t="inlineStr">
        <is>
          <t>EF_DIRECT_N2O_manure_mngt_cattle_poultry_pigs</t>
        </is>
      </c>
      <c r="Q43" s="1644" t="inlineStr">
        <is>
          <t>EF_DIRECT_N2O_manure_mngt_cattle_poultry_pigs</t>
        </is>
      </c>
      <c r="S43" s="1041" t="n"/>
      <c r="T43" s="1664" t="inlineStr">
        <is>
          <t>Growing swine</t>
        </is>
      </c>
      <c r="U43" s="1644" t="inlineStr">
        <is>
          <t>Frac_vol_swine</t>
        </is>
      </c>
      <c r="V43" s="1644" t="inlineStr">
        <is>
          <t>Frac_vol_swine</t>
        </is>
      </c>
      <c r="W43" s="1644" t="inlineStr">
        <is>
          <t>Frac_vol_swine</t>
        </is>
      </c>
      <c r="X43" s="1644" t="inlineStr">
        <is>
          <t>Frac_vol_swine</t>
        </is>
      </c>
      <c r="Y43" s="1663" t="n"/>
      <c r="Z43" s="1669" t="n"/>
      <c r="AA43" s="1663" t="n"/>
      <c r="AB43" s="1663" t="n"/>
      <c r="AC43" s="1662" t="n"/>
    </row>
    <row r="44" ht="16.5" customHeight="1">
      <c r="B44" s="1665" t="inlineStr">
        <is>
          <t>Breeding swine</t>
        </is>
      </c>
      <c r="C44" s="1644" t="inlineStr">
        <is>
          <t>CH4_man_Swine_LP</t>
        </is>
      </c>
      <c r="D44" s="1644" t="inlineStr">
        <is>
          <t>CH4_man_Swine_HP</t>
        </is>
      </c>
      <c r="E44" s="1644" t="inlineStr">
        <is>
          <t>CH4_man_Swine_LP</t>
        </is>
      </c>
      <c r="H44" s="1665" t="inlineStr">
        <is>
          <t>Breeding swine</t>
        </is>
      </c>
      <c r="I44" s="1644" t="inlineStr">
        <is>
          <t>AWMS_Breeding_Swine_LP</t>
        </is>
      </c>
      <c r="J44" s="1644" t="inlineStr">
        <is>
          <t>AMWS_Breeding_Swine_HP</t>
        </is>
      </c>
      <c r="K44" s="1644" t="inlineStr">
        <is>
          <t>AWMS_Breeding_Swine_LP</t>
        </is>
      </c>
      <c r="N44" s="1665" t="inlineStr">
        <is>
          <t>Breeding swine</t>
        </is>
      </c>
      <c r="O44" s="1644" t="inlineStr">
        <is>
          <t>EF_DIRECT_N2O_manure_mngt_cattle_poultry_pigs</t>
        </is>
      </c>
      <c r="P44" s="1644" t="inlineStr">
        <is>
          <t>EF_DIRECT_N2O_manure_mngt_cattle_poultry_pigs</t>
        </is>
      </c>
      <c r="Q44" s="1644" t="inlineStr">
        <is>
          <t>EF_DIRECT_N2O_manure_mngt_cattle_poultry_pigs</t>
        </is>
      </c>
      <c r="S44" s="1041" t="n"/>
      <c r="T44" s="1665" t="inlineStr">
        <is>
          <t>Breeding swine</t>
        </is>
      </c>
      <c r="U44" s="1644" t="inlineStr">
        <is>
          <t>Frac_vol_swine</t>
        </is>
      </c>
      <c r="V44" s="1644" t="inlineStr">
        <is>
          <t>Frac_vol_swine</t>
        </is>
      </c>
      <c r="W44" s="1644" t="inlineStr">
        <is>
          <t>Frac_vol_swine</t>
        </is>
      </c>
      <c r="X44" s="1644" t="inlineStr">
        <is>
          <t>Frac_vol_swine</t>
        </is>
      </c>
      <c r="Y44" s="1663" t="n"/>
      <c r="Z44" s="1669" t="n"/>
      <c r="AA44" s="1663" t="n"/>
      <c r="AB44" s="1663" t="n"/>
      <c r="AC44" s="1662" t="n"/>
    </row>
    <row r="45">
      <c r="B45" s="1665" t="inlineStr">
        <is>
          <t>Goats</t>
        </is>
      </c>
      <c r="C45" s="1644" t="inlineStr">
        <is>
          <t>CH4_man_Goat_LP</t>
        </is>
      </c>
      <c r="D45" s="1644" t="inlineStr">
        <is>
          <t>CH4_man_Goat_HP</t>
        </is>
      </c>
      <c r="E45" s="1644" t="inlineStr">
        <is>
          <t>CH4_man_Goat_LP</t>
        </is>
      </c>
      <c r="H45" s="1665" t="inlineStr">
        <is>
          <t>Goats</t>
        </is>
      </c>
      <c r="I45" s="1644" t="inlineStr">
        <is>
          <t>AWMS_Goat</t>
        </is>
      </c>
      <c r="J45" s="1644" t="inlineStr">
        <is>
          <t>AWMS_Goat</t>
        </is>
      </c>
      <c r="K45" s="1644" t="inlineStr">
        <is>
          <t>AWMS_Goat</t>
        </is>
      </c>
      <c r="N45" s="1665" t="inlineStr">
        <is>
          <t>Goats</t>
        </is>
      </c>
      <c r="O45" s="1644" t="inlineStr">
        <is>
          <t>EF_DIRECT_N2O_manure_mngt_Sheeps_others</t>
        </is>
      </c>
      <c r="P45" s="1644" t="inlineStr">
        <is>
          <t>EF_DIRECT_N2O_manure_mngt_Sheeps_others</t>
        </is>
      </c>
      <c r="Q45" s="1644" t="inlineStr">
        <is>
          <t>EF_DIRECT_N2O_manure_mngt_Sheeps_others</t>
        </is>
      </c>
      <c r="S45" s="1041" t="n"/>
      <c r="T45" s="1665" t="inlineStr">
        <is>
          <t>Goats</t>
        </is>
      </c>
      <c r="U45" s="1644" t="inlineStr">
        <is>
          <t>Frac_vol_Other_Animal</t>
        </is>
      </c>
      <c r="V45" s="1644" t="inlineStr">
        <is>
          <t>Frac_vol_Other_Animal</t>
        </is>
      </c>
      <c r="W45" s="1644" t="inlineStr">
        <is>
          <t>Frac_vol_Other_Animal</t>
        </is>
      </c>
      <c r="X45" s="1644" t="n"/>
      <c r="Y45" s="1663" t="n"/>
      <c r="Z45" s="1669" t="n"/>
      <c r="AA45" s="1663" t="n"/>
      <c r="AB45" s="1663" t="n"/>
      <c r="AC45" s="1662" t="n"/>
    </row>
    <row r="46">
      <c r="B46" s="1665" t="inlineStr">
        <is>
          <t>Horses</t>
        </is>
      </c>
      <c r="C46" s="1644" t="inlineStr">
        <is>
          <t>CH4_man_Horse_LP</t>
        </is>
      </c>
      <c r="D46" s="1644" t="inlineStr">
        <is>
          <t>CH4_man_Horse_HP</t>
        </is>
      </c>
      <c r="E46" s="1644" t="inlineStr">
        <is>
          <t>CH4_man_Horse_LP</t>
        </is>
      </c>
      <c r="H46" s="1665" t="inlineStr">
        <is>
          <t>Horses</t>
        </is>
      </c>
      <c r="I46" s="1647" t="inlineStr">
        <is>
          <t>AWMS_Other_Grazing</t>
        </is>
      </c>
      <c r="J46" s="1647" t="inlineStr">
        <is>
          <t>AWMS_Other_Grazing</t>
        </is>
      </c>
      <c r="K46" s="1647" t="inlineStr">
        <is>
          <t>AWMS_Other_Grazing</t>
        </is>
      </c>
      <c r="N46" s="1665" t="inlineStr">
        <is>
          <t>Horses</t>
        </is>
      </c>
      <c r="O46" s="1644" t="inlineStr">
        <is>
          <t>EF_DIRECT_N2O_manure_mngt_Sheeps_others</t>
        </is>
      </c>
      <c r="P46" s="1644" t="inlineStr">
        <is>
          <t>EF_DIRECT_N2O_manure_mngt_Sheeps_others</t>
        </is>
      </c>
      <c r="Q46" s="1644" t="inlineStr">
        <is>
          <t>EF_DIRECT_N2O_manure_mngt_Sheeps_others</t>
        </is>
      </c>
      <c r="S46" s="1041" t="n"/>
      <c r="T46" s="1665" t="inlineStr">
        <is>
          <t>Horses</t>
        </is>
      </c>
      <c r="U46" s="1644" t="inlineStr">
        <is>
          <t>Frac_vol_Other_Animal</t>
        </is>
      </c>
      <c r="V46" s="1644" t="inlineStr">
        <is>
          <t>Frac_vol_Other_Animal</t>
        </is>
      </c>
      <c r="W46" s="1644" t="inlineStr">
        <is>
          <t>Frac_vol_Other_Animal</t>
        </is>
      </c>
      <c r="X46" s="1644" t="n"/>
      <c r="Y46" s="1663" t="n"/>
      <c r="Z46" s="1669" t="n"/>
      <c r="AA46" s="1663" t="n"/>
      <c r="AB46" s="1663" t="n"/>
      <c r="AC46" s="1662" t="n"/>
    </row>
    <row r="47">
      <c r="B47" s="1665" t="inlineStr">
        <is>
          <t>Camels</t>
        </is>
      </c>
      <c r="C47" s="1644" t="inlineStr">
        <is>
          <t>CH4_man_Camel_LP</t>
        </is>
      </c>
      <c r="D47" s="1644" t="inlineStr">
        <is>
          <t>CH4_man_Camel_HP</t>
        </is>
      </c>
      <c r="E47" s="1644" t="inlineStr">
        <is>
          <t>CH4_man_Camel_LP</t>
        </is>
      </c>
      <c r="H47" s="1665" t="inlineStr">
        <is>
          <t>Camels</t>
        </is>
      </c>
      <c r="I47" s="1647" t="inlineStr">
        <is>
          <t>AWMS_Other_Grazing</t>
        </is>
      </c>
      <c r="J47" s="1647" t="inlineStr">
        <is>
          <t>AWMS_Other_Grazing</t>
        </is>
      </c>
      <c r="K47" s="1647" t="inlineStr">
        <is>
          <t>AWMS_Other_Grazing</t>
        </is>
      </c>
      <c r="N47" s="1665" t="inlineStr">
        <is>
          <t>Camels</t>
        </is>
      </c>
      <c r="O47" s="1644" t="inlineStr">
        <is>
          <t>EF_DIRECT_N2O_manure_mngt_Sheeps_others</t>
        </is>
      </c>
      <c r="P47" s="1644" t="inlineStr">
        <is>
          <t>EF_DIRECT_N2O_manure_mngt_Sheeps_others</t>
        </is>
      </c>
      <c r="Q47" s="1644" t="inlineStr">
        <is>
          <t>EF_DIRECT_N2O_manure_mngt_Sheeps_others</t>
        </is>
      </c>
      <c r="S47" s="1041" t="n"/>
      <c r="T47" s="1665" t="inlineStr">
        <is>
          <t>Camels</t>
        </is>
      </c>
      <c r="U47" s="1644" t="inlineStr">
        <is>
          <t>Frac_vol_Other_Animal</t>
        </is>
      </c>
      <c r="V47" s="1644" t="inlineStr">
        <is>
          <t>Frac_vol_Other_Animal</t>
        </is>
      </c>
      <c r="W47" s="1644" t="inlineStr">
        <is>
          <t>Frac_vol_Other_Animal</t>
        </is>
      </c>
      <c r="X47" s="1644" t="n"/>
      <c r="Y47" s="1663" t="n"/>
      <c r="Z47" s="1669" t="n"/>
      <c r="AA47" s="1663" t="n"/>
      <c r="AB47" s="1663" t="n"/>
      <c r="AC47" s="1662" t="n"/>
    </row>
    <row r="48" ht="26" customHeight="1">
      <c r="B48" s="1665" t="inlineStr">
        <is>
          <t>Mules and Asses</t>
        </is>
      </c>
      <c r="C48" s="1644" t="inlineStr">
        <is>
          <t>CH4_man_Mule_LP</t>
        </is>
      </c>
      <c r="D48" s="1644" t="inlineStr">
        <is>
          <t>CH4_man_Mule_HP</t>
        </is>
      </c>
      <c r="E48" s="1644" t="inlineStr">
        <is>
          <t>CH4_man_Mule_LP</t>
        </is>
      </c>
      <c r="H48" s="1665" t="inlineStr">
        <is>
          <t>Mules and Asses</t>
        </is>
      </c>
      <c r="I48" s="1647" t="inlineStr">
        <is>
          <t>AWMS_Other_Grazing</t>
        </is>
      </c>
      <c r="J48" s="1647" t="inlineStr">
        <is>
          <t>AWMS_Other_Grazing</t>
        </is>
      </c>
      <c r="K48" s="1647" t="inlineStr">
        <is>
          <t>AWMS_Other_Grazing</t>
        </is>
      </c>
      <c r="N48" s="1665" t="inlineStr">
        <is>
          <t>Mules and Asses</t>
        </is>
      </c>
      <c r="O48" s="1644" t="inlineStr">
        <is>
          <t>EF_DIRECT_N2O_manure_mngt_Sheeps_others</t>
        </is>
      </c>
      <c r="P48" s="1644" t="inlineStr">
        <is>
          <t>EF_DIRECT_N2O_manure_mngt_Sheeps_others</t>
        </is>
      </c>
      <c r="Q48" s="1644" t="inlineStr">
        <is>
          <t>EF_DIRECT_N2O_manure_mngt_Sheeps_others</t>
        </is>
      </c>
      <c r="S48" s="1041" t="n"/>
      <c r="T48" s="1665" t="inlineStr">
        <is>
          <t>Mules and Asses</t>
        </is>
      </c>
      <c r="U48" s="1644" t="inlineStr">
        <is>
          <t>Frac_vol_Other_Animal</t>
        </is>
      </c>
      <c r="V48" s="1644" t="inlineStr">
        <is>
          <t>Frac_vol_Other_Animal</t>
        </is>
      </c>
      <c r="W48" s="1644" t="inlineStr">
        <is>
          <t>Frac_vol_Other_Animal</t>
        </is>
      </c>
      <c r="X48" s="1644" t="n"/>
      <c r="Y48" s="1663" t="n"/>
      <c r="Z48" s="1669" t="n"/>
      <c r="AA48" s="1663" t="n"/>
      <c r="AB48" s="1663" t="n"/>
      <c r="AC48" s="1662" t="n"/>
    </row>
    <row r="49">
      <c r="B49" s="1668" t="inlineStr">
        <is>
          <t>Deer</t>
        </is>
      </c>
      <c r="C49" s="1651" t="n"/>
      <c r="D49" s="1651" t="n"/>
      <c r="E49" s="1651" t="n"/>
      <c r="F49" s="973" t="inlineStr">
        <is>
          <t>Table 10.15</t>
        </is>
      </c>
      <c r="H49" s="1665" t="inlineStr">
        <is>
          <t>Deer</t>
        </is>
      </c>
      <c r="I49" s="1644" t="inlineStr">
        <is>
          <t>AWMS_Deer</t>
        </is>
      </c>
      <c r="J49" s="1644" t="inlineStr">
        <is>
          <t>AWMS_Deer</t>
        </is>
      </c>
      <c r="K49" s="1644" t="inlineStr">
        <is>
          <t>AWMS_Deer</t>
        </is>
      </c>
      <c r="N49" s="1665" t="inlineStr">
        <is>
          <t>Deer</t>
        </is>
      </c>
      <c r="O49" s="1644" t="inlineStr">
        <is>
          <t>EF_DIRECT_N2O_manure_mngt_Sheeps_others</t>
        </is>
      </c>
      <c r="P49" s="1644" t="inlineStr">
        <is>
          <t>EF_DIRECT_N2O_manure_mngt_Sheeps_others</t>
        </is>
      </c>
      <c r="Q49" s="1644" t="inlineStr">
        <is>
          <t>EF_DIRECT_N2O_manure_mngt_Sheeps_others</t>
        </is>
      </c>
      <c r="S49" s="1644" t="n"/>
      <c r="T49" s="1665" t="inlineStr">
        <is>
          <t>Deer</t>
        </is>
      </c>
      <c r="U49" s="1644" t="inlineStr">
        <is>
          <t>Frac_vol_Other_Animal</t>
        </is>
      </c>
      <c r="V49" s="1644" t="inlineStr">
        <is>
          <t>Frac_vol_Other_Animal</t>
        </is>
      </c>
      <c r="W49" s="1644" t="inlineStr">
        <is>
          <t>Frac_vol_Other_Animal</t>
        </is>
      </c>
      <c r="X49" s="1644" t="n"/>
    </row>
    <row r="50">
      <c r="B50" s="1668" t="inlineStr">
        <is>
          <t>Ostrich</t>
        </is>
      </c>
      <c r="C50" s="1651" t="n"/>
      <c r="D50" s="1651" t="n"/>
      <c r="E50" s="1651" t="n"/>
      <c r="F50" s="973" t="inlineStr">
        <is>
          <t>Table 10.15</t>
        </is>
      </c>
      <c r="H50" s="1665" t="inlineStr">
        <is>
          <t>Ostrich</t>
        </is>
      </c>
      <c r="I50" s="1644" t="inlineStr">
        <is>
          <t>AWMS_Ostrich</t>
        </is>
      </c>
      <c r="J50" s="1644" t="inlineStr">
        <is>
          <t>AWMS_Ostrich</t>
        </is>
      </c>
      <c r="K50" s="1644" t="inlineStr">
        <is>
          <t>AWMS_Ostrich</t>
        </is>
      </c>
      <c r="N50" s="1665" t="inlineStr">
        <is>
          <t>Ostrich</t>
        </is>
      </c>
      <c r="O50" s="1644" t="inlineStr">
        <is>
          <t>EF_DIRECT_N2O_manure_mngt_Sheeps_others</t>
        </is>
      </c>
      <c r="P50" s="1644" t="inlineStr">
        <is>
          <t>EF_DIRECT_N2O_manure_mngt_Sheeps_others</t>
        </is>
      </c>
      <c r="Q50" s="1644" t="inlineStr">
        <is>
          <t>EF_DIRECT_N2O_manure_mngt_Sheeps_others</t>
        </is>
      </c>
      <c r="S50" s="1644" t="n"/>
      <c r="T50" s="1665" t="inlineStr">
        <is>
          <t>Ostrich</t>
        </is>
      </c>
      <c r="U50" s="1644" t="inlineStr">
        <is>
          <t>Frac_vol_Other_Animal</t>
        </is>
      </c>
      <c r="V50" s="1644" t="inlineStr">
        <is>
          <t>Frac_vol_Other_Animal</t>
        </is>
      </c>
      <c r="W50" s="1644" t="inlineStr">
        <is>
          <t>Frac_vol_Other_Animal</t>
        </is>
      </c>
      <c r="X50" s="1644" t="n"/>
    </row>
    <row r="51">
      <c r="B51" s="1644" t="inlineStr">
        <is>
          <t>Chicken layer</t>
        </is>
      </c>
      <c r="C51" s="1644" t="inlineStr">
        <is>
          <t>CH4_man_Poultry_LP</t>
        </is>
      </c>
      <c r="D51" s="1644" t="inlineStr">
        <is>
          <t>CH4_man_Poultry_HP</t>
        </is>
      </c>
      <c r="E51" s="1644" t="inlineStr">
        <is>
          <t>CH4_man_Poultry_LP</t>
        </is>
      </c>
      <c r="H51" s="1644" t="inlineStr">
        <is>
          <t>Chicken layer</t>
        </is>
      </c>
      <c r="I51" s="1644" t="inlineStr">
        <is>
          <t>AWMS_Chicken_Layer_Default</t>
        </is>
      </c>
      <c r="J51" s="1644" t="inlineStr">
        <is>
          <t>AWMS_Chicken_Layer_Default</t>
        </is>
      </c>
      <c r="K51" s="1644" t="inlineStr">
        <is>
          <t>AWMS_Chicken_Layer_Default</t>
        </is>
      </c>
      <c r="N51" s="1644" t="inlineStr">
        <is>
          <t>Chicken layer</t>
        </is>
      </c>
      <c r="O51" s="1644" t="inlineStr">
        <is>
          <t>EF_DIRECT_N2O_manure_mngt_cattle_poultry_pigs</t>
        </is>
      </c>
      <c r="P51" s="1644" t="inlineStr">
        <is>
          <t>EF_DIRECT_N2O_manure_mngt_cattle_poultry_pigs</t>
        </is>
      </c>
      <c r="Q51" s="1644" t="inlineStr">
        <is>
          <t>EF_DIRECT_N2O_manure_mngt_cattle_poultry_pigs</t>
        </is>
      </c>
      <c r="S51" s="1644" t="n"/>
      <c r="T51" s="1644" t="inlineStr">
        <is>
          <t>Chicken layer</t>
        </is>
      </c>
      <c r="U51" s="1644" t="inlineStr">
        <is>
          <t>Frac_vol_Other_Animal</t>
        </is>
      </c>
      <c r="V51" s="1644" t="inlineStr">
        <is>
          <t>Frac_vol_Other_Animal</t>
        </is>
      </c>
      <c r="W51" s="1644" t="inlineStr">
        <is>
          <t>Frac_vol_Other_Animal</t>
        </is>
      </c>
      <c r="X51" s="1644" t="n"/>
    </row>
    <row r="52" ht="26" customHeight="1">
      <c r="B52" s="1665" t="inlineStr">
        <is>
          <t>Chicken broiler</t>
        </is>
      </c>
      <c r="C52" s="1644" t="inlineStr">
        <is>
          <t>CH4_man_Poultry_LP</t>
        </is>
      </c>
      <c r="D52" s="1644" t="inlineStr">
        <is>
          <t>CH4_man_Poultry_HP</t>
        </is>
      </c>
      <c r="E52" s="1644" t="inlineStr">
        <is>
          <t>CH4_man_Poultry_LP</t>
        </is>
      </c>
      <c r="H52" s="1665" t="inlineStr">
        <is>
          <t>Chicken broiler</t>
        </is>
      </c>
      <c r="I52" s="1644" t="inlineStr">
        <is>
          <t>AMWS_Chicken_broiler_LP</t>
        </is>
      </c>
      <c r="J52" s="1644" t="inlineStr">
        <is>
          <t>AWMS_Chicken_broiler_HP</t>
        </is>
      </c>
      <c r="K52" s="1644" t="inlineStr">
        <is>
          <t>AMWS_Chicken_broiler_LP</t>
        </is>
      </c>
      <c r="N52" s="1665" t="inlineStr">
        <is>
          <t>Chicken broiler</t>
        </is>
      </c>
      <c r="O52" s="1644" t="inlineStr">
        <is>
          <t>EF_DIRECT_N2O_manure_mngt_cattle_poultry_pigs</t>
        </is>
      </c>
      <c r="P52" s="1644" t="inlineStr">
        <is>
          <t>EF_DIRECT_N2O_manure_mngt_cattle_poultry_pigs</t>
        </is>
      </c>
      <c r="Q52" s="1644" t="inlineStr">
        <is>
          <t>EF_DIRECT_N2O_manure_mngt_cattle_poultry_pigs</t>
        </is>
      </c>
      <c r="S52" s="1644" t="n"/>
      <c r="T52" s="1665" t="inlineStr">
        <is>
          <t>Chicken broiler</t>
        </is>
      </c>
      <c r="U52" s="1644" t="inlineStr">
        <is>
          <t>Frac_vol_Other_Animal</t>
        </is>
      </c>
      <c r="V52" s="1644" t="inlineStr">
        <is>
          <t>Frac_vol_Other_Animal</t>
        </is>
      </c>
      <c r="W52" s="1644" t="inlineStr">
        <is>
          <t>Frac_vol_Other_Animal</t>
        </is>
      </c>
      <c r="X52" s="1644" t="n"/>
    </row>
    <row r="53" ht="26" customHeight="1">
      <c r="B53" s="1665" t="inlineStr">
        <is>
          <t>Llamas and Alpacas</t>
        </is>
      </c>
      <c r="C53" s="1644" t="n"/>
      <c r="D53" s="1644" t="n"/>
      <c r="E53" s="1644" t="n"/>
      <c r="H53" s="1665" t="inlineStr">
        <is>
          <t>Llamas and Alpacas</t>
        </is>
      </c>
      <c r="I53" s="1647" t="inlineStr">
        <is>
          <t>AWMS_Other_Grazing</t>
        </is>
      </c>
      <c r="J53" s="1647" t="inlineStr">
        <is>
          <t>AWMS_Other_Grazing</t>
        </is>
      </c>
      <c r="K53" s="1647" t="inlineStr">
        <is>
          <t>AWMS_Other_Grazing</t>
        </is>
      </c>
      <c r="N53" s="1665" t="inlineStr">
        <is>
          <t>Llamas and Alpacas</t>
        </is>
      </c>
      <c r="O53" s="1644" t="inlineStr">
        <is>
          <t>EF_DIRECT_N2O_manure_mngt_Sheeps_others</t>
        </is>
      </c>
      <c r="P53" s="1644" t="inlineStr">
        <is>
          <t>EF_DIRECT_N2O_manure_mngt_Sheeps_others</t>
        </is>
      </c>
      <c r="Q53" s="1644" t="inlineStr">
        <is>
          <t>EF_DIRECT_N2O_manure_mngt_Sheeps_others</t>
        </is>
      </c>
      <c r="S53" s="1644" t="n"/>
      <c r="T53" s="1665" t="inlineStr">
        <is>
          <t>Llamas and Alpacas</t>
        </is>
      </c>
      <c r="U53" s="1644" t="inlineStr">
        <is>
          <t>Frac_vol_Other_Animal</t>
        </is>
      </c>
      <c r="V53" s="1644" t="inlineStr">
        <is>
          <t>Frac_vol_Other_Animal</t>
        </is>
      </c>
      <c r="W53" s="1644" t="inlineStr">
        <is>
          <t>Frac_vol_Other_Animal</t>
        </is>
      </c>
      <c r="X53" s="1644" t="n"/>
    </row>
    <row r="54" ht="26" customHeight="1">
      <c r="B54" s="1666" t="inlineStr">
        <is>
          <t>Other (Pls. go to Tier 2)</t>
        </is>
      </c>
      <c r="C54" s="1645" t="n"/>
      <c r="D54" s="1645" t="n"/>
      <c r="E54" s="1645" t="n"/>
      <c r="H54" s="1666" t="inlineStr">
        <is>
          <t>Other (Pls. go to Tier 2)</t>
        </is>
      </c>
      <c r="I54" s="3489" t="n"/>
      <c r="J54" s="1645" t="n"/>
      <c r="K54" s="1645" t="n"/>
      <c r="N54" s="1666" t="inlineStr">
        <is>
          <t>Other (Pls. go to Tier 2)</t>
        </is>
      </c>
      <c r="S54" s="1644" t="n"/>
      <c r="T54" s="1666" t="inlineStr">
        <is>
          <t>Other (Pls. go to Tier 2)</t>
        </is>
      </c>
      <c r="U54" s="1645" t="n"/>
      <c r="V54" s="1645" t="n"/>
      <c r="W54" s="1645" t="n"/>
    </row>
    <row r="55">
      <c r="B55" s="1650" t="n"/>
      <c r="C55" s="1644" t="n"/>
      <c r="D55" s="1644" t="n"/>
      <c r="E55" s="1644" t="n"/>
      <c r="H55" s="1650" t="n"/>
      <c r="J55" s="1644" t="n"/>
      <c r="K55" s="1644" t="n"/>
      <c r="N55" s="1650" t="n"/>
      <c r="O55" s="1644" t="n"/>
      <c r="P55" s="1644" t="n"/>
      <c r="Q55" s="1644" t="n"/>
      <c r="S55" s="1644" t="n"/>
    </row>
    <row r="56">
      <c r="B56" s="1650" t="n"/>
      <c r="C56" s="1644" t="n"/>
      <c r="D56" s="1644" t="n"/>
      <c r="E56" s="1644" t="n"/>
      <c r="H56" s="1650" t="n"/>
      <c r="I56" s="1644" t="n"/>
      <c r="J56" s="1644" t="n"/>
      <c r="Q56" s="1662" t="n"/>
      <c r="R56" s="4719" t="n"/>
      <c r="S56" s="1663" t="n"/>
      <c r="T56" s="1663" t="n"/>
    </row>
    <row r="58">
      <c r="G58" s="3489" t="n"/>
      <c r="H58" s="4566" t="inlineStr">
        <is>
          <t>Specific factors</t>
        </is>
      </c>
      <c r="M58" s="4566" t="inlineStr">
        <is>
          <t>Comp. MMs</t>
        </is>
      </c>
      <c r="N58" s="341" t="n"/>
      <c r="O58" s="341" t="n"/>
    </row>
    <row r="59">
      <c r="G59" s="1576" t="inlineStr">
        <is>
          <t>TAM</t>
        </is>
      </c>
      <c r="H59" s="1281" t="inlineStr">
        <is>
          <t>VS excretion rate</t>
        </is>
      </c>
      <c r="I59" s="1281" t="inlineStr">
        <is>
          <t xml:space="preserve">% corresponding to </t>
        </is>
      </c>
      <c r="L59" s="1659" t="n"/>
      <c r="M59" s="1659" t="n"/>
      <c r="N59" s="1671" t="inlineStr">
        <is>
          <t xml:space="preserve">EFCH4 default Comp. </t>
        </is>
      </c>
      <c r="O59" s="1644" t="n"/>
      <c r="P59" s="1644" t="inlineStr">
        <is>
          <t>EF CH4 PPR</t>
        </is>
      </c>
      <c r="Q59" s="1664" t="inlineStr">
        <is>
          <t>EFCH4 Reg. share</t>
        </is>
      </c>
      <c r="V59" s="2167" t="inlineStr">
        <is>
          <t>Emissions from manure mngt [CH4]</t>
        </is>
      </c>
      <c r="W59" s="3489" t="n"/>
      <c r="X59" s="3489" t="n"/>
      <c r="Z59" s="1281" t="inlineStr">
        <is>
          <t>Total emissions (tCO2-eq)</t>
        </is>
      </c>
    </row>
    <row r="60" ht="16" customHeight="1">
      <c r="G60" s="1661" t="inlineStr">
        <is>
          <t>kg</t>
        </is>
      </c>
      <c r="H60" s="1660" t="inlineStr">
        <is>
          <t>kgVs/(1000kg TAM)/day</t>
        </is>
      </c>
      <c r="I60" s="2167">
        <f>AWMS_Dairy_Cattle[[#Headers],[Pasture/Range/Paddock]]</f>
        <v/>
      </c>
      <c r="J60" s="3489" t="n"/>
      <c r="K60" s="3502" t="n"/>
      <c r="L60" s="3502" t="n"/>
      <c r="M60" s="4567" t="inlineStr">
        <is>
          <t>Comp. MMS</t>
        </is>
      </c>
      <c r="N60" s="2167" t="inlineStr">
        <is>
          <t>kgCH4/head/year</t>
        </is>
      </c>
      <c r="O60" s="2167" t="n"/>
      <c r="P60" s="2167" t="inlineStr">
        <is>
          <t>kgCH4/head/year</t>
        </is>
      </c>
      <c r="Q60" s="2167" t="n"/>
      <c r="R60" s="2167" t="n"/>
      <c r="S60" s="2167" t="n"/>
      <c r="T60" s="3489" t="n"/>
      <c r="V60" s="1281" t="inlineStr">
        <is>
          <t>tCO2-e/yr</t>
        </is>
      </c>
      <c r="W60" s="1100" t="n"/>
      <c r="X60" s="1101" t="n"/>
      <c r="Z60" s="1270" t="n"/>
      <c r="AA60" s="1116" t="n"/>
      <c r="AB60" s="1116" t="n"/>
      <c r="AE60" s="973" t="inlineStr">
        <is>
          <t>IMPLEMENTATION PHASE</t>
        </is>
      </c>
    </row>
    <row r="61" ht="16" customHeight="1">
      <c r="B61" s="2167" t="inlineStr">
        <is>
          <t>Livestock category</t>
        </is>
      </c>
      <c r="C61" s="2167" t="inlineStr">
        <is>
          <t>Livestock productivity</t>
        </is>
      </c>
      <c r="D61" s="2167" t="n"/>
      <c r="E61" s="1652" t="inlineStr">
        <is>
          <t>Table EFCH4 manure</t>
        </is>
      </c>
      <c r="F61" s="1652" t="inlineStr">
        <is>
          <t>Table AWMS</t>
        </is>
      </c>
      <c r="G61" s="1688" t="inlineStr">
        <is>
          <t>IPCC</t>
        </is>
      </c>
      <c r="H61" s="1688" t="inlineStr">
        <is>
          <t>IPCC</t>
        </is>
      </c>
      <c r="I61" s="1688" t="inlineStr">
        <is>
          <t>IPCC</t>
        </is>
      </c>
      <c r="J61" s="1688" t="inlineStr">
        <is>
          <t>START</t>
        </is>
      </c>
      <c r="K61" s="1688" t="inlineStr">
        <is>
          <t>WITHOUT</t>
        </is>
      </c>
      <c r="L61" s="1688" t="inlineStr">
        <is>
          <t>WITH</t>
        </is>
      </c>
      <c r="M61" s="1688" t="n"/>
      <c r="N61" s="1688" t="inlineStr">
        <is>
          <t>IPCC</t>
        </is>
      </c>
      <c r="O61" s="1300" t="inlineStr">
        <is>
          <t>Tier 2</t>
        </is>
      </c>
      <c r="P61" s="1688" t="inlineStr">
        <is>
          <t>IPCC</t>
        </is>
      </c>
      <c r="Q61" s="1688" t="inlineStr">
        <is>
          <t>IPCC</t>
        </is>
      </c>
      <c r="R61" s="1688" t="inlineStr">
        <is>
          <t>START</t>
        </is>
      </c>
      <c r="S61" s="1688" t="inlineStr">
        <is>
          <t>WITHOUT</t>
        </is>
      </c>
      <c r="T61" s="1688" t="inlineStr">
        <is>
          <t>WITH</t>
        </is>
      </c>
      <c r="V61" s="1688" t="inlineStr">
        <is>
          <t>START</t>
        </is>
      </c>
      <c r="W61" s="1102" t="inlineStr">
        <is>
          <t>W/OUT</t>
        </is>
      </c>
      <c r="X61" s="1103" t="inlineStr">
        <is>
          <t>WITH</t>
        </is>
      </c>
      <c r="Z61" s="1521" t="inlineStr">
        <is>
          <t>W/OUT</t>
        </is>
      </c>
      <c r="AA61" s="1101" t="inlineStr">
        <is>
          <t>WITH</t>
        </is>
      </c>
      <c r="AB61" s="1116" t="inlineStr">
        <is>
          <t>BALANCE</t>
        </is>
      </c>
      <c r="AE61" s="1102" t="inlineStr">
        <is>
          <t>WITHOUT</t>
        </is>
      </c>
      <c r="AF61" s="1103" t="inlineStr">
        <is>
          <t>WITH</t>
        </is>
      </c>
    </row>
    <row r="62">
      <c r="B62" s="973">
        <f>B8</f>
        <v/>
      </c>
      <c r="C62" s="973">
        <f>C8</f>
        <v/>
      </c>
      <c r="E62" s="1109">
        <f>IF(B62="Please select","",IF(AND(OR($C$2="North America",$C$2="Western Europe",$C$2="Eastern Europe",$C$2="Oceania"),(C62="Default")),VLOOKUP($B62,$B$36:$E$54,4,FALSE),INDEX($B$36:$E$54,MATCH($B62,$B$36:$B$54,0),MATCH($C62,$B$36:$E$36,0))))</f>
        <v/>
      </c>
      <c r="F62" s="1109">
        <f>IF(B62="Please select","",IF(AND(OR($C$2="North America",$C$2="Western Europe",$C$2="Eastern Europe",$C$2="Oceania"),(C62="Default")),VLOOKUP($B62,$H$36:$K$54,4,FALSE),INDEX($H$36:$K$54,MATCH($B62,$H$36:$H$54,0),MATCH($C62,$H$36:$K$36,0))))</f>
        <v/>
      </c>
      <c r="G62" s="1111">
        <f>IF(B62="Please select",0,(IF(C62="Default",INDEX(TAM_Default[#All],MATCH(Livestock!$C$2,TAM_Default[[#All],[Please select]],0),MATCH(Livestock!B62,TAM_Default[#Headers],0)),
IF(C62="Low-productivity",INDEX(TAM_LP[#All],MATCH(Livestock!$C$2,TAM_LP[[#All],[Please select]],0),MATCH(Livestock!B62,TAM_LP[#Headers],0)),
IF(C62="High-productivity",INDEX(TAM_HP[#All],MATCH(Livestock!$C$2,TAM_HP[[#All],[Please select]],0),MATCH(Livestock!B62,TAM_HP[#Headers],0)),0)))))</f>
        <v/>
      </c>
      <c r="H62" s="4718">
        <f>IF(B62="Please select",0,(IF(C62="Default",INDEX(VS_rate_Default[#All],MATCH(Livestock!$C$2,VS_rate_Default[[#All],[Please select]],0),MATCH(Livestock!B62,VS_rate_Default[#Headers],0)),
IF(C62="Low-productivity",INDEX(VS_rate_LP[#All],MATCH(Livestock!$C$2,VS_rate_LP[[#All],[Please select]],0),MATCH(Livestock!B62,VS_rate_HP[#Headers],0)),
IF(C62="High-productivity",INDEX(VS_rate_HP[#All],MATCH(Livestock!$C$2,VS_rate_HP[[#All],[Please select]],0),MATCH(Livestock!B62,VS_rate_HP[#Headers],0)),0)))))</f>
        <v/>
      </c>
      <c r="I62" s="1110">
        <f>IF(B62="Please select",0,(INDEX(INDIRECT(VLOOKUP(F62,list!$B$288:$D$310,1,FALSE)),MATCH(Livestock!$C$2,(INDIRECT(VLOOKUP(F62,list!$B$288:$D$310,2,FALSE))),0),MATCH('4.Grassland'!$BH$53,(INDIRECT(VLOOKUP(F62,list!$B$288:$D$310,3,FALSE))),0))))</f>
        <v/>
      </c>
      <c r="J62" s="1104">
        <f>IF('4.Grassland'!BI56="",Livestock!$I62,'4.Grassland'!BI56*100)</f>
        <v/>
      </c>
      <c r="K62" s="1104">
        <f>IF('4.Grassland'!BJ56="",Livestock!$I62,'4.Grassland'!BJ56*100)</f>
        <v/>
      </c>
      <c r="L62" s="1104">
        <f>IF('4.Grassland'!BK56="",Livestock!$I62,'4.Grassland'!BK56*100)</f>
        <v/>
      </c>
      <c r="M62" s="1104">
        <f>'4.Grassland'!BW56</f>
        <v/>
      </c>
      <c r="N62" s="1044">
        <f>IF(OR($M62="Regional share",$M62="Please select"),0,IF($M62="Other (pls. specify EF)",0,IF(OR($B62="Deer",$B62="Ostrich"),0,INDEX(INDIRECT(VLOOKUP(E62,list!$B$312:$D$339,1,FALSE)),MATCH(clim_moist,INDIRECT(VLOOKUP(E62,list!$B$312:$D$339,2,FALSE)),0),MATCH($M62,INDIRECT(VLOOKUP(E62,list!$B$312:$D$339,3,FALSE)),0))*Livestock!$H62*Livestock!$G62/1000*365/1000)))</f>
        <v/>
      </c>
      <c r="O62" s="1045">
        <f>IF('4.Grassland'!$BZ56="",'4.Grassland'!$BY56,'4.Grassland'!$BZ56)</f>
        <v/>
      </c>
      <c r="P62" s="4720">
        <f>IFERROR(IF($B62="Deer",0.22,IF($B62="Ostrich",5.67,INDEX(INDIRECT(VLOOKUP(E62,list!$B$312:$D$339,1,FALSE)),MATCH(clim_moist,INDIRECT(VLOOKUP(E62,list!$B$312:$D$339,2,FALSE)),0),MATCH('4.Grassland'!$BH$53,INDIRECT(VLOOKUP(E62,list!$B$312:$D$339,3,FALSE)),0))*Livestock!$H62*Livestock!$G62/1000*365/1000)),0)*I62/100</f>
        <v/>
      </c>
      <c r="Q62" s="1044">
        <f>IF(OR($B62="Please select",$B62=$B$53),0,IF($B62="Deer",0.22,IF($B62="Ostrich",5.67,IF(OR($M62="Please select",$M62="Regional share"),SUMPRODUCT(INDEX(INDIRECT(VLOOKUP(E62,list!$B$312:$D$339,1,FALSE)),MATCH(clim_moist,INDIRECT(VLOOKUP(E62,list!$B$312:$D$339,2,FALSE)),0),0),INDEX(INDIRECT(VLOOKUP(F62,list!$B$288:$D$310,1,FALSE)),MATCH($C$2,INDIRECT(VLOOKUP(F62,list!$B$288:$D$310,2,FALSE)),0),0))/100*($H62*$G62/1000*365)/1000-P62,0))))</f>
        <v/>
      </c>
      <c r="R62" s="4721">
        <f>IFERROR(IF('4.Grassland'!$BN56="""",($P62/($I62/100)*$J62/100+$O62*(1-$J62/100)+$Q62/(1-$I62/100)*(1-$J62/100)),('4.Grassland'!$BN56*$J62/100+$O62*(1-$J62/100)+$Q62*(1-$J62/100))),0)</f>
        <v/>
      </c>
      <c r="S62" s="4721">
        <f>IFERROR(IF('4.Grassland'!$BO56="",($P62/($I62/100)*$K62/100+$O62*(1-$K62/100)+$Q62/(1-$I62/100)*(1-$K62/100)),('4.Grassland'!$BO56*$K62/100+$O62*(1-$K62/100)+$Q62*(1-$K62/100))),0)</f>
        <v/>
      </c>
      <c r="T62" s="4721">
        <f>IFERROR(IF('4.Grassland'!$BP56="",($P62/($I62/100)*$L62/100+$O62*(1-$L62/100)+$Q62/(1-$I62/100)*(1-$L62/100)),('4.Grassland'!$BP56*$L62/100+$O62*(1-$L62/100)+$Q62*(1-$L62/100))),0)</f>
        <v/>
      </c>
      <c r="V62" s="3493">
        <f>IF($B62="Deer",0.22*$H8,IF($B62="Ostrich",5.67*$H8,R62*$H8))/1000*methane</f>
        <v/>
      </c>
      <c r="W62" s="1151">
        <f>IF($B62="Deer",0.22*$I8,IF($B62="Ostrich",5.67*$I8,S62*$I8))/1000*methane</f>
        <v/>
      </c>
      <c r="X62" s="3494">
        <f>IF($B62="Deer",0.22*$K8,IF($B62="Ostrich",5.67*$K8,T62*$K8))/1000*methane</f>
        <v/>
      </c>
      <c r="Z62" s="3493">
        <f>MIN($V62,$W62)*time_tot+ABS($W62-$V62)*IF($W62&gt;$V62,time_cap+time*(VLOOKUP($J8,list!$J$48:$K$50,2,0)),time*(1-(VLOOKUP($J8,list!$J$48:$K$50,2,0))))</f>
        <v/>
      </c>
      <c r="AA62" s="3494">
        <f>MIN($V62,$X62)*time_tot+ABS($X62-$V62)*IF($X62&gt;$V62,time_cap+time*(VLOOKUP($L8,list!$J$48:$K$50,2,0)),time*(1-(VLOOKUP($L8,list!$J$48:$K$50,2,0))))</f>
        <v/>
      </c>
      <c r="AB62" s="3516">
        <f>AA62-Z62</f>
        <v/>
      </c>
      <c r="AE62" s="992">
        <f>MIN($V62,$W62)*time+ABS($W62-$V62)*IF($W62&gt;$V62,time*(VLOOKUP($J8,list!$J$48:$K$50,2,)),time*(1-(VLOOKUP($J8,list!$J$48:$K$50,2,))))</f>
        <v/>
      </c>
      <c r="AF62" s="992">
        <f>MIN($V62,$X62)*time+ABS($X62-$V62)*IF($X62&gt;$V62,time*(VLOOKUP($L8,list!$J$48:$K$50,2,)),time*(1-(VLOOKUP($L8,list!$J$48:$K$50,2,))))</f>
        <v/>
      </c>
    </row>
    <row r="63">
      <c r="B63" s="973">
        <f>B9</f>
        <v/>
      </c>
      <c r="C63" s="973">
        <f>C9</f>
        <v/>
      </c>
      <c r="E63" s="1109">
        <f>IF(B63="Please select","",IF(AND(OR($C$2="North America",$C$2="Western Europe",$C$2="Eastern Europe",$C$2="Oceania"),(C63="Default")),VLOOKUP($B63,$B$36:$E$54,4,FALSE),INDEX($B$36:$E$54,MATCH($B63,$B$36:$B$54,0),MATCH($C63,$B$36:$E$36,0))))</f>
        <v/>
      </c>
      <c r="F63" s="1109">
        <f>IF(B63="Please select","",IF(AND(OR($C$2="North America",$C$2="Western Europe",$C$2="Eastern Europe",$C$2="Oceania"),(C63="Default")),VLOOKUP($B63,$H$36:$K$54,4,FALSE),INDEX($H$36:$K$54,MATCH($B63,$H$36:$H$54,0),MATCH($C63,$H$36:$K$36,0))))</f>
        <v/>
      </c>
      <c r="G63" s="1111">
        <f>IF(B63="Please select",0,(IF(C63="Default",INDEX(TAM_Default[#All],MATCH(Livestock!$C$2,TAM_Default[[#All],[Please select]],0),MATCH(Livestock!B63,TAM_Default[#Headers],0)),
IF(C63="Low-productivity",INDEX(TAM_LP[#All],MATCH(Livestock!$C$2,TAM_LP[[#All],[Please select]],0),MATCH(Livestock!B63,TAM_LP[#Headers],0)),
IF(C63="High-productivity",INDEX(TAM_HP[#All],MATCH(Livestock!$C$2,TAM_HP[[#All],[Please select]],0),MATCH(Livestock!B63,TAM_HP[#Headers],0)),0)))))</f>
        <v/>
      </c>
      <c r="H63" s="4718">
        <f>IF(B63="Please select",0,(IF(C63="Default",INDEX(VS_rate_Default[#All],MATCH(Livestock!$C$2,VS_rate_Default[[#All],[Please select]],0),MATCH(Livestock!B63,VS_rate_Default[#Headers],0)),
IF(C63="Low-productivity",INDEX(VS_rate_LP[#All],MATCH(Livestock!$C$2,VS_rate_LP[[#All],[Please select]],0),MATCH(Livestock!B63,VS_rate_HP[#Headers],0)),
IF(C63="High-productivity",INDEX(VS_rate_HP[#All],MATCH(Livestock!$C$2,VS_rate_HP[[#All],[Please select]],0),MATCH(Livestock!B63,VS_rate_HP[#Headers],0)),0)))))</f>
        <v/>
      </c>
      <c r="I63" s="1110">
        <f>IF(B63="Please select",0,(INDEX(INDIRECT(VLOOKUP(F63,list!$B$288:$D$310,1,FALSE)),MATCH(Livestock!$C$2,(INDIRECT(VLOOKUP(F63,list!$B$288:$D$310,2,FALSE))),0),MATCH('4.Grassland'!$BH$53,(INDIRECT(VLOOKUP(F63,list!$B$288:$D$310,3,FALSE))),0))))</f>
        <v/>
      </c>
      <c r="J63" s="1104">
        <f>IF('4.Grassland'!BI57="",Livestock!$I63,'4.Grassland'!BI57*100)</f>
        <v/>
      </c>
      <c r="K63" s="1104">
        <f>IF('4.Grassland'!BJ57="",Livestock!$I63,'4.Grassland'!BJ57*100)</f>
        <v/>
      </c>
      <c r="L63" s="1104">
        <f>IF('4.Grassland'!BK57="",Livestock!$I63,'4.Grassland'!BK57*100)</f>
        <v/>
      </c>
      <c r="M63" s="1104">
        <f>'4.Grassland'!BW57</f>
        <v/>
      </c>
      <c r="N63" s="1044">
        <f>IF(OR($M63="Regional share",$M63="Please select"),0,IF($M63="Other (pls. specify EF)",0,IF(OR($B63="Deer",$B63="Ostrich"),0,INDEX(INDIRECT(VLOOKUP(E63,list!$B$312:$D$339,1,FALSE)),MATCH(clim_moist,INDIRECT(VLOOKUP(E63,list!$B$312:$D$339,2,FALSE)),0),MATCH($M63,INDIRECT(VLOOKUP(E63,list!$B$312:$D$339,3,FALSE)),0))*Livestock!$H63*Livestock!$G63/1000*365/1000)))</f>
        <v/>
      </c>
      <c r="O63" s="1045">
        <f>IF('4.Grassland'!$BZ57="",'4.Grassland'!$BY57,'4.Grassland'!$BZ57)</f>
        <v/>
      </c>
      <c r="P63" s="4720">
        <f>IFERROR(IF($B63="Deer",0.22,IF($B63="Ostrich",5.67,INDEX(INDIRECT(VLOOKUP(E63,list!$B$312:$D$339,1,FALSE)),MATCH(clim_moist,INDIRECT(VLOOKUP(E63,list!$B$312:$D$339,2,FALSE)),0),MATCH('4.Grassland'!$BH$53,INDIRECT(VLOOKUP(E63,list!$B$312:$D$339,3,FALSE)),0))*Livestock!$H63*Livestock!$G63/1000*365/1000)),0)*I63/100</f>
        <v/>
      </c>
      <c r="Q63" s="1044">
        <f>IF(OR($B63="Please select",$B63=$B$53),0,IF($B63="Deer",0.22,IF($B63="Ostrich",5.67,IF(OR($M63="Please select",$M63="Regional share"),SUMPRODUCT(INDEX(INDIRECT(VLOOKUP(E63,list!$B$312:$D$339,1,FALSE)),MATCH(clim_moist,INDIRECT(VLOOKUP(E63,list!$B$312:$D$339,2,FALSE)),0),0),INDEX(INDIRECT(VLOOKUP(F63,list!$B$288:$D$310,1,FALSE)),MATCH($C$2,INDIRECT(VLOOKUP(F63,list!$B$288:$D$310,2,FALSE)),0),0))/100*($H63*$G63/1000*365)/1000-P63,0))))</f>
        <v/>
      </c>
      <c r="R63" s="4721">
        <f>IFERROR(IF('4.Grassland'!$BN57="""",($P63/($I63/100)*$J63/100+$O63*(1-$J63/100)+$Q63/(1-$I63/100)*(1-$J63/100)),('4.Grassland'!$BN57*$J63/100+$O63*(1-$J63/100)+$Q63*(1-$J63/100))),0)</f>
        <v/>
      </c>
      <c r="S63" s="4721">
        <f>IFERROR(IF('4.Grassland'!$BO57="",($P63/($I63/100)*$K63/100+$O63*(1-$K63/100)+$Q63/(1-$I63/100)*(1-$K63/100)),('4.Grassland'!$BO57*$K63/100+$O63*(1-$K63/100)+$Q63*(1-$K63/100))),0)</f>
        <v/>
      </c>
      <c r="T63" s="4721">
        <f>IFERROR(IF('4.Grassland'!$BP57="",($P63/($I63/100)*$L63/100+$O63*(1-$L63/100)+$Q63/(1-$I63/100)*(1-$L63/100)),('4.Grassland'!$BP57*$L63/100+$O63*(1-$L63/100)+$Q63*(1-$L63/100))),0)</f>
        <v/>
      </c>
      <c r="V63" s="3495">
        <f>IF($B63="Deer",0.22*$H9,IF($B63="Ostrich",5.67*$H9,R63*$H9))/1000*methane</f>
        <v/>
      </c>
      <c r="W63" s="1152">
        <f>IF($B63="Deer",0.22*$I9,IF($B63="Ostrich",5.67*$I9,S63*$I9))/1000*methane</f>
        <v/>
      </c>
      <c r="X63" s="3504">
        <f>IF($B63="Deer",0.22*$K9,IF($B63="Ostrich",5.67*$K9,T63*$K9))/1000*methane</f>
        <v/>
      </c>
      <c r="Z63" s="3495">
        <f>MIN($V63,$W63)*time_tot+ABS($W63-$V63)*IF($W63&gt;$V63,time_cap+time*(VLOOKUP($J9,list!$J$48:$K$50,2,0)),time*(1-(VLOOKUP($J9,list!$J$48:$K$50,2,0))))</f>
        <v/>
      </c>
      <c r="AA63" s="3504">
        <f>MIN($V63,$X63)*time_tot+ABS($X63-$V63)*IF($X63&gt;$V63,time_cap+time*(VLOOKUP($L9,list!$J$48:$K$50,2,0)),time*(1-(VLOOKUP($L9,list!$J$48:$K$50,2,0))))</f>
        <v/>
      </c>
      <c r="AB63" s="2166">
        <f>AA63-Z63</f>
        <v/>
      </c>
      <c r="AE63" s="992">
        <f>MIN($V63,$W63)*time+ABS($W63-$V63)*IF($W63&gt;$V63,time*(VLOOKUP($J9,list!$J$48:$K$50,2,)),time*(1-(VLOOKUP($J9,list!$J$48:$K$50,2,))))</f>
        <v/>
      </c>
      <c r="AF63" s="992">
        <f>MIN($V63,$X63)*time+ABS($X63-$V63)*IF($X63&gt;$V63,time*(VLOOKUP($L9,list!$J$48:$K$50,2,)),time*(1-(VLOOKUP($L9,list!$J$48:$K$50,2,))))</f>
        <v/>
      </c>
    </row>
    <row r="64">
      <c r="B64" s="973">
        <f>B10</f>
        <v/>
      </c>
      <c r="C64" s="973">
        <f>C10</f>
        <v/>
      </c>
      <c r="E64" s="1109">
        <f>IF(B64="Please select","",IF(AND(OR($C$2="North America",$C$2="Western Europe",$C$2="Eastern Europe",$C$2="Oceania"),(C64="Default")),VLOOKUP($B64,$B$36:$E$54,4,FALSE),INDEX($B$36:$E$54,MATCH($B64,$B$36:$B$54,0),MATCH($C64,$B$36:$E$36,0))))</f>
        <v/>
      </c>
      <c r="F64" s="1109">
        <f>IF(B64="Please select","",IF(AND(OR($C$2="North America",$C$2="Western Europe",$C$2="Eastern Europe",$C$2="Oceania"),(C64="Default")),VLOOKUP($B64,$H$36:$K$54,4,FALSE),INDEX($H$36:$K$54,MATCH($B64,$H$36:$H$54,0),MATCH($C64,$H$36:$K$36,0))))</f>
        <v/>
      </c>
      <c r="G64" s="1111">
        <f>IF(B64="Please select",0,(IF(C64="Default",INDEX(TAM_Default[#All],MATCH(Livestock!$C$2,TAM_Default[[#All],[Please select]],0),MATCH(Livestock!B64,TAM_Default[#Headers],0)),
IF(C64="Low-productivity",INDEX(TAM_LP[#All],MATCH(Livestock!$C$2,TAM_LP[[#All],[Please select]],0),MATCH(Livestock!B64,TAM_LP[#Headers],0)),
IF(C64="High-productivity",INDEX(TAM_HP[#All],MATCH(Livestock!$C$2,TAM_HP[[#All],[Please select]],0),MATCH(Livestock!B64,TAM_HP[#Headers],0)),0)))))</f>
        <v/>
      </c>
      <c r="H64" s="4718">
        <f>IF(B64="Please select",0,(IF(C64="Default",INDEX(VS_rate_Default[#All],MATCH(Livestock!$C$2,VS_rate_Default[[#All],[Please select]],0),MATCH(Livestock!B64,VS_rate_Default[#Headers],0)),
IF(C64="Low-productivity",INDEX(VS_rate_LP[#All],MATCH(Livestock!$C$2,VS_rate_LP[[#All],[Please select]],0),MATCH(Livestock!B64,VS_rate_HP[#Headers],0)),
IF(C64="High-productivity",INDEX(VS_rate_HP[#All],MATCH(Livestock!$C$2,VS_rate_HP[[#All],[Please select]],0),MATCH(Livestock!B64,VS_rate_HP[#Headers],0)),0)))))</f>
        <v/>
      </c>
      <c r="I64" s="1110">
        <f>IF(B64="Please select",0,(INDEX(INDIRECT(VLOOKUP(F64,list!$B$288:$D$310,1,FALSE)),MATCH(Livestock!$C$2,(INDIRECT(VLOOKUP(F64,list!$B$288:$D$310,2,FALSE))),0),MATCH('4.Grassland'!$BH$53,(INDIRECT(VLOOKUP(F64,list!$B$288:$D$310,3,FALSE))),0))))</f>
        <v/>
      </c>
      <c r="J64" s="1104">
        <f>IF('4.Grassland'!BI58="",Livestock!$I64,'4.Grassland'!BI58*100)</f>
        <v/>
      </c>
      <c r="K64" s="1104">
        <f>IF('4.Grassland'!BJ58="",Livestock!$I64,'4.Grassland'!BJ58*100)</f>
        <v/>
      </c>
      <c r="L64" s="1104">
        <f>IF('4.Grassland'!BK58="",Livestock!$I64,'4.Grassland'!BK58*100)</f>
        <v/>
      </c>
      <c r="M64" s="1104">
        <f>'4.Grassland'!BW58</f>
        <v/>
      </c>
      <c r="N64" s="1044">
        <f>IF(OR($M64="Regional share",$M64="Please select"),0,IF($M64="Other (pls. specify EF)",0,IF(OR($B64="Deer",$B64="Ostrich"),0,INDEX(INDIRECT(VLOOKUP(E64,list!$B$312:$D$339,1,FALSE)),MATCH(clim_moist,INDIRECT(VLOOKUP(E64,list!$B$312:$D$339,2,FALSE)),0),MATCH($M64,INDIRECT(VLOOKUP(E64,list!$B$312:$D$339,3,FALSE)),0))*Livestock!$H64*Livestock!$G64/1000*365/1000)))</f>
        <v/>
      </c>
      <c r="O64" s="1045">
        <f>IF('4.Grassland'!$BZ58="",'4.Grassland'!$BY58,'4.Grassland'!$BZ58)</f>
        <v/>
      </c>
      <c r="P64" s="4720">
        <f>IFERROR(IF($B64="Deer",0.22,IF($B64="Ostrich",5.67,INDEX(INDIRECT(VLOOKUP(E64,list!$B$312:$D$339,1,FALSE)),MATCH(clim_moist,INDIRECT(VLOOKUP(E64,list!$B$312:$D$339,2,FALSE)),0),MATCH('4.Grassland'!$BH$53,INDIRECT(VLOOKUP(E64,list!$B$312:$D$339,3,FALSE)),0))*Livestock!$H64*Livestock!$G64/1000*365/1000)),0)*I64/100</f>
        <v/>
      </c>
      <c r="Q64" s="1044">
        <f>IF(OR($B64="Please select",$B64=$B$53),0,IF($B64="Deer",0.22,IF($B64="Ostrich",5.67,IF(OR($M64="Please select",$M64="Regional share"),SUMPRODUCT(INDEX(INDIRECT(VLOOKUP(E64,list!$B$312:$D$339,1,FALSE)),MATCH(clim_moist,INDIRECT(VLOOKUP(E64,list!$B$312:$D$339,2,FALSE)),0),0),INDEX(INDIRECT(VLOOKUP(F64,list!$B$288:$D$310,1,FALSE)),MATCH($C$2,INDIRECT(VLOOKUP(F64,list!$B$288:$D$310,2,FALSE)),0),0))/100*($H64*$G64/1000*365)/1000-P64,0))))</f>
        <v/>
      </c>
      <c r="R64" s="4721">
        <f>IFERROR(IF('4.Grassland'!$BN58="""",($P64/($I64/100)*$J64/100+$O64*(1-$J64/100)+$Q64/(1-$I64/100)*(1-$J64/100)),('4.Grassland'!$BN58*$J64/100+$O64*(1-$J64/100)+$Q64*(1-$J64/100))),0)</f>
        <v/>
      </c>
      <c r="S64" s="4721">
        <f>IFERROR(IF('4.Grassland'!$BO58="",($P64/($I64/100)*$K64/100+$O64*(1-$K64/100)+$Q64/(1-$I64/100)*(1-$K64/100)),('4.Grassland'!$BO58*$K64/100+$O64*(1-$K64/100)+$Q64*(1-$K64/100))),0)</f>
        <v/>
      </c>
      <c r="T64" s="4721">
        <f>IFERROR(IF('4.Grassland'!$BP58="",($P64/($I64/100)*$L64/100+$O64*(1-$L64/100)+$Q64/(1-$I64/100)*(1-$L64/100)),('4.Grassland'!$BP58*$L64/100+$O64*(1-$L64/100)+$Q64*(1-$L64/100))),0)</f>
        <v/>
      </c>
      <c r="V64" s="3495">
        <f>IF($B64="Deer",0.22*$H10,IF($B64="Ostrich",5.67*$H10,R64*$H10))/1000*methane</f>
        <v/>
      </c>
      <c r="W64" s="4722">
        <f>IF($B64="Deer",0.22*$I10,IF($B64="Ostrich",5.67*$I10,S64*$I10))/1000*methane</f>
        <v/>
      </c>
      <c r="X64" s="3504">
        <f>IF($B64="Deer",0.22*$K10,IF($B64="Ostrich",5.67*$K10,T64*$K10))/1000*methane</f>
        <v/>
      </c>
      <c r="Z64" s="3495">
        <f>MIN($V64,$W64)*time_tot+ABS($W64-$V64)*IF($W64&gt;$V64,time_cap+time*(VLOOKUP($J10,list!$J$48:$K$50,2,0)),time*(1-(VLOOKUP($J10,list!$J$48:$K$50,2,0))))</f>
        <v/>
      </c>
      <c r="AA64" s="3504">
        <f>MIN($V64,$X64)*time_tot+ABS($X64-$V64)*IF($X64&gt;$V64,time_cap+time*(VLOOKUP($L10,list!$J$48:$K$50,2,0)),time*(1-(VLOOKUP($L10,list!$J$48:$K$50,2,0))))</f>
        <v/>
      </c>
      <c r="AB64" s="2166">
        <f>AA64-Z64</f>
        <v/>
      </c>
      <c r="AE64" s="992">
        <f>MIN($V64,$W64)*time+ABS($W64-$V64)*IF($W64&gt;$V64,time*(VLOOKUP($J10,list!$J$48:$K$50,2,)),time*(1-(VLOOKUP($J10,list!$J$48:$K$50,2,))))</f>
        <v/>
      </c>
      <c r="AF64" s="992">
        <f>MIN($V64,$X64)*time+ABS($X64-$V64)*IF($X64&gt;$V64,time*(VLOOKUP($L10,list!$J$48:$K$50,2,)),time*(1-(VLOOKUP($L10,list!$J$48:$K$50,2,))))</f>
        <v/>
      </c>
    </row>
    <row r="65">
      <c r="B65" s="973">
        <f>B11</f>
        <v/>
      </c>
      <c r="C65" s="973">
        <f>C11</f>
        <v/>
      </c>
      <c r="E65" s="1109">
        <f>IF(B65="Please select","",IF(AND(OR($C$2="North America",$C$2="Western Europe",$C$2="Eastern Europe",$C$2="Oceania"),(C65="Default")),VLOOKUP($B65,$B$36:$E$54,4,FALSE),INDEX($B$36:$E$54,MATCH($B65,$B$36:$B$54,0),MATCH($C65,$B$36:$E$36,0))))</f>
        <v/>
      </c>
      <c r="F65" s="1109">
        <f>IF(B65="Please select","",IF(AND(OR($C$2="North America",$C$2="Western Europe",$C$2="Eastern Europe",$C$2="Oceania"),(C65="Default")),VLOOKUP($B65,$H$36:$K$54,4,FALSE),INDEX($H$36:$K$54,MATCH($B65,$H$36:$H$54,0),MATCH($C65,$H$36:$K$36,0))))</f>
        <v/>
      </c>
      <c r="G65" s="1111">
        <f>IF(B65="Please select",0,(IF(C65="Default",INDEX(TAM_Default[#All],MATCH(Livestock!$C$2,TAM_Default[[#All],[Please select]],0),MATCH(Livestock!B65,TAM_Default[#Headers],0)),
IF(C65="Low-productivity",INDEX(TAM_LP[#All],MATCH(Livestock!$C$2,TAM_LP[[#All],[Please select]],0),MATCH(Livestock!B65,TAM_LP[#Headers],0)),
IF(C65="High-productivity",INDEX(TAM_HP[#All],MATCH(Livestock!$C$2,TAM_HP[[#All],[Please select]],0),MATCH(Livestock!B65,TAM_HP[#Headers],0)),0)))))</f>
        <v/>
      </c>
      <c r="H65" s="4718">
        <f>IF(B65="Please select",0,(IF(C65="Default",INDEX(VS_rate_Default[#All],MATCH(Livestock!$C$2,VS_rate_Default[[#All],[Please select]],0),MATCH(Livestock!B65,VS_rate_Default[#Headers],0)),
IF(C65="Low-productivity",INDEX(VS_rate_LP[#All],MATCH(Livestock!$C$2,VS_rate_LP[[#All],[Please select]],0),MATCH(Livestock!B65,VS_rate_HP[#Headers],0)),
IF(C65="High-productivity",INDEX(VS_rate_HP[#All],MATCH(Livestock!$C$2,VS_rate_HP[[#All],[Please select]],0),MATCH(Livestock!B65,VS_rate_HP[#Headers],0)),0)))))</f>
        <v/>
      </c>
      <c r="I65" s="1110">
        <f>IF(B65="Please select",0,(INDEX(INDIRECT(VLOOKUP(F65,list!$B$288:$D$310,1,FALSE)),MATCH(Livestock!$C$2,(INDIRECT(VLOOKUP(F65,list!$B$288:$D$310,2,FALSE))),0),MATCH('4.Grassland'!$BH$53,(INDIRECT(VLOOKUP(F65,list!$B$288:$D$310,3,FALSE))),0))))</f>
        <v/>
      </c>
      <c r="J65" s="1104">
        <f>IF('4.Grassland'!BI59="",Livestock!$I65,'4.Grassland'!BI59*100)</f>
        <v/>
      </c>
      <c r="K65" s="1104">
        <f>IF('4.Grassland'!BJ59="",Livestock!$I65,'4.Grassland'!BJ59*100)</f>
        <v/>
      </c>
      <c r="L65" s="1104">
        <f>IF('4.Grassland'!BK59="",Livestock!$I65,'4.Grassland'!BK59*100)</f>
        <v/>
      </c>
      <c r="M65" s="1104">
        <f>'4.Grassland'!BW59</f>
        <v/>
      </c>
      <c r="N65" s="1044">
        <f>IF(OR($M65="Regional share",$M65="Please select"),0,IF($M65="Other (pls. specify EF)",0,IF(OR($B65="Deer",$B65="Ostrich"),0,INDEX(INDIRECT(VLOOKUP(E65,list!$B$312:$D$339,1,FALSE)),MATCH(clim_moist,INDIRECT(VLOOKUP(E65,list!$B$312:$D$339,2,FALSE)),0),MATCH($M65,INDIRECT(VLOOKUP(E65,list!$B$312:$D$339,3,FALSE)),0))*Livestock!$H65*Livestock!$G65/1000*365/1000)))</f>
        <v/>
      </c>
      <c r="O65" s="1045">
        <f>IF('4.Grassland'!$BZ59="",'4.Grassland'!$BY59,'4.Grassland'!$BZ59)</f>
        <v/>
      </c>
      <c r="P65" s="4720">
        <f>IFERROR(IF($B65="Deer",0.22,IF($B65="Ostrich",5.67,INDEX(INDIRECT(VLOOKUP(E65,list!$B$312:$D$339,1,FALSE)),MATCH(clim_moist,INDIRECT(VLOOKUP(E65,list!$B$312:$D$339,2,FALSE)),0),MATCH('4.Grassland'!$BH$53,INDIRECT(VLOOKUP(E65,list!$B$312:$D$339,3,FALSE)),0))*Livestock!$H65*Livestock!$G65/1000*365/1000)),0)*I65/100</f>
        <v/>
      </c>
      <c r="Q65" s="1044">
        <f>IF(OR($B65="Please select",$B65=$B$53),0,IF($B65="Deer",0.22,IF($B65="Ostrich",5.67,IF(OR($M65="Please select",$M65="Regional share"),SUMPRODUCT(INDEX(INDIRECT(VLOOKUP(E65,list!$B$312:$D$339,1,FALSE)),MATCH(clim_moist,INDIRECT(VLOOKUP(E65,list!$B$312:$D$339,2,FALSE)),0),0),INDEX(INDIRECT(VLOOKUP(F65,list!$B$288:$D$310,1,FALSE)),MATCH($C$2,INDIRECT(VLOOKUP(F65,list!$B$288:$D$310,2,FALSE)),0),0))/100*($H65*$G65/1000*365)/1000-P65,0))))</f>
        <v/>
      </c>
      <c r="R65" s="4721">
        <f>IFERROR(IF('4.Grassland'!$BN59="""",($P65/($I65/100)*$J65/100+$O65*(1-$J65/100)+$Q65/(1-$I65/100)*(1-$J65/100)),('4.Grassland'!$BN59*$J65/100+$O65*(1-$J65/100)+$Q65*(1-$J65/100))),0)</f>
        <v/>
      </c>
      <c r="S65" s="4721">
        <f>IFERROR(IF('4.Grassland'!$BO59="",($P65/($I65/100)*$K65/100+$O65*(1-$K65/100)+$Q65/(1-$I65/100)*(1-$K65/100)),('4.Grassland'!$BO59*$K65/100+$O65*(1-$K65/100)+$Q65*(1-$K65/100))),0)</f>
        <v/>
      </c>
      <c r="T65" s="4721">
        <f>IFERROR(IF('4.Grassland'!$BP59="",($P65/($I65/100)*$L65/100+$O65*(1-$L65/100)+$Q65/(1-$I65/100)*(1-$L65/100)),('4.Grassland'!$BP59*$L65/100+$O65*(1-$L65/100)+$Q65*(1-$L65/100))),0)</f>
        <v/>
      </c>
      <c r="V65" s="3495">
        <f>IF($B65="Deer",0.22*$H11,IF($B65="Ostrich",5.67*$H11,R65*$H11))/1000*methane</f>
        <v/>
      </c>
      <c r="W65" s="1152">
        <f>IF($B65="Deer",0.22*$I11,IF($B65="Ostrich",5.67*$I11,S65*$I11))/1000*methane</f>
        <v/>
      </c>
      <c r="X65" s="3504">
        <f>IF($B65="Deer",0.22*$K11,IF($B65="Ostrich",5.67*$K11,T65*$K11))/1000*methane</f>
        <v/>
      </c>
      <c r="Z65" s="3495">
        <f>MIN($V65,$W65)*time_tot+ABS($W65-$V65)*IF($W65&gt;$V65,time_cap+time*(VLOOKUP($J11,list!$J$48:$K$50,2,0)),time*(1-(VLOOKUP($J11,list!$J$48:$K$50,2,0))))</f>
        <v/>
      </c>
      <c r="AA65" s="3504">
        <f>MIN($V65,$X65)*time_tot+ABS($X65-$V65)*IF($X65&gt;$V65,time_cap+time*(VLOOKUP($L11,list!$J$48:$K$50,2,0)),time*(1-(VLOOKUP($L11,list!$J$48:$K$50,2,0))))</f>
        <v/>
      </c>
      <c r="AB65" s="2166">
        <f>AA65-Z65</f>
        <v/>
      </c>
      <c r="AE65" s="992">
        <f>MIN($V65,$W65)*time+ABS($W65-$V65)*IF($W65&gt;$V65,time*(VLOOKUP($J11,list!$J$48:$K$50,2,)),time*(1-(VLOOKUP($J11,list!$J$48:$K$50,2,))))</f>
        <v/>
      </c>
      <c r="AF65" s="992">
        <f>MIN($V65,$X65)*time+ABS($X65-$V65)*IF($X65&gt;$V65,time*(VLOOKUP($L11,list!$J$48:$K$50,2,)),time*(1-(VLOOKUP($L11,list!$J$48:$K$50,2,))))</f>
        <v/>
      </c>
    </row>
    <row r="66">
      <c r="B66" s="973">
        <f>B12</f>
        <v/>
      </c>
      <c r="C66" s="973">
        <f>C12</f>
        <v/>
      </c>
      <c r="E66" s="1109">
        <f>IF(B66="Please select","",IF(AND(OR($C$2="North America",$C$2="Western Europe",$C$2="Eastern Europe",$C$2="Oceania"),(C66="Default")),VLOOKUP($B66,$B$36:$E$54,4,FALSE),INDEX($B$36:$E$54,MATCH($B66,$B$36:$B$54,0),MATCH($C66,$B$36:$E$36,0))))</f>
        <v/>
      </c>
      <c r="F66" s="1109">
        <f>IF(B66="Please select","",IF(AND(OR($C$2="North America",$C$2="Western Europe",$C$2="Eastern Europe",$C$2="Oceania"),(C66="Default")),VLOOKUP($B66,$H$36:$K$54,4,FALSE),INDEX($H$36:$K$54,MATCH($B66,$H$36:$H$54,0),MATCH($C66,$H$36:$K$36,0))))</f>
        <v/>
      </c>
      <c r="G66" s="1111">
        <f>IF(B66="Please select",0,(IF(C66="Default",INDEX(TAM_Default[#All],MATCH(Livestock!$C$2,TAM_Default[[#All],[Please select]],0),MATCH(Livestock!B66,TAM_Default[#Headers],0)),
IF(C66="Low-productivity",INDEX(TAM_LP[#All],MATCH(Livestock!$C$2,TAM_LP[[#All],[Please select]],0),MATCH(Livestock!B66,TAM_LP[#Headers],0)),
IF(C66="High-productivity",INDEX(TAM_HP[#All],MATCH(Livestock!$C$2,TAM_HP[[#All],[Please select]],0),MATCH(Livestock!B66,TAM_HP[#Headers],0)),0)))))</f>
        <v/>
      </c>
      <c r="H66" s="4718">
        <f>IF(B66="Please select",0,(IF(C66="Default",INDEX(VS_rate_Default[#All],MATCH(Livestock!$C$2,VS_rate_Default[[#All],[Please select]],0),MATCH(Livestock!B66,VS_rate_Default[#Headers],0)),
IF(C66="Low-productivity",INDEX(VS_rate_LP[#All],MATCH(Livestock!$C$2,VS_rate_LP[[#All],[Please select]],0),MATCH(Livestock!B66,VS_rate_HP[#Headers],0)),
IF(C66="High-productivity",INDEX(VS_rate_HP[#All],MATCH(Livestock!$C$2,VS_rate_HP[[#All],[Please select]],0),MATCH(Livestock!B66,VS_rate_HP[#Headers],0)),0)))))</f>
        <v/>
      </c>
      <c r="I66" s="1110">
        <f>IF(B66="Please select",0,(INDEX(INDIRECT(VLOOKUP(F66,list!$B$288:$D$310,1,FALSE)),MATCH(Livestock!$C$2,(INDIRECT(VLOOKUP(F66,list!$B$288:$D$310,2,FALSE))),0),MATCH('4.Grassland'!$BH$53,(INDIRECT(VLOOKUP(F66,list!$B$288:$D$310,3,FALSE))),0))))</f>
        <v/>
      </c>
      <c r="J66" s="1104">
        <f>IF('4.Grassland'!BI60="",Livestock!$I66,'4.Grassland'!BI60*100)</f>
        <v/>
      </c>
      <c r="K66" s="1104">
        <f>IF('4.Grassland'!BJ60="",Livestock!$I66,'4.Grassland'!BJ60*100)</f>
        <v/>
      </c>
      <c r="L66" s="1104">
        <f>IF('4.Grassland'!BK60="",Livestock!$I66,'4.Grassland'!BK60*100)</f>
        <v/>
      </c>
      <c r="M66" s="1104">
        <f>'4.Grassland'!BW60</f>
        <v/>
      </c>
      <c r="N66" s="1044">
        <f>IF(OR($M66="Regional share",$M66="Please select"),0,IF($M66="Other (pls. specify EF)",0,IF(OR($B66="Deer",$B66="Ostrich"),0,INDEX(INDIRECT(VLOOKUP(E66,list!$B$312:$D$339,1,FALSE)),MATCH(clim_moist,INDIRECT(VLOOKUP(E66,list!$B$312:$D$339,2,FALSE)),0),MATCH($M66,INDIRECT(VLOOKUP(E66,list!$B$312:$D$339,3,FALSE)),0))*Livestock!$H66*Livestock!$G66/1000*365/1000)))</f>
        <v/>
      </c>
      <c r="O66" s="1045">
        <f>IF('4.Grassland'!$BZ60="",'4.Grassland'!$BY60,'4.Grassland'!$BZ60)</f>
        <v/>
      </c>
      <c r="P66" s="4720">
        <f>IFERROR(IF($B66="Deer",0.22,IF($B66="Ostrich",5.67,INDEX(INDIRECT(VLOOKUP(E66,list!$B$312:$D$339,1,FALSE)),MATCH(clim_moist,INDIRECT(VLOOKUP(E66,list!$B$312:$D$339,2,FALSE)),0),MATCH('4.Grassland'!$BH$53,INDIRECT(VLOOKUP(E66,list!$B$312:$D$339,3,FALSE)),0))*Livestock!$H66*Livestock!$G66/1000*365/1000)),0)*I66/100</f>
        <v/>
      </c>
      <c r="Q66" s="1044">
        <f>IF(OR($B66="Please select",$B66=$B$53),0,IF($B66="Deer",0.22,IF($B66="Ostrich",5.67,IF(OR($M66="Please select",$M66="Regional share"),SUMPRODUCT(INDEX(INDIRECT(VLOOKUP(E66,list!$B$312:$D$339,1,FALSE)),MATCH(clim_moist,INDIRECT(VLOOKUP(E66,list!$B$312:$D$339,2,FALSE)),0),0),INDEX(INDIRECT(VLOOKUP(F66,list!$B$288:$D$310,1,FALSE)),MATCH($C$2,INDIRECT(VLOOKUP(F66,list!$B$288:$D$310,2,FALSE)),0),0))/100*($H66*$G66/1000*365)/1000-P66,0))))</f>
        <v/>
      </c>
      <c r="R66" s="4721">
        <f>IFERROR(IF('4.Grassland'!$BN60="""",($P66/($I66/100)*$J66/100+$O66*(1-$J66/100)+$Q66/(1-$I66/100)*(1-$J66/100)),('4.Grassland'!$BN60*$J66/100+$O66*(1-$J66/100)+$Q66*(1-$J66/100))),0)</f>
        <v/>
      </c>
      <c r="S66" s="4721">
        <f>IFERROR(IF('4.Grassland'!$BO60="",($P66/($I66/100)*$K66/100+$O66*(1-$K66/100)+$Q66/(1-$I66/100)*(1-$K66/100)),('4.Grassland'!$BO60*$K66/100+$O66*(1-$K66/100)+$Q66*(1-$K66/100))),0)</f>
        <v/>
      </c>
      <c r="T66" s="4721">
        <f>IFERROR(IF('4.Grassland'!$BP60="",($P66/($I66/100)*$L66/100+$O66*(1-$L66/100)+$Q66/(1-$I66/100)*(1-$L66/100)),('4.Grassland'!$BP60*$L66/100+$O66*(1-$L66/100)+$Q66*(1-$L66/100))),0)</f>
        <v/>
      </c>
      <c r="V66" s="3495">
        <f>IF($B66="Deer",0.22*$H12,IF($B66="Ostrich",5.67*$H12,R66*$H12))/1000*methane</f>
        <v/>
      </c>
      <c r="W66" s="1152">
        <f>IF($B66="Deer",0.22*$I12,IF($B66="Ostrich",5.67*$I12,S66*$I12))/1000*methane</f>
        <v/>
      </c>
      <c r="X66" s="3504">
        <f>IF($B66="Deer",0.22*$K12,IF($B66="Ostrich",5.67*$K12,T66*$K12))/1000*methane</f>
        <v/>
      </c>
      <c r="Z66" s="3495">
        <f>MIN($V66,$W66)*time_tot+ABS($W66-$V66)*IF($W66&gt;$V66,time_cap+time*(VLOOKUP($J12,list!$J$48:$K$50,2,0)),time*(1-(VLOOKUP($J12,list!$J$48:$K$50,2,0))))</f>
        <v/>
      </c>
      <c r="AA66" s="3504">
        <f>MIN($V66,$X66)*time_tot+ABS($X66-$V66)*IF($X66&gt;$V66,time_cap+time*(VLOOKUP($L12,list!$J$48:$K$50,2,0)),time*(1-(VLOOKUP($L12,list!$J$48:$K$50,2,0))))</f>
        <v/>
      </c>
      <c r="AB66" s="2166">
        <f>AA66-Z66</f>
        <v/>
      </c>
      <c r="AE66" s="992">
        <f>MIN($V66,$W66)*time+ABS($W66-$V66)*IF($W66&gt;$V66,time*(VLOOKUP($J12,list!$J$48:$K$50,2,)),time*(1-(VLOOKUP($J12,list!$J$48:$K$50,2,))))</f>
        <v/>
      </c>
      <c r="AF66" s="992">
        <f>MIN($V66,$X66)*time+ABS($X66-$V66)*IF($X66&gt;$V66,time*(VLOOKUP($L12,list!$J$48:$K$50,2,)),time*(1-(VLOOKUP($L12,list!$J$48:$K$50,2,))))</f>
        <v/>
      </c>
    </row>
    <row r="67">
      <c r="B67" s="973">
        <f>B13</f>
        <v/>
      </c>
      <c r="C67" s="973">
        <f>C13</f>
        <v/>
      </c>
      <c r="E67" s="1109">
        <f>IF(B67="Please select","",IF(AND(OR($C$2="North America",$C$2="Western Europe",$C$2="Eastern Europe",$C$2="Oceania"),(C67="Default")),VLOOKUP($B67,$B$36:$E$54,4,FALSE),INDEX($B$36:$E$54,MATCH($B67,$B$36:$B$54,0),MATCH($C67,$B$36:$E$36,0))))</f>
        <v/>
      </c>
      <c r="F67" s="1109">
        <f>IF(B67="Please select","",IF(AND(OR($C$2="North America",$C$2="Western Europe",$C$2="Eastern Europe",$C$2="Oceania"),(C67="Default")),VLOOKUP($B67,$H$36:$K$54,4,FALSE),INDEX($H$36:$K$54,MATCH($B67,$H$36:$H$54,0),MATCH($C67,$H$36:$K$36,0))))</f>
        <v/>
      </c>
      <c r="G67" s="1111">
        <f>IF(B67="Please select",0,(IF(C67="Default",INDEX(TAM_Default[#All],MATCH(Livestock!$C$2,TAM_Default[[#All],[Please select]],0),MATCH(Livestock!B67,TAM_Default[#Headers],0)),
IF(C67="Low-productivity",INDEX(TAM_LP[#All],MATCH(Livestock!$C$2,TAM_LP[[#All],[Please select]],0),MATCH(Livestock!B67,TAM_LP[#Headers],0)),
IF(C67="High-productivity",INDEX(TAM_HP[#All],MATCH(Livestock!$C$2,TAM_HP[[#All],[Please select]],0),MATCH(Livestock!B67,TAM_HP[#Headers],0)),0)))))</f>
        <v/>
      </c>
      <c r="H67" s="4718">
        <f>IF(B67="Please select",0,(IF(C67="Default",INDEX(VS_rate_Default[#All],MATCH(Livestock!$C$2,VS_rate_Default[[#All],[Please select]],0),MATCH(Livestock!B67,VS_rate_Default[#Headers],0)),
IF(C67="Low-productivity",INDEX(VS_rate_LP[#All],MATCH(Livestock!$C$2,VS_rate_LP[[#All],[Please select]],0),MATCH(Livestock!B67,VS_rate_HP[#Headers],0)),
IF(C67="High-productivity",INDEX(VS_rate_HP[#All],MATCH(Livestock!$C$2,VS_rate_HP[[#All],[Please select]],0),MATCH(Livestock!B67,VS_rate_HP[#Headers],0)),0)))))</f>
        <v/>
      </c>
      <c r="I67" s="1110">
        <f>IF(B67="Please select",0,(INDEX(INDIRECT(VLOOKUP(F67,list!$B$288:$D$310,1,FALSE)),MATCH(Livestock!$C$2,(INDIRECT(VLOOKUP(F67,list!$B$288:$D$310,2,FALSE))),0),MATCH('4.Grassland'!$BH$53,(INDIRECT(VLOOKUP(F67,list!$B$288:$D$310,3,FALSE))),0))))</f>
        <v/>
      </c>
      <c r="J67" s="1104">
        <f>IF('4.Grassland'!BI61="",Livestock!$I67,'4.Grassland'!BI61*100)</f>
        <v/>
      </c>
      <c r="K67" s="1104">
        <f>IF('4.Grassland'!BJ61="",Livestock!$I67,'4.Grassland'!BJ61*100)</f>
        <v/>
      </c>
      <c r="L67" s="1104">
        <f>IF('4.Grassland'!BK61="",Livestock!$I67,'4.Grassland'!BK61*100)</f>
        <v/>
      </c>
      <c r="M67" s="1104">
        <f>'4.Grassland'!BW61</f>
        <v/>
      </c>
      <c r="N67" s="1044">
        <f>IF(OR($M67="Regional share",$M67="Please select"),0,IF($M67="Other (pls. specify EF)",0,IF(OR($B67="Deer",$B67="Ostrich"),0,INDEX(INDIRECT(VLOOKUP(E67,list!$B$312:$D$339,1,FALSE)),MATCH(clim_moist,INDIRECT(VLOOKUP(E67,list!$B$312:$D$339,2,FALSE)),0),MATCH($M67,INDIRECT(VLOOKUP(E67,list!$B$312:$D$339,3,FALSE)),0))*Livestock!$H67*Livestock!$G67/1000*365/1000)))</f>
        <v/>
      </c>
      <c r="O67" s="1045">
        <f>IF('4.Grassland'!$BZ61="",'4.Grassland'!$BY61,'4.Grassland'!$BZ61)</f>
        <v/>
      </c>
      <c r="P67" s="4720">
        <f>IFERROR(IF($B67="Deer",0.22,IF($B67="Ostrich",5.67,INDEX(INDIRECT(VLOOKUP(E67,list!$B$312:$D$339,1,FALSE)),MATCH(clim_moist,INDIRECT(VLOOKUP(E67,list!$B$312:$D$339,2,FALSE)),0),MATCH('4.Grassland'!$BH$53,INDIRECT(VLOOKUP(E67,list!$B$312:$D$339,3,FALSE)),0))*Livestock!$H67*Livestock!$G67/1000*365/1000)),0)*I67/100</f>
        <v/>
      </c>
      <c r="Q67" s="1044">
        <f>IF(OR($B67="Please select",$B67=$B$53),0,IF($B67="Deer",0.22,IF($B67="Ostrich",5.67,IF(OR($M67="Please select",$M67="Regional share"),SUMPRODUCT(INDEX(INDIRECT(VLOOKUP(E67,list!$B$312:$D$339,1,FALSE)),MATCH(clim_moist,INDIRECT(VLOOKUP(E67,list!$B$312:$D$339,2,FALSE)),0),0),INDEX(INDIRECT(VLOOKUP(F67,list!$B$288:$D$310,1,FALSE)),MATCH($C$2,INDIRECT(VLOOKUP(F67,list!$B$288:$D$310,2,FALSE)),0),0))/100*($H67*$G67/1000*365)/1000-P67,0))))</f>
        <v/>
      </c>
      <c r="R67" s="4721">
        <f>IFERROR(IF('4.Grassland'!$BN61="""",($P67/($I67/100)*$J67/100+$O67*(1-$J67/100)+$Q67/(1-$I67/100)*(1-$J67/100)),('4.Grassland'!$BN61*$J67/100+$O67*(1-$J67/100)+$Q67*(1-$J67/100))),0)</f>
        <v/>
      </c>
      <c r="S67" s="4721">
        <f>IFERROR(IF('4.Grassland'!$BO61="",($P67/($I67/100)*$K67/100+$O67*(1-$K67/100)+$Q67/(1-$I67/100)*(1-$K67/100)),('4.Grassland'!$BO61*$K67/100+$O67*(1-$K67/100)+$Q67*(1-$K67/100))),0)</f>
        <v/>
      </c>
      <c r="T67" s="4721">
        <f>IFERROR(IF('4.Grassland'!$BP61="",($P67/($I67/100)*$L67/100+$O67*(1-$L67/100)+$Q67/(1-$I67/100)*(1-$L67/100)),('4.Grassland'!$BP61*$L67/100+$O67*(1-$L67/100)+$Q67*(1-$L67/100))),0)</f>
        <v/>
      </c>
      <c r="V67" s="3495">
        <f>IF($B67="Deer",0.22*$H13,IF($B67="Ostrich",5.67*$H13,R67*$H13))/1000*methane</f>
        <v/>
      </c>
      <c r="W67" s="1152">
        <f>IF($B67="Deer",0.22*$I13,IF($B67="Ostrich",5.67*$I13,S67*$I13))/1000*methane</f>
        <v/>
      </c>
      <c r="X67" s="3504">
        <f>IF($B67="Deer",0.22*$K13,IF($B67="Ostrich",5.67*$K13,T67*$K13))/1000*methane</f>
        <v/>
      </c>
      <c r="Z67" s="3495">
        <f>MIN($V67,$W67)*time_tot+ABS($W67-$V67)*IF($W67&gt;$V67,time_cap+time*(VLOOKUP($J13,list!$J$48:$K$50,2,0)),time*(1-(VLOOKUP($J13,list!$J$48:$K$50,2,0))))</f>
        <v/>
      </c>
      <c r="AA67" s="3504">
        <f>MIN($V67,$X67)*time_tot+ABS($X67-$V67)*IF($X67&gt;$V67,time_cap+time*(VLOOKUP($L13,list!$J$48:$K$50,2,0)),time*(1-(VLOOKUP($L13,list!$J$48:$K$50,2,0))))</f>
        <v/>
      </c>
      <c r="AB67" s="2166">
        <f>AA67-Z67</f>
        <v/>
      </c>
      <c r="AE67" s="992">
        <f>MIN($V67,$W67)*time+ABS($W67-$V67)*IF($W67&gt;$V67,time*(VLOOKUP($J13,list!$J$48:$K$50,2,)),time*(1-(VLOOKUP($J13,list!$J$48:$K$50,2,))))</f>
        <v/>
      </c>
      <c r="AF67" s="992">
        <f>MIN($V67,$X67)*time+ABS($X67-$V67)*IF($X67&gt;$V67,time*(VLOOKUP($L13,list!$J$48:$K$50,2,)),time*(1-(VLOOKUP($L13,list!$J$48:$K$50,2,))))</f>
        <v/>
      </c>
    </row>
    <row r="68">
      <c r="B68" s="973">
        <f>B14</f>
        <v/>
      </c>
      <c r="C68" s="973">
        <f>C14</f>
        <v/>
      </c>
      <c r="E68" s="1109">
        <f>IF(B68="Please select","",IF(AND(OR($C$2="North America",$C$2="Western Europe",$C$2="Eastern Europe",$C$2="Oceania"),(C68="Default")),VLOOKUP($B68,$B$36:$E$54,4,FALSE),INDEX($B$36:$E$54,MATCH($B68,$B$36:$B$54,0),MATCH($C68,$B$36:$E$36,0))))</f>
        <v/>
      </c>
      <c r="F68" s="1109">
        <f>IF(B68="Please select","",IF(AND(OR($C$2="North America",$C$2="Western Europe",$C$2="Eastern Europe",$C$2="Oceania"),(C68="Default")),VLOOKUP($B68,$H$36:$K$54,4,FALSE),INDEX($H$36:$K$54,MATCH($B68,$H$36:$H$54,0),MATCH($C68,$H$36:$K$36,0))))</f>
        <v/>
      </c>
      <c r="G68" s="1111">
        <f>IF(B68="Please select",0,(IF(C68="Default",INDEX(TAM_Default[#All],MATCH(Livestock!$C$2,TAM_Default[[#All],[Please select]],0),MATCH(Livestock!B68,TAM_Default[#Headers],0)),
IF(C68="Low-productivity",INDEX(TAM_LP[#All],MATCH(Livestock!$C$2,TAM_LP[[#All],[Please select]],0),MATCH(Livestock!B68,TAM_LP[#Headers],0)),
IF(C68="High-productivity",INDEX(TAM_HP[#All],MATCH(Livestock!$C$2,TAM_HP[[#All],[Please select]],0),MATCH(Livestock!B68,TAM_HP[#Headers],0)),0)))))</f>
        <v/>
      </c>
      <c r="H68" s="4718">
        <f>IF(B68="Please select",0,(IF(C68="Default",INDEX(VS_rate_Default[#All],MATCH(Livestock!$C$2,VS_rate_Default[[#All],[Please select]],0),MATCH(Livestock!B68,VS_rate_Default[#Headers],0)),
IF(C68="Low-productivity",INDEX(VS_rate_LP[#All],MATCH(Livestock!$C$2,VS_rate_LP[[#All],[Please select]],0),MATCH(Livestock!B68,VS_rate_HP[#Headers],0)),
IF(C68="High-productivity",INDEX(VS_rate_HP[#All],MATCH(Livestock!$C$2,VS_rate_HP[[#All],[Please select]],0),MATCH(Livestock!B68,VS_rate_HP[#Headers],0)),0)))))</f>
        <v/>
      </c>
      <c r="I68" s="1110">
        <f>IF(B68="Please select",0,(INDEX(INDIRECT(VLOOKUP(F68,list!$B$288:$D$310,1,FALSE)),MATCH(Livestock!$C$2,(INDIRECT(VLOOKUP(F68,list!$B$288:$D$310,2,FALSE))),0),MATCH('4.Grassland'!$BH$53,(INDIRECT(VLOOKUP(F68,list!$B$288:$D$310,3,FALSE))),0))))</f>
        <v/>
      </c>
      <c r="J68" s="1104">
        <f>IF('4.Grassland'!BI62="",Livestock!$I68,'4.Grassland'!BI62*100)</f>
        <v/>
      </c>
      <c r="K68" s="1104">
        <f>IF('4.Grassland'!BJ62="",Livestock!$I68,'4.Grassland'!BJ62*100)</f>
        <v/>
      </c>
      <c r="L68" s="1104">
        <f>IF('4.Grassland'!BK62="",Livestock!$I68,'4.Grassland'!BK62*100)</f>
        <v/>
      </c>
      <c r="M68" s="1104">
        <f>'4.Grassland'!BW62</f>
        <v/>
      </c>
      <c r="N68" s="1044">
        <f>IF(OR($M68="Regional share",$M68="Please select"),0,IF($M68="Other (pls. specify EF)",0,IF(OR($B68="Deer",$B68="Ostrich"),0,INDEX(INDIRECT(VLOOKUP(E68,list!$B$312:$D$339,1,FALSE)),MATCH(clim_moist,INDIRECT(VLOOKUP(E68,list!$B$312:$D$339,2,FALSE)),0),MATCH($M68,INDIRECT(VLOOKUP(E68,list!$B$312:$D$339,3,FALSE)),0))*Livestock!$H68*Livestock!$G68/1000*365/1000)))</f>
        <v/>
      </c>
      <c r="O68" s="1045">
        <f>IF('4.Grassland'!$BZ62="",'4.Grassland'!$BY62,'4.Grassland'!$BZ62)</f>
        <v/>
      </c>
      <c r="P68" s="4720">
        <f>IFERROR(IF($B68="Deer",0.22,IF($B68="Ostrich",5.67,INDEX(INDIRECT(VLOOKUP(E68,list!$B$312:$D$339,1,FALSE)),MATCH(clim_moist,INDIRECT(VLOOKUP(E68,list!$B$312:$D$339,2,FALSE)),0),MATCH('4.Grassland'!$BH$53,INDIRECT(VLOOKUP(E68,list!$B$312:$D$339,3,FALSE)),0))*Livestock!$H68*Livestock!$G68/1000*365/1000)),0)*I68/100</f>
        <v/>
      </c>
      <c r="Q68" s="1044">
        <f>IF(OR($B68="Please select",$B68=$B$53),0,IF($B68="Deer",0.22,IF($B68="Ostrich",5.67,IF(OR($M68="Please select",$M68="Regional share"),SUMPRODUCT(INDEX(INDIRECT(VLOOKUP(E68,list!$B$312:$D$339,1,FALSE)),MATCH(clim_moist,INDIRECT(VLOOKUP(E68,list!$B$312:$D$339,2,FALSE)),0),0),INDEX(INDIRECT(VLOOKUP(F68,list!$B$288:$D$310,1,FALSE)),MATCH($C$2,INDIRECT(VLOOKUP(F68,list!$B$288:$D$310,2,FALSE)),0),0))/100*($H68*$G68/1000*365)/1000-P68,0))))</f>
        <v/>
      </c>
      <c r="R68" s="4721">
        <f>IFERROR(IF('4.Grassland'!$BN62="""",($P68/($I68/100)*$J68/100+$O68*(1-$J68/100)+$Q68/(1-$I68/100)*(1-$J68/100)),('4.Grassland'!$BN62*$J68/100+$O68*(1-$J68/100)+$Q68*(1-$J68/100))),0)</f>
        <v/>
      </c>
      <c r="S68" s="4721">
        <f>IFERROR(IF('4.Grassland'!$BO62="",($P68/($I68/100)*$K68/100+$O68*(1-$K68/100)+$Q68/(1-$I68/100)*(1-$K68/100)),('4.Grassland'!$BO62*$K68/100+$O68*(1-$K68/100)+$Q68*(1-$K68/100))),0)</f>
        <v/>
      </c>
      <c r="T68" s="4721">
        <f>IFERROR(IF('4.Grassland'!$BP62="",($P68/($I68/100)*$L68/100+$O68*(1-$L68/100)+$Q68/(1-$I68/100)*(1-$L68/100)),('4.Grassland'!$BP62*$L68/100+$O68*(1-$L68/100)+$Q68*(1-$L68/100))),0)</f>
        <v/>
      </c>
      <c r="V68" s="3495">
        <f>IF($B68="Deer",0.22*$H14,IF($B68="Ostrich",5.67*$H14,R68*$H14))/1000*methane</f>
        <v/>
      </c>
      <c r="W68" s="1152">
        <f>IF($B68="Deer",0.22*$I14,IF($B68="Ostrich",5.67*$I14,S68*$I14))/1000*methane</f>
        <v/>
      </c>
      <c r="X68" s="3504">
        <f>IF($B68="Deer",0.22*$K14,IF($B68="Ostrich",5.67*$K14,T68*$K14))/1000*methane</f>
        <v/>
      </c>
      <c r="Z68" s="3495">
        <f>MIN($V68,$W68)*time_tot+ABS($W68-$V68)*IF($W68&gt;$V68,time_cap+time*(VLOOKUP($J14,list!$J$48:$K$50,2,0)),time*(1-(VLOOKUP($J14,list!$J$48:$K$50,2,0))))</f>
        <v/>
      </c>
      <c r="AA68" s="3504">
        <f>MIN($V68,$X68)*time_tot+ABS($X68-$V68)*IF($X68&gt;$V68,time_cap+time*(VLOOKUP($L14,list!$J$48:$K$50,2,0)),time*(1-(VLOOKUP($L14,list!$J$48:$K$50,2,0))))</f>
        <v/>
      </c>
      <c r="AB68" s="2166">
        <f>AA68-Z68</f>
        <v/>
      </c>
      <c r="AE68" s="992">
        <f>MIN($V68,$W68)*time+ABS($W68-$V68)*IF($W68&gt;$V68,time*(VLOOKUP($J14,list!$J$48:$K$50,2,)),time*(1-(VLOOKUP($J14,list!$J$48:$K$50,2,))))</f>
        <v/>
      </c>
      <c r="AF68" s="992">
        <f>MIN($V68,$X68)*time+ABS($X68-$V68)*IF($X68&gt;$V68,time*(VLOOKUP($L14,list!$J$48:$K$50,2,)),time*(1-(VLOOKUP($L14,list!$J$48:$K$50,2,))))</f>
        <v/>
      </c>
    </row>
    <row r="69">
      <c r="B69" s="973">
        <f>B15</f>
        <v/>
      </c>
      <c r="C69" s="973">
        <f>C15</f>
        <v/>
      </c>
      <c r="E69" s="1109">
        <f>IF(B69="Please select","",IF(AND(OR($C$2="North America",$C$2="Western Europe",$C$2="Eastern Europe",$C$2="Oceania"),(C69="Default")),VLOOKUP($B69,$B$36:$E$54,4,FALSE),INDEX($B$36:$E$54,MATCH($B69,$B$36:$B$54,0),MATCH($C69,$B$36:$E$36,0))))</f>
        <v/>
      </c>
      <c r="F69" s="1109">
        <f>IF(B69="Please select","",IF(AND(OR($C$2="North America",$C$2="Western Europe",$C$2="Eastern Europe",$C$2="Oceania"),(C69="Default")),VLOOKUP($B69,$H$36:$K$54,4,FALSE),INDEX($H$36:$K$54,MATCH($B69,$H$36:$H$54,0),MATCH($C69,$H$36:$K$36,0))))</f>
        <v/>
      </c>
      <c r="G69" s="1111">
        <f>IF(B69="Please select",0,(IF(C69="Default",INDEX(TAM_Default[#All],MATCH(Livestock!$C$2,TAM_Default[[#All],[Please select]],0),MATCH(Livestock!B69,TAM_Default[#Headers],0)),
IF(C69="Low-productivity",INDEX(TAM_LP[#All],MATCH(Livestock!$C$2,TAM_LP[[#All],[Please select]],0),MATCH(Livestock!B69,TAM_LP[#Headers],0)),
IF(C69="High-productivity",INDEX(TAM_HP[#All],MATCH(Livestock!$C$2,TAM_HP[[#All],[Please select]],0),MATCH(Livestock!B69,TAM_HP[#Headers],0)),0)))))</f>
        <v/>
      </c>
      <c r="H69" s="4718">
        <f>IF(B69="Please select",0,(IF(C69="Default",INDEX(VS_rate_Default[#All],MATCH(Livestock!$C$2,VS_rate_Default[[#All],[Please select]],0),MATCH(Livestock!B69,VS_rate_Default[#Headers],0)),
IF(C69="Low-productivity",INDEX(VS_rate_LP[#All],MATCH(Livestock!$C$2,VS_rate_LP[[#All],[Please select]],0),MATCH(Livestock!B69,VS_rate_HP[#Headers],0)),
IF(C69="High-productivity",INDEX(VS_rate_HP[#All],MATCH(Livestock!$C$2,VS_rate_HP[[#All],[Please select]],0),MATCH(Livestock!B69,VS_rate_HP[#Headers],0)),0)))))</f>
        <v/>
      </c>
      <c r="I69" s="1110">
        <f>IF(B69="Please select",0,(INDEX(INDIRECT(VLOOKUP(F69,list!$B$288:$D$310,1,FALSE)),MATCH(Livestock!$C$2,(INDIRECT(VLOOKUP(F69,list!$B$288:$D$310,2,FALSE))),0),MATCH('4.Grassland'!$BH$53,(INDIRECT(VLOOKUP(F69,list!$B$288:$D$310,3,FALSE))),0))))</f>
        <v/>
      </c>
      <c r="J69" s="1104">
        <f>IF('4.Grassland'!BI63="",Livestock!$I69,'4.Grassland'!BI63*100)</f>
        <v/>
      </c>
      <c r="K69" s="1104">
        <f>IF('4.Grassland'!BJ63="",Livestock!$I69,'4.Grassland'!BJ63*100)</f>
        <v/>
      </c>
      <c r="L69" s="1104">
        <f>IF('4.Grassland'!BK63="",Livestock!$I69,'4.Grassland'!BK63*100)</f>
        <v/>
      </c>
      <c r="M69" s="1104">
        <f>'4.Grassland'!BW63</f>
        <v/>
      </c>
      <c r="N69" s="1044">
        <f>IF(OR($M69="Regional share",$M69="Please select"),0,IF($M69="Other (pls. specify EF)",0,IF(OR($B69="Deer",$B69="Ostrich"),0,INDEX(INDIRECT(VLOOKUP(E69,list!$B$312:$D$339,1,FALSE)),MATCH(clim_moist,INDIRECT(VLOOKUP(E69,list!$B$312:$D$339,2,FALSE)),0),MATCH($M69,INDIRECT(VLOOKUP(E69,list!$B$312:$D$339,3,FALSE)),0))*Livestock!$H69*Livestock!$G69/1000*365/1000)))</f>
        <v/>
      </c>
      <c r="O69" s="1045">
        <f>IF('4.Grassland'!$BZ63="",'4.Grassland'!$BY63,'4.Grassland'!$BZ63)</f>
        <v/>
      </c>
      <c r="P69" s="4720">
        <f>IFERROR(IF($B69="Deer",0.22,IF($B69="Ostrich",5.67,INDEX(INDIRECT(VLOOKUP(E69,list!$B$312:$D$339,1,FALSE)),MATCH(clim_moist,INDIRECT(VLOOKUP(E69,list!$B$312:$D$339,2,FALSE)),0),MATCH('4.Grassland'!$BH$53,INDIRECT(VLOOKUP(E69,list!$B$312:$D$339,3,FALSE)),0))*Livestock!$H69*Livestock!$G69/1000*365/1000)),0)*I69/100</f>
        <v/>
      </c>
      <c r="Q69" s="1044">
        <f>IF(OR($B69="Please select",$B69=$B$53),0,IF($B69="Deer",0.22,IF($B69="Ostrich",5.67,IF(OR($M69="Please select",$M69="Regional share"),SUMPRODUCT(INDEX(INDIRECT(VLOOKUP(E69,list!$B$312:$D$339,1,FALSE)),MATCH(clim_moist,INDIRECT(VLOOKUP(E69,list!$B$312:$D$339,2,FALSE)),0),0),INDEX(INDIRECT(VLOOKUP(F69,list!$B$288:$D$310,1,FALSE)),MATCH($C$2,INDIRECT(VLOOKUP(F69,list!$B$288:$D$310,2,FALSE)),0),0))/100*($H69*$G69/1000*365)/1000-P69,0))))</f>
        <v/>
      </c>
      <c r="R69" s="4721">
        <f>IFERROR(IF('4.Grassland'!$BN63="""",($P69/($I69/100)*$J69/100+$O69*(1-$J69/100)+$Q69/(1-$I69/100)*(1-$J69/100)),('4.Grassland'!$BN63*$J69/100+$O69*(1-$J69/100)+$Q69*(1-$J69/100))),0)</f>
        <v/>
      </c>
      <c r="S69" s="4721">
        <f>IFERROR(IF('4.Grassland'!$BO63="",($P69/($I69/100)*$K69/100+$O69*(1-$K69/100)+$Q69/(1-$I69/100)*(1-$K69/100)),('4.Grassland'!$BO63*$K69/100+$O69*(1-$K69/100)+$Q69*(1-$K69/100))),0)</f>
        <v/>
      </c>
      <c r="T69" s="4721">
        <f>IFERROR(IF('4.Grassland'!$BP63="",($P69/($I69/100)*$L69/100+$O69*(1-$L69/100)+$Q69/(1-$I69/100)*(1-$L69/100)),('4.Grassland'!$BP63*$L69/100+$O69*(1-$L69/100)+$Q69*(1-$L69/100))),0)</f>
        <v/>
      </c>
      <c r="V69" s="3495">
        <f>IF($B69="Deer",0.22*$H15,IF($B69="Ostrich",5.67*$H15,R69*$H15))/1000*methane</f>
        <v/>
      </c>
      <c r="W69" s="1152">
        <f>IF($B69="Deer",0.22*$I15,IF($B69="Ostrich",5.67*$I15,S69*$I15))/1000*methane</f>
        <v/>
      </c>
      <c r="X69" s="3504">
        <f>IF($B69="Deer",0.22*$K15,IF($B69="Ostrich",5.67*$K15,T69*$K15))/1000*methane</f>
        <v/>
      </c>
      <c r="Z69" s="3495">
        <f>MIN($V69,$W69)*time_tot+ABS($W69-$V69)*IF($W69&gt;$V69,time_cap+time*(VLOOKUP($J15,list!$J$48:$K$50,2,0)),time*(1-(VLOOKUP($J15,list!$J$48:$K$50,2,0))))</f>
        <v/>
      </c>
      <c r="AA69" s="3504">
        <f>MIN($V69,$X69)*time_tot+ABS($X69-$V69)*IF($X69&gt;$V69,time_cap+time*(VLOOKUP($L15,list!$J$48:$K$50,2,0)),time*(1-(VLOOKUP($L15,list!$J$48:$K$50,2,0))))</f>
        <v/>
      </c>
      <c r="AB69" s="2166">
        <f>AA69-Z69</f>
        <v/>
      </c>
      <c r="AE69" s="992">
        <f>MIN($V69,$W69)*time+ABS($W69-$V69)*IF($W69&gt;$V69,time*(VLOOKUP($J15,list!$J$48:$K$50,2,)),time*(1-(VLOOKUP($J15,list!$J$48:$K$50,2,))))</f>
        <v/>
      </c>
      <c r="AF69" s="992">
        <f>MIN($V69,$X69)*time+ABS($X69-$V69)*IF($X69&gt;$V69,time*(VLOOKUP($L15,list!$J$48:$K$50,2,)),time*(1-(VLOOKUP($L15,list!$J$48:$K$50,2,))))</f>
        <v/>
      </c>
    </row>
    <row r="70">
      <c r="B70" s="973">
        <f>B16</f>
        <v/>
      </c>
      <c r="C70" s="973">
        <f>C16</f>
        <v/>
      </c>
      <c r="E70" s="1109">
        <f>IF(B70="Please select","",IF(AND(OR($C$2="North America",$C$2="Western Europe",$C$2="Eastern Europe",$C$2="Oceania"),(C70="Default")),VLOOKUP($B70,$B$36:$E$54,4,FALSE),INDEX($B$36:$E$54,MATCH($B70,$B$36:$B$54,0),MATCH($C70,$B$36:$E$36,0))))</f>
        <v/>
      </c>
      <c r="F70" s="1109">
        <f>IF(B70="Please select","",IF(AND(OR($C$2="North America",$C$2="Western Europe",$C$2="Eastern Europe",$C$2="Oceania"),(C70="Default")),VLOOKUP($B70,$H$36:$K$54,4,FALSE),INDEX($H$36:$K$54,MATCH($B70,$H$36:$H$54,0),MATCH($C70,$H$36:$K$36,0))))</f>
        <v/>
      </c>
      <c r="G70" s="1111">
        <f>IF(B70="Please select",0,(IF(C70="Default",INDEX(TAM_Default[#All],MATCH(Livestock!$C$2,TAM_Default[[#All],[Please select]],0),MATCH(Livestock!B70,TAM_Default[#Headers],0)),
IF(C70="Low-productivity",INDEX(TAM_LP[#All],MATCH(Livestock!$C$2,TAM_LP[[#All],[Please select]],0),MATCH(Livestock!B70,TAM_LP[#Headers],0)),
IF(C70="High-productivity",INDEX(TAM_HP[#All],MATCH(Livestock!$C$2,TAM_HP[[#All],[Please select]],0),MATCH(Livestock!B70,TAM_HP[#Headers],0)),0)))))</f>
        <v/>
      </c>
      <c r="H70" s="4718">
        <f>IF(B70="Please select",0,(IF(C70="Default",INDEX(VS_rate_Default[#All],MATCH(Livestock!$C$2,VS_rate_Default[[#All],[Please select]],0),MATCH(Livestock!B70,VS_rate_Default[#Headers],0)),
IF(C70="Low-productivity",INDEX(VS_rate_LP[#All],MATCH(Livestock!$C$2,VS_rate_LP[[#All],[Please select]],0),MATCH(Livestock!B70,VS_rate_HP[#Headers],0)),
IF(C70="High-productivity",INDEX(VS_rate_HP[#All],MATCH(Livestock!$C$2,VS_rate_HP[[#All],[Please select]],0),MATCH(Livestock!B70,VS_rate_HP[#Headers],0)),0)))))</f>
        <v/>
      </c>
      <c r="I70" s="1110">
        <f>IF(B70="Please select",0,(INDEX(INDIRECT(VLOOKUP(F70,list!$B$288:$D$310,1,FALSE)),MATCH(Livestock!$C$2,(INDIRECT(VLOOKUP(F70,list!$B$288:$D$310,2,FALSE))),0),MATCH('4.Grassland'!$BH$53,(INDIRECT(VLOOKUP(F70,list!$B$288:$D$310,3,FALSE))),0))))</f>
        <v/>
      </c>
      <c r="J70" s="1104">
        <f>IF('4.Grassland'!BI64="",Livestock!$I70,'4.Grassland'!BI64*100)</f>
        <v/>
      </c>
      <c r="K70" s="1104">
        <f>IF('4.Grassland'!BJ64="",Livestock!$I70,'4.Grassland'!BJ64*100)</f>
        <v/>
      </c>
      <c r="L70" s="1104">
        <f>IF('4.Grassland'!BK64="",Livestock!$I70,'4.Grassland'!BK64*100)</f>
        <v/>
      </c>
      <c r="M70" s="1104">
        <f>'4.Grassland'!BW64</f>
        <v/>
      </c>
      <c r="N70" s="1044">
        <f>IF(OR($M70="Regional share",$M70="Please select"),0,IF($M70="Other (pls. specify EF)",0,IF(OR($B70="Deer",$B70="Ostrich"),0,INDEX(INDIRECT(VLOOKUP(E70,list!$B$312:$D$339,1,FALSE)),MATCH(clim_moist,INDIRECT(VLOOKUP(E70,list!$B$312:$D$339,2,FALSE)),0),MATCH($M70,INDIRECT(VLOOKUP(E70,list!$B$312:$D$339,3,FALSE)),0))*Livestock!$H70*Livestock!$G70/1000*365/1000)))</f>
        <v/>
      </c>
      <c r="O70" s="1045">
        <f>IF('4.Grassland'!$BZ64="",'4.Grassland'!$BY64,'4.Grassland'!$BZ64)</f>
        <v/>
      </c>
      <c r="P70" s="4720">
        <f>IFERROR(IF($B70="Deer",0.22,IF($B70="Ostrich",5.67,INDEX(INDIRECT(VLOOKUP(E70,list!$B$312:$D$339,1,FALSE)),MATCH(clim_moist,INDIRECT(VLOOKUP(E70,list!$B$312:$D$339,2,FALSE)),0),MATCH('4.Grassland'!$BH$53,INDIRECT(VLOOKUP(E70,list!$B$312:$D$339,3,FALSE)),0))*Livestock!$H70*Livestock!$G70/1000*365/1000)),0)*I70/100</f>
        <v/>
      </c>
      <c r="Q70" s="1044">
        <f>IF(OR($B70="Please select",$B70=$B$53),0,IF($B70="Deer",0.22,IF($B70="Ostrich",5.67,IF(OR($M70="Please select",$M70="Regional share"),SUMPRODUCT(INDEX(INDIRECT(VLOOKUP(E70,list!$B$312:$D$339,1,FALSE)),MATCH(clim_moist,INDIRECT(VLOOKUP(E70,list!$B$312:$D$339,2,FALSE)),0),0),INDEX(INDIRECT(VLOOKUP(F70,list!$B$288:$D$310,1,FALSE)),MATCH($C$2,INDIRECT(VLOOKUP(F70,list!$B$288:$D$310,2,FALSE)),0),0))/100*($H70*$G70/1000*365)/1000-P70,0))))</f>
        <v/>
      </c>
      <c r="R70" s="4721">
        <f>IFERROR(IF('4.Grassland'!$BN64="""",($P70/($I70/100)*$J70/100+$O70*(1-$J70/100)+$Q70/(1-$I70/100)*(1-$J70/100)),('4.Grassland'!$BN64*$J70/100+$O70*(1-$J70/100)+$Q70*(1-$J70/100))),0)</f>
        <v/>
      </c>
      <c r="S70" s="4721">
        <f>IFERROR(IF('4.Grassland'!$BO64="",($P70/($I70/100)*$K70/100+$O70*(1-$K70/100)+$Q70/(1-$I70/100)*(1-$K70/100)),('4.Grassland'!$BO64*$K70/100+$O70*(1-$K70/100)+$Q70*(1-$K70/100))),0)</f>
        <v/>
      </c>
      <c r="T70" s="4721">
        <f>IFERROR(IF('4.Grassland'!$BP64="",($P70/($I70/100)*$L70/100+$O70*(1-$L70/100)+$Q70/(1-$I70/100)*(1-$L70/100)),('4.Grassland'!$BP64*$L70/100+$O70*(1-$L70/100)+$Q70*(1-$L70/100))),0)</f>
        <v/>
      </c>
      <c r="V70" s="3495">
        <f>IF($B70="Deer",0.22*$H16,IF($B70="Ostrich",5.67*$H16,R70*$H16))/1000*methane</f>
        <v/>
      </c>
      <c r="W70" s="1152">
        <f>IF($B70="Deer",0.22*$I16,IF($B70="Ostrich",5.67*$I16,S70*$I16))/1000*methane</f>
        <v/>
      </c>
      <c r="X70" s="3504">
        <f>IF($B70="Deer",0.22*$K16,IF($B70="Ostrich",5.67*$K16,T70*$K16))/1000*methane</f>
        <v/>
      </c>
      <c r="Z70" s="3495">
        <f>MIN($V70,$W70)*time_tot+ABS($W70-$V70)*IF($W70&gt;$V70,time_cap+time*(VLOOKUP($J16,list!$J$48:$K$50,2,0)),time*(1-(VLOOKUP($J16,list!$J$48:$K$50,2,0))))</f>
        <v/>
      </c>
      <c r="AA70" s="3504">
        <f>MIN($V70,$X70)*time_tot+ABS($X70-$V70)*IF($X70&gt;$V70,time_cap+time*(VLOOKUP($L16,list!$J$48:$K$50,2,0)),time*(1-(VLOOKUP($L16,list!$J$48:$K$50,2,0))))</f>
        <v/>
      </c>
      <c r="AB70" s="2166">
        <f>AA70-Z70</f>
        <v/>
      </c>
      <c r="AE70" s="992">
        <f>MIN($V70,$W70)*time+ABS($W70-$V70)*IF($W70&gt;$V70,time*(VLOOKUP($J16,list!$J$48:$K$50,2,)),time*(1-(VLOOKUP($J16,list!$J$48:$K$50,2,))))</f>
        <v/>
      </c>
      <c r="AF70" s="992">
        <f>MIN($V70,$X70)*time+ABS($X70-$V70)*IF($X70&gt;$V70,time*(VLOOKUP($L16,list!$J$48:$K$50,2,)),time*(1-(VLOOKUP($L16,list!$J$48:$K$50,2,))))</f>
        <v/>
      </c>
    </row>
    <row r="71">
      <c r="B71" s="973">
        <f>B17</f>
        <v/>
      </c>
      <c r="C71" s="973">
        <f>C17</f>
        <v/>
      </c>
      <c r="E71" s="1109">
        <f>IF(B71="Please select","",IF(AND(OR($C$2="North America",$C$2="Western Europe",$C$2="Eastern Europe",$C$2="Oceania"),(C71="Default")),VLOOKUP($B71,$B$36:$E$54,4,FALSE),INDEX($B$36:$E$54,MATCH($B71,$B$36:$B$54,0),MATCH($C71,$B$36:$E$36,0))))</f>
        <v/>
      </c>
      <c r="F71" s="1109">
        <f>IF(B71="Please select","",IF(AND(OR($C$2="North America",$C$2="Western Europe",$C$2="Eastern Europe",$C$2="Oceania"),(C71="Default")),VLOOKUP($B71,$H$36:$K$54,4,FALSE),INDEX($H$36:$K$54,MATCH($B71,$H$36:$H$54,0),MATCH($C71,$H$36:$K$36,0))))</f>
        <v/>
      </c>
      <c r="G71" s="1111">
        <f>IF(B71="Please select",0,(IF(C71="Default",INDEX(TAM_Default[#All],MATCH(Livestock!$C$2,TAM_Default[[#All],[Please select]],0),MATCH(Livestock!B71,TAM_Default[#Headers],0)),
IF(C71="Low-productivity",INDEX(TAM_LP[#All],MATCH(Livestock!$C$2,TAM_LP[[#All],[Please select]],0),MATCH(Livestock!B71,TAM_LP[#Headers],0)),
IF(C71="High-productivity",INDEX(TAM_HP[#All],MATCH(Livestock!$C$2,TAM_HP[[#All],[Please select]],0),MATCH(Livestock!B71,TAM_HP[#Headers],0)),0)))))</f>
        <v/>
      </c>
      <c r="H71" s="4718">
        <f>IF(B71="Please select",0,(IF(C71="Default",INDEX(VS_rate_Default[#All],MATCH(Livestock!$C$2,VS_rate_Default[[#All],[Please select]],0),MATCH(Livestock!B71,VS_rate_Default[#Headers],0)),
IF(C71="Low-productivity",INDEX(VS_rate_LP[#All],MATCH(Livestock!$C$2,VS_rate_LP[[#All],[Please select]],0),MATCH(Livestock!B71,VS_rate_HP[#Headers],0)),
IF(C71="High-productivity",INDEX(VS_rate_HP[#All],MATCH(Livestock!$C$2,VS_rate_HP[[#All],[Please select]],0),MATCH(Livestock!B71,VS_rate_HP[#Headers],0)),0)))))</f>
        <v/>
      </c>
      <c r="I71" s="1110">
        <f>IF(B71="Please select",0,(INDEX(INDIRECT(VLOOKUP(F71,list!$B$288:$D$310,1,FALSE)),MATCH(Livestock!$C$2,(INDIRECT(VLOOKUP(F71,list!$B$288:$D$310,2,FALSE))),0),MATCH('4.Grassland'!$BH$53,(INDIRECT(VLOOKUP(F71,list!$B$288:$D$310,3,FALSE))),0))))</f>
        <v/>
      </c>
      <c r="J71" s="1104">
        <f>IF('4.Grassland'!BI65="",Livestock!$I71,'4.Grassland'!BI65*100)</f>
        <v/>
      </c>
      <c r="K71" s="1104">
        <f>IF('4.Grassland'!BJ65="",Livestock!$I71,'4.Grassland'!BJ65*100)</f>
        <v/>
      </c>
      <c r="L71" s="1104">
        <f>IF('4.Grassland'!BK65="",Livestock!$I71,'4.Grassland'!BK65*100)</f>
        <v/>
      </c>
      <c r="M71" s="1104">
        <f>'4.Grassland'!BW65</f>
        <v/>
      </c>
      <c r="N71" s="1044">
        <f>IF(OR($M71="Regional share",$M71="Please select"),0,IF($M71="Other (pls. specify EF)",0,IF(OR($B71="Deer",$B71="Ostrich"),0,INDEX(INDIRECT(VLOOKUP(E71,list!$B$312:$D$339,1,FALSE)),MATCH(clim_moist,INDIRECT(VLOOKUP(E71,list!$B$312:$D$339,2,FALSE)),0),MATCH($M71,INDIRECT(VLOOKUP(E71,list!$B$312:$D$339,3,FALSE)),0))*Livestock!$H71*Livestock!$G71/1000*365/1000)))</f>
        <v/>
      </c>
      <c r="O71" s="1045">
        <f>IF('4.Grassland'!$BZ65="",'4.Grassland'!$BY65,'4.Grassland'!$BZ65)</f>
        <v/>
      </c>
      <c r="P71" s="4720">
        <f>IFERROR(IF($B71="Deer",0.22,IF($B71="Ostrich",5.67,INDEX(INDIRECT(VLOOKUP(E71,list!$B$312:$D$339,1,FALSE)),MATCH(clim_moist,INDIRECT(VLOOKUP(E71,list!$B$312:$D$339,2,FALSE)),0),MATCH('4.Grassland'!$BH$53,INDIRECT(VLOOKUP(E71,list!$B$312:$D$339,3,FALSE)),0))*Livestock!$H71*Livestock!$G71/1000*365/1000)),0)*I71/100</f>
        <v/>
      </c>
      <c r="Q71" s="1044">
        <f>IF(OR($B71="Please select",$B71=$B$53),0,IF($B71="Deer",0.22,IF($B71="Ostrich",5.67,IF(OR($M71="Please select",$M71="Regional share"),SUMPRODUCT(INDEX(INDIRECT(VLOOKUP(E71,list!$B$312:$D$339,1,FALSE)),MATCH(clim_moist,INDIRECT(VLOOKUP(E71,list!$B$312:$D$339,2,FALSE)),0),0),INDEX(INDIRECT(VLOOKUP(F71,list!$B$288:$D$310,1,FALSE)),MATCH($C$2,INDIRECT(VLOOKUP(F71,list!$B$288:$D$310,2,FALSE)),0),0))/100*($H71*$G71/1000*365)/1000-P71,0))))</f>
        <v/>
      </c>
      <c r="R71" s="4721">
        <f>IFERROR(IF('4.Grassland'!$BN65="""",($P71/($I71/100)*$J71/100+$O71*(1-$J71/100)+$Q71/(1-$I71/100)*(1-$J71/100)),('4.Grassland'!$BN65*$J71/100+$O71*(1-$J71/100)+$Q71*(1-$J71/100))),0)</f>
        <v/>
      </c>
      <c r="S71" s="4721">
        <f>IFERROR(IF('4.Grassland'!$BO65="",($P71/($I71/100)*$K71/100+$O71*(1-$K71/100)+$Q71/(1-$I71/100)*(1-$K71/100)),('4.Grassland'!$BO65*$K71/100+$O71*(1-$K71/100)+$Q71*(1-$K71/100))),0)</f>
        <v/>
      </c>
      <c r="T71" s="4721">
        <f>IFERROR(IF('4.Grassland'!$BP65="",($P71/($I71/100)*$L71/100+$O71*(1-$L71/100)+$Q71/(1-$I71/100)*(1-$L71/100)),('4.Grassland'!$BP65*$L71/100+$O71*(1-$L71/100)+$Q71*(1-$L71/100))),0)</f>
        <v/>
      </c>
      <c r="V71" s="3495">
        <f>IF($B71="Deer",0.22*$H17,IF($B71="Ostrich",5.67*$H17,R71*$H17))/1000*methane</f>
        <v/>
      </c>
      <c r="W71" s="1152">
        <f>IF($B71="Deer",0.22*$I17,IF($B71="Ostrich",5.67*$I17,S71*$I17))/1000*methane</f>
        <v/>
      </c>
      <c r="X71" s="3504">
        <f>IF($B71="Deer",0.22*$K17,IF($B71="Ostrich",5.67*$K17,T71*$K17))/1000*methane</f>
        <v/>
      </c>
      <c r="Z71" s="3495">
        <f>MIN($V71,$W71)*time_tot+ABS($W71-$V71)*IF($W71&gt;$V71,time_cap+time*(VLOOKUP($J17,list!$J$48:$K$50,2,0)),time*(1-(VLOOKUP($J17,list!$J$48:$K$50,2,0))))</f>
        <v/>
      </c>
      <c r="AA71" s="3504">
        <f>MIN($V71,$X71)*time_tot+ABS($X71-$V71)*IF($X71&gt;$V71,time_cap+time*(VLOOKUP($L17,list!$J$48:$K$50,2,0)),time*(1-(VLOOKUP($L17,list!$J$48:$K$50,2,0))))</f>
        <v/>
      </c>
      <c r="AB71" s="2166">
        <f>AA71-Z71</f>
        <v/>
      </c>
      <c r="AE71" s="992">
        <f>MIN($V71,$W71)*time+ABS($W71-$V71)*IF($W71&gt;$V71,time*(VLOOKUP($J17,list!$J$48:$K$50,2,)),time*(1-(VLOOKUP($J17,list!$J$48:$K$50,2,))))</f>
        <v/>
      </c>
      <c r="AF71" s="992">
        <f>MIN($V71,$X71)*time+ABS($X71-$V71)*IF($X71&gt;$V71,time*(VLOOKUP($L17,list!$J$48:$K$50,2,)),time*(1-(VLOOKUP($L17,list!$J$48:$K$50,2,))))</f>
        <v/>
      </c>
    </row>
    <row r="72">
      <c r="B72" s="973">
        <f>B18</f>
        <v/>
      </c>
      <c r="C72" s="973">
        <f>C18</f>
        <v/>
      </c>
      <c r="E72" s="1109">
        <f>IF(B72="Please select","",IF(AND(OR($C$2="North America",$C$2="Western Europe",$C$2="Eastern Europe",$C$2="Oceania"),(C72="Default")),VLOOKUP($B72,$B$36:$E$54,4,FALSE),INDEX($B$36:$E$54,MATCH($B72,$B$36:$B$54,0),MATCH($C72,$B$36:$E$36,0))))</f>
        <v/>
      </c>
      <c r="F72" s="1109">
        <f>IF(B72="Please select","",IF(AND(OR($C$2="North America",$C$2="Western Europe",$C$2="Eastern Europe",$C$2="Oceania"),(C72="Default")),VLOOKUP($B72,$H$36:$K$54,4,FALSE),INDEX($H$36:$K$54,MATCH($B72,$H$36:$H$54,0),MATCH($C72,$H$36:$K$36,0))))</f>
        <v/>
      </c>
      <c r="G72" s="1111">
        <f>IF(B72="Please select",0,(IF(C72="Default",INDEX(TAM_Default[#All],MATCH(Livestock!$C$2,TAM_Default[[#All],[Please select]],0),MATCH(Livestock!B72,TAM_Default[#Headers],0)),
IF(C72="Low-productivity",INDEX(TAM_LP[#All],MATCH(Livestock!$C$2,TAM_LP[[#All],[Please select]],0),MATCH(Livestock!B72,TAM_LP[#Headers],0)),
IF(C72="High-productivity",INDEX(TAM_HP[#All],MATCH(Livestock!$C$2,TAM_HP[[#All],[Please select]],0),MATCH(Livestock!B72,TAM_HP[#Headers],0)),0)))))</f>
        <v/>
      </c>
      <c r="H72" s="4718">
        <f>IF(B72="Please select",0,(IF(C72="Default",INDEX(VS_rate_Default[#All],MATCH(Livestock!$C$2,VS_rate_Default[[#All],[Please select]],0),MATCH(Livestock!B72,VS_rate_Default[#Headers],0)),
IF(C72="Low-productivity",INDEX(VS_rate_LP[#All],MATCH(Livestock!$C$2,VS_rate_LP[[#All],[Please select]],0),MATCH(Livestock!B72,VS_rate_HP[#Headers],0)),
IF(C72="High-productivity",INDEX(VS_rate_HP[#All],MATCH(Livestock!$C$2,VS_rate_HP[[#All],[Please select]],0),MATCH(Livestock!B72,VS_rate_HP[#Headers],0)),0)))))</f>
        <v/>
      </c>
      <c r="I72" s="1110">
        <f>IF(B72="Please select",0,(INDEX(INDIRECT(VLOOKUP(F72,list!$B$288:$D$310,1,FALSE)),MATCH(Livestock!$C$2,(INDIRECT(VLOOKUP(F72,list!$B$288:$D$310,2,FALSE))),0),MATCH('4.Grassland'!$BH$53,(INDIRECT(VLOOKUP(F72,list!$B$288:$D$310,3,FALSE))),0))))</f>
        <v/>
      </c>
      <c r="J72" s="1104">
        <f>IF('4.Grassland'!BI66="",Livestock!$I72,'4.Grassland'!BI66*100)</f>
        <v/>
      </c>
      <c r="K72" s="1104">
        <f>IF('4.Grassland'!BJ66="",Livestock!$I72,'4.Grassland'!BJ66*100)</f>
        <v/>
      </c>
      <c r="L72" s="1104">
        <f>IF('4.Grassland'!BK66="",Livestock!$I72,'4.Grassland'!BK66*100)</f>
        <v/>
      </c>
      <c r="M72" s="1104">
        <f>'4.Grassland'!BW66</f>
        <v/>
      </c>
      <c r="N72" s="1044">
        <f>IF(OR($M72="Regional share",$M72="Please select"),0,IF($M72="Other (pls. specify EF)",0,IF(OR($B72="Deer",$B72="Ostrich"),0,INDEX(INDIRECT(VLOOKUP(E72,list!$B$312:$D$339,1,FALSE)),MATCH(clim_moist,INDIRECT(VLOOKUP(E72,list!$B$312:$D$339,2,FALSE)),0),MATCH($M72,INDIRECT(VLOOKUP(E72,list!$B$312:$D$339,3,FALSE)),0))*Livestock!$H72*Livestock!$G72/1000*365/1000)))</f>
        <v/>
      </c>
      <c r="O72" s="1045">
        <f>IF('4.Grassland'!$BZ66="",'4.Grassland'!$BY66,'4.Grassland'!$BZ66)</f>
        <v/>
      </c>
      <c r="P72" s="4720">
        <f>IFERROR(IF($B72="Deer",0.22,IF($B72="Ostrich",5.67,INDEX(INDIRECT(VLOOKUP(E72,list!$B$312:$D$339,1,FALSE)),MATCH(clim_moist,INDIRECT(VLOOKUP(E72,list!$B$312:$D$339,2,FALSE)),0),MATCH('4.Grassland'!$BH$53,INDIRECT(VLOOKUP(E72,list!$B$312:$D$339,3,FALSE)),0))*Livestock!$H72*Livestock!$G72/1000*365/1000)),0)*I72/100</f>
        <v/>
      </c>
      <c r="Q72" s="1044">
        <f>IF(OR($B72="Please select",$B72=$B$53),0,IF($B72="Deer",0.22,IF($B72="Ostrich",5.67,IF(OR($M72="Please select",$M72="Regional share"),SUMPRODUCT(INDEX(INDIRECT(VLOOKUP(E72,list!$B$312:$D$339,1,FALSE)),MATCH(clim_moist,INDIRECT(VLOOKUP(E72,list!$B$312:$D$339,2,FALSE)),0),0),INDEX(INDIRECT(VLOOKUP(F72,list!$B$288:$D$310,1,FALSE)),MATCH($C$2,INDIRECT(VLOOKUP(F72,list!$B$288:$D$310,2,FALSE)),0),0))/100*($H72*$G72/1000*365)/1000-P72,0))))</f>
        <v/>
      </c>
      <c r="R72" s="4721">
        <f>IFERROR(IF('4.Grassland'!$BN66="""",($P72/($I72/100)*$J72/100+$O72*(1-$J72/100)+$Q72/(1-$I72/100)*(1-$J72/100)),('4.Grassland'!$BN66*$J72/100+$O72*(1-$J72/100)+$Q72*(1-$J72/100))),0)</f>
        <v/>
      </c>
      <c r="S72" s="4721">
        <f>IFERROR(IF('4.Grassland'!$BO66="",($P72/($I72/100)*$K72/100+$O72*(1-$K72/100)+$Q72/(1-$I72/100)*(1-$K72/100)),('4.Grassland'!$BO66*$K72/100+$O72*(1-$K72/100)+$Q72*(1-$K72/100))),0)</f>
        <v/>
      </c>
      <c r="T72" s="4721">
        <f>IFERROR(IF('4.Grassland'!$BP66="",($P72/($I72/100)*$L72/100+$O72*(1-$L72/100)+$Q72/(1-$I72/100)*(1-$L72/100)),('4.Grassland'!$BP66*$L72/100+$O72*(1-$L72/100)+$Q72*(1-$L72/100))),0)</f>
        <v/>
      </c>
      <c r="V72" s="3496">
        <f>IF($B72="Deer",0.22*$H18,IF($B72="Ostrich",5.67*$H18,R72*$H18))/1000*methane</f>
        <v/>
      </c>
      <c r="W72" s="1153">
        <f>IF($B72="Deer",0.22*$I18,IF($B72="Ostrich",5.67*$I18,S72*$I18))/1000*methane</f>
        <v/>
      </c>
      <c r="X72" s="3505">
        <f>IF($B72="Deer",0.22*$K18,IF($B72="Ostrich",5.67*$K18,T72*$K18))/1000*methane</f>
        <v/>
      </c>
      <c r="Z72" s="3496">
        <f>MIN($V72,$W72)*time_tot+ABS($W72-$V72)*IF($W72&gt;$V72,time_cap+time*(VLOOKUP($J18,list!$J$48:$K$50,2,0)),time*(1-(VLOOKUP($J18,list!$J$48:$K$50,2,0))))</f>
        <v/>
      </c>
      <c r="AA72" s="3505">
        <f>MIN($V72,$X72)*time_tot+ABS($X72-$V72)*IF($X72&gt;$V72,time_cap+time*(VLOOKUP($L18,list!$J$48:$K$50,2,0)),time*(1-(VLOOKUP($L18,list!$J$48:$K$50,2,0))))</f>
        <v/>
      </c>
      <c r="AB72" s="3517">
        <f>AA72-Z72</f>
        <v/>
      </c>
      <c r="AE72" s="992">
        <f>MIN($V72,$W72)*time+ABS($W72-$V72)*IF($W72&gt;$V72,time*(VLOOKUP($J18,list!$J$48:$K$50,2,)),time*(1-(VLOOKUP($J18,list!$J$48:$K$50,2,))))</f>
        <v/>
      </c>
      <c r="AF72" s="992">
        <f>MIN($V72,$X72)*time+ABS($X72-$V72)*IF($X72&gt;$V72,time*(VLOOKUP($L18,list!$J$48:$K$50,2,)),time*(1-(VLOOKUP($L18,list!$J$48:$K$50,2,))))</f>
        <v/>
      </c>
    </row>
    <row r="73">
      <c r="B73" s="973">
        <f>B19</f>
        <v/>
      </c>
      <c r="C73" s="973">
        <f>C19</f>
        <v/>
      </c>
      <c r="E73" s="1109">
        <f>IF(B73="Please select","",IF(AND(OR($C$2="North America",$C$2="Western Europe",$C$2="Eastern Europe",$C$2="Oceania"),(C73="Default")),VLOOKUP($B73,$B$36:$E$54,4,FALSE),INDEX($B$36:$E$54,MATCH($B73,$B$36:$B$54,0),MATCH($C73,$B$36:$E$36,0))))</f>
        <v/>
      </c>
      <c r="F73" s="1109">
        <f>IF(B73="Please select","",IF(AND(OR($C$2="North America",$C$2="Western Europe",$C$2="Eastern Europe",$C$2="Oceania"),(C73="Default")),VLOOKUP($B73,$H$36:$K$54,4,FALSE),INDEX($H$36:$K$54,MATCH($B73,$H$36:$H$54,0),MATCH($C73,$H$36:$K$36,0))))</f>
        <v/>
      </c>
      <c r="G73" s="1111">
        <f>IF(B73="Please select",0,(IF(C73="Default",INDEX(TAM_Default[#All],MATCH(Livestock!$C$2,TAM_Default[[#All],[Please select]],0),MATCH(Livestock!B73,TAM_Default[#Headers],0)),
IF(C73="Low-productivity",INDEX(TAM_LP[#All],MATCH(Livestock!$C$2,TAM_LP[[#All],[Please select]],0),MATCH(Livestock!B73,TAM_LP[#Headers],0)),
IF(C73="High-productivity",INDEX(TAM_HP[#All],MATCH(Livestock!$C$2,TAM_HP[[#All],[Please select]],0),MATCH(Livestock!B73,TAM_HP[#Headers],0)),0)))))</f>
        <v/>
      </c>
      <c r="H73" s="4718">
        <f>IF(B73="Please select",0,(IF(C73="Default",INDEX(VS_rate_Default[#All],MATCH(Livestock!$C$2,VS_rate_Default[[#All],[Please select]],0),MATCH(Livestock!B73,VS_rate_Default[#Headers],0)),
IF(C73="Low-productivity",INDEX(VS_rate_LP[#All],MATCH(Livestock!$C$2,VS_rate_LP[[#All],[Please select]],0),MATCH(Livestock!B73,VS_rate_HP[#Headers],0)),
IF(C73="High-productivity",INDEX(VS_rate_HP[#All],MATCH(Livestock!$C$2,VS_rate_HP[[#All],[Please select]],0),MATCH(Livestock!B73,VS_rate_HP[#Headers],0)),0)))))</f>
        <v/>
      </c>
      <c r="I73" s="1110">
        <f>IF(B73="Please select",0,(INDEX(INDIRECT(VLOOKUP(F73,list!$B$288:$D$310,1,FALSE)),MATCH(Livestock!$C$2,(INDIRECT(VLOOKUP(F73,list!$B$288:$D$310,2,FALSE))),0),MATCH('4.Grassland'!$BH$53,(INDIRECT(VLOOKUP(F73,list!$B$288:$D$310,3,FALSE))),0))))</f>
        <v/>
      </c>
      <c r="J73" s="1104">
        <f>IF('4.Grassland'!BI67="",Livestock!$I73,'4.Grassland'!BI67*100)</f>
        <v/>
      </c>
      <c r="K73" s="1104">
        <f>IF('4.Grassland'!BJ67="",Livestock!$I73,'4.Grassland'!BJ67*100)</f>
        <v/>
      </c>
      <c r="L73" s="1104">
        <f>IF('4.Grassland'!BK67="",Livestock!$I73,'4.Grassland'!BK67*100)</f>
        <v/>
      </c>
      <c r="M73" s="1104">
        <f>'4.Grassland'!BW67</f>
        <v/>
      </c>
      <c r="N73" s="1044">
        <f>IF(OR($M73="Regional share",$M73="Please select"),0,IF($M73="Other (pls. specify EF)",0,IF(OR($B73="Deer",$B73="Ostrich"),0,INDEX(INDIRECT(VLOOKUP(E73,list!$B$312:$D$339,1,FALSE)),MATCH(clim_moist,INDIRECT(VLOOKUP(E73,list!$B$312:$D$339,2,FALSE)),0),MATCH($M73,INDIRECT(VLOOKUP(E73,list!$B$312:$D$339,3,FALSE)),0))*Livestock!$H73*Livestock!$G73/1000*365/1000)))</f>
        <v/>
      </c>
      <c r="O73" s="1045">
        <f>IF('4.Grassland'!$BZ67="",'4.Grassland'!$BY67,'4.Grassland'!$BZ67)</f>
        <v/>
      </c>
      <c r="P73" s="4720">
        <f>IFERROR(IF($B73="Deer",0.22,IF($B73="Ostrich",5.67,INDEX(INDIRECT(VLOOKUP(E73,list!$B$312:$D$339,1,FALSE)),MATCH(clim_moist,INDIRECT(VLOOKUP(E73,list!$B$312:$D$339,2,FALSE)),0),MATCH('4.Grassland'!$BH$53,INDIRECT(VLOOKUP(E73,list!$B$312:$D$339,3,FALSE)),0))*Livestock!$H73*Livestock!$G73/1000*365/1000)),0)*I73/100</f>
        <v/>
      </c>
      <c r="Q73" s="1044">
        <f>IF(OR($B73="Please select",$B73=$B$53),0,IF($B73="Deer",0.22,IF($B73="Ostrich",5.67,IF(OR($M73="Please select",$M73="Regional share"),SUMPRODUCT(INDEX(INDIRECT(VLOOKUP(E73,list!$B$312:$D$339,1,FALSE)),MATCH(clim_moist,INDIRECT(VLOOKUP(E73,list!$B$312:$D$339,2,FALSE)),0),0),INDEX(INDIRECT(VLOOKUP(F73,list!$B$288:$D$310,1,FALSE)),MATCH($C$2,INDIRECT(VLOOKUP(F73,list!$B$288:$D$310,2,FALSE)),0),0))/100*($H73*$G73/1000*365)/1000-P73,0))))</f>
        <v/>
      </c>
      <c r="R73" s="4721">
        <f>IFERROR(IF('4.Grassland'!$BN67="""",($P73/($I73/100)*$J73/100+$O73*(1-$J73/100)+$Q73/(1-$I73/100)*(1-$J73/100)),('4.Grassland'!$BN67*$J73/100+$O73*(1-$J73/100)+$Q73*(1-$J73/100))),0)</f>
        <v/>
      </c>
      <c r="S73" s="4721">
        <f>IFERROR(IF('4.Grassland'!$BO67="",($P73/($I73/100)*$K73/100+$O73*(1-$K73/100)+$Q73/(1-$I73/100)*(1-$K73/100)),('4.Grassland'!$BO67*$K73/100+$O73*(1-$K73/100)+$Q73*(1-$K73/100))),0)</f>
        <v/>
      </c>
      <c r="T73" s="4721">
        <f>IFERROR(IF('4.Grassland'!$BP67="",($P73/($I73/100)*$L73/100+$O73*(1-$L73/100)+$Q73/(1-$I73/100)*(1-$L73/100)),('4.Grassland'!$BP67*$L73/100+$O73*(1-$L73/100)+$Q73*(1-$L73/100))),0)</f>
        <v/>
      </c>
      <c r="V73" s="3496">
        <f>IF($B73="Deer",0.22*$H19,IF($B73="Ostrich",5.67*$H19,R73*$H19))/1000*methane</f>
        <v/>
      </c>
      <c r="W73" s="1153">
        <f>IF($B73="Deer",0.22*$I19,IF($B73="Ostrich",5.67*$I19,S73*$I19))/1000*methane</f>
        <v/>
      </c>
      <c r="X73" s="3505">
        <f>IF($B73="Deer",0.22*$K19,IF($B73="Ostrich",5.67*$K19,T73*$K19))/1000*methane</f>
        <v/>
      </c>
      <c r="Z73" s="3496">
        <f>MIN($V73,$W73)*time_tot+ABS($W73-$V73)*IF($W73&gt;$V73,time_cap+time*(VLOOKUP($J19,list!$J$48:$K$50,2,0)),time*(1-(VLOOKUP($J19,list!$J$48:$K$50,2,0))))</f>
        <v/>
      </c>
      <c r="AA73" s="3505">
        <f>MIN($V73,$X73)*time_tot+ABS($X73-$V73)*IF($X73&gt;$V73,time_cap+time*(VLOOKUP($L19,list!$J$48:$K$50,2,0)),time*(1-(VLOOKUP($L19,list!$J$48:$K$50,2,0))))</f>
        <v/>
      </c>
      <c r="AB73" s="3517">
        <f>AA73-Z73</f>
        <v/>
      </c>
    </row>
    <row r="74">
      <c r="B74" s="973">
        <f>B20</f>
        <v/>
      </c>
      <c r="C74" s="973">
        <f>C20</f>
        <v/>
      </c>
      <c r="E74" s="1109">
        <f>IF(B74="Please select","",IF(AND(OR($C$2="North America",$C$2="Western Europe",$C$2="Eastern Europe",$C$2="Oceania"),(C74="Default")),VLOOKUP($B74,$B$36:$E$54,4,FALSE),INDEX($B$36:$E$54,MATCH($B74,$B$36:$B$54,0),MATCH($C74,$B$36:$E$36,0))))</f>
        <v/>
      </c>
      <c r="F74" s="1109">
        <f>IF(B74="Please select","",IF(AND(OR($C$2="North America",$C$2="Western Europe",$C$2="Eastern Europe",$C$2="Oceania"),(C74="Default")),VLOOKUP($B74,$H$36:$K$54,4,FALSE),INDEX($H$36:$K$54,MATCH($B74,$H$36:$H$54,0),MATCH($C74,$H$36:$K$36,0))))</f>
        <v/>
      </c>
      <c r="G74" s="1111">
        <f>IF(B74="Please select",0,(IF(C74="Default",INDEX(TAM_Default[#All],MATCH(Livestock!$C$2,TAM_Default[[#All],[Please select]],0),MATCH(Livestock!B74,TAM_Default[#Headers],0)),
IF(C74="Low-productivity",INDEX(TAM_LP[#All],MATCH(Livestock!$C$2,TAM_LP[[#All],[Please select]],0),MATCH(Livestock!B74,TAM_LP[#Headers],0)),
IF(C74="High-productivity",INDEX(TAM_HP[#All],MATCH(Livestock!$C$2,TAM_HP[[#All],[Please select]],0),MATCH(Livestock!B74,TAM_HP[#Headers],0)),0)))))</f>
        <v/>
      </c>
      <c r="H74" s="4718">
        <f>IF(B74="Please select",0,(IF(C74="Default",INDEX(VS_rate_Default[#All],MATCH(Livestock!$C$2,VS_rate_Default[[#All],[Please select]],0),MATCH(Livestock!B74,VS_rate_Default[#Headers],0)),
IF(C74="Low-productivity",INDEX(VS_rate_LP[#All],MATCH(Livestock!$C$2,VS_rate_LP[[#All],[Please select]],0),MATCH(Livestock!B74,VS_rate_HP[#Headers],0)),
IF(C74="High-productivity",INDEX(VS_rate_HP[#All],MATCH(Livestock!$C$2,VS_rate_HP[[#All],[Please select]],0),MATCH(Livestock!B74,VS_rate_HP[#Headers],0)),0)))))</f>
        <v/>
      </c>
      <c r="I74" s="1110">
        <f>IF(B74="Please select",0,(INDEX(INDIRECT(VLOOKUP(F74,list!$B$288:$D$310,1,FALSE)),MATCH(Livestock!$C$2,(INDIRECT(VLOOKUP(F74,list!$B$288:$D$310,2,FALSE))),0),MATCH('4.Grassland'!$BH$53,(INDIRECT(VLOOKUP(F74,list!$B$288:$D$310,3,FALSE))),0))))</f>
        <v/>
      </c>
      <c r="J74" s="1104">
        <f>IF('4.Grassland'!BI68="",Livestock!$I74,'4.Grassland'!BI68*100)</f>
        <v/>
      </c>
      <c r="K74" s="1104">
        <f>IF('4.Grassland'!BJ68="",Livestock!$I74,'4.Grassland'!BJ68*100)</f>
        <v/>
      </c>
      <c r="L74" s="1104">
        <f>IF('4.Grassland'!BK68="",Livestock!$I74,'4.Grassland'!BK68*100)</f>
        <v/>
      </c>
      <c r="M74" s="1104">
        <f>'4.Grassland'!BW68</f>
        <v/>
      </c>
      <c r="N74" s="1044">
        <f>IF(OR($M74="Regional share",$M74="Please select"),0,IF($M74="Other (pls. specify EF)",0,IF(OR($B74="Deer",$B74="Ostrich"),0,INDEX(INDIRECT(VLOOKUP(E74,list!$B$312:$D$339,1,FALSE)),MATCH(clim_moist,INDIRECT(VLOOKUP(E74,list!$B$312:$D$339,2,FALSE)),0),MATCH($M74,INDIRECT(VLOOKUP(E74,list!$B$312:$D$339,3,FALSE)),0))*Livestock!$H74*Livestock!$G74/1000*365/1000)))</f>
        <v/>
      </c>
      <c r="O74" s="1045">
        <f>IF('4.Grassland'!$BZ68="",'4.Grassland'!$BY68,'4.Grassland'!$BZ68)</f>
        <v/>
      </c>
      <c r="P74" s="4720">
        <f>IFERROR(IF($B74="Deer",0.22,IF($B74="Ostrich",5.67,INDEX(INDIRECT(VLOOKUP(E74,list!$B$312:$D$339,1,FALSE)),MATCH(clim_moist,INDIRECT(VLOOKUP(E74,list!$B$312:$D$339,2,FALSE)),0),MATCH('4.Grassland'!$BH$53,INDIRECT(VLOOKUP(E74,list!$B$312:$D$339,3,FALSE)),0))*Livestock!$H74*Livestock!$G74/1000*365/1000)),0)*I74/100</f>
        <v/>
      </c>
      <c r="Q74" s="1044">
        <f>IF(OR($B74="Please select",$B74=$B$53),0,IF($B74="Deer",0.22,IF($B74="Ostrich",5.67,IF(OR($M74="Please select",$M74="Regional share"),SUMPRODUCT(INDEX(INDIRECT(VLOOKUP(E74,list!$B$312:$D$339,1,FALSE)),MATCH(clim_moist,INDIRECT(VLOOKUP(E74,list!$B$312:$D$339,2,FALSE)),0),0),INDEX(INDIRECT(VLOOKUP(F74,list!$B$288:$D$310,1,FALSE)),MATCH($C$2,INDIRECT(VLOOKUP(F74,list!$B$288:$D$310,2,FALSE)),0),0))/100*($H74*$G74/1000*365)/1000-P74,0))))</f>
        <v/>
      </c>
      <c r="R74" s="4721">
        <f>IFERROR(IF('4.Grassland'!$BN68="""",($P74/($I74/100)*$J74/100+$O74*(1-$J74/100)+$Q74/(1-$I74/100)*(1-$J74/100)),('4.Grassland'!$BN68*$J74/100+$O74*(1-$J74/100)+$Q74*(1-$J74/100))),0)</f>
        <v/>
      </c>
      <c r="S74" s="4721">
        <f>IFERROR(IF('4.Grassland'!$BO68="",($P74/($I74/100)*$K74/100+$O74*(1-$K74/100)+$Q74/(1-$I74/100)*(1-$K74/100)),('4.Grassland'!$BO68*$K74/100+$O74*(1-$K74/100)+$Q74*(1-$K74/100))),0)</f>
        <v/>
      </c>
      <c r="T74" s="4721">
        <f>IFERROR(IF('4.Grassland'!$BP68="",($P74/($I74/100)*$L74/100+$O74*(1-$L74/100)+$Q74/(1-$I74/100)*(1-$L74/100)),('4.Grassland'!$BP68*$L74/100+$O74*(1-$L74/100)+$Q74*(1-$L74/100))),0)</f>
        <v/>
      </c>
      <c r="V74" s="3496">
        <f>IF($B74="Deer",0.22*$H20,IF($B74="Ostrich",5.67*$H20,R74*$H20))/1000*methane</f>
        <v/>
      </c>
      <c r="W74" s="1153">
        <f>IF($B74="Deer",0.22*$I20,IF($B74="Ostrich",5.67*$I20,S74*$I20))/1000*methane</f>
        <v/>
      </c>
      <c r="X74" s="3505">
        <f>IF($B74="Deer",0.22*$K20,IF($B74="Ostrich",5.67*$K20,T74*$K20))/1000*methane</f>
        <v/>
      </c>
      <c r="Z74" s="3496">
        <f>MIN($V74,$W74)*time_tot+ABS($W74-$V74)*IF($W74&gt;$V74,time_cap+time*(VLOOKUP($J20,list!$J$48:$K$50,2,0)),time*(1-(VLOOKUP($J20,list!$J$48:$K$50,2,0))))</f>
        <v/>
      </c>
      <c r="AA74" s="3505">
        <f>MIN($V74,$X74)*time_tot+ABS($X74-$V74)*IF($X74&gt;$V74,time_cap+time*(VLOOKUP($L20,list!$J$48:$K$50,2,0)),time*(1-(VLOOKUP($L20,list!$J$48:$K$50,2,0))))</f>
        <v/>
      </c>
      <c r="AB74" s="3517">
        <f>AA74-Z74</f>
        <v/>
      </c>
    </row>
    <row r="75">
      <c r="B75" s="973">
        <f>B21</f>
        <v/>
      </c>
      <c r="C75" s="973">
        <f>C21</f>
        <v/>
      </c>
      <c r="E75" s="1109">
        <f>IF(B75="Please select","",IF(AND(OR($C$2="North America",$C$2="Western Europe",$C$2="Eastern Europe",$C$2="Oceania"),(C75="Default")),VLOOKUP($B75,$B$36:$E$54,4,FALSE),INDEX($B$36:$E$54,MATCH($B75,$B$36:$B$54,0),MATCH($C75,$B$36:$E$36,0))))</f>
        <v/>
      </c>
      <c r="F75" s="1109">
        <f>IF(B75="Please select","",IF(AND(OR($C$2="North America",$C$2="Western Europe",$C$2="Eastern Europe",$C$2="Oceania"),(C75="Default")),VLOOKUP($B75,$H$36:$K$54,4,FALSE),INDEX($H$36:$K$54,MATCH($B75,$H$36:$H$54,0),MATCH($C75,$H$36:$K$36,0))))</f>
        <v/>
      </c>
      <c r="G75" s="1111">
        <f>IF(B75="Please select",0,(IF(C75="Default",INDEX(TAM_Default[#All],MATCH(Livestock!$C$2,TAM_Default[[#All],[Please select]],0),MATCH(Livestock!B75,TAM_Default[#Headers],0)),
IF(C75="Low-productivity",INDEX(TAM_LP[#All],MATCH(Livestock!$C$2,TAM_LP[[#All],[Please select]],0),MATCH(Livestock!B75,TAM_LP[#Headers],0)),
IF(C75="High-productivity",INDEX(TAM_HP[#All],MATCH(Livestock!$C$2,TAM_HP[[#All],[Please select]],0),MATCH(Livestock!B75,TAM_HP[#Headers],0)),0)))))</f>
        <v/>
      </c>
      <c r="H75" s="4718">
        <f>IF(B75="Please select",0,(IF(C75="Default",INDEX(VS_rate_Default[#All],MATCH(Livestock!$C$2,VS_rate_Default[[#All],[Please select]],0),MATCH(Livestock!B75,VS_rate_Default[#Headers],0)),
IF(C75="Low-productivity",INDEX(VS_rate_LP[#All],MATCH(Livestock!$C$2,VS_rate_LP[[#All],[Please select]],0),MATCH(Livestock!B75,VS_rate_HP[#Headers],0)),
IF(C75="High-productivity",INDEX(VS_rate_HP[#All],MATCH(Livestock!$C$2,VS_rate_HP[[#All],[Please select]],0),MATCH(Livestock!B75,VS_rate_HP[#Headers],0)),0)))))</f>
        <v/>
      </c>
      <c r="I75" s="1110">
        <f>IF(B75="Please select",0,(INDEX(INDIRECT(VLOOKUP(F75,list!$B$288:$D$310,1,FALSE)),MATCH(Livestock!$C$2,(INDIRECT(VLOOKUP(F75,list!$B$288:$D$310,2,FALSE))),0),MATCH('4.Grassland'!$BH$53,(INDIRECT(VLOOKUP(F75,list!$B$288:$D$310,3,FALSE))),0))))</f>
        <v/>
      </c>
      <c r="J75" s="1104">
        <f>IF('4.Grassland'!BI69="",Livestock!$I75,'4.Grassland'!BI69*100)</f>
        <v/>
      </c>
      <c r="K75" s="1104">
        <f>IF('4.Grassland'!BJ69="",Livestock!$I75,'4.Grassland'!BJ69*100)</f>
        <v/>
      </c>
      <c r="L75" s="1104">
        <f>IF('4.Grassland'!BK69="",Livestock!$I75,'4.Grassland'!BK69*100)</f>
        <v/>
      </c>
      <c r="M75" s="1104">
        <f>'4.Grassland'!BW69</f>
        <v/>
      </c>
      <c r="N75" s="1044">
        <f>IF(OR($M75="Regional share",$M75="Please select"),0,IF($M75="Other (pls. specify EF)",0,IF(OR($B75="Deer",$B75="Ostrich"),0,INDEX(INDIRECT(VLOOKUP(E75,list!$B$312:$D$339,1,FALSE)),MATCH(clim_moist,INDIRECT(VLOOKUP(E75,list!$B$312:$D$339,2,FALSE)),0),MATCH($M75,INDIRECT(VLOOKUP(E75,list!$B$312:$D$339,3,FALSE)),0))*Livestock!$H75*Livestock!$G75/1000*365/1000)))</f>
        <v/>
      </c>
      <c r="O75" s="1045">
        <f>IF('4.Grassland'!$BZ69="",'4.Grassland'!$BY69,'4.Grassland'!$BZ69)</f>
        <v/>
      </c>
      <c r="P75" s="4720">
        <f>IFERROR(IF($B75="Deer",0.22,IF($B75="Ostrich",5.67,INDEX(INDIRECT(VLOOKUP(E75,list!$B$312:$D$339,1,FALSE)),MATCH(clim_moist,INDIRECT(VLOOKUP(E75,list!$B$312:$D$339,2,FALSE)),0),MATCH('4.Grassland'!$BH$53,INDIRECT(VLOOKUP(E75,list!$B$312:$D$339,3,FALSE)),0))*Livestock!$H75*Livestock!$G75/1000*365/1000)),0)*I75/100</f>
        <v/>
      </c>
      <c r="Q75" s="1044">
        <f>IF(OR($B75="Please select",$B75=$B$53),0,IF($B75="Deer",0.22,IF($B75="Ostrich",5.67,IF(OR($M75="Please select",$M75="Regional share"),SUMPRODUCT(INDEX(INDIRECT(VLOOKUP(E75,list!$B$312:$D$339,1,FALSE)),MATCH(clim_moist,INDIRECT(VLOOKUP(E75,list!$B$312:$D$339,2,FALSE)),0),0),INDEX(INDIRECT(VLOOKUP(F75,list!$B$288:$D$310,1,FALSE)),MATCH($C$2,INDIRECT(VLOOKUP(F75,list!$B$288:$D$310,2,FALSE)),0),0))/100*($H75*$G75/1000*365)/1000-P75,0))))</f>
        <v/>
      </c>
      <c r="R75" s="4721">
        <f>IFERROR(IF('4.Grassland'!$BN69="""",($P75/($I75/100)*$J75/100+$O75*(1-$J75/100)+$Q75/(1-$I75/100)*(1-$J75/100)),('4.Grassland'!$BN69*$J75/100+$O75*(1-$J75/100)+$Q75*(1-$J75/100))),0)</f>
        <v/>
      </c>
      <c r="S75" s="4721">
        <f>IFERROR(IF('4.Grassland'!$BO69="",($P75/($I75/100)*$K75/100+$O75*(1-$K75/100)+$Q75/(1-$I75/100)*(1-$K75/100)),('4.Grassland'!$BO69*$K75/100+$O75*(1-$K75/100)+$Q75*(1-$K75/100))),0)</f>
        <v/>
      </c>
      <c r="T75" s="4721">
        <f>IFERROR(IF('4.Grassland'!$BP69="",($P75/($I75/100)*$L75/100+$O75*(1-$L75/100)+$Q75/(1-$I75/100)*(1-$L75/100)),('4.Grassland'!$BP69*$L75/100+$O75*(1-$L75/100)+$Q75*(1-$L75/100))),0)</f>
        <v/>
      </c>
      <c r="V75" s="3496">
        <f>IF($B75="Deer",0.22*$H21,IF($B75="Ostrich",5.67*$H21,R75*$H21))/1000*methane</f>
        <v/>
      </c>
      <c r="W75" s="1153">
        <f>IF($B75="Deer",0.22*$I21,IF($B75="Ostrich",5.67*$I21,S75*$I21))/1000*methane</f>
        <v/>
      </c>
      <c r="X75" s="3505">
        <f>IF($B75="Deer",0.22*$K21,IF($B75="Ostrich",5.67*$K21,T75*$K21))/1000*methane</f>
        <v/>
      </c>
      <c r="Z75" s="3496">
        <f>MIN($V75,$W75)*time_tot+ABS($W75-$V75)*IF($W75&gt;$V75,time_cap+time*(VLOOKUP($J21,list!$J$48:$K$50,2,0)),time*(1-(VLOOKUP($J21,list!$J$48:$K$50,2,0))))</f>
        <v/>
      </c>
      <c r="AA75" s="3505">
        <f>MIN($V75,$X75)*time_tot+ABS($X75-$V75)*IF($X75&gt;$V75,time_cap+time*(VLOOKUP($L21,list!$J$48:$K$50,2,0)),time*(1-(VLOOKUP($L21,list!$J$48:$K$50,2,0))))</f>
        <v/>
      </c>
      <c r="AB75" s="3517">
        <f>AA75-Z75</f>
        <v/>
      </c>
    </row>
    <row r="76">
      <c r="B76" s="973">
        <f>B22</f>
        <v/>
      </c>
      <c r="C76" s="973">
        <f>C22</f>
        <v/>
      </c>
      <c r="E76" s="1109">
        <f>IF(B76="Please select","",IF(AND(OR($C$2="North America",$C$2="Western Europe",$C$2="Eastern Europe",$C$2="Oceania"),(C76="Default")),VLOOKUP($B76,$B$36:$E$54,4,FALSE),INDEX($B$36:$E$54,MATCH($B76,$B$36:$B$54,0),MATCH($C76,$B$36:$E$36,0))))</f>
        <v/>
      </c>
      <c r="F76" s="1109">
        <f>IF(B76="Please select","",IF(AND(OR($C$2="North America",$C$2="Western Europe",$C$2="Eastern Europe",$C$2="Oceania"),(C76="Default")),VLOOKUP($B76,$H$36:$K$54,4,FALSE),INDEX($H$36:$K$54,MATCH($B76,$H$36:$H$54,0),MATCH($C76,$H$36:$K$36,0))))</f>
        <v/>
      </c>
      <c r="G76" s="1111">
        <f>IF(B76="Please select",0,(IF(C76="Default",INDEX(TAM_Default[#All],MATCH(Livestock!$C$2,TAM_Default[[#All],[Please select]],0),MATCH(Livestock!B76,TAM_Default[#Headers],0)),
IF(C76="Low-productivity",INDEX(TAM_LP[#All],MATCH(Livestock!$C$2,TAM_LP[[#All],[Please select]],0),MATCH(Livestock!B76,TAM_LP[#Headers],0)),
IF(C76="High-productivity",INDEX(TAM_HP[#All],MATCH(Livestock!$C$2,TAM_HP[[#All],[Please select]],0),MATCH(Livestock!B76,TAM_HP[#Headers],0)),0)))))</f>
        <v/>
      </c>
      <c r="H76" s="4718">
        <f>IF(B76="Please select",0,(IF(C76="Default",INDEX(VS_rate_Default[#All],MATCH(Livestock!$C$2,VS_rate_Default[[#All],[Please select]],0),MATCH(Livestock!B76,VS_rate_Default[#Headers],0)),
IF(C76="Low-productivity",INDEX(VS_rate_LP[#All],MATCH(Livestock!$C$2,VS_rate_LP[[#All],[Please select]],0),MATCH(Livestock!B76,VS_rate_HP[#Headers],0)),
IF(C76="High-productivity",INDEX(VS_rate_HP[#All],MATCH(Livestock!$C$2,VS_rate_HP[[#All],[Please select]],0),MATCH(Livestock!B76,VS_rate_HP[#Headers],0)),0)))))</f>
        <v/>
      </c>
      <c r="I76" s="1110">
        <f>IF(B76="Please select",0,(INDEX(INDIRECT(VLOOKUP(F76,list!$B$288:$D$310,1,FALSE)),MATCH(Livestock!$C$2,(INDIRECT(VLOOKUP(F76,list!$B$288:$D$310,2,FALSE))),0),MATCH('4.Grassland'!$BH$53,(INDIRECT(VLOOKUP(F76,list!$B$288:$D$310,3,FALSE))),0))))</f>
        <v/>
      </c>
      <c r="J76" s="1104">
        <f>IF('4.Grassland'!BI70="",Livestock!$I76,'4.Grassland'!BI70*100)</f>
        <v/>
      </c>
      <c r="K76" s="1104">
        <f>IF('4.Grassland'!BJ70="",Livestock!$I76,'4.Grassland'!BJ70*100)</f>
        <v/>
      </c>
      <c r="L76" s="1104">
        <f>IF('4.Grassland'!BK70="",Livestock!$I76,'4.Grassland'!BK70*100)</f>
        <v/>
      </c>
      <c r="M76" s="1104">
        <f>'4.Grassland'!BW70</f>
        <v/>
      </c>
      <c r="N76" s="1044">
        <f>IF(OR($M76="Regional share",$M76="Please select"),0,IF($M76="Other (pls. specify EF)",0,IF(OR($B76="Deer",$B76="Ostrich"),0,INDEX(INDIRECT(VLOOKUP(E76,list!$B$312:$D$339,1,FALSE)),MATCH(clim_moist,INDIRECT(VLOOKUP(E76,list!$B$312:$D$339,2,FALSE)),0),MATCH($M76,INDIRECT(VLOOKUP(E76,list!$B$312:$D$339,3,FALSE)),0))*Livestock!$H76*Livestock!$G76/1000*365/1000)))</f>
        <v/>
      </c>
      <c r="O76" s="1045">
        <f>IF('4.Grassland'!$BZ70="",'4.Grassland'!$BY70,'4.Grassland'!$BZ70)</f>
        <v/>
      </c>
      <c r="P76" s="4720">
        <f>IFERROR(IF($B76="Deer",0.22,IF($B76="Ostrich",5.67,INDEX(INDIRECT(VLOOKUP(E76,list!$B$312:$D$339,1,FALSE)),MATCH(clim_moist,INDIRECT(VLOOKUP(E76,list!$B$312:$D$339,2,FALSE)),0),MATCH('4.Grassland'!$BH$53,INDIRECT(VLOOKUP(E76,list!$B$312:$D$339,3,FALSE)),0))*Livestock!$H76*Livestock!$G76/1000*365/1000)),0)*I76/100</f>
        <v/>
      </c>
      <c r="Q76" s="1044">
        <f>IF(OR($B76="Please select",$B76=$B$53),0,IF($B76="Deer",0.22,IF($B76="Ostrich",5.67,IF(OR($M76="Please select",$M76="Regional share"),SUMPRODUCT(INDEX(INDIRECT(VLOOKUP(E76,list!$B$312:$D$339,1,FALSE)),MATCH(clim_moist,INDIRECT(VLOOKUP(E76,list!$B$312:$D$339,2,FALSE)),0),0),INDEX(INDIRECT(VLOOKUP(F76,list!$B$288:$D$310,1,FALSE)),MATCH($C$2,INDIRECT(VLOOKUP(F76,list!$B$288:$D$310,2,FALSE)),0),0))/100*($H76*$G76/1000*365)/1000-P76,0))))</f>
        <v/>
      </c>
      <c r="R76" s="4721">
        <f>IFERROR(IF('4.Grassland'!$BN70="""",($P76/($I76/100)*$J76/100+$O76*(1-$J76/100)+$Q76/(1-$I76/100)*(1-$J76/100)),('4.Grassland'!$BN70*$J76/100+$O76*(1-$J76/100)+$Q76*(1-$J76/100))),0)</f>
        <v/>
      </c>
      <c r="S76" s="4721">
        <f>IFERROR(IF('4.Grassland'!$BO70="",($P76/($I76/100)*$K76/100+$O76*(1-$K76/100)+$Q76/(1-$I76/100)*(1-$K76/100)),('4.Grassland'!$BO70*$K76/100+$O76*(1-$K76/100)+$Q76*(1-$K76/100))),0)</f>
        <v/>
      </c>
      <c r="T76" s="4721">
        <f>IFERROR(IF('4.Grassland'!$BP70="",($P76/($I76/100)*$L76/100+$O76*(1-$L76/100)+$Q76/(1-$I76/100)*(1-$L76/100)),('4.Grassland'!$BP70*$L76/100+$O76*(1-$L76/100)+$Q76*(1-$L76/100))),0)</f>
        <v/>
      </c>
      <c r="V76" s="3496">
        <f>IF($B76="Deer",0.22*$H22,IF($B76="Ostrich",5.67*$H22,R76*$H22))/1000*methane</f>
        <v/>
      </c>
      <c r="W76" s="1153">
        <f>IF($B76="Deer",0.22*$I22,IF($B76="Ostrich",5.67*$I22,S76*$I22))/1000*methane</f>
        <v/>
      </c>
      <c r="X76" s="3505">
        <f>IF($B76="Deer",0.22*$K22,IF($B76="Ostrich",5.67*$K22,T76*$K22))/1000*methane</f>
        <v/>
      </c>
      <c r="Z76" s="3496">
        <f>MIN($V76,$W76)*time_tot+ABS($W76-$V76)*IF($W76&gt;$V76,time_cap+time*(VLOOKUP($J22,list!$J$48:$K$50,2,0)),time*(1-(VLOOKUP($J22,list!$J$48:$K$50,2,0))))</f>
        <v/>
      </c>
      <c r="AA76" s="3505">
        <f>MIN($V76,$X76)*time_tot+ABS($X76-$V76)*IF($X76&gt;$V76,time_cap+time*(VLOOKUP($L22,list!$J$48:$K$50,2,0)),time*(1-(VLOOKUP($L22,list!$J$48:$K$50,2,0))))</f>
        <v/>
      </c>
      <c r="AB76" s="3517">
        <f>AA76-Z76</f>
        <v/>
      </c>
    </row>
    <row r="77">
      <c r="B77" s="973">
        <f>B23</f>
        <v/>
      </c>
      <c r="C77" s="973">
        <f>C23</f>
        <v/>
      </c>
      <c r="E77" s="1109">
        <f>IF(B77="Please select","",IF(AND(OR($C$2="North America",$C$2="Western Europe",$C$2="Eastern Europe",$C$2="Oceania"),(C77="Default")),VLOOKUP($B77,$B$36:$E$54,4,FALSE),INDEX($B$36:$E$54,MATCH($B77,$B$36:$B$54,0),MATCH($C77,$B$36:$E$36,0))))</f>
        <v/>
      </c>
      <c r="F77" s="1109">
        <f>IF(B77="Please select","",IF(AND(OR($C$2="North America",$C$2="Western Europe",$C$2="Eastern Europe",$C$2="Oceania"),(C77="Default")),VLOOKUP($B77,$H$36:$K$54,4,FALSE),INDEX($H$36:$K$54,MATCH($B77,$H$36:$H$54,0),MATCH($C77,$H$36:$K$36,0))))</f>
        <v/>
      </c>
      <c r="G77" s="1111">
        <f>IF(B77="Please select",0,(IF(C77="Default",INDEX(TAM_Default[#All],MATCH(Livestock!$C$2,TAM_Default[[#All],[Please select]],0),MATCH(Livestock!B77,TAM_Default[#Headers],0)),
IF(C77="Low-productivity",INDEX(TAM_LP[#All],MATCH(Livestock!$C$2,TAM_LP[[#All],[Please select]],0),MATCH(Livestock!B77,TAM_LP[#Headers],0)),
IF(C77="High-productivity",INDEX(TAM_HP[#All],MATCH(Livestock!$C$2,TAM_HP[[#All],[Please select]],0),MATCH(Livestock!B77,TAM_HP[#Headers],0)),0)))))</f>
        <v/>
      </c>
      <c r="H77" s="4718">
        <f>IF(B77="Please select",0,(IF(C77="Default",INDEX(VS_rate_Default[#All],MATCH(Livestock!$C$2,VS_rate_Default[[#All],[Please select]],0),MATCH(Livestock!B77,VS_rate_Default[#Headers],0)),
IF(C77="Low-productivity",INDEX(VS_rate_LP[#All],MATCH(Livestock!$C$2,VS_rate_LP[[#All],[Please select]],0),MATCH(Livestock!B77,VS_rate_HP[#Headers],0)),
IF(C77="High-productivity",INDEX(VS_rate_HP[#All],MATCH(Livestock!$C$2,VS_rate_HP[[#All],[Please select]],0),MATCH(Livestock!B77,VS_rate_HP[#Headers],0)),0)))))</f>
        <v/>
      </c>
      <c r="I77" s="1110">
        <f>IF(B77="Please select",0,(INDEX(INDIRECT(VLOOKUP(F77,list!$B$288:$D$310,1,FALSE)),MATCH(Livestock!$C$2,(INDIRECT(VLOOKUP(F77,list!$B$288:$D$310,2,FALSE))),0),MATCH('4.Grassland'!$BH$53,(INDIRECT(VLOOKUP(F77,list!$B$288:$D$310,3,FALSE))),0))))</f>
        <v/>
      </c>
      <c r="J77" s="1104">
        <f>IF('4.Grassland'!BI71="",Livestock!$I77,'4.Grassland'!BI71*100)</f>
        <v/>
      </c>
      <c r="K77" s="1104">
        <f>IF('4.Grassland'!BJ71="",Livestock!$I77,'4.Grassland'!BJ71*100)</f>
        <v/>
      </c>
      <c r="L77" s="1104">
        <f>IF('4.Grassland'!BK71="",Livestock!$I77,'4.Grassland'!BK71*100)</f>
        <v/>
      </c>
      <c r="M77" s="1104">
        <f>'4.Grassland'!BW71</f>
        <v/>
      </c>
      <c r="N77" s="1044">
        <f>IF(OR($M77="Regional share",$M77="Please select"),0,IF($M77="Other (pls. specify EF)",0,IF(OR($B77="Deer",$B77="Ostrich"),0,INDEX(INDIRECT(VLOOKUP(E77,list!$B$312:$D$339,1,FALSE)),MATCH(clim_moist,INDIRECT(VLOOKUP(E77,list!$B$312:$D$339,2,FALSE)),0),MATCH($M77,INDIRECT(VLOOKUP(E77,list!$B$312:$D$339,3,FALSE)),0))*Livestock!$H77*Livestock!$G77/1000*365/1000)))</f>
        <v/>
      </c>
      <c r="O77" s="1045">
        <f>IF('4.Grassland'!$BZ71="",'4.Grassland'!$BY71,'4.Grassland'!$BZ71)</f>
        <v/>
      </c>
      <c r="P77" s="4720">
        <f>IFERROR(IF($B77="Deer",0.22,IF($B77="Ostrich",5.67,INDEX(INDIRECT(VLOOKUP(E77,list!$B$312:$D$339,1,FALSE)),MATCH(clim_moist,INDIRECT(VLOOKUP(E77,list!$B$312:$D$339,2,FALSE)),0),MATCH('4.Grassland'!$BH$53,INDIRECT(VLOOKUP(E77,list!$B$312:$D$339,3,FALSE)),0))*Livestock!$H77*Livestock!$G77/1000*365/1000)),0)*I77/100</f>
        <v/>
      </c>
      <c r="Q77" s="1044">
        <f>IF(OR($B77="Please select",$B77=$B$53),0,IF($B77="Deer",0.22,IF($B77="Ostrich",5.67,IF(OR($M77="Please select",$M77="Regional share"),SUMPRODUCT(INDEX(INDIRECT(VLOOKUP(E77,list!$B$312:$D$339,1,FALSE)),MATCH(clim_moist,INDIRECT(VLOOKUP(E77,list!$B$312:$D$339,2,FALSE)),0),0),INDEX(INDIRECT(VLOOKUP(F77,list!$B$288:$D$310,1,FALSE)),MATCH($C$2,INDIRECT(VLOOKUP(F77,list!$B$288:$D$310,2,FALSE)),0),0))/100*($H77*$G77/1000*365)/1000-P77,0))))</f>
        <v/>
      </c>
      <c r="R77" s="4721">
        <f>IFERROR(IF('4.Grassland'!$BN71="""",($P77/($I77/100)*$J77/100+$O77*(1-$J77/100)+$Q77/(1-$I77/100)*(1-$J77/100)),('4.Grassland'!$BN71*$J77/100+$O77*(1-$J77/100)+$Q77*(1-$J77/100))),0)</f>
        <v/>
      </c>
      <c r="S77" s="4721">
        <f>IFERROR(IF('4.Grassland'!$BO71="",($P77/($I77/100)*$K77/100+$O77*(1-$K77/100)+$Q77/(1-$I77/100)*(1-$K77/100)),('4.Grassland'!$BO71*$K77/100+$O77*(1-$K77/100)+$Q77*(1-$K77/100))),0)</f>
        <v/>
      </c>
      <c r="T77" s="4721">
        <f>IFERROR(IF('4.Grassland'!$BP71="",($P77/($I77/100)*$L77/100+$O77*(1-$L77/100)+$Q77/(1-$I77/100)*(1-$L77/100)),('4.Grassland'!$BP71*$L77/100+$O77*(1-$L77/100)+$Q77*(1-$L77/100))),0)</f>
        <v/>
      </c>
      <c r="V77" s="3496">
        <f>IF($B77="Deer",0.22*$H23,IF($B77="Ostrich",5.67*$H23,R77*$H23))/1000*methane</f>
        <v/>
      </c>
      <c r="W77" s="1153">
        <f>IF($B77="Deer",0.22*$I23,IF($B77="Ostrich",5.67*$I23,S77*$I23))/1000*methane</f>
        <v/>
      </c>
      <c r="X77" s="3505">
        <f>IF($B77="Deer",0.22*$K23,IF($B77="Ostrich",5.67*$K23,T77*$K23))/1000*methane</f>
        <v/>
      </c>
      <c r="Z77" s="3496">
        <f>MIN($V77,$W77)*time_tot+ABS($W77-$V77)*IF($W77&gt;$V77,time_cap+time*(VLOOKUP($J23,list!$J$48:$K$50,2,0)),time*(1-(VLOOKUP($J23,list!$J$48:$K$50,2,0))))</f>
        <v/>
      </c>
      <c r="AA77" s="3505">
        <f>MIN($V77,$X77)*time_tot+ABS($X77-$V77)*IF($X77&gt;$V77,time_cap+time*(VLOOKUP($L23,list!$J$48:$K$50,2,0)),time*(1-(VLOOKUP($L23,list!$J$48:$K$50,2,0))))</f>
        <v/>
      </c>
      <c r="AB77" s="3517">
        <f>AA77-Z77</f>
        <v/>
      </c>
    </row>
    <row r="78">
      <c r="B78" s="973">
        <f>B24</f>
        <v/>
      </c>
      <c r="C78" s="973">
        <f>C24</f>
        <v/>
      </c>
      <c r="E78" s="1109">
        <f>IF(B78="Please select","",IF(AND(OR($C$2="North America",$C$2="Western Europe",$C$2="Eastern Europe",$C$2="Oceania"),(C78="Default")),VLOOKUP($B78,$B$36:$E$54,4,FALSE),INDEX($B$36:$E$54,MATCH($B78,$B$36:$B$54,0),MATCH($C78,$B$36:$E$36,0))))</f>
        <v/>
      </c>
      <c r="F78" s="1109">
        <f>IF(B78="Please select","",IF(AND(OR($C$2="North America",$C$2="Western Europe",$C$2="Eastern Europe",$C$2="Oceania"),(C78="Default")),VLOOKUP($B78,$H$36:$K$54,4,FALSE),INDEX($H$36:$K$54,MATCH($B78,$H$36:$H$54,0),MATCH($C78,$H$36:$K$36,0))))</f>
        <v/>
      </c>
      <c r="G78" s="1111">
        <f>IF(B78="Please select",0,(IF(C78="Default",INDEX(TAM_Default[#All],MATCH(Livestock!$C$2,TAM_Default[[#All],[Please select]],0),MATCH(Livestock!B78,TAM_Default[#Headers],0)),
IF(C78="Low-productivity",INDEX(TAM_LP[#All],MATCH(Livestock!$C$2,TAM_LP[[#All],[Please select]],0),MATCH(Livestock!B78,TAM_LP[#Headers],0)),
IF(C78="High-productivity",INDEX(TAM_HP[#All],MATCH(Livestock!$C$2,TAM_HP[[#All],[Please select]],0),MATCH(Livestock!B78,TAM_HP[#Headers],0)),0)))))</f>
        <v/>
      </c>
      <c r="H78" s="4718">
        <f>IF(B78="Please select",0,(IF(C78="Default",INDEX(VS_rate_Default[#All],MATCH(Livestock!$C$2,VS_rate_Default[[#All],[Please select]],0),MATCH(Livestock!B78,VS_rate_Default[#Headers],0)),
IF(C78="Low-productivity",INDEX(VS_rate_LP[#All],MATCH(Livestock!$C$2,VS_rate_LP[[#All],[Please select]],0),MATCH(Livestock!B78,VS_rate_HP[#Headers],0)),
IF(C78="High-productivity",INDEX(VS_rate_HP[#All],MATCH(Livestock!$C$2,VS_rate_HP[[#All],[Please select]],0),MATCH(Livestock!B78,VS_rate_HP[#Headers],0)),0)))))</f>
        <v/>
      </c>
      <c r="I78" s="1110">
        <f>IF(B78="Please select",0,(INDEX(INDIRECT(VLOOKUP(F78,list!$B$288:$D$310,1,FALSE)),MATCH(Livestock!$C$2,(INDIRECT(VLOOKUP(F78,list!$B$288:$D$310,2,FALSE))),0),MATCH('4.Grassland'!$BH$53,(INDIRECT(VLOOKUP(F78,list!$B$288:$D$310,3,FALSE))),0))))</f>
        <v/>
      </c>
      <c r="J78" s="1104">
        <f>IF('4.Grassland'!BI72="",Livestock!$I78,'4.Grassland'!BI72*100)</f>
        <v/>
      </c>
      <c r="K78" s="1104">
        <f>IF('4.Grassland'!BJ72="",Livestock!$I78,'4.Grassland'!BJ72*100)</f>
        <v/>
      </c>
      <c r="L78" s="1104">
        <f>IF('4.Grassland'!BK72="",Livestock!$I78,'4.Grassland'!BK72*100)</f>
        <v/>
      </c>
      <c r="M78" s="1104">
        <f>'4.Grassland'!BW72</f>
        <v/>
      </c>
      <c r="N78" s="1044">
        <f>IF(OR($M78="Regional share",$M78="Please select"),0,IF($M78="Other (pls. specify EF)",0,IF(OR($B78="Deer",$B78="Ostrich"),0,INDEX(INDIRECT(VLOOKUP(E78,list!$B$312:$D$339,1,FALSE)),MATCH(clim_moist,INDIRECT(VLOOKUP(E78,list!$B$312:$D$339,2,FALSE)),0),MATCH($M78,INDIRECT(VLOOKUP(E78,list!$B$312:$D$339,3,FALSE)),0))*Livestock!$H78*Livestock!$G78/1000*365/1000)))</f>
        <v/>
      </c>
      <c r="O78" s="1045">
        <f>IF('4.Grassland'!$BZ72="",'4.Grassland'!$BY72,'4.Grassland'!$BZ72)</f>
        <v/>
      </c>
      <c r="P78" s="4720">
        <f>IFERROR(IF($B78="Deer",0.22,IF($B78="Ostrich",5.67,INDEX(INDIRECT(VLOOKUP(E78,list!$B$312:$D$339,1,FALSE)),MATCH(clim_moist,INDIRECT(VLOOKUP(E78,list!$B$312:$D$339,2,FALSE)),0),MATCH('4.Grassland'!$BH$53,INDIRECT(VLOOKUP(E78,list!$B$312:$D$339,3,FALSE)),0))*Livestock!$H78*Livestock!$G78/1000*365/1000)),0)*I78/100</f>
        <v/>
      </c>
      <c r="Q78" s="1044">
        <f>IF(OR($B78="Please select",$B78=$B$53),0,IF($B78="Deer",0.22,IF($B78="Ostrich",5.67,IF(OR($M78="Please select",$M78="Regional share"),SUMPRODUCT(INDEX(INDIRECT(VLOOKUP(E78,list!$B$312:$D$339,1,FALSE)),MATCH(clim_moist,INDIRECT(VLOOKUP(E78,list!$B$312:$D$339,2,FALSE)),0),0),INDEX(INDIRECT(VLOOKUP(F78,list!$B$288:$D$310,1,FALSE)),MATCH($C$2,INDIRECT(VLOOKUP(F78,list!$B$288:$D$310,2,FALSE)),0),0))/100*($H78*$G78/1000*365)/1000-P78,0))))</f>
        <v/>
      </c>
      <c r="R78" s="4721">
        <f>IFERROR(IF('4.Grassland'!$BN72="""",($P78/($I78/100)*$J78/100+$O78*(1-$J78/100)+$Q78/(1-$I78/100)*(1-$J78/100)),('4.Grassland'!$BN72*$J78/100+$O78*(1-$J78/100)+$Q78*(1-$J78/100))),0)</f>
        <v/>
      </c>
      <c r="S78" s="4721">
        <f>IFERROR(IF('4.Grassland'!$BO72="",($P78/($I78/100)*$K78/100+$O78*(1-$K78/100)+$Q78/(1-$I78/100)*(1-$K78/100)),('4.Grassland'!$BO72*$K78/100+$O78*(1-$K78/100)+$Q78*(1-$K78/100))),0)</f>
        <v/>
      </c>
      <c r="T78" s="4721">
        <f>IFERROR(IF('4.Grassland'!$BP72="",($P78/($I78/100)*$L78/100+$O78*(1-$L78/100)+$Q78/(1-$I78/100)*(1-$L78/100)),('4.Grassland'!$BP72*$L78/100+$O78*(1-$L78/100)+$Q78*(1-$L78/100))),0)</f>
        <v/>
      </c>
      <c r="V78" s="3496">
        <f>IF($B78="Deer",0.22*$H24,IF($B78="Ostrich",5.67*$H24,R78*$H24))/1000*methane</f>
        <v/>
      </c>
      <c r="W78" s="1153">
        <f>IF($B78="Deer",0.22*$I24,IF($B78="Ostrich",5.67*$I24,S78*$I24))/1000*methane</f>
        <v/>
      </c>
      <c r="X78" s="3505">
        <f>IF($B78="Deer",0.22*$K24,IF($B78="Ostrich",5.67*$K24,T78*$K24))/1000*methane</f>
        <v/>
      </c>
      <c r="Z78" s="3496">
        <f>MIN($V78,$W78)*time_tot+ABS($W78-$V78)*IF($W78&gt;$V78,time_cap+time*(VLOOKUP($J24,list!$J$48:$K$50,2,0)),time*(1-(VLOOKUP($J24,list!$J$48:$K$50,2,0))))</f>
        <v/>
      </c>
      <c r="AA78" s="3505">
        <f>MIN($V78,$X78)*time_tot+ABS($X78-$V78)*IF($X78&gt;$V78,time_cap+time*(VLOOKUP($L24,list!$J$48:$K$50,2,0)),time*(1-(VLOOKUP($L24,list!$J$48:$K$50,2,0))))</f>
        <v/>
      </c>
      <c r="AB78" s="3517">
        <f>AA78-Z78</f>
        <v/>
      </c>
    </row>
    <row r="81">
      <c r="W81" s="1163" t="n"/>
      <c r="X81" s="1163" t="n"/>
      <c r="Y81" s="1653" t="inlineStr">
        <is>
          <t>Total Manure Management [CH4]</t>
        </is>
      </c>
      <c r="Z81" s="2276">
        <f>SUM(Z62:Z78)</f>
        <v/>
      </c>
      <c r="AA81" s="2276">
        <f>SUM(AA62:AA78)</f>
        <v/>
      </c>
      <c r="AB81" s="2276">
        <f>SUM(AB62:AB78)</f>
        <v/>
      </c>
    </row>
    <row r="83" ht="45" customHeight="1">
      <c r="A83" s="2518" t="n"/>
      <c r="B83" s="1629" t="inlineStr">
        <is>
          <t>Nitrous oxide emissions from manure management</t>
        </is>
      </c>
      <c r="C83" s="2518" t="n"/>
      <c r="D83" s="2518" t="n"/>
      <c r="E83" s="2518" t="n"/>
      <c r="F83" s="2518" t="n"/>
      <c r="G83" s="2518" t="n"/>
      <c r="H83" s="2518" t="n"/>
      <c r="I83" s="2518" t="n"/>
      <c r="J83" s="2518" t="n"/>
      <c r="K83" s="2518" t="n"/>
      <c r="L83" s="2518" t="n"/>
      <c r="M83" s="2518" t="n"/>
      <c r="N83" s="2518" t="n"/>
      <c r="O83" s="2518" t="n"/>
      <c r="P83" s="2518" t="n"/>
      <c r="Q83" s="2518" t="n"/>
      <c r="R83" s="2518" t="n"/>
      <c r="S83" s="2518" t="n"/>
      <c r="T83" s="2518" t="n"/>
      <c r="U83" s="2518" t="n"/>
      <c r="V83" s="2518" t="n"/>
      <c r="W83" s="2518" t="n"/>
      <c r="X83" s="2518" t="n"/>
      <c r="Y83" s="2518" t="n"/>
      <c r="Z83" s="2518" t="n"/>
      <c r="AA83" s="2518" t="n"/>
      <c r="AB83" s="2518" t="n"/>
      <c r="AC83" s="2518" t="n"/>
    </row>
    <row r="85">
      <c r="B85" s="1596" t="inlineStr">
        <is>
          <t>DIRECT EMISSIONS</t>
        </is>
      </c>
      <c r="C85" s="1588" t="n"/>
      <c r="D85" s="1588" t="n"/>
      <c r="E85" s="1588" t="n"/>
      <c r="F85" s="1588" t="n"/>
      <c r="G85" s="1588" t="n"/>
      <c r="H85" s="1588" t="n"/>
      <c r="I85" s="1588" t="n"/>
      <c r="J85" s="1588" t="n"/>
      <c r="K85" s="1588" t="n"/>
      <c r="L85" s="1588" t="n"/>
      <c r="M85" s="1588" t="n"/>
      <c r="N85" s="1588" t="n"/>
      <c r="O85" s="1588" t="n"/>
      <c r="P85" s="1588" t="n"/>
      <c r="Q85" s="1588" t="n"/>
      <c r="R85" s="1588" t="n"/>
      <c r="S85" s="1588" t="n"/>
      <c r="T85" s="1588" t="n"/>
      <c r="U85" s="1588" t="n"/>
      <c r="V85" s="1588" t="n"/>
      <c r="W85" s="1588" t="n"/>
      <c r="X85" s="1588" t="n"/>
      <c r="Y85" s="1588" t="n"/>
      <c r="Z85" s="1588" t="n"/>
      <c r="AA85" s="1588" t="n"/>
      <c r="AB85" s="1588" t="n"/>
      <c r="AC85" s="1588" t="n"/>
    </row>
    <row r="86">
      <c r="G86" s="3489" t="n"/>
      <c r="H86" s="4566" t="inlineStr">
        <is>
          <t>Specific factors</t>
        </is>
      </c>
      <c r="M86" s="4567" t="inlineStr">
        <is>
          <t>Compl. manure mngt syst</t>
        </is>
      </c>
      <c r="N86" s="341" t="n"/>
      <c r="O86" s="341" t="n"/>
    </row>
    <row r="87">
      <c r="G87" s="1576" t="inlineStr">
        <is>
          <t>TAM</t>
        </is>
      </c>
      <c r="H87" s="1281" t="inlineStr">
        <is>
          <t>N excretion rate</t>
        </is>
      </c>
      <c r="I87" s="1281" t="inlineStr">
        <is>
          <t xml:space="preserve">% corresponding to </t>
        </is>
      </c>
      <c r="L87" s="1659" t="n"/>
      <c r="M87" s="1659" t="n"/>
      <c r="N87" s="1671" t="inlineStr">
        <is>
          <t>EFN2O default Comp.</t>
        </is>
      </c>
      <c r="O87" s="1644" t="n"/>
      <c r="P87" s="1672" t="inlineStr">
        <is>
          <t>EFN2O PRP</t>
        </is>
      </c>
      <c r="Q87" s="1672" t="inlineStr">
        <is>
          <t>EFN2O RS</t>
        </is>
      </c>
      <c r="V87" s="2167" t="inlineStr">
        <is>
          <t>Emissions from manure mngt [N2O]</t>
        </is>
      </c>
      <c r="W87" s="3489" t="n"/>
      <c r="X87" s="3489" t="n"/>
      <c r="Z87" s="1281" t="inlineStr">
        <is>
          <t>Total emissions (tCO2-eq)</t>
        </is>
      </c>
    </row>
    <row r="88" ht="16" customHeight="1">
      <c r="G88" s="1688" t="inlineStr">
        <is>
          <t>kg</t>
        </is>
      </c>
      <c r="H88" s="973" t="inlineStr">
        <is>
          <t>kg N/(1000kg TAM)/day</t>
        </is>
      </c>
      <c r="I88" s="2167">
        <f>AWMS_Dairy_Cattle[[#Headers],[Pasture/Range/Paddock]]</f>
        <v/>
      </c>
      <c r="J88" s="3489" t="n"/>
      <c r="K88" s="3502" t="n"/>
      <c r="L88" s="3502" t="n"/>
      <c r="M88" s="2169" t="inlineStr">
        <is>
          <t>Comp. MMS</t>
        </is>
      </c>
      <c r="N88" s="2170" t="inlineStr">
        <is>
          <t>kgN2O/head/year</t>
        </is>
      </c>
      <c r="P88" s="2170" t="inlineStr">
        <is>
          <t>kgN2O/head/year</t>
        </is>
      </c>
      <c r="V88" s="1281" t="inlineStr">
        <is>
          <t>tCO2-e/yr</t>
        </is>
      </c>
      <c r="W88" s="1100" t="n"/>
      <c r="X88" s="1101" t="n"/>
      <c r="Z88" s="1270" t="n"/>
      <c r="AA88" s="1116" t="n"/>
      <c r="AB88" s="1116" t="n"/>
      <c r="AE88" s="973" t="inlineStr">
        <is>
          <t>IMPLEMENTATION PHASE</t>
        </is>
      </c>
    </row>
    <row r="89" ht="16" customHeight="1">
      <c r="B89" s="2167" t="inlineStr">
        <is>
          <t>Livestock category</t>
        </is>
      </c>
      <c r="C89" s="2167" t="inlineStr">
        <is>
          <t>Livestock productivity</t>
        </is>
      </c>
      <c r="D89" s="2167" t="n"/>
      <c r="E89" s="1652" t="inlineStr">
        <is>
          <t>Table EF N2O</t>
        </is>
      </c>
      <c r="F89" s="1652" t="inlineStr">
        <is>
          <t>Table AWMS</t>
        </is>
      </c>
      <c r="G89" s="1688" t="inlineStr">
        <is>
          <t>IPCC</t>
        </is>
      </c>
      <c r="H89" s="1688" t="inlineStr">
        <is>
          <t>IPCC</t>
        </is>
      </c>
      <c r="I89" s="1688" t="inlineStr">
        <is>
          <t>IPCC</t>
        </is>
      </c>
      <c r="J89" s="1688" t="inlineStr">
        <is>
          <t>START</t>
        </is>
      </c>
      <c r="K89" s="1688" t="inlineStr">
        <is>
          <t>WITHOUT</t>
        </is>
      </c>
      <c r="L89" s="1688" t="inlineStr">
        <is>
          <t>WITH</t>
        </is>
      </c>
      <c r="M89" s="1688" t="n"/>
      <c r="N89" s="1688" t="inlineStr">
        <is>
          <t>IPCC</t>
        </is>
      </c>
      <c r="O89" s="1688" t="inlineStr">
        <is>
          <t>Tier 2</t>
        </is>
      </c>
      <c r="P89" s="973" t="inlineStr">
        <is>
          <t>IPCC</t>
        </is>
      </c>
      <c r="Q89" s="1688" t="inlineStr">
        <is>
          <t>IPCC</t>
        </is>
      </c>
      <c r="R89" s="1688" t="inlineStr">
        <is>
          <t>START</t>
        </is>
      </c>
      <c r="S89" s="1688" t="inlineStr">
        <is>
          <t>WITHOUT</t>
        </is>
      </c>
      <c r="T89" s="1688" t="inlineStr">
        <is>
          <t>WITH</t>
        </is>
      </c>
      <c r="V89" s="1688" t="inlineStr">
        <is>
          <t>START</t>
        </is>
      </c>
      <c r="W89" s="1102" t="inlineStr">
        <is>
          <t>W/OUT</t>
        </is>
      </c>
      <c r="X89" s="1103" t="inlineStr">
        <is>
          <t>WITH</t>
        </is>
      </c>
      <c r="Z89" s="1521" t="inlineStr">
        <is>
          <t>W/OUT</t>
        </is>
      </c>
      <c r="AA89" s="1101" t="inlineStr">
        <is>
          <t>WITH</t>
        </is>
      </c>
      <c r="AB89" s="1116" t="inlineStr">
        <is>
          <t>BALANCE</t>
        </is>
      </c>
      <c r="AE89" s="1102" t="inlineStr">
        <is>
          <t>WITHOUT</t>
        </is>
      </c>
      <c r="AF89" s="1103" t="inlineStr">
        <is>
          <t>WITH</t>
        </is>
      </c>
    </row>
    <row r="90">
      <c r="B90" s="973">
        <f>B62</f>
        <v/>
      </c>
      <c r="C90" s="973">
        <f>C62</f>
        <v/>
      </c>
      <c r="E90" s="1109">
        <f>IF(B90="Please select","",IF(AND(OR($C$2="North America",$C$2="Western Europe",$C$2="Eastern Europe",$C$2="Oceania"),(C90="Default")),VLOOKUP($B90,$N$36:$Q$54,4,FALSE),INDEX($N$36:$Q$54,MATCH($B90,$N$36:$N$54,0),MATCH($C90,$N$36:$Q$36,0))))</f>
        <v/>
      </c>
      <c r="F90" s="1109">
        <f>F62</f>
        <v/>
      </c>
      <c r="G90" s="1111">
        <f>G62</f>
        <v/>
      </c>
      <c r="H90" s="4718">
        <f>IF(B90="Please select",0,(IF(C90="Default",INDEX(N_excretion_rate_Default[#All],MATCH(Livestock!$C$2,N_excretion_rate_Default[[#All],[Please select]],0),MATCH(Livestock!B90,N_excretion_rate_Default[#Headers],0)),
IF(C90="Low-productivity",INDEX(N_excretion_rate_LP[#All],MATCH(Livestock!$C$2,N_excretion_rate_LP[[#All],[Please select]],0),MATCH(Livestock!B90,N_excretion_rate_LP[#Headers],0)),
IF(C90="High-productivity",INDEX(N_excretion_rate_HP[#All],MATCH(Livestock!$C$2,N_excretion_rate_HP[[#All],[Please select]],0),MATCH(Livestock!B90,N_excretion_rate_HP[#Headers],0)),0)))))</f>
        <v/>
      </c>
      <c r="I90" s="1110">
        <f>I62</f>
        <v/>
      </c>
      <c r="J90" s="1688">
        <f>J62</f>
        <v/>
      </c>
      <c r="K90" s="1688">
        <f>K62</f>
        <v/>
      </c>
      <c r="L90" s="1688">
        <f>L62</f>
        <v/>
      </c>
      <c r="M90" s="1688">
        <f>M62</f>
        <v/>
      </c>
      <c r="N90" s="1044">
        <f>IF(OR($M90="Regional share",$M90="Please select",$M90="Other (pls. specify EF)"),0,INDEX(INDIRECT(VLOOKUP(E90,list!$B$341:$D$342,1,FALSE)),MATCH(clim_moist,INDIRECT(VLOOKUP(E90,list!$B$341:$D$342,2,FALSE)),0),MATCH($M90,INDIRECT(VLOOKUP(E90,list!$B$341:$D$342,3,FALSE)),0))*Livestock!$H90*Livestock!$G90/1000*365)</f>
        <v/>
      </c>
      <c r="O90" s="1045">
        <f>IF('4.Grassland'!CC56="",'4.Grassland'!CB56,'4.Grassland'!CC56)</f>
        <v/>
      </c>
      <c r="P90" s="1044">
        <f>IFERROR(INDEX(INDIRECT(VLOOKUP(E90,list!$B$341:$D$342,1,FALSE)),MATCH(clim_moist,INDIRECT(VLOOKUP(E90,list!$B$341:$D$342,2,FALSE)),0),MATCH('4.Grassland'!$BH$53,INDIRECT(VLOOKUP(E90,list!$B$341:$D$342,3,FALSE)),0))*Livestock!$H90*Livestock!$G90/1000*365,0)*I90/100</f>
        <v/>
      </c>
      <c r="Q90" s="1044">
        <f>IF($B90="Please select",0,IF(OR($M90="Please select",$M90="Regional share"),SUMPRODUCT(INDEX(INDIRECT(VLOOKUP(E90,list!$B$341:$D$342,1,FALSE)),MATCH(clim_moist,INDIRECT(VLOOKUP(E90,list!$B$341:$D$342,2,FALSE)),0),0),INDEX(INDIRECT(VLOOKUP(F90,list!$B$288:$D$310,1,FALSE)),MATCH($C$2,INDIRECT(VLOOKUP(F90,list!$B$288:$D$310,2,FALSE)),0),0))/100*($H90*$G90/1000*365)-$P90,0))</f>
        <v/>
      </c>
      <c r="R90" s="2158">
        <f>IFERROR(IF(B90=$B$53,0,IF('4.Grassland'!$BS56="",($P90/($I90/100)*$J90/100+$O90*(1-$J90/100)+$Q90/(1-$I90/100)*(1-$J90/100)),('4.Grassland'!$BS56*$J90/100+$O90*(1-$J90/100)+$Q90*(1-$J90/100)))),0)</f>
        <v/>
      </c>
      <c r="S90" s="2159">
        <f>IFERROR(IF(B90=$B$53,0,IF('4.Grassland'!$BT56="",($P90/($I90/100)*$K90/100+$O90*(1-$K90/100)+$Q90/(1-$I90/100)*(1-$K90/100)),('4.Grassland'!$BT56*$K90/100+$O90*(1-$K90/100)+$Q90*(1-$K90/100)))),0)</f>
        <v/>
      </c>
      <c r="T90" s="1195">
        <f>IFERROR(IF(B90=$B$53,0,IF('4.Grassland'!$BU56="",($P90/($I90/100)*$L90/100+$O90*(1-$L90/100)+$Q90/(1-$I90/100)*(1-$L90/100)),('4.Grassland'!$BU56*$L90/100+$O90*(1-$L90/100)+$Q90*(1-$L90/100)))),0)</f>
        <v/>
      </c>
      <c r="V90" s="3493">
        <f>$R90*$H8/1000*44/28*Nitrous</f>
        <v/>
      </c>
      <c r="W90" s="1151">
        <f>$S90*$I8/1000*44/28*Nitrous</f>
        <v/>
      </c>
      <c r="X90" s="3494">
        <f>$T90*$K8/1000*44/28*Nitrous</f>
        <v/>
      </c>
      <c r="Z90" s="3493">
        <f>MIN($V90,$W90)*time_tot+ABS($W90-$V90)*IF($W90&gt;$V90,time_cap+time*(VLOOKUP($J8,list!$J$48:$K$50,2,0)),time*(1-(VLOOKUP($J8,list!$J$48:$K$50,2,0))))</f>
        <v/>
      </c>
      <c r="AA90" s="3494">
        <f>MIN($V90,$X90)*time_tot+ABS($X90-$V90)*IF($X90&gt;$V90,time_cap+time*(VLOOKUP($L8,list!$J$48:$K$50,2,0)),time*(1-(VLOOKUP($L8,list!$J$48:$K$50,2,0))))</f>
        <v/>
      </c>
      <c r="AB90" s="3516">
        <f>AA90-Z90</f>
        <v/>
      </c>
      <c r="AE90" s="992">
        <f>MIN($V90,$W90)*time+ABS($W90-$V90)*IF($W90&gt;$V90,time*(VLOOKUP($J8,list!$J$48:$K$50,2,)),time*(1-(VLOOKUP($J8,list!$J$48:$K$50,2,))))</f>
        <v/>
      </c>
      <c r="AF90" s="992">
        <f>MIN($V90,$X90)*time+ABS($X90-$V90)*IF($X90&gt;$V90,time*(VLOOKUP($L8,list!$J$48:$K$50,2,)),time*(1-(VLOOKUP($L8,list!$J$48:$K$50,2,))))</f>
        <v/>
      </c>
    </row>
    <row r="91">
      <c r="B91" s="973">
        <f>B63</f>
        <v/>
      </c>
      <c r="C91" s="973">
        <f>C63</f>
        <v/>
      </c>
      <c r="E91" s="1109">
        <f>IF(B91="Please select","",IF(AND(OR($C$2="North America",$C$2="Western Europe",$C$2="Eastern Europe",$C$2="Oceania"),(C91="Default")),VLOOKUP($B91,$N$36:$Q$54,4,FALSE),INDEX($N$36:$Q$54,MATCH($B91,$N$36:$N$54,0),MATCH($C91,$N$36:$Q$36,0))))</f>
        <v/>
      </c>
      <c r="F91" s="1109">
        <f>F63</f>
        <v/>
      </c>
      <c r="G91" s="1111">
        <f>G63</f>
        <v/>
      </c>
      <c r="H91" s="4718">
        <f>IF(B91="Please select",0,(IF(C91="Default",INDEX(N_excretion_rate_Default[#All],MATCH(Livestock!$C$2,N_excretion_rate_Default[[#All],[Please select]],0),MATCH(Livestock!B91,N_excretion_rate_Default[#Headers],0)),
IF(C91="Low-productivity",INDEX(N_excretion_rate_LP[#All],MATCH(Livestock!$C$2,N_excretion_rate_LP[[#All],[Please select]],0),MATCH(Livestock!B91,N_excretion_rate_LP[#Headers],0)),
IF(C91="High-productivity",INDEX(N_excretion_rate_HP[#All],MATCH(Livestock!$C$2,N_excretion_rate_HP[[#All],[Please select]],0),MATCH(Livestock!B91,N_excretion_rate_HP[#Headers],0)),0)))))</f>
        <v/>
      </c>
      <c r="I91" s="1110">
        <f>I63</f>
        <v/>
      </c>
      <c r="J91" s="1688">
        <f>J63</f>
        <v/>
      </c>
      <c r="K91" s="1688">
        <f>K63</f>
        <v/>
      </c>
      <c r="L91" s="1688">
        <f>L63</f>
        <v/>
      </c>
      <c r="M91" s="1688">
        <f>M63</f>
        <v/>
      </c>
      <c r="N91" s="1044">
        <f>IF(OR($M91="Regional share",$M91="Please select",$M91="Other (pls. specify EF)"),0,INDEX(INDIRECT(VLOOKUP(E91,list!$B$341:$D$342,1,FALSE)),MATCH(clim_moist,INDIRECT(VLOOKUP(E91,list!$B$341:$D$342,2,FALSE)),0),MATCH($M91,INDIRECT(VLOOKUP(E91,list!$B$341:$D$342,3,FALSE)),0))*Livestock!$H91*Livestock!$G91/1000*365)</f>
        <v/>
      </c>
      <c r="O91" s="1045">
        <f>IF('4.Grassland'!CC57="",'4.Grassland'!CB57,'4.Grassland'!CC57)</f>
        <v/>
      </c>
      <c r="P91" s="1044">
        <f>IFERROR(INDEX(INDIRECT(VLOOKUP(E91,list!$B$341:$D$342,1,FALSE)),MATCH(clim_moist,INDIRECT(VLOOKUP(E91,list!$B$341:$D$342,2,FALSE)),0),MATCH('4.Grassland'!$BH$53,INDIRECT(VLOOKUP(E91,list!$B$341:$D$342,3,FALSE)),0))*Livestock!$H91*Livestock!$G91/1000*365,0)*I91/100</f>
        <v/>
      </c>
      <c r="Q91" s="1044">
        <f>IF($B91="Please select",0,IF(OR($M91="Please select",$M91="Regional share"),SUMPRODUCT(INDEX(INDIRECT(VLOOKUP(E91,list!$B$341:$D$342,1,FALSE)),MATCH(clim_moist,INDIRECT(VLOOKUP(E91,list!$B$341:$D$342,2,FALSE)),0),0),INDEX(INDIRECT(VLOOKUP(F91,list!$B$288:$D$310,1,FALSE)),MATCH($C$2,INDIRECT(VLOOKUP(F91,list!$B$288:$D$310,2,FALSE)),0),0))/100*($H91*$G91/1000*365)-$P91,0))</f>
        <v/>
      </c>
      <c r="R91" s="2158">
        <f>IFERROR(IF(B91=$B$53,0,IF('4.Grassland'!$BS57="",($P91/($I91/100)*$J91/100+$O91*(1-$J91/100)+$Q91/(1-$I91/100)*(1-$J91/100)),('4.Grassland'!$BS57*$J91/100+$O91*(1-$J91/100)+$Q91*(1-$J91/100)))),0)</f>
        <v/>
      </c>
      <c r="S91" s="2159">
        <f>IFERROR(IF(B91=$B$53,0,IF('4.Grassland'!$BT57="",($P91/($I91/100)*$K91/100+$O91*(1-$K91/100)+$Q91/(1-$I91/100)*(1-$K91/100)),('4.Grassland'!$BT57*$K91/100+$O91*(1-$K91/100)+$Q91*(1-$K91/100)))),0)</f>
        <v/>
      </c>
      <c r="T91" s="1195">
        <f>IFERROR(IF(B91=$B$53,0,IF('4.Grassland'!$BU57="",($P91/($I91/100)*$L91/100+$O91*(1-$L91/100)+$Q91/(1-$I91/100)*(1-$L91/100)),('4.Grassland'!$BU57*$L91/100+$O91*(1-$L91/100)+$Q91*(1-$L91/100)))),0)</f>
        <v/>
      </c>
      <c r="V91" s="3495">
        <f>$R91*$H9/1000*44/28*Nitrous</f>
        <v/>
      </c>
      <c r="W91" s="1152">
        <f>$S91*$I9/1000*44/28*Nitrous</f>
        <v/>
      </c>
      <c r="X91" s="3504">
        <f>$T91*$K9/1000*44/28*Nitrous</f>
        <v/>
      </c>
      <c r="Z91" s="3495">
        <f>MIN($V91,$W91)*time_tot+ABS($W91-$V91)*IF($W91&gt;$V91,time_cap+time*(VLOOKUP($J9,list!$J$48:$K$50,2,0)),time*(1-(VLOOKUP($J9,list!$J$48:$K$50,2,0))))</f>
        <v/>
      </c>
      <c r="AA91" s="3504">
        <f>MIN($V91,$X91)*time_tot+ABS($X91-$V91)*IF($X91&gt;$V91,time_cap+time*(VLOOKUP($L9,list!$J$48:$K$50,2,0)),time*(1-(VLOOKUP($L9,list!$J$48:$K$50,2,0))))</f>
        <v/>
      </c>
      <c r="AB91" s="2166">
        <f>AA91-Z91</f>
        <v/>
      </c>
      <c r="AE91" s="992">
        <f>MIN($V91,$W91)*time+ABS($W91-$V91)*IF($W91&gt;$V91,time*(VLOOKUP($J9,list!$J$48:$K$50,2,)),time*(1-(VLOOKUP($J9,list!$J$48:$K$50,2,))))</f>
        <v/>
      </c>
      <c r="AF91" s="992">
        <f>MIN($V91,$X91)*time+ABS($X91-$V91)*IF($X91&gt;$V91,time*(VLOOKUP($L9,list!$J$48:$K$50,2,)),time*(1-(VLOOKUP($L9,list!$J$48:$K$50,2,))))</f>
        <v/>
      </c>
    </row>
    <row r="92">
      <c r="B92" s="973">
        <f>B64</f>
        <v/>
      </c>
      <c r="C92" s="973">
        <f>C64</f>
        <v/>
      </c>
      <c r="E92" s="1109">
        <f>IF(B92="Please select","",IF(AND(OR($C$2="North America",$C$2="Western Europe",$C$2="Eastern Europe",$C$2="Oceania"),(C92="Default")),VLOOKUP($B92,$N$36:$Q$54,4,FALSE),INDEX($N$36:$Q$54,MATCH($B92,$N$36:$N$54,0),MATCH($C92,$N$36:$Q$36,0))))</f>
        <v/>
      </c>
      <c r="F92" s="1109">
        <f>F64</f>
        <v/>
      </c>
      <c r="G92" s="1111">
        <f>G64</f>
        <v/>
      </c>
      <c r="H92" s="4718">
        <f>IF(B92="Please select",0,(IF(C92="Default",INDEX(N_excretion_rate_Default[#All],MATCH(Livestock!$C$2,N_excretion_rate_Default[[#All],[Please select]],0),MATCH(Livestock!B92,N_excretion_rate_Default[#Headers],0)),
IF(C92="Low-productivity",INDEX(N_excretion_rate_LP[#All],MATCH(Livestock!$C$2,N_excretion_rate_LP[[#All],[Please select]],0),MATCH(Livestock!B92,N_excretion_rate_LP[#Headers],0)),
IF(C92="High-productivity",INDEX(N_excretion_rate_HP[#All],MATCH(Livestock!$C$2,N_excretion_rate_HP[[#All],[Please select]],0),MATCH(Livestock!B92,N_excretion_rate_HP[#Headers],0)),0)))))</f>
        <v/>
      </c>
      <c r="I92" s="1110">
        <f>I64</f>
        <v/>
      </c>
      <c r="J92" s="1688">
        <f>J64</f>
        <v/>
      </c>
      <c r="K92" s="1688">
        <f>K64</f>
        <v/>
      </c>
      <c r="L92" s="1688">
        <f>L64</f>
        <v/>
      </c>
      <c r="M92" s="1688">
        <f>M64</f>
        <v/>
      </c>
      <c r="N92" s="1044">
        <f>IF(OR($M92="Regional share",$M92="Please select",$M92="Other (pls. specify EF)"),0,INDEX(INDIRECT(VLOOKUP(E92,list!$B$341:$D$342,1,FALSE)),MATCH(clim_moist,INDIRECT(VLOOKUP(E92,list!$B$341:$D$342,2,FALSE)),0),MATCH($M92,INDIRECT(VLOOKUP(E92,list!$B$341:$D$342,3,FALSE)),0))*Livestock!$H92*Livestock!$G92/1000*365)</f>
        <v/>
      </c>
      <c r="O92" s="1045">
        <f>IF('4.Grassland'!CC58="",'4.Grassland'!CB58,'4.Grassland'!CC58)</f>
        <v/>
      </c>
      <c r="P92" s="1044">
        <f>IFERROR(INDEX(INDIRECT(VLOOKUP(E92,list!$B$341:$D$342,1,FALSE)),MATCH(clim_moist,INDIRECT(VLOOKUP(E92,list!$B$341:$D$342,2,FALSE)),0),MATCH('4.Grassland'!$BH$53,INDIRECT(VLOOKUP(E92,list!$B$341:$D$342,3,FALSE)),0))*Livestock!$H92*Livestock!$G92/1000*365,0)*I92/100</f>
        <v/>
      </c>
      <c r="Q92" s="1044">
        <f>IF($B92="Please select",0,IF(OR($M92="Please select",$M92="Regional share"),SUMPRODUCT(INDEX(INDIRECT(VLOOKUP(E92,list!$B$341:$D$342,1,FALSE)),MATCH(clim_moist,INDIRECT(VLOOKUP(E92,list!$B$341:$D$342,2,FALSE)),0),0),INDEX(INDIRECT(VLOOKUP(F92,list!$B$288:$D$310,1,FALSE)),MATCH($C$2,INDIRECT(VLOOKUP(F92,list!$B$288:$D$310,2,FALSE)),0),0))/100*($H92*$G92/1000*365)-$P92,0))</f>
        <v/>
      </c>
      <c r="R92" s="2158">
        <f>IFERROR(IF(B92=$B$53,0,IF('4.Grassland'!$BS58="",($P92/($I92/100)*$J92/100+$O92*(1-$J92/100)+$Q92/(1-$I92/100)*(1-$J92/100)),('4.Grassland'!$BS58*$J92/100+$O92*(1-$J92/100)+$Q92*(1-$J92/100)))),0)</f>
        <v/>
      </c>
      <c r="S92" s="2159">
        <f>IFERROR(IF(B92=$B$53,0,IF('4.Grassland'!$BT58="",($P92/($I92/100)*$K92/100+$O92*(1-$K92/100)+$Q92/(1-$I92/100)*(1-$K92/100)),('4.Grassland'!$BT58*$K92/100+$O92*(1-$K92/100)+$Q92*(1-$K92/100)))),0)</f>
        <v/>
      </c>
      <c r="T92" s="1195">
        <f>IFERROR(IF(B92=$B$53,0,IF('4.Grassland'!$BU58="",($P92/($I92/100)*$L92/100+$O92*(1-$L92/100)+$Q92/(1-$I92/100)*(1-$L92/100)),('4.Grassland'!$BU58*$L92/100+$O92*(1-$L92/100)+$Q92*(1-$L92/100)))),0)</f>
        <v/>
      </c>
      <c r="V92" s="3495">
        <f>$R92*$H10/1000*44/28*Nitrous</f>
        <v/>
      </c>
      <c r="W92" s="1152">
        <f>$S92*$I10/1000*44/28*Nitrous</f>
        <v/>
      </c>
      <c r="X92" s="3504">
        <f>$T92*$K10/1000*44/28*Nitrous</f>
        <v/>
      </c>
      <c r="Z92" s="3495">
        <f>MIN($V92,$W92)*time_tot+ABS($W92-$V92)*IF($W92&gt;$V92,time_cap+time*(VLOOKUP($J10,list!$J$48:$K$50,2,0)),time*(1-(VLOOKUP($J10,list!$J$48:$K$50,2,0))))</f>
        <v/>
      </c>
      <c r="AA92" s="3504">
        <f>MIN($V92,$X92)*time_tot+ABS($X92-$V92)*IF($X92&gt;$V92,time_cap+time*(VLOOKUP($L10,list!$J$48:$K$50,2,0)),time*(1-(VLOOKUP($L10,list!$J$48:$K$50,2,0))))</f>
        <v/>
      </c>
      <c r="AB92" s="2166">
        <f>AA92-Z92</f>
        <v/>
      </c>
      <c r="AE92" s="992">
        <f>MIN($V92,$W92)*time+ABS($W92-$V92)*IF($W92&gt;$V92,time*(VLOOKUP($J10,list!$J$48:$K$50,2,)),time*(1-(VLOOKUP($J10,list!$J$48:$K$50,2,))))</f>
        <v/>
      </c>
      <c r="AF92" s="992">
        <f>MIN($V92,$X92)*time+ABS($X92-$V92)*IF($X92&gt;$V92,time*(VLOOKUP($L10,list!$J$48:$K$50,2,)),time*(1-(VLOOKUP($L10,list!$J$48:$K$50,2,))))</f>
        <v/>
      </c>
    </row>
    <row r="93">
      <c r="B93" s="973">
        <f>B65</f>
        <v/>
      </c>
      <c r="C93" s="973">
        <f>C65</f>
        <v/>
      </c>
      <c r="E93" s="1109">
        <f>IF(B93="Please select","",IF(AND(OR($C$2="North America",$C$2="Western Europe",$C$2="Eastern Europe",$C$2="Oceania"),(C93="Default")),VLOOKUP($B93,$N$36:$Q$54,4,FALSE),INDEX($N$36:$Q$54,MATCH($B93,$N$36:$N$54,0),MATCH($C93,$N$36:$Q$36,0))))</f>
        <v/>
      </c>
      <c r="F93" s="1109">
        <f>F65</f>
        <v/>
      </c>
      <c r="G93" s="1111">
        <f>G65</f>
        <v/>
      </c>
      <c r="H93" s="4718">
        <f>IF(B93="Please select",0,(IF(C93="Default",INDEX(N_excretion_rate_Default[#All],MATCH(Livestock!$C$2,N_excretion_rate_Default[[#All],[Please select]],0),MATCH(Livestock!B93,N_excretion_rate_Default[#Headers],0)),
IF(C93="Low-productivity",INDEX(N_excretion_rate_LP[#All],MATCH(Livestock!$C$2,N_excretion_rate_LP[[#All],[Please select]],0),MATCH(Livestock!B93,N_excretion_rate_LP[#Headers],0)),
IF(C93="High-productivity",INDEX(N_excretion_rate_HP[#All],MATCH(Livestock!$C$2,N_excretion_rate_HP[[#All],[Please select]],0),MATCH(Livestock!B93,N_excretion_rate_HP[#Headers],0)),0)))))</f>
        <v/>
      </c>
      <c r="I93" s="1110">
        <f>I65</f>
        <v/>
      </c>
      <c r="J93" s="1688">
        <f>J65</f>
        <v/>
      </c>
      <c r="K93" s="1688">
        <f>K65</f>
        <v/>
      </c>
      <c r="L93" s="1688">
        <f>L65</f>
        <v/>
      </c>
      <c r="M93" s="1688">
        <f>M65</f>
        <v/>
      </c>
      <c r="N93" s="1044">
        <f>IF(OR($M93="Regional share",$M93="Please select",$M93="Other (pls. specify EF)"),0,INDEX(INDIRECT(VLOOKUP(E93,list!$B$341:$D$342,1,FALSE)),MATCH(clim_moist,INDIRECT(VLOOKUP(E93,list!$B$341:$D$342,2,FALSE)),0),MATCH($M93,INDIRECT(VLOOKUP(E93,list!$B$341:$D$342,3,FALSE)),0))*Livestock!$H93*Livestock!$G93/1000*365)</f>
        <v/>
      </c>
      <c r="O93" s="1045">
        <f>IF('4.Grassland'!CC59="",'4.Grassland'!CB59,'4.Grassland'!CC59)</f>
        <v/>
      </c>
      <c r="P93" s="1044">
        <f>IFERROR(INDEX(INDIRECT(VLOOKUP(E93,list!$B$341:$D$342,1,FALSE)),MATCH(clim_moist,INDIRECT(VLOOKUP(E93,list!$B$341:$D$342,2,FALSE)),0),MATCH('4.Grassland'!$BH$53,INDIRECT(VLOOKUP(E93,list!$B$341:$D$342,3,FALSE)),0))*Livestock!$H93*Livestock!$G93/1000*365,0)*I93/100</f>
        <v/>
      </c>
      <c r="Q93" s="1044">
        <f>IF($B93="Please select",0,IF(OR($M93="Please select",$M93="Regional share"),SUMPRODUCT(INDEX(INDIRECT(VLOOKUP(E93,list!$B$341:$D$342,1,FALSE)),MATCH(clim_moist,INDIRECT(VLOOKUP(E93,list!$B$341:$D$342,2,FALSE)),0),0),INDEX(INDIRECT(VLOOKUP(F93,list!$B$288:$D$310,1,FALSE)),MATCH($C$2,INDIRECT(VLOOKUP(F93,list!$B$288:$D$310,2,FALSE)),0),0))/100*($H93*$G93/1000*365)-$P93,0))</f>
        <v/>
      </c>
      <c r="R93" s="2158">
        <f>IFERROR(IF(B93=$B$53,0,IF('4.Grassland'!$BS59="",($P93/($I93/100)*$J93/100+$O93*(1-$J93/100)+$Q93/(1-$I93/100)*(1-$J93/100)),('4.Grassland'!$BS59*$J93/100+$O93*(1-$J93/100)+$Q93*(1-$J93/100)))),0)</f>
        <v/>
      </c>
      <c r="S93" s="2159">
        <f>IFERROR(IF(B93=$B$53,0,IF('4.Grassland'!$BT59="",($P93/($I93/100)*$K93/100+$O93*(1-$K93/100)+$Q93/(1-$I93/100)*(1-$K93/100)),('4.Grassland'!$BT59*$K93/100+$O93*(1-$K93/100)+$Q93*(1-$K93/100)))),0)</f>
        <v/>
      </c>
      <c r="T93" s="1195">
        <f>IFERROR(IF(B93=$B$53,0,IF('4.Grassland'!$BU59="",($P93/($I93/100)*$L93/100+$O93*(1-$L93/100)+$Q93/(1-$I93/100)*(1-$L93/100)),('4.Grassland'!$BU59*$L93/100+$O93*(1-$L93/100)+$Q93*(1-$L93/100)))),0)</f>
        <v/>
      </c>
      <c r="V93" s="3495">
        <f>$R93*$H11/1000*44/28*Nitrous</f>
        <v/>
      </c>
      <c r="W93" s="1152">
        <f>$S93*$I11/1000*44/28*Nitrous</f>
        <v/>
      </c>
      <c r="X93" s="3504">
        <f>$T93*$K11/1000*44/28*Nitrous</f>
        <v/>
      </c>
      <c r="Z93" s="3495">
        <f>MIN($V93,$W93)*time_tot+ABS($W93-$V93)*IF($W93&gt;$V93,time_cap+time*(VLOOKUP($J11,list!$J$48:$K$50,2,0)),time*(1-(VLOOKUP($J11,list!$J$48:$K$50,2,0))))</f>
        <v/>
      </c>
      <c r="AA93" s="3504">
        <f>MIN($V93,$X93)*time_tot+ABS($X93-$V93)*IF($X93&gt;$V93,time_cap+time*(VLOOKUP($L11,list!$J$48:$K$50,2,0)),time*(1-(VLOOKUP($L11,list!$J$48:$K$50,2,0))))</f>
        <v/>
      </c>
      <c r="AB93" s="2166">
        <f>AA93-Z93</f>
        <v/>
      </c>
      <c r="AE93" s="992">
        <f>MIN($V93,$W93)*time+ABS($W93-$V93)*IF($W93&gt;$V93,time*(VLOOKUP($J11,list!$J$48:$K$50,2,)),time*(1-(VLOOKUP($J11,list!$J$48:$K$50,2,))))</f>
        <v/>
      </c>
      <c r="AF93" s="992">
        <f>MIN($V93,$X93)*time+ABS($X93-$V93)*IF($X93&gt;$V93,time*(VLOOKUP($L11,list!$J$48:$K$50,2,)),time*(1-(VLOOKUP($L11,list!$J$48:$K$50,2,))))</f>
        <v/>
      </c>
    </row>
    <row r="94">
      <c r="B94" s="973">
        <f>B66</f>
        <v/>
      </c>
      <c r="C94" s="973">
        <f>C66</f>
        <v/>
      </c>
      <c r="E94" s="1109">
        <f>IF(B94="Please select","",IF(AND(OR($C$2="North America",$C$2="Western Europe",$C$2="Eastern Europe",$C$2="Oceania"),(C94="Default")),VLOOKUP($B94,$N$36:$Q$54,4,FALSE),INDEX($N$36:$Q$54,MATCH($B94,$N$36:$N$54,0),MATCH($C94,$N$36:$Q$36,0))))</f>
        <v/>
      </c>
      <c r="F94" s="1109">
        <f>F66</f>
        <v/>
      </c>
      <c r="G94" s="1111">
        <f>G66</f>
        <v/>
      </c>
      <c r="H94" s="4718">
        <f>IF(B94="Please select",0,(IF(C94="Default",INDEX(N_excretion_rate_Default[#All],MATCH(Livestock!$C$2,N_excretion_rate_Default[[#All],[Please select]],0),MATCH(Livestock!B94,N_excretion_rate_Default[#Headers],0)),
IF(C94="Low-productivity",INDEX(N_excretion_rate_LP[#All],MATCH(Livestock!$C$2,N_excretion_rate_LP[[#All],[Please select]],0),MATCH(Livestock!B94,N_excretion_rate_LP[#Headers],0)),
IF(C94="High-productivity",INDEX(N_excretion_rate_HP[#All],MATCH(Livestock!$C$2,N_excretion_rate_HP[[#All],[Please select]],0),MATCH(Livestock!B94,N_excretion_rate_HP[#Headers],0)),0)))))</f>
        <v/>
      </c>
      <c r="I94" s="1110">
        <f>I66</f>
        <v/>
      </c>
      <c r="J94" s="1688">
        <f>J66</f>
        <v/>
      </c>
      <c r="K94" s="1688">
        <f>K66</f>
        <v/>
      </c>
      <c r="L94" s="1688">
        <f>L66</f>
        <v/>
      </c>
      <c r="M94" s="1688">
        <f>M66</f>
        <v/>
      </c>
      <c r="N94" s="1044">
        <f>IF(OR($M94="Regional share",$M94="Please select",$M94="Other (pls. specify EF)"),0,INDEX(INDIRECT(VLOOKUP(E94,list!$B$341:$D$342,1,FALSE)),MATCH(clim_moist,INDIRECT(VLOOKUP(E94,list!$B$341:$D$342,2,FALSE)),0),MATCH($M94,INDIRECT(VLOOKUP(E94,list!$B$341:$D$342,3,FALSE)),0))*Livestock!$H94*Livestock!$G94/1000*365)</f>
        <v/>
      </c>
      <c r="O94" s="1045">
        <f>IF('4.Grassland'!CC60="",'4.Grassland'!CB60,'4.Grassland'!CC60)</f>
        <v/>
      </c>
      <c r="P94" s="1044">
        <f>IFERROR(INDEX(INDIRECT(VLOOKUP(E94,list!$B$341:$D$342,1,FALSE)),MATCH(clim_moist,INDIRECT(VLOOKUP(E94,list!$B$341:$D$342,2,FALSE)),0),MATCH('4.Grassland'!$BH$53,INDIRECT(VLOOKUP(E94,list!$B$341:$D$342,3,FALSE)),0))*Livestock!$H94*Livestock!$G94/1000*365,0)*I94/100</f>
        <v/>
      </c>
      <c r="Q94" s="1044">
        <f>IF($B94="Please select",0,IF(OR($M94="Please select",$M94="Regional share"),SUMPRODUCT(INDEX(INDIRECT(VLOOKUP(E94,list!$B$341:$D$342,1,FALSE)),MATCH(clim_moist,INDIRECT(VLOOKUP(E94,list!$B$341:$D$342,2,FALSE)),0),0),INDEX(INDIRECT(VLOOKUP(F94,list!$B$288:$D$310,1,FALSE)),MATCH($C$2,INDIRECT(VLOOKUP(F94,list!$B$288:$D$310,2,FALSE)),0),0))/100*($H94*$G94/1000*365)-$P94,0))</f>
        <v/>
      </c>
      <c r="R94" s="2158">
        <f>IFERROR(IF(B94=$B$53,0,IF('4.Grassland'!$BS60="",($P94/($I94/100)*$J94/100+$O94*(1-$J94/100)+$Q94/(1-$I94/100)*(1-$J94/100)),('4.Grassland'!$BS60*$J94/100+$O94*(1-$J94/100)+$Q94*(1-$J94/100)))),0)</f>
        <v/>
      </c>
      <c r="S94" s="2159">
        <f>IFERROR(IF(B94=$B$53,0,IF('4.Grassland'!$BT60="",($P94/($I94/100)*$K94/100+$O94*(1-$K94/100)+$Q94/(1-$I94/100)*(1-$K94/100)),('4.Grassland'!$BT60*$K94/100+$O94*(1-$K94/100)+$Q94*(1-$K94/100)))),0)</f>
        <v/>
      </c>
      <c r="T94" s="1195">
        <f>IFERROR(IF(B94=$B$53,0,IF('4.Grassland'!$BU60="",($P94/($I94/100)*$L94/100+$O94*(1-$L94/100)+$Q94/(1-$I94/100)*(1-$L94/100)),('4.Grassland'!$BU60*$L94/100+$O94*(1-$L94/100)+$Q94*(1-$L94/100)))),0)</f>
        <v/>
      </c>
      <c r="V94" s="3495">
        <f>$R94*$H12/1000*44/28*Nitrous</f>
        <v/>
      </c>
      <c r="W94" s="1152">
        <f>$S94*$I12/1000*44/28*Nitrous</f>
        <v/>
      </c>
      <c r="X94" s="3504">
        <f>$T94*$K12/1000*44/28*Nitrous</f>
        <v/>
      </c>
      <c r="Z94" s="3495">
        <f>MIN($V94,$W94)*time_tot+ABS($W94-$V94)*IF($W94&gt;$V94,time_cap+time*(VLOOKUP($J12,list!$J$48:$K$50,2,0)),time*(1-(VLOOKUP($J12,list!$J$48:$K$50,2,0))))</f>
        <v/>
      </c>
      <c r="AA94" s="3504">
        <f>MIN($V94,$X94)*time_tot+ABS($X94-$V94)*IF($X94&gt;$V94,time_cap+time*(VLOOKUP($L12,list!$J$48:$K$50,2,0)),time*(1-(VLOOKUP($L12,list!$J$48:$K$50,2,0))))</f>
        <v/>
      </c>
      <c r="AB94" s="2166">
        <f>AA94-Z94</f>
        <v/>
      </c>
      <c r="AE94" s="992">
        <f>MIN($V94,$W94)*time+ABS($W94-$V94)*IF($W94&gt;$V94,time*(VLOOKUP($J12,list!$J$48:$K$50,2,)),time*(1-(VLOOKUP($J12,list!$J$48:$K$50,2,))))</f>
        <v/>
      </c>
      <c r="AF94" s="992">
        <f>MIN($V94,$X94)*time+ABS($X94-$V94)*IF($X94&gt;$V94,time*(VLOOKUP($L12,list!$J$48:$K$50,2,)),time*(1-(VLOOKUP($L12,list!$J$48:$K$50,2,))))</f>
        <v/>
      </c>
    </row>
    <row r="95">
      <c r="B95" s="973">
        <f>B67</f>
        <v/>
      </c>
      <c r="C95" s="973">
        <f>C67</f>
        <v/>
      </c>
      <c r="E95" s="1109">
        <f>IF(B95="Please select","",IF(AND(OR($C$2="North America",$C$2="Western Europe",$C$2="Eastern Europe",$C$2="Oceania"),(C95="Default")),VLOOKUP($B95,$N$36:$Q$54,4,FALSE),INDEX($N$36:$Q$54,MATCH($B95,$N$36:$N$54,0),MATCH($C95,$N$36:$Q$36,0))))</f>
        <v/>
      </c>
      <c r="F95" s="1109">
        <f>F67</f>
        <v/>
      </c>
      <c r="G95" s="1111">
        <f>G67</f>
        <v/>
      </c>
      <c r="H95" s="4718">
        <f>IF(B95="Please select",0,(IF(C95="Default",INDEX(N_excretion_rate_Default[#All],MATCH(Livestock!$C$2,N_excretion_rate_Default[[#All],[Please select]],0),MATCH(Livestock!B95,N_excretion_rate_Default[#Headers],0)),
IF(C95="Low-productivity",INDEX(N_excretion_rate_LP[#All],MATCH(Livestock!$C$2,N_excretion_rate_LP[[#All],[Please select]],0),MATCH(Livestock!B95,N_excretion_rate_LP[#Headers],0)),
IF(C95="High-productivity",INDEX(N_excretion_rate_HP[#All],MATCH(Livestock!$C$2,N_excretion_rate_HP[[#All],[Please select]],0),MATCH(Livestock!B95,N_excretion_rate_HP[#Headers],0)),0)))))</f>
        <v/>
      </c>
      <c r="I95" s="1110">
        <f>I67</f>
        <v/>
      </c>
      <c r="J95" s="1688">
        <f>J67</f>
        <v/>
      </c>
      <c r="K95" s="1688">
        <f>K67</f>
        <v/>
      </c>
      <c r="L95" s="1688">
        <f>L67</f>
        <v/>
      </c>
      <c r="M95" s="1688">
        <f>M67</f>
        <v/>
      </c>
      <c r="N95" s="1044">
        <f>IF(OR($M95="Regional share",$M95="Please select",$M95="Other (pls. specify EF)"),0,INDEX(INDIRECT(VLOOKUP(E95,list!$B$341:$D$342,1,FALSE)),MATCH(clim_moist,INDIRECT(VLOOKUP(E95,list!$B$341:$D$342,2,FALSE)),0),MATCH($M95,INDIRECT(VLOOKUP(E95,list!$B$341:$D$342,3,FALSE)),0))*Livestock!$H95*Livestock!$G95/1000*365)</f>
        <v/>
      </c>
      <c r="O95" s="1045">
        <f>IF('4.Grassland'!CC61="",'4.Grassland'!CB61,'4.Grassland'!CC61)</f>
        <v/>
      </c>
      <c r="P95" s="1044">
        <f>IFERROR(INDEX(INDIRECT(VLOOKUP(E95,list!$B$341:$D$342,1,FALSE)),MATCH(clim_moist,INDIRECT(VLOOKUP(E95,list!$B$341:$D$342,2,FALSE)),0),MATCH('4.Grassland'!$BH$53,INDIRECT(VLOOKUP(E95,list!$B$341:$D$342,3,FALSE)),0))*Livestock!$H95*Livestock!$G95/1000*365,0)*I95/100</f>
        <v/>
      </c>
      <c r="Q95" s="1044">
        <f>IF($B95="Please select",0,IF(OR($M95="Please select",$M95="Regional share"),SUMPRODUCT(INDEX(INDIRECT(VLOOKUP(E95,list!$B$341:$D$342,1,FALSE)),MATCH(clim_moist,INDIRECT(VLOOKUP(E95,list!$B$341:$D$342,2,FALSE)),0),0),INDEX(INDIRECT(VLOOKUP(F95,list!$B$288:$D$310,1,FALSE)),MATCH($C$2,INDIRECT(VLOOKUP(F95,list!$B$288:$D$310,2,FALSE)),0),0))/100*($H95*$G95/1000*365)-$P95,0))</f>
        <v/>
      </c>
      <c r="R95" s="2158">
        <f>IFERROR(IF(B95=$B$53,0,IF('4.Grassland'!$BS61="",($P95/($I95/100)*$J95/100+$O95*(1-$J95/100)+$Q95/(1-$I95/100)*(1-$J95/100)),('4.Grassland'!$BS61*$J95/100+$O95*(1-$J95/100)+$Q95*(1-$J95/100)))),0)</f>
        <v/>
      </c>
      <c r="S95" s="2159">
        <f>IFERROR(IF(B95=$B$53,0,IF('4.Grassland'!$BT61="",($P95/($I95/100)*$K95/100+$O95*(1-$K95/100)+$Q95/(1-$I95/100)*(1-$K95/100)),('4.Grassland'!$BT61*$K95/100+$O95*(1-$K95/100)+$Q95*(1-$K95/100)))),0)</f>
        <v/>
      </c>
      <c r="T95" s="1195">
        <f>IFERROR(IF(B95=$B$53,0,IF('4.Grassland'!$BU61="",($P95/($I95/100)*$L95/100+$O95*(1-$L95/100)+$Q95/(1-$I95/100)*(1-$L95/100)),('4.Grassland'!$BU61*$L95/100+$O95*(1-$L95/100)+$Q95*(1-$L95/100)))),0)</f>
        <v/>
      </c>
      <c r="V95" s="3495">
        <f>$R95*$H13/1000*44/28*Nitrous</f>
        <v/>
      </c>
      <c r="W95" s="1152">
        <f>$S95*$I13/1000*44/28*Nitrous</f>
        <v/>
      </c>
      <c r="X95" s="3504">
        <f>$T95*$K13/1000*44/28*Nitrous</f>
        <v/>
      </c>
      <c r="Z95" s="3495">
        <f>MIN($V95,$W95)*time_tot+ABS($W95-$V95)*IF($W95&gt;$V95,time_cap+time*(VLOOKUP($J13,list!$J$48:$K$50,2,0)),time*(1-(VLOOKUP($J13,list!$J$48:$K$50,2,0))))</f>
        <v/>
      </c>
      <c r="AA95" s="3504">
        <f>MIN($V95,$X95)*time_tot+ABS($X95-$V95)*IF($X95&gt;$V95,time_cap+time*(VLOOKUP($L13,list!$J$48:$K$50,2,0)),time*(1-(VLOOKUP($L13,list!$J$48:$K$50,2,0))))</f>
        <v/>
      </c>
      <c r="AB95" s="2166">
        <f>AA95-Z95</f>
        <v/>
      </c>
      <c r="AE95" s="992">
        <f>MIN($V95,$W95)*time+ABS($W95-$V95)*IF($W95&gt;$V95,time*(VLOOKUP($J13,list!$J$48:$K$50,2,)),time*(1-(VLOOKUP($J13,list!$J$48:$K$50,2,))))</f>
        <v/>
      </c>
      <c r="AF95" s="992">
        <f>MIN($V95,$X95)*time+ABS($X95-$V95)*IF($X95&gt;$V95,time*(VLOOKUP($L13,list!$J$48:$K$50,2,)),time*(1-(VLOOKUP($L13,list!$J$48:$K$50,2,))))</f>
        <v/>
      </c>
    </row>
    <row r="96">
      <c r="B96" s="973">
        <f>B68</f>
        <v/>
      </c>
      <c r="C96" s="973">
        <f>C68</f>
        <v/>
      </c>
      <c r="E96" s="1109">
        <f>IF(B96="Please select","",IF(AND(OR($C$2="North America",$C$2="Western Europe",$C$2="Eastern Europe",$C$2="Oceania"),(C96="Default")),VLOOKUP($B96,$N$36:$Q$54,4,FALSE),INDEX($N$36:$Q$54,MATCH($B96,$N$36:$N$54,0),MATCH($C96,$N$36:$Q$36,0))))</f>
        <v/>
      </c>
      <c r="F96" s="1109">
        <f>F68</f>
        <v/>
      </c>
      <c r="G96" s="1111">
        <f>G68</f>
        <v/>
      </c>
      <c r="H96" s="4718">
        <f>IF(B96="Please select",0,(IF(C96="Default",INDEX(N_excretion_rate_Default[#All],MATCH(Livestock!$C$2,N_excretion_rate_Default[[#All],[Please select]],0),MATCH(Livestock!B96,N_excretion_rate_Default[#Headers],0)),
IF(C96="Low-productivity",INDEX(N_excretion_rate_LP[#All],MATCH(Livestock!$C$2,N_excretion_rate_LP[[#All],[Please select]],0),MATCH(Livestock!B96,N_excretion_rate_LP[#Headers],0)),
IF(C96="High-productivity",INDEX(N_excretion_rate_HP[#All],MATCH(Livestock!$C$2,N_excretion_rate_HP[[#All],[Please select]],0),MATCH(Livestock!B96,N_excretion_rate_HP[#Headers],0)),0)))))</f>
        <v/>
      </c>
      <c r="I96" s="1110">
        <f>I68</f>
        <v/>
      </c>
      <c r="J96" s="1688">
        <f>J68</f>
        <v/>
      </c>
      <c r="K96" s="1688">
        <f>K68</f>
        <v/>
      </c>
      <c r="L96" s="1688">
        <f>L68</f>
        <v/>
      </c>
      <c r="M96" s="1688">
        <f>M68</f>
        <v/>
      </c>
      <c r="N96" s="1044">
        <f>IF(OR($M96="Regional share",$M96="Please select",$M96="Other (pls. specify EF)"),0,INDEX(INDIRECT(VLOOKUP(E96,list!$B$341:$D$342,1,FALSE)),MATCH(clim_moist,INDIRECT(VLOOKUP(E96,list!$B$341:$D$342,2,FALSE)),0),MATCH($M96,INDIRECT(VLOOKUP(E96,list!$B$341:$D$342,3,FALSE)),0))*Livestock!$H96*Livestock!$G96/1000*365)</f>
        <v/>
      </c>
      <c r="O96" s="1045">
        <f>IF('4.Grassland'!CC62="",'4.Grassland'!CB62,'4.Grassland'!CC62)</f>
        <v/>
      </c>
      <c r="P96" s="1044">
        <f>IFERROR(INDEX(INDIRECT(VLOOKUP(E96,list!$B$341:$D$342,1,FALSE)),MATCH(clim_moist,INDIRECT(VLOOKUP(E96,list!$B$341:$D$342,2,FALSE)),0),MATCH('4.Grassland'!$BH$53,INDIRECT(VLOOKUP(E96,list!$B$341:$D$342,3,FALSE)),0))*Livestock!$H96*Livestock!$G96/1000*365,0)*I96/100</f>
        <v/>
      </c>
      <c r="Q96" s="1044">
        <f>IF($B96="Please select",0,IF(OR($M96="Please select",$M96="Regional share"),SUMPRODUCT(INDEX(INDIRECT(VLOOKUP(E96,list!$B$341:$D$342,1,FALSE)),MATCH(clim_moist,INDIRECT(VLOOKUP(E96,list!$B$341:$D$342,2,FALSE)),0),0),INDEX(INDIRECT(VLOOKUP(F96,list!$B$288:$D$310,1,FALSE)),MATCH($C$2,INDIRECT(VLOOKUP(F96,list!$B$288:$D$310,2,FALSE)),0),0))/100*($H96*$G96/1000*365)-$P96,0))</f>
        <v/>
      </c>
      <c r="R96" s="2158">
        <f>IFERROR(IF(B96=$B$53,0,IF('4.Grassland'!$BS62="",($P96/($I96/100)*$J96/100+$O96*(1-$J96/100)+$Q96/(1-$I96/100)*(1-$J96/100)),('4.Grassland'!$BS62*$J96/100+$O96*(1-$J96/100)+$Q96*(1-$J96/100)))),0)</f>
        <v/>
      </c>
      <c r="S96" s="2159">
        <f>IFERROR(IF(B96=$B$53,0,IF('4.Grassland'!$BT62="",($P96/($I96/100)*$K96/100+$O96*(1-$K96/100)+$Q96/(1-$I96/100)*(1-$K96/100)),('4.Grassland'!$BT62*$K96/100+$O96*(1-$K96/100)+$Q96*(1-$K96/100)))),0)</f>
        <v/>
      </c>
      <c r="T96" s="1195">
        <f>IFERROR(IF(B96=$B$53,0,IF('4.Grassland'!$BU62="",($P96/($I96/100)*$L96/100+$O96*(1-$L96/100)+$Q96/(1-$I96/100)*(1-$L96/100)),('4.Grassland'!$BU62*$L96/100+$O96*(1-$L96/100)+$Q96*(1-$L96/100)))),0)</f>
        <v/>
      </c>
      <c r="V96" s="3495">
        <f>$R96*$H14/1000*44/28*Nitrous</f>
        <v/>
      </c>
      <c r="W96" s="1152">
        <f>$S96*$I14/1000*44/28*Nitrous</f>
        <v/>
      </c>
      <c r="X96" s="3504">
        <f>$T96*$K14/1000*44/28*Nitrous</f>
        <v/>
      </c>
      <c r="Z96" s="3495">
        <f>MIN($V96,$W96)*time_tot+ABS($W96-$V96)*IF($W96&gt;$V96,time_cap+time*(VLOOKUP($J14,list!$J$48:$K$50,2,0)),time*(1-(VLOOKUP($J14,list!$J$48:$K$50,2,0))))</f>
        <v/>
      </c>
      <c r="AA96" s="3504">
        <f>MIN($V96,$X96)*time_tot+ABS($X96-$V96)*IF($X96&gt;$V96,time_cap+time*(VLOOKUP($L14,list!$J$48:$K$50,2,0)),time*(1-(VLOOKUP($L14,list!$J$48:$K$50,2,0))))</f>
        <v/>
      </c>
      <c r="AB96" s="2166">
        <f>AA96-Z96</f>
        <v/>
      </c>
      <c r="AE96" s="992">
        <f>MIN($V96,$W96)*time+ABS($W96-$V96)*IF($W96&gt;$V96,time*(VLOOKUP($J14,list!$J$48:$K$50,2,)),time*(1-(VLOOKUP($J14,list!$J$48:$K$50,2,))))</f>
        <v/>
      </c>
      <c r="AF96" s="992">
        <f>MIN($V96,$X96)*time+ABS($X96-$V96)*IF($X96&gt;$V96,time*(VLOOKUP($L14,list!$J$48:$K$50,2,)),time*(1-(VLOOKUP($L14,list!$J$48:$K$50,2,))))</f>
        <v/>
      </c>
    </row>
    <row r="97">
      <c r="B97" s="973">
        <f>B69</f>
        <v/>
      </c>
      <c r="C97" s="973">
        <f>C69</f>
        <v/>
      </c>
      <c r="E97" s="1109">
        <f>IF(B97="Please select","",IF(AND(OR($C$2="North America",$C$2="Western Europe",$C$2="Eastern Europe",$C$2="Oceania"),(C97="Default")),VLOOKUP($B97,$N$36:$Q$54,4,FALSE),INDEX($N$36:$Q$54,MATCH($B97,$N$36:$N$54,0),MATCH($C97,$N$36:$Q$36,0))))</f>
        <v/>
      </c>
      <c r="F97" s="1109">
        <f>F69</f>
        <v/>
      </c>
      <c r="G97" s="1111">
        <f>G69</f>
        <v/>
      </c>
      <c r="H97" s="4718">
        <f>IF(B97="Please select",0,(IF(C97="Default",INDEX(N_excretion_rate_Default[#All],MATCH(Livestock!$C$2,N_excretion_rate_Default[[#All],[Please select]],0),MATCH(Livestock!B97,N_excretion_rate_Default[#Headers],0)),
IF(C97="Low-productivity",INDEX(N_excretion_rate_LP[#All],MATCH(Livestock!$C$2,N_excretion_rate_LP[[#All],[Please select]],0),MATCH(Livestock!B97,N_excretion_rate_LP[#Headers],0)),
IF(C97="High-productivity",INDEX(N_excretion_rate_HP[#All],MATCH(Livestock!$C$2,N_excretion_rate_HP[[#All],[Please select]],0),MATCH(Livestock!B97,N_excretion_rate_HP[#Headers],0)),0)))))</f>
        <v/>
      </c>
      <c r="I97" s="1110">
        <f>I69</f>
        <v/>
      </c>
      <c r="J97" s="1688">
        <f>J69</f>
        <v/>
      </c>
      <c r="K97" s="1688">
        <f>K69</f>
        <v/>
      </c>
      <c r="L97" s="1688">
        <f>L69</f>
        <v/>
      </c>
      <c r="M97" s="1688">
        <f>M69</f>
        <v/>
      </c>
      <c r="N97" s="1044">
        <f>IF(OR($M97="Regional share",$M97="Please select",$M97="Other (pls. specify EF)"),0,INDEX(INDIRECT(VLOOKUP(E97,list!$B$341:$D$342,1,FALSE)),MATCH(clim_moist,INDIRECT(VLOOKUP(E97,list!$B$341:$D$342,2,FALSE)),0),MATCH($M97,INDIRECT(VLOOKUP(E97,list!$B$341:$D$342,3,FALSE)),0))*Livestock!$H97*Livestock!$G97/1000*365)</f>
        <v/>
      </c>
      <c r="O97" s="1045">
        <f>IF('4.Grassland'!CC63="",'4.Grassland'!CB63,'4.Grassland'!CC63)</f>
        <v/>
      </c>
      <c r="P97" s="1044">
        <f>IFERROR(INDEX(INDIRECT(VLOOKUP(E97,list!$B$341:$D$342,1,FALSE)),MATCH(clim_moist,INDIRECT(VLOOKUP(E97,list!$B$341:$D$342,2,FALSE)),0),MATCH('4.Grassland'!$BH$53,INDIRECT(VLOOKUP(E97,list!$B$341:$D$342,3,FALSE)),0))*Livestock!$H97*Livestock!$G97/1000*365,0)*I97/100</f>
        <v/>
      </c>
      <c r="Q97" s="1044">
        <f>IF($B97="Please select",0,IF(OR($M97="Please select",$M97="Regional share"),SUMPRODUCT(INDEX(INDIRECT(VLOOKUP(E97,list!$B$341:$D$342,1,FALSE)),MATCH(clim_moist,INDIRECT(VLOOKUP(E97,list!$B$341:$D$342,2,FALSE)),0),0),INDEX(INDIRECT(VLOOKUP(F97,list!$B$288:$D$310,1,FALSE)),MATCH($C$2,INDIRECT(VLOOKUP(F97,list!$B$288:$D$310,2,FALSE)),0),0))/100*($H97*$G97/1000*365)-$P97,0))</f>
        <v/>
      </c>
      <c r="R97" s="2158">
        <f>IFERROR(IF(B97=$B$53,0,IF('4.Grassland'!$BS63="",($P97/($I97/100)*$J97/100+$O97*(1-$J97/100)+$Q97/(1-$I97/100)*(1-$J97/100)),('4.Grassland'!$BS63*$J97/100+$O97*(1-$J97/100)+$Q97*(1-$J97/100)))),0)</f>
        <v/>
      </c>
      <c r="S97" s="2159">
        <f>IFERROR(IF(B97=$B$53,0,IF('4.Grassland'!$BT63="",($P97/($I97/100)*$K97/100+$O97*(1-$K97/100)+$Q97/(1-$I97/100)*(1-$K97/100)),('4.Grassland'!$BT63*$K97/100+$O97*(1-$K97/100)+$Q97*(1-$K97/100)))),0)</f>
        <v/>
      </c>
      <c r="T97" s="1195">
        <f>IFERROR(IF(B97=$B$53,0,IF('4.Grassland'!$BU63="",($P97/($I97/100)*$L97/100+$O97*(1-$L97/100)+$Q97/(1-$I97/100)*(1-$L97/100)),('4.Grassland'!$BU63*$L97/100+$O97*(1-$L97/100)+$Q97*(1-$L97/100)))),0)</f>
        <v/>
      </c>
      <c r="V97" s="3495">
        <f>$R97*$H15/1000*44/28*Nitrous</f>
        <v/>
      </c>
      <c r="W97" s="1152">
        <f>$S97*$I15/1000*44/28*Nitrous</f>
        <v/>
      </c>
      <c r="X97" s="3504">
        <f>$T97*$K15/1000*44/28*Nitrous</f>
        <v/>
      </c>
      <c r="Z97" s="3495">
        <f>MIN($V97,$W97)*time_tot+ABS($W97-$V97)*IF($W97&gt;$V97,time_cap+time*(VLOOKUP($J15,list!$J$48:$K$50,2,0)),time*(1-(VLOOKUP($J15,list!$J$48:$K$50,2,0))))</f>
        <v/>
      </c>
      <c r="AA97" s="3504">
        <f>MIN($V97,$X97)*time_tot+ABS($X97-$V97)*IF($X97&gt;$V97,time_cap+time*(VLOOKUP($L15,list!$J$48:$K$50,2,0)),time*(1-(VLOOKUP($L15,list!$J$48:$K$50,2,0))))</f>
        <v/>
      </c>
      <c r="AB97" s="2166">
        <f>AA97-Z97</f>
        <v/>
      </c>
      <c r="AE97" s="992">
        <f>MIN($V97,$W97)*time+ABS($W97-$V97)*IF($W97&gt;$V97,time*(VLOOKUP($J15,list!$J$48:$K$50,2,)),time*(1-(VLOOKUP($J15,list!$J$48:$K$50,2,))))</f>
        <v/>
      </c>
      <c r="AF97" s="992">
        <f>MIN($V97,$X97)*time+ABS($X97-$V97)*IF($X97&gt;$V97,time*(VLOOKUP($L15,list!$J$48:$K$50,2,)),time*(1-(VLOOKUP($L15,list!$J$48:$K$50,2,))))</f>
        <v/>
      </c>
    </row>
    <row r="98">
      <c r="B98" s="973">
        <f>B70</f>
        <v/>
      </c>
      <c r="C98" s="973">
        <f>C70</f>
        <v/>
      </c>
      <c r="E98" s="1109">
        <f>IF(B98="Please select","",IF(AND(OR($C$2="North America",$C$2="Western Europe",$C$2="Eastern Europe",$C$2="Oceania"),(C98="Default")),VLOOKUP($B98,$N$36:$Q$54,4,FALSE),INDEX($N$36:$Q$54,MATCH($B98,$N$36:$N$54,0),MATCH($C98,$N$36:$Q$36,0))))</f>
        <v/>
      </c>
      <c r="F98" s="1109">
        <f>F70</f>
        <v/>
      </c>
      <c r="G98" s="1111">
        <f>G70</f>
        <v/>
      </c>
      <c r="H98" s="4718">
        <f>IF(B98="Please select",0,(IF(C98="Default",INDEX(N_excretion_rate_Default[#All],MATCH(Livestock!$C$2,N_excretion_rate_Default[[#All],[Please select]],0),MATCH(Livestock!B98,N_excretion_rate_Default[#Headers],0)),
IF(C98="Low-productivity",INDEX(N_excretion_rate_LP[#All],MATCH(Livestock!$C$2,N_excretion_rate_LP[[#All],[Please select]],0),MATCH(Livestock!B98,N_excretion_rate_LP[#Headers],0)),
IF(C98="High-productivity",INDEX(N_excretion_rate_HP[#All],MATCH(Livestock!$C$2,N_excretion_rate_HP[[#All],[Please select]],0),MATCH(Livestock!B98,N_excretion_rate_HP[#Headers],0)),0)))))</f>
        <v/>
      </c>
      <c r="I98" s="1110">
        <f>I70</f>
        <v/>
      </c>
      <c r="J98" s="1688">
        <f>J70</f>
        <v/>
      </c>
      <c r="K98" s="1688">
        <f>K70</f>
        <v/>
      </c>
      <c r="L98" s="1688">
        <f>L70</f>
        <v/>
      </c>
      <c r="M98" s="1688">
        <f>M70</f>
        <v/>
      </c>
      <c r="N98" s="1044">
        <f>IF(OR($M98="Regional share",$M98="Please select",$M98="Other (pls. specify EF)"),0,INDEX(INDIRECT(VLOOKUP(E98,list!$B$341:$D$342,1,FALSE)),MATCH(clim_moist,INDIRECT(VLOOKUP(E98,list!$B$341:$D$342,2,FALSE)),0),MATCH($M98,INDIRECT(VLOOKUP(E98,list!$B$341:$D$342,3,FALSE)),0))*Livestock!$H98*Livestock!$G98/1000*365)</f>
        <v/>
      </c>
      <c r="O98" s="1045">
        <f>IF('4.Grassland'!CC64="",'4.Grassland'!CB64,'4.Grassland'!CC64)</f>
        <v/>
      </c>
      <c r="P98" s="1044">
        <f>IFERROR(INDEX(INDIRECT(VLOOKUP(E98,list!$B$341:$D$342,1,FALSE)),MATCH(clim_moist,INDIRECT(VLOOKUP(E98,list!$B$341:$D$342,2,FALSE)),0),MATCH('4.Grassland'!$BH$53,INDIRECT(VLOOKUP(E98,list!$B$341:$D$342,3,FALSE)),0))*Livestock!$H98*Livestock!$G98/1000*365,0)*I98/100</f>
        <v/>
      </c>
      <c r="Q98" s="1044">
        <f>IF($B98="Please select",0,IF(OR($M98="Please select",$M98="Regional share"),SUMPRODUCT(INDEX(INDIRECT(VLOOKUP(E98,list!$B$341:$D$342,1,FALSE)),MATCH(clim_moist,INDIRECT(VLOOKUP(E98,list!$B$341:$D$342,2,FALSE)),0),0),INDEX(INDIRECT(VLOOKUP(F98,list!$B$288:$D$310,1,FALSE)),MATCH($C$2,INDIRECT(VLOOKUP(F98,list!$B$288:$D$310,2,FALSE)),0),0))/100*($H98*$G98/1000*365)-$P98,0))</f>
        <v/>
      </c>
      <c r="R98" s="2158">
        <f>IFERROR(IF(B98=$B$53,0,IF('4.Grassland'!$BS64="",($P98/($I98/100)*$J98/100+$O98*(1-$J98/100)+$Q98/(1-$I98/100)*(1-$J98/100)),('4.Grassland'!$BS64*$J98/100+$O98*(1-$J98/100)+$Q98*(1-$J98/100)))),0)</f>
        <v/>
      </c>
      <c r="S98" s="2159">
        <f>IFERROR(IF(B98=$B$53,0,IF('4.Grassland'!$BT64="",($P98/($I98/100)*$K98/100+$O98*(1-$K98/100)+$Q98/(1-$I98/100)*(1-$K98/100)),('4.Grassland'!$BT64*$K98/100+$O98*(1-$K98/100)+$Q98*(1-$K98/100)))),0)</f>
        <v/>
      </c>
      <c r="T98" s="1195">
        <f>IFERROR(IF(B98=$B$53,0,IF('4.Grassland'!$BU64="",($P98/($I98/100)*$L98/100+$O98*(1-$L98/100)+$Q98/(1-$I98/100)*(1-$L98/100)),('4.Grassland'!$BU64*$L98/100+$O98*(1-$L98/100)+$Q98*(1-$L98/100)))),0)</f>
        <v/>
      </c>
      <c r="V98" s="3495">
        <f>$R98*$H16/1000*44/28*Nitrous</f>
        <v/>
      </c>
      <c r="W98" s="1152">
        <f>$S98*$I16/1000*44/28*Nitrous</f>
        <v/>
      </c>
      <c r="X98" s="3504">
        <f>$T98*$K16/1000*44/28*Nitrous</f>
        <v/>
      </c>
      <c r="Z98" s="3495">
        <f>MIN($V98,$W98)*time_tot+ABS($W98-$V98)*IF($W98&gt;$V98,time_cap+time*(VLOOKUP($J16,list!$J$48:$K$50,2,0)),time*(1-(VLOOKUP($J16,list!$J$48:$K$50,2,0))))</f>
        <v/>
      </c>
      <c r="AA98" s="3504">
        <f>MIN($V98,$X98)*time_tot+ABS($X98-$V98)*IF($X98&gt;$V98,time_cap+time*(VLOOKUP($L16,list!$J$48:$K$50,2,0)),time*(1-(VLOOKUP($L16,list!$J$48:$K$50,2,0))))</f>
        <v/>
      </c>
      <c r="AB98" s="2166">
        <f>AA98-Z98</f>
        <v/>
      </c>
      <c r="AE98" s="992">
        <f>MIN($V98,$W98)*time+ABS($W98-$V98)*IF($W98&gt;$V98,time*(VLOOKUP($J16,list!$J$48:$K$50,2,)),time*(1-(VLOOKUP($J16,list!$J$48:$K$50,2,))))</f>
        <v/>
      </c>
      <c r="AF98" s="992">
        <f>MIN($V98,$X98)*time+ABS($X98-$V98)*IF($X98&gt;$V98,time*(VLOOKUP($L16,list!$J$48:$K$50,2,)),time*(1-(VLOOKUP($L16,list!$J$48:$K$50,2,))))</f>
        <v/>
      </c>
    </row>
    <row r="99">
      <c r="B99" s="973">
        <f>B71</f>
        <v/>
      </c>
      <c r="C99" s="973">
        <f>C71</f>
        <v/>
      </c>
      <c r="E99" s="1109">
        <f>IF(B99="Please select","",IF(AND(OR($C$2="North America",$C$2="Western Europe",$C$2="Eastern Europe",$C$2="Oceania"),(C99="Default")),VLOOKUP($B99,$N$36:$Q$54,4,FALSE),INDEX($N$36:$Q$54,MATCH($B99,$N$36:$N$54,0),MATCH($C99,$N$36:$Q$36,0))))</f>
        <v/>
      </c>
      <c r="F99" s="1109">
        <f>F71</f>
        <v/>
      </c>
      <c r="G99" s="1111">
        <f>G71</f>
        <v/>
      </c>
      <c r="H99" s="4718">
        <f>IF(B99="Please select",0,(IF(C99="Default",INDEX(N_excretion_rate_Default[#All],MATCH(Livestock!$C$2,N_excretion_rate_Default[[#All],[Please select]],0),MATCH(Livestock!B99,N_excretion_rate_Default[#Headers],0)),
IF(C99="Low-productivity",INDEX(N_excretion_rate_LP[#All],MATCH(Livestock!$C$2,N_excretion_rate_LP[[#All],[Please select]],0),MATCH(Livestock!B99,N_excretion_rate_LP[#Headers],0)),
IF(C99="High-productivity",INDEX(N_excretion_rate_HP[#All],MATCH(Livestock!$C$2,N_excretion_rate_HP[[#All],[Please select]],0),MATCH(Livestock!B99,N_excretion_rate_HP[#Headers],0)),0)))))</f>
        <v/>
      </c>
      <c r="I99" s="1110">
        <f>I71</f>
        <v/>
      </c>
      <c r="J99" s="1688">
        <f>J71</f>
        <v/>
      </c>
      <c r="K99" s="1688">
        <f>K71</f>
        <v/>
      </c>
      <c r="L99" s="1688">
        <f>L71</f>
        <v/>
      </c>
      <c r="M99" s="1688">
        <f>M71</f>
        <v/>
      </c>
      <c r="N99" s="1044">
        <f>IF(OR($M99="Regional share",$M99="Please select",$M99="Other (pls. specify EF)"),0,INDEX(INDIRECT(VLOOKUP(E99,list!$B$341:$D$342,1,FALSE)),MATCH(clim_moist,INDIRECT(VLOOKUP(E99,list!$B$341:$D$342,2,FALSE)),0),MATCH($M99,INDIRECT(VLOOKUP(E99,list!$B$341:$D$342,3,FALSE)),0))*Livestock!$H99*Livestock!$G99/1000*365)</f>
        <v/>
      </c>
      <c r="O99" s="1045">
        <f>IF('4.Grassland'!CC65="",'4.Grassland'!CB65,'4.Grassland'!CC65)</f>
        <v/>
      </c>
      <c r="P99" s="1044">
        <f>IFERROR(INDEX(INDIRECT(VLOOKUP(E99,list!$B$341:$D$342,1,FALSE)),MATCH(clim_moist,INDIRECT(VLOOKUP(E99,list!$B$341:$D$342,2,FALSE)),0),MATCH('4.Grassland'!$BH$53,INDIRECT(VLOOKUP(E99,list!$B$341:$D$342,3,FALSE)),0))*Livestock!$H99*Livestock!$G99/1000*365,0)*I99/100</f>
        <v/>
      </c>
      <c r="Q99" s="1044">
        <f>IF($B99="Please select",0,IF(OR($M99="Please select",$M99="Regional share"),SUMPRODUCT(INDEX(INDIRECT(VLOOKUP(E99,list!$B$341:$D$342,1,FALSE)),MATCH(clim_moist,INDIRECT(VLOOKUP(E99,list!$B$341:$D$342,2,FALSE)),0),0),INDEX(INDIRECT(VLOOKUP(F99,list!$B$288:$D$310,1,FALSE)),MATCH($C$2,INDIRECT(VLOOKUP(F99,list!$B$288:$D$310,2,FALSE)),0),0))/100*($H99*$G99/1000*365)-$P99,0))</f>
        <v/>
      </c>
      <c r="R99" s="2158">
        <f>IFERROR(IF(B99=$B$53,0,IF('4.Grassland'!$BS65="",($P99/($I99/100)*$J99/100+$O99*(1-$J99/100)+$Q99/(1-$I99/100)*(1-$J99/100)),('4.Grassland'!$BS65*$J99/100+$O99*(1-$J99/100)+$Q99*(1-$J99/100)))),0)</f>
        <v/>
      </c>
      <c r="S99" s="2159">
        <f>IFERROR(IF(B99=$B$53,0,IF('4.Grassland'!$BT65="",($P99/($I99/100)*$K99/100+$O99*(1-$K99/100)+$Q99/(1-$I99/100)*(1-$K99/100)),('4.Grassland'!$BT65*$K99/100+$O99*(1-$K99/100)+$Q99*(1-$K99/100)))),0)</f>
        <v/>
      </c>
      <c r="T99" s="1195">
        <f>IFERROR(IF(B99=$B$53,0,IF('4.Grassland'!$BU65="",($P99/($I99/100)*$L99/100+$O99*(1-$L99/100)+$Q99/(1-$I99/100)*(1-$L99/100)),('4.Grassland'!$BU65*$L99/100+$O99*(1-$L99/100)+$Q99*(1-$L99/100)))),0)</f>
        <v/>
      </c>
      <c r="V99" s="3495">
        <f>$R99*$H17/1000*44/28*Nitrous</f>
        <v/>
      </c>
      <c r="W99" s="1152">
        <f>$S99*$I17/1000*44/28*Nitrous</f>
        <v/>
      </c>
      <c r="X99" s="3504">
        <f>$T99*$K17/1000*44/28*Nitrous</f>
        <v/>
      </c>
      <c r="Z99" s="3495">
        <f>MIN($V99,$W99)*time_tot+ABS($W99-$V99)*IF($W99&gt;$V99,time_cap+time*(VLOOKUP($J17,list!$J$48:$K$50,2,0)),time*(1-(VLOOKUP($J17,list!$J$48:$K$50,2,0))))</f>
        <v/>
      </c>
      <c r="AA99" s="3504">
        <f>MIN($V99,$X99)*time_tot+ABS($X99-$V99)*IF($X99&gt;$V99,time_cap+time*(VLOOKUP($L17,list!$J$48:$K$50,2,0)),time*(1-(VLOOKUP($L17,list!$J$48:$K$50,2,0))))</f>
        <v/>
      </c>
      <c r="AB99" s="2166">
        <f>AA99-Z99</f>
        <v/>
      </c>
      <c r="AE99" s="992">
        <f>MIN($V99,$W99)*time+ABS($W99-$V99)*IF($W99&gt;$V99,time*(VLOOKUP($J17,list!$J$48:$K$50,2,)),time*(1-(VLOOKUP($J17,list!$J$48:$K$50,2,))))</f>
        <v/>
      </c>
      <c r="AF99" s="992">
        <f>MIN($V99,$X99)*time+ABS($X99-$V99)*IF($X99&gt;$V99,time*(VLOOKUP($L17,list!$J$48:$K$50,2,)),time*(1-(VLOOKUP($L17,list!$J$48:$K$50,2,))))</f>
        <v/>
      </c>
    </row>
    <row r="100">
      <c r="B100" s="973">
        <f>B72</f>
        <v/>
      </c>
      <c r="C100" s="973">
        <f>C72</f>
        <v/>
      </c>
      <c r="E100" s="1109">
        <f>IF(B100="Please select","",IF(AND(OR($C$2="North America",$C$2="Western Europe",$C$2="Eastern Europe",$C$2="Oceania"),(C100="Default")),VLOOKUP($B100,$N$36:$Q$54,4,FALSE),INDEX($N$36:$Q$54,MATCH($B100,$N$36:$N$54,0),MATCH($C100,$N$36:$Q$36,0))))</f>
        <v/>
      </c>
      <c r="F100" s="1109">
        <f>F72</f>
        <v/>
      </c>
      <c r="G100" s="1111">
        <f>G72</f>
        <v/>
      </c>
      <c r="H100" s="4718">
        <f>IF(B100="Please select",0,(IF(C100="Default",INDEX(N_excretion_rate_Default[#All],MATCH(Livestock!$C$2,N_excretion_rate_Default[[#All],[Please select]],0),MATCH(Livestock!B100,N_excretion_rate_Default[#Headers],0)),
IF(C100="Low-productivity",INDEX(N_excretion_rate_LP[#All],MATCH(Livestock!$C$2,N_excretion_rate_LP[[#All],[Please select]],0),MATCH(Livestock!B100,N_excretion_rate_LP[#Headers],0)),
IF(C100="High-productivity",INDEX(N_excretion_rate_HP[#All],MATCH(Livestock!$C$2,N_excretion_rate_HP[[#All],[Please select]],0),MATCH(Livestock!B100,N_excretion_rate_HP[#Headers],0)),0)))))</f>
        <v/>
      </c>
      <c r="I100" s="1110">
        <f>I72</f>
        <v/>
      </c>
      <c r="J100" s="1688">
        <f>J72</f>
        <v/>
      </c>
      <c r="K100" s="1688">
        <f>K72</f>
        <v/>
      </c>
      <c r="L100" s="1688">
        <f>L72</f>
        <v/>
      </c>
      <c r="M100" s="1688">
        <f>M72</f>
        <v/>
      </c>
      <c r="N100" s="1044">
        <f>IF(OR($M100="Regional share",$M100="Please select",$M100="Other (pls. specify EF)"),0,INDEX(INDIRECT(VLOOKUP(E100,list!$B$341:$D$342,1,FALSE)),MATCH(clim_moist,INDIRECT(VLOOKUP(E100,list!$B$341:$D$342,2,FALSE)),0),MATCH($M100,INDIRECT(VLOOKUP(E100,list!$B$341:$D$342,3,FALSE)),0))*Livestock!$H100*Livestock!$G100/1000*365)</f>
        <v/>
      </c>
      <c r="O100" s="1045">
        <f>IF('4.Grassland'!CC66="",'4.Grassland'!CB66,'4.Grassland'!CC66)</f>
        <v/>
      </c>
      <c r="P100" s="1044">
        <f>IFERROR(INDEX(INDIRECT(VLOOKUP(E100,list!$B$341:$D$342,1,FALSE)),MATCH(clim_moist,INDIRECT(VLOOKUP(E100,list!$B$341:$D$342,2,FALSE)),0),MATCH('4.Grassland'!$BH$53,INDIRECT(VLOOKUP(E100,list!$B$341:$D$342,3,FALSE)),0))*Livestock!$H100*Livestock!$G100/1000*365,0)*I100/100</f>
        <v/>
      </c>
      <c r="Q100" s="1044">
        <f>IF($B100="Please select",0,IF(OR($M100="Please select",$M100="Regional share"),SUMPRODUCT(INDEX(INDIRECT(VLOOKUP(E100,list!$B$341:$D$342,1,FALSE)),MATCH(clim_moist,INDIRECT(VLOOKUP(E100,list!$B$341:$D$342,2,FALSE)),0),0),INDEX(INDIRECT(VLOOKUP(F100,list!$B$288:$D$310,1,FALSE)),MATCH($C$2,INDIRECT(VLOOKUP(F100,list!$B$288:$D$310,2,FALSE)),0),0))/100*($H100*$G100/1000*365)-$P100,0))</f>
        <v/>
      </c>
      <c r="R100" s="2158">
        <f>IFERROR(IF(B100=$B$53,0,IF('4.Grassland'!$BS66="",($P100/($I100/100)*$J100/100+$O100*(1-$J100/100)+$Q100/(1-$I100/100)*(1-$J100/100)),('4.Grassland'!$BS66*$J100/100+$O100*(1-$J100/100)+$Q100*(1-$J100/100)))),0)</f>
        <v/>
      </c>
      <c r="S100" s="2159">
        <f>IFERROR(IF(B100=$B$53,0,IF('4.Grassland'!$BT66="",($P100/($I100/100)*$K100/100+$O100*(1-$K100/100)+$Q100/(1-$I100/100)*(1-$K100/100)),('4.Grassland'!$BT66*$K100/100+$O100*(1-$K100/100)+$Q100*(1-$K100/100)))),0)</f>
        <v/>
      </c>
      <c r="T100" s="1195">
        <f>IFERROR(IF(B100=$B$53,0,IF('4.Grassland'!$BU66="",($P100/($I100/100)*$L100/100+$O100*(1-$L100/100)+$Q100/(1-$I100/100)*(1-$L100/100)),('4.Grassland'!$BU66*$L100/100+$O100*(1-$L100/100)+$Q100*(1-$L100/100)))),0)</f>
        <v/>
      </c>
      <c r="V100" s="3496">
        <f>$R100*$H18/1000*44/28*Nitrous</f>
        <v/>
      </c>
      <c r="W100" s="1153">
        <f>$S100*$I18/1000*44/28*Nitrous</f>
        <v/>
      </c>
      <c r="X100" s="3505">
        <f>$T100*$K18/1000*44/28*Nitrous</f>
        <v/>
      </c>
      <c r="Z100" s="3496">
        <f>MIN($V100,$W100)*time_tot+ABS($W100-$V100)*IF($W100&gt;$V100,time_cap+time*(VLOOKUP($J18,list!$J$48:$K$50,2,0)),time*(1-(VLOOKUP($J18,list!$J$48:$K$50,2,0))))</f>
        <v/>
      </c>
      <c r="AA100" s="3505">
        <f>MIN($V100,$X100)*time_tot+ABS($X100-$V100)*IF($X100&gt;$V100,time_cap+time*(VLOOKUP($L18,list!$J$48:$K$50,2,0)),time*(1-(VLOOKUP($L18,list!$J$48:$K$50,2,0))))</f>
        <v/>
      </c>
      <c r="AB100" s="3517">
        <f>AA100-Z100</f>
        <v/>
      </c>
      <c r="AE100" s="992">
        <f>MIN($V100,$W100)*time+ABS($W100-$V100)*IF($W100&gt;$V100,time*(VLOOKUP($J18,list!$J$48:$K$50,2,)),time*(1-(VLOOKUP($J18,list!$J$48:$K$50,2,))))</f>
        <v/>
      </c>
      <c r="AF100" s="992">
        <f>MIN($V100,$X100)*time+ABS($X100-$V100)*IF($X100&gt;$V100,time*(VLOOKUP($L18,list!$J$48:$K$50,2,)),time*(1-(VLOOKUP($L18,list!$J$48:$K$50,2,))))</f>
        <v/>
      </c>
    </row>
    <row r="101">
      <c r="B101" s="973">
        <f>B73</f>
        <v/>
      </c>
      <c r="C101" s="973">
        <f>C73</f>
        <v/>
      </c>
      <c r="E101" s="1109">
        <f>IF(B101="Please select","",IF(AND(OR($C$2="North America",$C$2="Western Europe",$C$2="Eastern Europe",$C$2="Oceania"),(C101="Default")),VLOOKUP($B101,$N$36:$Q$54,4,FALSE),INDEX($N$36:$Q$54,MATCH($B101,$N$36:$N$54,0),MATCH($C101,$N$36:$Q$36,0))))</f>
        <v/>
      </c>
      <c r="F101" s="1109">
        <f>F73</f>
        <v/>
      </c>
      <c r="G101" s="1111">
        <f>G73</f>
        <v/>
      </c>
      <c r="H101" s="4718">
        <f>IF(B101="Please select",0,(IF(C101="Default",INDEX(N_excretion_rate_Default[#All],MATCH(Livestock!$C$2,N_excretion_rate_Default[[#All],[Please select]],0),MATCH(Livestock!B101,N_excretion_rate_Default[#Headers],0)),
IF(C101="Low-productivity",INDEX(N_excretion_rate_LP[#All],MATCH(Livestock!$C$2,N_excretion_rate_LP[[#All],[Please select]],0),MATCH(Livestock!B101,N_excretion_rate_LP[#Headers],0)),
IF(C101="High-productivity",INDEX(N_excretion_rate_HP[#All],MATCH(Livestock!$C$2,N_excretion_rate_HP[[#All],[Please select]],0),MATCH(Livestock!B101,N_excretion_rate_HP[#Headers],0)),0)))))</f>
        <v/>
      </c>
      <c r="I101" s="1110">
        <f>I73</f>
        <v/>
      </c>
      <c r="J101" s="1688">
        <f>J73</f>
        <v/>
      </c>
      <c r="K101" s="1688">
        <f>K73</f>
        <v/>
      </c>
      <c r="L101" s="1688">
        <f>L73</f>
        <v/>
      </c>
      <c r="M101" s="1688">
        <f>M73</f>
        <v/>
      </c>
      <c r="N101" s="1044">
        <f>IF(OR($M101="Regional share",$M101="Please select",$M101="Other (pls. specify EF)"),0,INDEX(INDIRECT(VLOOKUP(E101,list!$B$341:$D$342,1,FALSE)),MATCH(clim_moist,INDIRECT(VLOOKUP(E101,list!$B$341:$D$342,2,FALSE)),0),MATCH($M101,INDIRECT(VLOOKUP(E101,list!$B$341:$D$342,3,FALSE)),0))*Livestock!$H101*Livestock!$G101/1000*365)</f>
        <v/>
      </c>
      <c r="O101" s="1045">
        <f>IF('4.Grassland'!CC67="",'4.Grassland'!CB67,'4.Grassland'!CC67)</f>
        <v/>
      </c>
      <c r="P101" s="1044">
        <f>IFERROR(INDEX(INDIRECT(VLOOKUP(E101,list!$B$341:$D$342,1,FALSE)),MATCH(clim_moist,INDIRECT(VLOOKUP(E101,list!$B$341:$D$342,2,FALSE)),0),MATCH('4.Grassland'!$BH$53,INDIRECT(VLOOKUP(E101,list!$B$341:$D$342,3,FALSE)),0))*Livestock!$H101*Livestock!$G101/1000*365,0)*I101/100</f>
        <v/>
      </c>
      <c r="Q101" s="1044">
        <f>IF($B101="Please select",0,IF(OR($M101="Please select",$M101="Regional share"),SUMPRODUCT(INDEX(INDIRECT(VLOOKUP(E101,list!$B$341:$D$342,1,FALSE)),MATCH(clim_moist,INDIRECT(VLOOKUP(E101,list!$B$341:$D$342,2,FALSE)),0),0),INDEX(INDIRECT(VLOOKUP(F101,list!$B$288:$D$310,1,FALSE)),MATCH($C$2,INDIRECT(VLOOKUP(F101,list!$B$288:$D$310,2,FALSE)),0),0))/100*($H101*$G101/1000*365)-$P101,0))</f>
        <v/>
      </c>
      <c r="R101" s="2158">
        <f>IFERROR(IF(B101=$B$53,0,IF('4.Grassland'!$BS67="",($P101/($I101/100)*$J101/100+$O101*(1-$J101/100)+$Q101/(1-$I101/100)*(1-$J101/100)),('4.Grassland'!$BS67*$J101/100+$O101*(1-$J101/100)+$Q101*(1-$J101/100)))),0)</f>
        <v/>
      </c>
      <c r="S101" s="2159">
        <f>IFERROR(IF(B101=$B$53,0,IF('4.Grassland'!$BT67="",($P101/($I101/100)*$K101/100+$O101*(1-$K101/100)+$Q101/(1-$I101/100)*(1-$K101/100)),('4.Grassland'!$BT67*$K101/100+$O101*(1-$K101/100)+$Q101*(1-$K101/100)))),0)</f>
        <v/>
      </c>
      <c r="T101" s="1195">
        <f>IFERROR(IF(B101=$B$53,0,IF('4.Grassland'!$BU67="",($P101/($I101/100)*$L101/100+$O101*(1-$L101/100)+$Q101/(1-$I101/100)*(1-$L101/100)),('4.Grassland'!$BU67*$L101/100+$O101*(1-$L101/100)+$Q101*(1-$L101/100)))),0)</f>
        <v/>
      </c>
      <c r="V101" s="3496">
        <f>$R101*$H19/1000*44/28*Nitrous</f>
        <v/>
      </c>
      <c r="W101" s="1153">
        <f>$S101*$I19/1000*44/28*Nitrous</f>
        <v/>
      </c>
      <c r="X101" s="3505">
        <f>$T101*$K19/1000*44/28*Nitrous</f>
        <v/>
      </c>
      <c r="Z101" s="3496">
        <f>MIN($V101,$W101)*time_tot+ABS($W101-$V101)*IF($W101&gt;$V101,time_cap+time*(VLOOKUP($J19,list!$J$48:$K$50,2,0)),time*(1-(VLOOKUP($J19,list!$J$48:$K$50,2,0))))</f>
        <v/>
      </c>
      <c r="AA101" s="3505">
        <f>MIN($V101,$X101)*time_tot+ABS($X101-$V101)*IF($X101&gt;$V101,time_cap+time*(VLOOKUP($L19,list!$J$48:$K$50,2,0)),time*(1-(VLOOKUP($L19,list!$J$48:$K$50,2,0))))</f>
        <v/>
      </c>
      <c r="AB101" s="3517">
        <f>AA101-Z101</f>
        <v/>
      </c>
    </row>
    <row r="102">
      <c r="B102" s="973">
        <f>B74</f>
        <v/>
      </c>
      <c r="C102" s="973">
        <f>C74</f>
        <v/>
      </c>
      <c r="E102" s="1109">
        <f>IF(B102="Please select","",IF(AND(OR($C$2="North America",$C$2="Western Europe",$C$2="Eastern Europe",$C$2="Oceania"),(C102="Default")),VLOOKUP($B102,$N$36:$Q$54,4,FALSE),INDEX($N$36:$Q$54,MATCH($B102,$N$36:$N$54,0),MATCH($C102,$N$36:$Q$36,0))))</f>
        <v/>
      </c>
      <c r="F102" s="1109">
        <f>F74</f>
        <v/>
      </c>
      <c r="G102" s="1111">
        <f>G74</f>
        <v/>
      </c>
      <c r="H102" s="4718">
        <f>IF(B102="Please select",0,(IF(C102="Default",INDEX(N_excretion_rate_Default[#All],MATCH(Livestock!$C$2,N_excretion_rate_Default[[#All],[Please select]],0),MATCH(Livestock!B102,N_excretion_rate_Default[#Headers],0)),
IF(C102="Low-productivity",INDEX(N_excretion_rate_LP[#All],MATCH(Livestock!$C$2,N_excretion_rate_LP[[#All],[Please select]],0),MATCH(Livestock!B102,N_excretion_rate_LP[#Headers],0)),
IF(C102="High-productivity",INDEX(N_excretion_rate_HP[#All],MATCH(Livestock!$C$2,N_excretion_rate_HP[[#All],[Please select]],0),MATCH(Livestock!B102,N_excretion_rate_HP[#Headers],0)),0)))))</f>
        <v/>
      </c>
      <c r="I102" s="1110">
        <f>I74</f>
        <v/>
      </c>
      <c r="J102" s="1688">
        <f>J74</f>
        <v/>
      </c>
      <c r="K102" s="1688">
        <f>K74</f>
        <v/>
      </c>
      <c r="L102" s="1688">
        <f>L74</f>
        <v/>
      </c>
      <c r="M102" s="1688">
        <f>M74</f>
        <v/>
      </c>
      <c r="N102" s="1044">
        <f>IF(OR($M102="Regional share",$M102="Please select",$M102="Other (pls. specify EF)"),0,INDEX(INDIRECT(VLOOKUP(E102,list!$B$341:$D$342,1,FALSE)),MATCH(clim_moist,INDIRECT(VLOOKUP(E102,list!$B$341:$D$342,2,FALSE)),0),MATCH($M102,INDIRECT(VLOOKUP(E102,list!$B$341:$D$342,3,FALSE)),0))*Livestock!$H102*Livestock!$G102/1000*365)</f>
        <v/>
      </c>
      <c r="O102" s="1045">
        <f>IF('4.Grassland'!CC68="",'4.Grassland'!CB68,'4.Grassland'!CC68)</f>
        <v/>
      </c>
      <c r="P102" s="1044">
        <f>IFERROR(INDEX(INDIRECT(VLOOKUP(E102,list!$B$341:$D$342,1,FALSE)),MATCH(clim_moist,INDIRECT(VLOOKUP(E102,list!$B$341:$D$342,2,FALSE)),0),MATCH('4.Grassland'!$BH$53,INDIRECT(VLOOKUP(E102,list!$B$341:$D$342,3,FALSE)),0))*Livestock!$H102*Livestock!$G102/1000*365,0)*I102/100</f>
        <v/>
      </c>
      <c r="Q102" s="1044">
        <f>IF($B102="Please select",0,IF(OR($M102="Please select",$M102="Regional share"),SUMPRODUCT(INDEX(INDIRECT(VLOOKUP(E102,list!$B$341:$D$342,1,FALSE)),MATCH(clim_moist,INDIRECT(VLOOKUP(E102,list!$B$341:$D$342,2,FALSE)),0),0),INDEX(INDIRECT(VLOOKUP(F102,list!$B$288:$D$310,1,FALSE)),MATCH($C$2,INDIRECT(VLOOKUP(F102,list!$B$288:$D$310,2,FALSE)),0),0))/100*($H102*$G102/1000*365)-$P102,0))</f>
        <v/>
      </c>
      <c r="R102" s="2158">
        <f>IFERROR(IF(B102=$B$53,0,IF('4.Grassland'!$BS68="",($P102/($I102/100)*$J102/100+$O102*(1-$J102/100)+$Q102/(1-$I102/100)*(1-$J102/100)),('4.Grassland'!$BS68*$J102/100+$O102*(1-$J102/100)+$Q102*(1-$J102/100)))),0)</f>
        <v/>
      </c>
      <c r="S102" s="2159">
        <f>IFERROR(IF(B102=$B$53,0,IF('4.Grassland'!$BT68="",($P102/($I102/100)*$K102/100+$O102*(1-$K102/100)+$Q102/(1-$I102/100)*(1-$K102/100)),('4.Grassland'!$BT68*$K102/100+$O102*(1-$K102/100)+$Q102*(1-$K102/100)))),0)</f>
        <v/>
      </c>
      <c r="T102" s="1195">
        <f>IFERROR(IF(B102=$B$53,0,IF('4.Grassland'!$BU68="",($P102/($I102/100)*$L102/100+$O102*(1-$L102/100)+$Q102/(1-$I102/100)*(1-$L102/100)),('4.Grassland'!$BU68*$L102/100+$O102*(1-$L102/100)+$Q102*(1-$L102/100)))),0)</f>
        <v/>
      </c>
      <c r="V102" s="3496">
        <f>$R102*$H20/1000*44/28*Nitrous</f>
        <v/>
      </c>
      <c r="W102" s="1153">
        <f>$S102*$I20/1000*44/28*Nitrous</f>
        <v/>
      </c>
      <c r="X102" s="3505">
        <f>$T102*$K20/1000*44/28*Nitrous</f>
        <v/>
      </c>
      <c r="Z102" s="3496">
        <f>MIN($V102,$W102)*time_tot+ABS($W102-$V102)*IF($W102&gt;$V102,time_cap+time*(VLOOKUP($J20,list!$J$48:$K$50,2,0)),time*(1-(VLOOKUP($J20,list!$J$48:$K$50,2,0))))</f>
        <v/>
      </c>
      <c r="AA102" s="3505">
        <f>MIN($V102,$X102)*time_tot+ABS($X102-$V102)*IF($X102&gt;$V102,time_cap+time*(VLOOKUP($L20,list!$J$48:$K$50,2,0)),time*(1-(VLOOKUP($L20,list!$J$48:$K$50,2,0))))</f>
        <v/>
      </c>
      <c r="AB102" s="3517">
        <f>AA102-Z102</f>
        <v/>
      </c>
    </row>
    <row r="103">
      <c r="B103" s="973">
        <f>B75</f>
        <v/>
      </c>
      <c r="C103" s="973">
        <f>C75</f>
        <v/>
      </c>
      <c r="E103" s="1109">
        <f>IF(B103="Please select","",IF(AND(OR($C$2="North America",$C$2="Western Europe",$C$2="Eastern Europe",$C$2="Oceania"),(C103="Default")),VLOOKUP($B103,$N$36:$Q$54,4,FALSE),INDEX($N$36:$Q$54,MATCH($B103,$N$36:$N$54,0),MATCH($C103,$N$36:$Q$36,0))))</f>
        <v/>
      </c>
      <c r="F103" s="1109">
        <f>F75</f>
        <v/>
      </c>
      <c r="G103" s="1111">
        <f>G75</f>
        <v/>
      </c>
      <c r="H103" s="4718">
        <f>IF(B103="Please select",0,(IF(C103="Default",INDEX(N_excretion_rate_Default[#All],MATCH(Livestock!$C$2,N_excretion_rate_Default[[#All],[Please select]],0),MATCH(Livestock!B103,N_excretion_rate_Default[#Headers],0)),
IF(C103="Low-productivity",INDEX(N_excretion_rate_LP[#All],MATCH(Livestock!$C$2,N_excretion_rate_LP[[#All],[Please select]],0),MATCH(Livestock!B103,N_excretion_rate_LP[#Headers],0)),
IF(C103="High-productivity",INDEX(N_excretion_rate_HP[#All],MATCH(Livestock!$C$2,N_excretion_rate_HP[[#All],[Please select]],0),MATCH(Livestock!B103,N_excretion_rate_HP[#Headers],0)),0)))))</f>
        <v/>
      </c>
      <c r="I103" s="1110">
        <f>I75</f>
        <v/>
      </c>
      <c r="J103" s="1688">
        <f>J75</f>
        <v/>
      </c>
      <c r="K103" s="1688">
        <f>K75</f>
        <v/>
      </c>
      <c r="L103" s="1688">
        <f>L75</f>
        <v/>
      </c>
      <c r="M103" s="1688">
        <f>M75</f>
        <v/>
      </c>
      <c r="N103" s="1044">
        <f>IF(OR($M103="Regional share",$M103="Please select",$M103="Other (pls. specify EF)"),0,INDEX(INDIRECT(VLOOKUP(E103,list!$B$341:$D$342,1,FALSE)),MATCH(clim_moist,INDIRECT(VLOOKUP(E103,list!$B$341:$D$342,2,FALSE)),0),MATCH($M103,INDIRECT(VLOOKUP(E103,list!$B$341:$D$342,3,FALSE)),0))*Livestock!$H103*Livestock!$G103/1000*365)</f>
        <v/>
      </c>
      <c r="O103" s="1045">
        <f>IF('4.Grassland'!CC69="",'4.Grassland'!CB69,'4.Grassland'!CC69)</f>
        <v/>
      </c>
      <c r="P103" s="1044">
        <f>IFERROR(INDEX(INDIRECT(VLOOKUP(E103,list!$B$341:$D$342,1,FALSE)),MATCH(clim_moist,INDIRECT(VLOOKUP(E103,list!$B$341:$D$342,2,FALSE)),0),MATCH('4.Grassland'!$BH$53,INDIRECT(VLOOKUP(E103,list!$B$341:$D$342,3,FALSE)),0))*Livestock!$H103*Livestock!$G103/1000*365,0)*I103/100</f>
        <v/>
      </c>
      <c r="Q103" s="1044">
        <f>IF($B103="Please select",0,IF(OR($M103="Please select",$M103="Regional share"),SUMPRODUCT(INDEX(INDIRECT(VLOOKUP(E103,list!$B$341:$D$342,1,FALSE)),MATCH(clim_moist,INDIRECT(VLOOKUP(E103,list!$B$341:$D$342,2,FALSE)),0),0),INDEX(INDIRECT(VLOOKUP(F103,list!$B$288:$D$310,1,FALSE)),MATCH($C$2,INDIRECT(VLOOKUP(F103,list!$B$288:$D$310,2,FALSE)),0),0))/100*($H103*$G103/1000*365)-$P103,0))</f>
        <v/>
      </c>
      <c r="R103" s="2158">
        <f>IFERROR(IF(B103=$B$53,0,IF('4.Grassland'!$BS69="",($P103/($I103/100)*$J103/100+$O103*(1-$J103/100)+$Q103/(1-$I103/100)*(1-$J103/100)),('4.Grassland'!$BS69*$J103/100+$O103*(1-$J103/100)+$Q103*(1-$J103/100)))),0)</f>
        <v/>
      </c>
      <c r="S103" s="2159">
        <f>IFERROR(IF(B103=$B$53,0,IF('4.Grassland'!$BT69="",($P103/($I103/100)*$K103/100+$O103*(1-$K103/100)+$Q103/(1-$I103/100)*(1-$K103/100)),('4.Grassland'!$BT69*$K103/100+$O103*(1-$K103/100)+$Q103*(1-$K103/100)))),0)</f>
        <v/>
      </c>
      <c r="T103" s="1195">
        <f>IFERROR(IF(B103=$B$53,0,IF('4.Grassland'!$BU69="",($P103/($I103/100)*$L103/100+$O103*(1-$L103/100)+$Q103/(1-$I103/100)*(1-$L103/100)),('4.Grassland'!$BU69*$L103/100+$O103*(1-$L103/100)+$Q103*(1-$L103/100)))),0)</f>
        <v/>
      </c>
      <c r="V103" s="3496">
        <f>$R103*$H21/1000*44/28*Nitrous</f>
        <v/>
      </c>
      <c r="W103" s="1153">
        <f>$S103*$I21/1000*44/28*Nitrous</f>
        <v/>
      </c>
      <c r="X103" s="3505">
        <f>$T103*$K21/1000*44/28*Nitrous</f>
        <v/>
      </c>
      <c r="Z103" s="3496">
        <f>MIN($V103,$W103)*time_tot+ABS($W103-$V103)*IF($W103&gt;$V103,time_cap+time*(VLOOKUP($J21,list!$J$48:$K$50,2,0)),time*(1-(VLOOKUP($J21,list!$J$48:$K$50,2,0))))</f>
        <v/>
      </c>
      <c r="AA103" s="3505">
        <f>MIN($V103,$X103)*time_tot+ABS($X103-$V103)*IF($X103&gt;$V103,time_cap+time*(VLOOKUP($L21,list!$J$48:$K$50,2,0)),time*(1-(VLOOKUP($L21,list!$J$48:$K$50,2,0))))</f>
        <v/>
      </c>
      <c r="AB103" s="3517">
        <f>AA103-Z103</f>
        <v/>
      </c>
    </row>
    <row r="104">
      <c r="B104" s="973">
        <f>B76</f>
        <v/>
      </c>
      <c r="C104" s="973">
        <f>C76</f>
        <v/>
      </c>
      <c r="E104" s="1109">
        <f>IF(B104="Please select","",IF(AND(OR($C$2="North America",$C$2="Western Europe",$C$2="Eastern Europe",$C$2="Oceania"),(C104="Default")),VLOOKUP($B104,$N$36:$Q$54,4,FALSE),INDEX($N$36:$Q$54,MATCH($B104,$N$36:$N$54,0),MATCH($C104,$N$36:$Q$36,0))))</f>
        <v/>
      </c>
      <c r="F104" s="1109">
        <f>F76</f>
        <v/>
      </c>
      <c r="G104" s="1111">
        <f>G76</f>
        <v/>
      </c>
      <c r="H104" s="4718">
        <f>IF(B104="Please select",0,(IF(C104="Default",INDEX(N_excretion_rate_Default[#All],MATCH(Livestock!$C$2,N_excretion_rate_Default[[#All],[Please select]],0),MATCH(Livestock!B104,N_excretion_rate_Default[#Headers],0)),
IF(C104="Low-productivity",INDEX(N_excretion_rate_LP[#All],MATCH(Livestock!$C$2,N_excretion_rate_LP[[#All],[Please select]],0),MATCH(Livestock!B104,N_excretion_rate_LP[#Headers],0)),
IF(C104="High-productivity",INDEX(N_excretion_rate_HP[#All],MATCH(Livestock!$C$2,N_excretion_rate_HP[[#All],[Please select]],0),MATCH(Livestock!B104,N_excretion_rate_HP[#Headers],0)),0)))))</f>
        <v/>
      </c>
      <c r="I104" s="1110">
        <f>I76</f>
        <v/>
      </c>
      <c r="J104" s="1688">
        <f>J76</f>
        <v/>
      </c>
      <c r="K104" s="1688">
        <f>K76</f>
        <v/>
      </c>
      <c r="L104" s="1688">
        <f>L76</f>
        <v/>
      </c>
      <c r="M104" s="1688">
        <f>M76</f>
        <v/>
      </c>
      <c r="N104" s="1044">
        <f>IF(OR($M104="Regional share",$M104="Please select",$M104="Other (pls. specify EF)"),0,INDEX(INDIRECT(VLOOKUP(E104,list!$B$341:$D$342,1,FALSE)),MATCH(clim_moist,INDIRECT(VLOOKUP(E104,list!$B$341:$D$342,2,FALSE)),0),MATCH($M104,INDIRECT(VLOOKUP(E104,list!$B$341:$D$342,3,FALSE)),0))*Livestock!$H104*Livestock!$G104/1000*365)</f>
        <v/>
      </c>
      <c r="O104" s="1045">
        <f>IF('4.Grassland'!CC70="",'4.Grassland'!CB70,'4.Grassland'!CC70)</f>
        <v/>
      </c>
      <c r="P104" s="1044">
        <f>IFERROR(INDEX(INDIRECT(VLOOKUP(E104,list!$B$341:$D$342,1,FALSE)),MATCH(clim_moist,INDIRECT(VLOOKUP(E104,list!$B$341:$D$342,2,FALSE)),0),MATCH('4.Grassland'!$BH$53,INDIRECT(VLOOKUP(E104,list!$B$341:$D$342,3,FALSE)),0))*Livestock!$H104*Livestock!$G104/1000*365,0)*I104/100</f>
        <v/>
      </c>
      <c r="Q104" s="1044">
        <f>IF($B104="Please select",0,IF(OR($M104="Please select",$M104="Regional share"),SUMPRODUCT(INDEX(INDIRECT(VLOOKUP(E104,list!$B$341:$D$342,1,FALSE)),MATCH(clim_moist,INDIRECT(VLOOKUP(E104,list!$B$341:$D$342,2,FALSE)),0),0),INDEX(INDIRECT(VLOOKUP(F104,list!$B$288:$D$310,1,FALSE)),MATCH($C$2,INDIRECT(VLOOKUP(F104,list!$B$288:$D$310,2,FALSE)),0),0))/100*($H104*$G104/1000*365)-$P104,0))</f>
        <v/>
      </c>
      <c r="R104" s="2158">
        <f>IFERROR(IF(B104=$B$53,0,IF('4.Grassland'!$BS70="",($P104/($I104/100)*$J104/100+$O104*(1-$J104/100)+$Q104/(1-$I104/100)*(1-$J104/100)),('4.Grassland'!$BS70*$J104/100+$O104*(1-$J104/100)+$Q104*(1-$J104/100)))),0)</f>
        <v/>
      </c>
      <c r="S104" s="2159">
        <f>IFERROR(IF(B104=$B$53,0,IF('4.Grassland'!$BT70="",($P104/($I104/100)*$K104/100+$O104*(1-$K104/100)+$Q104/(1-$I104/100)*(1-$K104/100)),('4.Grassland'!$BT70*$K104/100+$O104*(1-$K104/100)+$Q104*(1-$K104/100)))),0)</f>
        <v/>
      </c>
      <c r="T104" s="1195">
        <f>IFERROR(IF(B104=$B$53,0,IF('4.Grassland'!$BU70="",($P104/($I104/100)*$L104/100+$O104*(1-$L104/100)+$Q104/(1-$I104/100)*(1-$L104/100)),('4.Grassland'!$BU70*$L104/100+$O104*(1-$L104/100)+$Q104*(1-$L104/100)))),0)</f>
        <v/>
      </c>
      <c r="V104" s="3496">
        <f>$R104*$H22/1000*44/28*Nitrous</f>
        <v/>
      </c>
      <c r="W104" s="1153">
        <f>$S104*$I22/1000*44/28*Nitrous</f>
        <v/>
      </c>
      <c r="X104" s="3505">
        <f>$T104*$K22/1000*44/28*Nitrous</f>
        <v/>
      </c>
      <c r="Z104" s="3496">
        <f>MIN($V104,$W104)*time_tot+ABS($W104-$V104)*IF($W104&gt;$V104,time_cap+time*(VLOOKUP($J22,list!$J$48:$K$50,2,0)),time*(1-(VLOOKUP($J22,list!$J$48:$K$50,2,0))))</f>
        <v/>
      </c>
      <c r="AA104" s="3505">
        <f>MIN($V104,$X104)*time_tot+ABS($X104-$V104)*IF($X104&gt;$V104,time_cap+time*(VLOOKUP($L22,list!$J$48:$K$50,2,0)),time*(1-(VLOOKUP($L22,list!$J$48:$K$50,2,0))))</f>
        <v/>
      </c>
      <c r="AB104" s="3517">
        <f>AA104-Z104</f>
        <v/>
      </c>
    </row>
    <row r="105">
      <c r="B105" s="973">
        <f>B77</f>
        <v/>
      </c>
      <c r="C105" s="973">
        <f>C77</f>
        <v/>
      </c>
      <c r="E105" s="1109">
        <f>IF(B105="Please select","",IF(AND(OR($C$2="North America",$C$2="Western Europe",$C$2="Eastern Europe",$C$2="Oceania"),(C105="Default")),VLOOKUP($B105,$N$36:$Q$54,4,FALSE),INDEX($N$36:$Q$54,MATCH($B105,$N$36:$N$54,0),MATCH($C105,$N$36:$Q$36,0))))</f>
        <v/>
      </c>
      <c r="F105" s="1109">
        <f>F77</f>
        <v/>
      </c>
      <c r="G105" s="1111">
        <f>G77</f>
        <v/>
      </c>
      <c r="H105" s="4718">
        <f>IF(B105="Please select",0,(IF(C105="Default",INDEX(N_excretion_rate_Default[#All],MATCH(Livestock!$C$2,N_excretion_rate_Default[[#All],[Please select]],0),MATCH(Livestock!B105,N_excretion_rate_Default[#Headers],0)),
IF(C105="Low-productivity",INDEX(N_excretion_rate_LP[#All],MATCH(Livestock!$C$2,N_excretion_rate_LP[[#All],[Please select]],0),MATCH(Livestock!B105,N_excretion_rate_LP[#Headers],0)),
IF(C105="High-productivity",INDEX(N_excretion_rate_HP[#All],MATCH(Livestock!$C$2,N_excretion_rate_HP[[#All],[Please select]],0),MATCH(Livestock!B105,N_excretion_rate_HP[#Headers],0)),0)))))</f>
        <v/>
      </c>
      <c r="I105" s="1110">
        <f>I77</f>
        <v/>
      </c>
      <c r="J105" s="1688">
        <f>J77</f>
        <v/>
      </c>
      <c r="K105" s="1688">
        <f>K77</f>
        <v/>
      </c>
      <c r="L105" s="1688">
        <f>L77</f>
        <v/>
      </c>
      <c r="M105" s="1688">
        <f>M77</f>
        <v/>
      </c>
      <c r="N105" s="1044">
        <f>IF(OR($M105="Regional share",$M105="Please select",$M105="Other (pls. specify EF)"),0,INDEX(INDIRECT(VLOOKUP(E105,list!$B$341:$D$342,1,FALSE)),MATCH(clim_moist,INDIRECT(VLOOKUP(E105,list!$B$341:$D$342,2,FALSE)),0),MATCH($M105,INDIRECT(VLOOKUP(E105,list!$B$341:$D$342,3,FALSE)),0))*Livestock!$H105*Livestock!$G105/1000*365)</f>
        <v/>
      </c>
      <c r="O105" s="1045">
        <f>IF('4.Grassland'!CC71="",'4.Grassland'!CB71,'4.Grassland'!CC71)</f>
        <v/>
      </c>
      <c r="P105" s="1044">
        <f>IFERROR(INDEX(INDIRECT(VLOOKUP(E105,list!$B$341:$D$342,1,FALSE)),MATCH(clim_moist,INDIRECT(VLOOKUP(E105,list!$B$341:$D$342,2,FALSE)),0),MATCH('4.Grassland'!$BH$53,INDIRECT(VLOOKUP(E105,list!$B$341:$D$342,3,FALSE)),0))*Livestock!$H105*Livestock!$G105/1000*365,0)*I105/100</f>
        <v/>
      </c>
      <c r="Q105" s="1044">
        <f>IF($B105="Please select",0,IF(OR($M105="Please select",$M105="Regional share"),SUMPRODUCT(INDEX(INDIRECT(VLOOKUP(E105,list!$B$341:$D$342,1,FALSE)),MATCH(clim_moist,INDIRECT(VLOOKUP(E105,list!$B$341:$D$342,2,FALSE)),0),0),INDEX(INDIRECT(VLOOKUP(F105,list!$B$288:$D$310,1,FALSE)),MATCH($C$2,INDIRECT(VLOOKUP(F105,list!$B$288:$D$310,2,FALSE)),0),0))/100*($H105*$G105/1000*365)-$P105,0))</f>
        <v/>
      </c>
      <c r="R105" s="2158">
        <f>IFERROR(IF(B105=$B$53,0,IF('4.Grassland'!$BS71="",($P105/($I105/100)*$J105/100+$O105*(1-$J105/100)+$Q105/(1-$I105/100)*(1-$J105/100)),('4.Grassland'!$BS71*$J105/100+$O105*(1-$J105/100)+$Q105*(1-$J105/100)))),0)</f>
        <v/>
      </c>
      <c r="S105" s="2159">
        <f>IFERROR(IF(B105=$B$53,0,IF('4.Grassland'!$BT71="",($P105/($I105/100)*$K105/100+$O105*(1-$K105/100)+$Q105/(1-$I105/100)*(1-$K105/100)),('4.Grassland'!$BT71*$K105/100+$O105*(1-$K105/100)+$Q105*(1-$K105/100)))),0)</f>
        <v/>
      </c>
      <c r="T105" s="1195">
        <f>IFERROR(IF(B105=$B$53,0,IF('4.Grassland'!$BU71="",($P105/($I105/100)*$L105/100+$O105*(1-$L105/100)+$Q105/(1-$I105/100)*(1-$L105/100)),('4.Grassland'!$BU71*$L105/100+$O105*(1-$L105/100)+$Q105*(1-$L105/100)))),0)</f>
        <v/>
      </c>
      <c r="V105" s="3496">
        <f>$R105*$H23/1000*44/28*Nitrous</f>
        <v/>
      </c>
      <c r="W105" s="1153">
        <f>$S105*$I23/1000*44/28*Nitrous</f>
        <v/>
      </c>
      <c r="X105" s="3505">
        <f>$T105*$K23/1000*44/28*Nitrous</f>
        <v/>
      </c>
      <c r="Z105" s="3496">
        <f>MIN($V105,$W105)*time_tot+ABS($W105-$V105)*IF($W105&gt;$V105,time_cap+time*(VLOOKUP($J23,list!$J$48:$K$50,2,0)),time*(1-(VLOOKUP($J23,list!$J$48:$K$50,2,0))))</f>
        <v/>
      </c>
      <c r="AA105" s="3505">
        <f>MIN($V105,$X105)*time_tot+ABS($X105-$V105)*IF($X105&gt;$V105,time_cap+time*(VLOOKUP($L23,list!$J$48:$K$50,2,0)),time*(1-(VLOOKUP($L23,list!$J$48:$K$50,2,0))))</f>
        <v/>
      </c>
      <c r="AB105" s="3517">
        <f>AA105-Z105</f>
        <v/>
      </c>
    </row>
    <row r="106">
      <c r="B106" s="973">
        <f>B78</f>
        <v/>
      </c>
      <c r="C106" s="973">
        <f>C78</f>
        <v/>
      </c>
      <c r="E106" s="1109">
        <f>IF(B106="Please select","",IF(AND(OR($C$2="North America",$C$2="Western Europe",$C$2="Eastern Europe",$C$2="Oceania"),(C106="Default")),VLOOKUP($B106,$N$36:$Q$54,4,FALSE),INDEX($N$36:$Q$54,MATCH($B106,$N$36:$N$54,0),MATCH($C106,$N$36:$Q$36,0))))</f>
        <v/>
      </c>
      <c r="F106" s="1109">
        <f>F78</f>
        <v/>
      </c>
      <c r="G106" s="1111">
        <f>G78</f>
        <v/>
      </c>
      <c r="H106" s="4718">
        <f>IF(B106="Please select",0,(IF(C106="Default",INDEX(N_excretion_rate_Default[#All],MATCH(Livestock!$C$2,N_excretion_rate_Default[[#All],[Please select]],0),MATCH(Livestock!B106,N_excretion_rate_Default[#Headers],0)),
IF(C106="Low-productivity",INDEX(N_excretion_rate_LP[#All],MATCH(Livestock!$C$2,N_excretion_rate_LP[[#All],[Please select]],0),MATCH(Livestock!B106,N_excretion_rate_LP[#Headers],0)),
IF(C106="High-productivity",INDEX(N_excretion_rate_HP[#All],MATCH(Livestock!$C$2,N_excretion_rate_HP[[#All],[Please select]],0),MATCH(Livestock!B106,N_excretion_rate_HP[#Headers],0)),0)))))</f>
        <v/>
      </c>
      <c r="I106" s="1110">
        <f>I78</f>
        <v/>
      </c>
      <c r="J106" s="1688">
        <f>J78</f>
        <v/>
      </c>
      <c r="K106" s="1688">
        <f>K78</f>
        <v/>
      </c>
      <c r="L106" s="1688">
        <f>L78</f>
        <v/>
      </c>
      <c r="M106" s="1688">
        <f>M78</f>
        <v/>
      </c>
      <c r="N106" s="1044">
        <f>IF(OR($M106="Regional share",$M106="Please select",$M106="Other (pls. specify EF)"),0,INDEX(INDIRECT(VLOOKUP(E106,list!$B$341:$D$342,1,FALSE)),MATCH(clim_moist,INDIRECT(VLOOKUP(E106,list!$B$341:$D$342,2,FALSE)),0),MATCH($M106,INDIRECT(VLOOKUP(E106,list!$B$341:$D$342,3,FALSE)),0))*Livestock!$H106*Livestock!$G106/1000*365)</f>
        <v/>
      </c>
      <c r="O106" s="1045">
        <f>IF('4.Grassland'!CC72="",'4.Grassland'!CB72,'4.Grassland'!CC72)</f>
        <v/>
      </c>
      <c r="P106" s="1044">
        <f>IFERROR(INDEX(INDIRECT(VLOOKUP(E106,list!$B$341:$D$342,1,FALSE)),MATCH(clim_moist,INDIRECT(VLOOKUP(E106,list!$B$341:$D$342,2,FALSE)),0),MATCH('4.Grassland'!$BH$53,INDIRECT(VLOOKUP(E106,list!$B$341:$D$342,3,FALSE)),0))*Livestock!$H106*Livestock!$G106/1000*365,0)*I106/100</f>
        <v/>
      </c>
      <c r="Q106" s="1044">
        <f>IF($B106="Please select",0,IF(OR($M106="Please select",$M106="Regional share"),SUMPRODUCT(INDEX(INDIRECT(VLOOKUP(E106,list!$B$341:$D$342,1,FALSE)),MATCH(clim_moist,INDIRECT(VLOOKUP(E106,list!$B$341:$D$342,2,FALSE)),0),0),INDEX(INDIRECT(VLOOKUP(F106,list!$B$288:$D$310,1,FALSE)),MATCH($C$2,INDIRECT(VLOOKUP(F106,list!$B$288:$D$310,2,FALSE)),0),0))/100*($H106*$G106/1000*365)-$P106,0))</f>
        <v/>
      </c>
      <c r="R106" s="2158">
        <f>IFERROR(IF(B106=$B$53,0,IF('4.Grassland'!$BS72="",($P106/($I106/100)*$J106/100+$O106*(1-$J106/100)+$Q106/(1-$I106/100)*(1-$J106/100)),('4.Grassland'!$BS72*$J106/100+$O106*(1-$J106/100)+$Q106*(1-$J106/100)))),0)</f>
        <v/>
      </c>
      <c r="S106" s="2159">
        <f>IFERROR(IF(B106=$B$53,0,IF('4.Grassland'!$BT72="",($P106/($I106/100)*$K106/100+$O106*(1-$K106/100)+$Q106/(1-$I106/100)*(1-$K106/100)),('4.Grassland'!$BT72*$K106/100+$O106*(1-$K106/100)+$Q106*(1-$K106/100)))),0)</f>
        <v/>
      </c>
      <c r="T106" s="1195">
        <f>IFERROR(IF(B106=$B$53,0,IF('4.Grassland'!$BU72="",($P106/($I106/100)*$L106/100+$O106*(1-$L106/100)+$Q106/(1-$I106/100)*(1-$L106/100)),('4.Grassland'!$BU72*$L106/100+$O106*(1-$L106/100)+$Q106*(1-$L106/100)))),0)</f>
        <v/>
      </c>
      <c r="V106" s="3496">
        <f>$R106*$H24/1000*44/28*Nitrous</f>
        <v/>
      </c>
      <c r="W106" s="1153">
        <f>$S106*$I24/1000*44/28*Nitrous</f>
        <v/>
      </c>
      <c r="X106" s="3505">
        <f>$T106*$K24/1000*44/28*Nitrous</f>
        <v/>
      </c>
      <c r="Z106" s="3496">
        <f>MIN($V106,$W106)*time_tot+ABS($W106-$V106)*IF($W106&gt;$V106,time_cap+time*(VLOOKUP($J24,list!$J$48:$K$50,2,0)),time*(1-(VLOOKUP($J24,list!$J$48:$K$50,2,0))))</f>
        <v/>
      </c>
      <c r="AA106" s="3505">
        <f>MIN($V106,$X106)*time_tot+ABS($X106-$V106)*IF($X106&gt;$V106,time_cap+time*(VLOOKUP($L24,list!$J$48:$K$50,2,0)),time*(1-(VLOOKUP($L24,list!$J$48:$K$50,2,0))))</f>
        <v/>
      </c>
      <c r="AB106" s="3517">
        <f>AA106-Z106</f>
        <v/>
      </c>
    </row>
    <row r="110">
      <c r="W110" s="1163" t="n"/>
      <c r="X110" s="1163" t="n"/>
      <c r="Y110" s="1653" t="inlineStr">
        <is>
          <t>Total Manure Management [N2O direct]</t>
        </is>
      </c>
      <c r="Z110" s="2276">
        <f>SUM(Z90:Z106)</f>
        <v/>
      </c>
      <c r="AA110" s="2276">
        <f>SUM(AA90:AA106)</f>
        <v/>
      </c>
      <c r="AB110" s="2276">
        <f>SUM(AB90:AB106)</f>
        <v/>
      </c>
    </row>
    <row r="112">
      <c r="B112" s="1596" t="inlineStr">
        <is>
          <t>INDIRECT EMISSIONS</t>
        </is>
      </c>
      <c r="C112" s="1588" t="n"/>
      <c r="D112" s="1588" t="n"/>
      <c r="E112" s="1588" t="n"/>
      <c r="F112" s="1588" t="n"/>
      <c r="G112" s="1588" t="n"/>
      <c r="H112" s="1588" t="n"/>
      <c r="I112" s="1588" t="n"/>
      <c r="J112" s="1588" t="n"/>
      <c r="K112" s="1588" t="n"/>
      <c r="L112" s="1588" t="n"/>
      <c r="M112" s="1588" t="n"/>
      <c r="N112" s="1588" t="n"/>
      <c r="O112" s="1588" t="n"/>
      <c r="P112" s="1588" t="n"/>
      <c r="Q112" s="1588" t="n"/>
      <c r="R112" s="1588" t="n"/>
      <c r="S112" s="1588" t="n"/>
      <c r="T112" s="1588" t="n"/>
      <c r="U112" s="1588" t="n"/>
      <c r="V112" s="1588" t="n"/>
      <c r="W112" s="1588" t="n"/>
      <c r="X112" s="1588" t="n"/>
      <c r="Y112" s="1588" t="n"/>
      <c r="Z112" s="1588" t="n"/>
      <c r="AA112" s="1588" t="n"/>
      <c r="AB112" s="1588" t="n"/>
      <c r="AC112" s="1588" t="n"/>
    </row>
    <row r="113">
      <c r="B113" s="1644" t="n"/>
      <c r="C113" s="1644" t="n"/>
      <c r="D113" s="1644" t="n"/>
      <c r="E113" s="1644" t="n"/>
    </row>
    <row r="114">
      <c r="G114" s="3489" t="n"/>
      <c r="H114" s="4566" t="inlineStr">
        <is>
          <t>Specific factors</t>
        </is>
      </c>
      <c r="M114" s="4567" t="inlineStr">
        <is>
          <t>Compl. manure mngt syst</t>
        </is>
      </c>
      <c r="N114" s="341" t="n"/>
      <c r="O114" s="341" t="n"/>
    </row>
    <row r="115">
      <c r="B115" s="2277" t="inlineStr">
        <is>
          <t>Nitrogen loss due to volatilization</t>
        </is>
      </c>
      <c r="G115" s="1576" t="inlineStr">
        <is>
          <t>TAM</t>
        </is>
      </c>
      <c r="H115" s="1281" t="inlineStr">
        <is>
          <t>N excretion rate</t>
        </is>
      </c>
      <c r="I115" s="1281" t="inlineStr">
        <is>
          <t xml:space="preserve">% corresponding to </t>
        </is>
      </c>
      <c r="L115" s="1659" t="n"/>
      <c r="M115" s="1659" t="n"/>
      <c r="N115" s="1671" t="inlineStr">
        <is>
          <t>Frac. Comp.</t>
        </is>
      </c>
      <c r="O115" s="1644" t="n"/>
      <c r="P115" s="1672" t="inlineStr">
        <is>
          <t>Frac PRP</t>
        </is>
      </c>
      <c r="Q115" s="1672" t="inlineStr">
        <is>
          <t>Frac default</t>
        </is>
      </c>
      <c r="V115" s="2167" t="inlineStr">
        <is>
          <t>Emissions from manure mngt [N2O]</t>
        </is>
      </c>
      <c r="W115" s="3489" t="n"/>
      <c r="X115" s="3489" t="n"/>
      <c r="Z115" s="1281" t="inlineStr">
        <is>
          <t>Total emissions (tCO2-eq)</t>
        </is>
      </c>
    </row>
    <row r="116" ht="16" customHeight="1">
      <c r="G116" s="1688" t="inlineStr">
        <is>
          <t>kg</t>
        </is>
      </c>
      <c r="H116" s="973" t="inlineStr">
        <is>
          <t>kg N/(1000kg TAM)/day</t>
        </is>
      </c>
      <c r="I116" s="2167">
        <f>AWMS_Dairy_Cattle[[#Headers],[Pasture/Range/Paddock]]</f>
        <v/>
      </c>
      <c r="J116" s="3489" t="n"/>
      <c r="K116" s="3502" t="n"/>
      <c r="L116" s="3502" t="n"/>
      <c r="M116" s="4567" t="inlineStr">
        <is>
          <t>Comp. MMS</t>
        </is>
      </c>
      <c r="N116" s="1670" t="n"/>
      <c r="V116" s="1281" t="inlineStr">
        <is>
          <t>tCO2-e/yr</t>
        </is>
      </c>
      <c r="W116" s="1100" t="n"/>
      <c r="X116" s="1101" t="n"/>
      <c r="Z116" s="1270" t="n"/>
      <c r="AA116" s="1116" t="n"/>
      <c r="AB116" s="1116" t="n"/>
      <c r="AE116" s="973" t="inlineStr">
        <is>
          <t>IMPLEMENTATION PHASE</t>
        </is>
      </c>
    </row>
    <row r="117" ht="16" customHeight="1">
      <c r="B117" s="1281">
        <f>B89</f>
        <v/>
      </c>
      <c r="C117" s="1281">
        <f>C89</f>
        <v/>
      </c>
      <c r="D117" s="1281" t="n"/>
      <c r="E117" s="1281" t="inlineStr">
        <is>
          <t>FRACgasMS</t>
        </is>
      </c>
      <c r="F117" s="1281">
        <f>F89</f>
        <v/>
      </c>
      <c r="G117" s="1688" t="inlineStr">
        <is>
          <t>IPCC</t>
        </is>
      </c>
      <c r="H117" s="1688" t="inlineStr">
        <is>
          <t>IPCC</t>
        </is>
      </c>
      <c r="I117" s="1688" t="inlineStr">
        <is>
          <t>IPCC</t>
        </is>
      </c>
      <c r="J117" s="1688" t="inlineStr">
        <is>
          <t>START</t>
        </is>
      </c>
      <c r="K117" s="1688" t="inlineStr">
        <is>
          <t>WITHOUT</t>
        </is>
      </c>
      <c r="L117" s="1688" t="inlineStr">
        <is>
          <t>WITH</t>
        </is>
      </c>
      <c r="M117" s="1688" t="n"/>
      <c r="N117" s="1688" t="inlineStr">
        <is>
          <t>IPCC</t>
        </is>
      </c>
      <c r="O117" s="1300" t="inlineStr">
        <is>
          <t>Tier 2</t>
        </is>
      </c>
      <c r="Q117" s="1688" t="inlineStr">
        <is>
          <t>IPCC</t>
        </is>
      </c>
      <c r="R117" s="1688" t="inlineStr">
        <is>
          <t>START</t>
        </is>
      </c>
      <c r="S117" s="1688" t="inlineStr">
        <is>
          <t>WITHOUT</t>
        </is>
      </c>
      <c r="T117" s="1688" t="inlineStr">
        <is>
          <t>WITH</t>
        </is>
      </c>
      <c r="V117" s="1688" t="inlineStr">
        <is>
          <t>START</t>
        </is>
      </c>
      <c r="W117" s="1102" t="inlineStr">
        <is>
          <t>W/OUT</t>
        </is>
      </c>
      <c r="X117" s="1103" t="inlineStr">
        <is>
          <t>WITH</t>
        </is>
      </c>
      <c r="Z117" s="1521" t="inlineStr">
        <is>
          <t>W/OUT</t>
        </is>
      </c>
      <c r="AA117" s="1101" t="inlineStr">
        <is>
          <t>WITH</t>
        </is>
      </c>
      <c r="AB117" s="1116" t="inlineStr">
        <is>
          <t>BALANCE</t>
        </is>
      </c>
      <c r="AE117" s="1102" t="inlineStr">
        <is>
          <t>WITHOUT</t>
        </is>
      </c>
      <c r="AF117" s="1103" t="inlineStr">
        <is>
          <t>WITH</t>
        </is>
      </c>
    </row>
    <row r="118">
      <c r="B118" s="973">
        <f>B90</f>
        <v/>
      </c>
      <c r="C118" s="973">
        <f>C90</f>
        <v/>
      </c>
      <c r="E118" s="1109">
        <f>IF(B62="Please select","",IF(AND(OR($C$2="North America",$C$2="Western Europe",$C$2="Eastern Europe",$C$2="Oceania"),(C118="Default")),VLOOKUP($B118,$T$36:$W$54,4,FALSE),INDEX($T$36:$W$54,MATCH($B118,$T$36:$T$54,0),MATCH($C118,$T$36:$W$36,0))))</f>
        <v/>
      </c>
      <c r="F118" s="1109">
        <f>F90</f>
        <v/>
      </c>
      <c r="G118" s="1111">
        <f>G90</f>
        <v/>
      </c>
      <c r="H118" s="1044">
        <f>H90</f>
        <v/>
      </c>
      <c r="I118" s="1110">
        <f>I90</f>
        <v/>
      </c>
      <c r="J118" s="1688">
        <f>J90</f>
        <v/>
      </c>
      <c r="K118" s="1688">
        <f>K90</f>
        <v/>
      </c>
      <c r="L118" s="1688">
        <f>L90</f>
        <v/>
      </c>
      <c r="M118" s="1688">
        <f>M90</f>
        <v/>
      </c>
      <c r="N118" s="1044">
        <f>IF(OR($M118="Regional share",$M118="Please select",$M118="Other (pls. specify EF)"),0,INDEX(INDIRECT(VLOOKUP(E118,list!$B$344:$D$347,1,FALSE)),MATCH(clim_moist,INDIRECT(VLOOKUP(E118,list!$B$344:$D$347,2,FALSE)),0),MATCH($M118,INDIRECT(VLOOKUP(E118,list!$B$344:$D$347,3,FALSE)),0))*Livestock!$H118*Livestock!$G118/1000*365)</f>
        <v/>
      </c>
      <c r="O118" s="1045">
        <f>N118</f>
        <v/>
      </c>
      <c r="P118" s="1044">
        <f>IFERROR(INDEX(INDIRECT(VLOOKUP(E118,list!$B$344:$D$347,1,FALSE)),MATCH(clim_moist,INDIRECT(VLOOKUP(E118,list!$B$344:$D$347,2,FALSE)),0),MATCH('4.Grassland'!$BH$53,INDIRECT(VLOOKUP(E118,list!$B$344:$D$347,3,FALSE)),0))*Livestock!$H118*Livestock!$G118/1000*365,0)*I118/100</f>
        <v/>
      </c>
      <c r="Q118" s="1044">
        <f>IF($B118="Please select",0,IF(OR($M118="Please select",$M118="Regional share"),SUMPRODUCT(INDEX(INDIRECT(VLOOKUP(E118,list!$B$344:$D$347,1,FALSE)),MATCH(clim_moist,INDIRECT(VLOOKUP(E118,list!$B$344:$D$347,2,FALSE)),0),0),INDEX(INDIRECT(VLOOKUP(F118,list!$B$288:$D$310,1,FALSE)),MATCH($C$2,INDIRECT(VLOOKUP(F118,list!$B$288:$D$310,2,FALSE)),0),0))/100*($H118*$G118/1000*365)-$P118,0))</f>
        <v/>
      </c>
      <c r="R118" s="2158">
        <f>IFERROR(($P118/($I118/100)*$J118/100+$O118*(1-$J118/100)+$Q118/(1-$I118/100)*(1-$J118/100)),0)</f>
        <v/>
      </c>
      <c r="S118" s="2158">
        <f>IFERROR(($P118/($I118/100)*$K118/100+$O118*(1-$K118/100)+$Q118/(1-$I118/100)*(1-$K118/100)),0)</f>
        <v/>
      </c>
      <c r="T118" s="2158">
        <f>IFERROR(($P118/($I118/100)*$L118/100+$O118*(1-$L118/100)+$Q118/(1-$I118/100)*(1-$L118/100)),0)</f>
        <v/>
      </c>
      <c r="V118" s="3493">
        <f>IF(moist_type="Dry",0.005,IF(moist_type="Wet",0.014,0.01))*$R118*$H8/1000*44/28*Nitrous</f>
        <v/>
      </c>
      <c r="W118" s="1151">
        <f>IF(moist_type="Dry",0.005,IF(moist_type="Wet",0.014,0.01))*$S118*$I8/1000*44/28*Nitrous</f>
        <v/>
      </c>
      <c r="X118" s="3494">
        <f>IF(moist_type="Dry",0.005,IF(moist_type="Wet",0.014,0.01))*$T118*$K8/1000*44/28*Nitrous</f>
        <v/>
      </c>
      <c r="Y118" s="992" t="n"/>
      <c r="Z118" s="3493">
        <f>MIN($V118,$W118)*time_tot+ABS($W118-$V118)*IF($W118&gt;$V118,time_cap+time*(VLOOKUP($J8,list!$J$48:$K$50,2,0)),time*(1-(VLOOKUP($J8,list!$J$48:$K$50,2,0))))</f>
        <v/>
      </c>
      <c r="AA118" s="3494">
        <f>MIN($V118,$X118)*time_tot+ABS($X118-$V118)*IF($X118&gt;$V118,time_cap+time*(VLOOKUP($L8,list!$J$48:$K$50,2,0)),time*(1-(VLOOKUP($L8,list!$J$48:$K$50,2,0))))</f>
        <v/>
      </c>
      <c r="AB118" s="3516">
        <f>AA118-Z118</f>
        <v/>
      </c>
      <c r="AE118" s="992">
        <f>MIN($V118,$W118)*time+ABS($W118-$V118)*IF($W118&gt;$V118,time*(VLOOKUP($J8,list!$J$48:$K$50,2,)),time*(1-(VLOOKUP($J8,list!$J$48:$K$50,2,))))</f>
        <v/>
      </c>
      <c r="AF118" s="992">
        <f>MIN($V118,$X118)*time+ABS($X118-$V118)*IF($X118&gt;$V118,time*(VLOOKUP($L8,list!$J$48:$K$50,2,)),time*(1-(VLOOKUP($L8,list!$J$48:$K$50,2,))))</f>
        <v/>
      </c>
    </row>
    <row r="119">
      <c r="B119" s="973">
        <f>B91</f>
        <v/>
      </c>
      <c r="C119" s="973">
        <f>C91</f>
        <v/>
      </c>
      <c r="E119" s="1109">
        <f>IF(B63="Please select","",IF(AND(OR($C$2="North America",$C$2="Western Europe",$C$2="Eastern Europe",$C$2="Oceania"),(C119="Default")),VLOOKUP($B119,$T$36:$W$54,4,FALSE),INDEX($T$36:$W$54,MATCH($B119,$T$36:$T$54,0),MATCH($C119,$T$36:$W$36,0))))</f>
        <v/>
      </c>
      <c r="F119" s="1109">
        <f>F91</f>
        <v/>
      </c>
      <c r="G119" s="1111">
        <f>G91</f>
        <v/>
      </c>
      <c r="H119" s="1044">
        <f>H91</f>
        <v/>
      </c>
      <c r="I119" s="1110">
        <f>I91</f>
        <v/>
      </c>
      <c r="J119" s="1688">
        <f>J91</f>
        <v/>
      </c>
      <c r="K119" s="1688">
        <f>K91</f>
        <v/>
      </c>
      <c r="L119" s="1688">
        <f>L91</f>
        <v/>
      </c>
      <c r="M119" s="1688">
        <f>M91</f>
        <v/>
      </c>
      <c r="N119" s="1044">
        <f>IF(OR($M119="Regional share",$M119="Please select",$M119="Other (pls. specify EF)"),0,INDEX(INDIRECT(VLOOKUP(E119,list!$B$344:$D$347,1,FALSE)),MATCH(clim_moist,INDIRECT(VLOOKUP(E119,list!$B$344:$D$347,2,FALSE)),0),MATCH($M119,INDIRECT(VLOOKUP(E119,list!$B$344:$D$347,3,FALSE)),0))*Livestock!$H119*Livestock!$G119/1000*365)</f>
        <v/>
      </c>
      <c r="O119" s="1045">
        <f>N119</f>
        <v/>
      </c>
      <c r="P119" s="1044">
        <f>IFERROR(INDEX(INDIRECT(VLOOKUP(E119,list!$B$344:$D$347,1,FALSE)),MATCH(clim_moist,INDIRECT(VLOOKUP(E119,list!$B$344:$D$347,2,FALSE)),0),MATCH('4.Grassland'!$BH$53,INDIRECT(VLOOKUP(E119,list!$B$344:$D$347,3,FALSE)),0))*Livestock!$H119*Livestock!$G119/1000*365,0)*I119/100</f>
        <v/>
      </c>
      <c r="Q119" s="1044">
        <f>IF($B119="Please select",0,IF(OR($M119="Please select",$M119="Regional share"),SUMPRODUCT(INDEX(INDIRECT(VLOOKUP(E119,list!$B$344:$D$347,1,FALSE)),MATCH(clim_moist,INDIRECT(VLOOKUP(E119,list!$B$344:$D$347,2,FALSE)),0),0),INDEX(INDIRECT(VLOOKUP(F119,list!$B$288:$D$310,1,FALSE)),MATCH($C$2,INDIRECT(VLOOKUP(F119,list!$B$288:$D$310,2,FALSE)),0),0))/100*($H119*$G119/1000*365)-$P119,0))</f>
        <v/>
      </c>
      <c r="R119" s="2158">
        <f>IFERROR(($P119/($I119/100)*$J119/100+$O119*(1-$J119/100)+$Q119/(1-$I119/100)*(1-$J119/100)),0)</f>
        <v/>
      </c>
      <c r="S119" s="2158">
        <f>IFERROR(($P119/($I119/100)*$K119/100+$O119*(1-$K119/100)+$Q119/(1-$I119/100)*(1-$K119/100)),0)</f>
        <v/>
      </c>
      <c r="T119" s="2158">
        <f>IFERROR(($P119/($I119/100)*$L119/100+$O119*(1-$L119/100)+$Q119/(1-$I119/100)*(1-$L119/100)),0)</f>
        <v/>
      </c>
      <c r="V119" s="3493">
        <f>IF(moist_type="Dry",0.005,IF(moist_type="Wet",0.014,0.01))*$R119*$H9/1000*44/28*Nitrous</f>
        <v/>
      </c>
      <c r="W119" s="1151">
        <f>IF(moist_type="Dry",0.005,IF(moist_type="Wet",0.014,0.01))*$S119*$I9/1000*44/28*Nitrous</f>
        <v/>
      </c>
      <c r="X119" s="3494">
        <f>IF(moist_type="Dry",0.005,IF(moist_type="Wet",0.014,0.01))*$T119*$K9/1000*44/28*Nitrous</f>
        <v/>
      </c>
      <c r="Y119" s="992" t="n"/>
      <c r="Z119" s="3495">
        <f>MIN($V119,$W119)*time_tot+ABS($W119-$V119)*IF($W119&gt;$V119,time_cap+time*(VLOOKUP($J9,list!$J$48:$K$50,2,0)),time*(1-(VLOOKUP($J9,list!$J$48:$K$50,2,0))))</f>
        <v/>
      </c>
      <c r="AA119" s="3504">
        <f>MIN($V119,$X119)*time_tot+ABS($X119-$V119)*IF($X119&gt;$V119,time_cap+time*(VLOOKUP($L9,list!$J$48:$K$50,2,0)),time*(1-(VLOOKUP($L9,list!$J$48:$K$50,2,0))))</f>
        <v/>
      </c>
      <c r="AB119" s="2166">
        <f>AA119-Z119</f>
        <v/>
      </c>
      <c r="AE119" s="992">
        <f>MIN($V119,$W119)*time+ABS($W119-$V119)*IF($W119&gt;$V119,time*(VLOOKUP($J9,list!$J$48:$K$50,2,)),time*(1-(VLOOKUP($J9,list!$J$48:$K$50,2,))))</f>
        <v/>
      </c>
      <c r="AF119" s="992">
        <f>MIN($V119,$X119)*time+ABS($X119-$V119)*IF($X119&gt;$V119,time*(VLOOKUP($L9,list!$J$48:$K$50,2,)),time*(1-(VLOOKUP($L9,list!$J$48:$K$50,2,))))</f>
        <v/>
      </c>
    </row>
    <row r="120">
      <c r="B120" s="973">
        <f>B92</f>
        <v/>
      </c>
      <c r="C120" s="973">
        <f>C92</f>
        <v/>
      </c>
      <c r="E120" s="1109">
        <f>IF(B64="Please select","",IF(AND(OR($C$2="North America",$C$2="Western Europe",$C$2="Eastern Europe",$C$2="Oceania"),(C120="Default")),VLOOKUP($B120,$T$36:$W$54,4,FALSE),INDEX($T$36:$W$54,MATCH($B120,$T$36:$T$54,0),MATCH($C120,$T$36:$W$36,0))))</f>
        <v/>
      </c>
      <c r="F120" s="1109">
        <f>F92</f>
        <v/>
      </c>
      <c r="G120" s="1111">
        <f>G92</f>
        <v/>
      </c>
      <c r="H120" s="1044">
        <f>H92</f>
        <v/>
      </c>
      <c r="I120" s="1110">
        <f>I92</f>
        <v/>
      </c>
      <c r="J120" s="1688">
        <f>J92</f>
        <v/>
      </c>
      <c r="K120" s="1688">
        <f>K92</f>
        <v/>
      </c>
      <c r="L120" s="1688">
        <f>L92</f>
        <v/>
      </c>
      <c r="M120" s="1688">
        <f>M92</f>
        <v/>
      </c>
      <c r="N120" s="1044">
        <f>IF(OR($M120="Regional share",$M120="Please select",$M120="Other (pls. specify EF)"),0,INDEX(INDIRECT(VLOOKUP(E120,list!$B$344:$D$347,1,FALSE)),MATCH(clim_moist,INDIRECT(VLOOKUP(E120,list!$B$344:$D$347,2,FALSE)),0),MATCH($M120,INDIRECT(VLOOKUP(E120,list!$B$344:$D$347,3,FALSE)),0))*Livestock!$H120*Livestock!$G120/1000*365)</f>
        <v/>
      </c>
      <c r="O120" s="1045">
        <f>N120</f>
        <v/>
      </c>
      <c r="P120" s="1044">
        <f>IFERROR(INDEX(INDIRECT(VLOOKUP(E120,list!$B$344:$D$347,1,FALSE)),MATCH(clim_moist,INDIRECT(VLOOKUP(E120,list!$B$344:$D$347,2,FALSE)),0),MATCH('4.Grassland'!$BH$53,INDIRECT(VLOOKUP(E120,list!$B$344:$D$347,3,FALSE)),0))*Livestock!$H120*Livestock!$G120/1000*365,0)*I120/100</f>
        <v/>
      </c>
      <c r="Q120" s="1044">
        <f>IF($B120="Please select",0,IF(OR($M120="Please select",$M120="Regional share"),SUMPRODUCT(INDEX(INDIRECT(VLOOKUP(E120,list!$B$344:$D$347,1,FALSE)),MATCH(clim_moist,INDIRECT(VLOOKUP(E120,list!$B$344:$D$347,2,FALSE)),0),0),INDEX(INDIRECT(VLOOKUP(F120,list!$B$288:$D$310,1,FALSE)),MATCH($C$2,INDIRECT(VLOOKUP(F120,list!$B$288:$D$310,2,FALSE)),0),0))/100*($H120*$G120/1000*365)-$P120,0))</f>
        <v/>
      </c>
      <c r="R120" s="2158">
        <f>IFERROR(($P120/($I120/100)*$J120/100+$O120*(1-$J120/100)+$Q120/(1-$I120/100)*(1-$J120/100)),0)</f>
        <v/>
      </c>
      <c r="S120" s="2158">
        <f>IFERROR(($P120/($I120/100)*$K120/100+$O120*(1-$K120/100)+$Q120/(1-$I120/100)*(1-$K120/100)),0)</f>
        <v/>
      </c>
      <c r="T120" s="2158">
        <f>IFERROR(($P120/($I120/100)*$L120/100+$O120*(1-$L120/100)+$Q120/(1-$I120/100)*(1-$L120/100)),0)</f>
        <v/>
      </c>
      <c r="V120" s="3493">
        <f>IF(moist_type="Dry",0.005,IF(moist_type="Wet",0.014,0.01))*$R120*$H10/1000*44/28*Nitrous</f>
        <v/>
      </c>
      <c r="W120" s="1151">
        <f>IF(moist_type="Dry",0.005,IF(moist_type="Wet",0.014,0.01))*$S120*$I10/1000*44/28*Nitrous</f>
        <v/>
      </c>
      <c r="X120" s="3494">
        <f>IF(moist_type="Dry",0.005,IF(moist_type="Wet",0.014,0.01))*$T120*$K10/1000*44/28*Nitrous</f>
        <v/>
      </c>
      <c r="Y120" s="992" t="n"/>
      <c r="Z120" s="3495">
        <f>MIN($V120,$W120)*time_tot+ABS($W120-$V120)*IF($W120&gt;$V120,time_cap+time*(VLOOKUP($J10,list!$J$48:$K$50,2,0)),time*(1-(VLOOKUP($J10,list!$J$48:$K$50,2,0))))</f>
        <v/>
      </c>
      <c r="AA120" s="3504">
        <f>MIN($V120,$X120)*time_tot+ABS($X120-$V120)*IF($X120&gt;$V120,time_cap+time*(VLOOKUP($L10,list!$J$48:$K$50,2,0)),time*(1-(VLOOKUP($L10,list!$J$48:$K$50,2,0))))</f>
        <v/>
      </c>
      <c r="AB120" s="2166">
        <f>AA120-Z120</f>
        <v/>
      </c>
      <c r="AE120" s="992">
        <f>MIN($V120,$W120)*time+ABS($W120-$V120)*IF($W120&gt;$V120,time*(VLOOKUP($J10,list!$J$48:$K$50,2,)),time*(1-(VLOOKUP($J10,list!$J$48:$K$50,2,))))</f>
        <v/>
      </c>
      <c r="AF120" s="992">
        <f>MIN($V120,$X120)*time+ABS($X120-$V120)*IF($X120&gt;$V120,time*(VLOOKUP($L10,list!$J$48:$K$50,2,)),time*(1-(VLOOKUP($L10,list!$J$48:$K$50,2,))))</f>
        <v/>
      </c>
    </row>
    <row r="121">
      <c r="B121" s="973">
        <f>B93</f>
        <v/>
      </c>
      <c r="C121" s="973">
        <f>C93</f>
        <v/>
      </c>
      <c r="E121" s="1109">
        <f>IF(B65="Please select","",IF(AND(OR($C$2="North America",$C$2="Western Europe",$C$2="Eastern Europe",$C$2="Oceania"),(C121="Default")),VLOOKUP($B121,$T$36:$W$54,4,FALSE),INDEX($T$36:$W$54,MATCH($B121,$T$36:$T$54,0),MATCH($C121,$T$36:$W$36,0))))</f>
        <v/>
      </c>
      <c r="F121" s="1109">
        <f>F93</f>
        <v/>
      </c>
      <c r="G121" s="1111">
        <f>G93</f>
        <v/>
      </c>
      <c r="H121" s="1044">
        <f>H93</f>
        <v/>
      </c>
      <c r="I121" s="1110">
        <f>I93</f>
        <v/>
      </c>
      <c r="J121" s="1688">
        <f>J93</f>
        <v/>
      </c>
      <c r="K121" s="1688">
        <f>K93</f>
        <v/>
      </c>
      <c r="L121" s="1688">
        <f>L93</f>
        <v/>
      </c>
      <c r="M121" s="1688">
        <f>M93</f>
        <v/>
      </c>
      <c r="N121" s="1044">
        <f>IF(OR($M121="Regional share",$M121="Please select",$M121="Other (pls. specify EF)"),0,INDEX(INDIRECT(VLOOKUP(E121,list!$B$344:$D$347,1,FALSE)),MATCH(clim_moist,INDIRECT(VLOOKUP(E121,list!$B$344:$D$347,2,FALSE)),0),MATCH($M121,INDIRECT(VLOOKUP(E121,list!$B$344:$D$347,3,FALSE)),0))*Livestock!$H121*Livestock!$G121/1000*365)</f>
        <v/>
      </c>
      <c r="O121" s="1045">
        <f>N121</f>
        <v/>
      </c>
      <c r="P121" s="1044">
        <f>IFERROR(INDEX(INDIRECT(VLOOKUP(E121,list!$B$344:$D$347,1,FALSE)),MATCH(clim_moist,INDIRECT(VLOOKUP(E121,list!$B$344:$D$347,2,FALSE)),0),MATCH('4.Grassland'!$BH$53,INDIRECT(VLOOKUP(E121,list!$B$344:$D$347,3,FALSE)),0))*Livestock!$H121*Livestock!$G121/1000*365,0)*I121/100</f>
        <v/>
      </c>
      <c r="Q121" s="1044">
        <f>IF($B121="Please select",0,IF(OR($M121="Please select",$M121="Regional share"),SUMPRODUCT(INDEX(INDIRECT(VLOOKUP(E121,list!$B$344:$D$347,1,FALSE)),MATCH(clim_moist,INDIRECT(VLOOKUP(E121,list!$B$344:$D$347,2,FALSE)),0),0),INDEX(INDIRECT(VLOOKUP(F121,list!$B$288:$D$310,1,FALSE)),MATCH($C$2,INDIRECT(VLOOKUP(F121,list!$B$288:$D$310,2,FALSE)),0),0))/100*($H121*$G121/1000*365)-$P121,0))</f>
        <v/>
      </c>
      <c r="R121" s="2158">
        <f>IFERROR(($P121/($I121/100)*$J121/100+$O121*(1-$J121/100)+$Q121/(1-$I121/100)*(1-$J121/100)),0)</f>
        <v/>
      </c>
      <c r="S121" s="2158">
        <f>IFERROR(($P121/($I121/100)*$K121/100+$O121*(1-$K121/100)+$Q121/(1-$I121/100)*(1-$K121/100)),0)</f>
        <v/>
      </c>
      <c r="T121" s="2158">
        <f>IFERROR(($P121/($I121/100)*$L121/100+$O121*(1-$L121/100)+$Q121/(1-$I121/100)*(1-$L121/100)),0)</f>
        <v/>
      </c>
      <c r="V121" s="3493">
        <f>IF(moist_type="Dry",0.005,IF(moist_type="Wet",0.014,0.01))*$R121*$H11/1000*44/28*Nitrous</f>
        <v/>
      </c>
      <c r="W121" s="1151">
        <f>IF(moist_type="Dry",0.005,IF(moist_type="Wet",0.014,0.01))*$S121*$I11/1000*44/28*Nitrous</f>
        <v/>
      </c>
      <c r="X121" s="3494">
        <f>IF(moist_type="Dry",0.005,IF(moist_type="Wet",0.014,0.01))*$T121*$K11/1000*44/28*Nitrous</f>
        <v/>
      </c>
      <c r="Y121" s="992" t="n"/>
      <c r="Z121" s="3495">
        <f>MIN($V121,$W121)*time_tot+ABS($W121-$V121)*IF($W121&gt;$V121,time_cap+time*(VLOOKUP($J11,list!$J$48:$K$50,2,0)),time*(1-(VLOOKUP($J11,list!$J$48:$K$50,2,0))))</f>
        <v/>
      </c>
      <c r="AA121" s="3504">
        <f>MIN($V121,$X121)*time_tot+ABS($X121-$V121)*IF($X121&gt;$V121,time_cap+time*(VLOOKUP($L11,list!$J$48:$K$50,2,0)),time*(1-(VLOOKUP($L11,list!$J$48:$K$50,2,0))))</f>
        <v/>
      </c>
      <c r="AB121" s="2166">
        <f>AA121-Z121</f>
        <v/>
      </c>
      <c r="AE121" s="992">
        <f>MIN($V121,$W121)*time+ABS($W121-$V121)*IF($W121&gt;$V121,time*(VLOOKUP($J11,list!$J$48:$K$50,2,)),time*(1-(VLOOKUP($J11,list!$J$48:$K$50,2,))))</f>
        <v/>
      </c>
      <c r="AF121" s="992">
        <f>MIN($V121,$X121)*time+ABS($X121-$V121)*IF($X121&gt;$V121,time*(VLOOKUP($L11,list!$J$48:$K$50,2,)),time*(1-(VLOOKUP($L11,list!$J$48:$K$50,2,))))</f>
        <v/>
      </c>
    </row>
    <row r="122">
      <c r="B122" s="973">
        <f>B94</f>
        <v/>
      </c>
      <c r="C122" s="973">
        <f>C94</f>
        <v/>
      </c>
      <c r="E122" s="1109">
        <f>IF(B66="Please select","",IF(AND(OR($C$2="North America",$C$2="Western Europe",$C$2="Eastern Europe",$C$2="Oceania"),(C122="Default")),VLOOKUP($B122,$T$36:$W$54,4,FALSE),INDEX($T$36:$W$54,MATCH($B122,$T$36:$T$54,0),MATCH($C122,$T$36:$W$36,0))))</f>
        <v/>
      </c>
      <c r="F122" s="1109">
        <f>F94</f>
        <v/>
      </c>
      <c r="G122" s="1111">
        <f>G94</f>
        <v/>
      </c>
      <c r="H122" s="1044">
        <f>H94</f>
        <v/>
      </c>
      <c r="I122" s="1110">
        <f>I94</f>
        <v/>
      </c>
      <c r="J122" s="1688">
        <f>J94</f>
        <v/>
      </c>
      <c r="K122" s="1688">
        <f>K94</f>
        <v/>
      </c>
      <c r="L122" s="1688">
        <f>L94</f>
        <v/>
      </c>
      <c r="M122" s="1688">
        <f>M94</f>
        <v/>
      </c>
      <c r="N122" s="1044">
        <f>IF(OR($M122="Regional share",$M122="Please select",$M122="Other (pls. specify EF)"),0,INDEX(INDIRECT(VLOOKUP(E122,list!$B$344:$D$347,1,FALSE)),MATCH(clim_moist,INDIRECT(VLOOKUP(E122,list!$B$344:$D$347,2,FALSE)),0),MATCH($M122,INDIRECT(VLOOKUP(E122,list!$B$344:$D$347,3,FALSE)),0))*Livestock!$H122*Livestock!$G122/1000*365)</f>
        <v/>
      </c>
      <c r="O122" s="1045">
        <f>N122</f>
        <v/>
      </c>
      <c r="P122" s="1044">
        <f>IFERROR(INDEX(INDIRECT(VLOOKUP(E122,list!$B$344:$D$347,1,FALSE)),MATCH(clim_moist,INDIRECT(VLOOKUP(E122,list!$B$344:$D$347,2,FALSE)),0),MATCH('4.Grassland'!$BH$53,INDIRECT(VLOOKUP(E122,list!$B$344:$D$347,3,FALSE)),0))*Livestock!$H122*Livestock!$G122/1000*365,0)*I122/100</f>
        <v/>
      </c>
      <c r="Q122" s="1044">
        <f>IF($B122="Please select",0,IF(OR($M122="Please select",$M122="Regional share"),SUMPRODUCT(INDEX(INDIRECT(VLOOKUP(E122,list!$B$344:$D$347,1,FALSE)),MATCH(clim_moist,INDIRECT(VLOOKUP(E122,list!$B$344:$D$347,2,FALSE)),0),0),INDEX(INDIRECT(VLOOKUP(F122,list!$B$288:$D$310,1,FALSE)),MATCH($C$2,INDIRECT(VLOOKUP(F122,list!$B$288:$D$310,2,FALSE)),0),0))/100*($H122*$G122/1000*365)-$P122,0))</f>
        <v/>
      </c>
      <c r="R122" s="2158">
        <f>IFERROR(($P122/($I122/100)*$J122/100+$O122*(1-$J122/100)+$Q122/(1-$I122/100)*(1-$J122/100)),0)</f>
        <v/>
      </c>
      <c r="S122" s="2158">
        <f>IFERROR(($P122/($I122/100)*$K122/100+$O122*(1-$K122/100)+$Q122/(1-$I122/100)*(1-$K122/100)),0)</f>
        <v/>
      </c>
      <c r="T122" s="2158">
        <f>IFERROR(($P122/($I122/100)*$L122/100+$O122*(1-$L122/100)+$Q122/(1-$I122/100)*(1-$L122/100)),0)</f>
        <v/>
      </c>
      <c r="V122" s="3493">
        <f>IF(moist_type="Dry",0.005,IF(moist_type="Wet",0.014,0.01))*$R122*$H12/1000*44/28*Nitrous</f>
        <v/>
      </c>
      <c r="W122" s="1151">
        <f>IF(moist_type="Dry",0.005,IF(moist_type="Wet",0.014,0.01))*$S122*$I12/1000*44/28*Nitrous</f>
        <v/>
      </c>
      <c r="X122" s="3494">
        <f>IF(moist_type="Dry",0.005,IF(moist_type="Wet",0.014,0.01))*$T122*$K12/1000*44/28*Nitrous</f>
        <v/>
      </c>
      <c r="Y122" s="992" t="n"/>
      <c r="Z122" s="3495">
        <f>MIN($V122,$W122)*time_tot+ABS($W122-$V122)*IF($W122&gt;$V122,time_cap+time*(VLOOKUP($J12,list!$J$48:$K$50,2,0)),time*(1-(VLOOKUP($J12,list!$J$48:$K$50,2,0))))</f>
        <v/>
      </c>
      <c r="AA122" s="3504">
        <f>MIN($V122,$X122)*time_tot+ABS($X122-$V122)*IF($X122&gt;$V122,time_cap+time*(VLOOKUP($L12,list!$J$48:$K$50,2,0)),time*(1-(VLOOKUP($L12,list!$J$48:$K$50,2,0))))</f>
        <v/>
      </c>
      <c r="AB122" s="2166">
        <f>AA122-Z122</f>
        <v/>
      </c>
      <c r="AE122" s="992">
        <f>MIN($V122,$W122)*time+ABS($W122-$V122)*IF($W122&gt;$V122,time*(VLOOKUP($J12,list!$J$48:$K$50,2,)),time*(1-(VLOOKUP($J12,list!$J$48:$K$50,2,))))</f>
        <v/>
      </c>
      <c r="AF122" s="992">
        <f>MIN($V122,$X122)*time+ABS($X122-$V122)*IF($X122&gt;$V122,time*(VLOOKUP($L12,list!$J$48:$K$50,2,)),time*(1-(VLOOKUP($L12,list!$J$48:$K$50,2,))))</f>
        <v/>
      </c>
    </row>
    <row r="123">
      <c r="B123" s="973">
        <f>B95</f>
        <v/>
      </c>
      <c r="C123" s="973">
        <f>C95</f>
        <v/>
      </c>
      <c r="E123" s="1109">
        <f>IF(B67="Please select","",IF(AND(OR($C$2="North America",$C$2="Western Europe",$C$2="Eastern Europe",$C$2="Oceania"),(C123="Default")),VLOOKUP($B123,$T$36:$W$54,4,FALSE),INDEX($T$36:$W$54,MATCH($B123,$T$36:$T$54,0),MATCH($C123,$T$36:$W$36,0))))</f>
        <v/>
      </c>
      <c r="F123" s="1109">
        <f>F95</f>
        <v/>
      </c>
      <c r="G123" s="1111">
        <f>G95</f>
        <v/>
      </c>
      <c r="H123" s="1044">
        <f>H95</f>
        <v/>
      </c>
      <c r="I123" s="1110">
        <f>I95</f>
        <v/>
      </c>
      <c r="J123" s="1688">
        <f>J95</f>
        <v/>
      </c>
      <c r="K123" s="1688">
        <f>K95</f>
        <v/>
      </c>
      <c r="L123" s="1688">
        <f>L95</f>
        <v/>
      </c>
      <c r="M123" s="1688">
        <f>M95</f>
        <v/>
      </c>
      <c r="N123" s="1044">
        <f>IF(OR($M123="Regional share",$M123="Please select",$M123="Other (pls. specify EF)"),0,INDEX(INDIRECT(VLOOKUP(E123,list!$B$344:$D$347,1,FALSE)),MATCH(clim_moist,INDIRECT(VLOOKUP(E123,list!$B$344:$D$347,2,FALSE)),0),MATCH($M123,INDIRECT(VLOOKUP(E123,list!$B$344:$D$347,3,FALSE)),0))*Livestock!$H123*Livestock!$G123/1000*365)</f>
        <v/>
      </c>
      <c r="O123" s="1045">
        <f>N123</f>
        <v/>
      </c>
      <c r="P123" s="1044">
        <f>IFERROR(INDEX(INDIRECT(VLOOKUP(E123,list!$B$344:$D$347,1,FALSE)),MATCH(clim_moist,INDIRECT(VLOOKUP(E123,list!$B$344:$D$347,2,FALSE)),0),MATCH('4.Grassland'!$BH$53,INDIRECT(VLOOKUP(E123,list!$B$344:$D$347,3,FALSE)),0))*Livestock!$H123*Livestock!$G123/1000*365,0)*I123/100</f>
        <v/>
      </c>
      <c r="Q123" s="1044">
        <f>IF($B123="Please select",0,IF(OR($M123="Please select",$M123="Regional share"),SUMPRODUCT(INDEX(INDIRECT(VLOOKUP(E123,list!$B$344:$D$347,1,FALSE)),MATCH(clim_moist,INDIRECT(VLOOKUP(E123,list!$B$344:$D$347,2,FALSE)),0),0),INDEX(INDIRECT(VLOOKUP(F123,list!$B$288:$D$310,1,FALSE)),MATCH($C$2,INDIRECT(VLOOKUP(F123,list!$B$288:$D$310,2,FALSE)),0),0))/100*($H123*$G123/1000*365)-$P123,0))</f>
        <v/>
      </c>
      <c r="R123" s="2158">
        <f>IFERROR(($P123/($I123/100)*$J123/100+$O123*(1-$J123/100)+$Q123/(1-$I123/100)*(1-$J123/100)),0)</f>
        <v/>
      </c>
      <c r="S123" s="2158">
        <f>IFERROR(($P123/($I123/100)*$K123/100+$O123*(1-$K123/100)+$Q123/(1-$I123/100)*(1-$K123/100)),0)</f>
        <v/>
      </c>
      <c r="T123" s="2158">
        <f>IFERROR(($P123/($I123/100)*$L123/100+$O123*(1-$L123/100)+$Q123/(1-$I123/100)*(1-$L123/100)),0)</f>
        <v/>
      </c>
      <c r="V123" s="3493">
        <f>IF(moist_type="Dry",0.005,IF(moist_type="Wet",0.014,0.01))*$R123*$H13/1000*44/28*Nitrous</f>
        <v/>
      </c>
      <c r="W123" s="1151">
        <f>IF(moist_type="Dry",0.005,IF(moist_type="Wet",0.014,0.01))*$S123*$I13/1000*44/28*Nitrous</f>
        <v/>
      </c>
      <c r="X123" s="3494">
        <f>IF(moist_type="Dry",0.005,IF(moist_type="Wet",0.014,0.01))*$T123*$K13/1000*44/28*Nitrous</f>
        <v/>
      </c>
      <c r="Y123" s="992" t="n"/>
      <c r="Z123" s="3495">
        <f>MIN($V123,$W123)*time_tot+ABS($W123-$V123)*IF($W123&gt;$V123,time_cap+time*(VLOOKUP($J13,list!$J$48:$K$50,2,0)),time*(1-(VLOOKUP($J13,list!$J$48:$K$50,2,0))))</f>
        <v/>
      </c>
      <c r="AA123" s="3504">
        <f>MIN($V123,$X123)*time_tot+ABS($X123-$V123)*IF($X123&gt;$V123,time_cap+time*(VLOOKUP($L13,list!$J$48:$K$50,2,0)),time*(1-(VLOOKUP($L13,list!$J$48:$K$50,2,0))))</f>
        <v/>
      </c>
      <c r="AB123" s="2166">
        <f>AA123-Z123</f>
        <v/>
      </c>
      <c r="AE123" s="992">
        <f>MIN($V123,$W123)*time+ABS($W123-$V123)*IF($W123&gt;$V123,time*(VLOOKUP($J13,list!$J$48:$K$50,2,)),time*(1-(VLOOKUP($J13,list!$J$48:$K$50,2,))))</f>
        <v/>
      </c>
      <c r="AF123" s="992">
        <f>MIN($V123,$X123)*time+ABS($X123-$V123)*IF($X123&gt;$V123,time*(VLOOKUP($L13,list!$J$48:$K$50,2,)),time*(1-(VLOOKUP($L13,list!$J$48:$K$50,2,))))</f>
        <v/>
      </c>
    </row>
    <row r="124">
      <c r="B124" s="973">
        <f>B96</f>
        <v/>
      </c>
      <c r="C124" s="973">
        <f>C96</f>
        <v/>
      </c>
      <c r="E124" s="1109">
        <f>IF(B68="Please select","",IF(AND(OR($C$2="North America",$C$2="Western Europe",$C$2="Eastern Europe",$C$2="Oceania"),(C124="Default")),VLOOKUP($B124,$T$36:$W$54,4,FALSE),INDEX($T$36:$W$54,MATCH($B124,$T$36:$T$54,0),MATCH($C124,$T$36:$W$36,0))))</f>
        <v/>
      </c>
      <c r="F124" s="1109">
        <f>F96</f>
        <v/>
      </c>
      <c r="G124" s="1111">
        <f>G96</f>
        <v/>
      </c>
      <c r="H124" s="1044">
        <f>H96</f>
        <v/>
      </c>
      <c r="I124" s="1110">
        <f>I96</f>
        <v/>
      </c>
      <c r="J124" s="1688">
        <f>J96</f>
        <v/>
      </c>
      <c r="K124" s="1688">
        <f>K96</f>
        <v/>
      </c>
      <c r="L124" s="1688">
        <f>L96</f>
        <v/>
      </c>
      <c r="M124" s="1688">
        <f>M96</f>
        <v/>
      </c>
      <c r="N124" s="1044">
        <f>IF(OR($M124="Regional share",$M124="Please select",$M124="Other (pls. specify EF)"),0,INDEX(INDIRECT(VLOOKUP(E124,list!$B$344:$D$347,1,FALSE)),MATCH(clim_moist,INDIRECT(VLOOKUP(E124,list!$B$344:$D$347,2,FALSE)),0),MATCH($M124,INDIRECT(VLOOKUP(E124,list!$B$344:$D$347,3,FALSE)),0))*Livestock!$H124*Livestock!$G124/1000*365)</f>
        <v/>
      </c>
      <c r="O124" s="1045">
        <f>N124</f>
        <v/>
      </c>
      <c r="P124" s="1044">
        <f>IFERROR(INDEX(INDIRECT(VLOOKUP(E124,list!$B$344:$D$347,1,FALSE)),MATCH(clim_moist,INDIRECT(VLOOKUP(E124,list!$B$344:$D$347,2,FALSE)),0),MATCH('4.Grassland'!$BH$53,INDIRECT(VLOOKUP(E124,list!$B$344:$D$347,3,FALSE)),0))*Livestock!$H124*Livestock!$G124/1000*365,0)*I124/100</f>
        <v/>
      </c>
      <c r="Q124" s="1044">
        <f>IF($B124="Please select",0,IF(OR($M124="Please select",$M124="Regional share"),SUMPRODUCT(INDEX(INDIRECT(VLOOKUP(E124,list!$B$344:$D$347,1,FALSE)),MATCH(clim_moist,INDIRECT(VLOOKUP(E124,list!$B$344:$D$347,2,FALSE)),0),0),INDEX(INDIRECT(VLOOKUP(F124,list!$B$288:$D$310,1,FALSE)),MATCH($C$2,INDIRECT(VLOOKUP(F124,list!$B$288:$D$310,2,FALSE)),0),0))/100*($H124*$G124/1000*365)-$P124,0))</f>
        <v/>
      </c>
      <c r="R124" s="2158">
        <f>IFERROR(($P124/($I124/100)*$J124/100+$O124*(1-$J124/100)+$Q124/(1-$I124/100)*(1-$J124/100)),0)</f>
        <v/>
      </c>
      <c r="S124" s="2158">
        <f>IFERROR(($P124/($I124/100)*$K124/100+$O124*(1-$K124/100)+$Q124/(1-$I124/100)*(1-$K124/100)),0)</f>
        <v/>
      </c>
      <c r="T124" s="2158">
        <f>IFERROR(($P124/($I124/100)*$L124/100+$O124*(1-$L124/100)+$Q124/(1-$I124/100)*(1-$L124/100)),0)</f>
        <v/>
      </c>
      <c r="V124" s="3493">
        <f>IF(moist_type="Dry",0.005,IF(moist_type="Wet",0.014,0.01))*$R124*$H14/1000*44/28*Nitrous</f>
        <v/>
      </c>
      <c r="W124" s="1151">
        <f>IF(moist_type="Dry",0.005,IF(moist_type="Wet",0.014,0.01))*$S124*$I14/1000*44/28*Nitrous</f>
        <v/>
      </c>
      <c r="X124" s="3494">
        <f>IF(moist_type="Dry",0.005,IF(moist_type="Wet",0.014,0.01))*$T124*$K14/1000*44/28*Nitrous</f>
        <v/>
      </c>
      <c r="Y124" s="992" t="n"/>
      <c r="Z124" s="3495">
        <f>MIN($V124,$W124)*time_tot+ABS($W124-$V124)*IF($W124&gt;$V124,time_cap+time*(VLOOKUP($J14,list!$J$48:$K$50,2,0)),time*(1-(VLOOKUP($J14,list!$J$48:$K$50,2,0))))</f>
        <v/>
      </c>
      <c r="AA124" s="3504">
        <f>MIN($V124,$X124)*time_tot+ABS($X124-$V124)*IF($X124&gt;$V124,time_cap+time*(VLOOKUP($L14,list!$J$48:$K$50,2,0)),time*(1-(VLOOKUP($L14,list!$J$48:$K$50,2,0))))</f>
        <v/>
      </c>
      <c r="AB124" s="2166">
        <f>AA124-Z124</f>
        <v/>
      </c>
      <c r="AE124" s="992">
        <f>MIN($V124,$W124)*time+ABS($W124-$V124)*IF($W124&gt;$V124,time*(VLOOKUP($J14,list!$J$48:$K$50,2,)),time*(1-(VLOOKUP($J14,list!$J$48:$K$50,2,))))</f>
        <v/>
      </c>
      <c r="AF124" s="992">
        <f>MIN($V124,$X124)*time+ABS($X124-$V124)*IF($X124&gt;$V124,time*(VLOOKUP($L14,list!$J$48:$K$50,2,)),time*(1-(VLOOKUP($L14,list!$J$48:$K$50,2,))))</f>
        <v/>
      </c>
    </row>
    <row r="125">
      <c r="B125" s="973">
        <f>B97</f>
        <v/>
      </c>
      <c r="C125" s="973">
        <f>C97</f>
        <v/>
      </c>
      <c r="E125" s="1109">
        <f>IF(B69="Please select","",IF(AND(OR($C$2="North America",$C$2="Western Europe",$C$2="Eastern Europe",$C$2="Oceania"),(C125="Default")),VLOOKUP($B125,$T$36:$W$54,4,FALSE),INDEX($T$36:$W$54,MATCH($B125,$T$36:$T$54,0),MATCH($C125,$T$36:$W$36,0))))</f>
        <v/>
      </c>
      <c r="F125" s="1109">
        <f>F97</f>
        <v/>
      </c>
      <c r="G125" s="1111">
        <f>G97</f>
        <v/>
      </c>
      <c r="H125" s="1044">
        <f>H97</f>
        <v/>
      </c>
      <c r="I125" s="1110">
        <f>I97</f>
        <v/>
      </c>
      <c r="J125" s="1688">
        <f>J97</f>
        <v/>
      </c>
      <c r="K125" s="1688">
        <f>K97</f>
        <v/>
      </c>
      <c r="L125" s="1688">
        <f>L97</f>
        <v/>
      </c>
      <c r="M125" s="1688">
        <f>M97</f>
        <v/>
      </c>
      <c r="N125" s="1044">
        <f>IF(OR($M125="Regional share",$M125="Please select",$M125="Other (pls. specify EF)"),0,INDEX(INDIRECT(VLOOKUP(E125,list!$B$344:$D$347,1,FALSE)),MATCH(clim_moist,INDIRECT(VLOOKUP(E125,list!$B$344:$D$347,2,FALSE)),0),MATCH($M125,INDIRECT(VLOOKUP(E125,list!$B$344:$D$347,3,FALSE)),0))*Livestock!$H125*Livestock!$G125/1000*365)</f>
        <v/>
      </c>
      <c r="O125" s="1045">
        <f>N125</f>
        <v/>
      </c>
      <c r="P125" s="1044">
        <f>IFERROR(INDEX(INDIRECT(VLOOKUP(E125,list!$B$344:$D$347,1,FALSE)),MATCH(clim_moist,INDIRECT(VLOOKUP(E125,list!$B$344:$D$347,2,FALSE)),0),MATCH('4.Grassland'!$BH$53,INDIRECT(VLOOKUP(E125,list!$B$344:$D$347,3,FALSE)),0))*Livestock!$H125*Livestock!$G125/1000*365,0)*I125/100</f>
        <v/>
      </c>
      <c r="Q125" s="1044">
        <f>IF($B125="Please select",0,IF(OR($M125="Please select",$M125="Regional share"),SUMPRODUCT(INDEX(INDIRECT(VLOOKUP(E125,list!$B$344:$D$347,1,FALSE)),MATCH(clim_moist,INDIRECT(VLOOKUP(E125,list!$B$344:$D$347,2,FALSE)),0),0),INDEX(INDIRECT(VLOOKUP(F125,list!$B$288:$D$310,1,FALSE)),MATCH($C$2,INDIRECT(VLOOKUP(F125,list!$B$288:$D$310,2,FALSE)),0),0))/100*($H125*$G125/1000*365)-$P125,0))</f>
        <v/>
      </c>
      <c r="R125" s="2158">
        <f>IFERROR(($P125/($I125/100)*$J125/100+$O125*(1-$J125/100)+$Q125/(1-$I125/100)*(1-$J125/100)),0)</f>
        <v/>
      </c>
      <c r="S125" s="2158">
        <f>IFERROR(($P125/($I125/100)*$K125/100+$O125*(1-$K125/100)+$Q125/(1-$I125/100)*(1-$K125/100)),0)</f>
        <v/>
      </c>
      <c r="T125" s="2158">
        <f>IFERROR(($P125/($I125/100)*$L125/100+$O125*(1-$L125/100)+$Q125/(1-$I125/100)*(1-$L125/100)),0)</f>
        <v/>
      </c>
      <c r="V125" s="3493">
        <f>IF(moist_type="Dry",0.005,IF(moist_type="Wet",0.014,0.01))*$R125*$H15/1000*44/28*Nitrous</f>
        <v/>
      </c>
      <c r="W125" s="1151">
        <f>IF(moist_type="Dry",0.005,IF(moist_type="Wet",0.014,0.01))*$S125*$I15/1000*44/28*Nitrous</f>
        <v/>
      </c>
      <c r="X125" s="3494">
        <f>IF(moist_type="Dry",0.005,IF(moist_type="Wet",0.014,0.01))*$T125*$K15/1000*44/28*Nitrous</f>
        <v/>
      </c>
      <c r="Y125" s="992" t="n"/>
      <c r="Z125" s="3495">
        <f>MIN($V125,$W125)*time_tot+ABS($W125-$V125)*IF($W125&gt;$V125,time_cap+time*(VLOOKUP($J15,list!$J$48:$K$50,2,0)),time*(1-(VLOOKUP($J15,list!$J$48:$K$50,2,0))))</f>
        <v/>
      </c>
      <c r="AA125" s="3504">
        <f>MIN($V125,$X125)*time_tot+ABS($X125-$V125)*IF($X125&gt;$V125,time_cap+time*(VLOOKUP($L15,list!$J$48:$K$50,2,0)),time*(1-(VLOOKUP($L15,list!$J$48:$K$50,2,0))))</f>
        <v/>
      </c>
      <c r="AB125" s="2166">
        <f>AA125-Z125</f>
        <v/>
      </c>
      <c r="AE125" s="992">
        <f>MIN($V125,$W125)*time+ABS($W125-$V125)*IF($W125&gt;$V125,time*(VLOOKUP($J15,list!$J$48:$K$50,2,)),time*(1-(VLOOKUP($J15,list!$J$48:$K$50,2,))))</f>
        <v/>
      </c>
      <c r="AF125" s="992">
        <f>MIN($V125,$X125)*time+ABS($X125-$V125)*IF($X125&gt;$V125,time*(VLOOKUP($L15,list!$J$48:$K$50,2,)),time*(1-(VLOOKUP($L15,list!$J$48:$K$50,2,))))</f>
        <v/>
      </c>
    </row>
    <row r="126">
      <c r="B126" s="973">
        <f>B98</f>
        <v/>
      </c>
      <c r="C126" s="973">
        <f>C98</f>
        <v/>
      </c>
      <c r="E126" s="1109">
        <f>IF(B70="Please select","",IF(AND(OR($C$2="North America",$C$2="Western Europe",$C$2="Eastern Europe",$C$2="Oceania"),(C126="Default")),VLOOKUP($B126,$T$36:$W$54,4,FALSE),INDEX($T$36:$W$54,MATCH($B126,$T$36:$T$54,0),MATCH($C126,$T$36:$W$36,0))))</f>
        <v/>
      </c>
      <c r="F126" s="1109">
        <f>F98</f>
        <v/>
      </c>
      <c r="G126" s="1111">
        <f>G98</f>
        <v/>
      </c>
      <c r="H126" s="1044">
        <f>H98</f>
        <v/>
      </c>
      <c r="I126" s="1110">
        <f>I98</f>
        <v/>
      </c>
      <c r="J126" s="1688">
        <f>J98</f>
        <v/>
      </c>
      <c r="K126" s="1688">
        <f>K98</f>
        <v/>
      </c>
      <c r="L126" s="1688">
        <f>L98</f>
        <v/>
      </c>
      <c r="M126" s="1688">
        <f>M98</f>
        <v/>
      </c>
      <c r="N126" s="1044">
        <f>IF(OR($M126="Regional share",$M126="Please select",$M126="Other (pls. specify EF)"),0,INDEX(INDIRECT(VLOOKUP(E126,list!$B$344:$D$347,1,FALSE)),MATCH(clim_moist,INDIRECT(VLOOKUP(E126,list!$B$344:$D$347,2,FALSE)),0),MATCH($M126,INDIRECT(VLOOKUP(E126,list!$B$344:$D$347,3,FALSE)),0))*Livestock!$H126*Livestock!$G126/1000*365)</f>
        <v/>
      </c>
      <c r="O126" s="1045">
        <f>N126</f>
        <v/>
      </c>
      <c r="P126" s="1044">
        <f>IFERROR(INDEX(INDIRECT(VLOOKUP(E126,list!$B$344:$D$347,1,FALSE)),MATCH(clim_moist,INDIRECT(VLOOKUP(E126,list!$B$344:$D$347,2,FALSE)),0),MATCH('4.Grassland'!$BH$53,INDIRECT(VLOOKUP(E126,list!$B$344:$D$347,3,FALSE)),0))*Livestock!$H126*Livestock!$G126/1000*365,0)*I126/100</f>
        <v/>
      </c>
      <c r="Q126" s="1044">
        <f>IF($B126="Please select",0,IF(OR($M126="Please select",$M126="Regional share"),SUMPRODUCT(INDEX(INDIRECT(VLOOKUP(E126,list!$B$344:$D$347,1,FALSE)),MATCH(clim_moist,INDIRECT(VLOOKUP(E126,list!$B$344:$D$347,2,FALSE)),0),0),INDEX(INDIRECT(VLOOKUP(F126,list!$B$288:$D$310,1,FALSE)),MATCH($C$2,INDIRECT(VLOOKUP(F126,list!$B$288:$D$310,2,FALSE)),0),0))/100*($H126*$G126/1000*365)-$P126,0))</f>
        <v/>
      </c>
      <c r="R126" s="2158">
        <f>IFERROR(($P126/($I126/100)*$J126/100+$O126*(1-$J126/100)+$Q126/(1-$I126/100)*(1-$J126/100)),0)</f>
        <v/>
      </c>
      <c r="S126" s="2158">
        <f>IFERROR(($P126/($I126/100)*$K126/100+$O126*(1-$K126/100)+$Q126/(1-$I126/100)*(1-$K126/100)),0)</f>
        <v/>
      </c>
      <c r="T126" s="2158">
        <f>IFERROR(($P126/($I126/100)*$L126/100+$O126*(1-$L126/100)+$Q126/(1-$I126/100)*(1-$L126/100)),0)</f>
        <v/>
      </c>
      <c r="V126" s="3493">
        <f>IF(moist_type="Dry",0.005,IF(moist_type="Wet",0.014,0.01))*$R126*$H16/1000*44/28*Nitrous</f>
        <v/>
      </c>
      <c r="W126" s="1151">
        <f>IF(moist_type="Dry",0.005,IF(moist_type="Wet",0.014,0.01))*$S126*$I16/1000*44/28*Nitrous</f>
        <v/>
      </c>
      <c r="X126" s="3494">
        <f>IF(moist_type="Dry",0.005,IF(moist_type="Wet",0.014,0.01))*$T126*$K16/1000*44/28*Nitrous</f>
        <v/>
      </c>
      <c r="Y126" s="992" t="n"/>
      <c r="Z126" s="3495">
        <f>MIN($V126,$W126)*time_tot+ABS($W126-$V126)*IF($W126&gt;$V126,time_cap+time*(VLOOKUP($J16,list!$J$48:$K$50,2,0)),time*(1-(VLOOKUP($J16,list!$J$48:$K$50,2,0))))</f>
        <v/>
      </c>
      <c r="AA126" s="3504">
        <f>MIN($V126,$X126)*time_tot+ABS($X126-$V126)*IF($X126&gt;$V126,time_cap+time*(VLOOKUP($L16,list!$J$48:$K$50,2,0)),time*(1-(VLOOKUP($L16,list!$J$48:$K$50,2,0))))</f>
        <v/>
      </c>
      <c r="AB126" s="2166">
        <f>AA126-Z126</f>
        <v/>
      </c>
      <c r="AE126" s="992">
        <f>MIN($V126,$W126)*time+ABS($W126-$V126)*IF($W126&gt;$V126,time*(VLOOKUP($J16,list!$J$48:$K$50,2,)),time*(1-(VLOOKUP($J16,list!$J$48:$K$50,2,))))</f>
        <v/>
      </c>
      <c r="AF126" s="992">
        <f>MIN($V126,$X126)*time+ABS($X126-$V126)*IF($X126&gt;$V126,time*(VLOOKUP($L16,list!$J$48:$K$50,2,)),time*(1-(VLOOKUP($L16,list!$J$48:$K$50,2,))))</f>
        <v/>
      </c>
    </row>
    <row r="127">
      <c r="B127" s="973">
        <f>B99</f>
        <v/>
      </c>
      <c r="C127" s="973">
        <f>C99</f>
        <v/>
      </c>
      <c r="E127" s="1109">
        <f>IF(B71="Please select","",IF(AND(OR($C$2="North America",$C$2="Western Europe",$C$2="Eastern Europe",$C$2="Oceania"),(C127="Default")),VLOOKUP($B127,$T$36:$W$54,4,FALSE),INDEX($T$36:$W$54,MATCH($B127,$T$36:$T$54,0),MATCH($C127,$T$36:$W$36,0))))</f>
        <v/>
      </c>
      <c r="F127" s="1109">
        <f>F99</f>
        <v/>
      </c>
      <c r="G127" s="1111">
        <f>G99</f>
        <v/>
      </c>
      <c r="H127" s="1044">
        <f>H99</f>
        <v/>
      </c>
      <c r="I127" s="1110">
        <f>I99</f>
        <v/>
      </c>
      <c r="J127" s="1688">
        <f>J99</f>
        <v/>
      </c>
      <c r="K127" s="1688">
        <f>K99</f>
        <v/>
      </c>
      <c r="L127" s="1688">
        <f>L99</f>
        <v/>
      </c>
      <c r="M127" s="1688">
        <f>M99</f>
        <v/>
      </c>
      <c r="N127" s="1044">
        <f>IF(OR($M127="Regional share",$M127="Please select",$M127="Other (pls. specify EF)"),0,INDEX(INDIRECT(VLOOKUP(E127,list!$B$344:$D$347,1,FALSE)),MATCH(clim_moist,INDIRECT(VLOOKUP(E127,list!$B$344:$D$347,2,FALSE)),0),MATCH($M127,INDIRECT(VLOOKUP(E127,list!$B$344:$D$347,3,FALSE)),0))*Livestock!$H127*Livestock!$G127/1000*365)</f>
        <v/>
      </c>
      <c r="O127" s="1045">
        <f>N127</f>
        <v/>
      </c>
      <c r="P127" s="1044">
        <f>IFERROR(INDEX(INDIRECT(VLOOKUP(E127,list!$B$344:$D$347,1,FALSE)),MATCH(clim_moist,INDIRECT(VLOOKUP(E127,list!$B$344:$D$347,2,FALSE)),0),MATCH('4.Grassland'!$BH$53,INDIRECT(VLOOKUP(E127,list!$B$344:$D$347,3,FALSE)),0))*Livestock!$H127*Livestock!$G127/1000*365,0)*I127/100</f>
        <v/>
      </c>
      <c r="Q127" s="1044">
        <f>IF($B127="Please select",0,IF(OR($M127="Please select",$M127="Regional share"),SUMPRODUCT(INDEX(INDIRECT(VLOOKUP(E127,list!$B$344:$D$347,1,FALSE)),MATCH(clim_moist,INDIRECT(VLOOKUP(E127,list!$B$344:$D$347,2,FALSE)),0),0),INDEX(INDIRECT(VLOOKUP(F127,list!$B$288:$D$310,1,FALSE)),MATCH($C$2,INDIRECT(VLOOKUP(F127,list!$B$288:$D$310,2,FALSE)),0),0))/100*($H127*$G127/1000*365)-$P127,0))</f>
        <v/>
      </c>
      <c r="R127" s="2158">
        <f>IFERROR(($P127/($I127/100)*$J127/100+$O127*(1-$J127/100)+$Q127/(1-$I127/100)*(1-$J127/100)),0)</f>
        <v/>
      </c>
      <c r="S127" s="2158">
        <f>IFERROR(($P127/($I127/100)*$K127/100+$O127*(1-$K127/100)+$Q127/(1-$I127/100)*(1-$K127/100)),0)</f>
        <v/>
      </c>
      <c r="T127" s="2158">
        <f>IFERROR(($P127/($I127/100)*$L127/100+$O127*(1-$L127/100)+$Q127/(1-$I127/100)*(1-$L127/100)),0)</f>
        <v/>
      </c>
      <c r="V127" s="3493">
        <f>IF(moist_type="Dry",0.005,IF(moist_type="Wet",0.014,0.01))*$R127*$H17/1000*44/28*Nitrous</f>
        <v/>
      </c>
      <c r="W127" s="1151">
        <f>IF(moist_type="Dry",0.005,IF(moist_type="Wet",0.014,0.01))*$S127*$I17/1000*44/28*Nitrous</f>
        <v/>
      </c>
      <c r="X127" s="3494">
        <f>IF(moist_type="Dry",0.005,IF(moist_type="Wet",0.014,0.01))*$T127*$K17/1000*44/28*Nitrous</f>
        <v/>
      </c>
      <c r="Y127" s="992" t="n"/>
      <c r="Z127" s="3495">
        <f>MIN($V127,$W127)*time_tot+ABS($W127-$V127)*IF($W127&gt;$V127,time_cap+time*(VLOOKUP($J17,list!$J$48:$K$50,2,0)),time*(1-(VLOOKUP($J17,list!$J$48:$K$50,2,0))))</f>
        <v/>
      </c>
      <c r="AA127" s="3504">
        <f>MIN($V127,$X127)*time_tot+ABS($X127-$V127)*IF($X127&gt;$V127,time_cap+time*(VLOOKUP($L17,list!$J$48:$K$50,2,0)),time*(1-(VLOOKUP($L17,list!$J$48:$K$50,2,0))))</f>
        <v/>
      </c>
      <c r="AB127" s="2166">
        <f>AA127-Z127</f>
        <v/>
      </c>
      <c r="AE127" s="992">
        <f>MIN($V127,$W127)*time+ABS($W127-$V127)*IF($W127&gt;$V127,time*(VLOOKUP($J17,list!$J$48:$K$50,2,)),time*(1-(VLOOKUP($J17,list!$J$48:$K$50,2,))))</f>
        <v/>
      </c>
      <c r="AF127" s="992">
        <f>MIN($V127,$X127)*time+ABS($X127-$V127)*IF($X127&gt;$V127,time*(VLOOKUP($L17,list!$J$48:$K$50,2,)),time*(1-(VLOOKUP($L17,list!$J$48:$K$50,2,))))</f>
        <v/>
      </c>
    </row>
    <row r="128">
      <c r="B128" s="973">
        <f>B100</f>
        <v/>
      </c>
      <c r="C128" s="973">
        <f>C100</f>
        <v/>
      </c>
      <c r="E128" s="1109">
        <f>IF(B72="Please select","",IF(AND(OR($C$2="North America",$C$2="Western Europe",$C$2="Eastern Europe",$C$2="Oceania"),(C128="Default")),VLOOKUP($B128,$T$36:$W$54,4,FALSE),INDEX($T$36:$W$54,MATCH($B128,$T$36:$T$54,0),MATCH($C128,$T$36:$W$36,0))))</f>
        <v/>
      </c>
      <c r="F128" s="1109">
        <f>F100</f>
        <v/>
      </c>
      <c r="G128" s="1111">
        <f>G100</f>
        <v/>
      </c>
      <c r="H128" s="1044">
        <f>H100</f>
        <v/>
      </c>
      <c r="I128" s="1110">
        <f>I100</f>
        <v/>
      </c>
      <c r="J128" s="1688">
        <f>J100</f>
        <v/>
      </c>
      <c r="K128" s="1688">
        <f>K100</f>
        <v/>
      </c>
      <c r="L128" s="1688">
        <f>L100</f>
        <v/>
      </c>
      <c r="M128" s="1688">
        <f>M100</f>
        <v/>
      </c>
      <c r="N128" s="1044">
        <f>IF(OR($M128="Regional share",$M128="Please select",$M128="Other (pls. specify EF)"),0,INDEX(INDIRECT(VLOOKUP(E128,list!$B$344:$D$347,1,FALSE)),MATCH(clim_moist,INDIRECT(VLOOKUP(E128,list!$B$344:$D$347,2,FALSE)),0),MATCH($M128,INDIRECT(VLOOKUP(E128,list!$B$344:$D$347,3,FALSE)),0))*Livestock!$H128*Livestock!$G128/1000*365)</f>
        <v/>
      </c>
      <c r="O128" s="1045">
        <f>N128</f>
        <v/>
      </c>
      <c r="P128" s="1044">
        <f>IFERROR(INDEX(INDIRECT(VLOOKUP(E128,list!$B$344:$D$347,1,FALSE)),MATCH(clim_moist,INDIRECT(VLOOKUP(E128,list!$B$344:$D$347,2,FALSE)),0),MATCH('4.Grassland'!$BH$53,INDIRECT(VLOOKUP(E128,list!$B$344:$D$347,3,FALSE)),0))*Livestock!$H128*Livestock!$G128/1000*365,0)*I128/100</f>
        <v/>
      </c>
      <c r="Q128" s="1044">
        <f>IF($B128="Please select",0,IF(OR($M128="Please select",$M128="Regional share"),SUMPRODUCT(INDEX(INDIRECT(VLOOKUP(E128,list!$B$344:$D$347,1,FALSE)),MATCH(clim_moist,INDIRECT(VLOOKUP(E128,list!$B$344:$D$347,2,FALSE)),0),0),INDEX(INDIRECT(VLOOKUP(F128,list!$B$288:$D$310,1,FALSE)),MATCH($C$2,INDIRECT(VLOOKUP(F128,list!$B$288:$D$310,2,FALSE)),0),0))/100*($H128*$G128/1000*365)-$P128,0))</f>
        <v/>
      </c>
      <c r="R128" s="2158">
        <f>IFERROR(($P128/($I128/100)*$J128/100+$O128*(1-$J128/100)+$Q128/(1-$I128/100)*(1-$J128/100)),0)</f>
        <v/>
      </c>
      <c r="S128" s="2158">
        <f>IFERROR(($P128/($I128/100)*$K128/100+$O128*(1-$K128/100)+$Q128/(1-$I128/100)*(1-$K128/100)),0)</f>
        <v/>
      </c>
      <c r="T128" s="2158">
        <f>IFERROR(($P128/($I128/100)*$L128/100+$O128*(1-$L128/100)+$Q128/(1-$I128/100)*(1-$L128/100)),0)</f>
        <v/>
      </c>
      <c r="V128" s="3493">
        <f>IF(moist_type="Dry",0.005,IF(moist_type="Wet",0.014,0.01))*$R128*$H18/1000*44/28*Nitrous</f>
        <v/>
      </c>
      <c r="W128" s="1151">
        <f>IF(moist_type="Dry",0.005,IF(moist_type="Wet",0.014,0.01))*$S128*$I18/1000*44/28*Nitrous</f>
        <v/>
      </c>
      <c r="X128" s="3494">
        <f>IF(moist_type="Dry",0.005,IF(moist_type="Wet",0.014,0.01))*$T128*$K18/1000*44/28*Nitrous</f>
        <v/>
      </c>
      <c r="Y128" s="992" t="n"/>
      <c r="Z128" s="3496">
        <f>MIN($V128,$W128)*time_tot+ABS($W128-$V128)*IF($W128&gt;$V128,time_cap+time*(VLOOKUP($J18,list!$J$48:$K$50,2,0)),time*(1-(VLOOKUP($J18,list!$J$48:$K$50,2,0))))</f>
        <v/>
      </c>
      <c r="AA128" s="3505">
        <f>MIN($V128,$X128)*time_tot+ABS($X128-$V128)*IF($X128&gt;$V128,time_cap+time*(VLOOKUP($L18,list!$J$48:$K$50,2,0)),time*(1-(VLOOKUP($L18,list!$J$48:$K$50,2,0))))</f>
        <v/>
      </c>
      <c r="AB128" s="3517">
        <f>AA128-Z128</f>
        <v/>
      </c>
      <c r="AE128" s="992">
        <f>MIN($V128,$W128)*time+ABS($W128-$V128)*IF($W128&gt;$V128,time*(VLOOKUP($J18,list!$J$48:$K$50,2,)),time*(1-(VLOOKUP($J18,list!$J$48:$K$50,2,))))</f>
        <v/>
      </c>
      <c r="AF128" s="992">
        <f>MIN($V128,$X128)*time+ABS($X128-$V128)*IF($X128&gt;$V128,time*(VLOOKUP($L18,list!$J$48:$K$50,2,)),time*(1-(VLOOKUP($L18,list!$J$48:$K$50,2,))))</f>
        <v/>
      </c>
    </row>
    <row r="129">
      <c r="B129" s="973">
        <f>B101</f>
        <v/>
      </c>
      <c r="C129" s="973">
        <f>C101</f>
        <v/>
      </c>
      <c r="E129" s="1109">
        <f>IF(B73="Please select","",IF(AND(OR($C$2="North America",$C$2="Western Europe",$C$2="Eastern Europe",$C$2="Oceania"),(C129="Default")),VLOOKUP($B129,$T$36:$W$54,4,FALSE),INDEX($T$36:$W$54,MATCH($B129,$T$36:$T$54,0),MATCH($C129,$T$36:$W$36,0))))</f>
        <v/>
      </c>
      <c r="F129" s="1109">
        <f>F101</f>
        <v/>
      </c>
      <c r="G129" s="1111">
        <f>G101</f>
        <v/>
      </c>
      <c r="H129" s="1044">
        <f>H101</f>
        <v/>
      </c>
      <c r="I129" s="1110">
        <f>I101</f>
        <v/>
      </c>
      <c r="J129" s="1688">
        <f>J101</f>
        <v/>
      </c>
      <c r="K129" s="1688">
        <f>K101</f>
        <v/>
      </c>
      <c r="L129" s="1688">
        <f>L101</f>
        <v/>
      </c>
      <c r="M129" s="1688">
        <f>M101</f>
        <v/>
      </c>
      <c r="N129" s="1044">
        <f>IF(OR($M129="Regional share",$M129="Please select",$M129="Other (pls. specify EF)"),0,INDEX(INDIRECT(VLOOKUP(E129,list!$B$344:$D$347,1,FALSE)),MATCH(clim_moist,INDIRECT(VLOOKUP(E129,list!$B$344:$D$347,2,FALSE)),0),MATCH($M129,INDIRECT(VLOOKUP(E129,list!$B$344:$D$347,3,FALSE)),0))*Livestock!$H129*Livestock!$G129/1000*365)</f>
        <v/>
      </c>
      <c r="O129" s="1045">
        <f>N129</f>
        <v/>
      </c>
      <c r="P129" s="1044">
        <f>IFERROR(INDEX(INDIRECT(VLOOKUP(E129,list!$B$344:$D$347,1,FALSE)),MATCH(clim_moist,INDIRECT(VLOOKUP(E129,list!$B$344:$D$347,2,FALSE)),0),MATCH('4.Grassland'!$BH$53,INDIRECT(VLOOKUP(E129,list!$B$344:$D$347,3,FALSE)),0))*Livestock!$H129*Livestock!$G129/1000*365,0)*I129/100</f>
        <v/>
      </c>
      <c r="Q129" s="1044">
        <f>IF($B129="Please select",0,IF(OR($M129="Please select",$M129="Regional share"),SUMPRODUCT(INDEX(INDIRECT(VLOOKUP(E129,list!$B$344:$D$347,1,FALSE)),MATCH(clim_moist,INDIRECT(VLOOKUP(E129,list!$B$344:$D$347,2,FALSE)),0),0),INDEX(INDIRECT(VLOOKUP(F129,list!$B$288:$D$310,1,FALSE)),MATCH($C$2,INDIRECT(VLOOKUP(F129,list!$B$288:$D$310,2,FALSE)),0),0))/100*($H129*$G129/1000*365)-$P129,0))</f>
        <v/>
      </c>
      <c r="R129" s="2158">
        <f>IFERROR(($P129/($I129/100)*$J129/100+$O129*(1-$J129/100)+$Q129/(1-$I129/100)*(1-$J129/100)),0)</f>
        <v/>
      </c>
      <c r="S129" s="2158">
        <f>IFERROR(($P129/($I129/100)*$K129/100+$O129*(1-$K129/100)+$Q129/(1-$I129/100)*(1-$K129/100)),0)</f>
        <v/>
      </c>
      <c r="T129" s="2158">
        <f>IFERROR(($P129/($I129/100)*$L129/100+$O129*(1-$L129/100)+$Q129/(1-$I129/100)*(1-$L129/100)),0)</f>
        <v/>
      </c>
      <c r="V129" s="3493">
        <f>IF(moist_type="Dry",0.005,IF(moist_type="Wet",0.014,0.01))*$R129*$H19/1000*44/28*Nitrous</f>
        <v/>
      </c>
      <c r="W129" s="1151">
        <f>IF(moist_type="Dry",0.005,IF(moist_type="Wet",0.014,0.01))*$S129*$I19/1000*44/28*Nitrous</f>
        <v/>
      </c>
      <c r="X129" s="3494">
        <f>IF(moist_type="Dry",0.005,IF(moist_type="Wet",0.014,0.01))*$T129*$K19/1000*44/28*Nitrous</f>
        <v/>
      </c>
      <c r="Z129" s="3496">
        <f>MIN($V129,$W129)*time_tot+ABS($W129-$V129)*IF($W129&gt;$V129,time_cap+time*(VLOOKUP($J19,list!$J$48:$K$50,2,0)),time*(1-(VLOOKUP($J19,list!$J$48:$K$50,2,0))))</f>
        <v/>
      </c>
      <c r="AA129" s="3505">
        <f>MIN($V129,$X129)*time_tot+ABS($X129-$V129)*IF($X129&gt;$V129,time_cap+time*(VLOOKUP($L19,list!$J$48:$K$50,2,0)),time*(1-(VLOOKUP($L19,list!$J$48:$K$50,2,0))))</f>
        <v/>
      </c>
      <c r="AB129" s="3517">
        <f>AA129-Z129</f>
        <v/>
      </c>
    </row>
    <row r="130">
      <c r="B130" s="973">
        <f>B102</f>
        <v/>
      </c>
      <c r="C130" s="973">
        <f>C102</f>
        <v/>
      </c>
      <c r="E130" s="1109">
        <f>IF(B74="Please select","",IF(AND(OR($C$2="North America",$C$2="Western Europe",$C$2="Eastern Europe",$C$2="Oceania"),(C130="Default")),VLOOKUP($B130,$T$36:$W$54,4,FALSE),INDEX($T$36:$W$54,MATCH($B130,$T$36:$T$54,0),MATCH($C130,$T$36:$W$36,0))))</f>
        <v/>
      </c>
      <c r="F130" s="1109">
        <f>F102</f>
        <v/>
      </c>
      <c r="G130" s="1111">
        <f>G102</f>
        <v/>
      </c>
      <c r="H130" s="1044">
        <f>H102</f>
        <v/>
      </c>
      <c r="I130" s="1110">
        <f>I102</f>
        <v/>
      </c>
      <c r="J130" s="1688">
        <f>J102</f>
        <v/>
      </c>
      <c r="K130" s="1688">
        <f>K102</f>
        <v/>
      </c>
      <c r="L130" s="1688">
        <f>L102</f>
        <v/>
      </c>
      <c r="M130" s="1688">
        <f>M102</f>
        <v/>
      </c>
      <c r="N130" s="1044">
        <f>IF(OR($M130="Regional share",$M130="Please select",$M130="Other (pls. specify EF)"),0,INDEX(INDIRECT(VLOOKUP(E130,list!$B$344:$D$347,1,FALSE)),MATCH(clim_moist,INDIRECT(VLOOKUP(E130,list!$B$344:$D$347,2,FALSE)),0),MATCH($M130,INDIRECT(VLOOKUP(E130,list!$B$344:$D$347,3,FALSE)),0))*Livestock!$H130*Livestock!$G130/1000*365)</f>
        <v/>
      </c>
      <c r="O130" s="1045">
        <f>N130</f>
        <v/>
      </c>
      <c r="P130" s="1044">
        <f>IFERROR(INDEX(INDIRECT(VLOOKUP(E130,list!$B$344:$D$347,1,FALSE)),MATCH(clim_moist,INDIRECT(VLOOKUP(E130,list!$B$344:$D$347,2,FALSE)),0),MATCH('4.Grassland'!$BH$53,INDIRECT(VLOOKUP(E130,list!$B$344:$D$347,3,FALSE)),0))*Livestock!$H130*Livestock!$G130/1000*365,0)*I130/100</f>
        <v/>
      </c>
      <c r="Q130" s="1044">
        <f>IF($B130="Please select",0,IF(OR($M130="Please select",$M130="Regional share"),SUMPRODUCT(INDEX(INDIRECT(VLOOKUP(E130,list!$B$344:$D$347,1,FALSE)),MATCH(clim_moist,INDIRECT(VLOOKUP(E130,list!$B$344:$D$347,2,FALSE)),0),0),INDEX(INDIRECT(VLOOKUP(F130,list!$B$288:$D$310,1,FALSE)),MATCH($C$2,INDIRECT(VLOOKUP(F130,list!$B$288:$D$310,2,FALSE)),0),0))/100*($H130*$G130/1000*365)-$P130,0))</f>
        <v/>
      </c>
      <c r="R130" s="2158">
        <f>IFERROR(($P130/($I130/100)*$J130/100+$O130*(1-$J130/100)+$Q130/(1-$I130/100)*(1-$J130/100)),0)</f>
        <v/>
      </c>
      <c r="S130" s="2158">
        <f>IFERROR(($P130/($I130/100)*$K130/100+$O130*(1-$K130/100)+$Q130/(1-$I130/100)*(1-$K130/100)),0)</f>
        <v/>
      </c>
      <c r="T130" s="2158">
        <f>IFERROR(($P130/($I130/100)*$L130/100+$O130*(1-$L130/100)+$Q130/(1-$I130/100)*(1-$L130/100)),0)</f>
        <v/>
      </c>
      <c r="V130" s="3493">
        <f>IF(moist_type="Dry",0.005,IF(moist_type="Wet",0.014,0.01))*$R130*$H20/1000*44/28*Nitrous</f>
        <v/>
      </c>
      <c r="W130" s="1151">
        <f>IF(moist_type="Dry",0.005,IF(moist_type="Wet",0.014,0.01))*$S130*$I20/1000*44/28*Nitrous</f>
        <v/>
      </c>
      <c r="X130" s="3494">
        <f>IF(moist_type="Dry",0.005,IF(moist_type="Wet",0.014,0.01))*$T130*$K20/1000*44/28*Nitrous</f>
        <v/>
      </c>
      <c r="Z130" s="3496">
        <f>MIN($V130,$W130)*time_tot+ABS($W130-$V130)*IF($W130&gt;$V130,time_cap+time*(VLOOKUP($J20,list!$J$48:$K$50,2,0)),time*(1-(VLOOKUP($J20,list!$J$48:$K$50,2,0))))</f>
        <v/>
      </c>
      <c r="AA130" s="3505">
        <f>MIN($V130,$X130)*time_tot+ABS($X130-$V130)*IF($X130&gt;$V130,time_cap+time*(VLOOKUP($L20,list!$J$48:$K$50,2,0)),time*(1-(VLOOKUP($L20,list!$J$48:$K$50,2,0))))</f>
        <v/>
      </c>
      <c r="AB130" s="3517">
        <f>AA130-Z130</f>
        <v/>
      </c>
    </row>
    <row r="131">
      <c r="B131" s="973">
        <f>B103</f>
        <v/>
      </c>
      <c r="C131" s="973">
        <f>C103</f>
        <v/>
      </c>
      <c r="E131" s="1109">
        <f>IF(B75="Please select","",IF(AND(OR($C$2="North America",$C$2="Western Europe",$C$2="Eastern Europe",$C$2="Oceania"),(C131="Default")),VLOOKUP($B131,$T$36:$W$54,4,FALSE),INDEX($T$36:$W$54,MATCH($B131,$T$36:$T$54,0),MATCH($C131,$T$36:$W$36,0))))</f>
        <v/>
      </c>
      <c r="F131" s="1109">
        <f>F103</f>
        <v/>
      </c>
      <c r="G131" s="1111">
        <f>G103</f>
        <v/>
      </c>
      <c r="H131" s="1044">
        <f>H103</f>
        <v/>
      </c>
      <c r="I131" s="1110">
        <f>I103</f>
        <v/>
      </c>
      <c r="J131" s="1688">
        <f>J103</f>
        <v/>
      </c>
      <c r="K131" s="1688">
        <f>K103</f>
        <v/>
      </c>
      <c r="L131" s="1688">
        <f>L103</f>
        <v/>
      </c>
      <c r="M131" s="1688">
        <f>M103</f>
        <v/>
      </c>
      <c r="N131" s="1044">
        <f>IF(OR($M131="Regional share",$M131="Please select",$M131="Other (pls. specify EF)"),0,INDEX(INDIRECT(VLOOKUP(E131,list!$B$344:$D$347,1,FALSE)),MATCH(clim_moist,INDIRECT(VLOOKUP(E131,list!$B$344:$D$347,2,FALSE)),0),MATCH($M131,INDIRECT(VLOOKUP(E131,list!$B$344:$D$347,3,FALSE)),0))*Livestock!$H131*Livestock!$G131/1000*365)</f>
        <v/>
      </c>
      <c r="O131" s="1045">
        <f>N131</f>
        <v/>
      </c>
      <c r="P131" s="1044">
        <f>IFERROR(INDEX(INDIRECT(VLOOKUP(E131,list!$B$344:$D$347,1,FALSE)),MATCH(clim_moist,INDIRECT(VLOOKUP(E131,list!$B$344:$D$347,2,FALSE)),0),MATCH('4.Grassland'!$BH$53,INDIRECT(VLOOKUP(E131,list!$B$344:$D$347,3,FALSE)),0))*Livestock!$H131*Livestock!$G131/1000*365,0)*I131/100</f>
        <v/>
      </c>
      <c r="Q131" s="1044">
        <f>IF($B131="Please select",0,IF(OR($M131="Please select",$M131="Regional share"),SUMPRODUCT(INDEX(INDIRECT(VLOOKUP(E131,list!$B$344:$D$347,1,FALSE)),MATCH(clim_moist,INDIRECT(VLOOKUP(E131,list!$B$344:$D$347,2,FALSE)),0),0),INDEX(INDIRECT(VLOOKUP(F131,list!$B$288:$D$310,1,FALSE)),MATCH($C$2,INDIRECT(VLOOKUP(F131,list!$B$288:$D$310,2,FALSE)),0),0))/100*($H131*$G131/1000*365)-$P131,0))</f>
        <v/>
      </c>
      <c r="R131" s="2158">
        <f>IFERROR(($P131/($I131/100)*$J131/100+$O131*(1-$J131/100)+$Q131/(1-$I131/100)*(1-$J131/100)),0)</f>
        <v/>
      </c>
      <c r="S131" s="2158">
        <f>IFERROR(($P131/($I131/100)*$K131/100+$O131*(1-$K131/100)+$Q131/(1-$I131/100)*(1-$K131/100)),0)</f>
        <v/>
      </c>
      <c r="T131" s="2158">
        <f>IFERROR(($P131/($I131/100)*$L131/100+$O131*(1-$L131/100)+$Q131/(1-$I131/100)*(1-$L131/100)),0)</f>
        <v/>
      </c>
      <c r="V131" s="3493">
        <f>IF(moist_type="Dry",0.005,IF(moist_type="Wet",0.014,0.01))*$R131*$H21/1000*44/28*Nitrous</f>
        <v/>
      </c>
      <c r="W131" s="1151">
        <f>IF(moist_type="Dry",0.005,IF(moist_type="Wet",0.014,0.01))*$S131*$I21/1000*44/28*Nitrous</f>
        <v/>
      </c>
      <c r="X131" s="3494">
        <f>IF(moist_type="Dry",0.005,IF(moist_type="Wet",0.014,0.01))*$T131*$K21/1000*44/28*Nitrous</f>
        <v/>
      </c>
      <c r="Z131" s="3496">
        <f>MIN($V131,$W131)*time_tot+ABS($W131-$V131)*IF($W131&gt;$V131,time_cap+time*(VLOOKUP($J21,list!$J$48:$K$50,2,0)),time*(1-(VLOOKUP($J21,list!$J$48:$K$50,2,0))))</f>
        <v/>
      </c>
      <c r="AA131" s="3505">
        <f>MIN($V131,$X131)*time_tot+ABS($X131-$V131)*IF($X131&gt;$V131,time_cap+time*(VLOOKUP($L21,list!$J$48:$K$50,2,0)),time*(1-(VLOOKUP($L21,list!$J$48:$K$50,2,0))))</f>
        <v/>
      </c>
      <c r="AB131" s="3517">
        <f>AA131-Z131</f>
        <v/>
      </c>
    </row>
    <row r="132">
      <c r="B132" s="973">
        <f>B104</f>
        <v/>
      </c>
      <c r="C132" s="973">
        <f>C104</f>
        <v/>
      </c>
      <c r="E132" s="1109">
        <f>IF(B76="Please select","",IF(AND(OR($C$2="North America",$C$2="Western Europe",$C$2="Eastern Europe",$C$2="Oceania"),(C132="Default")),VLOOKUP($B132,$T$36:$W$54,4,FALSE),INDEX($T$36:$W$54,MATCH($B132,$T$36:$T$54,0),MATCH($C132,$T$36:$W$36,0))))</f>
        <v/>
      </c>
      <c r="F132" s="1109">
        <f>F104</f>
        <v/>
      </c>
      <c r="G132" s="1111">
        <f>G104</f>
        <v/>
      </c>
      <c r="H132" s="1044">
        <f>H104</f>
        <v/>
      </c>
      <c r="I132" s="1110">
        <f>I104</f>
        <v/>
      </c>
      <c r="J132" s="1688">
        <f>J104</f>
        <v/>
      </c>
      <c r="K132" s="1688">
        <f>K104</f>
        <v/>
      </c>
      <c r="L132" s="1688">
        <f>L104</f>
        <v/>
      </c>
      <c r="M132" s="1688">
        <f>M104</f>
        <v/>
      </c>
      <c r="N132" s="1044">
        <f>IF(OR($M132="Regional share",$M132="Please select",$M132="Other (pls. specify EF)"),0,INDEX(INDIRECT(VLOOKUP(E132,list!$B$344:$D$347,1,FALSE)),MATCH(clim_moist,INDIRECT(VLOOKUP(E132,list!$B$344:$D$347,2,FALSE)),0),MATCH($M132,INDIRECT(VLOOKUP(E132,list!$B$344:$D$347,3,FALSE)),0))*Livestock!$H132*Livestock!$G132/1000*365)</f>
        <v/>
      </c>
      <c r="O132" s="1045">
        <f>N132</f>
        <v/>
      </c>
      <c r="P132" s="1044">
        <f>IFERROR(INDEX(INDIRECT(VLOOKUP(E132,list!$B$344:$D$347,1,FALSE)),MATCH(clim_moist,INDIRECT(VLOOKUP(E132,list!$B$344:$D$347,2,FALSE)),0),MATCH('4.Grassland'!$BH$53,INDIRECT(VLOOKUP(E132,list!$B$344:$D$347,3,FALSE)),0))*Livestock!$H132*Livestock!$G132/1000*365,0)*I132/100</f>
        <v/>
      </c>
      <c r="Q132" s="1044">
        <f>IF($B132="Please select",0,IF(OR($M132="Please select",$M132="Regional share"),SUMPRODUCT(INDEX(INDIRECT(VLOOKUP(E132,list!$B$344:$D$347,1,FALSE)),MATCH(clim_moist,INDIRECT(VLOOKUP(E132,list!$B$344:$D$347,2,FALSE)),0),0),INDEX(INDIRECT(VLOOKUP(F132,list!$B$288:$D$310,1,FALSE)),MATCH($C$2,INDIRECT(VLOOKUP(F132,list!$B$288:$D$310,2,FALSE)),0),0))/100*($H132*$G132/1000*365)-$P132,0))</f>
        <v/>
      </c>
      <c r="R132" s="2158">
        <f>IFERROR(($P132/($I132/100)*$J132/100+$O132*(1-$J132/100)+$Q132/(1-$I132/100)*(1-$J132/100)),0)</f>
        <v/>
      </c>
      <c r="S132" s="2158">
        <f>IFERROR(($P132/($I132/100)*$K132/100+$O132*(1-$K132/100)+$Q132/(1-$I132/100)*(1-$K132/100)),0)</f>
        <v/>
      </c>
      <c r="T132" s="2158">
        <f>IFERROR(($P132/($I132/100)*$L132/100+$O132*(1-$L132/100)+$Q132/(1-$I132/100)*(1-$L132/100)),0)</f>
        <v/>
      </c>
      <c r="V132" s="3493">
        <f>IF(moist_type="Dry",0.005,IF(moist_type="Wet",0.014,0.01))*$R132*$H22/1000*44/28*Nitrous</f>
        <v/>
      </c>
      <c r="W132" s="1151">
        <f>IF(moist_type="Dry",0.005,IF(moist_type="Wet",0.014,0.01))*$S132*$I22/1000*44/28*Nitrous</f>
        <v/>
      </c>
      <c r="X132" s="3494">
        <f>IF(moist_type="Dry",0.005,IF(moist_type="Wet",0.014,0.01))*$T132*$K22/1000*44/28*Nitrous</f>
        <v/>
      </c>
      <c r="Z132" s="3496">
        <f>MIN($V132,$W132)*time_tot+ABS($W132-$V132)*IF($W132&gt;$V132,time_cap+time*(VLOOKUP($J22,list!$J$48:$K$50,2,0)),time*(1-(VLOOKUP($J22,list!$J$48:$K$50,2,0))))</f>
        <v/>
      </c>
      <c r="AA132" s="3505">
        <f>MIN($V132,$X132)*time_tot+ABS($X132-$V132)*IF($X132&gt;$V132,time_cap+time*(VLOOKUP($L22,list!$J$48:$K$50,2,0)),time*(1-(VLOOKUP($L22,list!$J$48:$K$50,2,0))))</f>
        <v/>
      </c>
      <c r="AB132" s="3517">
        <f>AA132-Z132</f>
        <v/>
      </c>
    </row>
    <row r="133">
      <c r="B133" s="973">
        <f>B105</f>
        <v/>
      </c>
      <c r="C133" s="973">
        <f>C105</f>
        <v/>
      </c>
      <c r="E133" s="1109">
        <f>IF(B77="Please select","",IF(AND(OR($C$2="North America",$C$2="Western Europe",$C$2="Eastern Europe",$C$2="Oceania"),(C133="Default")),VLOOKUP($B133,$T$36:$W$54,4,FALSE),INDEX($T$36:$W$54,MATCH($B133,$T$36:$T$54,0),MATCH($C133,$T$36:$W$36,0))))</f>
        <v/>
      </c>
      <c r="F133" s="1109">
        <f>F105</f>
        <v/>
      </c>
      <c r="G133" s="1111">
        <f>G105</f>
        <v/>
      </c>
      <c r="H133" s="1044">
        <f>H105</f>
        <v/>
      </c>
      <c r="I133" s="1110">
        <f>I105</f>
        <v/>
      </c>
      <c r="J133" s="1688">
        <f>J105</f>
        <v/>
      </c>
      <c r="K133" s="1688">
        <f>K105</f>
        <v/>
      </c>
      <c r="L133" s="1688">
        <f>L105</f>
        <v/>
      </c>
      <c r="M133" s="1688">
        <f>M105</f>
        <v/>
      </c>
      <c r="N133" s="1044">
        <f>IF(OR($M133="Regional share",$M133="Please select",$M133="Other (pls. specify EF)"),0,INDEX(INDIRECT(VLOOKUP(E133,list!$B$344:$D$347,1,FALSE)),MATCH(clim_moist,INDIRECT(VLOOKUP(E133,list!$B$344:$D$347,2,FALSE)),0),MATCH($M133,INDIRECT(VLOOKUP(E133,list!$B$344:$D$347,3,FALSE)),0))*Livestock!$H133*Livestock!$G133/1000*365)</f>
        <v/>
      </c>
      <c r="O133" s="1045">
        <f>N133</f>
        <v/>
      </c>
      <c r="P133" s="1044">
        <f>IFERROR(INDEX(INDIRECT(VLOOKUP(E133,list!$B$344:$D$347,1,FALSE)),MATCH(clim_moist,INDIRECT(VLOOKUP(E133,list!$B$344:$D$347,2,FALSE)),0),MATCH('4.Grassland'!$BH$53,INDIRECT(VLOOKUP(E133,list!$B$344:$D$347,3,FALSE)),0))*Livestock!$H133*Livestock!$G133/1000*365,0)*I133/100</f>
        <v/>
      </c>
      <c r="Q133" s="1044">
        <f>IF($B133="Please select",0,IF(OR($M133="Please select",$M133="Regional share"),SUMPRODUCT(INDEX(INDIRECT(VLOOKUP(E133,list!$B$344:$D$347,1,FALSE)),MATCH(clim_moist,INDIRECT(VLOOKUP(E133,list!$B$344:$D$347,2,FALSE)),0),0),INDEX(INDIRECT(VLOOKUP(F133,list!$B$288:$D$310,1,FALSE)),MATCH($C$2,INDIRECT(VLOOKUP(F133,list!$B$288:$D$310,2,FALSE)),0),0))/100*($H133*$G133/1000*365)-$P133,0))</f>
        <v/>
      </c>
      <c r="R133" s="2158">
        <f>IFERROR(($P133/($I133/100)*$J133/100+$O133*(1-$J133/100)+$Q133/(1-$I133/100)*(1-$J133/100)),0)</f>
        <v/>
      </c>
      <c r="S133" s="2158">
        <f>IFERROR(($P133/($I133/100)*$K133/100+$O133*(1-$K133/100)+$Q133/(1-$I133/100)*(1-$K133/100)),0)</f>
        <v/>
      </c>
      <c r="T133" s="2158">
        <f>IFERROR(($P133/($I133/100)*$L133/100+$O133*(1-$L133/100)+$Q133/(1-$I133/100)*(1-$L133/100)),0)</f>
        <v/>
      </c>
      <c r="V133" s="3493">
        <f>IF(moist_type="Dry",0.005,IF(moist_type="Wet",0.014,0.01))*$R133*$H23/1000*44/28*Nitrous</f>
        <v/>
      </c>
      <c r="W133" s="1151">
        <f>IF(moist_type="Dry",0.005,IF(moist_type="Wet",0.014,0.01))*$S133*$I23/1000*44/28*Nitrous</f>
        <v/>
      </c>
      <c r="X133" s="3494">
        <f>IF(moist_type="Dry",0.005,IF(moist_type="Wet",0.014,0.01))*$T133*$K23/1000*44/28*Nitrous</f>
        <v/>
      </c>
      <c r="Z133" s="3496">
        <f>MIN($V133,$W133)*time_tot+ABS($W133-$V133)*IF($W133&gt;$V133,time_cap+time*(VLOOKUP($J23,list!$J$48:$K$50,2,0)),time*(1-(VLOOKUP($J23,list!$J$48:$K$50,2,0))))</f>
        <v/>
      </c>
      <c r="AA133" s="3505">
        <f>MIN($V133,$X133)*time_tot+ABS($X133-$V133)*IF($X133&gt;$V133,time_cap+time*(VLOOKUP($L23,list!$J$48:$K$50,2,0)),time*(1-(VLOOKUP($L23,list!$J$48:$K$50,2,0))))</f>
        <v/>
      </c>
      <c r="AB133" s="3517">
        <f>AA133-Z133</f>
        <v/>
      </c>
    </row>
    <row r="134">
      <c r="B134" s="973">
        <f>B106</f>
        <v/>
      </c>
      <c r="C134" s="973">
        <f>C106</f>
        <v/>
      </c>
      <c r="E134" s="1109">
        <f>IF(B78="Please select","",IF(AND(OR($C$2="North America",$C$2="Western Europe",$C$2="Eastern Europe",$C$2="Oceania"),(C134="Default")),VLOOKUP($B134,$T$36:$W$54,4,FALSE),INDEX($T$36:$W$54,MATCH($B134,$T$36:$T$54,0),MATCH($C134,$T$36:$W$36,0))))</f>
        <v/>
      </c>
      <c r="F134" s="1109">
        <f>F106</f>
        <v/>
      </c>
      <c r="G134" s="1111">
        <f>G106</f>
        <v/>
      </c>
      <c r="H134" s="1044">
        <f>H106</f>
        <v/>
      </c>
      <c r="I134" s="1110">
        <f>I106</f>
        <v/>
      </c>
      <c r="J134" s="1688">
        <f>J106</f>
        <v/>
      </c>
      <c r="K134" s="1688">
        <f>K106</f>
        <v/>
      </c>
      <c r="L134" s="1688">
        <f>L106</f>
        <v/>
      </c>
      <c r="M134" s="1688">
        <f>M106</f>
        <v/>
      </c>
      <c r="N134" s="1044">
        <f>IF(OR($M134="Regional share",$M134="Please select",$M134="Other (pls. specify EF)"),0,INDEX(INDIRECT(VLOOKUP(E134,list!$B$344:$D$347,1,FALSE)),MATCH(clim_moist,INDIRECT(VLOOKUP(E134,list!$B$344:$D$347,2,FALSE)),0),MATCH($M134,INDIRECT(VLOOKUP(E134,list!$B$344:$D$347,3,FALSE)),0))*Livestock!$H134*Livestock!$G134/1000*365)</f>
        <v/>
      </c>
      <c r="O134" s="1045">
        <f>N134</f>
        <v/>
      </c>
      <c r="P134" s="1044">
        <f>IFERROR(INDEX(INDIRECT(VLOOKUP(E134,list!$B$344:$D$347,1,FALSE)),MATCH(clim_moist,INDIRECT(VLOOKUP(E134,list!$B$344:$D$347,2,FALSE)),0),MATCH('4.Grassland'!$BH$53,INDIRECT(VLOOKUP(E134,list!$B$344:$D$347,3,FALSE)),0))*Livestock!$H134*Livestock!$G134/1000*365,0)*I134/100</f>
        <v/>
      </c>
      <c r="Q134" s="1044">
        <f>IF($B134="Please select",0,IF(OR($M134="Please select",$M134="Regional share"),SUMPRODUCT(INDEX(INDIRECT(VLOOKUP(E134,list!$B$344:$D$347,1,FALSE)),MATCH(clim_moist,INDIRECT(VLOOKUP(E134,list!$B$344:$D$347,2,FALSE)),0),0),INDEX(INDIRECT(VLOOKUP(F134,list!$B$288:$D$310,1,FALSE)),MATCH($C$2,INDIRECT(VLOOKUP(F134,list!$B$288:$D$310,2,FALSE)),0),0))/100*($H134*$G134/1000*365)-$P134,0))</f>
        <v/>
      </c>
      <c r="R134" s="2158">
        <f>IFERROR(($P134/($I134/100)*$J134/100+$O134*(1-$J134/100)+$Q134/(1-$I134/100)*(1-$J134/100)),0)</f>
        <v/>
      </c>
      <c r="S134" s="2158">
        <f>IFERROR(($P134/($I134/100)*$K134/100+$O134*(1-$K134/100)+$Q134/(1-$I134/100)*(1-$K134/100)),0)</f>
        <v/>
      </c>
      <c r="T134" s="2158">
        <f>IFERROR(($P134/($I134/100)*$L134/100+$O134*(1-$L134/100)+$Q134/(1-$I134/100)*(1-$L134/100)),0)</f>
        <v/>
      </c>
      <c r="V134" s="3493">
        <f>IF(moist_type="Dry",0.005,IF(moist_type="Wet",0.014,0.01))*$R134*$H24/1000*44/28*Nitrous</f>
        <v/>
      </c>
      <c r="W134" s="1151">
        <f>IF(moist_type="Dry",0.005,IF(moist_type="Wet",0.014,0.01))*$S134*$I24/1000*44/28*Nitrous</f>
        <v/>
      </c>
      <c r="X134" s="3494">
        <f>IF(moist_type="Dry",0.005,IF(moist_type="Wet",0.014,0.01))*$T134*$K24/1000*44/28*Nitrous</f>
        <v/>
      </c>
      <c r="Z134" s="3496">
        <f>MIN($V134,$W134)*time_tot+ABS($W134-$V134)*IF($W134&gt;$V134,time_cap+time*(VLOOKUP($J24,list!$J$48:$K$50,2,0)),time*(1-(VLOOKUP($J24,list!$J$48:$K$50,2,0))))</f>
        <v/>
      </c>
      <c r="AA134" s="3505">
        <f>MIN($V134,$X134)*time_tot+ABS($X134-$V134)*IF($X134&gt;$V134,time_cap+time*(VLOOKUP($L24,list!$J$48:$K$50,2,0)),time*(1-(VLOOKUP($L24,list!$J$48:$K$50,2,0))))</f>
        <v/>
      </c>
      <c r="AB134" s="3517">
        <f>AA134-Z134</f>
        <v/>
      </c>
    </row>
    <row r="138">
      <c r="V138" s="1163" t="n"/>
      <c r="W138" s="1163" t="n"/>
      <c r="X138" s="1163" t="n"/>
      <c r="Y138" s="1653" t="inlineStr">
        <is>
          <t>Total Manure Management [N2O volatilization]</t>
        </is>
      </c>
      <c r="Z138" s="2276">
        <f>SUM(Z118:Z134)</f>
        <v/>
      </c>
      <c r="AA138" s="2276">
        <f>SUM(AA118:AA134)</f>
        <v/>
      </c>
      <c r="AB138" s="2276">
        <f>SUM(AB118:AB134)</f>
        <v/>
      </c>
    </row>
    <row r="140">
      <c r="G140" s="3489" t="n"/>
      <c r="H140" s="4566">
        <f>H114</f>
        <v/>
      </c>
      <c r="M140" s="4567">
        <f>M114</f>
        <v/>
      </c>
      <c r="N140" s="341" t="n"/>
      <c r="O140" s="341" t="n"/>
    </row>
    <row r="141">
      <c r="B141" s="2277" t="inlineStr">
        <is>
          <t>Nitrogen loss due to leaching</t>
        </is>
      </c>
      <c r="G141" s="1576">
        <f>G115</f>
        <v/>
      </c>
      <c r="H141" s="1281">
        <f>H115</f>
        <v/>
      </c>
      <c r="I141" s="1281">
        <f>I115</f>
        <v/>
      </c>
      <c r="L141" s="1659" t="n"/>
      <c r="M141" s="1659" t="n"/>
      <c r="N141" s="1671">
        <f>N115</f>
        <v/>
      </c>
      <c r="O141" s="1644" t="n"/>
      <c r="P141" s="1672">
        <f>P115</f>
        <v/>
      </c>
      <c r="Q141" s="1672">
        <f>Q115</f>
        <v/>
      </c>
      <c r="V141" s="2167" t="inlineStr">
        <is>
          <t>Emissions from manure mngt [N2O]</t>
        </is>
      </c>
      <c r="W141" s="3489" t="n"/>
      <c r="X141" s="3489" t="n"/>
      <c r="Z141" s="1281" t="inlineStr">
        <is>
          <t>Total emissions (tCO2-eq)</t>
        </is>
      </c>
    </row>
    <row r="142" ht="16" customHeight="1">
      <c r="G142" s="1688">
        <f>G116</f>
        <v/>
      </c>
      <c r="H142" s="973">
        <f>H116</f>
        <v/>
      </c>
      <c r="I142" s="2167">
        <f>I116</f>
        <v/>
      </c>
      <c r="J142" s="3489" t="n"/>
      <c r="K142" s="3502" t="n"/>
      <c r="L142" s="3502" t="n"/>
      <c r="M142" s="4567">
        <f>M116</f>
        <v/>
      </c>
      <c r="N142" s="1670" t="n"/>
      <c r="V142" s="1281" t="inlineStr">
        <is>
          <t>tCO2-e/yr</t>
        </is>
      </c>
      <c r="W142" s="1100" t="n"/>
      <c r="X142" s="1101" t="n"/>
      <c r="Z142" s="1270" t="n"/>
      <c r="AA142" s="1116" t="n"/>
      <c r="AB142" s="1116" t="n"/>
      <c r="AE142" s="973" t="inlineStr">
        <is>
          <t>IMPLEMENTATION PHASE</t>
        </is>
      </c>
    </row>
    <row r="143" ht="16" customHeight="1">
      <c r="B143" s="973">
        <f>B117</f>
        <v/>
      </c>
      <c r="C143" s="973">
        <f>C117</f>
        <v/>
      </c>
      <c r="E143" s="1281" t="inlineStr">
        <is>
          <t>FRACleachingMS</t>
        </is>
      </c>
      <c r="F143" s="1281">
        <f>F117</f>
        <v/>
      </c>
      <c r="G143" s="1688">
        <f>G117</f>
        <v/>
      </c>
      <c r="H143" s="1688">
        <f>H117</f>
        <v/>
      </c>
      <c r="I143" s="1688">
        <f>I117</f>
        <v/>
      </c>
      <c r="J143" s="1688">
        <f>J117</f>
        <v/>
      </c>
      <c r="K143" s="1688">
        <f>K117</f>
        <v/>
      </c>
      <c r="L143" s="1688">
        <f>L117</f>
        <v/>
      </c>
      <c r="M143" s="1688" t="n"/>
      <c r="N143" s="1688">
        <f>N117</f>
        <v/>
      </c>
      <c r="O143" s="1300">
        <f>O117</f>
        <v/>
      </c>
      <c r="Q143" s="1688">
        <f>Q117</f>
        <v/>
      </c>
      <c r="R143" s="1688">
        <f>R117</f>
        <v/>
      </c>
      <c r="S143" s="1688">
        <f>S117</f>
        <v/>
      </c>
      <c r="T143" s="1688">
        <f>T117</f>
        <v/>
      </c>
      <c r="V143" s="1688" t="inlineStr">
        <is>
          <t>START</t>
        </is>
      </c>
      <c r="W143" s="1102" t="inlineStr">
        <is>
          <t>W/OUT</t>
        </is>
      </c>
      <c r="X143" s="1103" t="inlineStr">
        <is>
          <t>WITH</t>
        </is>
      </c>
      <c r="Z143" s="1521" t="inlineStr">
        <is>
          <t>W/OUT</t>
        </is>
      </c>
      <c r="AA143" s="1101" t="inlineStr">
        <is>
          <t>WITH</t>
        </is>
      </c>
      <c r="AB143" s="1116" t="inlineStr">
        <is>
          <t>BALANCE</t>
        </is>
      </c>
      <c r="AE143" s="1102" t="inlineStr">
        <is>
          <t>WITHOUT</t>
        </is>
      </c>
      <c r="AF143" s="1103" t="inlineStr">
        <is>
          <t>WITH</t>
        </is>
      </c>
    </row>
    <row r="144">
      <c r="B144" s="973">
        <f>B118</f>
        <v/>
      </c>
      <c r="C144" s="973">
        <f>C118</f>
        <v/>
      </c>
      <c r="E144" s="1109" t="inlineStr">
        <is>
          <t>Frac_leach_all_categories</t>
        </is>
      </c>
      <c r="F144" s="1109">
        <f>F118</f>
        <v/>
      </c>
      <c r="G144" s="1111">
        <f>G118</f>
        <v/>
      </c>
      <c r="H144" s="1044">
        <f>H118</f>
        <v/>
      </c>
      <c r="I144" s="1110">
        <f>I118</f>
        <v/>
      </c>
      <c r="J144" s="1688">
        <f>J118</f>
        <v/>
      </c>
      <c r="K144" s="1688">
        <f>K118</f>
        <v/>
      </c>
      <c r="L144" s="1688">
        <f>L118</f>
        <v/>
      </c>
      <c r="M144" s="1688">
        <f>M118</f>
        <v/>
      </c>
      <c r="N144" s="4720">
        <f>IF(OR($M144="Regional share",$M144="Please select",$M144="Other (pls. specify EF)"),0,INDEX(INDIRECT(VLOOKUP(E144,list!$B$349:$D$349,1,FALSE)),MATCH(clim_moist,INDIRECT(VLOOKUP(E144,list!$B$349:$D$349,2,FALSE)),0),MATCH($M144,INDIRECT(VLOOKUP(E144,list!$B$349:$D$349,3,FALSE)),0))*Livestock!$H144*Livestock!$G144/1000*365)</f>
        <v/>
      </c>
      <c r="O144" s="1581">
        <f>N144</f>
        <v/>
      </c>
      <c r="P144" s="1260">
        <f>IFERROR(INDEX(INDIRECT(VLOOKUP(E144,list!$B$349:$D$349,1,FALSE)),MATCH(clim_moist,INDIRECT(VLOOKUP(E144,list!$B$349:$D$349,2,FALSE)),0),MATCH('4.Grassland'!$BH$53,INDIRECT(VLOOKUP(E144,list!$B$349:$D$349,3,FALSE)),0))*Livestock!$H144*Livestock!$G144/1000*365,0)*I144/100</f>
        <v/>
      </c>
      <c r="Q144" s="1260">
        <f>IF($B144="Please select",0,IF(OR($M144="Please select",$M144="Regional share"),SUMPRODUCT(INDEX(INDIRECT(VLOOKUP(E144,list!$B$349:$D$349,1,FALSE)),MATCH(clim_moist,INDIRECT(VLOOKUP(E144,list!$B$349:$D$349,2,FALSE)),0),0),INDEX(INDIRECT(VLOOKUP(F144,list!$B$288:$D$310,1,FALSE)),MATCH($C$2,INDIRECT(VLOOKUP(F144,list!$B$288:$D$310,2,FALSE)),0),0))/100*($H144*$G144/1000*365)-$P144,0))</f>
        <v/>
      </c>
      <c r="R144" s="2158">
        <f>IFERROR(($P144/($I144/100)*$J144/100+$O144*(1-$J144/100)+$Q144/(1-$I144/100)*(1-$J144/100)),0)</f>
        <v/>
      </c>
      <c r="S144" s="2158">
        <f>IFERROR(($P144/($I144/100)*$K144/100+$O144*(1-$K144/100)+$Q144/(1-$I144/100)*(1-$K144/100)),0)</f>
        <v/>
      </c>
      <c r="T144" s="2158">
        <f>IFERROR(($P144/($I144/100)*$L144/100+$O144*(1-$L144/100)+$Q144/(1-$I144/100)*(1-$L144/100)),0)</f>
        <v/>
      </c>
      <c r="V144" s="3493">
        <f>0.011*$R144*$H8/1000*44/28*Nitrous</f>
        <v/>
      </c>
      <c r="W144" s="1151">
        <f>0.011*$S144*$I8/1000*44/28*Nitrous</f>
        <v/>
      </c>
      <c r="X144" s="3494">
        <f>0.011*$T144*$K8/1000*44/28*Nitrous</f>
        <v/>
      </c>
      <c r="Y144" s="992" t="n"/>
      <c r="Z144" s="3493">
        <f>MIN($V144,$W144)*time_tot+ABS($W144-$V144)*IF($W144&gt;$V144,time_cap+time*(VLOOKUP($J8,list!$J$48:$K$50,2,0)),time*(1-(VLOOKUP($J8,list!$J$48:$K$50,2,0))))</f>
        <v/>
      </c>
      <c r="AA144" s="3494">
        <f>MIN($V144,$X144)*time_tot+ABS($X144-$V144)*IF($X144&gt;$V144,time_cap+time*(VLOOKUP($L8,list!$J$48:$K$50,2,0)),time*(1-(VLOOKUP($L8,list!$J$48:$K$50,2,0))))</f>
        <v/>
      </c>
      <c r="AB144" s="3516">
        <f>AA144-Z144</f>
        <v/>
      </c>
      <c r="AE144" s="992">
        <f>MIN($V144,$W144)*time+ABS($W144-$V144)*IF($W144&gt;$V144,time*(VLOOKUP($J8,list!$J$48:$K$50,2,)),time*(1-(VLOOKUP($J8,list!$J$48:$K$50,2,))))</f>
        <v/>
      </c>
      <c r="AF144" s="992">
        <f>MIN($V144,$X144)*time+ABS($X144-$V144)*IF($X144&gt;$V144,time*(VLOOKUP($L8,list!$J$48:$K$50,2,)),time*(1-(VLOOKUP($L8,list!$J$48:$K$50,2,))))</f>
        <v/>
      </c>
    </row>
    <row r="145">
      <c r="B145" s="973">
        <f>B119</f>
        <v/>
      </c>
      <c r="C145" s="973">
        <f>C119</f>
        <v/>
      </c>
      <c r="E145" s="1109" t="inlineStr">
        <is>
          <t>Frac_leach_all_categories</t>
        </is>
      </c>
      <c r="F145" s="1109">
        <f>F119</f>
        <v/>
      </c>
      <c r="G145" s="1111">
        <f>G119</f>
        <v/>
      </c>
      <c r="H145" s="1044">
        <f>H119</f>
        <v/>
      </c>
      <c r="I145" s="1110">
        <f>I119</f>
        <v/>
      </c>
      <c r="J145" s="1688">
        <f>J119</f>
        <v/>
      </c>
      <c r="K145" s="1688">
        <f>K119</f>
        <v/>
      </c>
      <c r="L145" s="1688">
        <f>L119</f>
        <v/>
      </c>
      <c r="M145" s="1688">
        <f>M119</f>
        <v/>
      </c>
      <c r="N145" s="4720">
        <f>IF(OR($M145="Regional share",$M145="Please select",$M145="Other (pls. specify EF)"),0,INDEX(INDIRECT(VLOOKUP(E145,list!$B$349:$D$349,1,FALSE)),MATCH(clim_moist,INDIRECT(VLOOKUP(E145,list!$B$349:$D$349,2,FALSE)),0),MATCH($M145,INDIRECT(VLOOKUP(E145,list!$B$349:$D$349,3,FALSE)),0))*Livestock!$H145*Livestock!$G145/1000*365)</f>
        <v/>
      </c>
      <c r="O145" s="1581">
        <f>N145</f>
        <v/>
      </c>
      <c r="P145" s="1260">
        <f>IFERROR(INDEX(INDIRECT(VLOOKUP(E145,list!$B$349:$D$349,1,FALSE)),MATCH(clim_moist,INDIRECT(VLOOKUP(E145,list!$B$349:$D$349,2,FALSE)),0),MATCH('4.Grassland'!$BH$53,INDIRECT(VLOOKUP(E145,list!$B$349:$D$349,3,FALSE)),0))*Livestock!$H145*Livestock!$G145/1000*365,0)*I145/100</f>
        <v/>
      </c>
      <c r="Q145" s="1260">
        <f>IF($B145="Please select",0,IF(OR($M145="Please select",$M145="Regional share"),SUMPRODUCT(INDEX(INDIRECT(VLOOKUP(E145,list!$B$349:$D$349,1,FALSE)),MATCH(clim_moist,INDIRECT(VLOOKUP(E145,list!$B$349:$D$349,2,FALSE)),0),0),INDEX(INDIRECT(VLOOKUP(F145,list!$B$288:$D$310,1,FALSE)),MATCH($C$2,INDIRECT(VLOOKUP(F145,list!$B$288:$D$310,2,FALSE)),0),0))/100*($H145*$G145/1000*365)-$P145,0))</f>
        <v/>
      </c>
      <c r="R145" s="2158">
        <f>IFERROR(($P145/($I145/100)*$J145/100+$O145*(1-$J145/100)+$Q145/(1-$I145/100)*(1-$J145/100)),0)</f>
        <v/>
      </c>
      <c r="S145" s="2158">
        <f>IFERROR(($P145/($I145/100)*$K145/100+$O145*(1-$K145/100)+$Q145/(1-$I145/100)*(1-$K145/100)),0)</f>
        <v/>
      </c>
      <c r="T145" s="2158">
        <f>IFERROR(($P145/($I145/100)*$L145/100+$O145*(1-$L145/100)+$Q145/(1-$I145/100)*(1-$L145/100)),0)</f>
        <v/>
      </c>
      <c r="V145" s="3493">
        <f>0.011*$R145*$H9/1000*44/28*Nitrous</f>
        <v/>
      </c>
      <c r="W145" s="1151">
        <f>0.011*$S145*$I9/1000*44/28*Nitrous</f>
        <v/>
      </c>
      <c r="X145" s="3494">
        <f>0.011*$T145*$K9/1000*44/28*Nitrous</f>
        <v/>
      </c>
      <c r="Y145" s="992" t="n"/>
      <c r="Z145" s="3493">
        <f>MIN($V145,$W145)*time_tot+ABS($W145-$V145)*IF($W145&gt;$V145,time_cap+time*(VLOOKUP($J9,list!$J$48:$K$50,2,0)),time*(1-(VLOOKUP($J9,list!$J$48:$K$50,2,0))))</f>
        <v/>
      </c>
      <c r="AA145" s="3494">
        <f>MIN($V145,$X145)*time_tot+ABS($X145-$V145)*IF($X145&gt;$V145,time_cap+time*(VLOOKUP($L9,list!$J$48:$K$50,2,0)),time*(1-(VLOOKUP($L9,list!$J$48:$K$50,2,0))))</f>
        <v/>
      </c>
      <c r="AB145" s="2166">
        <f>AA145-Z145</f>
        <v/>
      </c>
      <c r="AE145" s="992">
        <f>MIN($V145,$W145)*time+ABS($W145-$V145)*IF($W145&gt;$V145,time*(VLOOKUP($J9,list!$J$48:$K$50,2,)),time*(1-(VLOOKUP($J9,list!$J$48:$K$50,2,))))</f>
        <v/>
      </c>
      <c r="AF145" s="992">
        <f>MIN($V145,$X145)*time+ABS($X145-$V145)*IF($X145&gt;$V145,time*(VLOOKUP($L9,list!$J$48:$K$50,2,)),time*(1-(VLOOKUP($L9,list!$J$48:$K$50,2,))))</f>
        <v/>
      </c>
    </row>
    <row r="146">
      <c r="B146" s="973">
        <f>B120</f>
        <v/>
      </c>
      <c r="C146" s="973">
        <f>C120</f>
        <v/>
      </c>
      <c r="E146" s="1109" t="inlineStr">
        <is>
          <t>Frac_leach_all_categories</t>
        </is>
      </c>
      <c r="F146" s="1109">
        <f>F120</f>
        <v/>
      </c>
      <c r="G146" s="1111">
        <f>G120</f>
        <v/>
      </c>
      <c r="H146" s="1044">
        <f>H120</f>
        <v/>
      </c>
      <c r="I146" s="1110">
        <f>I120</f>
        <v/>
      </c>
      <c r="J146" s="1688">
        <f>J120</f>
        <v/>
      </c>
      <c r="K146" s="1688">
        <f>K120</f>
        <v/>
      </c>
      <c r="L146" s="1688">
        <f>L120</f>
        <v/>
      </c>
      <c r="M146" s="1688">
        <f>M120</f>
        <v/>
      </c>
      <c r="N146" s="4720">
        <f>IF(OR($M146="Regional share",$M146="Please select",$M146="Other (pls. specify EF)"),0,INDEX(INDIRECT(VLOOKUP(E146,list!$B$349:$D$349,1,FALSE)),MATCH(clim_moist,INDIRECT(VLOOKUP(E146,list!$B$349:$D$349,2,FALSE)),0),MATCH($M146,INDIRECT(VLOOKUP(E146,list!$B$349:$D$349,3,FALSE)),0))*Livestock!$H146*Livestock!$G146/1000*365)</f>
        <v/>
      </c>
      <c r="O146" s="1581">
        <f>N146</f>
        <v/>
      </c>
      <c r="P146" s="1260">
        <f>IFERROR(INDEX(INDIRECT(VLOOKUP(E146,list!$B$349:$D$349,1,FALSE)),MATCH(clim_moist,INDIRECT(VLOOKUP(E146,list!$B$349:$D$349,2,FALSE)),0),MATCH('4.Grassland'!$BH$53,INDIRECT(VLOOKUP(E146,list!$B$349:$D$349,3,FALSE)),0))*Livestock!$H146*Livestock!$G146/1000*365,0)*I146/100</f>
        <v/>
      </c>
      <c r="Q146" s="1260">
        <f>IF($B146="Please select",0,IF(OR($M146="Please select",$M146="Regional share"),SUMPRODUCT(INDEX(INDIRECT(VLOOKUP(E146,list!$B$349:$D$349,1,FALSE)),MATCH(clim_moist,INDIRECT(VLOOKUP(E146,list!$B$349:$D$349,2,FALSE)),0),0),INDEX(INDIRECT(VLOOKUP(F146,list!$B$288:$D$310,1,FALSE)),MATCH($C$2,INDIRECT(VLOOKUP(F146,list!$B$288:$D$310,2,FALSE)),0),0))/100*($H146*$G146/1000*365)-$P146,0))</f>
        <v/>
      </c>
      <c r="R146" s="2158">
        <f>IFERROR(($P146/($I146/100)*$J146/100+$O146*(1-$J146/100)+$Q146/(1-$I146/100)*(1-$J146/100)),0)</f>
        <v/>
      </c>
      <c r="S146" s="2158">
        <f>IFERROR(($P146/($I146/100)*$K146/100+$O146*(1-$K146/100)+$Q146/(1-$I146/100)*(1-$K146/100)),0)</f>
        <v/>
      </c>
      <c r="T146" s="2158">
        <f>IFERROR(($P146/($I146/100)*$L146/100+$O146*(1-$L146/100)+$Q146/(1-$I146/100)*(1-$L146/100)),0)</f>
        <v/>
      </c>
      <c r="V146" s="3493">
        <f>0.011*$R146*$H10/1000*44/28*Nitrous</f>
        <v/>
      </c>
      <c r="W146" s="1151">
        <f>0.011*$S146*$I10/1000*44/28*Nitrous</f>
        <v/>
      </c>
      <c r="X146" s="3494">
        <f>0.011*$T146*$K10/1000*44/28*Nitrous</f>
        <v/>
      </c>
      <c r="Y146" s="992" t="n"/>
      <c r="Z146" s="3493">
        <f>MIN($V146,$W146)*time_tot+ABS($W146-$V146)*IF($W146&gt;$V146,time_cap+time*(VLOOKUP($J10,list!$J$48:$K$50,2,0)),time*(1-(VLOOKUP($J10,list!$J$48:$K$50,2,0))))</f>
        <v/>
      </c>
      <c r="AA146" s="3494">
        <f>MIN($V146,$X146)*time_tot+ABS($X146-$V146)*IF($X146&gt;$V146,time_cap+time*(VLOOKUP($L10,list!$J$48:$K$50,2,0)),time*(1-(VLOOKUP($L10,list!$J$48:$K$50,2,0))))</f>
        <v/>
      </c>
      <c r="AB146" s="2166">
        <f>AA146-Z146</f>
        <v/>
      </c>
      <c r="AE146" s="992">
        <f>MIN($V146,$W146)*time+ABS($W146-$V146)*IF($W146&gt;$V146,time*(VLOOKUP($J10,list!$J$48:$K$50,2,)),time*(1-(VLOOKUP($J10,list!$J$48:$K$50,2,))))</f>
        <v/>
      </c>
      <c r="AF146" s="992">
        <f>MIN($V146,$X146)*time+ABS($X146-$V146)*IF($X146&gt;$V146,time*(VLOOKUP($L10,list!$J$48:$K$50,2,)),time*(1-(VLOOKUP($L10,list!$J$48:$K$50,2,))))</f>
        <v/>
      </c>
    </row>
    <row r="147">
      <c r="B147" s="973">
        <f>B121</f>
        <v/>
      </c>
      <c r="C147" s="973">
        <f>C121</f>
        <v/>
      </c>
      <c r="E147" s="1109" t="inlineStr">
        <is>
          <t>Frac_leach_all_categories</t>
        </is>
      </c>
      <c r="F147" s="1109">
        <f>F121</f>
        <v/>
      </c>
      <c r="G147" s="1111">
        <f>G121</f>
        <v/>
      </c>
      <c r="H147" s="1044">
        <f>H121</f>
        <v/>
      </c>
      <c r="I147" s="1110">
        <f>I121</f>
        <v/>
      </c>
      <c r="J147" s="1688">
        <f>J121</f>
        <v/>
      </c>
      <c r="K147" s="1688">
        <f>K121</f>
        <v/>
      </c>
      <c r="L147" s="1688">
        <f>L121</f>
        <v/>
      </c>
      <c r="M147" s="1688">
        <f>M121</f>
        <v/>
      </c>
      <c r="N147" s="4720">
        <f>IF(OR($M147="Regional share",$M147="Please select",$M147="Other (pls. specify EF)"),0,INDEX(INDIRECT(VLOOKUP(E147,list!$B$349:$D$349,1,FALSE)),MATCH(clim_moist,INDIRECT(VLOOKUP(E147,list!$B$349:$D$349,2,FALSE)),0),MATCH($M147,INDIRECT(VLOOKUP(E147,list!$B$349:$D$349,3,FALSE)),0))*Livestock!$H147*Livestock!$G147/1000*365)</f>
        <v/>
      </c>
      <c r="O147" s="1581">
        <f>N147</f>
        <v/>
      </c>
      <c r="P147" s="1260">
        <f>IFERROR(INDEX(INDIRECT(VLOOKUP(E147,list!$B$349:$D$349,1,FALSE)),MATCH(clim_moist,INDIRECT(VLOOKUP(E147,list!$B$349:$D$349,2,FALSE)),0),MATCH('4.Grassland'!$BH$53,INDIRECT(VLOOKUP(E147,list!$B$349:$D$349,3,FALSE)),0))*Livestock!$H147*Livestock!$G147/1000*365,0)*I147/100</f>
        <v/>
      </c>
      <c r="Q147" s="1260">
        <f>IF($B147="Please select",0,IF(OR($M147="Please select",$M147="Regional share"),SUMPRODUCT(INDEX(INDIRECT(VLOOKUP(E147,list!$B$349:$D$349,1,FALSE)),MATCH(clim_moist,INDIRECT(VLOOKUP(E147,list!$B$349:$D$349,2,FALSE)),0),0),INDEX(INDIRECT(VLOOKUP(F147,list!$B$288:$D$310,1,FALSE)),MATCH($C$2,INDIRECT(VLOOKUP(F147,list!$B$288:$D$310,2,FALSE)),0),0))/100*($H147*$G147/1000*365)-$P147,0))</f>
        <v/>
      </c>
      <c r="R147" s="2158">
        <f>IFERROR(($P147/($I147/100)*$J147/100+$O147*(1-$J147/100)+$Q147/(1-$I147/100)*(1-$J147/100)),0)</f>
        <v/>
      </c>
      <c r="S147" s="2158">
        <f>IFERROR(($P147/($I147/100)*$K147/100+$O147*(1-$K147/100)+$Q147/(1-$I147/100)*(1-$K147/100)),0)</f>
        <v/>
      </c>
      <c r="T147" s="2158">
        <f>IFERROR(($P147/($I147/100)*$L147/100+$O147*(1-$L147/100)+$Q147/(1-$I147/100)*(1-$L147/100)),0)</f>
        <v/>
      </c>
      <c r="V147" s="3493">
        <f>0.011*$R147*$H11/1000*44/28*Nitrous</f>
        <v/>
      </c>
      <c r="W147" s="1151">
        <f>0.011*$S147*$I11/1000*44/28*Nitrous</f>
        <v/>
      </c>
      <c r="X147" s="3494">
        <f>0.011*$T147*$K11/1000*44/28*Nitrous</f>
        <v/>
      </c>
      <c r="Y147" s="992" t="n"/>
      <c r="Z147" s="3493">
        <f>MIN($V147,$W147)*time_tot+ABS($W147-$V147)*IF($W147&gt;$V147,time_cap+time*(VLOOKUP($J11,list!$J$48:$K$50,2,0)),time*(1-(VLOOKUP($J11,list!$J$48:$K$50,2,0))))</f>
        <v/>
      </c>
      <c r="AA147" s="3494">
        <f>MIN($V147,$X147)*time_tot+ABS($X147-$V147)*IF($X147&gt;$V147,time_cap+time*(VLOOKUP($L11,list!$J$48:$K$50,2,0)),time*(1-(VLOOKUP($L11,list!$J$48:$K$50,2,0))))</f>
        <v/>
      </c>
      <c r="AB147" s="2166">
        <f>AA147-Z147</f>
        <v/>
      </c>
      <c r="AE147" s="992">
        <f>MIN($V147,$W147)*time+ABS($W147-$V147)*IF($W147&gt;$V147,time*(VLOOKUP($J11,list!$J$48:$K$50,2,)),time*(1-(VLOOKUP($J11,list!$J$48:$K$50,2,))))</f>
        <v/>
      </c>
      <c r="AF147" s="992">
        <f>MIN($V147,$X147)*time+ABS($X147-$V147)*IF($X147&gt;$V147,time*(VLOOKUP($L11,list!$J$48:$K$50,2,)),time*(1-(VLOOKUP($L11,list!$J$48:$K$50,2,))))</f>
        <v/>
      </c>
    </row>
    <row r="148">
      <c r="B148" s="973">
        <f>B122</f>
        <v/>
      </c>
      <c r="C148" s="973">
        <f>C122</f>
        <v/>
      </c>
      <c r="E148" s="1109" t="inlineStr">
        <is>
          <t>Frac_leach_all_categories</t>
        </is>
      </c>
      <c r="F148" s="1109">
        <f>F122</f>
        <v/>
      </c>
      <c r="G148" s="1111">
        <f>G122</f>
        <v/>
      </c>
      <c r="H148" s="1044">
        <f>H122</f>
        <v/>
      </c>
      <c r="I148" s="1110">
        <f>I122</f>
        <v/>
      </c>
      <c r="J148" s="1688">
        <f>J122</f>
        <v/>
      </c>
      <c r="K148" s="1688">
        <f>K122</f>
        <v/>
      </c>
      <c r="L148" s="1688">
        <f>L122</f>
        <v/>
      </c>
      <c r="M148" s="1688">
        <f>M122</f>
        <v/>
      </c>
      <c r="N148" s="4720">
        <f>IF(OR($M148="Regional share",$M148="Please select",$M148="Other (pls. specify EF)"),0,INDEX(INDIRECT(VLOOKUP(E148,list!$B$349:$D$349,1,FALSE)),MATCH(clim_moist,INDIRECT(VLOOKUP(E148,list!$B$349:$D$349,2,FALSE)),0),MATCH($M148,INDIRECT(VLOOKUP(E148,list!$B$349:$D$349,3,FALSE)),0))*Livestock!$H148*Livestock!$G148/1000*365)</f>
        <v/>
      </c>
      <c r="O148" s="1581">
        <f>N148</f>
        <v/>
      </c>
      <c r="P148" s="1260">
        <f>IFERROR(INDEX(INDIRECT(VLOOKUP(E148,list!$B$349:$D$349,1,FALSE)),MATCH(clim_moist,INDIRECT(VLOOKUP(E148,list!$B$349:$D$349,2,FALSE)),0),MATCH('4.Grassland'!$BH$53,INDIRECT(VLOOKUP(E148,list!$B$349:$D$349,3,FALSE)),0))*Livestock!$H148*Livestock!$G148/1000*365,0)*I148/100</f>
        <v/>
      </c>
      <c r="Q148" s="1260">
        <f>IF($B148="Please select",0,IF(OR($M148="Please select",$M148="Regional share"),SUMPRODUCT(INDEX(INDIRECT(VLOOKUP(E148,list!$B$349:$D$349,1,FALSE)),MATCH(clim_moist,INDIRECT(VLOOKUP(E148,list!$B$349:$D$349,2,FALSE)),0),0),INDEX(INDIRECT(VLOOKUP(F148,list!$B$288:$D$310,1,FALSE)),MATCH($C$2,INDIRECT(VLOOKUP(F148,list!$B$288:$D$310,2,FALSE)),0),0))/100*($H148*$G148/1000*365)-$P148,0))</f>
        <v/>
      </c>
      <c r="R148" s="2158">
        <f>IFERROR(($P148/($I148/100)*$J148/100+$O148*(1-$J148/100)+$Q148/(1-$I148/100)*(1-$J148/100)),0)</f>
        <v/>
      </c>
      <c r="S148" s="2158">
        <f>IFERROR(($P148/($I148/100)*$K148/100+$O148*(1-$K148/100)+$Q148/(1-$I148/100)*(1-$K148/100)),0)</f>
        <v/>
      </c>
      <c r="T148" s="2158">
        <f>IFERROR(($P148/($I148/100)*$L148/100+$O148*(1-$L148/100)+$Q148/(1-$I148/100)*(1-$L148/100)),0)</f>
        <v/>
      </c>
      <c r="V148" s="3493">
        <f>0.011*$R148*$H12/1000*44/28*Nitrous</f>
        <v/>
      </c>
      <c r="W148" s="1151">
        <f>0.011*$S148*$I12/1000*44/28*Nitrous</f>
        <v/>
      </c>
      <c r="X148" s="3494">
        <f>0.011*$T148*$K12/1000*44/28*Nitrous</f>
        <v/>
      </c>
      <c r="Y148" s="992" t="n"/>
      <c r="Z148" s="3493">
        <f>MIN($V148,$W148)*time_tot+ABS($W148-$V148)*IF($W148&gt;$V148,time_cap+time*(VLOOKUP($J12,list!$J$48:$K$50,2,0)),time*(1-(VLOOKUP($J12,list!$J$48:$K$50,2,0))))</f>
        <v/>
      </c>
      <c r="AA148" s="3494">
        <f>MIN($V148,$X148)*time_tot+ABS($X148-$V148)*IF($X148&gt;$V148,time_cap+time*(VLOOKUP($L12,list!$J$48:$K$50,2,0)),time*(1-(VLOOKUP($L12,list!$J$48:$K$50,2,0))))</f>
        <v/>
      </c>
      <c r="AB148" s="2166">
        <f>AA148-Z148</f>
        <v/>
      </c>
      <c r="AE148" s="992">
        <f>MIN($V148,$W148)*time+ABS($W148-$V148)*IF($W148&gt;$V148,time*(VLOOKUP($J12,list!$J$48:$K$50,2,)),time*(1-(VLOOKUP($J12,list!$J$48:$K$50,2,))))</f>
        <v/>
      </c>
      <c r="AF148" s="992">
        <f>MIN($V148,$X148)*time+ABS($X148-$V148)*IF($X148&gt;$V148,time*(VLOOKUP($L12,list!$J$48:$K$50,2,)),time*(1-(VLOOKUP($L12,list!$J$48:$K$50,2,))))</f>
        <v/>
      </c>
    </row>
    <row r="149">
      <c r="B149" s="973">
        <f>B123</f>
        <v/>
      </c>
      <c r="C149" s="973">
        <f>C123</f>
        <v/>
      </c>
      <c r="E149" s="1109" t="inlineStr">
        <is>
          <t>Frac_leach_all_categories</t>
        </is>
      </c>
      <c r="F149" s="1109">
        <f>F123</f>
        <v/>
      </c>
      <c r="G149" s="1111">
        <f>G123</f>
        <v/>
      </c>
      <c r="H149" s="1044">
        <f>H123</f>
        <v/>
      </c>
      <c r="I149" s="1110">
        <f>I123</f>
        <v/>
      </c>
      <c r="J149" s="1688">
        <f>J123</f>
        <v/>
      </c>
      <c r="K149" s="1688">
        <f>K123</f>
        <v/>
      </c>
      <c r="L149" s="1688">
        <f>L123</f>
        <v/>
      </c>
      <c r="M149" s="1688">
        <f>M123</f>
        <v/>
      </c>
      <c r="N149" s="4720">
        <f>IF(OR($M149="Regional share",$M149="Please select",$M149="Other (pls. specify EF)"),0,INDEX(INDIRECT(VLOOKUP(E149,list!$B$349:$D$349,1,FALSE)),MATCH(clim_moist,INDIRECT(VLOOKUP(E149,list!$B$349:$D$349,2,FALSE)),0),MATCH($M149,INDIRECT(VLOOKUP(E149,list!$B$349:$D$349,3,FALSE)),0))*Livestock!$H149*Livestock!$G149/1000*365)</f>
        <v/>
      </c>
      <c r="O149" s="1581">
        <f>N149</f>
        <v/>
      </c>
      <c r="P149" s="1260">
        <f>IFERROR(INDEX(INDIRECT(VLOOKUP(E149,list!$B$349:$D$349,1,FALSE)),MATCH(clim_moist,INDIRECT(VLOOKUP(E149,list!$B$349:$D$349,2,FALSE)),0),MATCH('4.Grassland'!$BH$53,INDIRECT(VLOOKUP(E149,list!$B$349:$D$349,3,FALSE)),0))*Livestock!$H149*Livestock!$G149/1000*365,0)*I149/100</f>
        <v/>
      </c>
      <c r="Q149" s="1260">
        <f>IF($B149="Please select",0,IF(OR($M149="Please select",$M149="Regional share"),SUMPRODUCT(INDEX(INDIRECT(VLOOKUP(E149,list!$B$349:$D$349,1,FALSE)),MATCH(clim_moist,INDIRECT(VLOOKUP(E149,list!$B$349:$D$349,2,FALSE)),0),0),INDEX(INDIRECT(VLOOKUP(F149,list!$B$288:$D$310,1,FALSE)),MATCH($C$2,INDIRECT(VLOOKUP(F149,list!$B$288:$D$310,2,FALSE)),0),0))/100*($H149*$G149/1000*365)-$P149,0))</f>
        <v/>
      </c>
      <c r="R149" s="2158">
        <f>IFERROR(($P149/($I149/100)*$J149/100+$O149*(1-$J149/100)+$Q149/(1-$I149/100)*(1-$J149/100)),0)</f>
        <v/>
      </c>
      <c r="S149" s="2158">
        <f>IFERROR(($P149/($I149/100)*$K149/100+$O149*(1-$K149/100)+$Q149/(1-$I149/100)*(1-$K149/100)),0)</f>
        <v/>
      </c>
      <c r="T149" s="2158">
        <f>IFERROR(($P149/($I149/100)*$L149/100+$O149*(1-$L149/100)+$Q149/(1-$I149/100)*(1-$L149/100)),0)</f>
        <v/>
      </c>
      <c r="V149" s="3493">
        <f>0.011*$R149*$H13/1000*44/28*Nitrous</f>
        <v/>
      </c>
      <c r="W149" s="1151">
        <f>0.011*$S149*$I13/1000*44/28*Nitrous</f>
        <v/>
      </c>
      <c r="X149" s="3494">
        <f>0.011*$T149*$K13/1000*44/28*Nitrous</f>
        <v/>
      </c>
      <c r="Y149" s="992" t="n"/>
      <c r="Z149" s="3493">
        <f>MIN($V149,$W149)*time_tot+ABS($W149-$V149)*IF($W149&gt;$V149,time_cap+time*(VLOOKUP($J13,list!$J$48:$K$50,2,0)),time*(1-(VLOOKUP($J13,list!$J$48:$K$50,2,0))))</f>
        <v/>
      </c>
      <c r="AA149" s="3494">
        <f>MIN($V149,$X149)*time_tot+ABS($X149-$V149)*IF($X149&gt;$V149,time_cap+time*(VLOOKUP($L13,list!$J$48:$K$50,2,0)),time*(1-(VLOOKUP($L13,list!$J$48:$K$50,2,0))))</f>
        <v/>
      </c>
      <c r="AB149" s="2166">
        <f>AA149-Z149</f>
        <v/>
      </c>
      <c r="AE149" s="992">
        <f>MIN($V149,$W149)*time+ABS($W149-$V149)*IF($W149&gt;$V149,time*(VLOOKUP($J13,list!$J$48:$K$50,2,)),time*(1-(VLOOKUP($J13,list!$J$48:$K$50,2,))))</f>
        <v/>
      </c>
      <c r="AF149" s="992">
        <f>MIN($V149,$X149)*time+ABS($X149-$V149)*IF($X149&gt;$V149,time*(VLOOKUP($L13,list!$J$48:$K$50,2,)),time*(1-(VLOOKUP($L13,list!$J$48:$K$50,2,))))</f>
        <v/>
      </c>
    </row>
    <row r="150">
      <c r="B150" s="973">
        <f>B124</f>
        <v/>
      </c>
      <c r="C150" s="973">
        <f>C124</f>
        <v/>
      </c>
      <c r="E150" s="1109" t="inlineStr">
        <is>
          <t>Frac_leach_all_categories</t>
        </is>
      </c>
      <c r="F150" s="1109">
        <f>F124</f>
        <v/>
      </c>
      <c r="G150" s="1111">
        <f>G124</f>
        <v/>
      </c>
      <c r="H150" s="1044">
        <f>H124</f>
        <v/>
      </c>
      <c r="I150" s="1110">
        <f>I124</f>
        <v/>
      </c>
      <c r="J150" s="1688">
        <f>J124</f>
        <v/>
      </c>
      <c r="K150" s="1688">
        <f>K124</f>
        <v/>
      </c>
      <c r="L150" s="1688">
        <f>L124</f>
        <v/>
      </c>
      <c r="M150" s="1688">
        <f>M124</f>
        <v/>
      </c>
      <c r="N150" s="4720">
        <f>IF(OR($M150="Regional share",$M150="Please select",$M150="Other (pls. specify EF)"),0,INDEX(INDIRECT(VLOOKUP(E150,list!$B$349:$D$349,1,FALSE)),MATCH(clim_moist,INDIRECT(VLOOKUP(E150,list!$B$349:$D$349,2,FALSE)),0),MATCH($M150,INDIRECT(VLOOKUP(E150,list!$B$349:$D$349,3,FALSE)),0))*Livestock!$H150*Livestock!$G150/1000*365)</f>
        <v/>
      </c>
      <c r="O150" s="1581">
        <f>N150</f>
        <v/>
      </c>
      <c r="P150" s="1260">
        <f>IFERROR(INDEX(INDIRECT(VLOOKUP(E150,list!$B$349:$D$349,1,FALSE)),MATCH(clim_moist,INDIRECT(VLOOKUP(E150,list!$B$349:$D$349,2,FALSE)),0),MATCH('4.Grassland'!$BH$53,INDIRECT(VLOOKUP(E150,list!$B$349:$D$349,3,FALSE)),0))*Livestock!$H150*Livestock!$G150/1000*365,0)*I150/100</f>
        <v/>
      </c>
      <c r="Q150" s="1260">
        <f>IF($B150="Please select",0,IF(OR($M150="Please select",$M150="Regional share"),SUMPRODUCT(INDEX(INDIRECT(VLOOKUP(E150,list!$B$349:$D$349,1,FALSE)),MATCH(clim_moist,INDIRECT(VLOOKUP(E150,list!$B$349:$D$349,2,FALSE)),0),0),INDEX(INDIRECT(VLOOKUP(F150,list!$B$288:$D$310,1,FALSE)),MATCH($C$2,INDIRECT(VLOOKUP(F150,list!$B$288:$D$310,2,FALSE)),0),0))/100*($H150*$G150/1000*365)-$P150,0))</f>
        <v/>
      </c>
      <c r="R150" s="2158">
        <f>IFERROR(($P150/($I150/100)*$J150/100+$O150*(1-$J150/100)+$Q150/(1-$I150/100)*(1-$J150/100)),0)</f>
        <v/>
      </c>
      <c r="S150" s="2158">
        <f>IFERROR(($P150/($I150/100)*$K150/100+$O150*(1-$K150/100)+$Q150/(1-$I150/100)*(1-$K150/100)),0)</f>
        <v/>
      </c>
      <c r="T150" s="2158">
        <f>IFERROR(($P150/($I150/100)*$L150/100+$O150*(1-$L150/100)+$Q150/(1-$I150/100)*(1-$L150/100)),0)</f>
        <v/>
      </c>
      <c r="V150" s="3493">
        <f>0.011*$R150*$H14/1000*44/28*Nitrous</f>
        <v/>
      </c>
      <c r="W150" s="1151">
        <f>0.011*$S150*$I14/1000*44/28*Nitrous</f>
        <v/>
      </c>
      <c r="X150" s="3494">
        <f>0.011*$T150*$K14/1000*44/28*Nitrous</f>
        <v/>
      </c>
      <c r="Y150" s="992" t="n"/>
      <c r="Z150" s="3493">
        <f>MIN($V150,$W150)*time_tot+ABS($W150-$V150)*IF($W150&gt;$V150,time_cap+time*(VLOOKUP($J14,list!$J$48:$K$50,2,0)),time*(1-(VLOOKUP($J14,list!$J$48:$K$50,2,0))))</f>
        <v/>
      </c>
      <c r="AA150" s="3494">
        <f>MIN($V150,$X150)*time_tot+ABS($X150-$V150)*IF($X150&gt;$V150,time_cap+time*(VLOOKUP($L14,list!$J$48:$K$50,2,0)),time*(1-(VLOOKUP($L14,list!$J$48:$K$50,2,0))))</f>
        <v/>
      </c>
      <c r="AB150" s="2166">
        <f>AA150-Z150</f>
        <v/>
      </c>
      <c r="AE150" s="992">
        <f>MIN($V150,$W150)*time+ABS($W150-$V150)*IF($W150&gt;$V150,time*(VLOOKUP($J14,list!$J$48:$K$50,2,)),time*(1-(VLOOKUP($J14,list!$J$48:$K$50,2,))))</f>
        <v/>
      </c>
      <c r="AF150" s="992">
        <f>MIN($V150,$X150)*time+ABS($X150-$V150)*IF($X150&gt;$V150,time*(VLOOKUP($L14,list!$J$48:$K$50,2,)),time*(1-(VLOOKUP($L14,list!$J$48:$K$50,2,))))</f>
        <v/>
      </c>
    </row>
    <row r="151">
      <c r="B151" s="973">
        <f>B125</f>
        <v/>
      </c>
      <c r="C151" s="973">
        <f>C125</f>
        <v/>
      </c>
      <c r="E151" s="1109" t="inlineStr">
        <is>
          <t>Frac_leach_all_categories</t>
        </is>
      </c>
      <c r="F151" s="1109">
        <f>F125</f>
        <v/>
      </c>
      <c r="G151" s="1111">
        <f>G125</f>
        <v/>
      </c>
      <c r="H151" s="1044">
        <f>H125</f>
        <v/>
      </c>
      <c r="I151" s="1110">
        <f>I125</f>
        <v/>
      </c>
      <c r="J151" s="1688">
        <f>J125</f>
        <v/>
      </c>
      <c r="K151" s="1688">
        <f>K125</f>
        <v/>
      </c>
      <c r="L151" s="1688">
        <f>L125</f>
        <v/>
      </c>
      <c r="M151" s="1688">
        <f>M125</f>
        <v/>
      </c>
      <c r="N151" s="4720">
        <f>IF(OR($M151="Regional share",$M151="Please select",$M151="Other (pls. specify EF)"),0,INDEX(INDIRECT(VLOOKUP(E151,list!$B$349:$D$349,1,FALSE)),MATCH(clim_moist,INDIRECT(VLOOKUP(E151,list!$B$349:$D$349,2,FALSE)),0),MATCH($M151,INDIRECT(VLOOKUP(E151,list!$B$349:$D$349,3,FALSE)),0))*Livestock!$H151*Livestock!$G151/1000*365)</f>
        <v/>
      </c>
      <c r="O151" s="1581">
        <f>N151</f>
        <v/>
      </c>
      <c r="P151" s="1260">
        <f>IFERROR(INDEX(INDIRECT(VLOOKUP(E151,list!$B$349:$D$349,1,FALSE)),MATCH(clim_moist,INDIRECT(VLOOKUP(E151,list!$B$349:$D$349,2,FALSE)),0),MATCH('4.Grassland'!$BH$53,INDIRECT(VLOOKUP(E151,list!$B$349:$D$349,3,FALSE)),0))*Livestock!$H151*Livestock!$G151/1000*365,0)*I151/100</f>
        <v/>
      </c>
      <c r="Q151" s="1260">
        <f>IF($B151="Please select",0,IF(OR($M151="Please select",$M151="Regional share"),SUMPRODUCT(INDEX(INDIRECT(VLOOKUP(E151,list!$B$349:$D$349,1,FALSE)),MATCH(clim_moist,INDIRECT(VLOOKUP(E151,list!$B$349:$D$349,2,FALSE)),0),0),INDEX(INDIRECT(VLOOKUP(F151,list!$B$288:$D$310,1,FALSE)),MATCH($C$2,INDIRECT(VLOOKUP(F151,list!$B$288:$D$310,2,FALSE)),0),0))/100*($H151*$G151/1000*365)-$P151,0))</f>
        <v/>
      </c>
      <c r="R151" s="2158">
        <f>IFERROR(($P151/($I151/100)*$J151/100+$O151*(1-$J151/100)+$Q151/(1-$I151/100)*(1-$J151/100)),0)</f>
        <v/>
      </c>
      <c r="S151" s="2158">
        <f>IFERROR(($P151/($I151/100)*$K151/100+$O151*(1-$K151/100)+$Q151/(1-$I151/100)*(1-$K151/100)),0)</f>
        <v/>
      </c>
      <c r="T151" s="2158">
        <f>IFERROR(($P151/($I151/100)*$L151/100+$O151*(1-$L151/100)+$Q151/(1-$I151/100)*(1-$L151/100)),0)</f>
        <v/>
      </c>
      <c r="V151" s="3493">
        <f>0.011*$R151*$H15/1000*44/28*Nitrous</f>
        <v/>
      </c>
      <c r="W151" s="1151">
        <f>0.011*$S151*$I15/1000*44/28*Nitrous</f>
        <v/>
      </c>
      <c r="X151" s="3494">
        <f>0.011*$T151*$K15/1000*44/28*Nitrous</f>
        <v/>
      </c>
      <c r="Y151" s="992" t="n"/>
      <c r="Z151" s="3493">
        <f>MIN($V151,$W151)*time_tot+ABS($W151-$V151)*IF($W151&gt;$V151,time_cap+time*(VLOOKUP($J15,list!$J$48:$K$50,2,0)),time*(1-(VLOOKUP($J15,list!$J$48:$K$50,2,0))))</f>
        <v/>
      </c>
      <c r="AA151" s="3494">
        <f>MIN($V151,$X151)*time_tot+ABS($X151-$V151)*IF($X151&gt;$V151,time_cap+time*(VLOOKUP($L15,list!$J$48:$K$50,2,0)),time*(1-(VLOOKUP($L15,list!$J$48:$K$50,2,0))))</f>
        <v/>
      </c>
      <c r="AB151" s="2166">
        <f>AA151-Z151</f>
        <v/>
      </c>
      <c r="AE151" s="992">
        <f>MIN($V151,$W151)*time+ABS($W151-$V151)*IF($W151&gt;$V151,time*(VLOOKUP($J15,list!$J$48:$K$50,2,)),time*(1-(VLOOKUP($J15,list!$J$48:$K$50,2,))))</f>
        <v/>
      </c>
      <c r="AF151" s="992">
        <f>MIN($V151,$X151)*time+ABS($X151-$V151)*IF($X151&gt;$V151,time*(VLOOKUP($L15,list!$J$48:$K$50,2,)),time*(1-(VLOOKUP($L15,list!$J$48:$K$50,2,))))</f>
        <v/>
      </c>
    </row>
    <row r="152">
      <c r="B152" s="973">
        <f>B126</f>
        <v/>
      </c>
      <c r="C152" s="973">
        <f>C126</f>
        <v/>
      </c>
      <c r="E152" s="1109" t="inlineStr">
        <is>
          <t>Frac_leach_all_categories</t>
        </is>
      </c>
      <c r="F152" s="1109">
        <f>F126</f>
        <v/>
      </c>
      <c r="G152" s="1111">
        <f>G126</f>
        <v/>
      </c>
      <c r="H152" s="1044">
        <f>H126</f>
        <v/>
      </c>
      <c r="I152" s="1110">
        <f>I126</f>
        <v/>
      </c>
      <c r="J152" s="1688">
        <f>J126</f>
        <v/>
      </c>
      <c r="K152" s="1688">
        <f>K126</f>
        <v/>
      </c>
      <c r="L152" s="1688">
        <f>L126</f>
        <v/>
      </c>
      <c r="M152" s="1688">
        <f>M126</f>
        <v/>
      </c>
      <c r="N152" s="4720">
        <f>IF(OR($M152="Regional share",$M152="Please select",$M152="Other (pls. specify EF)"),0,INDEX(INDIRECT(VLOOKUP(E152,list!$B$349:$D$349,1,FALSE)),MATCH(clim_moist,INDIRECT(VLOOKUP(E152,list!$B$349:$D$349,2,FALSE)),0),MATCH($M152,INDIRECT(VLOOKUP(E152,list!$B$349:$D$349,3,FALSE)),0))*Livestock!$H152*Livestock!$G152/1000*365)</f>
        <v/>
      </c>
      <c r="O152" s="1581">
        <f>N152</f>
        <v/>
      </c>
      <c r="P152" s="1260">
        <f>IFERROR(INDEX(INDIRECT(VLOOKUP(E152,list!$B$349:$D$349,1,FALSE)),MATCH(clim_moist,INDIRECT(VLOOKUP(E152,list!$B$349:$D$349,2,FALSE)),0),MATCH('4.Grassland'!$BH$53,INDIRECT(VLOOKUP(E152,list!$B$349:$D$349,3,FALSE)),0))*Livestock!$H152*Livestock!$G152/1000*365,0)*I152/100</f>
        <v/>
      </c>
      <c r="Q152" s="1260">
        <f>IF($B152="Please select",0,IF(OR($M152="Please select",$M152="Regional share"),SUMPRODUCT(INDEX(INDIRECT(VLOOKUP(E152,list!$B$349:$D$349,1,FALSE)),MATCH(clim_moist,INDIRECT(VLOOKUP(E152,list!$B$349:$D$349,2,FALSE)),0),0),INDEX(INDIRECT(VLOOKUP(F152,list!$B$288:$D$310,1,FALSE)),MATCH($C$2,INDIRECT(VLOOKUP(F152,list!$B$288:$D$310,2,FALSE)),0),0))/100*($H152*$G152/1000*365)-$P152,0))</f>
        <v/>
      </c>
      <c r="R152" s="2158">
        <f>IFERROR(($P152/($I152/100)*$J152/100+$O152*(1-$J152/100)+$Q152/(1-$I152/100)*(1-$J152/100)),0)</f>
        <v/>
      </c>
      <c r="S152" s="2158">
        <f>IFERROR(($P152/($I152/100)*$K152/100+$O152*(1-$K152/100)+$Q152/(1-$I152/100)*(1-$K152/100)),0)</f>
        <v/>
      </c>
      <c r="T152" s="2158">
        <f>IFERROR(($P152/($I152/100)*$L152/100+$O152*(1-$L152/100)+$Q152/(1-$I152/100)*(1-$L152/100)),0)</f>
        <v/>
      </c>
      <c r="V152" s="3493">
        <f>0.011*$R152*$H16/1000*44/28*Nitrous</f>
        <v/>
      </c>
      <c r="W152" s="1151">
        <f>0.011*$S152*$I16/1000*44/28*Nitrous</f>
        <v/>
      </c>
      <c r="X152" s="3494">
        <f>0.011*$T152*$K16/1000*44/28*Nitrous</f>
        <v/>
      </c>
      <c r="Y152" s="992" t="n"/>
      <c r="Z152" s="3493">
        <f>MIN($V152,$W152)*time_tot+ABS($W152-$V152)*IF($W152&gt;$V152,time_cap+time*(VLOOKUP($J16,list!$J$48:$K$50,2,0)),time*(1-(VLOOKUP($J16,list!$J$48:$K$50,2,0))))</f>
        <v/>
      </c>
      <c r="AA152" s="3494">
        <f>MIN($V152,$X152)*time_tot+ABS($X152-$V152)*IF($X152&gt;$V152,time_cap+time*(VLOOKUP($L16,list!$J$48:$K$50,2,0)),time*(1-(VLOOKUP($L16,list!$J$48:$K$50,2,0))))</f>
        <v/>
      </c>
      <c r="AB152" s="2166">
        <f>AA152-Z152</f>
        <v/>
      </c>
      <c r="AE152" s="992">
        <f>MIN($V152,$W152)*time+ABS($W152-$V152)*IF($W152&gt;$V152,time*(VLOOKUP($J16,list!$J$48:$K$50,2,)),time*(1-(VLOOKUP($J16,list!$J$48:$K$50,2,))))</f>
        <v/>
      </c>
      <c r="AF152" s="992">
        <f>MIN($V152,$X152)*time+ABS($X152-$V152)*IF($X152&gt;$V152,time*(VLOOKUP($L16,list!$J$48:$K$50,2,)),time*(1-(VLOOKUP($L16,list!$J$48:$K$50,2,))))</f>
        <v/>
      </c>
    </row>
    <row r="153">
      <c r="B153" s="973">
        <f>B127</f>
        <v/>
      </c>
      <c r="C153" s="973">
        <f>C127</f>
        <v/>
      </c>
      <c r="E153" s="1109" t="inlineStr">
        <is>
          <t>Frac_leach_all_categories</t>
        </is>
      </c>
      <c r="F153" s="1109">
        <f>F127</f>
        <v/>
      </c>
      <c r="G153" s="1111">
        <f>G127</f>
        <v/>
      </c>
      <c r="H153" s="1044">
        <f>H127</f>
        <v/>
      </c>
      <c r="I153" s="1110">
        <f>I127</f>
        <v/>
      </c>
      <c r="J153" s="1688">
        <f>J127</f>
        <v/>
      </c>
      <c r="K153" s="1688">
        <f>K127</f>
        <v/>
      </c>
      <c r="L153" s="1688">
        <f>L127</f>
        <v/>
      </c>
      <c r="M153" s="1688">
        <f>M127</f>
        <v/>
      </c>
      <c r="N153" s="4720">
        <f>IF(OR($M153="Regional share",$M153="Please select",$M153="Other (pls. specify EF)"),0,INDEX(INDIRECT(VLOOKUP(E153,list!$B$349:$D$349,1,FALSE)),MATCH(clim_moist,INDIRECT(VLOOKUP(E153,list!$B$349:$D$349,2,FALSE)),0),MATCH($M153,INDIRECT(VLOOKUP(E153,list!$B$349:$D$349,3,FALSE)),0))*Livestock!$H153*Livestock!$G153/1000*365)</f>
        <v/>
      </c>
      <c r="O153" s="1581">
        <f>N153</f>
        <v/>
      </c>
      <c r="P153" s="1260">
        <f>IFERROR(INDEX(INDIRECT(VLOOKUP(E153,list!$B$349:$D$349,1,FALSE)),MATCH(clim_moist,INDIRECT(VLOOKUP(E153,list!$B$349:$D$349,2,FALSE)),0),MATCH('4.Grassland'!$BH$53,INDIRECT(VLOOKUP(E153,list!$B$349:$D$349,3,FALSE)),0))*Livestock!$H153*Livestock!$G153/1000*365,0)*I153/100</f>
        <v/>
      </c>
      <c r="Q153" s="1260">
        <f>IF($B153="Please select",0,IF(OR($M153="Please select",$M153="Regional share"),SUMPRODUCT(INDEX(INDIRECT(VLOOKUP(E153,list!$B$349:$D$349,1,FALSE)),MATCH(clim_moist,INDIRECT(VLOOKUP(E153,list!$B$349:$D$349,2,FALSE)),0),0),INDEX(INDIRECT(VLOOKUP(F153,list!$B$288:$D$310,1,FALSE)),MATCH($C$2,INDIRECT(VLOOKUP(F153,list!$B$288:$D$310,2,FALSE)),0),0))/100*($H153*$G153/1000*365)-$P153,0))</f>
        <v/>
      </c>
      <c r="R153" s="2158">
        <f>IFERROR(($P153/($I153/100)*$J153/100+$O153*(1-$J153/100)+$Q153/(1-$I153/100)*(1-$J153/100)),0)</f>
        <v/>
      </c>
      <c r="S153" s="2158">
        <f>IFERROR(($P153/($I153/100)*$K153/100+$O153*(1-$K153/100)+$Q153/(1-$I153/100)*(1-$K153/100)),0)</f>
        <v/>
      </c>
      <c r="T153" s="2158">
        <f>IFERROR(($P153/($I153/100)*$L153/100+$O153*(1-$L153/100)+$Q153/(1-$I153/100)*(1-$L153/100)),0)</f>
        <v/>
      </c>
      <c r="V153" s="3493">
        <f>0.011*$R153*$H17/1000*44/28*Nitrous</f>
        <v/>
      </c>
      <c r="W153" s="1151">
        <f>0.011*$S153*$I17/1000*44/28*Nitrous</f>
        <v/>
      </c>
      <c r="X153" s="3494">
        <f>0.011*$T153*$K17/1000*44/28*Nitrous</f>
        <v/>
      </c>
      <c r="Y153" s="992" t="n"/>
      <c r="Z153" s="3493">
        <f>MIN($V153,$W153)*time_tot+ABS($W153-$V153)*IF($W153&gt;$V153,time_cap+time*(VLOOKUP($J17,list!$J$48:$K$50,2,0)),time*(1-(VLOOKUP($J17,list!$J$48:$K$50,2,0))))</f>
        <v/>
      </c>
      <c r="AA153" s="3494">
        <f>MIN($V153,$X153)*time_tot+ABS($X153-$V153)*IF($X153&gt;$V153,time_cap+time*(VLOOKUP($L17,list!$J$48:$K$50,2,0)),time*(1-(VLOOKUP($L17,list!$J$48:$K$50,2,0))))</f>
        <v/>
      </c>
      <c r="AB153" s="2166">
        <f>AA153-Z153</f>
        <v/>
      </c>
      <c r="AE153" s="992">
        <f>MIN($V153,$W153)*time+ABS($W153-$V153)*IF($W153&gt;$V153,time*(VLOOKUP($J17,list!$J$48:$K$50,2,)),time*(1-(VLOOKUP($J17,list!$J$48:$K$50,2,))))</f>
        <v/>
      </c>
      <c r="AF153" s="992">
        <f>MIN($V153,$X153)*time+ABS($X153-$V153)*IF($X153&gt;$V153,time*(VLOOKUP($L17,list!$J$48:$K$50,2,)),time*(1-(VLOOKUP($L17,list!$J$48:$K$50,2,))))</f>
        <v/>
      </c>
    </row>
    <row r="154">
      <c r="B154" s="973">
        <f>B128</f>
        <v/>
      </c>
      <c r="C154" s="973">
        <f>C128</f>
        <v/>
      </c>
      <c r="E154" s="1109" t="inlineStr">
        <is>
          <t>Frac_leach_all_categories</t>
        </is>
      </c>
      <c r="F154" s="1109">
        <f>F128</f>
        <v/>
      </c>
      <c r="G154" s="1111">
        <f>G128</f>
        <v/>
      </c>
      <c r="H154" s="1044">
        <f>H128</f>
        <v/>
      </c>
      <c r="I154" s="1110">
        <f>I128</f>
        <v/>
      </c>
      <c r="J154" s="1688">
        <f>J128</f>
        <v/>
      </c>
      <c r="K154" s="1688">
        <f>K128</f>
        <v/>
      </c>
      <c r="L154" s="1688">
        <f>L128</f>
        <v/>
      </c>
      <c r="M154" s="1688">
        <f>M128</f>
        <v/>
      </c>
      <c r="N154" s="4720">
        <f>IF(OR($M154="Regional share",$M154="Please select",$M154="Other (pls. specify EF)"),0,INDEX(INDIRECT(VLOOKUP(E154,list!$B$349:$D$349,1,FALSE)),MATCH(clim_moist,INDIRECT(VLOOKUP(E154,list!$B$349:$D$349,2,FALSE)),0),MATCH($M154,INDIRECT(VLOOKUP(E154,list!$B$349:$D$349,3,FALSE)),0))*Livestock!$H154*Livestock!$G154/1000*365)</f>
        <v/>
      </c>
      <c r="O154" s="1581">
        <f>N154</f>
        <v/>
      </c>
      <c r="P154" s="1260">
        <f>IFERROR(INDEX(INDIRECT(VLOOKUP(E154,list!$B$349:$D$349,1,FALSE)),MATCH(clim_moist,INDIRECT(VLOOKUP(E154,list!$B$349:$D$349,2,FALSE)),0),MATCH('4.Grassland'!$BH$53,INDIRECT(VLOOKUP(E154,list!$B$349:$D$349,3,FALSE)),0))*Livestock!$H154*Livestock!$G154/1000*365,0)*I154/100</f>
        <v/>
      </c>
      <c r="Q154" s="1260">
        <f>IF($B154="Please select",0,IF(OR($M154="Please select",$M154="Regional share"),SUMPRODUCT(INDEX(INDIRECT(VLOOKUP(E154,list!$B$349:$D$349,1,FALSE)),MATCH(clim_moist,INDIRECT(VLOOKUP(E154,list!$B$349:$D$349,2,FALSE)),0),0),INDEX(INDIRECT(VLOOKUP(F154,list!$B$288:$D$310,1,FALSE)),MATCH($C$2,INDIRECT(VLOOKUP(F154,list!$B$288:$D$310,2,FALSE)),0),0))/100*($H154*$G154/1000*365)-$P154,0))</f>
        <v/>
      </c>
      <c r="R154" s="2158">
        <f>IFERROR(($P154/($I154/100)*$J154/100+$O154*(1-$J154/100)+$Q154/(1-$I154/100)*(1-$J154/100)),0)</f>
        <v/>
      </c>
      <c r="S154" s="2158">
        <f>IFERROR(($P154/($I154/100)*$K154/100+$O154*(1-$K154/100)+$Q154/(1-$I154/100)*(1-$K154/100)),0)</f>
        <v/>
      </c>
      <c r="T154" s="2158">
        <f>IFERROR(($P154/($I154/100)*$L154/100+$O154*(1-$L154/100)+$Q154/(1-$I154/100)*(1-$L154/100)),0)</f>
        <v/>
      </c>
      <c r="V154" s="3493">
        <f>0.011*$R154*$H18/1000*44/28*Nitrous</f>
        <v/>
      </c>
      <c r="W154" s="1151">
        <f>0.011*$S154*$I18/1000*44/28*Nitrous</f>
        <v/>
      </c>
      <c r="X154" s="3494">
        <f>0.011*$T154*$K18/1000*44/28*Nitrous</f>
        <v/>
      </c>
      <c r="Y154" s="992" t="n"/>
      <c r="Z154" s="3493">
        <f>MIN($V154,$W154)*time_tot+ABS($W154-$V154)*IF($W154&gt;$V154,time_cap+time*(VLOOKUP($J18,list!$J$48:$K$50,2,0)),time*(1-(VLOOKUP($J18,list!$J$48:$K$50,2,0))))</f>
        <v/>
      </c>
      <c r="AA154" s="3494">
        <f>MIN($V154,$X154)*time_tot+ABS($X154-$V154)*IF($X154&gt;$V154,time_cap+time*(VLOOKUP($L18,list!$J$48:$K$50,2,0)),time*(1-(VLOOKUP($L18,list!$J$48:$K$50,2,0))))</f>
        <v/>
      </c>
      <c r="AB154" s="3517">
        <f>AA154-Z154</f>
        <v/>
      </c>
      <c r="AE154" s="992">
        <f>MIN($V154,$W154)*time+ABS($W154-$V154)*IF($W154&gt;$V154,time*(VLOOKUP($J18,list!$J$48:$K$50,2,)),time*(1-(VLOOKUP($J18,list!$J$48:$K$50,2,))))</f>
        <v/>
      </c>
      <c r="AF154" s="992">
        <f>MIN($V154,$X154)*time+ABS($X154-$V154)*IF($X154&gt;$V154,time*(VLOOKUP($L18,list!$J$48:$K$50,2,)),time*(1-(VLOOKUP($L18,list!$J$48:$K$50,2,))))</f>
        <v/>
      </c>
    </row>
    <row r="155">
      <c r="B155" s="973">
        <f>B129</f>
        <v/>
      </c>
      <c r="C155" s="973">
        <f>C129</f>
        <v/>
      </c>
      <c r="E155" s="1109" t="inlineStr">
        <is>
          <t>Frac_leach_all_categories</t>
        </is>
      </c>
      <c r="F155" s="1109">
        <f>F129</f>
        <v/>
      </c>
      <c r="G155" s="1111">
        <f>G129</f>
        <v/>
      </c>
      <c r="H155" s="1044">
        <f>H129</f>
        <v/>
      </c>
      <c r="I155" s="1110">
        <f>I129</f>
        <v/>
      </c>
      <c r="J155" s="1688">
        <f>J129</f>
        <v/>
      </c>
      <c r="K155" s="1688">
        <f>K129</f>
        <v/>
      </c>
      <c r="L155" s="1688">
        <f>L129</f>
        <v/>
      </c>
      <c r="M155" s="1688">
        <f>M129</f>
        <v/>
      </c>
      <c r="N155" s="4720">
        <f>IF(OR($M155="Regional share",$M155="Please select",$M155="Other (pls. specify EF)"),0,INDEX(INDIRECT(VLOOKUP(E155,list!$B$349:$D$349,1,FALSE)),MATCH(clim_moist,INDIRECT(VLOOKUP(E155,list!$B$349:$D$349,2,FALSE)),0),MATCH($M155,INDIRECT(VLOOKUP(E155,list!$B$349:$D$349,3,FALSE)),0))*Livestock!$H155*Livestock!$G155/1000*365)</f>
        <v/>
      </c>
      <c r="O155" s="1581">
        <f>N155</f>
        <v/>
      </c>
      <c r="P155" s="1260">
        <f>IFERROR(INDEX(INDIRECT(VLOOKUP(E155,list!$B$349:$D$349,1,FALSE)),MATCH(clim_moist,INDIRECT(VLOOKUP(E155,list!$B$349:$D$349,2,FALSE)),0),MATCH('4.Grassland'!$BH$53,INDIRECT(VLOOKUP(E155,list!$B$349:$D$349,3,FALSE)),0))*Livestock!$H155*Livestock!$G155/1000*365,0)*I155/100</f>
        <v/>
      </c>
      <c r="Q155" s="1260">
        <f>IF($B155="Please select",0,IF(OR($M155="Please select",$M155="Regional share"),SUMPRODUCT(INDEX(INDIRECT(VLOOKUP(E155,list!$B$349:$D$349,1,FALSE)),MATCH(clim_moist,INDIRECT(VLOOKUP(E155,list!$B$349:$D$349,2,FALSE)),0),0),INDEX(INDIRECT(VLOOKUP(F155,list!$B$288:$D$310,1,FALSE)),MATCH($C$2,INDIRECT(VLOOKUP(F155,list!$B$288:$D$310,2,FALSE)),0),0))/100*($H155*$G155/1000*365)-$P155,0))</f>
        <v/>
      </c>
      <c r="R155" s="2158">
        <f>IFERROR(($P155/($I155/100)*$J155/100+$O155*(1-$J155/100)+$Q155/(1-$I155/100)*(1-$J155/100)),0)</f>
        <v/>
      </c>
      <c r="S155" s="2158">
        <f>IFERROR(($P155/($I155/100)*$K155/100+$O155*(1-$K155/100)+$Q155/(1-$I155/100)*(1-$K155/100)),0)</f>
        <v/>
      </c>
      <c r="T155" s="2158">
        <f>IFERROR(($P155/($I155/100)*$L155/100+$O155*(1-$L155/100)+$Q155/(1-$I155/100)*(1-$L155/100)),0)</f>
        <v/>
      </c>
      <c r="V155" s="3493">
        <f>0.011*$R155*$H19/1000*44/28*Nitrous</f>
        <v/>
      </c>
      <c r="W155" s="1151">
        <f>0.011*$S155*$I19/1000*44/28*Nitrous</f>
        <v/>
      </c>
      <c r="X155" s="3494">
        <f>0.011*$T155*$K19/1000*44/28*Nitrous</f>
        <v/>
      </c>
      <c r="Z155" s="3493">
        <f>MIN($V155,$W155)*time_tot+ABS($W155-$V155)*IF($W155&gt;$V155,time_cap+time*(VLOOKUP($J19,list!$J$48:$K$50,2,0)),time*(1-(VLOOKUP($J19,list!$J$48:$K$50,2,0))))</f>
        <v/>
      </c>
      <c r="AA155" s="3494">
        <f>MIN($V155,$X155)*time_tot+ABS($X155-$V155)*IF($X155&gt;$V155,time_cap+time*(VLOOKUP($L19,list!$J$48:$K$50,2,0)),time*(1-(VLOOKUP($L19,list!$J$48:$K$50,2,0))))</f>
        <v/>
      </c>
      <c r="AB155" s="3517">
        <f>AA155-Z155</f>
        <v/>
      </c>
    </row>
    <row r="156">
      <c r="B156" s="973">
        <f>B130</f>
        <v/>
      </c>
      <c r="C156" s="973">
        <f>C130</f>
        <v/>
      </c>
      <c r="E156" s="1109" t="inlineStr">
        <is>
          <t>Frac_leach_all_categories</t>
        </is>
      </c>
      <c r="F156" s="1109">
        <f>F130</f>
        <v/>
      </c>
      <c r="G156" s="1111">
        <f>G130</f>
        <v/>
      </c>
      <c r="H156" s="1044">
        <f>H130</f>
        <v/>
      </c>
      <c r="I156" s="1110">
        <f>I130</f>
        <v/>
      </c>
      <c r="J156" s="1688">
        <f>J130</f>
        <v/>
      </c>
      <c r="K156" s="1688">
        <f>K130</f>
        <v/>
      </c>
      <c r="L156" s="1688">
        <f>L130</f>
        <v/>
      </c>
      <c r="M156" s="1688">
        <f>M130</f>
        <v/>
      </c>
      <c r="N156" s="4720">
        <f>IF(OR($M156="Regional share",$M156="Please select",$M156="Other (pls. specify EF)"),0,INDEX(INDIRECT(VLOOKUP(E156,list!$B$349:$D$349,1,FALSE)),MATCH(clim_moist,INDIRECT(VLOOKUP(E156,list!$B$349:$D$349,2,FALSE)),0),MATCH($M156,INDIRECT(VLOOKUP(E156,list!$B$349:$D$349,3,FALSE)),0))*Livestock!$H156*Livestock!$G156/1000*365)</f>
        <v/>
      </c>
      <c r="O156" s="1581">
        <f>N156</f>
        <v/>
      </c>
      <c r="P156" s="1260">
        <f>IFERROR(INDEX(INDIRECT(VLOOKUP(E156,list!$B$349:$D$349,1,FALSE)),MATCH(clim_moist,INDIRECT(VLOOKUP(E156,list!$B$349:$D$349,2,FALSE)),0),MATCH('4.Grassland'!$BH$53,INDIRECT(VLOOKUP(E156,list!$B$349:$D$349,3,FALSE)),0))*Livestock!$H156*Livestock!$G156/1000*365,0)*I156/100</f>
        <v/>
      </c>
      <c r="Q156" s="1260">
        <f>IF($B156="Please select",0,IF(OR($M156="Please select",$M156="Regional share"),SUMPRODUCT(INDEX(INDIRECT(VLOOKUP(E156,list!$B$349:$D$349,1,FALSE)),MATCH(clim_moist,INDIRECT(VLOOKUP(E156,list!$B$349:$D$349,2,FALSE)),0),0),INDEX(INDIRECT(VLOOKUP(F156,list!$B$288:$D$310,1,FALSE)),MATCH($C$2,INDIRECT(VLOOKUP(F156,list!$B$288:$D$310,2,FALSE)),0),0))/100*($H156*$G156/1000*365)-$P156,0))</f>
        <v/>
      </c>
      <c r="R156" s="2158">
        <f>IFERROR(($P156/($I156/100)*$J156/100+$O156*(1-$J156/100)+$Q156/(1-$I156/100)*(1-$J156/100)),0)</f>
        <v/>
      </c>
      <c r="S156" s="2158">
        <f>IFERROR(($P156/($I156/100)*$K156/100+$O156*(1-$K156/100)+$Q156/(1-$I156/100)*(1-$K156/100)),0)</f>
        <v/>
      </c>
      <c r="T156" s="2158">
        <f>IFERROR(($P156/($I156/100)*$L156/100+$O156*(1-$L156/100)+$Q156/(1-$I156/100)*(1-$L156/100)),0)</f>
        <v/>
      </c>
      <c r="V156" s="3493">
        <f>0.011*$R156*$H20/1000*44/28*Nitrous</f>
        <v/>
      </c>
      <c r="W156" s="1151">
        <f>0.011*$S156*$I20/1000*44/28*Nitrous</f>
        <v/>
      </c>
      <c r="X156" s="3494">
        <f>0.011*$T156*$K20/1000*44/28*Nitrous</f>
        <v/>
      </c>
      <c r="Z156" s="3493">
        <f>MIN($V156,$W156)*time_tot+ABS($W156-$V156)*IF($W156&gt;$V156,time_cap+time*(VLOOKUP($J20,list!$J$48:$K$50,2,0)),time*(1-(VLOOKUP($J20,list!$J$48:$K$50,2,0))))</f>
        <v/>
      </c>
      <c r="AA156" s="3494">
        <f>MIN($V156,$X156)*time_tot+ABS($X156-$V156)*IF($X156&gt;$V156,time_cap+time*(VLOOKUP($L20,list!$J$48:$K$50,2,0)),time*(1-(VLOOKUP($L20,list!$J$48:$K$50,2,0))))</f>
        <v/>
      </c>
      <c r="AB156" s="3517">
        <f>AA156-Z156</f>
        <v/>
      </c>
    </row>
    <row r="157">
      <c r="B157" s="973">
        <f>B131</f>
        <v/>
      </c>
      <c r="C157" s="973">
        <f>C131</f>
        <v/>
      </c>
      <c r="E157" s="1109" t="inlineStr">
        <is>
          <t>Frac_leach_all_categories</t>
        </is>
      </c>
      <c r="F157" s="1109">
        <f>F131</f>
        <v/>
      </c>
      <c r="G157" s="1111">
        <f>G131</f>
        <v/>
      </c>
      <c r="H157" s="1044">
        <f>H131</f>
        <v/>
      </c>
      <c r="I157" s="1110">
        <f>I131</f>
        <v/>
      </c>
      <c r="J157" s="1688">
        <f>J131</f>
        <v/>
      </c>
      <c r="K157" s="1688">
        <f>K131</f>
        <v/>
      </c>
      <c r="L157" s="1688">
        <f>L131</f>
        <v/>
      </c>
      <c r="M157" s="1688">
        <f>M131</f>
        <v/>
      </c>
      <c r="N157" s="4720">
        <f>IF(OR($M157="Regional share",$M157="Please select",$M157="Other (pls. specify EF)"),0,INDEX(INDIRECT(VLOOKUP(E157,list!$B$349:$D$349,1,FALSE)),MATCH(clim_moist,INDIRECT(VLOOKUP(E157,list!$B$349:$D$349,2,FALSE)),0),MATCH($M157,INDIRECT(VLOOKUP(E157,list!$B$349:$D$349,3,FALSE)),0))*Livestock!$H157*Livestock!$G157/1000*365)</f>
        <v/>
      </c>
      <c r="O157" s="1581">
        <f>N157</f>
        <v/>
      </c>
      <c r="P157" s="1260">
        <f>IFERROR(INDEX(INDIRECT(VLOOKUP(E157,list!$B$349:$D$349,1,FALSE)),MATCH(clim_moist,INDIRECT(VLOOKUP(E157,list!$B$349:$D$349,2,FALSE)),0),MATCH('4.Grassland'!$BH$53,INDIRECT(VLOOKUP(E157,list!$B$349:$D$349,3,FALSE)),0))*Livestock!$H157*Livestock!$G157/1000*365,0)*I157/100</f>
        <v/>
      </c>
      <c r="Q157" s="1260">
        <f>IF($B157="Please select",0,IF(OR($M157="Please select",$M157="Regional share"),SUMPRODUCT(INDEX(INDIRECT(VLOOKUP(E157,list!$B$349:$D$349,1,FALSE)),MATCH(clim_moist,INDIRECT(VLOOKUP(E157,list!$B$349:$D$349,2,FALSE)),0),0),INDEX(INDIRECT(VLOOKUP(F157,list!$B$288:$D$310,1,FALSE)),MATCH($C$2,INDIRECT(VLOOKUP(F157,list!$B$288:$D$310,2,FALSE)),0),0))/100*($H157*$G157/1000*365)-$P157,0))</f>
        <v/>
      </c>
      <c r="R157" s="2158">
        <f>IFERROR(($P157/($I157/100)*$J157/100+$O157*(1-$J157/100)+$Q157/(1-$I157/100)*(1-$J157/100)),0)</f>
        <v/>
      </c>
      <c r="S157" s="2158">
        <f>IFERROR(($P157/($I157/100)*$K157/100+$O157*(1-$K157/100)+$Q157/(1-$I157/100)*(1-$K157/100)),0)</f>
        <v/>
      </c>
      <c r="T157" s="2158">
        <f>IFERROR(($P157/($I157/100)*$L157/100+$O157*(1-$L157/100)+$Q157/(1-$I157/100)*(1-$L157/100)),0)</f>
        <v/>
      </c>
      <c r="V157" s="3493">
        <f>0.011*$R157*$H21/1000*44/28*Nitrous</f>
        <v/>
      </c>
      <c r="W157" s="1151">
        <f>0.011*$S157*$I21/1000*44/28*Nitrous</f>
        <v/>
      </c>
      <c r="X157" s="3494">
        <f>0.011*$T157*$K21/1000*44/28*Nitrous</f>
        <v/>
      </c>
      <c r="Z157" s="3493">
        <f>MIN($V157,$W157)*time_tot+ABS($W157-$V157)*IF($W157&gt;$V157,time_cap+time*(VLOOKUP($J21,list!$J$48:$K$50,2,0)),time*(1-(VLOOKUP($J21,list!$J$48:$K$50,2,0))))</f>
        <v/>
      </c>
      <c r="AA157" s="3494">
        <f>MIN($V157,$X157)*time_tot+ABS($X157-$V157)*IF($X157&gt;$V157,time_cap+time*(VLOOKUP($L21,list!$J$48:$K$50,2,0)),time*(1-(VLOOKUP($L21,list!$J$48:$K$50,2,0))))</f>
        <v/>
      </c>
      <c r="AB157" s="3517">
        <f>AA157-Z157</f>
        <v/>
      </c>
    </row>
    <row r="158">
      <c r="B158" s="973">
        <f>B132</f>
        <v/>
      </c>
      <c r="C158" s="973">
        <f>C132</f>
        <v/>
      </c>
      <c r="E158" s="1109" t="inlineStr">
        <is>
          <t>Frac_leach_all_categories</t>
        </is>
      </c>
      <c r="F158" s="1109">
        <f>F132</f>
        <v/>
      </c>
      <c r="G158" s="1111">
        <f>G132</f>
        <v/>
      </c>
      <c r="H158" s="1044">
        <f>H132</f>
        <v/>
      </c>
      <c r="I158" s="1110">
        <f>I132</f>
        <v/>
      </c>
      <c r="J158" s="1688">
        <f>J132</f>
        <v/>
      </c>
      <c r="K158" s="1688">
        <f>K132</f>
        <v/>
      </c>
      <c r="L158" s="1688">
        <f>L132</f>
        <v/>
      </c>
      <c r="M158" s="1688">
        <f>M132</f>
        <v/>
      </c>
      <c r="N158" s="4720">
        <f>IF(OR($M158="Regional share",$M158="Please select",$M158="Other (pls. specify EF)"),0,INDEX(INDIRECT(VLOOKUP(E158,list!$B$349:$D$349,1,FALSE)),MATCH(clim_moist,INDIRECT(VLOOKUP(E158,list!$B$349:$D$349,2,FALSE)),0),MATCH($M158,INDIRECT(VLOOKUP(E158,list!$B$349:$D$349,3,FALSE)),0))*Livestock!$H158*Livestock!$G158/1000*365)</f>
        <v/>
      </c>
      <c r="O158" s="1581">
        <f>N158</f>
        <v/>
      </c>
      <c r="P158" s="1260">
        <f>IFERROR(INDEX(INDIRECT(VLOOKUP(E158,list!$B$349:$D$349,1,FALSE)),MATCH(clim_moist,INDIRECT(VLOOKUP(E158,list!$B$349:$D$349,2,FALSE)),0),MATCH('4.Grassland'!$BH$53,INDIRECT(VLOOKUP(E158,list!$B$349:$D$349,3,FALSE)),0))*Livestock!$H158*Livestock!$G158/1000*365,0)*I158/100</f>
        <v/>
      </c>
      <c r="Q158" s="1260">
        <f>IF($B158="Please select",0,IF(OR($M158="Please select",$M158="Regional share"),SUMPRODUCT(INDEX(INDIRECT(VLOOKUP(E158,list!$B$349:$D$349,1,FALSE)),MATCH(clim_moist,INDIRECT(VLOOKUP(E158,list!$B$349:$D$349,2,FALSE)),0),0),INDEX(INDIRECT(VLOOKUP(F158,list!$B$288:$D$310,1,FALSE)),MATCH($C$2,INDIRECT(VLOOKUP(F158,list!$B$288:$D$310,2,FALSE)),0),0))/100*($H158*$G158/1000*365)-$P158,0))</f>
        <v/>
      </c>
      <c r="R158" s="2158">
        <f>IFERROR(($P158/($I158/100)*$J158/100+$O158*(1-$J158/100)+$Q158/(1-$I158/100)*(1-$J158/100)),0)</f>
        <v/>
      </c>
      <c r="S158" s="2158">
        <f>IFERROR(($P158/($I158/100)*$K158/100+$O158*(1-$K158/100)+$Q158/(1-$I158/100)*(1-$K158/100)),0)</f>
        <v/>
      </c>
      <c r="T158" s="2158">
        <f>IFERROR(($P158/($I158/100)*$L158/100+$O158*(1-$L158/100)+$Q158/(1-$I158/100)*(1-$L158/100)),0)</f>
        <v/>
      </c>
      <c r="V158" s="3493">
        <f>0.011*$R158*$H22/1000*44/28*Nitrous</f>
        <v/>
      </c>
      <c r="W158" s="1151">
        <f>0.011*$S158*$I22/1000*44/28*Nitrous</f>
        <v/>
      </c>
      <c r="X158" s="3494">
        <f>0.011*$T158*$K22/1000*44/28*Nitrous</f>
        <v/>
      </c>
      <c r="Z158" s="3493">
        <f>MIN($V158,$W158)*time_tot+ABS($W158-$V158)*IF($W158&gt;$V158,time_cap+time*(VLOOKUP($J22,list!$J$48:$K$50,2,0)),time*(1-(VLOOKUP($J22,list!$J$48:$K$50,2,0))))</f>
        <v/>
      </c>
      <c r="AA158" s="3494">
        <f>MIN($V158,$X158)*time_tot+ABS($X158-$V158)*IF($X158&gt;$V158,time_cap+time*(VLOOKUP($L22,list!$J$48:$K$50,2,0)),time*(1-(VLOOKUP($L22,list!$J$48:$K$50,2,0))))</f>
        <v/>
      </c>
      <c r="AB158" s="3517">
        <f>AA158-Z158</f>
        <v/>
      </c>
    </row>
    <row r="159">
      <c r="B159" s="973">
        <f>B133</f>
        <v/>
      </c>
      <c r="C159" s="973">
        <f>C133</f>
        <v/>
      </c>
      <c r="E159" s="1109" t="inlineStr">
        <is>
          <t>Frac_leach_all_categories</t>
        </is>
      </c>
      <c r="F159" s="1109">
        <f>F133</f>
        <v/>
      </c>
      <c r="G159" s="1111">
        <f>G133</f>
        <v/>
      </c>
      <c r="H159" s="1044">
        <f>H133</f>
        <v/>
      </c>
      <c r="I159" s="1110">
        <f>I133</f>
        <v/>
      </c>
      <c r="J159" s="1688">
        <f>J133</f>
        <v/>
      </c>
      <c r="K159" s="1688">
        <f>K133</f>
        <v/>
      </c>
      <c r="L159" s="1688">
        <f>L133</f>
        <v/>
      </c>
      <c r="M159" s="1688">
        <f>M133</f>
        <v/>
      </c>
      <c r="N159" s="4720">
        <f>IF(OR($M159="Regional share",$M159="Please select",$M159="Other (pls. specify EF)"),0,INDEX(INDIRECT(VLOOKUP(E159,list!$B$349:$D$349,1,FALSE)),MATCH(clim_moist,INDIRECT(VLOOKUP(E159,list!$B$349:$D$349,2,FALSE)),0),MATCH($M159,INDIRECT(VLOOKUP(E159,list!$B$349:$D$349,3,FALSE)),0))*Livestock!$H159*Livestock!$G159/1000*365)</f>
        <v/>
      </c>
      <c r="O159" s="1581">
        <f>N159</f>
        <v/>
      </c>
      <c r="P159" s="1260">
        <f>IFERROR(INDEX(INDIRECT(VLOOKUP(E159,list!$B$349:$D$349,1,FALSE)),MATCH(clim_moist,INDIRECT(VLOOKUP(E159,list!$B$349:$D$349,2,FALSE)),0),MATCH('4.Grassland'!$BH$53,INDIRECT(VLOOKUP(E159,list!$B$349:$D$349,3,FALSE)),0))*Livestock!$H159*Livestock!$G159/1000*365,0)*I159/100</f>
        <v/>
      </c>
      <c r="Q159" s="1260">
        <f>IF($B159="Please select",0,IF(OR($M159="Please select",$M159="Regional share"),SUMPRODUCT(INDEX(INDIRECT(VLOOKUP(E159,list!$B$349:$D$349,1,FALSE)),MATCH(clim_moist,INDIRECT(VLOOKUP(E159,list!$B$349:$D$349,2,FALSE)),0),0),INDEX(INDIRECT(VLOOKUP(F159,list!$B$288:$D$310,1,FALSE)),MATCH($C$2,INDIRECT(VLOOKUP(F159,list!$B$288:$D$310,2,FALSE)),0),0))/100*($H159*$G159/1000*365)-$P159,0))</f>
        <v/>
      </c>
      <c r="R159" s="2158">
        <f>IFERROR(($P159/($I159/100)*$J159/100+$O159*(1-$J159/100)+$Q159/(1-$I159/100)*(1-$J159/100)),0)</f>
        <v/>
      </c>
      <c r="S159" s="2158">
        <f>IFERROR(($P159/($I159/100)*$K159/100+$O159*(1-$K159/100)+$Q159/(1-$I159/100)*(1-$K159/100)),0)</f>
        <v/>
      </c>
      <c r="T159" s="2158">
        <f>IFERROR(($P159/($I159/100)*$L159/100+$O159*(1-$L159/100)+$Q159/(1-$I159/100)*(1-$L159/100)),0)</f>
        <v/>
      </c>
      <c r="V159" s="3493">
        <f>0.011*$R159*$H23/1000*44/28*Nitrous</f>
        <v/>
      </c>
      <c r="W159" s="1151">
        <f>0.011*$S159*$I23/1000*44/28*Nitrous</f>
        <v/>
      </c>
      <c r="X159" s="3494">
        <f>0.011*$T159*$K23/1000*44/28*Nitrous</f>
        <v/>
      </c>
      <c r="Z159" s="3493">
        <f>MIN($V159,$W159)*time_tot+ABS($W159-$V159)*IF($W159&gt;$V159,time_cap+time*(VLOOKUP($J23,list!$J$48:$K$50,2,0)),time*(1-(VLOOKUP($J23,list!$J$48:$K$50,2,0))))</f>
        <v/>
      </c>
      <c r="AA159" s="3494">
        <f>MIN($V159,$X159)*time_tot+ABS($X159-$V159)*IF($X159&gt;$V159,time_cap+time*(VLOOKUP($L23,list!$J$48:$K$50,2,0)),time*(1-(VLOOKUP($L23,list!$J$48:$K$50,2,0))))</f>
        <v/>
      </c>
      <c r="AB159" s="3517">
        <f>AA159-Z159</f>
        <v/>
      </c>
    </row>
    <row r="160">
      <c r="B160" s="973">
        <f>B134</f>
        <v/>
      </c>
      <c r="C160" s="973">
        <f>C134</f>
        <v/>
      </c>
      <c r="E160" s="1109" t="inlineStr">
        <is>
          <t>Frac_leach_all_categories</t>
        </is>
      </c>
      <c r="F160" s="1109">
        <f>F134</f>
        <v/>
      </c>
      <c r="G160" s="1111">
        <f>G134</f>
        <v/>
      </c>
      <c r="H160" s="1044">
        <f>H134</f>
        <v/>
      </c>
      <c r="I160" s="1110">
        <f>I134</f>
        <v/>
      </c>
      <c r="J160" s="1688">
        <f>J134</f>
        <v/>
      </c>
      <c r="K160" s="1688">
        <f>K134</f>
        <v/>
      </c>
      <c r="L160" s="1688">
        <f>L134</f>
        <v/>
      </c>
      <c r="M160" s="1688">
        <f>M134</f>
        <v/>
      </c>
      <c r="N160" s="4720">
        <f>IF(OR($M160="Regional share",$M160="Please select",$M160="Other (pls. specify EF)"),0,INDEX(INDIRECT(VLOOKUP(E160,list!$B$349:$D$349,1,FALSE)),MATCH(clim_moist,INDIRECT(VLOOKUP(E160,list!$B$349:$D$349,2,FALSE)),0),MATCH($M160,INDIRECT(VLOOKUP(E160,list!$B$349:$D$349,3,FALSE)),0))*Livestock!$H160*Livestock!$G160/1000*365)</f>
        <v/>
      </c>
      <c r="O160" s="1581">
        <f>N160</f>
        <v/>
      </c>
      <c r="P160" s="1260">
        <f>IFERROR(INDEX(INDIRECT(VLOOKUP(E160,list!$B$349:$D$349,1,FALSE)),MATCH(clim_moist,INDIRECT(VLOOKUP(E160,list!$B$349:$D$349,2,FALSE)),0),MATCH('4.Grassland'!$BH$53,INDIRECT(VLOOKUP(E160,list!$B$349:$D$349,3,FALSE)),0))*Livestock!$H160*Livestock!$G160/1000*365,0)*I160/100</f>
        <v/>
      </c>
      <c r="Q160" s="1260">
        <f>IF($B160="Please select",0,IF(OR($M160="Please select",$M160="Regional share"),SUMPRODUCT(INDEX(INDIRECT(VLOOKUP(E160,list!$B$349:$D$349,1,FALSE)),MATCH(clim_moist,INDIRECT(VLOOKUP(E160,list!$B$349:$D$349,2,FALSE)),0),0),INDEX(INDIRECT(VLOOKUP(F160,list!$B$288:$D$310,1,FALSE)),MATCH($C$2,INDIRECT(VLOOKUP(F160,list!$B$288:$D$310,2,FALSE)),0),0))/100*($H160*$G160/1000*365)-$P160,0))</f>
        <v/>
      </c>
      <c r="R160" s="2158">
        <f>IFERROR(($P160/($I160/100)*$J160/100+$O160*(1-$J160/100)+$Q160/(1-$I160/100)*(1-$J160/100)),0)</f>
        <v/>
      </c>
      <c r="S160" s="2158">
        <f>IFERROR(($P160/($I160/100)*$K160/100+$O160*(1-$K160/100)+$Q160/(1-$I160/100)*(1-$K160/100)),0)</f>
        <v/>
      </c>
      <c r="T160" s="2158">
        <f>IFERROR(($P160/($I160/100)*$L160/100+$O160*(1-$L160/100)+$Q160/(1-$I160/100)*(1-$L160/100)),0)</f>
        <v/>
      </c>
      <c r="V160" s="3493">
        <f>0.011*$R160*$H24/1000*44/28*Nitrous</f>
        <v/>
      </c>
      <c r="W160" s="1151">
        <f>0.011*$S160*$I24/1000*44/28*Nitrous</f>
        <v/>
      </c>
      <c r="X160" s="3494">
        <f>0.011*$T160*$K24/1000*44/28*Nitrous</f>
        <v/>
      </c>
      <c r="Z160" s="3493">
        <f>MIN($V160,$W160)*time_tot+ABS($W160-$V160)*IF($W160&gt;$V160,time_cap+time*(VLOOKUP($J24,list!$J$48:$K$50,2,0)),time*(1-(VLOOKUP($J24,list!$J$48:$K$50,2,0))))</f>
        <v/>
      </c>
      <c r="AA160" s="3494">
        <f>MIN($V160,$X160)*time_tot+ABS($X160-$V160)*IF($X160&gt;$V160,time_cap+time*(VLOOKUP($L24,list!$J$48:$K$50,2,0)),time*(1-(VLOOKUP($L24,list!$J$48:$K$50,2,0))))</f>
        <v/>
      </c>
      <c r="AB160" s="3517">
        <f>AA160-Z160</f>
        <v/>
      </c>
    </row>
    <row r="163">
      <c r="V163" s="1163" t="n"/>
      <c r="W163" s="1163" t="n"/>
      <c r="X163" s="1163" t="n"/>
      <c r="Y163" s="1653" t="inlineStr">
        <is>
          <t>Total Manure Management [N2O leaching]</t>
        </is>
      </c>
      <c r="Z163" s="2276">
        <f>SUM(Z144:Z160)</f>
        <v/>
      </c>
      <c r="AA163" s="2276">
        <f>SUM(AA144:AA160)</f>
        <v/>
      </c>
      <c r="AB163" s="2276">
        <f>SUM(AB144:AB160)</f>
        <v/>
      </c>
    </row>
  </sheetData>
  <mergeCells count="4">
    <mergeCell ref="M86:O86"/>
    <mergeCell ref="M58:O58"/>
    <mergeCell ref="M140:O140"/>
    <mergeCell ref="M114:O114"/>
  </mergeCells>
  <conditionalFormatting sqref="AM13:AN13 AO21:AO28">
    <cfRule type="expression" priority="1" dxfId="60">
      <formula>$BL$53&lt;&gt;$BL$54</formula>
    </cfRule>
  </conditionalFormatting>
  <pageMargins left="0.7" right="0.7" top="0.75" bottom="0.75" header="0.3" footer="0.3"/>
  <pageSetup orientation="portrait"/>
  <legacyDrawing r:id="anysvml"/>
</worksheet>
</file>

<file path=xl/worksheets/sheet15.xml><?xml version="1.0" encoding="utf-8"?>
<worksheet xmlns="http://schemas.openxmlformats.org/spreadsheetml/2006/main">
  <sheetPr codeName="Sheet20">
    <tabColor rgb="FF172735"/>
    <outlinePr summaryBelow="1" summaryRight="1"/>
    <pageSetUpPr/>
  </sheetPr>
  <dimension ref="B1:BS35"/>
  <sheetViews>
    <sheetView zoomScale="90" zoomScaleNormal="90" workbookViewId="0">
      <selection activeCell="W14" sqref="W14"/>
    </sheetView>
  </sheetViews>
  <sheetFormatPr baseColWidth="10" defaultColWidth="9.33203125" defaultRowHeight="14"/>
  <cols>
    <col width="7.5" customWidth="1" style="1771" min="1" max="2"/>
    <col width="42.33203125" customWidth="1" style="1771" min="3" max="3"/>
    <col width="1.5" customWidth="1" style="1771" min="4" max="4"/>
    <col width="14.6640625" customWidth="1" style="1771" min="5" max="5"/>
    <col width="1.5" customWidth="1" style="1771" min="6" max="6"/>
    <col width="14.6640625" customWidth="1" style="1771" min="7" max="7"/>
    <col width="1.5" customWidth="1" style="1771" min="8" max="8"/>
    <col width="14.6640625" customWidth="1" style="1771" min="9" max="9"/>
    <col width="1.5" customWidth="1" style="1771" min="10" max="10"/>
    <col width="7.5" customWidth="1" style="1771" min="11" max="11"/>
    <col width="1.5" customWidth="1" style="1771" min="12" max="12"/>
    <col width="10.33203125" customWidth="1" style="1771" min="13" max="13"/>
    <col width="1.5" customWidth="1" style="1771" min="14" max="14"/>
    <col width="7.5" customWidth="1" style="1771" min="15" max="15"/>
    <col width="1.5" customWidth="1" style="1771" min="16" max="16"/>
    <col width="8.6640625" customWidth="1" style="1771" min="17" max="17"/>
    <col width="1.5" customWidth="1" style="1771" min="18" max="18"/>
    <col width="10" customWidth="1" style="1771" min="19" max="19"/>
    <col width="1.5" customWidth="1" style="1771" min="20" max="20"/>
    <col width="9.6640625" customWidth="1" style="1771" min="21" max="21"/>
    <col width="1.5" customWidth="1" style="1771" min="22" max="22"/>
    <col width="18.5" customWidth="1" style="1771" min="23" max="23"/>
    <col width="12" customWidth="1" style="1771" min="24" max="24"/>
    <col width="2.5" customWidth="1" style="1771" min="25" max="25"/>
    <col width="12.5" customWidth="1" style="1771" min="26" max="26"/>
    <col width="2.5" customWidth="1" style="1771" min="27" max="27"/>
    <col width="5.5" customWidth="1" style="1771" min="28" max="28"/>
    <col width="15.33203125" customWidth="1" style="1771" min="29" max="29"/>
    <col width="17.5" customWidth="1" style="1771" min="30" max="30"/>
    <col width="8.5" customWidth="1" style="1771" min="31" max="31"/>
    <col width="21.5" customWidth="1" style="1771" min="32" max="32"/>
    <col width="9.33203125" customWidth="1" style="1771" min="33" max="41"/>
    <col width="2.33203125" customWidth="1" style="1771" min="42" max="42"/>
    <col width="42.33203125" customWidth="1" style="1771" min="43" max="43"/>
    <col width="9.33203125" customWidth="1" style="1771" min="44" max="49"/>
    <col width="4.5" customWidth="1" style="1771" min="50" max="50"/>
    <col width="9.33203125" customWidth="1" style="1771" min="51" max="61"/>
    <col width="2.5" customWidth="1" style="1771" min="62" max="62"/>
    <col width="9.33203125" customWidth="1" style="1771" min="63" max="16384"/>
  </cols>
  <sheetData>
    <row r="1" ht="100.5" customFormat="1" customHeight="1" s="2052">
      <c r="AJ1" s="2053" t="n"/>
    </row>
    <row r="3" ht="17" customHeight="1">
      <c r="AP3" s="1916" t="n"/>
      <c r="AQ3" s="1916" t="n"/>
      <c r="AR3" s="2054" t="n"/>
      <c r="AS3" s="1916" t="n"/>
      <c r="AT3" s="1916" t="n"/>
      <c r="AU3" s="1916" t="n"/>
      <c r="AV3" s="1916" t="n"/>
      <c r="AW3" s="1916" t="n"/>
      <c r="AX3" s="1916" t="n"/>
      <c r="AY3" s="1916" t="n"/>
      <c r="AZ3" s="1916" t="n"/>
      <c r="BA3" s="1916" t="n"/>
      <c r="BB3" s="1916" t="n"/>
      <c r="BC3" s="1916" t="n"/>
      <c r="BD3" s="1916" t="n"/>
      <c r="BE3" s="1916" t="n"/>
      <c r="BF3" s="1916" t="n"/>
      <c r="BG3" s="1916" t="n"/>
      <c r="BH3" s="1916" t="n"/>
      <c r="BI3" s="1916" t="n"/>
      <c r="BJ3" s="1916" t="n"/>
    </row>
    <row r="4" ht="17" customHeight="1">
      <c r="AP4" s="1916" t="n"/>
      <c r="AQ4" s="1919" t="n"/>
      <c r="AR4" s="2054" t="n"/>
      <c r="AS4" s="1916" t="n"/>
      <c r="AT4" s="1916" t="n"/>
      <c r="AU4" s="1916" t="n"/>
      <c r="AV4" s="1916" t="n"/>
      <c r="AW4" s="1916" t="n"/>
      <c r="AX4" s="1916" t="n"/>
      <c r="AY4" s="1916" t="n"/>
      <c r="AZ4" s="1916" t="n"/>
      <c r="BA4" s="1916" t="n"/>
      <c r="BB4" s="1916" t="n"/>
      <c r="BC4" s="1916" t="n"/>
      <c r="BD4" s="1916" t="n"/>
      <c r="BE4" s="1916" t="n"/>
      <c r="BF4" s="1916" t="n"/>
      <c r="BG4" s="1916" t="n"/>
      <c r="BH4" s="1916" t="n"/>
      <c r="BI4" s="1916" t="n"/>
      <c r="BJ4" s="1916" t="n"/>
    </row>
    <row r="5" ht="17" customHeight="1">
      <c r="AP5" s="1916" t="n"/>
      <c r="AQ5" s="2055" t="n"/>
      <c r="AR5" s="2056" t="n"/>
      <c r="AS5" s="1916" t="n"/>
      <c r="AT5" s="1916" t="n"/>
      <c r="AU5" s="1916" t="n"/>
      <c r="AV5" s="1916" t="n"/>
      <c r="AW5" s="1916" t="n"/>
      <c r="AX5" s="1916" t="n"/>
      <c r="AY5" s="1916" t="n"/>
      <c r="AZ5" s="1916" t="n"/>
      <c r="BA5" s="1916" t="n"/>
      <c r="BB5" s="1916" t="n"/>
      <c r="BC5" s="1916" t="n"/>
      <c r="BD5" s="1916" t="n"/>
      <c r="BE5" s="1916" t="n"/>
      <c r="BF5" s="1916" t="n"/>
      <c r="BG5" s="1916" t="n"/>
      <c r="BH5" s="1916" t="n"/>
      <c r="BI5" s="1916" t="n"/>
      <c r="BJ5" s="1916" t="n"/>
    </row>
    <row r="6" ht="45" customHeight="1">
      <c r="B6" s="2057">
        <f>Languages!B417</f>
        <v/>
      </c>
      <c r="C6" s="2057" t="n"/>
      <c r="D6" s="1769" t="n"/>
      <c r="E6" s="1769" t="n"/>
      <c r="F6" s="1769" t="n"/>
      <c r="G6" s="1769" t="n"/>
      <c r="H6" s="1769" t="n"/>
      <c r="I6" s="1769" t="n"/>
      <c r="J6" s="1769" t="n"/>
      <c r="K6" s="1769" t="n"/>
      <c r="L6" s="1769" t="n"/>
      <c r="M6" s="1769" t="n"/>
      <c r="N6" s="1769" t="n"/>
      <c r="O6" s="1769" t="n"/>
      <c r="P6" s="1769" t="n"/>
      <c r="Q6" s="1769" t="n"/>
      <c r="R6" s="1769" t="n"/>
      <c r="S6" s="1769" t="n"/>
      <c r="T6" s="1769" t="n"/>
      <c r="U6" s="1769" t="n"/>
      <c r="V6" s="1769" t="n"/>
      <c r="W6" s="1769" t="n"/>
      <c r="X6" s="1769" t="n"/>
      <c r="Y6" s="1769" t="n"/>
      <c r="Z6" s="1769" t="n"/>
      <c r="AA6" s="1769" t="n"/>
      <c r="AB6" s="1769" t="n"/>
      <c r="AC6" s="1769" t="n"/>
      <c r="AD6" s="1770">
        <f>Languages!B22</f>
        <v/>
      </c>
      <c r="AE6" s="1977" t="n"/>
      <c r="AF6" s="1977" t="n"/>
      <c r="AG6" s="1977" t="n"/>
      <c r="AP6" s="2058" t="n"/>
      <c r="AQ6" s="2059">
        <f>B6</f>
        <v/>
      </c>
      <c r="AR6" s="2058" t="n"/>
      <c r="AS6" s="2058" t="n"/>
      <c r="AT6" s="2058" t="n"/>
      <c r="AU6" s="2058" t="n"/>
      <c r="AV6" s="2058" t="n"/>
      <c r="AW6" s="2058" t="n"/>
      <c r="AX6" s="2058" t="n"/>
      <c r="AY6" s="2058" t="n"/>
      <c r="AZ6" s="2058" t="n"/>
      <c r="BA6" s="2058" t="n"/>
      <c r="BB6" s="2058" t="n"/>
      <c r="BC6" s="2058" t="n"/>
      <c r="BD6" s="2058" t="n"/>
      <c r="BE6" s="2058" t="n"/>
      <c r="BF6" s="2058" t="n"/>
      <c r="BG6" s="2058" t="n"/>
      <c r="BH6" s="2058" t="n"/>
      <c r="BI6" s="2058" t="n"/>
      <c r="BJ6" s="2058" t="n"/>
      <c r="BK6" s="2058" t="n"/>
      <c r="BL6" s="2058" t="n"/>
      <c r="BM6" s="2058" t="n"/>
      <c r="BN6" s="2058" t="n"/>
      <c r="BO6" s="2058" t="n"/>
      <c r="BQ6" s="4404" t="inlineStr">
        <is>
          <t>Annual balance</t>
        </is>
      </c>
      <c r="BR6" s="4404" t="n"/>
      <c r="BS6" s="4404" t="n"/>
    </row>
    <row r="7" ht="5.25" customHeight="1">
      <c r="BQ7" s="1916" t="n"/>
      <c r="BR7" s="1916" t="n"/>
    </row>
    <row r="8" ht="17" customHeight="1">
      <c r="B8" s="1781" t="n"/>
      <c r="C8" s="1781" t="n"/>
      <c r="D8" s="1781" t="n"/>
      <c r="E8" s="1781" t="n"/>
      <c r="F8" s="1781" t="n"/>
      <c r="G8" s="1781" t="n"/>
      <c r="H8" s="1781" t="n"/>
      <c r="I8" s="1781" t="n"/>
      <c r="J8" s="1781" t="n"/>
      <c r="K8" s="1781" t="n"/>
      <c r="L8" s="1781" t="n"/>
      <c r="M8" s="1781" t="n"/>
      <c r="N8" s="1781" t="n"/>
      <c r="O8" s="1781" t="n"/>
      <c r="P8" s="1781" t="n"/>
      <c r="Q8" s="1781" t="n"/>
      <c r="R8" s="1781" t="n"/>
      <c r="S8" s="1781" t="n"/>
      <c r="T8" s="1781" t="n"/>
      <c r="U8" s="1781" t="n"/>
      <c r="V8" s="1781" t="n"/>
      <c r="W8" s="1781" t="n"/>
      <c r="X8" s="1781" t="n"/>
      <c r="Y8" s="1781" t="n"/>
      <c r="Z8" s="1781" t="n"/>
      <c r="AA8" s="1781" t="n"/>
      <c r="AB8" s="1781" t="n"/>
      <c r="AC8" s="1781" t="n"/>
      <c r="AD8" s="1781" t="n"/>
      <c r="AE8" s="1781" t="n"/>
      <c r="AF8" s="1781" t="n"/>
      <c r="AG8" s="1781" t="n"/>
      <c r="AP8" s="2060" t="n"/>
      <c r="AQ8" s="2061" t="n"/>
      <c r="AR8" s="2061" t="n"/>
      <c r="AS8" s="2061" t="n"/>
      <c r="AT8" s="2061" t="n"/>
      <c r="AU8" s="2061" t="n"/>
      <c r="AV8" s="2061" t="n"/>
      <c r="AW8" s="2061" t="n"/>
      <c r="AX8" s="2061" t="n"/>
      <c r="AY8" s="2061" t="n"/>
      <c r="AZ8" s="2061" t="n"/>
      <c r="BA8" s="2060" t="n"/>
      <c r="BB8" s="2060" t="n"/>
      <c r="BC8" s="2060" t="n"/>
      <c r="BD8" s="2060" t="n"/>
      <c r="BE8" s="2060" t="n"/>
      <c r="BF8" s="2060" t="n"/>
      <c r="BG8" s="2060" t="n"/>
      <c r="BH8" s="2060" t="n"/>
      <c r="BI8" s="2060" t="n"/>
      <c r="BJ8" s="2060" t="n"/>
      <c r="BK8" s="2060" t="n"/>
      <c r="BL8" s="2060" t="n"/>
      <c r="BM8" s="2060" t="n"/>
      <c r="BN8" s="2060" t="n"/>
      <c r="BO8" s="2060" t="n"/>
      <c r="BQ8" s="1784" t="n"/>
      <c r="BR8" s="1784" t="n"/>
      <c r="BS8" s="1997" t="n"/>
    </row>
    <row r="9" ht="17" customHeight="1">
      <c r="B9" s="1781" t="n"/>
      <c r="C9" s="1781" t="n"/>
      <c r="D9" s="1781" t="n"/>
      <c r="E9" s="1781" t="n"/>
      <c r="F9" s="1781" t="n"/>
      <c r="G9" s="1781" t="n"/>
      <c r="H9" s="1781" t="n"/>
      <c r="I9" s="1781" t="n"/>
      <c r="J9" s="1781" t="n"/>
      <c r="K9" s="1826">
        <f>Languages!B289</f>
        <v/>
      </c>
      <c r="L9" s="1792" t="n"/>
      <c r="M9" s="1792" t="n"/>
      <c r="N9" s="1792" t="n"/>
      <c r="O9" s="1826">
        <f>K9</f>
        <v/>
      </c>
      <c r="P9" s="1826" t="n"/>
      <c r="Q9" s="1826" t="n"/>
      <c r="R9" s="1826" t="n"/>
      <c r="S9" s="1826">
        <f>O9</f>
        <v/>
      </c>
      <c r="T9" s="1781" t="n"/>
      <c r="U9" s="1781" t="n"/>
      <c r="V9" s="1781" t="n"/>
      <c r="W9" s="1781" t="n"/>
      <c r="X9" s="1781" t="n"/>
      <c r="Y9" s="1781" t="n"/>
      <c r="Z9" s="1781" t="n"/>
      <c r="AA9" s="1781" t="n"/>
      <c r="AB9" s="1781" t="n"/>
      <c r="AC9" s="1781" t="n"/>
      <c r="AD9" s="1781" t="n"/>
      <c r="AE9" s="1781" t="n"/>
      <c r="AF9" s="1781" t="n"/>
      <c r="AG9" s="1781" t="n"/>
      <c r="AP9" s="2062" t="n"/>
      <c r="AQ9" s="2061" t="n"/>
      <c r="AR9" s="2016">
        <f>Languages!B303</f>
        <v/>
      </c>
      <c r="AS9" s="2063" t="n"/>
      <c r="AT9" s="2064" t="n"/>
      <c r="AU9" s="2064" t="n"/>
      <c r="AV9" s="2064" t="n"/>
      <c r="AW9" s="2064" t="n"/>
      <c r="AX9" s="2061" t="n"/>
      <c r="AY9" s="1991">
        <f>Languages!B610</f>
        <v/>
      </c>
      <c r="AZ9" s="2065" t="n"/>
      <c r="BA9" s="2066" t="n"/>
      <c r="BB9" s="2066" t="n"/>
      <c r="BC9" s="2066" t="n"/>
      <c r="BD9" s="2066" t="n"/>
      <c r="BE9" s="2066" t="n"/>
      <c r="BF9" s="2066" t="n"/>
      <c r="BG9" s="2062" t="n"/>
      <c r="BH9" s="1991">
        <f>Languages!B304</f>
        <v/>
      </c>
      <c r="BI9" s="2557" t="n"/>
      <c r="BJ9" s="2557" t="n"/>
      <c r="BK9" s="2557" t="n"/>
      <c r="BL9" s="2557" t="n"/>
      <c r="BM9" s="2066" t="n"/>
      <c r="BN9" s="2066" t="n"/>
      <c r="BO9" s="2062" t="n"/>
      <c r="BQ9" s="1890" t="inlineStr">
        <is>
          <t xml:space="preserve">Start year of </t>
        </is>
      </c>
      <c r="BR9" s="1890" t="n"/>
      <c r="BS9" s="1997" t="n"/>
    </row>
    <row r="10" ht="17" customHeight="1">
      <c r="B10" s="1781" t="n"/>
      <c r="C10" s="1780">
        <f>Languages!B286</f>
        <v/>
      </c>
      <c r="D10" s="1781" t="n"/>
      <c r="E10" s="2067">
        <f>Languages!B288</f>
        <v/>
      </c>
      <c r="F10" s="2068" t="n"/>
      <c r="G10" s="2068" t="n"/>
      <c r="H10" s="2068" t="n"/>
      <c r="I10" s="2068" t="n"/>
      <c r="J10" s="1781" t="n"/>
      <c r="K10" s="1826">
        <f>Languages!B290</f>
        <v/>
      </c>
      <c r="L10" s="1792" t="n"/>
      <c r="M10" s="1792" t="n"/>
      <c r="N10" s="1792" t="n"/>
      <c r="O10" s="1826">
        <f>Languages!B291</f>
        <v/>
      </c>
      <c r="P10" s="1826" t="n"/>
      <c r="Q10" s="1826" t="n"/>
      <c r="R10" s="1826" t="n"/>
      <c r="S10" s="1826">
        <f>Languages!B292</f>
        <v/>
      </c>
      <c r="T10" s="1781" t="n"/>
      <c r="U10" s="1781" t="n"/>
      <c r="V10" s="1781" t="n"/>
      <c r="W10" s="2070">
        <f>Languages!B293</f>
        <v/>
      </c>
      <c r="X10" s="1789" t="n"/>
      <c r="Y10" s="1789" t="n"/>
      <c r="Z10" s="1789" t="n"/>
      <c r="AA10" s="1804" t="n"/>
      <c r="AB10" s="2071" t="n"/>
      <c r="AC10" s="1779">
        <f>Languages!B9</f>
        <v/>
      </c>
      <c r="AD10" s="1781" t="n"/>
      <c r="AE10" s="1781" t="n"/>
      <c r="AF10" s="1780">
        <f>Languages!B10</f>
        <v/>
      </c>
      <c r="AG10" s="1781" t="n"/>
      <c r="AP10" s="2062" t="n"/>
      <c r="AQ10" s="2072">
        <f>C10</f>
        <v/>
      </c>
      <c r="AR10" s="2073" t="n"/>
      <c r="AS10" s="2073" t="n"/>
      <c r="AT10" s="2073" t="n"/>
      <c r="AU10" s="2073" t="n"/>
      <c r="AV10" s="2073" t="n"/>
      <c r="AW10" s="2073" t="n"/>
      <c r="AX10" s="2060" t="n"/>
      <c r="AY10" s="1888">
        <f>Languages!B67</f>
        <v/>
      </c>
      <c r="AZ10" s="2074" t="n"/>
      <c r="BA10" s="1888">
        <f>Languages!B68</f>
        <v/>
      </c>
      <c r="BB10" s="2074" t="n"/>
      <c r="BC10" s="1940">
        <f>Languages!B73</f>
        <v/>
      </c>
      <c r="BD10" s="2074" t="n"/>
      <c r="BE10" s="1888">
        <f>Languages!B74</f>
        <v/>
      </c>
      <c r="BF10" s="2074" t="n"/>
      <c r="BG10" s="2060" t="n"/>
      <c r="BH10" s="1888">
        <f>Languages!B75</f>
        <v/>
      </c>
      <c r="BI10" s="2060" t="n"/>
      <c r="BJ10" s="2062" t="n"/>
      <c r="BK10" s="1887">
        <f>Languages!B305</f>
        <v/>
      </c>
      <c r="BL10" s="2074" t="n"/>
      <c r="BM10" s="2062" t="n"/>
      <c r="BN10" s="2062" t="n"/>
      <c r="BO10" s="2060" t="n"/>
      <c r="BQ10" s="2015" t="inlineStr">
        <is>
          <t>implementation</t>
        </is>
      </c>
      <c r="BR10" s="2015" t="n"/>
      <c r="BS10" s="1997" t="n"/>
    </row>
    <row r="11" ht="17" customHeight="1">
      <c r="B11" s="1781" t="n"/>
      <c r="C11" s="1780">
        <f>Languages!B287</f>
        <v/>
      </c>
      <c r="D11" s="1781" t="n"/>
      <c r="E11" s="1806">
        <f>Languages!B116</f>
        <v/>
      </c>
      <c r="F11" s="1781" t="n"/>
      <c r="G11" s="1806">
        <f>Languages!B117</f>
        <v/>
      </c>
      <c r="H11" s="1781" t="n"/>
      <c r="I11" s="1806">
        <f>Languages!B118</f>
        <v/>
      </c>
      <c r="J11" s="1781" t="n"/>
      <c r="K11" s="1806">
        <f>G11</f>
        <v/>
      </c>
      <c r="L11" s="1781" t="n"/>
      <c r="M11" s="1806">
        <f>I11</f>
        <v/>
      </c>
      <c r="N11" s="1781" t="n"/>
      <c r="O11" s="1806">
        <f>K11</f>
        <v/>
      </c>
      <c r="P11" s="1781" t="n"/>
      <c r="Q11" s="1806">
        <f>M11</f>
        <v/>
      </c>
      <c r="R11" s="1781" t="n"/>
      <c r="S11" s="1806">
        <f>K11</f>
        <v/>
      </c>
      <c r="T11" s="1806" t="n"/>
      <c r="U11" s="1806">
        <f>M11</f>
        <v/>
      </c>
      <c r="V11" s="1781" t="n"/>
      <c r="W11" s="1806">
        <f>E11</f>
        <v/>
      </c>
      <c r="X11" s="1806">
        <f>G11</f>
        <v/>
      </c>
      <c r="Y11" s="1806" t="n"/>
      <c r="Z11" s="1806">
        <f>I11</f>
        <v/>
      </c>
      <c r="AA11" s="1781" t="n"/>
      <c r="AB11" s="1826" t="n"/>
      <c r="AC11" s="1806">
        <f>X11</f>
        <v/>
      </c>
      <c r="AD11" s="1806">
        <f>Z11</f>
        <v/>
      </c>
      <c r="AE11" s="1781" t="n"/>
      <c r="AF11" s="1781" t="n"/>
      <c r="AG11" s="1781" t="n"/>
      <c r="AP11" s="2062" t="n"/>
      <c r="AQ11" s="2072">
        <f>C11</f>
        <v/>
      </c>
      <c r="AR11" s="1990">
        <f>W11</f>
        <v/>
      </c>
      <c r="AS11" s="2060" t="n"/>
      <c r="AT11" s="1990">
        <f>AC11</f>
        <v/>
      </c>
      <c r="AU11" s="2060" t="n"/>
      <c r="AV11" s="1990">
        <f>AD11</f>
        <v/>
      </c>
      <c r="AW11" s="2060" t="n"/>
      <c r="AX11" s="2060" t="n"/>
      <c r="AY11" s="1782" t="n"/>
      <c r="AZ11" s="1782" t="n"/>
      <c r="BA11" s="1782" t="n"/>
      <c r="BB11" s="1782" t="n"/>
      <c r="BC11" s="1782" t="n"/>
      <c r="BD11" s="1782" t="n"/>
      <c r="BE11" s="1782" t="n"/>
      <c r="BF11" s="1782" t="n"/>
      <c r="BG11" s="2074" t="n"/>
      <c r="BH11" s="1940">
        <f>Languages!B90</f>
        <v/>
      </c>
      <c r="BI11" s="2074" t="n"/>
      <c r="BJ11" s="2062" t="n"/>
      <c r="BK11" s="1782" t="n"/>
      <c r="BL11" s="2154">
        <f>AR11</f>
        <v/>
      </c>
      <c r="BM11" s="2154">
        <f>AT11</f>
        <v/>
      </c>
      <c r="BN11" s="2154">
        <f>AV11</f>
        <v/>
      </c>
      <c r="BO11" s="2074" t="n"/>
      <c r="BQ11" s="1997" t="n"/>
      <c r="BR11" s="1894" t="n"/>
      <c r="BS11" s="1997" t="n"/>
    </row>
    <row r="12" ht="17" customHeight="1">
      <c r="B12" s="1781" t="n"/>
      <c r="C12" s="1781" t="n"/>
      <c r="D12" s="1781" t="n"/>
      <c r="E12" s="1781" t="n"/>
      <c r="F12" s="1781" t="n"/>
      <c r="G12" s="1781" t="n"/>
      <c r="H12" s="1781" t="n"/>
      <c r="I12" s="1781" t="n"/>
      <c r="J12" s="1781" t="n"/>
      <c r="K12" s="2075">
        <f>Languages!B62</f>
        <v/>
      </c>
      <c r="L12" s="1781" t="n"/>
      <c r="M12" s="2075">
        <f>K12</f>
        <v/>
      </c>
      <c r="N12" s="1781" t="n"/>
      <c r="O12" s="2075">
        <f>'4.Grassland'!N12</f>
        <v/>
      </c>
      <c r="P12" s="1781" t="n"/>
      <c r="Q12" s="2075">
        <f>O12</f>
        <v/>
      </c>
      <c r="R12" s="1781" t="n"/>
      <c r="S12" s="1781" t="n"/>
      <c r="T12" s="1781" t="n"/>
      <c r="U12" s="1781" t="n"/>
      <c r="V12" s="1781" t="n"/>
      <c r="W12" s="1781" t="n"/>
      <c r="X12" s="1781" t="n"/>
      <c r="Y12" s="1781" t="inlineStr">
        <is>
          <t>*</t>
        </is>
      </c>
      <c r="Z12" s="1781" t="n"/>
      <c r="AA12" s="1781" t="inlineStr">
        <is>
          <t>*</t>
        </is>
      </c>
      <c r="AB12" s="1826" t="n"/>
      <c r="AC12" s="1781" t="n"/>
      <c r="AD12" s="1781" t="n"/>
      <c r="AE12" s="1781" t="n"/>
      <c r="AF12" s="1781" t="n"/>
      <c r="AG12" s="1781" t="n"/>
      <c r="AP12" s="2062" t="n"/>
      <c r="AQ12" s="2061" t="n"/>
      <c r="AR12" s="2026">
        <f>Languages!B16</f>
        <v/>
      </c>
      <c r="AS12" s="2032">
        <f>Languages!B17</f>
        <v/>
      </c>
      <c r="AT12" s="2026">
        <f>AR12</f>
        <v/>
      </c>
      <c r="AU12" s="2032">
        <f>AS12</f>
        <v/>
      </c>
      <c r="AV12" s="2032">
        <f>AT12</f>
        <v/>
      </c>
      <c r="AW12" s="2026">
        <f>AU12</f>
        <v/>
      </c>
      <c r="AX12" s="2060" t="n"/>
      <c r="AY12" s="2026">
        <f>AV12</f>
        <v/>
      </c>
      <c r="AZ12" s="2032">
        <f>AW12</f>
        <v/>
      </c>
      <c r="BA12" s="2026">
        <f>AY12</f>
        <v/>
      </c>
      <c r="BB12" s="2032">
        <f>AZ12</f>
        <v/>
      </c>
      <c r="BC12" s="2026">
        <f>BA12</f>
        <v/>
      </c>
      <c r="BD12" s="2032">
        <f>BB12</f>
        <v/>
      </c>
      <c r="BE12" s="2026">
        <f>BC12</f>
        <v/>
      </c>
      <c r="BF12" s="2032">
        <f>BD12</f>
        <v/>
      </c>
      <c r="BG12" s="2032" t="n"/>
      <c r="BH12" s="2026">
        <f>BE12</f>
        <v/>
      </c>
      <c r="BI12" s="2032">
        <f>BF12</f>
        <v/>
      </c>
      <c r="BJ12" s="2062" t="n"/>
      <c r="BK12" s="2026">
        <f>BH12</f>
        <v/>
      </c>
      <c r="BL12" s="2032">
        <f>BI12</f>
        <v/>
      </c>
      <c r="BM12" s="2032">
        <f>BL12</f>
        <v/>
      </c>
      <c r="BN12" s="2032">
        <f>BM12</f>
        <v/>
      </c>
      <c r="BO12" s="2032" t="n"/>
      <c r="BQ12" s="1997" t="n"/>
      <c r="BR12" s="1997" t="n"/>
      <c r="BS12" s="1997" t="n"/>
    </row>
    <row r="13" ht="15" customHeight="1">
      <c r="B13" s="1781" t="n"/>
      <c r="C13" s="2133" t="inlineStr">
        <is>
          <t>Tropical dry forest</t>
        </is>
      </c>
      <c r="D13" s="1781" t="n"/>
      <c r="E13" s="2135" t="inlineStr">
        <is>
          <t>Moderate</t>
        </is>
      </c>
      <c r="F13" s="1781" t="n"/>
      <c r="G13" s="2135" t="inlineStr">
        <is>
          <t>Moderate</t>
        </is>
      </c>
      <c r="H13" s="1806" t="n"/>
      <c r="I13" s="2135" t="inlineStr">
        <is>
          <t>Low</t>
        </is>
      </c>
      <c r="J13" s="1781" t="n"/>
      <c r="K13" s="2133" t="inlineStr">
        <is>
          <t>NO</t>
        </is>
      </c>
      <c r="L13" s="1781" t="n"/>
      <c r="M13" s="2133" t="inlineStr">
        <is>
          <t>NO</t>
        </is>
      </c>
      <c r="N13" s="1781" t="n"/>
      <c r="O13" s="2135" t="n">
        <v>1</v>
      </c>
      <c r="P13" s="1781" t="n"/>
      <c r="Q13" s="2135" t="n">
        <v>1</v>
      </c>
      <c r="R13" s="1781" t="n"/>
      <c r="S13" s="4458" t="n">
        <v>0.01</v>
      </c>
      <c r="T13" s="1781" t="n"/>
      <c r="U13" s="4458" t="n">
        <v>0.01</v>
      </c>
      <c r="V13" s="1781" t="n"/>
      <c r="W13" s="2107">
        <f>Calculations!C16</f>
        <v/>
      </c>
      <c r="X13" s="1841">
        <f>degradation!$E55</f>
        <v/>
      </c>
      <c r="Y13" s="4134" t="inlineStr">
        <is>
          <t>D</t>
        </is>
      </c>
      <c r="Z13" s="1841">
        <f>degradation!$G55</f>
        <v/>
      </c>
      <c r="AA13" s="4170" t="inlineStr">
        <is>
          <t>D</t>
        </is>
      </c>
      <c r="AB13" s="1826" t="n"/>
      <c r="AC13" s="1841">
        <f>degradation!Q55</f>
        <v/>
      </c>
      <c r="AD13" s="1841">
        <f>degradation!R55</f>
        <v/>
      </c>
      <c r="AE13" s="1781" t="n"/>
      <c r="AF13" s="1806">
        <f>degradation!S55</f>
        <v/>
      </c>
      <c r="AG13" s="1781" t="n"/>
      <c r="AP13" s="1801" t="n"/>
      <c r="AQ13" s="1801">
        <f>$C13</f>
        <v/>
      </c>
      <c r="AR13" s="4332">
        <f>VLOOKUP($E13, list!$O$7:$P$13, 2, FALSE)</f>
        <v/>
      </c>
      <c r="AS13" s="4306" t="n"/>
      <c r="AT13" s="4332">
        <f>VLOOKUP($G13, list!$O$7:$P$13, 2, FALSE)</f>
        <v/>
      </c>
      <c r="AU13" s="4306" t="n"/>
      <c r="AV13" s="4332">
        <f>VLOOKUP($I13, list!$O$7:$P$13, 2, FALSE)</f>
        <v/>
      </c>
      <c r="AW13" s="4306" t="n"/>
      <c r="AX13" s="1801" t="n"/>
      <c r="AY13" s="2001">
        <f>IF($AQ13 = "Please select", 0, IF($AQ13="Mangrove Forest",VLOOKUP(clim_moist,IPCC!$A$1502:$G$1510,4,FALSE),INDEX(IPCC!$B$591:$AK$606,MATCH(continent_selected,IPCC!$A$591:$A$606,0),MATCH($AQ13,IPCC!$B$590:$AK$590,0))*0.47))</f>
        <v/>
      </c>
      <c r="AZ13" s="4171" t="n"/>
      <c r="BA13" s="4666">
        <f>IF($AQ13 = "Please select", 0, IF($AQ13="Mangrove Forest",VLOOKUP(clim_moist,IPCC!$A$1502:$G$1510,7,FALSE),IF(OR($AY13/0.47&lt;=125,$AY13/0.47&lt;=75),INDEX(IPCC!$B$618:$AI$633,MATCH(continent_selected,IPCC!$A$618:$A$633,0),MATCH($AQ13,IPCC!$B$616:$AI$616,0)),(IF(OR($AY13/0.47&gt;125,$AY13/0.47&gt;75),INDEX(IPCC!$AJ$618:$BS$633,MATCH(continent_selected,IPCC!$A$618:$A$633,0),MATCH($AQ13,IPCC!$AJ$616:$BS$616,0)),"")))*$AY13))</f>
        <v/>
      </c>
      <c r="BB13" s="4171" t="n"/>
      <c r="BC13" s="2001">
        <f>IF($AQ13 = "Please select", 0, IF($AQ13 = "Mangrove Forest", VLOOKUP(clim_moist, IPCC!$A$1502:$J$1511, 8, FALSE),   VLOOKUP($AQ13, IPCC!$A$643:$B$677, 2, FALSE)))</f>
        <v/>
      </c>
      <c r="BD13" s="4171" t="n"/>
      <c r="BE13" s="2001">
        <f>IF($AQ13 = "Please select", 0, IF($AQ13= "Mangrove Forest", VLOOKUP(clim_moist, IPCC!$A$1502:$J$1511, 9, FALSE),  VLOOKUP($AQ13, IPCC!$A$643:$C$677, 3, FALSE)))</f>
        <v/>
      </c>
      <c r="BF13" s="4171" t="n"/>
      <c r="BG13" s="1801" t="n"/>
      <c r="BH13" s="2001">
        <f>IF($AQ13 = "Please select", 0, IF($AQ13="Mangrove Forest",VLOOKUP(clim_moist,IPCC!$A$1502:$J$1511,10,FALSE), SOCref))</f>
        <v/>
      </c>
      <c r="BI13" s="4171" t="n"/>
      <c r="BJ13" s="1801" t="n"/>
      <c r="BK13" s="4666">
        <f>degradation!T25</f>
        <v/>
      </c>
      <c r="BL13" s="4663" t="n"/>
      <c r="BM13" s="4723" t="n"/>
      <c r="BN13" s="4663" t="n"/>
      <c r="BO13" s="1801" t="n"/>
      <c r="BQ13" s="4401" t="n">
        <v>1</v>
      </c>
      <c r="BR13" s="4402" t="n"/>
      <c r="BS13" s="1997" t="n"/>
    </row>
    <row r="14" ht="15" customHeight="1">
      <c r="B14" s="1781" t="n"/>
      <c r="C14" s="2133" t="inlineStr">
        <is>
          <t>Tropical shrubland</t>
        </is>
      </c>
      <c r="D14" s="1781" t="n"/>
      <c r="E14" s="2135" t="inlineStr">
        <is>
          <t>Moderate</t>
        </is>
      </c>
      <c r="F14" s="1781" t="n"/>
      <c r="G14" s="2135" t="inlineStr">
        <is>
          <t>Moderate</t>
        </is>
      </c>
      <c r="H14" s="1806" t="n"/>
      <c r="I14" s="2135" t="inlineStr">
        <is>
          <t>Low</t>
        </is>
      </c>
      <c r="J14" s="1781" t="n"/>
      <c r="K14" s="2133" t="inlineStr">
        <is>
          <t>NO</t>
        </is>
      </c>
      <c r="L14" s="1781" t="n"/>
      <c r="M14" s="2133" t="inlineStr">
        <is>
          <t>NO</t>
        </is>
      </c>
      <c r="N14" s="1781" t="n"/>
      <c r="O14" s="2135" t="n">
        <v>1</v>
      </c>
      <c r="P14" s="1781" t="n"/>
      <c r="Q14" s="2135" t="n">
        <v>1</v>
      </c>
      <c r="R14" s="1781" t="n"/>
      <c r="S14" s="4458" t="n">
        <v>0.01</v>
      </c>
      <c r="T14" s="1781" t="n"/>
      <c r="U14" s="4458" t="n">
        <v>0.01</v>
      </c>
      <c r="V14" s="1781" t="n"/>
      <c r="W14" s="2107">
        <f>Calculations!C17</f>
        <v/>
      </c>
      <c r="X14" s="1841">
        <f>degradation!$E56</f>
        <v/>
      </c>
      <c r="Y14" s="4134" t="inlineStr">
        <is>
          <t>D</t>
        </is>
      </c>
      <c r="Z14" s="1841">
        <f>degradation!$G56</f>
        <v/>
      </c>
      <c r="AA14" s="4170" t="inlineStr">
        <is>
          <t>D</t>
        </is>
      </c>
      <c r="AB14" s="1826" t="n"/>
      <c r="AC14" s="1841">
        <f>degradation!Q56</f>
        <v/>
      </c>
      <c r="AD14" s="1841">
        <f>degradation!R56</f>
        <v/>
      </c>
      <c r="AE14" s="1781" t="n"/>
      <c r="AF14" s="1806">
        <f>degradation!S56</f>
        <v/>
      </c>
      <c r="AG14" s="1781" t="n"/>
      <c r="AP14" s="1801" t="n"/>
      <c r="AQ14" s="1801">
        <f>$C14</f>
        <v/>
      </c>
      <c r="AR14" s="4332">
        <f>VLOOKUP($E14, list!$O$7:$P$13, 2, FALSE)</f>
        <v/>
      </c>
      <c r="AS14" s="4306" t="n"/>
      <c r="AT14" s="4332">
        <f>VLOOKUP($G14, list!$O$7:$P$13, 2, FALSE)</f>
        <v/>
      </c>
      <c r="AU14" s="4306" t="n"/>
      <c r="AV14" s="4332">
        <f>VLOOKUP($I14, list!$O$7:$P$13, 2, FALSE)</f>
        <v/>
      </c>
      <c r="AW14" s="4306" t="n"/>
      <c r="AX14" s="1801" t="n"/>
      <c r="AY14" s="2001">
        <f>IF($AQ14 = "Please select", 0, IF($AQ14="Mangrove Forest",VLOOKUP(clim_moist,IPCC!$A$1502:$G$1510,4,FALSE),INDEX(IPCC!$B$591:$AK$606,MATCH(continent_selected,IPCC!$A$591:$A$606,0),MATCH($AQ14,IPCC!$B$590:$AK$590,0))*0.47))</f>
        <v/>
      </c>
      <c r="AZ14" s="4171" t="n"/>
      <c r="BA14" s="4666">
        <f>IF($AQ14 = "Please select", 0, IF($AQ14="Mangrove Forest",VLOOKUP(clim_moist,IPCC!$A$1502:$G$1510,7,FALSE),IF(OR($AY14/0.47&lt;=125,$AY14/0.47&lt;=75),INDEX(IPCC!$B$618:$AI$633,MATCH(continent_selected,IPCC!$A$618:$A$633,0),MATCH($AQ14,IPCC!$B$616:$AI$616,0)),(IF(OR($AY14/0.47&gt;125,$AY14/0.47&gt;75),INDEX(IPCC!$AJ$618:$BS$633,MATCH(continent_selected,IPCC!$A$618:$A$633,0),MATCH($AQ14,IPCC!$AJ$616:$BS$616,0)),"")))*$AY14))</f>
        <v/>
      </c>
      <c r="BB14" s="4171" t="n"/>
      <c r="BC14" s="2001">
        <f>IF($AQ14 = "Please select", 0, IF($AQ14 = "Mangrove Forest", VLOOKUP(clim_moist, IPCC!$A$1502:$J$1511, 8, FALSE),   VLOOKUP($AQ14, IPCC!$A$643:$B$677, 2, FALSE)))</f>
        <v/>
      </c>
      <c r="BD14" s="4171" t="n"/>
      <c r="BE14" s="2001">
        <f>IF($AQ14 = "Please select", 0, IF($AQ14= "Mangrove Forest", VLOOKUP(clim_moist, IPCC!$A$1502:$J$1511, 9, FALSE),  VLOOKUP($AQ14, IPCC!$A$643:$C$677, 3, FALSE)))</f>
        <v/>
      </c>
      <c r="BF14" s="4171" t="n"/>
      <c r="BG14" s="1801" t="n"/>
      <c r="BH14" s="2001">
        <f>IF($AQ14 = "Please select", 0, IF($AQ14="Mangrove Forest",VLOOKUP(clim_moist,IPCC!$A$1502:$J$1511,10,FALSE), SOCref))</f>
        <v/>
      </c>
      <c r="BI14" s="4171" t="n"/>
      <c r="BJ14" s="1801" t="n"/>
      <c r="BK14" s="4666">
        <f>degradation!T26</f>
        <v/>
      </c>
      <c r="BL14" s="4663" t="n"/>
      <c r="BM14" s="4723" t="n"/>
      <c r="BN14" s="4663" t="n"/>
      <c r="BO14" s="1801" t="n"/>
      <c r="BQ14" s="4401" t="n">
        <v>1</v>
      </c>
      <c r="BR14" s="4402" t="n"/>
      <c r="BS14" s="1997" t="n"/>
    </row>
    <row r="15" ht="15" customHeight="1">
      <c r="B15" s="1781" t="n"/>
      <c r="C15" s="2133" t="inlineStr">
        <is>
          <t>Tropical dry forest</t>
        </is>
      </c>
      <c r="D15" s="1781" t="n"/>
      <c r="E15" s="2135" t="inlineStr">
        <is>
          <t>Very low</t>
        </is>
      </c>
      <c r="F15" s="1781" t="n"/>
      <c r="G15" s="2135" t="inlineStr">
        <is>
          <t>Low</t>
        </is>
      </c>
      <c r="H15" s="1806" t="n"/>
      <c r="I15" s="2135" t="inlineStr">
        <is>
          <t>None</t>
        </is>
      </c>
      <c r="J15" s="1781" t="n"/>
      <c r="K15" s="2133" t="inlineStr">
        <is>
          <t>NO</t>
        </is>
      </c>
      <c r="L15" s="1781" t="n"/>
      <c r="M15" s="2133" t="inlineStr">
        <is>
          <t>NO</t>
        </is>
      </c>
      <c r="N15" s="1781" t="n"/>
      <c r="O15" s="2135" t="n">
        <v>1</v>
      </c>
      <c r="P15" s="1781" t="n"/>
      <c r="Q15" s="2135" t="n">
        <v>1</v>
      </c>
      <c r="R15" s="1781" t="n"/>
      <c r="S15" s="4458" t="n">
        <v>0.01</v>
      </c>
      <c r="T15" s="1781" t="n"/>
      <c r="U15" s="4458" t="n">
        <v>0.01</v>
      </c>
      <c r="V15" s="1781" t="n"/>
      <c r="W15" s="2107">
        <f>Calculations!C15</f>
        <v/>
      </c>
      <c r="X15" s="1841">
        <f>degradation!$E57</f>
        <v/>
      </c>
      <c r="Y15" s="4134" t="inlineStr">
        <is>
          <t>D</t>
        </is>
      </c>
      <c r="Z15" s="1841">
        <f>degradation!$G57</f>
        <v/>
      </c>
      <c r="AA15" s="4170" t="inlineStr">
        <is>
          <t>D</t>
        </is>
      </c>
      <c r="AB15" s="1826" t="n"/>
      <c r="AC15" s="1841">
        <f>degradation!Q57</f>
        <v/>
      </c>
      <c r="AD15" s="1841">
        <f>degradation!R57</f>
        <v/>
      </c>
      <c r="AE15" s="1781" t="n"/>
      <c r="AF15" s="1806">
        <f>degradation!S57</f>
        <v/>
      </c>
      <c r="AG15" s="1781" t="n"/>
      <c r="AP15" s="1801" t="n"/>
      <c r="AQ15" s="1801">
        <f>$C15</f>
        <v/>
      </c>
      <c r="AR15" s="4332">
        <f>VLOOKUP($E15, list!$O$7:$P$13, 2, FALSE)</f>
        <v/>
      </c>
      <c r="AS15" s="4306" t="n"/>
      <c r="AT15" s="4332">
        <f>VLOOKUP($G15, list!$O$7:$P$13, 2, FALSE)</f>
        <v/>
      </c>
      <c r="AU15" s="4306" t="n">
        <v>0.15</v>
      </c>
      <c r="AV15" s="4332">
        <f>VLOOKUP($I15, list!$O$7:$P$13, 2, FALSE)</f>
        <v/>
      </c>
      <c r="AW15" s="4306" t="n"/>
      <c r="AX15" s="1801" t="n"/>
      <c r="AY15" s="2001">
        <f>IF($AQ15 = "Please select", 0, IF($AQ15="Mangrove Forest",VLOOKUP(clim_moist,IPCC!$A$1502:$G$1510,4,FALSE),INDEX(IPCC!$B$591:$AK$606,MATCH(continent_selected,IPCC!$A$591:$A$606,0),MATCH($AQ15,IPCC!$B$590:$AK$590,0))*0.47))</f>
        <v/>
      </c>
      <c r="AZ15" s="4171" t="n"/>
      <c r="BA15" s="4666">
        <f>IF($AQ15 = "Please select", 0, IF($AQ15="Mangrove Forest",VLOOKUP(clim_moist,IPCC!$A$1502:$G$1510,7,FALSE),IF(OR($AY15/0.47&lt;=125,$AY15/0.47&lt;=75),INDEX(IPCC!$B$618:$AI$633,MATCH(continent_selected,IPCC!$A$618:$A$633,0),MATCH($AQ15,IPCC!$B$616:$AI$616,0)),(IF(OR($AY15/0.47&gt;125,$AY15/0.47&gt;75),INDEX(IPCC!$AJ$618:$BS$633,MATCH(continent_selected,IPCC!$A$618:$A$633,0),MATCH($AQ15,IPCC!$AJ$616:$BS$616,0)),"")))*$AY15))</f>
        <v/>
      </c>
      <c r="BB15" s="4171" t="n"/>
      <c r="BC15" s="2001">
        <f>IF($AQ15 = "Please select", 0, IF($AQ15 = "Mangrove Forest", VLOOKUP(clim_moist, IPCC!$A$1502:$J$1511, 8, FALSE),   VLOOKUP($AQ15, IPCC!$A$643:$B$677, 2, FALSE)))</f>
        <v/>
      </c>
      <c r="BD15" s="4171" t="n"/>
      <c r="BE15" s="2001">
        <f>IF($AQ15 = "Please select", 0, IF($AQ15= "Mangrove Forest", VLOOKUP(clim_moist, IPCC!$A$1502:$J$1511, 9, FALSE),  VLOOKUP($AQ15, IPCC!$A$643:$C$677, 3, FALSE)))</f>
        <v/>
      </c>
      <c r="BF15" s="4171" t="n"/>
      <c r="BG15" s="1801" t="n"/>
      <c r="BH15" s="2001">
        <f>IF($AQ15 = "Please select", 0, IF($AQ15="Mangrove Forest",VLOOKUP(clim_moist,IPCC!$A$1502:$J$1511,10,FALSE), SOCref))</f>
        <v/>
      </c>
      <c r="BI15" s="4171" t="n"/>
      <c r="BJ15" s="1801" t="n"/>
      <c r="BK15" s="4666">
        <f>degradation!T27</f>
        <v/>
      </c>
      <c r="BL15" s="4663" t="n"/>
      <c r="BM15" s="4723" t="n"/>
      <c r="BN15" s="4663" t="n"/>
      <c r="BO15" s="1801" t="n"/>
      <c r="BQ15" s="4401" t="n">
        <v>1</v>
      </c>
      <c r="BR15" s="4402" t="n"/>
      <c r="BS15" s="1997" t="n"/>
    </row>
    <row r="16" ht="15" customHeight="1">
      <c r="B16" s="1781" t="n"/>
      <c r="C16" s="2133" t="inlineStr">
        <is>
          <t>Tropical shrubland</t>
        </is>
      </c>
      <c r="D16" s="1781" t="n"/>
      <c r="E16" s="2135" t="inlineStr">
        <is>
          <t>Very low</t>
        </is>
      </c>
      <c r="F16" s="1781" t="n"/>
      <c r="G16" s="2135" t="inlineStr">
        <is>
          <t>Low</t>
        </is>
      </c>
      <c r="H16" s="1806" t="n"/>
      <c r="I16" s="2135" t="inlineStr">
        <is>
          <t>None</t>
        </is>
      </c>
      <c r="J16" s="1781" t="n"/>
      <c r="K16" s="2133" t="inlineStr">
        <is>
          <t>NO</t>
        </is>
      </c>
      <c r="L16" s="1781" t="n"/>
      <c r="M16" s="2133" t="inlineStr">
        <is>
          <t>NO</t>
        </is>
      </c>
      <c r="N16" s="1781" t="n"/>
      <c r="O16" s="2135" t="n">
        <v>1</v>
      </c>
      <c r="P16" s="1781" t="n"/>
      <c r="Q16" s="2135" t="n">
        <v>1</v>
      </c>
      <c r="R16" s="1781" t="n"/>
      <c r="S16" s="4458" t="n">
        <v>0.01</v>
      </c>
      <c r="T16" s="1781" t="n"/>
      <c r="U16" s="4458" t="n">
        <v>0.01</v>
      </c>
      <c r="V16" s="1781" t="n"/>
      <c r="W16" s="2107">
        <f>Calculations!C30</f>
        <v/>
      </c>
      <c r="X16" s="1841">
        <f>degradation!$E58</f>
        <v/>
      </c>
      <c r="Y16" s="4134" t="inlineStr">
        <is>
          <t>D</t>
        </is>
      </c>
      <c r="Z16" s="1841">
        <f>degradation!$G58</f>
        <v/>
      </c>
      <c r="AA16" s="4170" t="inlineStr">
        <is>
          <t>D</t>
        </is>
      </c>
      <c r="AB16" s="1826" t="n"/>
      <c r="AC16" s="1841">
        <f>degradation!Q58</f>
        <v/>
      </c>
      <c r="AD16" s="1841">
        <f>degradation!R58</f>
        <v/>
      </c>
      <c r="AE16" s="1781" t="n"/>
      <c r="AF16" s="1806">
        <f>degradation!S58</f>
        <v/>
      </c>
      <c r="AG16" s="1781" t="n"/>
      <c r="AP16" s="1801" t="n"/>
      <c r="AQ16" s="1801">
        <f>$C16</f>
        <v/>
      </c>
      <c r="AR16" s="4332">
        <f>VLOOKUP($E16, list!$O$7:$P$13, 2, FALSE)</f>
        <v/>
      </c>
      <c r="AS16" s="4306" t="n"/>
      <c r="AT16" s="4332">
        <f>VLOOKUP($G16, list!$O$7:$P$13, 2, FALSE)</f>
        <v/>
      </c>
      <c r="AU16" s="4306" t="n">
        <v>0.15</v>
      </c>
      <c r="AV16" s="4332">
        <f>VLOOKUP($I16, list!$O$7:$P$13, 2, FALSE)</f>
        <v/>
      </c>
      <c r="AW16" s="4306" t="n"/>
      <c r="AX16" s="1801" t="n"/>
      <c r="AY16" s="2001">
        <f>IF($AQ16 = "Please select", 0, IF($AQ16="Mangrove Forest",VLOOKUP(clim_moist,IPCC!$A$1502:$G$1510,4,FALSE),INDEX(IPCC!$B$591:$AK$606,MATCH(continent_selected,IPCC!$A$591:$A$606,0),MATCH($AQ16,IPCC!$B$590:$AK$590,0))*0.47))</f>
        <v/>
      </c>
      <c r="AZ16" s="4171" t="n"/>
      <c r="BA16" s="4666">
        <f>IF($AQ16 = "Please select", 0, IF($AQ16="Mangrove Forest",VLOOKUP(clim_moist,IPCC!$A$1502:$G$1510,7,FALSE),IF(OR($AY16/0.47&lt;=125,$AY16/0.47&lt;=75),INDEX(IPCC!$B$618:$AI$633,MATCH(continent_selected,IPCC!$A$618:$A$633,0),MATCH($AQ16,IPCC!$B$616:$AI$616,0)),(IF(OR($AY16/0.47&gt;125,$AY16/0.47&gt;75),INDEX(IPCC!$AJ$618:$BS$633,MATCH(continent_selected,IPCC!$A$618:$A$633,0),MATCH($AQ16,IPCC!$AJ$616:$BS$616,0)),"")))*$AY16))</f>
        <v/>
      </c>
      <c r="BB16" s="4171" t="n"/>
      <c r="BC16" s="2001">
        <f>IF($AQ16 = "Please select", 0, IF($AQ16 = "Mangrove Forest", VLOOKUP(clim_moist, IPCC!$A$1502:$J$1511, 8, FALSE),   VLOOKUP($AQ16, IPCC!$A$643:$B$677, 2, FALSE)))</f>
        <v/>
      </c>
      <c r="BD16" s="4171" t="n"/>
      <c r="BE16" s="2001">
        <f>IF($AQ16 = "Please select", 0, IF($AQ16= "Mangrove Forest", VLOOKUP(clim_moist, IPCC!$A$1502:$J$1511, 9, FALSE),  VLOOKUP($AQ16, IPCC!$A$643:$C$677, 3, FALSE)))</f>
        <v/>
      </c>
      <c r="BF16" s="4171" t="n"/>
      <c r="BG16" s="1801" t="n"/>
      <c r="BH16" s="2001">
        <f>IF($AQ16 = "Please select", 0, IF($AQ16="Mangrove Forest",VLOOKUP(clim_moist,IPCC!$A$1502:$J$1511,10,FALSE), SOCref))</f>
        <v/>
      </c>
      <c r="BI16" s="4171" t="n"/>
      <c r="BJ16" s="1801" t="n"/>
      <c r="BK16" s="4666">
        <f>degradation!T28</f>
        <v/>
      </c>
      <c r="BL16" s="4663" t="n"/>
      <c r="BM16" s="4723" t="n"/>
      <c r="BN16" s="4663" t="n"/>
      <c r="BO16" s="1801" t="n"/>
      <c r="BQ16" s="4401" t="n">
        <v>1</v>
      </c>
      <c r="BR16" s="4402" t="n"/>
      <c r="BS16" s="1997" t="n"/>
    </row>
    <row r="17" ht="15" customHeight="1">
      <c r="B17" s="1781" t="n"/>
      <c r="C17" s="2133" t="inlineStr">
        <is>
          <t>Please select</t>
        </is>
      </c>
      <c r="D17" s="1781" t="n"/>
      <c r="E17" s="2135" t="inlineStr">
        <is>
          <t>Please select</t>
        </is>
      </c>
      <c r="F17" s="1781" t="n"/>
      <c r="G17" s="2135" t="inlineStr">
        <is>
          <t>Please select</t>
        </is>
      </c>
      <c r="H17" s="1806" t="n"/>
      <c r="I17" s="2135" t="inlineStr">
        <is>
          <t>Please select</t>
        </is>
      </c>
      <c r="J17" s="1781" t="n"/>
      <c r="K17" s="2133" t="inlineStr">
        <is>
          <t>NO</t>
        </is>
      </c>
      <c r="L17" s="1781" t="n"/>
      <c r="M17" s="2133" t="inlineStr">
        <is>
          <t>NO</t>
        </is>
      </c>
      <c r="N17" s="1781" t="n"/>
      <c r="O17" s="2135" t="n">
        <v>1</v>
      </c>
      <c r="P17" s="1781" t="n"/>
      <c r="Q17" s="2135" t="n">
        <v>1</v>
      </c>
      <c r="R17" s="1781" t="n"/>
      <c r="S17" s="4458" t="n">
        <v>0.01</v>
      </c>
      <c r="T17" s="1781" t="n"/>
      <c r="U17" s="4458" t="n">
        <v>0.01</v>
      </c>
      <c r="V17" s="1781" t="n"/>
      <c r="W17" s="2107" t="n">
        <v>0</v>
      </c>
      <c r="X17" s="1841">
        <f>degradation!$E59</f>
        <v/>
      </c>
      <c r="Y17" s="4134" t="inlineStr">
        <is>
          <t>D</t>
        </is>
      </c>
      <c r="Z17" s="1841">
        <f>degradation!$G59</f>
        <v/>
      </c>
      <c r="AA17" s="4170" t="inlineStr">
        <is>
          <t>D</t>
        </is>
      </c>
      <c r="AB17" s="1826" t="n"/>
      <c r="AC17" s="1841">
        <f>degradation!Q59</f>
        <v/>
      </c>
      <c r="AD17" s="1841">
        <f>degradation!R59</f>
        <v/>
      </c>
      <c r="AE17" s="1781" t="n"/>
      <c r="AF17" s="1806">
        <f>degradation!S59</f>
        <v/>
      </c>
      <c r="AG17" s="1781" t="n"/>
      <c r="AP17" s="1801" t="n"/>
      <c r="AQ17" s="1801">
        <f>$C17</f>
        <v/>
      </c>
      <c r="AR17" s="4332">
        <f>VLOOKUP($E17, list!$O$7:$P$13, 2, FALSE)</f>
        <v/>
      </c>
      <c r="AS17" s="4306" t="n"/>
      <c r="AT17" s="4332">
        <f>VLOOKUP($G17, list!$O$7:$P$13, 2, FALSE)</f>
        <v/>
      </c>
      <c r="AU17" s="4306" t="n"/>
      <c r="AV17" s="4332">
        <f>VLOOKUP($I17, list!$O$7:$P$13, 2, FALSE)</f>
        <v/>
      </c>
      <c r="AW17" s="4306" t="n"/>
      <c r="AX17" s="1801" t="n"/>
      <c r="AY17" s="2001">
        <f>IF($AQ17 = "Please select", 0, IF($AQ17="Mangrove Forest",VLOOKUP(clim_moist,IPCC!$A$1502:$G$1510,4,FALSE),INDEX(IPCC!$B$591:$AK$606,MATCH(continent_selected,IPCC!$A$591:$A$606,0),MATCH($AQ17,IPCC!$B$590:$AK$590,0))*0.47))</f>
        <v/>
      </c>
      <c r="AZ17" s="4171" t="n"/>
      <c r="BA17" s="4666">
        <f>IF($AQ17 = "Please select", 0, IF($AQ17="Mangrove Forest",VLOOKUP(clim_moist,IPCC!$A$1502:$G$1510,7,FALSE),IF(OR($AY17/0.47&lt;=125,$AY17/0.47&lt;=75),INDEX(IPCC!$B$618:$AI$633,MATCH(continent_selected,IPCC!$A$618:$A$633,0),MATCH($AQ17,IPCC!$B$616:$AI$616,0)),(IF(OR($AY17/0.47&gt;125,$AY17/0.47&gt;75),INDEX(IPCC!$AJ$618:$BS$633,MATCH(continent_selected,IPCC!$A$618:$A$633,0),MATCH($AQ17,IPCC!$AJ$616:$BS$616,0)),"")))*$AY17))</f>
        <v/>
      </c>
      <c r="BB17" s="4171" t="n"/>
      <c r="BC17" s="2001">
        <f>IF($AQ17 = "Please select", 0, IF($AQ17 = "Mangrove Forest", VLOOKUP(clim_moist, IPCC!$A$1502:$J$1511, 8, FALSE),   VLOOKUP($AQ17, IPCC!$A$643:$B$677, 2, FALSE)))</f>
        <v/>
      </c>
      <c r="BD17" s="4171" t="n"/>
      <c r="BE17" s="2001">
        <f>IF($AQ17 = "Please select", 0, IF($AQ17= "Mangrove Forest", VLOOKUP(clim_moist, IPCC!$A$1502:$J$1511, 9, FALSE),  VLOOKUP($AQ17, IPCC!$A$643:$C$677, 3, FALSE)))</f>
        <v/>
      </c>
      <c r="BF17" s="4171" t="n"/>
      <c r="BG17" s="1801" t="n"/>
      <c r="BH17" s="2001">
        <f>IF($AQ17 = "Please select", 0, IF($AQ17="Mangrove Forest",VLOOKUP(clim_moist,IPCC!$A$1502:$J$1511,10,FALSE), SOCref))</f>
        <v/>
      </c>
      <c r="BI17" s="4171" t="n"/>
      <c r="BJ17" s="1801" t="n"/>
      <c r="BK17" s="4666">
        <f>degradation!T29</f>
        <v/>
      </c>
      <c r="BL17" s="4663" t="n"/>
      <c r="BM17" s="4723" t="n"/>
      <c r="BN17" s="4663" t="n"/>
      <c r="BO17" s="1801" t="n"/>
      <c r="BQ17" s="4401" t="n">
        <v>1</v>
      </c>
      <c r="BR17" s="4402" t="n"/>
      <c r="BS17" s="1997" t="n"/>
    </row>
    <row r="18" ht="15" customHeight="1">
      <c r="B18" s="1781" t="n"/>
      <c r="C18" s="2133" t="inlineStr">
        <is>
          <t>Please select</t>
        </is>
      </c>
      <c r="D18" s="1781" t="n"/>
      <c r="E18" s="2135" t="inlineStr">
        <is>
          <t>Please select</t>
        </is>
      </c>
      <c r="F18" s="1781" t="n"/>
      <c r="G18" s="2135" t="inlineStr">
        <is>
          <t>Please select</t>
        </is>
      </c>
      <c r="H18" s="1806" t="n"/>
      <c r="I18" s="2135" t="inlineStr">
        <is>
          <t>Please select</t>
        </is>
      </c>
      <c r="J18" s="1781" t="n"/>
      <c r="K18" s="2133" t="inlineStr">
        <is>
          <t>NO</t>
        </is>
      </c>
      <c r="L18" s="1781" t="n"/>
      <c r="M18" s="2133" t="inlineStr">
        <is>
          <t>NO</t>
        </is>
      </c>
      <c r="N18" s="1781" t="n"/>
      <c r="O18" s="2135" t="n">
        <v>1</v>
      </c>
      <c r="P18" s="1781" t="n"/>
      <c r="Q18" s="2135" t="n">
        <v>1</v>
      </c>
      <c r="R18" s="1781" t="n"/>
      <c r="S18" s="4458" t="n">
        <v>0.01</v>
      </c>
      <c r="T18" s="1781" t="n"/>
      <c r="U18" s="4458" t="n">
        <v>0.01</v>
      </c>
      <c r="V18" s="1781" t="n"/>
      <c r="W18" s="2107" t="n">
        <v>0</v>
      </c>
      <c r="X18" s="1841">
        <f>degradation!$E60</f>
        <v/>
      </c>
      <c r="Y18" s="4134" t="inlineStr">
        <is>
          <t>D</t>
        </is>
      </c>
      <c r="Z18" s="1841">
        <f>degradation!$G60</f>
        <v/>
      </c>
      <c r="AA18" s="4170" t="inlineStr">
        <is>
          <t>D</t>
        </is>
      </c>
      <c r="AB18" s="1826" t="n"/>
      <c r="AC18" s="1841">
        <f>degradation!Q60</f>
        <v/>
      </c>
      <c r="AD18" s="1841">
        <f>degradation!R60</f>
        <v/>
      </c>
      <c r="AE18" s="1781" t="n"/>
      <c r="AF18" s="1806">
        <f>degradation!S60</f>
        <v/>
      </c>
      <c r="AG18" s="1781" t="n"/>
      <c r="AP18" s="1801" t="n"/>
      <c r="AQ18" s="1801">
        <f>$C18</f>
        <v/>
      </c>
      <c r="AR18" s="4332">
        <f>VLOOKUP($E18, list!$O$7:$P$13, 2, FALSE)</f>
        <v/>
      </c>
      <c r="AS18" s="4306" t="n"/>
      <c r="AT18" s="4332">
        <f>VLOOKUP($G18, list!$O$7:$P$13, 2, FALSE)</f>
        <v/>
      </c>
      <c r="AU18" s="4306" t="n"/>
      <c r="AV18" s="4332">
        <f>VLOOKUP($I18, list!$O$7:$P$13, 2, FALSE)</f>
        <v/>
      </c>
      <c r="AW18" s="4306" t="n"/>
      <c r="AX18" s="1801" t="n"/>
      <c r="AY18" s="2001">
        <f>IF($AQ18 = "Please select", 0, IF($AQ18="Mangrove Forest",VLOOKUP(clim_moist,IPCC!$A$1502:$G$1510,4,FALSE),INDEX(IPCC!$B$591:$AK$606,MATCH(continent_selected,IPCC!$A$591:$A$606,0),MATCH($AQ18,IPCC!$B$590:$AK$590,0))*0.47))</f>
        <v/>
      </c>
      <c r="AZ18" s="4171" t="n"/>
      <c r="BA18" s="4666">
        <f>IF($AQ18 = "Please select", 0, IF($AQ18="Mangrove Forest",VLOOKUP(clim_moist,IPCC!$A$1502:$G$1510,7,FALSE),IF(OR($AY18/0.47&lt;=125,$AY18/0.47&lt;=75),INDEX(IPCC!$B$618:$AI$633,MATCH(continent_selected,IPCC!$A$618:$A$633,0),MATCH($AQ18,IPCC!$B$616:$AI$616,0)),(IF(OR($AY18/0.47&gt;125,$AY18/0.47&gt;75),INDEX(IPCC!$AJ$618:$BS$633,MATCH(continent_selected,IPCC!$A$618:$A$633,0),MATCH($AQ18,IPCC!$AJ$616:$BS$616,0)),"")))*$AY18))</f>
        <v/>
      </c>
      <c r="BB18" s="4171" t="n"/>
      <c r="BC18" s="2001">
        <f>IF($AQ18 = "Please select", 0, IF($AQ18 = "Mangrove Forest", VLOOKUP(clim_moist, IPCC!$A$1502:$J$1511, 8, FALSE),   VLOOKUP($AQ18, IPCC!$A$643:$B$677, 2, FALSE)))</f>
        <v/>
      </c>
      <c r="BD18" s="4171" t="n"/>
      <c r="BE18" s="2001">
        <f>IF($AQ18 = "Please select", 0, IF($AQ18= "Mangrove Forest", VLOOKUP(clim_moist, IPCC!$A$1502:$J$1511, 9, FALSE),  VLOOKUP($AQ18, IPCC!$A$643:$C$677, 3, FALSE)))</f>
        <v/>
      </c>
      <c r="BF18" s="4171" t="n"/>
      <c r="BG18" s="1801" t="n"/>
      <c r="BH18" s="2001">
        <f>IF($AQ18 = "Please select", 0, IF($AQ18="Mangrove Forest",VLOOKUP(clim_moist,IPCC!$A$1502:$J$1511,10,FALSE), SOCref))</f>
        <v/>
      </c>
      <c r="BI18" s="4171" t="n"/>
      <c r="BJ18" s="1801" t="n"/>
      <c r="BK18" s="4666">
        <f>degradation!T30</f>
        <v/>
      </c>
      <c r="BL18" s="4663" t="n"/>
      <c r="BM18" s="4723" t="n"/>
      <c r="BN18" s="4663" t="n"/>
      <c r="BO18" s="1801" t="n"/>
      <c r="BQ18" s="4401" t="n">
        <v>1</v>
      </c>
      <c r="BR18" s="4402" t="n"/>
      <c r="BS18" s="1997" t="n"/>
    </row>
    <row r="19" ht="15" customHeight="1">
      <c r="B19" s="1781" t="n"/>
      <c r="C19" s="2133" t="inlineStr">
        <is>
          <t>Please select</t>
        </is>
      </c>
      <c r="D19" s="1781" t="n"/>
      <c r="E19" s="2135" t="inlineStr">
        <is>
          <t>Please select</t>
        </is>
      </c>
      <c r="F19" s="1781" t="n"/>
      <c r="G19" s="2135" t="inlineStr">
        <is>
          <t>Please select</t>
        </is>
      </c>
      <c r="H19" s="1806" t="n"/>
      <c r="I19" s="2135" t="inlineStr">
        <is>
          <t>Please select</t>
        </is>
      </c>
      <c r="J19" s="1781" t="n"/>
      <c r="K19" s="2133" t="inlineStr">
        <is>
          <t>NO</t>
        </is>
      </c>
      <c r="L19" s="1781" t="n"/>
      <c r="M19" s="2133" t="inlineStr">
        <is>
          <t>NO</t>
        </is>
      </c>
      <c r="N19" s="1781" t="n"/>
      <c r="O19" s="2135" t="n">
        <v>1</v>
      </c>
      <c r="P19" s="1781" t="n"/>
      <c r="Q19" s="2135" t="n">
        <v>1</v>
      </c>
      <c r="R19" s="1781" t="n"/>
      <c r="S19" s="4458" t="n">
        <v>0.01</v>
      </c>
      <c r="T19" s="1781" t="n"/>
      <c r="U19" s="4458" t="n">
        <v>0.01</v>
      </c>
      <c r="V19" s="1781" t="n"/>
      <c r="W19" s="2107" t="n">
        <v>0</v>
      </c>
      <c r="X19" s="1841">
        <f>degradation!$E61</f>
        <v/>
      </c>
      <c r="Y19" s="4134" t="inlineStr">
        <is>
          <t>D</t>
        </is>
      </c>
      <c r="Z19" s="1841">
        <f>degradation!$G61</f>
        <v/>
      </c>
      <c r="AA19" s="4170" t="inlineStr">
        <is>
          <t>D</t>
        </is>
      </c>
      <c r="AB19" s="1826" t="n"/>
      <c r="AC19" s="1841">
        <f>degradation!Q61</f>
        <v/>
      </c>
      <c r="AD19" s="1841">
        <f>degradation!R61</f>
        <v/>
      </c>
      <c r="AE19" s="1781" t="n"/>
      <c r="AF19" s="1806">
        <f>degradation!S61</f>
        <v/>
      </c>
      <c r="AG19" s="1781" t="n"/>
      <c r="AP19" s="1801" t="n"/>
      <c r="AQ19" s="1801">
        <f>$C19</f>
        <v/>
      </c>
      <c r="AR19" s="4332">
        <f>VLOOKUP($E19, list!$O$7:$P$13, 2, FALSE)</f>
        <v/>
      </c>
      <c r="AS19" s="4306" t="n"/>
      <c r="AT19" s="4332">
        <f>VLOOKUP($G19, list!$O$7:$P$13, 2, FALSE)</f>
        <v/>
      </c>
      <c r="AU19" s="4306" t="n"/>
      <c r="AV19" s="4332">
        <f>VLOOKUP($I19, list!$O$7:$P$13, 2, FALSE)</f>
        <v/>
      </c>
      <c r="AW19" s="4306" t="n"/>
      <c r="AX19" s="1801" t="n"/>
      <c r="AY19" s="2001">
        <f>IF($AQ19 = "Please select", 0, IF($AQ19="Mangrove Forest",VLOOKUP(clim_moist,IPCC!$A$1502:$G$1510,4,FALSE),INDEX(IPCC!$B$591:$AK$606,MATCH(continent_selected,IPCC!$A$591:$A$606,0),MATCH($AQ19,IPCC!$B$590:$AK$590,0))*0.47))</f>
        <v/>
      </c>
      <c r="AZ19" s="4171" t="n"/>
      <c r="BA19" s="4666">
        <f>IF($AQ19 = "Please select", 0, IF($AQ19="Mangrove Forest",VLOOKUP(clim_moist,IPCC!$A$1502:$G$1510,7,FALSE),IF(OR($AY19/0.47&lt;=125,$AY19/0.47&lt;=75),INDEX(IPCC!$B$618:$AI$633,MATCH(continent_selected,IPCC!$A$618:$A$633,0),MATCH($AQ19,IPCC!$B$616:$AI$616,0)),(IF(OR($AY19/0.47&gt;125,$AY19/0.47&gt;75),INDEX(IPCC!$AJ$618:$BS$633,MATCH(continent_selected,IPCC!$A$618:$A$633,0),MATCH($AQ19,IPCC!$AJ$616:$BS$616,0)),"")))*$AY19))</f>
        <v/>
      </c>
      <c r="BB19" s="4171" t="n"/>
      <c r="BC19" s="2001">
        <f>IF($AQ19 = "Please select", 0, IF($AQ19 = "Mangrove Forest", VLOOKUP(clim_moist, IPCC!$A$1502:$J$1511, 8, FALSE),   VLOOKUP($AQ19, IPCC!$A$643:$B$677, 2, FALSE)))</f>
        <v/>
      </c>
      <c r="BD19" s="4171" t="n"/>
      <c r="BE19" s="2001">
        <f>IF($AQ19 = "Please select", 0, IF($AQ19= "Mangrove Forest", VLOOKUP(clim_moist, IPCC!$A$1502:$J$1511, 9, FALSE),  VLOOKUP($AQ19, IPCC!$A$643:$C$677, 3, FALSE)))</f>
        <v/>
      </c>
      <c r="BF19" s="4171" t="n"/>
      <c r="BG19" s="1801" t="n"/>
      <c r="BH19" s="2001">
        <f>IF($AQ19 = "Please select", 0, IF($AQ19="Mangrove Forest",VLOOKUP(clim_moist,IPCC!$A$1502:$J$1511,10,FALSE), SOCref))</f>
        <v/>
      </c>
      <c r="BI19" s="4171" t="n"/>
      <c r="BJ19" s="1801" t="n"/>
      <c r="BK19" s="4666">
        <f>degradation!T31</f>
        <v/>
      </c>
      <c r="BL19" s="4663" t="n"/>
      <c r="BM19" s="4723" t="n"/>
      <c r="BN19" s="4663" t="n"/>
      <c r="BO19" s="1801" t="n"/>
      <c r="BQ19" s="4401" t="n">
        <v>1</v>
      </c>
      <c r="BR19" s="4402" t="n"/>
      <c r="BS19" s="1997" t="n"/>
    </row>
    <row r="20" ht="15" customHeight="1">
      <c r="B20" s="1781" t="n"/>
      <c r="C20" s="2133" t="inlineStr">
        <is>
          <t>Please select</t>
        </is>
      </c>
      <c r="D20" s="1781" t="n"/>
      <c r="E20" s="2135" t="inlineStr">
        <is>
          <t>Please select</t>
        </is>
      </c>
      <c r="F20" s="1781" t="n"/>
      <c r="G20" s="2135" t="inlineStr">
        <is>
          <t>Please select</t>
        </is>
      </c>
      <c r="H20" s="1806" t="n"/>
      <c r="I20" s="2135" t="inlineStr">
        <is>
          <t>Please select</t>
        </is>
      </c>
      <c r="J20" s="1836" t="n"/>
      <c r="K20" s="2133" t="inlineStr">
        <is>
          <t>NO</t>
        </is>
      </c>
      <c r="L20" s="1781" t="n"/>
      <c r="M20" s="2133" t="inlineStr">
        <is>
          <t>NO</t>
        </is>
      </c>
      <c r="N20" s="1781" t="n"/>
      <c r="O20" s="2135" t="n">
        <v>1</v>
      </c>
      <c r="P20" s="1781" t="n"/>
      <c r="Q20" s="2135" t="n">
        <v>1</v>
      </c>
      <c r="R20" s="1781" t="n"/>
      <c r="S20" s="4458" t="n">
        <v>0.01</v>
      </c>
      <c r="T20" s="1781" t="n"/>
      <c r="U20" s="4458" t="n">
        <v>0.01</v>
      </c>
      <c r="V20" s="1781" t="n"/>
      <c r="W20" s="2107" t="n">
        <v>0</v>
      </c>
      <c r="X20" s="1841">
        <f>degradation!$E62</f>
        <v/>
      </c>
      <c r="Y20" s="4134" t="inlineStr">
        <is>
          <t>D</t>
        </is>
      </c>
      <c r="Z20" s="1841">
        <f>degradation!$G62</f>
        <v/>
      </c>
      <c r="AA20" s="4170" t="inlineStr">
        <is>
          <t>D</t>
        </is>
      </c>
      <c r="AB20" s="1826" t="n"/>
      <c r="AC20" s="1841">
        <f>degradation!Q62</f>
        <v/>
      </c>
      <c r="AD20" s="1841">
        <f>degradation!R62</f>
        <v/>
      </c>
      <c r="AE20" s="1781" t="n"/>
      <c r="AF20" s="1806">
        <f>degradation!S62</f>
        <v/>
      </c>
      <c r="AG20" s="1781" t="n"/>
      <c r="AP20" s="1801" t="n"/>
      <c r="AQ20" s="1801">
        <f>$C20</f>
        <v/>
      </c>
      <c r="AR20" s="4332">
        <f>VLOOKUP($E20, list!$O$7:$P$13, 2, FALSE)</f>
        <v/>
      </c>
      <c r="AS20" s="4306" t="n"/>
      <c r="AT20" s="4332">
        <f>VLOOKUP($G20, list!$O$7:$P$13, 2, FALSE)</f>
        <v/>
      </c>
      <c r="AU20" s="4306" t="n"/>
      <c r="AV20" s="4332">
        <f>VLOOKUP($I20, list!$O$7:$P$13, 2, FALSE)</f>
        <v/>
      </c>
      <c r="AW20" s="4306" t="n"/>
      <c r="AX20" s="1801" t="n"/>
      <c r="AY20" s="2001">
        <f>IF($AQ20 = "Please select", 0, IF($AQ20="Mangrove Forest",VLOOKUP(clim_moist,IPCC!$A$1502:$G$1510,4,FALSE),INDEX(IPCC!$B$591:$AK$606,MATCH(continent_selected,IPCC!$A$591:$A$606,0),MATCH($AQ20,IPCC!$B$590:$AK$590,0))*0.47))</f>
        <v/>
      </c>
      <c r="AZ20" s="4171" t="n"/>
      <c r="BA20" s="4666">
        <f>IF($AQ20 = "Please select", 0, IF($AQ20="Mangrove Forest",VLOOKUP(clim_moist,IPCC!$A$1502:$G$1510,7,FALSE),IF(OR($AY20/0.47&lt;=125,$AY20/0.47&lt;=75),INDEX(IPCC!$B$618:$AI$633,MATCH(continent_selected,IPCC!$A$618:$A$633,0),MATCH($AQ20,IPCC!$B$616:$AI$616,0)),(IF(OR($AY20/0.47&gt;125,$AY20/0.47&gt;75),INDEX(IPCC!$AJ$618:$BS$633,MATCH(continent_selected,IPCC!$A$618:$A$633,0),MATCH($AQ20,IPCC!$AJ$616:$BS$616,0)),"")))*$AY20))</f>
        <v/>
      </c>
      <c r="BB20" s="4171" t="n"/>
      <c r="BC20" s="2001">
        <f>IF($AQ20 = "Please select", 0, IF($AQ20 = "Mangrove Forest", VLOOKUP(clim_moist, IPCC!$A$1502:$J$1511, 8, FALSE),   VLOOKUP($AQ20, IPCC!$A$643:$B$677, 2, FALSE)))</f>
        <v/>
      </c>
      <c r="BD20" s="4171" t="n"/>
      <c r="BE20" s="2001">
        <f>IF($AQ20 = "Please select", 0, IF($AQ20= "Mangrove Forest", VLOOKUP(clim_moist, IPCC!$A$1502:$J$1511, 9, FALSE),  VLOOKUP($AQ20, IPCC!$A$643:$C$677, 3, FALSE)))</f>
        <v/>
      </c>
      <c r="BF20" s="4171" t="n"/>
      <c r="BG20" s="1801" t="n"/>
      <c r="BH20" s="2001">
        <f>IF($AQ20 = "Please select", 0, IF($AQ20="Mangrove Forest",VLOOKUP(clim_moist,IPCC!$A$1502:$J$1511,10,FALSE), SOCref))</f>
        <v/>
      </c>
      <c r="BI20" s="4171" t="n"/>
      <c r="BJ20" s="1801" t="n"/>
      <c r="BK20" s="4666">
        <f>degradation!T32</f>
        <v/>
      </c>
      <c r="BL20" s="4663" t="n"/>
      <c r="BM20" s="4723" t="n"/>
      <c r="BN20" s="4663" t="n"/>
      <c r="BO20" s="1801" t="n"/>
      <c r="BQ20" s="4401" t="n">
        <v>1</v>
      </c>
      <c r="BR20" s="4402" t="n"/>
      <c r="BS20" s="1997" t="n"/>
    </row>
    <row r="21">
      <c r="B21" s="1781" t="n"/>
      <c r="C21" s="1781" t="n"/>
      <c r="D21" s="1781" t="n"/>
      <c r="E21" s="1781" t="n"/>
      <c r="F21" s="1781" t="n"/>
      <c r="G21" s="1781" t="n"/>
      <c r="H21" s="1781" t="n"/>
      <c r="I21" s="1781" t="n"/>
      <c r="J21" s="1836" t="n"/>
      <c r="K21" s="1781" t="n"/>
      <c r="L21" s="1781" t="n"/>
      <c r="M21" s="1781" t="n"/>
      <c r="N21" s="1781" t="n"/>
      <c r="O21" s="1781" t="n"/>
      <c r="P21" s="1781" t="n"/>
      <c r="Q21" s="1781" t="n"/>
      <c r="R21" s="1781" t="n"/>
      <c r="S21" s="1781" t="n"/>
      <c r="T21" s="1781" t="n"/>
      <c r="U21" s="1781" t="n"/>
      <c r="V21" s="1781" t="n"/>
      <c r="W21" s="1781" t="n"/>
      <c r="X21" s="1781" t="n"/>
      <c r="Y21" s="1781" t="n"/>
      <c r="Z21" s="1781" t="n"/>
      <c r="AA21" s="1781" t="n"/>
      <c r="AB21" s="1781" t="n"/>
      <c r="AC21" s="1781" t="n"/>
      <c r="AD21" s="1781" t="n"/>
      <c r="AE21" s="1781" t="n"/>
      <c r="AF21" s="1806" t="n"/>
      <c r="AG21" s="1781" t="n"/>
      <c r="AP21" s="1801" t="n"/>
      <c r="AQ21" s="1801" t="n"/>
      <c r="AR21" s="1801" t="n"/>
      <c r="AS21" s="1801" t="n"/>
      <c r="AT21" s="1801" t="n"/>
      <c r="AU21" s="1801" t="n"/>
      <c r="AV21" s="1801" t="n"/>
      <c r="AW21" s="1801" t="n"/>
      <c r="AX21" s="1801" t="n"/>
      <c r="AY21" s="1801" t="n"/>
      <c r="AZ21" s="1801" t="n"/>
      <c r="BA21" s="1801" t="n"/>
      <c r="BB21" s="1801" t="n"/>
      <c r="BC21" s="1801" t="n"/>
      <c r="BD21" s="1801" t="n"/>
      <c r="BE21" s="1801" t="n"/>
      <c r="BF21" s="1801" t="n"/>
      <c r="BG21" s="1801" t="n"/>
      <c r="BH21" s="1801" t="n"/>
      <c r="BI21" s="1801" t="n"/>
      <c r="BJ21" s="1801" t="n"/>
      <c r="BK21" s="1801" t="n"/>
      <c r="BL21" s="1801" t="n"/>
      <c r="BM21" s="1801" t="n"/>
      <c r="BN21" s="1801" t="n"/>
      <c r="BO21" s="1801" t="n"/>
      <c r="BQ21" s="1997" t="n"/>
      <c r="BR21" s="1997" t="n"/>
      <c r="BS21" s="1997" t="n"/>
    </row>
    <row r="22" ht="15" customHeight="1">
      <c r="B22" s="1781" t="n"/>
      <c r="C22" s="1781" t="n"/>
      <c r="D22" s="1781" t="n"/>
      <c r="E22" s="1781" t="n"/>
      <c r="F22" s="1781" t="n"/>
      <c r="G22" s="1781" t="n"/>
      <c r="H22" s="1781" t="n"/>
      <c r="I22" s="1781" t="n"/>
      <c r="J22" s="1781" t="n"/>
      <c r="K22" s="1781" t="n"/>
      <c r="L22" s="1781" t="n"/>
      <c r="M22" s="1781" t="n"/>
      <c r="N22" s="1781" t="n"/>
      <c r="O22" s="1781" t="n"/>
      <c r="P22" s="1781" t="n"/>
      <c r="Q22" s="1781" t="n"/>
      <c r="R22" s="1781" t="n"/>
      <c r="S22" s="1781" t="n"/>
      <c r="T22" s="1781" t="n"/>
      <c r="U22" s="1781" t="n"/>
      <c r="V22" s="1781" t="n"/>
      <c r="W22" s="1781" t="n"/>
      <c r="X22" s="2017" t="n"/>
      <c r="Y22" s="1781" t="n"/>
      <c r="Z22" s="1792" t="n"/>
      <c r="AA22" s="1826" t="n"/>
      <c r="AB22" s="1781" t="n"/>
      <c r="AC22" s="1781" t="n"/>
      <c r="AD22" s="1781" t="n"/>
      <c r="AE22" s="1781" t="n"/>
      <c r="AF22" s="1806" t="n"/>
      <c r="AG22" s="1781" t="n"/>
      <c r="AP22" s="1782" t="n"/>
      <c r="AQ22" s="1782" t="n"/>
      <c r="AR22" s="1782" t="n"/>
      <c r="AS22" s="1782" t="n"/>
      <c r="AT22" s="1782" t="n"/>
      <c r="AU22" s="1782" t="n"/>
      <c r="AV22" s="1782" t="n"/>
      <c r="AW22" s="1782" t="n"/>
      <c r="AX22" s="1782" t="n"/>
      <c r="AY22" s="1782" t="n"/>
      <c r="AZ22" s="1782" t="n"/>
      <c r="BA22" s="1782" t="n"/>
      <c r="BB22" s="1782" t="n"/>
      <c r="BC22" s="1782" t="n"/>
      <c r="BD22" s="1782" t="n"/>
      <c r="BE22" s="1782" t="n"/>
      <c r="BF22" s="1782" t="n"/>
      <c r="BG22" s="1782" t="n"/>
      <c r="BH22" s="1782" t="n"/>
      <c r="BI22" s="1782" t="n"/>
      <c r="BJ22" s="1782" t="n"/>
      <c r="BK22" s="1782" t="n"/>
      <c r="BL22" s="1782" t="n"/>
      <c r="BM22" s="1782" t="n"/>
      <c r="BN22" s="1782" t="n"/>
      <c r="BO22" s="1782" t="n"/>
      <c r="BQ22" s="4548" t="inlineStr">
        <is>
          <t>Use this part only if you want to refine yearly GHG fluxes</t>
        </is>
      </c>
    </row>
    <row r="23">
      <c r="B23" s="1781" t="n"/>
      <c r="C23" s="1781" t="n"/>
      <c r="D23" s="1781" t="n"/>
      <c r="E23" s="1781" t="n"/>
      <c r="F23" s="1781" t="n"/>
      <c r="G23" s="1781" t="n"/>
      <c r="H23" s="1781" t="n"/>
      <c r="I23" s="1781" t="n"/>
      <c r="J23" s="1781" t="n"/>
      <c r="K23" s="1781" t="n"/>
      <c r="L23" s="1781" t="n"/>
      <c r="M23" s="1781" t="n"/>
      <c r="N23" s="1781" t="n"/>
      <c r="O23" s="1781" t="n"/>
      <c r="P23" s="1781" t="n"/>
      <c r="Q23" s="1781" t="n"/>
      <c r="R23" s="1781" t="n"/>
      <c r="S23" s="1781" t="n"/>
      <c r="T23" s="1781" t="n"/>
      <c r="U23" s="1781" t="n"/>
      <c r="V23" s="1781" t="n"/>
      <c r="W23" s="1781" t="n"/>
      <c r="X23" s="1781" t="n"/>
      <c r="Y23" s="1781" t="n"/>
      <c r="Z23" s="1781" t="n"/>
      <c r="AA23" s="1781" t="n"/>
      <c r="AB23" s="1781" t="n"/>
      <c r="AC23" s="1781" t="n"/>
      <c r="AD23" s="1781" t="n"/>
      <c r="AE23" s="1781" t="n"/>
      <c r="AF23" s="1806" t="n"/>
      <c r="AG23" s="1781" t="n"/>
      <c r="AP23" s="1782" t="n"/>
      <c r="AQ23" s="1801">
        <f>Languages!B20</f>
        <v/>
      </c>
      <c r="AR23" s="1782" t="n"/>
      <c r="AS23" s="1782" t="n"/>
      <c r="AT23" s="1782" t="n"/>
      <c r="AU23" s="1782" t="n"/>
      <c r="AV23" s="1782" t="n"/>
      <c r="AW23" s="1782" t="n"/>
      <c r="AX23" s="1782" t="n"/>
      <c r="AY23" s="1782" t="n"/>
      <c r="AZ23" s="1782" t="n"/>
      <c r="BA23" s="1782" t="n"/>
      <c r="BB23" s="1782" t="n"/>
      <c r="BC23" s="1782" t="n"/>
      <c r="BD23" s="1782" t="n"/>
      <c r="BE23" s="1782" t="n"/>
      <c r="BF23" s="1782" t="n"/>
      <c r="BG23" s="1782" t="n"/>
      <c r="BH23" s="1782" t="n"/>
      <c r="BI23" s="1782" t="n"/>
      <c r="BJ23" s="1782" t="n"/>
      <c r="BK23" s="1782" t="n"/>
      <c r="BL23" s="1782" t="n"/>
      <c r="BM23" s="1782" t="n"/>
      <c r="BN23" s="1782" t="n"/>
      <c r="BO23" s="1782" t="n"/>
    </row>
    <row r="24">
      <c r="B24" s="1781" t="n"/>
      <c r="C24" s="1781" t="n"/>
      <c r="D24" s="1781" t="n"/>
      <c r="E24" s="1781" t="n"/>
      <c r="F24" s="1781" t="n"/>
      <c r="G24" s="1781" t="n"/>
      <c r="H24" s="1781" t="n"/>
      <c r="I24" s="1781" t="n"/>
      <c r="J24" s="1781" t="n"/>
      <c r="K24" s="1781" t="n"/>
      <c r="L24" s="1781" t="n"/>
      <c r="M24" s="1781" t="n"/>
      <c r="N24" s="1781" t="n"/>
      <c r="O24" s="1781" t="n"/>
      <c r="P24" s="1781" t="n"/>
      <c r="Q24" s="1781" t="n"/>
      <c r="R24" s="1853" t="n"/>
      <c r="S24" s="1853" t="n"/>
      <c r="T24" s="1853" t="n"/>
      <c r="U24" s="1853" t="n"/>
      <c r="V24" s="1853" t="n"/>
      <c r="W24" s="1853" t="n"/>
      <c r="X24" s="1853" t="n"/>
      <c r="Y24" s="1853" t="n"/>
      <c r="Z24" s="1853" t="n"/>
      <c r="AA24" s="1853" t="n"/>
      <c r="AB24" s="2019">
        <f>Languages!B609</f>
        <v/>
      </c>
      <c r="AC24" s="2039">
        <f>degradation!Q65</f>
        <v/>
      </c>
      <c r="AD24" s="2039">
        <f>degradation!R65</f>
        <v/>
      </c>
      <c r="AE24" s="1853" t="n"/>
      <c r="AF24" s="2040">
        <f>degradation!S65</f>
        <v/>
      </c>
      <c r="AG24" s="1781" t="n"/>
      <c r="AP24" s="1782" t="n"/>
      <c r="AQ24" s="1801">
        <f>Languages!B21</f>
        <v/>
      </c>
      <c r="AR24" s="1782" t="n"/>
      <c r="AS24" s="1782" t="n"/>
      <c r="AT24" s="1782" t="n"/>
      <c r="AU24" s="1782" t="n"/>
      <c r="AV24" s="1782" t="n"/>
      <c r="AW24" s="1782" t="n"/>
      <c r="AX24" s="1782" t="n"/>
      <c r="AY24" s="1782" t="n"/>
      <c r="AZ24" s="1782" t="n"/>
      <c r="BA24" s="1782" t="n"/>
      <c r="BB24" s="1782" t="n"/>
      <c r="BC24" s="1782" t="n"/>
      <c r="BD24" s="1782" t="n"/>
      <c r="BE24" s="1782" t="n"/>
      <c r="BF24" s="1782" t="n"/>
      <c r="BG24" s="1782" t="n"/>
      <c r="BH24" s="1782" t="n"/>
      <c r="BI24" s="1782" t="n"/>
      <c r="BJ24" s="1782" t="n"/>
      <c r="BK24" s="1782" t="n"/>
      <c r="BL24" s="1782" t="n"/>
      <c r="BM24" s="1782" t="n"/>
      <c r="BN24" s="1782" t="n"/>
      <c r="BO24" s="1782" t="n"/>
    </row>
    <row r="25">
      <c r="B25" s="1781" t="n"/>
      <c r="C25" s="1781" t="n"/>
      <c r="D25" s="1781" t="n"/>
      <c r="E25" s="1781" t="n"/>
      <c r="F25" s="1781" t="n"/>
      <c r="G25" s="1781" t="n"/>
      <c r="H25" s="1781" t="n"/>
      <c r="I25" s="1781" t="n"/>
      <c r="J25" s="1781" t="n"/>
      <c r="K25" s="1781" t="n"/>
      <c r="L25" s="1781" t="n"/>
      <c r="M25" s="1781" t="n"/>
      <c r="N25" s="1781" t="n"/>
      <c r="O25" s="1781" t="n"/>
      <c r="P25" s="1781" t="n"/>
      <c r="Q25" s="1781" t="n"/>
      <c r="R25" s="1781" t="n"/>
      <c r="S25" s="1781" t="n"/>
      <c r="T25" s="1781" t="n"/>
      <c r="U25" s="1781" t="n"/>
      <c r="V25" s="1781" t="n"/>
      <c r="W25" s="1781" t="n"/>
      <c r="X25" s="1781" t="n"/>
      <c r="Y25" s="1781" t="n"/>
      <c r="Z25" s="1781" t="n"/>
      <c r="AA25" s="1781" t="n"/>
      <c r="AB25" s="1781" t="n"/>
      <c r="AC25" s="1781" t="n"/>
      <c r="AD25" s="1781" t="n"/>
      <c r="AE25" s="1781" t="n"/>
      <c r="AF25" s="1781" t="n"/>
      <c r="AG25" s="1781" t="n"/>
      <c r="AP25" s="1782" t="n"/>
      <c r="AQ25" s="1782" t="n"/>
      <c r="AR25" s="1782" t="n"/>
      <c r="AS25" s="1782" t="n"/>
      <c r="AT25" s="1782" t="n"/>
      <c r="AU25" s="1782" t="n"/>
      <c r="AV25" s="1782" t="n"/>
      <c r="AW25" s="1782" t="n"/>
      <c r="AX25" s="1782" t="n"/>
      <c r="AY25" s="1782" t="n"/>
      <c r="AZ25" s="1782" t="n"/>
      <c r="BA25" s="1782" t="n"/>
      <c r="BB25" s="1782" t="n"/>
      <c r="BC25" s="1782" t="n"/>
      <c r="BD25" s="1782" t="n"/>
      <c r="BE25" s="1782" t="n"/>
      <c r="BF25" s="1782" t="n"/>
      <c r="BG25" s="1782" t="n"/>
      <c r="BH25" s="1782" t="n"/>
      <c r="BI25" s="1782" t="n"/>
      <c r="BJ25" s="1782" t="n"/>
      <c r="BK25" s="1782" t="n"/>
      <c r="BL25" s="1782" t="n"/>
      <c r="BM25" s="1782" t="n"/>
      <c r="BN25" s="1782" t="n"/>
      <c r="BO25" s="1782" t="n"/>
      <c r="BQ25" s="1997" t="n"/>
      <c r="BR25" s="1997" t="n"/>
      <c r="BS25" s="1997" t="n"/>
    </row>
    <row r="26" ht="17.75" customHeight="1">
      <c r="B26" s="1820">
        <f>Languages!B23</f>
        <v/>
      </c>
      <c r="C26" s="1781" t="n"/>
      <c r="D26" s="1781" t="n"/>
      <c r="E26" s="1781" t="n"/>
      <c r="F26" s="1781" t="n"/>
      <c r="G26" s="1781" t="n"/>
      <c r="H26" s="1781" t="n"/>
      <c r="I26" s="1781" t="n"/>
      <c r="J26" s="1781" t="n"/>
      <c r="K26" s="1781" t="n"/>
      <c r="L26" s="1781" t="n"/>
      <c r="M26" s="1781" t="n"/>
      <c r="N26" s="1781" t="n"/>
      <c r="O26" s="1781" t="n"/>
      <c r="P26" s="1781" t="n"/>
      <c r="Q26" s="1781" t="n"/>
      <c r="R26" s="1781" t="n"/>
      <c r="S26" s="1781" t="n"/>
      <c r="T26" s="1781" t="n"/>
      <c r="U26" s="1781" t="n"/>
      <c r="V26" s="1781" t="n"/>
      <c r="W26" s="1781" t="n"/>
      <c r="X26" s="1781" t="n"/>
      <c r="Y26" s="1781" t="n"/>
      <c r="Z26" s="1781" t="n"/>
      <c r="AA26" s="1781" t="n"/>
      <c r="AB26" s="1781" t="n"/>
      <c r="AC26" s="1781" t="n"/>
      <c r="AD26" s="1781" t="n"/>
      <c r="AE26" s="1781" t="n"/>
      <c r="AF26" s="1781" t="n"/>
      <c r="AG26" s="1781" t="n"/>
      <c r="AP26" s="1782" t="n"/>
      <c r="AQ26" s="1782" t="n"/>
      <c r="AR26" s="1782" t="n"/>
      <c r="AS26" s="1782" t="n"/>
      <c r="AT26" s="1782" t="n"/>
      <c r="AU26" s="1782" t="n"/>
      <c r="AV26" s="1782" t="n"/>
      <c r="AW26" s="1782" t="n"/>
      <c r="AX26" s="1782" t="n"/>
      <c r="AY26" s="1782" t="n"/>
      <c r="AZ26" s="1782" t="n"/>
      <c r="BA26" s="1782" t="n"/>
      <c r="BB26" s="1782" t="n"/>
      <c r="BC26" s="1782" t="n"/>
      <c r="BD26" s="1782" t="n"/>
      <c r="BE26" s="1782" t="n"/>
      <c r="BF26" s="1782" t="n"/>
      <c r="BG26" s="1782" t="n"/>
      <c r="BH26" s="1782" t="n"/>
      <c r="BI26" s="1782" t="n"/>
      <c r="BJ26" s="1782" t="n"/>
      <c r="BK26" s="1782" t="n"/>
      <c r="BL26" s="1782" t="n"/>
      <c r="BM26" s="1782" t="n"/>
      <c r="BN26" s="1782" t="n"/>
      <c r="BO26" s="1782" t="n"/>
      <c r="BQ26" s="1997" t="n"/>
      <c r="BR26" s="1997" t="n"/>
      <c r="BS26" s="1997" t="n"/>
    </row>
    <row r="28">
      <c r="C28" s="1826">
        <f>Languages!B294</f>
        <v/>
      </c>
      <c r="D28" s="1826" t="n"/>
      <c r="E28" s="1826" t="n"/>
      <c r="F28" s="4352" t="n"/>
      <c r="G28" s="4352" t="n"/>
    </row>
    <row r="29" ht="50" customHeight="1">
      <c r="C29" s="1826">
        <f>Languages!B295</f>
        <v/>
      </c>
      <c r="D29" s="1826" t="n"/>
      <c r="E29" s="1930">
        <f>Languages!B302</f>
        <v/>
      </c>
      <c r="F29" s="4352" t="n"/>
      <c r="G29" s="4352" t="n"/>
    </row>
    <row r="30">
      <c r="C30" s="1781">
        <f>Languages!B296</f>
        <v/>
      </c>
      <c r="D30" s="1781" t="n"/>
      <c r="E30" s="4352" t="n">
        <v>0</v>
      </c>
      <c r="F30" s="4352" t="n"/>
      <c r="G30" s="4352" t="n"/>
    </row>
    <row r="31">
      <c r="C31" s="1781">
        <f>Languages!B297</f>
        <v/>
      </c>
      <c r="D31" s="1781" t="n"/>
      <c r="E31" s="4352" t="n">
        <v>0.1</v>
      </c>
      <c r="F31" s="4352" t="n"/>
      <c r="G31" s="4352" t="n"/>
    </row>
    <row r="32">
      <c r="C32" s="1781">
        <f>Languages!B298</f>
        <v/>
      </c>
      <c r="D32" s="1781" t="n"/>
      <c r="E32" s="4352" t="n">
        <v>0.2</v>
      </c>
      <c r="F32" s="4352" t="n"/>
      <c r="G32" s="4352" t="n"/>
    </row>
    <row r="33">
      <c r="C33" s="1781">
        <f>Languages!B299</f>
        <v/>
      </c>
      <c r="D33" s="1781" t="n"/>
      <c r="E33" s="4352" t="n">
        <v>0.4</v>
      </c>
      <c r="F33" s="4352" t="n"/>
      <c r="G33" s="4352" t="n"/>
    </row>
    <row r="34">
      <c r="C34" s="1781">
        <f>Languages!B300</f>
        <v/>
      </c>
      <c r="D34" s="1781" t="n"/>
      <c r="E34" s="4352" t="n">
        <v>0.6</v>
      </c>
      <c r="F34" s="4352" t="n"/>
      <c r="G34" s="4352" t="n"/>
    </row>
    <row r="35" ht="14" customHeight="1">
      <c r="C35" s="1781">
        <f>Languages!B301</f>
        <v/>
      </c>
      <c r="D35" s="1781" t="n"/>
      <c r="E35" s="4352" t="n">
        <v>0.8</v>
      </c>
      <c r="F35" s="4352" t="n"/>
      <c r="G35" s="4352" t="n"/>
    </row>
    <row r="36" ht="2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sheetData>
  <sheetProtection selectLockedCells="0" selectUnlockedCells="0" algorithmName="SHA-512" sheet="1" objects="0" insertRows="1" insertHyperlinks="1" autoFilter="1" scenarios="0" formatColumns="0" deleteColumns="1" insertColumns="1" pivotTables="1" deleteRows="1" formatCells="1" saltValue="ZcJuV6xwsUslmche8U9jAw==" formatRows="1" sort="1" spinCount="100000" hashValue="uc8PafzrN+PzQzbO+AGQLqOHtsqqIvBZssMr6geiPIBFHrmGeFCOzCswK3PSY5SyFdRpIbzaavc1+ct55Ph87Q=="/>
  <mergeCells count="1">
    <mergeCell ref="BQ22:BS24"/>
  </mergeCells>
  <dataValidations count="3">
    <dataValidation sqref="O13:O20 Q13:Q20" showDropDown="0" showInputMessage="1" showErrorMessage="1" allowBlank="0" type="decimal" operator="greaterThanOrEqual">
      <formula1>1</formula1>
    </dataValidation>
    <dataValidation sqref="W13:W20 AS13:AS20 AU13:AU20 AW13:AW20 AZ13:AZ20 BB13:BB20 BD13:BD20 BF13:BG20 BI13:BI20 BL13:BO20" showDropDown="0" showInputMessage="1" showErrorMessage="1" allowBlank="0" type="decimal" operator="greaterThanOrEqual">
      <formula1>0</formula1>
    </dataValidation>
    <dataValidation sqref="S13:S20 U13:U20" showDropDown="0" showInputMessage="1" showErrorMessage="1" allowBlank="0" error="Please ensure that the % of forest burnt is realistic considering the frequency of fires and the biomass availability throughout the project lifetime" type="decimal" errorStyle="warning">
      <formula1>0.01</formula1>
      <formula2>0.02</formula2>
    </dataValidation>
  </dataValidations>
  <pageMargins left="0.7" right="0.7" top="0.75" bottom="0.75" header="0.3" footer="0.3"/>
  <pageSetup orientation="portrait"/>
</worksheet>
</file>

<file path=xl/worksheets/sheet16.xml><?xml version="1.0" encoding="utf-8"?>
<worksheet xmlns:r="http://schemas.openxmlformats.org/officeDocument/2006/relationships" xmlns="http://schemas.openxmlformats.org/spreadsheetml/2006/main">
  <sheetPr codeName="Sheet21">
    <outlinePr summaryBelow="1" summaryRight="1"/>
    <pageSetUpPr/>
  </sheetPr>
  <dimension ref="A2:BI67"/>
  <sheetViews>
    <sheetView showGridLines="0" topLeftCell="A25" zoomScale="90" zoomScaleNormal="90" workbookViewId="0">
      <selection activeCell="Z42" sqref="Z42"/>
    </sheetView>
  </sheetViews>
  <sheetFormatPr baseColWidth="10" defaultColWidth="8.6640625" defaultRowHeight="15"/>
  <cols>
    <col width="11.6640625" customWidth="1" min="1" max="1"/>
    <col width="7.5" customWidth="1" min="2" max="2"/>
    <col width="31.5" customWidth="1" min="3" max="3"/>
    <col width="18.5" customWidth="1" min="4" max="4"/>
    <col width="13.33203125" customWidth="1" min="5" max="5"/>
    <col width="18.5" bestFit="1" customWidth="1" min="6" max="7"/>
    <col width="18.5" customWidth="1" min="8" max="9"/>
    <col width="16.5" bestFit="1" customWidth="1" min="10" max="10"/>
    <col width="12.5" bestFit="1" customWidth="1" min="11" max="14"/>
    <col width="15.5" customWidth="1" min="15" max="15"/>
    <col width="18.5" customWidth="1" min="16" max="16"/>
    <col width="17.5" bestFit="1" customWidth="1" min="17" max="17"/>
    <col width="11.6640625" customWidth="1" min="19" max="19"/>
    <col width="9" customWidth="1" min="25" max="25"/>
    <col width="10.6640625" bestFit="1" customWidth="1" min="26" max="26"/>
    <col width="10.5" bestFit="1" customWidth="1" min="29" max="29"/>
    <col width="10.5" bestFit="1" customWidth="1" min="32" max="32"/>
    <col width="10.5" bestFit="1" customWidth="1" min="35" max="35"/>
    <col width="9.33203125" customWidth="1" min="38" max="44"/>
    <col width="27.33203125" customWidth="1" min="47" max="47"/>
    <col width="15.5" bestFit="1" customWidth="1" min="49" max="49"/>
    <col width="13.5" bestFit="1" customWidth="1" min="50" max="50"/>
    <col width="22.6640625" customWidth="1" min="53" max="53"/>
    <col width="15.33203125" customWidth="1" min="54" max="54"/>
    <col width="9.5" bestFit="1" customWidth="1" min="57" max="57"/>
    <col width="12.33203125" customWidth="1" min="58" max="58"/>
    <col width="12.5" customWidth="1" min="61" max="61"/>
  </cols>
  <sheetData>
    <row r="1" customFormat="1" s="284"/>
    <row r="2" ht="63" customFormat="1" customHeight="1" s="284">
      <c r="A2" s="3867" t="inlineStr">
        <is>
          <t xml:space="preserve">5.1 Forest degradation and management </t>
        </is>
      </c>
      <c r="B2" s="3539" t="n"/>
      <c r="C2" s="3539" t="n"/>
      <c r="D2" s="3539" t="n"/>
      <c r="E2" s="3539" t="n"/>
      <c r="F2" s="3539" t="n"/>
      <c r="G2" s="3539" t="n"/>
      <c r="H2" s="3539" t="n"/>
      <c r="I2" s="3539" t="n"/>
      <c r="J2" s="3539" t="n"/>
      <c r="K2" s="3539" t="n"/>
      <c r="L2" s="3539" t="n"/>
      <c r="M2" s="3539" t="n"/>
      <c r="N2" s="3539" t="n"/>
      <c r="O2" s="3539" t="n"/>
      <c r="P2" s="3539" t="n"/>
      <c r="Q2" s="3539" t="n"/>
      <c r="R2" s="3539" t="n"/>
      <c r="S2" s="3539" t="n"/>
      <c r="T2" s="3539" t="n"/>
      <c r="U2" s="3539" t="n"/>
      <c r="V2" s="3539" t="n"/>
      <c r="W2" s="3539" t="n"/>
      <c r="X2" s="3539" t="n"/>
      <c r="Y2" s="3539" t="n"/>
      <c r="Z2" s="3539" t="n"/>
      <c r="AA2" s="3539" t="n"/>
      <c r="AB2" s="3539" t="n"/>
      <c r="AC2" s="3539" t="n"/>
      <c r="AD2" s="3539" t="n"/>
      <c r="AE2" s="3539" t="n"/>
      <c r="AF2" s="3539" t="n"/>
      <c r="AG2" s="3539" t="n"/>
      <c r="AH2" s="3539" t="n"/>
      <c r="AI2" s="3539" t="n"/>
      <c r="AJ2" s="3539" t="n"/>
      <c r="AK2" s="3539" t="n"/>
      <c r="AL2" s="3539" t="n"/>
      <c r="AM2" s="3539" t="n"/>
      <c r="AN2" s="3539" t="n"/>
      <c r="AO2" s="3539" t="n"/>
      <c r="AP2" s="3539" t="n"/>
      <c r="AQ2" s="3539" t="n"/>
      <c r="AR2" s="3539" t="n"/>
      <c r="AS2" s="3539" t="n"/>
      <c r="AT2" s="3539" t="n"/>
      <c r="AU2" s="3539" t="n"/>
      <c r="AV2" s="3539" t="n"/>
      <c r="AW2" s="3539" t="n"/>
      <c r="AX2" s="3539" t="n"/>
      <c r="AY2" s="3539" t="n"/>
      <c r="AZ2" s="3539" t="n"/>
      <c r="BA2" s="3539" t="n"/>
      <c r="BB2" s="3539" t="n"/>
      <c r="BC2" s="3539" t="n"/>
      <c r="BD2" s="3539" t="n"/>
      <c r="BE2" s="3539" t="n"/>
      <c r="BF2" s="3539" t="n"/>
      <c r="BG2" s="3539" t="n"/>
      <c r="BH2" s="3539" t="n"/>
      <c r="BI2" s="3539" t="n"/>
    </row>
    <row r="3" customFormat="1" s="284"/>
    <row r="4" customFormat="1" s="284"/>
    <row r="5" customFormat="1" s="284">
      <c r="I5" s="3880" t="inlineStr">
        <is>
          <t>Forest C pools by IPCC (only deafult)</t>
        </is>
      </c>
    </row>
    <row r="6">
      <c r="G6" s="3882" t="n"/>
      <c r="H6" s="3881" t="inlineStr">
        <is>
          <t>Forest classes</t>
        </is>
      </c>
      <c r="I6" s="3881" t="inlineStr">
        <is>
          <t>AGB</t>
        </is>
      </c>
      <c r="J6" s="3881" t="inlineStr">
        <is>
          <t>AGB</t>
        </is>
      </c>
      <c r="K6" s="3881" t="inlineStr">
        <is>
          <t>BGB</t>
        </is>
      </c>
      <c r="L6" s="3881" t="inlineStr">
        <is>
          <t>BGB</t>
        </is>
      </c>
      <c r="M6" s="3881" t="inlineStr">
        <is>
          <t>Litter</t>
        </is>
      </c>
      <c r="N6" s="3881" t="inlineStr">
        <is>
          <t>Dead Wood</t>
        </is>
      </c>
      <c r="O6" s="3881" t="inlineStr">
        <is>
          <t>SOC ref</t>
        </is>
      </c>
      <c r="P6" s="3484" t="n"/>
    </row>
    <row r="7" ht="21" customHeight="1">
      <c r="A7" s="3877" t="inlineStr">
        <is>
          <t xml:space="preserve">IPCC forest classes stratified by climate </t>
        </is>
      </c>
      <c r="B7" s="3808" t="n"/>
      <c r="C7" s="3808" t="n"/>
      <c r="D7" s="3878" t="n"/>
      <c r="E7" s="3808" t="n"/>
      <c r="G7" s="3881" t="inlineStr">
        <is>
          <t xml:space="preserve">SI. </t>
        </is>
      </c>
      <c r="H7" s="3883" t="inlineStr">
        <is>
          <t>by IPCC climate region</t>
        </is>
      </c>
      <c r="I7" s="3881" t="inlineStr">
        <is>
          <t>ton d.m /ha</t>
        </is>
      </c>
      <c r="J7" s="3881" t="inlineStr">
        <is>
          <t>t C/ha</t>
        </is>
      </c>
      <c r="K7" s="3881" t="inlineStr">
        <is>
          <t>ton d.m /ha</t>
        </is>
      </c>
      <c r="L7" s="3881" t="inlineStr">
        <is>
          <t>t C/ha</t>
        </is>
      </c>
      <c r="M7" s="3881" t="inlineStr">
        <is>
          <t>t C/ha</t>
        </is>
      </c>
      <c r="N7" s="3881" t="inlineStr">
        <is>
          <t>t C/ha</t>
        </is>
      </c>
      <c r="O7" s="3881" t="inlineStr">
        <is>
          <t>t C/ha</t>
        </is>
      </c>
      <c r="P7" s="811" t="n"/>
    </row>
    <row r="8">
      <c r="A8" s="3879" t="inlineStr">
        <is>
          <t>Tropical</t>
        </is>
      </c>
      <c r="B8" s="3879" t="inlineStr">
        <is>
          <t>WarmTemperate</t>
        </is>
      </c>
      <c r="C8" s="3879" t="inlineStr">
        <is>
          <t>CoolTemperate</t>
        </is>
      </c>
      <c r="D8" s="3879" t="inlineStr">
        <is>
          <t>Boreal</t>
        </is>
      </c>
      <c r="E8" s="3879" t="inlineStr">
        <is>
          <t>TropicalMontane</t>
        </is>
      </c>
      <c r="G8" s="3884" t="inlineStr">
        <is>
          <t xml:space="preserve">Climate selected: </t>
        </is>
      </c>
      <c r="H8" s="3881">
        <f>climate2</f>
        <v/>
      </c>
      <c r="I8" s="3885" t="inlineStr">
        <is>
          <t xml:space="preserve"> IPCC default </t>
        </is>
      </c>
      <c r="J8" s="3885" t="inlineStr">
        <is>
          <t xml:space="preserve"> IPCC default </t>
        </is>
      </c>
      <c r="K8" s="3885" t="inlineStr">
        <is>
          <t xml:space="preserve"> IPCC default </t>
        </is>
      </c>
      <c r="L8" s="3885" t="inlineStr">
        <is>
          <t xml:space="preserve"> IPCC default </t>
        </is>
      </c>
      <c r="M8" s="3885" t="inlineStr">
        <is>
          <t xml:space="preserve"> IPCC default </t>
        </is>
      </c>
      <c r="N8" s="3885" t="inlineStr">
        <is>
          <t xml:space="preserve"> IPCC default </t>
        </is>
      </c>
      <c r="O8" s="3885" t="inlineStr">
        <is>
          <t xml:space="preserve"> IPCC default </t>
        </is>
      </c>
      <c r="P8" s="682" t="n"/>
    </row>
    <row r="9">
      <c r="A9" s="3868" t="inlineStr">
        <is>
          <t>Tropical rainforest</t>
        </is>
      </c>
      <c r="B9" s="3869" t="inlineStr">
        <is>
          <t>Subtropical humid forest</t>
        </is>
      </c>
      <c r="C9" s="3869" t="inlineStr">
        <is>
          <t>Temperate oceanic forest</t>
        </is>
      </c>
      <c r="D9" s="3869" t="inlineStr">
        <is>
          <t>Boreal coniferous forest</t>
        </is>
      </c>
      <c r="E9" s="3870" t="inlineStr">
        <is>
          <t>Tropical mountain systems</t>
        </is>
      </c>
      <c r="G9" s="682" t="n">
        <v>1</v>
      </c>
      <c r="H9" s="3886">
        <f>IF(climate2="Please select", "", IF(ROWS(H$9:H9)&lt;=COUNTA(INDIRECT(H$8)), INDIRECT(H$8),""))</f>
        <v/>
      </c>
      <c r="I9" s="682">
        <f>IF($H9="", "", IF($H9="Mangrove Forest",VLOOKUP(clim_moist,IPCC!$A$1502:$G$1510,4,FALSE),INDEX(IPCC!$B$591:$AK$606,MATCH(continent_selected,IPCC!$A$591:$A$606,0),MATCH($H9,IPCC!$B$590:$AK$590,0))))</f>
        <v/>
      </c>
      <c r="J9" s="3299">
        <f>IF($I9="", "", $I9*0.47)</f>
        <v/>
      </c>
      <c r="K9" s="3299">
        <f>IF($H9="", "", ($L9*(1/0.47)))</f>
        <v/>
      </c>
      <c r="L9" s="4724">
        <f>IF($H9="", "", IF($H9="Mangrove Forest",VLOOKUP(clim_moist,IPCC!$A$1502:$G$1510,7,FALSE),IF(OR($J9&lt;=125,$J9&lt;=75),INDEX(IPCC!$B$618:$AI$633,MATCH(continent_selected,IPCC!$A$618:$A$633,0),MATCH($H9,IPCC!$B$616:$AI$616,0)),(IF(OR($J9&gt;125,$J9&gt;75),INDEX(IPCC!$AJ$618:$BS$633,MATCH(continent_selected,IPCC!$A$618:$A$633,0),MATCH($H9,IPCC!$AJ$616:$BS$616,0)),"")))*$J9))</f>
        <v/>
      </c>
      <c r="M9" s="682">
        <f>IF($H9 = "", "", IF($H9 = "Mangrove Forest", VLOOKUP(clim_moist, IPCC!$A$1502:$J$1511, 8, FALSE),   VLOOKUP($H9, IPCC!$A$643:$B$677, 2, FALSE)))</f>
        <v/>
      </c>
      <c r="N9" s="682">
        <f>IF($H9 = "", "", IF($H9 = "Mangrove Forest", VLOOKUP(clim_moist, IPCC!$A$1502:$J$1511, 9, FALSE),  VLOOKUP($H9, IPCC!$A$643:$C$677, 3, FALSE)))</f>
        <v/>
      </c>
      <c r="O9" s="682">
        <f>IF($H9="", "", SOCref)</f>
        <v/>
      </c>
      <c r="P9" s="683" t="n"/>
    </row>
    <row r="10">
      <c r="A10" s="3871" t="inlineStr">
        <is>
          <t>Tropical moist deciduous forest</t>
        </is>
      </c>
      <c r="B10" s="3872" t="inlineStr">
        <is>
          <t>Subtropical dry forest</t>
        </is>
      </c>
      <c r="C10" s="3872" t="inlineStr">
        <is>
          <t>Temperate continental forest</t>
        </is>
      </c>
      <c r="D10" s="3872" t="inlineStr">
        <is>
          <t>Boreal tundra woodland</t>
        </is>
      </c>
      <c r="E10" s="3873" t="inlineStr">
        <is>
          <t>Planted Tropical mountain systems</t>
        </is>
      </c>
      <c r="G10" s="682" t="n">
        <v>2</v>
      </c>
      <c r="H10" s="3886">
        <f>IF(climate2="Please select", "", IF(ROWS(H$9:H10)&lt;=COUNTA(INDIRECT(H$8)), INDIRECT(H$8),""))</f>
        <v/>
      </c>
      <c r="I10" s="682">
        <f>IF($H10="", "", IF($H10="Mangrove Forest",VLOOKUP(clim_moist,IPCC!$A$1502:$G$1510,4,FALSE),INDEX(IPCC!$B$591:$AK$606,MATCH(continent_selected,IPCC!$A$591:$A$606,0),MATCH($H10,IPCC!$B$590:$AK$590,0))))</f>
        <v/>
      </c>
      <c r="J10" s="3299">
        <f>IF($I10="", "", $I10*0.47)</f>
        <v/>
      </c>
      <c r="K10" s="3299">
        <f>IF($H10="", "", ($L10*(1/0.47)))</f>
        <v/>
      </c>
      <c r="L10" s="4724">
        <f>IF($H10="", "", IF($H10="Mangrove Forest",VLOOKUP(clim_moist,IPCC!$A$1502:$G$1510,7,FALSE),IF(OR($J10&lt;=125,$J10&lt;=75),INDEX(IPCC!$B$618:$AI$633,MATCH(continent_selected,IPCC!$A$618:$A$633,0),MATCH($H10,IPCC!$B$616:$AI$616,0)),(IF(OR($J10&gt;125,$J10&gt;75),INDEX(IPCC!$AJ$618:$BS$633,MATCH(continent_selected,IPCC!$A$618:$A$633,0),MATCH($H10,IPCC!$AJ$616:$BS$616,0)),"")))*$J10))</f>
        <v/>
      </c>
      <c r="M10" s="682">
        <f>IF($H10 = "", "", IF($H10 = "Mangrove Forest", VLOOKUP(clim_moist, IPCC!$A$1502:$J$1511, 8, FALSE),   VLOOKUP($H10, IPCC!$A$643:$B$677, 2, FALSE)))</f>
        <v/>
      </c>
      <c r="N10" s="682">
        <f>IF($H10 = "", "", IF($H10 = "Mangrove Forest", VLOOKUP(clim_moist, IPCC!$A$1502:$J$1511, 9, FALSE),  VLOOKUP($H10, IPCC!$A$643:$C$677, 3, FALSE)))</f>
        <v/>
      </c>
      <c r="O10" s="682">
        <f>IF($H10="", "", SOCref)</f>
        <v/>
      </c>
      <c r="P10" s="683" t="n"/>
    </row>
    <row r="11">
      <c r="A11" s="3871" t="inlineStr">
        <is>
          <t>Tropical dry forest</t>
        </is>
      </c>
      <c r="B11" s="3872" t="inlineStr">
        <is>
          <t>Subtropical steppe</t>
        </is>
      </c>
      <c r="C11" s="3872" t="inlineStr">
        <is>
          <t>Temperate mountain systems</t>
        </is>
      </c>
      <c r="D11" s="3872" t="inlineStr">
        <is>
          <t>Boreal mountain systems</t>
        </is>
      </c>
      <c r="E11" s="3873" t="n"/>
      <c r="G11" s="682" t="n">
        <v>3</v>
      </c>
      <c r="H11" s="3886">
        <f>IF(climate2="Please select", "", IF(ROWS(H$9:H11)&lt;=COUNTA(INDIRECT(H$8)), INDIRECT(H$8),""))</f>
        <v/>
      </c>
      <c r="I11" s="682">
        <f>IF($H11="", "", IF($H11="Mangrove Forest",VLOOKUP(clim_moist,IPCC!$A$1502:$G$1510,4,FALSE),INDEX(IPCC!$B$591:$AK$606,MATCH(continent_selected,IPCC!$A$591:$A$606,0),MATCH($H11,IPCC!$B$590:$AK$590,0))))</f>
        <v/>
      </c>
      <c r="J11" s="3299">
        <f>IF($I11="", "", $I11*0.47)</f>
        <v/>
      </c>
      <c r="K11" s="3299">
        <f>IF($H11="", "", ($L11*(1/0.47)))</f>
        <v/>
      </c>
      <c r="L11" s="4724">
        <f>IF($H11="", "", IF($H11="Mangrove Forest",VLOOKUP(clim_moist,IPCC!$A$1502:$G$1510,7,FALSE),IF(OR($J11&lt;=125,$J11&lt;=75),INDEX(IPCC!$B$618:$AI$633,MATCH(continent_selected,IPCC!$A$618:$A$633,0),MATCH($H11,IPCC!$B$616:$AI$616,0)),(IF(OR($J11&gt;125,$J11&gt;75),INDEX(IPCC!$AJ$618:$BS$633,MATCH(continent_selected,IPCC!$A$618:$A$633,0),MATCH($H11,IPCC!$AJ$616:$BS$616,0)),"")))*$J11))</f>
        <v/>
      </c>
      <c r="M11" s="682">
        <f>IF($H11 = "", "", IF($H11 = "Mangrove Forest", VLOOKUP(clim_moist, IPCC!$A$1502:$J$1511, 8, FALSE),   VLOOKUP($H11, IPCC!$A$643:$B$677, 2, FALSE)))</f>
        <v/>
      </c>
      <c r="N11" s="682">
        <f>IF($H11 = "", "", IF($H11 = "Mangrove Forest", VLOOKUP(clim_moist, IPCC!$A$1502:$J$1511, 9, FALSE),  VLOOKUP($H11, IPCC!$A$643:$C$677, 3, FALSE)))</f>
        <v/>
      </c>
      <c r="O11" s="682">
        <f>IF($H11="", "", SOCref)</f>
        <v/>
      </c>
      <c r="P11" s="683" t="n"/>
    </row>
    <row r="12">
      <c r="A12" s="3871" t="inlineStr">
        <is>
          <t>Tropical shrubland</t>
        </is>
      </c>
      <c r="B12" s="3872" t="inlineStr">
        <is>
          <t>Subtropical mountain systems</t>
        </is>
      </c>
      <c r="C12" s="3872" t="inlineStr">
        <is>
          <t>Temperate desert</t>
        </is>
      </c>
      <c r="D12" s="3872" t="inlineStr">
        <is>
          <t>Planted Boreal coniferous forest</t>
        </is>
      </c>
      <c r="E12" s="3873" t="n"/>
      <c r="G12" s="682" t="n">
        <v>4</v>
      </c>
      <c r="H12" s="3886">
        <f>IF(climate2="Please select", "", IF(ROWS(H$9:H12)&lt;=COUNTA(INDIRECT(H$8)), INDIRECT(H$8),""))</f>
        <v/>
      </c>
      <c r="I12" s="682">
        <f>IF($H12="", "", IF($H12="Mangrove Forest",VLOOKUP(clim_moist,IPCC!$A$1502:$G$1510,4,FALSE),INDEX(IPCC!$B$591:$AK$606,MATCH(continent_selected,IPCC!$A$591:$A$606,0),MATCH($H12,IPCC!$B$590:$AK$590,0))))</f>
        <v/>
      </c>
      <c r="J12" s="3299">
        <f>IF($I12="", "", $I12*0.47)</f>
        <v/>
      </c>
      <c r="K12" s="3299">
        <f>IF($H12="", "", ($L12*(1/0.47)))</f>
        <v/>
      </c>
      <c r="L12" s="4724">
        <f>IF($H12="", "", IF($H12="Mangrove Forest",VLOOKUP(clim_moist,IPCC!$A$1502:$G$1510,7,FALSE),IF(OR($J12&lt;=125,$J12&lt;=75),INDEX(IPCC!$B$618:$AI$633,MATCH(continent_selected,IPCC!$A$618:$A$633,0),MATCH($H12,IPCC!$B$616:$AI$616,0)),(IF(OR($J12&gt;125,$J12&gt;75),INDEX(IPCC!$AJ$618:$BS$633,MATCH(continent_selected,IPCC!$A$618:$A$633,0),MATCH($H12,IPCC!$AJ$616:$BS$616,0)),"")))*$J12))</f>
        <v/>
      </c>
      <c r="M12" s="682">
        <f>IF($H12 = "", "", IF($H12 = "Mangrove Forest", VLOOKUP(clim_moist, IPCC!$A$1502:$J$1511, 8, FALSE),   VLOOKUP($H12, IPCC!$A$643:$B$677, 2, FALSE)))</f>
        <v/>
      </c>
      <c r="N12" s="682">
        <f>IF($H12 = "", "", IF($H12 = "Mangrove Forest", VLOOKUP(clim_moist, IPCC!$A$1502:$J$1511, 9, FALSE),  VLOOKUP($H12, IPCC!$A$643:$C$677, 3, FALSE)))</f>
        <v/>
      </c>
      <c r="O12" s="682">
        <f>IF($H12="", "", SOCref)</f>
        <v/>
      </c>
      <c r="P12" s="683" t="n"/>
    </row>
    <row r="13">
      <c r="A13" s="3871" t="inlineStr">
        <is>
          <t>Mangrove Forest</t>
        </is>
      </c>
      <c r="B13" s="3872" t="inlineStr">
        <is>
          <t>Planted Subtropical humid forest</t>
        </is>
      </c>
      <c r="C13" s="3872" t="inlineStr">
        <is>
          <t>Temperate steppe</t>
        </is>
      </c>
      <c r="D13" s="3872" t="inlineStr">
        <is>
          <t>Planted Boreal tundra woodland</t>
        </is>
      </c>
      <c r="E13" s="3873" t="n"/>
      <c r="G13" s="682" t="n">
        <v>5</v>
      </c>
      <c r="H13" s="3886">
        <f>IF(climate2="Please select", "", IF(ROWS(H$9:H13)&lt;=COUNTA(INDIRECT(H$8)), INDIRECT(H$8),""))</f>
        <v/>
      </c>
      <c r="I13" s="682">
        <f>IF($H13="", "", IF($H13="Mangrove Forest",VLOOKUP(clim_moist,IPCC!$A$1502:$G$1510,4,FALSE),INDEX(IPCC!$B$591:$AK$606,MATCH(continent_selected,IPCC!$A$591:$A$606,0),MATCH($H13,IPCC!$B$590:$AK$590,0))))</f>
        <v/>
      </c>
      <c r="J13" s="3299">
        <f>IF($I13="", "", $I13*0.47)</f>
        <v/>
      </c>
      <c r="K13" s="3299">
        <f>IF($H13="", "", ($L13*(1/0.47)))</f>
        <v/>
      </c>
      <c r="L13" s="4724">
        <f>IF($H13="", "", IF($H13="Mangrove Forest",VLOOKUP(clim_moist,IPCC!$A$1502:$G$1510,7,FALSE),IF(OR($J13&lt;=125,$J13&lt;=75),INDEX(IPCC!$B$618:$AI$633,MATCH(continent_selected,IPCC!$A$618:$A$633,0),MATCH($H13,IPCC!$B$616:$AI$616,0)),(IF(OR($J13&gt;125,$J13&gt;75),INDEX(IPCC!$AJ$618:$BS$633,MATCH(continent_selected,IPCC!$A$618:$A$633,0),MATCH($H13,IPCC!$AJ$616:$BS$616,0)),"")))*$J13))</f>
        <v/>
      </c>
      <c r="M13" s="682">
        <f>IF($H13 = "", "", IF($H13 = "Mangrove Forest", VLOOKUP(clim_moist, IPCC!$A$1502:$J$1511, 8, FALSE),   VLOOKUP($H13, IPCC!$A$643:$B$677, 2, FALSE)))</f>
        <v/>
      </c>
      <c r="N13" s="682">
        <f>IF($H13 = "", "", IF($H13 = "Mangrove Forest", VLOOKUP(clim_moist, IPCC!$A$1502:$J$1511, 9, FALSE),  VLOOKUP($H13, IPCC!$A$643:$C$677, 3, FALSE)))</f>
        <v/>
      </c>
      <c r="O13" s="682">
        <f>IF($H13="", "", SOCref)</f>
        <v/>
      </c>
      <c r="P13" s="683" t="n"/>
    </row>
    <row r="14">
      <c r="A14" s="3871" t="inlineStr">
        <is>
          <t>Planted Tropical rainforest</t>
        </is>
      </c>
      <c r="B14" s="3872" t="inlineStr">
        <is>
          <t>Planted Subtropical dry forest</t>
        </is>
      </c>
      <c r="C14" s="3872" t="inlineStr">
        <is>
          <t>Planted Temperate oceanic forest</t>
        </is>
      </c>
      <c r="D14" s="3872" t="inlineStr">
        <is>
          <t>Planted Boreal mountain systems</t>
        </is>
      </c>
      <c r="E14" s="3873" t="n"/>
      <c r="G14" s="682" t="n">
        <v>6</v>
      </c>
      <c r="H14" s="3886">
        <f>IF(climate2="Please select", "", IF(ROWS(H$9:H14)&lt;=COUNTA(INDIRECT(H$8)), INDIRECT(H$8),""))</f>
        <v/>
      </c>
      <c r="I14" s="682">
        <f>IF($H14="", "", IF($H14="Mangrove Forest",VLOOKUP(clim_moist,IPCC!$A$1502:$G$1510,4,FALSE),INDEX(IPCC!$B$591:$AK$606,MATCH(continent_selected,IPCC!$A$591:$A$606,0),MATCH($H14,IPCC!$B$590:$AK$590,0))))</f>
        <v/>
      </c>
      <c r="J14" s="3299">
        <f>IF($I14="", "", $I14*0.47)</f>
        <v/>
      </c>
      <c r="K14" s="3299">
        <f>IF($H14="", "", ($L14*(1/0.47)))</f>
        <v/>
      </c>
      <c r="L14" s="4724">
        <f>IF($H14="", "", IF($H14="Mangrove Forest",VLOOKUP(clim_moist,IPCC!$A$1502:$G$1510,7,FALSE),IF(OR($J14&lt;=125,$J14&lt;=75),INDEX(IPCC!$B$618:$AI$633,MATCH(continent_selected,IPCC!$A$618:$A$633,0),MATCH($H14,IPCC!$B$616:$AI$616,0)),(IF(OR($J14&gt;125,$J14&gt;75),INDEX(IPCC!$AJ$618:$BS$633,MATCH(continent_selected,IPCC!$A$618:$A$633,0),MATCH($H14,IPCC!$AJ$616:$BS$616,0)),"")))*$J14))</f>
        <v/>
      </c>
      <c r="M14" s="682">
        <f>IF($H14 = "", "", IF($H14 = "Mangrove Forest", VLOOKUP(clim_moist, IPCC!$A$1502:$J$1511, 8, FALSE),   VLOOKUP($H14, IPCC!$A$643:$B$677, 2, FALSE)))</f>
        <v/>
      </c>
      <c r="N14" s="682">
        <f>IF($H14 = "", "", IF($H14 = "Mangrove Forest", VLOOKUP(clim_moist, IPCC!$A$1502:$J$1511, 9, FALSE),  VLOOKUP($H14, IPCC!$A$643:$C$677, 3, FALSE)))</f>
        <v/>
      </c>
      <c r="O14" s="682">
        <f>IF($H14="", "", SOCref)</f>
        <v/>
      </c>
      <c r="P14" s="683" t="n"/>
    </row>
    <row r="15">
      <c r="A15" s="3871" t="inlineStr">
        <is>
          <t>Planted Tropical moist deciduous forest</t>
        </is>
      </c>
      <c r="B15" s="3872" t="inlineStr">
        <is>
          <t>Planted Subtropical steppe</t>
        </is>
      </c>
      <c r="C15" s="3872" t="inlineStr">
        <is>
          <t>Planted Temperate continental forest</t>
        </is>
      </c>
      <c r="D15" s="3872" t="n"/>
      <c r="E15" s="3873" t="n"/>
      <c r="G15" s="682" t="n">
        <v>7</v>
      </c>
      <c r="H15" s="3886">
        <f>IF(climate2="Please select", "", IF(ROWS(H$9:H15)&lt;=COUNTA(INDIRECT(H$8)), INDIRECT(H$8),""))</f>
        <v/>
      </c>
      <c r="I15" s="682">
        <f>IF($H15="", "", IF($H15="Mangrove Forest",VLOOKUP(clim_moist,IPCC!$A$1502:$G$1510,4,FALSE),INDEX(IPCC!$B$591:$AK$606,MATCH(continent_selected,IPCC!$A$591:$A$606,0),MATCH($H15,IPCC!$B$590:$AK$590,0))))</f>
        <v/>
      </c>
      <c r="J15" s="3299">
        <f>IF($I15="", "", $I15*0.47)</f>
        <v/>
      </c>
      <c r="K15" s="3299">
        <f>IF($H15="", "", ($L15*(1/0.47)))</f>
        <v/>
      </c>
      <c r="L15" s="4724">
        <f>IF($H15="", "", IF($H15="Mangrove Forest",VLOOKUP(clim_moist,IPCC!$A$1502:$G$1510,7,FALSE),IF(OR($J15&lt;=125,$J15&lt;=75),INDEX(IPCC!$B$618:$AI$633,MATCH(continent_selected,IPCC!$A$618:$A$633,0),MATCH($H15,IPCC!$B$616:$AI$616,0)),(IF(OR($J15&gt;125,$J15&gt;75),INDEX(IPCC!$AJ$618:$BS$633,MATCH(continent_selected,IPCC!$A$618:$A$633,0),MATCH($H15,IPCC!$AJ$616:$BS$616,0)),"")))*$J15))</f>
        <v/>
      </c>
      <c r="M15" s="682">
        <f>IF($H15 = "", "", IF($H15 = "Mangrove Forest", VLOOKUP(clim_moist, IPCC!$A$1502:$J$1511, 8, FALSE),   VLOOKUP($H15, IPCC!$A$643:$B$677, 2, FALSE)))</f>
        <v/>
      </c>
      <c r="N15" s="682">
        <f>IF($H15 = "", "", IF($H15 = "Mangrove Forest", VLOOKUP(clim_moist, IPCC!$A$1502:$J$1511, 9, FALSE),  VLOOKUP($H15, IPCC!$A$643:$C$677, 3, FALSE)))</f>
        <v/>
      </c>
      <c r="O15" s="682">
        <f>IF($H15="", "", SOCref)</f>
        <v/>
      </c>
      <c r="P15" s="683" t="n"/>
    </row>
    <row r="16">
      <c r="A16" s="3871" t="inlineStr">
        <is>
          <t>Planted Tropical dry forest</t>
        </is>
      </c>
      <c r="B16" s="3872" t="inlineStr">
        <is>
          <t>Planted Subtropical mountain systems</t>
        </is>
      </c>
      <c r="C16" s="3872" t="inlineStr">
        <is>
          <t>Planted Temperate mountain systems</t>
        </is>
      </c>
      <c r="D16" s="3872" t="n"/>
      <c r="E16" s="3873" t="n"/>
      <c r="G16" s="682" t="n">
        <v>8</v>
      </c>
      <c r="H16" s="3886">
        <f>IF(climate2="Please select", "", IF(ROWS(H$9:H16)&lt;=COUNTA(INDIRECT(H$8)), INDIRECT(H$8),""))</f>
        <v/>
      </c>
      <c r="I16" s="682">
        <f>IF($H16="", "", IF($H16="Mangrove Forest",VLOOKUP(clim_moist,IPCC!$A$1502:$G$1510,4,FALSE),INDEX(IPCC!$B$591:$AK$606,MATCH(continent_selected,IPCC!$A$591:$A$606,0),MATCH($H16,IPCC!$B$590:$AK$590,0))))</f>
        <v/>
      </c>
      <c r="J16" s="3299">
        <f>IF($I16="", "", $I16*0.47)</f>
        <v/>
      </c>
      <c r="K16" s="3299">
        <f>IF($H16="", "", ($L16*(1/0.47)))</f>
        <v/>
      </c>
      <c r="L16" s="4724">
        <f>IF($H16="", "", IF($H16="Mangrove Forest",VLOOKUP(clim_moist,IPCC!$A$1502:$G$1510,7,FALSE),IF(OR($J16&lt;=125,$J16&lt;=75),INDEX(IPCC!$B$618:$AI$633,MATCH(continent_selected,IPCC!$A$618:$A$633,0),MATCH($H16,IPCC!$B$616:$AI$616,0)),(IF(OR($J16&gt;125,$J16&gt;75),INDEX(IPCC!$AJ$618:$BS$633,MATCH(continent_selected,IPCC!$A$618:$A$633,0),MATCH($H16,IPCC!$AJ$616:$BS$616,0)),"")))*$J16))</f>
        <v/>
      </c>
      <c r="M16" s="682">
        <f>IF($H16 = "", "", IF($H16 = "Mangrove Forest", VLOOKUP(clim_moist, IPCC!$A$1502:$J$1511, 8, FALSE),   VLOOKUP($H16, IPCC!$A$643:$B$677, 2, FALSE)))</f>
        <v/>
      </c>
      <c r="N16" s="682">
        <f>IF($H16 = "", "", IF($H16 = "Mangrove Forest", VLOOKUP(clim_moist, IPCC!$A$1502:$J$1511, 9, FALSE),  VLOOKUP($H16, IPCC!$A$643:$C$677, 3, FALSE)))</f>
        <v/>
      </c>
      <c r="O16" s="682">
        <f>IF($H16="", "", SOCref)</f>
        <v/>
      </c>
      <c r="P16" s="683" t="n"/>
    </row>
    <row r="17">
      <c r="A17" s="3871" t="inlineStr">
        <is>
          <t>Planted  Tropical shrubland</t>
        </is>
      </c>
      <c r="B17" s="3872" t="inlineStr">
        <is>
          <t>Mangrove Forest</t>
        </is>
      </c>
      <c r="C17" s="3872" t="inlineStr">
        <is>
          <t>Planted Temperate desert</t>
        </is>
      </c>
      <c r="D17" s="3872" t="n"/>
      <c r="E17" s="3873" t="n"/>
      <c r="G17" s="682" t="n">
        <v>9</v>
      </c>
      <c r="H17" s="3886">
        <f>IF(climate2="Please select", "", IF(ROWS(H$9:H17)&lt;=COUNTA(INDIRECT(H$8)), INDIRECT(H$8),""))</f>
        <v/>
      </c>
      <c r="I17" s="682">
        <f>IF($H17="", "", IF($H17="Mangrove Forest",VLOOKUP(clim_moist,IPCC!$A$1502:$G$1510,4,FALSE),INDEX(IPCC!$B$591:$AK$606,MATCH(continent_selected,IPCC!$A$591:$A$606,0),MATCH($H17,IPCC!$B$590:$AK$590,0))))</f>
        <v/>
      </c>
      <c r="J17" s="3299">
        <f>IF($I17="", "", $I17*0.47)</f>
        <v/>
      </c>
      <c r="K17" s="3299">
        <f>IF($H17="", "", ($L17*(1/0.47)))</f>
        <v/>
      </c>
      <c r="L17" s="4724">
        <f>IF($H17="", "", IF($H17="Mangrove Forest",VLOOKUP(clim_moist,IPCC!$A$1502:$G$1510,7,FALSE),IF(OR($J17&lt;=125,$J17&lt;=75),INDEX(IPCC!$B$618:$AI$633,MATCH(continent_selected,IPCC!$A$618:$A$633,0),MATCH($H17,IPCC!$B$616:$AI$616,0)),(IF(OR($J17&gt;125,$J17&gt;75),INDEX(IPCC!$AJ$618:$BS$633,MATCH(continent_selected,IPCC!$A$618:$A$633,0),MATCH($H17,IPCC!$AJ$616:$BS$616,0)),"")))*$J17))</f>
        <v/>
      </c>
      <c r="M17" s="682">
        <f>IF($H17 = "", "", IF($H17 = "Mangrove Forest", VLOOKUP(clim_moist, IPCC!$A$1502:$J$1511, 8, FALSE),   VLOOKUP($H17, IPCC!$A$643:$B$677, 2, FALSE)))</f>
        <v/>
      </c>
      <c r="N17" s="682">
        <f>IF($H17 = "", "", IF($H17 = "Mangrove Forest", VLOOKUP(clim_moist, IPCC!$A$1502:$J$1511, 9, FALSE),  VLOOKUP($H17, IPCC!$A$643:$C$677, 3, FALSE)))</f>
        <v/>
      </c>
      <c r="O17" s="682">
        <f>IF($H17="", "", SOCref)</f>
        <v/>
      </c>
      <c r="P17" s="683" t="n"/>
    </row>
    <row r="18">
      <c r="A18" s="3874" t="n"/>
      <c r="B18" s="3875" t="n"/>
      <c r="C18" s="3875" t="inlineStr">
        <is>
          <t>Planted Temperate steppe</t>
        </is>
      </c>
      <c r="D18" s="3875" t="n"/>
      <c r="E18" s="3876" t="n"/>
      <c r="G18" s="682" t="n">
        <v>10</v>
      </c>
      <c r="H18" s="3886">
        <f>IF(climate2="Please select", "", IF(ROWS(H$9:H18)&lt;=COUNTA(INDIRECT(H$8)), INDIRECT(H$8),""))</f>
        <v/>
      </c>
      <c r="I18" s="682">
        <f>IF($H18="", "", IF($H18="Mangrove Forest",VLOOKUP(clim_moist,IPCC!$A$1502:$G$1510,4,FALSE),INDEX(IPCC!$B$591:$AK$606,MATCH(continent_selected,IPCC!$A$591:$A$606,0),MATCH($H18,IPCC!$B$590:$AK$590,0))))</f>
        <v/>
      </c>
      <c r="J18" s="3299">
        <f>IF($I18="", "", $I18*0.47)</f>
        <v/>
      </c>
      <c r="K18" s="3299">
        <f>IF($H18="", "", ($L18*(1/0.47)))</f>
        <v/>
      </c>
      <c r="L18" s="4724">
        <f>IF($H18="", "", IF($H18="Mangrove Forest",VLOOKUP(clim_moist,IPCC!$A$1502:$G$1510,7,FALSE),IF(OR($J18&lt;=125,$J18&lt;=75),INDEX(IPCC!$B$618:$AI$633,MATCH(continent_selected,IPCC!$A$618:$A$633,0),MATCH($H18,IPCC!$B$616:$AI$616,0)),(IF(OR($J18&gt;125,$J18&gt;75),INDEX(IPCC!$AJ$618:$BS$633,MATCH(continent_selected,IPCC!$A$618:$A$633,0),MATCH($H18,IPCC!$AJ$616:$BS$616,0)),"")))*$J18))</f>
        <v/>
      </c>
      <c r="M18" s="682">
        <f>IF($H18 = "", "", IF($H18 = "Mangrove Forest", VLOOKUP(clim_moist, IPCC!$A$1502:$J$1511, 8, FALSE),   VLOOKUP($H18, IPCC!$A$643:$B$677, 2, FALSE)))</f>
        <v/>
      </c>
      <c r="N18" s="682">
        <f>IF($H18 = "", "", IF($H18 = "Mangrove Forest", VLOOKUP(clim_moist, IPCC!$A$1502:$J$1511, 9, FALSE),  VLOOKUP($H18, IPCC!$A$643:$C$677, 3, FALSE)))</f>
        <v/>
      </c>
      <c r="O18" s="682">
        <f>IF($H18="", "", SOCref)</f>
        <v/>
      </c>
      <c r="P18" s="683" t="n"/>
    </row>
    <row r="21">
      <c r="C21" s="3887" t="inlineStr">
        <is>
          <t>Degradation level</t>
        </is>
      </c>
      <c r="D21" s="3887" t="inlineStr">
        <is>
          <t>% of biomass lost</t>
        </is>
      </c>
      <c r="T21" s="2561" t="inlineStr">
        <is>
          <t>Land use, mngt and input factor for soil</t>
        </is>
      </c>
      <c r="U21" s="2561" t="n"/>
      <c r="V21" s="2561" t="n"/>
      <c r="W21" s="2561" t="n"/>
      <c r="X21" s="1202" t="n"/>
      <c r="Y21" s="1202" t="n"/>
      <c r="Z21" s="1202" t="n"/>
      <c r="AA21" s="1202" t="n"/>
    </row>
    <row r="22">
      <c r="C22" s="480" t="inlineStr">
        <is>
          <t>Please select</t>
        </is>
      </c>
      <c r="D22" s="483" t="inlineStr">
        <is>
          <t>?</t>
        </is>
      </c>
      <c r="G22" s="685" t="n"/>
      <c r="H22" s="797" t="inlineStr">
        <is>
          <t>Forest classes</t>
        </is>
      </c>
      <c r="I22" s="806" t="inlineStr">
        <is>
          <t>AGB</t>
        </is>
      </c>
      <c r="J22" s="806" t="inlineStr">
        <is>
          <t>AGB</t>
        </is>
      </c>
      <c r="K22" s="225" t="inlineStr">
        <is>
          <t>BGB</t>
        </is>
      </c>
      <c r="L22" s="225" t="inlineStr">
        <is>
          <t>BGB</t>
        </is>
      </c>
      <c r="M22" s="225" t="inlineStr">
        <is>
          <t>Litter</t>
        </is>
      </c>
      <c r="N22" s="225" t="inlineStr">
        <is>
          <t>Dead Wood</t>
        </is>
      </c>
      <c r="O22" s="2558" t="inlineStr">
        <is>
          <t>SOC ref</t>
        </is>
      </c>
      <c r="P22" s="3" t="inlineStr">
        <is>
          <t xml:space="preserve">Tot Biomass </t>
        </is>
      </c>
      <c r="Q22" s="777" t="inlineStr">
        <is>
          <t>DOM</t>
        </is>
      </c>
      <c r="T22" s="784" t="inlineStr">
        <is>
          <t>Land use factor</t>
        </is>
      </c>
      <c r="U22" s="784" t="n"/>
      <c r="V22" s="784" t="n"/>
      <c r="W22" s="784" t="n"/>
      <c r="X22" s="284" t="n"/>
      <c r="Y22" s="284" t="n"/>
      <c r="Z22" s="284" t="n"/>
      <c r="AA22" s="284" t="n"/>
    </row>
    <row r="23">
      <c r="C23" s="480" t="inlineStr">
        <is>
          <t>None</t>
        </is>
      </c>
      <c r="D23" s="483" t="n">
        <v>0</v>
      </c>
      <c r="G23" s="2" t="n"/>
      <c r="H23" s="798" t="inlineStr">
        <is>
          <t xml:space="preserve"> selected by  Users</t>
        </is>
      </c>
      <c r="I23" s="807" t="inlineStr">
        <is>
          <t>ton d.m /ha</t>
        </is>
      </c>
      <c r="J23" s="808" t="inlineStr">
        <is>
          <t>t C/ha</t>
        </is>
      </c>
      <c r="K23" s="808" t="inlineStr">
        <is>
          <t>ton d.m /ha</t>
        </is>
      </c>
      <c r="L23" s="808" t="inlineStr">
        <is>
          <t>t C/ha</t>
        </is>
      </c>
      <c r="M23" s="808" t="inlineStr">
        <is>
          <t>t C/ha</t>
        </is>
      </c>
      <c r="N23" s="808" t="inlineStr">
        <is>
          <t>t C/ha</t>
        </is>
      </c>
      <c r="O23" s="809" t="inlineStr">
        <is>
          <t>t C/ha</t>
        </is>
      </c>
      <c r="P23" s="783" t="inlineStr">
        <is>
          <t>AGB + BGB</t>
        </is>
      </c>
      <c r="Q23" s="781" t="inlineStr">
        <is>
          <t>Dead wood + litter</t>
        </is>
      </c>
      <c r="T23" s="784" t="n"/>
      <c r="U23" s="784" t="inlineStr">
        <is>
          <t>Start</t>
        </is>
      </c>
      <c r="V23" s="784" t="inlineStr">
        <is>
          <t>Without</t>
        </is>
      </c>
      <c r="W23" s="784" t="inlineStr">
        <is>
          <t>With</t>
        </is>
      </c>
      <c r="X23" s="284" t="n"/>
      <c r="Y23" s="284" t="n"/>
      <c r="Z23" s="284" t="n"/>
      <c r="AA23" s="284" t="n"/>
    </row>
    <row r="24">
      <c r="C24" s="480" t="inlineStr">
        <is>
          <t>Very low</t>
        </is>
      </c>
      <c r="D24" s="483" t="n">
        <v>10</v>
      </c>
      <c r="G24" s="795" t="inlineStr">
        <is>
          <t xml:space="preserve">SI. </t>
        </is>
      </c>
      <c r="H24" s="796" t="n"/>
      <c r="I24" s="800" t="inlineStr">
        <is>
          <t>pick Tier 2, if available</t>
        </is>
      </c>
      <c r="J24" s="801" t="inlineStr">
        <is>
          <t>pick Tier 2, if available</t>
        </is>
      </c>
      <c r="K24" s="799" t="inlineStr">
        <is>
          <t>pick Tier 2, if available</t>
        </is>
      </c>
      <c r="L24" s="799" t="inlineStr">
        <is>
          <t>pick Tier 2, if available</t>
        </is>
      </c>
      <c r="M24" s="799" t="inlineStr">
        <is>
          <t>pick Tier 2, if available</t>
        </is>
      </c>
      <c r="N24" s="799" t="inlineStr">
        <is>
          <t>pick Tier 2, if available</t>
        </is>
      </c>
      <c r="O24" s="799" t="inlineStr">
        <is>
          <t>pick Tier 2, if available</t>
        </is>
      </c>
      <c r="P24" s="810" t="inlineStr">
        <is>
          <t>t C/ha</t>
        </is>
      </c>
      <c r="Q24" s="808" t="inlineStr">
        <is>
          <t>t C/ha</t>
        </is>
      </c>
      <c r="T24" s="784" t="inlineStr">
        <is>
          <t>Default</t>
        </is>
      </c>
      <c r="U24" s="784" t="n"/>
      <c r="V24" s="784" t="n"/>
      <c r="W24" s="784" t="n"/>
      <c r="X24" s="284" t="n"/>
      <c r="Y24" s="284" t="n"/>
      <c r="Z24" s="284" t="n"/>
      <c r="AA24" s="284" t="n"/>
    </row>
    <row r="25">
      <c r="C25" s="480" t="inlineStr">
        <is>
          <t>Low</t>
        </is>
      </c>
      <c r="D25" s="483" t="n">
        <v>20</v>
      </c>
      <c r="G25" s="679" t="n">
        <v>1</v>
      </c>
      <c r="H25" s="1">
        <f>'5.Management'!$C13</f>
        <v/>
      </c>
      <c r="I25" s="1242">
        <f>IF(H25 &lt;&gt; "Please select",( J25*(1/0.47)), 0)</f>
        <v/>
      </c>
      <c r="J25" s="814">
        <f>IF('5.Management'!AZ13="", '5.Management'!AY13, '5.Management'!AZ13)</f>
        <v/>
      </c>
      <c r="K25" s="1242">
        <f>IF(L25="", "", L25*(1/0.47))</f>
        <v/>
      </c>
      <c r="L25" s="814">
        <f>IF('5.Management'!$BB13="", '5.Management'!$BA13, '5.Management'!$BB13)</f>
        <v/>
      </c>
      <c r="M25" s="679">
        <f>IF('5.Management'!$BD13="", '5.Management'!$BC13, '5.Management'!$BD13)</f>
        <v/>
      </c>
      <c r="N25" s="679">
        <f>IF('5.Management'!$BF13="", '5.Management'!$BE13, '5.Management'!$BF13)</f>
        <v/>
      </c>
      <c r="O25" s="679">
        <f>IF('5.Management'!$BI13="", '5.Management'!$BH13, '5.Management'!$BI13)</f>
        <v/>
      </c>
      <c r="P25" s="803">
        <f>J25+L25</f>
        <v/>
      </c>
      <c r="Q25" s="675">
        <f>M25+N25</f>
        <v/>
      </c>
      <c r="T25" s="4659" t="n">
        <v>1</v>
      </c>
      <c r="U25" s="4660">
        <f>IF('5.Management'!BL13="",'5.Management'!$BK13,'5.Management'!BL13)</f>
        <v/>
      </c>
      <c r="V25" s="4660">
        <f>IF('5.Management'!BM13="",'5.Management'!$BK13,'5.Management'!BM13)</f>
        <v/>
      </c>
      <c r="W25" s="4660">
        <f>IF('5.Management'!BN13="",'5.Management'!$BK13,'5.Management'!BN13)</f>
        <v/>
      </c>
      <c r="X25" s="4725" t="n"/>
      <c r="Y25" s="4724" t="n"/>
      <c r="Z25" s="4724" t="n"/>
      <c r="AA25" s="4724" t="n"/>
    </row>
    <row r="26">
      <c r="C26" s="480" t="inlineStr">
        <is>
          <t>Moderate</t>
        </is>
      </c>
      <c r="D26" s="483" t="n">
        <v>40</v>
      </c>
      <c r="G26" s="678" t="n">
        <v>2</v>
      </c>
      <c r="H26" s="1">
        <f>'5.Management'!$C14</f>
        <v/>
      </c>
      <c r="I26" s="1243">
        <f>IF(H26 &lt;&gt; "Please select",( J26*(1/0.47)), 0)</f>
        <v/>
      </c>
      <c r="J26" s="815">
        <f>IF('5.Management'!AZ14="", '5.Management'!AY14, '5.Management'!AZ14)</f>
        <v/>
      </c>
      <c r="K26" s="1243">
        <f>IF(L26="", "", L26*(1/0.47))</f>
        <v/>
      </c>
      <c r="L26" s="815">
        <f>IF('5.Management'!$BB14="", '5.Management'!$BA14, '5.Management'!$BB14)</f>
        <v/>
      </c>
      <c r="M26" s="678">
        <f>IF('5.Management'!$BD14="", '5.Management'!$BC14, '5.Management'!$BD14)</f>
        <v/>
      </c>
      <c r="N26" s="678">
        <f>IF('5.Management'!$BF14="", '5.Management'!$BE14, '5.Management'!$BF14)</f>
        <v/>
      </c>
      <c r="O26" s="678">
        <f>IF('5.Management'!$BI14="", '5.Management'!$BH14, '5.Management'!$BI14)</f>
        <v/>
      </c>
      <c r="P26" s="804">
        <f>J26+L26</f>
        <v/>
      </c>
      <c r="Q26" s="673">
        <f>M26+N26</f>
        <v/>
      </c>
      <c r="T26" s="4659" t="n">
        <v>1</v>
      </c>
      <c r="U26" s="4660">
        <f>IF('5.Management'!BL14="",'5.Management'!$BK14,'5.Management'!BL14)</f>
        <v/>
      </c>
      <c r="V26" s="4660">
        <f>IF('5.Management'!BM14="",'5.Management'!$BK14,'5.Management'!BM14)</f>
        <v/>
      </c>
      <c r="W26" s="4660">
        <f>IF('5.Management'!BN14="",'5.Management'!$BK14,'5.Management'!BN14)</f>
        <v/>
      </c>
      <c r="X26" s="4725" t="n"/>
      <c r="Y26" s="4724" t="n"/>
      <c r="Z26" s="4724" t="n"/>
      <c r="AA26" s="4724" t="n"/>
    </row>
    <row r="27">
      <c r="C27" s="480" t="inlineStr">
        <is>
          <t>Large</t>
        </is>
      </c>
      <c r="D27" s="483" t="n">
        <v>60</v>
      </c>
      <c r="G27" s="678" t="n">
        <v>3</v>
      </c>
      <c r="H27" s="1">
        <f>'5.Management'!$C15</f>
        <v/>
      </c>
      <c r="I27" s="1243">
        <f>IF(H27 &lt;&gt; "Please select",( J27*(1/0.47)), 0)</f>
        <v/>
      </c>
      <c r="J27" s="815">
        <f>IF('5.Management'!AZ15="", '5.Management'!AY15, '5.Management'!AZ15)</f>
        <v/>
      </c>
      <c r="K27" s="1243">
        <f>IF(L27="", "", L27*(1/0.47))</f>
        <v/>
      </c>
      <c r="L27" s="815">
        <f>IF('5.Management'!$BB15="", '5.Management'!$BA15, '5.Management'!$BB15)</f>
        <v/>
      </c>
      <c r="M27" s="678">
        <f>IF('5.Management'!$BD15="", '5.Management'!$BC15, '5.Management'!$BD15)</f>
        <v/>
      </c>
      <c r="N27" s="678">
        <f>IF('5.Management'!$BF15="", '5.Management'!$BE15, '5.Management'!$BF15)</f>
        <v/>
      </c>
      <c r="O27" s="678">
        <f>IF('5.Management'!$BI15="", '5.Management'!$BH15, '5.Management'!$BI15)</f>
        <v/>
      </c>
      <c r="P27" s="804">
        <f>J27+L27</f>
        <v/>
      </c>
      <c r="Q27" s="673">
        <f>M27+N27</f>
        <v/>
      </c>
      <c r="T27" s="4659" t="n">
        <v>1</v>
      </c>
      <c r="U27" s="4660">
        <f>IF('5.Management'!BL15="",'5.Management'!$BK15,'5.Management'!BL15)</f>
        <v/>
      </c>
      <c r="V27" s="4660">
        <f>IF('5.Management'!BM15="",'5.Management'!$BK15,'5.Management'!BM15)</f>
        <v/>
      </c>
      <c r="W27" s="4660">
        <f>IF('5.Management'!BN15="",'5.Management'!$BK15,'5.Management'!BN15)</f>
        <v/>
      </c>
      <c r="X27" s="4725" t="n"/>
      <c r="Y27" s="4724" t="n"/>
      <c r="Z27" s="4724" t="n"/>
      <c r="AA27" s="4724" t="n"/>
    </row>
    <row r="28">
      <c r="C28" s="479" t="inlineStr">
        <is>
          <t>Extrem</t>
        </is>
      </c>
      <c r="D28" s="3888" t="n">
        <v>80</v>
      </c>
      <c r="G28" s="678" t="n">
        <v>4</v>
      </c>
      <c r="H28" s="1">
        <f>'5.Management'!$C16</f>
        <v/>
      </c>
      <c r="I28" s="1243">
        <f>IF(H28 &lt;&gt; "Please select",( J28*(1/0.47)), 0)</f>
        <v/>
      </c>
      <c r="J28" s="815">
        <f>IF('5.Management'!AZ16="", '5.Management'!AY16, '5.Management'!AZ16)</f>
        <v/>
      </c>
      <c r="K28" s="1243">
        <f>IF(L28="", "", L28*(1/0.47))</f>
        <v/>
      </c>
      <c r="L28" s="815">
        <f>IF('5.Management'!$BB16="", '5.Management'!$BA16, '5.Management'!$BB16)</f>
        <v/>
      </c>
      <c r="M28" s="678">
        <f>IF('5.Management'!$BD16="", '5.Management'!$BC16, '5.Management'!$BD16)</f>
        <v/>
      </c>
      <c r="N28" s="678">
        <f>IF('5.Management'!$BF16="", '5.Management'!$BE16, '5.Management'!$BF16)</f>
        <v/>
      </c>
      <c r="O28" s="678">
        <f>IF('5.Management'!$BI16="", '5.Management'!$BH16, '5.Management'!$BI16)</f>
        <v/>
      </c>
      <c r="P28" s="804">
        <f>J28+L28</f>
        <v/>
      </c>
      <c r="Q28" s="673">
        <f>M28+N28</f>
        <v/>
      </c>
      <c r="T28" s="4659" t="n">
        <v>1</v>
      </c>
      <c r="U28" s="4660">
        <f>IF('5.Management'!BL16="",'5.Management'!$BK16,'5.Management'!BL16)</f>
        <v/>
      </c>
      <c r="V28" s="4660">
        <f>IF('5.Management'!BM16="",'5.Management'!$BK16,'5.Management'!BM16)</f>
        <v/>
      </c>
      <c r="W28" s="4660">
        <f>IF('5.Management'!BN16="",'5.Management'!$BK16,'5.Management'!BN16)</f>
        <v/>
      </c>
      <c r="X28" s="4725" t="n"/>
      <c r="Y28" s="4724" t="n"/>
      <c r="Z28" s="4724" t="n"/>
      <c r="AA28" s="4724" t="n"/>
    </row>
    <row r="29">
      <c r="G29" s="678" t="n">
        <v>5</v>
      </c>
      <c r="H29" s="1">
        <f>'5.Management'!$C17</f>
        <v/>
      </c>
      <c r="I29" s="1243">
        <f>IF(H29 &lt;&gt; "Please select",( J29*(1/0.47)), 0)</f>
        <v/>
      </c>
      <c r="J29" s="815">
        <f>IF('5.Management'!AZ17="", '5.Management'!AY17, '5.Management'!AZ17)</f>
        <v/>
      </c>
      <c r="K29" s="1243">
        <f>IF(L29="", "", L29*(1/0.47))</f>
        <v/>
      </c>
      <c r="L29" s="815">
        <f>IF('5.Management'!$BB17="", '5.Management'!$BA17, '5.Management'!$BB17)</f>
        <v/>
      </c>
      <c r="M29" s="678">
        <f>IF('5.Management'!$BD17="", '5.Management'!$BC17, '5.Management'!$BD17)</f>
        <v/>
      </c>
      <c r="N29" s="678">
        <f>IF('5.Management'!$BF17="", '5.Management'!$BE17, '5.Management'!$BF17)</f>
        <v/>
      </c>
      <c r="O29" s="678">
        <f>IF('5.Management'!$BI17="", '5.Management'!$BH17, '5.Management'!$BI17)</f>
        <v/>
      </c>
      <c r="P29" s="804">
        <f>J29+L29</f>
        <v/>
      </c>
      <c r="Q29" s="673">
        <f>M29+N29</f>
        <v/>
      </c>
      <c r="T29" s="4659" t="n">
        <v>1</v>
      </c>
      <c r="U29" s="4660">
        <f>IF('5.Management'!BL17="",'5.Management'!$BK17,'5.Management'!BL17)</f>
        <v/>
      </c>
      <c r="V29" s="4660">
        <f>IF('5.Management'!BM17="",'5.Management'!$BK17,'5.Management'!BM17)</f>
        <v/>
      </c>
      <c r="W29" s="4660">
        <f>IF('5.Management'!BN17="",'5.Management'!$BK17,'5.Management'!BN17)</f>
        <v/>
      </c>
      <c r="X29" s="4725" t="n"/>
      <c r="Y29" s="4724" t="n"/>
      <c r="Z29" s="4724" t="n"/>
      <c r="AA29" s="4724" t="n"/>
    </row>
    <row r="30">
      <c r="G30" s="678" t="n">
        <v>6</v>
      </c>
      <c r="H30" s="1">
        <f>'5.Management'!$C18</f>
        <v/>
      </c>
      <c r="I30" s="1243">
        <f>IF(H30 &lt;&gt; "Please select",( J30*(1/0.47)), 0)</f>
        <v/>
      </c>
      <c r="J30" s="815">
        <f>IF('5.Management'!AZ18="", '5.Management'!AY18, '5.Management'!AZ18)</f>
        <v/>
      </c>
      <c r="K30" s="1243">
        <f>IF(L30="", "", L30*(1/0.47))</f>
        <v/>
      </c>
      <c r="L30" s="815">
        <f>IF('5.Management'!$BB18="", '5.Management'!$BA18, '5.Management'!$BB18)</f>
        <v/>
      </c>
      <c r="M30" s="678">
        <f>IF('5.Management'!$BD18="", '5.Management'!$BC18, '5.Management'!$BD18)</f>
        <v/>
      </c>
      <c r="N30" s="678">
        <f>IF('5.Management'!$BF18="", '5.Management'!$BE18, '5.Management'!$BF18)</f>
        <v/>
      </c>
      <c r="O30" s="678">
        <f>IF('5.Management'!$BI18="", '5.Management'!$BH18, '5.Management'!$BI18)</f>
        <v/>
      </c>
      <c r="P30" s="804">
        <f>J30+L30</f>
        <v/>
      </c>
      <c r="Q30" s="673">
        <f>M30+N30</f>
        <v/>
      </c>
      <c r="T30" s="4659" t="n">
        <v>1</v>
      </c>
      <c r="U30" s="4660">
        <f>IF('5.Management'!BL18="",'5.Management'!$BK18,'5.Management'!BL18)</f>
        <v/>
      </c>
      <c r="V30" s="4660">
        <f>IF('5.Management'!BM18="",'5.Management'!$BK18,'5.Management'!BM18)</f>
        <v/>
      </c>
      <c r="W30" s="4660">
        <f>IF('5.Management'!BN18="",'5.Management'!$BK18,'5.Management'!BN18)</f>
        <v/>
      </c>
      <c r="X30" s="4725" t="n"/>
      <c r="Y30" s="4724" t="n"/>
      <c r="Z30" s="4724" t="n"/>
      <c r="AA30" s="4724" t="n"/>
    </row>
    <row r="31">
      <c r="G31" s="678" t="n">
        <v>7</v>
      </c>
      <c r="H31" s="1">
        <f>'5.Management'!$C19</f>
        <v/>
      </c>
      <c r="I31" s="1243">
        <f>IF(H31 &lt;&gt; "Please select",( J31*(1/0.47)), 0)</f>
        <v/>
      </c>
      <c r="J31" s="815">
        <f>IF('5.Management'!AZ19="", '5.Management'!AY19, '5.Management'!AZ19)</f>
        <v/>
      </c>
      <c r="K31" s="1243">
        <f>IF(L31="", "", L31*(1/0.47))</f>
        <v/>
      </c>
      <c r="L31" s="815">
        <f>IF('5.Management'!$BB19="", '5.Management'!$BA19, '5.Management'!$BB19)</f>
        <v/>
      </c>
      <c r="M31" s="678">
        <f>IF('5.Management'!$BD19="", '5.Management'!$BC19, '5.Management'!$BD19)</f>
        <v/>
      </c>
      <c r="N31" s="678">
        <f>IF('5.Management'!$BF19="", '5.Management'!$BE19, '5.Management'!$BF19)</f>
        <v/>
      </c>
      <c r="O31" s="678">
        <f>IF('5.Management'!$BI19="", '5.Management'!$BH19, '5.Management'!$BI19)</f>
        <v/>
      </c>
      <c r="P31" s="804">
        <f>J31+L31</f>
        <v/>
      </c>
      <c r="Q31" s="673">
        <f>M31+N31</f>
        <v/>
      </c>
      <c r="T31" s="4659" t="n">
        <v>1</v>
      </c>
      <c r="U31" s="4660">
        <f>IF('5.Management'!BL19="",'5.Management'!$BK19,'5.Management'!BL19)</f>
        <v/>
      </c>
      <c r="V31" s="4660">
        <f>IF('5.Management'!BM19="",'5.Management'!$BK19,'5.Management'!BM19)</f>
        <v/>
      </c>
      <c r="W31" s="4660">
        <f>IF('5.Management'!BN19="",'5.Management'!$BK19,'5.Management'!BN19)</f>
        <v/>
      </c>
      <c r="X31" s="4725" t="n"/>
      <c r="Y31" s="4724" t="n"/>
      <c r="Z31" s="4724" t="n"/>
      <c r="AA31" s="4724" t="n"/>
    </row>
    <row r="32">
      <c r="G32" s="680" t="n">
        <v>8</v>
      </c>
      <c r="H32" s="2">
        <f>'5.Management'!$C20</f>
        <v/>
      </c>
      <c r="I32" s="1244">
        <f>IF(H32 &lt;&gt; "Please select",( J32*(1/0.47)), 0)</f>
        <v/>
      </c>
      <c r="J32" s="816">
        <f>IF('5.Management'!AZ20="", '5.Management'!AY20, '5.Management'!AZ20)</f>
        <v/>
      </c>
      <c r="K32" s="1244">
        <f>IF(L32="", "", L32*(1/0.47))</f>
        <v/>
      </c>
      <c r="L32" s="816">
        <f>IF('5.Management'!$BB20="", '5.Management'!$BA20, '5.Management'!$BB20)</f>
        <v/>
      </c>
      <c r="M32" s="680">
        <f>IF('5.Management'!$BD20="", '5.Management'!$BC20, '5.Management'!$BD20)</f>
        <v/>
      </c>
      <c r="N32" s="680">
        <f>IF('5.Management'!$BF20="", '5.Management'!$BE20, '5.Management'!$BF20)</f>
        <v/>
      </c>
      <c r="O32" s="680">
        <f>IF('5.Management'!$BI20="", '5.Management'!$BH20, '5.Management'!$BI20)</f>
        <v/>
      </c>
      <c r="P32" s="805">
        <f>J32+L32</f>
        <v/>
      </c>
      <c r="Q32" s="677">
        <f>M32+N32</f>
        <v/>
      </c>
      <c r="T32" s="4659" t="n">
        <v>1</v>
      </c>
      <c r="U32" s="4660">
        <f>IF('5.Management'!BL20="",'5.Management'!$BK20,'5.Management'!BL20)</f>
        <v/>
      </c>
      <c r="V32" s="4660">
        <f>IF('5.Management'!BM20="",'5.Management'!$BK20,'5.Management'!BM20)</f>
        <v/>
      </c>
      <c r="W32" s="4660">
        <f>IF('5.Management'!BN20="",'5.Management'!$BK20,'5.Management'!BN20)</f>
        <v/>
      </c>
      <c r="X32" s="4725" t="n"/>
      <c r="Y32" s="4724" t="n"/>
      <c r="Z32" s="4724" t="n"/>
      <c r="AA32" s="4724" t="n"/>
    </row>
    <row r="34">
      <c r="K34" s="802" t="n"/>
    </row>
    <row r="35" ht="24" customHeight="1">
      <c r="AW35" s="818" t="inlineStr">
        <is>
          <t>To be double checked !!! Equations taken from EX-ACT v7 have been revised !!!! Please CHECK</t>
        </is>
      </c>
      <c r="AX35" s="818" t="n"/>
      <c r="AY35" s="818" t="n"/>
      <c r="AZ35" s="818" t="n"/>
      <c r="BA35" s="818" t="n"/>
      <c r="BB35" s="818" t="n"/>
    </row>
    <row r="36">
      <c r="AU36" s="3809" t="inlineStr">
        <is>
          <t>Implementation phase alone</t>
        </is>
      </c>
      <c r="AV36" s="3810" t="n"/>
      <c r="AW36" s="3810" t="n"/>
      <c r="AX36" s="3810" t="n"/>
      <c r="AY36" s="3810" t="n"/>
      <c r="AZ36" s="3810" t="n"/>
      <c r="BA36" s="3810" t="n"/>
      <c r="BB36" s="3810" t="n"/>
    </row>
    <row r="37">
      <c r="AU37" s="3809" t="inlineStr">
        <is>
          <t>time_tot= time and time_cap = 0</t>
        </is>
      </c>
      <c r="AV37" s="3810" t="n"/>
      <c r="AW37" s="3810" t="n"/>
      <c r="AX37" s="3810" t="n"/>
      <c r="AY37" s="3810" t="n"/>
      <c r="AZ37" s="3810" t="n"/>
      <c r="BA37" s="3810" t="n"/>
      <c r="BB37" s="3810" t="n"/>
    </row>
    <row r="38">
      <c r="B38" s="480" t="n"/>
      <c r="C38" s="480" t="n"/>
      <c r="D38" s="2842" t="inlineStr">
        <is>
          <t xml:space="preserve">Degradation level </t>
        </is>
      </c>
      <c r="E38" s="2842" t="n"/>
      <c r="F38" s="2842" t="inlineStr">
        <is>
          <t xml:space="preserve">Degradation level </t>
        </is>
      </c>
      <c r="G38" s="480" t="n"/>
      <c r="H38" s="2842" t="inlineStr">
        <is>
          <t xml:space="preserve">Degradation level </t>
        </is>
      </c>
      <c r="I38" s="480" t="n"/>
      <c r="J38" s="2842" t="inlineStr">
        <is>
          <t>Fire occurrence</t>
        </is>
      </c>
      <c r="K38" s="480" t="n"/>
      <c r="L38" s="2842" t="inlineStr">
        <is>
          <t>Fire periodicity</t>
        </is>
      </c>
      <c r="M38" s="480" t="n"/>
      <c r="N38" s="2842" t="inlineStr">
        <is>
          <t xml:space="preserve">Biomass burnt </t>
        </is>
      </c>
      <c r="O38" s="480" t="n"/>
      <c r="P38" s="3836" t="inlineStr">
        <is>
          <t>Total biomass (AGB + BGB)</t>
        </is>
      </c>
      <c r="Q38" s="480" t="n"/>
      <c r="R38" s="480" t="n"/>
      <c r="S38" s="2842" t="inlineStr">
        <is>
          <t>DOM</t>
        </is>
      </c>
      <c r="T38" s="480" t="n"/>
      <c r="U38" s="480" t="n"/>
      <c r="V38" s="2842" t="inlineStr">
        <is>
          <t>SOC</t>
        </is>
      </c>
      <c r="W38" s="480" t="n"/>
      <c r="X38" s="480" t="n"/>
      <c r="Y38" s="3547" t="inlineStr">
        <is>
          <t>ΔC soil</t>
        </is>
      </c>
      <c r="Z38" s="480" t="n"/>
      <c r="AA38" s="3889" t="inlineStr">
        <is>
          <t>MB in tC/ha</t>
        </is>
      </c>
      <c r="AB38" s="3890" t="n"/>
      <c r="AC38" s="3891" t="n"/>
      <c r="AD38" s="3837" t="inlineStr">
        <is>
          <t>non-CO2 gases from Fire</t>
        </is>
      </c>
      <c r="AE38" s="1095" t="n"/>
      <c r="AF38" s="1095" t="n"/>
      <c r="AG38" s="1095" t="n"/>
      <c r="AH38" s="1095" t="n"/>
      <c r="AI38" s="1095" t="n"/>
      <c r="AM38" s="3852" t="inlineStr">
        <is>
          <t>All period</t>
        </is>
      </c>
      <c r="AN38" s="1011" t="n"/>
      <c r="AO38" s="1011" t="n"/>
      <c r="AP38" s="1011" t="n"/>
      <c r="AU38" s="3811" t="n"/>
      <c r="AV38" s="3812" t="n"/>
      <c r="AW38" s="3812" t="n"/>
      <c r="AX38" s="3812" t="n"/>
      <c r="AY38" s="3812" t="n"/>
      <c r="AZ38" s="3812" t="n"/>
      <c r="BA38" s="3813" t="n"/>
      <c r="BB38" s="3813" t="n"/>
    </row>
    <row r="39" ht="17" customHeight="1">
      <c r="B39" s="480" t="n"/>
      <c r="C39" s="3838" t="inlineStr">
        <is>
          <t>Forest classes</t>
        </is>
      </c>
      <c r="D39" s="3839" t="n"/>
      <c r="E39" s="480" t="n"/>
      <c r="F39" s="3839" t="n"/>
      <c r="G39" s="480" t="n"/>
      <c r="H39" s="3839" t="n"/>
      <c r="I39" s="480" t="n"/>
      <c r="J39" s="2842" t="n"/>
      <c r="K39" s="2842" t="n"/>
      <c r="L39" s="2842" t="n"/>
      <c r="M39" s="2842" t="n"/>
      <c r="N39" s="2842" t="n"/>
      <c r="O39" s="2842" t="n"/>
      <c r="P39" s="3840" t="inlineStr">
        <is>
          <t>AGB+BGB</t>
        </is>
      </c>
      <c r="Q39" s="480" t="n"/>
      <c r="R39" s="480" t="n"/>
      <c r="S39" s="3485" t="inlineStr">
        <is>
          <t>Deadwood &amp; litter</t>
        </is>
      </c>
      <c r="T39" s="480" t="n"/>
      <c r="U39" s="480" t="n"/>
      <c r="V39" s="3485" t="n"/>
      <c r="W39" s="480" t="n"/>
      <c r="X39" s="480" t="n"/>
      <c r="Y39" s="3841" t="inlineStr">
        <is>
          <t>* limited to 20 yrs</t>
        </is>
      </c>
      <c r="Z39" s="480" t="n"/>
      <c r="AA39" s="3825" t="n"/>
      <c r="AB39" s="3483" t="n"/>
      <c r="AC39" s="3548" t="n"/>
      <c r="AD39" s="3363" t="inlineStr">
        <is>
          <t>Without</t>
        </is>
      </c>
      <c r="AE39" s="3363" t="n"/>
      <c r="AF39" s="3363" t="n"/>
      <c r="AG39" s="3548" t="inlineStr">
        <is>
          <t>With</t>
        </is>
      </c>
      <c r="AH39" s="3548" t="n"/>
      <c r="AI39" s="3548" t="n"/>
      <c r="AM39" s="3853" t="inlineStr">
        <is>
          <t>CH4-Fire</t>
        </is>
      </c>
      <c r="AN39" s="3480" t="n"/>
      <c r="AO39" s="3853" t="inlineStr">
        <is>
          <t>N2O-fire</t>
        </is>
      </c>
      <c r="AP39" s="3480" t="n"/>
      <c r="AU39" s="3814" t="inlineStr">
        <is>
          <t xml:space="preserve">Soil </t>
        </is>
      </c>
      <c r="AV39" s="3815" t="n"/>
      <c r="AW39" s="3816" t="inlineStr">
        <is>
          <t>CH4</t>
        </is>
      </c>
      <c r="AX39" s="3817" t="n"/>
      <c r="AY39" s="3818" t="inlineStr">
        <is>
          <t>N2O</t>
        </is>
      </c>
      <c r="AZ39" s="3812" t="n"/>
      <c r="BA39" s="3809" t="inlineStr">
        <is>
          <t>Total non-CO2 (CH4 + N2O)</t>
        </is>
      </c>
      <c r="BB39" s="3809" t="n"/>
      <c r="BD39" s="3839" t="inlineStr">
        <is>
          <t>Degraded surface area</t>
        </is>
      </c>
      <c r="BE39" s="3645" t="n"/>
      <c r="BF39" s="3645" t="n"/>
      <c r="BG39" s="3859" t="n"/>
      <c r="BH39" s="3839" t="inlineStr">
        <is>
          <t>Cumulated area burnt</t>
        </is>
      </c>
      <c r="BI39" s="3846" t="n"/>
    </row>
    <row r="40">
      <c r="B40" s="480" t="n"/>
      <c r="C40" s="3838" t="inlineStr">
        <is>
          <t xml:space="preserve"> selected by  Users</t>
        </is>
      </c>
      <c r="D40" s="3825" t="inlineStr">
        <is>
          <t>START</t>
        </is>
      </c>
      <c r="E40" s="3842" t="inlineStr">
        <is>
          <t>biomass lost</t>
        </is>
      </c>
      <c r="F40" s="3483" t="inlineStr">
        <is>
          <t>Without</t>
        </is>
      </c>
      <c r="G40" s="3483" t="inlineStr">
        <is>
          <t>biomass lost</t>
        </is>
      </c>
      <c r="H40" s="3548" t="inlineStr">
        <is>
          <t>With</t>
        </is>
      </c>
      <c r="I40" s="3548" t="inlineStr">
        <is>
          <t>biomass lost</t>
        </is>
      </c>
      <c r="J40" s="3483" t="inlineStr">
        <is>
          <t>Without</t>
        </is>
      </c>
      <c r="K40" s="3548" t="inlineStr">
        <is>
          <t>With</t>
        </is>
      </c>
      <c r="L40" s="3483" t="inlineStr">
        <is>
          <t>Without</t>
        </is>
      </c>
      <c r="M40" s="3548" t="inlineStr">
        <is>
          <t>With</t>
        </is>
      </c>
      <c r="N40" s="3483" t="inlineStr">
        <is>
          <t>Without</t>
        </is>
      </c>
      <c r="O40" s="3548" t="inlineStr">
        <is>
          <t>With</t>
        </is>
      </c>
      <c r="P40" s="3825" t="inlineStr">
        <is>
          <t>START</t>
        </is>
      </c>
      <c r="Q40" s="3363" t="inlineStr">
        <is>
          <t>Without</t>
        </is>
      </c>
      <c r="R40" s="3548" t="inlineStr">
        <is>
          <t>With</t>
        </is>
      </c>
      <c r="S40" s="3825" t="inlineStr">
        <is>
          <t>START</t>
        </is>
      </c>
      <c r="T40" s="3483" t="inlineStr">
        <is>
          <t>Without</t>
        </is>
      </c>
      <c r="U40" s="3548" t="inlineStr">
        <is>
          <t>With</t>
        </is>
      </c>
      <c r="V40" s="3825" t="inlineStr">
        <is>
          <t>START</t>
        </is>
      </c>
      <c r="W40" s="3483" t="inlineStr">
        <is>
          <t>Without</t>
        </is>
      </c>
      <c r="X40" s="3548" t="inlineStr">
        <is>
          <t>With</t>
        </is>
      </c>
      <c r="Y40" s="3363" t="inlineStr">
        <is>
          <t>Without</t>
        </is>
      </c>
      <c r="Z40" s="3548" t="inlineStr">
        <is>
          <t>With</t>
        </is>
      </c>
      <c r="AA40" s="3825" t="inlineStr">
        <is>
          <t>START</t>
        </is>
      </c>
      <c r="AB40" s="3363" t="inlineStr">
        <is>
          <t>Without</t>
        </is>
      </c>
      <c r="AC40" s="3548" t="inlineStr">
        <is>
          <t>With</t>
        </is>
      </c>
      <c r="AD40" s="3363" t="inlineStr">
        <is>
          <t>CH4</t>
        </is>
      </c>
      <c r="AE40" s="3363" t="inlineStr">
        <is>
          <t>N2O</t>
        </is>
      </c>
      <c r="AF40" s="3363" t="inlineStr">
        <is>
          <t>Total</t>
        </is>
      </c>
      <c r="AG40" s="3548" t="inlineStr">
        <is>
          <t>CH4</t>
        </is>
      </c>
      <c r="AH40" s="3548" t="inlineStr">
        <is>
          <t>N2O</t>
        </is>
      </c>
      <c r="AI40" s="3548" t="inlineStr">
        <is>
          <t>Total</t>
        </is>
      </c>
      <c r="AM40" s="3363" t="inlineStr">
        <is>
          <t>Without</t>
        </is>
      </c>
      <c r="AN40" s="3548" t="inlineStr">
        <is>
          <t>With</t>
        </is>
      </c>
      <c r="AO40" s="3363" t="inlineStr">
        <is>
          <t>Without</t>
        </is>
      </c>
      <c r="AP40" s="3548" t="inlineStr">
        <is>
          <t>With</t>
        </is>
      </c>
      <c r="AU40" s="3817" t="inlineStr">
        <is>
          <t>w/out</t>
        </is>
      </c>
      <c r="AV40" s="3819" t="inlineStr">
        <is>
          <t>with</t>
        </is>
      </c>
      <c r="AW40" s="3817" t="inlineStr">
        <is>
          <t>w/out</t>
        </is>
      </c>
      <c r="AX40" s="3819" t="inlineStr">
        <is>
          <t>with</t>
        </is>
      </c>
      <c r="AY40" s="3817" t="inlineStr">
        <is>
          <t>w/out</t>
        </is>
      </c>
      <c r="AZ40" s="3819" t="inlineStr">
        <is>
          <t>with</t>
        </is>
      </c>
      <c r="BA40" s="3809" t="inlineStr">
        <is>
          <t>tCO2eq</t>
        </is>
      </c>
      <c r="BB40" s="3820" t="inlineStr">
        <is>
          <t>tCO2eq</t>
        </is>
      </c>
      <c r="BD40" s="3645" t="inlineStr">
        <is>
          <t>START</t>
        </is>
      </c>
      <c r="BE40" s="3645" t="inlineStr">
        <is>
          <t>WITHOUT</t>
        </is>
      </c>
      <c r="BF40" s="3645" t="inlineStr">
        <is>
          <t>WITH</t>
        </is>
      </c>
      <c r="BG40" s="3859" t="n"/>
      <c r="BH40" s="3645" t="inlineStr">
        <is>
          <t>WITHOUT</t>
        </is>
      </c>
      <c r="BI40" s="3645" t="inlineStr">
        <is>
          <t>WITH</t>
        </is>
      </c>
    </row>
    <row r="41">
      <c r="B41" s="3549" t="inlineStr">
        <is>
          <t xml:space="preserve">SI. </t>
        </is>
      </c>
      <c r="C41" s="3838" t="n"/>
      <c r="D41" s="3825" t="inlineStr">
        <is>
          <t>Description</t>
        </is>
      </c>
      <c r="E41" s="3842" t="inlineStr">
        <is>
          <t xml:space="preserve">% </t>
        </is>
      </c>
      <c r="F41" s="3483" t="inlineStr">
        <is>
          <t>Description</t>
        </is>
      </c>
      <c r="G41" s="3483" t="inlineStr">
        <is>
          <t xml:space="preserve">% </t>
        </is>
      </c>
      <c r="H41" s="3548" t="inlineStr">
        <is>
          <t>Description</t>
        </is>
      </c>
      <c r="I41" s="3548" t="inlineStr">
        <is>
          <t xml:space="preserve">% </t>
        </is>
      </c>
      <c r="J41" s="3843" t="inlineStr">
        <is>
          <t>(yes/no)</t>
        </is>
      </c>
      <c r="K41" s="3844" t="inlineStr">
        <is>
          <t>(yes/no)</t>
        </is>
      </c>
      <c r="L41" s="3843" t="inlineStr">
        <is>
          <t>(in years)</t>
        </is>
      </c>
      <c r="M41" s="3844" t="inlineStr">
        <is>
          <t>(in years)</t>
        </is>
      </c>
      <c r="N41" s="3843" t="inlineStr">
        <is>
          <t>(in %)</t>
        </is>
      </c>
      <c r="O41" s="3845" t="inlineStr">
        <is>
          <t>(in %)</t>
        </is>
      </c>
      <c r="P41" s="3825" t="inlineStr">
        <is>
          <t>t C/ha</t>
        </is>
      </c>
      <c r="Q41" s="3363" t="inlineStr">
        <is>
          <t>t C/ha</t>
        </is>
      </c>
      <c r="R41" s="3548" t="inlineStr">
        <is>
          <t>t C/ha</t>
        </is>
      </c>
      <c r="S41" s="3825" t="inlineStr">
        <is>
          <t>t C/ha</t>
        </is>
      </c>
      <c r="T41" s="3483" t="inlineStr">
        <is>
          <t>t C/ha</t>
        </is>
      </c>
      <c r="U41" s="3548" t="inlineStr">
        <is>
          <t>t C/ha</t>
        </is>
      </c>
      <c r="V41" s="3825" t="inlineStr">
        <is>
          <t>t C/ha</t>
        </is>
      </c>
      <c r="W41" s="3483" t="inlineStr">
        <is>
          <t>t C/ha</t>
        </is>
      </c>
      <c r="X41" s="3548" t="inlineStr">
        <is>
          <t>t C/ha</t>
        </is>
      </c>
      <c r="Y41" s="3483" t="inlineStr">
        <is>
          <t>tCO2/ha/yr</t>
        </is>
      </c>
      <c r="Z41" s="3548" t="inlineStr">
        <is>
          <t>tCO2/ha/yr</t>
        </is>
      </c>
      <c r="AA41" s="3825" t="n"/>
      <c r="AB41" s="3363" t="n"/>
      <c r="AC41" s="3548" t="n"/>
      <c r="AD41" s="3363" t="inlineStr">
        <is>
          <t>kg/ yr</t>
        </is>
      </c>
      <c r="AE41" s="3363" t="inlineStr">
        <is>
          <t>kg/ yr</t>
        </is>
      </c>
      <c r="AF41" s="3363" t="inlineStr">
        <is>
          <t>tCO2 eq/yr</t>
        </is>
      </c>
      <c r="AG41" s="3548" t="inlineStr">
        <is>
          <t>kg/ yr</t>
        </is>
      </c>
      <c r="AH41" s="3548" t="inlineStr">
        <is>
          <t>kg/ yr</t>
        </is>
      </c>
      <c r="AI41" s="3548" t="inlineStr">
        <is>
          <t>tCO2 eq/yr</t>
        </is>
      </c>
      <c r="AM41" s="3363" t="inlineStr">
        <is>
          <t>tCO2</t>
        </is>
      </c>
      <c r="AN41" s="3548" t="inlineStr">
        <is>
          <t>tCO2</t>
        </is>
      </c>
      <c r="AO41" s="3363" t="inlineStr">
        <is>
          <t>tCO2</t>
        </is>
      </c>
      <c r="AP41" s="3548" t="inlineStr">
        <is>
          <t>tCO2</t>
        </is>
      </c>
      <c r="AU41" s="3810" t="inlineStr">
        <is>
          <t>tCO2</t>
        </is>
      </c>
      <c r="AV41" s="3810" t="inlineStr">
        <is>
          <t>tCO2</t>
        </is>
      </c>
      <c r="AW41" s="3820" t="inlineStr">
        <is>
          <t>kg</t>
        </is>
      </c>
      <c r="AX41" s="3820" t="inlineStr">
        <is>
          <t>kg</t>
        </is>
      </c>
      <c r="AY41" s="3820" t="inlineStr">
        <is>
          <t>kg</t>
        </is>
      </c>
      <c r="AZ41" s="3820" t="inlineStr">
        <is>
          <t>kg</t>
        </is>
      </c>
      <c r="BA41" s="3817" t="inlineStr">
        <is>
          <t>w/out</t>
        </is>
      </c>
      <c r="BB41" s="3819" t="inlineStr">
        <is>
          <t>with</t>
        </is>
      </c>
      <c r="BD41" s="3860" t="inlineStr">
        <is>
          <t>ha</t>
        </is>
      </c>
      <c r="BE41" s="3860" t="inlineStr">
        <is>
          <t>ha</t>
        </is>
      </c>
      <c r="BF41" s="3860" t="inlineStr">
        <is>
          <t>ha</t>
        </is>
      </c>
      <c r="BG41" s="3859" t="n"/>
      <c r="BH41" s="3860" t="inlineStr">
        <is>
          <t>ha</t>
        </is>
      </c>
      <c r="BI41" s="3860" t="inlineStr">
        <is>
          <t>ha</t>
        </is>
      </c>
    </row>
    <row r="42">
      <c r="B42" s="682" t="n">
        <v>1</v>
      </c>
      <c r="C42" s="284">
        <f>'5.Management'!$C13</f>
        <v/>
      </c>
      <c r="D42" s="674">
        <f>'5.Management'!$E13</f>
        <v/>
      </c>
      <c r="E42" s="3847">
        <f>IF('5.Management'!$AS13="", '5.Management'!$AR13, '5.Management'!$AS13)</f>
        <v/>
      </c>
      <c r="F42" s="674">
        <f>'5.Management'!$G13</f>
        <v/>
      </c>
      <c r="G42" s="3848">
        <f>IF('5.Management'!$AU13="", '5.Management'!$AT13, '5.Management'!$AU13)</f>
        <v/>
      </c>
      <c r="H42" s="674">
        <f>'5.Management'!$I13</f>
        <v/>
      </c>
      <c r="I42" s="3848">
        <f>IF('5.Management'!$AW13="", '5.Management'!$AV13, '5.Management'!$AW13)</f>
        <v/>
      </c>
      <c r="J42" s="682">
        <f>'5.Management'!$K13</f>
        <v/>
      </c>
      <c r="K42" s="682">
        <f>'5.Management'!$M13</f>
        <v/>
      </c>
      <c r="L42" s="682">
        <f>'5.Management'!$O13</f>
        <v/>
      </c>
      <c r="M42" s="682">
        <f>'5.Management'!$Q13</f>
        <v/>
      </c>
      <c r="N42" s="682">
        <f>'5.Management'!$S13*100</f>
        <v/>
      </c>
      <c r="O42" s="682">
        <f>'5.Management'!$U13*100</f>
        <v/>
      </c>
      <c r="P42" s="3542">
        <f>IF($D42 = "Please select", 0, VLOOKUP($B42, $G$25:$Q$32, 10, FALSE)*(1-$E42))</f>
        <v/>
      </c>
      <c r="Q42" s="3545">
        <f>IF($F42 = "Please select", 0, VLOOKUP($B42, $G$25:$Q$32, 10, FALSE)*(1-$G42))</f>
        <v/>
      </c>
      <c r="R42" s="3545">
        <f>IF($H42 = "Please select", 0, VLOOKUP($B42, $G$25:$Q$32, 10, FALSE)*(1-$I42))</f>
        <v/>
      </c>
      <c r="S42" s="3545">
        <f>IF($D42 = "Please select", 0, VLOOKUP($B42, $G$25:$Q$32, 11, FALSE)*(1-$E42))</f>
        <v/>
      </c>
      <c r="T42" s="3545">
        <f>IF($F42 = "Please select", 0, VLOOKUP($B42, $G$25:$Q$32, 11, FALSE)*(1-$G42))</f>
        <v/>
      </c>
      <c r="U42" s="3545">
        <f>IF($H42 = "Please select", 0, VLOOKUP($B42, $G$25:$Q$32, 11, FALSE)*(1-$I42))</f>
        <v/>
      </c>
      <c r="V42" s="3678">
        <f>IF($D42 = "Please select", 0, VLOOKUP($B42, $G$25:$Q$32, 9, FALSE)*U25)</f>
        <v/>
      </c>
      <c r="W42" s="3678">
        <f>IF($F42 = "Please select", 0, VLOOKUP($B42, $G$25:$Q$32, 9, FALSE)*V25)</f>
        <v/>
      </c>
      <c r="X42" s="3678">
        <f>IF($H42 = "Please select", 0, VLOOKUP($B42, $G$25:$Q$32, 9, FALSE)*W25)</f>
        <v/>
      </c>
      <c r="Y42" s="4662">
        <f>(W42-V42)/20*(-44/12)</f>
        <v/>
      </c>
      <c r="Z42" s="4662">
        <f>(X42-V42)/20*(-44/12)</f>
        <v/>
      </c>
      <c r="AA42" s="3545">
        <f>P42</f>
        <v/>
      </c>
      <c r="AB42" s="3545">
        <f>Q42</f>
        <v/>
      </c>
      <c r="AC42" s="3545">
        <f>R4</f>
        <v/>
      </c>
      <c r="AD42" s="3544">
        <f>IF(C42 = "Please select",0,IF(L42&gt;time_tot,0,1)*2*IF(J42="YES",(MIN(AB42,AA42)*time_tot+ABS(AB42-AA42)*IF(AB42&gt;AA42,time_cap+time*VLOOKUP(F55,list!$J$48:$K$50,2,FALSE),time*(1-VLOOKUP(F55,list!$J$48:$K$50,2,FALSE)))),0)*VLOOKUP($C42,IPCC!$A$871:$E$906,4,FALSE)*VLOOKUP(C42,IPCC!$A$871:$E$906,2,FALSE)*($N42/100)*(1/$L42))</f>
        <v/>
      </c>
      <c r="AE42" s="4662">
        <f>IF(C42 = "Please select",0,IF(L42&gt;time_tot,0,1)*2*IF(J42="YES",(MIN(AB42,AA42)*time_tot+ABS(AB42-AA42)*IF(AB42&gt;AA42,time_cap+time*VLOOKUP(F55,list!$J$48:$K$50,2,FALSE),time*(1-VLOOKUP(F55,list!$J$48:$K$50,2,FALSE)))),0)*VLOOKUP($C42,IPCC!$A$871:$E$906,5,FALSE)*VLOOKUP(C42,IPCC!$A$871:$E$906,2,FALSE)*($N42/100)*(1/L42))</f>
        <v/>
      </c>
      <c r="AF42" s="3544">
        <f>(AD42*methane+AE42*Nitrous)/1000</f>
        <v/>
      </c>
      <c r="AG42" s="3544">
        <f>IF(C42 = "Please select",0,IF(M42&gt;time_tot,0,1)*2*IF(K42="YES",(MIN(AC42,AA42)*time_tot+ABS(AC42-AA42)*IF(AC42&gt;AA42,time_cap+time*VLOOKUP(H55,list!$J$48:$K$50,2,FALSE),time*(1-VLOOKUP(H55,list!$J$48:$K$50,2,FALSE)))),0)*VLOOKUP($C42,IPCC!$A$871:$E$906,4,FALSE)*VLOOKUP(C42,IPCC!$A$871:$E$906,2,FALSE)*($O42/100)*(1/$M42))</f>
        <v/>
      </c>
      <c r="AH42" s="3544">
        <f>IF(C42 = "Please select",0,IF(M42&gt;time_tot,0,1)*2*IF(K42="YES",(MIN(AC42,AA42)*time_tot+ABS(AC42-AA42)*IF(AC42&gt;AA42,time_cap+time*VLOOKUP(H55,list!$J$48:$K$50,2,FALSE),time*(1-VLOOKUP(H55,list!$J$48:$K$50,2,FALSE)))),0)*VLOOKUP($C42,IPCC!$A$871:$E$906,5,FALSE)*VLOOKUP(C42,IPCC!$A$871:$E$906,2,FALSE)*($O42/100)*(1/M42))</f>
        <v/>
      </c>
      <c r="AI42" s="3849">
        <f>(AG42*methane+AH42*Nitrous)/1000</f>
        <v/>
      </c>
      <c r="AM42" s="3854">
        <f>(AD42*methane)*D55/1000</f>
        <v/>
      </c>
      <c r="AN42" s="3666">
        <f>(AG42*methane)*D55/1000</f>
        <v/>
      </c>
      <c r="AO42" s="3666">
        <f>(AE42*Nitrous)*D55/1000</f>
        <v/>
      </c>
      <c r="AP42" s="3369">
        <f>(AH42*Nitrous)*D55/1000</f>
        <v/>
      </c>
      <c r="AU42" s="3800">
        <f>$Y42*(IF(F55="Immediate",IF(E55&gt;0, E55*MIN(20,time),0), E55*IF(time&gt;time+20,20,IF(time&lt;20,(time*VLOOKUP(F55, list!$J$48:$K$50,2,))+(time-time),((MIN(20,time)*VLOOKUP(F55, list!$J$48:$K$50,2,))+(time-MIN(20,time))-IF(F55="Exponential",time-20+0.217*time*(EXP(4.606*(20-time)/time)-1),((time-20)^2)*(0.5/time)))))))</f>
        <v/>
      </c>
      <c r="AV42" s="3801">
        <f>$Z42*(IF(H55="Immediate",IF( G55&gt;0, G55*MIN(20,time),0), G55*IF(time&gt;time+20,20,IF(time&lt;20,(time*VLOOKUP(H55, list!$J$48:$K$50,2,))+(time-time),((MIN(20,time)*VLOOKUP(H55, list!$J$48:$K$50,2,))+(time-MIN(20,time))-IF(H55="Exponential",time-20+0.217*time*(EXP(4.606*(20-time)/time)-1),((time-20)^2)*(0.5/time)))))))</f>
        <v/>
      </c>
      <c r="AW42" s="3801">
        <f>IF(C42 = "Please select",0,D55*IF(L42&gt;time,0,1)*2*IF(J42="YES",(MIN(AB42,AA42)*time+ABS(AB42-AA42)*IF(AB42&gt;AA42,0+time*VLOOKUP(F55,list!$J$48:$K$50,2,FALSE),time*(1-VLOOKUP(F55,list!$J$48:$K$50,2,FALSE)))),0)*VLOOKUP($C42,IPCC!$A$871:$E$906,4,FALSE)*VLOOKUP(C42,IPCC!$A$871:$E$906,2,FALSE)*($N42/100)*(1/L42))</f>
        <v/>
      </c>
      <c r="AX42" s="3801">
        <f>IF(C42 = "Please select",0,D55*IF(M42&gt;time_tot,0,1)*2*IF(K42="YES",(MIN(AC42,AA42)*time+ABS(AC42-AA42)*IF(AC42&gt;AA42,0+time*VLOOKUP(H55,list!$J$48:$K$50,2,FALSE),time*(1-VLOOKUP(H55,list!$J$48:$K$50,2,FALSE)))),0)*VLOOKUP($C42,IPCC!$A$871:$E$906,4,FALSE)*VLOOKUP(C42,IPCC!$A$871:$E$906,2,FALSE)*($O42/100)*(1/$M42))</f>
        <v/>
      </c>
      <c r="AY42" s="3801">
        <f>IF(C42 = "Please select",0,D55*IF(L42&gt;time_tot,0,1)*2*IF(J42="YES",(MIN(AB42,AA42)*time+ABS(AB42-AA42)*IF(AB42&gt;AA42,0+time*VLOOKUP(F55,list!$J$48:$K$50,2,FALSE),time*(1-VLOOKUP(F55,list!$J$48:$K$50,2,FALSE)))),0)*VLOOKUP($C42,IPCC!$A$871:$E$906,5,FALSE)*VLOOKUP(C42,IPCC!$A$871:$E$906,2,FALSE)*($N42/100)*(1/L42))</f>
        <v/>
      </c>
      <c r="AZ42" s="3801">
        <f>IF(C42 = "Please select",0,D55*IF(M42&gt;time_tot,0,1)*2*IF(K42="YES",(MIN(AC42,AA42)*time+ABS(AC42-AA42)*IF(AC42&gt;AA42,0+time*VLOOKUP(H55,list!$J$48:$K$50,2,FALSE),time*(1-VLOOKUP(H55,list!$J$48:$K$50,2,FALSE)))),0)*VLOOKUP($C42,IPCC!$A$871:$E$906,5,FALSE)*VLOOKUP(C42,IPCC!$A$871:$E$906,2,FALSE)*($O42/100)*(1/M42))</f>
        <v/>
      </c>
      <c r="BA42" s="3802">
        <f>(AW42*methane + AY42*Nitrous)/1000</f>
        <v/>
      </c>
      <c r="BB42" s="3803">
        <f>(AX42*methane+AZ42*Nitrous)/1000</f>
        <v/>
      </c>
      <c r="BD42" s="3677">
        <f>D55*IF(E42&gt;0,1,0)</f>
        <v/>
      </c>
      <c r="BE42" s="3678">
        <f>E55*IF(G42&gt;0,1,0)</f>
        <v/>
      </c>
      <c r="BF42" s="3678">
        <f>G55*IF(I42&gt;0,1,0)</f>
        <v/>
      </c>
      <c r="BG42" s="3861" t="n"/>
      <c r="BH42" s="3678">
        <f>IF(AF42&gt;0,O55/AF42,0)*time_tot/L42</f>
        <v/>
      </c>
      <c r="BI42" s="3679">
        <f>IF(AI42&gt;0,P55/AI42,0)*time_tot/M42</f>
        <v/>
      </c>
    </row>
    <row r="43">
      <c r="B43" s="682" t="n">
        <v>2</v>
      </c>
      <c r="C43" s="284">
        <f>'5.Management'!$C14</f>
        <v/>
      </c>
      <c r="D43" s="674">
        <f>'5.Management'!$E14</f>
        <v/>
      </c>
      <c r="E43" s="3847">
        <f>IF('5.Management'!$AS14="", '5.Management'!$AR14, '5.Management'!$AS14)</f>
        <v/>
      </c>
      <c r="F43" s="674">
        <f>'5.Management'!$G14</f>
        <v/>
      </c>
      <c r="G43" s="3848">
        <f>IF('5.Management'!$AU14="", '5.Management'!$AT14, '5.Management'!$AU14)</f>
        <v/>
      </c>
      <c r="H43" s="674">
        <f>'5.Management'!$I14</f>
        <v/>
      </c>
      <c r="I43" s="3848">
        <f>IF('5.Management'!$AW14="", '5.Management'!$AV14, '5.Management'!$AW14)</f>
        <v/>
      </c>
      <c r="J43" s="682">
        <f>'5.Management'!$K14</f>
        <v/>
      </c>
      <c r="K43" s="682">
        <f>'5.Management'!$M14</f>
        <v/>
      </c>
      <c r="L43" s="682">
        <f>'5.Management'!$O14</f>
        <v/>
      </c>
      <c r="M43" s="682">
        <f>'5.Management'!$Q14</f>
        <v/>
      </c>
      <c r="N43" s="682">
        <f>'5.Management'!$S14*100</f>
        <v/>
      </c>
      <c r="O43" s="682">
        <f>'5.Management'!$U14*100</f>
        <v/>
      </c>
      <c r="P43" s="3542">
        <f>IF($D43 = "Please select", 0, VLOOKUP($B43, $G$25:$Q$32, 10, FALSE)*(1-$E43))</f>
        <v/>
      </c>
      <c r="Q43" s="3545">
        <f>IF($F43 = "Please select", 0, VLOOKUP($B43, $G$25:$Q$32, 10, FALSE)*(1-$G43))</f>
        <v/>
      </c>
      <c r="R43" s="3545">
        <f>IF($H43 = "Please select", 0, VLOOKUP($B43, $G$25:$Q$32, 10, FALSE)*(1-$I43))</f>
        <v/>
      </c>
      <c r="S43" s="3545">
        <f>IF($D43 = "Please select", 0, VLOOKUP($B43, $G$25:$Q$32, 11, FALSE)*(1-$E43))</f>
        <v/>
      </c>
      <c r="T43" s="3545">
        <f>IF($F43 = "Please select", 0, VLOOKUP($B43, $G$25:$Q$32, 11, FALSE)*(1-$G43))</f>
        <v/>
      </c>
      <c r="U43" s="3545">
        <f>IF($H43 = "Please select", 0, VLOOKUP($B43, $G$25:$Q$32, 11, FALSE)*(1-$I43))</f>
        <v/>
      </c>
      <c r="V43" s="3678">
        <f>IF($D43 = "Please select", 0, VLOOKUP($B43, $G$25:$Q$32, 9, FALSE)*U26)</f>
        <v/>
      </c>
      <c r="W43" s="3678">
        <f>IF($F43 = "Please select", 0, VLOOKUP($B43, $G$25:$Q$32, 9, FALSE)*V26)</f>
        <v/>
      </c>
      <c r="X43" s="3678">
        <f>IF($H43 = "Please select", 0, VLOOKUP($B43, $G$25:$Q$32, 9, FALSE)*W26)</f>
        <v/>
      </c>
      <c r="Y43" s="4726">
        <f>(W43-V43)/20*(-44/12)</f>
        <v/>
      </c>
      <c r="Z43" s="4726">
        <f>(X43-V43)/20*(-44/12)</f>
        <v/>
      </c>
      <c r="AA43" s="3545">
        <f>P43</f>
        <v/>
      </c>
      <c r="AB43" s="3545">
        <f>Q43</f>
        <v/>
      </c>
      <c r="AC43" s="3545">
        <f>R5</f>
        <v/>
      </c>
      <c r="AD43" s="3245">
        <f>IF(C43 = "Please select",0,IF(L43&gt;time_tot,0,1)*2*IF(J43="YES",(MIN(AB43,AA43)*time_tot+ABS(AB43-AA43)*IF(AB43&gt;AA43,time_cap+time*VLOOKUP(F56,list!$J$48:$K$50,2,FALSE),time*(1-VLOOKUP(F56,list!$J$48:$K$50,2,FALSE)))),0)*VLOOKUP($C43,IPCC!$A$871:$E$906,4,FALSE)*VLOOKUP(C43,IPCC!$A$871:$E$906,2,FALSE)*($N43/100)*(1/$L43))</f>
        <v/>
      </c>
      <c r="AE43" s="4726">
        <f>IF(C43 = "Please select",0,IF(L43&gt;time_tot,0,1)*2*IF(J43="YES",(MIN(AB43,AA43)*time_tot+ABS(AB43-AA43)*IF(AB43&gt;AA43,time_cap+time*VLOOKUP(F56,list!$J$48:$K$50,2,FALSE),time*(1-VLOOKUP(F56,list!$J$48:$K$50,2,FALSE)))),0)*VLOOKUP($C43,IPCC!$A$871:$E$906,5,FALSE)*VLOOKUP(C43,IPCC!$A$871:$E$906,2,FALSE)*($N43/100)*(1/L43))</f>
        <v/>
      </c>
      <c r="AF43" s="3245">
        <f>(AD43*methane+AE43*Nitrous)/1000</f>
        <v/>
      </c>
      <c r="AG43" s="3245">
        <f>IF(C43 = "Please select",0,IF(M43&gt;time_tot,0,1)*2*IF(K43="YES",(MIN(AC43,AA43)*time_tot+ABS(AC43-AA43)*IF(AC43&gt;AA43,time_cap+time*VLOOKUP(H56,list!$J$48:$K$50,2,FALSE),time*(1-VLOOKUP(H56,list!$J$48:$K$50,2,FALSE)))),0)*VLOOKUP($C43,IPCC!$A$871:$E$906,4,FALSE)*VLOOKUP(C43,IPCC!$A$871:$E$906,2,FALSE)*($O43/100)*(1/$M43))</f>
        <v/>
      </c>
      <c r="AH43" s="3245">
        <f>IF(C43 = "Please select",0,IF(M43&gt;time_tot,0,1)*2*IF(K43="YES",(MIN(AC43,AA43)*time_tot+ABS(AC43-AA43)*IF(AC43&gt;AA43,time_cap+time*VLOOKUP(H56,list!$J$48:$K$50,2,FALSE),time*(1-VLOOKUP(H56,list!$J$48:$K$50,2,FALSE)))),0)*VLOOKUP($C43,IPCC!$A$871:$E$906,5,FALSE)*VLOOKUP(C43,IPCC!$A$871:$E$906,2,FALSE)*($O43/100)*(1/M43))</f>
        <v/>
      </c>
      <c r="AI43" s="3850">
        <f>(AG43*methane+AH43*Nitrous)/1000</f>
        <v/>
      </c>
      <c r="AM43" s="3555">
        <f>(AD43*methane)*D56/1000</f>
        <v/>
      </c>
      <c r="AN43" s="3667">
        <f>(AG43*methane)*D56/1000</f>
        <v/>
      </c>
      <c r="AO43" s="3667">
        <f>(AE43*Nitrous)*D56/1000</f>
        <v/>
      </c>
      <c r="AP43" s="3554">
        <f>(AH43*Nitrous)*D56/1000</f>
        <v/>
      </c>
      <c r="AU43" s="3804">
        <f>$Y43*(IF(F56="Immediate",IF(E56&gt;0, E56*MIN(20,time),0), E56*IF(time&gt;time+20,20,IF(time&lt;20,(time*VLOOKUP(F56, list!$J$48:$K$50,2,))+(time-time),((MIN(20,time)*VLOOKUP(F56, list!$J$48:$K$50,2,))+(time-MIN(20,time))-IF(F56="Exponential",time-20+0.217*time*(EXP(4.606*(20-time)/time)-1),((time-20)^2)*(0.5/time)))))))</f>
        <v/>
      </c>
      <c r="AV43" s="3805">
        <f>$Z43*(IF(H56="Immediate",IF( G56&gt;0, G56*MIN(20,time),0), G56*IF(time&gt;time+20,20,IF(time&lt;20,(time*VLOOKUP(H56, list!$J$48:$K$50,2,))+(time-time),((MIN(20,time)*VLOOKUP(H56, list!$J$48:$K$50,2,))+(time-MIN(20,time))-IF(H56="Exponential",time-20+0.217*time*(EXP(4.606*(20-time)/time)-1),((time-20)^2)*(0.5/time)))))))</f>
        <v/>
      </c>
      <c r="AW43" s="3805">
        <f>IF(C43 = "Please select",0,D56*IF(L43&gt;time,0,1)*2*IF(J43="YES",(MIN(AB43,AA43)*time+ABS(AB43-AA43)*IF(AB43&gt;AA43,0+time*VLOOKUP(F56,list!$J$48:$K$50,2,FALSE),time*(1-VLOOKUP(F56,list!$J$48:$K$50,2,FALSE)))),0)*VLOOKUP($C43,IPCC!$A$871:$E$906,4,FALSE)*VLOOKUP(C43,IPCC!$A$871:$E$906,2,FALSE)*($N43/100)*(1/L43))</f>
        <v/>
      </c>
      <c r="AX43" s="3805">
        <f>IF(C43 = "Please select",0,D56*IF(M43&gt;time_tot,0,1)*2*IF(K43="YES",(MIN(AC43,AA43)*time+ABS(AC43-AA43)*IF(AC43&gt;AA43,0+time*VLOOKUP(H56,list!$J$48:$K$50,2,FALSE),time*(1-VLOOKUP(H56,list!$J$48:$K$50,2,FALSE)))),0)*VLOOKUP($C43,IPCC!$A$871:$E$906,4,FALSE)*VLOOKUP(C43,IPCC!$A$871:$E$906,2,FALSE)*($O43/100)*(1/$M43))</f>
        <v/>
      </c>
      <c r="AY43" s="3805">
        <f>IF(C43 = "Please select",0,D56*IF(L43&gt;time_tot,0,1)*2*IF(J43="YES",(MIN(AB43,AA43)*time+ABS(AB43-AA43)*IF(AB43&gt;AA43,0+time*VLOOKUP(F56,list!$J$48:$K$50,2,FALSE),time*(1-VLOOKUP(F56,list!$J$48:$K$50,2,FALSE)))),0)*VLOOKUP($C43,IPCC!$A$871:$E$906,5,FALSE)*VLOOKUP(C43,IPCC!$A$871:$E$906,2,FALSE)*($N43/100)*(1/L43))</f>
        <v/>
      </c>
      <c r="AZ43" s="3805">
        <f>IF(C43 = "Please select",0,D56*IF(M43&gt;time_tot,0,1)*2*IF(K43="YES",(MIN(AC43,AA43)*time+ABS(AC43-AA43)*IF(AC43&gt;AA43,0+time*VLOOKUP(H56,list!$J$48:$K$50,2,FALSE),time*(1-VLOOKUP(H56,list!$J$48:$K$50,2,FALSE)))),0)*VLOOKUP($C43,IPCC!$A$871:$E$906,5,FALSE)*VLOOKUP(C43,IPCC!$A$871:$E$906,2,FALSE)*($O43/100)*(1/M43))</f>
        <v/>
      </c>
      <c r="BA43" s="3806">
        <f>(AW43*methane + AY43*Nitrous)/1000</f>
        <v/>
      </c>
      <c r="BB43" s="3807">
        <f>(AX43*methane+AZ43*Nitrous)/1000</f>
        <v/>
      </c>
      <c r="BD43" s="3671">
        <f>D56*IF(E43&gt;0,1,0)</f>
        <v/>
      </c>
      <c r="BE43" s="3672">
        <f>E56*IF(G43&gt;0,1,0)</f>
        <v/>
      </c>
      <c r="BF43" s="3672">
        <f>G56*IF(I43&gt;0,1,0)</f>
        <v/>
      </c>
      <c r="BG43" s="3862" t="n"/>
      <c r="BH43" s="3672">
        <f>IF(AF43&gt;0,O56/AF43,0)*time_tot/L43</f>
        <v/>
      </c>
      <c r="BI43" s="3673">
        <f>IF(AI43&gt;0,P56/AI43,0)*time_tot/M43</f>
        <v/>
      </c>
    </row>
    <row r="44">
      <c r="B44" s="682" t="n">
        <v>3</v>
      </c>
      <c r="C44" s="284">
        <f>'5.Management'!$C15</f>
        <v/>
      </c>
      <c r="D44" s="674">
        <f>'5.Management'!$E15</f>
        <v/>
      </c>
      <c r="E44" s="3847">
        <f>IF('5.Management'!$AS15="", '5.Management'!$AR15, '5.Management'!$AS15)</f>
        <v/>
      </c>
      <c r="F44" s="674">
        <f>'5.Management'!$G15</f>
        <v/>
      </c>
      <c r="G44" s="3848">
        <f>IF('5.Management'!$AU15="", '5.Management'!$AT15, '5.Management'!$AU15)</f>
        <v/>
      </c>
      <c r="H44" s="674">
        <f>'5.Management'!$I15</f>
        <v/>
      </c>
      <c r="I44" s="3848">
        <f>IF('5.Management'!$AW15="", '5.Management'!$AV15, '5.Management'!$AW15)</f>
        <v/>
      </c>
      <c r="J44" s="682">
        <f>'5.Management'!$K15</f>
        <v/>
      </c>
      <c r="K44" s="682">
        <f>'5.Management'!$M15</f>
        <v/>
      </c>
      <c r="L44" s="682">
        <f>'5.Management'!$O15</f>
        <v/>
      </c>
      <c r="M44" s="682">
        <f>'5.Management'!$Q15</f>
        <v/>
      </c>
      <c r="N44" s="682">
        <f>'5.Management'!$S15*100</f>
        <v/>
      </c>
      <c r="O44" s="682">
        <f>'5.Management'!$U15*100</f>
        <v/>
      </c>
      <c r="P44" s="3542">
        <f>IF($D44 = "Please select", 0, VLOOKUP($B44, $G$25:$Q$32, 10, FALSE)*(1-$E44))</f>
        <v/>
      </c>
      <c r="Q44" s="3545">
        <f>IF($F44 = "Please select", 0, VLOOKUP($B44, $G$25:$Q$32, 10, FALSE)*(1-$G44))</f>
        <v/>
      </c>
      <c r="R44" s="3545">
        <f>IF($H44 = "Please select", 0, VLOOKUP($B44, $G$25:$Q$32, 10, FALSE)*(1-$I44))</f>
        <v/>
      </c>
      <c r="S44" s="3545">
        <f>IF($D44 = "Please select", 0, VLOOKUP($B44, $G$25:$Q$32, 11, FALSE)*(1-$E44))</f>
        <v/>
      </c>
      <c r="T44" s="3545">
        <f>IF($F44 = "Please select", 0, VLOOKUP($B44, $G$25:$Q$32, 11, FALSE)*(1-$G44))</f>
        <v/>
      </c>
      <c r="U44" s="3545">
        <f>IF($H44 = "Please select", 0, VLOOKUP($B44, $G$25:$Q$32, 11, FALSE)*(1-$I44))</f>
        <v/>
      </c>
      <c r="V44" s="3678">
        <f>IF($D44 = "Please select", 0, VLOOKUP($B44, $G$25:$Q$32, 9, FALSE)*U27)</f>
        <v/>
      </c>
      <c r="W44" s="3678">
        <f>IF($F44 = "Please select", 0, VLOOKUP($B44, $G$25:$Q$32, 9, FALSE)*V27)</f>
        <v/>
      </c>
      <c r="X44" s="3678">
        <f>IF($H44 = "Please select", 0, VLOOKUP($B44, $G$25:$Q$32, 9, FALSE)*W27)</f>
        <v/>
      </c>
      <c r="Y44" s="4726">
        <f>(W44-V44)/20*(-44/12)</f>
        <v/>
      </c>
      <c r="Z44" s="4726">
        <f>(X44-V44)/20*(-44/12)</f>
        <v/>
      </c>
      <c r="AA44" s="3545">
        <f>P44</f>
        <v/>
      </c>
      <c r="AB44" s="3545">
        <f>Q44</f>
        <v/>
      </c>
      <c r="AC44" s="3545">
        <f>R6</f>
        <v/>
      </c>
      <c r="AD44" s="3245">
        <f>IF(C44 = "Please select",0,IF(L44&gt;time_tot,0,1)*2*IF(J44="YES",(MIN(AB44,AA44)*time_tot+ABS(AB44-AA44)*IF(AB44&gt;AA44,time_cap+time*VLOOKUP(F57,list!$J$48:$K$50,2,FALSE),time*(1-VLOOKUP(F57,list!$J$48:$K$50,2,FALSE)))),0)*VLOOKUP($C44,IPCC!$A$871:$E$906,4,FALSE)*VLOOKUP(C44,IPCC!$A$871:$E$906,2,FALSE)*($N44/100)*(1/$L44))</f>
        <v/>
      </c>
      <c r="AE44" s="4726">
        <f>IF(C44 = "Please select",0,IF(L44&gt;time_tot,0,1)*2*IF(J44="YES",(MIN(AB44,AA44)*time_tot+ABS(AB44-AA44)*IF(AB44&gt;AA44,time_cap+time*VLOOKUP(F57,list!$J$48:$K$50,2,FALSE),time*(1-VLOOKUP(F57,list!$J$48:$K$50,2,FALSE)))),0)*VLOOKUP($C44,IPCC!$A$871:$E$906,5,FALSE)*VLOOKUP(C44,IPCC!$A$871:$E$906,2,FALSE)*($N44/100)*(1/L44))</f>
        <v/>
      </c>
      <c r="AF44" s="3245">
        <f>(AD44*methane+AE44*Nitrous)/1000</f>
        <v/>
      </c>
      <c r="AG44" s="3245">
        <f>IF(C44 = "Please select",0,IF(M44&gt;time_tot,0,1)*2*IF(K44="YES",(MIN(AC44,AA44)*time_tot+ABS(AC44-AA44)*IF(AC44&gt;AA44,time_cap+time*VLOOKUP(H57,list!$J$48:$K$50,2,FALSE),time*(1-VLOOKUP(H57,list!$J$48:$K$50,2,FALSE)))),0)*VLOOKUP($C44,IPCC!$A$871:$E$906,4,FALSE)*VLOOKUP(C44,IPCC!$A$871:$E$906,2,FALSE)*($O44/100)*(1/$M44))</f>
        <v/>
      </c>
      <c r="AH44" s="3245">
        <f>IF(C44 = "Please select",0,IF(M44&gt;time_tot,0,1)*2*IF(K44="YES",(MIN(AC44,AA44)*time_tot+ABS(AC44-AA44)*IF(AC44&gt;AA44,time_cap+time*VLOOKUP(H57,list!$J$48:$K$50,2,FALSE),time*(1-VLOOKUP(H57,list!$J$48:$K$50,2,FALSE)))),0)*VLOOKUP($C44,IPCC!$A$871:$E$906,5,FALSE)*VLOOKUP(C44,IPCC!$A$871:$E$906,2,FALSE)*($O44/100)*(1/M44))</f>
        <v/>
      </c>
      <c r="AI44" s="3850">
        <f>(AG44*methane+AH44*Nitrous)/1000</f>
        <v/>
      </c>
      <c r="AM44" s="3555">
        <f>(AD44*methane)*D57/1000</f>
        <v/>
      </c>
      <c r="AN44" s="3667">
        <f>(AG44*methane)*D57/1000</f>
        <v/>
      </c>
      <c r="AO44" s="3667">
        <f>(AE44*Nitrous)*D57/1000</f>
        <v/>
      </c>
      <c r="AP44" s="3554">
        <f>(AH44*Nitrous)*D57/1000</f>
        <v/>
      </c>
      <c r="AU44" s="3804">
        <f>$Y44*(IF(F57="Immediate",IF(E57&gt;0, E57*MIN(20,time),0), E57*IF(time&gt;time+20,20,IF(time&lt;20,(time*VLOOKUP(F57, list!$J$48:$K$50,2,))+(time-time),((MIN(20,time)*VLOOKUP(F57, list!$J$48:$K$50,2,))+(time-MIN(20,time))-IF(F57="Exponential",time-20+0.217*time*(EXP(4.606*(20-time)/time)-1),((time-20)^2)*(0.5/time)))))))</f>
        <v/>
      </c>
      <c r="AV44" s="3805">
        <f>$Z44*(IF(H57="Immediate",IF( G57&gt;0, G57*MIN(20,time),0), G57*IF(time&gt;time+20,20,IF(time&lt;20,(time*VLOOKUP(H57, list!$J$48:$K$50,2,))+(time-time),((MIN(20,time)*VLOOKUP(H57, list!$J$48:$K$50,2,))+(time-MIN(20,time))-IF(H57="Exponential",time-20+0.217*time*(EXP(4.606*(20-time)/time)-1),((time-20)^2)*(0.5/time)))))))</f>
        <v/>
      </c>
      <c r="AW44" s="3805">
        <f>IF(C44 = "Please select",0,D57*IF(L44&gt;time,0,1)*2*IF(J44="YES",(MIN(AB44,AA44)*time+ABS(AB44-AA44)*IF(AB44&gt;AA44,0+time*VLOOKUP(F57,list!$J$48:$K$50,2,FALSE),time*(1-VLOOKUP(F57,list!$J$48:$K$50,2,FALSE)))),0)*VLOOKUP($C44,IPCC!$A$871:$E$906,4,FALSE)*VLOOKUP(C44,IPCC!$A$871:$E$906,2,FALSE)*($N44/100)*(1/L44))</f>
        <v/>
      </c>
      <c r="AX44" s="3805">
        <f>IF(C44 = "Please select",0,D57*IF(M44&gt;time_tot,0,1)*2*IF(K44="YES",(MIN(AC44,AA44)*time+ABS(AC44-AA44)*IF(AC44&gt;AA44,0+time*VLOOKUP(H57,list!$J$48:$K$50,2,FALSE),time*(1-VLOOKUP(H57,list!$J$48:$K$50,2,FALSE)))),0)*VLOOKUP($C44,IPCC!$A$871:$E$906,4,FALSE)*VLOOKUP(C44,IPCC!$A$871:$E$906,2,FALSE)*($O44/100)*(1/$M44))</f>
        <v/>
      </c>
      <c r="AY44" s="3805">
        <f>IF(C44 = "Please select",0,D57*IF(L44&gt;time_tot,0,1)*2*IF(J44="YES",(MIN(AB44,AA44)*time+ABS(AB44-AA44)*IF(AB44&gt;AA44,0+time*VLOOKUP(F57,list!$J$48:$K$50,2,FALSE),time*(1-VLOOKUP(F57,list!$J$48:$K$50,2,FALSE)))),0)*VLOOKUP($C44,IPCC!$A$871:$E$906,5,FALSE)*VLOOKUP(C44,IPCC!$A$871:$E$906,2,FALSE)*($N44/100)*(1/L44))</f>
        <v/>
      </c>
      <c r="AZ44" s="3805">
        <f>IF(C44 = "Please select",0,D57*IF(M44&gt;time_tot,0,1)*2*IF(K44="YES",(MIN(AC44,AA44)*time+ABS(AC44-AA44)*IF(AC44&gt;AA44,0+time*VLOOKUP(H57,list!$J$48:$K$50,2,FALSE),time*(1-VLOOKUP(H57,list!$J$48:$K$50,2,FALSE)))),0)*VLOOKUP($C44,IPCC!$A$871:$E$906,5,FALSE)*VLOOKUP(C44,IPCC!$A$871:$E$906,2,FALSE)*($O44/100)*(1/M44))</f>
        <v/>
      </c>
      <c r="BA44" s="3806">
        <f>(AW44*methane + AY44*Nitrous)/1000</f>
        <v/>
      </c>
      <c r="BB44" s="3807">
        <f>(AX44*methane+AZ44*Nitrous)/1000</f>
        <v/>
      </c>
      <c r="BD44" s="3671">
        <f>D57*IF(E44&gt;0,1,0)</f>
        <v/>
      </c>
      <c r="BE44" s="3672">
        <f>E57*IF(G44&gt;0,1,0)</f>
        <v/>
      </c>
      <c r="BF44" s="3672">
        <f>G57*IF(I44&gt;0,1,0)</f>
        <v/>
      </c>
      <c r="BG44" s="3862" t="n"/>
      <c r="BH44" s="3672">
        <f>IF(AF44&gt;0,O57/AF44,0)*time_tot/L44</f>
        <v/>
      </c>
      <c r="BI44" s="3673">
        <f>IF(AI44&gt;0,P57/AI44,0)*time_tot/M44</f>
        <v/>
      </c>
    </row>
    <row r="45">
      <c r="B45" s="682" t="n">
        <v>4</v>
      </c>
      <c r="C45" s="284">
        <f>'5.Management'!$C16</f>
        <v/>
      </c>
      <c r="D45" s="674">
        <f>'5.Management'!$E16</f>
        <v/>
      </c>
      <c r="E45" s="3847">
        <f>IF('5.Management'!$AS16="", '5.Management'!$AR16, '5.Management'!$AS16)</f>
        <v/>
      </c>
      <c r="F45" s="674">
        <f>'5.Management'!$G16</f>
        <v/>
      </c>
      <c r="G45" s="3848">
        <f>IF('5.Management'!$AU16="", '5.Management'!$AT16, '5.Management'!$AU16)</f>
        <v/>
      </c>
      <c r="H45" s="674">
        <f>'5.Management'!$I16</f>
        <v/>
      </c>
      <c r="I45" s="3848">
        <f>IF('5.Management'!$AW16="", '5.Management'!$AV16, '5.Management'!$AW16)</f>
        <v/>
      </c>
      <c r="J45" s="682">
        <f>'5.Management'!$K16</f>
        <v/>
      </c>
      <c r="K45" s="682">
        <f>'5.Management'!$M16</f>
        <v/>
      </c>
      <c r="L45" s="682">
        <f>'5.Management'!$O16</f>
        <v/>
      </c>
      <c r="M45" s="682">
        <f>'5.Management'!$Q16</f>
        <v/>
      </c>
      <c r="N45" s="682">
        <f>'5.Management'!$S16*100</f>
        <v/>
      </c>
      <c r="O45" s="682">
        <f>'5.Management'!$U16*100</f>
        <v/>
      </c>
      <c r="P45" s="3542">
        <f>IF($D45 = "Please select", 0, VLOOKUP($B45, $G$25:$Q$32, 10, FALSE)*(1-$E45))</f>
        <v/>
      </c>
      <c r="Q45" s="3545">
        <f>IF($F45 = "Please select", 0, VLOOKUP($B45, $G$25:$Q$32, 10, FALSE)*(1-$G45))</f>
        <v/>
      </c>
      <c r="R45" s="3545">
        <f>IF($H45 = "Please select", 0, VLOOKUP($B45, $G$25:$Q$32, 10, FALSE)*(1-$I45))</f>
        <v/>
      </c>
      <c r="S45" s="3545">
        <f>IF($D45 = "Please select", 0, VLOOKUP($B45, $G$25:$Q$32, 11, FALSE)*(1-$E45))</f>
        <v/>
      </c>
      <c r="T45" s="3545">
        <f>IF($F45 = "Please select", 0, VLOOKUP($B45, $G$25:$Q$32, 11, FALSE)*(1-$G45))</f>
        <v/>
      </c>
      <c r="U45" s="3545">
        <f>IF($H45 = "Please select", 0, VLOOKUP($B45, $G$25:$Q$32, 11, FALSE)*(1-$I45))</f>
        <v/>
      </c>
      <c r="V45" s="3678">
        <f>IF($D45 = "Please select", 0, VLOOKUP($B45, $G$25:$Q$32, 9, FALSE)*U28)</f>
        <v/>
      </c>
      <c r="W45" s="3678">
        <f>IF($F45 = "Please select", 0, VLOOKUP($B45, $G$25:$Q$32, 9, FALSE)*V28)</f>
        <v/>
      </c>
      <c r="X45" s="3678">
        <f>IF($H45 = "Please select", 0, VLOOKUP($B45, $G$25:$Q$32, 9, FALSE)*W28)</f>
        <v/>
      </c>
      <c r="Y45" s="4726">
        <f>(W45-V45)/20*(-44/12)</f>
        <v/>
      </c>
      <c r="Z45" s="4726">
        <f>(X45-V45)/20*(-44/12)</f>
        <v/>
      </c>
      <c r="AA45" s="3545">
        <f>P45</f>
        <v/>
      </c>
      <c r="AB45" s="3545">
        <f>Q45</f>
        <v/>
      </c>
      <c r="AC45" s="3545">
        <f>R7</f>
        <v/>
      </c>
      <c r="AD45" s="3245">
        <f>IF(C45 = "Please select",0,IF(L45&gt;time_tot,0,1)*2*IF(J45="YES",(MIN(AB45,AA45)*time_tot+ABS(AB45-AA45)*IF(AB45&gt;AA45,time_cap+time*VLOOKUP(F58,list!$J$48:$K$50,2,FALSE),time*(1-VLOOKUP(F58,list!$J$48:$K$50,2,FALSE)))),0)*VLOOKUP($C45,IPCC!$A$871:$E$906,4,FALSE)*VLOOKUP(C45,IPCC!$A$871:$E$906,2,FALSE)*($N45/100)*(1/$L45))</f>
        <v/>
      </c>
      <c r="AE45" s="4726">
        <f>IF(C45 = "Please select",0,IF(L45&gt;time_tot,0,1)*2*IF(J45="YES",(MIN(AB45,AA45)*time_tot+ABS(AB45-AA45)*IF(AB45&gt;AA45,time_cap+time*VLOOKUP(F58,list!$J$48:$K$50,2,FALSE),time*(1-VLOOKUP(F58,list!$J$48:$K$50,2,FALSE)))),0)*VLOOKUP($C45,IPCC!$A$871:$E$906,5,FALSE)*VLOOKUP(C45,IPCC!$A$871:$E$906,2,FALSE)*($N45/100)*(1/L45))</f>
        <v/>
      </c>
      <c r="AF45" s="3245">
        <f>(AD45*methane+AE45*Nitrous)/1000</f>
        <v/>
      </c>
      <c r="AG45" s="3245">
        <f>IF(C45 = "Please select",0,IF(M45&gt;time_tot,0,1)*2*IF(K45="YES",(MIN(AC45,AA45)*time_tot+ABS(AC45-AA45)*IF(AC45&gt;AA45,time_cap+time*VLOOKUP(H58,list!$J$48:$K$50,2,FALSE),time*(1-VLOOKUP(H58,list!$J$48:$K$50,2,FALSE)))),0)*VLOOKUP($C45,IPCC!$A$871:$E$906,4,FALSE)*VLOOKUP(C45,IPCC!$A$871:$E$906,2,FALSE)*($O45/100)*(1/$M45))</f>
        <v/>
      </c>
      <c r="AH45" s="3245">
        <f>IF(C45 = "Please select",0,IF(M45&gt;time_tot,0,1)*2*IF(K45="YES",(MIN(AC45,AA45)*time_tot+ABS(AC45-AA45)*IF(AC45&gt;AA45,time_cap+time*VLOOKUP(H58,list!$J$48:$K$50,2,FALSE),time*(1-VLOOKUP(H58,list!$J$48:$K$50,2,FALSE)))),0)*VLOOKUP($C45,IPCC!$A$871:$E$906,5,FALSE)*VLOOKUP(C45,IPCC!$A$871:$E$906,2,FALSE)*($O45/100)*(1/M45))</f>
        <v/>
      </c>
      <c r="AI45" s="3850">
        <f>(AG45*methane+AH45*Nitrous)/1000</f>
        <v/>
      </c>
      <c r="AM45" s="3555">
        <f>(AD45*methane)*D58/1000</f>
        <v/>
      </c>
      <c r="AN45" s="3667">
        <f>(AG45*methane)*D58/1000</f>
        <v/>
      </c>
      <c r="AO45" s="3667">
        <f>(AE45*Nitrous)*D58/1000</f>
        <v/>
      </c>
      <c r="AP45" s="3554">
        <f>(AH45*Nitrous)*D58/1000</f>
        <v/>
      </c>
      <c r="AU45" s="3804">
        <f>$Y45*(IF(F58="Immediate",IF(E58&gt;0, E58*MIN(20,time),0), E58*IF(time&gt;time+20,20,IF(time&lt;20,(time*VLOOKUP(F58, list!$J$48:$K$50,2,))+(time-time),((MIN(20,time)*VLOOKUP(F58, list!$J$48:$K$50,2,))+(time-MIN(20,time))-IF(F58="Exponential",time-20+0.217*time*(EXP(4.606*(20-time)/time)-1),((time-20)^2)*(0.5/time)))))))</f>
        <v/>
      </c>
      <c r="AV45" s="3805">
        <f>$Z45*(IF(H58="Immediate",IF( G58&gt;0, G58*MIN(20,time),0), G58*IF(time&gt;time+20,20,IF(time&lt;20,(time*VLOOKUP(H58, list!$J$48:$K$50,2,))+(time-time),((MIN(20,time)*VLOOKUP(H58, list!$J$48:$K$50,2,))+(time-MIN(20,time))-IF(H58="Exponential",time-20+0.217*time*(EXP(4.606*(20-time)/time)-1),((time-20)^2)*(0.5/time)))))))</f>
        <v/>
      </c>
      <c r="AW45" s="3805">
        <f>IF(C45 = "Please select",0,D58*IF(L45&gt;time,0,1)*2*IF(J45="YES",(MIN(AB45,AA45)*time+ABS(AB45-AA45)*IF(AB45&gt;AA45,0+time*VLOOKUP(F58,list!$J$48:$K$50,2,FALSE),time*(1-VLOOKUP(F58,list!$J$48:$K$50,2,FALSE)))),0)*VLOOKUP($C45,IPCC!$A$871:$E$906,4,FALSE)*VLOOKUP(C45,IPCC!$A$871:$E$906,2,FALSE)*($N45/100)*(1/L45))</f>
        <v/>
      </c>
      <c r="AX45" s="3805">
        <f>IF(C45 = "Please select",0,D58*IF(M45&gt;time_tot,0,1)*2*IF(K45="YES",(MIN(AC45,AA45)*time+ABS(AC45-AA45)*IF(AC45&gt;AA45,0+time*VLOOKUP(H58,list!$J$48:$K$50,2,FALSE),time*(1-VLOOKUP(H58,list!$J$48:$K$50,2,FALSE)))),0)*VLOOKUP($C45,IPCC!$A$871:$E$906,4,FALSE)*VLOOKUP(C45,IPCC!$A$871:$E$906,2,FALSE)*($O45/100)*(1/$M45))</f>
        <v/>
      </c>
      <c r="AY45" s="3805">
        <f>IF(C45 = "Please select",0,D58*IF(L45&gt;time_tot,0,1)*2*IF(J45="YES",(MIN(AB45,AA45)*time+ABS(AB45-AA45)*IF(AB45&gt;AA45,0+time*VLOOKUP(F58,list!$J$48:$K$50,2,FALSE),time*(1-VLOOKUP(F58,list!$J$48:$K$50,2,FALSE)))),0)*VLOOKUP($C45,IPCC!$A$871:$E$906,5,FALSE)*VLOOKUP(C45,IPCC!$A$871:$E$906,2,FALSE)*($N45/100)*(1/L45))</f>
        <v/>
      </c>
      <c r="AZ45" s="3805">
        <f>IF(C45 = "Please select",0,D58*IF(M45&gt;time_tot,0,1)*2*IF(K45="YES",(MIN(AC45,AA45)*time+ABS(AC45-AA45)*IF(AC45&gt;AA45,0+time*VLOOKUP(H58,list!$J$48:$K$50,2,FALSE),time*(1-VLOOKUP(H58,list!$J$48:$K$50,2,FALSE)))),0)*VLOOKUP($C45,IPCC!$A$871:$E$906,5,FALSE)*VLOOKUP(C45,IPCC!$A$871:$E$906,2,FALSE)*($O45/100)*(1/M45))</f>
        <v/>
      </c>
      <c r="BA45" s="3806">
        <f>(AW45*methane + AY45*Nitrous)/1000</f>
        <v/>
      </c>
      <c r="BB45" s="3807">
        <f>(AX45*methane+AZ45*Nitrous)/1000</f>
        <v/>
      </c>
      <c r="BD45" s="3671">
        <f>D58*IF(E45&gt;0,1,0)</f>
        <v/>
      </c>
      <c r="BE45" s="3672">
        <f>E58*IF(G45&gt;0,1,0)</f>
        <v/>
      </c>
      <c r="BF45" s="3672">
        <f>G58*IF(I45&gt;0,1,0)</f>
        <v/>
      </c>
      <c r="BG45" s="3862" t="n"/>
      <c r="BH45" s="3672">
        <f>IF(AF45&gt;0,O58/AF45,0)*time_tot/L45</f>
        <v/>
      </c>
      <c r="BI45" s="3673">
        <f>IF(AI45&gt;0,P58/AI45,0)*time_tot/M45</f>
        <v/>
      </c>
    </row>
    <row r="46">
      <c r="B46" s="682" t="n">
        <v>5</v>
      </c>
      <c r="C46" s="284">
        <f>'5.Management'!$C17</f>
        <v/>
      </c>
      <c r="D46" s="674">
        <f>'5.Management'!$E17</f>
        <v/>
      </c>
      <c r="E46" s="3847">
        <f>IF('5.Management'!$AS17="", '5.Management'!$AR17, '5.Management'!$AS17)</f>
        <v/>
      </c>
      <c r="F46" s="674">
        <f>'5.Management'!$G17</f>
        <v/>
      </c>
      <c r="G46" s="3848">
        <f>IF('5.Management'!$AU17="", '5.Management'!$AT17, '5.Management'!$AU17)</f>
        <v/>
      </c>
      <c r="H46" s="674">
        <f>'5.Management'!$I17</f>
        <v/>
      </c>
      <c r="I46" s="3848">
        <f>IF('5.Management'!$AW17="", '5.Management'!$AV17, '5.Management'!$AW17)</f>
        <v/>
      </c>
      <c r="J46" s="682">
        <f>'5.Management'!$K17</f>
        <v/>
      </c>
      <c r="K46" s="682">
        <f>'5.Management'!$M17</f>
        <v/>
      </c>
      <c r="L46" s="682">
        <f>'5.Management'!$O17</f>
        <v/>
      </c>
      <c r="M46" s="682">
        <f>'5.Management'!$Q17</f>
        <v/>
      </c>
      <c r="N46" s="682">
        <f>'5.Management'!$S17*100</f>
        <v/>
      </c>
      <c r="O46" s="682">
        <f>'5.Management'!$U17*100</f>
        <v/>
      </c>
      <c r="P46" s="3542">
        <f>IF($D46 = "Please select", 0, VLOOKUP($B46, $G$25:$Q$32, 10, FALSE)*(1-$E46))</f>
        <v/>
      </c>
      <c r="Q46" s="3545">
        <f>IF($F46 = "Please select", 0, VLOOKUP($B46, $G$25:$Q$32, 10, FALSE)*(1-$G46))</f>
        <v/>
      </c>
      <c r="R46" s="3545">
        <f>IF($H46 = "Please select", 0, VLOOKUP($B46, $G$25:$Q$32, 10, FALSE)*(1-$I46))</f>
        <v/>
      </c>
      <c r="S46" s="3545">
        <f>IF($D46 = "Please select", 0, VLOOKUP($B46, $G$25:$Q$32, 11, FALSE)*(1-$E46))</f>
        <v/>
      </c>
      <c r="T46" s="3545">
        <f>IF($F46 = "Please select", 0, VLOOKUP($B46, $G$25:$Q$32, 11, FALSE)*(1-$G46))</f>
        <v/>
      </c>
      <c r="U46" s="3545">
        <f>IF($H46 = "Please select", 0, VLOOKUP($B46, $G$25:$Q$32, 11, FALSE)*(1-$I46))</f>
        <v/>
      </c>
      <c r="V46" s="3678">
        <f>IF($D46 = "Please select", 0, VLOOKUP($B46, $G$25:$Q$32, 9, FALSE)*U29)</f>
        <v/>
      </c>
      <c r="W46" s="3678">
        <f>IF($F46 = "Please select", 0, VLOOKUP($B46, $G$25:$Q$32, 9, FALSE)*V29)</f>
        <v/>
      </c>
      <c r="X46" s="3678">
        <f>IF($H46 = "Please select", 0, VLOOKUP($B46, $G$25:$Q$32, 9, FALSE)*W29)</f>
        <v/>
      </c>
      <c r="Y46" s="4726">
        <f>(W46-V46)/20*(-44/12)</f>
        <v/>
      </c>
      <c r="Z46" s="4726">
        <f>(X46-V46)/20*(-44/12)</f>
        <v/>
      </c>
      <c r="AA46" s="3545">
        <f>P46</f>
        <v/>
      </c>
      <c r="AB46" s="3545">
        <f>Q46</f>
        <v/>
      </c>
      <c r="AC46" s="3545">
        <f>R8</f>
        <v/>
      </c>
      <c r="AD46" s="3245">
        <f>IF(C46 = "Please select",0,IF(L46&gt;time_tot,0,1)*2*IF(J46="YES",(MIN(AB46,AA46)*time_tot+ABS(AB46-AA46)*IF(AB46&gt;AA46,time_cap+time*VLOOKUP(F59,list!$J$48:$K$50,2,FALSE),time*(1-VLOOKUP(F59,list!$J$48:$K$50,2,FALSE)))),0)*VLOOKUP($C46,IPCC!$A$871:$E$906,4,FALSE)*VLOOKUP(C46,IPCC!$A$871:$E$906,2,FALSE)*($N46/100)*(1/$L46))</f>
        <v/>
      </c>
      <c r="AE46" s="4726">
        <f>IF(C46 = "Please select",0,IF(L46&gt;time_tot,0,1)*2*IF(J46="YES",(MIN(AB46,AA46)*time_tot+ABS(AB46-AA46)*IF(AB46&gt;AA46,time_cap+time*VLOOKUP(F59,list!$J$48:$K$50,2,FALSE),time*(1-VLOOKUP(F59,list!$J$48:$K$50,2,FALSE)))),0)*VLOOKUP($C46,IPCC!$A$871:$E$906,5,FALSE)*VLOOKUP(C46,IPCC!$A$871:$E$906,2,FALSE)*($N46/100)*(1/L46))</f>
        <v/>
      </c>
      <c r="AF46" s="3245">
        <f>(AD46*methane+AE46*Nitrous)/1000</f>
        <v/>
      </c>
      <c r="AG46" s="3245">
        <f>IF(C46 = "Please select",0,IF(M46&gt;time_tot,0,1)*2*IF(K46="YES",(MIN(AC46,AA46)*time_tot+ABS(AC46-AA46)*IF(AC46&gt;AA46,time_cap+time*VLOOKUP(H59,list!$J$48:$K$50,2,FALSE),time*(1-VLOOKUP(H59,list!$J$48:$K$50,2,FALSE)))),0)*VLOOKUP($C46,IPCC!$A$871:$E$906,4,FALSE)*VLOOKUP(C46,IPCC!$A$871:$E$906,2,FALSE)*($O46/100)*(1/$M46))</f>
        <v/>
      </c>
      <c r="AH46" s="3245">
        <f>IF(C46 = "Please select",0,IF(M46&gt;time_tot,0,1)*2*IF(K46="YES",(MIN(AC46,AA46)*time_tot+ABS(AC46-AA46)*IF(AC46&gt;AA46,time_cap+time*VLOOKUP(H59,list!$J$48:$K$50,2,FALSE),time*(1-VLOOKUP(H59,list!$J$48:$K$50,2,FALSE)))),0)*VLOOKUP($C46,IPCC!$A$871:$E$906,5,FALSE)*VLOOKUP(C46,IPCC!$A$871:$E$906,2,FALSE)*($O46/100)*(1/M46))</f>
        <v/>
      </c>
      <c r="AI46" s="3850">
        <f>(AG46*methane+AH46*Nitrous)/1000</f>
        <v/>
      </c>
      <c r="AM46" s="3555">
        <f>(AD46*methane)*D59/1000</f>
        <v/>
      </c>
      <c r="AN46" s="3667">
        <f>(AG46*methane)*D59/1000</f>
        <v/>
      </c>
      <c r="AO46" s="3667">
        <f>(AE46*Nitrous)*D59/1000</f>
        <v/>
      </c>
      <c r="AP46" s="3554">
        <f>(AH46*Nitrous)*D59/1000</f>
        <v/>
      </c>
      <c r="AU46" s="3804">
        <f>$Y46*(IF(F59="Immediate",IF(E59&gt;0, E59*MIN(20,time),0), E59*IF(time&gt;time+20,20,IF(time&lt;20,(time*VLOOKUP(F59, list!$J$48:$K$50,2,))+(time-time),((MIN(20,time)*VLOOKUP(F59, list!$J$48:$K$50,2,))+(time-MIN(20,time))-IF(F59="Exponential",time-20+0.217*time*(EXP(4.606*(20-time)/time)-1),((time-20)^2)*(0.5/time)))))))</f>
        <v/>
      </c>
      <c r="AV46" s="3805">
        <f>$Z46*(IF(H59="Immediate",IF( G59&gt;0, G59*MIN(20,time),0), G59*IF(time&gt;time+20,20,IF(time&lt;20,(time*VLOOKUP(H59, list!$J$48:$K$50,2,))+(time-time),((MIN(20,time)*VLOOKUP(H59, list!$J$48:$K$50,2,))+(time-MIN(20,time))-IF(H59="Exponential",time-20+0.217*time*(EXP(4.606*(20-time)/time)-1),((time-20)^2)*(0.5/time)))))))</f>
        <v/>
      </c>
      <c r="AW46" s="3805">
        <f>IF(C46 = "Please select",0,D59*IF(L46&gt;time,0,1)*2*IF(J46="YES",(MIN(AB46,AA46)*time+ABS(AB46-AA46)*IF(AB46&gt;AA46,0+time*VLOOKUP(F59,list!$J$48:$K$50,2,FALSE),time*(1-VLOOKUP(F59,list!$J$48:$K$50,2,FALSE)))),0)*VLOOKUP($C46,IPCC!$A$871:$E$906,4,FALSE)*VLOOKUP(C46,IPCC!$A$871:$E$906,2,FALSE)*($N46/100)*(1/L46))</f>
        <v/>
      </c>
      <c r="AX46" s="3805">
        <f>IF(C46 = "Please select",0,D59*IF(M46&gt;time_tot,0,1)*2*IF(K46="YES",(MIN(AC46,AA46)*time+ABS(AC46-AA46)*IF(AC46&gt;AA46,0+time*VLOOKUP(H59,list!$J$48:$K$50,2,FALSE),time*(1-VLOOKUP(H59,list!$J$48:$K$50,2,FALSE)))),0)*VLOOKUP($C46,IPCC!$A$871:$E$906,4,FALSE)*VLOOKUP(C46,IPCC!$A$871:$E$906,2,FALSE)*($O46/100)*(1/$M46))</f>
        <v/>
      </c>
      <c r="AY46" s="3805">
        <f>IF(C46 = "Please select",0,D59*IF(L46&gt;time_tot,0,1)*2*IF(J46="YES",(MIN(AB46,AA46)*time+ABS(AB46-AA46)*IF(AB46&gt;AA46,0+time*VLOOKUP(F59,list!$J$48:$K$50,2,FALSE),time*(1-VLOOKUP(F59,list!$J$48:$K$50,2,FALSE)))),0)*VLOOKUP($C46,IPCC!$A$871:$E$906,5,FALSE)*VLOOKUP(C46,IPCC!$A$871:$E$906,2,FALSE)*($N46/100)*(1/L46))</f>
        <v/>
      </c>
      <c r="AZ46" s="3805">
        <f>IF(C46 = "Please select",0,D59*IF(M46&gt;time_tot,0,1)*2*IF(K46="YES",(MIN(AC46,AA46)*time+ABS(AC46-AA46)*IF(AC46&gt;AA46,0+time*VLOOKUP(H59,list!$J$48:$K$50,2,FALSE),time*(1-VLOOKUP(H59,list!$J$48:$K$50,2,FALSE)))),0)*VLOOKUP($C46,IPCC!$A$871:$E$906,5,FALSE)*VLOOKUP(C46,IPCC!$A$871:$E$906,2,FALSE)*($O46/100)*(1/M46))</f>
        <v/>
      </c>
      <c r="BA46" s="3806">
        <f>(AW46*methane + AY46*Nitrous)/1000</f>
        <v/>
      </c>
      <c r="BB46" s="3807">
        <f>(AX46*methane+AZ46*Nitrous)/1000</f>
        <v/>
      </c>
      <c r="BD46" s="3671">
        <f>D59*IF(E46&gt;0,1,0)</f>
        <v/>
      </c>
      <c r="BE46" s="3672">
        <f>E59*IF(G46&gt;0,1,0)</f>
        <v/>
      </c>
      <c r="BF46" s="3672">
        <f>G59*IF(I46&gt;0,1,0)</f>
        <v/>
      </c>
      <c r="BG46" s="3862" t="n"/>
      <c r="BH46" s="3672">
        <f>IF(AF46&gt;0,O59/AF46,0)*time_tot/L46</f>
        <v/>
      </c>
      <c r="BI46" s="3673">
        <f>IF(AI46&gt;0,P59/AI46,0)*time_tot/M46</f>
        <v/>
      </c>
    </row>
    <row r="47">
      <c r="B47" s="682" t="n">
        <v>6</v>
      </c>
      <c r="C47" s="284">
        <f>'5.Management'!$C18</f>
        <v/>
      </c>
      <c r="D47" s="674">
        <f>'5.Management'!$E18</f>
        <v/>
      </c>
      <c r="E47" s="3847">
        <f>IF('5.Management'!$AS18="", '5.Management'!$AR18, '5.Management'!$AS18)</f>
        <v/>
      </c>
      <c r="F47" s="674">
        <f>'5.Management'!$G18</f>
        <v/>
      </c>
      <c r="G47" s="3848">
        <f>IF('5.Management'!$AU18="", '5.Management'!$AT18, '5.Management'!$AU18)</f>
        <v/>
      </c>
      <c r="H47" s="674">
        <f>'5.Management'!$I18</f>
        <v/>
      </c>
      <c r="I47" s="3848">
        <f>IF('5.Management'!$AW18="", '5.Management'!$AV18, '5.Management'!$AW18)</f>
        <v/>
      </c>
      <c r="J47" s="682">
        <f>'5.Management'!$K18</f>
        <v/>
      </c>
      <c r="K47" s="682">
        <f>'5.Management'!$M18</f>
        <v/>
      </c>
      <c r="L47" s="682">
        <f>'5.Management'!$O18</f>
        <v/>
      </c>
      <c r="M47" s="682">
        <f>'5.Management'!$Q18</f>
        <v/>
      </c>
      <c r="N47" s="682">
        <f>'5.Management'!$S18*100</f>
        <v/>
      </c>
      <c r="O47" s="682">
        <f>'5.Management'!$U18*100</f>
        <v/>
      </c>
      <c r="P47" s="3542">
        <f>IF($D47 = "Please select", 0, VLOOKUP($B47, $G$25:$Q$32, 10, FALSE)*(1-$E47))</f>
        <v/>
      </c>
      <c r="Q47" s="3545">
        <f>IF($F47 = "Please select", 0, VLOOKUP($B47, $G$25:$Q$32, 10, FALSE)*(1-$G47))</f>
        <v/>
      </c>
      <c r="R47" s="3545">
        <f>IF($H47 = "Please select", 0, VLOOKUP($B47, $G$25:$Q$32, 10, FALSE)*(1-$I47))</f>
        <v/>
      </c>
      <c r="S47" s="3545">
        <f>IF($D47 = "Please select", 0, VLOOKUP($B47, $G$25:$Q$32, 11, FALSE)*(1-$E47))</f>
        <v/>
      </c>
      <c r="T47" s="3545">
        <f>IF($F47 = "Please select", 0, VLOOKUP($B47, $G$25:$Q$32, 11, FALSE)*(1-$G47))</f>
        <v/>
      </c>
      <c r="U47" s="3545">
        <f>IF($H47 = "Please select", 0, VLOOKUP($B47, $G$25:$Q$32, 11, FALSE)*(1-$I47))</f>
        <v/>
      </c>
      <c r="V47" s="3678">
        <f>IF($D47 = "Please select", 0, VLOOKUP($B47, $G$25:$Q$32, 9, FALSE)*U30)</f>
        <v/>
      </c>
      <c r="W47" s="3678">
        <f>IF($F47 = "Please select", 0, VLOOKUP($B47, $G$25:$Q$32, 9, FALSE)*V30)</f>
        <v/>
      </c>
      <c r="X47" s="3678">
        <f>IF($H47 = "Please select", 0, VLOOKUP($B47, $G$25:$Q$32, 9, FALSE)*W30)</f>
        <v/>
      </c>
      <c r="Y47" s="4726">
        <f>(W47-V47)/20*(-44/12)</f>
        <v/>
      </c>
      <c r="Z47" s="4726">
        <f>(X47-V47)/20*(-44/12)</f>
        <v/>
      </c>
      <c r="AA47" s="3545">
        <f>P47</f>
        <v/>
      </c>
      <c r="AB47" s="3545">
        <f>Q47</f>
        <v/>
      </c>
      <c r="AC47" s="3545">
        <f>R9</f>
        <v/>
      </c>
      <c r="AD47" s="3245">
        <f>IF(C47 = "Please select",0,IF(L47&gt;time_tot,0,1)*2*IF(J47="YES",(MIN(AB47,AA47)*time_tot+ABS(AB47-AA47)*IF(AB47&gt;AA47,time_cap+time*VLOOKUP(F60,list!$J$48:$K$50,2,FALSE),time*(1-VLOOKUP(F60,list!$J$48:$K$50,2,FALSE)))),0)*VLOOKUP($C47,IPCC!$A$871:$E$906,4,FALSE)*VLOOKUP(C47,IPCC!$A$871:$E$906,2,FALSE)*($N47/100)*(1/$L47))</f>
        <v/>
      </c>
      <c r="AE47" s="4726">
        <f>IF(C47 = "Please select",0,IF(L47&gt;time_tot,0,1)*2*IF(J47="YES",(MIN(AB47,AA47)*time_tot+ABS(AB47-AA47)*IF(AB47&gt;AA47,time_cap+time*VLOOKUP(F60,list!$J$48:$K$50,2,FALSE),time*(1-VLOOKUP(F60,list!$J$48:$K$50,2,FALSE)))),0)*VLOOKUP($C47,IPCC!$A$871:$E$906,5,FALSE)*VLOOKUP(C47,IPCC!$A$871:$E$906,2,FALSE)*($N47/100)*(1/L47))</f>
        <v/>
      </c>
      <c r="AF47" s="3245">
        <f>(AD47*methane+AE47*Nitrous)/1000</f>
        <v/>
      </c>
      <c r="AG47" s="3245">
        <f>IF(C47 = "Please select",0,IF(M47&gt;time_tot,0,1)*2*IF(K47="YES",(MIN(AC47,AA47)*time_tot+ABS(AC47-AA47)*IF(AC47&gt;AA47,time_cap+time*VLOOKUP(H60,list!$J$48:$K$50,2,FALSE),time*(1-VLOOKUP(H60,list!$J$48:$K$50,2,FALSE)))),0)*VLOOKUP($C47,IPCC!$A$871:$E$906,4,FALSE)*VLOOKUP(C47,IPCC!$A$871:$E$906,2,FALSE)*($O47/100)*(1/$M47))</f>
        <v/>
      </c>
      <c r="AH47" s="3245">
        <f>IF(C47 = "Please select",0,IF(M47&gt;time_tot,0,1)*2*IF(K47="YES",(MIN(AC47,AA47)*time_tot+ABS(AC47-AA47)*IF(AC47&gt;AA47,time_cap+time*VLOOKUP(H60,list!$J$48:$K$50,2,FALSE),time*(1-VLOOKUP(H60,list!$J$48:$K$50,2,FALSE)))),0)*VLOOKUP($C47,IPCC!$A$871:$E$906,5,FALSE)*VLOOKUP(C47,IPCC!$A$871:$E$906,2,FALSE)*($O47/100)*(1/M47))</f>
        <v/>
      </c>
      <c r="AI47" s="3850">
        <f>(AG47*methane+AH47*Nitrous)/1000</f>
        <v/>
      </c>
      <c r="AM47" s="3555">
        <f>(AD47*methane)*D60/1000</f>
        <v/>
      </c>
      <c r="AN47" s="3667">
        <f>(AG47*methane)*D60/1000</f>
        <v/>
      </c>
      <c r="AO47" s="3667">
        <f>(AE47*Nitrous)*D60/1000</f>
        <v/>
      </c>
      <c r="AP47" s="3554">
        <f>(AH47*Nitrous)*D60/1000</f>
        <v/>
      </c>
      <c r="AU47" s="3804">
        <f>$Y47*(IF(F60="Immediate",IF(E60&gt;0, E60*MIN(20,time),0), E60*IF(time&gt;time+20,20,IF(time&lt;20,(time*VLOOKUP(F60, list!$J$48:$K$50,2,))+(time-time),((MIN(20,time)*VLOOKUP(F60, list!$J$48:$K$50,2,))+(time-MIN(20,time))-IF(F60="Exponential",time-20+0.217*time*(EXP(4.606*(20-time)/time)-1),((time-20)^2)*(0.5/time)))))))</f>
        <v/>
      </c>
      <c r="AV47" s="3805">
        <f>$Z47*(IF(H60="Immediate",IF( G60&gt;0, G60*MIN(20,time),0), G60*IF(time&gt;time+20,20,IF(time&lt;20,(time*VLOOKUP(H60, list!$J$48:$K$50,2,))+(time-time),((MIN(20,time)*VLOOKUP(H60, list!$J$48:$K$50,2,))+(time-MIN(20,time))-IF(H60="Exponential",time-20+0.217*time*(EXP(4.606*(20-time)/time)-1),((time-20)^2)*(0.5/time)))))))</f>
        <v/>
      </c>
      <c r="AW47" s="3805">
        <f>IF(C47 = "Please select",0,D60*IF(L47&gt;time,0,1)*2*IF(J47="YES",(MIN(AB47,AA47)*time+ABS(AB47-AA47)*IF(AB47&gt;AA47,0+time*VLOOKUP(F60,list!$J$48:$K$50,2,FALSE),time*(1-VLOOKUP(F60,list!$J$48:$K$50,2,FALSE)))),0)*VLOOKUP($C47,IPCC!$A$871:$E$906,4,FALSE)*VLOOKUP(C47,IPCC!$A$871:$E$906,2,FALSE)*($N47/100)*(1/L47))</f>
        <v/>
      </c>
      <c r="AX47" s="3805">
        <f>IF(C47 = "Please select",0,D60*IF(M47&gt;time_tot,0,1)*2*IF(K47="YES",(MIN(AC47,AA47)*time+ABS(AC47-AA47)*IF(AC47&gt;AA47,0+time*VLOOKUP(H60,list!$J$48:$K$50,2,FALSE),time*(1-VLOOKUP(H60,list!$J$48:$K$50,2,FALSE)))),0)*VLOOKUP($C47,IPCC!$A$871:$E$906,4,FALSE)*VLOOKUP(C47,IPCC!$A$871:$E$906,2,FALSE)*($O47/100)*(1/$M47))</f>
        <v/>
      </c>
      <c r="AY47" s="3805">
        <f>IF(C47 = "Please select",0,D60*IF(L47&gt;time_tot,0,1)*2*IF(J47="YES",(MIN(AB47,AA47)*time+ABS(AB47-AA47)*IF(AB47&gt;AA47,0+time*VLOOKUP(F60,list!$J$48:$K$50,2,FALSE),time*(1-VLOOKUP(F60,list!$J$48:$K$50,2,FALSE)))),0)*VLOOKUP($C47,IPCC!$A$871:$E$906,5,FALSE)*VLOOKUP(C47,IPCC!$A$871:$E$906,2,FALSE)*($N47/100)*(1/L47))</f>
        <v/>
      </c>
      <c r="AZ47" s="3805">
        <f>IF(C47 = "Please select",0,D60*IF(M47&gt;time_tot,0,1)*2*IF(K47="YES",(MIN(AC47,AA47)*time+ABS(AC47-AA47)*IF(AC47&gt;AA47,0+time*VLOOKUP(H60,list!$J$48:$K$50,2,FALSE),time*(1-VLOOKUP(H60,list!$J$48:$K$50,2,FALSE)))),0)*VLOOKUP($C47,IPCC!$A$871:$E$906,5,FALSE)*VLOOKUP(C47,IPCC!$A$871:$E$906,2,FALSE)*($O47/100)*(1/M47))</f>
        <v/>
      </c>
      <c r="BA47" s="3806">
        <f>(AW47*methane + AY47*Nitrous)/1000</f>
        <v/>
      </c>
      <c r="BB47" s="3807">
        <f>(AX47*methane+AZ47*Nitrous)/1000</f>
        <v/>
      </c>
      <c r="BD47" s="3671">
        <f>D60*IF(E47&gt;0,1,0)</f>
        <v/>
      </c>
      <c r="BE47" s="3672">
        <f>E60*IF(G47&gt;0,1,0)</f>
        <v/>
      </c>
      <c r="BF47" s="3672">
        <f>G60*IF(I47&gt;0,1,0)</f>
        <v/>
      </c>
      <c r="BG47" s="3862" t="n"/>
      <c r="BH47" s="3672">
        <f>IF(AF47&gt;0,O60/AF47,0)*time_tot/L47</f>
        <v/>
      </c>
      <c r="BI47" s="3673">
        <f>IF(AI47&gt;0,P60/AI47,0)*time_tot/M47</f>
        <v/>
      </c>
    </row>
    <row r="48">
      <c r="B48" s="682" t="n">
        <v>7</v>
      </c>
      <c r="C48" s="284">
        <f>'5.Management'!$C19</f>
        <v/>
      </c>
      <c r="D48" s="674">
        <f>'5.Management'!$E19</f>
        <v/>
      </c>
      <c r="E48" s="3847">
        <f>IF('5.Management'!$AS19="", '5.Management'!$AR19, '5.Management'!$AS19)</f>
        <v/>
      </c>
      <c r="F48" s="674">
        <f>'5.Management'!$G19</f>
        <v/>
      </c>
      <c r="G48" s="3848">
        <f>IF('5.Management'!$AU19="", '5.Management'!$AT19, '5.Management'!$AU19)</f>
        <v/>
      </c>
      <c r="H48" s="674">
        <f>'5.Management'!$I19</f>
        <v/>
      </c>
      <c r="I48" s="3848">
        <f>IF('5.Management'!$AW19="", '5.Management'!$AV19, '5.Management'!$AW19)</f>
        <v/>
      </c>
      <c r="J48" s="682">
        <f>'5.Management'!$K19</f>
        <v/>
      </c>
      <c r="K48" s="682">
        <f>'5.Management'!$M19</f>
        <v/>
      </c>
      <c r="L48" s="682">
        <f>'5.Management'!$O19</f>
        <v/>
      </c>
      <c r="M48" s="682">
        <f>'5.Management'!$Q19</f>
        <v/>
      </c>
      <c r="N48" s="682">
        <f>'5.Management'!$S19*100</f>
        <v/>
      </c>
      <c r="O48" s="682">
        <f>'5.Management'!$U19*100</f>
        <v/>
      </c>
      <c r="P48" s="3542">
        <f>IF($D48 = "Please select", 0, VLOOKUP($B48, $G$25:$Q$32, 10, FALSE)*(1-$E48))</f>
        <v/>
      </c>
      <c r="Q48" s="3545">
        <f>IF($F48 = "Please select", 0, VLOOKUP($B48, $G$25:$Q$32, 10, FALSE)*(1-$G48))</f>
        <v/>
      </c>
      <c r="R48" s="3545">
        <f>IF($H48 = "Please select", 0, VLOOKUP($B48, $G$25:$Q$32, 10, FALSE)*(1-$I48))</f>
        <v/>
      </c>
      <c r="S48" s="3545">
        <f>IF($D48 = "Please select", 0, VLOOKUP($B48, $G$25:$Q$32, 11, FALSE)*(1-$E48))</f>
        <v/>
      </c>
      <c r="T48" s="3545">
        <f>IF($F48 = "Please select", 0, VLOOKUP($B48, $G$25:$Q$32, 11, FALSE)*(1-$G48))</f>
        <v/>
      </c>
      <c r="U48" s="3545">
        <f>IF($H48 = "Please select", 0, VLOOKUP($B48, $G$25:$Q$32, 11, FALSE)*(1-$I48))</f>
        <v/>
      </c>
      <c r="V48" s="3678">
        <f>IF($D48 = "Please select", 0, VLOOKUP($B48, $G$25:$Q$32, 9, FALSE)*U31)</f>
        <v/>
      </c>
      <c r="W48" s="3678">
        <f>IF($F48 = "Please select", 0, VLOOKUP($B48, $G$25:$Q$32, 9, FALSE)*V31)</f>
        <v/>
      </c>
      <c r="X48" s="3678">
        <f>IF($H48 = "Please select", 0, VLOOKUP($B48, $G$25:$Q$32, 9, FALSE)*W31)</f>
        <v/>
      </c>
      <c r="Y48" s="4726">
        <f>(W48-V48)/20*(-44/12)</f>
        <v/>
      </c>
      <c r="Z48" s="4726">
        <f>(X48-V48)/20*(-44/12)</f>
        <v/>
      </c>
      <c r="AA48" s="3545">
        <f>P48</f>
        <v/>
      </c>
      <c r="AB48" s="3545">
        <f>Q48</f>
        <v/>
      </c>
      <c r="AC48" s="3545">
        <f>R10</f>
        <v/>
      </c>
      <c r="AD48" s="3245">
        <f>IF(C48 = "Please select",0,IF(L48&gt;time_tot,0,1)*2*IF(J48="YES",(MIN(AB48,AA48)*time_tot+ABS(AB48-AA48)*IF(AB48&gt;AA48,time_cap+time*VLOOKUP(F61,list!$J$48:$K$50,2,FALSE),time*(1-VLOOKUP(F61,list!$J$48:$K$50,2,FALSE)))),0)*VLOOKUP($C48,IPCC!$A$871:$E$906,4,FALSE)*VLOOKUP(C48,IPCC!$A$871:$E$906,2,FALSE)*($N48/100)*(1/$L48))</f>
        <v/>
      </c>
      <c r="AE48" s="4726">
        <f>IF(C48 = "Please select",0,IF(L48&gt;time_tot,0,1)*2*IF(J48="YES",(MIN(AB48,AA48)*time_tot+ABS(AB48-AA48)*IF(AB48&gt;AA48,time_cap+time*VLOOKUP(F61,list!$J$48:$K$50,2,FALSE),time*(1-VLOOKUP(F61,list!$J$48:$K$50,2,FALSE)))),0)*VLOOKUP($C48,IPCC!$A$871:$E$906,5,FALSE)*VLOOKUP(C48,IPCC!$A$871:$E$906,2,FALSE)*($N48/100)*(1/L48))</f>
        <v/>
      </c>
      <c r="AF48" s="3245">
        <f>(AD48*methane+AE48*Nitrous)/1000</f>
        <v/>
      </c>
      <c r="AG48" s="3245">
        <f>IF(C48 = "Please select",0,IF(M48&gt;time_tot,0,1)*2*IF(K48="YES",(MIN(AC48,AA48)*time_tot+ABS(AC48-AA48)*IF(AC48&gt;AA48,time_cap+time*VLOOKUP(H61,list!$J$48:$K$50,2,FALSE),time*(1-VLOOKUP(H61,list!$J$48:$K$50,2,FALSE)))),0)*VLOOKUP($C48,IPCC!$A$871:$E$906,4,FALSE)*VLOOKUP(C48,IPCC!$A$871:$E$906,2,FALSE)*($O48/100)*(1/$M48))</f>
        <v/>
      </c>
      <c r="AH48" s="3245">
        <f>IF(C48 = "Please select",0,IF(M48&gt;time_tot,0,1)*2*IF(K48="YES",(MIN(AC48,AA48)*time_tot+ABS(AC48-AA48)*IF(AC48&gt;AA48,time_cap+time*VLOOKUP(H61,list!$J$48:$K$50,2,FALSE),time*(1-VLOOKUP(H61,list!$J$48:$K$50,2,FALSE)))),0)*VLOOKUP($C48,IPCC!$A$871:$E$906,5,FALSE)*VLOOKUP(C48,IPCC!$A$871:$E$906,2,FALSE)*($O48/100)*(1/M48))</f>
        <v/>
      </c>
      <c r="AI48" s="3850">
        <f>(AG48*methane+AH48*Nitrous)/1000</f>
        <v/>
      </c>
      <c r="AM48" s="3555">
        <f>(AD48*methane)*D61/1000</f>
        <v/>
      </c>
      <c r="AN48" s="3667">
        <f>(AG48*methane)*D61/1000</f>
        <v/>
      </c>
      <c r="AO48" s="3667">
        <f>(AE48*Nitrous)*D61/1000</f>
        <v/>
      </c>
      <c r="AP48" s="3554">
        <f>(AH48*Nitrous)*D61/1000</f>
        <v/>
      </c>
      <c r="AU48" s="3804">
        <f>$Y48*(IF(F61="Immediate",IF(E61&gt;0, E61*MIN(20,time),0), E61*IF(time&gt;time+20,20,IF(time&lt;20,(time*VLOOKUP(F61, list!$J$48:$K$50,2,))+(time-time),((MIN(20,time)*VLOOKUP(F61, list!$J$48:$K$50,2,))+(time-MIN(20,time))-IF(F61="Exponential",time-20+0.217*time*(EXP(4.606*(20-time)/time)-1),((time-20)^2)*(0.5/time)))))))</f>
        <v/>
      </c>
      <c r="AV48" s="3805">
        <f>$Z48*(IF(H61="Immediate",IF( G61&gt;0, G61*MIN(20,time),0), G61*IF(time&gt;time+20,20,IF(time&lt;20,(time*VLOOKUP(H61, list!$J$48:$K$50,2,))+(time-time),((MIN(20,time)*VLOOKUP(H61, list!$J$48:$K$50,2,))+(time-MIN(20,time))-IF(H61="Exponential",time-20+0.217*time*(EXP(4.606*(20-time)/time)-1),((time-20)^2)*(0.5/time)))))))</f>
        <v/>
      </c>
      <c r="AW48" s="3805">
        <f>IF(C48 = "Please select",0,D61*IF(L48&gt;time,0,1)*2*IF(J48="YES",(MIN(AB48,AA48)*time+ABS(AB48-AA48)*IF(AB48&gt;AA48,0+time*VLOOKUP(F61,list!$J$48:$K$50,2,FALSE),time*(1-VLOOKUP(F61,list!$J$48:$K$50,2,FALSE)))),0)*VLOOKUP($C48,IPCC!$A$871:$E$906,4,FALSE)*VLOOKUP(C48,IPCC!$A$871:$E$906,2,FALSE)*($N48/100)*(1/L48))</f>
        <v/>
      </c>
      <c r="AX48" s="3805">
        <f>IF(C48 = "Please select",0,D61*IF(M48&gt;time_tot,0,1)*2*IF(K48="YES",(MIN(AC48,AA48)*time+ABS(AC48-AA48)*IF(AC48&gt;AA48,0+time*VLOOKUP(H61,list!$J$48:$K$50,2,FALSE),time*(1-VLOOKUP(H61,list!$J$48:$K$50,2,FALSE)))),0)*VLOOKUP($C48,IPCC!$A$871:$E$906,4,FALSE)*VLOOKUP(C48,IPCC!$A$871:$E$906,2,FALSE)*($O48/100)*(1/$M48))</f>
        <v/>
      </c>
      <c r="AY48" s="3805">
        <f>IF(C48 = "Please select",0,D61*IF(L48&gt;time_tot,0,1)*2*IF(J48="YES",(MIN(AB48,AA48)*time+ABS(AB48-AA48)*IF(AB48&gt;AA48,0+time*VLOOKUP(F61,list!$J$48:$K$50,2,FALSE),time*(1-VLOOKUP(F61,list!$J$48:$K$50,2,FALSE)))),0)*VLOOKUP($C48,IPCC!$A$871:$E$906,5,FALSE)*VLOOKUP(C48,IPCC!$A$871:$E$906,2,FALSE)*($N48/100)*(1/L48))</f>
        <v/>
      </c>
      <c r="AZ48" s="3805">
        <f>IF(C48 = "Please select",0,D61*IF(M48&gt;time_tot,0,1)*2*IF(K48="YES",(MIN(AC48,AA48)*time+ABS(AC48-AA48)*IF(AC48&gt;AA48,0+time*VLOOKUP(H61,list!$J$48:$K$50,2,FALSE),time*(1-VLOOKUP(H61,list!$J$48:$K$50,2,FALSE)))),0)*VLOOKUP($C48,IPCC!$A$871:$E$906,5,FALSE)*VLOOKUP(C48,IPCC!$A$871:$E$906,2,FALSE)*($O48/100)*(1/M48))</f>
        <v/>
      </c>
      <c r="BA48" s="3806">
        <f>(AW48*methane + AY48*Nitrous)/1000</f>
        <v/>
      </c>
      <c r="BB48" s="3807">
        <f>(AX48*methane+AZ48*Nitrous)/1000</f>
        <v/>
      </c>
      <c r="BD48" s="3671">
        <f>D61*IF(E48&gt;0,1,0)</f>
        <v/>
      </c>
      <c r="BE48" s="3672">
        <f>E61*IF(G48&gt;0,1,0)</f>
        <v/>
      </c>
      <c r="BF48" s="3672">
        <f>G61*IF(I48&gt;0,1,0)</f>
        <v/>
      </c>
      <c r="BG48" s="3862" t="n"/>
      <c r="BH48" s="3672">
        <f>IF(AF48&gt;0,O61/AF48,0)*time_tot/L48</f>
        <v/>
      </c>
      <c r="BI48" s="3673">
        <f>IF(AI48&gt;0,P61/AI48,0)*time_tot/M48</f>
        <v/>
      </c>
    </row>
    <row r="49">
      <c r="B49" s="682" t="n">
        <v>8</v>
      </c>
      <c r="C49" s="284">
        <f>'5.Management'!$C20</f>
        <v/>
      </c>
      <c r="D49" s="674">
        <f>'5.Management'!$E20</f>
        <v/>
      </c>
      <c r="E49" s="3847">
        <f>IF('5.Management'!$AS20="", '5.Management'!$AR20, '5.Management'!$AS20)</f>
        <v/>
      </c>
      <c r="F49" s="674">
        <f>'5.Management'!$G20</f>
        <v/>
      </c>
      <c r="G49" s="3848">
        <f>IF('5.Management'!$AU20="", '5.Management'!$AT20, '5.Management'!$AU20)</f>
        <v/>
      </c>
      <c r="H49" s="674">
        <f>'5.Management'!$I20</f>
        <v/>
      </c>
      <c r="I49" s="3848">
        <f>IF('5.Management'!$AW20="", '5.Management'!$AV20, '5.Management'!$AW20)</f>
        <v/>
      </c>
      <c r="J49" s="682">
        <f>'5.Management'!$K20</f>
        <v/>
      </c>
      <c r="K49" s="682">
        <f>'5.Management'!$M20</f>
        <v/>
      </c>
      <c r="L49" s="682">
        <f>'5.Management'!$O20</f>
        <v/>
      </c>
      <c r="M49" s="682">
        <f>'5.Management'!$Q20</f>
        <v/>
      </c>
      <c r="N49" s="682">
        <f>'5.Management'!$S20*100</f>
        <v/>
      </c>
      <c r="O49" s="682">
        <f>'5.Management'!$U20*100</f>
        <v/>
      </c>
      <c r="P49" s="3542">
        <f>IF($D49 = "Please select", 0, VLOOKUP($B49, $G$25:$Q$32, 10, FALSE)*(1-$E49))</f>
        <v/>
      </c>
      <c r="Q49" s="3545">
        <f>IF($F49 = "Please select", 0, VLOOKUP($B49, $G$25:$Q$32, 10, FALSE)*(1-$G49))</f>
        <v/>
      </c>
      <c r="R49" s="3545">
        <f>IF($H49 = "Please select", 0, VLOOKUP($B49, $G$25:$Q$32, 10, FALSE)*(1-$I49))</f>
        <v/>
      </c>
      <c r="S49" s="3545">
        <f>IF($D49 = "Please select", 0, VLOOKUP($B49, $G$25:$Q$32, 11, FALSE)*(1-$E49))</f>
        <v/>
      </c>
      <c r="T49" s="3545">
        <f>IF($F49 = "Please select", 0, VLOOKUP($B49, $G$25:$Q$32, 11, FALSE)*(1-$G49))</f>
        <v/>
      </c>
      <c r="U49" s="3545">
        <f>IF($H49 = "Please select", 0, VLOOKUP($B49, $G$25:$Q$32, 11, FALSE)*(1-$I49))</f>
        <v/>
      </c>
      <c r="V49" s="3678">
        <f>IF($D49 = "Please select", 0, VLOOKUP($B49, $G$25:$Q$32, 9, FALSE)*U32)</f>
        <v/>
      </c>
      <c r="W49" s="3678">
        <f>IF($F49 = "Please select", 0, VLOOKUP($B49, $G$25:$Q$32, 9, FALSE)*V32)</f>
        <v/>
      </c>
      <c r="X49" s="3678">
        <f>IF($H49 = "Please select", 0, VLOOKUP($B49, $G$25:$Q$32, 9, FALSE)*W32)</f>
        <v/>
      </c>
      <c r="Y49" s="4727">
        <f>(W49-V49)/20*(-44/12)</f>
        <v/>
      </c>
      <c r="Z49" s="4727">
        <f>(X49-V49)/20*(-44/12)</f>
        <v/>
      </c>
      <c r="AA49" s="3545">
        <f>P49</f>
        <v/>
      </c>
      <c r="AB49" s="3545">
        <f>Q49</f>
        <v/>
      </c>
      <c r="AC49" s="3545">
        <f>R11</f>
        <v/>
      </c>
      <c r="AD49" s="3327">
        <f>IF(C49 = "Please select",0,IF(L49&gt;time_tot,0,1)*2*IF(J49="YES",(MIN(AB49,AA49)*time_tot+ABS(AB49-AA49)*IF(AB49&gt;AA49,time_cap+time*VLOOKUP(F62,list!$J$48:$K$50,2,FALSE),time*(1-VLOOKUP(F62,list!$J$48:$K$50,2,FALSE)))),0)*VLOOKUP($C49,IPCC!$A$871:$E$906,4,FALSE)*VLOOKUP(C49,IPCC!$A$871:$E$906,2,FALSE)*($N49/100)*(1/$L49))</f>
        <v/>
      </c>
      <c r="AE49" s="4727">
        <f>IF(C49 = "Please select",0,IF(L49&gt;time_tot,0,1)*2*IF(J49="YES",(MIN(AB49,AA49)*time_tot+ABS(AB49-AA49)*IF(AB49&gt;AA49,time_cap+time*VLOOKUP(F62,list!$J$48:$K$50,2,FALSE),time*(1-VLOOKUP(F62,list!$J$48:$K$50,2,FALSE)))),0)*VLOOKUP($C49,IPCC!$A$871:$E$906,5,FALSE)*VLOOKUP(C49,IPCC!$A$871:$E$906,2,FALSE)*($N49/100)*(1/L49))</f>
        <v/>
      </c>
      <c r="AF49" s="3327">
        <f>(AD49*methane+AE49*Nitrous)/1000</f>
        <v/>
      </c>
      <c r="AG49" s="3327">
        <f>IF(C49 = "Please select",0,IF(M49&gt;time_tot,0,1)*2*IF(K49="YES",(MIN(AC49,AA49)*time_tot+ABS(AC49-AA49)*IF(AC49&gt;AA49,time_cap+time*VLOOKUP(H62,list!$J$48:$K$50,2,FALSE),time*(1-VLOOKUP(H62,list!$J$48:$K$50,2,FALSE)))),0)*VLOOKUP($C49,IPCC!$A$871:$E$906,4,FALSE)*VLOOKUP(C49,IPCC!$A$871:$E$906,2,FALSE)*($O49/100)*(1/$M49))</f>
        <v/>
      </c>
      <c r="AH49" s="3327">
        <f>IF(C49 = "Please select",0,IF(M49&gt;time_tot,0,1)*2*IF(K49="YES",(MIN(AC49,AA49)*time_tot+ABS(AC49-AA49)*IF(AC49&gt;AA49,time_cap+time*VLOOKUP(H62,list!$J$48:$K$50,2,FALSE),time*(1-VLOOKUP(H62,list!$J$48:$K$50,2,FALSE)))),0)*VLOOKUP($C49,IPCC!$A$871:$E$906,5,FALSE)*VLOOKUP(C49,IPCC!$A$871:$E$906,2,FALSE)*($O49/100)*(1/M49))</f>
        <v/>
      </c>
      <c r="AI49" s="3851">
        <f>(AG49*methane+AH49*Nitrous)/1000</f>
        <v/>
      </c>
      <c r="AM49" s="3855">
        <f>(AD49*methane)*D62/1000</f>
        <v/>
      </c>
      <c r="AN49" s="3682">
        <f>(AG49*methane)*D62/1000</f>
        <v/>
      </c>
      <c r="AO49" s="3682">
        <f>(AE49*Nitrous)*D62/1000</f>
        <v/>
      </c>
      <c r="AP49" s="3368">
        <f>(AH49*Nitrous)*D62/1000</f>
        <v/>
      </c>
      <c r="AU49" s="3804">
        <f>$Y49*(IF(F62="Immediate",IF(E62&gt;0, E62*MIN(20,time),0), E62*IF(time&gt;time+20,20,IF(time&lt;20,(time*VLOOKUP(F62, list!$J$48:$K$50,2,))+(time-time),((MIN(20,time)*VLOOKUP(F62, list!$J$48:$K$50,2,))+(time-MIN(20,time))-IF(F62="Exponential",time-20+0.217*time*(EXP(4.606*(20-time)/time)-1),((time-20)^2)*(0.5/time)))))))</f>
        <v/>
      </c>
      <c r="AV49" s="3805">
        <f>$Z49*(IF(H62="Immediate",IF( G62&gt;0, G62*MIN(20,time),0), G62*IF(time&gt;time+20,20,IF(time&lt;20,(time*VLOOKUP(H62, list!$J$48:$K$50,2,))+(time-time),((MIN(20,time)*VLOOKUP(H62, list!$J$48:$K$50,2,))+(time-MIN(20,time))-IF(H62="Exponential",time-20+0.217*time*(EXP(4.606*(20-time)/time)-1),((time-20)^2)*(0.5/time)))))))</f>
        <v/>
      </c>
      <c r="AW49" s="3805">
        <f>IF(C49 = "Please select",0,D62*IF(L49&gt;time,0,1)*2*IF(J49="YES",(MIN(AB49,AA49)*time+ABS(AB49-AA49)*IF(AB49&gt;AA49,0+time*VLOOKUP(F62,list!$J$48:$K$50,2,FALSE),time*(1-VLOOKUP(F62,list!$J$48:$K$50,2,FALSE)))),0)*VLOOKUP($C49,IPCC!$A$871:$E$906,4,FALSE)*VLOOKUP(C49,IPCC!$A$871:$E$906,2,FALSE)*($N49/100)*(1/L49))</f>
        <v/>
      </c>
      <c r="AX49" s="3805">
        <f>IF(C49 = "Please select",0,D62*IF(M49&gt;time_tot,0,1)*2*IF(K49="YES",(MIN(AC49,AA49)*time+ABS(AC49-AA49)*IF(AC49&gt;AA49,0+time*VLOOKUP(H62,list!$J$48:$K$50,2,FALSE),time*(1-VLOOKUP(H62,list!$J$48:$K$50,2,FALSE)))),0)*VLOOKUP($C49,IPCC!$A$871:$E$906,4,FALSE)*VLOOKUP(C49,IPCC!$A$871:$E$906,2,FALSE)*($O49/100)*(1/$M49))</f>
        <v/>
      </c>
      <c r="AY49" s="3805">
        <f>IF(C49 = "Please select",0,D62*IF(L49&gt;time_tot,0,1)*2*IF(J49="YES",(MIN(AB49,AA49)*time+ABS(AB49-AA49)*IF(AB49&gt;AA49,0+time*VLOOKUP(F62,list!$J$48:$K$50,2,FALSE),time*(1-VLOOKUP(F62,list!$J$48:$K$50,2,FALSE)))),0)*VLOOKUP($C49,IPCC!$A$871:$E$906,5,FALSE)*VLOOKUP(C49,IPCC!$A$871:$E$906,2,FALSE)*($N49/100)*(1/L49))</f>
        <v/>
      </c>
      <c r="AZ49" s="3805">
        <f>IF(C49 = "Please select",0,D62*IF(M49&gt;time_tot,0,1)*2*IF(K49="YES",(MIN(AC49,AA49)*time+ABS(AC49-AA49)*IF(AC49&gt;AA49,0+time*VLOOKUP(H62,list!$J$48:$K$50,2,FALSE),time*(1-VLOOKUP(H62,list!$J$48:$K$50,2,FALSE)))),0)*VLOOKUP($C49,IPCC!$A$871:$E$906,5,FALSE)*VLOOKUP(C49,IPCC!$A$871:$E$906,2,FALSE)*($O49/100)*(1/M49))</f>
        <v/>
      </c>
      <c r="BA49" s="3806">
        <f>(AW49*methane + AY49*Nitrous)/1000</f>
        <v/>
      </c>
      <c r="BB49" s="3807">
        <f>(AX49*methane+AZ49*Nitrous)/1000</f>
        <v/>
      </c>
      <c r="BD49" s="3674">
        <f>D62*IF(E49&gt;0,1,0)</f>
        <v/>
      </c>
      <c r="BE49" s="3675">
        <f>E62*IF(G49&gt;0,1,0)</f>
        <v/>
      </c>
      <c r="BF49" s="3675">
        <f>G62*IF(I49&gt;0,1,0)</f>
        <v/>
      </c>
      <c r="BG49" s="3863" t="n"/>
      <c r="BH49" s="3675">
        <f>IF(AF49&gt;0,O62/AF49,0)*time_tot/L49</f>
        <v/>
      </c>
      <c r="BI49" s="3676">
        <f>IF(AI49&gt;0,P62/AI49,0)*time_tot/M49</f>
        <v/>
      </c>
    </row>
    <row r="50">
      <c r="AM50" s="3856">
        <f>SUM(AM42:AM49)</f>
        <v/>
      </c>
      <c r="AN50" s="3857">
        <f>SUM(AN42:AN49)</f>
        <v/>
      </c>
      <c r="AO50" s="3857">
        <f>SUM(AO42:AO49)</f>
        <v/>
      </c>
      <c r="AP50" s="3858">
        <f>SUM(AP42:AP49)</f>
        <v/>
      </c>
      <c r="AU50" s="3821" t="n"/>
      <c r="AV50" s="3822" t="n"/>
      <c r="AW50" s="3823">
        <f>(SUM(AW42:AW49))*methane/1000</f>
        <v/>
      </c>
      <c r="AX50" s="3823">
        <f>SUM(AX42:AX49)*methane/1000</f>
        <v/>
      </c>
      <c r="AY50" s="3823">
        <f>SUM(AY42:AY49)*Nitrous/1000</f>
        <v/>
      </c>
      <c r="AZ50" s="3823">
        <f>SUM(AZ42:AZ49)*Nitrous/1000</f>
        <v/>
      </c>
      <c r="BA50" s="3327" t="n"/>
      <c r="BB50" s="3799" t="n"/>
      <c r="BD50" s="3864">
        <f>SUM(BD42:BD49)</f>
        <v/>
      </c>
      <c r="BE50" s="3865">
        <f>SUM(BE42:BE49)</f>
        <v/>
      </c>
      <c r="BF50" s="3866">
        <f>SUM(BF42:BF49)</f>
        <v/>
      </c>
      <c r="BG50" s="3479" t="n"/>
      <c r="BH50" s="3864">
        <f>SUM(BH42:BH49)</f>
        <v/>
      </c>
      <c r="BI50" s="3866">
        <f>SUM(BI42:BI49)</f>
        <v/>
      </c>
    </row>
    <row r="52">
      <c r="I52" s="3661" t="inlineStr">
        <is>
          <t>Total biomass (AGB + BGB)</t>
        </is>
      </c>
      <c r="J52" s="3649" t="n"/>
      <c r="K52" s="3661" t="inlineStr">
        <is>
          <t>DOM (Dead wood + litter)</t>
        </is>
      </c>
      <c r="L52" s="3649" t="n"/>
      <c r="M52" s="3661" t="inlineStr">
        <is>
          <t>SOC</t>
        </is>
      </c>
      <c r="N52" s="3649" t="n"/>
      <c r="O52" s="3661" t="inlineStr">
        <is>
          <t>Fire</t>
        </is>
      </c>
      <c r="P52" s="3649" t="n"/>
      <c r="Q52" s="3661" t="inlineStr">
        <is>
          <t>Total balance</t>
        </is>
      </c>
      <c r="R52" s="3649" t="n"/>
      <c r="S52" s="3549" t="inlineStr">
        <is>
          <t>Balance</t>
        </is>
      </c>
      <c r="AD52" s="388" t="n"/>
      <c r="AG52" s="388" t="n"/>
    </row>
    <row r="53">
      <c r="B53" s="3644" t="inlineStr">
        <is>
          <t>GHG emissions/removals</t>
        </is>
      </c>
      <c r="C53" s="3824" t="n"/>
      <c r="D53" s="3825" t="inlineStr">
        <is>
          <t xml:space="preserve">START area </t>
        </is>
      </c>
      <c r="E53" s="3483" t="inlineStr">
        <is>
          <t>Without</t>
        </is>
      </c>
      <c r="F53" s="3483" t="n"/>
      <c r="G53" s="3548" t="inlineStr">
        <is>
          <t>With</t>
        </is>
      </c>
      <c r="H53" s="3548" t="n"/>
      <c r="I53" s="3363" t="inlineStr">
        <is>
          <t>Without</t>
        </is>
      </c>
      <c r="J53" s="3548" t="inlineStr">
        <is>
          <t>With</t>
        </is>
      </c>
      <c r="K53" s="3363" t="inlineStr">
        <is>
          <t>Without</t>
        </is>
      </c>
      <c r="L53" s="3548" t="inlineStr">
        <is>
          <t>With</t>
        </is>
      </c>
      <c r="M53" s="3363" t="inlineStr">
        <is>
          <t>Without</t>
        </is>
      </c>
      <c r="N53" s="3548" t="inlineStr">
        <is>
          <t>With</t>
        </is>
      </c>
      <c r="O53" s="3363" t="inlineStr">
        <is>
          <t>Without</t>
        </is>
      </c>
      <c r="P53" s="3548" t="inlineStr">
        <is>
          <t>With</t>
        </is>
      </c>
      <c r="Q53" s="3363" t="inlineStr">
        <is>
          <t>Without</t>
        </is>
      </c>
      <c r="R53" s="3548" t="inlineStr">
        <is>
          <t>With</t>
        </is>
      </c>
      <c r="S53" s="489" t="n"/>
      <c r="AC53" s="388" t="n"/>
    </row>
    <row r="54">
      <c r="B54" s="3826" t="inlineStr">
        <is>
          <t xml:space="preserve">SI. </t>
        </is>
      </c>
      <c r="C54" s="2842" t="inlineStr">
        <is>
          <t>Vegetation type</t>
        </is>
      </c>
      <c r="D54" s="3825" t="inlineStr">
        <is>
          <t>(ha)</t>
        </is>
      </c>
      <c r="E54" s="3483" t="inlineStr">
        <is>
          <t>area (ha)</t>
        </is>
      </c>
      <c r="F54" s="3483" t="inlineStr">
        <is>
          <t xml:space="preserve">rate </t>
        </is>
      </c>
      <c r="G54" s="3548" t="inlineStr">
        <is>
          <t>area (ha)</t>
        </is>
      </c>
      <c r="H54" s="3548" t="inlineStr">
        <is>
          <t xml:space="preserve">rate </t>
        </is>
      </c>
      <c r="I54" s="3363" t="inlineStr">
        <is>
          <t>tCO2</t>
        </is>
      </c>
      <c r="J54" s="3548" t="inlineStr">
        <is>
          <t>tCO2</t>
        </is>
      </c>
      <c r="K54" s="3363" t="inlineStr">
        <is>
          <t>tCO2</t>
        </is>
      </c>
      <c r="L54" s="3548" t="inlineStr">
        <is>
          <t>tCO2</t>
        </is>
      </c>
      <c r="M54" s="3363" t="inlineStr">
        <is>
          <t>tCO2</t>
        </is>
      </c>
      <c r="N54" s="3548" t="inlineStr">
        <is>
          <t>tCO2</t>
        </is>
      </c>
      <c r="O54" s="3363" t="inlineStr">
        <is>
          <t>tCO2</t>
        </is>
      </c>
      <c r="P54" s="3548" t="inlineStr">
        <is>
          <t>tCO2</t>
        </is>
      </c>
      <c r="Q54" s="3363" t="inlineStr">
        <is>
          <t>tCO2</t>
        </is>
      </c>
      <c r="R54" s="3548" t="inlineStr">
        <is>
          <t>tCO2</t>
        </is>
      </c>
      <c r="S54" s="3549" t="inlineStr">
        <is>
          <t>tCO2</t>
        </is>
      </c>
      <c r="AE54" s="388" t="n"/>
    </row>
    <row r="55">
      <c r="B55" s="3827" t="n">
        <v>1</v>
      </c>
      <c r="C55" s="682">
        <f>'5.Management'!$C13</f>
        <v/>
      </c>
      <c r="D55" s="3518">
        <f>'5.Management'!$W13</f>
        <v/>
      </c>
      <c r="E55" s="3518">
        <f>D55</f>
        <v/>
      </c>
      <c r="F55" s="682">
        <f>VLOOKUP('5.Management'!$Y13, list!$I$48:$J$50, 2, FALSE)</f>
        <v/>
      </c>
      <c r="G55" s="3518">
        <f>D55</f>
        <v/>
      </c>
      <c r="H55" s="682">
        <f>VLOOKUP('5.Management'!$AA13, list!$I$48:$J$50, 2, FALSE)</f>
        <v/>
      </c>
      <c r="I55" s="3550">
        <f>((Q42-P42)*(-44/12))*E55</f>
        <v/>
      </c>
      <c r="J55" s="3544">
        <f>((R42-P42)*(-44/12))*G55</f>
        <v/>
      </c>
      <c r="K55" s="3544">
        <f>((T42-S42)*(-44/12))*E55</f>
        <v/>
      </c>
      <c r="L55" s="3544">
        <f>((U42-S42)*(-44/12))*G55</f>
        <v/>
      </c>
      <c r="M55" s="3544">
        <f>$Y42*(IF(F55="Immediate",IF(E55&gt;0, E55*MIN(20,time_tot),0), E55*IF(time_tot&gt;time+20,20,IF(time_tot&lt;20,(time*VLOOKUP(F55, list!$J$48:$K$50,2,))+(time_tot-time),((MIN(20,time)*VLOOKUP(F55, list!$J$48:$K$50,2,))+(time_tot-MIN(20,time))-IF(F55="Exponential",time_tot-20+0.217*time*(EXP(4.606*(20-time_tot)/time)-1),((time_tot-20)^2)*(0.5/time)))))))</f>
        <v/>
      </c>
      <c r="N55" s="3544">
        <f>$Z42*(IF(H55="Immediate",IF( G55&gt;0, G55*MIN(20,time_tot),0), G55*IF(time_tot&gt;time+20,20,IF(time_tot&lt;20,(time*VLOOKUP(H55, list!$J$48:$K$50,2,))+(time_tot-time),((MIN(20,time)*VLOOKUP(H55, list!$J$48:$K$50,2,))+(time_tot-MIN(20,time))-IF(H55="Exponential",time_tot-20+0.217*time*(EXP(4.606*(20-time_tot)/time)-1),((time_tot-20)^2)*(0.5/time)))))))</f>
        <v/>
      </c>
      <c r="O55" s="3544">
        <f>AF42*D55</f>
        <v/>
      </c>
      <c r="P55" s="3544">
        <f>D55*AI42</f>
        <v/>
      </c>
      <c r="Q55" s="3544">
        <f>O55+M55+K55+I55</f>
        <v/>
      </c>
      <c r="R55" s="3544">
        <f>J55+L55+N55+P55</f>
        <v/>
      </c>
      <c r="S55" s="3551">
        <f>R55-Q55</f>
        <v/>
      </c>
      <c r="AU55" s="3564" t="inlineStr">
        <is>
          <t>Categories</t>
        </is>
      </c>
      <c r="AV55" s="3565" t="inlineStr">
        <is>
          <t>Total</t>
        </is>
      </c>
      <c r="AW55" s="3565" t="inlineStr">
        <is>
          <t>Implementation</t>
        </is>
      </c>
      <c r="AX55" s="3565" t="inlineStr">
        <is>
          <t>Capitalization</t>
        </is>
      </c>
      <c r="BA55" s="3564" t="inlineStr">
        <is>
          <t>Categories</t>
        </is>
      </c>
      <c r="BB55" s="3565" t="inlineStr">
        <is>
          <t>Without</t>
        </is>
      </c>
      <c r="BC55" s="3565" t="inlineStr">
        <is>
          <t>With</t>
        </is>
      </c>
    </row>
    <row r="56">
      <c r="B56" s="3827" t="n">
        <v>2</v>
      </c>
      <c r="C56" s="682">
        <f>'5.Management'!$C14</f>
        <v/>
      </c>
      <c r="D56" s="3518">
        <f>'5.Management'!$W14</f>
        <v/>
      </c>
      <c r="E56" s="3518">
        <f>D56</f>
        <v/>
      </c>
      <c r="F56" s="682">
        <f>VLOOKUP('5.Management'!$Y14, list!$I$48:$J$50, 2, FALSE)</f>
        <v/>
      </c>
      <c r="G56" s="3518">
        <f>D56</f>
        <v/>
      </c>
      <c r="H56" s="682">
        <f>VLOOKUP('5.Management'!$AA14, list!$I$48:$J$50, 2, FALSE)</f>
        <v/>
      </c>
      <c r="I56" s="3244">
        <f>((Q43-P43)*(-44/12))*E56</f>
        <v/>
      </c>
      <c r="J56" s="3245">
        <f>((R43-P43)*(-44/12))*G56</f>
        <v/>
      </c>
      <c r="K56" s="3245">
        <f>((T43-S43)*(-44/12))*E56</f>
        <v/>
      </c>
      <c r="L56" s="3245">
        <f>((U43-S43)*(-44/12))*G56</f>
        <v/>
      </c>
      <c r="M56" s="3245">
        <f>$Y43*(IF(F56="Immediate",IF(E56&gt;0, E56*MIN(20,time_tot),0), E56*IF(time_tot&gt;time+20,20,IF(time_tot&lt;20,(time*VLOOKUP(F56, list!$J$48:$K$50,2,))+(time_tot-time),((MIN(20,time)*VLOOKUP(F56, list!$J$48:$K$50,2,))+(time_tot-MIN(20,time))-IF(F56="Exponential",time_tot-20+0.217*time*(EXP(4.606*(20-time_tot)/time)-1),((time_tot-20)^2)*(0.5/time)))))))</f>
        <v/>
      </c>
      <c r="N56" s="3245">
        <f>$Z43*(IF(H56="Immediate",IF( G56&gt;0, G56*MIN(20,time_tot),0), G56*IF(time_tot&gt;time+20,20,IF(time_tot&lt;20,(time*VLOOKUP(H56, list!$J$48:$K$50,2,))+(time_tot-time),((MIN(20,time)*VLOOKUP(H56, list!$J$48:$K$50,2,))+(time_tot-MIN(20,time))-IF(H56="Exponential",time_tot-20+0.217*time*(EXP(4.606*(20-time_tot)/time)-1),((time_tot-20)^2)*(0.5/time)))))))</f>
        <v/>
      </c>
      <c r="O56" s="3245">
        <f>AF43*D56</f>
        <v/>
      </c>
      <c r="P56" s="3245">
        <f>D56*AI43</f>
        <v/>
      </c>
      <c r="Q56" s="3245">
        <f>O56+M56+K56+I56</f>
        <v/>
      </c>
      <c r="R56" s="3245">
        <f>J56+L56+N56+P56</f>
        <v/>
      </c>
      <c r="S56" s="3552">
        <f>R56-Q56</f>
        <v/>
      </c>
      <c r="AU56" s="3524" t="inlineStr">
        <is>
          <t>CO2 biomass</t>
        </is>
      </c>
      <c r="AV56" s="3569">
        <f>SUM(J55:J62)-SUM(I55:I62)</f>
        <v/>
      </c>
      <c r="AW56" s="3570">
        <f>IF(time=0,0,AV56)</f>
        <v/>
      </c>
      <c r="AX56" s="3571">
        <f>AV56-AW56</f>
        <v/>
      </c>
      <c r="BA56" s="3524" t="inlineStr">
        <is>
          <t>CO2 biomass</t>
        </is>
      </c>
      <c r="BB56" s="3569">
        <f>SUM(I55:I62)</f>
        <v/>
      </c>
      <c r="BC56" s="3570">
        <f>SUM(J55:J62)</f>
        <v/>
      </c>
    </row>
    <row r="57">
      <c r="B57" s="682" t="n">
        <v>3</v>
      </c>
      <c r="C57" s="682">
        <f>'5.Management'!$C15</f>
        <v/>
      </c>
      <c r="D57" s="3518">
        <f>'5.Management'!$W15</f>
        <v/>
      </c>
      <c r="E57" s="3518">
        <f>D57</f>
        <v/>
      </c>
      <c r="F57" s="682">
        <f>VLOOKUP('5.Management'!$Y15, list!$I$48:$J$50, 2, FALSE)</f>
        <v/>
      </c>
      <c r="G57" s="3518">
        <f>D57</f>
        <v/>
      </c>
      <c r="H57" s="682">
        <f>VLOOKUP('5.Management'!$AA15, list!$I$48:$J$50, 2, FALSE)</f>
        <v/>
      </c>
      <c r="I57" s="3244">
        <f>((Q44-P44)*(-44/12))*E57</f>
        <v/>
      </c>
      <c r="J57" s="3245">
        <f>((R44-P44)*(-44/12))*G57</f>
        <v/>
      </c>
      <c r="K57" s="3245">
        <f>((T44-S44)*(-44/12))*E57</f>
        <v/>
      </c>
      <c r="L57" s="3245">
        <f>((U44-S44)*(-44/12))*G57</f>
        <v/>
      </c>
      <c r="M57" s="3245">
        <f>$Y44*(IF(F57="Immediate",IF(E57&gt;0, E57*MIN(20,time_tot),0), E57*IF(time_tot&gt;time+20,20,IF(time_tot&lt;20,(time*VLOOKUP(F57, list!$J$48:$K$50,2,))+(time_tot-time),((MIN(20,time)*VLOOKUP(F57, list!$J$48:$K$50,2,))+(time_tot-MIN(20,time))-IF(F57="Exponential",time_tot-20+0.217*time*(EXP(4.606*(20-time_tot)/time)-1),((time_tot-20)^2)*(0.5/time)))))))</f>
        <v/>
      </c>
      <c r="N57" s="3245">
        <f>$Z44*(IF(H57="Immediate",IF( G57&gt;0, G57*MIN(20,time_tot),0), G57*IF(time_tot&gt;time+20,20,IF(time_tot&lt;20,(time*VLOOKUP(H57, list!$J$48:$K$50,2,))+(time_tot-time),((MIN(20,time)*VLOOKUP(H57, list!$J$48:$K$50,2,))+(time_tot-MIN(20,time))-IF(H57="Exponential",time_tot-20+0.217*time*(EXP(4.606*(20-time_tot)/time)-1),((time_tot-20)^2)*(0.5/time)))))))</f>
        <v/>
      </c>
      <c r="O57" s="3245">
        <f>AF44*D57</f>
        <v/>
      </c>
      <c r="P57" s="3245">
        <f>D57*AI44</f>
        <v/>
      </c>
      <c r="Q57" s="3245">
        <f>O57+M57+K57+I57</f>
        <v/>
      </c>
      <c r="R57" s="3245">
        <f>J57+L57+N57+P57</f>
        <v/>
      </c>
      <c r="S57" s="3552">
        <f>R57-Q57</f>
        <v/>
      </c>
      <c r="AU57" s="3524" t="inlineStr">
        <is>
          <t>CO2 DOM</t>
        </is>
      </c>
      <c r="AV57" s="3525">
        <f>SUM(L55:L62)-SUM(K55:K62)</f>
        <v/>
      </c>
      <c r="AW57" s="3526">
        <f>IF(time=0,0,AV57)</f>
        <v/>
      </c>
      <c r="AX57" s="3527">
        <f>AV57-AW57</f>
        <v/>
      </c>
      <c r="BA57" s="3524" t="inlineStr">
        <is>
          <t>CO2 DOM</t>
        </is>
      </c>
      <c r="BB57" s="3525">
        <f>SUM(K55:K62)</f>
        <v/>
      </c>
      <c r="BC57" s="3526">
        <f>SUM(L55:L62)</f>
        <v/>
      </c>
    </row>
    <row r="58">
      <c r="B58" s="682" t="n">
        <v>4</v>
      </c>
      <c r="C58" s="682">
        <f>'5.Management'!$C16</f>
        <v/>
      </c>
      <c r="D58" s="3518">
        <f>'5.Management'!$W16</f>
        <v/>
      </c>
      <c r="E58" s="3518">
        <f>D58</f>
        <v/>
      </c>
      <c r="F58" s="682">
        <f>VLOOKUP('5.Management'!$Y16, list!$I$48:$J$50, 2, FALSE)</f>
        <v/>
      </c>
      <c r="G58" s="3518">
        <f>D58</f>
        <v/>
      </c>
      <c r="H58" s="682">
        <f>VLOOKUP('5.Management'!$AA16, list!$I$48:$J$50, 2, FALSE)</f>
        <v/>
      </c>
      <c r="I58" s="3244">
        <f>((Q45-P45)*(-44/12))*E58</f>
        <v/>
      </c>
      <c r="J58" s="3245">
        <f>((R45-P45)*(-44/12))*G58</f>
        <v/>
      </c>
      <c r="K58" s="3245">
        <f>((T45-S45)*(-44/12))*E58</f>
        <v/>
      </c>
      <c r="L58" s="3245">
        <f>((U45-S45)*(-44/12))*G58</f>
        <v/>
      </c>
      <c r="M58" s="3245">
        <f>$Y45*(IF(F58="Immediate",IF(E58&gt;0, E58*MIN(20,time_tot),0), E58*IF(time_tot&gt;time+20,20,IF(time_tot&lt;20,(time*VLOOKUP(F58, list!$J$48:$K$50,2,))+(time_tot-time),((MIN(20,time)*VLOOKUP(F58, list!$J$48:$K$50,2,))+(time_tot-MIN(20,time))-IF(F58="Exponential",time_tot-20+0.217*time*(EXP(4.606*(20-time_tot)/time)-1),((time_tot-20)^2)*(0.5/time)))))))</f>
        <v/>
      </c>
      <c r="N58" s="3245">
        <f>$Z45*(IF(H58="Immediate",IF( G58&gt;0, G58*MIN(20,time_tot),0), G58*IF(time_tot&gt;time+20,20,IF(time_tot&lt;20,(time*VLOOKUP(H58, list!$J$48:$K$50,2,))+(time_tot-time),((MIN(20,time)*VLOOKUP(H58, list!$J$48:$K$50,2,))+(time_tot-MIN(20,time))-IF(H58="Exponential",time_tot-20+0.217*time*(EXP(4.606*(20-time_tot)/time)-1),((time_tot-20)^2)*(0.5/time)))))))</f>
        <v/>
      </c>
      <c r="O58" s="3245">
        <f>AF45*D58</f>
        <v/>
      </c>
      <c r="P58" s="3245">
        <f>D58*AI45</f>
        <v/>
      </c>
      <c r="Q58" s="3245">
        <f>O58+M58+K58+I58</f>
        <v/>
      </c>
      <c r="R58" s="3245">
        <f>J58+L58+N58+P58</f>
        <v/>
      </c>
      <c r="S58" s="3552">
        <f>R58-Q58</f>
        <v/>
      </c>
      <c r="AU58" s="3524" t="inlineStr">
        <is>
          <t>CO2 soil</t>
        </is>
      </c>
      <c r="AV58" s="3525">
        <f>SUM(N55:N62)-SUM(M55:M62)</f>
        <v/>
      </c>
      <c r="AW58" s="3526">
        <f>SUM(AV42:AV49)-SUM(AU42:AU49)</f>
        <v/>
      </c>
      <c r="AX58" s="3527">
        <f>AV58-AW58</f>
        <v/>
      </c>
      <c r="BA58" s="3524" t="inlineStr">
        <is>
          <t>CO2 soil</t>
        </is>
      </c>
      <c r="BB58" s="3525">
        <f>SUM(M55:M62)</f>
        <v/>
      </c>
      <c r="BC58" s="3526">
        <f>SUM(N55:N62)</f>
        <v/>
      </c>
    </row>
    <row r="59">
      <c r="B59" s="682" t="n">
        <v>5</v>
      </c>
      <c r="C59" s="682">
        <f>'5.Management'!$C17</f>
        <v/>
      </c>
      <c r="D59" s="3518">
        <f>'5.Management'!$W17</f>
        <v/>
      </c>
      <c r="E59" s="3518">
        <f>D59</f>
        <v/>
      </c>
      <c r="F59" s="682">
        <f>VLOOKUP('5.Management'!$Y17, list!$I$48:$J$50, 2, FALSE)</f>
        <v/>
      </c>
      <c r="G59" s="3518">
        <f>D59</f>
        <v/>
      </c>
      <c r="H59" s="682">
        <f>VLOOKUP('5.Management'!$AA17, list!$I$48:$J$50, 2, FALSE)</f>
        <v/>
      </c>
      <c r="I59" s="3244">
        <f>((Q46-P46)*(-44/12))*E59</f>
        <v/>
      </c>
      <c r="J59" s="3245">
        <f>((R46-P46)*(-44/12))*G59</f>
        <v/>
      </c>
      <c r="K59" s="3245">
        <f>((T46-S46)*(-44/12))*E59</f>
        <v/>
      </c>
      <c r="L59" s="3245">
        <f>((U46-S46)*(-44/12))*G59</f>
        <v/>
      </c>
      <c r="M59" s="3245">
        <f>$Y46*(IF(F59="Immediate",IF(E59&gt;0, E59*MIN(20,time_tot),0), E59*IF(time_tot&gt;time+20,20,IF(time_tot&lt;20,(time*VLOOKUP(F59, list!$J$48:$K$50,2,))+(time_tot-time),((MIN(20,time)*VLOOKUP(F59, list!$J$48:$K$50,2,))+(time_tot-MIN(20,time))-IF(F59="Exponential",time_tot-20+0.217*time*(EXP(4.606*(20-time_tot)/time)-1),((time_tot-20)^2)*(0.5/time)))))))</f>
        <v/>
      </c>
      <c r="N59" s="3245">
        <f>$Z46*(IF(H59="Immediate",IF( G59&gt;0, G59*MIN(20,time_tot),0), G59*IF(time_tot&gt;time+20,20,IF(time_tot&lt;20,(time*VLOOKUP(H59, list!$J$48:$K$50,2,))+(time_tot-time),((MIN(20,time)*VLOOKUP(H59, list!$J$48:$K$50,2,))+(time_tot-MIN(20,time))-IF(H59="Exponential",time_tot-20+0.217*time*(EXP(4.606*(20-time_tot)/time)-1),((time_tot-20)^2)*(0.5/time)))))))</f>
        <v/>
      </c>
      <c r="O59" s="3245">
        <f>AF46*D59</f>
        <v/>
      </c>
      <c r="P59" s="3245">
        <f>D59*AI46</f>
        <v/>
      </c>
      <c r="Q59" s="3245">
        <f>O59+M59+K59+I59</f>
        <v/>
      </c>
      <c r="R59" s="3245">
        <f>J59+L59+N59+P59</f>
        <v/>
      </c>
      <c r="S59" s="3552">
        <f>R59-Q59</f>
        <v/>
      </c>
      <c r="AU59" s="3524" t="inlineStr">
        <is>
          <t>CH4 fire</t>
        </is>
      </c>
      <c r="AV59" s="3572">
        <f>SUM(AN42:AN49)-SUM(AM42:AM49)</f>
        <v/>
      </c>
      <c r="AW59" s="3573">
        <f>AX50-AW50</f>
        <v/>
      </c>
      <c r="AX59" s="3574">
        <f>AV59-AW59</f>
        <v/>
      </c>
      <c r="BA59" s="3524" t="inlineStr">
        <is>
          <t>CH4 fire</t>
        </is>
      </c>
      <c r="BB59" s="3572">
        <f>SUM(AM42:AM49)</f>
        <v/>
      </c>
      <c r="BC59" s="3573">
        <f>SUM(AN42:AN49)</f>
        <v/>
      </c>
    </row>
    <row r="60">
      <c r="B60" s="682" t="n">
        <v>6</v>
      </c>
      <c r="C60" s="682">
        <f>'5.Management'!$C18</f>
        <v/>
      </c>
      <c r="D60" s="3518">
        <f>'5.Management'!$W18</f>
        <v/>
      </c>
      <c r="E60" s="3518">
        <f>D60</f>
        <v/>
      </c>
      <c r="F60" s="682">
        <f>VLOOKUP('5.Management'!$Y18, list!$I$48:$J$50, 2, FALSE)</f>
        <v/>
      </c>
      <c r="G60" s="3518">
        <f>D60</f>
        <v/>
      </c>
      <c r="H60" s="682">
        <f>VLOOKUP('5.Management'!$AA18, list!$I$48:$J$50, 2, FALSE)</f>
        <v/>
      </c>
      <c r="I60" s="3244">
        <f>((Q47-P47)*(-44/12))*E60</f>
        <v/>
      </c>
      <c r="J60" s="3245">
        <f>((R47-P47)*(-44/12))*G60</f>
        <v/>
      </c>
      <c r="K60" s="3245">
        <f>((T47-S47)*(-44/12))*E60</f>
        <v/>
      </c>
      <c r="L60" s="3245">
        <f>((U47-S47)*(-44/12))*G60</f>
        <v/>
      </c>
      <c r="M60" s="3245">
        <f>$Y47*(IF(F60="Immediate",IF(E60&gt;0, E60*MIN(20,time_tot),0), E60*IF(time_tot&gt;time+20,20,IF(time_tot&lt;20,(time*VLOOKUP(F60, list!$J$48:$K$50,2,))+(time_tot-time),((MIN(20,time)*VLOOKUP(F60, list!$J$48:$K$50,2,))+(time_tot-MIN(20,time))-IF(F60="Exponential",time_tot-20+0.217*time*(EXP(4.606*(20-time_tot)/time)-1),((time_tot-20)^2)*(0.5/time)))))))</f>
        <v/>
      </c>
      <c r="N60" s="3245">
        <f>$Z47*(IF(H60="Immediate",IF( G60&gt;0, G60*MIN(20,time_tot),0), G60*IF(time_tot&gt;time+20,20,IF(time_tot&lt;20,(time*VLOOKUP(H60, list!$J$48:$K$50,2,))+(time_tot-time),((MIN(20,time)*VLOOKUP(H60, list!$J$48:$K$50,2,))+(time_tot-MIN(20,time))-IF(H60="Exponential",time_tot-20+0.217*time*(EXP(4.606*(20-time_tot)/time)-1),((time_tot-20)^2)*(0.5/time)))))))</f>
        <v/>
      </c>
      <c r="O60" s="3245">
        <f>AF47*D60</f>
        <v/>
      </c>
      <c r="P60" s="3245">
        <f>D60*AI47</f>
        <v/>
      </c>
      <c r="Q60" s="3245">
        <f>O60+M60+K60+I60</f>
        <v/>
      </c>
      <c r="R60" s="3245">
        <f>J60+L60+N60+P60</f>
        <v/>
      </c>
      <c r="S60" s="3552">
        <f>R60-Q60</f>
        <v/>
      </c>
      <c r="AU60" s="3524" t="inlineStr">
        <is>
          <t>N2O fire</t>
        </is>
      </c>
      <c r="AV60" s="3525">
        <f>SUM(AP42:AP49)-SUM(AO42:AO49)</f>
        <v/>
      </c>
      <c r="AW60" s="3526">
        <f>AZ50-AY50</f>
        <v/>
      </c>
      <c r="AX60" s="3527">
        <f>AV60-AW60</f>
        <v/>
      </c>
      <c r="BA60" s="3524" t="inlineStr">
        <is>
          <t>N2O fire</t>
        </is>
      </c>
      <c r="BB60" s="3525">
        <f>SUM(AO42:AO49)</f>
        <v/>
      </c>
      <c r="BC60" s="3526">
        <f>SUM(AP42:AP49)</f>
        <v/>
      </c>
    </row>
    <row r="61">
      <c r="B61" s="682" t="n">
        <v>7</v>
      </c>
      <c r="C61" s="682">
        <f>'5.Management'!$C19</f>
        <v/>
      </c>
      <c r="D61" s="3518">
        <f>'5.Management'!$W19</f>
        <v/>
      </c>
      <c r="E61" s="3518">
        <f>D61</f>
        <v/>
      </c>
      <c r="F61" s="682">
        <f>VLOOKUP('5.Management'!$Y19, list!$I$48:$J$50, 2, FALSE)</f>
        <v/>
      </c>
      <c r="G61" s="3518">
        <f>D61</f>
        <v/>
      </c>
      <c r="H61" s="682">
        <f>VLOOKUP('5.Management'!$AA19, list!$I$48:$J$50, 2, FALSE)</f>
        <v/>
      </c>
      <c r="I61" s="3244">
        <f>((Q48-P48)*(-44/12))*E61</f>
        <v/>
      </c>
      <c r="J61" s="3245">
        <f>((R48-P48)*(-44/12))*G61</f>
        <v/>
      </c>
      <c r="K61" s="3245">
        <f>((T48-S48)*(-44/12))*E61</f>
        <v/>
      </c>
      <c r="L61" s="3245">
        <f>((U48-S48)*(-44/12))*G61</f>
        <v/>
      </c>
      <c r="M61" s="3245">
        <f>$Y48*(IF(F61="Immediate",IF(E61&gt;0, E61*MIN(20,time_tot),0), E61*IF(time_tot&gt;time+20,20,IF(time_tot&lt;20,(time*VLOOKUP(F61, list!$J$48:$K$50,2,))+(time_tot-time),((MIN(20,time)*VLOOKUP(F61, list!$J$48:$K$50,2,))+(time_tot-MIN(20,time))-IF(F61="Exponential",time_tot-20+0.217*time*(EXP(4.606*(20-time_tot)/time)-1),((time_tot-20)^2)*(0.5/time)))))))</f>
        <v/>
      </c>
      <c r="N61" s="3245">
        <f>$Z48*(IF(H61="Immediate",IF( G61&gt;0, G61*MIN(20,time_tot),0), G61*IF(time_tot&gt;time+20,20,IF(time_tot&lt;20,(time*VLOOKUP(H61, list!$J$48:$K$50,2,))+(time_tot-time),((MIN(20,time)*VLOOKUP(H61, list!$J$48:$K$50,2,))+(time_tot-MIN(20,time))-IF(H61="Exponential",time_tot-20+0.217*time*(EXP(4.606*(20-time_tot)/time)-1),((time_tot-20)^2)*(0.5/time)))))))</f>
        <v/>
      </c>
      <c r="O61" s="3245">
        <f>AF48*D61</f>
        <v/>
      </c>
      <c r="P61" s="3245">
        <f>D61*AI48</f>
        <v/>
      </c>
      <c r="Q61" s="3245">
        <f>O61+M61+K61+I61</f>
        <v/>
      </c>
      <c r="R61" s="3245">
        <f>J61+L61+N61+P61</f>
        <v/>
      </c>
      <c r="S61" s="3552">
        <f>R61-Q61</f>
        <v/>
      </c>
      <c r="AU61" s="3563" t="inlineStr">
        <is>
          <t>Total tCO2-e</t>
        </is>
      </c>
      <c r="AV61" s="3575">
        <f>SUM(AV56:AV60)</f>
        <v/>
      </c>
      <c r="AW61" s="3576">
        <f>SUM(AW56:AW60)</f>
        <v/>
      </c>
      <c r="AX61" s="3577">
        <f>SUM(AX56:AX60)</f>
        <v/>
      </c>
      <c r="BA61" s="3563" t="inlineStr">
        <is>
          <t>Total tCO2-e</t>
        </is>
      </c>
      <c r="BB61" s="3575">
        <f>SUM(BB56:BB60)</f>
        <v/>
      </c>
      <c r="BC61" s="3576">
        <f>SUM(BC56:BC60)</f>
        <v/>
      </c>
    </row>
    <row r="62">
      <c r="B62" s="682" t="n">
        <v>8</v>
      </c>
      <c r="C62" s="682">
        <f>'5.Management'!$C20</f>
        <v/>
      </c>
      <c r="D62" s="3518">
        <f>'5.Management'!$W20</f>
        <v/>
      </c>
      <c r="E62" s="3518">
        <f>D62</f>
        <v/>
      </c>
      <c r="F62" s="682">
        <f>VLOOKUP('5.Management'!$Y20, list!$I$48:$J$50, 2, FALSE)</f>
        <v/>
      </c>
      <c r="G62" s="3518">
        <f>D62</f>
        <v/>
      </c>
      <c r="H62" s="682">
        <f>VLOOKUP('5.Management'!$AA20, list!$I$48:$J$50, 2, FALSE)</f>
        <v/>
      </c>
      <c r="I62" s="3244">
        <f>((Q49-P49)*(-44/12))*E62</f>
        <v/>
      </c>
      <c r="J62" s="3245">
        <f>((R49-P49)*(-44/12))*G62</f>
        <v/>
      </c>
      <c r="K62" s="3245">
        <f>((T49-S49)*(-44/12))*E62</f>
        <v/>
      </c>
      <c r="L62" s="3245">
        <f>((U49-S49)*(-44/12))*G62</f>
        <v/>
      </c>
      <c r="M62" s="3245">
        <f>$Y49*(IF(F62="Immediate",IF(E62&gt;0, E62*MIN(20,time_tot),0), E62*IF(time_tot&gt;time+20,20,IF(time_tot&lt;20,(time*VLOOKUP(F62, list!$J$48:$K$50,2,))+(time_tot-time),((MIN(20,time)*VLOOKUP(F62, list!$J$48:$K$50,2,))+(time_tot-MIN(20,time))-IF(F62="Exponential",time_tot-20+0.217*time*(EXP(4.606*(20-time_tot)/time)-1),((time_tot-20)^2)*(0.5/time)))))))</f>
        <v/>
      </c>
      <c r="N62" s="3245">
        <f>$Z49*(IF(H62="Immediate",IF( G62&gt;0, G62*MIN(20,time_tot),0), G62*IF(time_tot&gt;time+20,20,IF(time_tot&lt;20,(time*VLOOKUP(H62, list!$J$48:$K$50,2,))+(time_tot-time),((MIN(20,time)*VLOOKUP(H62, list!$J$48:$K$50,2,))+(time_tot-MIN(20,time))-IF(H62="Exponential",time_tot-20+0.217*time*(EXP(4.606*(20-time_tot)/time)-1),((time_tot-20)^2)*(0.5/time)))))))</f>
        <v/>
      </c>
      <c r="O62" s="3245">
        <f>AF49*D62</f>
        <v/>
      </c>
      <c r="P62" s="3245">
        <f>D62*AI49</f>
        <v/>
      </c>
      <c r="Q62" s="3245">
        <f>O62+M62+K62+I62</f>
        <v/>
      </c>
      <c r="R62" s="3245">
        <f>J62+L62+N62+P62</f>
        <v/>
      </c>
      <c r="S62" s="3552">
        <f>R62-Q62</f>
        <v/>
      </c>
    </row>
    <row r="63">
      <c r="I63" s="3828" t="n"/>
      <c r="J63" s="3829" t="n"/>
      <c r="K63" s="3829" t="n"/>
      <c r="L63" s="3829" t="n"/>
      <c r="M63" s="3829" t="n"/>
      <c r="N63" s="3829" t="n"/>
      <c r="O63" s="3829" t="n"/>
      <c r="P63" s="3829" t="n"/>
      <c r="Q63" s="3829" t="n"/>
      <c r="R63" s="3829" t="n"/>
      <c r="S63" s="3830" t="n"/>
    </row>
    <row r="64">
      <c r="I64" s="3828" t="n"/>
      <c r="J64" s="3829" t="n"/>
      <c r="K64" s="3829" t="n"/>
      <c r="L64" s="3829" t="n"/>
      <c r="M64" s="3829" t="n"/>
      <c r="N64" s="3829" t="n"/>
      <c r="O64" s="3829" t="n"/>
      <c r="P64" s="3829" t="n"/>
      <c r="Q64" s="3829" t="n"/>
      <c r="R64" s="3829" t="n"/>
      <c r="S64" s="3830" t="n"/>
    </row>
    <row r="65">
      <c r="I65" s="3831" t="n"/>
      <c r="J65" s="3832" t="n"/>
      <c r="K65" s="3832" t="n"/>
      <c r="L65" s="3832" t="n"/>
      <c r="M65" s="3832" t="n"/>
      <c r="N65" s="3832" t="n"/>
      <c r="O65" s="3832" t="n"/>
      <c r="P65" s="3833" t="inlineStr">
        <is>
          <t>Total degradation</t>
        </is>
      </c>
      <c r="Q65" s="3892">
        <f>SUM(Q55:Q62)</f>
        <v/>
      </c>
      <c r="R65" s="3834">
        <f>SUM(R55:R62)</f>
        <v/>
      </c>
      <c r="S65" s="3835">
        <f>SUM(S55:S62)</f>
        <v/>
      </c>
    </row>
    <row r="66">
      <c r="C66" t="inlineStr">
        <is>
          <t>one episode of residue burning each year</t>
        </is>
      </c>
    </row>
    <row r="67">
      <c r="Q67" s="1079" t="inlineStr">
        <is>
          <t>TEST TIER 2</t>
        </is>
      </c>
      <c r="R67" s="3166">
        <f>SUM('5.Management'!AZ13:AZ20,'5.Management'!BB13:BB20,'5.Management'!BI13:BI20)</f>
        <v/>
      </c>
    </row>
  </sheetData>
  <pageMargins left="0.7" right="0.7" top="0.75" bottom="0.75" header="0.3" footer="0.3"/>
  <pageSetup orientation="portrait"/>
  <legacyDrawing r:id="anysvml"/>
</worksheet>
</file>

<file path=xl/worksheets/sheet17.xml><?xml version="1.0" encoding="utf-8"?>
<worksheet xmlns="http://schemas.openxmlformats.org/spreadsheetml/2006/main">
  <sheetPr codeName="Sheet22">
    <tabColor rgb="FF172735"/>
    <outlinePr summaryBelow="1" summaryRight="1"/>
    <pageSetUpPr/>
  </sheetPr>
  <dimension ref="B3:EH397"/>
  <sheetViews>
    <sheetView showGridLines="0" zoomScale="85" zoomScaleNormal="85" zoomScaleSheetLayoutView="40" workbookViewId="0">
      <selection activeCell="A1" sqref="A1"/>
    </sheetView>
  </sheetViews>
  <sheetFormatPr baseColWidth="10" defaultColWidth="9.33203125" defaultRowHeight="14"/>
  <cols>
    <col width="5.33203125" customWidth="1" style="1970" min="1" max="1"/>
    <col width="2.5" customWidth="1" style="1970" min="2" max="2"/>
    <col width="39" customWidth="1" style="1970" min="3" max="3"/>
    <col width="1.5" customWidth="1" style="1970" min="4" max="4"/>
    <col width="16.5" customWidth="1" style="1970" min="5" max="5"/>
    <col width="1.5" customWidth="1" style="1970" min="6" max="6"/>
    <col width="16.5" customWidth="1" style="1970" min="7" max="7"/>
    <col width="2.6640625" customWidth="1" style="1970" min="8" max="8"/>
    <col width="29.33203125" customWidth="1" style="1970" min="9" max="9"/>
    <col width="1.5" customWidth="1" style="1970" min="10" max="10"/>
    <col width="28.5" customWidth="1" style="1970" min="11" max="11"/>
    <col width="1.5" customWidth="1" style="1970" min="12" max="12"/>
    <col width="11.5" customWidth="1" style="1970" min="13" max="14"/>
    <col width="3.5" customWidth="1" style="1970" min="15" max="15"/>
    <col width="11.5" customWidth="1" style="1970" min="16" max="16"/>
    <col width="3.5" customWidth="1" style="1970" min="17" max="17"/>
    <col width="1.33203125" customWidth="1" style="1970" min="18" max="18"/>
    <col width="15.5" customWidth="1" style="1970" min="19" max="19"/>
    <col width="16" customWidth="1" style="1970" min="20" max="20"/>
    <col width="11.33203125" customWidth="1" style="1970" min="21" max="21"/>
    <col width="6.5" customWidth="1" style="1970" min="22" max="22"/>
    <col width="9.5" customWidth="1" style="1970" min="23" max="23"/>
    <col width="14.5" customWidth="1" style="1970" min="24" max="24"/>
    <col width="11.5" customWidth="1" style="1970" min="25" max="25"/>
    <col width="8.5" customWidth="1" style="1970" min="26" max="26"/>
    <col width="13" customWidth="1" style="1970" min="27" max="27"/>
    <col width="13.6640625" customWidth="1" style="1970" min="28" max="28"/>
    <col width="15.5" customWidth="1" style="1970" min="29" max="29"/>
    <col width="1.5" customWidth="1" style="1970" min="30" max="30"/>
    <col width="18.5" customWidth="1" style="1970" min="31" max="31"/>
    <col width="14.5" customWidth="1" style="1970" min="32" max="32"/>
    <col width="23.5" customWidth="1" style="1970" min="33" max="33"/>
    <col width="19.5" customWidth="1" style="1970" min="34" max="34"/>
    <col width="15.6640625" customWidth="1" style="1970" min="35" max="35"/>
    <col width="9.33203125" customWidth="1" style="1970" min="36" max="36"/>
    <col width="10" bestFit="1" customWidth="1" style="1970" min="37" max="37"/>
    <col width="9.33203125" customWidth="1" style="1970" min="38" max="44"/>
    <col width="13.5" customWidth="1" style="1970" min="45" max="45"/>
    <col width="9.33203125" customWidth="1" style="1970" min="46" max="47"/>
    <col width="10.5" bestFit="1" customWidth="1" style="1970" min="48" max="48"/>
    <col width="9.33203125" customWidth="1" style="1970" min="49" max="49"/>
    <col width="10.5" bestFit="1" customWidth="1" style="1970" min="50" max="50"/>
    <col width="9.33203125" customWidth="1" style="1970" min="51" max="51"/>
    <col width="10.5" bestFit="1" customWidth="1" style="1970" min="52" max="52"/>
    <col width="9.33203125" customWidth="1" style="1970" min="53" max="66"/>
    <col width="11.5" customWidth="1" style="1970" min="67" max="67"/>
    <col width="9.33203125" customWidth="1" style="1970" min="68" max="68"/>
    <col width="10.6640625" customWidth="1" style="1970" min="69" max="69"/>
    <col width="9.33203125" customWidth="1" style="1970" min="70" max="70"/>
    <col width="7.6640625" customWidth="1" style="1970" min="71" max="71"/>
    <col width="10.5" customWidth="1" style="1970" min="72" max="72"/>
    <col width="12" customWidth="1" style="1970" min="73" max="73"/>
    <col width="9.33203125" customWidth="1" style="1970" min="74" max="82"/>
    <col width="37.6640625" customWidth="1" style="1970" min="83" max="83"/>
    <col width="9.33203125" customWidth="1" style="1970" min="84" max="84"/>
    <col width="9.33203125" customWidth="1" style="1970" min="85" max="85"/>
    <col width="10.6640625" customWidth="1" style="1970" min="86" max="86"/>
    <col width="9.33203125" customWidth="1" style="1970" min="87" max="87"/>
    <col width="14.6640625" customWidth="1" style="1970" min="88" max="88"/>
    <col width="9.33203125" customWidth="1" style="1970" min="89" max="89"/>
    <col width="3.5" customWidth="1" style="1970" min="90" max="90"/>
    <col width="9.33203125" customWidth="1" style="1970" min="91" max="92"/>
    <col width="10.5" customWidth="1" style="1970" min="93" max="93"/>
    <col width="9.33203125" customWidth="1" style="1970" min="94" max="98"/>
    <col width="29.5" customWidth="1" style="1970" min="99" max="99"/>
    <col width="9.33203125" customWidth="1" style="1970" min="100" max="103"/>
    <col width="31.5" customWidth="1" style="1970" min="104" max="104"/>
    <col width="1.6640625" customWidth="1" style="1970" min="105" max="105"/>
    <col width="12" customWidth="1" style="1970" min="106" max="106"/>
    <col width="8.33203125" customWidth="1" style="1970" min="107" max="107"/>
    <col width="1.6640625" customWidth="1" style="1970" min="108" max="108"/>
    <col width="11.5" customWidth="1" style="1970" min="109" max="109"/>
    <col width="9.33203125" customWidth="1" style="1970" min="110" max="125"/>
    <col width="23.5" customWidth="1" style="1970" min="126" max="126"/>
    <col width="9.33203125" customWidth="1" style="1970" min="127" max="134"/>
    <col width="9.33203125" customWidth="1" style="1970" min="135" max="136"/>
    <col width="9.33203125" customWidth="1" style="1970" min="137" max="16384"/>
  </cols>
  <sheetData>
    <row r="1" ht="100.5" customFormat="1" customHeight="1" s="2076"/>
    <row r="2" ht="65.25" customHeight="1"/>
    <row r="3">
      <c r="N3" s="4241" t="n"/>
      <c r="AB3" s="4173" t="n"/>
      <c r="AC3" s="4173" t="n"/>
      <c r="AD3" s="4173" t="n"/>
      <c r="AE3" s="4173" t="n"/>
    </row>
    <row r="5" ht="45" customHeight="1">
      <c r="B5" s="1769" t="n"/>
      <c r="C5" s="2172">
        <f>Languages!B326</f>
        <v/>
      </c>
      <c r="D5" s="1769" t="n"/>
      <c r="E5" s="1769" t="n"/>
      <c r="F5" s="1769" t="n"/>
      <c r="G5" s="1769" t="n"/>
      <c r="H5" s="1769" t="n"/>
      <c r="I5" s="1769" t="n"/>
      <c r="J5" s="1769" t="n"/>
      <c r="K5" s="1769" t="n"/>
      <c r="L5" s="1769" t="n"/>
      <c r="M5" s="1769" t="n"/>
      <c r="N5" s="1769" t="n"/>
      <c r="O5" s="1769" t="n"/>
      <c r="P5" s="1769" t="n"/>
      <c r="Q5" s="1769" t="n"/>
      <c r="R5" s="1769" t="n"/>
      <c r="S5" s="1769" t="n"/>
      <c r="T5" s="1769" t="n"/>
      <c r="U5" s="1769" t="n"/>
      <c r="V5" s="1769" t="n"/>
      <c r="W5" s="1769" t="n"/>
      <c r="X5" s="1769" t="n"/>
      <c r="Y5" s="1769" t="n"/>
      <c r="Z5" s="1769" t="n"/>
      <c r="AA5" s="1769" t="n"/>
      <c r="AB5" s="1769" t="n"/>
      <c r="AC5" s="1769" t="n"/>
      <c r="AD5" s="1769" t="n"/>
      <c r="AE5" s="1769" t="n"/>
      <c r="AF5" s="1769" t="n"/>
      <c r="AG5" s="1769" t="n"/>
      <c r="AH5" s="1769" t="n"/>
      <c r="AI5" s="1769" t="n"/>
    </row>
    <row r="6" ht="5.25" customHeight="1"/>
    <row r="7" ht="45" customHeight="1">
      <c r="B7" s="1874" t="n"/>
      <c r="C7" s="2549">
        <f>Languages!B327</f>
        <v/>
      </c>
      <c r="D7" s="1769" t="n"/>
      <c r="E7" s="1769" t="n"/>
      <c r="F7" s="1769" t="n"/>
      <c r="G7" s="1769" t="n"/>
      <c r="H7" s="1769" t="n"/>
      <c r="I7" s="1769" t="n"/>
      <c r="J7" s="1769" t="n"/>
      <c r="K7" s="1769" t="n"/>
      <c r="L7" s="1769" t="n"/>
      <c r="M7" s="1769" t="n"/>
      <c r="N7" s="1769" t="n"/>
      <c r="O7" s="1769" t="n"/>
      <c r="P7" s="1769" t="n"/>
      <c r="Q7" s="1769" t="n"/>
      <c r="R7" s="1769" t="n"/>
      <c r="S7" s="1769" t="n"/>
      <c r="T7" s="1769" t="n"/>
      <c r="U7" s="1769" t="n"/>
      <c r="V7" s="1769" t="n"/>
      <c r="W7" s="1769" t="n"/>
      <c r="X7" s="1769" t="n"/>
      <c r="Y7" s="1769" t="n"/>
      <c r="Z7" s="1979">
        <f>Languages!B22</f>
        <v/>
      </c>
      <c r="AA7" s="1769" t="n"/>
      <c r="AB7" s="1769" t="n"/>
      <c r="AC7" s="1769" t="n"/>
      <c r="AD7" s="1769" t="n"/>
      <c r="AE7" s="1769" t="n"/>
      <c r="AF7" s="1769" t="n"/>
      <c r="AG7" s="1769" t="n"/>
      <c r="AH7" s="1769" t="n"/>
      <c r="AI7" s="1769" t="n"/>
      <c r="AS7" s="1978">
        <f>C5</f>
        <v/>
      </c>
      <c r="AT7" s="1977" t="n"/>
      <c r="AU7" s="1977" t="n"/>
      <c r="AV7" s="1977" t="n"/>
      <c r="AW7" s="1977" t="n"/>
      <c r="AX7" s="1977" t="n"/>
      <c r="AY7" s="1977" t="n"/>
      <c r="AZ7" s="1977" t="n"/>
      <c r="BA7" s="1977" t="n"/>
      <c r="BB7" s="1977" t="n"/>
      <c r="BC7" s="1977" t="n"/>
      <c r="BD7" s="1977" t="n"/>
      <c r="BE7" s="1977" t="n"/>
      <c r="BF7" s="1977" t="n"/>
      <c r="BG7" s="1977" t="n"/>
      <c r="BI7" s="4404" t="inlineStr">
        <is>
          <t>Annual balance</t>
        </is>
      </c>
      <c r="BJ7" s="4404" t="n"/>
      <c r="BK7" s="4404" t="n"/>
      <c r="CD7" s="1976">
        <f>Languages!B357</f>
        <v/>
      </c>
      <c r="CE7" s="1977" t="n"/>
      <c r="CF7" s="1977" t="n"/>
      <c r="CG7" s="1977" t="n"/>
      <c r="CH7" s="1977" t="n"/>
      <c r="CI7" s="1977" t="n"/>
      <c r="CJ7" s="1977" t="n"/>
      <c r="CK7" s="1977" t="n"/>
      <c r="CL7" s="1977" t="n"/>
      <c r="CM7" s="1977" t="n"/>
      <c r="CN7" s="1977" t="n"/>
      <c r="CO7" s="1977" t="n"/>
      <c r="CP7" s="1977" t="n"/>
      <c r="CQ7" s="1977" t="n"/>
      <c r="CT7" s="1976">
        <f>Languages!B364</f>
        <v/>
      </c>
      <c r="CU7" s="1977" t="n"/>
      <c r="CV7" s="1977" t="n"/>
      <c r="CW7" s="1977" t="n"/>
      <c r="CX7" s="1977" t="n"/>
      <c r="CY7" s="1977" t="n"/>
      <c r="CZ7" s="1977" t="n"/>
      <c r="DA7" s="1977" t="n"/>
      <c r="DB7" s="1977" t="n"/>
      <c r="DC7" s="1977" t="n"/>
      <c r="DD7" s="1977" t="n"/>
      <c r="DE7" s="1977" t="n"/>
      <c r="DF7" s="1977" t="n"/>
      <c r="DG7" s="1977" t="n"/>
      <c r="DH7" s="1977" t="n"/>
      <c r="DI7" s="1977" t="n"/>
      <c r="DJ7" s="1977" t="n"/>
      <c r="DK7" s="1977" t="n"/>
      <c r="DL7" s="1977" t="n"/>
      <c r="DM7" s="1977" t="n"/>
      <c r="DN7" s="1977" t="n"/>
      <c r="DO7" s="1977" t="n"/>
      <c r="DP7" s="1977" t="n"/>
      <c r="DU7" s="1976">
        <f>Languages!B374</f>
        <v/>
      </c>
      <c r="DV7" s="1977" t="n"/>
      <c r="DW7" s="1977" t="n"/>
      <c r="DX7" s="1977" t="n"/>
      <c r="DY7" s="1977" t="n"/>
      <c r="DZ7" s="1977" t="n"/>
      <c r="EA7" s="1977" t="n"/>
      <c r="EB7" s="1977" t="n"/>
      <c r="EC7" s="1977" t="n"/>
      <c r="ED7" s="1977" t="n"/>
      <c r="EE7" s="1977" t="n"/>
      <c r="EF7" s="1977" t="n"/>
      <c r="EG7" s="1977" t="n"/>
      <c r="EH7" s="1977" t="n"/>
    </row>
    <row r="8" ht="17" customHeight="1">
      <c r="B8" s="1961" t="n"/>
      <c r="C8" s="1961" t="n"/>
      <c r="D8" s="1961" t="n"/>
      <c r="E8" s="1961" t="n"/>
      <c r="F8" s="1961" t="n"/>
      <c r="G8" s="1961" t="n"/>
      <c r="H8" s="1961" t="n"/>
      <c r="I8" s="1961" t="n"/>
      <c r="J8" s="1961" t="n"/>
      <c r="K8" s="1961" t="n"/>
      <c r="L8" s="1961" t="n"/>
      <c r="M8" s="1961" t="n"/>
      <c r="N8" s="1961" t="n"/>
      <c r="O8" s="1961" t="n"/>
      <c r="P8" s="1961" t="n"/>
      <c r="Q8" s="1961" t="n"/>
      <c r="R8" s="1961" t="n"/>
      <c r="S8" s="1961" t="n"/>
      <c r="T8" s="1961" t="n"/>
      <c r="U8" s="1961" t="n"/>
      <c r="V8" s="1961" t="n"/>
      <c r="W8" s="1961" t="n"/>
      <c r="X8" s="1961" t="n"/>
      <c r="Y8" s="1961" t="n"/>
      <c r="Z8" s="1961" t="n"/>
      <c r="AA8" s="1961" t="n"/>
      <c r="AB8" s="1961" t="n"/>
      <c r="AC8" s="1961" t="n"/>
      <c r="AD8" s="1961" t="n"/>
      <c r="AE8" s="1961" t="n"/>
      <c r="AF8" s="1961" t="n"/>
      <c r="AG8" s="1961" t="n"/>
      <c r="AH8" s="1961" t="n"/>
      <c r="AI8" s="1961" t="n"/>
      <c r="AS8" s="2598" t="n"/>
      <c r="AT8" s="2598" t="n"/>
      <c r="AU8" s="2598" t="n"/>
      <c r="AV8" s="2598" t="n"/>
      <c r="AW8" s="2598" t="n"/>
      <c r="AX8" s="2598" t="n"/>
      <c r="AY8" s="2598" t="n"/>
      <c r="AZ8" s="2598" t="n"/>
      <c r="BA8" s="2598" t="n"/>
      <c r="BB8" s="2598" t="n"/>
      <c r="BC8" s="2598" t="n"/>
      <c r="BD8" s="2598" t="n"/>
      <c r="BE8" s="2598" t="n"/>
      <c r="BF8" s="2598" t="n"/>
      <c r="BG8" s="2598" t="n"/>
      <c r="BI8" s="2598" t="n"/>
      <c r="BJ8" s="2598" t="n"/>
      <c r="BK8" s="2598" t="n"/>
      <c r="CD8" s="2598" t="n"/>
      <c r="CE8" s="2598" t="n"/>
      <c r="CF8" s="2598" t="n"/>
      <c r="CG8" s="2598" t="n"/>
      <c r="CH8" s="2598" t="n"/>
      <c r="CI8" s="2598" t="n"/>
      <c r="CJ8" s="4174" t="n"/>
      <c r="CK8" s="2598" t="n"/>
      <c r="CL8" s="2598" t="n"/>
      <c r="CM8" s="2598" t="n"/>
      <c r="CN8" s="2598" t="n"/>
      <c r="CO8" s="2598" t="n"/>
      <c r="CP8" s="2598" t="n"/>
      <c r="CQ8" s="2598" t="n"/>
      <c r="CR8" s="4175" t="n"/>
      <c r="CT8" s="2598" t="n"/>
      <c r="CU8" s="2598" t="n"/>
      <c r="CV8" s="2598" t="n"/>
      <c r="CW8" s="2598" t="n"/>
      <c r="CX8" s="2598" t="n"/>
      <c r="CY8" s="2598" t="n"/>
      <c r="CZ8" s="2598" t="n"/>
      <c r="DA8" s="2598" t="n"/>
      <c r="DB8" s="2598" t="n"/>
      <c r="DC8" s="2598" t="n"/>
      <c r="DD8" s="2598" t="n"/>
      <c r="DE8" s="2598" t="n"/>
      <c r="DF8" s="2598" t="n"/>
      <c r="DG8" s="2598" t="n"/>
      <c r="DH8" s="2598" t="n"/>
      <c r="DI8" s="2598" t="n"/>
      <c r="DJ8" s="2598" t="n"/>
      <c r="DK8" s="2598" t="n"/>
      <c r="DL8" s="2598" t="n"/>
      <c r="DM8" s="2598" t="n"/>
      <c r="DN8" s="2598" t="n"/>
      <c r="DO8" s="2598" t="n"/>
      <c r="DP8" s="2598" t="n"/>
      <c r="DU8" s="2598" t="n"/>
      <c r="DV8" s="2598" t="n"/>
      <c r="DW8" s="2598" t="n"/>
      <c r="DX8" s="2598" t="n"/>
      <c r="DY8" s="2598" t="n"/>
      <c r="DZ8" s="2598" t="n"/>
      <c r="EA8" s="2598" t="n"/>
      <c r="EB8" s="2598" t="n"/>
      <c r="EC8" s="2598" t="n"/>
      <c r="ED8" s="2598" t="n"/>
      <c r="EE8" s="2598" t="n"/>
      <c r="EF8" s="2598" t="n"/>
      <c r="EG8" s="2598" t="n"/>
      <c r="EH8" s="2598" t="n"/>
    </row>
    <row r="9" ht="24" customHeight="1">
      <c r="B9" s="1961" t="n"/>
      <c r="C9" s="1961" t="n"/>
      <c r="D9" s="1961" t="n"/>
      <c r="E9" s="1961" t="n"/>
      <c r="F9" s="1961" t="n"/>
      <c r="G9" s="1961" t="n"/>
      <c r="H9" s="1961" t="n"/>
      <c r="I9" s="1961" t="n"/>
      <c r="J9" s="1961" t="n"/>
      <c r="K9" s="1961" t="n"/>
      <c r="L9" s="1961" t="n"/>
      <c r="M9" s="1961" t="n"/>
      <c r="N9" s="1961" t="n"/>
      <c r="O9" s="1961" t="n"/>
      <c r="P9" s="1961" t="n"/>
      <c r="Q9" s="1961" t="n"/>
      <c r="R9" s="1961" t="n"/>
      <c r="S9" s="1961" t="n"/>
      <c r="T9" s="1961" t="n"/>
      <c r="U9" s="1838" t="n"/>
      <c r="V9" s="1838" t="n"/>
      <c r="W9" s="4569">
        <f>Z21</f>
        <v/>
      </c>
      <c r="Z9" s="1838" t="n"/>
      <c r="AA9" s="1961" t="n"/>
      <c r="AB9" s="2113" t="n"/>
      <c r="AC9" s="2113" t="n"/>
      <c r="AD9" s="2113" t="n"/>
      <c r="AE9" s="2113" t="n"/>
      <c r="AF9" s="2113" t="n"/>
      <c r="AG9" s="2113" t="n"/>
      <c r="AH9" s="1961" t="n"/>
      <c r="AI9" s="1961" t="n"/>
      <c r="AS9" s="2598" t="n"/>
      <c r="AT9" s="2598" t="n"/>
      <c r="AU9" s="2598" t="n"/>
      <c r="AV9" s="2598" t="n"/>
      <c r="AW9" s="2598" t="n"/>
      <c r="AX9" s="2598" t="n"/>
      <c r="AY9" s="2598" t="n"/>
      <c r="AZ9" s="2598" t="n"/>
      <c r="BA9" s="2598" t="n"/>
      <c r="BB9" s="2598" t="n"/>
      <c r="BC9" s="2598" t="n"/>
      <c r="BD9" s="2598" t="n"/>
      <c r="BE9" s="2598" t="n"/>
      <c r="BF9" s="2598" t="n"/>
      <c r="BG9" s="2598" t="n"/>
      <c r="BI9" s="1784" t="n"/>
      <c r="BJ9" s="1784" t="n"/>
      <c r="BK9" s="1997" t="n"/>
      <c r="CD9" s="2598" t="n"/>
      <c r="CE9" s="2598" t="n"/>
      <c r="CF9" s="4176">
        <f>Languages!B334</f>
        <v/>
      </c>
      <c r="CG9" s="4177" t="n"/>
      <c r="CH9" s="4177" t="n"/>
      <c r="CI9" s="4177" t="n"/>
      <c r="CJ9" s="4177" t="n"/>
      <c r="CK9" s="4177" t="n"/>
      <c r="CL9" s="2598" t="n"/>
      <c r="CM9" s="4176">
        <f>Languages!B345</f>
        <v/>
      </c>
      <c r="CN9" s="4176" t="n"/>
      <c r="CO9" s="4176" t="n"/>
      <c r="CP9" s="4176" t="n"/>
      <c r="CQ9" s="2598" t="n"/>
      <c r="CT9" s="2598" t="n"/>
      <c r="CU9" s="2598" t="n"/>
      <c r="CV9" s="4176">
        <f>S10</f>
        <v/>
      </c>
      <c r="CW9" s="4177" t="n"/>
      <c r="CX9" s="4177" t="n"/>
      <c r="CY9" s="2598" t="n"/>
      <c r="CZ9" s="4176">
        <f>Languages!B335</f>
        <v/>
      </c>
      <c r="DA9" s="4176" t="n"/>
      <c r="DB9" s="4177" t="n"/>
      <c r="DC9" s="4177" t="n"/>
      <c r="DD9" s="4177" t="n"/>
      <c r="DE9" s="4177" t="n"/>
      <c r="DF9" s="4177" t="n"/>
      <c r="DG9" s="2598" t="n"/>
      <c r="DH9" s="4176">
        <f>Languages!B407</f>
        <v/>
      </c>
      <c r="DI9" s="4177" t="n"/>
      <c r="DJ9" s="4177" t="n"/>
      <c r="DK9" s="4177" t="n"/>
      <c r="DL9" s="4177" t="n"/>
      <c r="DM9" s="4177" t="n"/>
      <c r="DN9" s="4177" t="n"/>
      <c r="DO9" s="4177" t="n"/>
      <c r="DP9" s="2598" t="n"/>
      <c r="DU9" s="2598" t="n"/>
      <c r="DV9" s="2598" t="n"/>
      <c r="DW9" s="2598" t="n"/>
      <c r="DX9" s="4176" t="inlineStr">
        <is>
          <t>On site emissions factor</t>
        </is>
      </c>
      <c r="DY9" s="4177" t="n"/>
      <c r="DZ9" s="4177" t="n"/>
      <c r="EA9" s="4177" t="n"/>
      <c r="EB9" s="4177" t="n"/>
      <c r="EC9" s="4177" t="n"/>
      <c r="ED9" s="2598" t="n"/>
      <c r="EE9" s="4176" t="inlineStr">
        <is>
          <t>Off-site emission factor</t>
        </is>
      </c>
      <c r="EF9" s="4177" t="n"/>
      <c r="EG9" s="4177" t="n"/>
      <c r="EH9" s="2598" t="n"/>
    </row>
    <row r="10">
      <c r="B10" s="1961" t="n"/>
      <c r="C10" s="1834">
        <f>'2.LUC'!C8</f>
        <v/>
      </c>
      <c r="D10" s="1961" t="n"/>
      <c r="E10" s="1834">
        <f>'2.LUC'!E8</f>
        <v/>
      </c>
      <c r="F10" s="4178" t="n"/>
      <c r="G10" s="1780">
        <f>Languages!B61</f>
        <v/>
      </c>
      <c r="H10" s="4178" t="n"/>
      <c r="I10" s="4486">
        <f>Languages!B329</f>
        <v/>
      </c>
      <c r="J10" s="4179" t="n"/>
      <c r="K10" s="4179" t="n"/>
      <c r="L10" s="4178" t="n"/>
      <c r="M10" s="4390">
        <f>Languages!B66</f>
        <v/>
      </c>
      <c r="N10" s="4390" t="n"/>
      <c r="O10" s="4390" t="n"/>
      <c r="P10" s="4390" t="n"/>
      <c r="Q10" s="4179" t="n"/>
      <c r="R10" s="4178" t="n"/>
      <c r="S10" s="4179">
        <f>Languages!B69</f>
        <v/>
      </c>
      <c r="T10" s="4179" t="n"/>
      <c r="U10" s="1838" t="n"/>
      <c r="V10" s="1838" t="n"/>
      <c r="W10" s="341" t="n"/>
      <c r="X10" s="341" t="n"/>
      <c r="Y10" s="341" t="n"/>
      <c r="Z10" s="1838" t="n"/>
      <c r="AA10" s="4178" t="n"/>
      <c r="AB10" s="1838" t="n"/>
      <c r="AC10" s="1838" t="n"/>
      <c r="AD10" s="1838" t="n"/>
      <c r="AE10" s="4179">
        <f>Languages!B9</f>
        <v/>
      </c>
      <c r="AF10" s="4180" t="n"/>
      <c r="AG10" s="4180" t="n"/>
      <c r="AH10" s="4180" t="n"/>
      <c r="AI10" s="4359" t="n"/>
      <c r="AS10" s="2598" t="n"/>
      <c r="AT10" s="4181">
        <f>C10</f>
        <v/>
      </c>
      <c r="AU10" s="2598" t="n"/>
      <c r="AV10" s="2598" t="n"/>
      <c r="AW10" s="2598" t="n"/>
      <c r="AX10" s="2598" t="n"/>
      <c r="AY10" s="4182">
        <f>Languages!B26</f>
        <v/>
      </c>
      <c r="AZ10" s="4181" t="n"/>
      <c r="BA10" s="4181">
        <f>Languages!B27</f>
        <v/>
      </c>
      <c r="BB10" s="4181" t="n"/>
      <c r="BC10" s="4183">
        <f>Languages!B28</f>
        <v/>
      </c>
      <c r="BD10" s="2598" t="n"/>
      <c r="BE10" s="4184">
        <f>Languages!B29</f>
        <v/>
      </c>
      <c r="BF10" s="2598" t="n"/>
      <c r="BG10" s="2598" t="n"/>
      <c r="BI10" s="1890" t="inlineStr">
        <is>
          <t xml:space="preserve">Start year of </t>
        </is>
      </c>
      <c r="BJ10" s="1890" t="n"/>
      <c r="BK10" s="1997" t="n"/>
      <c r="CD10" s="2598" t="n"/>
      <c r="CE10" s="4181">
        <f>Languages!B19</f>
        <v/>
      </c>
      <c r="CF10" s="4185" t="inlineStr">
        <is>
          <t>CO2</t>
        </is>
      </c>
      <c r="CG10" s="2598" t="n"/>
      <c r="CH10" s="4186" t="inlineStr">
        <is>
          <t>CH4</t>
        </is>
      </c>
      <c r="CI10" s="2598" t="n"/>
      <c r="CJ10" s="4185" t="inlineStr">
        <is>
          <t>N2O</t>
        </is>
      </c>
      <c r="CK10" s="2598" t="n"/>
      <c r="CL10" s="2598" t="n"/>
      <c r="CM10" s="4185" t="inlineStr">
        <is>
          <t>DOC</t>
        </is>
      </c>
      <c r="CN10" s="2598" t="n"/>
      <c r="CO10" s="4185" t="inlineStr">
        <is>
          <t>CH4</t>
        </is>
      </c>
      <c r="CP10" s="2598" t="n"/>
      <c r="CQ10" s="2598" t="n"/>
      <c r="CT10" s="2598" t="n"/>
      <c r="CU10" s="4181">
        <f>CE10</f>
        <v/>
      </c>
      <c r="CV10" s="2567">
        <f>S12</f>
        <v/>
      </c>
      <c r="CW10" s="2567">
        <f>T12</f>
        <v/>
      </c>
      <c r="CX10" s="2598" t="n"/>
      <c r="CY10" s="2598" t="n"/>
      <c r="CZ10" s="2598" t="n"/>
      <c r="DA10" s="2598" t="n"/>
      <c r="DB10" s="4187">
        <f>CV10</f>
        <v/>
      </c>
      <c r="DC10" s="2598" t="n"/>
      <c r="DD10" s="2598" t="n"/>
      <c r="DE10" s="4186">
        <f>CW10</f>
        <v/>
      </c>
      <c r="DF10" s="2598" t="n"/>
      <c r="DG10" s="2598" t="n"/>
      <c r="DH10" s="4183">
        <f>CF10</f>
        <v/>
      </c>
      <c r="DI10" s="4181" t="n"/>
      <c r="DJ10" s="4188" t="inlineStr">
        <is>
          <t>CO</t>
        </is>
      </c>
      <c r="DK10" s="4181" t="n"/>
      <c r="DL10" s="4188">
        <f>CO10</f>
        <v/>
      </c>
      <c r="DM10" s="4181" t="n"/>
      <c r="DN10" s="4181" t="inlineStr">
        <is>
          <t xml:space="preserve">Mean dry matter </t>
        </is>
      </c>
      <c r="DO10" s="4181" t="n"/>
      <c r="DP10" s="4181" t="n"/>
      <c r="DU10" s="2598" t="n"/>
      <c r="DV10" s="4181">
        <f>AT10</f>
        <v/>
      </c>
      <c r="DW10" s="2598" t="n"/>
      <c r="DX10" s="2598" t="inlineStr">
        <is>
          <t>CO2 on site</t>
        </is>
      </c>
      <c r="DY10" s="2598" t="n"/>
      <c r="DZ10" s="2598" t="inlineStr">
        <is>
          <t>CH4 on-site</t>
        </is>
      </c>
      <c r="EA10" s="2598" t="n"/>
      <c r="EB10" s="2598" t="inlineStr">
        <is>
          <t>N2O</t>
        </is>
      </c>
      <c r="EC10" s="2598" t="n"/>
      <c r="ED10" s="2598" t="n"/>
      <c r="EE10" s="2598" t="inlineStr">
        <is>
          <t>DOC off-site</t>
        </is>
      </c>
      <c r="EF10" s="2598" t="n"/>
      <c r="EG10" s="2598" t="n"/>
      <c r="EH10" s="2598" t="n"/>
    </row>
    <row r="11">
      <c r="B11" s="1961" t="n"/>
      <c r="C11" s="1834">
        <f>'2.LUC'!C9</f>
        <v/>
      </c>
      <c r="D11" s="1961" t="n"/>
      <c r="E11" s="1838">
        <f>'2.LUC'!E9</f>
        <v/>
      </c>
      <c r="F11" s="1961" t="n"/>
      <c r="G11" s="1985">
        <f>Languages!B62</f>
        <v/>
      </c>
      <c r="H11" s="1961" t="n"/>
      <c r="I11" s="1834">
        <f>Languages!B330</f>
        <v/>
      </c>
      <c r="J11" s="1961" t="n"/>
      <c r="K11" s="1834">
        <f>Languages!B331</f>
        <v/>
      </c>
      <c r="L11" s="1961" t="n"/>
      <c r="M11" s="1961" t="n"/>
      <c r="N11" s="1961" t="n"/>
      <c r="O11" s="1961" t="n"/>
      <c r="P11" s="1961" t="n"/>
      <c r="Q11" s="1961" t="n"/>
      <c r="R11" s="1961" t="n"/>
      <c r="S11" s="1961" t="n"/>
      <c r="T11" s="1961" t="n"/>
      <c r="U11" s="1838" t="n"/>
      <c r="V11" s="1838" t="n"/>
      <c r="W11" s="1838" t="n"/>
      <c r="X11" s="1838">
        <f>Languages!B383</f>
        <v/>
      </c>
      <c r="Y11" s="1838" t="n"/>
      <c r="Z11" s="1838" t="n"/>
      <c r="AA11" s="1961" t="n"/>
      <c r="AB11" s="1838" t="n"/>
      <c r="AC11" s="1838" t="n"/>
      <c r="AD11" s="1838" t="n"/>
      <c r="AE11" s="1961" t="n"/>
      <c r="AF11" s="1961" t="n"/>
      <c r="AG11" s="1961" t="n"/>
      <c r="AH11" s="1961" t="n"/>
      <c r="AI11" s="4359" t="n"/>
      <c r="AS11" s="2598" t="n"/>
      <c r="AT11" s="4181">
        <f>C11</f>
        <v/>
      </c>
      <c r="AU11" s="2598" t="n"/>
      <c r="AV11" s="2598" t="n"/>
      <c r="AW11" s="2598" t="n"/>
      <c r="AX11" s="2598" t="n"/>
      <c r="AY11" s="4185">
        <f>Languages!B90</f>
        <v/>
      </c>
      <c r="AZ11" s="2598" t="n"/>
      <c r="BA11" s="4185">
        <f>AY11</f>
        <v/>
      </c>
      <c r="BB11" s="2598" t="n"/>
      <c r="BC11" s="4185">
        <f>BA11</f>
        <v/>
      </c>
      <c r="BD11" s="2598" t="n"/>
      <c r="BE11" s="4185">
        <f>BC11</f>
        <v/>
      </c>
      <c r="BF11" s="2598" t="n"/>
      <c r="BG11" s="2598" t="n"/>
      <c r="BI11" s="2015" t="inlineStr">
        <is>
          <t>implementation</t>
        </is>
      </c>
      <c r="BJ11" s="2015" t="n"/>
      <c r="BK11" s="1997" t="n"/>
      <c r="CD11" s="2598" t="n"/>
      <c r="CE11" s="2598" t="n"/>
      <c r="CF11" s="2598">
        <f>Languages!B89</f>
        <v/>
      </c>
      <c r="CG11" s="2598" t="n"/>
      <c r="CH11" s="2598">
        <f>Languages!B92</f>
        <v/>
      </c>
      <c r="CI11" s="2598" t="n"/>
      <c r="CJ11" s="2598">
        <f>Languages!B93</f>
        <v/>
      </c>
      <c r="CK11" s="2598" t="n"/>
      <c r="CL11" s="2598" t="n"/>
      <c r="CM11" s="2598">
        <f>CF11</f>
        <v/>
      </c>
      <c r="CN11" s="2598" t="n"/>
      <c r="CO11" s="2598">
        <f>CH11</f>
        <v/>
      </c>
      <c r="CP11" s="2598" t="n"/>
      <c r="CQ11" s="2598" t="n"/>
      <c r="CT11" s="2598" t="n"/>
      <c r="CU11" s="2598" t="n"/>
      <c r="CV11" s="2598" t="n"/>
      <c r="CW11" s="2598" t="n"/>
      <c r="CX11" s="2598" t="n"/>
      <c r="CY11" s="2598" t="n"/>
      <c r="CZ11" s="2567">
        <f>Languages!B405</f>
        <v/>
      </c>
      <c r="DA11" s="2598" t="n"/>
      <c r="DB11" s="2567">
        <f>Languages!B336</f>
        <v/>
      </c>
      <c r="DC11" s="2567">
        <f>Languages!B337</f>
        <v/>
      </c>
      <c r="DD11" s="2567" t="n"/>
      <c r="DE11" s="2567">
        <f>DB11</f>
        <v/>
      </c>
      <c r="DF11" s="2567">
        <f>DC11</f>
        <v/>
      </c>
      <c r="DG11" s="2598" t="n"/>
      <c r="DH11" s="4189" t="inlineStr">
        <is>
          <t>gC/kg d.m.</t>
        </is>
      </c>
      <c r="DI11" s="2598" t="n"/>
      <c r="DJ11" s="4189" t="inlineStr">
        <is>
          <t>gCO/kg d.m.</t>
        </is>
      </c>
      <c r="DK11" s="2598" t="n"/>
      <c r="DL11" s="4189" t="inlineStr">
        <is>
          <t>gCH4/kg d.m.</t>
        </is>
      </c>
      <c r="DM11" s="2598" t="n"/>
      <c r="DN11" s="4190">
        <f>'2.LUC'!E9</f>
        <v/>
      </c>
      <c r="DO11" s="2598" t="n"/>
      <c r="DP11" s="2598" t="n"/>
      <c r="DU11" s="2598" t="n"/>
      <c r="DV11" s="2598" t="n"/>
      <c r="DW11" s="2598" t="n"/>
      <c r="DX11" s="2598" t="inlineStr">
        <is>
          <t>tC/ha/yr</t>
        </is>
      </c>
      <c r="DY11" s="2598" t="n"/>
      <c r="DZ11" s="2598" t="inlineStr">
        <is>
          <t>kg CH4-C/ha/yr</t>
        </is>
      </c>
      <c r="EA11" s="2598" t="n"/>
      <c r="EB11" s="2598" t="inlineStr">
        <is>
          <t>kg N2O-N/ha/yr</t>
        </is>
      </c>
      <c r="EC11" s="2598" t="n"/>
      <c r="ED11" s="2598" t="n"/>
      <c r="EE11" s="2598" t="inlineStr">
        <is>
          <t>tC/ha/yr</t>
        </is>
      </c>
      <c r="EF11" s="2598" t="n"/>
      <c r="EG11" s="2598" t="n"/>
      <c r="EH11" s="2598" t="n"/>
    </row>
    <row r="12">
      <c r="B12" s="1961" t="n"/>
      <c r="C12" s="1838" t="n"/>
      <c r="D12" s="1961" t="n"/>
      <c r="E12" s="1838" t="n"/>
      <c r="F12" s="1961" t="n"/>
      <c r="G12" s="1952" t="n"/>
      <c r="H12" s="1961" t="n"/>
      <c r="I12" s="1838" t="n"/>
      <c r="J12" s="1961" t="n"/>
      <c r="K12" s="1961" t="n"/>
      <c r="L12" s="1961" t="n"/>
      <c r="M12" s="1838">
        <f>Languages!B11</f>
        <v/>
      </c>
      <c r="N12" s="1838">
        <f>X24</f>
        <v/>
      </c>
      <c r="O12" s="1838" t="inlineStr">
        <is>
          <t>*</t>
        </is>
      </c>
      <c r="P12" s="1838">
        <f>Y24</f>
        <v/>
      </c>
      <c r="Q12" s="1838" t="inlineStr">
        <is>
          <t>*</t>
        </is>
      </c>
      <c r="R12" s="1961" t="n"/>
      <c r="S12" s="1838">
        <f>N12</f>
        <v/>
      </c>
      <c r="T12" s="1838">
        <f>P12</f>
        <v/>
      </c>
      <c r="U12" s="1838" t="n"/>
      <c r="V12" s="1838" t="n"/>
      <c r="W12" s="1838" t="n"/>
      <c r="X12" s="1838">
        <f>Languages!B384</f>
        <v/>
      </c>
      <c r="Y12" s="1838" t="n"/>
      <c r="Z12" s="1838" t="n"/>
      <c r="AA12" s="1961" t="n"/>
      <c r="AB12" s="1838" t="n"/>
      <c r="AC12" s="1838" t="n"/>
      <c r="AD12" s="1838" t="n"/>
      <c r="AE12" s="1838">
        <f>Languages!B12</f>
        <v/>
      </c>
      <c r="AF12" s="1838">
        <f>Languages!B13</f>
        <v/>
      </c>
      <c r="AG12" s="1834">
        <f>Languages!B10</f>
        <v/>
      </c>
      <c r="AH12" s="4359" t="n"/>
      <c r="AI12" s="4359" t="n"/>
      <c r="AS12" s="2598" t="n"/>
      <c r="AT12" s="2598" t="n"/>
      <c r="AU12" s="2598" t="n"/>
      <c r="AV12" s="2598" t="n"/>
      <c r="AW12" s="2598" t="n"/>
      <c r="AX12" s="2598" t="n"/>
      <c r="AY12" s="2567">
        <f>Languages!B16</f>
        <v/>
      </c>
      <c r="AZ12" s="2567">
        <f>Languages!B17</f>
        <v/>
      </c>
      <c r="BA12" s="2567">
        <f>AY12</f>
        <v/>
      </c>
      <c r="BB12" s="2567" t="inlineStr">
        <is>
          <t>Tier 2</t>
        </is>
      </c>
      <c r="BC12" s="2567">
        <f>BA12</f>
        <v/>
      </c>
      <c r="BD12" s="2567" t="inlineStr">
        <is>
          <t>Tier 2</t>
        </is>
      </c>
      <c r="BE12" s="2567">
        <f>BC12</f>
        <v/>
      </c>
      <c r="BF12" s="2567" t="inlineStr">
        <is>
          <t>Tier 2</t>
        </is>
      </c>
      <c r="BG12" s="2598" t="n"/>
      <c r="BH12" s="4168" t="n"/>
      <c r="BI12" s="1997" t="n"/>
      <c r="BJ12" s="1894" t="n"/>
      <c r="BK12" s="1997" t="n"/>
      <c r="CD12" s="2598" t="n"/>
      <c r="CE12" s="2598" t="n"/>
      <c r="CF12" s="2567">
        <f>Languages!B16</f>
        <v/>
      </c>
      <c r="CG12" s="2567">
        <f>Languages!B17</f>
        <v/>
      </c>
      <c r="CH12" s="2567">
        <f>CF12</f>
        <v/>
      </c>
      <c r="CI12" s="2567">
        <f>CG12</f>
        <v/>
      </c>
      <c r="CJ12" s="2567">
        <f>CH12</f>
        <v/>
      </c>
      <c r="CK12" s="2567">
        <f>CI12</f>
        <v/>
      </c>
      <c r="CL12" s="2598" t="n"/>
      <c r="CM12" s="2567">
        <f>CJ12</f>
        <v/>
      </c>
      <c r="CN12" s="2567">
        <f>CK12</f>
        <v/>
      </c>
      <c r="CO12" s="2567">
        <f>CM12</f>
        <v/>
      </c>
      <c r="CP12" s="2567">
        <f>CN12</f>
        <v/>
      </c>
      <c r="CQ12" s="2598" t="n"/>
      <c r="CT12" s="2598" t="n"/>
      <c r="CU12" s="2598" t="n"/>
      <c r="CV12" s="2598" t="n"/>
      <c r="CW12" s="2598" t="n"/>
      <c r="CX12" s="2598" t="n"/>
      <c r="CY12" s="2598" t="n"/>
      <c r="CZ12" s="2598" t="n"/>
      <c r="DA12" s="2598" t="n"/>
      <c r="DB12" s="2567">
        <f>Languages!B340</f>
        <v/>
      </c>
      <c r="DC12" s="2567">
        <f>Languages!B339</f>
        <v/>
      </c>
      <c r="DD12" s="2567" t="n"/>
      <c r="DE12" s="2567">
        <f>DB12</f>
        <v/>
      </c>
      <c r="DF12" s="2567">
        <f>DC12</f>
        <v/>
      </c>
      <c r="DG12" s="2598" t="n"/>
      <c r="DH12" s="2567">
        <f>CO12</f>
        <v/>
      </c>
      <c r="DI12" s="2567">
        <f>CP12</f>
        <v/>
      </c>
      <c r="DJ12" s="2567">
        <f>DH12</f>
        <v/>
      </c>
      <c r="DK12" s="2567">
        <f>DI12</f>
        <v/>
      </c>
      <c r="DL12" s="2567">
        <f>DJ12</f>
        <v/>
      </c>
      <c r="DM12" s="2567">
        <f>DK12</f>
        <v/>
      </c>
      <c r="DN12" s="2567">
        <f>DL12</f>
        <v/>
      </c>
      <c r="DO12" s="2567">
        <f>DM12</f>
        <v/>
      </c>
      <c r="DP12" s="2598" t="n"/>
      <c r="DU12" s="2598" t="n"/>
      <c r="DV12" s="2598">
        <f>C13</f>
        <v/>
      </c>
      <c r="DW12" s="2598" t="n"/>
      <c r="DX12" s="4728">
        <f>'Inl. wetlands'!I91</f>
        <v/>
      </c>
      <c r="DY12" s="4241" t="n"/>
      <c r="DZ12" s="4191">
        <f>'Inl. wetlands'!K91</f>
        <v/>
      </c>
      <c r="EA12" s="4241" t="n"/>
      <c r="EB12" s="4191">
        <f>'Inl. wetlands'!M91</f>
        <v/>
      </c>
      <c r="EC12" s="4241" t="n"/>
      <c r="ED12" s="2598" t="n"/>
      <c r="EE12" s="4192">
        <f>'Inl. wetlands'!O91</f>
        <v/>
      </c>
      <c r="EF12" s="4241" t="n"/>
      <c r="EG12" s="2598" t="n"/>
      <c r="EH12" s="2598" t="n"/>
    </row>
    <row r="13" customFormat="1" s="4168">
      <c r="B13" s="1838" t="n"/>
      <c r="C13" s="4227" t="inlineStr">
        <is>
          <t>Please select</t>
        </is>
      </c>
      <c r="D13" s="1838" t="n"/>
      <c r="E13" s="2133" t="n">
        <v>0</v>
      </c>
      <c r="F13" s="1838" t="n"/>
      <c r="G13" s="2133" t="inlineStr">
        <is>
          <t>NO</t>
        </is>
      </c>
      <c r="H13" s="1838" t="n"/>
      <c r="I13" s="2133" t="inlineStr">
        <is>
          <t>Please select</t>
        </is>
      </c>
      <c r="J13" s="1838" t="n"/>
      <c r="K13" s="2133" t="inlineStr">
        <is>
          <t>Please select</t>
        </is>
      </c>
      <c r="L13" s="1838" t="n"/>
      <c r="M13" s="4228" t="n">
        <v>0</v>
      </c>
      <c r="N13" s="4229" t="n">
        <v>0</v>
      </c>
      <c r="O13" s="4134" t="inlineStr">
        <is>
          <t>D</t>
        </is>
      </c>
      <c r="P13" s="4229" t="n">
        <v>0</v>
      </c>
      <c r="Q13" s="4134" t="inlineStr">
        <is>
          <t>D</t>
        </is>
      </c>
      <c r="R13" s="4193" t="n"/>
      <c r="S13" s="4194">
        <f>M13-N13</f>
        <v/>
      </c>
      <c r="T13" s="4194">
        <f>M13-P13</f>
        <v/>
      </c>
      <c r="U13" s="1838" t="n"/>
      <c r="V13" s="1838" t="n"/>
      <c r="W13" s="1838" t="n"/>
      <c r="X13" s="4230" t="inlineStr">
        <is>
          <t>Y/N</t>
        </is>
      </c>
      <c r="Y13" s="1838" t="n"/>
      <c r="Z13" s="1838" t="n"/>
      <c r="AA13" s="4193" t="n"/>
      <c r="AB13" s="1838" t="n"/>
      <c r="AC13" s="1838" t="n"/>
      <c r="AD13" s="1838" t="n"/>
      <c r="AE13" s="2111">
        <f>'Inl. wetlands'!AI36</f>
        <v/>
      </c>
      <c r="AF13" s="2111">
        <f>'Inl. wetlands'!AJ36</f>
        <v/>
      </c>
      <c r="AG13" s="1806">
        <f>AF13-AE13</f>
        <v/>
      </c>
      <c r="AH13" s="4359" t="n"/>
      <c r="AI13" s="4359" t="n"/>
      <c r="AS13" s="2567" t="n"/>
      <c r="AT13" s="2323">
        <f>C13</f>
        <v/>
      </c>
      <c r="AU13" s="2567" t="n"/>
      <c r="AV13" s="2567" t="n"/>
      <c r="AW13" s="2567" t="n"/>
      <c r="AX13" s="2567" t="n"/>
      <c r="AY13" s="4728">
        <f>'Inl. wetlands'!D14</f>
        <v/>
      </c>
      <c r="AZ13" s="4729" t="n"/>
      <c r="BA13" s="4728">
        <f>'Inl. wetlands'!$G14</f>
        <v/>
      </c>
      <c r="BB13" s="4729" t="n"/>
      <c r="BC13" s="4728">
        <f>'Inl. wetlands'!I14</f>
        <v/>
      </c>
      <c r="BD13" s="4729" t="n"/>
      <c r="BE13" s="4728">
        <f>'Inl. wetlands'!$K14</f>
        <v/>
      </c>
      <c r="BF13" s="4729" t="n"/>
      <c r="BG13" s="2567" t="n"/>
      <c r="BI13" s="4401" t="n">
        <v>1</v>
      </c>
      <c r="BJ13" s="4402" t="n"/>
      <c r="BK13" s="1997" t="n"/>
      <c r="CD13" s="2567" t="n"/>
      <c r="CE13" s="2323">
        <f>AT13</f>
        <v/>
      </c>
      <c r="CF13" s="4192">
        <f>'Inl. wetlands'!B66</f>
        <v/>
      </c>
      <c r="CG13" s="4245" t="n"/>
      <c r="CH13" s="4192">
        <f>'Inl. wetlands'!D66</f>
        <v/>
      </c>
      <c r="CI13" s="4245" t="n"/>
      <c r="CJ13" s="4192">
        <f>'Inl. wetlands'!F66</f>
        <v/>
      </c>
      <c r="CK13" s="4245" t="n"/>
      <c r="CL13" s="2567" t="n"/>
      <c r="CM13" s="4192">
        <f>'Inl. wetlands'!H66</f>
        <v/>
      </c>
      <c r="CN13" s="4245" t="n"/>
      <c r="CO13" s="4192">
        <f>'Inl. wetlands'!J66</f>
        <v/>
      </c>
      <c r="CP13" s="4245" t="n"/>
      <c r="CQ13" s="2567" t="n"/>
      <c r="CT13" s="2567" t="n"/>
      <c r="CU13" s="2323">
        <f>I13</f>
        <v/>
      </c>
      <c r="CV13" s="2592">
        <f>$S13</f>
        <v/>
      </c>
      <c r="CW13" s="2592">
        <f>$T13</f>
        <v/>
      </c>
      <c r="CX13" s="2567" t="n"/>
      <c r="CY13" s="2567" t="n"/>
      <c r="CZ13" s="4141" t="inlineStr">
        <is>
          <t>Please select</t>
        </is>
      </c>
      <c r="DA13" s="2567" t="n"/>
      <c r="DB13" s="4141" t="n">
        <v>1</v>
      </c>
      <c r="DC13" s="4273" t="n">
        <v>1</v>
      </c>
      <c r="DD13" s="4332" t="n"/>
      <c r="DE13" s="4141" t="n">
        <v>1</v>
      </c>
      <c r="DF13" s="4273" t="n">
        <v>0.5</v>
      </c>
      <c r="DG13" s="2567" t="n"/>
      <c r="DH13" s="2592">
        <f>'Inl. wetlands'!P53</f>
        <v/>
      </c>
      <c r="DI13" s="2132" t="n"/>
      <c r="DJ13" s="2592">
        <f>'Inl. wetlands'!R53</f>
        <v/>
      </c>
      <c r="DK13" s="2132" t="n"/>
      <c r="DL13" s="2592">
        <f>'Inl. wetlands'!T53</f>
        <v/>
      </c>
      <c r="DM13" s="2132" t="n"/>
      <c r="DN13" s="2592">
        <f>'Inl. wetlands'!V53</f>
        <v/>
      </c>
      <c r="DO13" s="2132" t="n"/>
      <c r="DP13" s="2567" t="n"/>
      <c r="DU13" s="2598" t="n"/>
      <c r="DV13" s="2598">
        <f>C14</f>
        <v/>
      </c>
      <c r="DW13" s="2598" t="n"/>
      <c r="DX13" s="4728">
        <f>'Inl. wetlands'!I92</f>
        <v/>
      </c>
      <c r="DY13" s="4241" t="n"/>
      <c r="DZ13" s="4191">
        <f>'Inl. wetlands'!K92</f>
        <v/>
      </c>
      <c r="EA13" s="4241" t="n"/>
      <c r="EB13" s="4191">
        <f>'Inl. wetlands'!M92</f>
        <v/>
      </c>
      <c r="EC13" s="4241" t="n"/>
      <c r="ED13" s="2598" t="n"/>
      <c r="EE13" s="4192">
        <f>'Inl. wetlands'!O92</f>
        <v/>
      </c>
      <c r="EF13" s="4241" t="n"/>
      <c r="EG13" s="2598" t="n"/>
      <c r="EH13" s="2598" t="n"/>
    </row>
    <row r="14" customFormat="1" s="4168">
      <c r="B14" s="1838" t="n"/>
      <c r="C14" s="4227" t="inlineStr">
        <is>
          <t>Please select</t>
        </is>
      </c>
      <c r="D14" s="1838" t="n"/>
      <c r="E14" s="2133" t="n">
        <v>0</v>
      </c>
      <c r="F14" s="1838" t="n"/>
      <c r="G14" s="2133" t="inlineStr">
        <is>
          <t>NO</t>
        </is>
      </c>
      <c r="H14" s="1838" t="n"/>
      <c r="I14" s="2133" t="inlineStr">
        <is>
          <t>Please select</t>
        </is>
      </c>
      <c r="J14" s="1838" t="n"/>
      <c r="K14" s="2133" t="inlineStr">
        <is>
          <t>Please select</t>
        </is>
      </c>
      <c r="L14" s="1838" t="n"/>
      <c r="M14" s="4228" t="n">
        <v>0</v>
      </c>
      <c r="N14" s="4229" t="n">
        <v>0</v>
      </c>
      <c r="O14" s="4134" t="inlineStr">
        <is>
          <t>D</t>
        </is>
      </c>
      <c r="P14" s="4229" t="n">
        <v>0</v>
      </c>
      <c r="Q14" s="4134" t="inlineStr">
        <is>
          <t>D</t>
        </is>
      </c>
      <c r="R14" s="4193" t="n"/>
      <c r="S14" s="4194">
        <f>M14-N14</f>
        <v/>
      </c>
      <c r="T14" s="4194">
        <f>M14-P14</f>
        <v/>
      </c>
      <c r="U14" s="1838" t="n"/>
      <c r="V14" s="1838" t="n"/>
      <c r="W14" s="1838" t="n"/>
      <c r="X14" s="4230" t="inlineStr">
        <is>
          <t>Y/N</t>
        </is>
      </c>
      <c r="Y14" s="1838" t="n"/>
      <c r="Z14" s="1838" t="n"/>
      <c r="AA14" s="4193" t="n"/>
      <c r="AB14" s="1838" t="n"/>
      <c r="AC14" s="1838" t="n"/>
      <c r="AD14" s="1838" t="n"/>
      <c r="AE14" s="2111">
        <f>'Inl. wetlands'!AI37</f>
        <v/>
      </c>
      <c r="AF14" s="2111">
        <f>'Inl. wetlands'!AJ37</f>
        <v/>
      </c>
      <c r="AG14" s="1806">
        <f>AF14-AE14</f>
        <v/>
      </c>
      <c r="AH14" s="4359" t="n"/>
      <c r="AI14" s="4359" t="n"/>
      <c r="AS14" s="2567" t="n"/>
      <c r="AT14" s="2323">
        <f>C14</f>
        <v/>
      </c>
      <c r="AU14" s="2567" t="n"/>
      <c r="AV14" s="2567" t="n"/>
      <c r="AW14" s="2567" t="n"/>
      <c r="AX14" s="2567" t="n"/>
      <c r="AY14" s="4728">
        <f>'Inl. wetlands'!D15</f>
        <v/>
      </c>
      <c r="AZ14" s="4729" t="n"/>
      <c r="BA14" s="4728">
        <f>'Inl. wetlands'!$G15</f>
        <v/>
      </c>
      <c r="BB14" s="4729" t="n"/>
      <c r="BC14" s="4728">
        <f>'Inl. wetlands'!I15</f>
        <v/>
      </c>
      <c r="BD14" s="4729" t="n"/>
      <c r="BE14" s="4728">
        <f>'Inl. wetlands'!$K15</f>
        <v/>
      </c>
      <c r="BF14" s="4729" t="n"/>
      <c r="BG14" s="2567" t="n"/>
      <c r="BI14" s="4401" t="n">
        <v>1</v>
      </c>
      <c r="BJ14" s="4402" t="n"/>
      <c r="BK14" s="1997" t="n"/>
      <c r="CD14" s="2567" t="n"/>
      <c r="CE14" s="2323">
        <f>AT14</f>
        <v/>
      </c>
      <c r="CF14" s="4192">
        <f>'Inl. wetlands'!B67</f>
        <v/>
      </c>
      <c r="CG14" s="4245" t="n"/>
      <c r="CH14" s="4192">
        <f>'Inl. wetlands'!D67</f>
        <v/>
      </c>
      <c r="CI14" s="4245" t="n"/>
      <c r="CJ14" s="4192">
        <f>'Inl. wetlands'!F67</f>
        <v/>
      </c>
      <c r="CK14" s="4245" t="n"/>
      <c r="CL14" s="2567" t="n"/>
      <c r="CM14" s="4192">
        <f>'Inl. wetlands'!H67</f>
        <v/>
      </c>
      <c r="CN14" s="4245" t="n"/>
      <c r="CO14" s="4192">
        <f>'Inl. wetlands'!J67</f>
        <v/>
      </c>
      <c r="CP14" s="4245" t="n"/>
      <c r="CQ14" s="2567" t="n"/>
      <c r="CT14" s="2567" t="n"/>
      <c r="CU14" s="2323">
        <f>I14</f>
        <v/>
      </c>
      <c r="CV14" s="2592">
        <f>$S14</f>
        <v/>
      </c>
      <c r="CW14" s="2592">
        <f>$T14</f>
        <v/>
      </c>
      <c r="CX14" s="2567" t="n"/>
      <c r="CY14" s="2567" t="n"/>
      <c r="CZ14" s="4141" t="inlineStr">
        <is>
          <t>Please select</t>
        </is>
      </c>
      <c r="DA14" s="2567" t="n"/>
      <c r="DB14" s="4141" t="n">
        <v>1</v>
      </c>
      <c r="DC14" s="4273" t="n">
        <v>1</v>
      </c>
      <c r="DD14" s="4332" t="n"/>
      <c r="DE14" s="4141" t="n">
        <v>1</v>
      </c>
      <c r="DF14" s="4273" t="n">
        <v>1</v>
      </c>
      <c r="DG14" s="2567" t="n"/>
      <c r="DH14" s="2592">
        <f>'Inl. wetlands'!P54</f>
        <v/>
      </c>
      <c r="DI14" s="2132" t="n"/>
      <c r="DJ14" s="2592">
        <f>'Inl. wetlands'!R54</f>
        <v/>
      </c>
      <c r="DK14" s="2132" t="n"/>
      <c r="DL14" s="2592">
        <f>'Inl. wetlands'!T54</f>
        <v/>
      </c>
      <c r="DM14" s="2132" t="n"/>
      <c r="DN14" s="2592">
        <f>'Inl. wetlands'!V54</f>
        <v/>
      </c>
      <c r="DO14" s="2132" t="n"/>
      <c r="DP14" s="2567" t="n"/>
      <c r="DU14" s="2598" t="n"/>
      <c r="DV14" s="2598">
        <f>C15</f>
        <v/>
      </c>
      <c r="DW14" s="2598" t="n"/>
      <c r="DX14" s="4728">
        <f>'Inl. wetlands'!I93</f>
        <v/>
      </c>
      <c r="DY14" s="4241" t="n"/>
      <c r="DZ14" s="4191">
        <f>'Inl. wetlands'!K93</f>
        <v/>
      </c>
      <c r="EA14" s="4241" t="n"/>
      <c r="EB14" s="4191">
        <f>'Inl. wetlands'!M93</f>
        <v/>
      </c>
      <c r="EC14" s="4241" t="n"/>
      <c r="ED14" s="2598" t="n"/>
      <c r="EE14" s="4192">
        <f>'Inl. wetlands'!O93</f>
        <v/>
      </c>
      <c r="EF14" s="4241" t="n"/>
      <c r="EG14" s="2598" t="n"/>
      <c r="EH14" s="2598" t="n"/>
    </row>
    <row r="15" customFormat="1" s="4168">
      <c r="B15" s="1838" t="n"/>
      <c r="C15" s="4227" t="inlineStr">
        <is>
          <t>Please select</t>
        </is>
      </c>
      <c r="D15" s="1838" t="n"/>
      <c r="E15" s="2133" t="n">
        <v>0</v>
      </c>
      <c r="F15" s="1838" t="n"/>
      <c r="G15" s="2133" t="inlineStr">
        <is>
          <t>NO</t>
        </is>
      </c>
      <c r="H15" s="1838" t="n"/>
      <c r="I15" s="2133" t="inlineStr">
        <is>
          <t>Please select</t>
        </is>
      </c>
      <c r="J15" s="1838" t="n"/>
      <c r="K15" s="2133" t="inlineStr">
        <is>
          <t>Please select</t>
        </is>
      </c>
      <c r="L15" s="1838" t="n"/>
      <c r="M15" s="4228" t="n">
        <v>0</v>
      </c>
      <c r="N15" s="4229" t="n">
        <v>0</v>
      </c>
      <c r="O15" s="4134" t="inlineStr">
        <is>
          <t>D</t>
        </is>
      </c>
      <c r="P15" s="4229" t="n">
        <v>0</v>
      </c>
      <c r="Q15" s="4134" t="inlineStr">
        <is>
          <t>D</t>
        </is>
      </c>
      <c r="R15" s="4193" t="n"/>
      <c r="S15" s="4194">
        <f>M15-N15</f>
        <v/>
      </c>
      <c r="T15" s="4194">
        <f>M15-P15</f>
        <v/>
      </c>
      <c r="U15" s="1838" t="n"/>
      <c r="V15" s="1838" t="n"/>
      <c r="W15" s="1838" t="n"/>
      <c r="X15" s="4230" t="inlineStr">
        <is>
          <t>Y/N</t>
        </is>
      </c>
      <c r="Y15" s="1838" t="n"/>
      <c r="Z15" s="1838" t="n"/>
      <c r="AA15" s="4193" t="n"/>
      <c r="AB15" s="1838" t="n"/>
      <c r="AC15" s="1838" t="n"/>
      <c r="AD15" s="1838" t="n"/>
      <c r="AE15" s="2111">
        <f>'Inl. wetlands'!AI38</f>
        <v/>
      </c>
      <c r="AF15" s="2111">
        <f>'Inl. wetlands'!AJ38</f>
        <v/>
      </c>
      <c r="AG15" s="1806">
        <f>AF15-AE15</f>
        <v/>
      </c>
      <c r="AH15" s="4359" t="n"/>
      <c r="AI15" s="4359" t="n"/>
      <c r="AS15" s="2567" t="n"/>
      <c r="AT15" s="2323">
        <f>C15</f>
        <v/>
      </c>
      <c r="AU15" s="2567" t="n"/>
      <c r="AV15" s="2567" t="n"/>
      <c r="AW15" s="2567" t="n"/>
      <c r="AX15" s="2567" t="n"/>
      <c r="AY15" s="4728">
        <f>'Inl. wetlands'!D16</f>
        <v/>
      </c>
      <c r="AZ15" s="4729" t="n"/>
      <c r="BA15" s="4728">
        <f>'Inl. wetlands'!$G16</f>
        <v/>
      </c>
      <c r="BB15" s="4729" t="n"/>
      <c r="BC15" s="4728">
        <f>'Inl. wetlands'!I16</f>
        <v/>
      </c>
      <c r="BD15" s="4729" t="n"/>
      <c r="BE15" s="4728">
        <f>'Inl. wetlands'!$K16</f>
        <v/>
      </c>
      <c r="BF15" s="4729" t="n"/>
      <c r="BG15" s="2567" t="n"/>
      <c r="BI15" s="4401" t="n">
        <v>1</v>
      </c>
      <c r="BJ15" s="4402" t="n"/>
      <c r="BK15" s="1997" t="n"/>
      <c r="CD15" s="2567" t="n"/>
      <c r="CE15" s="2323">
        <f>AT15</f>
        <v/>
      </c>
      <c r="CF15" s="4192">
        <f>'Inl. wetlands'!B68</f>
        <v/>
      </c>
      <c r="CG15" s="4245" t="n"/>
      <c r="CH15" s="4192">
        <f>'Inl. wetlands'!D68</f>
        <v/>
      </c>
      <c r="CI15" s="4245" t="n"/>
      <c r="CJ15" s="4192">
        <f>'Inl. wetlands'!F68</f>
        <v/>
      </c>
      <c r="CK15" s="4245" t="n"/>
      <c r="CL15" s="2567" t="n"/>
      <c r="CM15" s="4192">
        <f>'Inl. wetlands'!H68</f>
        <v/>
      </c>
      <c r="CN15" s="4245" t="n"/>
      <c r="CO15" s="4192">
        <f>'Inl. wetlands'!J68</f>
        <v/>
      </c>
      <c r="CP15" s="4245" t="n"/>
      <c r="CQ15" s="2567" t="n"/>
      <c r="CT15" s="2567" t="n"/>
      <c r="CU15" s="2323">
        <f>I15</f>
        <v/>
      </c>
      <c r="CV15" s="2592">
        <f>$S15</f>
        <v/>
      </c>
      <c r="CW15" s="2592">
        <f>$T15</f>
        <v/>
      </c>
      <c r="CX15" s="2567" t="n"/>
      <c r="CY15" s="2567" t="n"/>
      <c r="CZ15" s="4141" t="inlineStr">
        <is>
          <t>Please select</t>
        </is>
      </c>
      <c r="DA15" s="2567" t="n"/>
      <c r="DB15" s="4141" t="n">
        <v>1</v>
      </c>
      <c r="DC15" s="4273" t="n">
        <v>1</v>
      </c>
      <c r="DD15" s="4332" t="n"/>
      <c r="DE15" s="4141" t="n">
        <v>1</v>
      </c>
      <c r="DF15" s="4273" t="n">
        <v>1</v>
      </c>
      <c r="DG15" s="2567" t="n"/>
      <c r="DH15" s="2592">
        <f>'Inl. wetlands'!P55</f>
        <v/>
      </c>
      <c r="DI15" s="2132" t="n"/>
      <c r="DJ15" s="2592">
        <f>'Inl. wetlands'!R55</f>
        <v/>
      </c>
      <c r="DK15" s="2132" t="n"/>
      <c r="DL15" s="2592">
        <f>'Inl. wetlands'!T55</f>
        <v/>
      </c>
      <c r="DM15" s="2132" t="n"/>
      <c r="DN15" s="2592">
        <f>'Inl. wetlands'!V55</f>
        <v/>
      </c>
      <c r="DO15" s="2132" t="n"/>
      <c r="DP15" s="2567" t="n"/>
      <c r="DU15" s="2598" t="n"/>
      <c r="DV15" s="2598">
        <f>C16</f>
        <v/>
      </c>
      <c r="DW15" s="2598" t="n"/>
      <c r="DX15" s="4728">
        <f>'Inl. wetlands'!I94</f>
        <v/>
      </c>
      <c r="DY15" s="4241" t="n"/>
      <c r="DZ15" s="4191">
        <f>'Inl. wetlands'!K94</f>
        <v/>
      </c>
      <c r="EA15" s="4241" t="n"/>
      <c r="EB15" s="4191">
        <f>'Inl. wetlands'!M94</f>
        <v/>
      </c>
      <c r="EC15" s="4241" t="n"/>
      <c r="ED15" s="2598" t="n"/>
      <c r="EE15" s="4192">
        <f>'Inl. wetlands'!O94</f>
        <v/>
      </c>
      <c r="EF15" s="4241" t="n"/>
      <c r="EG15" s="2598" t="n"/>
      <c r="EH15" s="2598" t="n"/>
    </row>
    <row r="16" customFormat="1" s="4168">
      <c r="B16" s="1838" t="n"/>
      <c r="C16" s="4227" t="inlineStr">
        <is>
          <t>Please select</t>
        </is>
      </c>
      <c r="D16" s="1838" t="n"/>
      <c r="E16" s="2133" t="n">
        <v>0</v>
      </c>
      <c r="F16" s="1838" t="n"/>
      <c r="G16" s="2133" t="inlineStr">
        <is>
          <t>NO</t>
        </is>
      </c>
      <c r="H16" s="1838" t="n"/>
      <c r="I16" s="2133" t="inlineStr">
        <is>
          <t>Please select</t>
        </is>
      </c>
      <c r="J16" s="1838" t="n"/>
      <c r="K16" s="2133" t="inlineStr">
        <is>
          <t>Please select</t>
        </is>
      </c>
      <c r="L16" s="1838" t="n"/>
      <c r="M16" s="4228" t="n">
        <v>0</v>
      </c>
      <c r="N16" s="4229" t="n">
        <v>0</v>
      </c>
      <c r="O16" s="4134" t="inlineStr">
        <is>
          <t>D</t>
        </is>
      </c>
      <c r="P16" s="4229" t="n">
        <v>0</v>
      </c>
      <c r="Q16" s="4134" t="inlineStr">
        <is>
          <t>D</t>
        </is>
      </c>
      <c r="R16" s="4193" t="n"/>
      <c r="S16" s="4194">
        <f>M16-N16</f>
        <v/>
      </c>
      <c r="T16" s="4194">
        <f>M16-P16</f>
        <v/>
      </c>
      <c r="U16" s="1838" t="n"/>
      <c r="V16" s="1838" t="n"/>
      <c r="W16" s="1838" t="n"/>
      <c r="X16" s="4230" t="inlineStr">
        <is>
          <t>Y/N</t>
        </is>
      </c>
      <c r="Y16" s="1838" t="n"/>
      <c r="Z16" s="1838" t="n"/>
      <c r="AA16" s="4193" t="n"/>
      <c r="AB16" s="1838" t="n"/>
      <c r="AC16" s="1838" t="n"/>
      <c r="AD16" s="1838" t="n"/>
      <c r="AE16" s="2111">
        <f>'Inl. wetlands'!AI39</f>
        <v/>
      </c>
      <c r="AF16" s="2111">
        <f>'Inl. wetlands'!AJ39</f>
        <v/>
      </c>
      <c r="AG16" s="1806">
        <f>AF16-AE16</f>
        <v/>
      </c>
      <c r="AH16" s="4359" t="n"/>
      <c r="AI16" s="4359" t="n"/>
      <c r="AS16" s="2567" t="n"/>
      <c r="AT16" s="2323">
        <f>C16</f>
        <v/>
      </c>
      <c r="AU16" s="2567" t="n"/>
      <c r="AV16" s="2567" t="n"/>
      <c r="AW16" s="2567" t="n"/>
      <c r="AX16" s="2567" t="n"/>
      <c r="AY16" s="4728">
        <f>'Inl. wetlands'!D17</f>
        <v/>
      </c>
      <c r="AZ16" s="4729" t="n"/>
      <c r="BA16" s="4728">
        <f>'Inl. wetlands'!$G17</f>
        <v/>
      </c>
      <c r="BB16" s="4729" t="n"/>
      <c r="BC16" s="4728">
        <f>'Inl. wetlands'!I17</f>
        <v/>
      </c>
      <c r="BD16" s="4729" t="n"/>
      <c r="BE16" s="4728">
        <f>'Inl. wetlands'!$K17</f>
        <v/>
      </c>
      <c r="BF16" s="4729" t="n"/>
      <c r="BG16" s="2567" t="n"/>
      <c r="BI16" s="4401" t="n">
        <v>1</v>
      </c>
      <c r="BJ16" s="4402" t="n"/>
      <c r="BK16" s="1997" t="n"/>
      <c r="CD16" s="2567" t="n"/>
      <c r="CE16" s="2323">
        <f>AT16</f>
        <v/>
      </c>
      <c r="CF16" s="4192">
        <f>'Inl. wetlands'!B69</f>
        <v/>
      </c>
      <c r="CG16" s="4245" t="n"/>
      <c r="CH16" s="4192">
        <f>'Inl. wetlands'!D69</f>
        <v/>
      </c>
      <c r="CI16" s="4245" t="n"/>
      <c r="CJ16" s="4192">
        <f>'Inl. wetlands'!F69</f>
        <v/>
      </c>
      <c r="CK16" s="4245" t="n"/>
      <c r="CL16" s="2567" t="n"/>
      <c r="CM16" s="4192">
        <f>'Inl. wetlands'!H69</f>
        <v/>
      </c>
      <c r="CN16" s="4245" t="n"/>
      <c r="CO16" s="4192">
        <f>'Inl. wetlands'!J69</f>
        <v/>
      </c>
      <c r="CP16" s="4245" t="n"/>
      <c r="CQ16" s="2567" t="n"/>
      <c r="CT16" s="2567" t="n"/>
      <c r="CU16" s="2323">
        <f>I16</f>
        <v/>
      </c>
      <c r="CV16" s="2592">
        <f>$S16</f>
        <v/>
      </c>
      <c r="CW16" s="2592">
        <f>$T16</f>
        <v/>
      </c>
      <c r="CX16" s="2567" t="n"/>
      <c r="CY16" s="2567" t="n"/>
      <c r="CZ16" s="4141" t="inlineStr">
        <is>
          <t>Please select</t>
        </is>
      </c>
      <c r="DA16" s="2567" t="n"/>
      <c r="DB16" s="4141" t="n">
        <v>1</v>
      </c>
      <c r="DC16" s="4273" t="n">
        <v>1</v>
      </c>
      <c r="DD16" s="4332" t="n"/>
      <c r="DE16" s="4141" t="n">
        <v>1</v>
      </c>
      <c r="DF16" s="4273" t="n">
        <v>1</v>
      </c>
      <c r="DG16" s="2567" t="n"/>
      <c r="DH16" s="2592">
        <f>'Inl. wetlands'!P56</f>
        <v/>
      </c>
      <c r="DI16" s="2132" t="n"/>
      <c r="DJ16" s="2592">
        <f>'Inl. wetlands'!R56</f>
        <v/>
      </c>
      <c r="DK16" s="2132" t="n"/>
      <c r="DL16" s="2592">
        <f>'Inl. wetlands'!T56</f>
        <v/>
      </c>
      <c r="DM16" s="2132" t="n"/>
      <c r="DN16" s="2592">
        <f>'Inl. wetlands'!V56</f>
        <v/>
      </c>
      <c r="DO16" s="2132" t="n"/>
      <c r="DP16" s="2567" t="n"/>
      <c r="DU16" s="2598" t="n"/>
      <c r="DV16" s="2598">
        <f>C17</f>
        <v/>
      </c>
      <c r="DW16" s="2598" t="n"/>
      <c r="DX16" s="4728">
        <f>'Inl. wetlands'!I95</f>
        <v/>
      </c>
      <c r="DY16" s="4241" t="n"/>
      <c r="DZ16" s="4191">
        <f>'Inl. wetlands'!K95</f>
        <v/>
      </c>
      <c r="EA16" s="4241" t="n"/>
      <c r="EB16" s="4191">
        <f>'Inl. wetlands'!M95</f>
        <v/>
      </c>
      <c r="EC16" s="4241" t="n"/>
      <c r="ED16" s="2598" t="n"/>
      <c r="EE16" s="4192">
        <f>'Inl. wetlands'!O95</f>
        <v/>
      </c>
      <c r="EF16" s="4241" t="n"/>
      <c r="EG16" s="2598" t="n"/>
      <c r="EH16" s="2598" t="n"/>
    </row>
    <row r="17" customFormat="1" s="4168">
      <c r="B17" s="1838" t="n"/>
      <c r="C17" s="4227" t="inlineStr">
        <is>
          <t>Please select</t>
        </is>
      </c>
      <c r="D17" s="1838" t="n"/>
      <c r="E17" s="2133" t="n">
        <v>0</v>
      </c>
      <c r="F17" s="1838" t="n"/>
      <c r="G17" s="2133" t="inlineStr">
        <is>
          <t>NO</t>
        </is>
      </c>
      <c r="H17" s="1838" t="n"/>
      <c r="I17" s="2133" t="inlineStr">
        <is>
          <t>Please select</t>
        </is>
      </c>
      <c r="J17" s="1838" t="n"/>
      <c r="K17" s="2133" t="inlineStr">
        <is>
          <t>Please select</t>
        </is>
      </c>
      <c r="L17" s="1838" t="n"/>
      <c r="M17" s="4228" t="n">
        <v>0</v>
      </c>
      <c r="N17" s="4229" t="n">
        <v>0</v>
      </c>
      <c r="O17" s="4134" t="inlineStr">
        <is>
          <t>D</t>
        </is>
      </c>
      <c r="P17" s="4229" t="n">
        <v>0</v>
      </c>
      <c r="Q17" s="4134" t="inlineStr">
        <is>
          <t>D</t>
        </is>
      </c>
      <c r="R17" s="4193" t="n"/>
      <c r="S17" s="4194">
        <f>M17-N17</f>
        <v/>
      </c>
      <c r="T17" s="4194">
        <f>M17-P17</f>
        <v/>
      </c>
      <c r="U17" s="1838" t="n"/>
      <c r="V17" s="1838" t="n"/>
      <c r="W17" s="1838" t="n"/>
      <c r="X17" s="4230" t="inlineStr">
        <is>
          <t>Y/N</t>
        </is>
      </c>
      <c r="Y17" s="1838" t="n"/>
      <c r="Z17" s="1838" t="n"/>
      <c r="AA17" s="4193" t="n"/>
      <c r="AB17" s="1838" t="n"/>
      <c r="AC17" s="1838" t="n"/>
      <c r="AD17" s="1838" t="n"/>
      <c r="AE17" s="2111">
        <f>'Inl. wetlands'!AI40</f>
        <v/>
      </c>
      <c r="AF17" s="2111">
        <f>'Inl. wetlands'!AJ40</f>
        <v/>
      </c>
      <c r="AG17" s="1806">
        <f>AF17-AE17</f>
        <v/>
      </c>
      <c r="AH17" s="4359" t="n"/>
      <c r="AI17" s="4359" t="n"/>
      <c r="AS17" s="2567" t="n"/>
      <c r="AT17" s="2323">
        <f>C17</f>
        <v/>
      </c>
      <c r="AU17" s="2567" t="n"/>
      <c r="AV17" s="2567" t="n"/>
      <c r="AW17" s="2567" t="n"/>
      <c r="AX17" s="2567" t="n"/>
      <c r="AY17" s="4728">
        <f>'Inl. wetlands'!D18</f>
        <v/>
      </c>
      <c r="AZ17" s="4729" t="n"/>
      <c r="BA17" s="4728">
        <f>'Inl. wetlands'!$G18</f>
        <v/>
      </c>
      <c r="BB17" s="4729" t="n"/>
      <c r="BC17" s="4728">
        <f>'Inl. wetlands'!I18</f>
        <v/>
      </c>
      <c r="BD17" s="4729" t="n"/>
      <c r="BE17" s="4728">
        <f>'Inl. wetlands'!$K18</f>
        <v/>
      </c>
      <c r="BF17" s="4729" t="n"/>
      <c r="BG17" s="2567" t="n"/>
      <c r="BI17" s="4401" t="n">
        <v>1</v>
      </c>
      <c r="BJ17" s="4402" t="n"/>
      <c r="BK17" s="1997" t="n"/>
      <c r="CD17" s="2567" t="n"/>
      <c r="CE17" s="2323">
        <f>AT17</f>
        <v/>
      </c>
      <c r="CF17" s="4192">
        <f>'Inl. wetlands'!B70</f>
        <v/>
      </c>
      <c r="CG17" s="4245" t="n"/>
      <c r="CH17" s="4192">
        <f>'Inl. wetlands'!D70</f>
        <v/>
      </c>
      <c r="CI17" s="4245" t="n"/>
      <c r="CJ17" s="4192">
        <f>'Inl. wetlands'!F70</f>
        <v/>
      </c>
      <c r="CK17" s="4245" t="n"/>
      <c r="CL17" s="2567" t="n"/>
      <c r="CM17" s="4192">
        <f>'Inl. wetlands'!H70</f>
        <v/>
      </c>
      <c r="CN17" s="4245" t="n"/>
      <c r="CO17" s="4192">
        <f>'Inl. wetlands'!J70</f>
        <v/>
      </c>
      <c r="CP17" s="4245" t="n"/>
      <c r="CQ17" s="2567" t="n"/>
      <c r="CT17" s="2567" t="n"/>
      <c r="CU17" s="2323">
        <f>I17</f>
        <v/>
      </c>
      <c r="CV17" s="2592">
        <f>$S17</f>
        <v/>
      </c>
      <c r="CW17" s="2592">
        <f>$T17</f>
        <v/>
      </c>
      <c r="CX17" s="2567" t="n"/>
      <c r="CY17" s="2567" t="n"/>
      <c r="CZ17" s="4141" t="inlineStr">
        <is>
          <t>Please select</t>
        </is>
      </c>
      <c r="DA17" s="2567" t="n"/>
      <c r="DB17" s="4141" t="n">
        <v>1</v>
      </c>
      <c r="DC17" s="4273" t="n">
        <v>1</v>
      </c>
      <c r="DD17" s="4332" t="n"/>
      <c r="DE17" s="4141" t="n">
        <v>1</v>
      </c>
      <c r="DF17" s="4273" t="n">
        <v>1</v>
      </c>
      <c r="DG17" s="2567" t="n"/>
      <c r="DH17" s="2592">
        <f>'Inl. wetlands'!P57</f>
        <v/>
      </c>
      <c r="DI17" s="2132" t="n"/>
      <c r="DJ17" s="2592">
        <f>'Inl. wetlands'!R57</f>
        <v/>
      </c>
      <c r="DK17" s="2132" t="n"/>
      <c r="DL17" s="2592">
        <f>'Inl. wetlands'!T57</f>
        <v/>
      </c>
      <c r="DM17" s="2132" t="n"/>
      <c r="DN17" s="2592">
        <f>'Inl. wetlands'!V57</f>
        <v/>
      </c>
      <c r="DO17" s="2132" t="n"/>
      <c r="DP17" s="2567" t="n"/>
      <c r="DU17" s="2598" t="n"/>
      <c r="DV17" s="2598">
        <f>C18</f>
        <v/>
      </c>
      <c r="DW17" s="2598" t="n"/>
      <c r="DX17" s="4728">
        <f>'Inl. wetlands'!I96</f>
        <v/>
      </c>
      <c r="DY17" s="4241" t="n"/>
      <c r="DZ17" s="4191">
        <f>'Inl. wetlands'!K96</f>
        <v/>
      </c>
      <c r="EA17" s="4241" t="n"/>
      <c r="EB17" s="4191">
        <f>'Inl. wetlands'!M96</f>
        <v/>
      </c>
      <c r="EC17" s="4241" t="n"/>
      <c r="ED17" s="2598" t="n"/>
      <c r="EE17" s="4192">
        <f>'Inl. wetlands'!O96</f>
        <v/>
      </c>
      <c r="EF17" s="4241" t="n"/>
      <c r="EG17" s="2598" t="n"/>
      <c r="EH17" s="2598" t="n"/>
    </row>
    <row r="18" customFormat="1" s="4168">
      <c r="B18" s="1838" t="n"/>
      <c r="C18" s="4227" t="inlineStr">
        <is>
          <t>Please select</t>
        </is>
      </c>
      <c r="D18" s="1838" t="n"/>
      <c r="E18" s="2133" t="n">
        <v>0</v>
      </c>
      <c r="F18" s="1838" t="n"/>
      <c r="G18" s="2133" t="inlineStr">
        <is>
          <t>NO</t>
        </is>
      </c>
      <c r="H18" s="1838" t="n"/>
      <c r="I18" s="2133" t="inlineStr">
        <is>
          <t>Please select</t>
        </is>
      </c>
      <c r="J18" s="1838" t="n"/>
      <c r="K18" s="2133" t="inlineStr">
        <is>
          <t>Please select</t>
        </is>
      </c>
      <c r="L18" s="1838" t="n"/>
      <c r="M18" s="4228" t="n">
        <v>0</v>
      </c>
      <c r="N18" s="4229" t="n">
        <v>0</v>
      </c>
      <c r="O18" s="4134" t="inlineStr">
        <is>
          <t>D</t>
        </is>
      </c>
      <c r="P18" s="4229" t="n">
        <v>0</v>
      </c>
      <c r="Q18" s="4134" t="inlineStr">
        <is>
          <t>D</t>
        </is>
      </c>
      <c r="R18" s="4193" t="n"/>
      <c r="S18" s="4194">
        <f>M18-N18</f>
        <v/>
      </c>
      <c r="T18" s="4194">
        <f>M18-P18</f>
        <v/>
      </c>
      <c r="U18" s="1838" t="n"/>
      <c r="V18" s="1838" t="n"/>
      <c r="W18" s="1838" t="n"/>
      <c r="X18" s="4230" t="inlineStr">
        <is>
          <t>Y/N</t>
        </is>
      </c>
      <c r="Y18" s="1838" t="n"/>
      <c r="Z18" s="1838" t="n"/>
      <c r="AA18" s="4193" t="n"/>
      <c r="AB18" s="1838" t="n"/>
      <c r="AC18" s="1838" t="n"/>
      <c r="AD18" s="1838" t="n"/>
      <c r="AE18" s="2111">
        <f>'Inl. wetlands'!AI41</f>
        <v/>
      </c>
      <c r="AF18" s="2111">
        <f>'Inl. wetlands'!AJ41</f>
        <v/>
      </c>
      <c r="AG18" s="1806">
        <f>AF18-AE18</f>
        <v/>
      </c>
      <c r="AH18" s="4359" t="n"/>
      <c r="AI18" s="4359" t="n"/>
      <c r="AS18" s="2567" t="n"/>
      <c r="AT18" s="2323">
        <f>C18</f>
        <v/>
      </c>
      <c r="AU18" s="2567" t="n"/>
      <c r="AV18" s="2567" t="n"/>
      <c r="AW18" s="2567" t="n"/>
      <c r="AX18" s="2567" t="n"/>
      <c r="AY18" s="4728">
        <f>'Inl. wetlands'!D19</f>
        <v/>
      </c>
      <c r="AZ18" s="4729" t="n"/>
      <c r="BA18" s="4728">
        <f>'Inl. wetlands'!$G19</f>
        <v/>
      </c>
      <c r="BB18" s="4729" t="n"/>
      <c r="BC18" s="4728">
        <f>'Inl. wetlands'!I19</f>
        <v/>
      </c>
      <c r="BD18" s="4729" t="n"/>
      <c r="BE18" s="4728">
        <f>'Inl. wetlands'!$K19</f>
        <v/>
      </c>
      <c r="BF18" s="4729" t="n"/>
      <c r="BG18" s="2567" t="n"/>
      <c r="BI18" s="4401" t="n">
        <v>1</v>
      </c>
      <c r="BJ18" s="4402" t="n"/>
      <c r="BK18" s="1997" t="n"/>
      <c r="CD18" s="2567" t="n"/>
      <c r="CE18" s="2323">
        <f>AT18</f>
        <v/>
      </c>
      <c r="CF18" s="4192">
        <f>'Inl. wetlands'!B71</f>
        <v/>
      </c>
      <c r="CG18" s="4245" t="n"/>
      <c r="CH18" s="4192">
        <f>'Inl. wetlands'!D71</f>
        <v/>
      </c>
      <c r="CI18" s="4245" t="n"/>
      <c r="CJ18" s="4192">
        <f>'Inl. wetlands'!F71</f>
        <v/>
      </c>
      <c r="CK18" s="4245" t="n"/>
      <c r="CL18" s="2567" t="n"/>
      <c r="CM18" s="4192">
        <f>'Inl. wetlands'!H71</f>
        <v/>
      </c>
      <c r="CN18" s="4245" t="n"/>
      <c r="CO18" s="4192">
        <f>'Inl. wetlands'!J71</f>
        <v/>
      </c>
      <c r="CP18" s="4245" t="n"/>
      <c r="CQ18" s="2567" t="n"/>
      <c r="CT18" s="2567" t="n"/>
      <c r="CU18" s="2323">
        <f>I18</f>
        <v/>
      </c>
      <c r="CV18" s="2592">
        <f>$S18</f>
        <v/>
      </c>
      <c r="CW18" s="2592">
        <f>$T18</f>
        <v/>
      </c>
      <c r="CX18" s="2567" t="n"/>
      <c r="CY18" s="2567" t="n"/>
      <c r="CZ18" s="4141" t="inlineStr">
        <is>
          <t>Please select</t>
        </is>
      </c>
      <c r="DA18" s="2567" t="n"/>
      <c r="DB18" s="4141" t="n">
        <v>1</v>
      </c>
      <c r="DC18" s="4273" t="n">
        <v>1</v>
      </c>
      <c r="DD18" s="4332" t="n"/>
      <c r="DE18" s="4141" t="n">
        <v>1</v>
      </c>
      <c r="DF18" s="4273" t="n">
        <v>1</v>
      </c>
      <c r="DG18" s="2567" t="n"/>
      <c r="DH18" s="2592">
        <f>'Inl. wetlands'!P58</f>
        <v/>
      </c>
      <c r="DI18" s="2132" t="n"/>
      <c r="DJ18" s="2592">
        <f>'Inl. wetlands'!R58</f>
        <v/>
      </c>
      <c r="DK18" s="2132" t="n"/>
      <c r="DL18" s="2592">
        <f>'Inl. wetlands'!T58</f>
        <v/>
      </c>
      <c r="DM18" s="2132" t="n"/>
      <c r="DN18" s="2592">
        <f>'Inl. wetlands'!V58</f>
        <v/>
      </c>
      <c r="DO18" s="2132" t="n"/>
      <c r="DP18" s="2567" t="n"/>
      <c r="DU18" s="2598" t="n"/>
      <c r="DV18" s="2598" t="n"/>
      <c r="DW18" s="2598" t="n"/>
      <c r="DX18" s="2598" t="n"/>
      <c r="DY18" s="2598" t="n"/>
      <c r="DZ18" s="2598" t="n"/>
      <c r="EA18" s="2598" t="n"/>
      <c r="EB18" s="2598" t="n"/>
      <c r="EC18" s="2598" t="n"/>
      <c r="ED18" s="2598" t="n"/>
      <c r="EE18" s="2598" t="n"/>
      <c r="EF18" s="2598" t="n"/>
      <c r="EG18" s="2598" t="n"/>
      <c r="EH18" s="2598" t="n"/>
    </row>
    <row r="19" customFormat="1" s="4168">
      <c r="B19" s="1838" t="n"/>
      <c r="C19" s="4375" t="n"/>
      <c r="D19" s="1838" t="n"/>
      <c r="E19" s="1838" t="n"/>
      <c r="F19" s="1838" t="n"/>
      <c r="G19" s="1838" t="n"/>
      <c r="H19" s="1838" t="n"/>
      <c r="I19" s="4375">
        <f t="array" ref="I19">IF(OR(I13:I18="Degraded land",I13:I18="Other land (non-vegetated)"),"There are no EFs for water table management practices on degraded or other land. Please use tier 2 to account for GHG fluxes", "")</f>
        <v/>
      </c>
      <c r="J19" s="1838" t="n"/>
      <c r="K19" s="1838" t="n"/>
      <c r="L19" s="1838" t="n"/>
      <c r="M19" s="1838" t="n"/>
      <c r="N19" s="1838" t="n"/>
      <c r="O19" s="1838" t="n"/>
      <c r="P19" s="2111" t="n"/>
      <c r="Q19" s="1838" t="n"/>
      <c r="R19" s="1838" t="n"/>
      <c r="S19" s="1838" t="n"/>
      <c r="T19" s="1838" t="n"/>
      <c r="U19" s="1838" t="n"/>
      <c r="V19" s="1838" t="n"/>
      <c r="W19" s="1838" t="n"/>
      <c r="X19" s="1838" t="n"/>
      <c r="Y19" s="1838" t="n"/>
      <c r="Z19" s="1838" t="n"/>
      <c r="AA19" s="1838" t="n"/>
      <c r="AB19" s="1838" t="n"/>
      <c r="AC19" s="1838" t="n"/>
      <c r="AD19" s="1838" t="n"/>
      <c r="AE19" s="1838" t="n"/>
      <c r="AF19" s="1838" t="n"/>
      <c r="AG19" s="1838" t="n"/>
      <c r="AH19" s="4359" t="n"/>
      <c r="AI19" s="4359" t="n"/>
      <c r="AS19" s="2567" t="n"/>
      <c r="AT19" s="2567" t="n"/>
      <c r="AU19" s="2567" t="n"/>
      <c r="AV19" s="2567" t="n"/>
      <c r="AW19" s="2567" t="n"/>
      <c r="AX19" s="2567" t="n"/>
      <c r="AY19" s="2567" t="n"/>
      <c r="AZ19" s="2567" t="n"/>
      <c r="BA19" s="2567" t="n"/>
      <c r="BB19" s="2567" t="n"/>
      <c r="BC19" s="2567" t="n"/>
      <c r="BD19" s="2567" t="n"/>
      <c r="BE19" s="2567" t="n"/>
      <c r="BF19" s="2567" t="n"/>
      <c r="BG19" s="2567" t="n"/>
      <c r="BI19" s="1997" t="n"/>
      <c r="BJ19" s="1997" t="n"/>
      <c r="BK19" s="1997" t="n"/>
      <c r="CD19" s="2567" t="n"/>
      <c r="CE19" s="2598" t="n"/>
      <c r="CF19" s="2567" t="n"/>
      <c r="CG19" s="2567" t="n"/>
      <c r="CH19" s="2567" t="n"/>
      <c r="CI19" s="2567" t="n"/>
      <c r="CJ19" s="2567" t="n"/>
      <c r="CK19" s="2567" t="n"/>
      <c r="CL19" s="2567" t="n"/>
      <c r="CM19" s="2567" t="n"/>
      <c r="CN19" s="2567" t="n"/>
      <c r="CO19" s="2567" t="n"/>
      <c r="CP19" s="2567" t="n"/>
      <c r="CQ19" s="2567" t="n"/>
      <c r="CT19" s="2567" t="n"/>
      <c r="CU19" s="2567" t="n"/>
      <c r="CV19" s="2567" t="n"/>
      <c r="CW19" s="2567" t="n"/>
      <c r="CX19" s="2567" t="n"/>
      <c r="CY19" s="2567" t="n"/>
      <c r="CZ19" s="2567" t="n"/>
      <c r="DA19" s="2567" t="n"/>
      <c r="DB19" s="2567" t="n"/>
      <c r="DC19" s="2567" t="n"/>
      <c r="DD19" s="2567" t="n"/>
      <c r="DE19" s="2567" t="n"/>
      <c r="DF19" s="2567" t="n"/>
      <c r="DG19" s="2567" t="n"/>
      <c r="DH19" s="2567" t="n"/>
      <c r="DI19" s="2567" t="n"/>
      <c r="DJ19" s="2567" t="n"/>
      <c r="DK19" s="2567" t="n"/>
      <c r="DL19" s="2567" t="n"/>
      <c r="DM19" s="2567" t="n"/>
      <c r="DN19" s="2567" t="n"/>
      <c r="DO19" s="2567" t="n"/>
      <c r="DP19" s="2567" t="n"/>
      <c r="DU19" s="2598" t="n"/>
      <c r="DV19" s="2598" t="n"/>
      <c r="DW19" s="2598" t="n"/>
      <c r="DX19" s="2598" t="n"/>
      <c r="DY19" s="2598" t="n"/>
      <c r="DZ19" s="2598" t="n"/>
      <c r="EA19" s="2598" t="n"/>
      <c r="EB19" s="2598" t="n"/>
      <c r="EC19" s="2598" t="n"/>
      <c r="ED19" s="2598" t="n"/>
      <c r="EE19" s="2567" t="n"/>
      <c r="EF19" s="4197">
        <f>CK20</f>
        <v/>
      </c>
      <c r="EG19" s="4181" t="inlineStr">
        <is>
          <t>soil</t>
        </is>
      </c>
      <c r="EH19" s="2598" t="n"/>
    </row>
    <row r="20" customFormat="1" s="4168">
      <c r="B20" s="1838" t="n"/>
      <c r="C20" s="1838" t="n"/>
      <c r="D20" s="1838" t="n"/>
      <c r="E20" s="1838" t="n"/>
      <c r="F20" s="1838" t="n"/>
      <c r="G20" s="1838" t="n"/>
      <c r="H20" s="1838" t="n"/>
      <c r="I20" s="1838" t="n"/>
      <c r="J20" s="1838" t="n"/>
      <c r="K20" s="1838" t="n"/>
      <c r="L20" s="1838" t="n"/>
      <c r="M20" s="1838" t="n"/>
      <c r="N20" s="1838" t="n"/>
      <c r="O20" s="1838" t="n"/>
      <c r="P20" s="2111" t="n"/>
      <c r="Q20" s="1838" t="n"/>
      <c r="R20" s="1838" t="n"/>
      <c r="S20" s="1838" t="n"/>
      <c r="T20" s="1838" t="n"/>
      <c r="U20" s="1838" t="n"/>
      <c r="V20" s="1838" t="n"/>
      <c r="W20" s="1838" t="n"/>
      <c r="X20" s="1838" t="n"/>
      <c r="Y20" s="1838" t="n"/>
      <c r="Z20" s="1838" t="n"/>
      <c r="AA20" s="1838" t="n"/>
      <c r="AB20" s="1838" t="n"/>
      <c r="AC20" s="1838" t="n"/>
      <c r="AD20" s="1838" t="n"/>
      <c r="AE20" s="1838" t="n"/>
      <c r="AF20" s="1838" t="n"/>
      <c r="AG20" s="1838" t="n"/>
      <c r="AH20" s="4359" t="n"/>
      <c r="AI20" s="4359" t="n"/>
      <c r="AS20" s="2567" t="n"/>
      <c r="AT20" s="2567" t="n"/>
      <c r="AU20" s="2567" t="n"/>
      <c r="AV20" s="2567" t="n"/>
      <c r="AW20" s="2567" t="n"/>
      <c r="AX20" s="2567" t="n"/>
      <c r="AY20" s="2567" t="n"/>
      <c r="AZ20" s="2567" t="n"/>
      <c r="BA20" s="2567" t="n"/>
      <c r="BB20" s="2567" t="n"/>
      <c r="BC20" s="2567" t="n"/>
      <c r="BD20" s="2567" t="n"/>
      <c r="BE20" s="2567" t="n"/>
      <c r="BF20" s="2567" t="n"/>
      <c r="BG20" s="2567" t="n"/>
      <c r="BI20" s="1997" t="n"/>
      <c r="BJ20" s="1997" t="n"/>
      <c r="BK20" s="1997" t="n"/>
      <c r="CD20" s="4201">
        <f>Languages!B332</f>
        <v/>
      </c>
      <c r="CE20" s="2567" t="n"/>
      <c r="CF20" s="2598" t="n"/>
      <c r="CG20" s="2598" t="n"/>
      <c r="CH20" s="2567" t="n"/>
      <c r="CI20" s="2598" t="n"/>
      <c r="CJ20" s="2567" t="n"/>
      <c r="CK20" s="4241" t="inlineStr">
        <is>
          <t>Nutrient poor</t>
        </is>
      </c>
      <c r="CL20" s="4241" t="n"/>
      <c r="CM20" s="4241" t="n"/>
      <c r="CN20" s="2567" t="n"/>
      <c r="CO20" s="2567" t="n"/>
      <c r="CP20" s="2567" t="n"/>
      <c r="CQ20" s="2567" t="n"/>
      <c r="CT20" s="2567" t="n"/>
      <c r="CU20" s="2567" t="n"/>
      <c r="CV20" s="2567" t="n"/>
      <c r="CW20" s="2567" t="n"/>
      <c r="CX20" s="2567" t="n"/>
      <c r="CY20" s="2567" t="n"/>
      <c r="CZ20" s="2567" t="n"/>
      <c r="DA20" s="2567" t="n"/>
      <c r="DB20" s="2567" t="n"/>
      <c r="DC20" s="2567" t="n"/>
      <c r="DD20" s="2567" t="n"/>
      <c r="DE20" s="2567" t="n"/>
      <c r="DF20" s="2567" t="n"/>
      <c r="DG20" s="2567" t="n"/>
      <c r="DH20" s="2567" t="n"/>
      <c r="DI20" s="2567" t="n"/>
      <c r="DJ20" s="2567" t="n"/>
      <c r="DK20" s="2567" t="n"/>
      <c r="DL20" s="2567" t="n"/>
      <c r="DM20" s="2567" t="n"/>
      <c r="DN20" s="2567" t="n"/>
      <c r="DO20" s="2567" t="n"/>
      <c r="DP20" s="2567" t="n"/>
      <c r="DU20" s="2598" t="n"/>
      <c r="DV20" s="2598" t="n"/>
      <c r="DW20" s="2598" t="n"/>
      <c r="DX20" s="2598" t="n"/>
      <c r="DY20" s="2598" t="n"/>
      <c r="DZ20" s="2598" t="n"/>
      <c r="EA20" s="2598" t="n"/>
      <c r="EB20" s="2598" t="n"/>
      <c r="EC20" s="2598" t="n"/>
      <c r="ED20" s="2598" t="n"/>
      <c r="EE20" s="2567" t="n"/>
      <c r="EF20" s="4197" t="n"/>
      <c r="EG20" s="4181" t="n"/>
      <c r="EH20" s="2598" t="n"/>
    </row>
    <row r="21" ht="14.75" customFormat="1" customHeight="1" s="4168">
      <c r="B21" s="1838" t="n"/>
      <c r="C21" s="1838" t="n"/>
      <c r="D21" s="1838" t="n"/>
      <c r="E21" s="1838" t="n"/>
      <c r="F21" s="1838" t="n"/>
      <c r="G21" s="1838" t="n"/>
      <c r="H21" s="1838" t="n"/>
      <c r="I21" s="1838" t="n"/>
      <c r="J21" s="1838" t="n"/>
      <c r="K21" s="1834">
        <f>Languages!B385</f>
        <v/>
      </c>
      <c r="L21" s="1838" t="n"/>
      <c r="M21" s="1838" t="n"/>
      <c r="N21" s="1838" t="n"/>
      <c r="O21" s="1838" t="n"/>
      <c r="P21" s="1838" t="n"/>
      <c r="Q21" s="1838" t="n"/>
      <c r="R21" s="1838" t="n"/>
      <c r="S21" s="1838" t="n"/>
      <c r="T21" s="1838" t="n"/>
      <c r="U21" s="1838" t="n"/>
      <c r="V21" s="1838" t="n"/>
      <c r="W21" s="1838" t="n"/>
      <c r="X21" s="1838" t="n"/>
      <c r="Y21" s="1838" t="n"/>
      <c r="Z21" s="4568">
        <f>Languages!B343</f>
        <v/>
      </c>
      <c r="AC21" s="1838" t="n"/>
      <c r="AD21" s="1838" t="n"/>
      <c r="AE21" s="1838" t="n"/>
      <c r="AF21" s="1838" t="n"/>
      <c r="AG21" s="1838" t="n"/>
      <c r="AH21" s="4359" t="n"/>
      <c r="AI21" s="4359" t="n"/>
      <c r="AS21" s="2323" t="n"/>
      <c r="AT21" s="4181">
        <f>AT10</f>
        <v/>
      </c>
      <c r="AU21" s="2598" t="n"/>
      <c r="AV21" s="2598" t="n"/>
      <c r="AW21" s="2598" t="n"/>
      <c r="AX21" s="2598" t="n"/>
      <c r="AY21" s="4182">
        <f>Languages!B403</f>
        <v/>
      </c>
      <c r="AZ21" s="4181" t="n"/>
      <c r="BA21" s="4181" t="n"/>
      <c r="BB21" s="4181" t="n"/>
      <c r="BC21" s="2567" t="n"/>
      <c r="BD21" s="2567" t="n"/>
      <c r="BE21" s="2567" t="n"/>
      <c r="BF21" s="2567" t="n"/>
      <c r="BG21" s="2567" t="n"/>
      <c r="BI21" s="4548" t="inlineStr">
        <is>
          <t>Use this part only if you want to refine yearly GHG fluxes</t>
        </is>
      </c>
      <c r="CD21" s="2567" t="n"/>
      <c r="CE21" s="2598" t="n"/>
      <c r="CF21" s="4176">
        <f>CF9</f>
        <v/>
      </c>
      <c r="CG21" s="4177" t="n"/>
      <c r="CH21" s="4177" t="n"/>
      <c r="CI21" s="4177" t="n"/>
      <c r="CJ21" s="4177" t="n"/>
      <c r="CK21" s="4177" t="n"/>
      <c r="CL21" s="2598" t="n"/>
      <c r="CM21" s="4176">
        <f>CM9</f>
        <v/>
      </c>
      <c r="CN21" s="4176" t="n"/>
      <c r="CO21" s="4176" t="n"/>
      <c r="CP21" s="4176" t="n"/>
      <c r="CQ21" s="2567" t="n"/>
      <c r="CT21" s="2567" t="n"/>
      <c r="CU21" s="2567" t="n"/>
      <c r="CV21" s="2567" t="n"/>
      <c r="CW21" s="2567" t="n"/>
      <c r="CX21" s="2567" t="n"/>
      <c r="CY21" s="2567" t="n"/>
      <c r="CZ21" s="2567" t="n"/>
      <c r="DA21" s="2567" t="n"/>
      <c r="DB21" s="2567" t="n"/>
      <c r="DC21" s="2567" t="n"/>
      <c r="DD21" s="2567" t="n"/>
      <c r="DE21" s="2567" t="n"/>
      <c r="DF21" s="2567" t="n"/>
      <c r="DG21" s="2567" t="n"/>
      <c r="DH21" s="2567" t="n"/>
      <c r="DI21" s="2567" t="n"/>
      <c r="DJ21" s="2567" t="n"/>
      <c r="DK21" s="2567" t="n"/>
      <c r="DL21" s="2567" t="n"/>
      <c r="DM21" s="2567" t="n"/>
      <c r="DN21" s="2567" t="n"/>
      <c r="DO21" s="2567" t="n"/>
      <c r="DP21" s="2567" t="n"/>
      <c r="DU21" s="2598" t="n"/>
      <c r="DV21" s="2598" t="n"/>
      <c r="DW21" s="2598" t="n"/>
      <c r="DX21" s="4176" t="inlineStr">
        <is>
          <t>On site emissions factor</t>
        </is>
      </c>
      <c r="DY21" s="4177" t="n"/>
      <c r="DZ21" s="4177" t="n"/>
      <c r="EA21" s="4177" t="n"/>
      <c r="EB21" s="4177" t="n"/>
      <c r="EC21" s="4177" t="n"/>
      <c r="ED21" s="2598" t="n"/>
      <c r="EE21" s="4176" t="inlineStr">
        <is>
          <t>Off-site emission factor</t>
        </is>
      </c>
      <c r="EF21" s="4177" t="n"/>
      <c r="EG21" s="4177" t="n"/>
      <c r="EH21" s="2598" t="n"/>
    </row>
    <row r="22" ht="14.75" customFormat="1" customHeight="1" s="4168">
      <c r="B22" s="1838" t="n"/>
      <c r="C22" s="1834">
        <f>C10</f>
        <v/>
      </c>
      <c r="D22" s="4568">
        <f>I10</f>
        <v/>
      </c>
      <c r="G22" s="1838" t="n"/>
      <c r="H22" s="1838" t="n"/>
      <c r="I22" s="1838" t="n"/>
      <c r="J22" s="1838" t="n"/>
      <c r="K22" s="1834">
        <f>Languages!B386</f>
        <v/>
      </c>
      <c r="L22" s="1838" t="n"/>
      <c r="M22" s="4390">
        <f>Languages!B387</f>
        <v/>
      </c>
      <c r="N22" s="4390" t="n"/>
      <c r="O22" s="4390" t="n"/>
      <c r="P22" s="4390" t="n"/>
      <c r="Q22" s="4179" t="n"/>
      <c r="R22" s="1838" t="n"/>
      <c r="S22" s="4179">
        <f>Languages!B388</f>
        <v/>
      </c>
      <c r="T22" s="4179" t="n"/>
      <c r="U22" s="4179" t="n"/>
      <c r="V22" s="4178" t="n"/>
      <c r="W22" s="4179">
        <f>Languages!B328</f>
        <v/>
      </c>
      <c r="X22" s="4389" t="n"/>
      <c r="Y22" s="4389" t="n"/>
      <c r="AC22" s="1961" t="n"/>
      <c r="AD22" s="1838" t="n"/>
      <c r="AE22" s="1838" t="n"/>
      <c r="AF22" s="1838" t="n"/>
      <c r="AG22" s="1838" t="n"/>
      <c r="AH22" s="4359" t="n"/>
      <c r="AI22" s="4359" t="n"/>
      <c r="AS22" s="2323" t="n"/>
      <c r="AT22" s="4181">
        <f>D22</f>
        <v/>
      </c>
      <c r="AU22" s="2598" t="n"/>
      <c r="AV22" s="2598" t="n"/>
      <c r="AW22" s="2598" t="n"/>
      <c r="AX22" s="2598" t="n"/>
      <c r="AY22" s="4185" t="inlineStr">
        <is>
          <t>tC/ha</t>
        </is>
      </c>
      <c r="AZ22" s="2598" t="n"/>
      <c r="BA22" s="4185" t="n"/>
      <c r="BB22" s="2598" t="n"/>
      <c r="BC22" s="2567" t="n"/>
      <c r="BD22" s="2567" t="n"/>
      <c r="BE22" s="2567" t="n"/>
      <c r="BF22" s="2567" t="n"/>
      <c r="BG22" s="2567" t="n"/>
      <c r="CD22" s="4201" t="n"/>
      <c r="CE22" s="4181">
        <f>Languages!B333</f>
        <v/>
      </c>
      <c r="CF22" s="4185" t="inlineStr">
        <is>
          <t>CO2</t>
        </is>
      </c>
      <c r="CG22" s="2598" t="n"/>
      <c r="CH22" s="4186" t="inlineStr">
        <is>
          <t>CH4</t>
        </is>
      </c>
      <c r="CI22" s="2598" t="n"/>
      <c r="CJ22" s="4185" t="inlineStr">
        <is>
          <t>N2O</t>
        </is>
      </c>
      <c r="CK22" s="2598" t="n"/>
      <c r="CL22" s="2598" t="n"/>
      <c r="CM22" s="4185" t="inlineStr">
        <is>
          <t>DOC</t>
        </is>
      </c>
      <c r="CN22" s="2598" t="n"/>
      <c r="CO22" s="4185" t="inlineStr">
        <is>
          <t>CH4</t>
        </is>
      </c>
      <c r="CP22" s="2598" t="n"/>
      <c r="CQ22" s="2567" t="n"/>
      <c r="CT22" s="2567" t="n"/>
      <c r="CU22" s="2567" t="n"/>
      <c r="CV22" s="2567" t="n"/>
      <c r="CW22" s="2567" t="n"/>
      <c r="CX22" s="2567" t="n"/>
      <c r="CY22" s="2567" t="n"/>
      <c r="CZ22" s="2567" t="n"/>
      <c r="DA22" s="2567" t="n"/>
      <c r="DB22" s="2567" t="n"/>
      <c r="DC22" s="2567" t="n"/>
      <c r="DD22" s="2567" t="n"/>
      <c r="DE22" s="2567" t="n"/>
      <c r="DF22" s="2567" t="n"/>
      <c r="DG22" s="2567" t="n"/>
      <c r="DH22" s="2567" t="n"/>
      <c r="DI22" s="2567" t="n"/>
      <c r="DJ22" s="2567" t="n"/>
      <c r="DK22" s="2567" t="n"/>
      <c r="DL22" s="2567" t="n"/>
      <c r="DM22" s="2567" t="n"/>
      <c r="DN22" s="2567" t="n"/>
      <c r="DO22" s="2567" t="n"/>
      <c r="DP22" s="2567" t="n"/>
      <c r="DU22" s="2598" t="n"/>
      <c r="DV22" s="4181">
        <f>I10</f>
        <v/>
      </c>
      <c r="DW22" s="2598" t="n"/>
      <c r="DX22" s="2598" t="inlineStr">
        <is>
          <t>CO2 on site</t>
        </is>
      </c>
      <c r="DY22" s="2598" t="n"/>
      <c r="DZ22" s="2598" t="inlineStr">
        <is>
          <t>CH4 on-site</t>
        </is>
      </c>
      <c r="EA22" s="2598" t="n"/>
      <c r="EB22" s="2598" t="inlineStr">
        <is>
          <t>N2O</t>
        </is>
      </c>
      <c r="EC22" s="2598" t="n"/>
      <c r="ED22" s="2598" t="n"/>
      <c r="EE22" s="2598" t="inlineStr">
        <is>
          <t>DOC off-site</t>
        </is>
      </c>
      <c r="EF22" s="2598" t="n"/>
      <c r="EG22" s="2598" t="n"/>
      <c r="EH22" s="2598" t="n"/>
    </row>
    <row r="23" customFormat="1" s="4168">
      <c r="B23" s="1838" t="n"/>
      <c r="C23" s="1834">
        <f>C11</f>
        <v/>
      </c>
      <c r="G23" s="1961" t="n"/>
      <c r="H23" s="1838" t="n"/>
      <c r="I23" s="1838" t="n"/>
      <c r="J23" s="1838" t="n"/>
      <c r="K23" s="1838" t="n"/>
      <c r="L23" s="1838" t="n"/>
      <c r="M23" s="1961" t="n"/>
      <c r="N23" s="1961" t="n"/>
      <c r="O23" s="1961" t="n"/>
      <c r="P23" s="1961" t="n"/>
      <c r="Q23" s="1961" t="n"/>
      <c r="R23" s="1838" t="n"/>
      <c r="S23" s="1838" t="n"/>
      <c r="T23" s="1838" t="n"/>
      <c r="U23" s="1838" t="n"/>
      <c r="V23" s="1838" t="n"/>
      <c r="W23" s="1961" t="n"/>
      <c r="X23" s="1961" t="n"/>
      <c r="Y23" s="1961" t="n"/>
      <c r="Z23" s="1838" t="n"/>
      <c r="AA23" s="4198">
        <f>Languages!B389</f>
        <v/>
      </c>
      <c r="AB23" s="1961" t="n"/>
      <c r="AC23" s="1961" t="n"/>
      <c r="AD23" s="1838" t="n"/>
      <c r="AE23" s="1838" t="n"/>
      <c r="AF23" s="1838" t="n"/>
      <c r="AG23" s="1838" t="n"/>
      <c r="AH23" s="4359" t="n"/>
      <c r="AI23" s="4359" t="n"/>
      <c r="AS23" s="2323" t="n"/>
      <c r="AT23" s="2598" t="n"/>
      <c r="AU23" s="2598" t="n"/>
      <c r="AV23" s="2598" t="n"/>
      <c r="AW23" s="2598" t="n"/>
      <c r="AX23" s="2598" t="n"/>
      <c r="AY23" s="2567">
        <f>AY12</f>
        <v/>
      </c>
      <c r="AZ23" s="2567">
        <f>AZ12</f>
        <v/>
      </c>
      <c r="BA23" s="2567" t="n"/>
      <c r="BB23" s="2567" t="n"/>
      <c r="BC23" s="2567" t="n"/>
      <c r="BD23" s="2567" t="n"/>
      <c r="BE23" s="2567" t="n"/>
      <c r="BF23" s="2567" t="n"/>
      <c r="BG23" s="2567" t="n"/>
      <c r="CD23" s="4201" t="n"/>
      <c r="CE23" s="2598" t="n"/>
      <c r="CF23" s="2598">
        <f>CF11</f>
        <v/>
      </c>
      <c r="CG23" s="2598" t="n"/>
      <c r="CH23" s="2598">
        <f>CH11</f>
        <v/>
      </c>
      <c r="CI23" s="2598" t="n"/>
      <c r="CJ23" s="2598">
        <f>CJ11</f>
        <v/>
      </c>
      <c r="CK23" s="2598" t="n"/>
      <c r="CL23" s="2598" t="n"/>
      <c r="CM23" s="2598">
        <f>CM11</f>
        <v/>
      </c>
      <c r="CN23" s="2598" t="n"/>
      <c r="CO23" s="2598">
        <f>CO11</f>
        <v/>
      </c>
      <c r="CP23" s="2598" t="n"/>
      <c r="CQ23" s="2567" t="n"/>
      <c r="CT23" s="2567" t="n"/>
      <c r="CU23" s="2567" t="n"/>
      <c r="CV23" s="2567" t="n"/>
      <c r="CW23" s="2567" t="n"/>
      <c r="CX23" s="2567" t="n"/>
      <c r="CY23" s="2567" t="n"/>
      <c r="CZ23" s="2567" t="n"/>
      <c r="DA23" s="2567" t="n"/>
      <c r="DB23" s="2567" t="n"/>
      <c r="DC23" s="2567" t="n"/>
      <c r="DD23" s="2567" t="n"/>
      <c r="DE23" s="2567" t="n"/>
      <c r="DF23" s="2567" t="n"/>
      <c r="DG23" s="2567" t="n"/>
      <c r="DH23" s="2567" t="n"/>
      <c r="DI23" s="2567" t="n"/>
      <c r="DJ23" s="2567" t="n"/>
      <c r="DK23" s="2567" t="n"/>
      <c r="DL23" s="2567" t="n"/>
      <c r="DM23" s="2567" t="n"/>
      <c r="DN23" s="2567" t="n"/>
      <c r="DO23" s="2567" t="n"/>
      <c r="DP23" s="2567" t="n"/>
      <c r="DU23" s="2598" t="n"/>
      <c r="DV23" s="2598" t="n"/>
      <c r="DW23" s="2598" t="n"/>
      <c r="DX23" s="2598" t="inlineStr">
        <is>
          <t>tC/ha/yr</t>
        </is>
      </c>
      <c r="DY23" s="2598" t="n"/>
      <c r="DZ23" s="2598" t="inlineStr">
        <is>
          <t>kg CH4-C/ha/yr</t>
        </is>
      </c>
      <c r="EA23" s="2598" t="n"/>
      <c r="EB23" s="2598" t="inlineStr">
        <is>
          <t>kg N2O-N/ha/yr</t>
        </is>
      </c>
      <c r="EC23" s="2598" t="n"/>
      <c r="ED23" s="2598" t="n"/>
      <c r="EE23" s="2598" t="inlineStr">
        <is>
          <t>tC/ha/yr</t>
        </is>
      </c>
      <c r="EF23" s="2598" t="n"/>
      <c r="EG23" s="2598" t="n"/>
      <c r="EH23" s="2598" t="n"/>
    </row>
    <row r="24" customFormat="1" s="4168">
      <c r="B24" s="1838" t="n"/>
      <c r="C24" s="1838" t="n"/>
      <c r="G24" s="1838" t="n"/>
      <c r="H24" s="1838" t="n"/>
      <c r="I24" s="1838" t="n"/>
      <c r="J24" s="1838" t="n"/>
      <c r="K24" s="1838" t="n"/>
      <c r="L24" s="1838" t="n"/>
      <c r="M24" s="1838">
        <f>M12</f>
        <v/>
      </c>
      <c r="N24" s="1838">
        <f>N12</f>
        <v/>
      </c>
      <c r="O24" s="1838" t="inlineStr">
        <is>
          <t>*</t>
        </is>
      </c>
      <c r="P24" s="1838">
        <f>P12</f>
        <v/>
      </c>
      <c r="Q24" s="1838" t="inlineStr">
        <is>
          <t>*</t>
        </is>
      </c>
      <c r="R24" s="1838" t="n"/>
      <c r="S24" s="1838">
        <f>M24</f>
        <v/>
      </c>
      <c r="T24" s="1838">
        <f>N24</f>
        <v/>
      </c>
      <c r="U24" s="1838">
        <f>P24</f>
        <v/>
      </c>
      <c r="V24" s="1838" t="n"/>
      <c r="W24" s="1838">
        <f>Languages!B11</f>
        <v/>
      </c>
      <c r="X24" s="1838">
        <f>Languages!B12</f>
        <v/>
      </c>
      <c r="Y24" s="1838">
        <f>Languages!B13</f>
        <v/>
      </c>
      <c r="Z24" s="1838" t="n"/>
      <c r="AA24" s="1838">
        <f>Languages!B390</f>
        <v/>
      </c>
      <c r="AB24" s="1961" t="n"/>
      <c r="AC24" s="1961" t="n"/>
      <c r="AD24" s="1838" t="n"/>
      <c r="AE24" s="1838">
        <f>AE12</f>
        <v/>
      </c>
      <c r="AF24" s="1838">
        <f>AF12</f>
        <v/>
      </c>
      <c r="AG24" s="1834">
        <f>AG12</f>
        <v/>
      </c>
      <c r="AH24" s="4359" t="n"/>
      <c r="AI24" s="4359" t="n"/>
      <c r="AS24" s="2323" t="n"/>
      <c r="AT24" s="2323">
        <f>E25</f>
        <v/>
      </c>
      <c r="AU24" s="2567" t="n"/>
      <c r="AV24" s="2567" t="n"/>
      <c r="AW24" s="2567" t="n"/>
      <c r="AX24" s="2567" t="n"/>
      <c r="AY24" s="4728">
        <f>'Inl. wetlands'!J24</f>
        <v/>
      </c>
      <c r="AZ24" s="4729" t="n"/>
      <c r="BA24" s="4728" t="n"/>
      <c r="BB24" s="2567" t="n"/>
      <c r="BC24" s="2567" t="n"/>
      <c r="BD24" s="2567" t="n"/>
      <c r="BE24" s="2567" t="n"/>
      <c r="BF24" s="2567" t="n"/>
      <c r="BG24" s="2567" t="n"/>
      <c r="BI24" s="1997" t="n"/>
      <c r="BJ24" s="1997" t="n"/>
      <c r="BK24" s="1997" t="n"/>
      <c r="CD24" s="4201" t="n"/>
      <c r="CE24" s="2598" t="n"/>
      <c r="CF24" s="2567">
        <f>CF12</f>
        <v/>
      </c>
      <c r="CG24" s="2567">
        <f>CG12</f>
        <v/>
      </c>
      <c r="CH24" s="2567">
        <f>CF24</f>
        <v/>
      </c>
      <c r="CI24" s="2567">
        <f>CG24</f>
        <v/>
      </c>
      <c r="CJ24" s="2567">
        <f>CH24</f>
        <v/>
      </c>
      <c r="CK24" s="2567">
        <f>CI24</f>
        <v/>
      </c>
      <c r="CL24" s="2598" t="n"/>
      <c r="CM24" s="2567">
        <f>CJ24</f>
        <v/>
      </c>
      <c r="CN24" s="2567">
        <f>CK24</f>
        <v/>
      </c>
      <c r="CO24" s="2567">
        <f>CM24</f>
        <v/>
      </c>
      <c r="CP24" s="2567">
        <f>CN24</f>
        <v/>
      </c>
      <c r="CQ24" s="2567" t="n"/>
      <c r="CT24" s="2567" t="n"/>
      <c r="CU24" s="2567" t="n"/>
      <c r="CV24" s="2567" t="n"/>
      <c r="CW24" s="2567" t="n"/>
      <c r="CX24" s="2567" t="n"/>
      <c r="CY24" s="2567" t="n"/>
      <c r="CZ24" s="2567" t="n"/>
      <c r="DA24" s="2567" t="n"/>
      <c r="DB24" s="2567" t="n"/>
      <c r="DC24" s="2567" t="n"/>
      <c r="DD24" s="2567" t="n"/>
      <c r="DE24" s="2567" t="n"/>
      <c r="DF24" s="2567" t="n"/>
      <c r="DG24" s="2567" t="n"/>
      <c r="DH24" s="2567" t="n"/>
      <c r="DI24" s="2567" t="n"/>
      <c r="DJ24" s="2567" t="n"/>
      <c r="DK24" s="2567" t="n"/>
      <c r="DL24" s="2567" t="n"/>
      <c r="DM24" s="2567" t="n"/>
      <c r="DN24" s="2567" t="n"/>
      <c r="DO24" s="2567" t="n"/>
      <c r="DP24" s="2567" t="n"/>
      <c r="DU24" s="2598" t="n"/>
      <c r="DV24" s="2598">
        <f>E25</f>
        <v/>
      </c>
      <c r="DW24" s="2598" t="n"/>
      <c r="DX24" s="4728">
        <f>'Inl. wetlands'!I102</f>
        <v/>
      </c>
      <c r="DY24" s="4241" t="n"/>
      <c r="DZ24" s="4191">
        <f>'Inl. wetlands'!K102</f>
        <v/>
      </c>
      <c r="EA24" s="4241" t="n"/>
      <c r="EB24" s="4191">
        <f>'Inl. wetlands'!M102</f>
        <v/>
      </c>
      <c r="EC24" s="4241" t="n"/>
      <c r="ED24" s="2598" t="n"/>
      <c r="EE24" s="4192">
        <f>'Inl. wetlands'!O102</f>
        <v/>
      </c>
      <c r="EF24" s="4241" t="n"/>
      <c r="EG24" s="2598" t="n"/>
      <c r="EH24" s="2598" t="n"/>
    </row>
    <row r="25" customFormat="1" s="4168">
      <c r="B25" s="1838" t="n"/>
      <c r="C25" s="1838">
        <f>C13</f>
        <v/>
      </c>
      <c r="D25" s="1838" t="n"/>
      <c r="E25" s="1961">
        <f>IF(I13="Agroforestry",I13&amp;"-"&amp;K13,I13)</f>
        <v/>
      </c>
      <c r="F25" s="1961" t="n"/>
      <c r="G25" s="1961" t="n"/>
      <c r="H25" s="1838" t="n"/>
      <c r="I25" s="1838" t="n"/>
      <c r="J25" s="1838" t="n"/>
      <c r="K25" s="2111">
        <f>MAX(M13,N13,P13)</f>
        <v/>
      </c>
      <c r="L25" s="1838" t="n"/>
      <c r="M25" s="4228" t="n">
        <v>0</v>
      </c>
      <c r="N25" s="4229" t="n">
        <v>0</v>
      </c>
      <c r="O25" s="4134" t="inlineStr">
        <is>
          <t>D</t>
        </is>
      </c>
      <c r="P25" s="4229" t="n">
        <v>0</v>
      </c>
      <c r="Q25" s="4134" t="inlineStr">
        <is>
          <t>D</t>
        </is>
      </c>
      <c r="R25" s="1838" t="n"/>
      <c r="S25" s="2111">
        <f>$K25-M25</f>
        <v/>
      </c>
      <c r="T25" s="2111">
        <f>$K25-N25</f>
        <v/>
      </c>
      <c r="U25" s="2111">
        <f>$K25-P25</f>
        <v/>
      </c>
      <c r="V25" s="1838" t="n"/>
      <c r="W25" s="4231" t="n">
        <v>0</v>
      </c>
      <c r="X25" s="4231" t="n">
        <v>0</v>
      </c>
      <c r="Y25" s="4231" t="n">
        <v>0</v>
      </c>
      <c r="Z25" s="1838" t="n"/>
      <c r="AA25" s="2133" t="inlineStr">
        <is>
          <t>Y/N</t>
        </is>
      </c>
      <c r="AB25" s="1961" t="n"/>
      <c r="AC25" s="1961" t="n"/>
      <c r="AD25" s="1838" t="n"/>
      <c r="AE25" s="2111">
        <f>+'Inl. wetlands'!AJ53+'Inl. wetlands'!AI71+'Inl. wetlands'!AI98</f>
        <v/>
      </c>
      <c r="AF25" s="2111">
        <f>+'Inl. wetlands'!AK53+'Inl. wetlands'!AJ71+'Inl. wetlands'!AJ98</f>
        <v/>
      </c>
      <c r="AG25" s="1806">
        <f>AF25-AE25</f>
        <v/>
      </c>
      <c r="AH25" s="4358" t="n"/>
      <c r="AI25" s="4359" t="n"/>
      <c r="AS25" s="2323" t="n"/>
      <c r="AT25" s="2323">
        <f>E26</f>
        <v/>
      </c>
      <c r="AU25" s="2567" t="n"/>
      <c r="AV25" s="2567" t="n"/>
      <c r="AW25" s="2567" t="n"/>
      <c r="AX25" s="2567" t="n"/>
      <c r="AY25" s="4728">
        <f>'Inl. wetlands'!J25</f>
        <v/>
      </c>
      <c r="AZ25" s="4729" t="n"/>
      <c r="BA25" s="4728" t="n"/>
      <c r="BB25" s="2567" t="n"/>
      <c r="BC25" s="2567" t="n"/>
      <c r="BD25" s="2567" t="n"/>
      <c r="BE25" s="2567" t="n"/>
      <c r="BF25" s="2567" t="n"/>
      <c r="BG25" s="2567" t="n"/>
      <c r="BI25" s="1997" t="n"/>
      <c r="BJ25" s="1997" t="n"/>
      <c r="BK25" s="1997" t="n"/>
      <c r="CD25" s="4201" t="n"/>
      <c r="CE25" s="2323">
        <f>E25</f>
        <v/>
      </c>
      <c r="CF25" s="4192">
        <f>'Inl. wetlands'!B77</f>
        <v/>
      </c>
      <c r="CG25" s="4245" t="n"/>
      <c r="CH25" s="4192">
        <f>'Inl. wetlands'!D77</f>
        <v/>
      </c>
      <c r="CI25" s="4245" t="n"/>
      <c r="CJ25" s="4192">
        <f>'Inl. wetlands'!F77</f>
        <v/>
      </c>
      <c r="CK25" s="4245" t="n"/>
      <c r="CL25" s="2567" t="n"/>
      <c r="CM25" s="4192">
        <f>'Inl. wetlands'!H77</f>
        <v/>
      </c>
      <c r="CN25" s="4245" t="n"/>
      <c r="CO25" s="4192">
        <f>'Inl. wetlands'!J77</f>
        <v/>
      </c>
      <c r="CP25" s="4245" t="n"/>
      <c r="CQ25" s="2567" t="n"/>
      <c r="CT25" s="2567" t="n"/>
      <c r="CU25" s="2567" t="n"/>
      <c r="CV25" s="2567" t="n"/>
      <c r="CW25" s="2567" t="n"/>
      <c r="CX25" s="2567" t="n"/>
      <c r="CY25" s="2567" t="n"/>
      <c r="CZ25" s="2567" t="n"/>
      <c r="DA25" s="2567" t="n"/>
      <c r="DB25" s="2567" t="n"/>
      <c r="DC25" s="2567" t="n"/>
      <c r="DD25" s="2567" t="n"/>
      <c r="DE25" s="2567" t="n"/>
      <c r="DF25" s="2567" t="n"/>
      <c r="DG25" s="2567" t="n"/>
      <c r="DH25" s="2567" t="n"/>
      <c r="DI25" s="2567" t="n"/>
      <c r="DJ25" s="2567" t="n"/>
      <c r="DK25" s="2567" t="n"/>
      <c r="DL25" s="2567" t="n"/>
      <c r="DM25" s="2567" t="n"/>
      <c r="DN25" s="2567" t="n"/>
      <c r="DO25" s="2567" t="n"/>
      <c r="DP25" s="2567" t="n"/>
      <c r="DU25" s="2598" t="n"/>
      <c r="DV25" s="2598">
        <f>E26</f>
        <v/>
      </c>
      <c r="DW25" s="2598" t="n"/>
      <c r="DX25" s="4728">
        <f>'Inl. wetlands'!I103</f>
        <v/>
      </c>
      <c r="DY25" s="4241" t="n"/>
      <c r="DZ25" s="4191">
        <f>'Inl. wetlands'!K103</f>
        <v/>
      </c>
      <c r="EA25" s="4241" t="n"/>
      <c r="EB25" s="4191">
        <f>'Inl. wetlands'!M103</f>
        <v/>
      </c>
      <c r="EC25" s="4241" t="n"/>
      <c r="ED25" s="2598" t="n"/>
      <c r="EE25" s="4192">
        <f>'Inl. wetlands'!O103</f>
        <v/>
      </c>
      <c r="EF25" s="4241" t="n"/>
      <c r="EG25" s="2598" t="n"/>
      <c r="EH25" s="2598" t="n"/>
    </row>
    <row r="26" customFormat="1" s="4168">
      <c r="B26" s="1838" t="n"/>
      <c r="C26" s="1838">
        <f>C14</f>
        <v/>
      </c>
      <c r="D26" s="1838" t="n"/>
      <c r="E26" s="1961">
        <f>IF(I14="Agroforestry",I14&amp;"-"&amp;K14,I14)</f>
        <v/>
      </c>
      <c r="F26" s="1961" t="n"/>
      <c r="G26" s="1961" t="n"/>
      <c r="H26" s="1838" t="n"/>
      <c r="I26" s="1838" t="n"/>
      <c r="J26" s="1838" t="n"/>
      <c r="K26" s="2111">
        <f>MAX(M14,N14,P14)</f>
        <v/>
      </c>
      <c r="L26" s="1838" t="n"/>
      <c r="M26" s="4228" t="n">
        <v>0</v>
      </c>
      <c r="N26" s="4229" t="n">
        <v>0</v>
      </c>
      <c r="O26" s="4134" t="inlineStr">
        <is>
          <t>D</t>
        </is>
      </c>
      <c r="P26" s="4229" t="n">
        <v>0</v>
      </c>
      <c r="Q26" s="4134" t="inlineStr">
        <is>
          <t>D</t>
        </is>
      </c>
      <c r="R26" s="1838" t="n"/>
      <c r="S26" s="2111">
        <f>$K26-M26</f>
        <v/>
      </c>
      <c r="T26" s="2111">
        <f>$K26-N26</f>
        <v/>
      </c>
      <c r="U26" s="2111">
        <f>$K26-P26</f>
        <v/>
      </c>
      <c r="V26" s="1838" t="n"/>
      <c r="W26" s="4231" t="n">
        <v>0</v>
      </c>
      <c r="X26" s="4231" t="n">
        <v>0</v>
      </c>
      <c r="Y26" s="4231" t="n">
        <v>0</v>
      </c>
      <c r="Z26" s="1838" t="n"/>
      <c r="AA26" s="2133" t="inlineStr">
        <is>
          <t>Y/N</t>
        </is>
      </c>
      <c r="AB26" s="1961" t="n"/>
      <c r="AC26" s="1961" t="n"/>
      <c r="AD26" s="1838" t="n"/>
      <c r="AE26" s="2111">
        <f>+'Inl. wetlands'!AJ54+'Inl. wetlands'!AI72+'Inl. wetlands'!AI99</f>
        <v/>
      </c>
      <c r="AF26" s="2111">
        <f>+'Inl. wetlands'!AK54+'Inl. wetlands'!AJ72+'Inl. wetlands'!AJ99</f>
        <v/>
      </c>
      <c r="AG26" s="1806">
        <f>AF26-AE26</f>
        <v/>
      </c>
      <c r="AH26" s="4358" t="n"/>
      <c r="AI26" s="4359" t="n"/>
      <c r="AS26" s="2323" t="n"/>
      <c r="AT26" s="2323">
        <f>E27</f>
        <v/>
      </c>
      <c r="AU26" s="2567" t="n"/>
      <c r="AV26" s="2567" t="n"/>
      <c r="AW26" s="2567" t="n"/>
      <c r="AX26" s="2567" t="n"/>
      <c r="AY26" s="4728">
        <f>'Inl. wetlands'!J26</f>
        <v/>
      </c>
      <c r="AZ26" s="4729" t="n"/>
      <c r="BA26" s="4728" t="n"/>
      <c r="BB26" s="2567" t="n"/>
      <c r="BC26" s="2567" t="n"/>
      <c r="BD26" s="2567" t="n"/>
      <c r="BE26" s="2567" t="n"/>
      <c r="BF26" s="2567" t="n"/>
      <c r="BG26" s="2567" t="n"/>
      <c r="BI26" s="1997" t="n"/>
      <c r="BJ26" s="1997" t="n"/>
      <c r="BK26" s="1997" t="n"/>
      <c r="CD26" s="4201" t="n"/>
      <c r="CE26" s="2323">
        <f>E26</f>
        <v/>
      </c>
      <c r="CF26" s="4192">
        <f>'Inl. wetlands'!B78</f>
        <v/>
      </c>
      <c r="CG26" s="4245" t="n"/>
      <c r="CH26" s="4192">
        <f>'Inl. wetlands'!D78</f>
        <v/>
      </c>
      <c r="CI26" s="4245" t="n"/>
      <c r="CJ26" s="4192">
        <f>'Inl. wetlands'!F78</f>
        <v/>
      </c>
      <c r="CK26" s="4245" t="n"/>
      <c r="CL26" s="2567" t="n"/>
      <c r="CM26" s="4192">
        <f>'Inl. wetlands'!H78</f>
        <v/>
      </c>
      <c r="CN26" s="4245" t="n"/>
      <c r="CO26" s="4192">
        <f>'Inl. wetlands'!J78</f>
        <v/>
      </c>
      <c r="CP26" s="4245" t="n"/>
      <c r="CQ26" s="2567" t="n"/>
      <c r="CT26" s="2567" t="n"/>
      <c r="CU26" s="2567" t="n"/>
      <c r="CV26" s="2567" t="n"/>
      <c r="CW26" s="2567" t="n"/>
      <c r="CX26" s="2567" t="n"/>
      <c r="CY26" s="2567" t="n"/>
      <c r="CZ26" s="2567" t="n"/>
      <c r="DA26" s="2567" t="n"/>
      <c r="DB26" s="2567" t="n"/>
      <c r="DC26" s="2567" t="n"/>
      <c r="DD26" s="2567" t="n"/>
      <c r="DE26" s="2567" t="n"/>
      <c r="DF26" s="2567" t="n"/>
      <c r="DG26" s="2567" t="n"/>
      <c r="DH26" s="2567" t="n"/>
      <c r="DI26" s="2567" t="n"/>
      <c r="DJ26" s="2567" t="n"/>
      <c r="DK26" s="2567" t="n"/>
      <c r="DL26" s="2567" t="n"/>
      <c r="DM26" s="2567" t="n"/>
      <c r="DN26" s="2567" t="n"/>
      <c r="DO26" s="2567" t="n"/>
      <c r="DP26" s="2567" t="n"/>
      <c r="DU26" s="2598" t="n"/>
      <c r="DV26" s="2598">
        <f>E27</f>
        <v/>
      </c>
      <c r="DW26" s="2598" t="n"/>
      <c r="DX26" s="4728">
        <f>'Inl. wetlands'!I104</f>
        <v/>
      </c>
      <c r="DY26" s="4241" t="n"/>
      <c r="DZ26" s="4191">
        <f>'Inl. wetlands'!K104</f>
        <v/>
      </c>
      <c r="EA26" s="4241" t="n"/>
      <c r="EB26" s="4191">
        <f>'Inl. wetlands'!M104</f>
        <v/>
      </c>
      <c r="EC26" s="4241" t="n"/>
      <c r="ED26" s="2598" t="n"/>
      <c r="EE26" s="4192">
        <f>'Inl. wetlands'!O104</f>
        <v/>
      </c>
      <c r="EF26" s="4241" t="n"/>
      <c r="EG26" s="2598" t="n"/>
      <c r="EH26" s="2598" t="n"/>
    </row>
    <row r="27" customFormat="1" s="4168">
      <c r="B27" s="1838" t="n"/>
      <c r="C27" s="1838">
        <f>C15</f>
        <v/>
      </c>
      <c r="D27" s="1838" t="n"/>
      <c r="E27" s="1961">
        <f>IF(I15="Agroforestry",I15&amp;"-"&amp;K15,I15)</f>
        <v/>
      </c>
      <c r="F27" s="1961" t="n"/>
      <c r="G27" s="1961" t="n"/>
      <c r="H27" s="1838" t="n"/>
      <c r="I27" s="1838" t="n"/>
      <c r="J27" s="1838" t="n"/>
      <c r="K27" s="2111">
        <f>MAX(M15,N15,P15)</f>
        <v/>
      </c>
      <c r="L27" s="1838" t="n"/>
      <c r="M27" s="4228" t="n">
        <v>0</v>
      </c>
      <c r="N27" s="4229" t="n">
        <v>0</v>
      </c>
      <c r="O27" s="4134" t="inlineStr">
        <is>
          <t>D</t>
        </is>
      </c>
      <c r="P27" s="4229" t="n">
        <v>0</v>
      </c>
      <c r="Q27" s="4134" t="inlineStr">
        <is>
          <t>D</t>
        </is>
      </c>
      <c r="R27" s="1838" t="n"/>
      <c r="S27" s="2111">
        <f>$K27-M27</f>
        <v/>
      </c>
      <c r="T27" s="2111">
        <f>$K27-N27</f>
        <v/>
      </c>
      <c r="U27" s="2111">
        <f>$K27-P27</f>
        <v/>
      </c>
      <c r="V27" s="1838" t="n"/>
      <c r="W27" s="4231" t="n">
        <v>0</v>
      </c>
      <c r="X27" s="4231" t="n">
        <v>0</v>
      </c>
      <c r="Y27" s="4231" t="n">
        <v>0</v>
      </c>
      <c r="Z27" s="1838" t="n"/>
      <c r="AA27" s="2133" t="inlineStr">
        <is>
          <t>Y/N</t>
        </is>
      </c>
      <c r="AB27" s="1961" t="n"/>
      <c r="AC27" s="1961" t="n"/>
      <c r="AD27" s="1838" t="n"/>
      <c r="AE27" s="2111">
        <f>+'Inl. wetlands'!AJ55+'Inl. wetlands'!AI73+'Inl. wetlands'!AI100</f>
        <v/>
      </c>
      <c r="AF27" s="2111">
        <f>+'Inl. wetlands'!AK55+'Inl. wetlands'!AJ73+'Inl. wetlands'!AJ100</f>
        <v/>
      </c>
      <c r="AG27" s="1806">
        <f>AF27-AE27</f>
        <v/>
      </c>
      <c r="AH27" s="4358" t="n"/>
      <c r="AI27" s="4359" t="n"/>
      <c r="AS27" s="2323" t="n"/>
      <c r="AT27" s="2323">
        <f>E28</f>
        <v/>
      </c>
      <c r="AU27" s="2567" t="n"/>
      <c r="AV27" s="2567" t="n"/>
      <c r="AW27" s="2567" t="n"/>
      <c r="AX27" s="2567" t="n"/>
      <c r="AY27" s="4728">
        <f>'Inl. wetlands'!J27</f>
        <v/>
      </c>
      <c r="AZ27" s="4729" t="n"/>
      <c r="BA27" s="4728" t="n"/>
      <c r="BB27" s="2567" t="n"/>
      <c r="BC27" s="2567" t="n"/>
      <c r="BD27" s="2567" t="n"/>
      <c r="BE27" s="2567" t="n"/>
      <c r="BF27" s="2567" t="n"/>
      <c r="BG27" s="2567" t="n"/>
      <c r="BI27" s="1997" t="n"/>
      <c r="BJ27" s="1997" t="n"/>
      <c r="BK27" s="1997" t="n"/>
      <c r="CD27" s="4201" t="n"/>
      <c r="CE27" s="2323">
        <f>E27</f>
        <v/>
      </c>
      <c r="CF27" s="4192">
        <f>'Inl. wetlands'!B79</f>
        <v/>
      </c>
      <c r="CG27" s="4245" t="n"/>
      <c r="CH27" s="4192">
        <f>'Inl. wetlands'!D79</f>
        <v/>
      </c>
      <c r="CI27" s="4245" t="n"/>
      <c r="CJ27" s="4192">
        <f>'Inl. wetlands'!F79</f>
        <v/>
      </c>
      <c r="CK27" s="4245" t="n"/>
      <c r="CL27" s="2567" t="n"/>
      <c r="CM27" s="4192">
        <f>'Inl. wetlands'!H79</f>
        <v/>
      </c>
      <c r="CN27" s="4245" t="n"/>
      <c r="CO27" s="4192">
        <f>'Inl. wetlands'!J79</f>
        <v/>
      </c>
      <c r="CP27" s="4245" t="n"/>
      <c r="CQ27" s="2567" t="n"/>
      <c r="CT27" s="2567" t="n"/>
      <c r="CU27" s="2567" t="n"/>
      <c r="CV27" s="2567" t="n"/>
      <c r="CW27" s="2567" t="n"/>
      <c r="CX27" s="2567" t="n"/>
      <c r="CY27" s="2567" t="n"/>
      <c r="CZ27" s="2567" t="n"/>
      <c r="DA27" s="2567" t="n"/>
      <c r="DB27" s="2567" t="n"/>
      <c r="DC27" s="2567" t="n"/>
      <c r="DD27" s="2567" t="n"/>
      <c r="DE27" s="2567" t="n"/>
      <c r="DF27" s="2567" t="n"/>
      <c r="DG27" s="2567" t="n"/>
      <c r="DH27" s="2567" t="n"/>
      <c r="DI27" s="2567" t="n"/>
      <c r="DJ27" s="2567" t="n"/>
      <c r="DK27" s="2567" t="n"/>
      <c r="DL27" s="2567" t="n"/>
      <c r="DM27" s="2567" t="n"/>
      <c r="DN27" s="2567" t="n"/>
      <c r="DO27" s="2567" t="n"/>
      <c r="DP27" s="2567" t="n"/>
      <c r="DU27" s="2598" t="n"/>
      <c r="DV27" s="2598">
        <f>E28</f>
        <v/>
      </c>
      <c r="DW27" s="2598" t="n"/>
      <c r="DX27" s="4728">
        <f>'Inl. wetlands'!I105</f>
        <v/>
      </c>
      <c r="DY27" s="4241" t="n"/>
      <c r="DZ27" s="4191">
        <f>'Inl. wetlands'!K105</f>
        <v/>
      </c>
      <c r="EA27" s="4241" t="n"/>
      <c r="EB27" s="4191">
        <f>'Inl. wetlands'!M105</f>
        <v/>
      </c>
      <c r="EC27" s="4241" t="n"/>
      <c r="ED27" s="2598" t="n"/>
      <c r="EE27" s="4192">
        <f>'Inl. wetlands'!O105</f>
        <v/>
      </c>
      <c r="EF27" s="4241" t="n"/>
      <c r="EG27" s="2598" t="n"/>
      <c r="EH27" s="2598" t="n"/>
    </row>
    <row r="28" customFormat="1" s="4168">
      <c r="B28" s="1838" t="n"/>
      <c r="C28" s="1838">
        <f>C16</f>
        <v/>
      </c>
      <c r="D28" s="1838" t="n"/>
      <c r="E28" s="1961">
        <f>IF(I16="Agroforestry",I16&amp;"-"&amp;K16,I16)</f>
        <v/>
      </c>
      <c r="F28" s="1961" t="n"/>
      <c r="G28" s="1961" t="n"/>
      <c r="H28" s="1838" t="n"/>
      <c r="I28" s="1838" t="n"/>
      <c r="J28" s="1838" t="n"/>
      <c r="K28" s="2111">
        <f>MAX(M16,N16,P16)</f>
        <v/>
      </c>
      <c r="L28" s="1838" t="n"/>
      <c r="M28" s="4228" t="n">
        <v>0</v>
      </c>
      <c r="N28" s="4229" t="n">
        <v>0</v>
      </c>
      <c r="O28" s="4134" t="inlineStr">
        <is>
          <t>D</t>
        </is>
      </c>
      <c r="P28" s="4229" t="n">
        <v>0</v>
      </c>
      <c r="Q28" s="4134" t="inlineStr">
        <is>
          <t>D</t>
        </is>
      </c>
      <c r="R28" s="1838" t="n"/>
      <c r="S28" s="2111">
        <f>$K28-M28</f>
        <v/>
      </c>
      <c r="T28" s="2111">
        <f>$K28-N28</f>
        <v/>
      </c>
      <c r="U28" s="2111">
        <f>$K28-P28</f>
        <v/>
      </c>
      <c r="V28" s="1838" t="n"/>
      <c r="W28" s="4231" t="n">
        <v>0</v>
      </c>
      <c r="X28" s="4231" t="n">
        <v>0</v>
      </c>
      <c r="Y28" s="4231" t="n">
        <v>0</v>
      </c>
      <c r="Z28" s="1838" t="n"/>
      <c r="AA28" s="2133" t="inlineStr">
        <is>
          <t>Y/N</t>
        </is>
      </c>
      <c r="AB28" s="1961" t="n"/>
      <c r="AC28" s="1961" t="n"/>
      <c r="AD28" s="1838" t="n"/>
      <c r="AE28" s="2111">
        <f>+'Inl. wetlands'!AJ56+'Inl. wetlands'!AI74+'Inl. wetlands'!AI101</f>
        <v/>
      </c>
      <c r="AF28" s="2111">
        <f>+'Inl. wetlands'!AK56+'Inl. wetlands'!AJ74+'Inl. wetlands'!AJ101</f>
        <v/>
      </c>
      <c r="AG28" s="1806">
        <f>AF28-AE28</f>
        <v/>
      </c>
      <c r="AH28" s="4358" t="n"/>
      <c r="AI28" s="4359" t="n"/>
      <c r="AS28" s="2323" t="n"/>
      <c r="AT28" s="2323">
        <f>E29</f>
        <v/>
      </c>
      <c r="AU28" s="2567" t="n"/>
      <c r="AV28" s="2567" t="n"/>
      <c r="AW28" s="2567" t="n"/>
      <c r="AX28" s="2567" t="n"/>
      <c r="AY28" s="4728">
        <f>'Inl. wetlands'!J28</f>
        <v/>
      </c>
      <c r="AZ28" s="4729" t="n"/>
      <c r="BA28" s="4728" t="n"/>
      <c r="BB28" s="2567" t="n"/>
      <c r="BC28" s="2567" t="n"/>
      <c r="BD28" s="2567" t="n"/>
      <c r="BE28" s="2567" t="n"/>
      <c r="BF28" s="2567" t="n"/>
      <c r="BG28" s="2567" t="n"/>
      <c r="BI28" s="1997" t="n"/>
      <c r="BJ28" s="1997" t="n"/>
      <c r="BK28" s="1997" t="n"/>
      <c r="CD28" s="4201" t="n"/>
      <c r="CE28" s="2323">
        <f>E28</f>
        <v/>
      </c>
      <c r="CF28" s="4192">
        <f>'Inl. wetlands'!B80</f>
        <v/>
      </c>
      <c r="CG28" s="4245" t="n"/>
      <c r="CH28" s="4192">
        <f>'Inl. wetlands'!D80</f>
        <v/>
      </c>
      <c r="CI28" s="4245" t="n"/>
      <c r="CJ28" s="4192">
        <f>'Inl. wetlands'!F80</f>
        <v/>
      </c>
      <c r="CK28" s="4245" t="n"/>
      <c r="CL28" s="2567" t="n"/>
      <c r="CM28" s="4192">
        <f>'Inl. wetlands'!H80</f>
        <v/>
      </c>
      <c r="CN28" s="4245" t="n"/>
      <c r="CO28" s="4192">
        <f>'Inl. wetlands'!J80</f>
        <v/>
      </c>
      <c r="CP28" s="4245" t="n"/>
      <c r="CQ28" s="2567" t="n"/>
      <c r="CT28" s="2567" t="n"/>
      <c r="CU28" s="2567" t="n"/>
      <c r="CV28" s="2567" t="n"/>
      <c r="CW28" s="2567" t="n"/>
      <c r="CX28" s="2567" t="n"/>
      <c r="CY28" s="2567" t="n"/>
      <c r="CZ28" s="2567" t="n"/>
      <c r="DA28" s="2567" t="n"/>
      <c r="DB28" s="2567" t="n"/>
      <c r="DC28" s="2567" t="n"/>
      <c r="DD28" s="2567" t="n"/>
      <c r="DE28" s="2567" t="n"/>
      <c r="DF28" s="2567" t="n"/>
      <c r="DG28" s="2567" t="n"/>
      <c r="DH28" s="2567" t="n"/>
      <c r="DI28" s="2567" t="n"/>
      <c r="DJ28" s="2567" t="n"/>
      <c r="DK28" s="2567" t="n"/>
      <c r="DL28" s="2567" t="n"/>
      <c r="DM28" s="2567" t="n"/>
      <c r="DN28" s="2567" t="n"/>
      <c r="DO28" s="2567" t="n"/>
      <c r="DP28" s="2567" t="n"/>
      <c r="DU28" s="2598" t="n"/>
      <c r="DV28" s="2598">
        <f>E29</f>
        <v/>
      </c>
      <c r="DW28" s="2598" t="n"/>
      <c r="DX28" s="4728">
        <f>'Inl. wetlands'!I106</f>
        <v/>
      </c>
      <c r="DY28" s="4241" t="n"/>
      <c r="DZ28" s="4191">
        <f>'Inl. wetlands'!K106</f>
        <v/>
      </c>
      <c r="EA28" s="4241" t="n"/>
      <c r="EB28" s="4191">
        <f>'Inl. wetlands'!M106</f>
        <v/>
      </c>
      <c r="EC28" s="4241" t="n"/>
      <c r="ED28" s="2598" t="n"/>
      <c r="EE28" s="4192">
        <f>'Inl. wetlands'!O106</f>
        <v/>
      </c>
      <c r="EF28" s="4241" t="n"/>
      <c r="EG28" s="2598" t="n"/>
      <c r="EH28" s="2598" t="n"/>
    </row>
    <row r="29" customFormat="1" s="4168">
      <c r="B29" s="1838" t="n"/>
      <c r="C29" s="1838">
        <f>C17</f>
        <v/>
      </c>
      <c r="D29" s="1838" t="n"/>
      <c r="E29" s="1961">
        <f>IF(I17="Agroforestry",I17&amp;"-"&amp;K17,I17)</f>
        <v/>
      </c>
      <c r="F29" s="1961" t="n"/>
      <c r="G29" s="1961" t="n"/>
      <c r="H29" s="1838" t="n"/>
      <c r="I29" s="1838" t="n"/>
      <c r="J29" s="1838" t="n"/>
      <c r="K29" s="2111">
        <f>MAX(M17,N17,P17)</f>
        <v/>
      </c>
      <c r="L29" s="1838" t="n"/>
      <c r="M29" s="4228" t="n">
        <v>0</v>
      </c>
      <c r="N29" s="4229" t="n">
        <v>0</v>
      </c>
      <c r="O29" s="4134" t="inlineStr">
        <is>
          <t>D</t>
        </is>
      </c>
      <c r="P29" s="4229" t="n">
        <v>0</v>
      </c>
      <c r="Q29" s="4134" t="inlineStr">
        <is>
          <t>D</t>
        </is>
      </c>
      <c r="R29" s="1838" t="n"/>
      <c r="S29" s="2111">
        <f>$K29-M29</f>
        <v/>
      </c>
      <c r="T29" s="2111">
        <f>$K29-N29</f>
        <v/>
      </c>
      <c r="U29" s="2111">
        <f>$K29-P29</f>
        <v/>
      </c>
      <c r="V29" s="1838" t="n"/>
      <c r="W29" s="4231" t="n">
        <v>0</v>
      </c>
      <c r="X29" s="4231" t="n">
        <v>0</v>
      </c>
      <c r="Y29" s="4231" t="n">
        <v>0</v>
      </c>
      <c r="Z29" s="1838" t="n"/>
      <c r="AA29" s="2133" t="inlineStr">
        <is>
          <t>Y/N</t>
        </is>
      </c>
      <c r="AB29" s="1961" t="n"/>
      <c r="AC29" s="1961" t="n"/>
      <c r="AD29" s="1838" t="n"/>
      <c r="AE29" s="2111">
        <f>+'Inl. wetlands'!AJ57+'Inl. wetlands'!AI75+'Inl. wetlands'!AI102</f>
        <v/>
      </c>
      <c r="AF29" s="2111">
        <f>+'Inl. wetlands'!AK57+'Inl. wetlands'!AJ75+'Inl. wetlands'!AJ102</f>
        <v/>
      </c>
      <c r="AG29" s="1806">
        <f>AF29-AE29</f>
        <v/>
      </c>
      <c r="AH29" s="4358" t="n"/>
      <c r="AI29" s="4359" t="n"/>
      <c r="AS29" s="2323" t="n"/>
      <c r="AT29" s="2323">
        <f>E30</f>
        <v/>
      </c>
      <c r="AU29" s="2567" t="n"/>
      <c r="AV29" s="2567" t="n"/>
      <c r="AW29" s="2567" t="n"/>
      <c r="AX29" s="2567" t="n"/>
      <c r="AY29" s="4728">
        <f>'Inl. wetlands'!J29</f>
        <v/>
      </c>
      <c r="AZ29" s="4729" t="n"/>
      <c r="BA29" s="4728" t="n"/>
      <c r="BB29" s="2567" t="n"/>
      <c r="BC29" s="2567" t="n"/>
      <c r="BD29" s="2567" t="n"/>
      <c r="BE29" s="2567" t="n"/>
      <c r="BF29" s="2567" t="n"/>
      <c r="BG29" s="2567" t="n"/>
      <c r="BI29" s="1997" t="n"/>
      <c r="BJ29" s="1997" t="n"/>
      <c r="BK29" s="1997" t="n"/>
      <c r="CD29" s="4201" t="n"/>
      <c r="CE29" s="2323">
        <f>E29</f>
        <v/>
      </c>
      <c r="CF29" s="4192">
        <f>'Inl. wetlands'!B81</f>
        <v/>
      </c>
      <c r="CG29" s="4245" t="n"/>
      <c r="CH29" s="4192">
        <f>'Inl. wetlands'!D81</f>
        <v/>
      </c>
      <c r="CI29" s="4245" t="n"/>
      <c r="CJ29" s="4192">
        <f>'Inl. wetlands'!F81</f>
        <v/>
      </c>
      <c r="CK29" s="4245" t="n"/>
      <c r="CL29" s="2567" t="n"/>
      <c r="CM29" s="4192">
        <f>'Inl. wetlands'!H81</f>
        <v/>
      </c>
      <c r="CN29" s="4245" t="n"/>
      <c r="CO29" s="4192">
        <f>'Inl. wetlands'!J81</f>
        <v/>
      </c>
      <c r="CP29" s="4245" t="n"/>
      <c r="CQ29" s="2567" t="n"/>
      <c r="CT29" s="2567" t="n"/>
      <c r="CU29" s="2567" t="n"/>
      <c r="CV29" s="2567" t="n"/>
      <c r="CW29" s="2567" t="n"/>
      <c r="CX29" s="2567" t="n"/>
      <c r="CY29" s="2567" t="n"/>
      <c r="CZ29" s="2567" t="n"/>
      <c r="DA29" s="2567" t="n"/>
      <c r="DB29" s="2567" t="n"/>
      <c r="DC29" s="2567" t="n"/>
      <c r="DD29" s="2567" t="n"/>
      <c r="DE29" s="2567" t="n"/>
      <c r="DF29" s="2567" t="n"/>
      <c r="DG29" s="2567" t="n"/>
      <c r="DH29" s="2567" t="n"/>
      <c r="DI29" s="2567" t="n"/>
      <c r="DJ29" s="2567" t="n"/>
      <c r="DK29" s="2567" t="n"/>
      <c r="DL29" s="2567" t="n"/>
      <c r="DM29" s="2567" t="n"/>
      <c r="DN29" s="2567" t="n"/>
      <c r="DO29" s="2567" t="n"/>
      <c r="DP29" s="2567" t="n"/>
      <c r="DU29" s="2598" t="n"/>
      <c r="DV29" s="2598">
        <f>E30</f>
        <v/>
      </c>
      <c r="DW29" s="2598" t="n"/>
      <c r="DX29" s="4728">
        <f>'Inl. wetlands'!I107</f>
        <v/>
      </c>
      <c r="DY29" s="4241" t="n"/>
      <c r="DZ29" s="4191">
        <f>'Inl. wetlands'!K107</f>
        <v/>
      </c>
      <c r="EA29" s="4241" t="n"/>
      <c r="EB29" s="4191">
        <f>'Inl. wetlands'!M107</f>
        <v/>
      </c>
      <c r="EC29" s="4241" t="n"/>
      <c r="ED29" s="2598" t="n"/>
      <c r="EE29" s="4192">
        <f>'Inl. wetlands'!O107</f>
        <v/>
      </c>
      <c r="EF29" s="4241" t="n"/>
      <c r="EG29" s="2598" t="n"/>
      <c r="EH29" s="2598" t="n"/>
    </row>
    <row r="30" customFormat="1" s="4168">
      <c r="B30" s="1838" t="n"/>
      <c r="C30" s="1838">
        <f>C18</f>
        <v/>
      </c>
      <c r="D30" s="1838" t="n"/>
      <c r="E30" s="1961">
        <f>IF(I18="Agroforestry",I18&amp;"-"&amp;K18,I18)</f>
        <v/>
      </c>
      <c r="F30" s="1961" t="n"/>
      <c r="G30" s="1961" t="n"/>
      <c r="H30" s="1838" t="n"/>
      <c r="I30" s="1838" t="n"/>
      <c r="J30" s="1838" t="n"/>
      <c r="K30" s="2111">
        <f>MAX(M18,N18,P18)</f>
        <v/>
      </c>
      <c r="L30" s="1838" t="n"/>
      <c r="M30" s="4228" t="n">
        <v>0</v>
      </c>
      <c r="N30" s="4229" t="n">
        <v>0</v>
      </c>
      <c r="O30" s="4134" t="inlineStr">
        <is>
          <t>D</t>
        </is>
      </c>
      <c r="P30" s="4229" t="n">
        <v>0</v>
      </c>
      <c r="Q30" s="4134" t="inlineStr">
        <is>
          <t>D</t>
        </is>
      </c>
      <c r="R30" s="1838" t="n"/>
      <c r="S30" s="2111">
        <f>$K30-M30</f>
        <v/>
      </c>
      <c r="T30" s="2111">
        <f>$K30-N30</f>
        <v/>
      </c>
      <c r="U30" s="2111">
        <f>$K30-P30</f>
        <v/>
      </c>
      <c r="V30" s="1838" t="n"/>
      <c r="W30" s="4231" t="n">
        <v>0</v>
      </c>
      <c r="X30" s="4231" t="n">
        <v>0</v>
      </c>
      <c r="Y30" s="4231" t="n">
        <v>0</v>
      </c>
      <c r="Z30" s="1838" t="n"/>
      <c r="AA30" s="2133" t="inlineStr">
        <is>
          <t>Y/N</t>
        </is>
      </c>
      <c r="AB30" s="1961" t="n"/>
      <c r="AC30" s="1961" t="n"/>
      <c r="AD30" s="1838" t="n"/>
      <c r="AE30" s="2111">
        <f>+'Inl. wetlands'!AJ58+'Inl. wetlands'!AI76+'Inl. wetlands'!AI103</f>
        <v/>
      </c>
      <c r="AF30" s="2111">
        <f>+'Inl. wetlands'!AK58+'Inl. wetlands'!AJ76+'Inl. wetlands'!AJ103</f>
        <v/>
      </c>
      <c r="AG30" s="1806">
        <f>AF30-AE30</f>
        <v/>
      </c>
      <c r="AH30" s="4358" t="n"/>
      <c r="AI30" s="4359" t="n"/>
      <c r="AS30" s="2323" t="n"/>
      <c r="AT30" s="2567" t="n"/>
      <c r="AU30" s="2567" t="n"/>
      <c r="AV30" s="2567" t="n"/>
      <c r="AW30" s="2567" t="n"/>
      <c r="AX30" s="2567" t="n"/>
      <c r="AY30" s="2567" t="n"/>
      <c r="AZ30" s="2567" t="n"/>
      <c r="BA30" s="2567" t="n"/>
      <c r="BB30" s="2567" t="n"/>
      <c r="BC30" s="2567" t="n"/>
      <c r="BD30" s="2567" t="n"/>
      <c r="BE30" s="2567" t="n"/>
      <c r="BF30" s="2567" t="n"/>
      <c r="BG30" s="2567" t="n"/>
      <c r="BI30" s="1997" t="n"/>
      <c r="BJ30" s="1997" t="n"/>
      <c r="BK30" s="1997" t="n"/>
      <c r="CD30" s="4201" t="n"/>
      <c r="CE30" s="2323">
        <f>E30</f>
        <v/>
      </c>
      <c r="CF30" s="4192">
        <f>'Inl. wetlands'!B82</f>
        <v/>
      </c>
      <c r="CG30" s="4245" t="n"/>
      <c r="CH30" s="4192">
        <f>'Inl. wetlands'!D82</f>
        <v/>
      </c>
      <c r="CI30" s="4245" t="n"/>
      <c r="CJ30" s="4192">
        <f>'Inl. wetlands'!F82</f>
        <v/>
      </c>
      <c r="CK30" s="4245" t="n"/>
      <c r="CL30" s="2567" t="n"/>
      <c r="CM30" s="4192">
        <f>'Inl. wetlands'!H82</f>
        <v/>
      </c>
      <c r="CN30" s="4245" t="n"/>
      <c r="CO30" s="4192">
        <f>'Inl. wetlands'!J82</f>
        <v/>
      </c>
      <c r="CP30" s="4245" t="n"/>
      <c r="CQ30" s="2567" t="n"/>
      <c r="CT30" s="2567" t="n"/>
      <c r="CU30" s="2567" t="n"/>
      <c r="CV30" s="2567" t="n"/>
      <c r="CW30" s="2567" t="n"/>
      <c r="CX30" s="2567" t="n"/>
      <c r="CY30" s="2567" t="n"/>
      <c r="CZ30" s="2567" t="n"/>
      <c r="DA30" s="2567" t="n"/>
      <c r="DB30" s="2567" t="n"/>
      <c r="DC30" s="2567" t="n"/>
      <c r="DD30" s="2567" t="n"/>
      <c r="DE30" s="2567" t="n"/>
      <c r="DF30" s="2567" t="n"/>
      <c r="DG30" s="2567" t="n"/>
      <c r="DH30" s="2567" t="n"/>
      <c r="DI30" s="2567" t="n"/>
      <c r="DJ30" s="2567" t="n"/>
      <c r="DK30" s="2567" t="n"/>
      <c r="DL30" s="2567" t="n"/>
      <c r="DM30" s="2567" t="n"/>
      <c r="DN30" s="2567" t="n"/>
      <c r="DO30" s="2567" t="n"/>
      <c r="DP30" s="2567" t="n"/>
      <c r="DU30" s="2598" t="n"/>
      <c r="DV30" s="2598" t="n"/>
      <c r="DW30" s="2598" t="n"/>
      <c r="DX30" s="2598" t="n"/>
      <c r="DY30" s="2598" t="n"/>
      <c r="DZ30" s="2598" t="n"/>
      <c r="EA30" s="2598" t="n"/>
      <c r="EB30" s="2598" t="n"/>
      <c r="EC30" s="2598" t="n"/>
      <c r="ED30" s="2598" t="n"/>
      <c r="EE30" s="2598" t="n"/>
      <c r="EF30" s="2598" t="n"/>
      <c r="EG30" s="2598" t="n"/>
      <c r="EH30" s="2598" t="n"/>
    </row>
    <row r="31" customFormat="1" s="4168">
      <c r="B31" s="1838" t="n"/>
      <c r="C31" s="1838" t="n"/>
      <c r="D31" s="1838" t="n"/>
      <c r="E31" s="1838" t="n"/>
      <c r="F31" s="1838" t="n"/>
      <c r="G31" s="1838" t="n"/>
      <c r="H31" s="1838" t="n"/>
      <c r="I31" s="2111" t="n"/>
      <c r="J31" s="1838" t="n"/>
      <c r="K31" s="1838" t="n"/>
      <c r="L31" s="1838" t="n"/>
      <c r="M31" s="1838" t="n"/>
      <c r="N31" s="1838" t="n"/>
      <c r="O31" s="1838" t="n"/>
      <c r="P31" s="1838" t="n"/>
      <c r="Q31" s="1838" t="n"/>
      <c r="R31" s="1838" t="n"/>
      <c r="S31" s="1838" t="n"/>
      <c r="T31" s="1838" t="n"/>
      <c r="U31" s="1838" t="n"/>
      <c r="V31" s="1838" t="n"/>
      <c r="W31" s="1838" t="n"/>
      <c r="X31" s="1838" t="n"/>
      <c r="Y31" s="1838" t="n"/>
      <c r="Z31" s="1838" t="n"/>
      <c r="AA31" s="4308">
        <f>IF(OR(AND(AA25&lt;&gt;"Y/N", AA25&lt;&gt;"No"), AND(AA26&lt;&gt;"Y/N",AA26&lt;&gt;"No" ), AND(AA27&lt;&gt;"Y/N",AA27&lt;&gt;"No" ), AND(AA28&lt;&gt;"Y/N", AA28&lt;&gt;"No"), AND(AA29&lt;&gt;"Y/N", AA29&lt;&gt;"No"), AND(AA30&lt;&gt;"Y/N", AA30&lt;&gt;"No")), list!$B$279, "")</f>
        <v/>
      </c>
      <c r="AB31" s="1838" t="n"/>
      <c r="AC31" s="1838" t="n"/>
      <c r="AD31" s="1838" t="n"/>
      <c r="AE31" s="1838" t="n"/>
      <c r="AF31" s="1838" t="n"/>
      <c r="AG31" s="1838" t="n"/>
      <c r="AH31" s="4358" t="n"/>
      <c r="AI31" s="4359" t="n"/>
      <c r="AS31" s="2323" t="n"/>
      <c r="AT31" s="2567" t="n"/>
      <c r="AU31" s="2567" t="n"/>
      <c r="AV31" s="2567" t="n"/>
      <c r="AW31" s="2567" t="n"/>
      <c r="AX31" s="2567" t="n"/>
      <c r="AY31" s="2567" t="n"/>
      <c r="AZ31" s="2567" t="n"/>
      <c r="BA31" s="2567" t="n"/>
      <c r="BB31" s="2567" t="n"/>
      <c r="BC31" s="2567" t="n"/>
      <c r="BD31" s="2567" t="n"/>
      <c r="BE31" s="2567" t="n"/>
      <c r="BF31" s="2567" t="n"/>
      <c r="BG31" s="2567" t="n"/>
      <c r="BI31" s="1997" t="n"/>
      <c r="BJ31" s="1997" t="n"/>
      <c r="BK31" s="1997" t="n"/>
      <c r="CD31" s="4201" t="n"/>
      <c r="CE31" s="2567" t="n"/>
      <c r="CF31" s="2598" t="n"/>
      <c r="CG31" s="2598" t="n"/>
      <c r="CH31" s="2567" t="n"/>
      <c r="CI31" s="2598" t="n"/>
      <c r="CJ31" s="2567" t="n"/>
      <c r="CK31" s="2567" t="n"/>
      <c r="CL31" s="2567" t="n"/>
      <c r="CM31" s="2567" t="n"/>
      <c r="CN31" s="2567" t="n"/>
      <c r="CO31" s="2567" t="n"/>
      <c r="CP31" s="2567" t="n"/>
      <c r="CQ31" s="2567" t="n"/>
      <c r="CT31" s="2567" t="n"/>
      <c r="CU31" s="2567" t="n"/>
      <c r="CV31" s="2567" t="n"/>
      <c r="CW31" s="2567" t="n"/>
      <c r="CX31" s="2567" t="n"/>
      <c r="CY31" s="2567" t="n"/>
      <c r="CZ31" s="2567" t="n"/>
      <c r="DA31" s="2567" t="n"/>
      <c r="DB31" s="2567" t="n"/>
      <c r="DC31" s="2567" t="n"/>
      <c r="DD31" s="2567" t="n"/>
      <c r="DE31" s="2567" t="n"/>
      <c r="DF31" s="2567" t="n"/>
      <c r="DG31" s="2567" t="n"/>
      <c r="DH31" s="2567" t="n"/>
      <c r="DI31" s="2567" t="n"/>
      <c r="DJ31" s="2567" t="n"/>
      <c r="DK31" s="2567" t="n"/>
      <c r="DL31" s="2567" t="n"/>
      <c r="DM31" s="2567" t="n"/>
      <c r="DN31" s="2567" t="n"/>
      <c r="DO31" s="2567" t="n"/>
      <c r="DP31" s="2567" t="n"/>
      <c r="DU31" s="2598" t="n"/>
      <c r="DV31" s="2598" t="n"/>
      <c r="DW31" s="2598" t="n"/>
      <c r="DX31" s="2598" t="n"/>
      <c r="DY31" s="2598" t="n"/>
      <c r="DZ31" s="2598" t="n"/>
      <c r="EA31" s="2598" t="n"/>
      <c r="EB31" s="2598" t="n"/>
      <c r="EC31" s="2598" t="n"/>
      <c r="ED31" s="2598" t="n"/>
      <c r="EE31" s="4182">
        <f>CK33</f>
        <v/>
      </c>
      <c r="EF31" s="2598" t="n"/>
      <c r="EG31" s="4181" t="inlineStr">
        <is>
          <t>soil</t>
        </is>
      </c>
      <c r="EH31" s="2598" t="n"/>
    </row>
    <row r="32" customFormat="1" s="4168">
      <c r="B32" s="1838" t="n"/>
      <c r="C32" s="1838" t="n"/>
      <c r="D32" s="1838" t="n"/>
      <c r="E32" s="1838" t="n"/>
      <c r="F32" s="1838" t="n"/>
      <c r="G32" s="1838" t="n"/>
      <c r="H32" s="1838" t="n"/>
      <c r="I32" s="2111" t="n"/>
      <c r="J32" s="1838" t="n"/>
      <c r="K32" s="1838" t="n"/>
      <c r="L32" s="1838" t="n"/>
      <c r="M32" s="1838" t="n"/>
      <c r="N32" s="1838" t="n"/>
      <c r="O32" s="1838" t="n"/>
      <c r="P32" s="1838" t="n"/>
      <c r="Q32" s="1838" t="n"/>
      <c r="R32" s="1838" t="n"/>
      <c r="S32" s="1838" t="n"/>
      <c r="T32" s="1838" t="n"/>
      <c r="U32" s="1838" t="n"/>
      <c r="V32" s="1838" t="n"/>
      <c r="W32" s="1838" t="n"/>
      <c r="X32" s="1838" t="n"/>
      <c r="Y32" s="1838" t="n"/>
      <c r="Z32" s="1838" t="n"/>
      <c r="AA32" s="4308" t="n"/>
      <c r="AB32" s="1838" t="n"/>
      <c r="AC32" s="1838" t="n"/>
      <c r="AD32" s="1838" t="n"/>
      <c r="AE32" s="1838" t="n"/>
      <c r="AF32" s="1838" t="n"/>
      <c r="AG32" s="1838" t="n"/>
      <c r="AH32" s="4358" t="n"/>
      <c r="AI32" s="4359" t="n"/>
      <c r="AS32" s="2323" t="n"/>
      <c r="AT32" s="2567" t="n"/>
      <c r="AU32" s="2567" t="n"/>
      <c r="AV32" s="2567" t="n"/>
      <c r="AW32" s="2567" t="n"/>
      <c r="AX32" s="2567" t="n"/>
      <c r="AY32" s="2567" t="n"/>
      <c r="AZ32" s="2567" t="n"/>
      <c r="BA32" s="2567" t="n"/>
      <c r="BB32" s="2567" t="n"/>
      <c r="BC32" s="2567" t="n"/>
      <c r="BD32" s="2567" t="n"/>
      <c r="BE32" s="2567" t="n"/>
      <c r="BF32" s="2567" t="n"/>
      <c r="BG32" s="2567" t="n"/>
      <c r="BI32" s="1997" t="n"/>
      <c r="BJ32" s="1997" t="n"/>
      <c r="BK32" s="1997" t="n"/>
      <c r="CD32" s="4201" t="n"/>
      <c r="CE32" s="2567" t="n"/>
      <c r="CF32" s="2598" t="n"/>
      <c r="CG32" s="2598" t="n"/>
      <c r="CH32" s="2567" t="n"/>
      <c r="CI32" s="2598" t="n"/>
      <c r="CJ32" s="2567" t="n"/>
      <c r="CK32" s="2567" t="n"/>
      <c r="CL32" s="2567" t="n"/>
      <c r="CM32" s="2567" t="n"/>
      <c r="CN32" s="2567" t="n"/>
      <c r="CO32" s="2567" t="n"/>
      <c r="CP32" s="2567" t="n"/>
      <c r="CQ32" s="2567" t="n"/>
      <c r="CT32" s="2567" t="n"/>
      <c r="CU32" s="2567" t="n"/>
      <c r="CV32" s="2567" t="n"/>
      <c r="CW32" s="2567" t="n"/>
      <c r="CX32" s="2567" t="n"/>
      <c r="CY32" s="2567" t="n"/>
      <c r="CZ32" s="2567" t="n"/>
      <c r="DA32" s="2567" t="n"/>
      <c r="DB32" s="2567" t="n"/>
      <c r="DC32" s="2567" t="n"/>
      <c r="DD32" s="2567" t="n"/>
      <c r="DE32" s="2567" t="n"/>
      <c r="DF32" s="2567" t="n"/>
      <c r="DG32" s="2567" t="n"/>
      <c r="DH32" s="2567" t="n"/>
      <c r="DI32" s="2567" t="n"/>
      <c r="DJ32" s="2567" t="n"/>
      <c r="DK32" s="2567" t="n"/>
      <c r="DL32" s="2567" t="n"/>
      <c r="DM32" s="2567" t="n"/>
      <c r="DN32" s="2567" t="n"/>
      <c r="DO32" s="2567" t="n"/>
      <c r="DP32" s="2567" t="n"/>
      <c r="DU32" s="2598" t="n"/>
      <c r="DV32" s="2598" t="n"/>
      <c r="DW32" s="2598" t="n"/>
      <c r="DX32" s="2598" t="n"/>
      <c r="DY32" s="2598" t="n"/>
      <c r="DZ32" s="2598" t="n"/>
      <c r="EA32" s="2598" t="n"/>
      <c r="EB32" s="2598" t="n"/>
      <c r="EC32" s="2598" t="n"/>
      <c r="ED32" s="2598" t="n"/>
      <c r="EE32" s="4182" t="n"/>
      <c r="EF32" s="2598" t="n"/>
      <c r="EG32" s="4181" t="n"/>
      <c r="EH32" s="2598" t="n"/>
    </row>
    <row r="33" ht="18" customFormat="1" customHeight="1" s="4168">
      <c r="B33" s="1838" t="n"/>
      <c r="C33" s="1838" t="n"/>
      <c r="D33" s="1838" t="n"/>
      <c r="E33" s="1838" t="n"/>
      <c r="F33" s="1838" t="n"/>
      <c r="G33" s="1838" t="n"/>
      <c r="H33" s="1838" t="n"/>
      <c r="I33" s="1838" t="n"/>
      <c r="J33" s="1838" t="n"/>
      <c r="K33" s="1838" t="n"/>
      <c r="L33" s="1838" t="n"/>
      <c r="M33" s="1838" t="n"/>
      <c r="N33" s="1838" t="n"/>
      <c r="O33" s="1838" t="n"/>
      <c r="P33" s="1838" t="n"/>
      <c r="Q33" s="1838" t="n"/>
      <c r="R33" s="1838" t="n"/>
      <c r="S33" s="1838" t="n"/>
      <c r="T33" s="1838" t="n"/>
      <c r="U33" s="1838" t="n"/>
      <c r="V33" s="1838" t="n"/>
      <c r="W33" s="1838" t="n"/>
      <c r="X33" s="1838" t="n"/>
      <c r="Y33" s="1838" t="n"/>
      <c r="Z33" s="1838" t="n"/>
      <c r="AA33" s="1838" t="n"/>
      <c r="AB33" s="4198" t="n"/>
      <c r="AC33" s="4387">
        <f>Languages!B391</f>
        <v/>
      </c>
      <c r="AD33" s="4198" t="n"/>
      <c r="AE33" s="4200">
        <f>SUM(AE13:AE18)+SUM(AE25:AE30)</f>
        <v/>
      </c>
      <c r="AF33" s="4200">
        <f>SUM(AF13:AF18)+SUM(AF25:AF30)</f>
        <v/>
      </c>
      <c r="AG33" s="2040">
        <f>SUM(AG13:AG18)+SUM(AG25:AG30)</f>
        <v/>
      </c>
      <c r="AH33" s="4358" t="n"/>
      <c r="AI33" s="4359" t="n"/>
      <c r="AS33" s="2323">
        <f>'5.Management'!AQ23</f>
        <v/>
      </c>
      <c r="AT33" s="2567" t="n"/>
      <c r="AU33" s="2567" t="n"/>
      <c r="AV33" s="2567" t="n"/>
      <c r="AW33" s="2567" t="n"/>
      <c r="AX33" s="2567" t="n"/>
      <c r="AY33" s="2567" t="n"/>
      <c r="AZ33" s="2567" t="n"/>
      <c r="BA33" s="2567" t="n"/>
      <c r="BB33" s="2567" t="n"/>
      <c r="BC33" s="2567" t="n"/>
      <c r="BD33" s="2567" t="n"/>
      <c r="BE33" s="2567" t="n"/>
      <c r="BF33" s="2567" t="n"/>
      <c r="BG33" s="2567" t="n"/>
      <c r="BI33" s="1997" t="n"/>
      <c r="BJ33" s="1997" t="n"/>
      <c r="BK33" s="1997" t="n"/>
      <c r="CD33" s="4201">
        <f>CD20</f>
        <v/>
      </c>
      <c r="CE33" s="2567" t="n"/>
      <c r="CF33" s="2598" t="n"/>
      <c r="CG33" s="2598" t="n"/>
      <c r="CH33" s="2567" t="n"/>
      <c r="CI33" s="2598" t="n"/>
      <c r="CJ33" s="2567" t="n"/>
      <c r="CK33" s="4241" t="inlineStr">
        <is>
          <t>Nutrient poor</t>
        </is>
      </c>
      <c r="CL33" s="4241" t="n"/>
      <c r="CM33" s="4241" t="n"/>
      <c r="CN33" s="2567" t="n"/>
      <c r="CO33" s="2567" t="n"/>
      <c r="CP33" s="2567" t="n"/>
      <c r="CQ33" s="2567" t="n"/>
      <c r="CT33" s="2567" t="n"/>
      <c r="CU33" s="2567" t="n"/>
      <c r="CV33" s="2567" t="n"/>
      <c r="CW33" s="2567" t="n"/>
      <c r="CX33" s="2567" t="n"/>
      <c r="CY33" s="2567" t="n"/>
      <c r="CZ33" s="2567" t="n"/>
      <c r="DA33" s="2567" t="n"/>
      <c r="DB33" s="2567" t="n"/>
      <c r="DC33" s="2567" t="n"/>
      <c r="DD33" s="2567" t="n"/>
      <c r="DE33" s="2567" t="n"/>
      <c r="DF33" s="2567" t="n"/>
      <c r="DG33" s="2567" t="n"/>
      <c r="DH33" s="2567" t="n"/>
      <c r="DI33" s="2567" t="n"/>
      <c r="DJ33" s="2567" t="n"/>
      <c r="DK33" s="2567" t="n"/>
      <c r="DL33" s="2567" t="n"/>
      <c r="DM33" s="2567" t="n"/>
      <c r="DN33" s="2567" t="n"/>
      <c r="DO33" s="2567" t="n"/>
      <c r="DP33" s="2567" t="n"/>
      <c r="DU33" s="2598">
        <f>DU67</f>
        <v/>
      </c>
      <c r="DV33" s="2598" t="n"/>
      <c r="DW33" s="2598" t="n"/>
      <c r="DX33" s="2598" t="n"/>
      <c r="DY33" s="2598" t="n"/>
      <c r="DZ33" s="2598" t="n"/>
      <c r="EA33" s="2598" t="n"/>
      <c r="EB33" s="2598" t="n"/>
      <c r="EC33" s="2598" t="n"/>
      <c r="ED33" s="2598" t="n"/>
      <c r="EE33" s="2598" t="n"/>
      <c r="EF33" s="2598" t="n"/>
      <c r="EG33" s="2598" t="n"/>
      <c r="EH33" s="2598" t="n"/>
    </row>
    <row r="34">
      <c r="B34" s="1961" t="n"/>
      <c r="C34" s="1961">
        <f>Languages!B23</f>
        <v/>
      </c>
      <c r="D34" s="1961" t="n"/>
      <c r="E34" s="1961" t="n"/>
      <c r="F34" s="1961" t="n"/>
      <c r="G34" s="1961" t="n"/>
      <c r="H34" s="1961" t="n"/>
      <c r="I34" s="1961" t="n"/>
      <c r="J34" s="1961" t="n"/>
      <c r="K34" s="1961" t="n"/>
      <c r="L34" s="1961" t="n"/>
      <c r="M34" s="1961" t="n"/>
      <c r="N34" s="1961" t="n"/>
      <c r="O34" s="1961" t="n"/>
      <c r="P34" s="1961" t="n"/>
      <c r="Q34" s="1961" t="n"/>
      <c r="R34" s="1961" t="n"/>
      <c r="S34" s="1961" t="n"/>
      <c r="T34" s="1961" t="n"/>
      <c r="U34" s="1961" t="n"/>
      <c r="V34" s="1961" t="n"/>
      <c r="W34" s="1961" t="n"/>
      <c r="X34" s="1961" t="n"/>
      <c r="Y34" s="1961" t="n"/>
      <c r="Z34" s="1961" t="n"/>
      <c r="AA34" s="1961" t="n"/>
      <c r="AB34" s="4358" t="n"/>
      <c r="AC34" s="4358" t="n"/>
      <c r="AD34" s="4358" t="n"/>
      <c r="AE34" s="4358" t="n"/>
      <c r="AF34" s="4358" t="n"/>
      <c r="AG34" s="4358" t="n"/>
      <c r="AH34" s="1961" t="n"/>
      <c r="AI34" s="4359" t="n"/>
      <c r="AS34" s="2323">
        <f>'5.Management'!AQ24</f>
        <v/>
      </c>
      <c r="AT34" s="2598" t="n"/>
      <c r="AU34" s="2598" t="n"/>
      <c r="AV34" s="2598" t="n"/>
      <c r="AW34" s="2598" t="n"/>
      <c r="AX34" s="2598" t="n"/>
      <c r="AY34" s="2598" t="n"/>
      <c r="AZ34" s="2598" t="n"/>
      <c r="BA34" s="2598" t="n"/>
      <c r="BB34" s="2598" t="n"/>
      <c r="BC34" s="2598" t="n"/>
      <c r="BD34" s="2598" t="n"/>
      <c r="BE34" s="2598" t="n"/>
      <c r="BF34" s="2598" t="n"/>
      <c r="BG34" s="2598" t="n"/>
      <c r="BI34" s="1997" t="n"/>
      <c r="BJ34" s="1997" t="n"/>
      <c r="BK34" s="1997" t="n"/>
      <c r="CD34" s="2598">
        <f>AS33</f>
        <v/>
      </c>
      <c r="CE34" s="2598" t="n"/>
      <c r="CF34" s="2598" t="n"/>
      <c r="CG34" s="2598" t="n"/>
      <c r="CH34" s="2598" t="n"/>
      <c r="CI34" s="2598" t="n"/>
      <c r="CJ34" s="2598" t="n"/>
      <c r="CK34" s="2598" t="n"/>
      <c r="CL34" s="2598" t="n"/>
      <c r="CM34" s="2598" t="n"/>
      <c r="CN34" s="2598" t="n"/>
      <c r="CO34" s="2598" t="n"/>
      <c r="CP34" s="2598" t="n"/>
      <c r="CQ34" s="2598" t="n"/>
      <c r="CT34" s="2598">
        <f>CD34</f>
        <v/>
      </c>
      <c r="CU34" s="2598" t="n"/>
      <c r="CV34" s="2598" t="n"/>
      <c r="CW34" s="2598" t="n"/>
      <c r="CX34" s="2598" t="n"/>
      <c r="CY34" s="2598" t="n"/>
      <c r="CZ34" s="2598" t="n"/>
      <c r="DA34" s="2598" t="n"/>
      <c r="DB34" s="2598" t="n"/>
      <c r="DC34" s="2598" t="n"/>
      <c r="DD34" s="2598" t="n"/>
      <c r="DE34" s="2598" t="n"/>
      <c r="DF34" s="2598" t="n"/>
      <c r="DG34" s="2598" t="n"/>
      <c r="DH34" s="2598" t="n"/>
      <c r="DI34" s="2598" t="n"/>
      <c r="DJ34" s="2598" t="n"/>
      <c r="DK34" s="2598" t="n"/>
      <c r="DL34" s="2598" t="n"/>
      <c r="DM34" s="2598" t="n"/>
      <c r="DN34" s="2598" t="n"/>
      <c r="DO34" s="2598" t="n"/>
      <c r="DP34" s="2598" t="n"/>
      <c r="DU34" s="2598">
        <f>DU68</f>
        <v/>
      </c>
      <c r="DV34" s="2598" t="n"/>
      <c r="DW34" s="2598" t="n"/>
      <c r="DX34" s="2598" t="n"/>
      <c r="DY34" s="2598" t="n"/>
      <c r="DZ34" s="2598" t="n"/>
      <c r="EA34" s="2598" t="n"/>
      <c r="EB34" s="2598" t="n"/>
      <c r="EC34" s="2598" t="n"/>
      <c r="ED34" s="2598" t="n"/>
      <c r="EE34" s="2598" t="n"/>
      <c r="EF34" s="2598" t="n"/>
      <c r="EG34" s="2598" t="n"/>
      <c r="EH34" s="2598" t="n"/>
    </row>
    <row r="35">
      <c r="AS35" s="2323" t="n"/>
      <c r="AT35" s="2598" t="n"/>
      <c r="AU35" s="2598" t="n"/>
      <c r="AV35" s="2598" t="n"/>
      <c r="AW35" s="2598" t="n"/>
      <c r="AX35" s="2598" t="n"/>
      <c r="AY35" s="2598" t="n"/>
      <c r="AZ35" s="2598" t="n"/>
      <c r="BA35" s="2598" t="n"/>
      <c r="BB35" s="2598" t="n"/>
      <c r="BC35" s="2598" t="n"/>
      <c r="BD35" s="2598" t="n"/>
      <c r="BE35" s="2598" t="n"/>
      <c r="BF35" s="2598" t="n"/>
      <c r="BG35" s="2598" t="n"/>
      <c r="BI35" s="1997" t="n"/>
      <c r="BJ35" s="1997" t="n"/>
      <c r="BK35" s="1997" t="n"/>
      <c r="CD35" s="2598">
        <f>AS34</f>
        <v/>
      </c>
      <c r="CE35" s="2598" t="n"/>
      <c r="CF35" s="2598" t="n"/>
      <c r="CG35" s="2598" t="n"/>
      <c r="CH35" s="2598" t="n"/>
      <c r="CI35" s="2598" t="n"/>
      <c r="CJ35" s="2598" t="n"/>
      <c r="CK35" s="2598" t="n"/>
      <c r="CL35" s="2598" t="n"/>
      <c r="CM35" s="2598" t="n"/>
      <c r="CN35" s="2598" t="n"/>
      <c r="CO35" s="2598" t="n"/>
      <c r="CP35" s="2598" t="n"/>
      <c r="CQ35" s="2598" t="n"/>
      <c r="CT35" s="2598">
        <f>CD35</f>
        <v/>
      </c>
      <c r="CU35" s="2598" t="n"/>
      <c r="CV35" s="2598" t="n"/>
      <c r="CW35" s="2598" t="n"/>
      <c r="CX35" s="2598" t="n"/>
      <c r="CY35" s="2598" t="n"/>
      <c r="CZ35" s="2598" t="n"/>
      <c r="DA35" s="2598" t="n"/>
      <c r="DB35" s="2598" t="n"/>
      <c r="DC35" s="2598" t="n"/>
      <c r="DD35" s="2598" t="n"/>
      <c r="DE35" s="2598" t="n"/>
      <c r="DF35" s="2598" t="n"/>
      <c r="DG35" s="2598" t="n"/>
      <c r="DH35" s="2598" t="n"/>
      <c r="DI35" s="2598" t="n"/>
      <c r="DJ35" s="2598" t="n"/>
      <c r="DK35" s="2598" t="n"/>
      <c r="DL35" s="2598" t="n"/>
      <c r="DM35" s="2598" t="n"/>
      <c r="DN35" s="2598" t="n"/>
      <c r="DO35" s="2598" t="n"/>
      <c r="DP35" s="2598" t="n"/>
    </row>
    <row r="36">
      <c r="AS36" s="4202" t="n"/>
    </row>
    <row r="37">
      <c r="AS37" s="4202" t="n"/>
    </row>
    <row r="38">
      <c r="AS38" s="4202" t="n"/>
    </row>
    <row r="39">
      <c r="AS39" s="4202" t="n"/>
    </row>
    <row r="41" ht="45" customHeight="1">
      <c r="B41" s="1874" t="n"/>
      <c r="C41" s="2549">
        <f>Languages!B341</f>
        <v/>
      </c>
      <c r="D41" s="1769" t="n"/>
      <c r="E41" s="1769" t="n"/>
      <c r="F41" s="1769" t="n"/>
      <c r="G41" s="1769" t="n"/>
      <c r="H41" s="1769" t="n"/>
      <c r="I41" s="1769" t="n"/>
      <c r="J41" s="1769" t="n"/>
      <c r="K41" s="4233" t="n"/>
      <c r="L41" s="1769" t="n"/>
      <c r="M41" s="1769" t="n"/>
      <c r="N41" s="1769" t="n"/>
      <c r="O41" s="1769" t="n"/>
      <c r="P41" s="1769" t="n"/>
      <c r="Q41" s="1769" t="n"/>
      <c r="R41" s="1769" t="n"/>
      <c r="S41" s="1769" t="n"/>
      <c r="T41" s="1769" t="n"/>
      <c r="U41" s="1769" t="n"/>
      <c r="V41" s="1769" t="n"/>
      <c r="W41" s="1769" t="n"/>
      <c r="X41" s="1769" t="n"/>
      <c r="Y41" s="1979">
        <f>Z7</f>
        <v/>
      </c>
      <c r="Z41" s="1769" t="n"/>
      <c r="AA41" s="1769" t="n"/>
      <c r="AB41" s="1769" t="n"/>
      <c r="AC41" s="1769" t="n"/>
      <c r="AD41" s="1769" t="n"/>
      <c r="AE41" s="1769" t="n"/>
      <c r="AF41" s="1769" t="n"/>
      <c r="AG41" s="1769" t="n"/>
      <c r="AH41" s="1769" t="n"/>
      <c r="AI41" s="1769" t="n"/>
      <c r="AS41" s="1978">
        <f>C41</f>
        <v/>
      </c>
      <c r="AT41" s="1977" t="n"/>
      <c r="AU41" s="1977" t="n"/>
      <c r="AV41" s="1977" t="n"/>
      <c r="AW41" s="1977" t="n"/>
      <c r="AX41" s="1977" t="n"/>
      <c r="AY41" s="1977" t="n"/>
      <c r="AZ41" s="1977" t="n"/>
      <c r="BA41" s="1977" t="n"/>
      <c r="BB41" s="1977" t="n"/>
      <c r="BC41" s="1977" t="n"/>
      <c r="BD41" s="1977" t="n"/>
      <c r="BE41" s="1977" t="n"/>
      <c r="BF41" s="1977" t="n"/>
      <c r="BG41" s="1977" t="n"/>
      <c r="BH41" s="1977" t="n"/>
      <c r="BI41" s="1977" t="n"/>
      <c r="BJ41" s="1977" t="n"/>
      <c r="BK41" s="1977" t="n"/>
      <c r="BL41" s="1977" t="n"/>
      <c r="BM41" s="1977" t="n"/>
      <c r="BN41" s="1977" t="n"/>
      <c r="BO41" s="1977" t="n"/>
      <c r="BP41" s="1977" t="n"/>
      <c r="BR41" s="4404" t="inlineStr">
        <is>
          <t>Annual balance</t>
        </is>
      </c>
      <c r="BS41" s="4404" t="n"/>
      <c r="BT41" s="4404" t="n"/>
      <c r="CD41" s="1976">
        <f>Languages!B358</f>
        <v/>
      </c>
      <c r="CE41" s="1977" t="n"/>
      <c r="CF41" s="1977" t="n"/>
      <c r="CG41" s="1977" t="n"/>
      <c r="CH41" s="1977" t="n"/>
      <c r="CI41" s="1977" t="n"/>
      <c r="CJ41" s="1977" t="n"/>
      <c r="CK41" s="1977" t="n"/>
      <c r="CL41" s="1977" t="n"/>
      <c r="CM41" s="1977" t="n"/>
      <c r="CN41" s="1977" t="n"/>
      <c r="CO41" s="1977" t="n"/>
      <c r="CP41" s="1977" t="n"/>
      <c r="CQ41" s="1977" t="n"/>
      <c r="CT41" s="1976">
        <f>Languages!B365</f>
        <v/>
      </c>
      <c r="CU41" s="1977" t="n"/>
      <c r="CV41" s="1977" t="n"/>
      <c r="CW41" s="1977" t="n"/>
      <c r="CX41" s="1977" t="n"/>
      <c r="CY41" s="1977" t="n"/>
      <c r="CZ41" s="1977" t="n"/>
      <c r="DA41" s="1977" t="n"/>
      <c r="DB41" s="1977" t="n"/>
      <c r="DC41" s="1977" t="n"/>
      <c r="DD41" s="1977" t="n"/>
      <c r="DE41" s="1977" t="n"/>
      <c r="DF41" s="1977" t="n"/>
      <c r="DG41" s="1977" t="n"/>
      <c r="DH41" s="1977" t="n"/>
      <c r="DI41" s="1977" t="n"/>
      <c r="DJ41" s="1977" t="n"/>
      <c r="DK41" s="1977" t="n"/>
      <c r="DL41" s="1977" t="n"/>
      <c r="DM41" s="1977" t="n"/>
      <c r="DN41" s="1977" t="n"/>
      <c r="DO41" s="1977" t="n"/>
      <c r="DP41" s="1977" t="n"/>
      <c r="DU41" s="1976">
        <f>Languages!B375</f>
        <v/>
      </c>
      <c r="DV41" s="1977" t="n"/>
      <c r="DW41" s="1977" t="n"/>
      <c r="DX41" s="1977" t="n"/>
      <c r="DY41" s="1977" t="n"/>
      <c r="DZ41" s="1977" t="n"/>
      <c r="EA41" s="1977" t="n"/>
      <c r="EB41" s="1977" t="n"/>
      <c r="EC41" s="1977" t="n"/>
      <c r="ED41" s="1977" t="n"/>
      <c r="EE41" s="1977" t="n"/>
      <c r="EF41" s="1977" t="n"/>
      <c r="EG41" s="1977" t="n"/>
      <c r="EH41" s="1977" t="n"/>
    </row>
    <row r="42" ht="18.5" customHeight="1">
      <c r="B42" s="1961" t="n"/>
      <c r="C42" s="1961" t="n"/>
      <c r="D42" s="1961" t="n"/>
      <c r="E42" s="1961" t="n"/>
      <c r="F42" s="1961" t="n"/>
      <c r="G42" s="1961" t="n"/>
      <c r="H42" s="1961" t="n"/>
      <c r="I42" s="1961" t="n"/>
      <c r="J42" s="1961" t="n"/>
      <c r="K42" s="1961" t="n"/>
      <c r="L42" s="1961" t="n"/>
      <c r="M42" s="1961" t="n"/>
      <c r="N42" s="1961" t="n"/>
      <c r="O42" s="1961" t="n"/>
      <c r="P42" s="1961" t="n"/>
      <c r="Q42" s="1961" t="n"/>
      <c r="R42" s="1961" t="n"/>
      <c r="S42" s="1961" t="n"/>
      <c r="T42" s="1961" t="n"/>
      <c r="U42" s="1838" t="n"/>
      <c r="V42" s="1838" t="n"/>
      <c r="W42" s="4569">
        <f>W9</f>
        <v/>
      </c>
      <c r="Z42" s="1838" t="n"/>
      <c r="AA42" s="1838" t="n"/>
      <c r="AB42" s="2113" t="n"/>
      <c r="AC42" s="2113" t="n"/>
      <c r="AD42" s="2113" t="n"/>
      <c r="AE42" s="1961" t="n"/>
      <c r="AF42" s="1961" t="n"/>
      <c r="AG42" s="1961" t="n"/>
      <c r="AH42" s="1961" t="n"/>
      <c r="AI42" s="1961" t="n"/>
      <c r="AS42" s="2598" t="n"/>
      <c r="AT42" s="2598" t="n"/>
      <c r="AU42" s="2598" t="n"/>
      <c r="AV42" s="2598" t="n"/>
      <c r="AW42" s="2598" t="n"/>
      <c r="AX42" s="2598" t="n"/>
      <c r="AY42" s="2598" t="n"/>
      <c r="AZ42" s="2598" t="n"/>
      <c r="BA42" s="2598" t="n"/>
      <c r="BB42" s="2598" t="n"/>
      <c r="BC42" s="2598" t="n"/>
      <c r="BD42" s="2598" t="n"/>
      <c r="BE42" s="2598" t="n"/>
      <c r="BF42" s="2598" t="n"/>
      <c r="BG42" s="2598" t="n"/>
      <c r="BH42" s="2598" t="n"/>
      <c r="BI42" s="2598" t="n"/>
      <c r="BJ42" s="2598" t="n"/>
      <c r="BK42" s="2598" t="n"/>
      <c r="BL42" s="2598" t="n"/>
      <c r="BM42" s="2598" t="n"/>
      <c r="BN42" s="2598" t="n"/>
      <c r="BO42" s="2598" t="n"/>
      <c r="BP42" s="2598" t="n"/>
      <c r="BR42" s="2598" t="n"/>
      <c r="BS42" s="2598" t="n"/>
      <c r="BT42" s="2598" t="n"/>
      <c r="CD42" s="2598" t="n"/>
      <c r="CE42" s="2598" t="n"/>
      <c r="CF42" s="4176">
        <f>Languages!B334</f>
        <v/>
      </c>
      <c r="CG42" s="4176" t="n"/>
      <c r="CH42" s="4176" t="n"/>
      <c r="CI42" s="4176" t="n"/>
      <c r="CJ42" s="4176" t="n"/>
      <c r="CK42" s="4176" t="n"/>
      <c r="CL42" s="4181" t="n"/>
      <c r="CM42" s="4176">
        <f>CM9</f>
        <v/>
      </c>
      <c r="CN42" s="4176" t="n"/>
      <c r="CO42" s="4176" t="n"/>
      <c r="CP42" s="4176" t="n"/>
      <c r="CQ42" s="2598" t="n"/>
      <c r="CT42" s="2598" t="n"/>
      <c r="CU42" s="2598" t="n"/>
      <c r="CV42" s="2598" t="n"/>
      <c r="CW42" s="2598" t="n"/>
      <c r="CX42" s="2598" t="n"/>
      <c r="CY42" s="2598" t="n"/>
      <c r="CZ42" s="4176">
        <f>CZ9</f>
        <v/>
      </c>
      <c r="DA42" s="4176" t="n"/>
      <c r="DB42" s="4177" t="n"/>
      <c r="DC42" s="4177" t="n"/>
      <c r="DD42" s="4177" t="n"/>
      <c r="DE42" s="4177" t="n"/>
      <c r="DF42" s="4177" t="n"/>
      <c r="DG42" s="2598" t="n"/>
      <c r="DH42" s="4176">
        <f>DH9</f>
        <v/>
      </c>
      <c r="DI42" s="4177" t="n"/>
      <c r="DJ42" s="4177" t="n"/>
      <c r="DK42" s="4177" t="n"/>
      <c r="DL42" s="4177" t="n"/>
      <c r="DM42" s="4177" t="n"/>
      <c r="DN42" s="4177" t="n"/>
      <c r="DO42" s="4177" t="n"/>
      <c r="DP42" s="2598" t="n"/>
      <c r="DU42" s="2598" t="n"/>
      <c r="DV42" s="2598" t="n"/>
      <c r="DW42" s="2598" t="n"/>
      <c r="DX42" s="2598" t="n"/>
      <c r="DY42" s="2598" t="n"/>
      <c r="DZ42" s="2598" t="n"/>
      <c r="EA42" s="2598" t="n"/>
      <c r="EB42" s="2598" t="n"/>
      <c r="EC42" s="2598" t="n"/>
      <c r="ED42" s="2598" t="n"/>
      <c r="EE42" s="2598" t="n"/>
      <c r="EF42" s="2598" t="n"/>
      <c r="EG42" s="2598" t="n"/>
      <c r="EH42" s="2598" t="n"/>
    </row>
    <row r="43" ht="18.75" customHeight="1">
      <c r="B43" s="1961" t="n"/>
      <c r="C43" s="1834">
        <f>Languages!B18</f>
        <v/>
      </c>
      <c r="D43" s="4178" t="n"/>
      <c r="E43" s="1834" t="n"/>
      <c r="F43" s="4178" t="n"/>
      <c r="G43" s="1780">
        <f>Languages!B61</f>
        <v/>
      </c>
      <c r="H43" s="4178" t="n"/>
      <c r="I43" s="4225">
        <f>Languages!B19</f>
        <v/>
      </c>
      <c r="J43" s="4179" t="n"/>
      <c r="K43" s="4179" t="n"/>
      <c r="L43" s="4178" t="n"/>
      <c r="M43" s="4178" t="n"/>
      <c r="N43" s="4390">
        <f>Languages!B70</f>
        <v/>
      </c>
      <c r="O43" s="4390" t="n"/>
      <c r="P43" s="4390" t="n"/>
      <c r="Q43" s="4390" t="n"/>
      <c r="R43" s="4178" t="n"/>
      <c r="S43" s="1961" t="n"/>
      <c r="T43" s="4178" t="n"/>
      <c r="U43" s="1838" t="n"/>
      <c r="V43" s="1838" t="n"/>
      <c r="W43" s="341" t="n"/>
      <c r="X43" s="341" t="n"/>
      <c r="Y43" s="341" t="n"/>
      <c r="Z43" s="1838" t="n"/>
      <c r="AA43" s="1838" t="n"/>
      <c r="AB43" s="1838" t="n"/>
      <c r="AC43" s="1838" t="n"/>
      <c r="AD43" s="4180" t="n"/>
      <c r="AE43" s="4179">
        <f>AE10</f>
        <v/>
      </c>
      <c r="AF43" s="4180" t="n"/>
      <c r="AG43" s="4180" t="n"/>
      <c r="AH43" s="4180" t="n"/>
      <c r="AI43" s="4180" t="n"/>
      <c r="AS43" s="2598" t="n"/>
      <c r="AT43" s="4181">
        <f>I43</f>
        <v/>
      </c>
      <c r="AU43" s="2598" t="n"/>
      <c r="AV43" s="2598" t="n"/>
      <c r="AW43" s="2598" t="n"/>
      <c r="AX43" s="4181">
        <f>Languages!B404</f>
        <v/>
      </c>
      <c r="AY43" s="2598" t="n"/>
      <c r="AZ43" s="2598" t="n"/>
      <c r="BA43" s="2598" t="n"/>
      <c r="BB43" s="2598" t="n"/>
      <c r="BC43" s="2598" t="n"/>
      <c r="BD43" s="2598" t="n"/>
      <c r="BE43" s="2598" t="n"/>
      <c r="BF43" s="2598" t="n"/>
      <c r="BG43" s="2598" t="n"/>
      <c r="BH43" s="2598" t="n"/>
      <c r="BI43" s="2598" t="n"/>
      <c r="BJ43" s="2598" t="n"/>
      <c r="BK43" s="2598" t="n"/>
      <c r="BL43" s="2598" t="n"/>
      <c r="BM43" s="2598" t="n"/>
      <c r="BN43" s="2598" t="n"/>
      <c r="BO43" s="2598" t="n"/>
      <c r="BP43" s="2598" t="n"/>
      <c r="BQ43" s="4204" t="n"/>
      <c r="BR43" s="1784" t="n"/>
      <c r="BS43" s="1784" t="n"/>
      <c r="BT43" s="1997" t="n"/>
      <c r="CD43" s="2598" t="n"/>
      <c r="CE43" s="2598" t="n"/>
      <c r="CF43" s="2567">
        <f>CF10</f>
        <v/>
      </c>
      <c r="CG43" s="2567" t="n"/>
      <c r="CH43" s="2567">
        <f>CH10</f>
        <v/>
      </c>
      <c r="CI43" s="2567" t="n"/>
      <c r="CJ43" s="2567">
        <f>CJ10</f>
        <v/>
      </c>
      <c r="CK43" s="2567" t="n"/>
      <c r="CL43" s="2567" t="n"/>
      <c r="CM43" s="2567">
        <f>CM10</f>
        <v/>
      </c>
      <c r="CN43" s="2567" t="n"/>
      <c r="CO43" s="2567">
        <f>CO10</f>
        <v/>
      </c>
      <c r="CP43" s="2567" t="n"/>
      <c r="CQ43" s="2567" t="n"/>
      <c r="CT43" s="2598" t="n"/>
      <c r="CU43" s="2598" t="n"/>
      <c r="CV43" s="4176">
        <f>N43</f>
        <v/>
      </c>
      <c r="CW43" s="4177" t="n"/>
      <c r="CX43" s="4177" t="n"/>
      <c r="CY43" s="2598" t="n"/>
      <c r="CZ43" s="2598" t="n"/>
      <c r="DA43" s="4187" t="n"/>
      <c r="DB43" s="4187">
        <f>CV44</f>
        <v/>
      </c>
      <c r="DC43" s="2598" t="n"/>
      <c r="DD43" s="2598" t="n"/>
      <c r="DE43" s="4186">
        <f>DE10</f>
        <v/>
      </c>
      <c r="DF43" s="2598" t="n"/>
      <c r="DG43" s="2598" t="n"/>
      <c r="DH43" s="4183">
        <f>DH10</f>
        <v/>
      </c>
      <c r="DI43" s="4183" t="n"/>
      <c r="DJ43" s="4183">
        <f>DJ10</f>
        <v/>
      </c>
      <c r="DK43" s="4183" t="n"/>
      <c r="DL43" s="4183">
        <f>DL10</f>
        <v/>
      </c>
      <c r="DM43" s="4183" t="n"/>
      <c r="DN43" s="4183">
        <f>DN10</f>
        <v/>
      </c>
      <c r="DO43" s="4181" t="n"/>
      <c r="DP43" s="2598" t="n"/>
      <c r="DU43" s="2598" t="n"/>
      <c r="DV43" s="2598" t="n"/>
      <c r="DW43" s="2598" t="n"/>
      <c r="DX43" s="4176" t="inlineStr">
        <is>
          <t>On site emissions factor</t>
        </is>
      </c>
      <c r="DY43" s="4177" t="n"/>
      <c r="DZ43" s="4177" t="n"/>
      <c r="EA43" s="4177" t="n"/>
      <c r="EB43" s="4177" t="n"/>
      <c r="EC43" s="4177" t="n"/>
      <c r="ED43" s="2598" t="n"/>
      <c r="EE43" s="4176" t="inlineStr">
        <is>
          <t>Off-site emission factor</t>
        </is>
      </c>
      <c r="EF43" s="4177" t="n"/>
      <c r="EG43" s="4177" t="n"/>
      <c r="EH43" s="2598" t="n"/>
    </row>
    <row r="44">
      <c r="B44" s="1961" t="n"/>
      <c r="C44" s="1838" t="n"/>
      <c r="D44" s="1961" t="n"/>
      <c r="E44" s="1838" t="n"/>
      <c r="F44" s="1961" t="n"/>
      <c r="G44" s="1985">
        <f>Languages!B62</f>
        <v/>
      </c>
      <c r="H44" s="1961" t="n"/>
      <c r="I44" s="1838">
        <f>Languages!B24</f>
        <v/>
      </c>
      <c r="J44" s="1961" t="n"/>
      <c r="K44" s="1838">
        <f>K11</f>
        <v/>
      </c>
      <c r="L44" s="1961" t="n"/>
      <c r="M44" s="1961" t="n"/>
      <c r="N44" s="1961" t="n"/>
      <c r="O44" s="1961" t="n"/>
      <c r="P44" s="1961" t="n"/>
      <c r="Q44" s="1961" t="n"/>
      <c r="R44" s="1961" t="n"/>
      <c r="S44" s="1961" t="n"/>
      <c r="T44" s="1961" t="n"/>
      <c r="U44" s="1838" t="n"/>
      <c r="V44" s="1838" t="n"/>
      <c r="W44" s="1838" t="n"/>
      <c r="X44" s="1838">
        <f>X11</f>
        <v/>
      </c>
      <c r="Y44" s="1838" t="n"/>
      <c r="Z44" s="1838" t="n"/>
      <c r="AA44" s="1838" t="n"/>
      <c r="AB44" s="1838" t="n"/>
      <c r="AC44" s="1838" t="n"/>
      <c r="AD44" s="1961" t="n"/>
      <c r="AE44" s="1961" t="n"/>
      <c r="AF44" s="1961" t="n"/>
      <c r="AG44" s="1961" t="n"/>
      <c r="AH44" s="1961" t="n"/>
      <c r="AI44" s="1961" t="n"/>
      <c r="AS44" s="2598" t="n"/>
      <c r="AT44" s="2598" t="n"/>
      <c r="AU44" s="2598" t="n"/>
      <c r="AV44" s="2598" t="n"/>
      <c r="AW44" s="2598" t="n"/>
      <c r="AX44" s="2598" t="n"/>
      <c r="AY44" s="2598" t="n"/>
      <c r="AZ44" s="2598" t="n"/>
      <c r="BA44" s="2598" t="n"/>
      <c r="BB44" s="2598" t="n"/>
      <c r="BC44" s="2598" t="n"/>
      <c r="BD44" s="2598" t="n"/>
      <c r="BE44" s="2598" t="n"/>
      <c r="BF44" s="2598" t="n"/>
      <c r="BG44" s="2598" t="n"/>
      <c r="BH44" s="2598" t="n"/>
      <c r="BI44" s="2598" t="n"/>
      <c r="BJ44" s="2598" t="n"/>
      <c r="BK44" s="2598" t="n"/>
      <c r="BL44" s="2598" t="n"/>
      <c r="BM44" s="2598" t="n"/>
      <c r="BN44" s="2598" t="n"/>
      <c r="BO44" s="2598" t="n"/>
      <c r="BP44" s="2598" t="n"/>
      <c r="BQ44" s="1818" t="n"/>
      <c r="BR44" s="1890" t="inlineStr">
        <is>
          <t xml:space="preserve">Start year of </t>
        </is>
      </c>
      <c r="BS44" s="1890" t="n"/>
      <c r="BT44" s="1997" t="n"/>
      <c r="CD44" s="2598" t="n"/>
      <c r="CE44" s="4181">
        <f>CE10</f>
        <v/>
      </c>
      <c r="CF44" s="2567">
        <f>CF11</f>
        <v/>
      </c>
      <c r="CG44" s="2567" t="n"/>
      <c r="CH44" s="2567">
        <f>CH11</f>
        <v/>
      </c>
      <c r="CI44" s="2567" t="n"/>
      <c r="CJ44" s="2567">
        <f>CJ11</f>
        <v/>
      </c>
      <c r="CK44" s="2567" t="n"/>
      <c r="CL44" s="2567" t="n"/>
      <c r="CM44" s="2567">
        <f>CM11</f>
        <v/>
      </c>
      <c r="CN44" s="2567" t="n"/>
      <c r="CO44" s="2567">
        <f>CO11</f>
        <v/>
      </c>
      <c r="CP44" s="2567" t="n"/>
      <c r="CQ44" s="2567" t="n"/>
      <c r="CT44" s="2598" t="n"/>
      <c r="CU44" s="4181">
        <f>DV56</f>
        <v/>
      </c>
      <c r="CV44" s="2567">
        <f>CV10</f>
        <v/>
      </c>
      <c r="CW44" s="2567">
        <f>CW10</f>
        <v/>
      </c>
      <c r="CX44" s="2598" t="n"/>
      <c r="CY44" s="2598" t="n"/>
      <c r="CZ44" s="2567">
        <f>CZ11</f>
        <v/>
      </c>
      <c r="DA44" s="2598" t="n"/>
      <c r="DB44" s="2567">
        <f>DB11</f>
        <v/>
      </c>
      <c r="DC44" s="2567">
        <f>DC11</f>
        <v/>
      </c>
      <c r="DD44" s="2567" t="n"/>
      <c r="DE44" s="2567">
        <f>DB44</f>
        <v/>
      </c>
      <c r="DF44" s="2567">
        <f>DC44</f>
        <v/>
      </c>
      <c r="DG44" s="2598" t="n"/>
      <c r="DH44" s="4189">
        <f>DH11</f>
        <v/>
      </c>
      <c r="DI44" s="4189" t="n"/>
      <c r="DJ44" s="4189">
        <f>DJ11</f>
        <v/>
      </c>
      <c r="DK44" s="4189" t="n"/>
      <c r="DL44" s="4189">
        <f>DL11</f>
        <v/>
      </c>
      <c r="DM44" s="4189" t="n"/>
      <c r="DN44" s="4189">
        <f>DN11</f>
        <v/>
      </c>
      <c r="DO44" s="4189" t="n"/>
      <c r="DP44" s="4181" t="n"/>
      <c r="DU44" s="2598" t="n"/>
      <c r="DV44" s="4181">
        <f>DV22</f>
        <v/>
      </c>
      <c r="DW44" s="2598" t="n"/>
      <c r="DX44" s="2598" t="inlineStr">
        <is>
          <t>CO2 on site</t>
        </is>
      </c>
      <c r="DY44" s="2598" t="n"/>
      <c r="DZ44" s="2598" t="inlineStr">
        <is>
          <t>CH4 on-site</t>
        </is>
      </c>
      <c r="EA44" s="2598" t="n"/>
      <c r="EB44" s="2598" t="inlineStr">
        <is>
          <t>N2O</t>
        </is>
      </c>
      <c r="EC44" s="2598" t="n"/>
      <c r="ED44" s="2598" t="n"/>
      <c r="EE44" s="2598" t="inlineStr">
        <is>
          <t>DOC off-site</t>
        </is>
      </c>
      <c r="EF44" s="2598" t="n"/>
      <c r="EG44" s="2598" t="n"/>
      <c r="EH44" s="2598" t="n"/>
    </row>
    <row r="45">
      <c r="B45" s="1961" t="n"/>
      <c r="C45" s="1838" t="n"/>
      <c r="D45" s="1961" t="n"/>
      <c r="E45" s="1838" t="n"/>
      <c r="F45" s="1961" t="n"/>
      <c r="G45" s="1952" t="n"/>
      <c r="H45" s="1961" t="n"/>
      <c r="I45" s="1838" t="n"/>
      <c r="J45" s="1961" t="n"/>
      <c r="K45" s="1961" t="n"/>
      <c r="L45" s="1961" t="n"/>
      <c r="M45" s="1961" t="n"/>
      <c r="N45" s="1838">
        <f>N12</f>
        <v/>
      </c>
      <c r="O45" s="1961" t="inlineStr">
        <is>
          <t>*</t>
        </is>
      </c>
      <c r="P45" s="1838">
        <f>P12</f>
        <v/>
      </c>
      <c r="Q45" s="1838" t="inlineStr">
        <is>
          <t>*</t>
        </is>
      </c>
      <c r="R45" s="1961" t="n"/>
      <c r="S45" s="1961" t="n"/>
      <c r="T45" s="1961" t="n"/>
      <c r="U45" s="1838" t="n"/>
      <c r="V45" s="1838" t="n"/>
      <c r="W45" s="1838" t="n"/>
      <c r="X45" s="1838">
        <f>X12</f>
        <v/>
      </c>
      <c r="Y45" s="1838" t="n"/>
      <c r="Z45" s="1838" t="n"/>
      <c r="AA45" s="1838" t="n"/>
      <c r="AB45" s="1838" t="n"/>
      <c r="AC45" s="1838" t="n"/>
      <c r="AD45" s="1961" t="n"/>
      <c r="AE45" s="1838">
        <f>AE12</f>
        <v/>
      </c>
      <c r="AF45" s="1838">
        <f>AF12</f>
        <v/>
      </c>
      <c r="AG45" s="1834">
        <f>AG12</f>
        <v/>
      </c>
      <c r="AH45" s="1961" t="n"/>
      <c r="AI45" s="1961" t="n"/>
      <c r="AS45" s="2598" t="n"/>
      <c r="AT45" s="2598" t="n"/>
      <c r="AU45" s="2598" t="n"/>
      <c r="AV45" s="2598" t="n"/>
      <c r="AW45" s="2598" t="n"/>
      <c r="AX45" s="2598" t="n"/>
      <c r="AY45" s="4185" t="inlineStr">
        <is>
          <t>tC/ha</t>
        </is>
      </c>
      <c r="AZ45" s="2598" t="n"/>
      <c r="BA45" s="2598" t="n"/>
      <c r="BB45" s="2598" t="n"/>
      <c r="BC45" s="2598" t="n"/>
      <c r="BD45" s="2598" t="n"/>
      <c r="BE45" s="2598" t="n"/>
      <c r="BF45" s="2598" t="n"/>
      <c r="BG45" s="2598" t="n"/>
      <c r="BH45" s="2598" t="n"/>
      <c r="BI45" s="2598" t="n"/>
      <c r="BJ45" s="2598" t="n"/>
      <c r="BK45" s="2598" t="n"/>
      <c r="BL45" s="2598" t="n"/>
      <c r="BM45" s="2598" t="n"/>
      <c r="BN45" s="2598" t="n"/>
      <c r="BO45" s="2598" t="n"/>
      <c r="BP45" s="2598" t="n"/>
      <c r="BQ45" s="1818" t="n"/>
      <c r="BR45" s="2015" t="inlineStr">
        <is>
          <t>implementation</t>
        </is>
      </c>
      <c r="BS45" s="2015" t="n"/>
      <c r="BT45" s="1997" t="n"/>
      <c r="CD45" s="2598" t="n"/>
      <c r="CE45" s="2323" t="n"/>
      <c r="CF45" s="2567">
        <f>CF12</f>
        <v/>
      </c>
      <c r="CG45" s="2567">
        <f>CG12</f>
        <v/>
      </c>
      <c r="CH45" s="2567">
        <f>CH12</f>
        <v/>
      </c>
      <c r="CI45" s="2567">
        <f>CI12</f>
        <v/>
      </c>
      <c r="CJ45" s="2567">
        <f>CJ12</f>
        <v/>
      </c>
      <c r="CK45" s="2567">
        <f>CK12</f>
        <v/>
      </c>
      <c r="CL45" s="2567" t="n"/>
      <c r="CM45" s="2567">
        <f>CM12</f>
        <v/>
      </c>
      <c r="CN45" s="2567">
        <f>CN12</f>
        <v/>
      </c>
      <c r="CO45" s="2567">
        <f>CO12</f>
        <v/>
      </c>
      <c r="CP45" s="2567">
        <f>CP12</f>
        <v/>
      </c>
      <c r="CQ45" s="2567" t="n"/>
      <c r="CT45" s="2598" t="n"/>
      <c r="CU45" s="2598" t="n"/>
      <c r="CV45" s="2598" t="n"/>
      <c r="CW45" s="2598" t="n"/>
      <c r="CX45" s="2598" t="n"/>
      <c r="CY45" s="2598" t="n"/>
      <c r="CZ45" s="2598" t="n"/>
      <c r="DA45" s="2598" t="n"/>
      <c r="DB45" s="2567">
        <f>DB12</f>
        <v/>
      </c>
      <c r="DC45" s="2567">
        <f>DC12</f>
        <v/>
      </c>
      <c r="DD45" s="2567" t="n"/>
      <c r="DE45" s="2567">
        <f>DB45</f>
        <v/>
      </c>
      <c r="DF45" s="2567">
        <f>DC45</f>
        <v/>
      </c>
      <c r="DG45" s="2598" t="n"/>
      <c r="DH45" s="2567">
        <f>DH12</f>
        <v/>
      </c>
      <c r="DI45" s="2567">
        <f>DI12</f>
        <v/>
      </c>
      <c r="DJ45" s="2567">
        <f>DH45</f>
        <v/>
      </c>
      <c r="DK45" s="2567">
        <f>DI45</f>
        <v/>
      </c>
      <c r="DL45" s="2567">
        <f>DJ45</f>
        <v/>
      </c>
      <c r="DM45" s="2567">
        <f>DK45</f>
        <v/>
      </c>
      <c r="DN45" s="2567">
        <f>DL45</f>
        <v/>
      </c>
      <c r="DO45" s="2567">
        <f>DM45</f>
        <v/>
      </c>
      <c r="DP45" s="2598" t="n"/>
      <c r="DU45" s="2598" t="n"/>
      <c r="DV45" s="2598" t="n"/>
      <c r="DW45" s="2598" t="n"/>
      <c r="DX45" s="2598" t="inlineStr">
        <is>
          <t>tC/ha/yr</t>
        </is>
      </c>
      <c r="DY45" s="2598" t="n"/>
      <c r="DZ45" s="2598" t="inlineStr">
        <is>
          <t>kg CH4-C/ha/yr</t>
        </is>
      </c>
      <c r="EA45" s="2598" t="n"/>
      <c r="EB45" s="2598" t="inlineStr">
        <is>
          <t>kg N2O-N/ha/yr</t>
        </is>
      </c>
      <c r="EC45" s="2598" t="n"/>
      <c r="ED45" s="2598" t="n"/>
      <c r="EE45" s="2598" t="inlineStr">
        <is>
          <t>tC/ha/yr</t>
        </is>
      </c>
      <c r="EF45" s="2598" t="n"/>
      <c r="EG45" s="2598" t="n"/>
      <c r="EH45" s="2598" t="n"/>
    </row>
    <row r="46">
      <c r="B46" s="1838" t="n"/>
      <c r="C46" s="4227" t="inlineStr">
        <is>
          <t>Please select</t>
        </is>
      </c>
      <c r="D46" s="1838" t="n"/>
      <c r="E46" s="1838" t="n"/>
      <c r="F46" s="1838" t="n"/>
      <c r="G46" s="2133" t="inlineStr">
        <is>
          <t>NO</t>
        </is>
      </c>
      <c r="H46" s="1838" t="n"/>
      <c r="I46" s="2133" t="inlineStr">
        <is>
          <t>Please select</t>
        </is>
      </c>
      <c r="J46" s="1838" t="n"/>
      <c r="K46" s="2133" t="inlineStr">
        <is>
          <t>Please select</t>
        </is>
      </c>
      <c r="L46" s="1838" t="n"/>
      <c r="M46" s="1961" t="n"/>
      <c r="N46" s="2132" t="n">
        <v>0</v>
      </c>
      <c r="O46" s="2108" t="inlineStr">
        <is>
          <t>D</t>
        </is>
      </c>
      <c r="P46" s="2132" t="n">
        <v>0</v>
      </c>
      <c r="Q46" s="2108" t="inlineStr">
        <is>
          <t>D</t>
        </is>
      </c>
      <c r="R46" s="4193" t="n"/>
      <c r="S46" s="1961" t="n"/>
      <c r="T46" s="1961" t="n"/>
      <c r="U46" s="1838" t="n"/>
      <c r="V46" s="1838" t="n"/>
      <c r="W46" s="1838" t="n"/>
      <c r="X46" s="4230" t="inlineStr">
        <is>
          <t>Y/N</t>
        </is>
      </c>
      <c r="Y46" s="1838" t="n"/>
      <c r="Z46" s="1838" t="n"/>
      <c r="AA46" s="1838" t="n"/>
      <c r="AB46" s="1838" t="n"/>
      <c r="AC46" s="1838" t="n"/>
      <c r="AD46" s="1961" t="n"/>
      <c r="AE46" s="2111">
        <f>'Inl. wetlands'!AI134</f>
        <v/>
      </c>
      <c r="AF46" s="2111">
        <f>'Inl. wetlands'!AJ134</f>
        <v/>
      </c>
      <c r="AG46" s="1806">
        <f>AF46-AE46</f>
        <v/>
      </c>
      <c r="AH46" s="1961" t="n"/>
      <c r="AI46" s="1961" t="n"/>
      <c r="AS46" s="2598" t="n"/>
      <c r="AT46" s="2598" t="n"/>
      <c r="AU46" s="2598" t="n"/>
      <c r="AV46" s="2598" t="n"/>
      <c r="AW46" s="2598" t="n"/>
      <c r="AX46" s="2598" t="n"/>
      <c r="AY46" s="2567">
        <f>AY23</f>
        <v/>
      </c>
      <c r="AZ46" s="2567">
        <f>AZ23</f>
        <v/>
      </c>
      <c r="BA46" s="2598" t="n"/>
      <c r="BB46" s="2598" t="n"/>
      <c r="BC46" s="2598" t="n"/>
      <c r="BD46" s="2598" t="n"/>
      <c r="BE46" s="2598" t="n"/>
      <c r="BF46" s="2598" t="n"/>
      <c r="BG46" s="2598" t="n"/>
      <c r="BH46" s="2598" t="n"/>
      <c r="BI46" s="2598" t="n"/>
      <c r="BJ46" s="2598" t="n"/>
      <c r="BK46" s="2598" t="n"/>
      <c r="BL46" s="2598" t="n"/>
      <c r="BM46" s="2598" t="n"/>
      <c r="BN46" s="2598" t="n"/>
      <c r="BO46" s="2598" t="n"/>
      <c r="BP46" s="2598" t="n"/>
      <c r="BR46" s="1997" t="n"/>
      <c r="BS46" s="1894" t="n"/>
      <c r="BT46" s="1997" t="n"/>
      <c r="CD46" s="2598" t="n"/>
      <c r="CE46" s="2323">
        <f>I46</f>
        <v/>
      </c>
      <c r="CF46" s="4192">
        <f>'Inl. wetlands'!B165</f>
        <v/>
      </c>
      <c r="CG46" s="4245" t="n"/>
      <c r="CH46" s="4192">
        <f>'Inl. wetlands'!D165</f>
        <v/>
      </c>
      <c r="CI46" s="4245" t="n"/>
      <c r="CJ46" s="4192">
        <f>'Inl. wetlands'!F165</f>
        <v/>
      </c>
      <c r="CK46" s="4245" t="n"/>
      <c r="CL46" s="2598" t="n"/>
      <c r="CM46" s="4192">
        <f>'Inl. wetlands'!H165</f>
        <v/>
      </c>
      <c r="CN46" s="4245" t="n"/>
      <c r="CO46" s="4192">
        <f>'Inl. wetlands'!J165</f>
        <v/>
      </c>
      <c r="CP46" s="4245" t="n"/>
      <c r="CQ46" s="2598" t="n"/>
      <c r="CT46" s="2598" t="n"/>
      <c r="CU46" s="2323">
        <f>C46</f>
        <v/>
      </c>
      <c r="CV46" s="2592">
        <f>N46</f>
        <v/>
      </c>
      <c r="CW46" s="2592">
        <f>P46</f>
        <v/>
      </c>
      <c r="CX46" s="2598" t="n"/>
      <c r="CY46" s="2598" t="n"/>
      <c r="CZ46" s="4141" t="inlineStr">
        <is>
          <t>Please select</t>
        </is>
      </c>
      <c r="DA46" s="2567" t="n"/>
      <c r="DB46" s="2133" t="n">
        <v>1</v>
      </c>
      <c r="DC46" s="4246" t="n">
        <v>1</v>
      </c>
      <c r="DD46" s="4207" t="n"/>
      <c r="DE46" s="2133" t="n">
        <v>1</v>
      </c>
      <c r="DF46" s="4246" t="n">
        <v>1</v>
      </c>
      <c r="DG46" s="2567" t="n"/>
      <c r="DH46" s="2592">
        <f>'Inl. wetlands'!O151</f>
        <v/>
      </c>
      <c r="DI46" s="2133" t="n"/>
      <c r="DJ46" s="2592">
        <f>'Inl. wetlands'!Q151</f>
        <v/>
      </c>
      <c r="DK46" s="2133" t="n"/>
      <c r="DL46" s="2592">
        <f>'Inl. wetlands'!S151</f>
        <v/>
      </c>
      <c r="DM46" s="2133" t="n"/>
      <c r="DN46" s="2592">
        <f>'Inl. wetlands'!U151</f>
        <v/>
      </c>
      <c r="DO46" s="2133" t="n"/>
      <c r="DP46" s="2598" t="n"/>
      <c r="DU46" s="2598" t="n"/>
      <c r="DV46" s="2598">
        <f>AT47</f>
        <v/>
      </c>
      <c r="DW46" s="2598" t="n"/>
      <c r="DX46" s="4728">
        <f>'Inl. wetlands'!H193</f>
        <v/>
      </c>
      <c r="DY46" s="4241" t="n"/>
      <c r="DZ46" s="4191">
        <f>'Inl. wetlands'!J193</f>
        <v/>
      </c>
      <c r="EA46" s="4241" t="n"/>
      <c r="EB46" s="4191">
        <f>'Inl. wetlands'!L193</f>
        <v/>
      </c>
      <c r="EC46" s="4241" t="n"/>
      <c r="ED46" s="2598" t="n"/>
      <c r="EE46" s="4192">
        <f>'Inl. wetlands'!N193</f>
        <v/>
      </c>
      <c r="EF46" s="4241" t="n"/>
      <c r="EG46" s="2598" t="n"/>
      <c r="EH46" s="2598" t="n"/>
    </row>
    <row r="47">
      <c r="B47" s="1838" t="n"/>
      <c r="C47" s="4227" t="inlineStr">
        <is>
          <t>Please select</t>
        </is>
      </c>
      <c r="D47" s="1838" t="n"/>
      <c r="E47" s="1838" t="n"/>
      <c r="F47" s="1838" t="n"/>
      <c r="G47" s="2133" t="inlineStr">
        <is>
          <t>NO</t>
        </is>
      </c>
      <c r="H47" s="1838" t="n"/>
      <c r="I47" s="2133" t="inlineStr">
        <is>
          <t>Please select</t>
        </is>
      </c>
      <c r="J47" s="1838" t="n"/>
      <c r="K47" s="2133" t="inlineStr">
        <is>
          <t>Please select</t>
        </is>
      </c>
      <c r="L47" s="1838" t="n"/>
      <c r="M47" s="1961" t="n"/>
      <c r="N47" s="2132" t="n">
        <v>0</v>
      </c>
      <c r="O47" s="2108" t="inlineStr">
        <is>
          <t>D</t>
        </is>
      </c>
      <c r="P47" s="2132" t="n">
        <v>0</v>
      </c>
      <c r="Q47" s="2108" t="inlineStr">
        <is>
          <t>D</t>
        </is>
      </c>
      <c r="R47" s="4193" t="n"/>
      <c r="S47" s="1961" t="n"/>
      <c r="T47" s="1961" t="n"/>
      <c r="U47" s="1838" t="n"/>
      <c r="V47" s="1838" t="n"/>
      <c r="W47" s="1838" t="n"/>
      <c r="X47" s="4230" t="inlineStr">
        <is>
          <t>Y/N</t>
        </is>
      </c>
      <c r="Y47" s="1838" t="n"/>
      <c r="Z47" s="1838" t="n"/>
      <c r="AA47" s="1838" t="n"/>
      <c r="AB47" s="1838" t="n"/>
      <c r="AC47" s="1838" t="n"/>
      <c r="AD47" s="1961" t="n"/>
      <c r="AE47" s="2111">
        <f>'Inl. wetlands'!AI135</f>
        <v/>
      </c>
      <c r="AF47" s="2111">
        <f>'Inl. wetlands'!AJ135</f>
        <v/>
      </c>
      <c r="AG47" s="1806">
        <f>AF47-AE47</f>
        <v/>
      </c>
      <c r="AH47" s="1961" t="n"/>
      <c r="AI47" s="1961" t="n"/>
      <c r="AS47" s="2598" t="n"/>
      <c r="AT47" s="2598">
        <f>I46</f>
        <v/>
      </c>
      <c r="AU47" s="2598" t="n"/>
      <c r="AV47" s="2598" t="n"/>
      <c r="AW47" s="2598" t="n"/>
      <c r="AX47" s="2598" t="n"/>
      <c r="AY47" s="4728">
        <f>'Inl. wetlands'!E134</f>
        <v/>
      </c>
      <c r="AZ47" s="4729" t="n"/>
      <c r="BA47" s="2598" t="n"/>
      <c r="BB47" s="2598" t="n"/>
      <c r="BC47" s="2598" t="n"/>
      <c r="BD47" s="2598" t="n"/>
      <c r="BE47" s="2598" t="n"/>
      <c r="BF47" s="2598" t="n"/>
      <c r="BG47" s="2598" t="n"/>
      <c r="BH47" s="2598" t="n"/>
      <c r="BI47" s="2598" t="n"/>
      <c r="BJ47" s="2598" t="n"/>
      <c r="BK47" s="2598" t="n"/>
      <c r="BL47" s="2598" t="n"/>
      <c r="BM47" s="2598" t="n"/>
      <c r="BN47" s="2598" t="n"/>
      <c r="BO47" s="2598" t="n"/>
      <c r="BP47" s="2598" t="n"/>
      <c r="BR47" s="4401" t="n">
        <v>1</v>
      </c>
      <c r="BS47" s="4402" t="n"/>
      <c r="BT47" s="1997" t="n"/>
      <c r="CD47" s="2598" t="n"/>
      <c r="CE47" s="2323">
        <f>I47</f>
        <v/>
      </c>
      <c r="CF47" s="4192">
        <f>'Inl. wetlands'!B166</f>
        <v/>
      </c>
      <c r="CG47" s="4245" t="n"/>
      <c r="CH47" s="4192">
        <f>'Inl. wetlands'!D166</f>
        <v/>
      </c>
      <c r="CI47" s="4245" t="n"/>
      <c r="CJ47" s="4192">
        <f>'Inl. wetlands'!F166</f>
        <v/>
      </c>
      <c r="CK47" s="4245" t="n"/>
      <c r="CL47" s="2598" t="n"/>
      <c r="CM47" s="4192">
        <f>'Inl. wetlands'!H166</f>
        <v/>
      </c>
      <c r="CN47" s="4245" t="n"/>
      <c r="CO47" s="4192">
        <f>'Inl. wetlands'!J166</f>
        <v/>
      </c>
      <c r="CP47" s="4245" t="n"/>
      <c r="CQ47" s="2598" t="n"/>
      <c r="CT47" s="2567" t="n"/>
      <c r="CU47" s="2323">
        <f>C47</f>
        <v/>
      </c>
      <c r="CV47" s="2592">
        <f>N47</f>
        <v/>
      </c>
      <c r="CW47" s="2592">
        <f>P47</f>
        <v/>
      </c>
      <c r="CX47" s="2567" t="n"/>
      <c r="CY47" s="2567" t="n"/>
      <c r="CZ47" s="4141" t="inlineStr">
        <is>
          <t>Please select</t>
        </is>
      </c>
      <c r="DA47" s="2567" t="n"/>
      <c r="DB47" s="2133" t="n">
        <v>1</v>
      </c>
      <c r="DC47" s="4246" t="n">
        <v>1</v>
      </c>
      <c r="DD47" s="4207" t="n"/>
      <c r="DE47" s="2133" t="n">
        <v>1</v>
      </c>
      <c r="DF47" s="4246" t="n">
        <v>1</v>
      </c>
      <c r="DG47" s="2567" t="n"/>
      <c r="DH47" s="2592">
        <f>'Inl. wetlands'!O152</f>
        <v/>
      </c>
      <c r="DI47" s="2133" t="n"/>
      <c r="DJ47" s="2592">
        <f>'Inl. wetlands'!Q152</f>
        <v/>
      </c>
      <c r="DK47" s="2133" t="n"/>
      <c r="DL47" s="2592">
        <f>'Inl. wetlands'!S152</f>
        <v/>
      </c>
      <c r="DM47" s="2133" t="n"/>
      <c r="DN47" s="2592">
        <f>'Inl. wetlands'!U152</f>
        <v/>
      </c>
      <c r="DO47" s="2133" t="n"/>
      <c r="DP47" s="2567" t="n"/>
      <c r="DU47" s="2598" t="n"/>
      <c r="DV47" s="2598">
        <f>AT48</f>
        <v/>
      </c>
      <c r="DW47" s="2598" t="n"/>
      <c r="DX47" s="4728">
        <f>'Inl. wetlands'!H194</f>
        <v/>
      </c>
      <c r="DY47" s="4241" t="n"/>
      <c r="DZ47" s="4191">
        <f>'Inl. wetlands'!J194</f>
        <v/>
      </c>
      <c r="EA47" s="4241" t="n"/>
      <c r="EB47" s="4191">
        <f>'Inl. wetlands'!L194</f>
        <v/>
      </c>
      <c r="EC47" s="4241" t="n"/>
      <c r="ED47" s="2598" t="n"/>
      <c r="EE47" s="4192">
        <f>'Inl. wetlands'!N194</f>
        <v/>
      </c>
      <c r="EF47" s="4241" t="n"/>
      <c r="EG47" s="2598" t="n"/>
      <c r="EH47" s="2598" t="n"/>
    </row>
    <row r="48">
      <c r="B48" s="1838" t="n"/>
      <c r="C48" s="4227" t="inlineStr">
        <is>
          <t>Please select</t>
        </is>
      </c>
      <c r="D48" s="1838" t="n"/>
      <c r="E48" s="1838" t="n"/>
      <c r="F48" s="1838" t="n"/>
      <c r="G48" s="2133" t="inlineStr">
        <is>
          <t>NO</t>
        </is>
      </c>
      <c r="H48" s="1838" t="n"/>
      <c r="I48" s="2133" t="inlineStr">
        <is>
          <t>Please select</t>
        </is>
      </c>
      <c r="J48" s="1838" t="n"/>
      <c r="K48" s="2133" t="inlineStr">
        <is>
          <t>Please select</t>
        </is>
      </c>
      <c r="L48" s="1838" t="n"/>
      <c r="M48" s="1961" t="n"/>
      <c r="N48" s="2132" t="n">
        <v>0</v>
      </c>
      <c r="O48" s="2108" t="inlineStr">
        <is>
          <t>D</t>
        </is>
      </c>
      <c r="P48" s="2132" t="n">
        <v>0</v>
      </c>
      <c r="Q48" s="2108" t="inlineStr">
        <is>
          <t>D</t>
        </is>
      </c>
      <c r="R48" s="4193" t="n"/>
      <c r="S48" s="1961" t="n"/>
      <c r="T48" s="1961" t="n"/>
      <c r="U48" s="1838" t="n"/>
      <c r="V48" s="1838" t="n"/>
      <c r="W48" s="1838" t="n"/>
      <c r="X48" s="4230" t="inlineStr">
        <is>
          <t>Y/N</t>
        </is>
      </c>
      <c r="Y48" s="1838" t="n"/>
      <c r="Z48" s="1838" t="n"/>
      <c r="AA48" s="1838" t="n"/>
      <c r="AB48" s="1838" t="n"/>
      <c r="AC48" s="1838" t="n"/>
      <c r="AD48" s="1961" t="n"/>
      <c r="AE48" s="2111">
        <f>'Inl. wetlands'!AI136</f>
        <v/>
      </c>
      <c r="AF48" s="2111">
        <f>'Inl. wetlands'!AJ136</f>
        <v/>
      </c>
      <c r="AG48" s="1806">
        <f>AF48-AE48</f>
        <v/>
      </c>
      <c r="AH48" s="1961" t="n"/>
      <c r="AI48" s="1961" t="n"/>
      <c r="AS48" s="2598" t="n"/>
      <c r="AT48" s="2598">
        <f>I47</f>
        <v/>
      </c>
      <c r="AU48" s="2598" t="n"/>
      <c r="AV48" s="2598" t="n"/>
      <c r="AW48" s="2598" t="n"/>
      <c r="AX48" s="2598" t="n"/>
      <c r="AY48" s="4728">
        <f>'Inl. wetlands'!E135</f>
        <v/>
      </c>
      <c r="AZ48" s="4729" t="n"/>
      <c r="BA48" s="2598" t="n"/>
      <c r="BB48" s="2598" t="n"/>
      <c r="BC48" s="2598" t="n"/>
      <c r="BD48" s="2598" t="n"/>
      <c r="BE48" s="2598" t="n"/>
      <c r="BF48" s="2598" t="n"/>
      <c r="BG48" s="2598" t="n"/>
      <c r="BH48" s="2598" t="n"/>
      <c r="BI48" s="2598" t="n"/>
      <c r="BJ48" s="2598" t="n"/>
      <c r="BK48" s="2598" t="n"/>
      <c r="BL48" s="2598" t="n"/>
      <c r="BM48" s="2598" t="n"/>
      <c r="BN48" s="2598" t="n"/>
      <c r="BO48" s="2598" t="n"/>
      <c r="BP48" s="2598" t="n"/>
      <c r="BR48" s="4401" t="n">
        <v>1</v>
      </c>
      <c r="BS48" s="4402" t="n"/>
      <c r="BT48" s="1997" t="n"/>
      <c r="CD48" s="2598" t="n"/>
      <c r="CE48" s="2323">
        <f>I48</f>
        <v/>
      </c>
      <c r="CF48" s="4192">
        <f>'Inl. wetlands'!B167</f>
        <v/>
      </c>
      <c r="CG48" s="4245" t="n"/>
      <c r="CH48" s="4192">
        <f>'Inl. wetlands'!D167</f>
        <v/>
      </c>
      <c r="CI48" s="4245" t="n"/>
      <c r="CJ48" s="4192">
        <f>'Inl. wetlands'!F167</f>
        <v/>
      </c>
      <c r="CK48" s="4245" t="n"/>
      <c r="CL48" s="2598" t="n"/>
      <c r="CM48" s="4192">
        <f>'Inl. wetlands'!H167</f>
        <v/>
      </c>
      <c r="CN48" s="4245" t="n"/>
      <c r="CO48" s="4192">
        <f>'Inl. wetlands'!J167</f>
        <v/>
      </c>
      <c r="CP48" s="4245" t="n"/>
      <c r="CQ48" s="2598" t="n"/>
      <c r="CT48" s="2567" t="n"/>
      <c r="CU48" s="2323">
        <f>C48</f>
        <v/>
      </c>
      <c r="CV48" s="2592">
        <f>N48</f>
        <v/>
      </c>
      <c r="CW48" s="2592">
        <f>P48</f>
        <v/>
      </c>
      <c r="CX48" s="2567" t="n"/>
      <c r="CY48" s="2567" t="n"/>
      <c r="CZ48" s="4141" t="inlineStr">
        <is>
          <t>Please select</t>
        </is>
      </c>
      <c r="DA48" s="2567" t="n"/>
      <c r="DB48" s="2133" t="n">
        <v>1</v>
      </c>
      <c r="DC48" s="4246" t="n">
        <v>1</v>
      </c>
      <c r="DD48" s="4207" t="n"/>
      <c r="DE48" s="2133" t="n">
        <v>1</v>
      </c>
      <c r="DF48" s="4246" t="n">
        <v>1</v>
      </c>
      <c r="DG48" s="2567" t="n"/>
      <c r="DH48" s="2592">
        <f>'Inl. wetlands'!O153</f>
        <v/>
      </c>
      <c r="DI48" s="2133" t="n"/>
      <c r="DJ48" s="2592">
        <f>'Inl. wetlands'!Q153</f>
        <v/>
      </c>
      <c r="DK48" s="2133" t="n"/>
      <c r="DL48" s="2592">
        <f>'Inl. wetlands'!S153</f>
        <v/>
      </c>
      <c r="DM48" s="2133" t="n"/>
      <c r="DN48" s="2592">
        <f>'Inl. wetlands'!U153</f>
        <v/>
      </c>
      <c r="DO48" s="2133" t="n"/>
      <c r="DP48" s="2567" t="n"/>
      <c r="DU48" s="2598" t="n"/>
      <c r="DV48" s="2598">
        <f>AT49</f>
        <v/>
      </c>
      <c r="DW48" s="2598" t="n"/>
      <c r="DX48" s="4728">
        <f>'Inl. wetlands'!H195</f>
        <v/>
      </c>
      <c r="DY48" s="4241" t="n"/>
      <c r="DZ48" s="4191">
        <f>'Inl. wetlands'!J195</f>
        <v/>
      </c>
      <c r="EA48" s="4241" t="n"/>
      <c r="EB48" s="4191">
        <f>'Inl. wetlands'!L195</f>
        <v/>
      </c>
      <c r="EC48" s="4241" t="n"/>
      <c r="ED48" s="2598" t="n"/>
      <c r="EE48" s="4192">
        <f>'Inl. wetlands'!N195</f>
        <v/>
      </c>
      <c r="EF48" s="4241" t="n"/>
      <c r="EG48" s="2598" t="n"/>
      <c r="EH48" s="2598" t="n"/>
    </row>
    <row r="49">
      <c r="B49" s="1838" t="n"/>
      <c r="C49" s="4227" t="inlineStr">
        <is>
          <t>Please select</t>
        </is>
      </c>
      <c r="D49" s="1838" t="n"/>
      <c r="E49" s="1838" t="n"/>
      <c r="F49" s="1838" t="n"/>
      <c r="G49" s="2133" t="inlineStr">
        <is>
          <t>NO</t>
        </is>
      </c>
      <c r="H49" s="1838" t="n"/>
      <c r="I49" s="2133" t="inlineStr">
        <is>
          <t>Please select</t>
        </is>
      </c>
      <c r="J49" s="1838" t="n"/>
      <c r="K49" s="2133" t="inlineStr">
        <is>
          <t>Please select</t>
        </is>
      </c>
      <c r="L49" s="1838" t="n"/>
      <c r="M49" s="1961" t="n"/>
      <c r="N49" s="2132" t="n">
        <v>0</v>
      </c>
      <c r="O49" s="2108" t="inlineStr">
        <is>
          <t>D</t>
        </is>
      </c>
      <c r="P49" s="2132" t="n">
        <v>0</v>
      </c>
      <c r="Q49" s="2108" t="inlineStr">
        <is>
          <t>D</t>
        </is>
      </c>
      <c r="R49" s="4193" t="n"/>
      <c r="S49" s="1961" t="n"/>
      <c r="T49" s="1961" t="n"/>
      <c r="U49" s="1838" t="n"/>
      <c r="V49" s="1838" t="n"/>
      <c r="W49" s="1838" t="n"/>
      <c r="X49" s="4230" t="inlineStr">
        <is>
          <t>Y/N</t>
        </is>
      </c>
      <c r="Y49" s="1838" t="n"/>
      <c r="Z49" s="1838" t="n"/>
      <c r="AA49" s="1838" t="n"/>
      <c r="AB49" s="1838" t="n"/>
      <c r="AC49" s="1838" t="n"/>
      <c r="AD49" s="1961" t="n"/>
      <c r="AE49" s="2111">
        <f>'Inl. wetlands'!AI137</f>
        <v/>
      </c>
      <c r="AF49" s="2111">
        <f>'Inl. wetlands'!AJ137</f>
        <v/>
      </c>
      <c r="AG49" s="1806">
        <f>AF49-AE49</f>
        <v/>
      </c>
      <c r="AH49" s="1961" t="n"/>
      <c r="AI49" s="1961" t="n"/>
      <c r="AS49" s="2598" t="n"/>
      <c r="AT49" s="2598">
        <f>I48</f>
        <v/>
      </c>
      <c r="AU49" s="2598" t="n"/>
      <c r="AV49" s="2598" t="n"/>
      <c r="AW49" s="2598" t="n"/>
      <c r="AX49" s="2598" t="n"/>
      <c r="AY49" s="4728">
        <f>'Inl. wetlands'!E136</f>
        <v/>
      </c>
      <c r="AZ49" s="4729" t="n"/>
      <c r="BA49" s="2598" t="n"/>
      <c r="BB49" s="2598" t="n"/>
      <c r="BC49" s="2598" t="n"/>
      <c r="BD49" s="2598" t="n"/>
      <c r="BE49" s="2598" t="n"/>
      <c r="BF49" s="2598" t="n"/>
      <c r="BG49" s="2598" t="n"/>
      <c r="BH49" s="2598" t="n"/>
      <c r="BI49" s="2598" t="n"/>
      <c r="BJ49" s="2598" t="n"/>
      <c r="BK49" s="2598" t="n"/>
      <c r="BL49" s="2598" t="n"/>
      <c r="BM49" s="2598" t="n"/>
      <c r="BN49" s="2598" t="n"/>
      <c r="BO49" s="2598" t="n"/>
      <c r="BP49" s="2598" t="n"/>
      <c r="BR49" s="4401" t="n">
        <v>1</v>
      </c>
      <c r="BS49" s="4402" t="n"/>
      <c r="BT49" s="1997" t="n"/>
      <c r="CD49" s="2598" t="n"/>
      <c r="CE49" s="2323">
        <f>I49</f>
        <v/>
      </c>
      <c r="CF49" s="4192">
        <f>'Inl. wetlands'!B168</f>
        <v/>
      </c>
      <c r="CG49" s="4245" t="n"/>
      <c r="CH49" s="4192">
        <f>'Inl. wetlands'!D168</f>
        <v/>
      </c>
      <c r="CI49" s="4245" t="n"/>
      <c r="CJ49" s="4192">
        <f>'Inl. wetlands'!F168</f>
        <v/>
      </c>
      <c r="CK49" s="4245" t="n"/>
      <c r="CL49" s="2598" t="n"/>
      <c r="CM49" s="4192">
        <f>'Inl. wetlands'!H168</f>
        <v/>
      </c>
      <c r="CN49" s="4245" t="n"/>
      <c r="CO49" s="4192">
        <f>'Inl. wetlands'!J168</f>
        <v/>
      </c>
      <c r="CP49" s="4245" t="n"/>
      <c r="CQ49" s="2598" t="n"/>
      <c r="CT49" s="2567" t="n"/>
      <c r="CU49" s="2323">
        <f>C49</f>
        <v/>
      </c>
      <c r="CV49" s="2592">
        <f>N49</f>
        <v/>
      </c>
      <c r="CW49" s="2592">
        <f>P49</f>
        <v/>
      </c>
      <c r="CX49" s="2567" t="n"/>
      <c r="CY49" s="2567" t="n"/>
      <c r="CZ49" s="4141" t="inlineStr">
        <is>
          <t>Please select</t>
        </is>
      </c>
      <c r="DA49" s="2567" t="n"/>
      <c r="DB49" s="2133" t="n">
        <v>1</v>
      </c>
      <c r="DC49" s="4246" t="n">
        <v>1</v>
      </c>
      <c r="DD49" s="4207" t="n"/>
      <c r="DE49" s="2133" t="n">
        <v>1</v>
      </c>
      <c r="DF49" s="4246" t="n">
        <v>1</v>
      </c>
      <c r="DG49" s="2567" t="n"/>
      <c r="DH49" s="2592">
        <f>'Inl. wetlands'!O154</f>
        <v/>
      </c>
      <c r="DI49" s="2133" t="n"/>
      <c r="DJ49" s="2592">
        <f>'Inl. wetlands'!Q154</f>
        <v/>
      </c>
      <c r="DK49" s="2133" t="n"/>
      <c r="DL49" s="2592">
        <f>'Inl. wetlands'!S154</f>
        <v/>
      </c>
      <c r="DM49" s="2133" t="n"/>
      <c r="DN49" s="2592">
        <f>'Inl. wetlands'!U154</f>
        <v/>
      </c>
      <c r="DO49" s="2133" t="n"/>
      <c r="DP49" s="2567" t="n"/>
      <c r="DU49" s="2598" t="n"/>
      <c r="DV49" s="2598">
        <f>AT50</f>
        <v/>
      </c>
      <c r="DW49" s="2598" t="n"/>
      <c r="DX49" s="4728">
        <f>'Inl. wetlands'!H196</f>
        <v/>
      </c>
      <c r="DY49" s="4241" t="n"/>
      <c r="DZ49" s="4191">
        <f>'Inl. wetlands'!J196</f>
        <v/>
      </c>
      <c r="EA49" s="4241" t="n"/>
      <c r="EB49" s="4191">
        <f>'Inl. wetlands'!L196</f>
        <v/>
      </c>
      <c r="EC49" s="4241" t="n"/>
      <c r="ED49" s="2598" t="n"/>
      <c r="EE49" s="4192">
        <f>'Inl. wetlands'!N196</f>
        <v/>
      </c>
      <c r="EF49" s="4241" t="n"/>
      <c r="EG49" s="2598" t="n"/>
      <c r="EH49" s="2598" t="n"/>
    </row>
    <row r="50">
      <c r="B50" s="1838" t="n"/>
      <c r="C50" s="4227" t="inlineStr">
        <is>
          <t>Please select</t>
        </is>
      </c>
      <c r="D50" s="1838" t="n"/>
      <c r="E50" s="1838" t="n"/>
      <c r="F50" s="1838" t="n"/>
      <c r="G50" s="2133" t="inlineStr">
        <is>
          <t>NO</t>
        </is>
      </c>
      <c r="H50" s="1838" t="n"/>
      <c r="I50" s="2133" t="inlineStr">
        <is>
          <t>Please select</t>
        </is>
      </c>
      <c r="J50" s="1838" t="n"/>
      <c r="K50" s="2133" t="inlineStr">
        <is>
          <t>Please select</t>
        </is>
      </c>
      <c r="L50" s="1838" t="n"/>
      <c r="M50" s="1961" t="n"/>
      <c r="N50" s="2132" t="n">
        <v>0</v>
      </c>
      <c r="O50" s="2108" t="inlineStr">
        <is>
          <t>D</t>
        </is>
      </c>
      <c r="P50" s="2132" t="n">
        <v>0</v>
      </c>
      <c r="Q50" s="2108" t="inlineStr">
        <is>
          <t>D</t>
        </is>
      </c>
      <c r="R50" s="4193" t="n"/>
      <c r="S50" s="1961" t="n"/>
      <c r="T50" s="1961" t="n"/>
      <c r="U50" s="1838" t="n"/>
      <c r="V50" s="1838" t="n"/>
      <c r="W50" s="1838" t="n"/>
      <c r="X50" s="4230" t="inlineStr">
        <is>
          <t>Y/N</t>
        </is>
      </c>
      <c r="Y50" s="1838" t="n"/>
      <c r="Z50" s="1838" t="n"/>
      <c r="AA50" s="1838" t="n"/>
      <c r="AB50" s="1838" t="n"/>
      <c r="AC50" s="1838" t="n"/>
      <c r="AD50" s="1961" t="n"/>
      <c r="AE50" s="2111">
        <f>'Inl. wetlands'!AI138</f>
        <v/>
      </c>
      <c r="AF50" s="2111">
        <f>'Inl. wetlands'!AJ138</f>
        <v/>
      </c>
      <c r="AG50" s="1806">
        <f>AF50-AE50</f>
        <v/>
      </c>
      <c r="AH50" s="1961" t="n"/>
      <c r="AI50" s="1961" t="n"/>
      <c r="AS50" s="2598" t="n"/>
      <c r="AT50" s="2598">
        <f>I49</f>
        <v/>
      </c>
      <c r="AU50" s="2598" t="n"/>
      <c r="AV50" s="2598" t="n"/>
      <c r="AW50" s="2598" t="n"/>
      <c r="AX50" s="2598" t="n"/>
      <c r="AY50" s="4728">
        <f>'Inl. wetlands'!E137</f>
        <v/>
      </c>
      <c r="AZ50" s="4729" t="n"/>
      <c r="BA50" s="2598" t="n"/>
      <c r="BB50" s="2598" t="n"/>
      <c r="BC50" s="2598" t="n"/>
      <c r="BD50" s="2598" t="n"/>
      <c r="BE50" s="2598" t="n"/>
      <c r="BF50" s="2598" t="n"/>
      <c r="BG50" s="2598" t="n"/>
      <c r="BH50" s="2598" t="n"/>
      <c r="BI50" s="2598" t="n"/>
      <c r="BJ50" s="2598" t="n"/>
      <c r="BK50" s="2598" t="n"/>
      <c r="BL50" s="2598" t="n"/>
      <c r="BM50" s="2598" t="n"/>
      <c r="BN50" s="2598" t="n"/>
      <c r="BO50" s="2598" t="n"/>
      <c r="BP50" s="2598" t="n"/>
      <c r="BR50" s="4401" t="n">
        <v>1</v>
      </c>
      <c r="BS50" s="4402" t="n"/>
      <c r="BT50" s="1997" t="n"/>
      <c r="CD50" s="2598" t="n"/>
      <c r="CE50" s="2323">
        <f>I50</f>
        <v/>
      </c>
      <c r="CF50" s="4192">
        <f>'Inl. wetlands'!B169</f>
        <v/>
      </c>
      <c r="CG50" s="4245" t="n"/>
      <c r="CH50" s="4192">
        <f>'Inl. wetlands'!D169</f>
        <v/>
      </c>
      <c r="CI50" s="4245" t="n"/>
      <c r="CJ50" s="4192">
        <f>'Inl. wetlands'!F169</f>
        <v/>
      </c>
      <c r="CK50" s="4245" t="n"/>
      <c r="CL50" s="2598" t="n"/>
      <c r="CM50" s="4192">
        <f>'Inl. wetlands'!H169</f>
        <v/>
      </c>
      <c r="CN50" s="4245" t="n"/>
      <c r="CO50" s="4192">
        <f>'Inl. wetlands'!J169</f>
        <v/>
      </c>
      <c r="CP50" s="4245" t="n"/>
      <c r="CQ50" s="2598" t="n"/>
      <c r="CT50" s="2567" t="n"/>
      <c r="CU50" s="2323">
        <f>C50</f>
        <v/>
      </c>
      <c r="CV50" s="2592">
        <f>N50</f>
        <v/>
      </c>
      <c r="CW50" s="2592">
        <f>P50</f>
        <v/>
      </c>
      <c r="CX50" s="2567" t="n"/>
      <c r="CY50" s="2567" t="n"/>
      <c r="CZ50" s="4141" t="inlineStr">
        <is>
          <t>Please select</t>
        </is>
      </c>
      <c r="DA50" s="2567" t="n"/>
      <c r="DB50" s="2133" t="n">
        <v>1</v>
      </c>
      <c r="DC50" s="4246" t="n">
        <v>1</v>
      </c>
      <c r="DD50" s="4207" t="n"/>
      <c r="DE50" s="2133" t="n">
        <v>1</v>
      </c>
      <c r="DF50" s="4246" t="n">
        <v>1</v>
      </c>
      <c r="DG50" s="2567" t="n"/>
      <c r="DH50" s="2592">
        <f>'Inl. wetlands'!O155</f>
        <v/>
      </c>
      <c r="DI50" s="2133" t="n"/>
      <c r="DJ50" s="2592">
        <f>'Inl. wetlands'!Q155</f>
        <v/>
      </c>
      <c r="DK50" s="2133" t="n"/>
      <c r="DL50" s="2592">
        <f>'Inl. wetlands'!S155</f>
        <v/>
      </c>
      <c r="DM50" s="2133" t="n"/>
      <c r="DN50" s="2592">
        <f>'Inl. wetlands'!U155</f>
        <v/>
      </c>
      <c r="DO50" s="2133" t="n"/>
      <c r="DP50" s="2567" t="n"/>
      <c r="DU50" s="2598" t="n"/>
      <c r="DV50" s="2598">
        <f>AT51</f>
        <v/>
      </c>
      <c r="DW50" s="2598" t="n"/>
      <c r="DX50" s="4728">
        <f>'Inl. wetlands'!H197</f>
        <v/>
      </c>
      <c r="DY50" s="4241" t="n"/>
      <c r="DZ50" s="4191">
        <f>'Inl. wetlands'!J197</f>
        <v/>
      </c>
      <c r="EA50" s="4241" t="n"/>
      <c r="EB50" s="4191">
        <f>'Inl. wetlands'!L197</f>
        <v/>
      </c>
      <c r="EC50" s="4241" t="n"/>
      <c r="ED50" s="2598" t="n"/>
      <c r="EE50" s="4192">
        <f>'Inl. wetlands'!N197</f>
        <v/>
      </c>
      <c r="EF50" s="4241" t="n"/>
      <c r="EG50" s="2598" t="n"/>
      <c r="EH50" s="2598" t="n"/>
    </row>
    <row r="51">
      <c r="B51" s="1838" t="n"/>
      <c r="C51" s="4227" t="inlineStr">
        <is>
          <t>Please select</t>
        </is>
      </c>
      <c r="D51" s="1838" t="n"/>
      <c r="E51" s="1838" t="n"/>
      <c r="F51" s="1838" t="n"/>
      <c r="G51" s="2133" t="inlineStr">
        <is>
          <t>NO</t>
        </is>
      </c>
      <c r="H51" s="1838" t="n"/>
      <c r="I51" s="2133" t="inlineStr">
        <is>
          <t>Please select</t>
        </is>
      </c>
      <c r="J51" s="1838" t="n"/>
      <c r="K51" s="2133" t="inlineStr">
        <is>
          <t>Please select</t>
        </is>
      </c>
      <c r="L51" s="1838" t="n"/>
      <c r="M51" s="1961" t="n"/>
      <c r="N51" s="2132" t="n">
        <v>0</v>
      </c>
      <c r="O51" s="2108" t="inlineStr">
        <is>
          <t>D</t>
        </is>
      </c>
      <c r="P51" s="2132" t="n">
        <v>0</v>
      </c>
      <c r="Q51" s="2108" t="inlineStr">
        <is>
          <t>D</t>
        </is>
      </c>
      <c r="R51" s="4193" t="n"/>
      <c r="S51" s="1961" t="n"/>
      <c r="T51" s="1961" t="n"/>
      <c r="U51" s="1838" t="n"/>
      <c r="V51" s="1838" t="n"/>
      <c r="W51" s="1838" t="n"/>
      <c r="X51" s="4230" t="inlineStr">
        <is>
          <t>Y/N</t>
        </is>
      </c>
      <c r="Y51" s="1838" t="n"/>
      <c r="Z51" s="1838" t="n"/>
      <c r="AA51" s="1838" t="n"/>
      <c r="AB51" s="1838" t="n"/>
      <c r="AC51" s="1838" t="n"/>
      <c r="AD51" s="1961" t="n"/>
      <c r="AE51" s="2111">
        <f>'Inl. wetlands'!AI139</f>
        <v/>
      </c>
      <c r="AF51" s="2111">
        <f>'Inl. wetlands'!AJ139</f>
        <v/>
      </c>
      <c r="AG51" s="1806">
        <f>AF51-AE51</f>
        <v/>
      </c>
      <c r="AH51" s="1961" t="n"/>
      <c r="AI51" s="1961" t="n"/>
      <c r="AS51" s="2598" t="n"/>
      <c r="AT51" s="2598">
        <f>I50</f>
        <v/>
      </c>
      <c r="AU51" s="2598" t="n"/>
      <c r="AV51" s="2598" t="n"/>
      <c r="AW51" s="2598" t="n"/>
      <c r="AX51" s="2598" t="n"/>
      <c r="AY51" s="4728">
        <f>'Inl. wetlands'!E138</f>
        <v/>
      </c>
      <c r="AZ51" s="4729" t="n"/>
      <c r="BA51" s="2598" t="n"/>
      <c r="BB51" s="2598" t="n"/>
      <c r="BC51" s="2598" t="n"/>
      <c r="BD51" s="2598" t="n"/>
      <c r="BE51" s="2598" t="n"/>
      <c r="BF51" s="2598" t="n"/>
      <c r="BG51" s="2598" t="n"/>
      <c r="BH51" s="2598" t="n"/>
      <c r="BI51" s="2598" t="n"/>
      <c r="BJ51" s="2598" t="n"/>
      <c r="BK51" s="2598" t="n"/>
      <c r="BL51" s="2598" t="n"/>
      <c r="BM51" s="2598" t="n"/>
      <c r="BN51" s="2598" t="n"/>
      <c r="BO51" s="2598" t="n"/>
      <c r="BP51" s="2598" t="n"/>
      <c r="BR51" s="4401" t="n">
        <v>1</v>
      </c>
      <c r="BS51" s="4402" t="n"/>
      <c r="BT51" s="1997" t="n"/>
      <c r="CD51" s="2598" t="n"/>
      <c r="CE51" s="2323">
        <f>I51</f>
        <v/>
      </c>
      <c r="CF51" s="4192">
        <f>'Inl. wetlands'!B170</f>
        <v/>
      </c>
      <c r="CG51" s="4245" t="n"/>
      <c r="CH51" s="4192">
        <f>'Inl. wetlands'!D170</f>
        <v/>
      </c>
      <c r="CI51" s="4245" t="n"/>
      <c r="CJ51" s="4192">
        <f>'Inl. wetlands'!F170</f>
        <v/>
      </c>
      <c r="CK51" s="4245" t="n"/>
      <c r="CL51" s="2598" t="n"/>
      <c r="CM51" s="4192">
        <f>'Inl. wetlands'!H170</f>
        <v/>
      </c>
      <c r="CN51" s="4245" t="n"/>
      <c r="CO51" s="4192">
        <f>'Inl. wetlands'!J170</f>
        <v/>
      </c>
      <c r="CP51" s="4245" t="n"/>
      <c r="CQ51" s="2598" t="n"/>
      <c r="CT51" s="2567" t="n"/>
      <c r="CU51" s="2323">
        <f>C51</f>
        <v/>
      </c>
      <c r="CV51" s="2592">
        <f>N51</f>
        <v/>
      </c>
      <c r="CW51" s="2592">
        <f>P51</f>
        <v/>
      </c>
      <c r="CX51" s="2567" t="n"/>
      <c r="CY51" s="2567" t="n"/>
      <c r="CZ51" s="4141" t="inlineStr">
        <is>
          <t>Please select</t>
        </is>
      </c>
      <c r="DA51" s="2567" t="n"/>
      <c r="DB51" s="2133" t="n">
        <v>1</v>
      </c>
      <c r="DC51" s="4246" t="n">
        <v>1</v>
      </c>
      <c r="DD51" s="4207" t="n"/>
      <c r="DE51" s="2133" t="n">
        <v>1</v>
      </c>
      <c r="DF51" s="4246" t="n">
        <v>1</v>
      </c>
      <c r="DG51" s="2567" t="n"/>
      <c r="DH51" s="2592">
        <f>'Inl. wetlands'!O156</f>
        <v/>
      </c>
      <c r="DI51" s="2133" t="n"/>
      <c r="DJ51" s="2592">
        <f>'Inl. wetlands'!Q156</f>
        <v/>
      </c>
      <c r="DK51" s="2133" t="n"/>
      <c r="DL51" s="2592">
        <f>'Inl. wetlands'!S156</f>
        <v/>
      </c>
      <c r="DM51" s="2133" t="n"/>
      <c r="DN51" s="2592">
        <f>'Inl. wetlands'!U156</f>
        <v/>
      </c>
      <c r="DO51" s="2133" t="n"/>
      <c r="DP51" s="2567" t="n"/>
      <c r="DU51" s="2598" t="n"/>
      <c r="DV51" s="2598">
        <f>AT52</f>
        <v/>
      </c>
      <c r="DW51" s="2598" t="n"/>
      <c r="DX51" s="4728">
        <f>'Inl. wetlands'!H198</f>
        <v/>
      </c>
      <c r="DY51" s="4241" t="n"/>
      <c r="DZ51" s="4191">
        <f>'Inl. wetlands'!J198</f>
        <v/>
      </c>
      <c r="EA51" s="4241" t="n"/>
      <c r="EB51" s="4191">
        <f>'Inl. wetlands'!L198</f>
        <v/>
      </c>
      <c r="EC51" s="4241" t="n"/>
      <c r="ED51" s="2598" t="n"/>
      <c r="EE51" s="4192">
        <f>'Inl. wetlands'!N198</f>
        <v/>
      </c>
      <c r="EF51" s="4241" t="n"/>
      <c r="EG51" s="2598" t="n"/>
      <c r="EH51" s="2598" t="n"/>
    </row>
    <row r="52">
      <c r="B52" s="1838" t="n"/>
      <c r="C52" s="1838" t="n"/>
      <c r="D52" s="1838" t="n"/>
      <c r="E52" s="1838" t="n"/>
      <c r="F52" s="1838" t="n"/>
      <c r="G52" s="1838" t="n"/>
      <c r="H52" s="1838" t="n"/>
      <c r="I52" s="4375">
        <f t="array" ref="I52">IF(OR(I46:I51="Degraded land",I46:I51="Other land (non-vegetated)"),"There are no EFs for water table management practices on degraded or other land. Please use tier 2 to account for GHG fluxes", "")</f>
        <v/>
      </c>
      <c r="J52" s="1838" t="n"/>
      <c r="K52" s="1838" t="n"/>
      <c r="L52" s="1838" t="n"/>
      <c r="M52" s="1961" t="n"/>
      <c r="N52" s="1961" t="n"/>
      <c r="O52" s="1961" t="n"/>
      <c r="P52" s="1838" t="n"/>
      <c r="Q52" s="1838" t="n"/>
      <c r="R52" s="1838" t="n"/>
      <c r="S52" s="1838" t="n"/>
      <c r="T52" s="1838" t="n"/>
      <c r="U52" s="1838" t="n"/>
      <c r="V52" s="1838" t="n"/>
      <c r="W52" s="1838" t="n"/>
      <c r="X52" s="1838" t="n"/>
      <c r="Y52" s="4194" t="n"/>
      <c r="Z52" s="1838" t="n"/>
      <c r="AA52" s="1838" t="n"/>
      <c r="AB52" s="4308" t="n"/>
      <c r="AC52" s="4308" t="n"/>
      <c r="AD52" s="1961" t="n"/>
      <c r="AE52" s="1838" t="n"/>
      <c r="AF52" s="1838" t="n"/>
      <c r="AG52" s="1838" t="n"/>
      <c r="AH52" s="1838" t="n"/>
      <c r="AI52" s="1838" t="n"/>
      <c r="AS52" s="2598" t="n"/>
      <c r="AT52" s="2598">
        <f>I51</f>
        <v/>
      </c>
      <c r="AU52" s="2598" t="n"/>
      <c r="AV52" s="2598" t="n"/>
      <c r="AW52" s="2598" t="n"/>
      <c r="AX52" s="2598" t="n"/>
      <c r="AY52" s="4728">
        <f>'Inl. wetlands'!E139</f>
        <v/>
      </c>
      <c r="AZ52" s="4729" t="n"/>
      <c r="BA52" s="2598" t="n"/>
      <c r="BB52" s="2598" t="n"/>
      <c r="BC52" s="2598" t="n"/>
      <c r="BD52" s="2598" t="n"/>
      <c r="BE52" s="2598" t="n"/>
      <c r="BF52" s="2598" t="n"/>
      <c r="BG52" s="2598" t="n"/>
      <c r="BH52" s="2598" t="n"/>
      <c r="BI52" s="2598" t="n"/>
      <c r="BJ52" s="2598" t="n"/>
      <c r="BK52" s="2598" t="n"/>
      <c r="BL52" s="2598" t="n"/>
      <c r="BM52" s="2598" t="n"/>
      <c r="BN52" s="2598" t="n"/>
      <c r="BO52" s="2598" t="n"/>
      <c r="BP52" s="2598" t="n"/>
      <c r="BR52" s="4401" t="n">
        <v>1</v>
      </c>
      <c r="BS52" s="4402" t="n"/>
      <c r="BT52" s="1997" t="n"/>
      <c r="CD52" s="2598" t="n"/>
      <c r="CE52" s="2598" t="n"/>
      <c r="CF52" s="2598" t="n"/>
      <c r="CG52" s="2598" t="n"/>
      <c r="CH52" s="2598" t="n"/>
      <c r="CI52" s="2598" t="n"/>
      <c r="CJ52" s="2598" t="n"/>
      <c r="CK52" s="2598" t="n"/>
      <c r="CL52" s="2598" t="n"/>
      <c r="CM52" s="2598" t="n"/>
      <c r="CN52" s="2598" t="n"/>
      <c r="CO52" s="2598" t="n"/>
      <c r="CP52" s="2598" t="n"/>
      <c r="CQ52" s="2598" t="n"/>
      <c r="CT52" s="2567" t="n"/>
      <c r="CU52" s="2598" t="n"/>
      <c r="CV52" s="2598" t="n"/>
      <c r="CW52" s="2598" t="n"/>
      <c r="CX52" s="2567" t="n"/>
      <c r="CY52" s="2567" t="n"/>
      <c r="CZ52" s="2598" t="n"/>
      <c r="DA52" s="2598" t="n"/>
      <c r="DB52" s="2598" t="n"/>
      <c r="DC52" s="2598" t="n"/>
      <c r="DD52" s="2598" t="n"/>
      <c r="DE52" s="2598" t="n"/>
      <c r="DF52" s="2598" t="n"/>
      <c r="DG52" s="2598" t="n"/>
      <c r="DH52" s="2598" t="n"/>
      <c r="DI52" s="2598" t="n"/>
      <c r="DJ52" s="2598" t="n"/>
      <c r="DK52" s="2598" t="n"/>
      <c r="DL52" s="2598" t="n"/>
      <c r="DM52" s="2598" t="n"/>
      <c r="DN52" s="2598" t="n"/>
      <c r="DO52" s="2598" t="n"/>
      <c r="DP52" s="2567" t="n"/>
      <c r="DU52" s="2598" t="n"/>
      <c r="DV52" s="2598" t="n"/>
      <c r="DW52" s="2598" t="n"/>
      <c r="DX52" s="2598" t="n"/>
      <c r="DY52" s="2598" t="n"/>
      <c r="DZ52" s="2598" t="n"/>
      <c r="EA52" s="2598" t="n"/>
      <c r="EB52" s="2598" t="n"/>
      <c r="EC52" s="2598" t="n"/>
      <c r="ED52" s="2598" t="n"/>
      <c r="EE52" s="2598" t="n"/>
      <c r="EF52" s="2598" t="n"/>
      <c r="EG52" s="2598" t="n"/>
      <c r="EH52" s="2598" t="n"/>
    </row>
    <row r="53">
      <c r="B53" s="1838" t="n"/>
      <c r="C53" s="1838" t="n"/>
      <c r="D53" s="1838" t="n"/>
      <c r="E53" s="1838" t="n"/>
      <c r="F53" s="1838" t="n"/>
      <c r="G53" s="1838" t="n"/>
      <c r="H53" s="1838" t="n"/>
      <c r="I53" s="1838" t="n"/>
      <c r="J53" s="1838" t="n"/>
      <c r="K53" s="1838" t="n"/>
      <c r="L53" s="1838" t="n"/>
      <c r="M53" s="1961" t="n"/>
      <c r="N53" s="1961" t="n"/>
      <c r="O53" s="1961" t="n"/>
      <c r="P53" s="1838" t="n"/>
      <c r="Q53" s="1838" t="n"/>
      <c r="R53" s="1838" t="n"/>
      <c r="S53" s="1838" t="n"/>
      <c r="T53" s="1838" t="n"/>
      <c r="U53" s="1838" t="n"/>
      <c r="V53" s="1838" t="n"/>
      <c r="W53" s="1838" t="n"/>
      <c r="X53" s="1838" t="n"/>
      <c r="Y53" s="4194" t="n"/>
      <c r="Z53" s="1838" t="n"/>
      <c r="AA53" s="1838" t="n"/>
      <c r="AB53" s="4308" t="n"/>
      <c r="AC53" s="4308" t="n"/>
      <c r="AD53" s="1961" t="n"/>
      <c r="AE53" s="1838" t="n"/>
      <c r="AF53" s="1838" t="n"/>
      <c r="AG53" s="1838" t="n"/>
      <c r="AH53" s="1838" t="n"/>
      <c r="AI53" s="1838" t="n"/>
      <c r="AS53" s="2598" t="n"/>
      <c r="AT53" s="2598" t="n"/>
      <c r="AU53" s="2598" t="n"/>
      <c r="AV53" s="2598" t="n"/>
      <c r="AW53" s="2598" t="n"/>
      <c r="AX53" s="2598" t="n"/>
      <c r="AY53" s="2598" t="n"/>
      <c r="AZ53" s="2598" t="n"/>
      <c r="BA53" s="2598" t="n"/>
      <c r="BB53" s="2598" t="n"/>
      <c r="BC53" s="2598" t="n"/>
      <c r="BD53" s="2598" t="n"/>
      <c r="BE53" s="2598" t="n"/>
      <c r="BF53" s="2598" t="n"/>
      <c r="BG53" s="2598" t="n"/>
      <c r="BH53" s="2598" t="n"/>
      <c r="BI53" s="2598" t="n"/>
      <c r="BJ53" s="2598" t="n"/>
      <c r="BK53" s="2598" t="n"/>
      <c r="BL53" s="2598" t="n"/>
      <c r="BM53" s="2598" t="n"/>
      <c r="BN53" s="2598" t="n"/>
      <c r="BO53" s="2598" t="n"/>
      <c r="BP53" s="2598" t="n"/>
      <c r="BR53" s="1997" t="n"/>
      <c r="BS53" s="1997" t="n"/>
      <c r="BT53" s="1997" t="n"/>
      <c r="CD53" s="4201">
        <f>CD20</f>
        <v/>
      </c>
      <c r="CE53" s="2598" t="n"/>
      <c r="CF53" s="2598" t="n"/>
      <c r="CG53" s="2598" t="n"/>
      <c r="CH53" s="2598" t="n"/>
      <c r="CI53" s="2598" t="n"/>
      <c r="CJ53" s="2598" t="n"/>
      <c r="CK53" s="4241" t="inlineStr">
        <is>
          <t>Nutrient poor</t>
        </is>
      </c>
      <c r="CL53" s="4241" t="n"/>
      <c r="CM53" s="4241" t="n"/>
      <c r="CN53" s="2598" t="n"/>
      <c r="CO53" s="2598" t="n"/>
      <c r="CP53" s="2598" t="n"/>
      <c r="CQ53" s="2598" t="n"/>
      <c r="CT53" s="2567" t="n"/>
      <c r="CU53" s="2598" t="n"/>
      <c r="CV53" s="2598" t="n"/>
      <c r="CW53" s="2598" t="n"/>
      <c r="CX53" s="2567" t="n"/>
      <c r="CY53" s="2567" t="n"/>
      <c r="CZ53" s="2598" t="n"/>
      <c r="DA53" s="2598" t="n"/>
      <c r="DB53" s="2598" t="n"/>
      <c r="DC53" s="2598" t="n"/>
      <c r="DD53" s="2598" t="n"/>
      <c r="DE53" s="2598" t="n"/>
      <c r="DF53" s="2598" t="n"/>
      <c r="DG53" s="2598" t="n"/>
      <c r="DH53" s="2598" t="n"/>
      <c r="DI53" s="2598" t="n"/>
      <c r="DJ53" s="2598" t="n"/>
      <c r="DK53" s="2598" t="n"/>
      <c r="DL53" s="2598" t="n"/>
      <c r="DM53" s="2598" t="n"/>
      <c r="DN53" s="2598" t="n"/>
      <c r="DO53" s="2598" t="n"/>
      <c r="DP53" s="2567" t="n"/>
      <c r="DU53" s="2598" t="n"/>
      <c r="DV53" s="2598" t="n"/>
      <c r="DW53" s="2598" t="n"/>
      <c r="DX53" s="2598" t="n"/>
      <c r="DY53" s="2598" t="n"/>
      <c r="DZ53" s="2598" t="n"/>
      <c r="EA53" s="2598" t="n"/>
      <c r="EB53" s="2598" t="n"/>
      <c r="EC53" s="2598" t="n"/>
      <c r="ED53" s="2598" t="n"/>
      <c r="EE53" s="2598" t="n"/>
      <c r="EF53" s="4197">
        <f>CK53</f>
        <v/>
      </c>
      <c r="EG53" s="4181" t="inlineStr">
        <is>
          <t>soil</t>
        </is>
      </c>
      <c r="EH53" s="2598" t="n"/>
    </row>
    <row r="54" ht="15" customHeight="1">
      <c r="B54" s="1838" t="n"/>
      <c r="C54" s="1903" t="n"/>
      <c r="D54" s="1838" t="n"/>
      <c r="E54" s="1838" t="n"/>
      <c r="F54" s="1838" t="n"/>
      <c r="G54" s="1838" t="n"/>
      <c r="H54" s="1838" t="n"/>
      <c r="I54" s="1838" t="n"/>
      <c r="J54" s="1838" t="n"/>
      <c r="K54" s="1834">
        <f>K21</f>
        <v/>
      </c>
      <c r="L54" s="1838" t="n"/>
      <c r="M54" s="1838" t="n"/>
      <c r="N54" s="1838" t="n"/>
      <c r="O54" s="1838" t="n"/>
      <c r="P54" s="1838" t="n"/>
      <c r="Q54" s="1838" t="n"/>
      <c r="R54" s="1838" t="n"/>
      <c r="S54" s="1838" t="n"/>
      <c r="T54" s="1838" t="n"/>
      <c r="U54" s="1838" t="n"/>
      <c r="V54" s="1838" t="n"/>
      <c r="W54" s="1838" t="n"/>
      <c r="X54" s="1838" t="n"/>
      <c r="Y54" s="1838" t="n"/>
      <c r="Z54" s="4568">
        <f>Z21</f>
        <v/>
      </c>
      <c r="AC54" s="1838" t="n"/>
      <c r="AD54" s="1838" t="n"/>
      <c r="AE54" s="1838" t="n"/>
      <c r="AF54" s="1838" t="n"/>
      <c r="AG54" s="1838" t="n"/>
      <c r="AH54" s="1838" t="n"/>
      <c r="AI54" s="1838" t="n"/>
      <c r="AS54" s="2598" t="n"/>
      <c r="AT54" s="2598" t="n"/>
      <c r="AU54" s="2598" t="n"/>
      <c r="AV54" s="2598" t="n"/>
      <c r="AW54" s="1988">
        <f>'2.LUC'!BB32</f>
        <v/>
      </c>
      <c r="AX54" s="1787" t="n"/>
      <c r="AY54" s="1787" t="n"/>
      <c r="AZ54" s="1787" t="n"/>
      <c r="BA54" s="1800" t="n"/>
      <c r="BB54" s="1988">
        <f>'2.LUC'!BH32</f>
        <v/>
      </c>
      <c r="BC54" s="1787" t="n"/>
      <c r="BD54" s="1787" t="n"/>
      <c r="BE54" s="1787" t="n"/>
      <c r="BF54" s="2598" t="n"/>
      <c r="BG54" s="2015">
        <f>'2.LUC'!BM32</f>
        <v/>
      </c>
      <c r="BH54" s="4383" t="n"/>
      <c r="BI54" s="2598" t="n"/>
      <c r="BJ54" s="1800" t="n"/>
      <c r="BK54" s="4203">
        <f>'2.LUC'!BP32</f>
        <v/>
      </c>
      <c r="BL54" s="2015" t="n"/>
      <c r="BM54" s="1800" t="n"/>
      <c r="BN54" s="1988">
        <f>'2.LUC'!BS32</f>
        <v/>
      </c>
      <c r="BO54" s="1988" t="n"/>
      <c r="BP54" s="2598" t="n"/>
      <c r="BR54" s="4548" t="inlineStr">
        <is>
          <t>Use this part only if you want to refine yearly GHG fluxes</t>
        </is>
      </c>
      <c r="CD54" s="4201" t="n"/>
      <c r="CE54" s="2598" t="n"/>
      <c r="CF54" s="4176">
        <f>Languages!B346</f>
        <v/>
      </c>
      <c r="CG54" s="4176" t="n"/>
      <c r="CH54" s="4176" t="n"/>
      <c r="CI54" s="4176" t="n"/>
      <c r="CJ54" s="4176" t="n"/>
      <c r="CK54" s="4176" t="n"/>
      <c r="CL54" s="4181" t="n"/>
      <c r="CM54" s="4176">
        <f>CM9</f>
        <v/>
      </c>
      <c r="CN54" s="4176" t="n"/>
      <c r="CO54" s="4176" t="n"/>
      <c r="CP54" s="4176" t="n"/>
      <c r="CQ54" s="2598" t="n"/>
      <c r="CT54" s="2323">
        <f>CT34</f>
        <v/>
      </c>
      <c r="CU54" s="2598" t="n"/>
      <c r="CV54" s="2567" t="n"/>
      <c r="CW54" s="2567" t="n"/>
      <c r="CX54" s="2567" t="n"/>
      <c r="CY54" s="2567" t="n"/>
      <c r="CZ54" s="2567" t="n"/>
      <c r="DA54" s="2567" t="n"/>
      <c r="DB54" s="2567" t="n"/>
      <c r="DC54" s="2567" t="n"/>
      <c r="DD54" s="2567" t="n"/>
      <c r="DE54" s="2567" t="n"/>
      <c r="DF54" s="2567" t="n"/>
      <c r="DG54" s="2567" t="n"/>
      <c r="DH54" s="2567" t="n"/>
      <c r="DI54" s="2567" t="n"/>
      <c r="DJ54" s="2567" t="n"/>
      <c r="DK54" s="2567" t="n"/>
      <c r="DL54" s="2567" t="n"/>
      <c r="DM54" s="2567" t="n"/>
      <c r="DN54" s="2567" t="n"/>
      <c r="DO54" s="2567" t="n"/>
      <c r="DP54" s="2567" t="n"/>
      <c r="DU54" s="2598" t="n"/>
      <c r="DV54" s="2598" t="n"/>
      <c r="DW54" s="2598" t="n"/>
      <c r="DX54" s="2598" t="n"/>
      <c r="DY54" s="2598" t="n"/>
      <c r="DZ54" s="2598" t="n"/>
      <c r="EA54" s="2598" t="n"/>
      <c r="EB54" s="2598" t="n"/>
      <c r="EC54" s="2598" t="n"/>
      <c r="ED54" s="2598" t="n"/>
      <c r="EE54" s="2598" t="n"/>
      <c r="EF54" s="2598" t="n"/>
      <c r="EG54" s="2598" t="n"/>
      <c r="EH54" s="2598" t="n"/>
    </row>
    <row r="55">
      <c r="B55" s="1838" t="n"/>
      <c r="C55" s="1903" t="n"/>
      <c r="D55" s="1838" t="n"/>
      <c r="E55" s="1838" t="n"/>
      <c r="F55" s="1838" t="n"/>
      <c r="G55" s="1838" t="n"/>
      <c r="H55" s="1838" t="n"/>
      <c r="I55" s="1838" t="n"/>
      <c r="J55" s="1838" t="n"/>
      <c r="K55" s="1834">
        <f>K22</f>
        <v/>
      </c>
      <c r="L55" s="1838" t="n"/>
      <c r="M55" s="4390">
        <f>M22</f>
        <v/>
      </c>
      <c r="N55" s="4390" t="n"/>
      <c r="O55" s="4390" t="n"/>
      <c r="P55" s="4390" t="n"/>
      <c r="Q55" s="4390" t="n"/>
      <c r="R55" s="1838" t="n"/>
      <c r="S55" s="4390">
        <f>S22</f>
        <v/>
      </c>
      <c r="T55" s="4390" t="n"/>
      <c r="U55" s="4390" t="n"/>
      <c r="V55" s="1838" t="n"/>
      <c r="W55" s="4390">
        <f>Languages!B328</f>
        <v/>
      </c>
      <c r="X55" s="4390" t="n"/>
      <c r="Y55" s="4390" t="n"/>
      <c r="AC55" s="1838" t="n"/>
      <c r="AD55" s="1838" t="n"/>
      <c r="AE55" s="4359" t="n"/>
      <c r="AF55" s="4359" t="n"/>
      <c r="AG55" s="1780" t="n"/>
      <c r="AH55" s="1838" t="n"/>
      <c r="AI55" s="1838" t="n"/>
      <c r="AS55" s="2598" t="n"/>
      <c r="AT55" s="4181">
        <f>C43</f>
        <v/>
      </c>
      <c r="AU55" s="2598" t="n"/>
      <c r="AV55" s="2598" t="n"/>
      <c r="AW55" s="1833">
        <f>Languages!B87</f>
        <v/>
      </c>
      <c r="AX55" s="1800" t="n"/>
      <c r="AY55" s="1833">
        <f>Languages!B88</f>
        <v/>
      </c>
      <c r="AZ55" s="1800" t="n"/>
      <c r="BA55" s="1800" t="n"/>
      <c r="BB55" s="1833">
        <f>AW55</f>
        <v/>
      </c>
      <c r="BC55" s="1800" t="n"/>
      <c r="BD55" s="1833">
        <f>AY55</f>
        <v/>
      </c>
      <c r="BE55" s="1800" t="n"/>
      <c r="BF55" s="2598" t="n"/>
      <c r="BG55" s="1800">
        <f>'2.LUC'!BM33</f>
        <v/>
      </c>
      <c r="BH55" s="1800" t="n"/>
      <c r="BI55" s="2598" t="n"/>
      <c r="BJ55" s="1800" t="n"/>
      <c r="BK55" s="1800" t="n"/>
      <c r="BL55" s="1800" t="n"/>
      <c r="BM55" s="1800" t="n"/>
      <c r="BN55" s="1800" t="n"/>
      <c r="BO55" s="1800" t="n"/>
      <c r="BP55" s="2598" t="n"/>
      <c r="CD55" s="4201" t="n"/>
      <c r="CE55" s="2598" t="n"/>
      <c r="CF55" s="4187">
        <f>CF10</f>
        <v/>
      </c>
      <c r="CG55" s="2598" t="n"/>
      <c r="CH55" s="4205">
        <f>CH10</f>
        <v/>
      </c>
      <c r="CI55" s="2598" t="n"/>
      <c r="CJ55" s="4185">
        <f>CJ10</f>
        <v/>
      </c>
      <c r="CK55" s="2598" t="n"/>
      <c r="CL55" s="2598" t="n"/>
      <c r="CM55" s="4187">
        <f>CM10</f>
        <v/>
      </c>
      <c r="CN55" s="2598" t="n"/>
      <c r="CO55" s="4187">
        <f>CO10</f>
        <v/>
      </c>
      <c r="CP55" s="2598" t="n"/>
      <c r="CQ55" s="2598" t="n"/>
      <c r="CT55" s="2323" t="n"/>
      <c r="CU55" s="2598" t="n"/>
      <c r="CV55" s="2567" t="n"/>
      <c r="CW55" s="2567" t="n"/>
      <c r="CX55" s="2567" t="n"/>
      <c r="CY55" s="2567" t="n"/>
      <c r="CZ55" s="2567" t="n"/>
      <c r="DA55" s="2567" t="n"/>
      <c r="DB55" s="2567" t="n"/>
      <c r="DC55" s="2567" t="n"/>
      <c r="DD55" s="2567" t="n"/>
      <c r="DE55" s="2567" t="n"/>
      <c r="DF55" s="2567" t="n"/>
      <c r="DG55" s="2567" t="n"/>
      <c r="DH55" s="2567" t="n"/>
      <c r="DI55" s="2567" t="n"/>
      <c r="DJ55" s="2567" t="n"/>
      <c r="DK55" s="2567" t="n"/>
      <c r="DL55" s="2567" t="n"/>
      <c r="DM55" s="2567" t="n"/>
      <c r="DN55" s="2567" t="n"/>
      <c r="DO55" s="2567" t="n"/>
      <c r="DP55" s="2567" t="n"/>
      <c r="DU55" s="2598" t="n"/>
      <c r="DV55" s="2598" t="n"/>
      <c r="DW55" s="2598" t="n"/>
      <c r="DX55" s="4176" t="inlineStr">
        <is>
          <t>On site emissions factor</t>
        </is>
      </c>
      <c r="DY55" s="4177" t="n"/>
      <c r="DZ55" s="4177" t="n"/>
      <c r="EA55" s="4177" t="n"/>
      <c r="EB55" s="4177" t="n"/>
      <c r="EC55" s="4177" t="n"/>
      <c r="ED55" s="2598" t="n"/>
      <c r="EE55" s="4176" t="inlineStr">
        <is>
          <t>Off-site emission factor</t>
        </is>
      </c>
      <c r="EF55" s="4177" t="n"/>
      <c r="EG55" s="4177" t="n"/>
      <c r="EH55" s="2598" t="n"/>
    </row>
    <row r="56">
      <c r="B56" s="1838" t="n"/>
      <c r="C56" s="1903">
        <f>C43</f>
        <v/>
      </c>
      <c r="D56" s="1838" t="n"/>
      <c r="E56" s="1834">
        <f>I43</f>
        <v/>
      </c>
      <c r="F56" s="1838" t="n"/>
      <c r="G56" s="1838" t="n"/>
      <c r="H56" s="1838" t="n"/>
      <c r="I56" s="1838" t="n"/>
      <c r="J56" s="1838" t="n"/>
      <c r="K56" s="1838" t="n"/>
      <c r="L56" s="1838" t="n"/>
      <c r="M56" s="1961" t="n"/>
      <c r="N56" s="1961" t="n"/>
      <c r="O56" s="1961" t="n"/>
      <c r="P56" s="1961" t="n"/>
      <c r="Q56" s="1961" t="n"/>
      <c r="R56" s="1838" t="n"/>
      <c r="S56" s="1838" t="n"/>
      <c r="T56" s="1838" t="n"/>
      <c r="U56" s="1838" t="n"/>
      <c r="V56" s="1838" t="n"/>
      <c r="W56" s="1961" t="n"/>
      <c r="X56" s="1961" t="n"/>
      <c r="Y56" s="1961" t="n"/>
      <c r="Z56" s="1838" t="n"/>
      <c r="AA56" s="4198">
        <f>AA23</f>
        <v/>
      </c>
      <c r="AB56" s="4308" t="n"/>
      <c r="AC56" s="1838" t="n"/>
      <c r="AD56" s="1838" t="n"/>
      <c r="AE56" s="4359" t="n"/>
      <c r="AF56" s="4359" t="n"/>
      <c r="AG56" s="1780" t="n"/>
      <c r="AH56" s="1838" t="n"/>
      <c r="AI56" s="1838" t="n"/>
      <c r="AS56" s="2598" t="n"/>
      <c r="AT56" s="2598" t="n"/>
      <c r="AU56" s="2598" t="n"/>
      <c r="AV56" s="2598" t="n"/>
      <c r="AW56" s="1896">
        <f>AY46</f>
        <v/>
      </c>
      <c r="AX56" s="1894">
        <f>AZ46</f>
        <v/>
      </c>
      <c r="AY56" s="1896">
        <f>AY46</f>
        <v/>
      </c>
      <c r="AZ56" s="1894">
        <f>AX56</f>
        <v/>
      </c>
      <c r="BA56" s="1800" t="n"/>
      <c r="BB56" s="1896">
        <f>AY46</f>
        <v/>
      </c>
      <c r="BC56" s="1894">
        <f>AZ56</f>
        <v/>
      </c>
      <c r="BD56" s="1896">
        <f>AY46</f>
        <v/>
      </c>
      <c r="BE56" s="1894">
        <f>BC56</f>
        <v/>
      </c>
      <c r="BF56" s="2598" t="n"/>
      <c r="BG56" s="2598">
        <f>BD56</f>
        <v/>
      </c>
      <c r="BH56" s="2598">
        <f>BE56</f>
        <v/>
      </c>
      <c r="BI56" s="2598" t="n"/>
      <c r="BJ56" s="1800" t="n"/>
      <c r="BK56" s="1896">
        <f>BG56</f>
        <v/>
      </c>
      <c r="BL56" s="1894">
        <f>BH56</f>
        <v/>
      </c>
      <c r="BM56" s="1800" t="n"/>
      <c r="BN56" s="1896">
        <f>BG56</f>
        <v/>
      </c>
      <c r="BO56" s="1894">
        <f>AZ46</f>
        <v/>
      </c>
      <c r="BP56" s="2598" t="n"/>
      <c r="CD56" s="4201" t="n"/>
      <c r="CE56" s="4181">
        <f>CE22</f>
        <v/>
      </c>
      <c r="CF56" s="4187">
        <f>CF11</f>
        <v/>
      </c>
      <c r="CG56" s="2567" t="n"/>
      <c r="CH56" s="4185">
        <f>CH11</f>
        <v/>
      </c>
      <c r="CI56" s="2567" t="n"/>
      <c r="CJ56" s="2323">
        <f>CJ11</f>
        <v/>
      </c>
      <c r="CK56" s="2567" t="n"/>
      <c r="CL56" s="2567" t="n"/>
      <c r="CM56" s="4185">
        <f>CM11</f>
        <v/>
      </c>
      <c r="CN56" s="2598" t="n"/>
      <c r="CO56" s="4190">
        <f>CO11</f>
        <v/>
      </c>
      <c r="CP56" s="2598" t="n"/>
      <c r="CQ56" s="2598" t="n"/>
      <c r="CT56" s="2323" t="n"/>
      <c r="CU56" s="2598" t="n"/>
      <c r="CV56" s="2567" t="n"/>
      <c r="CW56" s="2567" t="n"/>
      <c r="CX56" s="2567" t="n"/>
      <c r="CY56" s="2567" t="n"/>
      <c r="CZ56" s="2567" t="n"/>
      <c r="DA56" s="2567" t="n"/>
      <c r="DB56" s="2567" t="n"/>
      <c r="DC56" s="2567" t="n"/>
      <c r="DD56" s="2567" t="n"/>
      <c r="DE56" s="2567" t="n"/>
      <c r="DF56" s="2567" t="n"/>
      <c r="DG56" s="2567" t="n"/>
      <c r="DH56" s="2567" t="n"/>
      <c r="DI56" s="2567" t="n"/>
      <c r="DJ56" s="2567" t="n"/>
      <c r="DK56" s="2567" t="n"/>
      <c r="DL56" s="2567" t="n"/>
      <c r="DM56" s="2567" t="n"/>
      <c r="DN56" s="2567" t="n"/>
      <c r="DO56" s="2567" t="n"/>
      <c r="DP56" s="2567" t="n"/>
      <c r="DU56" s="2598" t="n"/>
      <c r="DV56" s="4181">
        <f>CE56</f>
        <v/>
      </c>
      <c r="DW56" s="2598" t="n"/>
      <c r="DX56" s="2598" t="inlineStr">
        <is>
          <t>CO2 on site</t>
        </is>
      </c>
      <c r="DY56" s="2598" t="n"/>
      <c r="DZ56" s="2598" t="inlineStr">
        <is>
          <t>CH4 on-site</t>
        </is>
      </c>
      <c r="EA56" s="2598" t="n"/>
      <c r="EB56" s="2598" t="inlineStr">
        <is>
          <t>N2O</t>
        </is>
      </c>
      <c r="EC56" s="2598" t="n"/>
      <c r="ED56" s="2598" t="n"/>
      <c r="EE56" s="2598" t="inlineStr">
        <is>
          <t>DOC off-site</t>
        </is>
      </c>
      <c r="EF56" s="2598" t="n"/>
      <c r="EG56" s="2598" t="n"/>
      <c r="EH56" s="2598" t="n"/>
    </row>
    <row r="57">
      <c r="B57" s="1838" t="n"/>
      <c r="C57" s="1903" t="n"/>
      <c r="D57" s="1838" t="n"/>
      <c r="E57" s="1838" t="n"/>
      <c r="F57" s="1838" t="n"/>
      <c r="G57" s="1838" t="n"/>
      <c r="H57" s="1838" t="n"/>
      <c r="I57" s="1838" t="n"/>
      <c r="J57" s="1838" t="n"/>
      <c r="K57" s="1838" t="n"/>
      <c r="L57" s="1838" t="n"/>
      <c r="M57" s="1838">
        <f>M24</f>
        <v/>
      </c>
      <c r="N57" s="1838">
        <f>N24</f>
        <v/>
      </c>
      <c r="O57" s="1838">
        <f>O24</f>
        <v/>
      </c>
      <c r="P57" s="1838">
        <f>P24</f>
        <v/>
      </c>
      <c r="Q57" s="1838">
        <f>Q24</f>
        <v/>
      </c>
      <c r="R57" s="1838">
        <f>R24</f>
        <v/>
      </c>
      <c r="S57" s="1838">
        <f>M57</f>
        <v/>
      </c>
      <c r="T57" s="1838">
        <f>N57</f>
        <v/>
      </c>
      <c r="U57" s="1838">
        <f>P57</f>
        <v/>
      </c>
      <c r="V57" s="1838" t="n"/>
      <c r="W57" s="1838" t="inlineStr">
        <is>
          <t>Start</t>
        </is>
      </c>
      <c r="X57" s="1838">
        <f>X24</f>
        <v/>
      </c>
      <c r="Y57" s="1838">
        <f>Y24</f>
        <v/>
      </c>
      <c r="Z57" s="1838" t="n"/>
      <c r="AA57" s="1838">
        <f>AA24</f>
        <v/>
      </c>
      <c r="AB57" s="4308" t="n"/>
      <c r="AC57" s="1838" t="n"/>
      <c r="AD57" s="1838" t="n"/>
      <c r="AE57" s="1838">
        <f>AE45</f>
        <v/>
      </c>
      <c r="AF57" s="1838">
        <f>AF45</f>
        <v/>
      </c>
      <c r="AG57" s="1834">
        <f>AG45</f>
        <v/>
      </c>
      <c r="AH57" s="1838" t="n"/>
      <c r="AI57" s="1838" t="n"/>
      <c r="AS57" s="2598" t="n"/>
      <c r="AT57" s="2598" t="n"/>
      <c r="AU57" s="2598" t="n"/>
      <c r="AV57" s="2598" t="n"/>
      <c r="AW57" s="2598">
        <f>'2.LUC'!BB34</f>
        <v/>
      </c>
      <c r="AX57" s="2598" t="n"/>
      <c r="AY57" s="2598">
        <f>'2.LUC'!BE34</f>
        <v/>
      </c>
      <c r="AZ57" s="2598" t="n"/>
      <c r="BA57" s="1800" t="n"/>
      <c r="BB57" s="2598">
        <f>AW57</f>
        <v/>
      </c>
      <c r="BC57" s="2598" t="n"/>
      <c r="BD57" s="2598">
        <f>BB57</f>
        <v/>
      </c>
      <c r="BE57" s="2598" t="n"/>
      <c r="BF57" s="2598" t="n"/>
      <c r="BG57" s="2598" t="inlineStr">
        <is>
          <t>tC/ha</t>
        </is>
      </c>
      <c r="BH57" s="2598" t="n"/>
      <c r="BI57" s="2598" t="n"/>
      <c r="BJ57" s="2598" t="n"/>
      <c r="BK57" s="2598">
        <f>'2.LUC'!BP34</f>
        <v/>
      </c>
      <c r="BL57" s="2598" t="n"/>
      <c r="BM57" s="2598" t="n"/>
      <c r="BN57" s="2598">
        <f>BK57</f>
        <v/>
      </c>
      <c r="BO57" s="2598" t="n"/>
      <c r="BP57" s="2598" t="n"/>
      <c r="BR57" s="1997" t="n"/>
      <c r="BS57" s="1997" t="n"/>
      <c r="BT57" s="1997" t="n"/>
      <c r="CD57" s="4201" t="n"/>
      <c r="CE57" s="2598" t="n"/>
      <c r="CF57" s="2567">
        <f>CF12</f>
        <v/>
      </c>
      <c r="CG57" s="2567">
        <f>CG12</f>
        <v/>
      </c>
      <c r="CH57" s="2567">
        <f>CH12</f>
        <v/>
      </c>
      <c r="CI57" s="2567">
        <f>CI12</f>
        <v/>
      </c>
      <c r="CJ57" s="2567">
        <f>CJ12</f>
        <v/>
      </c>
      <c r="CK57" s="2567">
        <f>CK12</f>
        <v/>
      </c>
      <c r="CL57" s="2567" t="n"/>
      <c r="CM57" s="2567">
        <f>CM12</f>
        <v/>
      </c>
      <c r="CN57" s="2567">
        <f>CN12</f>
        <v/>
      </c>
      <c r="CO57" s="2567">
        <f>CO12</f>
        <v/>
      </c>
      <c r="CP57" s="2567">
        <f>CP12</f>
        <v/>
      </c>
      <c r="CQ57" s="2598" t="n"/>
      <c r="CT57" s="2323" t="n"/>
      <c r="CU57" s="2598" t="n"/>
      <c r="CV57" s="2567" t="n"/>
      <c r="CW57" s="2567" t="n"/>
      <c r="CX57" s="2567" t="n"/>
      <c r="CY57" s="2567" t="n"/>
      <c r="CZ57" s="2567" t="n"/>
      <c r="DA57" s="2567" t="n"/>
      <c r="DB57" s="2567" t="n"/>
      <c r="DC57" s="2567" t="n"/>
      <c r="DD57" s="2567" t="n"/>
      <c r="DE57" s="2567" t="n"/>
      <c r="DF57" s="2567" t="n"/>
      <c r="DG57" s="2567" t="n"/>
      <c r="DH57" s="2567" t="n"/>
      <c r="DI57" s="2567" t="n"/>
      <c r="DJ57" s="2567" t="n"/>
      <c r="DK57" s="2567" t="n"/>
      <c r="DL57" s="2567" t="n"/>
      <c r="DM57" s="2567" t="n"/>
      <c r="DN57" s="2567" t="n"/>
      <c r="DO57" s="2567" t="n"/>
      <c r="DP57" s="2567" t="n"/>
      <c r="DU57" s="2598" t="n"/>
      <c r="DV57" s="2598" t="n"/>
      <c r="DW57" s="2598" t="n"/>
      <c r="DX57" s="2598" t="inlineStr">
        <is>
          <t>tC/ha/yr</t>
        </is>
      </c>
      <c r="DY57" s="2598" t="n"/>
      <c r="DZ57" s="2598" t="inlineStr">
        <is>
          <t>kg CH4-C/ha/yr</t>
        </is>
      </c>
      <c r="EA57" s="2598" t="n"/>
      <c r="EB57" s="2598" t="inlineStr">
        <is>
          <t>kg N2O-N/ha/yr</t>
        </is>
      </c>
      <c r="EC57" s="2598" t="n"/>
      <c r="ED57" s="2598" t="n"/>
      <c r="EE57" s="2598" t="inlineStr">
        <is>
          <t>tC/ha/yr</t>
        </is>
      </c>
      <c r="EF57" s="2598" t="n"/>
      <c r="EG57" s="2598" t="n"/>
      <c r="EH57" s="2598" t="n"/>
    </row>
    <row r="58">
      <c r="B58" s="1838" t="n"/>
      <c r="C58" s="1814">
        <f>C46</f>
        <v/>
      </c>
      <c r="D58" s="1838" t="n"/>
      <c r="E58" s="1838">
        <f>IF(I46= "Agroforestry", I46&amp;"-"&amp;K46, I46)</f>
        <v/>
      </c>
      <c r="F58" s="1838" t="n"/>
      <c r="G58" s="1838" t="n"/>
      <c r="H58" s="1838" t="n"/>
      <c r="I58" s="1838" t="n"/>
      <c r="J58" s="1838" t="n"/>
      <c r="K58" s="2111">
        <f>MAX(N46,P46)</f>
        <v/>
      </c>
      <c r="L58" s="1838" t="n"/>
      <c r="M58" s="4228" t="n">
        <v>0</v>
      </c>
      <c r="N58" s="4229" t="n">
        <v>0</v>
      </c>
      <c r="O58" s="4134" t="inlineStr">
        <is>
          <t>D</t>
        </is>
      </c>
      <c r="P58" s="4229" t="n">
        <v>0</v>
      </c>
      <c r="Q58" s="4134" t="inlineStr">
        <is>
          <t>D</t>
        </is>
      </c>
      <c r="R58" s="1838" t="n"/>
      <c r="S58" s="2111">
        <f>$K58-M58</f>
        <v/>
      </c>
      <c r="T58" s="2111">
        <f>$K58-N58</f>
        <v/>
      </c>
      <c r="U58" s="2111">
        <f>$K58-P58</f>
        <v/>
      </c>
      <c r="V58" s="1838" t="n"/>
      <c r="W58" s="4231" t="n">
        <v>0</v>
      </c>
      <c r="X58" s="4231" t="n">
        <v>0</v>
      </c>
      <c r="Y58" s="4231" t="n">
        <v>0</v>
      </c>
      <c r="Z58" s="1838" t="n"/>
      <c r="AA58" s="2133" t="inlineStr">
        <is>
          <t>Y/N</t>
        </is>
      </c>
      <c r="AB58" s="4308" t="n"/>
      <c r="AC58" s="1838" t="n"/>
      <c r="AD58" s="1838" t="n"/>
      <c r="AE58" s="2111">
        <f>+'Inl. wetlands'!AI151+'Inl. wetlands'!AI171+'Inl. wetlands'!AI200</f>
        <v/>
      </c>
      <c r="AF58" s="2111">
        <f>+'Inl. wetlands'!AJ151+'Inl. wetlands'!AJ171+'Inl. wetlands'!AJ200</f>
        <v/>
      </c>
      <c r="AG58" s="1806">
        <f>AF58-AE58</f>
        <v/>
      </c>
      <c r="AH58" s="1838" t="n"/>
      <c r="AI58" s="1838" t="n"/>
      <c r="AS58" s="2598" t="n"/>
      <c r="AT58" s="2598">
        <f>C46</f>
        <v/>
      </c>
      <c r="AU58" s="2598" t="n"/>
      <c r="AV58" s="2598" t="n"/>
      <c r="AW58" s="4206">
        <f>IF($AT58="Please select",0,VLOOKUP($AT58,'Inl. wetlands'!$B$117:$J$125,3,FALSE)*0.47)</f>
        <v/>
      </c>
      <c r="AX58" s="4729" t="n"/>
      <c r="AY58" s="4206">
        <f>IF($AT58="Please select",0,VLOOKUP($AT58,'Inl. wetlands'!$B$117:$J$125,4,FALSE)*0.47)</f>
        <v/>
      </c>
      <c r="AZ58" s="4729" t="n"/>
      <c r="BA58" s="1800" t="n"/>
      <c r="BB58" s="4728">
        <f>IF($AT58="Please select",0,VLOOKUP($AT58,'Inl. wetlands'!$B$117:$J$125,5,FALSE)*0.47)</f>
        <v/>
      </c>
      <c r="BC58" s="4729" t="n"/>
      <c r="BD58" s="4728">
        <f>IF($AT58="Please select",0,VLOOKUP($AT58,'Inl. wetlands'!$B$117:$J$125,6,FALSE)*0.47)</f>
        <v/>
      </c>
      <c r="BE58" s="4729" t="n"/>
      <c r="BF58" s="2598" t="n"/>
      <c r="BG58" s="4414">
        <f>'Inl. wetlands'!AD118*12/44</f>
        <v/>
      </c>
      <c r="BH58" s="4729" t="n"/>
      <c r="BI58" s="2598" t="n"/>
      <c r="BJ58" s="2598" t="n"/>
      <c r="BK58" s="4728">
        <f>IF($AT58="Please select",0,VLOOKUP($AT58,'Inl. wetlands'!$B$117:$J$125,7,FALSE))</f>
        <v/>
      </c>
      <c r="BL58" s="4729" t="n"/>
      <c r="BM58" s="2598" t="n"/>
      <c r="BN58" s="4728">
        <f>IF($AT58="Please select",0,VLOOKUP($AT58,'Inl. wetlands'!$B$117:$J$125,8,FALSE))</f>
        <v/>
      </c>
      <c r="BO58" s="4729" t="n"/>
      <c r="BP58" s="2598" t="n"/>
      <c r="BR58" s="1997" t="n"/>
      <c r="BS58" s="1997" t="n"/>
      <c r="BT58" s="1997" t="n"/>
      <c r="CD58" s="4201" t="n"/>
      <c r="CE58" s="2598">
        <f>C46</f>
        <v/>
      </c>
      <c r="CF58" s="4192">
        <f>'Inl. wetlands'!B176</f>
        <v/>
      </c>
      <c r="CG58" s="4245" t="n"/>
      <c r="CH58" s="4192">
        <f>'Inl. wetlands'!D176</f>
        <v/>
      </c>
      <c r="CI58" s="4245" t="n"/>
      <c r="CJ58" s="4192">
        <f>'Inl. wetlands'!F176</f>
        <v/>
      </c>
      <c r="CK58" s="4245" t="n"/>
      <c r="CL58" s="2598" t="n"/>
      <c r="CM58" s="4192">
        <f>'Inl. wetlands'!H176</f>
        <v/>
      </c>
      <c r="CN58" s="4245" t="n"/>
      <c r="CO58" s="4192">
        <f>'Inl. wetlands'!J176</f>
        <v/>
      </c>
      <c r="CP58" s="4245" t="n"/>
      <c r="CQ58" s="2598" t="n"/>
      <c r="CT58" s="2323" t="n"/>
      <c r="CU58" s="2598" t="n"/>
      <c r="CV58" s="2567" t="n"/>
      <c r="CW58" s="2567" t="n"/>
      <c r="CX58" s="2567" t="n"/>
      <c r="CY58" s="2567" t="n"/>
      <c r="CZ58" s="2567" t="n"/>
      <c r="DA58" s="2567" t="n"/>
      <c r="DB58" s="2567" t="n"/>
      <c r="DC58" s="2567" t="n"/>
      <c r="DD58" s="2567" t="n"/>
      <c r="DE58" s="2567" t="n"/>
      <c r="DF58" s="2567" t="n"/>
      <c r="DG58" s="2567" t="n"/>
      <c r="DH58" s="2567" t="n"/>
      <c r="DI58" s="2567" t="n"/>
      <c r="DJ58" s="2567" t="n"/>
      <c r="DK58" s="2567" t="n"/>
      <c r="DL58" s="2567" t="n"/>
      <c r="DM58" s="2567" t="n"/>
      <c r="DN58" s="2567" t="n"/>
      <c r="DO58" s="2567" t="n"/>
      <c r="DP58" s="2567" t="n"/>
      <c r="DU58" s="2598" t="n"/>
      <c r="DV58" s="2598">
        <f>C46</f>
        <v/>
      </c>
      <c r="DW58" s="2598" t="n"/>
      <c r="DX58" s="4728">
        <f>'Inl. wetlands'!H204</f>
        <v/>
      </c>
      <c r="DY58" s="4241" t="n"/>
      <c r="DZ58" s="4191">
        <f>'Inl. wetlands'!J204</f>
        <v/>
      </c>
      <c r="EA58" s="4241" t="n"/>
      <c r="EB58" s="4191">
        <f>'Inl. wetlands'!L204</f>
        <v/>
      </c>
      <c r="EC58" s="4241" t="n"/>
      <c r="ED58" s="2598" t="n"/>
      <c r="EE58" s="4192">
        <f>'Inl. wetlands'!N204</f>
        <v/>
      </c>
      <c r="EF58" s="4241" t="n"/>
      <c r="EG58" s="2598" t="n"/>
      <c r="EH58" s="2598" t="n"/>
    </row>
    <row r="59">
      <c r="B59" s="1838" t="n"/>
      <c r="C59" s="1814">
        <f>C47</f>
        <v/>
      </c>
      <c r="D59" s="1838" t="n"/>
      <c r="E59" s="1838">
        <f>IF(I47= "Agroforestry", I47&amp;"-"&amp;K47, I47)</f>
        <v/>
      </c>
      <c r="F59" s="1838" t="n"/>
      <c r="G59" s="1838" t="n"/>
      <c r="H59" s="1838" t="n"/>
      <c r="I59" s="1838" t="n"/>
      <c r="J59" s="1838" t="n"/>
      <c r="K59" s="2111">
        <f>MAX(N47,P47)</f>
        <v/>
      </c>
      <c r="L59" s="1838" t="n"/>
      <c r="M59" s="4228" t="n">
        <v>0</v>
      </c>
      <c r="N59" s="4229" t="n">
        <v>0</v>
      </c>
      <c r="O59" s="4134" t="inlineStr">
        <is>
          <t>D</t>
        </is>
      </c>
      <c r="P59" s="4229" t="n">
        <v>0</v>
      </c>
      <c r="Q59" s="4134" t="inlineStr">
        <is>
          <t>D</t>
        </is>
      </c>
      <c r="R59" s="1838" t="n"/>
      <c r="S59" s="2111">
        <f>$K59-M59</f>
        <v/>
      </c>
      <c r="T59" s="2111">
        <f>$K59-N59</f>
        <v/>
      </c>
      <c r="U59" s="2111">
        <f>$K59-P59</f>
        <v/>
      </c>
      <c r="V59" s="1838" t="n"/>
      <c r="W59" s="4231" t="n">
        <v>0</v>
      </c>
      <c r="X59" s="4231" t="n">
        <v>0</v>
      </c>
      <c r="Y59" s="4231" t="n">
        <v>0</v>
      </c>
      <c r="Z59" s="1838" t="n"/>
      <c r="AA59" s="2133" t="inlineStr">
        <is>
          <t>Y/N</t>
        </is>
      </c>
      <c r="AB59" s="4308" t="n"/>
      <c r="AC59" s="1838" t="n"/>
      <c r="AD59" s="1838" t="n"/>
      <c r="AE59" s="2111">
        <f>+'Inl. wetlands'!AI152+'Inl. wetlands'!AI172+'Inl. wetlands'!AI201</f>
        <v/>
      </c>
      <c r="AF59" s="2111">
        <f>+'Inl. wetlands'!AJ152+'Inl. wetlands'!AJ172+'Inl. wetlands'!AJ201</f>
        <v/>
      </c>
      <c r="AG59" s="1806">
        <f>AF59-AE59</f>
        <v/>
      </c>
      <c r="AH59" s="1838" t="n"/>
      <c r="AI59" s="1838" t="n"/>
      <c r="AS59" s="2598" t="n"/>
      <c r="AT59" s="2598">
        <f>C47</f>
        <v/>
      </c>
      <c r="AU59" s="2598" t="n"/>
      <c r="AV59" s="2598" t="n"/>
      <c r="AW59" s="4206">
        <f>IF($AT59="Please select",0,VLOOKUP($AT59,'Inl. wetlands'!$B$117:$J$125,3,FALSE)*0.47)</f>
        <v/>
      </c>
      <c r="AX59" s="4729" t="n"/>
      <c r="AY59" s="4206">
        <f>IF($AT59="Please select",0,VLOOKUP($AT59,'Inl. wetlands'!$B$117:$J$125,4,FALSE)*0.47)</f>
        <v/>
      </c>
      <c r="AZ59" s="4729" t="n"/>
      <c r="BA59" s="1800" t="n"/>
      <c r="BB59" s="4728">
        <f>IF($AT59="Please select",0,VLOOKUP($AT59,'Inl. wetlands'!$B$117:$J$125,5,FALSE)*0.47)</f>
        <v/>
      </c>
      <c r="BC59" s="4729" t="n"/>
      <c r="BD59" s="4728">
        <f>IF($AT59="Please select",0,VLOOKUP($AT59,'Inl. wetlands'!$B$117:$J$125,6,FALSE)*0.47)</f>
        <v/>
      </c>
      <c r="BE59" s="4729" t="n"/>
      <c r="BF59" s="2598" t="n"/>
      <c r="BG59" s="4414">
        <f>'Inl. wetlands'!AD119*12/44</f>
        <v/>
      </c>
      <c r="BH59" s="4729" t="n"/>
      <c r="BI59" s="2598" t="n"/>
      <c r="BJ59" s="2598" t="n"/>
      <c r="BK59" s="4728">
        <f>IF($AT59="Please select",0,VLOOKUP($AT59,'Inl. wetlands'!$B$117:$J$125,7,FALSE))</f>
        <v/>
      </c>
      <c r="BL59" s="4729" t="n"/>
      <c r="BM59" s="2598" t="n"/>
      <c r="BN59" s="4728">
        <f>IF($AT59="Please select",0,VLOOKUP($AT59,'Inl. wetlands'!$B$117:$J$125,8,FALSE))</f>
        <v/>
      </c>
      <c r="BO59" s="4729" t="n"/>
      <c r="BP59" s="2598" t="n"/>
      <c r="BR59" s="1997" t="n"/>
      <c r="BS59" s="1997" t="n"/>
      <c r="BT59" s="1997" t="n"/>
      <c r="CD59" s="4201" t="n"/>
      <c r="CE59" s="2598">
        <f>C47</f>
        <v/>
      </c>
      <c r="CF59" s="4192">
        <f>'Inl. wetlands'!B177</f>
        <v/>
      </c>
      <c r="CG59" s="4245" t="n"/>
      <c r="CH59" s="4192">
        <f>'Inl. wetlands'!D177</f>
        <v/>
      </c>
      <c r="CI59" s="4245" t="n"/>
      <c r="CJ59" s="4192">
        <f>'Inl. wetlands'!F177</f>
        <v/>
      </c>
      <c r="CK59" s="4245" t="n"/>
      <c r="CL59" s="2598" t="n"/>
      <c r="CM59" s="4192">
        <f>'Inl. wetlands'!H177</f>
        <v/>
      </c>
      <c r="CN59" s="4245" t="n"/>
      <c r="CO59" s="4192">
        <f>'Inl. wetlands'!J177</f>
        <v/>
      </c>
      <c r="CP59" s="4245" t="n"/>
      <c r="CQ59" s="2598" t="n"/>
      <c r="CT59" s="2323" t="n"/>
      <c r="CU59" s="2598" t="n"/>
      <c r="CV59" s="2567" t="n"/>
      <c r="CW59" s="2567" t="n"/>
      <c r="CX59" s="2567" t="n"/>
      <c r="CY59" s="2567" t="n"/>
      <c r="CZ59" s="2567" t="n"/>
      <c r="DA59" s="2567" t="n"/>
      <c r="DB59" s="2567" t="n"/>
      <c r="DC59" s="2567" t="n"/>
      <c r="DD59" s="2567" t="n"/>
      <c r="DE59" s="2567" t="n"/>
      <c r="DF59" s="2567" t="n"/>
      <c r="DG59" s="2567" t="n"/>
      <c r="DH59" s="2567" t="n"/>
      <c r="DI59" s="2567" t="n"/>
      <c r="DJ59" s="2567" t="n"/>
      <c r="DK59" s="2567" t="n"/>
      <c r="DL59" s="2567" t="n"/>
      <c r="DM59" s="2567" t="n"/>
      <c r="DN59" s="2567" t="n"/>
      <c r="DO59" s="2567" t="n"/>
      <c r="DP59" s="2567" t="n"/>
      <c r="DU59" s="2598" t="n"/>
      <c r="DV59" s="2598">
        <f>C47</f>
        <v/>
      </c>
      <c r="DW59" s="2598" t="n"/>
      <c r="DX59" s="4728">
        <f>'Inl. wetlands'!H205</f>
        <v/>
      </c>
      <c r="DY59" s="4241" t="n"/>
      <c r="DZ59" s="4191">
        <f>'Inl. wetlands'!J205</f>
        <v/>
      </c>
      <c r="EA59" s="4241" t="n"/>
      <c r="EB59" s="4191">
        <f>'Inl. wetlands'!L205</f>
        <v/>
      </c>
      <c r="EC59" s="4241" t="n"/>
      <c r="ED59" s="2598" t="n"/>
      <c r="EE59" s="4192">
        <f>'Inl. wetlands'!N205</f>
        <v/>
      </c>
      <c r="EF59" s="4241" t="n"/>
      <c r="EG59" s="2598" t="n"/>
      <c r="EH59" s="2598" t="n"/>
    </row>
    <row r="60">
      <c r="B60" s="1838" t="n"/>
      <c r="C60" s="1814">
        <f>C48</f>
        <v/>
      </c>
      <c r="D60" s="1838" t="n"/>
      <c r="E60" s="1838">
        <f>IF(I48= "Agroforestry", I48&amp;"-"&amp;K48, I48)</f>
        <v/>
      </c>
      <c r="F60" s="1838" t="n"/>
      <c r="G60" s="1838" t="n"/>
      <c r="H60" s="1838" t="n"/>
      <c r="I60" s="1838" t="n"/>
      <c r="J60" s="1838" t="n"/>
      <c r="K60" s="2111">
        <f>MAX(N48,P48)</f>
        <v/>
      </c>
      <c r="L60" s="1838" t="n"/>
      <c r="M60" s="4228" t="n">
        <v>0</v>
      </c>
      <c r="N60" s="4229" t="n">
        <v>0</v>
      </c>
      <c r="O60" s="4134" t="inlineStr">
        <is>
          <t>D</t>
        </is>
      </c>
      <c r="P60" s="4229" t="n">
        <v>0</v>
      </c>
      <c r="Q60" s="4134" t="inlineStr">
        <is>
          <t>D</t>
        </is>
      </c>
      <c r="R60" s="1838" t="n"/>
      <c r="S60" s="2111">
        <f>$K60-M60</f>
        <v/>
      </c>
      <c r="T60" s="2111">
        <f>$K60-N60</f>
        <v/>
      </c>
      <c r="U60" s="2111">
        <f>$K60-P60</f>
        <v/>
      </c>
      <c r="V60" s="1838" t="n"/>
      <c r="W60" s="4231" t="n">
        <v>0</v>
      </c>
      <c r="X60" s="4231" t="n">
        <v>0</v>
      </c>
      <c r="Y60" s="4231" t="n">
        <v>0</v>
      </c>
      <c r="Z60" s="1838" t="n"/>
      <c r="AA60" s="2133" t="inlineStr">
        <is>
          <t>Y/N</t>
        </is>
      </c>
      <c r="AB60" s="1838" t="n"/>
      <c r="AC60" s="1838" t="n"/>
      <c r="AD60" s="1838" t="n"/>
      <c r="AE60" s="2111">
        <f>+'Inl. wetlands'!AI153+'Inl. wetlands'!AI173+'Inl. wetlands'!AI202</f>
        <v/>
      </c>
      <c r="AF60" s="2111">
        <f>+'Inl. wetlands'!AJ153+'Inl. wetlands'!AJ173+'Inl. wetlands'!AJ202</f>
        <v/>
      </c>
      <c r="AG60" s="1806">
        <f>AF60-AE60</f>
        <v/>
      </c>
      <c r="AH60" s="1838" t="n"/>
      <c r="AI60" s="1838" t="n"/>
      <c r="AS60" s="2598" t="n"/>
      <c r="AT60" s="2598">
        <f>C48</f>
        <v/>
      </c>
      <c r="AU60" s="2598" t="n"/>
      <c r="AV60" s="2598" t="n"/>
      <c r="AW60" s="4206">
        <f>IF($AT60="Please select",0,VLOOKUP($AT60,'Inl. wetlands'!$B$117:$J$125,3,FALSE)*0.47)</f>
        <v/>
      </c>
      <c r="AX60" s="4729" t="n"/>
      <c r="AY60" s="4206">
        <f>IF($AT60="Please select",0,VLOOKUP($AT60,'Inl. wetlands'!$B$117:$J$125,4,FALSE)*0.47)</f>
        <v/>
      </c>
      <c r="AZ60" s="4729" t="n"/>
      <c r="BA60" s="1800" t="n"/>
      <c r="BB60" s="4728">
        <f>IF($AT60="Please select",0,VLOOKUP($AT60,'Inl. wetlands'!$B$117:$J$125,5,FALSE)*0.47)</f>
        <v/>
      </c>
      <c r="BC60" s="4729" t="n"/>
      <c r="BD60" s="4728">
        <f>IF($AT60="Please select",0,VLOOKUP($AT60,'Inl. wetlands'!$B$117:$J$125,6,FALSE)*0.47)</f>
        <v/>
      </c>
      <c r="BE60" s="4729" t="n"/>
      <c r="BF60" s="2598" t="n"/>
      <c r="BG60" s="4414">
        <f>'Inl. wetlands'!AD120*12/44</f>
        <v/>
      </c>
      <c r="BH60" s="4729" t="n"/>
      <c r="BI60" s="2598" t="n"/>
      <c r="BJ60" s="2598" t="n"/>
      <c r="BK60" s="4728">
        <f>IF($AT60="Please select",0,VLOOKUP($AT60,'Inl. wetlands'!$B$117:$J$125,7,FALSE))</f>
        <v/>
      </c>
      <c r="BL60" s="4729" t="n"/>
      <c r="BM60" s="2598" t="n"/>
      <c r="BN60" s="4728">
        <f>IF($AT60="Please select",0,VLOOKUP($AT60,'Inl. wetlands'!$B$117:$J$125,8,FALSE))</f>
        <v/>
      </c>
      <c r="BO60" s="4729" t="n"/>
      <c r="BP60" s="2598" t="n"/>
      <c r="BR60" s="1997" t="n"/>
      <c r="BS60" s="1997" t="n"/>
      <c r="BT60" s="1997" t="n"/>
      <c r="CD60" s="4201" t="n"/>
      <c r="CE60" s="2598">
        <f>C48</f>
        <v/>
      </c>
      <c r="CF60" s="4192">
        <f>'Inl. wetlands'!B178</f>
        <v/>
      </c>
      <c r="CG60" s="4245" t="n"/>
      <c r="CH60" s="4192">
        <f>'Inl. wetlands'!D178</f>
        <v/>
      </c>
      <c r="CI60" s="4245" t="n"/>
      <c r="CJ60" s="4192">
        <f>'Inl. wetlands'!F178</f>
        <v/>
      </c>
      <c r="CK60" s="4245" t="n"/>
      <c r="CL60" s="2598" t="n"/>
      <c r="CM60" s="4192">
        <f>'Inl. wetlands'!H178</f>
        <v/>
      </c>
      <c r="CN60" s="4245" t="n"/>
      <c r="CO60" s="4192">
        <f>'Inl. wetlands'!J178</f>
        <v/>
      </c>
      <c r="CP60" s="4245" t="n"/>
      <c r="CQ60" s="2598" t="n"/>
      <c r="CT60" s="2323" t="n"/>
      <c r="CU60" s="2598" t="n"/>
      <c r="CV60" s="2567" t="n"/>
      <c r="CW60" s="2567" t="n"/>
      <c r="CX60" s="2567" t="n"/>
      <c r="CY60" s="2567" t="n"/>
      <c r="CZ60" s="2567" t="n"/>
      <c r="DA60" s="2567" t="n"/>
      <c r="DB60" s="2567" t="n"/>
      <c r="DC60" s="2567" t="n"/>
      <c r="DD60" s="2567" t="n"/>
      <c r="DE60" s="2567" t="n"/>
      <c r="DF60" s="2567" t="n"/>
      <c r="DG60" s="2567" t="n"/>
      <c r="DH60" s="2567" t="n"/>
      <c r="DI60" s="2567" t="n"/>
      <c r="DJ60" s="2567" t="n"/>
      <c r="DK60" s="2567" t="n"/>
      <c r="DL60" s="2567" t="n"/>
      <c r="DM60" s="2567" t="n"/>
      <c r="DN60" s="2567" t="n"/>
      <c r="DO60" s="2567" t="n"/>
      <c r="DP60" s="2567" t="n"/>
      <c r="DU60" s="2598" t="n"/>
      <c r="DV60" s="2598">
        <f>C48</f>
        <v/>
      </c>
      <c r="DW60" s="2598" t="n"/>
      <c r="DX60" s="4728">
        <f>'Inl. wetlands'!H206</f>
        <v/>
      </c>
      <c r="DY60" s="4241" t="n"/>
      <c r="DZ60" s="4191">
        <f>'Inl. wetlands'!J206</f>
        <v/>
      </c>
      <c r="EA60" s="4241" t="n"/>
      <c r="EB60" s="4191">
        <f>'Inl. wetlands'!L206</f>
        <v/>
      </c>
      <c r="EC60" s="4241" t="n"/>
      <c r="ED60" s="2598" t="n"/>
      <c r="EE60" s="4192">
        <f>'Inl. wetlands'!N206</f>
        <v/>
      </c>
      <c r="EF60" s="4241" t="n"/>
      <c r="EG60" s="2598" t="n"/>
      <c r="EH60" s="2598" t="n"/>
    </row>
    <row r="61">
      <c r="B61" s="1838" t="n"/>
      <c r="C61" s="1814">
        <f>C49</f>
        <v/>
      </c>
      <c r="D61" s="1838" t="n"/>
      <c r="E61" s="1838">
        <f>IF(I49= "Agroforestry", I49&amp;"-"&amp;K49, I49)</f>
        <v/>
      </c>
      <c r="F61" s="1838" t="n"/>
      <c r="G61" s="1838" t="n"/>
      <c r="H61" s="1838" t="n"/>
      <c r="I61" s="1838" t="n"/>
      <c r="J61" s="1838" t="n"/>
      <c r="K61" s="2111">
        <f>MAX(N49,P49)</f>
        <v/>
      </c>
      <c r="L61" s="1838" t="n"/>
      <c r="M61" s="4228" t="n">
        <v>0</v>
      </c>
      <c r="N61" s="4229" t="n">
        <v>0</v>
      </c>
      <c r="O61" s="4134" t="inlineStr">
        <is>
          <t>D</t>
        </is>
      </c>
      <c r="P61" s="4229" t="n">
        <v>0</v>
      </c>
      <c r="Q61" s="4134" t="inlineStr">
        <is>
          <t>D</t>
        </is>
      </c>
      <c r="R61" s="1838" t="n"/>
      <c r="S61" s="2111">
        <f>$K61-M61</f>
        <v/>
      </c>
      <c r="T61" s="2111">
        <f>$K61-N61</f>
        <v/>
      </c>
      <c r="U61" s="2111">
        <f>$K61-P61</f>
        <v/>
      </c>
      <c r="V61" s="1838" t="n"/>
      <c r="W61" s="4231" t="n">
        <v>0</v>
      </c>
      <c r="X61" s="4231" t="n">
        <v>0</v>
      </c>
      <c r="Y61" s="4231" t="n">
        <v>0</v>
      </c>
      <c r="Z61" s="1838" t="n"/>
      <c r="AA61" s="2133" t="inlineStr">
        <is>
          <t>Y/N</t>
        </is>
      </c>
      <c r="AB61" s="1838" t="n"/>
      <c r="AC61" s="1838" t="n"/>
      <c r="AD61" s="1838" t="n"/>
      <c r="AE61" s="2111">
        <f>+'Inl. wetlands'!AI154+'Inl. wetlands'!AI174+'Inl. wetlands'!AI203</f>
        <v/>
      </c>
      <c r="AF61" s="2111">
        <f>+'Inl. wetlands'!AJ154+'Inl. wetlands'!AJ174+'Inl. wetlands'!AJ203</f>
        <v/>
      </c>
      <c r="AG61" s="1806">
        <f>AF61-AE61</f>
        <v/>
      </c>
      <c r="AH61" s="1838" t="n"/>
      <c r="AI61" s="1838" t="n"/>
      <c r="AS61" s="2598" t="n"/>
      <c r="AT61" s="2598">
        <f>C49</f>
        <v/>
      </c>
      <c r="AU61" s="2598" t="n"/>
      <c r="AV61" s="2598" t="n"/>
      <c r="AW61" s="4206">
        <f>IF($AT61="Please select",0,VLOOKUP($AT61,'Inl. wetlands'!$B$117:$J$125,3,FALSE)*0.47)</f>
        <v/>
      </c>
      <c r="AX61" s="4729" t="n"/>
      <c r="AY61" s="4206">
        <f>IF($AT61="Please select",0,VLOOKUP($AT61,'Inl. wetlands'!$B$117:$J$125,4,FALSE)*0.47)</f>
        <v/>
      </c>
      <c r="AZ61" s="4729" t="n"/>
      <c r="BA61" s="1800" t="n"/>
      <c r="BB61" s="4728">
        <f>IF($AT61="Please select",0,VLOOKUP($AT61,'Inl. wetlands'!$B$117:$J$125,5,FALSE)*0.47)</f>
        <v/>
      </c>
      <c r="BC61" s="4729" t="n"/>
      <c r="BD61" s="4728">
        <f>IF($AT61="Please select",0,VLOOKUP($AT61,'Inl. wetlands'!$B$117:$J$125,6,FALSE)*0.47)</f>
        <v/>
      </c>
      <c r="BE61" s="4729" t="n"/>
      <c r="BF61" s="2598" t="n"/>
      <c r="BG61" s="4414">
        <f>'Inl. wetlands'!AD121*12/44</f>
        <v/>
      </c>
      <c r="BH61" s="4729" t="n"/>
      <c r="BI61" s="2598" t="n"/>
      <c r="BJ61" s="2598" t="n"/>
      <c r="BK61" s="4728">
        <f>IF($AT61="Please select",0,VLOOKUP($AT61,'Inl. wetlands'!$B$117:$J$125,7,FALSE))</f>
        <v/>
      </c>
      <c r="BL61" s="4729" t="n"/>
      <c r="BM61" s="2598" t="n"/>
      <c r="BN61" s="4728">
        <f>IF($AT61="Please select",0,VLOOKUP($AT61,'Inl. wetlands'!$B$117:$J$125,8,FALSE))</f>
        <v/>
      </c>
      <c r="BO61" s="4729" t="n"/>
      <c r="BP61" s="2598" t="n"/>
      <c r="BR61" s="1997" t="n"/>
      <c r="BS61" s="1997" t="n"/>
      <c r="BT61" s="1997" t="n"/>
      <c r="CD61" s="4201" t="n"/>
      <c r="CE61" s="2598">
        <f>C49</f>
        <v/>
      </c>
      <c r="CF61" s="4192">
        <f>'Inl. wetlands'!B179</f>
        <v/>
      </c>
      <c r="CG61" s="4245" t="n"/>
      <c r="CH61" s="4192">
        <f>'Inl. wetlands'!D179</f>
        <v/>
      </c>
      <c r="CI61" s="4245" t="n"/>
      <c r="CJ61" s="4192">
        <f>'Inl. wetlands'!F179</f>
        <v/>
      </c>
      <c r="CK61" s="4245" t="n"/>
      <c r="CL61" s="2598" t="n"/>
      <c r="CM61" s="4192">
        <f>'Inl. wetlands'!H179</f>
        <v/>
      </c>
      <c r="CN61" s="4245" t="n"/>
      <c r="CO61" s="4192">
        <f>'Inl. wetlands'!J179</f>
        <v/>
      </c>
      <c r="CP61" s="4245" t="n"/>
      <c r="CQ61" s="2598" t="n"/>
      <c r="CT61" s="2323" t="n"/>
      <c r="CU61" s="2598" t="n"/>
      <c r="CV61" s="2567" t="n"/>
      <c r="CW61" s="2567" t="n"/>
      <c r="CX61" s="2567" t="n"/>
      <c r="CY61" s="2567" t="n"/>
      <c r="CZ61" s="2567" t="n"/>
      <c r="DA61" s="2567" t="n"/>
      <c r="DB61" s="2567" t="n"/>
      <c r="DC61" s="2567" t="n"/>
      <c r="DD61" s="2567" t="n"/>
      <c r="DE61" s="2567" t="n"/>
      <c r="DF61" s="2567" t="n"/>
      <c r="DG61" s="2567" t="n"/>
      <c r="DH61" s="2567" t="n"/>
      <c r="DI61" s="2567" t="n"/>
      <c r="DJ61" s="2567" t="n"/>
      <c r="DK61" s="2567" t="n"/>
      <c r="DL61" s="2567" t="n"/>
      <c r="DM61" s="2567" t="n"/>
      <c r="DN61" s="2567" t="n"/>
      <c r="DO61" s="2567" t="n"/>
      <c r="DP61" s="2567" t="n"/>
      <c r="DU61" s="2598" t="n"/>
      <c r="DV61" s="2598">
        <f>C49</f>
        <v/>
      </c>
      <c r="DW61" s="2598" t="n"/>
      <c r="DX61" s="4728">
        <f>'Inl. wetlands'!H207</f>
        <v/>
      </c>
      <c r="DY61" s="4241" t="n"/>
      <c r="DZ61" s="4191">
        <f>'Inl. wetlands'!J207</f>
        <v/>
      </c>
      <c r="EA61" s="4241" t="n"/>
      <c r="EB61" s="4191">
        <f>'Inl. wetlands'!L207</f>
        <v/>
      </c>
      <c r="EC61" s="4241" t="n"/>
      <c r="ED61" s="2598" t="n"/>
      <c r="EE61" s="4192">
        <f>'Inl. wetlands'!N207</f>
        <v/>
      </c>
      <c r="EF61" s="4241" t="n"/>
      <c r="EG61" s="2598" t="n"/>
      <c r="EH61" s="2598" t="n"/>
    </row>
    <row r="62">
      <c r="B62" s="1838" t="n"/>
      <c r="C62" s="1814">
        <f>C50</f>
        <v/>
      </c>
      <c r="D62" s="1838" t="n"/>
      <c r="E62" s="1838">
        <f>IF(I50= "Agroforestry", I50&amp;"-"&amp;K50, I50)</f>
        <v/>
      </c>
      <c r="F62" s="1838" t="n"/>
      <c r="G62" s="1838" t="n"/>
      <c r="H62" s="1838" t="n"/>
      <c r="I62" s="1838" t="n"/>
      <c r="J62" s="1838" t="n"/>
      <c r="K62" s="2111">
        <f>MAX(N50,P50)</f>
        <v/>
      </c>
      <c r="L62" s="1838" t="n"/>
      <c r="M62" s="4228" t="n">
        <v>0</v>
      </c>
      <c r="N62" s="4229" t="n">
        <v>0</v>
      </c>
      <c r="O62" s="4134" t="inlineStr">
        <is>
          <t>D</t>
        </is>
      </c>
      <c r="P62" s="4229" t="n">
        <v>0</v>
      </c>
      <c r="Q62" s="4134" t="inlineStr">
        <is>
          <t>D</t>
        </is>
      </c>
      <c r="R62" s="1838" t="n"/>
      <c r="S62" s="2111">
        <f>$K62-M62</f>
        <v/>
      </c>
      <c r="T62" s="2111">
        <f>$K62-N62</f>
        <v/>
      </c>
      <c r="U62" s="2111">
        <f>$K62-P62</f>
        <v/>
      </c>
      <c r="V62" s="1838" t="n"/>
      <c r="W62" s="4231" t="n">
        <v>0</v>
      </c>
      <c r="X62" s="4231" t="n">
        <v>0</v>
      </c>
      <c r="Y62" s="4231" t="n">
        <v>0</v>
      </c>
      <c r="Z62" s="1838" t="n"/>
      <c r="AA62" s="2133" t="inlineStr">
        <is>
          <t>Y/N</t>
        </is>
      </c>
      <c r="AB62" s="1838" t="n"/>
      <c r="AC62" s="1838" t="n"/>
      <c r="AD62" s="1838" t="n"/>
      <c r="AE62" s="2111">
        <f>+'Inl. wetlands'!AI155+'Inl. wetlands'!AI175+'Inl. wetlands'!AI204</f>
        <v/>
      </c>
      <c r="AF62" s="2111">
        <f>+'Inl. wetlands'!AJ155+'Inl. wetlands'!AJ175+'Inl. wetlands'!AJ204</f>
        <v/>
      </c>
      <c r="AG62" s="1806">
        <f>AF62-AE62</f>
        <v/>
      </c>
      <c r="AH62" s="1838" t="n"/>
      <c r="AI62" s="1838" t="n"/>
      <c r="AS62" s="2598" t="n"/>
      <c r="AT62" s="2598">
        <f>C50</f>
        <v/>
      </c>
      <c r="AU62" s="2598" t="n"/>
      <c r="AV62" s="2598" t="n"/>
      <c r="AW62" s="4206">
        <f>IF($AT62="Please select",0,VLOOKUP($AT62,'Inl. wetlands'!$B$117:$J$125,3,FALSE)*0.47)</f>
        <v/>
      </c>
      <c r="AX62" s="4729" t="n"/>
      <c r="AY62" s="4206">
        <f>IF($AT62="Please select",0,VLOOKUP($AT62,'Inl. wetlands'!$B$117:$J$125,4,FALSE)*0.47)</f>
        <v/>
      </c>
      <c r="AZ62" s="4729" t="n"/>
      <c r="BA62" s="1800" t="n"/>
      <c r="BB62" s="4728">
        <f>IF($AT62="Please select",0,VLOOKUP($AT62,'Inl. wetlands'!$B$117:$J$125,5,FALSE)*0.47)</f>
        <v/>
      </c>
      <c r="BC62" s="4729" t="n"/>
      <c r="BD62" s="4728">
        <f>IF($AT62="Please select",0,VLOOKUP($AT62,'Inl. wetlands'!$B$117:$J$125,6,FALSE)*0.47)</f>
        <v/>
      </c>
      <c r="BE62" s="4729" t="n"/>
      <c r="BF62" s="2598" t="n"/>
      <c r="BG62" s="4414">
        <f>'Inl. wetlands'!AD122*12/44</f>
        <v/>
      </c>
      <c r="BH62" s="4729" t="n"/>
      <c r="BI62" s="2598" t="n"/>
      <c r="BJ62" s="2598" t="n"/>
      <c r="BK62" s="4728">
        <f>IF($AT62="Please select",0,VLOOKUP($AT62,'Inl. wetlands'!$B$117:$J$125,7,FALSE))</f>
        <v/>
      </c>
      <c r="BL62" s="4729" t="n"/>
      <c r="BM62" s="2598" t="n"/>
      <c r="BN62" s="4728">
        <f>IF($AT62="Please select",0,VLOOKUP($AT62,'Inl. wetlands'!$B$117:$J$125,8,FALSE))</f>
        <v/>
      </c>
      <c r="BO62" s="4729" t="n"/>
      <c r="BP62" s="2598" t="n"/>
      <c r="BR62" s="1997" t="n"/>
      <c r="BS62" s="1997" t="n"/>
      <c r="BT62" s="1997" t="n"/>
      <c r="CD62" s="4201" t="n"/>
      <c r="CE62" s="2598">
        <f>C50</f>
        <v/>
      </c>
      <c r="CF62" s="4192">
        <f>'Inl. wetlands'!B180</f>
        <v/>
      </c>
      <c r="CG62" s="4245" t="n"/>
      <c r="CH62" s="4192">
        <f>'Inl. wetlands'!D180</f>
        <v/>
      </c>
      <c r="CI62" s="4245" t="n"/>
      <c r="CJ62" s="4192">
        <f>'Inl. wetlands'!F180</f>
        <v/>
      </c>
      <c r="CK62" s="4245" t="n"/>
      <c r="CL62" s="2598" t="n"/>
      <c r="CM62" s="4192">
        <f>'Inl. wetlands'!H180</f>
        <v/>
      </c>
      <c r="CN62" s="4245" t="n"/>
      <c r="CO62" s="4192">
        <f>'Inl. wetlands'!J180</f>
        <v/>
      </c>
      <c r="CP62" s="4245" t="n"/>
      <c r="CQ62" s="2598" t="n"/>
      <c r="CT62" s="2323" t="n"/>
      <c r="CU62" s="2598" t="n"/>
      <c r="CV62" s="2567" t="n"/>
      <c r="CW62" s="2567" t="n"/>
      <c r="CX62" s="2567" t="n"/>
      <c r="CY62" s="2567" t="n"/>
      <c r="CZ62" s="2567" t="n"/>
      <c r="DA62" s="2567" t="n"/>
      <c r="DB62" s="2567" t="n"/>
      <c r="DC62" s="2567" t="n"/>
      <c r="DD62" s="2567" t="n"/>
      <c r="DE62" s="2567" t="n"/>
      <c r="DF62" s="2567" t="n"/>
      <c r="DG62" s="2567" t="n"/>
      <c r="DH62" s="2567" t="n"/>
      <c r="DI62" s="2567" t="n"/>
      <c r="DJ62" s="2567" t="n"/>
      <c r="DK62" s="2567" t="n"/>
      <c r="DL62" s="2567" t="n"/>
      <c r="DM62" s="2567" t="n"/>
      <c r="DN62" s="2567" t="n"/>
      <c r="DO62" s="2567" t="n"/>
      <c r="DP62" s="2567" t="n"/>
      <c r="DU62" s="2598" t="n"/>
      <c r="DV62" s="2598">
        <f>C50</f>
        <v/>
      </c>
      <c r="DW62" s="2598" t="n"/>
      <c r="DX62" s="4728">
        <f>'Inl. wetlands'!H208</f>
        <v/>
      </c>
      <c r="DY62" s="4241" t="n"/>
      <c r="DZ62" s="4191">
        <f>'Inl. wetlands'!J208</f>
        <v/>
      </c>
      <c r="EA62" s="4241" t="n"/>
      <c r="EB62" s="4191">
        <f>'Inl. wetlands'!L208</f>
        <v/>
      </c>
      <c r="EC62" s="4241" t="n"/>
      <c r="ED62" s="2598" t="n"/>
      <c r="EE62" s="4192">
        <f>'Inl. wetlands'!N208</f>
        <v/>
      </c>
      <c r="EF62" s="4241" t="n"/>
      <c r="EG62" s="2598" t="n"/>
      <c r="EH62" s="2598" t="n"/>
    </row>
    <row r="63">
      <c r="B63" s="1838" t="n"/>
      <c r="C63" s="1814">
        <f>C51</f>
        <v/>
      </c>
      <c r="D63" s="1838" t="n"/>
      <c r="E63" s="1838">
        <f>IF(I51= "Agroforestry", I51&amp;"-"&amp;K51, I51)</f>
        <v/>
      </c>
      <c r="F63" s="1838" t="n"/>
      <c r="G63" s="1838" t="n"/>
      <c r="H63" s="1838" t="n"/>
      <c r="I63" s="1838" t="n"/>
      <c r="J63" s="1838" t="n"/>
      <c r="K63" s="2111">
        <f>MAX(N51,P51)</f>
        <v/>
      </c>
      <c r="L63" s="1838" t="n"/>
      <c r="M63" s="4228" t="n">
        <v>0</v>
      </c>
      <c r="N63" s="4229" t="n">
        <v>0</v>
      </c>
      <c r="O63" s="4134" t="inlineStr">
        <is>
          <t>D</t>
        </is>
      </c>
      <c r="P63" s="4229" t="n">
        <v>0</v>
      </c>
      <c r="Q63" s="4134" t="inlineStr">
        <is>
          <t>D</t>
        </is>
      </c>
      <c r="R63" s="1838" t="n"/>
      <c r="S63" s="2111">
        <f>$K63-M63</f>
        <v/>
      </c>
      <c r="T63" s="2111">
        <f>$K63-N63</f>
        <v/>
      </c>
      <c r="U63" s="2111">
        <f>$K63-P63</f>
        <v/>
      </c>
      <c r="V63" s="1838" t="n"/>
      <c r="W63" s="4231" t="n">
        <v>0</v>
      </c>
      <c r="X63" s="4231" t="n">
        <v>0</v>
      </c>
      <c r="Y63" s="4231" t="n">
        <v>0</v>
      </c>
      <c r="Z63" s="1838" t="n"/>
      <c r="AA63" s="2133" t="inlineStr">
        <is>
          <t>Y/N</t>
        </is>
      </c>
      <c r="AB63" s="1838" t="n"/>
      <c r="AC63" s="1838" t="n"/>
      <c r="AD63" s="1838" t="n"/>
      <c r="AE63" s="2111">
        <f>+'Inl. wetlands'!AI156+'Inl. wetlands'!AI176+'Inl. wetlands'!AI205</f>
        <v/>
      </c>
      <c r="AF63" s="2111">
        <f>+'Inl. wetlands'!AJ156+'Inl. wetlands'!AJ176+'Inl. wetlands'!AJ205</f>
        <v/>
      </c>
      <c r="AG63" s="1806">
        <f>AF63-AE63</f>
        <v/>
      </c>
      <c r="AH63" s="1838" t="n"/>
      <c r="AI63" s="1838" t="n"/>
      <c r="AS63" s="2598" t="n"/>
      <c r="AT63" s="2598">
        <f>C51</f>
        <v/>
      </c>
      <c r="AU63" s="2598" t="n"/>
      <c r="AV63" s="2598" t="n"/>
      <c r="AW63" s="4206">
        <f>IF($AT63="Please select",0,VLOOKUP($AT63,'Inl. wetlands'!$B$117:$J$125,3,FALSE)*0.47)</f>
        <v/>
      </c>
      <c r="AX63" s="4729" t="n"/>
      <c r="AY63" s="4206">
        <f>IF($AT63="Please select",0,VLOOKUP($AT63,'Inl. wetlands'!$B$117:$J$125,4,FALSE)*0.47)</f>
        <v/>
      </c>
      <c r="AZ63" s="4729" t="n"/>
      <c r="BA63" s="1800" t="n"/>
      <c r="BB63" s="4728">
        <f>IF($AT63="Please select",0,VLOOKUP($AT63,'Inl. wetlands'!$B$117:$J$125,5,FALSE)*0.47)</f>
        <v/>
      </c>
      <c r="BC63" s="4729" t="n"/>
      <c r="BD63" s="4728">
        <f>IF($AT63="Please select",0,VLOOKUP($AT63,'Inl. wetlands'!$B$117:$J$125,6,FALSE)*0.47)</f>
        <v/>
      </c>
      <c r="BE63" s="4729" t="n"/>
      <c r="BF63" s="2598" t="n"/>
      <c r="BG63" s="4414">
        <f>'Inl. wetlands'!AD123*12/44</f>
        <v/>
      </c>
      <c r="BH63" s="4729" t="n"/>
      <c r="BI63" s="2598" t="n"/>
      <c r="BJ63" s="2598" t="n"/>
      <c r="BK63" s="4728">
        <f>IF($AT63="Please select",0,VLOOKUP($AT63,'Inl. wetlands'!$B$117:$J$125,7,FALSE))</f>
        <v/>
      </c>
      <c r="BL63" s="4729" t="n"/>
      <c r="BM63" s="2598" t="n"/>
      <c r="BN63" s="4728">
        <f>IF($AT63="Please select",0,VLOOKUP($AT63,'Inl. wetlands'!$B$117:$J$125,8,FALSE))</f>
        <v/>
      </c>
      <c r="BO63" s="4729" t="n"/>
      <c r="BP63" s="2598" t="n"/>
      <c r="BR63" s="1997" t="n"/>
      <c r="BS63" s="1997" t="n"/>
      <c r="BT63" s="1997" t="n"/>
      <c r="CD63" s="4201" t="n"/>
      <c r="CE63" s="2598">
        <f>C51</f>
        <v/>
      </c>
      <c r="CF63" s="4192">
        <f>'Inl. wetlands'!B181</f>
        <v/>
      </c>
      <c r="CG63" s="4245" t="n"/>
      <c r="CH63" s="4192">
        <f>'Inl. wetlands'!D181</f>
        <v/>
      </c>
      <c r="CI63" s="4245" t="n"/>
      <c r="CJ63" s="4192">
        <f>'Inl. wetlands'!F181</f>
        <v/>
      </c>
      <c r="CK63" s="4245" t="n"/>
      <c r="CL63" s="2598" t="n"/>
      <c r="CM63" s="4192">
        <f>'Inl. wetlands'!H181</f>
        <v/>
      </c>
      <c r="CN63" s="4245" t="n"/>
      <c r="CO63" s="4192">
        <f>'Inl. wetlands'!J181</f>
        <v/>
      </c>
      <c r="CP63" s="4245" t="n"/>
      <c r="CQ63" s="2598" t="n"/>
      <c r="CT63" s="2323" t="n"/>
      <c r="CU63" s="2598" t="n"/>
      <c r="CV63" s="2567" t="n"/>
      <c r="CW63" s="2567" t="n"/>
      <c r="CX63" s="2567" t="n"/>
      <c r="CY63" s="2567" t="n"/>
      <c r="CZ63" s="2567" t="n"/>
      <c r="DA63" s="2567" t="n"/>
      <c r="DB63" s="2567" t="n"/>
      <c r="DC63" s="2567" t="n"/>
      <c r="DD63" s="2567" t="n"/>
      <c r="DE63" s="2567" t="n"/>
      <c r="DF63" s="2567" t="n"/>
      <c r="DG63" s="2567" t="n"/>
      <c r="DH63" s="2567" t="n"/>
      <c r="DI63" s="2567" t="n"/>
      <c r="DJ63" s="2567" t="n"/>
      <c r="DK63" s="2567" t="n"/>
      <c r="DL63" s="2567" t="n"/>
      <c r="DM63" s="2567" t="n"/>
      <c r="DN63" s="2567" t="n"/>
      <c r="DO63" s="2567" t="n"/>
      <c r="DP63" s="2567" t="n"/>
      <c r="DU63" s="2598" t="n"/>
      <c r="DV63" s="2598">
        <f>C51</f>
        <v/>
      </c>
      <c r="DW63" s="2598" t="n"/>
      <c r="DX63" s="4728">
        <f>'Inl. wetlands'!H209</f>
        <v/>
      </c>
      <c r="DY63" s="4241" t="n"/>
      <c r="DZ63" s="4191">
        <f>'Inl. wetlands'!J209</f>
        <v/>
      </c>
      <c r="EA63" s="4241" t="n"/>
      <c r="EB63" s="4191">
        <f>'Inl. wetlands'!L209</f>
        <v/>
      </c>
      <c r="EC63" s="4241" t="n"/>
      <c r="ED63" s="2598" t="n"/>
      <c r="EE63" s="4192">
        <f>'Inl. wetlands'!N209</f>
        <v/>
      </c>
      <c r="EF63" s="4241" t="n"/>
      <c r="EG63" s="2598" t="n"/>
      <c r="EH63" s="2598" t="n"/>
    </row>
    <row r="64">
      <c r="B64" s="1838" t="n"/>
      <c r="C64" s="1903" t="n"/>
      <c r="D64" s="1838" t="n"/>
      <c r="E64" s="1838" t="n"/>
      <c r="F64" s="1838" t="n"/>
      <c r="G64" s="1838" t="n"/>
      <c r="H64" s="1838" t="n"/>
      <c r="I64" s="1838" t="n"/>
      <c r="J64" s="1838" t="n"/>
      <c r="K64" s="1838" t="n"/>
      <c r="L64" s="1838" t="n"/>
      <c r="M64" s="1838" t="n"/>
      <c r="N64" s="1838" t="n"/>
      <c r="O64" s="1838" t="n"/>
      <c r="P64" s="1838" t="n"/>
      <c r="Q64" s="1838" t="n"/>
      <c r="R64" s="1838" t="n"/>
      <c r="S64" s="1838" t="n"/>
      <c r="T64" s="1838" t="n"/>
      <c r="U64" s="1838" t="n"/>
      <c r="V64" s="1838" t="n"/>
      <c r="W64" s="1838" t="n"/>
      <c r="X64" s="1838" t="n"/>
      <c r="Y64" s="1838" t="n"/>
      <c r="Z64" s="1838" t="n"/>
      <c r="AA64" s="4308">
        <f>IF(OR(AND(AA58&lt;&gt;"Y/N", AA58&lt;&gt;"No"), AND(AA59&lt;&gt;"Y/N",AA59&lt;&gt;"No" ), AND(AA60&lt;&gt;"Y/N",AA60&lt;&gt;"No" ), AND(AA61&lt;&gt;"Y/N", AA61&lt;&gt;"No"), AND(AA62&lt;&gt;"Y/N", AA62&lt;&gt;"No"), AND(AA63&lt;&gt;"Y/N", AA63&lt;&gt;"No")), list!$B$279, "")</f>
        <v/>
      </c>
      <c r="AB64" s="1838" t="n"/>
      <c r="AC64" s="1838" t="n"/>
      <c r="AD64" s="1838" t="n"/>
      <c r="AE64" s="2111" t="n"/>
      <c r="AF64" s="2111" t="n"/>
      <c r="AG64" s="1806" t="n"/>
      <c r="AH64" s="1838" t="n"/>
      <c r="AI64" s="1838" t="n"/>
      <c r="AS64" s="2598" t="n"/>
      <c r="AT64" s="2598" t="n"/>
      <c r="AU64" s="2598" t="n"/>
      <c r="AV64" s="2598" t="n"/>
      <c r="AW64" s="2598" t="n"/>
      <c r="AX64" s="2598" t="n"/>
      <c r="AY64" s="2598" t="n"/>
      <c r="AZ64" s="2598" t="n"/>
      <c r="BA64" s="2598" t="n"/>
      <c r="BB64" s="2598" t="n"/>
      <c r="BC64" s="2598" t="n"/>
      <c r="BD64" s="2598" t="n"/>
      <c r="BE64" s="2598" t="n"/>
      <c r="BF64" s="2598" t="n"/>
      <c r="BG64" s="2598" t="n"/>
      <c r="BH64" s="2598" t="n"/>
      <c r="BI64" s="2598" t="n"/>
      <c r="BJ64" s="2598" t="n"/>
      <c r="BK64" s="2598" t="n"/>
      <c r="BL64" s="2598" t="n"/>
      <c r="BM64" s="2598" t="n"/>
      <c r="BN64" s="2598" t="n"/>
      <c r="BO64" s="2598" t="n"/>
      <c r="BP64" s="2598" t="n"/>
      <c r="BR64" s="1997" t="n"/>
      <c r="BS64" s="1997" t="n"/>
      <c r="BT64" s="1997" t="n"/>
      <c r="CD64" s="4201" t="n"/>
      <c r="CE64" s="2598" t="n"/>
      <c r="CF64" s="2598" t="n"/>
      <c r="CG64" s="2598" t="n"/>
      <c r="CH64" s="2598" t="n"/>
      <c r="CI64" s="2598" t="n"/>
      <c r="CJ64" s="2598" t="n"/>
      <c r="CK64" s="2598" t="n"/>
      <c r="CL64" s="2598" t="n"/>
      <c r="CM64" s="2598" t="n"/>
      <c r="CN64" s="2598" t="n"/>
      <c r="CO64" s="2598" t="n"/>
      <c r="CP64" s="2598" t="n"/>
      <c r="CQ64" s="2598" t="n"/>
      <c r="CT64" s="2323" t="n"/>
      <c r="CU64" s="2598" t="n"/>
      <c r="CV64" s="2567" t="n"/>
      <c r="CW64" s="2567" t="n"/>
      <c r="CX64" s="2567" t="n"/>
      <c r="CY64" s="2567" t="n"/>
      <c r="CZ64" s="2567" t="n"/>
      <c r="DA64" s="2567" t="n"/>
      <c r="DB64" s="2567" t="n"/>
      <c r="DC64" s="2567" t="n"/>
      <c r="DD64" s="2567" t="n"/>
      <c r="DE64" s="2567" t="n"/>
      <c r="DF64" s="2567" t="n"/>
      <c r="DG64" s="2567" t="n"/>
      <c r="DH64" s="2567" t="n"/>
      <c r="DI64" s="2567" t="n"/>
      <c r="DJ64" s="2567" t="n"/>
      <c r="DK64" s="2567" t="n"/>
      <c r="DL64" s="2567" t="n"/>
      <c r="DM64" s="2567" t="n"/>
      <c r="DN64" s="2567" t="n"/>
      <c r="DO64" s="2567" t="n"/>
      <c r="DP64" s="2567" t="n"/>
      <c r="DU64" s="2598" t="n"/>
      <c r="DV64" s="2598" t="n"/>
      <c r="DW64" s="2598" t="n"/>
      <c r="DX64" s="2598" t="n"/>
      <c r="DY64" s="2598" t="n"/>
      <c r="DZ64" s="2598" t="n"/>
      <c r="EA64" s="2598" t="n"/>
      <c r="EB64" s="2598" t="n"/>
      <c r="EC64" s="2598" t="n"/>
      <c r="ED64" s="2598" t="n"/>
      <c r="EE64" s="2598" t="n"/>
      <c r="EF64" s="2598" t="n"/>
      <c r="EG64" s="2598" t="n"/>
      <c r="EH64" s="2598" t="n"/>
    </row>
    <row r="65">
      <c r="B65" s="1838" t="n"/>
      <c r="C65" s="1903" t="n"/>
      <c r="D65" s="1838" t="n"/>
      <c r="E65" s="1838" t="n"/>
      <c r="F65" s="1838" t="n"/>
      <c r="G65" s="1838" t="n"/>
      <c r="H65" s="1838" t="n"/>
      <c r="I65" s="1838" t="n"/>
      <c r="J65" s="1838" t="n"/>
      <c r="K65" s="1838" t="n"/>
      <c r="L65" s="1838" t="n"/>
      <c r="M65" s="1838" t="n"/>
      <c r="N65" s="1838" t="n"/>
      <c r="O65" s="1838" t="n"/>
      <c r="P65" s="1838" t="n"/>
      <c r="Q65" s="1838" t="n"/>
      <c r="R65" s="1838" t="n"/>
      <c r="S65" s="1838" t="n"/>
      <c r="T65" s="1838" t="n"/>
      <c r="U65" s="1838" t="n"/>
      <c r="V65" s="1838" t="n"/>
      <c r="W65" s="1838" t="n"/>
      <c r="X65" s="1838" t="n"/>
      <c r="Y65" s="1838" t="n"/>
      <c r="Z65" s="1838" t="n"/>
      <c r="AA65" s="1838" t="n"/>
      <c r="AB65" s="1838" t="n"/>
      <c r="AC65" s="1838" t="n"/>
      <c r="AD65" s="1838" t="n"/>
      <c r="AE65" s="2111" t="n"/>
      <c r="AF65" s="2111" t="n"/>
      <c r="AG65" s="1806" t="n"/>
      <c r="AH65" s="1838" t="n"/>
      <c r="AI65" s="1838" t="n"/>
      <c r="AS65" s="2598" t="n"/>
      <c r="AT65" s="2598" t="n"/>
      <c r="AU65" s="2598" t="n"/>
      <c r="AV65" s="2598" t="n"/>
      <c r="AW65" s="2598" t="n"/>
      <c r="AX65" s="2598" t="n"/>
      <c r="AY65" s="2598" t="n"/>
      <c r="AZ65" s="2598" t="n"/>
      <c r="BA65" s="2598" t="n"/>
      <c r="BB65" s="2598" t="n"/>
      <c r="BC65" s="2598" t="n"/>
      <c r="BD65" s="2598" t="n"/>
      <c r="BE65" s="2598" t="n"/>
      <c r="BF65" s="2598" t="n"/>
      <c r="BG65" s="2598" t="n"/>
      <c r="BH65" s="2598" t="n"/>
      <c r="BI65" s="2598" t="n"/>
      <c r="BJ65" s="2598" t="n"/>
      <c r="BK65" s="2598" t="n"/>
      <c r="BL65" s="2598" t="n"/>
      <c r="BM65" s="2598" t="n"/>
      <c r="BN65" s="2598" t="n"/>
      <c r="BO65" s="2598" t="n"/>
      <c r="BP65" s="2598" t="n"/>
      <c r="BR65" s="1997" t="n"/>
      <c r="BS65" s="1997" t="n"/>
      <c r="BT65" s="1997" t="n"/>
      <c r="CD65" s="4201">
        <f>CD33</f>
        <v/>
      </c>
      <c r="CE65" s="2598" t="n"/>
      <c r="CF65" s="2598" t="n"/>
      <c r="CG65" s="2598" t="n"/>
      <c r="CH65" s="2598" t="n"/>
      <c r="CI65" s="2598" t="n"/>
      <c r="CJ65" s="2598" t="n"/>
      <c r="CK65" s="4241" t="inlineStr">
        <is>
          <t>Nutrient poor</t>
        </is>
      </c>
      <c r="CL65" s="4241" t="n"/>
      <c r="CM65" s="4241" t="n"/>
      <c r="CN65" s="2598" t="n"/>
      <c r="CO65" s="2598" t="n"/>
      <c r="CP65" s="2598" t="n"/>
      <c r="CQ65" s="2598" t="n"/>
      <c r="CT65" s="2323" t="n"/>
      <c r="CU65" s="2598" t="n"/>
      <c r="CV65" s="2567" t="n"/>
      <c r="CW65" s="2567" t="n"/>
      <c r="CX65" s="2567" t="n"/>
      <c r="CY65" s="2567" t="n"/>
      <c r="CZ65" s="2567" t="n"/>
      <c r="DA65" s="2567" t="n"/>
      <c r="DB65" s="2567" t="n"/>
      <c r="DC65" s="2567" t="n"/>
      <c r="DD65" s="2567" t="n"/>
      <c r="DE65" s="2567" t="n"/>
      <c r="DF65" s="2567" t="n"/>
      <c r="DG65" s="2567" t="n"/>
      <c r="DH65" s="2567" t="n"/>
      <c r="DI65" s="2567" t="n"/>
      <c r="DJ65" s="2567" t="n"/>
      <c r="DK65" s="2567" t="n"/>
      <c r="DL65" s="2567" t="n"/>
      <c r="DM65" s="2567" t="n"/>
      <c r="DN65" s="2567" t="n"/>
      <c r="DO65" s="2567" t="n"/>
      <c r="DP65" s="2567" t="n"/>
      <c r="DU65" s="2598" t="n"/>
      <c r="DV65" s="2598" t="n"/>
      <c r="DW65" s="2598" t="n"/>
      <c r="DX65" s="2598" t="n"/>
      <c r="DY65" s="2598" t="n"/>
      <c r="DZ65" s="2598" t="n"/>
      <c r="EA65" s="2598" t="n"/>
      <c r="EB65" s="2598" t="n"/>
      <c r="EC65" s="2598" t="n"/>
      <c r="ED65" s="2598" t="n"/>
      <c r="EE65" s="2598" t="n"/>
      <c r="EF65" s="2598" t="n"/>
      <c r="EG65" s="2598" t="n"/>
      <c r="EH65" s="2598" t="n"/>
    </row>
    <row r="66">
      <c r="B66" s="1838" t="n"/>
      <c r="C66" s="1903" t="n"/>
      <c r="D66" s="1838" t="n"/>
      <c r="E66" s="1838" t="n"/>
      <c r="F66" s="1838" t="n"/>
      <c r="G66" s="1838" t="n"/>
      <c r="H66" s="1838" t="n"/>
      <c r="I66" s="1838" t="n"/>
      <c r="J66" s="1838" t="n"/>
      <c r="K66" s="1838" t="n"/>
      <c r="L66" s="1838" t="n"/>
      <c r="M66" s="1838" t="n"/>
      <c r="N66" s="1838" t="n"/>
      <c r="O66" s="1838" t="n"/>
      <c r="P66" s="1838" t="n"/>
      <c r="Q66" s="1838" t="n"/>
      <c r="R66" s="1838" t="n"/>
      <c r="S66" s="1838" t="n"/>
      <c r="T66" s="1838" t="n"/>
      <c r="U66" s="1838" t="n"/>
      <c r="V66" s="1838" t="n"/>
      <c r="W66" s="1961" t="n"/>
      <c r="X66" s="1961" t="n"/>
      <c r="Y66" s="1961" t="n"/>
      <c r="Z66" s="1838" t="n"/>
      <c r="AA66" s="1838" t="n"/>
      <c r="AB66" s="4389" t="n"/>
      <c r="AC66" s="4389" t="n"/>
      <c r="AD66" s="4389" t="n"/>
      <c r="AE66" s="4359" t="n"/>
      <c r="AF66" s="4359" t="n"/>
      <c r="AG66" s="1780" t="n"/>
      <c r="AH66" s="1838" t="n"/>
      <c r="AI66" s="1838" t="n"/>
      <c r="AS66" s="2598">
        <f>'5.Management'!AQ23</f>
        <v/>
      </c>
      <c r="AT66" s="2598" t="n"/>
      <c r="AU66" s="2598" t="n"/>
      <c r="AV66" s="2598" t="n"/>
      <c r="AW66" s="2598" t="n"/>
      <c r="AX66" s="2598" t="n"/>
      <c r="AY66" s="2598" t="n"/>
      <c r="AZ66" s="2598" t="n"/>
      <c r="BA66" s="2598" t="n"/>
      <c r="BB66" s="2598" t="n"/>
      <c r="BC66" s="2598" t="n"/>
      <c r="BD66" s="2598" t="n"/>
      <c r="BE66" s="2598" t="n"/>
      <c r="BF66" s="2598" t="n"/>
      <c r="BG66" s="2598" t="n"/>
      <c r="BH66" s="2598" t="n"/>
      <c r="BI66" s="2598" t="n"/>
      <c r="BJ66" s="2598" t="n"/>
      <c r="BK66" s="2598" t="n"/>
      <c r="BL66" s="2598" t="n"/>
      <c r="BM66" s="2598" t="n"/>
      <c r="BN66" s="2598" t="n"/>
      <c r="BO66" s="2598" t="n"/>
      <c r="BP66" s="2598" t="n"/>
      <c r="BR66" s="1997" t="n"/>
      <c r="BS66" s="1997" t="n"/>
      <c r="BT66" s="1997" t="n"/>
      <c r="CD66" s="4201" t="n"/>
      <c r="CE66" s="2598" t="n"/>
      <c r="CF66" s="2598" t="n"/>
      <c r="CG66" s="2598" t="n"/>
      <c r="CH66" s="2598" t="n"/>
      <c r="CI66" s="2598" t="n"/>
      <c r="CJ66" s="2598" t="n"/>
      <c r="CK66" s="2598" t="n"/>
      <c r="CL66" s="2598" t="n"/>
      <c r="CM66" s="2598" t="n"/>
      <c r="CN66" s="2598" t="n"/>
      <c r="CO66" s="2598" t="n"/>
      <c r="CP66" s="2598" t="n"/>
      <c r="CQ66" s="2598" t="n"/>
      <c r="CT66" s="2323" t="n"/>
      <c r="CU66" s="2598" t="n"/>
      <c r="CV66" s="2567" t="n"/>
      <c r="CW66" s="2567" t="n"/>
      <c r="CX66" s="2567" t="n"/>
      <c r="CY66" s="2567" t="n"/>
      <c r="CZ66" s="2567" t="n"/>
      <c r="DA66" s="2567" t="n"/>
      <c r="DB66" s="2567" t="n"/>
      <c r="DC66" s="2567" t="n"/>
      <c r="DD66" s="2567" t="n"/>
      <c r="DE66" s="2567" t="n"/>
      <c r="DF66" s="2567" t="n"/>
      <c r="DG66" s="2567" t="n"/>
      <c r="DH66" s="2567" t="n"/>
      <c r="DI66" s="2567" t="n"/>
      <c r="DJ66" s="2567" t="n"/>
      <c r="DK66" s="2567" t="n"/>
      <c r="DL66" s="2567" t="n"/>
      <c r="DM66" s="2567" t="n"/>
      <c r="DN66" s="2567" t="n"/>
      <c r="DO66" s="2567" t="n"/>
      <c r="DP66" s="2567" t="n"/>
      <c r="DU66" s="2598" t="n"/>
      <c r="DV66" s="2598" t="n"/>
      <c r="DW66" s="2598" t="n"/>
      <c r="DX66" s="2598" t="n"/>
      <c r="DY66" s="2598" t="n"/>
      <c r="DZ66" s="2598" t="n"/>
      <c r="EA66" s="2598" t="n"/>
      <c r="EB66" s="2598" t="n"/>
      <c r="EC66" s="2598" t="n"/>
      <c r="ED66" s="2598" t="n"/>
      <c r="EE66" s="2598" t="n"/>
      <c r="EF66" s="4197">
        <f>CK53</f>
        <v/>
      </c>
      <c r="EG66" s="4181" t="inlineStr">
        <is>
          <t>soil</t>
        </is>
      </c>
      <c r="EH66" s="2598" t="n"/>
    </row>
    <row r="67">
      <c r="B67" s="1961" t="n"/>
      <c r="C67" s="1961">
        <f>C34</f>
        <v/>
      </c>
      <c r="D67" s="1961" t="n"/>
      <c r="E67" s="1961" t="n"/>
      <c r="F67" s="1961" t="n"/>
      <c r="G67" s="1961" t="n"/>
      <c r="H67" s="1961" t="n"/>
      <c r="I67" s="1961" t="n"/>
      <c r="J67" s="1961" t="n"/>
      <c r="K67" s="1961" t="n"/>
      <c r="L67" s="1961" t="n"/>
      <c r="M67" s="1961" t="n"/>
      <c r="N67" s="1961" t="n"/>
      <c r="O67" s="1961" t="n"/>
      <c r="P67" s="1961" t="n"/>
      <c r="Q67" s="1961" t="n"/>
      <c r="R67" s="1961" t="n"/>
      <c r="S67" s="1961" t="n"/>
      <c r="T67" s="1961" t="n"/>
      <c r="U67" s="1961" t="n"/>
      <c r="V67" s="1961" t="n"/>
      <c r="W67" s="1961" t="n"/>
      <c r="X67" s="1961" t="n"/>
      <c r="Y67" s="1961" t="n"/>
      <c r="Z67" s="1961" t="n"/>
      <c r="AA67" s="1961" t="n"/>
      <c r="AB67" s="1961" t="n"/>
      <c r="AC67" s="4358">
        <f>Languages!B392</f>
        <v/>
      </c>
      <c r="AD67" s="1961" t="n"/>
      <c r="AE67" s="4200">
        <f>SUM(AE46:AE51)+SUM(AE58:AE64)</f>
        <v/>
      </c>
      <c r="AF67" s="4200">
        <f>SUM(AF46:AF51)+SUM(AF58:AF64)</f>
        <v/>
      </c>
      <c r="AG67" s="2040">
        <f>SUM(AG46:AG51)+SUM(AG58:AG64)</f>
        <v/>
      </c>
      <c r="AH67" s="4198" t="n"/>
      <c r="AI67" s="4198" t="n"/>
      <c r="AS67" s="2598">
        <f>'5.Management'!AQ24</f>
        <v/>
      </c>
      <c r="AT67" s="2598" t="n"/>
      <c r="AU67" s="2598" t="n"/>
      <c r="AV67" s="2598" t="n"/>
      <c r="AW67" s="2598" t="n"/>
      <c r="AX67" s="2598" t="n"/>
      <c r="AY67" s="2598" t="n"/>
      <c r="AZ67" s="2598" t="n"/>
      <c r="BA67" s="2598" t="n"/>
      <c r="BB67" s="2598" t="n"/>
      <c r="BC67" s="2598" t="n"/>
      <c r="BD67" s="2598" t="n"/>
      <c r="BE67" s="2598" t="n"/>
      <c r="BF67" s="2598" t="n"/>
      <c r="BG67" s="2598" t="n"/>
      <c r="BH67" s="2598" t="n"/>
      <c r="BI67" s="2598" t="n"/>
      <c r="BJ67" s="2598" t="n"/>
      <c r="BK67" s="2598" t="n"/>
      <c r="BL67" s="2598" t="n"/>
      <c r="BM67" s="2598" t="n"/>
      <c r="BN67" s="2598" t="n"/>
      <c r="BO67" s="2598" t="n"/>
      <c r="BP67" s="2598" t="n"/>
      <c r="BR67" s="1997" t="n"/>
      <c r="BS67" s="1997" t="n"/>
      <c r="BT67" s="1997" t="n"/>
      <c r="CD67" s="2598">
        <f>CD34</f>
        <v/>
      </c>
      <c r="CE67" s="2598" t="n"/>
      <c r="CF67" s="2598" t="n"/>
      <c r="CG67" s="2598" t="n"/>
      <c r="CH67" s="2598" t="n"/>
      <c r="CI67" s="2598" t="n"/>
      <c r="CJ67" s="2598" t="n"/>
      <c r="CK67" s="2598" t="n"/>
      <c r="CL67" s="2598" t="n"/>
      <c r="CM67" s="2598" t="n"/>
      <c r="CN67" s="2598" t="n"/>
      <c r="CO67" s="2598" t="n"/>
      <c r="CP67" s="2598" t="n"/>
      <c r="CQ67" s="2598" t="n"/>
      <c r="CT67" s="2323">
        <f>CT35</f>
        <v/>
      </c>
      <c r="CU67" s="2323" t="n"/>
      <c r="CV67" s="2598" t="n"/>
      <c r="CW67" s="2598" t="n"/>
      <c r="CX67" s="2598" t="n"/>
      <c r="CY67" s="2598" t="n"/>
      <c r="CZ67" s="2598" t="n"/>
      <c r="DA67" s="2598" t="n"/>
      <c r="DB67" s="2567" t="n"/>
      <c r="DC67" s="2567" t="n"/>
      <c r="DD67" s="2567" t="n"/>
      <c r="DE67" s="2567" t="n"/>
      <c r="DF67" s="2567" t="n"/>
      <c r="DG67" s="2567" t="n"/>
      <c r="DH67" s="2567" t="n"/>
      <c r="DI67" s="2567" t="n"/>
      <c r="DJ67" s="2567" t="n"/>
      <c r="DK67" s="2567" t="n"/>
      <c r="DL67" s="2567" t="n"/>
      <c r="DM67" s="2567" t="n"/>
      <c r="DN67" s="2567" t="n"/>
      <c r="DO67" s="2567" t="n"/>
      <c r="DP67" s="2567" t="n"/>
      <c r="DU67" s="2598">
        <f>DU101</f>
        <v/>
      </c>
      <c r="DV67" s="2598" t="n"/>
      <c r="DW67" s="2598" t="n"/>
      <c r="DX67" s="2598" t="n"/>
      <c r="DY67" s="2598" t="n"/>
      <c r="DZ67" s="2598" t="n"/>
      <c r="EA67" s="2598" t="n"/>
      <c r="EB67" s="2598" t="n"/>
      <c r="EC67" s="2598" t="n"/>
      <c r="ED67" s="2598" t="n"/>
      <c r="EE67" s="2598" t="n"/>
      <c r="EF67" s="2598" t="n"/>
      <c r="EG67" s="2598" t="n"/>
      <c r="EH67" s="2598" t="n"/>
    </row>
    <row r="68">
      <c r="B68" s="1961" t="n"/>
      <c r="C68" s="1961" t="n"/>
      <c r="D68" s="1961" t="n"/>
      <c r="E68" s="1961" t="n"/>
      <c r="F68" s="1961" t="n"/>
      <c r="G68" s="1961" t="n"/>
      <c r="H68" s="1961" t="n"/>
      <c r="I68" s="1961" t="n"/>
      <c r="J68" s="1961" t="n"/>
      <c r="K68" s="1961" t="n"/>
      <c r="L68" s="1961" t="n"/>
      <c r="M68" s="1961" t="n"/>
      <c r="N68" s="1961" t="n"/>
      <c r="O68" s="1961" t="n"/>
      <c r="P68" s="1961" t="n"/>
      <c r="Q68" s="1961" t="n"/>
      <c r="R68" s="1961" t="n"/>
      <c r="S68" s="1961" t="n"/>
      <c r="T68" s="1961" t="n"/>
      <c r="U68" s="1961" t="n"/>
      <c r="V68" s="1961" t="n"/>
      <c r="W68" s="1961" t="n"/>
      <c r="X68" s="1961" t="n"/>
      <c r="Y68" s="1961" t="n"/>
      <c r="Z68" s="1961" t="n"/>
      <c r="AA68" s="1961" t="n"/>
      <c r="AB68" s="1961" t="n"/>
      <c r="AC68" s="1961" t="n"/>
      <c r="AD68" s="1961" t="n"/>
      <c r="AE68" s="1961" t="n"/>
      <c r="AF68" s="1961" t="n"/>
      <c r="AG68" s="1961" t="n"/>
      <c r="AH68" s="1961" t="n"/>
      <c r="AI68" s="1961" t="n"/>
      <c r="AS68" s="2598" t="n"/>
      <c r="AT68" s="2598" t="n"/>
      <c r="AU68" s="2598" t="n"/>
      <c r="AV68" s="2598" t="n"/>
      <c r="AW68" s="2598" t="n"/>
      <c r="AX68" s="2598" t="n"/>
      <c r="AY68" s="2598" t="n"/>
      <c r="AZ68" s="2598" t="n"/>
      <c r="BA68" s="2598" t="n"/>
      <c r="BB68" s="2598" t="n"/>
      <c r="BC68" s="2598" t="n"/>
      <c r="BD68" s="2598" t="n"/>
      <c r="BE68" s="2598" t="n"/>
      <c r="BF68" s="2598" t="n"/>
      <c r="BG68" s="2598" t="n"/>
      <c r="BH68" s="2598" t="n"/>
      <c r="BI68" s="2598" t="n"/>
      <c r="BJ68" s="2598" t="n"/>
      <c r="BK68" s="2598" t="n"/>
      <c r="BL68" s="2598" t="n"/>
      <c r="BM68" s="2598" t="n"/>
      <c r="BN68" s="2598" t="n"/>
      <c r="BO68" s="2598" t="n"/>
      <c r="BP68" s="2598" t="n"/>
      <c r="BR68" s="1997" t="n"/>
      <c r="BS68" s="1997" t="n"/>
      <c r="BT68" s="1997" t="n"/>
      <c r="CD68" s="2598">
        <f>CD35</f>
        <v/>
      </c>
      <c r="CE68" s="2598" t="n"/>
      <c r="CF68" s="2598" t="n"/>
      <c r="CG68" s="2598" t="n"/>
      <c r="CH68" s="2598" t="n"/>
      <c r="CI68" s="2598" t="n"/>
      <c r="CJ68" s="2598" t="n"/>
      <c r="CK68" s="2598" t="n"/>
      <c r="CL68" s="2598" t="n"/>
      <c r="CM68" s="2598" t="n"/>
      <c r="CN68" s="2598" t="n"/>
      <c r="CO68" s="2598" t="n"/>
      <c r="CP68" s="2598" t="n"/>
      <c r="CQ68" s="2598" t="n"/>
      <c r="CT68" s="2567" t="n"/>
      <c r="CU68" s="2598" t="n"/>
      <c r="CV68" s="2598" t="n"/>
      <c r="CW68" s="2598" t="n"/>
      <c r="CX68" s="2598" t="n"/>
      <c r="CY68" s="2598" t="n"/>
      <c r="CZ68" s="2598" t="n"/>
      <c r="DA68" s="2598" t="n"/>
      <c r="DB68" s="2567" t="n"/>
      <c r="DC68" s="2567" t="n"/>
      <c r="DD68" s="2567" t="n"/>
      <c r="DE68" s="2567" t="n"/>
      <c r="DF68" s="2567" t="n"/>
      <c r="DG68" s="2567" t="n"/>
      <c r="DH68" s="2567" t="n"/>
      <c r="DI68" s="2567" t="n"/>
      <c r="DJ68" s="2567" t="n"/>
      <c r="DK68" s="2567" t="n"/>
      <c r="DL68" s="2567" t="n"/>
      <c r="DM68" s="2567" t="n"/>
      <c r="DN68" s="2567" t="n"/>
      <c r="DO68" s="2567" t="n"/>
      <c r="DP68" s="2567" t="n"/>
      <c r="DU68" s="2598">
        <f>DU102</f>
        <v/>
      </c>
      <c r="DV68" s="2598" t="n"/>
      <c r="DW68" s="2598" t="n"/>
      <c r="DX68" s="2598" t="n"/>
      <c r="DY68" s="2598" t="n"/>
      <c r="DZ68" s="2598" t="n"/>
      <c r="EA68" s="2598" t="n"/>
      <c r="EB68" s="2598" t="n"/>
      <c r="EC68" s="2598" t="n"/>
      <c r="ED68" s="2598" t="n"/>
      <c r="EE68" s="2598" t="n"/>
      <c r="EF68" s="2598" t="n"/>
      <c r="EG68" s="2598" t="n"/>
      <c r="EH68" s="2598" t="n"/>
    </row>
    <row r="69">
      <c r="BR69" s="1997" t="n"/>
      <c r="BS69" s="1997" t="n"/>
      <c r="BT69" s="1997" t="n"/>
      <c r="CT69" s="4168" t="n"/>
      <c r="DB69" s="4168" t="n"/>
      <c r="DC69" s="4168" t="n"/>
      <c r="DD69" s="4168" t="n"/>
      <c r="DE69" s="4168" t="n"/>
      <c r="DF69" s="4168" t="n"/>
      <c r="DG69" s="4168" t="n"/>
      <c r="DH69" s="4168" t="n"/>
      <c r="DI69" s="4168" t="n"/>
      <c r="DJ69" s="4168" t="n"/>
      <c r="DK69" s="4168" t="n"/>
      <c r="DL69" s="4168" t="n"/>
      <c r="DM69" s="4168" t="n"/>
      <c r="DN69" s="4168" t="n"/>
      <c r="DO69" s="4168" t="n"/>
      <c r="DP69" s="4168" t="n"/>
    </row>
    <row r="70" ht="9.75" customHeight="1">
      <c r="CT70" s="4168" t="n"/>
      <c r="DB70" s="4168" t="n"/>
      <c r="DC70" s="4168" t="n"/>
      <c r="DD70" s="4168" t="n"/>
      <c r="DE70" s="4168" t="n"/>
      <c r="DF70" s="4168" t="n"/>
      <c r="DG70" s="4168" t="n"/>
      <c r="DH70" s="4168" t="n"/>
      <c r="DI70" s="4168" t="n"/>
      <c r="DJ70" s="4168" t="n"/>
      <c r="DK70" s="4168" t="n"/>
      <c r="DL70" s="4168" t="n"/>
      <c r="DM70" s="4168" t="n"/>
      <c r="DN70" s="4168" t="n"/>
      <c r="DO70" s="4168" t="n"/>
      <c r="DP70" s="4168" t="n"/>
    </row>
    <row r="71" ht="8.75" customHeight="1">
      <c r="CT71" s="4168" t="n"/>
      <c r="DB71" s="4168" t="n"/>
      <c r="DC71" s="4168" t="n"/>
      <c r="DD71" s="4168" t="n"/>
      <c r="DE71" s="4168" t="n"/>
      <c r="DF71" s="4168" t="n"/>
      <c r="DG71" s="4168" t="n"/>
      <c r="DH71" s="4168" t="n"/>
      <c r="DI71" s="4168" t="n"/>
      <c r="DJ71" s="4168" t="n"/>
      <c r="DK71" s="4168" t="n"/>
      <c r="DL71" s="4168" t="n"/>
      <c r="DM71" s="4168" t="n"/>
      <c r="DN71" s="4168" t="n"/>
      <c r="DO71" s="4168" t="n"/>
      <c r="DP71" s="4168" t="n"/>
    </row>
    <row r="72">
      <c r="CT72" s="4168" t="n"/>
      <c r="DB72" s="4168" t="n"/>
      <c r="DC72" s="4168" t="n"/>
      <c r="DD72" s="4168" t="n"/>
      <c r="DE72" s="4168" t="n"/>
      <c r="DF72" s="4168" t="n"/>
      <c r="DG72" s="4168" t="n"/>
      <c r="DH72" s="4168" t="n"/>
      <c r="DI72" s="4168" t="n"/>
      <c r="DJ72" s="4168" t="n"/>
      <c r="DK72" s="4168" t="n"/>
      <c r="DL72" s="4168" t="n"/>
      <c r="DM72" s="4168" t="n"/>
      <c r="DN72" s="4168" t="n"/>
      <c r="DO72" s="4168" t="n"/>
      <c r="DP72" s="4168" t="n"/>
    </row>
    <row r="74" ht="45" customHeight="1">
      <c r="B74" s="1874" t="n"/>
      <c r="C74" s="2549">
        <f>Languages!B342</f>
        <v/>
      </c>
      <c r="D74" s="1769" t="n"/>
      <c r="E74" s="1769" t="n"/>
      <c r="F74" s="1769" t="n"/>
      <c r="G74" s="1769" t="n"/>
      <c r="H74" s="1769" t="n"/>
      <c r="I74" s="1769" t="n"/>
      <c r="J74" s="1769" t="n"/>
      <c r="K74" s="1769" t="n"/>
      <c r="L74" s="1769" t="n"/>
      <c r="M74" s="1769" t="n"/>
      <c r="N74" s="1769" t="n"/>
      <c r="O74" s="1769" t="n"/>
      <c r="P74" s="1769" t="n"/>
      <c r="Q74" s="1769" t="n"/>
      <c r="R74" s="1769" t="n"/>
      <c r="S74" s="1769" t="n"/>
      <c r="T74" s="1769" t="n"/>
      <c r="U74" s="1769" t="n"/>
      <c r="V74" s="1769" t="n"/>
      <c r="W74" s="1769" t="n"/>
      <c r="X74" s="1769" t="n"/>
      <c r="Y74" s="1769" t="n"/>
      <c r="Z74" s="1769" t="n"/>
      <c r="AA74" s="1979">
        <f>Y41</f>
        <v/>
      </c>
      <c r="AB74" s="1979" t="n"/>
      <c r="AC74" s="1769" t="n"/>
      <c r="AD74" s="1769" t="n"/>
      <c r="AE74" s="1769" t="n"/>
      <c r="AF74" s="1769" t="n"/>
      <c r="AG74" s="1769" t="n"/>
      <c r="AH74" s="1769" t="n"/>
      <c r="AI74" s="1769" t="n"/>
      <c r="AS74" s="1978">
        <f>C74</f>
        <v/>
      </c>
      <c r="AT74" s="1977" t="n"/>
      <c r="AU74" s="1977" t="n"/>
      <c r="AV74" s="1977" t="n"/>
      <c r="AW74" s="1977" t="n"/>
      <c r="AX74" s="1977" t="n"/>
      <c r="AY74" s="1977" t="n"/>
      <c r="AZ74" s="1977" t="n"/>
      <c r="BA74" s="1977" t="n"/>
      <c r="BB74" s="1977" t="n"/>
      <c r="BC74" s="1977" t="n"/>
      <c r="BD74" s="1977" t="n"/>
      <c r="BE74" s="1977" t="n"/>
      <c r="BF74" s="1977" t="n"/>
      <c r="BH74" s="4404" t="inlineStr">
        <is>
          <t>Annual balance</t>
        </is>
      </c>
      <c r="BI74" s="4404" t="n"/>
      <c r="BJ74" s="4404" t="n"/>
      <c r="CD74" s="1976">
        <f>Languages!B359</f>
        <v/>
      </c>
      <c r="CE74" s="1977" t="n"/>
      <c r="CF74" s="1977" t="n"/>
      <c r="CG74" s="1977" t="n"/>
      <c r="CH74" s="1977" t="n"/>
      <c r="CI74" s="1977" t="n"/>
      <c r="CJ74" s="1977" t="n"/>
      <c r="CK74" s="1977" t="n"/>
      <c r="CL74" s="1977" t="n"/>
      <c r="CM74" s="1977" t="n"/>
      <c r="CN74" s="1977" t="n"/>
      <c r="CO74" s="1977" t="n"/>
      <c r="CP74" s="1977" t="n"/>
      <c r="CQ74" s="1977" t="n"/>
      <c r="CT74" s="1976">
        <f>Languages!B366</f>
        <v/>
      </c>
      <c r="CU74" s="1977" t="n"/>
      <c r="CV74" s="1977" t="n"/>
      <c r="CW74" s="1977" t="n"/>
      <c r="CX74" s="1977" t="n"/>
      <c r="CY74" s="1977" t="n"/>
      <c r="CZ74" s="1977" t="n"/>
      <c r="DA74" s="1977" t="n"/>
      <c r="DB74" s="1977" t="n"/>
      <c r="DC74" s="1977" t="n"/>
      <c r="DD74" s="1977" t="n"/>
      <c r="DE74" s="1977" t="n"/>
      <c r="DF74" s="1977" t="n"/>
      <c r="DG74" s="1977" t="n"/>
      <c r="DH74" s="1977" t="n"/>
      <c r="DI74" s="1977" t="n"/>
      <c r="DJ74" s="1977" t="n"/>
      <c r="DK74" s="1977" t="n"/>
      <c r="DL74" s="1977" t="n"/>
      <c r="DM74" s="1977" t="n"/>
      <c r="DN74" s="1977" t="n"/>
      <c r="DO74" s="1977" t="n"/>
      <c r="DP74" s="1977" t="n"/>
      <c r="DU74" s="1976">
        <f>Languages!B376</f>
        <v/>
      </c>
      <c r="DV74" s="1977" t="n"/>
      <c r="DW74" s="1977" t="n"/>
      <c r="DX74" s="1977" t="n"/>
      <c r="DY74" s="1977" t="n"/>
      <c r="DZ74" s="1977" t="n"/>
      <c r="EA74" s="1977" t="n"/>
      <c r="EB74" s="1977" t="n"/>
      <c r="EC74" s="1977" t="n"/>
      <c r="ED74" s="1977" t="n"/>
      <c r="EE74" s="1977" t="n"/>
      <c r="EF74" s="1977" t="n"/>
      <c r="EG74" s="1977" t="n"/>
      <c r="EH74" s="1977" t="n"/>
    </row>
    <row r="75" ht="15" customHeight="1">
      <c r="B75" s="1961" t="n"/>
      <c r="C75" s="1961" t="n"/>
      <c r="D75" s="1961" t="n"/>
      <c r="E75" s="1961" t="n"/>
      <c r="F75" s="1961" t="n"/>
      <c r="G75" s="1961" t="n"/>
      <c r="H75" s="1961" t="n"/>
      <c r="I75" s="1961" t="n"/>
      <c r="J75" s="1961" t="n"/>
      <c r="K75" s="1961" t="n"/>
      <c r="L75" s="1961" t="n"/>
      <c r="M75" s="1961" t="n"/>
      <c r="N75" s="1961" t="n"/>
      <c r="O75" s="1961" t="n"/>
      <c r="P75" s="1961" t="n"/>
      <c r="Q75" s="1961" t="n"/>
      <c r="R75" s="1961" t="n"/>
      <c r="S75" s="1961" t="n"/>
      <c r="T75" s="1961" t="n"/>
      <c r="U75" s="1961" t="n"/>
      <c r="V75" s="1961" t="n"/>
      <c r="W75" s="1961" t="n"/>
      <c r="X75" s="1961" t="n"/>
      <c r="Y75" s="1961" t="n"/>
      <c r="Z75" s="1961" t="n"/>
      <c r="AA75" s="1961" t="n"/>
      <c r="AB75" s="1961" t="n"/>
      <c r="AC75" s="1961" t="n"/>
      <c r="AD75" s="1961" t="n"/>
      <c r="AE75" s="1961" t="n"/>
      <c r="AF75" s="1961" t="n"/>
      <c r="AG75" s="1961" t="n"/>
      <c r="AH75" s="1961" t="n"/>
      <c r="AI75" s="1961" t="n"/>
      <c r="AS75" s="2598" t="n"/>
      <c r="AT75" s="2598" t="n"/>
      <c r="AU75" s="2598" t="n"/>
      <c r="AV75" s="2598" t="n"/>
      <c r="AW75" s="2598" t="n"/>
      <c r="AX75" s="2598" t="n"/>
      <c r="AY75" s="2598" t="n"/>
      <c r="AZ75" s="2598" t="n"/>
      <c r="BA75" s="2598" t="n"/>
      <c r="BB75" s="2598" t="n"/>
      <c r="BC75" s="2598" t="n"/>
      <c r="BD75" s="2598" t="n"/>
      <c r="BE75" s="2598" t="n"/>
      <c r="BF75" s="2598" t="n"/>
      <c r="BH75" s="2598" t="n"/>
      <c r="BI75" s="2598" t="n"/>
      <c r="BJ75" s="2598" t="n"/>
      <c r="CD75" s="2598" t="n"/>
      <c r="CE75" s="2598" t="n"/>
      <c r="CF75" s="4176">
        <f>CF54</f>
        <v/>
      </c>
      <c r="CG75" s="4176" t="n"/>
      <c r="CH75" s="4176" t="n"/>
      <c r="CI75" s="4176" t="n"/>
      <c r="CJ75" s="4176" t="n"/>
      <c r="CK75" s="4176" t="n"/>
      <c r="CL75" s="4181" t="n"/>
      <c r="CM75" s="4176">
        <f>CM54</f>
        <v/>
      </c>
      <c r="CN75" s="4176" t="n"/>
      <c r="CO75" s="4176" t="n"/>
      <c r="CP75" s="4176" t="n"/>
      <c r="CQ75" s="2598" t="n"/>
      <c r="CT75" s="2598" t="n"/>
      <c r="CU75" s="2598" t="n"/>
      <c r="CV75" s="2598" t="n"/>
      <c r="CW75" s="2598" t="n"/>
      <c r="CX75" s="2598" t="n"/>
      <c r="CY75" s="2598" t="n"/>
      <c r="CZ75" s="2598" t="n"/>
      <c r="DA75" s="2598" t="n"/>
      <c r="DB75" s="2598" t="n"/>
      <c r="DC75" s="2598" t="n"/>
      <c r="DD75" s="2598" t="n"/>
      <c r="DE75" s="2598" t="n"/>
      <c r="DF75" s="2598" t="n"/>
      <c r="DG75" s="2598" t="n"/>
      <c r="DH75" s="2598" t="n"/>
      <c r="DI75" s="2598" t="n"/>
      <c r="DJ75" s="2598" t="n"/>
      <c r="DK75" s="2598" t="n"/>
      <c r="DL75" s="2598" t="n"/>
      <c r="DM75" s="2598" t="n"/>
      <c r="DN75" s="2598" t="n"/>
      <c r="DO75" s="2598" t="n"/>
      <c r="DP75" s="2598" t="n"/>
      <c r="DU75" s="2598" t="n"/>
      <c r="DV75" s="2598" t="n"/>
      <c r="DW75" s="2598" t="n"/>
      <c r="DX75" s="2598" t="n"/>
      <c r="DY75" s="2598" t="n"/>
      <c r="DZ75" s="2598" t="n"/>
      <c r="EA75" s="2598" t="n"/>
      <c r="EB75" s="2598" t="n"/>
      <c r="EC75" s="2598" t="n"/>
      <c r="ED75" s="2598" t="n"/>
      <c r="EE75" s="2598" t="n"/>
      <c r="EF75" s="2598" t="n"/>
      <c r="EG75" s="2598" t="n"/>
      <c r="EH75" s="2598" t="n"/>
    </row>
    <row r="76" ht="14.25" customHeight="1">
      <c r="B76" s="1961" t="n"/>
      <c r="C76" s="1961" t="n"/>
      <c r="D76" s="1961" t="n"/>
      <c r="E76" s="1961" t="n"/>
      <c r="F76" s="1961" t="n"/>
      <c r="G76" s="1961" t="n"/>
      <c r="H76" s="1961" t="n"/>
      <c r="I76" s="1961" t="n"/>
      <c r="J76" s="1961" t="n"/>
      <c r="K76" s="1961" t="n"/>
      <c r="L76" s="1961" t="n"/>
      <c r="M76" s="1838" t="n"/>
      <c r="N76" s="1961" t="n"/>
      <c r="O76" s="1961" t="n"/>
      <c r="P76" s="1961" t="n"/>
      <c r="Q76" s="1961" t="n"/>
      <c r="R76" s="1961" t="n"/>
      <c r="S76" s="1961" t="n"/>
      <c r="T76" s="1961" t="n"/>
      <c r="U76" s="1838" t="n"/>
      <c r="V76" s="1838" t="n"/>
      <c r="W76" s="4569">
        <f>Languages!B395</f>
        <v/>
      </c>
      <c r="Z76" s="1838" t="n"/>
      <c r="AA76" s="1838" t="n"/>
      <c r="AB76" s="1838" t="n"/>
      <c r="AC76" s="1838" t="n"/>
      <c r="AD76" s="1838" t="n"/>
      <c r="AE76" s="1838" t="n"/>
      <c r="AF76" s="1838" t="n"/>
      <c r="AG76" s="1838" t="n"/>
      <c r="AH76" s="1838" t="n"/>
      <c r="AI76" s="1961" t="n"/>
      <c r="AS76" s="2598" t="n"/>
      <c r="AT76" s="2598" t="n"/>
      <c r="AU76" s="2598" t="n"/>
      <c r="AV76" s="2598" t="n"/>
      <c r="AW76" s="2598" t="n"/>
      <c r="AX76" s="2598" t="n"/>
      <c r="AY76" s="2598" t="n"/>
      <c r="AZ76" s="2598" t="n"/>
      <c r="BA76" s="2598" t="n"/>
      <c r="BB76" s="2598" t="n"/>
      <c r="BC76" s="2598" t="n"/>
      <c r="BD76" s="2598" t="n"/>
      <c r="BE76" s="2598" t="n"/>
      <c r="BF76" s="2598" t="n"/>
      <c r="BH76" s="1784" t="n"/>
      <c r="BI76" s="1784" t="n"/>
      <c r="BJ76" s="1997" t="n"/>
      <c r="CD76" s="2598" t="n"/>
      <c r="CE76" s="2598" t="n"/>
      <c r="CF76" s="4187">
        <f>CF55</f>
        <v/>
      </c>
      <c r="CG76" s="2598" t="n"/>
      <c r="CH76" s="4205">
        <f>CH55</f>
        <v/>
      </c>
      <c r="CI76" s="2598" t="n"/>
      <c r="CJ76" s="4185">
        <f>CJ55</f>
        <v/>
      </c>
      <c r="CK76" s="2598" t="n"/>
      <c r="CL76" s="2598" t="n"/>
      <c r="CM76" s="4187">
        <f>CM55</f>
        <v/>
      </c>
      <c r="CN76" s="2598" t="n"/>
      <c r="CO76" s="4187">
        <f>CO55</f>
        <v/>
      </c>
      <c r="CP76" s="2598" t="n"/>
      <c r="CQ76" s="2598" t="n"/>
      <c r="CT76" s="2598" t="n"/>
      <c r="CU76" s="2598" t="n"/>
      <c r="CV76" s="4176">
        <f>N77</f>
        <v/>
      </c>
      <c r="CW76" s="4177" t="n"/>
      <c r="CX76" s="4177" t="n"/>
      <c r="CY76" s="2598" t="n"/>
      <c r="CZ76" s="4176">
        <f>CZ42</f>
        <v/>
      </c>
      <c r="DA76" s="4176" t="n"/>
      <c r="DB76" s="4177" t="n"/>
      <c r="DC76" s="4177" t="n"/>
      <c r="DD76" s="4177" t="n"/>
      <c r="DE76" s="4177" t="n"/>
      <c r="DF76" s="4177" t="n"/>
      <c r="DG76" s="2598" t="n"/>
      <c r="DH76" s="4176">
        <f>DH42</f>
        <v/>
      </c>
      <c r="DI76" s="4177" t="n"/>
      <c r="DJ76" s="4177" t="n"/>
      <c r="DK76" s="4177" t="n"/>
      <c r="DL76" s="4177" t="n"/>
      <c r="DM76" s="4177" t="n"/>
      <c r="DN76" s="4177" t="n"/>
      <c r="DO76" s="4177" t="n"/>
      <c r="DP76" s="2598" t="n"/>
      <c r="DU76" s="2598" t="n"/>
      <c r="DV76" s="2598" t="n"/>
      <c r="DW76" s="2598" t="n"/>
      <c r="DX76" s="2598" t="n"/>
      <c r="DY76" s="2598" t="n"/>
      <c r="DZ76" s="2598" t="n"/>
      <c r="EA76" s="2598" t="n"/>
      <c r="EB76" s="2598" t="n"/>
      <c r="EC76" s="2598" t="n"/>
      <c r="ED76" s="2598" t="n"/>
      <c r="EE76" s="2598" t="n"/>
      <c r="EF76" s="2598" t="n"/>
      <c r="EG76" s="2598" t="n"/>
      <c r="EH76" s="2598" t="n"/>
    </row>
    <row r="77">
      <c r="B77" s="1961" t="n"/>
      <c r="C77" s="1838" t="n"/>
      <c r="D77" s="1961" t="n"/>
      <c r="E77" s="1838" t="n"/>
      <c r="F77" s="1961" t="n"/>
      <c r="G77" s="1780">
        <f>Languages!B61</f>
        <v/>
      </c>
      <c r="H77" s="1961" t="n"/>
      <c r="I77" s="4390">
        <f>Languages!B24</f>
        <v/>
      </c>
      <c r="J77" s="4390" t="n"/>
      <c r="K77" s="4390" t="n"/>
      <c r="L77" s="1961" t="n"/>
      <c r="M77" s="1838" t="n"/>
      <c r="N77" s="4390">
        <f>'2.LUC'!N58</f>
        <v/>
      </c>
      <c r="O77" s="4390" t="n"/>
      <c r="P77" s="4390" t="n"/>
      <c r="Q77" s="4390" t="n"/>
      <c r="R77" s="4178" t="n"/>
      <c r="S77" s="1961" t="n"/>
      <c r="T77" s="4178" t="n"/>
      <c r="U77" s="1838" t="n"/>
      <c r="V77" s="1838" t="n"/>
      <c r="W77" s="341" t="n"/>
      <c r="X77" s="341" t="n"/>
      <c r="Y77" s="341" t="n"/>
      <c r="Z77" s="1838" t="n"/>
      <c r="AA77" s="1838" t="n"/>
      <c r="AB77" s="1838" t="n"/>
      <c r="AC77" s="1838" t="n"/>
      <c r="AD77" s="1961" t="n"/>
      <c r="AE77" s="4179">
        <f>AE43</f>
        <v/>
      </c>
      <c r="AF77" s="4180" t="n"/>
      <c r="AG77" s="4180" t="n"/>
      <c r="AH77" s="4180" t="n"/>
      <c r="AI77" s="1838" t="n"/>
      <c r="AS77" s="2598" t="n"/>
      <c r="AT77" s="2598" t="n"/>
      <c r="AU77" s="2598" t="n"/>
      <c r="AV77" s="2598" t="n"/>
      <c r="AW77" s="4182">
        <f>Languages!B67</f>
        <v/>
      </c>
      <c r="AX77" s="4181" t="n"/>
      <c r="AY77" s="2598" t="n"/>
      <c r="AZ77" s="2598" t="n"/>
      <c r="BA77" s="2598" t="n"/>
      <c r="BB77" s="2598" t="n"/>
      <c r="BC77" s="2598" t="n"/>
      <c r="BD77" s="2598" t="n"/>
      <c r="BE77" s="2598" t="n"/>
      <c r="BF77" s="2598" t="n"/>
      <c r="BH77" s="1890" t="inlineStr">
        <is>
          <t xml:space="preserve">Start year of </t>
        </is>
      </c>
      <c r="BI77" s="1890" t="n"/>
      <c r="BJ77" s="1997" t="n"/>
      <c r="CD77" s="2598" t="n"/>
      <c r="CE77" s="4181">
        <f>AT78</f>
        <v/>
      </c>
      <c r="CF77" s="4187">
        <f>CF56</f>
        <v/>
      </c>
      <c r="CG77" s="2567" t="n"/>
      <c r="CH77" s="4185">
        <f>CH56</f>
        <v/>
      </c>
      <c r="CI77" s="2567" t="n"/>
      <c r="CJ77" s="2323">
        <f>CJ56</f>
        <v/>
      </c>
      <c r="CK77" s="2567" t="n"/>
      <c r="CL77" s="2567" t="n"/>
      <c r="CM77" s="4185">
        <f>CM56</f>
        <v/>
      </c>
      <c r="CN77" s="2598" t="n"/>
      <c r="CO77" s="4190">
        <f>CO56</f>
        <v/>
      </c>
      <c r="CP77" s="2598" t="n"/>
      <c r="CQ77" s="2598" t="n"/>
      <c r="CT77" s="2598" t="n"/>
      <c r="CU77" s="4181">
        <f>CU44</f>
        <v/>
      </c>
      <c r="CV77" s="2567" t="n"/>
      <c r="CW77" s="2567" t="n"/>
      <c r="CX77" s="2598" t="n"/>
      <c r="CY77" s="2598" t="n"/>
      <c r="CZ77" s="2598" t="n"/>
      <c r="DA77" s="4187" t="n"/>
      <c r="DB77" s="4187">
        <f>Languages!B12</f>
        <v/>
      </c>
      <c r="DC77" s="2598" t="n"/>
      <c r="DD77" s="2598" t="n"/>
      <c r="DE77" s="4186">
        <f>DE43</f>
        <v/>
      </c>
      <c r="DF77" s="2598" t="n"/>
      <c r="DG77" s="2598" t="n"/>
      <c r="DH77" s="4183">
        <f>DH43</f>
        <v/>
      </c>
      <c r="DI77" s="4183" t="n"/>
      <c r="DJ77" s="4183">
        <f>DJ43</f>
        <v/>
      </c>
      <c r="DK77" s="4183" t="n"/>
      <c r="DL77" s="4183">
        <f>DL43</f>
        <v/>
      </c>
      <c r="DM77" s="4183" t="n"/>
      <c r="DN77" s="4183">
        <f>DN43</f>
        <v/>
      </c>
      <c r="DO77" s="4183" t="n"/>
      <c r="DP77" s="4181" t="n"/>
      <c r="DU77" s="2598" t="n"/>
      <c r="DV77" s="4181">
        <f>CE77</f>
        <v/>
      </c>
      <c r="DW77" s="2598" t="n"/>
      <c r="DX77" s="4176" t="inlineStr">
        <is>
          <t>On site emissions factor</t>
        </is>
      </c>
      <c r="DY77" s="4177" t="n"/>
      <c r="DZ77" s="4177" t="n"/>
      <c r="EA77" s="4177" t="n"/>
      <c r="EB77" s="4177" t="n"/>
      <c r="EC77" s="4177" t="n"/>
      <c r="ED77" s="2598" t="n"/>
      <c r="EE77" s="4176" t="inlineStr">
        <is>
          <t>Off-site emission factor</t>
        </is>
      </c>
      <c r="EF77" s="4177" t="n"/>
      <c r="EG77" s="4177" t="n"/>
      <c r="EH77" s="2598" t="n"/>
    </row>
    <row r="78">
      <c r="B78" s="1961" t="n"/>
      <c r="C78" s="1834">
        <f>'2.LUC'!C58</f>
        <v/>
      </c>
      <c r="D78" s="4178" t="n"/>
      <c r="E78" s="1834" t="n"/>
      <c r="F78" s="4178" t="n"/>
      <c r="G78" s="1985">
        <f>Languages!B62</f>
        <v/>
      </c>
      <c r="H78" s="4178" t="n"/>
      <c r="I78" s="1838">
        <f>Languages!B19</f>
        <v/>
      </c>
      <c r="J78" s="1838" t="n"/>
      <c r="K78" s="1838">
        <f>Languages!B18</f>
        <v/>
      </c>
      <c r="L78" s="1961" t="n"/>
      <c r="M78" s="1961" t="n"/>
      <c r="N78" s="1961" t="n"/>
      <c r="O78" s="1961" t="n"/>
      <c r="P78" s="1961" t="n"/>
      <c r="Q78" s="1961" t="n"/>
      <c r="R78" s="1961" t="n"/>
      <c r="S78" s="1961" t="n"/>
      <c r="T78" s="1961" t="n"/>
      <c r="U78" s="1838" t="n"/>
      <c r="V78" s="1838" t="n"/>
      <c r="W78" s="1838" t="n"/>
      <c r="X78" s="1838">
        <f>X44</f>
        <v/>
      </c>
      <c r="Y78" s="1838" t="n"/>
      <c r="Z78" s="1838" t="n"/>
      <c r="AA78" s="1838" t="n"/>
      <c r="AB78" s="1838" t="n"/>
      <c r="AC78" s="1838" t="n"/>
      <c r="AD78" s="1961" t="n"/>
      <c r="AE78" s="1961" t="n"/>
      <c r="AF78" s="1961" t="n"/>
      <c r="AG78" s="1961" t="n"/>
      <c r="AH78" s="1961" t="n"/>
      <c r="AI78" s="1838" t="n"/>
      <c r="AS78" s="2598" t="n"/>
      <c r="AT78" s="4181">
        <f>I78</f>
        <v/>
      </c>
      <c r="AU78" s="2598" t="n"/>
      <c r="AV78" s="2598" t="n"/>
      <c r="AW78" s="4185" t="inlineStr">
        <is>
          <t>tC/ha</t>
        </is>
      </c>
      <c r="AX78" s="2598" t="n"/>
      <c r="AY78" s="2598" t="n"/>
      <c r="AZ78" s="2598" t="n"/>
      <c r="BA78" s="2598" t="n"/>
      <c r="BB78" s="2598" t="n"/>
      <c r="BC78" s="2598" t="n"/>
      <c r="BD78" s="2598" t="n"/>
      <c r="BE78" s="2598" t="n"/>
      <c r="BF78" s="2598" t="n"/>
      <c r="BH78" s="2015" t="inlineStr">
        <is>
          <t>implementation</t>
        </is>
      </c>
      <c r="BI78" s="2015" t="n"/>
      <c r="BJ78" s="1997" t="n"/>
      <c r="CD78" s="2598" t="n"/>
      <c r="CE78" s="2598" t="n"/>
      <c r="CF78" s="2567">
        <f>CF57</f>
        <v/>
      </c>
      <c r="CG78" s="2567">
        <f>CG57</f>
        <v/>
      </c>
      <c r="CH78" s="2567">
        <f>CH57</f>
        <v/>
      </c>
      <c r="CI78" s="2567">
        <f>CI57</f>
        <v/>
      </c>
      <c r="CJ78" s="2567">
        <f>CJ57</f>
        <v/>
      </c>
      <c r="CK78" s="2567">
        <f>CK57</f>
        <v/>
      </c>
      <c r="CL78" s="2567" t="n"/>
      <c r="CM78" s="2567">
        <f>CM57</f>
        <v/>
      </c>
      <c r="CN78" s="2567">
        <f>CN57</f>
        <v/>
      </c>
      <c r="CO78" s="2567">
        <f>CO57</f>
        <v/>
      </c>
      <c r="CP78" s="2567">
        <f>CP57</f>
        <v/>
      </c>
      <c r="CQ78" s="2598" t="n"/>
      <c r="CT78" s="2598" t="n"/>
      <c r="CU78" s="2598" t="n"/>
      <c r="CV78" s="2598" t="n"/>
      <c r="CW78" s="2598" t="n"/>
      <c r="CX78" s="2598" t="n"/>
      <c r="CY78" s="2598" t="n"/>
      <c r="CZ78" s="2598">
        <f>CZ44</f>
        <v/>
      </c>
      <c r="DA78" s="2598" t="n"/>
      <c r="DB78" s="2567">
        <f>DB44</f>
        <v/>
      </c>
      <c r="DC78" s="2567">
        <f>DC44</f>
        <v/>
      </c>
      <c r="DD78" s="2567" t="n"/>
      <c r="DE78" s="2567">
        <f>DB78</f>
        <v/>
      </c>
      <c r="DF78" s="2567">
        <f>DC78</f>
        <v/>
      </c>
      <c r="DG78" s="2598" t="n"/>
      <c r="DH78" s="4189">
        <f>DH44</f>
        <v/>
      </c>
      <c r="DI78" s="4189" t="n"/>
      <c r="DJ78" s="4189">
        <f>DJ44</f>
        <v/>
      </c>
      <c r="DK78" s="4189" t="n"/>
      <c r="DL78" s="4189">
        <f>DL44</f>
        <v/>
      </c>
      <c r="DM78" s="4189" t="n"/>
      <c r="DN78" s="4189">
        <f>DN44</f>
        <v/>
      </c>
      <c r="DO78" s="4189" t="n"/>
      <c r="DP78" s="2598" t="n"/>
      <c r="DU78" s="2598" t="n"/>
      <c r="DV78" s="4181" t="n"/>
      <c r="DW78" s="2598" t="n"/>
      <c r="DX78" s="2598" t="inlineStr">
        <is>
          <t>CO2 on site</t>
        </is>
      </c>
      <c r="DY78" s="2598" t="n"/>
      <c r="DZ78" s="2598" t="inlineStr">
        <is>
          <t>CH4 on-site</t>
        </is>
      </c>
      <c r="EA78" s="2598" t="n"/>
      <c r="EB78" s="2598" t="inlineStr">
        <is>
          <t>N2O</t>
        </is>
      </c>
      <c r="EC78" s="2598" t="n"/>
      <c r="ED78" s="2598" t="n"/>
      <c r="EE78" s="2598" t="inlineStr">
        <is>
          <t>DOC off-site</t>
        </is>
      </c>
      <c r="EF78" s="2598" t="n"/>
      <c r="EG78" s="2598" t="n"/>
      <c r="EH78" s="2598" t="n"/>
    </row>
    <row r="79">
      <c r="B79" s="1838" t="n"/>
      <c r="C79" s="1838" t="n"/>
      <c r="D79" s="1961" t="n"/>
      <c r="E79" s="1838" t="n"/>
      <c r="F79" s="1961" t="n"/>
      <c r="G79" s="1952" t="n"/>
      <c r="H79" s="1961" t="n"/>
      <c r="I79" s="1961" t="n"/>
      <c r="J79" s="1961" t="n"/>
      <c r="K79" s="1961" t="n"/>
      <c r="L79" s="1961" t="n"/>
      <c r="M79" s="1961" t="n"/>
      <c r="N79" s="1838">
        <f>N45</f>
        <v/>
      </c>
      <c r="O79" s="1781" t="inlineStr">
        <is>
          <t>*</t>
        </is>
      </c>
      <c r="P79" s="1838">
        <f>P45</f>
        <v/>
      </c>
      <c r="Q79" s="1781" t="inlineStr">
        <is>
          <t>*</t>
        </is>
      </c>
      <c r="R79" s="1961" t="n"/>
      <c r="S79" s="1961" t="n"/>
      <c r="T79" s="1961" t="n"/>
      <c r="U79" s="1838" t="n"/>
      <c r="V79" s="1838" t="n"/>
      <c r="W79" s="1838" t="n"/>
      <c r="X79" s="1838">
        <f>X45</f>
        <v/>
      </c>
      <c r="Y79" s="1838" t="n"/>
      <c r="Z79" s="1838" t="n"/>
      <c r="AA79" s="1838" t="n"/>
      <c r="AB79" s="1838" t="n"/>
      <c r="AC79" s="1838" t="n"/>
      <c r="AD79" s="1961" t="n"/>
      <c r="AE79" s="1838">
        <f>X90</f>
        <v/>
      </c>
      <c r="AF79" s="1838">
        <f>Y90</f>
        <v/>
      </c>
      <c r="AG79" s="1834">
        <f>AG45</f>
        <v/>
      </c>
      <c r="AH79" s="1838" t="n"/>
      <c r="AI79" s="1838" t="n"/>
      <c r="AS79" s="2598" t="n"/>
      <c r="AT79" s="2598" t="n"/>
      <c r="AU79" s="2598" t="n"/>
      <c r="AV79" s="2598" t="n"/>
      <c r="AW79" s="2567" t="inlineStr">
        <is>
          <t xml:space="preserve">Default </t>
        </is>
      </c>
      <c r="AX79" s="2567" t="inlineStr">
        <is>
          <t>Tier 2</t>
        </is>
      </c>
      <c r="AY79" s="2598" t="n"/>
      <c r="AZ79" s="2598" t="n"/>
      <c r="BA79" s="2598" t="n"/>
      <c r="BB79" s="2598" t="n"/>
      <c r="BC79" s="2598" t="n"/>
      <c r="BD79" s="2598" t="n"/>
      <c r="BE79" s="2598" t="n"/>
      <c r="BF79" s="2598" t="n"/>
      <c r="BH79" s="1997" t="n"/>
      <c r="BI79" s="1894" t="n"/>
      <c r="BJ79" s="1997" t="n"/>
      <c r="CD79" s="2598" t="n"/>
      <c r="CE79" s="2598" t="n"/>
      <c r="CF79" s="2598" t="n"/>
      <c r="CG79" s="2598" t="n"/>
      <c r="CH79" s="2598" t="n"/>
      <c r="CI79" s="2598" t="n"/>
      <c r="CJ79" s="2598" t="n"/>
      <c r="CK79" s="2598" t="n"/>
      <c r="CL79" s="2598" t="n"/>
      <c r="CM79" s="2598" t="n"/>
      <c r="CN79" s="4192" t="n"/>
      <c r="CO79" s="2598" t="n"/>
      <c r="CP79" s="2598" t="n"/>
      <c r="CQ79" s="2598" t="n"/>
      <c r="CT79" s="2598" t="n"/>
      <c r="CU79" s="2323" t="n"/>
      <c r="CV79" s="2567">
        <f>DB77</f>
        <v/>
      </c>
      <c r="CW79" s="2567">
        <f>DE77</f>
        <v/>
      </c>
      <c r="CX79" s="2598" t="n"/>
      <c r="CY79" s="2598" t="n"/>
      <c r="CZ79" s="2598" t="n"/>
      <c r="DA79" s="2598" t="n"/>
      <c r="DB79" s="2567">
        <f>DB45</f>
        <v/>
      </c>
      <c r="DC79" s="2567">
        <f>DC45</f>
        <v/>
      </c>
      <c r="DD79" s="2567" t="n"/>
      <c r="DE79" s="2567">
        <f>DB79</f>
        <v/>
      </c>
      <c r="DF79" s="2567">
        <f>DC79</f>
        <v/>
      </c>
      <c r="DG79" s="2598" t="n"/>
      <c r="DH79" s="2567">
        <f>DH45</f>
        <v/>
      </c>
      <c r="DI79" s="2567">
        <f>DI45</f>
        <v/>
      </c>
      <c r="DJ79" s="2567">
        <f>DH79</f>
        <v/>
      </c>
      <c r="DK79" s="2567">
        <f>DI79</f>
        <v/>
      </c>
      <c r="DL79" s="2567">
        <f>DJ79</f>
        <v/>
      </c>
      <c r="DM79" s="2567">
        <f>DK79</f>
        <v/>
      </c>
      <c r="DN79" s="2567">
        <f>DL79</f>
        <v/>
      </c>
      <c r="DO79" s="2567">
        <f>DM79</f>
        <v/>
      </c>
      <c r="DP79" s="2598" t="n"/>
      <c r="DU79" s="2598" t="n"/>
      <c r="DV79" s="4181" t="n"/>
      <c r="DW79" s="2598" t="n"/>
      <c r="DX79" s="2598" t="inlineStr">
        <is>
          <t>tC/ha/yr</t>
        </is>
      </c>
      <c r="DY79" s="2598" t="n"/>
      <c r="DZ79" s="2598" t="inlineStr">
        <is>
          <t>kg CH4-C/ha/yr</t>
        </is>
      </c>
      <c r="EA79" s="2598" t="n"/>
      <c r="EB79" s="2598" t="inlineStr">
        <is>
          <t>kg N2O-N/ha/yr</t>
        </is>
      </c>
      <c r="EC79" s="2598" t="n"/>
      <c r="ED79" s="2598" t="n"/>
      <c r="EE79" s="2598" t="inlineStr">
        <is>
          <t>tC/ha/yr</t>
        </is>
      </c>
      <c r="EF79" s="2598" t="n"/>
      <c r="EG79" s="2598" t="n"/>
      <c r="EH79" s="2598" t="n"/>
    </row>
    <row r="80">
      <c r="B80" s="1838" t="n"/>
      <c r="C80" s="4234" t="n"/>
      <c r="D80" s="1838" t="n"/>
      <c r="E80" s="1838" t="n"/>
      <c r="F80" s="1961" t="n"/>
      <c r="G80" s="2133" t="inlineStr">
        <is>
          <t>NO</t>
        </is>
      </c>
      <c r="H80" s="1961" t="n"/>
      <c r="I80" s="2135" t="inlineStr">
        <is>
          <t>Please select</t>
        </is>
      </c>
      <c r="J80" s="1961" t="n"/>
      <c r="K80" s="2135" t="inlineStr">
        <is>
          <t>Please select</t>
        </is>
      </c>
      <c r="L80" s="1961" t="n"/>
      <c r="M80" s="1961">
        <f>IF((AND(K80=I80, K80&lt;&gt;"Please select")), list!$B$277, "")</f>
        <v/>
      </c>
      <c r="N80" s="2132" t="n">
        <v>0</v>
      </c>
      <c r="O80" s="2108" t="inlineStr">
        <is>
          <t>D</t>
        </is>
      </c>
      <c r="P80" s="2132" t="n">
        <v>0</v>
      </c>
      <c r="Q80" s="2108" t="inlineStr">
        <is>
          <t>D</t>
        </is>
      </c>
      <c r="R80" s="1961" t="n"/>
      <c r="S80" s="1961" t="n"/>
      <c r="T80" s="1961" t="n"/>
      <c r="U80" s="1838" t="n"/>
      <c r="V80" s="1838" t="n"/>
      <c r="W80" s="1838" t="n"/>
      <c r="X80" s="4230" t="inlineStr">
        <is>
          <t>Y/N</t>
        </is>
      </c>
      <c r="Y80" s="1838" t="n"/>
      <c r="Z80" s="1838" t="n"/>
      <c r="AA80" s="1838" t="n"/>
      <c r="AB80" s="1838" t="n"/>
      <c r="AC80" s="1838" t="n"/>
      <c r="AD80" s="1961" t="n"/>
      <c r="AE80" s="2111">
        <f>'Inl. wetlands'!AI224</f>
        <v/>
      </c>
      <c r="AF80" s="2111">
        <f>'Inl. wetlands'!AJ224</f>
        <v/>
      </c>
      <c r="AG80" s="1806">
        <f>AF80-AE80</f>
        <v/>
      </c>
      <c r="AH80" s="1838" t="n"/>
      <c r="AI80" s="1838" t="n"/>
      <c r="AS80" s="2598" t="n"/>
      <c r="AT80" s="2598">
        <f>I80</f>
        <v/>
      </c>
      <c r="AU80" s="2598" t="n"/>
      <c r="AV80" s="2598" t="n"/>
      <c r="AW80" s="4728">
        <f>'Inl. wetlands'!$N224</f>
        <v/>
      </c>
      <c r="AX80" s="4241" t="n"/>
      <c r="AY80" s="2598" t="n"/>
      <c r="AZ80" s="2598" t="n"/>
      <c r="BA80" s="2598" t="n"/>
      <c r="BB80" s="2598" t="n"/>
      <c r="BC80" s="2598" t="n"/>
      <c r="BD80" s="2598" t="n"/>
      <c r="BE80" s="2598" t="n"/>
      <c r="BF80" s="2598" t="n"/>
      <c r="BH80" s="4401" t="n">
        <v>1</v>
      </c>
      <c r="BI80" s="4402" t="n"/>
      <c r="BJ80" s="1997" t="n"/>
      <c r="CD80" s="2598" t="n"/>
      <c r="CE80" s="2598">
        <f>AT80</f>
        <v/>
      </c>
      <c r="CF80" s="4192">
        <f>'Inl. wetlands'!B269</f>
        <v/>
      </c>
      <c r="CG80" s="4245" t="n"/>
      <c r="CH80" s="4192">
        <f>'Inl. wetlands'!D269</f>
        <v/>
      </c>
      <c r="CI80" s="4245" t="n"/>
      <c r="CJ80" s="4192">
        <f>'Inl. wetlands'!F269</f>
        <v/>
      </c>
      <c r="CK80" s="4245" t="n"/>
      <c r="CL80" s="2598" t="n"/>
      <c r="CM80" s="4192">
        <f>'Inl. wetlands'!H269</f>
        <v/>
      </c>
      <c r="CN80" s="4245" t="n"/>
      <c r="CO80" s="4192">
        <f>'Inl. wetlands'!J269</f>
        <v/>
      </c>
      <c r="CP80" s="4245" t="n"/>
      <c r="CQ80" s="2598" t="n"/>
      <c r="CT80" s="2567" t="n"/>
      <c r="CU80" s="2323">
        <f>K80</f>
        <v/>
      </c>
      <c r="CV80" s="2592">
        <f>N80</f>
        <v/>
      </c>
      <c r="CW80" s="2592">
        <f>P80</f>
        <v/>
      </c>
      <c r="CX80" s="2567" t="n"/>
      <c r="CY80" s="2567" t="n"/>
      <c r="CZ80" s="4141" t="inlineStr">
        <is>
          <t>Please select</t>
        </is>
      </c>
      <c r="DA80" s="2567" t="n"/>
      <c r="DB80" s="2133" t="n">
        <v>1</v>
      </c>
      <c r="DC80" s="4246" t="n">
        <v>1</v>
      </c>
      <c r="DD80" s="4207" t="n"/>
      <c r="DE80" s="2133" t="n">
        <v>1</v>
      </c>
      <c r="DF80" s="4246" t="n">
        <v>1</v>
      </c>
      <c r="DG80" s="2567" t="n"/>
      <c r="DH80" s="2592">
        <f>'Inl. wetlands'!O255</f>
        <v/>
      </c>
      <c r="DI80" s="2133" t="n"/>
      <c r="DJ80" s="2592">
        <f>'Inl. wetlands'!Q255</f>
        <v/>
      </c>
      <c r="DK80" s="2133" t="n"/>
      <c r="DL80" s="2592">
        <f>'Inl. wetlands'!S255</f>
        <v/>
      </c>
      <c r="DM80" s="2133" t="n"/>
      <c r="DN80" s="2592">
        <f>'Inl. wetlands'!U255</f>
        <v/>
      </c>
      <c r="DO80" s="2133" t="n"/>
      <c r="DP80" s="2567" t="n"/>
      <c r="DU80" s="2598" t="n"/>
      <c r="DV80" s="2598">
        <f>CE80</f>
        <v/>
      </c>
      <c r="DW80" s="2598" t="n"/>
      <c r="DX80" s="4728">
        <f>'Inl. wetlands'!$H296</f>
        <v/>
      </c>
      <c r="DY80" s="4729" t="n"/>
      <c r="DZ80" s="4191">
        <f>'Inl. wetlands'!$J296</f>
        <v/>
      </c>
      <c r="EA80" s="4729" t="n"/>
      <c r="EB80" s="4191">
        <f>'Inl. wetlands'!$L296</f>
        <v/>
      </c>
      <c r="EC80" s="4729" t="n"/>
      <c r="ED80" s="2598" t="n"/>
      <c r="EE80" s="4192">
        <f>'Inl. wetlands'!$N296</f>
        <v/>
      </c>
      <c r="EF80" s="4729" t="n"/>
      <c r="EG80" s="2598" t="n"/>
      <c r="EH80" s="2598" t="n"/>
    </row>
    <row r="81">
      <c r="B81" s="1838" t="n"/>
      <c r="C81" s="4235" t="n"/>
      <c r="D81" s="1838" t="n"/>
      <c r="E81" s="1838" t="n"/>
      <c r="F81" s="1961" t="n"/>
      <c r="G81" s="2133" t="inlineStr">
        <is>
          <t>NO</t>
        </is>
      </c>
      <c r="H81" s="1961" t="n"/>
      <c r="I81" s="2135" t="inlineStr">
        <is>
          <t>Please select</t>
        </is>
      </c>
      <c r="J81" s="1961" t="n"/>
      <c r="K81" s="2135" t="inlineStr">
        <is>
          <t>Please select</t>
        </is>
      </c>
      <c r="L81" s="1961" t="n"/>
      <c r="M81" s="1961">
        <f>IF((AND(K81=I81, K81&lt;&gt;"Please select")), list!$B$277, "")</f>
        <v/>
      </c>
      <c r="N81" s="2132" t="n">
        <v>0</v>
      </c>
      <c r="O81" s="2108" t="inlineStr">
        <is>
          <t>D</t>
        </is>
      </c>
      <c r="P81" s="2132" t="n">
        <v>0</v>
      </c>
      <c r="Q81" s="2108" t="inlineStr">
        <is>
          <t>D</t>
        </is>
      </c>
      <c r="R81" s="1961" t="n"/>
      <c r="S81" s="1961" t="n"/>
      <c r="T81" s="1961" t="n"/>
      <c r="U81" s="1838" t="n"/>
      <c r="V81" s="1838" t="n"/>
      <c r="W81" s="1838" t="n"/>
      <c r="X81" s="4230" t="inlineStr">
        <is>
          <t>Y/N</t>
        </is>
      </c>
      <c r="Y81" s="1838" t="n"/>
      <c r="Z81" s="1838" t="n"/>
      <c r="AA81" s="1838" t="n"/>
      <c r="AB81" s="1838" t="n"/>
      <c r="AC81" s="1838" t="n"/>
      <c r="AD81" s="1961" t="n"/>
      <c r="AE81" s="2111">
        <f>'Inl. wetlands'!AI225</f>
        <v/>
      </c>
      <c r="AF81" s="2111">
        <f>'Inl. wetlands'!AJ225</f>
        <v/>
      </c>
      <c r="AG81" s="1806">
        <f>AF81-AE81</f>
        <v/>
      </c>
      <c r="AH81" s="1838" t="n"/>
      <c r="AI81" s="1838" t="n"/>
      <c r="AS81" s="2598" t="n"/>
      <c r="AT81" s="2598">
        <f>I81</f>
        <v/>
      </c>
      <c r="AU81" s="2598" t="n"/>
      <c r="AV81" s="2598" t="n"/>
      <c r="AW81" s="4728">
        <f>'Inl. wetlands'!$N225</f>
        <v/>
      </c>
      <c r="AX81" s="4241" t="n"/>
      <c r="AY81" s="2598" t="n"/>
      <c r="AZ81" s="2598" t="n"/>
      <c r="BA81" s="2598" t="n"/>
      <c r="BB81" s="2598" t="n"/>
      <c r="BC81" s="2598" t="n"/>
      <c r="BD81" s="2598" t="n"/>
      <c r="BE81" s="2598" t="n"/>
      <c r="BF81" s="2598" t="n"/>
      <c r="BH81" s="4401" t="n">
        <v>1</v>
      </c>
      <c r="BI81" s="4402" t="n"/>
      <c r="BJ81" s="1997" t="n"/>
      <c r="CD81" s="2598" t="n"/>
      <c r="CE81" s="2598">
        <f>AT81</f>
        <v/>
      </c>
      <c r="CF81" s="4192">
        <f>'Inl. wetlands'!B270</f>
        <v/>
      </c>
      <c r="CG81" s="4245" t="n"/>
      <c r="CH81" s="4192">
        <f>'Inl. wetlands'!D270</f>
        <v/>
      </c>
      <c r="CI81" s="4245" t="n"/>
      <c r="CJ81" s="4192">
        <f>'Inl. wetlands'!F270</f>
        <v/>
      </c>
      <c r="CK81" s="4245" t="n"/>
      <c r="CL81" s="2598" t="n"/>
      <c r="CM81" s="4192">
        <f>'Inl. wetlands'!H270</f>
        <v/>
      </c>
      <c r="CN81" s="4245" t="n"/>
      <c r="CO81" s="4192">
        <f>'Inl. wetlands'!J270</f>
        <v/>
      </c>
      <c r="CP81" s="4245" t="n"/>
      <c r="CQ81" s="2598" t="n"/>
      <c r="CT81" s="2567" t="n"/>
      <c r="CU81" s="2323">
        <f>K81</f>
        <v/>
      </c>
      <c r="CV81" s="2592">
        <f>N81</f>
        <v/>
      </c>
      <c r="CW81" s="2592">
        <f>P81</f>
        <v/>
      </c>
      <c r="CX81" s="2567" t="n"/>
      <c r="CY81" s="2567" t="n"/>
      <c r="CZ81" s="4141" t="inlineStr">
        <is>
          <t>Please select</t>
        </is>
      </c>
      <c r="DA81" s="2567" t="n"/>
      <c r="DB81" s="2133" t="n">
        <v>1</v>
      </c>
      <c r="DC81" s="4246" t="n">
        <v>1</v>
      </c>
      <c r="DD81" s="4207" t="n"/>
      <c r="DE81" s="2133" t="n">
        <v>1</v>
      </c>
      <c r="DF81" s="4246" t="n">
        <v>1</v>
      </c>
      <c r="DG81" s="2567" t="n"/>
      <c r="DH81" s="2592">
        <f>'Inl. wetlands'!O256</f>
        <v/>
      </c>
      <c r="DI81" s="2133" t="n"/>
      <c r="DJ81" s="2592">
        <f>'Inl. wetlands'!Q256</f>
        <v/>
      </c>
      <c r="DK81" s="2133" t="n"/>
      <c r="DL81" s="2592">
        <f>'Inl. wetlands'!S256</f>
        <v/>
      </c>
      <c r="DM81" s="2133" t="n"/>
      <c r="DN81" s="2592">
        <f>'Inl. wetlands'!U256</f>
        <v/>
      </c>
      <c r="DO81" s="2133" t="n"/>
      <c r="DP81" s="2567" t="n"/>
      <c r="DU81" s="2598" t="n"/>
      <c r="DV81" s="2598">
        <f>CE81</f>
        <v/>
      </c>
      <c r="DW81" s="2598" t="n"/>
      <c r="DX81" s="4728">
        <f>'Inl. wetlands'!$H297</f>
        <v/>
      </c>
      <c r="DY81" s="4729" t="n"/>
      <c r="DZ81" s="4191">
        <f>'Inl. wetlands'!$J297</f>
        <v/>
      </c>
      <c r="EA81" s="4729" t="n"/>
      <c r="EB81" s="4191">
        <f>'Inl. wetlands'!$L297</f>
        <v/>
      </c>
      <c r="EC81" s="4729" t="n"/>
      <c r="ED81" s="2598" t="n"/>
      <c r="EE81" s="4192">
        <f>'Inl. wetlands'!$N297</f>
        <v/>
      </c>
      <c r="EF81" s="4729" t="n"/>
      <c r="EG81" s="2598" t="n"/>
      <c r="EH81" s="2598" t="n"/>
    </row>
    <row r="82">
      <c r="B82" s="1838" t="n"/>
      <c r="C82" s="4235" t="n"/>
      <c r="D82" s="1838" t="n"/>
      <c r="E82" s="1838" t="n"/>
      <c r="F82" s="1961" t="n"/>
      <c r="G82" s="2133" t="inlineStr">
        <is>
          <t>NO</t>
        </is>
      </c>
      <c r="H82" s="1961" t="n"/>
      <c r="I82" s="2135" t="inlineStr">
        <is>
          <t>Please select</t>
        </is>
      </c>
      <c r="J82" s="1961" t="n"/>
      <c r="K82" s="2135" t="inlineStr">
        <is>
          <t>Please select</t>
        </is>
      </c>
      <c r="L82" s="1961" t="n"/>
      <c r="M82" s="1961">
        <f>IF((AND(K82=I82, K82&lt;&gt;"Please select")), list!$B$277, "")</f>
        <v/>
      </c>
      <c r="N82" s="2132" t="n">
        <v>0</v>
      </c>
      <c r="O82" s="2108" t="inlineStr">
        <is>
          <t>D</t>
        </is>
      </c>
      <c r="P82" s="2132" t="n">
        <v>0</v>
      </c>
      <c r="Q82" s="2108" t="inlineStr">
        <is>
          <t>D</t>
        </is>
      </c>
      <c r="R82" s="1961" t="n"/>
      <c r="S82" s="1961" t="n"/>
      <c r="T82" s="1961" t="n"/>
      <c r="U82" s="1838" t="n"/>
      <c r="V82" s="1838" t="n"/>
      <c r="W82" s="1838" t="n"/>
      <c r="X82" s="4230" t="inlineStr">
        <is>
          <t>Y/N</t>
        </is>
      </c>
      <c r="Y82" s="1838" t="n"/>
      <c r="Z82" s="1838" t="n"/>
      <c r="AA82" s="1838" t="n"/>
      <c r="AB82" s="1838" t="n"/>
      <c r="AC82" s="1838" t="n"/>
      <c r="AD82" s="1961" t="n"/>
      <c r="AE82" s="2111">
        <f>'Inl. wetlands'!AI226</f>
        <v/>
      </c>
      <c r="AF82" s="2111">
        <f>'Inl. wetlands'!AJ226</f>
        <v/>
      </c>
      <c r="AG82" s="1806">
        <f>AF82-AE82</f>
        <v/>
      </c>
      <c r="AH82" s="1838" t="n"/>
      <c r="AI82" s="1838" t="n"/>
      <c r="AS82" s="2598" t="n"/>
      <c r="AT82" s="2598">
        <f>I82</f>
        <v/>
      </c>
      <c r="AU82" s="2598" t="n"/>
      <c r="AV82" s="2598" t="n"/>
      <c r="AW82" s="4728">
        <f>'Inl. wetlands'!$N226</f>
        <v/>
      </c>
      <c r="AX82" s="4241" t="n"/>
      <c r="AY82" s="2598" t="n"/>
      <c r="AZ82" s="2598" t="n"/>
      <c r="BA82" s="2598" t="n"/>
      <c r="BB82" s="2598" t="n"/>
      <c r="BC82" s="2598" t="n"/>
      <c r="BD82" s="2598" t="n"/>
      <c r="BE82" s="2598" t="n"/>
      <c r="BF82" s="2598" t="n"/>
      <c r="BH82" s="4401" t="n">
        <v>1</v>
      </c>
      <c r="BI82" s="4402" t="n"/>
      <c r="BJ82" s="1997" t="n"/>
      <c r="CD82" s="2598" t="n"/>
      <c r="CE82" s="2598">
        <f>AT82</f>
        <v/>
      </c>
      <c r="CF82" s="4192">
        <f>'Inl. wetlands'!B271</f>
        <v/>
      </c>
      <c r="CG82" s="4245" t="n"/>
      <c r="CH82" s="4192">
        <f>'Inl. wetlands'!D271</f>
        <v/>
      </c>
      <c r="CI82" s="4245" t="n"/>
      <c r="CJ82" s="4192">
        <f>'Inl. wetlands'!F271</f>
        <v/>
      </c>
      <c r="CK82" s="4245" t="n"/>
      <c r="CL82" s="2598" t="n"/>
      <c r="CM82" s="4192">
        <f>'Inl. wetlands'!H271</f>
        <v/>
      </c>
      <c r="CN82" s="4245" t="n"/>
      <c r="CO82" s="4192">
        <f>'Inl. wetlands'!J271</f>
        <v/>
      </c>
      <c r="CP82" s="4245" t="n"/>
      <c r="CQ82" s="2598" t="n"/>
      <c r="CT82" s="2567" t="n"/>
      <c r="CU82" s="2323">
        <f>K82</f>
        <v/>
      </c>
      <c r="CV82" s="2592">
        <f>N82</f>
        <v/>
      </c>
      <c r="CW82" s="2592">
        <f>P82</f>
        <v/>
      </c>
      <c r="CX82" s="2567" t="n"/>
      <c r="CY82" s="2567" t="n"/>
      <c r="CZ82" s="4141" t="inlineStr">
        <is>
          <t>Please select</t>
        </is>
      </c>
      <c r="DA82" s="2567" t="n"/>
      <c r="DB82" s="2133" t="n">
        <v>1</v>
      </c>
      <c r="DC82" s="4246" t="n">
        <v>1</v>
      </c>
      <c r="DD82" s="4207" t="n"/>
      <c r="DE82" s="2133" t="n">
        <v>1</v>
      </c>
      <c r="DF82" s="4246" t="n">
        <v>1</v>
      </c>
      <c r="DG82" s="2567" t="n"/>
      <c r="DH82" s="2592">
        <f>'Inl. wetlands'!O257</f>
        <v/>
      </c>
      <c r="DI82" s="2133" t="n"/>
      <c r="DJ82" s="2592">
        <f>'Inl. wetlands'!Q257</f>
        <v/>
      </c>
      <c r="DK82" s="2133" t="n"/>
      <c r="DL82" s="2592">
        <f>'Inl. wetlands'!S257</f>
        <v/>
      </c>
      <c r="DM82" s="2133" t="n"/>
      <c r="DN82" s="2592">
        <f>'Inl. wetlands'!U257</f>
        <v/>
      </c>
      <c r="DO82" s="2133" t="n"/>
      <c r="DP82" s="2567" t="n"/>
      <c r="DU82" s="2598" t="n"/>
      <c r="DV82" s="2598">
        <f>CE82</f>
        <v/>
      </c>
      <c r="DW82" s="2598" t="n"/>
      <c r="DX82" s="4728">
        <f>'Inl. wetlands'!$H298</f>
        <v/>
      </c>
      <c r="DY82" s="4729" t="n"/>
      <c r="DZ82" s="4191">
        <f>'Inl. wetlands'!$J298</f>
        <v/>
      </c>
      <c r="EA82" s="4729" t="n"/>
      <c r="EB82" s="4191">
        <f>'Inl. wetlands'!$L298</f>
        <v/>
      </c>
      <c r="EC82" s="4729" t="n"/>
      <c r="ED82" s="2598" t="n"/>
      <c r="EE82" s="4192">
        <f>'Inl. wetlands'!$N298</f>
        <v/>
      </c>
      <c r="EF82" s="4729" t="n"/>
      <c r="EG82" s="2598" t="n"/>
      <c r="EH82" s="2598" t="n"/>
    </row>
    <row r="83">
      <c r="B83" s="1838" t="n"/>
      <c r="C83" s="4235" t="n"/>
      <c r="D83" s="1838" t="n"/>
      <c r="E83" s="1838" t="n"/>
      <c r="F83" s="1961" t="n"/>
      <c r="G83" s="2133" t="inlineStr">
        <is>
          <t>NO</t>
        </is>
      </c>
      <c r="H83" s="1961" t="n"/>
      <c r="I83" s="2135" t="inlineStr">
        <is>
          <t>Please select</t>
        </is>
      </c>
      <c r="J83" s="1961" t="n"/>
      <c r="K83" s="2135" t="inlineStr">
        <is>
          <t>Please select</t>
        </is>
      </c>
      <c r="L83" s="1961" t="n"/>
      <c r="M83" s="1961">
        <f>IF((AND(K83=I83, K83&lt;&gt;"Please select")), list!$B$277, "")</f>
        <v/>
      </c>
      <c r="N83" s="2132" t="n">
        <v>0</v>
      </c>
      <c r="O83" s="2108" t="inlineStr">
        <is>
          <t>D</t>
        </is>
      </c>
      <c r="P83" s="2132" t="n">
        <v>0</v>
      </c>
      <c r="Q83" s="2108" t="inlineStr">
        <is>
          <t>D</t>
        </is>
      </c>
      <c r="R83" s="1961" t="n"/>
      <c r="S83" s="1961" t="n"/>
      <c r="T83" s="1961" t="n"/>
      <c r="U83" s="1838" t="n"/>
      <c r="V83" s="1838" t="n"/>
      <c r="W83" s="1838" t="n"/>
      <c r="X83" s="4230" t="inlineStr">
        <is>
          <t>Y/N</t>
        </is>
      </c>
      <c r="Y83" s="1838" t="n"/>
      <c r="Z83" s="1838" t="n"/>
      <c r="AA83" s="1838" t="n"/>
      <c r="AB83" s="1838" t="n"/>
      <c r="AC83" s="1838" t="n"/>
      <c r="AD83" s="1961" t="n"/>
      <c r="AE83" s="2111">
        <f>'Inl. wetlands'!AI227</f>
        <v/>
      </c>
      <c r="AF83" s="2111">
        <f>'Inl. wetlands'!AJ227</f>
        <v/>
      </c>
      <c r="AG83" s="1806">
        <f>AF83-AE83</f>
        <v/>
      </c>
      <c r="AH83" s="1838" t="n"/>
      <c r="AI83" s="1838" t="n"/>
      <c r="AS83" s="2598" t="n"/>
      <c r="AT83" s="2598">
        <f>I83</f>
        <v/>
      </c>
      <c r="AU83" s="2598" t="n"/>
      <c r="AV83" s="2598" t="n"/>
      <c r="AW83" s="4728">
        <f>'Inl. wetlands'!$N227</f>
        <v/>
      </c>
      <c r="AX83" s="4241" t="n"/>
      <c r="AY83" s="2598" t="n"/>
      <c r="AZ83" s="2598" t="n"/>
      <c r="BA83" s="2598" t="n"/>
      <c r="BB83" s="2598" t="n"/>
      <c r="BC83" s="2598" t="n"/>
      <c r="BD83" s="2598" t="n"/>
      <c r="BE83" s="2598" t="n"/>
      <c r="BF83" s="2598" t="n"/>
      <c r="BH83" s="4401" t="n">
        <v>1</v>
      </c>
      <c r="BI83" s="4402" t="n"/>
      <c r="BJ83" s="1997" t="n"/>
      <c r="CD83" s="2598" t="n"/>
      <c r="CE83" s="2598">
        <f>AT83</f>
        <v/>
      </c>
      <c r="CF83" s="4192">
        <f>'Inl. wetlands'!B272</f>
        <v/>
      </c>
      <c r="CG83" s="4245" t="n"/>
      <c r="CH83" s="4192">
        <f>'Inl. wetlands'!D272</f>
        <v/>
      </c>
      <c r="CI83" s="4245" t="n"/>
      <c r="CJ83" s="4192">
        <f>'Inl. wetlands'!F272</f>
        <v/>
      </c>
      <c r="CK83" s="4245" t="n"/>
      <c r="CL83" s="2598" t="n"/>
      <c r="CM83" s="4192">
        <f>'Inl. wetlands'!H272</f>
        <v/>
      </c>
      <c r="CN83" s="4245" t="n"/>
      <c r="CO83" s="4192">
        <f>'Inl. wetlands'!J272</f>
        <v/>
      </c>
      <c r="CP83" s="4245" t="n"/>
      <c r="CQ83" s="2598" t="n"/>
      <c r="CT83" s="2567" t="n"/>
      <c r="CU83" s="2323">
        <f>K83</f>
        <v/>
      </c>
      <c r="CV83" s="2592">
        <f>N83</f>
        <v/>
      </c>
      <c r="CW83" s="2592">
        <f>P83</f>
        <v/>
      </c>
      <c r="CX83" s="2567" t="n"/>
      <c r="CY83" s="2567" t="n"/>
      <c r="CZ83" s="4141" t="inlineStr">
        <is>
          <t>Please select</t>
        </is>
      </c>
      <c r="DA83" s="2567" t="n"/>
      <c r="DB83" s="2133" t="n">
        <v>1</v>
      </c>
      <c r="DC83" s="4246" t="n">
        <v>1</v>
      </c>
      <c r="DD83" s="4207" t="n"/>
      <c r="DE83" s="2133" t="n">
        <v>1</v>
      </c>
      <c r="DF83" s="4246" t="n">
        <v>1</v>
      </c>
      <c r="DG83" s="2567" t="n"/>
      <c r="DH83" s="2592">
        <f>'Inl. wetlands'!O258</f>
        <v/>
      </c>
      <c r="DI83" s="2133" t="n"/>
      <c r="DJ83" s="2592">
        <f>'Inl. wetlands'!Q258</f>
        <v/>
      </c>
      <c r="DK83" s="2133" t="n"/>
      <c r="DL83" s="2592">
        <f>'Inl. wetlands'!S258</f>
        <v/>
      </c>
      <c r="DM83" s="2133" t="n"/>
      <c r="DN83" s="2592">
        <f>'Inl. wetlands'!U258</f>
        <v/>
      </c>
      <c r="DO83" s="2133" t="n"/>
      <c r="DP83" s="2567" t="n"/>
      <c r="DU83" s="2598" t="n"/>
      <c r="DV83" s="2598">
        <f>CE83</f>
        <v/>
      </c>
      <c r="DW83" s="2598" t="n"/>
      <c r="DX83" s="4728">
        <f>'Inl. wetlands'!$H299</f>
        <v/>
      </c>
      <c r="DY83" s="4729" t="n"/>
      <c r="DZ83" s="4191">
        <f>'Inl. wetlands'!$J299</f>
        <v/>
      </c>
      <c r="EA83" s="4729" t="n"/>
      <c r="EB83" s="4191">
        <f>'Inl. wetlands'!$L299</f>
        <v/>
      </c>
      <c r="EC83" s="4729" t="n"/>
      <c r="ED83" s="2598" t="n"/>
      <c r="EE83" s="4192">
        <f>'Inl. wetlands'!$N299</f>
        <v/>
      </c>
      <c r="EF83" s="4729" t="n"/>
      <c r="EG83" s="2598" t="n"/>
      <c r="EH83" s="2598" t="n"/>
    </row>
    <row r="84">
      <c r="B84" s="1838" t="n"/>
      <c r="C84" s="4235" t="n"/>
      <c r="D84" s="1838">
        <f>IF('6.Inland wetlands'!CU175="Yes", )</f>
        <v/>
      </c>
      <c r="E84" s="1838" t="n"/>
      <c r="F84" s="1961" t="n"/>
      <c r="G84" s="2133" t="inlineStr">
        <is>
          <t>NO</t>
        </is>
      </c>
      <c r="H84" s="1961" t="n"/>
      <c r="I84" s="2135" t="inlineStr">
        <is>
          <t>Please select</t>
        </is>
      </c>
      <c r="J84" s="1961" t="n"/>
      <c r="K84" s="2135" t="inlineStr">
        <is>
          <t>Please select</t>
        </is>
      </c>
      <c r="L84" s="1961" t="n"/>
      <c r="M84" s="1961">
        <f>IF((AND(K84=I84, K84&lt;&gt;"Please select")), list!$B$277, "")</f>
        <v/>
      </c>
      <c r="N84" s="2132" t="n">
        <v>0</v>
      </c>
      <c r="O84" s="2108" t="inlineStr">
        <is>
          <t>D</t>
        </is>
      </c>
      <c r="P84" s="2132" t="n">
        <v>0</v>
      </c>
      <c r="Q84" s="2108" t="inlineStr">
        <is>
          <t>D</t>
        </is>
      </c>
      <c r="R84" s="1961" t="n"/>
      <c r="S84" s="1961" t="n"/>
      <c r="T84" s="1961" t="n"/>
      <c r="U84" s="1838" t="n"/>
      <c r="V84" s="1838" t="n"/>
      <c r="W84" s="1838" t="n"/>
      <c r="X84" s="4230" t="inlineStr">
        <is>
          <t>Y/N</t>
        </is>
      </c>
      <c r="Y84" s="1838" t="n"/>
      <c r="Z84" s="1838" t="n"/>
      <c r="AA84" s="1838" t="n"/>
      <c r="AB84" s="1838" t="n"/>
      <c r="AC84" s="1838" t="n"/>
      <c r="AD84" s="1961" t="n"/>
      <c r="AE84" s="2111">
        <f>'Inl. wetlands'!AI228</f>
        <v/>
      </c>
      <c r="AF84" s="2111">
        <f>'Inl. wetlands'!AJ228</f>
        <v/>
      </c>
      <c r="AG84" s="1806">
        <f>AF84-AE84</f>
        <v/>
      </c>
      <c r="AH84" s="1838" t="n"/>
      <c r="AI84" s="1838" t="n"/>
      <c r="AS84" s="2598" t="n"/>
      <c r="AT84" s="2598">
        <f>I84</f>
        <v/>
      </c>
      <c r="AU84" s="2598" t="n"/>
      <c r="AV84" s="2598" t="n"/>
      <c r="AW84" s="4728">
        <f>'Inl. wetlands'!$N228</f>
        <v/>
      </c>
      <c r="AX84" s="4241" t="n"/>
      <c r="AY84" s="2598" t="n"/>
      <c r="AZ84" s="2598" t="n"/>
      <c r="BA84" s="2598" t="n"/>
      <c r="BB84" s="2598" t="n"/>
      <c r="BC84" s="2598" t="n"/>
      <c r="BD84" s="2598" t="n"/>
      <c r="BE84" s="2598" t="n"/>
      <c r="BF84" s="2598" t="n"/>
      <c r="BH84" s="4401" t="n">
        <v>1</v>
      </c>
      <c r="BI84" s="4402" t="n"/>
      <c r="BJ84" s="1997" t="n"/>
      <c r="CD84" s="2598" t="n"/>
      <c r="CE84" s="2598">
        <f>AT84</f>
        <v/>
      </c>
      <c r="CF84" s="4192">
        <f>'Inl. wetlands'!B273</f>
        <v/>
      </c>
      <c r="CG84" s="4245" t="n"/>
      <c r="CH84" s="4192">
        <f>'Inl. wetlands'!D273</f>
        <v/>
      </c>
      <c r="CI84" s="4245" t="n"/>
      <c r="CJ84" s="4192">
        <f>'Inl. wetlands'!F273</f>
        <v/>
      </c>
      <c r="CK84" s="4245" t="n"/>
      <c r="CL84" s="2598" t="n"/>
      <c r="CM84" s="4192">
        <f>'Inl. wetlands'!H273</f>
        <v/>
      </c>
      <c r="CN84" s="4245" t="n"/>
      <c r="CO84" s="4192">
        <f>'Inl. wetlands'!J273</f>
        <v/>
      </c>
      <c r="CP84" s="4245" t="n"/>
      <c r="CQ84" s="2598" t="n"/>
      <c r="CT84" s="2567" t="n"/>
      <c r="CU84" s="2323">
        <f>K84</f>
        <v/>
      </c>
      <c r="CV84" s="2592">
        <f>N84</f>
        <v/>
      </c>
      <c r="CW84" s="2592">
        <f>P84</f>
        <v/>
      </c>
      <c r="CX84" s="2567" t="n"/>
      <c r="CY84" s="2567" t="n"/>
      <c r="CZ84" s="4141" t="inlineStr">
        <is>
          <t>Please select</t>
        </is>
      </c>
      <c r="DA84" s="2567" t="n"/>
      <c r="DB84" s="2133" t="n">
        <v>1</v>
      </c>
      <c r="DC84" s="4246" t="n">
        <v>1</v>
      </c>
      <c r="DD84" s="4207" t="n"/>
      <c r="DE84" s="2133" t="n">
        <v>1</v>
      </c>
      <c r="DF84" s="4246" t="n">
        <v>1</v>
      </c>
      <c r="DG84" s="2567" t="n"/>
      <c r="DH84" s="2592">
        <f>'Inl. wetlands'!O259</f>
        <v/>
      </c>
      <c r="DI84" s="2133" t="n"/>
      <c r="DJ84" s="2592">
        <f>'Inl. wetlands'!Q259</f>
        <v/>
      </c>
      <c r="DK84" s="2133" t="n"/>
      <c r="DL84" s="2592">
        <f>'Inl. wetlands'!S259</f>
        <v/>
      </c>
      <c r="DM84" s="2133" t="n"/>
      <c r="DN84" s="2592">
        <f>'Inl. wetlands'!U259</f>
        <v/>
      </c>
      <c r="DO84" s="2133" t="n"/>
      <c r="DP84" s="2567" t="n"/>
      <c r="DU84" s="2598" t="n"/>
      <c r="DV84" s="2598">
        <f>CE84</f>
        <v/>
      </c>
      <c r="DW84" s="2598" t="n"/>
      <c r="DX84" s="4728">
        <f>'Inl. wetlands'!$H300</f>
        <v/>
      </c>
      <c r="DY84" s="4729" t="n"/>
      <c r="DZ84" s="4191">
        <f>'Inl. wetlands'!$J300</f>
        <v/>
      </c>
      <c r="EA84" s="4729" t="n"/>
      <c r="EB84" s="4191">
        <f>'Inl. wetlands'!$L300</f>
        <v/>
      </c>
      <c r="EC84" s="4729" t="n"/>
      <c r="ED84" s="2598" t="n"/>
      <c r="EE84" s="4192">
        <f>'Inl. wetlands'!$N300</f>
        <v/>
      </c>
      <c r="EF84" s="4729" t="n"/>
      <c r="EG84" s="2598" t="n"/>
      <c r="EH84" s="2598" t="n"/>
    </row>
    <row r="85">
      <c r="B85" s="1838" t="n"/>
      <c r="C85" s="4234" t="n"/>
      <c r="D85" s="1838" t="n"/>
      <c r="E85" s="1838" t="n"/>
      <c r="F85" s="1961" t="n"/>
      <c r="G85" s="2133" t="inlineStr">
        <is>
          <t>NO</t>
        </is>
      </c>
      <c r="H85" s="1961" t="n"/>
      <c r="I85" s="2135" t="inlineStr">
        <is>
          <t>Please select</t>
        </is>
      </c>
      <c r="J85" s="1961" t="n"/>
      <c r="K85" s="2135" t="inlineStr">
        <is>
          <t>Please select</t>
        </is>
      </c>
      <c r="L85" s="1961" t="n"/>
      <c r="M85" s="1961">
        <f>IF((AND(K85=I85, K85&lt;&gt;"Please select")), list!$B$277, "")</f>
        <v/>
      </c>
      <c r="N85" s="2132" t="n">
        <v>0</v>
      </c>
      <c r="O85" s="2108" t="inlineStr">
        <is>
          <t>D</t>
        </is>
      </c>
      <c r="P85" s="2132" t="n">
        <v>0</v>
      </c>
      <c r="Q85" s="2108" t="inlineStr">
        <is>
          <t>D</t>
        </is>
      </c>
      <c r="R85" s="1961" t="n"/>
      <c r="S85" s="1961" t="n"/>
      <c r="T85" s="1961" t="n"/>
      <c r="U85" s="1838" t="n"/>
      <c r="V85" s="1838" t="n"/>
      <c r="W85" s="1838" t="n"/>
      <c r="X85" s="4230" t="inlineStr">
        <is>
          <t>Y/N</t>
        </is>
      </c>
      <c r="Y85" s="1838" t="n"/>
      <c r="Z85" s="1838" t="n"/>
      <c r="AA85" s="1838" t="n"/>
      <c r="AB85" s="1838" t="n"/>
      <c r="AC85" s="1838" t="n"/>
      <c r="AD85" s="1961" t="n"/>
      <c r="AE85" s="2111">
        <f>'Inl. wetlands'!AI229</f>
        <v/>
      </c>
      <c r="AF85" s="2111">
        <f>'Inl. wetlands'!AJ229</f>
        <v/>
      </c>
      <c r="AG85" s="1806">
        <f>AF85-AE85</f>
        <v/>
      </c>
      <c r="AH85" s="1838" t="n"/>
      <c r="AI85" s="1838" t="n"/>
      <c r="AS85" s="2598" t="n"/>
      <c r="AT85" s="2598">
        <f>I85</f>
        <v/>
      </c>
      <c r="AU85" s="2598" t="n"/>
      <c r="AV85" s="2598" t="n"/>
      <c r="AW85" s="4728">
        <f>'Inl. wetlands'!$N229</f>
        <v/>
      </c>
      <c r="AX85" s="4241" t="n"/>
      <c r="AY85" s="2598" t="n"/>
      <c r="AZ85" s="2598" t="n"/>
      <c r="BA85" s="2598" t="n"/>
      <c r="BB85" s="2598" t="n"/>
      <c r="BC85" s="2598" t="n"/>
      <c r="BD85" s="2598" t="n"/>
      <c r="BE85" s="2598" t="n"/>
      <c r="BF85" s="2598" t="n"/>
      <c r="BH85" s="4401" t="n">
        <v>1</v>
      </c>
      <c r="BI85" s="4402" t="n"/>
      <c r="BJ85" s="1997" t="n"/>
      <c r="CD85" s="2598" t="n"/>
      <c r="CE85" s="2598">
        <f>AT85</f>
        <v/>
      </c>
      <c r="CF85" s="4192">
        <f>'Inl. wetlands'!B274</f>
        <v/>
      </c>
      <c r="CG85" s="4245" t="n"/>
      <c r="CH85" s="4192">
        <f>'Inl. wetlands'!D274</f>
        <v/>
      </c>
      <c r="CI85" s="4245" t="n"/>
      <c r="CJ85" s="4192">
        <f>'Inl. wetlands'!F274</f>
        <v/>
      </c>
      <c r="CK85" s="4245" t="n"/>
      <c r="CL85" s="2598" t="n"/>
      <c r="CM85" s="4192">
        <f>'Inl. wetlands'!H274</f>
        <v/>
      </c>
      <c r="CN85" s="4245" t="n"/>
      <c r="CO85" s="4192">
        <f>'Inl. wetlands'!J274</f>
        <v/>
      </c>
      <c r="CP85" s="4245" t="n"/>
      <c r="CQ85" s="2598" t="n"/>
      <c r="CT85" s="2567" t="n"/>
      <c r="CU85" s="2323">
        <f>K85</f>
        <v/>
      </c>
      <c r="CV85" s="2592">
        <f>N85</f>
        <v/>
      </c>
      <c r="CW85" s="2592">
        <f>P85</f>
        <v/>
      </c>
      <c r="CX85" s="2567" t="n"/>
      <c r="CY85" s="2567" t="n"/>
      <c r="CZ85" s="4141" t="inlineStr">
        <is>
          <t>Please select</t>
        </is>
      </c>
      <c r="DA85" s="2567" t="n"/>
      <c r="DB85" s="2133" t="n">
        <v>1</v>
      </c>
      <c r="DC85" s="4246" t="n">
        <v>1</v>
      </c>
      <c r="DD85" s="4207" t="n"/>
      <c r="DE85" s="2133" t="n">
        <v>1</v>
      </c>
      <c r="DF85" s="4246" t="n">
        <v>1</v>
      </c>
      <c r="DG85" s="2567" t="n"/>
      <c r="DH85" s="2592">
        <f>'Inl. wetlands'!O260</f>
        <v/>
      </c>
      <c r="DI85" s="2133" t="n"/>
      <c r="DJ85" s="2592">
        <f>'Inl. wetlands'!Q260</f>
        <v/>
      </c>
      <c r="DK85" s="2133" t="n"/>
      <c r="DL85" s="2592">
        <f>'Inl. wetlands'!S260</f>
        <v/>
      </c>
      <c r="DM85" s="2133" t="n"/>
      <c r="DN85" s="2592">
        <f>'Inl. wetlands'!U260</f>
        <v/>
      </c>
      <c r="DO85" s="2133" t="n"/>
      <c r="DP85" s="2567" t="n"/>
      <c r="DU85" s="2598" t="n"/>
      <c r="DV85" s="2598">
        <f>CE85</f>
        <v/>
      </c>
      <c r="DW85" s="2598" t="n"/>
      <c r="DX85" s="4728">
        <f>'Inl. wetlands'!$H301</f>
        <v/>
      </c>
      <c r="DY85" s="4729" t="n"/>
      <c r="DZ85" s="4191">
        <f>'Inl. wetlands'!$J301</f>
        <v/>
      </c>
      <c r="EA85" s="4729" t="n"/>
      <c r="EB85" s="4191">
        <f>'Inl. wetlands'!$L301</f>
        <v/>
      </c>
      <c r="EC85" s="4729" t="n"/>
      <c r="ED85" s="2598" t="n"/>
      <c r="EE85" s="4192">
        <f>'Inl. wetlands'!$N301</f>
        <v/>
      </c>
      <c r="EF85" s="4729" t="n"/>
      <c r="EG85" s="2598" t="n"/>
      <c r="EH85" s="2598" t="n"/>
    </row>
    <row r="86">
      <c r="B86" s="1838" t="n"/>
      <c r="C86" s="1838" t="n"/>
      <c r="D86" s="1838" t="n"/>
      <c r="E86" s="1838" t="n"/>
      <c r="F86" s="1961" t="n"/>
      <c r="G86" s="1961" t="n"/>
      <c r="H86" s="1961" t="n"/>
      <c r="I86" s="4377">
        <f t="array" ref="I86">IF(OR(I80:I85="Degraded land",I80:I85="Other land (non-vegetated)"),"There are no EFs for water table management practices on degraded or other land. Please use tier 2 to account for GHG fluxes", "")</f>
        <v/>
      </c>
      <c r="J86" s="4376" t="n"/>
      <c r="K86" s="4308">
        <f t="array" ref="K86">IF(OR(K80:K85="Degraded land",K80:K85="Other land (non-vegetated)"),"please use tier 2 to account for peatland management on degraded land or other land", "")</f>
        <v/>
      </c>
      <c r="L86" s="1961" t="n"/>
      <c r="M86" s="1961" t="n"/>
      <c r="N86" s="1961" t="n"/>
      <c r="O86" s="1961" t="n"/>
      <c r="P86" s="1961" t="n"/>
      <c r="Q86" s="1961" t="n"/>
      <c r="R86" s="1961" t="n"/>
      <c r="S86" s="1961" t="n"/>
      <c r="T86" s="1961" t="n"/>
      <c r="U86" s="1961" t="n"/>
      <c r="V86" s="1961" t="n"/>
      <c r="W86" s="1961" t="n"/>
      <c r="X86" s="1961" t="n"/>
      <c r="Y86" s="4194" t="n"/>
      <c r="Z86" s="1961" t="n"/>
      <c r="AA86" s="1961" t="n"/>
      <c r="AB86" s="4308" t="n"/>
      <c r="AC86" s="1838" t="n"/>
      <c r="AD86" s="1961" t="n"/>
      <c r="AE86" s="1961" t="n"/>
      <c r="AF86" s="1961" t="n"/>
      <c r="AG86" s="1961" t="n"/>
      <c r="AH86" s="1838" t="n"/>
      <c r="AI86" s="1838" t="n"/>
      <c r="AS86" s="2598" t="n"/>
      <c r="AT86" s="2598" t="n"/>
      <c r="AU86" s="2598" t="n"/>
      <c r="AV86" s="2598" t="n"/>
      <c r="AW86" s="2598" t="n"/>
      <c r="AX86" s="2598" t="n"/>
      <c r="AY86" s="2598" t="n"/>
      <c r="AZ86" s="2598" t="n"/>
      <c r="BA86" s="2598" t="n"/>
      <c r="BB86" s="2598" t="n"/>
      <c r="BC86" s="2598" t="n"/>
      <c r="BD86" s="2598" t="n"/>
      <c r="BE86" s="2598" t="n"/>
      <c r="BF86" s="2598" t="n"/>
      <c r="BH86" s="1997" t="n"/>
      <c r="BI86" s="1997" t="n"/>
      <c r="BJ86" s="1997" t="n"/>
      <c r="CD86" s="2598" t="n"/>
      <c r="CE86" s="2598" t="n"/>
      <c r="CF86" s="2598" t="n"/>
      <c r="CG86" s="2598" t="n"/>
      <c r="CH86" s="2598" t="n"/>
      <c r="CI86" s="2598" t="n"/>
      <c r="CJ86" s="2598" t="n"/>
      <c r="CK86" s="2598" t="n"/>
      <c r="CL86" s="2598" t="n"/>
      <c r="CM86" s="2598" t="n"/>
      <c r="CN86" s="2598" t="n"/>
      <c r="CO86" s="2598" t="n"/>
      <c r="CP86" s="2598" t="n"/>
      <c r="CQ86" s="2598" t="n"/>
      <c r="CT86" s="2567" t="n"/>
      <c r="CU86" s="2323" t="n"/>
      <c r="CV86" s="2567" t="n"/>
      <c r="CW86" s="2567" t="n"/>
      <c r="CX86" s="2567" t="n"/>
      <c r="CY86" s="2567" t="n"/>
      <c r="CZ86" s="2567" t="n"/>
      <c r="DA86" s="2567" t="n"/>
      <c r="DB86" s="2567" t="n"/>
      <c r="DC86" s="4207" t="n"/>
      <c r="DD86" s="4207" t="n"/>
      <c r="DE86" s="2567" t="n"/>
      <c r="DF86" s="4207" t="n"/>
      <c r="DG86" s="2567" t="n"/>
      <c r="DH86" s="2592" t="n"/>
      <c r="DI86" s="2567" t="n"/>
      <c r="DJ86" s="2592" t="n"/>
      <c r="DK86" s="2567" t="n"/>
      <c r="DL86" s="2592" t="n"/>
      <c r="DM86" s="2567" t="n"/>
      <c r="DN86" s="2592" t="n"/>
      <c r="DO86" s="2567" t="n"/>
      <c r="DP86" s="2567" t="n"/>
      <c r="DU86" s="2598" t="n"/>
      <c r="DV86" s="2598" t="n"/>
      <c r="DW86" s="2598" t="n"/>
      <c r="DX86" s="4728" t="n"/>
      <c r="DY86" s="2598" t="n"/>
      <c r="DZ86" s="4191" t="n"/>
      <c r="EA86" s="2598" t="n"/>
      <c r="EB86" s="4191" t="n"/>
      <c r="EC86" s="2598" t="n"/>
      <c r="ED86" s="2598" t="n"/>
      <c r="EE86" s="4192" t="n"/>
      <c r="EF86" s="2598" t="n"/>
      <c r="EG86" s="2598" t="n"/>
      <c r="EH86" s="2598" t="n"/>
    </row>
    <row r="87" ht="15" customHeight="1">
      <c r="B87" s="1961" t="n"/>
      <c r="C87" s="4178" t="n"/>
      <c r="D87" s="1961" t="n"/>
      <c r="E87" s="1961" t="n"/>
      <c r="F87" s="1961" t="n"/>
      <c r="G87" s="1961" t="n"/>
      <c r="H87" s="1961" t="n"/>
      <c r="I87" s="1961" t="n"/>
      <c r="J87" s="1961" t="n"/>
      <c r="K87" s="1834">
        <f>K54</f>
        <v/>
      </c>
      <c r="L87" s="1961" t="n"/>
      <c r="M87" s="1961" t="n"/>
      <c r="N87" s="1961" t="n"/>
      <c r="O87" s="1961" t="n"/>
      <c r="P87" s="1961" t="n"/>
      <c r="Q87" s="1961" t="n"/>
      <c r="R87" s="1961" t="n"/>
      <c r="S87" s="1961" t="n"/>
      <c r="T87" s="1961" t="n"/>
      <c r="U87" s="1961" t="n"/>
      <c r="V87" s="1961" t="n"/>
      <c r="W87" s="1961" t="n"/>
      <c r="X87" s="1961" t="n"/>
      <c r="Y87" s="1961" t="n"/>
      <c r="Z87" s="4568">
        <f>W76</f>
        <v/>
      </c>
      <c r="AC87" s="1838" t="n"/>
      <c r="AD87" s="1961" t="n"/>
      <c r="AE87" s="1961" t="n"/>
      <c r="AF87" s="1961" t="n"/>
      <c r="AG87" s="1961" t="n"/>
      <c r="AH87" s="1838" t="n"/>
      <c r="AI87" s="1838" t="n"/>
      <c r="AS87" s="2598" t="n"/>
      <c r="AT87" s="2598" t="n"/>
      <c r="AU87" s="2598" t="n"/>
      <c r="AV87" s="2598" t="n"/>
      <c r="AW87" s="2598" t="n"/>
      <c r="AX87" s="2598" t="n"/>
      <c r="AY87" s="2598" t="n"/>
      <c r="AZ87" s="2598" t="n"/>
      <c r="BA87" s="2598" t="n"/>
      <c r="BB87" s="2598" t="n"/>
      <c r="BC87" s="2598" t="n"/>
      <c r="BD87" s="2598" t="n"/>
      <c r="BE87" s="2598" t="n"/>
      <c r="BF87" s="2598" t="n"/>
      <c r="BH87" s="4548" t="inlineStr">
        <is>
          <t>Use this part only if you want to refine yearly GHG fluxes</t>
        </is>
      </c>
      <c r="CD87" s="4201">
        <f>CD53</f>
        <v/>
      </c>
      <c r="CE87" s="2598" t="n"/>
      <c r="CF87" s="2598" t="n"/>
      <c r="CG87" s="2598" t="n"/>
      <c r="CH87" s="2598" t="n"/>
      <c r="CI87" s="2598" t="n"/>
      <c r="CJ87" s="2598" t="n"/>
      <c r="CK87" s="4241" t="inlineStr">
        <is>
          <t>Nutrient poor</t>
        </is>
      </c>
      <c r="CL87" s="4241" t="n"/>
      <c r="CM87" s="4241" t="n"/>
      <c r="CN87" s="2598" t="n"/>
      <c r="CO87" s="2598" t="n"/>
      <c r="CP87" s="2598" t="n"/>
      <c r="CQ87" s="2598" t="n"/>
      <c r="CT87" s="2567" t="n"/>
      <c r="CU87" s="2598" t="n"/>
      <c r="CV87" s="2598" t="n"/>
      <c r="CW87" s="2598" t="n"/>
      <c r="CX87" s="2598" t="n"/>
      <c r="CY87" s="2598" t="n"/>
      <c r="CZ87" s="2598" t="n"/>
      <c r="DA87" s="2598" t="n"/>
      <c r="DB87" s="2567" t="n"/>
      <c r="DC87" s="2567" t="n"/>
      <c r="DD87" s="2567" t="n"/>
      <c r="DE87" s="2567" t="n"/>
      <c r="DF87" s="2567" t="n"/>
      <c r="DG87" s="2567" t="n"/>
      <c r="DH87" s="2567" t="n"/>
      <c r="DI87" s="2567" t="n"/>
      <c r="DJ87" s="2567" t="n"/>
      <c r="DK87" s="2567" t="n"/>
      <c r="DL87" s="2567" t="n"/>
      <c r="DM87" s="2567" t="n"/>
      <c r="DN87" s="2567" t="n"/>
      <c r="DO87" s="2567" t="n"/>
      <c r="DP87" s="2567" t="n"/>
      <c r="DU87" s="2598" t="n"/>
      <c r="DV87" s="2598" t="n"/>
      <c r="DW87" s="2598" t="n"/>
      <c r="DX87" s="2598" t="n"/>
      <c r="DY87" s="2598" t="n"/>
      <c r="DZ87" s="2598" t="n"/>
      <c r="EA87" s="2598" t="n"/>
      <c r="EB87" s="2598" t="n"/>
      <c r="EC87" s="2598" t="n"/>
      <c r="ED87" s="2598" t="n"/>
      <c r="EE87" s="2598" t="n"/>
      <c r="EF87" s="4197">
        <f>CK87</f>
        <v/>
      </c>
      <c r="EG87" s="4181" t="inlineStr">
        <is>
          <t>soil</t>
        </is>
      </c>
      <c r="EH87" s="2598" t="n"/>
    </row>
    <row r="88">
      <c r="B88" s="1961" t="n"/>
      <c r="C88" s="4178" t="n"/>
      <c r="D88" s="1961" t="n"/>
      <c r="E88" s="1961" t="n"/>
      <c r="F88" s="1961" t="n"/>
      <c r="G88" s="1961" t="n"/>
      <c r="H88" s="1961" t="n"/>
      <c r="I88" s="1961" t="n"/>
      <c r="J88" s="1961" t="n"/>
      <c r="K88" s="1834">
        <f>K55</f>
        <v/>
      </c>
      <c r="L88" s="1961" t="n"/>
      <c r="M88" s="4179">
        <f>M55</f>
        <v/>
      </c>
      <c r="N88" s="4179" t="n"/>
      <c r="O88" s="4179" t="n"/>
      <c r="P88" s="4179" t="n"/>
      <c r="Q88" s="4179" t="n"/>
      <c r="R88" s="1838" t="n"/>
      <c r="S88" s="4179">
        <f>S55</f>
        <v/>
      </c>
      <c r="T88" s="4179" t="n"/>
      <c r="U88" s="4179" t="n"/>
      <c r="V88" s="1961" t="n"/>
      <c r="W88" s="4390">
        <f>W55</f>
        <v/>
      </c>
      <c r="X88" s="4390" t="n"/>
      <c r="Y88" s="4390" t="n"/>
      <c r="AC88" s="1838" t="n"/>
      <c r="AD88" s="1838" t="n"/>
      <c r="AE88" s="4359" t="n"/>
      <c r="AF88" s="4359" t="n"/>
      <c r="AG88" s="1780" t="n"/>
      <c r="AH88" s="1838" t="n"/>
      <c r="AI88" s="1838" t="n"/>
      <c r="AS88" s="2598" t="n"/>
      <c r="AT88" s="2598" t="n"/>
      <c r="AU88" s="2598" t="n"/>
      <c r="AV88" s="2598" t="n"/>
      <c r="AW88" s="2598" t="n"/>
      <c r="AX88" s="2598" t="n"/>
      <c r="AY88" s="2598" t="n"/>
      <c r="AZ88" s="2598" t="n"/>
      <c r="BA88" s="2598" t="n"/>
      <c r="BB88" s="2598" t="n"/>
      <c r="BC88" s="2598" t="n"/>
      <c r="BD88" s="2598" t="n"/>
      <c r="BE88" s="2598" t="n"/>
      <c r="BF88" s="2598" t="n"/>
      <c r="CD88" s="4201" t="n"/>
      <c r="CE88" s="2598" t="n"/>
      <c r="CF88" s="4176">
        <f>CF75</f>
        <v/>
      </c>
      <c r="CG88" s="4176" t="n"/>
      <c r="CH88" s="4176" t="n"/>
      <c r="CI88" s="4176" t="n"/>
      <c r="CJ88" s="4176" t="n"/>
      <c r="CK88" s="4176" t="n"/>
      <c r="CL88" s="4181" t="n"/>
      <c r="CM88" s="4176">
        <f>CM75</f>
        <v/>
      </c>
      <c r="CN88" s="4176" t="n"/>
      <c r="CO88" s="4176" t="n"/>
      <c r="CP88" s="4176" t="n"/>
      <c r="CQ88" s="2598" t="n"/>
      <c r="CT88" s="2567" t="n"/>
      <c r="CU88" s="2598" t="n"/>
      <c r="CV88" s="2598" t="n"/>
      <c r="CW88" s="2598" t="n"/>
      <c r="CX88" s="2598" t="n"/>
      <c r="CY88" s="2598" t="n"/>
      <c r="CZ88" s="2598" t="n"/>
      <c r="DA88" s="2598" t="n"/>
      <c r="DB88" s="2567" t="n"/>
      <c r="DC88" s="2567" t="n"/>
      <c r="DD88" s="2567" t="n"/>
      <c r="DE88" s="2567" t="n"/>
      <c r="DF88" s="2567" t="n"/>
      <c r="DG88" s="2567" t="n"/>
      <c r="DH88" s="2567" t="n"/>
      <c r="DI88" s="2567" t="n"/>
      <c r="DJ88" s="2567" t="n"/>
      <c r="DK88" s="2567" t="n"/>
      <c r="DL88" s="2567" t="n"/>
      <c r="DM88" s="2567" t="n"/>
      <c r="DN88" s="2567" t="n"/>
      <c r="DO88" s="2567" t="n"/>
      <c r="DP88" s="2567" t="n"/>
      <c r="DU88" s="2598" t="n"/>
      <c r="DV88" s="4181">
        <f>DV56</f>
        <v/>
      </c>
      <c r="DW88" s="2598" t="n"/>
      <c r="DX88" s="4176" t="inlineStr">
        <is>
          <t>On site emissions factor</t>
        </is>
      </c>
      <c r="DY88" s="4177" t="n"/>
      <c r="DZ88" s="4177" t="n"/>
      <c r="EA88" s="4177" t="n"/>
      <c r="EB88" s="4177" t="n"/>
      <c r="EC88" s="4177" t="n"/>
      <c r="ED88" s="2598" t="n"/>
      <c r="EE88" s="4176" t="inlineStr">
        <is>
          <t>Off-site emission factor</t>
        </is>
      </c>
      <c r="EF88" s="4177" t="n"/>
      <c r="EG88" s="4177" t="n"/>
      <c r="EH88" s="2598" t="n"/>
    </row>
    <row r="89">
      <c r="B89" s="1961" t="n"/>
      <c r="C89" s="4178">
        <f>I78</f>
        <v/>
      </c>
      <c r="D89" s="1961" t="n"/>
      <c r="E89" s="4178">
        <f>K78</f>
        <v/>
      </c>
      <c r="F89" s="1961" t="n"/>
      <c r="G89" s="1961" t="n"/>
      <c r="H89" s="1961" t="n"/>
      <c r="I89" s="1961" t="n"/>
      <c r="J89" s="1961" t="n"/>
      <c r="K89" s="1961" t="n"/>
      <c r="L89" s="1961" t="n"/>
      <c r="M89" s="1961" t="n"/>
      <c r="N89" s="1961" t="n"/>
      <c r="O89" s="1961" t="n"/>
      <c r="P89" s="1961" t="n"/>
      <c r="Q89" s="1961" t="n"/>
      <c r="R89" s="1838" t="n"/>
      <c r="S89" s="1838" t="n"/>
      <c r="T89" s="1838" t="n"/>
      <c r="U89" s="1838" t="n"/>
      <c r="V89" s="1961" t="n"/>
      <c r="W89" s="1961" t="n"/>
      <c r="X89" s="1961" t="n"/>
      <c r="Y89" s="1961" t="n"/>
      <c r="Z89" s="1961" t="n"/>
      <c r="AA89" s="4198">
        <f>AA56</f>
        <v/>
      </c>
      <c r="AB89" s="4358" t="n"/>
      <c r="AC89" s="4358" t="n"/>
      <c r="AD89" s="1838" t="n"/>
      <c r="AE89" s="4359" t="n"/>
      <c r="AF89" s="4359" t="n"/>
      <c r="AG89" s="1780" t="n"/>
      <c r="AH89" s="1838" t="n"/>
      <c r="AI89" s="1838" t="n"/>
      <c r="AS89" s="2598" t="n"/>
      <c r="AT89" s="2598" t="n"/>
      <c r="AU89" s="2598" t="n"/>
      <c r="AV89" s="2598" t="n"/>
      <c r="AW89" s="4182">
        <f>Languages!B67</f>
        <v/>
      </c>
      <c r="AX89" s="4181" t="n"/>
      <c r="AY89" s="2598" t="n"/>
      <c r="AZ89" s="2598" t="n"/>
      <c r="BA89" s="2598" t="n"/>
      <c r="BB89" s="2598" t="n"/>
      <c r="BC89" s="2598" t="n"/>
      <c r="BD89" s="2598" t="n"/>
      <c r="BE89" s="2598" t="n"/>
      <c r="BF89" s="2598" t="n"/>
      <c r="CD89" s="4201" t="n"/>
      <c r="CE89" s="2598" t="n"/>
      <c r="CF89" s="2567">
        <f>CF76</f>
        <v/>
      </c>
      <c r="CG89" s="2567" t="n"/>
      <c r="CH89" s="2567">
        <f>CH76</f>
        <v/>
      </c>
      <c r="CI89" s="2567" t="n"/>
      <c r="CJ89" s="2567">
        <f>CJ76</f>
        <v/>
      </c>
      <c r="CK89" s="2567" t="n"/>
      <c r="CL89" s="2567" t="n"/>
      <c r="CM89" s="2567">
        <f>CM76</f>
        <v/>
      </c>
      <c r="CN89" s="2567" t="n"/>
      <c r="CO89" s="2567">
        <f>CO76</f>
        <v/>
      </c>
      <c r="CP89" s="2567" t="n"/>
      <c r="CQ89" s="2567" t="n"/>
      <c r="CT89" s="2567" t="n"/>
      <c r="CU89" s="2598" t="n"/>
      <c r="CV89" s="2598" t="n"/>
      <c r="CW89" s="2598" t="n"/>
      <c r="CX89" s="2598" t="n"/>
      <c r="CY89" s="2598" t="n"/>
      <c r="CZ89" s="2598" t="n"/>
      <c r="DA89" s="2598" t="n"/>
      <c r="DB89" s="2567" t="n"/>
      <c r="DC89" s="2567" t="n"/>
      <c r="DD89" s="2567" t="n"/>
      <c r="DE89" s="2567" t="n"/>
      <c r="DF89" s="2567" t="n"/>
      <c r="DG89" s="2567" t="n"/>
      <c r="DH89" s="2567" t="n"/>
      <c r="DI89" s="2567" t="n"/>
      <c r="DJ89" s="2567" t="n"/>
      <c r="DK89" s="2567" t="n"/>
      <c r="DL89" s="2567" t="n"/>
      <c r="DM89" s="2567" t="n"/>
      <c r="DN89" s="2567" t="n"/>
      <c r="DO89" s="2567" t="n"/>
      <c r="DP89" s="2567" t="n"/>
      <c r="DU89" s="2598" t="n"/>
      <c r="DV89" s="2598" t="n"/>
      <c r="DW89" s="2598" t="n"/>
      <c r="DX89" s="2598" t="inlineStr">
        <is>
          <t>CO2 on site</t>
        </is>
      </c>
      <c r="DY89" s="2598" t="n"/>
      <c r="DZ89" s="2598" t="inlineStr">
        <is>
          <t>CH4 on-site</t>
        </is>
      </c>
      <c r="EA89" s="2598" t="n"/>
      <c r="EB89" s="2598" t="inlineStr">
        <is>
          <t>N2O</t>
        </is>
      </c>
      <c r="EC89" s="2598" t="n"/>
      <c r="ED89" s="2598" t="n"/>
      <c r="EE89" s="2598" t="inlineStr">
        <is>
          <t>DOC off-site</t>
        </is>
      </c>
      <c r="EF89" s="2598" t="n"/>
      <c r="EG89" s="2598" t="n"/>
      <c r="EH89" s="2598" t="n"/>
    </row>
    <row r="90">
      <c r="B90" s="1961" t="n"/>
      <c r="C90" s="4178" t="n"/>
      <c r="D90" s="1961" t="n"/>
      <c r="E90" s="1961" t="n"/>
      <c r="F90" s="1961" t="n"/>
      <c r="G90" s="1961" t="n"/>
      <c r="H90" s="1961" t="n"/>
      <c r="I90" s="1961" t="n"/>
      <c r="J90" s="1961" t="n"/>
      <c r="K90" s="1961" t="n"/>
      <c r="L90" s="1961" t="n"/>
      <c r="M90" s="1838">
        <f>M57</f>
        <v/>
      </c>
      <c r="N90" s="1838">
        <f>N57</f>
        <v/>
      </c>
      <c r="O90" s="1838">
        <f>O57</f>
        <v/>
      </c>
      <c r="P90" s="1838">
        <f>P57</f>
        <v/>
      </c>
      <c r="Q90" s="1838">
        <f>Q57</f>
        <v/>
      </c>
      <c r="R90" s="1838">
        <f>R58</f>
        <v/>
      </c>
      <c r="S90" s="1838">
        <f>M90</f>
        <v/>
      </c>
      <c r="T90" s="1838">
        <f>N90</f>
        <v/>
      </c>
      <c r="U90" s="1838">
        <f>P90</f>
        <v/>
      </c>
      <c r="V90" s="1961" t="n"/>
      <c r="W90" s="1838">
        <f>S90</f>
        <v/>
      </c>
      <c r="X90" s="1838">
        <f>X57</f>
        <v/>
      </c>
      <c r="Y90" s="1838">
        <f>Y57</f>
        <v/>
      </c>
      <c r="Z90" s="1961" t="n"/>
      <c r="AA90" s="1838">
        <f>AA57</f>
        <v/>
      </c>
      <c r="AB90" s="4358" t="n"/>
      <c r="AC90" s="4358" t="n"/>
      <c r="AD90" s="1838" t="n"/>
      <c r="AE90" s="1838">
        <f>AE79</f>
        <v/>
      </c>
      <c r="AF90" s="1838">
        <f>AF79</f>
        <v/>
      </c>
      <c r="AG90" s="1834">
        <f>AG79</f>
        <v/>
      </c>
      <c r="AH90" s="1838" t="n"/>
      <c r="AI90" s="1838" t="n"/>
      <c r="AS90" s="2598" t="n"/>
      <c r="AT90" s="4181">
        <f>K78</f>
        <v/>
      </c>
      <c r="AU90" s="2598" t="n"/>
      <c r="AV90" s="2598" t="n"/>
      <c r="AW90" s="4185" t="inlineStr">
        <is>
          <t>tC/ha</t>
        </is>
      </c>
      <c r="AX90" s="2598" t="n"/>
      <c r="AY90" s="2598" t="n"/>
      <c r="AZ90" s="2598" t="n"/>
      <c r="BA90" s="2598" t="n"/>
      <c r="BB90" s="2598" t="n"/>
      <c r="BC90" s="2598" t="n"/>
      <c r="BD90" s="2598" t="n"/>
      <c r="BE90" s="2598" t="n"/>
      <c r="BF90" s="2598" t="n"/>
      <c r="BH90" s="1997" t="n"/>
      <c r="BI90" s="1997" t="n"/>
      <c r="BJ90" s="1997" t="n"/>
      <c r="CD90" s="4201" t="n"/>
      <c r="CE90" s="4181">
        <f>AT90</f>
        <v/>
      </c>
      <c r="CF90" s="2567">
        <f>CF77</f>
        <v/>
      </c>
      <c r="CG90" s="2567" t="n"/>
      <c r="CH90" s="2567">
        <f>CH77</f>
        <v/>
      </c>
      <c r="CI90" s="2567" t="n"/>
      <c r="CJ90" s="2567">
        <f>CJ77</f>
        <v/>
      </c>
      <c r="CK90" s="2567" t="n"/>
      <c r="CL90" s="2567" t="n"/>
      <c r="CM90" s="2567">
        <f>CM77</f>
        <v/>
      </c>
      <c r="CN90" s="2567" t="n"/>
      <c r="CO90" s="2567">
        <f>CO77</f>
        <v/>
      </c>
      <c r="CP90" s="2567" t="n"/>
      <c r="CQ90" s="2567" t="n"/>
      <c r="CT90" s="2567" t="n"/>
      <c r="CU90" s="2598" t="n"/>
      <c r="CV90" s="2598" t="n"/>
      <c r="CW90" s="2598" t="n"/>
      <c r="CX90" s="2598" t="n"/>
      <c r="CY90" s="2598" t="n"/>
      <c r="CZ90" s="2598" t="n"/>
      <c r="DA90" s="2598" t="n"/>
      <c r="DB90" s="2567" t="n"/>
      <c r="DC90" s="2567" t="n"/>
      <c r="DD90" s="2567" t="n"/>
      <c r="DE90" s="2567" t="n"/>
      <c r="DF90" s="2567" t="n"/>
      <c r="DG90" s="2567" t="n"/>
      <c r="DH90" s="2567" t="n"/>
      <c r="DI90" s="2567" t="n"/>
      <c r="DJ90" s="2567" t="n"/>
      <c r="DK90" s="2567" t="n"/>
      <c r="DL90" s="2567" t="n"/>
      <c r="DM90" s="2567" t="n"/>
      <c r="DN90" s="2567" t="n"/>
      <c r="DO90" s="2567" t="n"/>
      <c r="DP90" s="2567" t="n"/>
      <c r="DU90" s="2598" t="n"/>
      <c r="DV90" s="2598" t="n"/>
      <c r="DW90" s="2598" t="n"/>
      <c r="DX90" s="2598" t="inlineStr">
        <is>
          <t>tC/ha/yr</t>
        </is>
      </c>
      <c r="DY90" s="2598" t="n"/>
      <c r="DZ90" s="2598" t="inlineStr">
        <is>
          <t>kg CH4-C/ha/yr</t>
        </is>
      </c>
      <c r="EA90" s="2598" t="n"/>
      <c r="EB90" s="2598" t="inlineStr">
        <is>
          <t>kg N2O-N/ha/yr</t>
        </is>
      </c>
      <c r="EC90" s="2598" t="n"/>
      <c r="ED90" s="2598" t="n"/>
      <c r="EE90" s="2598" t="inlineStr">
        <is>
          <t>tC/ha/yr</t>
        </is>
      </c>
      <c r="EF90" s="2598" t="n"/>
      <c r="EG90" s="2598" t="n"/>
      <c r="EH90" s="2598" t="n"/>
    </row>
    <row r="91">
      <c r="B91" s="1961" t="n"/>
      <c r="C91" s="1838">
        <f>I80</f>
        <v/>
      </c>
      <c r="D91" s="1961" t="n"/>
      <c r="E91" s="1838">
        <f>K80</f>
        <v/>
      </c>
      <c r="F91" s="1961" t="n"/>
      <c r="G91" s="1961" t="n"/>
      <c r="H91" s="1961" t="n"/>
      <c r="I91" s="1961" t="n"/>
      <c r="J91" s="1961" t="n"/>
      <c r="K91" s="1841">
        <f>MAX(N80,P80)</f>
        <v/>
      </c>
      <c r="L91" s="1961" t="n"/>
      <c r="M91" s="4228" t="n">
        <v>0</v>
      </c>
      <c r="N91" s="4229" t="n">
        <v>0</v>
      </c>
      <c r="O91" s="4134" t="inlineStr">
        <is>
          <t>D</t>
        </is>
      </c>
      <c r="P91" s="4229" t="n">
        <v>0</v>
      </c>
      <c r="Q91" s="4134" t="inlineStr">
        <is>
          <t>D</t>
        </is>
      </c>
      <c r="R91" s="1838" t="n"/>
      <c r="S91" s="2111">
        <f>$K91-M91</f>
        <v/>
      </c>
      <c r="T91" s="2111">
        <f>$K91-N91</f>
        <v/>
      </c>
      <c r="U91" s="2111">
        <f>$K91-P91</f>
        <v/>
      </c>
      <c r="V91" s="1961" t="n"/>
      <c r="W91" s="4231" t="n">
        <v>0</v>
      </c>
      <c r="X91" s="4231" t="n">
        <v>0</v>
      </c>
      <c r="Y91" s="4231" t="n">
        <v>0</v>
      </c>
      <c r="Z91" s="1961" t="n"/>
      <c r="AA91" s="2133" t="inlineStr">
        <is>
          <t>Y/N</t>
        </is>
      </c>
      <c r="AB91" s="4358" t="n"/>
      <c r="AC91" s="4358" t="n"/>
      <c r="AD91" s="1838" t="n"/>
      <c r="AE91" s="2111">
        <f>+'Inl. wetlands'!AI255+'Inl. wetlands'!AI277+'Inl. wetlands'!AI304</f>
        <v/>
      </c>
      <c r="AF91" s="2111">
        <f>+'Inl. wetlands'!AJ255+'Inl. wetlands'!AJ277+'Inl. wetlands'!AJ304</f>
        <v/>
      </c>
      <c r="AG91" s="1806">
        <f>AF91-AE91</f>
        <v/>
      </c>
      <c r="AH91" s="1838" t="n"/>
      <c r="AI91" s="1838" t="n"/>
      <c r="AS91" s="2598" t="n"/>
      <c r="AT91" s="2598" t="n"/>
      <c r="AU91" s="2598" t="n"/>
      <c r="AV91" s="2598" t="n"/>
      <c r="AW91" s="2567" t="inlineStr">
        <is>
          <t xml:space="preserve">Default </t>
        </is>
      </c>
      <c r="AX91" s="2567" t="inlineStr">
        <is>
          <t>Tier 2</t>
        </is>
      </c>
      <c r="AY91" s="2598" t="n"/>
      <c r="AZ91" s="2598" t="n"/>
      <c r="BA91" s="2598" t="n"/>
      <c r="BB91" s="2598" t="n"/>
      <c r="BC91" s="2598" t="n"/>
      <c r="BD91" s="2598" t="n"/>
      <c r="BE91" s="2598" t="n"/>
      <c r="BF91" s="2598" t="n"/>
      <c r="BH91" s="1997" t="n"/>
      <c r="BI91" s="1997" t="n"/>
      <c r="BJ91" s="1997" t="n"/>
      <c r="CD91" s="4201" t="n"/>
      <c r="CE91" s="2598" t="n"/>
      <c r="CF91" s="2567">
        <f>CF78</f>
        <v/>
      </c>
      <c r="CG91" s="2567">
        <f>CG78</f>
        <v/>
      </c>
      <c r="CH91" s="2567">
        <f>CH78</f>
        <v/>
      </c>
      <c r="CI91" s="2567">
        <f>CI78</f>
        <v/>
      </c>
      <c r="CJ91" s="2567">
        <f>CJ78</f>
        <v/>
      </c>
      <c r="CK91" s="2567">
        <f>CK78</f>
        <v/>
      </c>
      <c r="CL91" s="2567" t="n"/>
      <c r="CM91" s="2567">
        <f>CM78</f>
        <v/>
      </c>
      <c r="CN91" s="2567">
        <f>CN78</f>
        <v/>
      </c>
      <c r="CO91" s="2567">
        <f>CO78</f>
        <v/>
      </c>
      <c r="CP91" s="2567">
        <f>CP78</f>
        <v/>
      </c>
      <c r="CQ91" s="2567" t="n"/>
      <c r="CT91" s="2567" t="n"/>
      <c r="CU91" s="2598" t="n"/>
      <c r="CV91" s="2598" t="n"/>
      <c r="CW91" s="2598" t="n"/>
      <c r="CX91" s="2598" t="n"/>
      <c r="CY91" s="2598" t="n"/>
      <c r="CZ91" s="2598" t="n"/>
      <c r="DA91" s="2598" t="n"/>
      <c r="DB91" s="2567" t="n"/>
      <c r="DC91" s="2567" t="n"/>
      <c r="DD91" s="2567" t="n"/>
      <c r="DE91" s="2567" t="n"/>
      <c r="DF91" s="2567" t="n"/>
      <c r="DG91" s="2567" t="n"/>
      <c r="DH91" s="2567" t="n"/>
      <c r="DI91" s="2567" t="n"/>
      <c r="DJ91" s="2567" t="n"/>
      <c r="DK91" s="2567" t="n"/>
      <c r="DL91" s="2567" t="n"/>
      <c r="DM91" s="2567" t="n"/>
      <c r="DN91" s="2567" t="n"/>
      <c r="DO91" s="2567" t="n"/>
      <c r="DP91" s="2567" t="n"/>
      <c r="DU91" s="2598" t="n"/>
      <c r="DV91" s="2598">
        <f>K80</f>
        <v/>
      </c>
      <c r="DW91" s="2598" t="n"/>
      <c r="DX91" s="4728">
        <f>'Inl. wetlands'!$H307</f>
        <v/>
      </c>
      <c r="DY91" s="4729" t="n"/>
      <c r="DZ91" s="4191">
        <f>'Inl. wetlands'!$J307</f>
        <v/>
      </c>
      <c r="EA91" s="4729" t="n"/>
      <c r="EB91" s="4191">
        <f>'Inl. wetlands'!$L307</f>
        <v/>
      </c>
      <c r="EC91" s="4729" t="n"/>
      <c r="ED91" s="2598" t="n"/>
      <c r="EE91" s="4192">
        <f>'Inl. wetlands'!$N307</f>
        <v/>
      </c>
      <c r="EF91" s="4729" t="n"/>
      <c r="EG91" s="2598" t="n"/>
      <c r="EH91" s="2598" t="n"/>
    </row>
    <row r="92">
      <c r="B92" s="1961" t="n"/>
      <c r="C92" s="1838">
        <f>I81</f>
        <v/>
      </c>
      <c r="D92" s="1961" t="n"/>
      <c r="E92" s="1838">
        <f>K81</f>
        <v/>
      </c>
      <c r="F92" s="1961" t="n"/>
      <c r="G92" s="1961" t="n"/>
      <c r="H92" s="1961" t="n"/>
      <c r="I92" s="1961" t="n"/>
      <c r="J92" s="1961" t="n"/>
      <c r="K92" s="1841">
        <f>MAX(N81,P81)</f>
        <v/>
      </c>
      <c r="L92" s="1961" t="n"/>
      <c r="M92" s="4228" t="n">
        <v>0</v>
      </c>
      <c r="N92" s="4229" t="n">
        <v>0</v>
      </c>
      <c r="O92" s="4134" t="inlineStr">
        <is>
          <t>D</t>
        </is>
      </c>
      <c r="P92" s="4229" t="n">
        <v>0</v>
      </c>
      <c r="Q92" s="4134" t="inlineStr">
        <is>
          <t>D</t>
        </is>
      </c>
      <c r="R92" s="1838" t="n"/>
      <c r="S92" s="2111">
        <f>$K92-M92</f>
        <v/>
      </c>
      <c r="T92" s="2111">
        <f>$K92-N92</f>
        <v/>
      </c>
      <c r="U92" s="2111">
        <f>$K92-P92</f>
        <v/>
      </c>
      <c r="V92" s="1961" t="n"/>
      <c r="W92" s="4231" t="n">
        <v>0</v>
      </c>
      <c r="X92" s="4231" t="n">
        <v>0</v>
      </c>
      <c r="Y92" s="4231" t="n">
        <v>0</v>
      </c>
      <c r="Z92" s="1961" t="n"/>
      <c r="AA92" s="2133" t="inlineStr">
        <is>
          <t>Y/N</t>
        </is>
      </c>
      <c r="AB92" s="4358" t="n"/>
      <c r="AC92" s="4358" t="n"/>
      <c r="AD92" s="1838" t="n"/>
      <c r="AE92" s="2111">
        <f>+'Inl. wetlands'!AI256+'Inl. wetlands'!AI278+'Inl. wetlands'!AI305</f>
        <v/>
      </c>
      <c r="AF92" s="2111">
        <f>+'Inl. wetlands'!AJ256+'Inl. wetlands'!AJ278+'Inl. wetlands'!AJ305</f>
        <v/>
      </c>
      <c r="AG92" s="1806">
        <f>AF92-AE92</f>
        <v/>
      </c>
      <c r="AH92" s="1838" t="n"/>
      <c r="AI92" s="1838" t="n"/>
      <c r="AS92" s="2598" t="n"/>
      <c r="AT92" s="2598">
        <f>K80</f>
        <v/>
      </c>
      <c r="AU92" s="2598" t="n"/>
      <c r="AV92" s="2598" t="n"/>
      <c r="AW92" s="4728">
        <f>'Inl. wetlands'!O224</f>
        <v/>
      </c>
      <c r="AX92" s="4241" t="n"/>
      <c r="AY92" s="2598" t="n"/>
      <c r="AZ92" s="2598" t="n"/>
      <c r="BA92" s="2598" t="n"/>
      <c r="BB92" s="2598" t="n"/>
      <c r="BC92" s="2598" t="n"/>
      <c r="BD92" s="2598" t="n"/>
      <c r="BE92" s="2598" t="n"/>
      <c r="BF92" s="2598" t="n"/>
      <c r="BH92" s="1997" t="n"/>
      <c r="BI92" s="1997" t="n"/>
      <c r="BJ92" s="1997" t="n"/>
      <c r="CD92" s="4201" t="n"/>
      <c r="CE92" s="2598" t="n"/>
      <c r="CF92" s="2598" t="n"/>
      <c r="CG92" s="2598" t="n"/>
      <c r="CH92" s="2598" t="n"/>
      <c r="CI92" s="2598" t="n"/>
      <c r="CJ92" s="2598" t="n"/>
      <c r="CK92" s="2598" t="n"/>
      <c r="CL92" s="2598" t="n"/>
      <c r="CM92" s="2598" t="n"/>
      <c r="CN92" s="4192" t="n"/>
      <c r="CO92" s="2598" t="n"/>
      <c r="CP92" s="2598" t="n"/>
      <c r="CQ92" s="2598" t="n"/>
      <c r="CT92" s="2567" t="n"/>
      <c r="CU92" s="2598" t="n"/>
      <c r="CV92" s="2598" t="n"/>
      <c r="CW92" s="2598" t="n"/>
      <c r="CX92" s="2598" t="n"/>
      <c r="CY92" s="2598" t="n"/>
      <c r="CZ92" s="2598" t="n"/>
      <c r="DA92" s="2598" t="n"/>
      <c r="DB92" s="2567" t="n"/>
      <c r="DC92" s="2567" t="n"/>
      <c r="DD92" s="2567" t="n"/>
      <c r="DE92" s="2567" t="n"/>
      <c r="DF92" s="2567" t="n"/>
      <c r="DG92" s="2567" t="n"/>
      <c r="DH92" s="2567" t="n"/>
      <c r="DI92" s="2567" t="n"/>
      <c r="DJ92" s="2567" t="n"/>
      <c r="DK92" s="2567" t="n"/>
      <c r="DL92" s="2567" t="n"/>
      <c r="DM92" s="2567" t="n"/>
      <c r="DN92" s="2567" t="n"/>
      <c r="DO92" s="2567" t="n"/>
      <c r="DP92" s="2567" t="n"/>
      <c r="DU92" s="2598" t="n"/>
      <c r="DV92" s="2598">
        <f>K81</f>
        <v/>
      </c>
      <c r="DW92" s="2598" t="n"/>
      <c r="DX92" s="4728">
        <f>'Inl. wetlands'!$H308</f>
        <v/>
      </c>
      <c r="DY92" s="4729" t="n"/>
      <c r="DZ92" s="4191">
        <f>'Inl. wetlands'!$J308</f>
        <v/>
      </c>
      <c r="EA92" s="4729" t="n"/>
      <c r="EB92" s="4191">
        <f>'Inl. wetlands'!$L308</f>
        <v/>
      </c>
      <c r="EC92" s="4729" t="n"/>
      <c r="ED92" s="2598" t="n"/>
      <c r="EE92" s="4192">
        <f>'Inl. wetlands'!$N308</f>
        <v/>
      </c>
      <c r="EF92" s="4729" t="n"/>
      <c r="EG92" s="2598" t="n"/>
      <c r="EH92" s="2598" t="n"/>
    </row>
    <row r="93">
      <c r="B93" s="1961" t="n"/>
      <c r="C93" s="1838">
        <f>I82</f>
        <v/>
      </c>
      <c r="D93" s="1961" t="n"/>
      <c r="E93" s="1838">
        <f>K82</f>
        <v/>
      </c>
      <c r="F93" s="1961" t="n"/>
      <c r="G93" s="1961" t="n"/>
      <c r="H93" s="1961" t="n"/>
      <c r="I93" s="1961" t="n"/>
      <c r="J93" s="1961" t="n"/>
      <c r="K93" s="1841">
        <f>MAX(N82,P82)</f>
        <v/>
      </c>
      <c r="L93" s="1961" t="n"/>
      <c r="M93" s="4228" t="n">
        <v>0</v>
      </c>
      <c r="N93" s="4229" t="n">
        <v>0</v>
      </c>
      <c r="O93" s="4134" t="inlineStr">
        <is>
          <t>D</t>
        </is>
      </c>
      <c r="P93" s="4229" t="n">
        <v>0</v>
      </c>
      <c r="Q93" s="4134" t="inlineStr">
        <is>
          <t>D</t>
        </is>
      </c>
      <c r="R93" s="1838" t="n"/>
      <c r="S93" s="2111">
        <f>$K93-M93</f>
        <v/>
      </c>
      <c r="T93" s="2111">
        <f>$K93-N93</f>
        <v/>
      </c>
      <c r="U93" s="2111">
        <f>$K93-P93</f>
        <v/>
      </c>
      <c r="V93" s="1961" t="n"/>
      <c r="W93" s="4231" t="n">
        <v>0</v>
      </c>
      <c r="X93" s="4231" t="n">
        <v>0</v>
      </c>
      <c r="Y93" s="4231" t="n">
        <v>0</v>
      </c>
      <c r="Z93" s="1961" t="n"/>
      <c r="AA93" s="2133" t="inlineStr">
        <is>
          <t>Y/N</t>
        </is>
      </c>
      <c r="AB93" s="4358" t="n"/>
      <c r="AC93" s="4358" t="n"/>
      <c r="AD93" s="1838" t="n"/>
      <c r="AE93" s="2111">
        <f>+'Inl. wetlands'!AI257+'Inl. wetlands'!AI279+'Inl. wetlands'!AI306</f>
        <v/>
      </c>
      <c r="AF93" s="2111">
        <f>+'Inl. wetlands'!AJ257+'Inl. wetlands'!AJ279+'Inl. wetlands'!AJ306</f>
        <v/>
      </c>
      <c r="AG93" s="1806">
        <f>AF93-AE93</f>
        <v/>
      </c>
      <c r="AH93" s="1838" t="n"/>
      <c r="AI93" s="1838" t="n"/>
      <c r="AS93" s="2598" t="n"/>
      <c r="AT93" s="2598">
        <f>K81</f>
        <v/>
      </c>
      <c r="AU93" s="2598" t="n"/>
      <c r="AV93" s="2598" t="n"/>
      <c r="AW93" s="4728">
        <f>'Inl. wetlands'!O225</f>
        <v/>
      </c>
      <c r="AX93" s="4241" t="n"/>
      <c r="AY93" s="2598" t="n"/>
      <c r="AZ93" s="2598" t="n"/>
      <c r="BA93" s="2598" t="n"/>
      <c r="BB93" s="2598" t="n"/>
      <c r="BC93" s="2598" t="n"/>
      <c r="BD93" s="2598" t="n"/>
      <c r="BE93" s="2598" t="n"/>
      <c r="BF93" s="2598" t="n"/>
      <c r="BH93" s="1997" t="n"/>
      <c r="BI93" s="1997" t="n"/>
      <c r="BJ93" s="1997" t="n"/>
      <c r="CD93" s="4201" t="n"/>
      <c r="CE93" s="2598">
        <f>AT92</f>
        <v/>
      </c>
      <c r="CF93" s="4192">
        <f>'Inl. wetlands'!B280</f>
        <v/>
      </c>
      <c r="CG93" s="4245" t="n"/>
      <c r="CH93" s="4192">
        <f>'Inl. wetlands'!D280</f>
        <v/>
      </c>
      <c r="CI93" s="4245" t="n"/>
      <c r="CJ93" s="4192">
        <f>'Inl. wetlands'!F280</f>
        <v/>
      </c>
      <c r="CK93" s="4245" t="n"/>
      <c r="CL93" s="2598" t="n"/>
      <c r="CM93" s="4192">
        <f>'Inl. wetlands'!H280</f>
        <v/>
      </c>
      <c r="CN93" s="4245" t="n"/>
      <c r="CO93" s="4192">
        <f>'Inl. wetlands'!J280</f>
        <v/>
      </c>
      <c r="CP93" s="4245" t="n"/>
      <c r="CQ93" s="2598" t="n"/>
      <c r="CT93" s="2567" t="n"/>
      <c r="CU93" s="2598" t="n"/>
      <c r="CV93" s="2598" t="n"/>
      <c r="CW93" s="2598" t="n"/>
      <c r="CX93" s="2598" t="n"/>
      <c r="CY93" s="2598" t="n"/>
      <c r="CZ93" s="2598" t="n"/>
      <c r="DA93" s="2598" t="n"/>
      <c r="DB93" s="2567" t="n"/>
      <c r="DC93" s="2567" t="n"/>
      <c r="DD93" s="2567" t="n"/>
      <c r="DE93" s="2567" t="n"/>
      <c r="DF93" s="2567" t="n"/>
      <c r="DG93" s="2567" t="n"/>
      <c r="DH93" s="2567" t="n"/>
      <c r="DI93" s="2567" t="n"/>
      <c r="DJ93" s="2567" t="n"/>
      <c r="DK93" s="2567" t="n"/>
      <c r="DL93" s="2567" t="n"/>
      <c r="DM93" s="2567" t="n"/>
      <c r="DN93" s="2567" t="n"/>
      <c r="DO93" s="2567" t="n"/>
      <c r="DP93" s="2567" t="n"/>
      <c r="DU93" s="2598" t="n"/>
      <c r="DV93" s="2598">
        <f>K82</f>
        <v/>
      </c>
      <c r="DW93" s="2598" t="n"/>
      <c r="DX93" s="4728">
        <f>'Inl. wetlands'!$H309</f>
        <v/>
      </c>
      <c r="DY93" s="4729" t="n"/>
      <c r="DZ93" s="4191">
        <f>'Inl. wetlands'!$J309</f>
        <v/>
      </c>
      <c r="EA93" s="4729" t="n"/>
      <c r="EB93" s="4191">
        <f>'Inl. wetlands'!$L309</f>
        <v/>
      </c>
      <c r="EC93" s="4729" t="n"/>
      <c r="ED93" s="2598" t="n"/>
      <c r="EE93" s="4192">
        <f>'Inl. wetlands'!$N309</f>
        <v/>
      </c>
      <c r="EF93" s="4729" t="n"/>
      <c r="EG93" s="2598" t="n"/>
      <c r="EH93" s="2598" t="n"/>
    </row>
    <row r="94">
      <c r="B94" s="1961" t="n"/>
      <c r="C94" s="1838">
        <f>I83</f>
        <v/>
      </c>
      <c r="D94" s="1961" t="n"/>
      <c r="E94" s="1838">
        <f>K83</f>
        <v/>
      </c>
      <c r="F94" s="1961" t="n"/>
      <c r="G94" s="1961" t="n"/>
      <c r="H94" s="1961" t="n"/>
      <c r="I94" s="1961" t="n"/>
      <c r="J94" s="1961" t="n"/>
      <c r="K94" s="1841">
        <f>MAX(N83,P83)</f>
        <v/>
      </c>
      <c r="L94" s="1961" t="n"/>
      <c r="M94" s="4228" t="n">
        <v>0</v>
      </c>
      <c r="N94" s="4229" t="n">
        <v>0</v>
      </c>
      <c r="O94" s="4134" t="inlineStr">
        <is>
          <t>D</t>
        </is>
      </c>
      <c r="P94" s="4229" t="n">
        <v>0</v>
      </c>
      <c r="Q94" s="4134" t="inlineStr">
        <is>
          <t>D</t>
        </is>
      </c>
      <c r="R94" s="1838" t="n"/>
      <c r="S94" s="2111">
        <f>$K94-M94</f>
        <v/>
      </c>
      <c r="T94" s="2111">
        <f>$K94-N94</f>
        <v/>
      </c>
      <c r="U94" s="2111">
        <f>$K94-P94</f>
        <v/>
      </c>
      <c r="V94" s="1961" t="n"/>
      <c r="W94" s="4231" t="n">
        <v>0</v>
      </c>
      <c r="X94" s="4231" t="n">
        <v>0</v>
      </c>
      <c r="Y94" s="4231" t="n">
        <v>0</v>
      </c>
      <c r="Z94" s="1961" t="n"/>
      <c r="AA94" s="2133" t="inlineStr">
        <is>
          <t>Y/N</t>
        </is>
      </c>
      <c r="AB94" s="4358" t="n"/>
      <c r="AC94" s="4358" t="n"/>
      <c r="AD94" s="1838" t="n"/>
      <c r="AE94" s="2111">
        <f>+'Inl. wetlands'!AI258+'Inl. wetlands'!AI280+'Inl. wetlands'!AI307</f>
        <v/>
      </c>
      <c r="AF94" s="2111">
        <f>+'Inl. wetlands'!AJ258+'Inl. wetlands'!AJ280+'Inl. wetlands'!AJ307</f>
        <v/>
      </c>
      <c r="AG94" s="1806">
        <f>AF94-AE94</f>
        <v/>
      </c>
      <c r="AH94" s="1838" t="n"/>
      <c r="AI94" s="1838" t="n"/>
      <c r="AS94" s="2598" t="n"/>
      <c r="AT94" s="2598">
        <f>K82</f>
        <v/>
      </c>
      <c r="AU94" s="2598" t="n"/>
      <c r="AV94" s="2598" t="n"/>
      <c r="AW94" s="4728">
        <f>'Inl. wetlands'!O226</f>
        <v/>
      </c>
      <c r="AX94" s="4241" t="n"/>
      <c r="AY94" s="2598" t="n"/>
      <c r="AZ94" s="2598" t="n"/>
      <c r="BA94" s="2598" t="n"/>
      <c r="BB94" s="2598" t="n"/>
      <c r="BC94" s="2598" t="n"/>
      <c r="BD94" s="2598" t="n"/>
      <c r="BE94" s="2598" t="n"/>
      <c r="BF94" s="2598" t="n"/>
      <c r="BH94" s="1997" t="n"/>
      <c r="BI94" s="1997" t="n"/>
      <c r="BJ94" s="1997" t="n"/>
      <c r="CD94" s="4201" t="n"/>
      <c r="CE94" s="2598">
        <f>AT93</f>
        <v/>
      </c>
      <c r="CF94" s="4192">
        <f>'Inl. wetlands'!B281</f>
        <v/>
      </c>
      <c r="CG94" s="4245" t="n"/>
      <c r="CH94" s="4192">
        <f>'Inl. wetlands'!D281</f>
        <v/>
      </c>
      <c r="CI94" s="4245" t="n"/>
      <c r="CJ94" s="4192">
        <f>'Inl. wetlands'!F281</f>
        <v/>
      </c>
      <c r="CK94" s="4245" t="n"/>
      <c r="CL94" s="2598" t="n"/>
      <c r="CM94" s="4192">
        <f>'Inl. wetlands'!H281</f>
        <v/>
      </c>
      <c r="CN94" s="4245" t="n"/>
      <c r="CO94" s="4192">
        <f>'Inl. wetlands'!J281</f>
        <v/>
      </c>
      <c r="CP94" s="4245" t="n"/>
      <c r="CQ94" s="2598" t="n"/>
      <c r="CT94" s="2567" t="n"/>
      <c r="CU94" s="2598" t="n"/>
      <c r="CV94" s="2598" t="n"/>
      <c r="CW94" s="2598" t="n"/>
      <c r="CX94" s="2598" t="n"/>
      <c r="CY94" s="2598" t="n"/>
      <c r="CZ94" s="2598" t="n"/>
      <c r="DA94" s="2598" t="n"/>
      <c r="DB94" s="2567" t="n"/>
      <c r="DC94" s="2567" t="n"/>
      <c r="DD94" s="2567" t="n"/>
      <c r="DE94" s="2567" t="n"/>
      <c r="DF94" s="2567" t="n"/>
      <c r="DG94" s="2567" t="n"/>
      <c r="DH94" s="2567" t="n"/>
      <c r="DI94" s="2567" t="n"/>
      <c r="DJ94" s="2567" t="n"/>
      <c r="DK94" s="2567" t="n"/>
      <c r="DL94" s="2567" t="n"/>
      <c r="DM94" s="2567" t="n"/>
      <c r="DN94" s="2567" t="n"/>
      <c r="DO94" s="2567" t="n"/>
      <c r="DP94" s="2567" t="n"/>
      <c r="DU94" s="2598" t="n"/>
      <c r="DV94" s="2598">
        <f>K83</f>
        <v/>
      </c>
      <c r="DW94" s="2598" t="n"/>
      <c r="DX94" s="4728">
        <f>'Inl. wetlands'!$H310</f>
        <v/>
      </c>
      <c r="DY94" s="4729" t="n"/>
      <c r="DZ94" s="4191">
        <f>'Inl. wetlands'!$J310</f>
        <v/>
      </c>
      <c r="EA94" s="4729" t="n"/>
      <c r="EB94" s="4191">
        <f>'Inl. wetlands'!$L310</f>
        <v/>
      </c>
      <c r="EC94" s="4729" t="n"/>
      <c r="ED94" s="2598" t="n"/>
      <c r="EE94" s="4192">
        <f>'Inl. wetlands'!$N310</f>
        <v/>
      </c>
      <c r="EF94" s="4729" t="n"/>
      <c r="EG94" s="2598" t="n"/>
      <c r="EH94" s="2598" t="n"/>
    </row>
    <row r="95">
      <c r="B95" s="1961" t="n"/>
      <c r="C95" s="1838">
        <f>I84</f>
        <v/>
      </c>
      <c r="D95" s="1961" t="n"/>
      <c r="E95" s="1838">
        <f>K84</f>
        <v/>
      </c>
      <c r="F95" s="1961" t="n"/>
      <c r="G95" s="1961" t="n"/>
      <c r="H95" s="1961" t="n"/>
      <c r="I95" s="1961" t="n"/>
      <c r="J95" s="1961" t="n"/>
      <c r="K95" s="1841">
        <f>MAX(N84,P84)</f>
        <v/>
      </c>
      <c r="L95" s="1961" t="n"/>
      <c r="M95" s="4228" t="n">
        <v>0</v>
      </c>
      <c r="N95" s="4229" t="n">
        <v>0</v>
      </c>
      <c r="O95" s="4134" t="inlineStr">
        <is>
          <t>D</t>
        </is>
      </c>
      <c r="P95" s="4229" t="n">
        <v>0</v>
      </c>
      <c r="Q95" s="4134" t="inlineStr">
        <is>
          <t>D</t>
        </is>
      </c>
      <c r="R95" s="1838" t="n"/>
      <c r="S95" s="2111">
        <f>$K95-M95</f>
        <v/>
      </c>
      <c r="T95" s="2111">
        <f>$K95-N95</f>
        <v/>
      </c>
      <c r="U95" s="2111">
        <f>$K95-P95</f>
        <v/>
      </c>
      <c r="V95" s="1961" t="n"/>
      <c r="W95" s="4231" t="n">
        <v>0</v>
      </c>
      <c r="X95" s="4231" t="n">
        <v>0</v>
      </c>
      <c r="Y95" s="4231" t="n">
        <v>0</v>
      </c>
      <c r="Z95" s="1961" t="n"/>
      <c r="AA95" s="2133" t="inlineStr">
        <is>
          <t>Y/N</t>
        </is>
      </c>
      <c r="AB95" s="4358" t="n"/>
      <c r="AC95" s="4358" t="n"/>
      <c r="AD95" s="1838" t="n"/>
      <c r="AE95" s="2111">
        <f>+'Inl. wetlands'!AI259+'Inl. wetlands'!AI281+'Inl. wetlands'!AI308</f>
        <v/>
      </c>
      <c r="AF95" s="2111">
        <f>+'Inl. wetlands'!AJ259+'Inl. wetlands'!AJ281+'Inl. wetlands'!AJ308</f>
        <v/>
      </c>
      <c r="AG95" s="1806">
        <f>AF95-AE95</f>
        <v/>
      </c>
      <c r="AH95" s="1838" t="n"/>
      <c r="AI95" s="1838" t="n"/>
      <c r="AS95" s="2598" t="n"/>
      <c r="AT95" s="2598">
        <f>K83</f>
        <v/>
      </c>
      <c r="AU95" s="2598" t="n"/>
      <c r="AV95" s="2598" t="n"/>
      <c r="AW95" s="4728">
        <f>'Inl. wetlands'!O227</f>
        <v/>
      </c>
      <c r="AX95" s="4241" t="n"/>
      <c r="AY95" s="2598" t="n"/>
      <c r="AZ95" s="2598" t="n"/>
      <c r="BA95" s="2598" t="n"/>
      <c r="BB95" s="2598" t="n"/>
      <c r="BC95" s="2598" t="n"/>
      <c r="BD95" s="2598" t="n"/>
      <c r="BE95" s="2598" t="n"/>
      <c r="BF95" s="2598" t="n"/>
      <c r="BH95" s="1997" t="n"/>
      <c r="BI95" s="1997" t="n"/>
      <c r="BJ95" s="1997" t="n"/>
      <c r="CD95" s="4201" t="n"/>
      <c r="CE95" s="2598">
        <f>AT94</f>
        <v/>
      </c>
      <c r="CF95" s="4192">
        <f>'Inl. wetlands'!B282</f>
        <v/>
      </c>
      <c r="CG95" s="4245" t="n"/>
      <c r="CH95" s="4192">
        <f>'Inl. wetlands'!D282</f>
        <v/>
      </c>
      <c r="CI95" s="4245" t="n"/>
      <c r="CJ95" s="4192">
        <f>'Inl. wetlands'!F282</f>
        <v/>
      </c>
      <c r="CK95" s="4245" t="n"/>
      <c r="CL95" s="2598" t="n"/>
      <c r="CM95" s="4192">
        <f>'Inl. wetlands'!H282</f>
        <v/>
      </c>
      <c r="CN95" s="4245" t="n"/>
      <c r="CO95" s="4192">
        <f>'Inl. wetlands'!J282</f>
        <v/>
      </c>
      <c r="CP95" s="4245" t="n"/>
      <c r="CQ95" s="2598" t="n"/>
      <c r="CT95" s="2567" t="n"/>
      <c r="CU95" s="2598" t="n"/>
      <c r="CV95" s="2598" t="n"/>
      <c r="CW95" s="2598" t="n"/>
      <c r="CX95" s="2598" t="n"/>
      <c r="CY95" s="2598" t="n"/>
      <c r="CZ95" s="2598" t="n"/>
      <c r="DA95" s="2598" t="n"/>
      <c r="DB95" s="2567" t="n"/>
      <c r="DC95" s="2567" t="n"/>
      <c r="DD95" s="2567" t="n"/>
      <c r="DE95" s="2567" t="n"/>
      <c r="DF95" s="2567" t="n"/>
      <c r="DG95" s="2567" t="n"/>
      <c r="DH95" s="2567" t="n"/>
      <c r="DI95" s="2567" t="n"/>
      <c r="DJ95" s="2567" t="n"/>
      <c r="DK95" s="2567" t="n"/>
      <c r="DL95" s="2567" t="n"/>
      <c r="DM95" s="2567" t="n"/>
      <c r="DN95" s="2567" t="n"/>
      <c r="DO95" s="2567" t="n"/>
      <c r="DP95" s="2567" t="n"/>
      <c r="DU95" s="2598" t="n"/>
      <c r="DV95" s="2598">
        <f>K84</f>
        <v/>
      </c>
      <c r="DW95" s="2598" t="n"/>
      <c r="DX95" s="4728">
        <f>'Inl. wetlands'!$H311</f>
        <v/>
      </c>
      <c r="DY95" s="4729" t="n"/>
      <c r="DZ95" s="4191">
        <f>'Inl. wetlands'!$J311</f>
        <v/>
      </c>
      <c r="EA95" s="4729" t="n"/>
      <c r="EB95" s="4191">
        <f>'Inl. wetlands'!$L311</f>
        <v/>
      </c>
      <c r="EC95" s="4729" t="n"/>
      <c r="ED95" s="2598" t="n"/>
      <c r="EE95" s="4192">
        <f>'Inl. wetlands'!$N311</f>
        <v/>
      </c>
      <c r="EF95" s="4729" t="n"/>
      <c r="EG95" s="2598" t="n"/>
      <c r="EH95" s="2598" t="n"/>
    </row>
    <row r="96">
      <c r="B96" s="1961" t="n"/>
      <c r="C96" s="1838">
        <f>I85</f>
        <v/>
      </c>
      <c r="D96" s="1961" t="n"/>
      <c r="E96" s="1838">
        <f>K85</f>
        <v/>
      </c>
      <c r="F96" s="1961" t="n"/>
      <c r="G96" s="1961" t="n"/>
      <c r="H96" s="1961" t="n"/>
      <c r="I96" s="1961" t="n"/>
      <c r="J96" s="1961" t="n"/>
      <c r="K96" s="1841">
        <f>MAX(N85,P85)</f>
        <v/>
      </c>
      <c r="L96" s="1961" t="n"/>
      <c r="M96" s="4228" t="n">
        <v>0</v>
      </c>
      <c r="N96" s="4229" t="n">
        <v>0</v>
      </c>
      <c r="O96" s="4134" t="inlineStr">
        <is>
          <t>D</t>
        </is>
      </c>
      <c r="P96" s="4229" t="n">
        <v>0</v>
      </c>
      <c r="Q96" s="4134" t="inlineStr">
        <is>
          <t>D</t>
        </is>
      </c>
      <c r="R96" s="1838" t="n"/>
      <c r="S96" s="2111">
        <f>$K96-M96</f>
        <v/>
      </c>
      <c r="T96" s="2111">
        <f>$K96-N96</f>
        <v/>
      </c>
      <c r="U96" s="2111">
        <f>$K96-P96</f>
        <v/>
      </c>
      <c r="V96" s="1961" t="n"/>
      <c r="W96" s="4231" t="n">
        <v>0</v>
      </c>
      <c r="X96" s="4231" t="n">
        <v>0</v>
      </c>
      <c r="Y96" s="4231" t="n">
        <v>0</v>
      </c>
      <c r="Z96" s="1961" t="n"/>
      <c r="AA96" s="2133" t="inlineStr">
        <is>
          <t>Y/N</t>
        </is>
      </c>
      <c r="AB96" s="4358" t="n"/>
      <c r="AC96" s="4358" t="n"/>
      <c r="AD96" s="1838" t="n"/>
      <c r="AE96" s="2111">
        <f>+'Inl. wetlands'!AI260+'Inl. wetlands'!AI282+'Inl. wetlands'!AI309</f>
        <v/>
      </c>
      <c r="AF96" s="2111">
        <f>+'Inl. wetlands'!AJ260+'Inl. wetlands'!AJ282+'Inl. wetlands'!AJ309</f>
        <v/>
      </c>
      <c r="AG96" s="1806">
        <f>AF96-AE96</f>
        <v/>
      </c>
      <c r="AH96" s="1838" t="n"/>
      <c r="AI96" s="1838" t="n"/>
      <c r="AS96" s="2598" t="n"/>
      <c r="AT96" s="2598">
        <f>K84</f>
        <v/>
      </c>
      <c r="AU96" s="2598" t="n"/>
      <c r="AV96" s="2598" t="n"/>
      <c r="AW96" s="4728">
        <f>'Inl. wetlands'!O228</f>
        <v/>
      </c>
      <c r="AX96" s="4241" t="n"/>
      <c r="AY96" s="2598" t="n"/>
      <c r="AZ96" s="2598" t="n"/>
      <c r="BA96" s="2598" t="n"/>
      <c r="BB96" s="2598" t="n"/>
      <c r="BC96" s="2598" t="n"/>
      <c r="BD96" s="2598" t="n"/>
      <c r="BE96" s="2598" t="n"/>
      <c r="BF96" s="2598" t="n"/>
      <c r="BH96" s="1997" t="n"/>
      <c r="BI96" s="1997" t="n"/>
      <c r="BJ96" s="1997" t="n"/>
      <c r="CD96" s="4201" t="n"/>
      <c r="CE96" s="2598">
        <f>AT95</f>
        <v/>
      </c>
      <c r="CF96" s="4192">
        <f>'Inl. wetlands'!B283</f>
        <v/>
      </c>
      <c r="CG96" s="4245" t="n"/>
      <c r="CH96" s="4192">
        <f>'Inl. wetlands'!D283</f>
        <v/>
      </c>
      <c r="CI96" s="4245" t="n"/>
      <c r="CJ96" s="4192">
        <f>'Inl. wetlands'!F283</f>
        <v/>
      </c>
      <c r="CK96" s="4245" t="n"/>
      <c r="CL96" s="2598" t="n"/>
      <c r="CM96" s="4192">
        <f>'Inl. wetlands'!H283</f>
        <v/>
      </c>
      <c r="CN96" s="4245" t="n"/>
      <c r="CO96" s="4192">
        <f>'Inl. wetlands'!J283</f>
        <v/>
      </c>
      <c r="CP96" s="4245" t="n"/>
      <c r="CQ96" s="2598" t="n"/>
      <c r="CT96" s="2567" t="n"/>
      <c r="CU96" s="2598" t="n"/>
      <c r="CV96" s="2598" t="n"/>
      <c r="CW96" s="2598" t="n"/>
      <c r="CX96" s="2598" t="n"/>
      <c r="CY96" s="2598" t="n"/>
      <c r="CZ96" s="2598" t="n"/>
      <c r="DA96" s="2598" t="n"/>
      <c r="DB96" s="2567" t="n"/>
      <c r="DC96" s="2567" t="n"/>
      <c r="DD96" s="2567" t="n"/>
      <c r="DE96" s="2567" t="n"/>
      <c r="DF96" s="2567" t="n"/>
      <c r="DG96" s="2567" t="n"/>
      <c r="DH96" s="2567" t="n"/>
      <c r="DI96" s="2567" t="n"/>
      <c r="DJ96" s="2567" t="n"/>
      <c r="DK96" s="2567" t="n"/>
      <c r="DL96" s="2567" t="n"/>
      <c r="DM96" s="2567" t="n"/>
      <c r="DN96" s="2567" t="n"/>
      <c r="DO96" s="2567" t="n"/>
      <c r="DP96" s="2567" t="n"/>
      <c r="DU96" s="2598" t="n"/>
      <c r="DV96" s="2598">
        <f>K85</f>
        <v/>
      </c>
      <c r="DW96" s="2598" t="n"/>
      <c r="DX96" s="4728">
        <f>'Inl. wetlands'!$H312</f>
        <v/>
      </c>
      <c r="DY96" s="4729" t="n"/>
      <c r="DZ96" s="4191">
        <f>'Inl. wetlands'!$J312</f>
        <v/>
      </c>
      <c r="EA96" s="4729" t="n"/>
      <c r="EB96" s="4191">
        <f>'Inl. wetlands'!$L312</f>
        <v/>
      </c>
      <c r="EC96" s="4729" t="n"/>
      <c r="ED96" s="2598" t="n"/>
      <c r="EE96" s="4192">
        <f>'Inl. wetlands'!$N312</f>
        <v/>
      </c>
      <c r="EF96" s="4729" t="n"/>
      <c r="EG96" s="2598" t="n"/>
      <c r="EH96" s="2598" t="n"/>
    </row>
    <row r="97">
      <c r="B97" s="1961" t="n"/>
      <c r="C97" s="4178" t="n"/>
      <c r="D97" s="1961" t="n"/>
      <c r="E97" s="1961" t="n"/>
      <c r="F97" s="1961" t="n"/>
      <c r="G97" s="1961" t="n"/>
      <c r="H97" s="1961" t="n"/>
      <c r="I97" s="1961" t="n"/>
      <c r="J97" s="1961" t="n"/>
      <c r="K97" s="1841" t="n"/>
      <c r="L97" s="1961" t="n"/>
      <c r="M97" s="1961" t="n"/>
      <c r="N97" s="1961" t="n"/>
      <c r="O97" s="1961" t="n"/>
      <c r="P97" s="1961" t="n"/>
      <c r="Q97" s="1961" t="n"/>
      <c r="R97" s="1961" t="n"/>
      <c r="S97" s="1961" t="n"/>
      <c r="T97" s="1961" t="n"/>
      <c r="U97" s="1961" t="n"/>
      <c r="V97" s="1961" t="n"/>
      <c r="W97" s="1961" t="n"/>
      <c r="X97" s="1961" t="n"/>
      <c r="Y97" s="1961" t="n"/>
      <c r="Z97" s="1961" t="n"/>
      <c r="AA97" s="4308">
        <f>IF(OR(AND(AA91&lt;&gt;"Y/N", AA91&lt;&gt;"No"), AND(AA92&lt;&gt;"Y/N",AA92&lt;&gt;"No" ), AND(AA93&lt;&gt;"Y/N",AA93&lt;&gt;"No" ), AND(AA94&lt;&gt;"Y/N", AA94&lt;&gt;"No"), AND(AA95&lt;&gt;"Y/N", AA95&lt;&gt;"No"), AND(AA96&lt;&gt;"Y/N", AA96&lt;&gt;"No")), list!$B$279, "")</f>
        <v/>
      </c>
      <c r="AB97" s="1961" t="n"/>
      <c r="AC97" s="4358" t="n"/>
      <c r="AD97" s="1838" t="n"/>
      <c r="AE97" s="4359" t="n"/>
      <c r="AF97" s="4359" t="n"/>
      <c r="AG97" s="1780" t="n"/>
      <c r="AH97" s="1838" t="n"/>
      <c r="AI97" s="1838" t="n"/>
      <c r="AS97" s="2598" t="n"/>
      <c r="AT97" s="2598">
        <f>K85</f>
        <v/>
      </c>
      <c r="AU97" s="2598" t="n"/>
      <c r="AV97" s="2598" t="n"/>
      <c r="AW97" s="4728">
        <f>'Inl. wetlands'!O229</f>
        <v/>
      </c>
      <c r="AX97" s="4241" t="n"/>
      <c r="AY97" s="2598" t="n"/>
      <c r="AZ97" s="2598" t="n"/>
      <c r="BA97" s="2598" t="n"/>
      <c r="BB97" s="2598" t="n"/>
      <c r="BC97" s="2598" t="n"/>
      <c r="BD97" s="2598" t="n"/>
      <c r="BE97" s="2598" t="n"/>
      <c r="BF97" s="2598" t="n"/>
      <c r="BH97" s="1997" t="n"/>
      <c r="BI97" s="1997" t="n"/>
      <c r="BJ97" s="1997" t="n"/>
      <c r="CD97" s="4201" t="n"/>
      <c r="CE97" s="2598">
        <f>AT96</f>
        <v/>
      </c>
      <c r="CF97" s="4192">
        <f>'Inl. wetlands'!B284</f>
        <v/>
      </c>
      <c r="CG97" s="4245" t="n"/>
      <c r="CH97" s="4192">
        <f>'Inl. wetlands'!D284</f>
        <v/>
      </c>
      <c r="CI97" s="4245" t="n"/>
      <c r="CJ97" s="4192">
        <f>'Inl. wetlands'!F284</f>
        <v/>
      </c>
      <c r="CK97" s="4245" t="n"/>
      <c r="CL97" s="2598" t="n"/>
      <c r="CM97" s="4192">
        <f>'Inl. wetlands'!H284</f>
        <v/>
      </c>
      <c r="CN97" s="4245" t="n"/>
      <c r="CO97" s="4192">
        <f>'Inl. wetlands'!J284</f>
        <v/>
      </c>
      <c r="CP97" s="4245" t="n"/>
      <c r="CQ97" s="2598" t="n"/>
      <c r="CT97" s="2567" t="n"/>
      <c r="CU97" s="2598" t="n"/>
      <c r="CV97" s="2598" t="n"/>
      <c r="CW97" s="2598" t="n"/>
      <c r="CX97" s="2598" t="n"/>
      <c r="CY97" s="2598" t="n"/>
      <c r="CZ97" s="2598" t="n"/>
      <c r="DA97" s="2598" t="n"/>
      <c r="DB97" s="2567" t="n"/>
      <c r="DC97" s="2567" t="n"/>
      <c r="DD97" s="2567" t="n"/>
      <c r="DE97" s="2567" t="n"/>
      <c r="DF97" s="2567" t="n"/>
      <c r="DG97" s="2567" t="n"/>
      <c r="DH97" s="2567" t="n"/>
      <c r="DI97" s="2567" t="n"/>
      <c r="DJ97" s="2567" t="n"/>
      <c r="DK97" s="2567" t="n"/>
      <c r="DL97" s="2567" t="n"/>
      <c r="DM97" s="2567" t="n"/>
      <c r="DN97" s="2567" t="n"/>
      <c r="DO97" s="2567" t="n"/>
      <c r="DP97" s="2567" t="n"/>
      <c r="DU97" s="2598" t="n"/>
      <c r="DV97" s="2598" t="n"/>
      <c r="DW97" s="2598" t="n"/>
      <c r="DX97" s="4728" t="n"/>
      <c r="DY97" s="2598" t="n"/>
      <c r="DZ97" s="4191" t="n"/>
      <c r="EA97" s="2598" t="n"/>
      <c r="EB97" s="4191" t="n"/>
      <c r="EC97" s="2598" t="n"/>
      <c r="ED97" s="2598" t="n"/>
      <c r="EE97" s="4192" t="n"/>
      <c r="EF97" s="2598" t="n"/>
      <c r="EG97" s="2598" t="n"/>
      <c r="EH97" s="2598" t="n"/>
    </row>
    <row r="98">
      <c r="B98" s="1961" t="n"/>
      <c r="C98" s="4178" t="n"/>
      <c r="D98" s="1961" t="n"/>
      <c r="E98" s="1961" t="n"/>
      <c r="F98" s="1961" t="n"/>
      <c r="G98" s="1961" t="n"/>
      <c r="H98" s="1961" t="n"/>
      <c r="I98" s="1961" t="n"/>
      <c r="J98" s="1961" t="n"/>
      <c r="K98" s="1961" t="n"/>
      <c r="L98" s="1961" t="n"/>
      <c r="M98" s="1961" t="n"/>
      <c r="N98" s="1961" t="n"/>
      <c r="O98" s="1961" t="n"/>
      <c r="P98" s="1961" t="n"/>
      <c r="Q98" s="1961" t="n"/>
      <c r="R98" s="1961" t="n"/>
      <c r="S98" s="1961" t="n"/>
      <c r="T98" s="1961" t="n"/>
      <c r="U98" s="1961" t="n"/>
      <c r="V98" s="1961" t="n"/>
      <c r="W98" s="1961" t="n"/>
      <c r="X98" s="1961" t="n"/>
      <c r="Y98" s="1961" t="n"/>
      <c r="Z98" s="1961" t="n"/>
      <c r="AA98" s="1961" t="n"/>
      <c r="AB98" s="1961" t="n"/>
      <c r="AC98" s="4358" t="n"/>
      <c r="AD98" s="1838" t="n"/>
      <c r="AE98" s="4359" t="n"/>
      <c r="AF98" s="4359" t="n"/>
      <c r="AG98" s="1780" t="n"/>
      <c r="AH98" s="1838" t="n"/>
      <c r="AI98" s="1838" t="n"/>
      <c r="AS98" s="2598" t="n"/>
      <c r="AT98" s="2598" t="n"/>
      <c r="AU98" s="2598" t="n"/>
      <c r="AV98" s="2598" t="n"/>
      <c r="AW98" s="2598" t="n"/>
      <c r="AX98" s="2598" t="n"/>
      <c r="AY98" s="2598" t="n"/>
      <c r="AZ98" s="2598" t="n"/>
      <c r="BA98" s="2598" t="n"/>
      <c r="BB98" s="2598" t="n"/>
      <c r="BC98" s="2598" t="n"/>
      <c r="BD98" s="2598" t="n"/>
      <c r="BE98" s="2598" t="n"/>
      <c r="BF98" s="2598" t="n"/>
      <c r="BH98" s="1997" t="n"/>
      <c r="BI98" s="1997" t="n"/>
      <c r="BJ98" s="1997" t="n"/>
      <c r="CD98" s="4201" t="n"/>
      <c r="CE98" s="2598">
        <f>AT97</f>
        <v/>
      </c>
      <c r="CF98" s="4192">
        <f>'Inl. wetlands'!B285</f>
        <v/>
      </c>
      <c r="CG98" s="4245" t="n"/>
      <c r="CH98" s="4192">
        <f>'Inl. wetlands'!D285</f>
        <v/>
      </c>
      <c r="CI98" s="4245" t="n"/>
      <c r="CJ98" s="4192">
        <f>'Inl. wetlands'!F285</f>
        <v/>
      </c>
      <c r="CK98" s="4245" t="n"/>
      <c r="CL98" s="2598" t="n"/>
      <c r="CM98" s="4192">
        <f>'Inl. wetlands'!H285</f>
        <v/>
      </c>
      <c r="CN98" s="4245" t="n"/>
      <c r="CO98" s="4192">
        <f>'Inl. wetlands'!J285</f>
        <v/>
      </c>
      <c r="CP98" s="4245" t="n"/>
      <c r="CQ98" s="2598" t="n"/>
      <c r="CT98" s="2567" t="n"/>
      <c r="CU98" s="2598" t="n"/>
      <c r="CV98" s="2598" t="n"/>
      <c r="CW98" s="2598" t="n"/>
      <c r="CX98" s="2598" t="n"/>
      <c r="CY98" s="2598" t="n"/>
      <c r="CZ98" s="2598" t="n"/>
      <c r="DA98" s="2598" t="n"/>
      <c r="DB98" s="2567" t="n"/>
      <c r="DC98" s="2567" t="n"/>
      <c r="DD98" s="2567" t="n"/>
      <c r="DE98" s="2567" t="n"/>
      <c r="DF98" s="2567" t="n"/>
      <c r="DG98" s="2567" t="n"/>
      <c r="DH98" s="2567" t="n"/>
      <c r="DI98" s="2567" t="n"/>
      <c r="DJ98" s="2567" t="n"/>
      <c r="DK98" s="2567" t="n"/>
      <c r="DL98" s="2567" t="n"/>
      <c r="DM98" s="2567" t="n"/>
      <c r="DN98" s="2567" t="n"/>
      <c r="DO98" s="2567" t="n"/>
      <c r="DP98" s="2567" t="n"/>
      <c r="DU98" s="2598" t="n"/>
      <c r="DV98" s="2598" t="n"/>
      <c r="DW98" s="2598" t="n"/>
      <c r="DX98" s="2598" t="n"/>
      <c r="DY98" s="2598" t="n"/>
      <c r="DZ98" s="2598" t="n"/>
      <c r="EA98" s="2598" t="n"/>
      <c r="EB98" s="2598" t="n"/>
      <c r="EC98" s="2598" t="n"/>
      <c r="ED98" s="2598" t="n"/>
      <c r="EE98" s="2598" t="n"/>
      <c r="EF98" s="4197">
        <f>CK100</f>
        <v/>
      </c>
      <c r="EG98" s="4181" t="inlineStr">
        <is>
          <t>soil</t>
        </is>
      </c>
      <c r="EH98" s="2598" t="n"/>
    </row>
    <row r="99">
      <c r="B99" s="1961" t="n"/>
      <c r="C99" s="4178" t="n"/>
      <c r="D99" s="1961" t="n"/>
      <c r="E99" s="1961" t="n"/>
      <c r="F99" s="1961" t="n"/>
      <c r="G99" s="1961" t="n"/>
      <c r="H99" s="1961" t="n"/>
      <c r="I99" s="1961" t="n"/>
      <c r="J99" s="1961" t="n"/>
      <c r="K99" s="1961" t="n"/>
      <c r="L99" s="1961" t="n"/>
      <c r="M99" s="1961" t="n"/>
      <c r="N99" s="1961" t="n"/>
      <c r="O99" s="1961" t="n"/>
      <c r="P99" s="1961" t="n"/>
      <c r="Q99" s="1961" t="n"/>
      <c r="R99" s="1961" t="n"/>
      <c r="S99" s="1961" t="n"/>
      <c r="T99" s="1961" t="n"/>
      <c r="U99" s="1961" t="n"/>
      <c r="V99" s="1961" t="n"/>
      <c r="W99" s="1961" t="n"/>
      <c r="X99" s="1961" t="n"/>
      <c r="Y99" s="1961" t="n"/>
      <c r="Z99" s="1961" t="n"/>
      <c r="AA99" s="1961" t="n"/>
      <c r="AB99" s="1961" t="n"/>
      <c r="AC99" s="4358" t="n"/>
      <c r="AD99" s="1838" t="n"/>
      <c r="AE99" s="4359" t="n"/>
      <c r="AF99" s="4359" t="n"/>
      <c r="AG99" s="1780" t="n"/>
      <c r="AH99" s="1838" t="n"/>
      <c r="AI99" s="1838" t="n"/>
      <c r="AS99" s="2598" t="n"/>
      <c r="AT99" s="2598" t="n"/>
      <c r="AU99" s="2598" t="n"/>
      <c r="AV99" s="2598" t="n"/>
      <c r="AW99" s="2598" t="n"/>
      <c r="AX99" s="2598" t="n"/>
      <c r="AY99" s="2598" t="n"/>
      <c r="AZ99" s="2598" t="n"/>
      <c r="BA99" s="2598" t="n"/>
      <c r="BB99" s="2598" t="n"/>
      <c r="BC99" s="2598" t="n"/>
      <c r="BD99" s="2598" t="n"/>
      <c r="BE99" s="2598" t="n"/>
      <c r="BF99" s="2598" t="n"/>
      <c r="BH99" s="1997" t="n"/>
      <c r="BI99" s="1997" t="n"/>
      <c r="BJ99" s="1997" t="n"/>
      <c r="CD99" s="4201" t="n"/>
      <c r="CE99" s="2598" t="n"/>
      <c r="CF99" s="4192" t="n"/>
      <c r="CG99" s="4245" t="n"/>
      <c r="CH99" s="4192" t="n"/>
      <c r="CI99" s="4245" t="n"/>
      <c r="CJ99" s="4192" t="n"/>
      <c r="CK99" s="4245" t="n"/>
      <c r="CL99" s="2598" t="n"/>
      <c r="CM99" s="4192" t="n"/>
      <c r="CN99" s="4245" t="n"/>
      <c r="CO99" s="4192" t="n"/>
      <c r="CP99" s="4245" t="n"/>
      <c r="CQ99" s="2598" t="n"/>
      <c r="CT99" s="2567" t="n"/>
      <c r="CU99" s="2598" t="n"/>
      <c r="CV99" s="2598" t="n"/>
      <c r="CW99" s="2598" t="n"/>
      <c r="CX99" s="2598" t="n"/>
      <c r="CY99" s="2598" t="n"/>
      <c r="CZ99" s="2598" t="n"/>
      <c r="DA99" s="2598" t="n"/>
      <c r="DB99" s="2567" t="n"/>
      <c r="DC99" s="2567" t="n"/>
      <c r="DD99" s="2567" t="n"/>
      <c r="DE99" s="2567" t="n"/>
      <c r="DF99" s="2567" t="n"/>
      <c r="DG99" s="2567" t="n"/>
      <c r="DH99" s="2567" t="n"/>
      <c r="DI99" s="2567" t="n"/>
      <c r="DJ99" s="2567" t="n"/>
      <c r="DK99" s="2567" t="n"/>
      <c r="DL99" s="2567" t="n"/>
      <c r="DM99" s="2567" t="n"/>
      <c r="DN99" s="2567" t="n"/>
      <c r="DO99" s="2567" t="n"/>
      <c r="DP99" s="2567" t="n"/>
      <c r="DU99" s="2598" t="n"/>
      <c r="DV99" s="2598" t="n"/>
      <c r="DW99" s="2598" t="n"/>
      <c r="DX99" s="2598" t="n"/>
      <c r="DY99" s="2598" t="n"/>
      <c r="DZ99" s="2598" t="n"/>
      <c r="EA99" s="2598" t="n"/>
      <c r="EB99" s="2598" t="n"/>
      <c r="EC99" s="2598" t="n"/>
      <c r="ED99" s="2598" t="n"/>
      <c r="EE99" s="2598" t="n"/>
      <c r="EF99" s="4197" t="n"/>
      <c r="EG99" s="4181" t="n"/>
      <c r="EH99" s="2598" t="n"/>
    </row>
    <row r="100">
      <c r="B100" s="1961" t="n"/>
      <c r="C100" s="4178" t="n"/>
      <c r="D100" s="1961" t="n"/>
      <c r="E100" s="1961" t="n"/>
      <c r="F100" s="1961" t="n"/>
      <c r="G100" s="1961" t="n"/>
      <c r="H100" s="1961" t="n"/>
      <c r="I100" s="1961" t="n"/>
      <c r="J100" s="1961" t="n"/>
      <c r="K100" s="1961" t="n"/>
      <c r="L100" s="1961" t="n"/>
      <c r="M100" s="1961" t="n"/>
      <c r="N100" s="1961" t="n"/>
      <c r="O100" s="1961" t="n"/>
      <c r="P100" s="1961" t="n"/>
      <c r="Q100" s="1961" t="n"/>
      <c r="R100" s="1961" t="n"/>
      <c r="S100" s="1961" t="n"/>
      <c r="T100" s="1961" t="n"/>
      <c r="U100" s="1961" t="n"/>
      <c r="V100" s="1961" t="n"/>
      <c r="W100" s="1961" t="n"/>
      <c r="X100" s="1961" t="n"/>
      <c r="Y100" s="1961" t="n"/>
      <c r="Z100" s="1961" t="n"/>
      <c r="AA100" s="1961" t="n"/>
      <c r="AB100" s="4180" t="n"/>
      <c r="AC100" s="1961" t="n"/>
      <c r="AD100" s="1961" t="n"/>
      <c r="AE100" s="1961" t="n"/>
      <c r="AF100" s="1961" t="n"/>
      <c r="AG100" s="1961" t="n"/>
      <c r="AH100" s="1961" t="n"/>
      <c r="AI100" s="1961" t="n"/>
      <c r="AS100" s="2598" t="n"/>
      <c r="AT100" s="2598" t="n"/>
      <c r="AU100" s="2598" t="n"/>
      <c r="AV100" s="2598" t="n"/>
      <c r="AW100" s="2598" t="n"/>
      <c r="AX100" s="2598" t="n"/>
      <c r="AY100" s="2598" t="n"/>
      <c r="AZ100" s="2598" t="n"/>
      <c r="BA100" s="2598" t="n"/>
      <c r="BB100" s="2598" t="n"/>
      <c r="BC100" s="2598" t="n"/>
      <c r="BD100" s="2598" t="n"/>
      <c r="BE100" s="2598" t="n"/>
      <c r="BF100" s="2598" t="n"/>
      <c r="BH100" s="1997" t="n"/>
      <c r="BI100" s="1997" t="n"/>
      <c r="BJ100" s="1997" t="n"/>
      <c r="CD100" s="4201">
        <f>CD65</f>
        <v/>
      </c>
      <c r="CE100" s="2598" t="n"/>
      <c r="CF100" s="2598" t="n"/>
      <c r="CG100" s="2598" t="n"/>
      <c r="CH100" s="2598" t="n"/>
      <c r="CI100" s="2598" t="n"/>
      <c r="CJ100" s="2598" t="n"/>
      <c r="CK100" s="4241" t="inlineStr">
        <is>
          <t>Nutrient poor</t>
        </is>
      </c>
      <c r="CL100" s="4241" t="n"/>
      <c r="CM100" s="4241" t="n"/>
      <c r="CN100" s="2598" t="n"/>
      <c r="CO100" s="2598" t="n"/>
      <c r="CP100" s="2598" t="n"/>
      <c r="CQ100" s="2598" t="n"/>
      <c r="CT100" s="2567" t="n"/>
      <c r="CU100" s="2598" t="n"/>
      <c r="CV100" s="2598" t="n"/>
      <c r="CW100" s="2598" t="n"/>
      <c r="CX100" s="2598" t="n"/>
      <c r="CY100" s="2598" t="n"/>
      <c r="CZ100" s="2598" t="n"/>
      <c r="DA100" s="2598" t="n"/>
      <c r="DB100" s="2567" t="n"/>
      <c r="DC100" s="2567" t="n"/>
      <c r="DD100" s="2567" t="n"/>
      <c r="DE100" s="2567" t="n"/>
      <c r="DF100" s="2567" t="n"/>
      <c r="DG100" s="2567" t="n"/>
      <c r="DH100" s="2567" t="n"/>
      <c r="DI100" s="2567" t="n"/>
      <c r="DJ100" s="2567" t="n"/>
      <c r="DK100" s="2567" t="n"/>
      <c r="DL100" s="2567" t="n"/>
      <c r="DM100" s="2567" t="n"/>
      <c r="DN100" s="2567" t="n"/>
      <c r="DO100" s="2567" t="n"/>
      <c r="DP100" s="2567" t="n"/>
      <c r="DU100" s="2598" t="n"/>
      <c r="DV100" s="2598" t="n"/>
      <c r="DW100" s="2598" t="n"/>
      <c r="DX100" s="2598" t="n"/>
      <c r="DY100" s="2598" t="n"/>
      <c r="DZ100" s="2598" t="n"/>
      <c r="EA100" s="2598" t="n"/>
      <c r="EB100" s="2598" t="n"/>
      <c r="EC100" s="2598" t="n"/>
      <c r="ED100" s="2598" t="n"/>
      <c r="EE100" s="2598" t="n"/>
      <c r="EF100" s="4197" t="n"/>
      <c r="EG100" s="4181" t="n"/>
      <c r="EH100" s="2598" t="n"/>
    </row>
    <row r="101">
      <c r="B101" s="1961" t="n"/>
      <c r="C101" s="4178" t="n"/>
      <c r="D101" s="1961" t="n"/>
      <c r="E101" s="1961" t="n"/>
      <c r="F101" s="1961" t="n"/>
      <c r="G101" s="1961" t="n"/>
      <c r="H101" s="1961" t="n"/>
      <c r="I101" s="1961" t="n"/>
      <c r="J101" s="1961" t="n"/>
      <c r="K101" s="1961" t="n"/>
      <c r="L101" s="1961" t="n"/>
      <c r="M101" s="1961" t="n"/>
      <c r="N101" s="1961" t="n"/>
      <c r="O101" s="1961" t="n"/>
      <c r="P101" s="1961" t="n"/>
      <c r="Q101" s="1961" t="n"/>
      <c r="R101" s="1961" t="n"/>
      <c r="S101" s="1961" t="n"/>
      <c r="T101" s="1961" t="n"/>
      <c r="U101" s="1961" t="n"/>
      <c r="V101" s="1961" t="n"/>
      <c r="W101" s="1961" t="n"/>
      <c r="X101" s="1961" t="n"/>
      <c r="Y101" s="1961" t="n"/>
      <c r="Z101" s="1961" t="n"/>
      <c r="AA101" s="1961" t="n"/>
      <c r="AB101" s="1961" t="n"/>
      <c r="AC101" s="4199">
        <f>Languages!B371</f>
        <v/>
      </c>
      <c r="AD101" s="4198" t="n"/>
      <c r="AE101" s="4200">
        <f>SUM(AE80:AE85)+SUM(AE91:AE96)</f>
        <v/>
      </c>
      <c r="AF101" s="4200">
        <f>SUM(AF80:AF85)+SUM(AF91:AF96)</f>
        <v/>
      </c>
      <c r="AG101" s="2040">
        <f>SUM(AG80:AG85)+SUM(AG91:AG96)</f>
        <v/>
      </c>
      <c r="AH101" s="4198" t="n"/>
      <c r="AI101" s="4198" t="n"/>
      <c r="AS101" s="2598">
        <f>'5.Management'!AQ23</f>
        <v/>
      </c>
      <c r="AT101" s="2598" t="n"/>
      <c r="AU101" s="2598" t="n"/>
      <c r="AV101" s="2598" t="n"/>
      <c r="AW101" s="2598" t="n"/>
      <c r="AX101" s="2598" t="n"/>
      <c r="AY101" s="2598" t="n"/>
      <c r="AZ101" s="2598" t="n"/>
      <c r="BA101" s="2598" t="n"/>
      <c r="BB101" s="2598" t="n"/>
      <c r="BC101" s="2598" t="n"/>
      <c r="BD101" s="2598" t="n"/>
      <c r="BE101" s="2598" t="n"/>
      <c r="BF101" s="2598" t="n"/>
      <c r="BH101" s="1997" t="n"/>
      <c r="BI101" s="1997" t="n"/>
      <c r="BJ101" s="1997" t="n"/>
      <c r="CD101" s="2598">
        <f>CD67</f>
        <v/>
      </c>
      <c r="CE101" s="2598" t="n"/>
      <c r="CF101" s="2598" t="n"/>
      <c r="CG101" s="2598" t="n"/>
      <c r="CH101" s="2598" t="n"/>
      <c r="CI101" s="2598" t="n"/>
      <c r="CJ101" s="2598" t="n"/>
      <c r="CK101" s="2598" t="n"/>
      <c r="CL101" s="2598" t="n"/>
      <c r="CM101" s="2598" t="n"/>
      <c r="CN101" s="2598" t="n"/>
      <c r="CO101" s="2598" t="n"/>
      <c r="CP101" s="2598" t="n"/>
      <c r="CQ101" s="2598" t="n"/>
      <c r="CT101" s="2598">
        <f>CD101</f>
        <v/>
      </c>
      <c r="CU101" s="2598" t="n"/>
      <c r="CV101" s="2598" t="n"/>
      <c r="CW101" s="2598" t="n"/>
      <c r="CX101" s="2598" t="n"/>
      <c r="CY101" s="2598" t="n"/>
      <c r="CZ101" s="2598" t="n"/>
      <c r="DA101" s="2598" t="n"/>
      <c r="DB101" s="2598" t="n"/>
      <c r="DC101" s="2598" t="n"/>
      <c r="DD101" s="2598" t="n"/>
      <c r="DE101" s="2598" t="n"/>
      <c r="DF101" s="2598" t="n"/>
      <c r="DG101" s="2598" t="n"/>
      <c r="DH101" s="2598" t="n"/>
      <c r="DI101" s="2598" t="n"/>
      <c r="DJ101" s="2598" t="n"/>
      <c r="DK101" s="2598" t="n"/>
      <c r="DL101" s="2598" t="n"/>
      <c r="DM101" s="2598" t="n"/>
      <c r="DN101" s="2598" t="n"/>
      <c r="DO101" s="2598" t="n"/>
      <c r="DP101" s="2598" t="n"/>
      <c r="DU101" s="2598">
        <f>CT101</f>
        <v/>
      </c>
      <c r="DV101" s="2598" t="n"/>
      <c r="DW101" s="2598" t="n"/>
      <c r="DX101" s="2598" t="n"/>
      <c r="DY101" s="2598" t="n"/>
      <c r="DZ101" s="2598" t="n"/>
      <c r="EA101" s="2598" t="n"/>
      <c r="EB101" s="2598" t="n"/>
      <c r="EC101" s="2598" t="n"/>
      <c r="ED101" s="2598" t="n"/>
      <c r="EE101" s="2598" t="n"/>
      <c r="EF101" s="2598" t="n"/>
      <c r="EG101" s="2598" t="n"/>
      <c r="EH101" s="2598" t="n"/>
    </row>
    <row r="102">
      <c r="B102" s="1961" t="n"/>
      <c r="C102" s="1961">
        <f>C67</f>
        <v/>
      </c>
      <c r="D102" s="1961" t="n"/>
      <c r="E102" s="1961" t="n"/>
      <c r="F102" s="1961" t="n"/>
      <c r="G102" s="1961" t="n"/>
      <c r="H102" s="1961" t="n"/>
      <c r="I102" s="1961" t="n"/>
      <c r="J102" s="1961" t="n"/>
      <c r="K102" s="1961" t="n"/>
      <c r="L102" s="1961" t="n"/>
      <c r="M102" s="1961" t="n"/>
      <c r="N102" s="1961" t="n"/>
      <c r="O102" s="1961" t="n"/>
      <c r="P102" s="1961" t="n"/>
      <c r="Q102" s="1961" t="n"/>
      <c r="R102" s="1961" t="n"/>
      <c r="S102" s="1961" t="n"/>
      <c r="T102" s="1961" t="n"/>
      <c r="U102" s="1961" t="n"/>
      <c r="V102" s="1961" t="n"/>
      <c r="W102" s="1961" t="n"/>
      <c r="X102" s="1961" t="n"/>
      <c r="Y102" s="1961" t="n"/>
      <c r="Z102" s="1961" t="n"/>
      <c r="AA102" s="1961" t="n"/>
      <c r="AB102" s="1961" t="n"/>
      <c r="AC102" s="1961" t="n"/>
      <c r="AD102" s="1961" t="n"/>
      <c r="AE102" s="1961" t="n"/>
      <c r="AF102" s="1961" t="n"/>
      <c r="AG102" s="1961" t="n"/>
      <c r="AH102" s="1961" t="n"/>
      <c r="AI102" s="1961" t="n"/>
      <c r="AS102" s="2598">
        <f>'5.Management'!AQ24</f>
        <v/>
      </c>
      <c r="AT102" s="2598" t="n"/>
      <c r="AU102" s="2598" t="n"/>
      <c r="AV102" s="2598" t="n"/>
      <c r="AW102" s="2598" t="n"/>
      <c r="AX102" s="2598" t="n"/>
      <c r="AY102" s="2598" t="n"/>
      <c r="AZ102" s="2598" t="n"/>
      <c r="BA102" s="2598" t="n"/>
      <c r="BB102" s="2598" t="n"/>
      <c r="BC102" s="2598" t="n"/>
      <c r="BD102" s="2598" t="n"/>
      <c r="BE102" s="2598" t="n"/>
      <c r="BF102" s="2598" t="n"/>
      <c r="BH102" s="1997" t="n"/>
      <c r="BI102" s="1997" t="n"/>
      <c r="BJ102" s="1997" t="n"/>
      <c r="CD102" s="2598">
        <f>CD68</f>
        <v/>
      </c>
      <c r="CE102" s="2598" t="n"/>
      <c r="CF102" s="2598" t="n"/>
      <c r="CG102" s="2598" t="n"/>
      <c r="CH102" s="2598" t="n"/>
      <c r="CI102" s="2598" t="n"/>
      <c r="CJ102" s="2598" t="n"/>
      <c r="CK102" s="2598" t="n"/>
      <c r="CL102" s="2598" t="n"/>
      <c r="CM102" s="2598" t="n"/>
      <c r="CN102" s="2598" t="n"/>
      <c r="CO102" s="2598" t="n"/>
      <c r="CP102" s="2598" t="n"/>
      <c r="CQ102" s="2598" t="n"/>
      <c r="CT102" s="2598">
        <f>CD102</f>
        <v/>
      </c>
      <c r="CU102" s="2598" t="n"/>
      <c r="CV102" s="2598" t="n"/>
      <c r="CW102" s="2598" t="n"/>
      <c r="CX102" s="2598" t="n"/>
      <c r="CY102" s="2598" t="n"/>
      <c r="CZ102" s="2598" t="n"/>
      <c r="DA102" s="2598" t="n"/>
      <c r="DB102" s="2598" t="n"/>
      <c r="DC102" s="2598" t="n"/>
      <c r="DD102" s="2598" t="n"/>
      <c r="DE102" s="2598" t="n"/>
      <c r="DF102" s="2598" t="n"/>
      <c r="DG102" s="2598" t="n"/>
      <c r="DH102" s="2598" t="n"/>
      <c r="DI102" s="2598" t="n"/>
      <c r="DJ102" s="2598" t="n"/>
      <c r="DK102" s="2598" t="n"/>
      <c r="DL102" s="2598" t="n"/>
      <c r="DM102" s="2598" t="n"/>
      <c r="DN102" s="2598" t="n"/>
      <c r="DO102" s="2598" t="n"/>
      <c r="DP102" s="2598" t="n"/>
      <c r="DU102" s="2598">
        <f>CT102</f>
        <v/>
      </c>
      <c r="DV102" s="2598" t="n"/>
      <c r="DW102" s="2598" t="n"/>
      <c r="DX102" s="2598" t="n"/>
      <c r="DY102" s="2598" t="n"/>
      <c r="DZ102" s="2598" t="n"/>
      <c r="EA102" s="2598" t="n"/>
      <c r="EB102" s="2598" t="n"/>
      <c r="EC102" s="2598" t="n"/>
      <c r="ED102" s="2598" t="n"/>
      <c r="EE102" s="2598" t="n"/>
      <c r="EF102" s="2598" t="n"/>
      <c r="EG102" s="2598" t="n"/>
      <c r="EH102" s="2598" t="n"/>
    </row>
    <row r="110" ht="45" customHeight="1">
      <c r="B110" s="1977" t="n"/>
      <c r="C110" s="2172">
        <f>Languages!B348</f>
        <v/>
      </c>
      <c r="D110" s="1769" t="n"/>
      <c r="E110" s="1769" t="n"/>
      <c r="F110" s="1769" t="n"/>
      <c r="G110" s="1769" t="n"/>
      <c r="H110" s="1769" t="n"/>
      <c r="I110" s="1769" t="n"/>
      <c r="J110" s="1769" t="n"/>
      <c r="K110" s="1769" t="n"/>
      <c r="L110" s="1769" t="n"/>
      <c r="M110" s="1769" t="n"/>
      <c r="N110" s="1769" t="n"/>
      <c r="O110" s="1769" t="n"/>
      <c r="P110" s="1769" t="n"/>
      <c r="Q110" s="1769" t="n"/>
      <c r="R110" s="1769" t="n"/>
      <c r="S110" s="1769" t="n"/>
      <c r="T110" s="1769" t="n"/>
      <c r="U110" s="1769" t="n"/>
      <c r="V110" s="1769" t="n"/>
      <c r="W110" s="1769" t="n"/>
      <c r="X110" s="1769" t="n"/>
      <c r="Y110" s="1769" t="n"/>
      <c r="Z110" s="1769" t="n"/>
      <c r="AA110" s="1769" t="n"/>
      <c r="AB110" s="1769" t="n"/>
      <c r="AC110" s="1769" t="n"/>
      <c r="AD110" s="1769" t="n"/>
      <c r="AE110" s="1769" t="n"/>
      <c r="AF110" s="1769" t="n"/>
      <c r="AG110" s="1769" t="n"/>
      <c r="AH110" s="1769" t="n"/>
      <c r="AI110" s="1769" t="n"/>
    </row>
    <row r="111" ht="5.25" customHeight="1"/>
    <row r="112" ht="45" customHeight="1">
      <c r="B112" s="1977" t="n"/>
      <c r="C112" s="2549">
        <f>Languages!B349</f>
        <v/>
      </c>
      <c r="D112" s="1769" t="n"/>
      <c r="E112" s="1769" t="n"/>
      <c r="F112" s="1769" t="n"/>
      <c r="G112" s="1769" t="n"/>
      <c r="H112" s="1769" t="n"/>
      <c r="I112" s="1769" t="n"/>
      <c r="J112" s="1769" t="n"/>
      <c r="K112" s="1769" t="n"/>
      <c r="L112" s="1769" t="n"/>
      <c r="M112" s="1769" t="n"/>
      <c r="N112" s="1769" t="n"/>
      <c r="O112" s="1769" t="n"/>
      <c r="P112" s="1769" t="n"/>
      <c r="Q112" s="1977" t="n"/>
      <c r="R112" s="1977" t="n"/>
      <c r="S112" s="1977" t="n"/>
      <c r="T112" s="1977" t="n"/>
      <c r="U112" s="1977" t="n"/>
      <c r="V112" s="1977" t="n"/>
      <c r="W112" s="1977" t="n"/>
      <c r="X112" s="1977" t="n"/>
      <c r="Y112" s="1977" t="n"/>
      <c r="Z112" s="1977" t="n"/>
      <c r="AA112" s="4208">
        <f>AA74</f>
        <v/>
      </c>
      <c r="AB112" s="1977" t="n"/>
      <c r="AC112" s="1977" t="n"/>
      <c r="AD112" s="1977" t="n"/>
      <c r="AE112" s="1977" t="n"/>
      <c r="AF112" s="1977" t="n"/>
      <c r="AG112" s="1769" t="n"/>
      <c r="AH112" s="1977" t="n"/>
      <c r="AI112" s="1769" t="n"/>
      <c r="AS112" s="1978">
        <f>C112</f>
        <v/>
      </c>
      <c r="AT112" s="2058" t="n"/>
      <c r="AU112" s="2058" t="n"/>
      <c r="AV112" s="2058" t="n"/>
      <c r="AW112" s="2058" t="n"/>
      <c r="AX112" s="2058" t="n"/>
      <c r="AY112" s="2058" t="n"/>
      <c r="AZ112" s="2058" t="n"/>
      <c r="BA112" s="2058" t="n"/>
      <c r="BB112" s="2058" t="n"/>
      <c r="BC112" s="2058" t="n"/>
      <c r="BD112" s="2058" t="n"/>
      <c r="BE112" s="2058" t="n"/>
      <c r="BF112" s="2058" t="n"/>
      <c r="BG112" s="2058" t="n"/>
      <c r="BH112" s="2058" t="n"/>
      <c r="BI112" s="2058" t="n"/>
      <c r="BJ112" s="2058" t="n"/>
      <c r="BK112" s="2058" t="n"/>
      <c r="BL112" s="2058" t="n"/>
      <c r="BM112" s="2058" t="n"/>
      <c r="BN112" s="1977" t="n"/>
      <c r="BO112" s="1977" t="n"/>
      <c r="BP112" s="1977" t="n"/>
      <c r="BQ112" s="1977" t="n"/>
      <c r="BR112" s="1977" t="n"/>
      <c r="BS112" s="1977" t="n"/>
      <c r="BU112" s="4404" t="inlineStr">
        <is>
          <t>Annual balance</t>
        </is>
      </c>
      <c r="BV112" s="4404" t="n"/>
      <c r="BW112" s="4404" t="n"/>
      <c r="CD112" s="1976">
        <f>Languages!B360</f>
        <v/>
      </c>
      <c r="CE112" s="1977" t="n"/>
      <c r="CF112" s="1977" t="n"/>
      <c r="CG112" s="1977" t="n"/>
      <c r="CH112" s="1977" t="n"/>
      <c r="CI112" s="1977" t="n"/>
      <c r="CJ112" s="1977" t="n"/>
      <c r="CK112" s="1977" t="n"/>
      <c r="CL112" s="1977" t="n"/>
      <c r="CM112" s="1977" t="n"/>
      <c r="CN112" s="1977" t="n"/>
      <c r="CO112" s="1977" t="n"/>
      <c r="CP112" s="1977" t="n"/>
      <c r="CQ112" s="1977" t="n"/>
      <c r="CT112" s="1976">
        <f>Languages!B367</f>
        <v/>
      </c>
      <c r="CU112" s="1977" t="n"/>
      <c r="CV112" s="1977" t="n"/>
      <c r="CW112" s="1977" t="n"/>
      <c r="CX112" s="1977" t="n"/>
      <c r="CY112" s="1977" t="n"/>
      <c r="CZ112" s="1977" t="n"/>
      <c r="DA112" s="1977" t="n"/>
      <c r="DB112" s="1977" t="n"/>
      <c r="DC112" s="1977" t="n"/>
      <c r="DD112" s="1977" t="n"/>
      <c r="DE112" s="1977" t="n"/>
      <c r="DF112" s="1977" t="n"/>
      <c r="DG112" s="1977" t="n"/>
      <c r="DH112" s="1977" t="n"/>
      <c r="DI112" s="1977" t="n"/>
      <c r="DJ112" s="1977" t="n"/>
      <c r="DK112" s="1977" t="n"/>
      <c r="DL112" s="1977" t="n"/>
      <c r="DM112" s="1977" t="n"/>
      <c r="DN112" s="1977" t="n"/>
      <c r="DO112" s="1977" t="n"/>
      <c r="DP112" s="1977" t="n"/>
      <c r="DU112" s="1976">
        <f>Languages!B377</f>
        <v/>
      </c>
      <c r="DV112" s="1977" t="n"/>
      <c r="DW112" s="1977" t="n"/>
      <c r="DX112" s="1977" t="n"/>
      <c r="DY112" s="1977" t="n"/>
      <c r="DZ112" s="1977" t="n"/>
      <c r="EA112" s="1977" t="n"/>
      <c r="EB112" s="1977" t="n"/>
      <c r="EC112" s="1977" t="n"/>
      <c r="ED112" s="1977" t="n"/>
      <c r="EE112" s="1977" t="n"/>
      <c r="EF112" s="1977" t="n"/>
      <c r="EG112" s="1977" t="n"/>
      <c r="EH112" s="1977" t="n"/>
    </row>
    <row r="113" ht="17" customHeight="1">
      <c r="B113" s="1781" t="n"/>
      <c r="C113" s="1781" t="n"/>
      <c r="D113" s="1781" t="n"/>
      <c r="E113" s="1781" t="n"/>
      <c r="F113" s="1781" t="n"/>
      <c r="G113" s="1781" t="n"/>
      <c r="H113" s="1781" t="n"/>
      <c r="I113" s="1781" t="n"/>
      <c r="J113" s="1781" t="n"/>
      <c r="K113" s="1781" t="n"/>
      <c r="L113" s="1781" t="n"/>
      <c r="M113" s="1781" t="n"/>
      <c r="N113" s="1781" t="n"/>
      <c r="O113" s="1781" t="n"/>
      <c r="P113" s="1781" t="n"/>
      <c r="Q113" s="1961" t="n"/>
      <c r="R113" s="1961" t="n"/>
      <c r="S113" s="1961" t="n"/>
      <c r="T113" s="1961" t="n"/>
      <c r="U113" s="1961" t="n"/>
      <c r="V113" s="1961" t="n"/>
      <c r="W113" s="1961" t="n"/>
      <c r="X113" s="1961" t="n"/>
      <c r="Y113" s="1961" t="n"/>
      <c r="Z113" s="1961" t="n"/>
      <c r="AA113" s="1961" t="n"/>
      <c r="AB113" s="1961" t="n"/>
      <c r="AC113" s="1961" t="n"/>
      <c r="AD113" s="1961" t="n"/>
      <c r="AE113" s="1961" t="n"/>
      <c r="AF113" s="1961" t="n"/>
      <c r="AG113" s="1961" t="n"/>
      <c r="AH113" s="1961" t="n"/>
      <c r="AI113" s="1781" t="n"/>
      <c r="AS113" s="2598" t="n"/>
      <c r="AT113" s="4209" t="inlineStr">
        <is>
          <t>0= 0%, very low= 10%, low= 20%, moderate= 40%, large= 60%, extrem= 80%</t>
        </is>
      </c>
      <c r="AU113" s="2598" t="n"/>
      <c r="AV113" s="2598" t="n"/>
      <c r="AW113" s="2061" t="n"/>
      <c r="AX113" s="2061" t="n"/>
      <c r="AY113" s="2061" t="n"/>
      <c r="AZ113" s="2061" t="n"/>
      <c r="BA113" s="2061" t="n"/>
      <c r="BB113" s="2061" t="n"/>
      <c r="BC113" s="2061" t="n"/>
      <c r="BD113" s="2061" t="n"/>
      <c r="BE113" s="2060" t="n"/>
      <c r="BF113" s="2060" t="n"/>
      <c r="BG113" s="2060" t="n"/>
      <c r="BH113" s="2060" t="n"/>
      <c r="BI113" s="2060" t="n"/>
      <c r="BJ113" s="2060" t="n"/>
      <c r="BK113" s="2060" t="n"/>
      <c r="BL113" s="2060" t="n"/>
      <c r="BM113" s="2060" t="n"/>
      <c r="BN113" s="2598" t="n"/>
      <c r="BO113" s="2598" t="n"/>
      <c r="BP113" s="2598" t="n"/>
      <c r="BQ113" s="2598" t="n"/>
      <c r="BR113" s="2598" t="n"/>
      <c r="BS113" s="2598" t="n"/>
      <c r="BU113" s="2598" t="n"/>
      <c r="BV113" s="2598" t="n"/>
      <c r="BW113" s="2598" t="n"/>
      <c r="CD113" s="2598" t="n"/>
      <c r="CE113" s="2598" t="n"/>
      <c r="CF113" s="4176">
        <f>CF75</f>
        <v/>
      </c>
      <c r="CG113" s="4176" t="n"/>
      <c r="CH113" s="4176" t="n"/>
      <c r="CI113" s="4176" t="n"/>
      <c r="CJ113" s="4176" t="n"/>
      <c r="CK113" s="4176" t="n"/>
      <c r="CL113" s="4181" t="n"/>
      <c r="CM113" s="4176">
        <f>CM75</f>
        <v/>
      </c>
      <c r="CN113" s="4176" t="n"/>
      <c r="CO113" s="4176" t="n"/>
      <c r="CP113" s="4176" t="n"/>
      <c r="CQ113" s="2598" t="n"/>
      <c r="CT113" s="2598" t="n"/>
      <c r="CU113" s="2598" t="n"/>
      <c r="CV113" s="2598" t="n"/>
      <c r="CW113" s="2598" t="n"/>
      <c r="CX113" s="2598" t="n"/>
      <c r="CY113" s="2598" t="n"/>
      <c r="CZ113" s="2598" t="n"/>
      <c r="DA113" s="2598" t="n"/>
      <c r="DB113" s="2598" t="n"/>
      <c r="DC113" s="2598" t="n"/>
      <c r="DD113" s="2598" t="n"/>
      <c r="DE113" s="2598" t="n"/>
      <c r="DF113" s="2598" t="n"/>
      <c r="DG113" s="2598" t="n"/>
      <c r="DH113" s="2598" t="n"/>
      <c r="DI113" s="2598" t="n"/>
      <c r="DJ113" s="2598" t="n"/>
      <c r="DK113" s="2598" t="n"/>
      <c r="DL113" s="2598" t="n"/>
      <c r="DM113" s="2598" t="n"/>
      <c r="DN113" s="2598" t="n"/>
      <c r="DO113" s="2598" t="n"/>
      <c r="DP113" s="2598" t="n"/>
      <c r="DU113" s="2598" t="n"/>
      <c r="DV113" s="2598" t="n"/>
      <c r="DW113" s="2598" t="n"/>
      <c r="DX113" s="2598" t="n"/>
      <c r="DY113" s="2598" t="n"/>
      <c r="DZ113" s="2598" t="n"/>
      <c r="EA113" s="2598" t="n"/>
      <c r="EB113" s="2598" t="n"/>
      <c r="EC113" s="2598" t="n"/>
      <c r="ED113" s="2598" t="n"/>
      <c r="EE113" s="2598" t="n"/>
      <c r="EF113" s="2598" t="n"/>
      <c r="EG113" s="2598" t="n"/>
      <c r="EH113" s="2598" t="n"/>
    </row>
    <row r="114" ht="17" customHeight="1">
      <c r="B114" s="1781" t="n"/>
      <c r="C114" s="1781" t="n"/>
      <c r="D114" s="1781" t="n"/>
      <c r="E114" s="1781" t="n"/>
      <c r="F114" s="1781" t="n"/>
      <c r="G114" s="1781" t="n"/>
      <c r="H114" s="1781" t="n"/>
      <c r="I114" s="1781" t="n"/>
      <c r="J114" s="1781" t="n"/>
      <c r="K114" s="1781" t="n"/>
      <c r="L114" s="1781" t="n"/>
      <c r="M114" s="1781" t="n"/>
      <c r="N114" s="1781" t="n"/>
      <c r="O114" s="1781" t="n"/>
      <c r="P114" s="1781" t="n"/>
      <c r="Q114" s="1961" t="n"/>
      <c r="R114" s="1961" t="n"/>
      <c r="S114" s="1961" t="n"/>
      <c r="T114" s="4569">
        <f>Languages!B396</f>
        <v/>
      </c>
      <c r="U114" s="1961" t="n"/>
      <c r="V114" s="1961" t="n"/>
      <c r="W114" s="1961" t="n"/>
      <c r="X114" s="1961" t="n"/>
      <c r="Y114" s="1826" t="n"/>
      <c r="Z114" s="1826" t="n"/>
      <c r="AA114" s="1826" t="n"/>
      <c r="AB114" s="1826" t="n"/>
      <c r="AC114" s="1826" t="n"/>
      <c r="AD114" s="1826" t="n"/>
      <c r="AE114" s="1826" t="n"/>
      <c r="AF114" s="1826" t="n"/>
      <c r="AG114" s="1826" t="n"/>
      <c r="AH114" s="1781" t="n"/>
      <c r="AI114" s="1781" t="n"/>
      <c r="AS114" s="2061" t="n"/>
      <c r="AT114" s="2598" t="n"/>
      <c r="AU114" s="2598" t="n"/>
      <c r="AV114" s="2016" t="inlineStr">
        <is>
          <t>Forest degradation level ( in % of biomass lost)</t>
        </is>
      </c>
      <c r="AW114" s="2063" t="n"/>
      <c r="AX114" s="2064" t="n"/>
      <c r="AY114" s="2064" t="n"/>
      <c r="AZ114" s="2064" t="n"/>
      <c r="BA114" s="2064" t="n"/>
      <c r="BB114" s="2060" t="n"/>
      <c r="BC114" s="4210" t="inlineStr">
        <is>
          <t>Carbon pools of non-degraded forest (all values are in tC/ha)</t>
        </is>
      </c>
      <c r="BD114" s="2065" t="n"/>
      <c r="BE114" s="2066" t="n"/>
      <c r="BF114" s="2066" t="n"/>
      <c r="BG114" s="2066" t="n"/>
      <c r="BH114" s="2066" t="n"/>
      <c r="BI114" s="2066" t="n"/>
      <c r="BJ114" s="2066" t="n"/>
      <c r="BK114" s="2066" t="n"/>
      <c r="BL114" s="2066" t="n"/>
      <c r="BM114" s="2598" t="n"/>
      <c r="BN114" s="4177">
        <f>Languages!B335</f>
        <v/>
      </c>
      <c r="BO114" s="4177" t="n"/>
      <c r="BP114" s="4177" t="n"/>
      <c r="BQ114" s="4177" t="n"/>
      <c r="BR114" s="4177" t="n"/>
      <c r="BS114" s="4177" t="n"/>
      <c r="BU114" s="1784" t="n"/>
      <c r="BV114" s="1784" t="n"/>
      <c r="BW114" s="1997" t="n"/>
      <c r="CD114" s="2598" t="n"/>
      <c r="CE114" s="2598" t="n"/>
      <c r="CF114" s="4187">
        <f>CF76</f>
        <v/>
      </c>
      <c r="CG114" s="2598" t="n"/>
      <c r="CH114" s="4205">
        <f>CH76</f>
        <v/>
      </c>
      <c r="CI114" s="2598" t="n"/>
      <c r="CJ114" s="4185">
        <f>CJ76</f>
        <v/>
      </c>
      <c r="CK114" s="2598" t="n"/>
      <c r="CL114" s="2598" t="n"/>
      <c r="CM114" s="4187">
        <f>CM76</f>
        <v/>
      </c>
      <c r="CN114" s="2598" t="n"/>
      <c r="CO114" s="4187">
        <f>CO76</f>
        <v/>
      </c>
      <c r="CP114" s="2598" t="n"/>
      <c r="CQ114" s="2598" t="n"/>
      <c r="CT114" s="2598" t="n"/>
      <c r="CU114" s="2598" t="n"/>
      <c r="CV114" s="2598" t="n"/>
      <c r="CW114" s="4176" t="inlineStr">
        <is>
          <t>Area (ha)</t>
        </is>
      </c>
      <c r="CX114" s="4177" t="n"/>
      <c r="CY114" s="2598" t="n"/>
      <c r="CZ114" s="4176">
        <f>CZ76</f>
        <v/>
      </c>
      <c r="DA114" s="4176" t="n"/>
      <c r="DB114" s="4177" t="n"/>
      <c r="DC114" s="4177" t="n"/>
      <c r="DD114" s="4177" t="n"/>
      <c r="DE114" s="4177" t="n"/>
      <c r="DF114" s="4177" t="n"/>
      <c r="DG114" s="2598" t="n"/>
      <c r="DH114" s="4176" t="inlineStr">
        <is>
          <t>Emission factors fire</t>
        </is>
      </c>
      <c r="DI114" s="4177" t="n"/>
      <c r="DJ114" s="4177" t="n"/>
      <c r="DK114" s="4177" t="n"/>
      <c r="DL114" s="4177" t="n"/>
      <c r="DM114" s="4177" t="n"/>
      <c r="DN114" s="4177" t="n"/>
      <c r="DO114" s="4177" t="n"/>
      <c r="DP114" s="2598" t="n"/>
      <c r="DU114" s="2598" t="n"/>
      <c r="DV114" s="2598" t="n"/>
      <c r="DW114" s="2598" t="n"/>
      <c r="DX114" s="2598" t="n"/>
      <c r="DY114" s="2598" t="n"/>
      <c r="DZ114" s="2598" t="n"/>
      <c r="EA114" s="2598" t="n"/>
      <c r="EB114" s="2598" t="n"/>
      <c r="EC114" s="2598" t="n"/>
      <c r="ED114" s="2598" t="n"/>
      <c r="EE114" s="2598" t="n"/>
      <c r="EF114" s="2598" t="n"/>
      <c r="EG114" s="2598" t="n"/>
      <c r="EH114" s="2598" t="n"/>
    </row>
    <row r="115" ht="17" customHeight="1">
      <c r="B115" s="1781" t="n"/>
      <c r="C115" s="1780">
        <f>'5.Management'!C10</f>
        <v/>
      </c>
      <c r="D115" s="1781" t="n"/>
      <c r="E115" s="1781" t="n"/>
      <c r="F115" s="2068" t="n"/>
      <c r="G115" s="4392">
        <f>'5.Management'!E10</f>
        <v/>
      </c>
      <c r="H115" s="4393" t="n"/>
      <c r="I115" s="4393" t="n"/>
      <c r="J115" s="4393" t="n"/>
      <c r="K115" s="4393" t="n"/>
      <c r="L115" s="1781" t="n"/>
      <c r="M115" s="4392">
        <f>M10</f>
        <v/>
      </c>
      <c r="N115" s="4393" t="n"/>
      <c r="O115" s="4393" t="n"/>
      <c r="P115" s="4393" t="n"/>
      <c r="Q115" s="2070" t="n"/>
      <c r="R115" s="1961" t="n"/>
      <c r="S115" s="1961" t="inlineStr">
        <is>
          <t> </t>
        </is>
      </c>
      <c r="T115" s="341" t="n"/>
      <c r="U115" s="1838" t="n"/>
      <c r="V115" s="1838" t="n"/>
      <c r="W115" s="1838" t="n"/>
      <c r="X115" s="1838" t="n"/>
      <c r="Y115" s="1826" t="n"/>
      <c r="Z115" s="1826" t="n"/>
      <c r="AA115" s="1826" t="n"/>
      <c r="AB115" s="1826" t="n"/>
      <c r="AC115" s="1826" t="n"/>
      <c r="AD115" s="1826" t="n"/>
      <c r="AE115" s="4211">
        <f>AE77</f>
        <v/>
      </c>
      <c r="AF115" s="4211" t="n"/>
      <c r="AG115" s="4179" t="n"/>
      <c r="AH115" s="1781" t="n"/>
      <c r="AI115" s="1781" t="n"/>
      <c r="AS115" s="2072" t="n"/>
      <c r="AT115" s="2598" t="n"/>
      <c r="AU115" s="2598" t="n"/>
      <c r="AV115" s="2073" t="n"/>
      <c r="AW115" s="2073" t="n"/>
      <c r="AX115" s="2073" t="n"/>
      <c r="AY115" s="2073" t="n"/>
      <c r="AZ115" s="2073" t="n"/>
      <c r="BA115" s="2073" t="n"/>
      <c r="BB115" s="2073" t="n"/>
      <c r="BC115" s="2060" t="n"/>
      <c r="BD115" s="2060" t="n"/>
      <c r="BE115" s="2060" t="n"/>
      <c r="BF115" s="2060" t="n"/>
      <c r="BG115" s="2060" t="n"/>
      <c r="BH115" s="2060" t="n"/>
      <c r="BI115" s="2060" t="n"/>
      <c r="BJ115" s="2060" t="n"/>
      <c r="BK115" s="2060" t="n"/>
      <c r="BL115" s="2060" t="n"/>
      <c r="BM115" s="2598" t="n"/>
      <c r="BN115" s="4185">
        <f>Languages!B12</f>
        <v/>
      </c>
      <c r="BO115" s="2598" t="n"/>
      <c r="BP115" s="2598" t="n"/>
      <c r="BQ115" s="4186">
        <f>Languages!B13</f>
        <v/>
      </c>
      <c r="BR115" s="2598" t="n"/>
      <c r="BS115" s="2598" t="n"/>
      <c r="BU115" s="1890" t="inlineStr">
        <is>
          <t xml:space="preserve">Start year of </t>
        </is>
      </c>
      <c r="BV115" s="1890" t="n"/>
      <c r="BW115" s="1997" t="n"/>
      <c r="CD115" s="2598" t="n"/>
      <c r="CE115" s="4181">
        <f>CE77</f>
        <v/>
      </c>
      <c r="CF115" s="4187">
        <f>CF77</f>
        <v/>
      </c>
      <c r="CG115" s="2567" t="n"/>
      <c r="CH115" s="4185">
        <f>CH77</f>
        <v/>
      </c>
      <c r="CI115" s="2567" t="n"/>
      <c r="CJ115" s="2323">
        <f>CJ77</f>
        <v/>
      </c>
      <c r="CK115" s="2567" t="n"/>
      <c r="CL115" s="2567" t="n"/>
      <c r="CM115" s="4185">
        <f>CM77</f>
        <v/>
      </c>
      <c r="CN115" s="2598" t="n"/>
      <c r="CO115" s="4190">
        <f>CO77</f>
        <v/>
      </c>
      <c r="CP115" s="2598" t="n"/>
      <c r="CQ115" s="2598" t="n"/>
      <c r="CT115" s="2598" t="n"/>
      <c r="CU115" s="4181">
        <f>CE115</f>
        <v/>
      </c>
      <c r="CV115" s="2567" t="n"/>
      <c r="CW115" s="2567" t="n"/>
      <c r="CX115" s="2598" t="n"/>
      <c r="CY115" s="2598" t="n"/>
      <c r="CZ115" s="2598" t="n"/>
      <c r="DA115" s="4187" t="n"/>
      <c r="DB115" s="4187">
        <f>DB77</f>
        <v/>
      </c>
      <c r="DC115" s="2598" t="n"/>
      <c r="DD115" s="2598" t="n"/>
      <c r="DE115" s="4186">
        <f>DE77</f>
        <v/>
      </c>
      <c r="DF115" s="2598" t="n"/>
      <c r="DG115" s="2598" t="n"/>
      <c r="DH115" s="4183">
        <f>DH77</f>
        <v/>
      </c>
      <c r="DI115" s="4183" t="n"/>
      <c r="DJ115" s="4183">
        <f>DJ77</f>
        <v/>
      </c>
      <c r="DK115" s="4183" t="n"/>
      <c r="DL115" s="4183">
        <f>DL77</f>
        <v/>
      </c>
      <c r="DM115" s="4183" t="n"/>
      <c r="DN115" s="4183">
        <f>DN77</f>
        <v/>
      </c>
      <c r="DO115" s="4183" t="n"/>
      <c r="DP115" s="4181" t="n"/>
      <c r="DU115" s="2598" t="n"/>
      <c r="DV115" s="4181">
        <f>DV88</f>
        <v/>
      </c>
      <c r="DW115" s="2598" t="n"/>
      <c r="DX115" s="4176" t="inlineStr">
        <is>
          <t>On site emissions factor</t>
        </is>
      </c>
      <c r="DY115" s="4177" t="n"/>
      <c r="DZ115" s="4177" t="n"/>
      <c r="EA115" s="4177" t="n"/>
      <c r="EB115" s="4177" t="n"/>
      <c r="EC115" s="4177" t="n"/>
      <c r="ED115" s="2598" t="n"/>
      <c r="EE115" s="4176" t="inlineStr">
        <is>
          <t>Off-site emission factor</t>
        </is>
      </c>
      <c r="EF115" s="4177" t="n"/>
      <c r="EG115" s="4177" t="n"/>
      <c r="EH115" s="2598" t="n"/>
    </row>
    <row r="116" ht="17" customHeight="1">
      <c r="B116" s="1781" t="n"/>
      <c r="C116" s="1780">
        <f>'5.Management'!C11</f>
        <v/>
      </c>
      <c r="D116" s="1781" t="n"/>
      <c r="E116" s="1781" t="n"/>
      <c r="F116" s="1781" t="n"/>
      <c r="G116" s="1806">
        <f>S90</f>
        <v/>
      </c>
      <c r="H116" s="1781" t="n"/>
      <c r="I116" s="1806">
        <f>T90</f>
        <v/>
      </c>
      <c r="J116" s="1781" t="n"/>
      <c r="K116" s="1806">
        <f>U90</f>
        <v/>
      </c>
      <c r="L116" s="1781" t="n"/>
      <c r="M116" s="1961" t="n"/>
      <c r="N116" s="1961" t="n"/>
      <c r="O116" s="1961" t="n"/>
      <c r="P116" s="1961" t="n"/>
      <c r="Q116" s="1961" t="n"/>
      <c r="R116" s="1961" t="n"/>
      <c r="S116" s="1961" t="n"/>
      <c r="T116" s="1838">
        <f>X78</f>
        <v/>
      </c>
      <c r="U116" s="1838" t="n"/>
      <c r="V116" s="1838" t="n"/>
      <c r="W116" s="1838" t="n"/>
      <c r="X116" s="1838" t="n"/>
      <c r="Y116" s="1826" t="n"/>
      <c r="Z116" s="1826" t="n"/>
      <c r="AA116" s="1826" t="n"/>
      <c r="AB116" s="1826" t="n"/>
      <c r="AC116" s="1826" t="n"/>
      <c r="AD116" s="1826" t="n"/>
      <c r="AE116" s="1961" t="n"/>
      <c r="AF116" s="1961" t="n"/>
      <c r="AG116" s="1961" t="n"/>
      <c r="AH116" s="1781" t="n"/>
      <c r="AI116" s="1781" t="n"/>
      <c r="AS116" s="2072" t="n"/>
      <c r="AT116" s="2598" t="n"/>
      <c r="AU116" s="2598" t="n"/>
      <c r="AV116" s="1990" t="inlineStr">
        <is>
          <t>Start</t>
        </is>
      </c>
      <c r="AW116" s="2060" t="n"/>
      <c r="AX116" s="1990" t="inlineStr">
        <is>
          <t>Without</t>
        </is>
      </c>
      <c r="AY116" s="2060" t="n"/>
      <c r="AZ116" s="1990" t="inlineStr">
        <is>
          <t>With</t>
        </is>
      </c>
      <c r="BA116" s="2060" t="n"/>
      <c r="BB116" s="2598" t="n"/>
      <c r="BC116" s="1888" t="inlineStr">
        <is>
          <t xml:space="preserve">Above-ground </t>
        </is>
      </c>
      <c r="BD116" s="2074" t="n"/>
      <c r="BE116" s="1888" t="inlineStr">
        <is>
          <t xml:space="preserve">Below-ground </t>
        </is>
      </c>
      <c r="BF116" s="2074" t="n"/>
      <c r="BG116" s="1940" t="inlineStr">
        <is>
          <t>Litter</t>
        </is>
      </c>
      <c r="BH116" s="2074" t="n"/>
      <c r="BI116" s="1888" t="inlineStr">
        <is>
          <t>Dead wood</t>
        </is>
      </c>
      <c r="BJ116" s="2074" t="n"/>
      <c r="BK116" s="1888" t="n"/>
      <c r="BL116" s="2074" t="n"/>
      <c r="BM116" s="2598" t="n"/>
      <c r="BN116" s="2567">
        <f>Languages!B336</f>
        <v/>
      </c>
      <c r="BO116" s="2567">
        <f>Languages!B337</f>
        <v/>
      </c>
      <c r="BP116" s="2598" t="n"/>
      <c r="BQ116" s="2567">
        <f>BN116</f>
        <v/>
      </c>
      <c r="BR116" s="2567">
        <f>BO116</f>
        <v/>
      </c>
      <c r="BS116" s="2598" t="n"/>
      <c r="BU116" s="2015" t="inlineStr">
        <is>
          <t>implementation</t>
        </is>
      </c>
      <c r="BV116" s="2015" t="n"/>
      <c r="BW116" s="1997" t="n"/>
      <c r="CD116" s="2598" t="n"/>
      <c r="CE116" s="2598" t="n"/>
      <c r="CF116" s="2567">
        <f>CF78</f>
        <v/>
      </c>
      <c r="CG116" s="2567">
        <f>CG78</f>
        <v/>
      </c>
      <c r="CH116" s="2567">
        <f>CF116</f>
        <v/>
      </c>
      <c r="CI116" s="2567">
        <f>CG116</f>
        <v/>
      </c>
      <c r="CJ116" s="2567">
        <f>CH116</f>
        <v/>
      </c>
      <c r="CK116" s="2567">
        <f>CI116</f>
        <v/>
      </c>
      <c r="CL116" s="2567" t="n"/>
      <c r="CM116" s="2567">
        <f>CJ116</f>
        <v/>
      </c>
      <c r="CN116" s="2567">
        <f>CK116</f>
        <v/>
      </c>
      <c r="CO116" s="2567">
        <f>CL116</f>
        <v/>
      </c>
      <c r="CP116" s="2567">
        <f>CM116</f>
        <v/>
      </c>
      <c r="CQ116" s="2598" t="n"/>
      <c r="CT116" s="2598" t="n"/>
      <c r="CU116" s="2598" t="n"/>
      <c r="CV116" s="2598" t="n"/>
      <c r="CW116" s="2598" t="n"/>
      <c r="CX116" s="2598" t="n"/>
      <c r="CY116" s="2598" t="n"/>
      <c r="CZ116" s="2598">
        <f>CZ78</f>
        <v/>
      </c>
      <c r="DA116" s="2598" t="n"/>
      <c r="DB116" s="2567">
        <f>DB78</f>
        <v/>
      </c>
      <c r="DC116" s="2567">
        <f>DC78</f>
        <v/>
      </c>
      <c r="DD116" s="2567" t="n"/>
      <c r="DE116" s="2567">
        <f>DB116</f>
        <v/>
      </c>
      <c r="DF116" s="2567">
        <f>DC116</f>
        <v/>
      </c>
      <c r="DG116" s="2598" t="n"/>
      <c r="DH116" s="4189">
        <f>DH78</f>
        <v/>
      </c>
      <c r="DI116" s="4189" t="n"/>
      <c r="DJ116" s="4189">
        <f>DJ78</f>
        <v/>
      </c>
      <c r="DK116" s="4189" t="n"/>
      <c r="DL116" s="4189">
        <f>DL78</f>
        <v/>
      </c>
      <c r="DM116" s="4189" t="n"/>
      <c r="DN116" s="4189">
        <f>DN78</f>
        <v/>
      </c>
      <c r="DO116" s="4189" t="n"/>
      <c r="DP116" s="2598" t="n"/>
      <c r="DU116" s="2598" t="n"/>
      <c r="DV116" s="2598" t="n"/>
      <c r="DW116" s="2598" t="n"/>
      <c r="DX116" s="2598" t="inlineStr">
        <is>
          <t>CO2 on site</t>
        </is>
      </c>
      <c r="DY116" s="2598" t="n"/>
      <c r="DZ116" s="2598" t="inlineStr">
        <is>
          <t>CH4 on-site</t>
        </is>
      </c>
      <c r="EA116" s="2598" t="n"/>
      <c r="EB116" s="2598" t="inlineStr">
        <is>
          <t>N2O</t>
        </is>
      </c>
      <c r="EC116" s="2598" t="n"/>
      <c r="ED116" s="2598" t="n"/>
      <c r="EE116" s="2598" t="inlineStr">
        <is>
          <t>DOC off-site</t>
        </is>
      </c>
      <c r="EF116" s="2598" t="n"/>
      <c r="EG116" s="2598" t="n"/>
      <c r="EH116" s="2598" t="n"/>
    </row>
    <row r="117" ht="17" customHeight="1">
      <c r="B117" s="1781" t="n"/>
      <c r="C117" s="1781" t="n"/>
      <c r="D117" s="1781" t="n"/>
      <c r="E117" s="1781" t="n"/>
      <c r="F117" s="1781" t="n"/>
      <c r="G117" s="1781" t="n"/>
      <c r="H117" s="1781" t="n"/>
      <c r="I117" s="1781" t="n"/>
      <c r="J117" s="1781" t="n"/>
      <c r="K117" s="1781" t="n"/>
      <c r="L117" s="1781" t="n"/>
      <c r="M117" s="1806">
        <f>G116</f>
        <v/>
      </c>
      <c r="N117" s="1806">
        <f>I116</f>
        <v/>
      </c>
      <c r="O117" s="1781" t="inlineStr">
        <is>
          <t>*</t>
        </is>
      </c>
      <c r="P117" s="1806">
        <f>K116</f>
        <v/>
      </c>
      <c r="Q117" s="1781" t="inlineStr">
        <is>
          <t>*</t>
        </is>
      </c>
      <c r="R117" s="1961" t="n"/>
      <c r="S117" s="1961" t="n"/>
      <c r="T117" s="1838">
        <f>X79</f>
        <v/>
      </c>
      <c r="U117" s="1838" t="n"/>
      <c r="V117" s="1838" t="n"/>
      <c r="W117" s="1838" t="n"/>
      <c r="X117" s="1838" t="n"/>
      <c r="Y117" s="1826" t="n"/>
      <c r="Z117" s="1826" t="n"/>
      <c r="AA117" s="1826" t="n"/>
      <c r="AB117" s="1826" t="n"/>
      <c r="AC117" s="1826" t="n"/>
      <c r="AD117" s="1826" t="n"/>
      <c r="AE117" s="1806">
        <f>AE90</f>
        <v/>
      </c>
      <c r="AF117" s="1806">
        <f>AF90</f>
        <v/>
      </c>
      <c r="AG117" s="1780">
        <f>AG90</f>
        <v/>
      </c>
      <c r="AH117" s="1781" t="n"/>
      <c r="AI117" s="1781" t="n"/>
      <c r="AS117" s="2061" t="n"/>
      <c r="AT117" s="2598" t="n"/>
      <c r="AU117" s="2598" t="n"/>
      <c r="AV117" s="2026">
        <f>AW79</f>
        <v/>
      </c>
      <c r="AW117" s="2032">
        <f>AX79</f>
        <v/>
      </c>
      <c r="AX117" s="2026">
        <f>AV117</f>
        <v/>
      </c>
      <c r="AY117" s="2032">
        <f>AW117</f>
        <v/>
      </c>
      <c r="AZ117" s="2032">
        <f>AX117</f>
        <v/>
      </c>
      <c r="BA117" s="2026">
        <f>AY117</f>
        <v/>
      </c>
      <c r="BB117" s="2598" t="n"/>
      <c r="BC117" s="2026">
        <f>AZ117</f>
        <v/>
      </c>
      <c r="BD117" s="2032">
        <f>BA117</f>
        <v/>
      </c>
      <c r="BE117" s="2026">
        <f>BC117</f>
        <v/>
      </c>
      <c r="BF117" s="2032">
        <f>BD117</f>
        <v/>
      </c>
      <c r="BG117" s="2026">
        <f>BE117</f>
        <v/>
      </c>
      <c r="BH117" s="2032">
        <f>BF117</f>
        <v/>
      </c>
      <c r="BI117" s="2026">
        <f>BG117</f>
        <v/>
      </c>
      <c r="BJ117" s="2032">
        <f>BH117</f>
        <v/>
      </c>
      <c r="BK117" s="2026" t="n"/>
      <c r="BL117" s="2032" t="n"/>
      <c r="BM117" s="2598" t="n"/>
      <c r="BN117" s="2567">
        <f>Languages!B340</f>
        <v/>
      </c>
      <c r="BO117" s="2567">
        <f>Languages!B339</f>
        <v/>
      </c>
      <c r="BP117" s="2598" t="n"/>
      <c r="BQ117" s="2567">
        <f>BN117</f>
        <v/>
      </c>
      <c r="BR117" s="2567">
        <f>BO117</f>
        <v/>
      </c>
      <c r="BS117" s="2598" t="n"/>
      <c r="BU117" s="1997" t="n"/>
      <c r="BV117" s="1894" t="n"/>
      <c r="BW117" s="1997" t="n"/>
      <c r="CD117" s="2598" t="n"/>
      <c r="CE117" s="2598" t="n"/>
      <c r="CF117" s="2598" t="n"/>
      <c r="CG117" s="2598" t="n"/>
      <c r="CH117" s="2598" t="n"/>
      <c r="CI117" s="2598" t="n"/>
      <c r="CJ117" s="2598" t="n"/>
      <c r="CK117" s="2598" t="n"/>
      <c r="CL117" s="2598" t="n"/>
      <c r="CM117" s="2598" t="n"/>
      <c r="CN117" s="2598" t="n"/>
      <c r="CO117" s="2598" t="n"/>
      <c r="CP117" s="2598" t="n"/>
      <c r="CQ117" s="2598" t="n"/>
      <c r="CT117" s="2598" t="n"/>
      <c r="CU117" s="2323" t="n"/>
      <c r="CV117" s="2592" t="n"/>
      <c r="CW117" s="2592" t="n"/>
      <c r="CX117" s="2598" t="n"/>
      <c r="CY117" s="2598" t="n"/>
      <c r="CZ117" s="2598" t="n"/>
      <c r="DA117" s="2598" t="n"/>
      <c r="DB117" s="2567">
        <f>DB79</f>
        <v/>
      </c>
      <c r="DC117" s="2567">
        <f>DC79</f>
        <v/>
      </c>
      <c r="DD117" s="2567" t="n"/>
      <c r="DE117" s="2567">
        <f>DB117</f>
        <v/>
      </c>
      <c r="DF117" s="2567">
        <f>DC117</f>
        <v/>
      </c>
      <c r="DG117" s="2598" t="n"/>
      <c r="DH117" s="2567">
        <f>DH79</f>
        <v/>
      </c>
      <c r="DI117" s="2567">
        <f>DI79</f>
        <v/>
      </c>
      <c r="DJ117" s="2567">
        <f>DH117</f>
        <v/>
      </c>
      <c r="DK117" s="2567">
        <f>DI117</f>
        <v/>
      </c>
      <c r="DL117" s="2567">
        <f>DJ117</f>
        <v/>
      </c>
      <c r="DM117" s="2567">
        <f>DK117</f>
        <v/>
      </c>
      <c r="DN117" s="2567">
        <f>DL117</f>
        <v/>
      </c>
      <c r="DO117" s="2567">
        <f>DM117</f>
        <v/>
      </c>
      <c r="DP117" s="2598" t="n"/>
      <c r="DU117" s="2598" t="n"/>
      <c r="DV117" s="2598" t="n"/>
      <c r="DW117" s="2598" t="n"/>
      <c r="DX117" s="2598" t="inlineStr">
        <is>
          <t>tC/ha/yr</t>
        </is>
      </c>
      <c r="DY117" s="2598" t="n"/>
      <c r="DZ117" s="2598" t="inlineStr">
        <is>
          <t>kg CH4-C/ha/yr</t>
        </is>
      </c>
      <c r="EA117" s="2598" t="n"/>
      <c r="EB117" s="2598" t="inlineStr">
        <is>
          <t>kg N2O-N/ha/yr</t>
        </is>
      </c>
      <c r="EC117" s="2598" t="n"/>
      <c r="ED117" s="2598" t="n"/>
      <c r="EE117" s="2598" t="inlineStr">
        <is>
          <t>tC/ha/yr</t>
        </is>
      </c>
      <c r="EF117" s="2598" t="n"/>
      <c r="EG117" s="2598" t="n"/>
      <c r="EH117" s="2598" t="n"/>
    </row>
    <row r="118">
      <c r="B118" s="1781" t="n"/>
      <c r="C118" s="2133" t="inlineStr">
        <is>
          <t>Please select</t>
        </is>
      </c>
      <c r="D118" s="1781" t="n"/>
      <c r="E118" s="1781" t="n"/>
      <c r="F118" s="1781" t="n"/>
      <c r="G118" s="2135" t="inlineStr">
        <is>
          <t>Please select</t>
        </is>
      </c>
      <c r="H118" s="1781" t="n"/>
      <c r="I118" s="2135" t="inlineStr">
        <is>
          <t>Please select</t>
        </is>
      </c>
      <c r="J118" s="1806" t="n"/>
      <c r="K118" s="2135" t="inlineStr">
        <is>
          <t>Please select</t>
        </is>
      </c>
      <c r="L118" s="1781" t="n"/>
      <c r="M118" s="2107" t="n">
        <v>0</v>
      </c>
      <c r="N118" s="1841">
        <f>M118</f>
        <v/>
      </c>
      <c r="O118" s="2108" t="inlineStr">
        <is>
          <t>D</t>
        </is>
      </c>
      <c r="P118" s="1841">
        <f>M118</f>
        <v/>
      </c>
      <c r="Q118" s="2108" t="inlineStr">
        <is>
          <t>D</t>
        </is>
      </c>
      <c r="R118" s="1961" t="n"/>
      <c r="S118" s="1838" t="n"/>
      <c r="T118" s="4230" t="inlineStr">
        <is>
          <t>Y/N</t>
        </is>
      </c>
      <c r="U118" s="1838" t="n"/>
      <c r="V118" s="1838" t="n"/>
      <c r="W118" s="1838" t="n"/>
      <c r="X118" s="1838" t="n"/>
      <c r="Y118" s="1826" t="n"/>
      <c r="Z118" s="1826" t="n"/>
      <c r="AA118" s="1826" t="n"/>
      <c r="AB118" s="1826" t="n"/>
      <c r="AC118" s="1826" t="n"/>
      <c r="AD118" s="1826" t="n"/>
      <c r="AE118" s="1841">
        <f>+'Inl. wetlands'!AI339</f>
        <v/>
      </c>
      <c r="AF118" s="1841">
        <f>+'Inl. wetlands'!AJ339</f>
        <v/>
      </c>
      <c r="AG118" s="1806">
        <f>AF118-AE118</f>
        <v/>
      </c>
      <c r="AH118" s="1781" t="n"/>
      <c r="AI118" s="1781" t="n"/>
      <c r="AS118" s="1801">
        <f>C118</f>
        <v/>
      </c>
      <c r="AT118" s="2598" t="n"/>
      <c r="AU118" s="2598" t="n"/>
      <c r="AV118" s="4212">
        <f>VLOOKUP($G118, list!$O$7:$P$13, 2, FALSE)</f>
        <v/>
      </c>
      <c r="AW118" s="4273" t="n"/>
      <c r="AX118" s="4212">
        <f>VLOOKUP($I118, list!$O$7:$P$13, 2, FALSE)</f>
        <v/>
      </c>
      <c r="AY118" s="4273" t="n"/>
      <c r="AZ118" s="4212">
        <f>VLOOKUP($K118, list!$O$7:$P$13, 2, FALSE)</f>
        <v/>
      </c>
      <c r="BA118" s="4273" t="n"/>
      <c r="BB118" s="2598" t="n"/>
      <c r="BC118" s="2001">
        <f>'Inl. wetlands'!C327</f>
        <v/>
      </c>
      <c r="BD118" s="4243" t="n"/>
      <c r="BE118" s="4666">
        <f>'Inl. wetlands'!E327</f>
        <v/>
      </c>
      <c r="BF118" s="4243" t="n"/>
      <c r="BG118" s="2001">
        <f>'Inl. wetlands'!G327</f>
        <v/>
      </c>
      <c r="BH118" s="4243" t="n"/>
      <c r="BI118" s="2001">
        <f>'Inl. wetlands'!I327</f>
        <v/>
      </c>
      <c r="BJ118" s="4243" t="n"/>
      <c r="BK118" s="2001" t="n"/>
      <c r="BL118" s="1801" t="n"/>
      <c r="BM118" s="2598" t="n"/>
      <c r="BN118" s="4232" t="n">
        <v>1</v>
      </c>
      <c r="BO118" s="4244" t="n">
        <v>1</v>
      </c>
      <c r="BP118" s="2598" t="n"/>
      <c r="BQ118" s="4232" t="n">
        <v>1</v>
      </c>
      <c r="BR118" s="4244" t="n">
        <v>1</v>
      </c>
      <c r="BS118" s="2598" t="n"/>
      <c r="BU118" s="4401" t="n">
        <v>1</v>
      </c>
      <c r="BV118" s="4402" t="n"/>
      <c r="BW118" s="1997" t="n"/>
      <c r="CD118" s="2598" t="n"/>
      <c r="CE118" s="2598">
        <f>C118</f>
        <v/>
      </c>
      <c r="CF118" s="4192">
        <f>'Inl. wetlands'!B373</f>
        <v/>
      </c>
      <c r="CG118" s="4245" t="n"/>
      <c r="CH118" s="4192">
        <f>'Inl. wetlands'!D373</f>
        <v/>
      </c>
      <c r="CI118" s="4245" t="n"/>
      <c r="CJ118" s="4192">
        <f>'Inl. wetlands'!F373</f>
        <v/>
      </c>
      <c r="CK118" s="4245" t="n"/>
      <c r="CL118" s="2598" t="n"/>
      <c r="CM118" s="4192">
        <f>'Inl. wetlands'!H373</f>
        <v/>
      </c>
      <c r="CN118" s="4245" t="n"/>
      <c r="CO118" s="4192">
        <f>'Inl. wetlands'!J373</f>
        <v/>
      </c>
      <c r="CP118" s="4245" t="n"/>
      <c r="CQ118" s="2598" t="n"/>
      <c r="CT118" s="2567" t="n"/>
      <c r="CU118" s="2323">
        <f>CE118</f>
        <v/>
      </c>
      <c r="CV118" s="2592" t="n"/>
      <c r="CW118" s="2592">
        <f>M118</f>
        <v/>
      </c>
      <c r="CX118" s="2567" t="n"/>
      <c r="CY118" s="2567" t="n"/>
      <c r="CZ118" s="4141" t="inlineStr">
        <is>
          <t>Please select</t>
        </is>
      </c>
      <c r="DA118" s="2567" t="n"/>
      <c r="DB118" s="2133" t="n">
        <v>1</v>
      </c>
      <c r="DC118" s="4246" t="n">
        <v>1</v>
      </c>
      <c r="DD118" s="4207" t="n"/>
      <c r="DE118" s="2133" t="n">
        <v>1</v>
      </c>
      <c r="DF118" s="4246" t="n">
        <v>1</v>
      </c>
      <c r="DG118" s="2567" t="n"/>
      <c r="DH118" s="2592">
        <f>'Inl. wetlands'!O357</f>
        <v/>
      </c>
      <c r="DI118" s="2133" t="n"/>
      <c r="DJ118" s="2592">
        <f>'Inl. wetlands'!Q357</f>
        <v/>
      </c>
      <c r="DK118" s="2133" t="n"/>
      <c r="DL118" s="2592">
        <f>'Inl. wetlands'!S357</f>
        <v/>
      </c>
      <c r="DM118" s="2133" t="n"/>
      <c r="DN118" s="2592">
        <f>'Inl. wetlands'!U357</f>
        <v/>
      </c>
      <c r="DO118" s="2133" t="n"/>
      <c r="DP118" s="2567" t="n"/>
      <c r="DU118" s="2598" t="n"/>
      <c r="DV118" s="2598">
        <f>C118</f>
        <v/>
      </c>
      <c r="DW118" s="2598" t="n"/>
      <c r="DX118" s="4728">
        <f>'Inl. wetlands'!H388</f>
        <v/>
      </c>
      <c r="DY118" s="4241" t="n"/>
      <c r="DZ118" s="4191">
        <f>'Inl. wetlands'!J388</f>
        <v/>
      </c>
      <c r="EA118" s="4241" t="n"/>
      <c r="EB118" s="4191">
        <f>'Inl. wetlands'!L388</f>
        <v/>
      </c>
      <c r="EC118" s="4241" t="n"/>
      <c r="ED118" s="2598" t="n"/>
      <c r="EE118" s="4192">
        <f>'Inl. wetlands'!N388</f>
        <v/>
      </c>
      <c r="EF118" s="4241" t="n"/>
      <c r="EG118" s="2598" t="n"/>
      <c r="EH118" s="2598" t="n"/>
    </row>
    <row r="119">
      <c r="B119" s="1781" t="n"/>
      <c r="C119" s="2133" t="inlineStr">
        <is>
          <t>Please select</t>
        </is>
      </c>
      <c r="D119" s="1781" t="n"/>
      <c r="E119" s="1781" t="n"/>
      <c r="F119" s="1781" t="n"/>
      <c r="G119" s="2135" t="inlineStr">
        <is>
          <t>Please select</t>
        </is>
      </c>
      <c r="H119" s="1781" t="n"/>
      <c r="I119" s="2135" t="inlineStr">
        <is>
          <t>Please select</t>
        </is>
      </c>
      <c r="J119" s="1806" t="n"/>
      <c r="K119" s="2135" t="inlineStr">
        <is>
          <t>Please select</t>
        </is>
      </c>
      <c r="L119" s="1781" t="n"/>
      <c r="M119" s="2107" t="n">
        <v>0</v>
      </c>
      <c r="N119" s="1841">
        <f>M119</f>
        <v/>
      </c>
      <c r="O119" s="2108" t="inlineStr">
        <is>
          <t>D</t>
        </is>
      </c>
      <c r="P119" s="1841">
        <f>M119</f>
        <v/>
      </c>
      <c r="Q119" s="2108" t="inlineStr">
        <is>
          <t>D</t>
        </is>
      </c>
      <c r="R119" s="1781" t="n"/>
      <c r="S119" s="1838" t="n"/>
      <c r="T119" s="4230" t="inlineStr">
        <is>
          <t>Y/N</t>
        </is>
      </c>
      <c r="U119" s="1838" t="n"/>
      <c r="V119" s="1838" t="n"/>
      <c r="W119" s="1838" t="n"/>
      <c r="X119" s="1838" t="n"/>
      <c r="Y119" s="1826" t="n"/>
      <c r="Z119" s="1826" t="n"/>
      <c r="AA119" s="1826" t="n"/>
      <c r="AB119" s="1826" t="n"/>
      <c r="AC119" s="1826" t="n"/>
      <c r="AD119" s="1826" t="n"/>
      <c r="AE119" s="1841">
        <f>+'Inl. wetlands'!AI340</f>
        <v/>
      </c>
      <c r="AF119" s="1841">
        <f>+'Inl. wetlands'!AJ340</f>
        <v/>
      </c>
      <c r="AG119" s="1806">
        <f>AF119-AE119</f>
        <v/>
      </c>
      <c r="AH119" s="1781" t="n"/>
      <c r="AI119" s="1781" t="n"/>
      <c r="AS119" s="1801">
        <f>C119</f>
        <v/>
      </c>
      <c r="AT119" s="2598" t="n"/>
      <c r="AU119" s="2598" t="n"/>
      <c r="AV119" s="4212">
        <f>VLOOKUP($G119, list!$O$7:$P$13, 2, FALSE)</f>
        <v/>
      </c>
      <c r="AW119" s="4273" t="n"/>
      <c r="AX119" s="4212">
        <f>VLOOKUP($I119, list!$O$7:$P$13, 2, FALSE)</f>
        <v/>
      </c>
      <c r="AY119" s="4273" t="n"/>
      <c r="AZ119" s="4212">
        <f>VLOOKUP($K119, list!$O$7:$P$13, 2, FALSE)</f>
        <v/>
      </c>
      <c r="BA119" s="4273" t="n"/>
      <c r="BB119" s="2598" t="n"/>
      <c r="BC119" s="2001">
        <f>'Inl. wetlands'!C328</f>
        <v/>
      </c>
      <c r="BD119" s="4243" t="n"/>
      <c r="BE119" s="4666">
        <f>'Inl. wetlands'!E328</f>
        <v/>
      </c>
      <c r="BF119" s="4243" t="n"/>
      <c r="BG119" s="2001">
        <f>'Inl. wetlands'!G328</f>
        <v/>
      </c>
      <c r="BH119" s="4243" t="n"/>
      <c r="BI119" s="2001">
        <f>'Inl. wetlands'!I328</f>
        <v/>
      </c>
      <c r="BJ119" s="4243" t="n"/>
      <c r="BK119" s="2001" t="n"/>
      <c r="BL119" s="1801" t="n"/>
      <c r="BM119" s="2598" t="n"/>
      <c r="BN119" s="4232" t="n">
        <v>1</v>
      </c>
      <c r="BO119" s="4244" t="n">
        <v>1</v>
      </c>
      <c r="BP119" s="2598" t="n"/>
      <c r="BQ119" s="4232" t="n">
        <v>1</v>
      </c>
      <c r="BR119" s="4244" t="n">
        <v>1</v>
      </c>
      <c r="BS119" s="2598" t="n"/>
      <c r="BU119" s="4401" t="n">
        <v>1</v>
      </c>
      <c r="BV119" s="4402" t="n"/>
      <c r="BW119" s="1997" t="n"/>
      <c r="CD119" s="2598" t="n"/>
      <c r="CE119" s="2598">
        <f>C119</f>
        <v/>
      </c>
      <c r="CF119" s="4192">
        <f>'Inl. wetlands'!B374</f>
        <v/>
      </c>
      <c r="CG119" s="4245" t="n"/>
      <c r="CH119" s="4192">
        <f>'Inl. wetlands'!D374</f>
        <v/>
      </c>
      <c r="CI119" s="4245" t="n"/>
      <c r="CJ119" s="4192">
        <f>'Inl. wetlands'!F374</f>
        <v/>
      </c>
      <c r="CK119" s="4245" t="n"/>
      <c r="CL119" s="2598" t="n"/>
      <c r="CM119" s="4192">
        <f>'Inl. wetlands'!H374</f>
        <v/>
      </c>
      <c r="CN119" s="4245" t="n"/>
      <c r="CO119" s="4192">
        <f>'Inl. wetlands'!J374</f>
        <v/>
      </c>
      <c r="CP119" s="4245" t="n"/>
      <c r="CQ119" s="2598" t="n"/>
      <c r="CT119" s="2567" t="n"/>
      <c r="CU119" s="2323">
        <f>CE119</f>
        <v/>
      </c>
      <c r="CV119" s="2592" t="n"/>
      <c r="CW119" s="2592">
        <f>M119</f>
        <v/>
      </c>
      <c r="CX119" s="2567" t="n"/>
      <c r="CY119" s="2567" t="n"/>
      <c r="CZ119" s="4141" t="inlineStr">
        <is>
          <t>Please select</t>
        </is>
      </c>
      <c r="DA119" s="2567" t="n"/>
      <c r="DB119" s="2133" t="n">
        <v>1</v>
      </c>
      <c r="DC119" s="4246" t="n">
        <v>1</v>
      </c>
      <c r="DD119" s="4207" t="n"/>
      <c r="DE119" s="2133" t="n">
        <v>1</v>
      </c>
      <c r="DF119" s="4246" t="n">
        <v>1</v>
      </c>
      <c r="DG119" s="2567" t="n"/>
      <c r="DH119" s="2592">
        <f>'Inl. wetlands'!O358</f>
        <v/>
      </c>
      <c r="DI119" s="2133" t="n"/>
      <c r="DJ119" s="2592">
        <f>'Inl. wetlands'!Q358</f>
        <v/>
      </c>
      <c r="DK119" s="2133" t="n"/>
      <c r="DL119" s="2592">
        <f>'Inl. wetlands'!S358</f>
        <v/>
      </c>
      <c r="DM119" s="2133" t="n"/>
      <c r="DN119" s="2592">
        <f>'Inl. wetlands'!U358</f>
        <v/>
      </c>
      <c r="DO119" s="2133" t="n"/>
      <c r="DP119" s="2567" t="n"/>
      <c r="DU119" s="2598" t="n"/>
      <c r="DV119" s="2598">
        <f>C119</f>
        <v/>
      </c>
      <c r="DW119" s="2598" t="n"/>
      <c r="DX119" s="4728">
        <f>'Inl. wetlands'!H389</f>
        <v/>
      </c>
      <c r="DY119" s="4241" t="n"/>
      <c r="DZ119" s="4191">
        <f>'Inl. wetlands'!J389</f>
        <v/>
      </c>
      <c r="EA119" s="4241" t="n"/>
      <c r="EB119" s="4191">
        <f>'Inl. wetlands'!L389</f>
        <v/>
      </c>
      <c r="EC119" s="4241" t="n"/>
      <c r="ED119" s="2598" t="n"/>
      <c r="EE119" s="4192">
        <f>'Inl. wetlands'!N389</f>
        <v/>
      </c>
      <c r="EF119" s="4241" t="n"/>
      <c r="EG119" s="2598" t="n"/>
      <c r="EH119" s="2598" t="n"/>
    </row>
    <row r="120">
      <c r="B120" s="1781" t="n"/>
      <c r="C120" s="2133" t="inlineStr">
        <is>
          <t>Please select</t>
        </is>
      </c>
      <c r="D120" s="1781" t="n"/>
      <c r="E120" s="1781" t="n"/>
      <c r="F120" s="1781" t="n"/>
      <c r="G120" s="2135" t="inlineStr">
        <is>
          <t>Please select</t>
        </is>
      </c>
      <c r="H120" s="1781" t="n"/>
      <c r="I120" s="2135" t="inlineStr">
        <is>
          <t>Please select</t>
        </is>
      </c>
      <c r="J120" s="1806" t="n"/>
      <c r="K120" s="2135" t="inlineStr">
        <is>
          <t>Please select</t>
        </is>
      </c>
      <c r="L120" s="1781" t="n"/>
      <c r="M120" s="2107" t="n">
        <v>0</v>
      </c>
      <c r="N120" s="1841">
        <f>M120</f>
        <v/>
      </c>
      <c r="O120" s="2108" t="inlineStr">
        <is>
          <t>D</t>
        </is>
      </c>
      <c r="P120" s="1841">
        <f>M120</f>
        <v/>
      </c>
      <c r="Q120" s="2108" t="inlineStr">
        <is>
          <t>D</t>
        </is>
      </c>
      <c r="R120" s="1781" t="n"/>
      <c r="S120" s="1838" t="n"/>
      <c r="T120" s="4230" t="inlineStr">
        <is>
          <t>Y/N</t>
        </is>
      </c>
      <c r="U120" s="1838" t="n"/>
      <c r="V120" s="1838" t="n"/>
      <c r="W120" s="1838" t="n"/>
      <c r="X120" s="1838" t="n"/>
      <c r="Y120" s="1826" t="n"/>
      <c r="Z120" s="1826" t="n"/>
      <c r="AA120" s="1826" t="n"/>
      <c r="AB120" s="1826" t="n"/>
      <c r="AC120" s="1826" t="n"/>
      <c r="AD120" s="1826" t="n"/>
      <c r="AE120" s="1841">
        <f>+'Inl. wetlands'!AI341</f>
        <v/>
      </c>
      <c r="AF120" s="1841">
        <f>+'Inl. wetlands'!AJ341</f>
        <v/>
      </c>
      <c r="AG120" s="1806">
        <f>AF120-AE120</f>
        <v/>
      </c>
      <c r="AH120" s="1781" t="n"/>
      <c r="AI120" s="1781" t="n"/>
      <c r="AS120" s="1801">
        <f>C120</f>
        <v/>
      </c>
      <c r="AT120" s="2598" t="n"/>
      <c r="AU120" s="2598" t="n"/>
      <c r="AV120" s="4212">
        <f>VLOOKUP($G120, list!$O$7:$P$13, 2, FALSE)</f>
        <v/>
      </c>
      <c r="AW120" s="4273" t="n"/>
      <c r="AX120" s="4212">
        <f>VLOOKUP($I120, list!$O$7:$P$13, 2, FALSE)</f>
        <v/>
      </c>
      <c r="AY120" s="4273" t="n"/>
      <c r="AZ120" s="4212">
        <f>VLOOKUP($K120, list!$O$7:$P$13, 2, FALSE)</f>
        <v/>
      </c>
      <c r="BA120" s="4273" t="n"/>
      <c r="BB120" s="2598" t="n"/>
      <c r="BC120" s="2001">
        <f>'Inl. wetlands'!C329</f>
        <v/>
      </c>
      <c r="BD120" s="4243" t="n"/>
      <c r="BE120" s="4666">
        <f>'Inl. wetlands'!E329</f>
        <v/>
      </c>
      <c r="BF120" s="4243" t="n"/>
      <c r="BG120" s="2001">
        <f>'Inl. wetlands'!G329</f>
        <v/>
      </c>
      <c r="BH120" s="4243" t="n"/>
      <c r="BI120" s="2001">
        <f>'Inl. wetlands'!I329</f>
        <v/>
      </c>
      <c r="BJ120" s="4243" t="n"/>
      <c r="BK120" s="2001" t="n"/>
      <c r="BL120" s="1801" t="n"/>
      <c r="BM120" s="2598" t="n"/>
      <c r="BN120" s="4232" t="n">
        <v>1</v>
      </c>
      <c r="BO120" s="4244" t="n">
        <v>1</v>
      </c>
      <c r="BP120" s="2598" t="n"/>
      <c r="BQ120" s="4232" t="n">
        <v>1</v>
      </c>
      <c r="BR120" s="4244" t="n">
        <v>1</v>
      </c>
      <c r="BS120" s="2598" t="n"/>
      <c r="BU120" s="4401" t="n">
        <v>1</v>
      </c>
      <c r="BV120" s="4402" t="n"/>
      <c r="BW120" s="1997" t="n"/>
      <c r="CD120" s="2598" t="n"/>
      <c r="CE120" s="2598">
        <f>C120</f>
        <v/>
      </c>
      <c r="CF120" s="4192">
        <f>'Inl. wetlands'!B375</f>
        <v/>
      </c>
      <c r="CG120" s="4245" t="n"/>
      <c r="CH120" s="4192">
        <f>'Inl. wetlands'!D375</f>
        <v/>
      </c>
      <c r="CI120" s="4245" t="n"/>
      <c r="CJ120" s="4192">
        <f>'Inl. wetlands'!F375</f>
        <v/>
      </c>
      <c r="CK120" s="4245" t="n"/>
      <c r="CL120" s="2598" t="n"/>
      <c r="CM120" s="4192">
        <f>'Inl. wetlands'!H375</f>
        <v/>
      </c>
      <c r="CN120" s="4245" t="n"/>
      <c r="CO120" s="4192">
        <f>'Inl. wetlands'!J375</f>
        <v/>
      </c>
      <c r="CP120" s="4245" t="n"/>
      <c r="CQ120" s="2598" t="n"/>
      <c r="CT120" s="2567" t="n"/>
      <c r="CU120" s="2323">
        <f>CE120</f>
        <v/>
      </c>
      <c r="CV120" s="2592" t="n"/>
      <c r="CW120" s="2592">
        <f>M120</f>
        <v/>
      </c>
      <c r="CX120" s="2567" t="n"/>
      <c r="CY120" s="2567" t="n"/>
      <c r="CZ120" s="4141" t="inlineStr">
        <is>
          <t>Please select</t>
        </is>
      </c>
      <c r="DA120" s="2567" t="n"/>
      <c r="DB120" s="2133" t="n">
        <v>1</v>
      </c>
      <c r="DC120" s="4246" t="n">
        <v>1</v>
      </c>
      <c r="DD120" s="4207" t="n"/>
      <c r="DE120" s="2133" t="n">
        <v>1</v>
      </c>
      <c r="DF120" s="4246" t="n">
        <v>1</v>
      </c>
      <c r="DG120" s="2567" t="n"/>
      <c r="DH120" s="2592">
        <f>'Inl. wetlands'!O359</f>
        <v/>
      </c>
      <c r="DI120" s="2133" t="n"/>
      <c r="DJ120" s="2592">
        <f>'Inl. wetlands'!Q359</f>
        <v/>
      </c>
      <c r="DK120" s="2133" t="n"/>
      <c r="DL120" s="2592">
        <f>'Inl. wetlands'!S359</f>
        <v/>
      </c>
      <c r="DM120" s="2133" t="n"/>
      <c r="DN120" s="2592">
        <f>'Inl. wetlands'!U359</f>
        <v/>
      </c>
      <c r="DO120" s="2133" t="n"/>
      <c r="DP120" s="2567" t="n"/>
      <c r="DU120" s="2598" t="n"/>
      <c r="DV120" s="2598">
        <f>C120</f>
        <v/>
      </c>
      <c r="DW120" s="2598" t="n"/>
      <c r="DX120" s="4728">
        <f>'Inl. wetlands'!H390</f>
        <v/>
      </c>
      <c r="DY120" s="4241" t="n"/>
      <c r="DZ120" s="4191">
        <f>'Inl. wetlands'!J390</f>
        <v/>
      </c>
      <c r="EA120" s="4241" t="n"/>
      <c r="EB120" s="4191">
        <f>'Inl. wetlands'!L390</f>
        <v/>
      </c>
      <c r="EC120" s="4241" t="n"/>
      <c r="ED120" s="2598" t="n"/>
      <c r="EE120" s="4192">
        <f>'Inl. wetlands'!N390</f>
        <v/>
      </c>
      <c r="EF120" s="4241" t="n"/>
      <c r="EG120" s="2598" t="n"/>
      <c r="EH120" s="2598" t="n"/>
    </row>
    <row r="121">
      <c r="B121" s="1781" t="n"/>
      <c r="C121" s="2133" t="inlineStr">
        <is>
          <t>Please select</t>
        </is>
      </c>
      <c r="D121" s="1781" t="n"/>
      <c r="E121" s="1781" t="n"/>
      <c r="F121" s="1781" t="n"/>
      <c r="G121" s="2135" t="inlineStr">
        <is>
          <t>Please select</t>
        </is>
      </c>
      <c r="H121" s="1781" t="n"/>
      <c r="I121" s="2135" t="inlineStr">
        <is>
          <t>Please select</t>
        </is>
      </c>
      <c r="J121" s="1806" t="n"/>
      <c r="K121" s="2135" t="inlineStr">
        <is>
          <t>Please select</t>
        </is>
      </c>
      <c r="L121" s="1781" t="n"/>
      <c r="M121" s="2107" t="n">
        <v>0</v>
      </c>
      <c r="N121" s="1841">
        <f>M121</f>
        <v/>
      </c>
      <c r="O121" s="2108" t="inlineStr">
        <is>
          <t>D</t>
        </is>
      </c>
      <c r="P121" s="1841">
        <f>M121</f>
        <v/>
      </c>
      <c r="Q121" s="2108" t="inlineStr">
        <is>
          <t>D</t>
        </is>
      </c>
      <c r="R121" s="1781" t="n"/>
      <c r="S121" s="1838" t="n"/>
      <c r="T121" s="4230" t="inlineStr">
        <is>
          <t>Y/N</t>
        </is>
      </c>
      <c r="U121" s="1838" t="n"/>
      <c r="V121" s="1838" t="n"/>
      <c r="W121" s="1838" t="n"/>
      <c r="X121" s="1838" t="n"/>
      <c r="Y121" s="1826" t="n"/>
      <c r="Z121" s="1826" t="n"/>
      <c r="AA121" s="1826" t="n"/>
      <c r="AB121" s="1826" t="n"/>
      <c r="AC121" s="1826" t="n"/>
      <c r="AD121" s="1826" t="n"/>
      <c r="AE121" s="1841">
        <f>+'Inl. wetlands'!AI342</f>
        <v/>
      </c>
      <c r="AF121" s="1841">
        <f>+'Inl. wetlands'!AJ342</f>
        <v/>
      </c>
      <c r="AG121" s="1806">
        <f>AF121-AE121</f>
        <v/>
      </c>
      <c r="AH121" s="1781" t="n"/>
      <c r="AI121" s="1781" t="n"/>
      <c r="AS121" s="1801">
        <f>C121</f>
        <v/>
      </c>
      <c r="AT121" s="2598" t="n"/>
      <c r="AU121" s="2598" t="n"/>
      <c r="AV121" s="4212">
        <f>VLOOKUP($G121, list!$O$7:$P$13, 2, FALSE)</f>
        <v/>
      </c>
      <c r="AW121" s="4273" t="n"/>
      <c r="AX121" s="4212">
        <f>VLOOKUP($I121, list!$O$7:$P$13, 2, FALSE)</f>
        <v/>
      </c>
      <c r="AY121" s="4273" t="n"/>
      <c r="AZ121" s="4212">
        <f>VLOOKUP($K121, list!$O$7:$P$13, 2, FALSE)</f>
        <v/>
      </c>
      <c r="BA121" s="4273" t="n"/>
      <c r="BB121" s="2598" t="n"/>
      <c r="BC121" s="2001">
        <f>'Inl. wetlands'!C330</f>
        <v/>
      </c>
      <c r="BD121" s="4243" t="n"/>
      <c r="BE121" s="4666">
        <f>'Inl. wetlands'!E330</f>
        <v/>
      </c>
      <c r="BF121" s="4243" t="n"/>
      <c r="BG121" s="2001">
        <f>'Inl. wetlands'!G330</f>
        <v/>
      </c>
      <c r="BH121" s="4243" t="n"/>
      <c r="BI121" s="2001">
        <f>'Inl. wetlands'!I330</f>
        <v/>
      </c>
      <c r="BJ121" s="4243" t="n"/>
      <c r="BK121" s="2001" t="n"/>
      <c r="BL121" s="1801" t="n"/>
      <c r="BM121" s="2598" t="n"/>
      <c r="BN121" s="4232" t="n">
        <v>1</v>
      </c>
      <c r="BO121" s="4244" t="n">
        <v>1</v>
      </c>
      <c r="BP121" s="2598" t="n"/>
      <c r="BQ121" s="4232" t="n">
        <v>1</v>
      </c>
      <c r="BR121" s="4244" t="n">
        <v>1</v>
      </c>
      <c r="BS121" s="2598" t="n"/>
      <c r="BU121" s="4401" t="n">
        <v>1</v>
      </c>
      <c r="BV121" s="4402" t="n"/>
      <c r="BW121" s="1997" t="n"/>
      <c r="CD121" s="2598" t="n"/>
      <c r="CE121" s="2598">
        <f>C121</f>
        <v/>
      </c>
      <c r="CF121" s="4192">
        <f>'Inl. wetlands'!B376</f>
        <v/>
      </c>
      <c r="CG121" s="4245" t="n"/>
      <c r="CH121" s="4192">
        <f>'Inl. wetlands'!D376</f>
        <v/>
      </c>
      <c r="CI121" s="4245" t="n"/>
      <c r="CJ121" s="4192">
        <f>'Inl. wetlands'!F376</f>
        <v/>
      </c>
      <c r="CK121" s="4245" t="n"/>
      <c r="CL121" s="2598" t="n"/>
      <c r="CM121" s="4192">
        <f>'Inl. wetlands'!H376</f>
        <v/>
      </c>
      <c r="CN121" s="4245" t="n"/>
      <c r="CO121" s="4192">
        <f>'Inl. wetlands'!J376</f>
        <v/>
      </c>
      <c r="CP121" s="4245" t="n"/>
      <c r="CQ121" s="2598" t="n"/>
      <c r="CT121" s="2567" t="n"/>
      <c r="CU121" s="2323">
        <f>CE121</f>
        <v/>
      </c>
      <c r="CV121" s="2592" t="n"/>
      <c r="CW121" s="2592">
        <f>M121</f>
        <v/>
      </c>
      <c r="CX121" s="2567" t="n"/>
      <c r="CY121" s="2567" t="n"/>
      <c r="CZ121" s="4141" t="inlineStr">
        <is>
          <t>Please select</t>
        </is>
      </c>
      <c r="DA121" s="2567" t="n"/>
      <c r="DB121" s="2133" t="n">
        <v>1</v>
      </c>
      <c r="DC121" s="4246" t="n">
        <v>1</v>
      </c>
      <c r="DD121" s="4207" t="n"/>
      <c r="DE121" s="2133" t="n">
        <v>1</v>
      </c>
      <c r="DF121" s="4246" t="n">
        <v>1</v>
      </c>
      <c r="DG121" s="2567" t="n"/>
      <c r="DH121" s="2592">
        <f>'Inl. wetlands'!O360</f>
        <v/>
      </c>
      <c r="DI121" s="2133" t="n"/>
      <c r="DJ121" s="2592">
        <f>'Inl. wetlands'!Q360</f>
        <v/>
      </c>
      <c r="DK121" s="2133" t="n"/>
      <c r="DL121" s="2592">
        <f>'Inl. wetlands'!S360</f>
        <v/>
      </c>
      <c r="DM121" s="2133" t="n"/>
      <c r="DN121" s="2592">
        <f>'Inl. wetlands'!U360</f>
        <v/>
      </c>
      <c r="DO121" s="2133" t="n"/>
      <c r="DP121" s="2567" t="n"/>
      <c r="DU121" s="2598" t="n"/>
      <c r="DV121" s="2598">
        <f>C121</f>
        <v/>
      </c>
      <c r="DW121" s="2598" t="n"/>
      <c r="DX121" s="4728">
        <f>'Inl. wetlands'!H391</f>
        <v/>
      </c>
      <c r="DY121" s="4241" t="n"/>
      <c r="DZ121" s="4191">
        <f>'Inl. wetlands'!J391</f>
        <v/>
      </c>
      <c r="EA121" s="4241" t="n"/>
      <c r="EB121" s="4191">
        <f>'Inl. wetlands'!L391</f>
        <v/>
      </c>
      <c r="EC121" s="4241" t="n"/>
      <c r="ED121" s="2598" t="n"/>
      <c r="EE121" s="4192">
        <f>'Inl. wetlands'!N391</f>
        <v/>
      </c>
      <c r="EF121" s="4241" t="n"/>
      <c r="EG121" s="2598" t="n"/>
      <c r="EH121" s="2598" t="n"/>
    </row>
    <row r="122">
      <c r="B122" s="1781" t="n"/>
      <c r="C122" s="2133" t="inlineStr">
        <is>
          <t>Please select</t>
        </is>
      </c>
      <c r="D122" s="1781" t="n"/>
      <c r="E122" s="1781" t="n"/>
      <c r="F122" s="1781" t="n"/>
      <c r="G122" s="2135" t="inlineStr">
        <is>
          <t>Please select</t>
        </is>
      </c>
      <c r="H122" s="1781" t="n"/>
      <c r="I122" s="2135" t="inlineStr">
        <is>
          <t>Please select</t>
        </is>
      </c>
      <c r="J122" s="1806" t="n"/>
      <c r="K122" s="2135" t="inlineStr">
        <is>
          <t>Please select</t>
        </is>
      </c>
      <c r="L122" s="1781" t="n"/>
      <c r="M122" s="2107" t="n">
        <v>0</v>
      </c>
      <c r="N122" s="1841">
        <f>M122</f>
        <v/>
      </c>
      <c r="O122" s="2108" t="inlineStr">
        <is>
          <t>D</t>
        </is>
      </c>
      <c r="P122" s="1841">
        <f>M122</f>
        <v/>
      </c>
      <c r="Q122" s="2108" t="inlineStr">
        <is>
          <t>D</t>
        </is>
      </c>
      <c r="R122" s="1781" t="n"/>
      <c r="S122" s="1838" t="n"/>
      <c r="T122" s="4230" t="inlineStr">
        <is>
          <t>Y/N</t>
        </is>
      </c>
      <c r="U122" s="1838" t="n"/>
      <c r="V122" s="1838" t="n"/>
      <c r="W122" s="1838" t="n"/>
      <c r="X122" s="1838" t="n"/>
      <c r="Y122" s="1826" t="n"/>
      <c r="Z122" s="1826" t="n"/>
      <c r="AA122" s="1826" t="n"/>
      <c r="AB122" s="1826" t="n"/>
      <c r="AC122" s="1826" t="n"/>
      <c r="AD122" s="1826" t="n"/>
      <c r="AE122" s="1841">
        <f>+'Inl. wetlands'!AI343</f>
        <v/>
      </c>
      <c r="AF122" s="1841">
        <f>+'Inl. wetlands'!AJ343</f>
        <v/>
      </c>
      <c r="AG122" s="1806">
        <f>AF122-AE122</f>
        <v/>
      </c>
      <c r="AH122" s="1781" t="n"/>
      <c r="AI122" s="1781" t="n"/>
      <c r="AS122" s="1801">
        <f>C122</f>
        <v/>
      </c>
      <c r="AT122" s="2598" t="n"/>
      <c r="AU122" s="2598" t="n"/>
      <c r="AV122" s="4212">
        <f>VLOOKUP($G122, list!$O$7:$P$13, 2, FALSE)</f>
        <v/>
      </c>
      <c r="AW122" s="4273" t="n"/>
      <c r="AX122" s="4212">
        <f>VLOOKUP($I122, list!$O$7:$P$13, 2, FALSE)</f>
        <v/>
      </c>
      <c r="AY122" s="4273" t="n"/>
      <c r="AZ122" s="4212">
        <f>VLOOKUP($K122, list!$O$7:$P$13, 2, FALSE)</f>
        <v/>
      </c>
      <c r="BA122" s="4273" t="n"/>
      <c r="BB122" s="2598" t="n"/>
      <c r="BC122" s="2001">
        <f>'Inl. wetlands'!C331</f>
        <v/>
      </c>
      <c r="BD122" s="4243" t="n"/>
      <c r="BE122" s="4666">
        <f>'Inl. wetlands'!E331</f>
        <v/>
      </c>
      <c r="BF122" s="4243" t="n"/>
      <c r="BG122" s="2001">
        <f>'Inl. wetlands'!G331</f>
        <v/>
      </c>
      <c r="BH122" s="4243" t="n"/>
      <c r="BI122" s="2001">
        <f>'Inl. wetlands'!I331</f>
        <v/>
      </c>
      <c r="BJ122" s="4243" t="n"/>
      <c r="BK122" s="2001" t="n"/>
      <c r="BL122" s="1801" t="n"/>
      <c r="BM122" s="2598" t="n"/>
      <c r="BN122" s="4232" t="n">
        <v>1</v>
      </c>
      <c r="BO122" s="4244" t="n">
        <v>1</v>
      </c>
      <c r="BP122" s="2598" t="n"/>
      <c r="BQ122" s="4232" t="n">
        <v>1</v>
      </c>
      <c r="BR122" s="4244" t="n">
        <v>1</v>
      </c>
      <c r="BS122" s="2598" t="n"/>
      <c r="BU122" s="4401" t="n">
        <v>1</v>
      </c>
      <c r="BV122" s="4402" t="n"/>
      <c r="BW122" s="1997" t="n"/>
      <c r="CD122" s="2598" t="n"/>
      <c r="CE122" s="2598">
        <f>C122</f>
        <v/>
      </c>
      <c r="CF122" s="4192">
        <f>'Inl. wetlands'!B377</f>
        <v/>
      </c>
      <c r="CG122" s="4245" t="n"/>
      <c r="CH122" s="4192">
        <f>'Inl. wetlands'!D377</f>
        <v/>
      </c>
      <c r="CI122" s="4245" t="n"/>
      <c r="CJ122" s="4192">
        <f>'Inl. wetlands'!F377</f>
        <v/>
      </c>
      <c r="CK122" s="4245" t="n"/>
      <c r="CL122" s="2598" t="n"/>
      <c r="CM122" s="4192">
        <f>'Inl. wetlands'!H377</f>
        <v/>
      </c>
      <c r="CN122" s="4245" t="n"/>
      <c r="CO122" s="4192">
        <f>'Inl. wetlands'!J377</f>
        <v/>
      </c>
      <c r="CP122" s="4245" t="n"/>
      <c r="CQ122" s="2598" t="n"/>
      <c r="CT122" s="2567" t="n"/>
      <c r="CU122" s="2323">
        <f>CE122</f>
        <v/>
      </c>
      <c r="CV122" s="2592" t="n"/>
      <c r="CW122" s="2592">
        <f>M122</f>
        <v/>
      </c>
      <c r="CX122" s="2567" t="n"/>
      <c r="CY122" s="2567" t="n"/>
      <c r="CZ122" s="4141" t="inlineStr">
        <is>
          <t>Please select</t>
        </is>
      </c>
      <c r="DA122" s="2567" t="n"/>
      <c r="DB122" s="2133" t="n">
        <v>1</v>
      </c>
      <c r="DC122" s="4246" t="n">
        <v>1</v>
      </c>
      <c r="DD122" s="4207" t="n"/>
      <c r="DE122" s="2133" t="n">
        <v>1</v>
      </c>
      <c r="DF122" s="4246" t="n">
        <v>1</v>
      </c>
      <c r="DG122" s="2567" t="n"/>
      <c r="DH122" s="2592">
        <f>'Inl. wetlands'!O361</f>
        <v/>
      </c>
      <c r="DI122" s="2133" t="n"/>
      <c r="DJ122" s="2592">
        <f>'Inl. wetlands'!Q361</f>
        <v/>
      </c>
      <c r="DK122" s="2133" t="n"/>
      <c r="DL122" s="2592">
        <f>'Inl. wetlands'!S361</f>
        <v/>
      </c>
      <c r="DM122" s="2133" t="n"/>
      <c r="DN122" s="2592">
        <f>'Inl. wetlands'!U361</f>
        <v/>
      </c>
      <c r="DO122" s="2133" t="n"/>
      <c r="DP122" s="2567" t="n"/>
      <c r="DU122" s="2598" t="n"/>
      <c r="DV122" s="2598">
        <f>C122</f>
        <v/>
      </c>
      <c r="DW122" s="2598" t="n"/>
      <c r="DX122" s="4728">
        <f>'Inl. wetlands'!H392</f>
        <v/>
      </c>
      <c r="DY122" s="4241" t="n"/>
      <c r="DZ122" s="4191">
        <f>'Inl. wetlands'!J392</f>
        <v/>
      </c>
      <c r="EA122" s="4241" t="n"/>
      <c r="EB122" s="4191">
        <f>'Inl. wetlands'!L392</f>
        <v/>
      </c>
      <c r="EC122" s="4241" t="n"/>
      <c r="ED122" s="2598" t="n"/>
      <c r="EE122" s="4192">
        <f>'Inl. wetlands'!N392</f>
        <v/>
      </c>
      <c r="EF122" s="4241" t="n"/>
      <c r="EG122" s="2598" t="n"/>
      <c r="EH122" s="2598" t="n"/>
    </row>
    <row r="123">
      <c r="B123" s="1781" t="n"/>
      <c r="C123" s="2133" t="inlineStr">
        <is>
          <t>Please select</t>
        </is>
      </c>
      <c r="D123" s="1781" t="n"/>
      <c r="E123" s="1781" t="n"/>
      <c r="F123" s="1781" t="n"/>
      <c r="G123" s="2135" t="inlineStr">
        <is>
          <t>Please select</t>
        </is>
      </c>
      <c r="H123" s="1781" t="n"/>
      <c r="I123" s="2135" t="inlineStr">
        <is>
          <t>Please select</t>
        </is>
      </c>
      <c r="J123" s="1806" t="n"/>
      <c r="K123" s="2135" t="inlineStr">
        <is>
          <t>Please select</t>
        </is>
      </c>
      <c r="L123" s="1781" t="n"/>
      <c r="M123" s="2107" t="n">
        <v>0</v>
      </c>
      <c r="N123" s="1841">
        <f>M123</f>
        <v/>
      </c>
      <c r="O123" s="2108" t="inlineStr">
        <is>
          <t>D</t>
        </is>
      </c>
      <c r="P123" s="1841">
        <f>M123</f>
        <v/>
      </c>
      <c r="Q123" s="2108" t="inlineStr">
        <is>
          <t>D</t>
        </is>
      </c>
      <c r="R123" s="1781" t="n"/>
      <c r="S123" s="1838" t="n"/>
      <c r="T123" s="4230" t="inlineStr">
        <is>
          <t>Y/N</t>
        </is>
      </c>
      <c r="U123" s="1838" t="n"/>
      <c r="V123" s="1838" t="n"/>
      <c r="W123" s="1838" t="n"/>
      <c r="X123" s="1838" t="n"/>
      <c r="Y123" s="1826" t="n"/>
      <c r="Z123" s="1961" t="n"/>
      <c r="AA123" s="1826" t="n"/>
      <c r="AB123" s="1826" t="n"/>
      <c r="AC123" s="1826" t="n"/>
      <c r="AD123" s="1826" t="n"/>
      <c r="AE123" s="1841">
        <f>+'Inl. wetlands'!AI344</f>
        <v/>
      </c>
      <c r="AF123" s="1841">
        <f>+'Inl. wetlands'!AJ344</f>
        <v/>
      </c>
      <c r="AG123" s="1806">
        <f>AF123-AE123</f>
        <v/>
      </c>
      <c r="AH123" s="1781" t="n"/>
      <c r="AI123" s="1781" t="n"/>
      <c r="AS123" s="1801">
        <f>C123</f>
        <v/>
      </c>
      <c r="AT123" s="2598" t="n"/>
      <c r="AU123" s="2598" t="n"/>
      <c r="AV123" s="4212">
        <f>VLOOKUP($G123, list!$O$7:$P$13, 2, FALSE)</f>
        <v/>
      </c>
      <c r="AW123" s="4273" t="n"/>
      <c r="AX123" s="4212">
        <f>VLOOKUP($I123, list!$O$7:$P$13, 2, FALSE)</f>
        <v/>
      </c>
      <c r="AY123" s="4273" t="n"/>
      <c r="AZ123" s="4212">
        <f>VLOOKUP($K123, list!$O$7:$P$13, 2, FALSE)</f>
        <v/>
      </c>
      <c r="BA123" s="4273" t="n"/>
      <c r="BB123" s="2598" t="n"/>
      <c r="BC123" s="2001">
        <f>'Inl. wetlands'!C332</f>
        <v/>
      </c>
      <c r="BD123" s="4243" t="n"/>
      <c r="BE123" s="4666">
        <f>'Inl. wetlands'!E332</f>
        <v/>
      </c>
      <c r="BF123" s="4243" t="n"/>
      <c r="BG123" s="2001">
        <f>'Inl. wetlands'!G332</f>
        <v/>
      </c>
      <c r="BH123" s="4243" t="n"/>
      <c r="BI123" s="2001">
        <f>'Inl. wetlands'!I332</f>
        <v/>
      </c>
      <c r="BJ123" s="4243" t="n"/>
      <c r="BK123" s="2001" t="n"/>
      <c r="BL123" s="1801" t="n"/>
      <c r="BM123" s="2598" t="n"/>
      <c r="BN123" s="4232" t="n">
        <v>1</v>
      </c>
      <c r="BO123" s="4244" t="n">
        <v>1</v>
      </c>
      <c r="BP123" s="2598" t="n"/>
      <c r="BQ123" s="4232" t="n">
        <v>1</v>
      </c>
      <c r="BR123" s="4244" t="n">
        <v>1</v>
      </c>
      <c r="BS123" s="2598" t="n"/>
      <c r="BU123" s="4401" t="n">
        <v>1</v>
      </c>
      <c r="BV123" s="4402" t="n"/>
      <c r="BW123" s="1997" t="n"/>
      <c r="CD123" s="2598" t="n"/>
      <c r="CE123" s="2598">
        <f>C123</f>
        <v/>
      </c>
      <c r="CF123" s="4192">
        <f>'Inl. wetlands'!B378</f>
        <v/>
      </c>
      <c r="CG123" s="4245" t="n"/>
      <c r="CH123" s="4192">
        <f>'Inl. wetlands'!D378</f>
        <v/>
      </c>
      <c r="CI123" s="4245" t="n"/>
      <c r="CJ123" s="4192">
        <f>'Inl. wetlands'!F378</f>
        <v/>
      </c>
      <c r="CK123" s="4245" t="n"/>
      <c r="CL123" s="2598" t="n"/>
      <c r="CM123" s="4192">
        <f>'Inl. wetlands'!H378</f>
        <v/>
      </c>
      <c r="CN123" s="4245" t="n"/>
      <c r="CO123" s="4192">
        <f>'Inl. wetlands'!J378</f>
        <v/>
      </c>
      <c r="CP123" s="4245" t="n"/>
      <c r="CQ123" s="2598" t="n"/>
      <c r="CT123" s="2567" t="n"/>
      <c r="CU123" s="2323">
        <f>CE123</f>
        <v/>
      </c>
      <c r="CV123" s="2592" t="n"/>
      <c r="CW123" s="2592">
        <f>M123</f>
        <v/>
      </c>
      <c r="CX123" s="2567" t="n"/>
      <c r="CY123" s="2567" t="n"/>
      <c r="CZ123" s="4141" t="inlineStr">
        <is>
          <t>Please select</t>
        </is>
      </c>
      <c r="DA123" s="2567" t="n"/>
      <c r="DB123" s="2133" t="n">
        <v>1</v>
      </c>
      <c r="DC123" s="4246" t="n">
        <v>1</v>
      </c>
      <c r="DD123" s="4207" t="n"/>
      <c r="DE123" s="2133" t="n">
        <v>1</v>
      </c>
      <c r="DF123" s="4246" t="n">
        <v>1</v>
      </c>
      <c r="DG123" s="2567" t="n"/>
      <c r="DH123" s="2592">
        <f>'Inl. wetlands'!O362</f>
        <v/>
      </c>
      <c r="DI123" s="2133" t="n"/>
      <c r="DJ123" s="2592">
        <f>'Inl. wetlands'!Q362</f>
        <v/>
      </c>
      <c r="DK123" s="2133" t="n"/>
      <c r="DL123" s="2592">
        <f>'Inl. wetlands'!S362</f>
        <v/>
      </c>
      <c r="DM123" s="2133" t="n"/>
      <c r="DN123" s="2592">
        <f>'Inl. wetlands'!U362</f>
        <v/>
      </c>
      <c r="DO123" s="2133" t="n"/>
      <c r="DP123" s="2567" t="n"/>
      <c r="DU123" s="2598" t="n"/>
      <c r="DV123" s="2598">
        <f>C123</f>
        <v/>
      </c>
      <c r="DW123" s="2598" t="n"/>
      <c r="DX123" s="4728">
        <f>'Inl. wetlands'!H393</f>
        <v/>
      </c>
      <c r="DY123" s="4241" t="n"/>
      <c r="DZ123" s="4191">
        <f>'Inl. wetlands'!J393</f>
        <v/>
      </c>
      <c r="EA123" s="4241" t="n"/>
      <c r="EB123" s="4191">
        <f>'Inl. wetlands'!L393</f>
        <v/>
      </c>
      <c r="EC123" s="4241" t="n"/>
      <c r="ED123" s="2598" t="n"/>
      <c r="EE123" s="4192">
        <f>'Inl. wetlands'!N393</f>
        <v/>
      </c>
      <c r="EF123" s="4241" t="n"/>
      <c r="EG123" s="2598" t="n"/>
      <c r="EH123" s="2598" t="n"/>
    </row>
    <row r="124" ht="14.75" customHeight="1">
      <c r="B124" s="1781" t="n"/>
      <c r="C124" s="1781" t="n"/>
      <c r="D124" s="1781" t="n"/>
      <c r="E124" s="1781" t="n"/>
      <c r="F124" s="1781" t="n"/>
      <c r="G124" s="1781" t="n"/>
      <c r="H124" s="1781" t="n"/>
      <c r="I124" s="1781" t="n"/>
      <c r="J124" s="1781" t="n"/>
      <c r="K124" s="1781" t="n"/>
      <c r="L124" s="1836" t="n"/>
      <c r="M124" s="1781" t="n"/>
      <c r="N124" s="1781" t="n"/>
      <c r="O124" s="1781" t="n"/>
      <c r="P124" s="1781" t="n"/>
      <c r="Q124" s="1781" t="n"/>
      <c r="R124" s="1781" t="n"/>
      <c r="S124" s="4308" t="n"/>
      <c r="T124" s="1838" t="n"/>
      <c r="U124" s="1838" t="n"/>
      <c r="V124" s="1838" t="n"/>
      <c r="W124" s="1838" t="n"/>
      <c r="X124" s="1838" t="n"/>
      <c r="Y124" s="1826" t="n"/>
      <c r="Z124" s="4308" t="n"/>
      <c r="AA124" s="1781" t="n"/>
      <c r="AB124" s="4569">
        <f>T114</f>
        <v/>
      </c>
      <c r="AC124" s="1781" t="n"/>
      <c r="AD124" s="1781" t="n"/>
      <c r="AE124" s="1781" t="n"/>
      <c r="AF124" s="1781" t="n"/>
      <c r="AG124" s="1781" t="n"/>
      <c r="AH124" s="1781" t="n"/>
      <c r="AI124" s="1781" t="n"/>
      <c r="AS124" s="2598" t="n"/>
      <c r="AT124" s="1801" t="n"/>
      <c r="AU124" s="2598" t="n"/>
      <c r="AV124" s="2598" t="n"/>
      <c r="AW124" s="1801" t="n"/>
      <c r="AX124" s="1801" t="n"/>
      <c r="AY124" s="1795" t="n"/>
      <c r="AZ124" s="1801" t="n"/>
      <c r="BA124" s="1801" t="n"/>
      <c r="BB124" s="1795" t="n"/>
      <c r="BC124" s="1801" t="n"/>
      <c r="BD124" s="1801" t="n"/>
      <c r="BE124" s="2001" t="n"/>
      <c r="BF124" s="1801" t="n"/>
      <c r="BG124" s="4666" t="n"/>
      <c r="BH124" s="1801" t="n"/>
      <c r="BI124" s="2001" t="n"/>
      <c r="BJ124" s="1801" t="n"/>
      <c r="BK124" s="2001" t="n"/>
      <c r="BL124" s="1801" t="n"/>
      <c r="BM124" s="2001" t="n"/>
      <c r="BN124" s="1801" t="n"/>
      <c r="BO124" s="2598" t="n"/>
      <c r="BP124" s="2598" t="n"/>
      <c r="BQ124" s="2598" t="n"/>
      <c r="BR124" s="2598" t="n"/>
      <c r="BS124" s="2598" t="n"/>
      <c r="BU124" s="1997" t="n"/>
      <c r="BV124" s="1997" t="n"/>
      <c r="BW124" s="1997" t="n"/>
      <c r="CD124" s="2598" t="n"/>
      <c r="CE124" s="2598" t="n"/>
      <c r="CF124" s="2598" t="n"/>
      <c r="CG124" s="2598" t="n"/>
      <c r="CH124" s="2598" t="n"/>
      <c r="CI124" s="2598" t="n"/>
      <c r="CJ124" s="2598" t="n"/>
      <c r="CK124" s="2598" t="n"/>
      <c r="CL124" s="2598" t="n"/>
      <c r="CM124" s="2598" t="n"/>
      <c r="CN124" s="2598" t="n"/>
      <c r="CO124" s="2598" t="n"/>
      <c r="CP124" s="2598" t="n"/>
      <c r="CQ124" s="2598" t="n"/>
      <c r="CT124" s="2567" t="n"/>
      <c r="CU124" s="2323" t="n"/>
      <c r="CV124" s="2567" t="n"/>
      <c r="CW124" s="2567" t="n"/>
      <c r="CX124" s="2567" t="n"/>
      <c r="CY124" s="2567" t="n"/>
      <c r="CZ124" s="2567" t="n"/>
      <c r="DA124" s="2567" t="n"/>
      <c r="DB124" s="2567" t="n"/>
      <c r="DC124" s="4207" t="n"/>
      <c r="DD124" s="4207" t="n"/>
      <c r="DE124" s="2567" t="n"/>
      <c r="DF124" s="4207" t="n"/>
      <c r="DG124" s="2567" t="n"/>
      <c r="DH124" s="2592" t="n"/>
      <c r="DI124" s="2567" t="n"/>
      <c r="DJ124" s="2592" t="n"/>
      <c r="DK124" s="2567" t="n"/>
      <c r="DL124" s="2592" t="n"/>
      <c r="DM124" s="2567" t="n"/>
      <c r="DN124" s="2592" t="n"/>
      <c r="DO124" s="2567" t="n"/>
      <c r="DP124" s="2567" t="n"/>
      <c r="DU124" s="2598" t="n"/>
      <c r="DV124" s="2598" t="n"/>
      <c r="DW124" s="2598" t="n"/>
      <c r="DX124" s="4728" t="n"/>
      <c r="DY124" s="2598" t="n"/>
      <c r="DZ124" s="4191" t="n"/>
      <c r="EA124" s="2598" t="n"/>
      <c r="EB124" s="4191" t="n"/>
      <c r="EC124" s="2598" t="n"/>
      <c r="ED124" s="2598" t="n"/>
      <c r="EE124" s="4192" t="n"/>
      <c r="EF124" s="2598" t="n"/>
      <c r="EG124" s="2598" t="n"/>
      <c r="EH124" s="2598" t="n"/>
    </row>
    <row r="125" ht="14.75" customHeight="1">
      <c r="B125" s="1781" t="n"/>
      <c r="C125" s="1781" t="n"/>
      <c r="D125" s="1781" t="n"/>
      <c r="E125" s="1781" t="n"/>
      <c r="F125" s="1781" t="n"/>
      <c r="G125" s="1781" t="n"/>
      <c r="H125" s="1781" t="n"/>
      <c r="I125" s="1781" t="n"/>
      <c r="J125" s="1781" t="n"/>
      <c r="K125" s="1834">
        <f>K87</f>
        <v/>
      </c>
      <c r="L125" s="1836" t="n"/>
      <c r="M125" s="1781" t="n"/>
      <c r="N125" s="1781" t="n"/>
      <c r="O125" s="1781" t="n"/>
      <c r="P125" s="1781" t="n"/>
      <c r="Q125" s="1781" t="n"/>
      <c r="R125" s="1781" t="n"/>
      <c r="S125" s="4308" t="n"/>
      <c r="T125" s="1838" t="n"/>
      <c r="U125" s="1838" t="n"/>
      <c r="V125" s="1838" t="n"/>
      <c r="W125" s="1838" t="n"/>
      <c r="X125" s="1838" t="n"/>
      <c r="Y125" s="1826" t="n"/>
      <c r="Z125" s="4308" t="n"/>
      <c r="AA125" s="1781" t="n"/>
      <c r="AC125" s="1781" t="n"/>
      <c r="AD125" s="1781" t="n"/>
      <c r="AE125" s="1781" t="n"/>
      <c r="AF125" s="1781" t="n"/>
      <c r="AG125" s="1781" t="n"/>
      <c r="AH125" s="1781" t="n"/>
      <c r="AI125" s="1781" t="n"/>
      <c r="AS125" s="2598" t="n"/>
      <c r="AT125" s="1801" t="n"/>
      <c r="AU125" s="2598" t="n"/>
      <c r="AV125" s="2598" t="n"/>
      <c r="AW125" s="1801" t="n"/>
      <c r="AX125" s="1801" t="n"/>
      <c r="AY125" s="1795" t="n"/>
      <c r="AZ125" s="1801" t="n"/>
      <c r="BA125" s="1801" t="n"/>
      <c r="BB125" s="1795" t="n"/>
      <c r="BC125" s="1801" t="n"/>
      <c r="BD125" s="1801" t="n"/>
      <c r="BE125" s="2001" t="n"/>
      <c r="BF125" s="1801" t="n"/>
      <c r="BG125" s="4666" t="n"/>
      <c r="BH125" s="1801" t="n"/>
      <c r="BI125" s="2001" t="n"/>
      <c r="BJ125" s="1801" t="n"/>
      <c r="BK125" s="2001" t="n"/>
      <c r="BL125" s="1801" t="n"/>
      <c r="BM125" s="2001" t="n"/>
      <c r="BN125" s="1801" t="n"/>
      <c r="BO125" s="2598" t="n"/>
      <c r="BP125" s="2598" t="n"/>
      <c r="BQ125" s="2598" t="n"/>
      <c r="BR125" s="2598" t="n"/>
      <c r="BS125" s="2598" t="n"/>
      <c r="BU125" s="4548" t="inlineStr">
        <is>
          <t>Use this part only if you want to refine yearly GHG fluxes</t>
        </is>
      </c>
      <c r="CD125" s="2598" t="n"/>
      <c r="CE125" s="2598" t="n"/>
      <c r="CF125" s="2598" t="n"/>
      <c r="CG125" s="2598" t="n"/>
      <c r="CH125" s="2598" t="n"/>
      <c r="CI125" s="2598" t="n"/>
      <c r="CJ125" s="2598" t="n"/>
      <c r="CK125" s="2598" t="n"/>
      <c r="CL125" s="2598" t="n"/>
      <c r="CM125" s="2598" t="n"/>
      <c r="CN125" s="2598" t="n"/>
      <c r="CO125" s="2598" t="n"/>
      <c r="CP125" s="2598" t="n"/>
      <c r="CQ125" s="2598" t="n"/>
      <c r="CT125" s="2567" t="n"/>
      <c r="CU125" s="2323" t="n"/>
      <c r="CV125" s="2567" t="n"/>
      <c r="CW125" s="2567" t="n"/>
      <c r="CX125" s="2567" t="n"/>
      <c r="CY125" s="2567" t="n"/>
      <c r="CZ125" s="2567" t="n"/>
      <c r="DA125" s="2567" t="n"/>
      <c r="DB125" s="2567" t="n"/>
      <c r="DC125" s="4207" t="n"/>
      <c r="DD125" s="4207" t="n"/>
      <c r="DE125" s="2567" t="n"/>
      <c r="DF125" s="4207" t="n"/>
      <c r="DG125" s="2567" t="n"/>
      <c r="DH125" s="2592" t="n"/>
      <c r="DI125" s="2567" t="n"/>
      <c r="DJ125" s="2592" t="n"/>
      <c r="DK125" s="2567" t="n"/>
      <c r="DL125" s="2592" t="n"/>
      <c r="DM125" s="2567" t="n"/>
      <c r="DN125" s="2592" t="n"/>
      <c r="DO125" s="2567" t="n"/>
      <c r="DP125" s="2567" t="n"/>
      <c r="DU125" s="2598" t="n"/>
      <c r="DV125" s="2598" t="n"/>
      <c r="DW125" s="2598" t="n"/>
      <c r="DX125" s="4728" t="n"/>
      <c r="DY125" s="2598" t="n"/>
      <c r="DZ125" s="4191" t="n"/>
      <c r="EA125" s="2598" t="n"/>
      <c r="EB125" s="4191" t="n"/>
      <c r="EC125" s="2598" t="n"/>
      <c r="ED125" s="2598" t="n"/>
      <c r="EE125" s="4192" t="n"/>
      <c r="EF125" s="2598" t="n"/>
      <c r="EG125" s="2598" t="n"/>
      <c r="EH125" s="2598" t="n"/>
    </row>
    <row r="126">
      <c r="B126" s="1781" t="n"/>
      <c r="C126" s="1834">
        <f>C115</f>
        <v/>
      </c>
      <c r="D126" s="1781" t="n"/>
      <c r="E126" s="1781" t="n"/>
      <c r="F126" s="1781" t="n"/>
      <c r="G126" s="1781" t="n"/>
      <c r="H126" s="1781" t="n"/>
      <c r="I126" s="1781" t="n"/>
      <c r="J126" s="1781" t="n"/>
      <c r="K126" s="1834">
        <f>K88</f>
        <v/>
      </c>
      <c r="L126" s="1781" t="n"/>
      <c r="M126" s="4179">
        <f>M88</f>
        <v/>
      </c>
      <c r="N126" s="4179" t="n"/>
      <c r="O126" s="4179" t="n"/>
      <c r="P126" s="4179" t="n"/>
      <c r="Q126" s="4178" t="n"/>
      <c r="R126" s="1781" t="n"/>
      <c r="S126" s="4179">
        <f>S88</f>
        <v/>
      </c>
      <c r="T126" s="4179" t="n"/>
      <c r="U126" s="4179" t="n"/>
      <c r="V126" s="1781" t="n"/>
      <c r="W126" s="4390">
        <f>W88</f>
        <v/>
      </c>
      <c r="X126" s="4390" t="n"/>
      <c r="Y126" s="4390" t="n"/>
      <c r="Z126" s="1781" t="n"/>
      <c r="AA126" s="1826" t="n"/>
      <c r="AB126" s="341" t="n"/>
      <c r="AC126" s="1961" t="n"/>
      <c r="AD126" s="1781" t="n"/>
      <c r="AE126" s="1781" t="n"/>
      <c r="AF126" s="1781" t="n"/>
      <c r="AG126" s="1781" t="n"/>
      <c r="AH126" s="1781" t="n"/>
      <c r="AI126" s="1781" t="n"/>
      <c r="AS126" s="2598" t="n"/>
      <c r="AT126" s="1801" t="n"/>
      <c r="AU126" s="2598" t="n"/>
      <c r="AV126" s="2598" t="n"/>
      <c r="AW126" s="1801" t="n"/>
      <c r="AX126" s="1801" t="n"/>
      <c r="AY126" s="1795" t="n"/>
      <c r="AZ126" s="1801" t="n"/>
      <c r="BA126" s="1801" t="n"/>
      <c r="BB126" s="1795" t="n"/>
      <c r="BC126" s="1801" t="n"/>
      <c r="BD126" s="1801" t="n"/>
      <c r="BE126" s="2001" t="n"/>
      <c r="BF126" s="1801" t="n"/>
      <c r="BG126" s="4666" t="n"/>
      <c r="BH126" s="1801" t="n"/>
      <c r="BI126" s="2001" t="n"/>
      <c r="BJ126" s="1801" t="n"/>
      <c r="BK126" s="2001" t="n"/>
      <c r="BL126" s="1801" t="n"/>
      <c r="BM126" s="2001" t="n"/>
      <c r="BN126" s="1801" t="n"/>
      <c r="BO126" s="2598" t="n"/>
      <c r="BP126" s="2598" t="n"/>
      <c r="BQ126" s="2598" t="n"/>
      <c r="BR126" s="2598" t="n"/>
      <c r="BS126" s="2598" t="n"/>
      <c r="CD126" s="4201">
        <f>CD87</f>
        <v/>
      </c>
      <c r="CE126" s="2598" t="n"/>
      <c r="CF126" s="2598" t="n"/>
      <c r="CG126" s="2598" t="n"/>
      <c r="CH126" s="2598" t="n"/>
      <c r="CI126" s="2598" t="n"/>
      <c r="CJ126" s="2598" t="n"/>
      <c r="CK126" s="4241" t="inlineStr">
        <is>
          <t>Nutrient poor</t>
        </is>
      </c>
      <c r="CL126" s="4241" t="n"/>
      <c r="CM126" s="4241" t="n"/>
      <c r="CN126" s="2598" t="n"/>
      <c r="CO126" s="2598" t="n"/>
      <c r="CP126" s="2598" t="n"/>
      <c r="CQ126" s="2598" t="n"/>
      <c r="CT126" s="2567" t="n"/>
      <c r="CU126" s="2598" t="n"/>
      <c r="CV126" s="2598" t="n"/>
      <c r="CW126" s="2598" t="n"/>
      <c r="CX126" s="2598" t="n"/>
      <c r="CY126" s="2598" t="n"/>
      <c r="CZ126" s="2598" t="n"/>
      <c r="DA126" s="2598" t="n"/>
      <c r="DB126" s="2567" t="n"/>
      <c r="DC126" s="2567" t="n"/>
      <c r="DD126" s="2567" t="n"/>
      <c r="DE126" s="2567" t="n"/>
      <c r="DF126" s="2567" t="n"/>
      <c r="DG126" s="2567" t="n"/>
      <c r="DH126" s="2567" t="n"/>
      <c r="DI126" s="2567" t="n"/>
      <c r="DJ126" s="2567" t="n"/>
      <c r="DK126" s="2567" t="n"/>
      <c r="DL126" s="2567" t="n"/>
      <c r="DM126" s="2567" t="n"/>
      <c r="DN126" s="2567" t="n"/>
      <c r="DO126" s="2567" t="n"/>
      <c r="DP126" s="2567" t="n"/>
      <c r="DU126" s="2598" t="n"/>
      <c r="DV126" s="2598" t="n"/>
      <c r="DW126" s="2598" t="n"/>
      <c r="DX126" s="2598" t="n"/>
      <c r="DY126" s="2598" t="n"/>
      <c r="DZ126" s="2598" t="n"/>
      <c r="EA126" s="2598" t="n"/>
      <c r="EB126" s="2598" t="n"/>
      <c r="EC126" s="2598" t="n"/>
      <c r="ED126" s="2598" t="n"/>
      <c r="EE126" s="2598" t="n"/>
      <c r="EF126" s="4197">
        <f>CK126</f>
        <v/>
      </c>
      <c r="EG126" s="4181" t="inlineStr">
        <is>
          <t>soil</t>
        </is>
      </c>
      <c r="EH126" s="2598" t="n"/>
    </row>
    <row r="127">
      <c r="B127" s="1781" t="n"/>
      <c r="C127" s="1834">
        <f>C116</f>
        <v/>
      </c>
      <c r="D127" s="1781" t="n"/>
      <c r="E127" s="1781" t="n"/>
      <c r="F127" s="1781" t="n"/>
      <c r="G127" s="1781" t="n"/>
      <c r="H127" s="1781" t="n"/>
      <c r="I127" s="1781" t="n"/>
      <c r="J127" s="1781" t="n"/>
      <c r="K127" s="1806" t="n"/>
      <c r="L127" s="1781" t="n"/>
      <c r="M127" s="1961" t="n"/>
      <c r="N127" s="1961" t="n"/>
      <c r="O127" s="1961" t="n"/>
      <c r="P127" s="1961" t="n"/>
      <c r="Q127" s="1961" t="n"/>
      <c r="R127" s="1781" t="n"/>
      <c r="S127" s="1838" t="n"/>
      <c r="T127" s="1838" t="n"/>
      <c r="U127" s="1838" t="n"/>
      <c r="V127" s="1961" t="n"/>
      <c r="W127" s="1961" t="n"/>
      <c r="X127" s="1806" t="n"/>
      <c r="Y127" s="1806" t="n"/>
      <c r="Z127" s="1781" t="n"/>
      <c r="AA127" s="1826" t="n"/>
      <c r="AB127" s="1838">
        <f>AA89</f>
        <v/>
      </c>
      <c r="AC127" s="1781" t="n"/>
      <c r="AD127" s="1781" t="n"/>
      <c r="AE127" s="1781" t="n"/>
      <c r="AF127" s="1781" t="n"/>
      <c r="AG127" s="1781" t="n"/>
      <c r="AH127" s="1781" t="n"/>
      <c r="AI127" s="1781" t="n"/>
      <c r="AS127" s="2598" t="n"/>
      <c r="AT127" s="1801" t="n"/>
      <c r="AU127" s="2598" t="n"/>
      <c r="AV127" s="2598" t="n"/>
      <c r="AW127" s="1801" t="n"/>
      <c r="AX127" s="1801" t="n"/>
      <c r="AY127" s="1795" t="n"/>
      <c r="AZ127" s="1801" t="n"/>
      <c r="BA127" s="1801" t="n"/>
      <c r="BB127" s="1795" t="n"/>
      <c r="BC127" s="1801" t="n"/>
      <c r="BD127" s="1801" t="n"/>
      <c r="BE127" s="2001" t="n"/>
      <c r="BF127" s="1801" t="n"/>
      <c r="BG127" s="4666" t="n"/>
      <c r="BH127" s="1801" t="n"/>
      <c r="BI127" s="2001" t="n"/>
      <c r="BJ127" s="1801" t="n"/>
      <c r="BK127" s="2001" t="n"/>
      <c r="BL127" s="1801" t="n"/>
      <c r="BM127" s="2001" t="n"/>
      <c r="BN127" s="1801" t="n"/>
      <c r="BO127" s="2598" t="n"/>
      <c r="BP127" s="2598" t="n"/>
      <c r="BQ127" s="2598" t="n"/>
      <c r="BR127" s="2598" t="n"/>
      <c r="BS127" s="2598" t="n"/>
      <c r="CD127" s="4201" t="n"/>
      <c r="CE127" s="2598" t="n"/>
      <c r="CF127" s="2598" t="n"/>
      <c r="CG127" s="2598" t="n"/>
      <c r="CH127" s="2598" t="n"/>
      <c r="CI127" s="2598" t="n"/>
      <c r="CJ127" s="2598" t="n"/>
      <c r="CK127" s="2598" t="n"/>
      <c r="CL127" s="2598" t="n"/>
      <c r="CM127" s="2598" t="n"/>
      <c r="CN127" s="2598" t="n"/>
      <c r="CO127" s="2598" t="n"/>
      <c r="CP127" s="2598" t="n"/>
      <c r="CQ127" s="2598" t="n"/>
      <c r="CT127" s="2567" t="n"/>
      <c r="CU127" s="2598" t="n"/>
      <c r="CV127" s="2598" t="n"/>
      <c r="CW127" s="2598" t="n"/>
      <c r="CX127" s="2598" t="n"/>
      <c r="CY127" s="2598" t="n"/>
      <c r="CZ127" s="2598" t="n"/>
      <c r="DA127" s="2598" t="n"/>
      <c r="DB127" s="2567" t="n"/>
      <c r="DC127" s="2567" t="n"/>
      <c r="DD127" s="2567" t="n"/>
      <c r="DE127" s="2567" t="n"/>
      <c r="DF127" s="2567" t="n"/>
      <c r="DG127" s="2567" t="n"/>
      <c r="DH127" s="2567" t="n"/>
      <c r="DI127" s="2567" t="n"/>
      <c r="DJ127" s="2567" t="n"/>
      <c r="DK127" s="2567" t="n"/>
      <c r="DL127" s="2567" t="n"/>
      <c r="DM127" s="2567" t="n"/>
      <c r="DN127" s="2567" t="n"/>
      <c r="DO127" s="2567" t="n"/>
      <c r="DP127" s="2567" t="n"/>
      <c r="DU127" s="2598" t="n"/>
      <c r="DV127" s="2598" t="n"/>
      <c r="DW127" s="2598" t="n"/>
      <c r="DX127" s="2598" t="n"/>
      <c r="DY127" s="2598" t="n"/>
      <c r="DZ127" s="2598" t="n"/>
      <c r="EA127" s="2598" t="n"/>
      <c r="EB127" s="2598" t="n"/>
      <c r="EC127" s="2598" t="n"/>
      <c r="ED127" s="2598" t="n"/>
      <c r="EE127" s="2598" t="n"/>
      <c r="EF127" s="4197" t="n"/>
      <c r="EG127" s="4181" t="n"/>
      <c r="EH127" s="2598" t="n"/>
    </row>
    <row r="128">
      <c r="B128" s="1781" t="n"/>
      <c r="C128" s="1781" t="n"/>
      <c r="D128" s="1781" t="n"/>
      <c r="E128" s="1781" t="n"/>
      <c r="F128" s="1781" t="n"/>
      <c r="G128" s="1781" t="n"/>
      <c r="H128" s="1781" t="n"/>
      <c r="I128" s="1781" t="n"/>
      <c r="J128" s="1781" t="n"/>
      <c r="K128" s="1781" t="n"/>
      <c r="L128" s="1781" t="n"/>
      <c r="M128" s="1838">
        <f>M117</f>
        <v/>
      </c>
      <c r="N128" s="1838">
        <f>N117</f>
        <v/>
      </c>
      <c r="O128" s="1838" t="n"/>
      <c r="P128" s="1838">
        <f>P117</f>
        <v/>
      </c>
      <c r="Q128" s="1838" t="n"/>
      <c r="R128" s="1781" t="n"/>
      <c r="S128" s="1838">
        <f>M128</f>
        <v/>
      </c>
      <c r="T128" s="1838">
        <f>N128</f>
        <v/>
      </c>
      <c r="U128" s="1838">
        <f>P128</f>
        <v/>
      </c>
      <c r="V128" s="1838" t="n"/>
      <c r="W128" s="1838">
        <f>G116</f>
        <v/>
      </c>
      <c r="X128" s="1838">
        <f>X90</f>
        <v/>
      </c>
      <c r="Y128" s="1838">
        <f>Y90</f>
        <v/>
      </c>
      <c r="Z128" s="1781" t="n"/>
      <c r="AA128" s="1826" t="n"/>
      <c r="AB128" s="1838">
        <f>AA90</f>
        <v/>
      </c>
      <c r="AC128" s="1781" t="n"/>
      <c r="AD128" s="1781" t="n"/>
      <c r="AE128" s="1806">
        <f>AE117</f>
        <v/>
      </c>
      <c r="AF128" s="1806">
        <f>AF117</f>
        <v/>
      </c>
      <c r="AG128" s="1780">
        <f>AG117</f>
        <v/>
      </c>
      <c r="AH128" s="1781" t="n"/>
      <c r="AI128" s="1781" t="n"/>
      <c r="AS128" s="2598" t="n"/>
      <c r="AT128" s="1801" t="n"/>
      <c r="AU128" s="2598" t="n"/>
      <c r="AV128" s="2598" t="n"/>
      <c r="AW128" s="1801" t="n"/>
      <c r="AX128" s="1801" t="n"/>
      <c r="AY128" s="1795" t="n"/>
      <c r="AZ128" s="1801" t="n"/>
      <c r="BA128" s="1801" t="n"/>
      <c r="BB128" s="1795" t="n"/>
      <c r="BC128" s="1801" t="n"/>
      <c r="BD128" s="1801" t="n"/>
      <c r="BE128" s="2001" t="n"/>
      <c r="BF128" s="1801" t="n"/>
      <c r="BG128" s="4666" t="n"/>
      <c r="BH128" s="1801" t="n"/>
      <c r="BI128" s="2001" t="n"/>
      <c r="BJ128" s="1801" t="n"/>
      <c r="BK128" s="2001" t="n"/>
      <c r="BL128" s="1801" t="n"/>
      <c r="BM128" s="2001" t="n"/>
      <c r="BN128" s="1801" t="n"/>
      <c r="BO128" s="2598" t="n"/>
      <c r="BP128" s="2598" t="n"/>
      <c r="BQ128" s="2598" t="n"/>
      <c r="BR128" s="2598" t="n"/>
      <c r="BS128" s="2598" t="n"/>
      <c r="BU128" s="1997" t="n"/>
      <c r="BV128" s="1997" t="n"/>
      <c r="BW128" s="1997" t="n"/>
      <c r="CD128" s="4201" t="n"/>
      <c r="CE128" s="2598" t="n"/>
      <c r="CF128" s="2598" t="n"/>
      <c r="CG128" s="2598" t="n"/>
      <c r="CH128" s="2598" t="n"/>
      <c r="CI128" s="2598" t="n"/>
      <c r="CJ128" s="2598" t="n"/>
      <c r="CK128" s="2598" t="n"/>
      <c r="CL128" s="2598" t="n"/>
      <c r="CM128" s="2598" t="n"/>
      <c r="CN128" s="2598" t="n"/>
      <c r="CO128" s="2598" t="n"/>
      <c r="CP128" s="2598" t="n"/>
      <c r="CQ128" s="2598" t="n"/>
      <c r="CT128" s="2567" t="n"/>
      <c r="CU128" s="2598" t="n"/>
      <c r="CV128" s="2598" t="n"/>
      <c r="CW128" s="2598" t="n"/>
      <c r="CX128" s="2598" t="n"/>
      <c r="CY128" s="2598" t="n"/>
      <c r="CZ128" s="2598" t="n"/>
      <c r="DA128" s="2598" t="n"/>
      <c r="DB128" s="2567" t="n"/>
      <c r="DC128" s="2567" t="n"/>
      <c r="DD128" s="2567" t="n"/>
      <c r="DE128" s="2567" t="n"/>
      <c r="DF128" s="2567" t="n"/>
      <c r="DG128" s="2567" t="n"/>
      <c r="DH128" s="2567" t="n"/>
      <c r="DI128" s="2567" t="n"/>
      <c r="DJ128" s="2567" t="n"/>
      <c r="DK128" s="2567" t="n"/>
      <c r="DL128" s="2567" t="n"/>
      <c r="DM128" s="2567" t="n"/>
      <c r="DN128" s="2567" t="n"/>
      <c r="DO128" s="2567" t="n"/>
      <c r="DP128" s="2567" t="n"/>
      <c r="DU128" s="2598" t="n"/>
      <c r="DV128" s="2598" t="n"/>
      <c r="DW128" s="2598" t="n"/>
      <c r="DX128" s="2598" t="n"/>
      <c r="DY128" s="2598" t="n"/>
      <c r="DZ128" s="2598" t="n"/>
      <c r="EA128" s="2598" t="n"/>
      <c r="EB128" s="2598" t="n"/>
      <c r="EC128" s="2598" t="n"/>
      <c r="ED128" s="2598" t="n"/>
      <c r="EE128" s="2598" t="n"/>
      <c r="EF128" s="4197" t="n"/>
      <c r="EG128" s="4181" t="n"/>
      <c r="EH128" s="2598" t="n"/>
    </row>
    <row r="129">
      <c r="B129" s="1781" t="n"/>
      <c r="C129" s="1806">
        <f>C118</f>
        <v/>
      </c>
      <c r="D129" s="1781" t="n"/>
      <c r="E129" s="1781" t="n"/>
      <c r="F129" s="1781" t="n"/>
      <c r="G129" s="1781" t="n"/>
      <c r="H129" s="1781" t="n"/>
      <c r="I129" s="1781" t="n"/>
      <c r="J129" s="1781" t="n"/>
      <c r="K129" s="1841">
        <f>M118</f>
        <v/>
      </c>
      <c r="L129" s="1781" t="n"/>
      <c r="M129" s="4228" t="n">
        <v>0</v>
      </c>
      <c r="N129" s="4229" t="n">
        <v>0</v>
      </c>
      <c r="O129" s="4134" t="inlineStr">
        <is>
          <t>D</t>
        </is>
      </c>
      <c r="P129" s="4229" t="n">
        <v>0</v>
      </c>
      <c r="Q129" s="4134" t="inlineStr">
        <is>
          <t>D</t>
        </is>
      </c>
      <c r="R129" s="1781" t="n"/>
      <c r="S129" s="2111">
        <f>$K129-M129</f>
        <v/>
      </c>
      <c r="T129" s="2111">
        <f>$K129-N129</f>
        <v/>
      </c>
      <c r="U129" s="2111">
        <f>$K129-P129</f>
        <v/>
      </c>
      <c r="V129" s="1838" t="n"/>
      <c r="W129" s="4231" t="n">
        <v>0</v>
      </c>
      <c r="X129" s="4231" t="n">
        <v>0</v>
      </c>
      <c r="Y129" s="4231" t="n">
        <v>0</v>
      </c>
      <c r="Z129" s="1781" t="n"/>
      <c r="AA129" s="1826" t="n"/>
      <c r="AB129" s="2133" t="inlineStr">
        <is>
          <t>Y/N</t>
        </is>
      </c>
      <c r="AC129" s="1781" t="n"/>
      <c r="AD129" s="1781" t="n"/>
      <c r="AE129" s="1841">
        <f>'Inl. wetlands'!AI388+'Inl. wetlands'!AI373+'Inl. wetlands'!AI357</f>
        <v/>
      </c>
      <c r="AF129" s="1841">
        <f>'Inl. wetlands'!AJ388+'Inl. wetlands'!AJ373+'Inl. wetlands'!AJ357</f>
        <v/>
      </c>
      <c r="AG129" s="1806">
        <f>AF129-AE129</f>
        <v/>
      </c>
      <c r="AH129" s="1781" t="n"/>
      <c r="AI129" s="1781" t="n"/>
      <c r="AS129" s="2598" t="n"/>
      <c r="AT129" s="1801" t="n"/>
      <c r="AU129" s="2598" t="n"/>
      <c r="AV129" s="2598" t="n"/>
      <c r="AW129" s="1801" t="n"/>
      <c r="AX129" s="1801" t="n"/>
      <c r="AY129" s="1795" t="n"/>
      <c r="AZ129" s="1801" t="n"/>
      <c r="BA129" s="1801" t="n"/>
      <c r="BB129" s="1795" t="n"/>
      <c r="BC129" s="1801" t="n"/>
      <c r="BD129" s="1801" t="n"/>
      <c r="BE129" s="2001" t="n"/>
      <c r="BF129" s="1801" t="n"/>
      <c r="BG129" s="4666" t="n"/>
      <c r="BH129" s="1801" t="n"/>
      <c r="BI129" s="2001" t="n"/>
      <c r="BJ129" s="1801" t="n"/>
      <c r="BK129" s="2001" t="n"/>
      <c r="BL129" s="1801" t="n"/>
      <c r="BM129" s="2001" t="n"/>
      <c r="BN129" s="1801" t="n"/>
      <c r="BO129" s="2598" t="n"/>
      <c r="BP129" s="2598" t="n"/>
      <c r="BQ129" s="2598" t="n"/>
      <c r="BR129" s="2598" t="n"/>
      <c r="BS129" s="2598" t="n"/>
      <c r="BU129" s="1997" t="n"/>
      <c r="BV129" s="1997" t="n"/>
      <c r="BW129" s="1997" t="n"/>
      <c r="CD129" s="4201" t="n"/>
      <c r="CE129" s="2598" t="n"/>
      <c r="CF129" s="2598" t="n"/>
      <c r="CG129" s="2598" t="n"/>
      <c r="CH129" s="2598" t="n"/>
      <c r="CI129" s="2598" t="n"/>
      <c r="CJ129" s="2598" t="n"/>
      <c r="CK129" s="2598" t="n"/>
      <c r="CL129" s="2598" t="n"/>
      <c r="CM129" s="2598" t="n"/>
      <c r="CN129" s="2598" t="n"/>
      <c r="CO129" s="2598" t="n"/>
      <c r="CP129" s="2598" t="n"/>
      <c r="CQ129" s="2598" t="n"/>
      <c r="CT129" s="2567" t="n"/>
      <c r="CU129" s="2598" t="n"/>
      <c r="CV129" s="2598" t="n"/>
      <c r="CW129" s="2598" t="n"/>
      <c r="CX129" s="2598" t="n"/>
      <c r="CY129" s="2598" t="n"/>
      <c r="CZ129" s="2598" t="n"/>
      <c r="DA129" s="2598" t="n"/>
      <c r="DB129" s="2567" t="n"/>
      <c r="DC129" s="2567" t="n"/>
      <c r="DD129" s="2567" t="n"/>
      <c r="DE129" s="2567" t="n"/>
      <c r="DF129" s="2567" t="n"/>
      <c r="DG129" s="2567" t="n"/>
      <c r="DH129" s="2567" t="n"/>
      <c r="DI129" s="2567" t="n"/>
      <c r="DJ129" s="2567" t="n"/>
      <c r="DK129" s="2567" t="n"/>
      <c r="DL129" s="2567" t="n"/>
      <c r="DM129" s="2567" t="n"/>
      <c r="DN129" s="2567" t="n"/>
      <c r="DO129" s="2567" t="n"/>
      <c r="DP129" s="2567" t="n"/>
      <c r="DU129" s="2598" t="n"/>
      <c r="DV129" s="2598" t="n"/>
      <c r="DW129" s="2598" t="n"/>
      <c r="DX129" s="2598" t="n"/>
      <c r="DY129" s="2598" t="n"/>
      <c r="DZ129" s="2598" t="n"/>
      <c r="EA129" s="2598" t="n"/>
      <c r="EB129" s="2598" t="n"/>
      <c r="EC129" s="2598" t="n"/>
      <c r="ED129" s="2598" t="n"/>
      <c r="EE129" s="2598" t="n"/>
      <c r="EF129" s="4197" t="n"/>
      <c r="EG129" s="4181" t="n"/>
      <c r="EH129" s="2598" t="n"/>
    </row>
    <row r="130">
      <c r="B130" s="1781" t="n"/>
      <c r="C130" s="1806">
        <f>C119</f>
        <v/>
      </c>
      <c r="D130" s="1781" t="n"/>
      <c r="E130" s="1781" t="n"/>
      <c r="F130" s="1781" t="n"/>
      <c r="G130" s="1781" t="n"/>
      <c r="H130" s="1781" t="n"/>
      <c r="I130" s="1781" t="n"/>
      <c r="J130" s="1781" t="n"/>
      <c r="K130" s="1841">
        <f>M119</f>
        <v/>
      </c>
      <c r="L130" s="1781" t="n"/>
      <c r="M130" s="4228" t="n">
        <v>0</v>
      </c>
      <c r="N130" s="4229" t="n">
        <v>0</v>
      </c>
      <c r="O130" s="4134" t="inlineStr">
        <is>
          <t>D</t>
        </is>
      </c>
      <c r="P130" s="4229" t="n">
        <v>0</v>
      </c>
      <c r="Q130" s="4134" t="inlineStr">
        <is>
          <t>D</t>
        </is>
      </c>
      <c r="R130" s="1781" t="n"/>
      <c r="S130" s="2111">
        <f>$K130-M130</f>
        <v/>
      </c>
      <c r="T130" s="2111">
        <f>$K130-N130</f>
        <v/>
      </c>
      <c r="U130" s="2111">
        <f>$K130-P130</f>
        <v/>
      </c>
      <c r="V130" s="1838" t="n"/>
      <c r="W130" s="4231" t="n">
        <v>0</v>
      </c>
      <c r="X130" s="4231" t="n">
        <v>0</v>
      </c>
      <c r="Y130" s="4231" t="n">
        <v>0</v>
      </c>
      <c r="Z130" s="1781" t="n"/>
      <c r="AA130" s="1826" t="n"/>
      <c r="AB130" s="2133" t="inlineStr">
        <is>
          <t>Y/N</t>
        </is>
      </c>
      <c r="AC130" s="1781" t="n"/>
      <c r="AD130" s="1781" t="n"/>
      <c r="AE130" s="1841">
        <f>'Inl. wetlands'!AI389+'Inl. wetlands'!AI374+'Inl. wetlands'!AI358</f>
        <v/>
      </c>
      <c r="AF130" s="1841">
        <f>'Inl. wetlands'!AJ389+'Inl. wetlands'!AJ374+'Inl. wetlands'!AJ358</f>
        <v/>
      </c>
      <c r="AG130" s="1806">
        <f>AF130-AE130</f>
        <v/>
      </c>
      <c r="AH130" s="1781" t="n"/>
      <c r="AI130" s="1781" t="n"/>
      <c r="AS130" s="2598" t="n"/>
      <c r="AT130" s="1801" t="n"/>
      <c r="AU130" s="2598" t="n"/>
      <c r="AV130" s="2598" t="n"/>
      <c r="AW130" s="1801" t="n"/>
      <c r="AX130" s="1801" t="n"/>
      <c r="AY130" s="1795" t="n"/>
      <c r="AZ130" s="1801" t="n"/>
      <c r="BA130" s="1801" t="n"/>
      <c r="BB130" s="1795" t="n"/>
      <c r="BC130" s="1801" t="n"/>
      <c r="BD130" s="1801" t="n"/>
      <c r="BE130" s="2001" t="n"/>
      <c r="BF130" s="1801" t="n"/>
      <c r="BG130" s="4666" t="n"/>
      <c r="BH130" s="1801" t="n"/>
      <c r="BI130" s="2001" t="n"/>
      <c r="BJ130" s="1801" t="n"/>
      <c r="BK130" s="2001" t="n"/>
      <c r="BL130" s="1801" t="n"/>
      <c r="BM130" s="2001" t="n"/>
      <c r="BN130" s="1801" t="n"/>
      <c r="BO130" s="2598" t="n"/>
      <c r="BP130" s="2598" t="n"/>
      <c r="BQ130" s="2598" t="n"/>
      <c r="BR130" s="2598" t="n"/>
      <c r="BS130" s="2598" t="n"/>
      <c r="BU130" s="1997" t="n"/>
      <c r="BV130" s="1997" t="n"/>
      <c r="BW130" s="1997" t="n"/>
      <c r="CD130" s="4201" t="n"/>
      <c r="CE130" s="2598" t="n"/>
      <c r="CF130" s="2598" t="n"/>
      <c r="CG130" s="2598" t="n"/>
      <c r="CH130" s="2598" t="n"/>
      <c r="CI130" s="2598" t="n"/>
      <c r="CJ130" s="2598" t="n"/>
      <c r="CK130" s="2598" t="n"/>
      <c r="CL130" s="2598" t="n"/>
      <c r="CM130" s="2598" t="n"/>
      <c r="CN130" s="2598" t="n"/>
      <c r="CO130" s="2598" t="n"/>
      <c r="CP130" s="2598" t="n"/>
      <c r="CQ130" s="2598" t="n"/>
      <c r="CT130" s="2567" t="n"/>
      <c r="CU130" s="2598" t="n"/>
      <c r="CV130" s="2598" t="n"/>
      <c r="CW130" s="2598" t="n"/>
      <c r="CX130" s="2598" t="n"/>
      <c r="CY130" s="2598" t="n"/>
      <c r="CZ130" s="2598" t="n"/>
      <c r="DA130" s="2598" t="n"/>
      <c r="DB130" s="2567" t="n"/>
      <c r="DC130" s="2567" t="n"/>
      <c r="DD130" s="2567" t="n"/>
      <c r="DE130" s="2567" t="n"/>
      <c r="DF130" s="2567" t="n"/>
      <c r="DG130" s="2567" t="n"/>
      <c r="DH130" s="2567" t="n"/>
      <c r="DI130" s="2567" t="n"/>
      <c r="DJ130" s="2567" t="n"/>
      <c r="DK130" s="2567" t="n"/>
      <c r="DL130" s="2567" t="n"/>
      <c r="DM130" s="2567" t="n"/>
      <c r="DN130" s="2567" t="n"/>
      <c r="DO130" s="2567" t="n"/>
      <c r="DP130" s="2567" t="n"/>
      <c r="DU130" s="2598" t="n"/>
      <c r="DV130" s="2598" t="n"/>
      <c r="DW130" s="2598" t="n"/>
      <c r="DX130" s="2598" t="n"/>
      <c r="DY130" s="2598" t="n"/>
      <c r="DZ130" s="2598" t="n"/>
      <c r="EA130" s="2598" t="n"/>
      <c r="EB130" s="2598" t="n"/>
      <c r="EC130" s="2598" t="n"/>
      <c r="ED130" s="2598" t="n"/>
      <c r="EE130" s="2598" t="n"/>
      <c r="EF130" s="4197" t="n"/>
      <c r="EG130" s="4181" t="n"/>
      <c r="EH130" s="2598" t="n"/>
    </row>
    <row r="131">
      <c r="B131" s="1781" t="n"/>
      <c r="C131" s="1806">
        <f>C120</f>
        <v/>
      </c>
      <c r="D131" s="1781" t="n"/>
      <c r="E131" s="1781" t="n"/>
      <c r="F131" s="1781" t="n"/>
      <c r="G131" s="1781" t="n"/>
      <c r="H131" s="1781" t="n"/>
      <c r="I131" s="1781" t="n"/>
      <c r="J131" s="1781" t="n"/>
      <c r="K131" s="1841">
        <f>M120</f>
        <v/>
      </c>
      <c r="L131" s="1781" t="n"/>
      <c r="M131" s="4228" t="n">
        <v>0</v>
      </c>
      <c r="N131" s="4229" t="n">
        <v>0</v>
      </c>
      <c r="O131" s="4134" t="inlineStr">
        <is>
          <t>D</t>
        </is>
      </c>
      <c r="P131" s="4229" t="n">
        <v>0</v>
      </c>
      <c r="Q131" s="4134" t="inlineStr">
        <is>
          <t>D</t>
        </is>
      </c>
      <c r="R131" s="1781" t="n"/>
      <c r="S131" s="2111">
        <f>$K131-M131</f>
        <v/>
      </c>
      <c r="T131" s="2111">
        <f>$K131-N131</f>
        <v/>
      </c>
      <c r="U131" s="2111">
        <f>$K131-P131</f>
        <v/>
      </c>
      <c r="V131" s="1838" t="n"/>
      <c r="W131" s="4231" t="n">
        <v>0</v>
      </c>
      <c r="X131" s="4231" t="n">
        <v>0</v>
      </c>
      <c r="Y131" s="4231" t="n">
        <v>0</v>
      </c>
      <c r="Z131" s="1781" t="n"/>
      <c r="AA131" s="1826" t="n"/>
      <c r="AB131" s="2133" t="inlineStr">
        <is>
          <t>Y/N</t>
        </is>
      </c>
      <c r="AC131" s="1781" t="n"/>
      <c r="AD131" s="1781" t="n"/>
      <c r="AE131" s="1841">
        <f>'Inl. wetlands'!AI390+'Inl. wetlands'!AI375+'Inl. wetlands'!AI359</f>
        <v/>
      </c>
      <c r="AF131" s="1841">
        <f>'Inl. wetlands'!AJ390+'Inl. wetlands'!AJ375+'Inl. wetlands'!AJ359</f>
        <v/>
      </c>
      <c r="AG131" s="1806">
        <f>AF131-AE131</f>
        <v/>
      </c>
      <c r="AH131" s="1781" t="n"/>
      <c r="AI131" s="1781" t="n"/>
      <c r="AS131" s="2598" t="n"/>
      <c r="AT131" s="1801" t="n"/>
      <c r="AU131" s="2598" t="n"/>
      <c r="AV131" s="2598" t="n"/>
      <c r="AW131" s="1801" t="n"/>
      <c r="AX131" s="1801" t="n"/>
      <c r="AY131" s="1795" t="n"/>
      <c r="AZ131" s="1801" t="n"/>
      <c r="BA131" s="1801" t="n"/>
      <c r="BB131" s="1795" t="n"/>
      <c r="BC131" s="1801" t="n"/>
      <c r="BD131" s="1801" t="n"/>
      <c r="BE131" s="2001" t="n"/>
      <c r="BF131" s="1801" t="n"/>
      <c r="BG131" s="4666" t="n"/>
      <c r="BH131" s="1801" t="n"/>
      <c r="BI131" s="2001" t="n"/>
      <c r="BJ131" s="1801" t="n"/>
      <c r="BK131" s="2001" t="n"/>
      <c r="BL131" s="1801" t="n"/>
      <c r="BM131" s="2001" t="n"/>
      <c r="BN131" s="1801" t="n"/>
      <c r="BO131" s="2598" t="n"/>
      <c r="BP131" s="2598" t="n"/>
      <c r="BQ131" s="2598" t="n"/>
      <c r="BR131" s="2598" t="n"/>
      <c r="BS131" s="2598" t="n"/>
      <c r="BU131" s="1997" t="n"/>
      <c r="BV131" s="1997" t="n"/>
      <c r="BW131" s="1997" t="n"/>
      <c r="CD131" s="4201" t="n"/>
      <c r="CE131" s="2598" t="n"/>
      <c r="CF131" s="2598" t="n"/>
      <c r="CG131" s="2598" t="n"/>
      <c r="CH131" s="2598" t="n"/>
      <c r="CI131" s="2598" t="n"/>
      <c r="CJ131" s="2598" t="n"/>
      <c r="CK131" s="2598" t="n"/>
      <c r="CL131" s="2598" t="n"/>
      <c r="CM131" s="2598" t="n"/>
      <c r="CN131" s="2598" t="n"/>
      <c r="CO131" s="2598" t="n"/>
      <c r="CP131" s="2598" t="n"/>
      <c r="CQ131" s="2598" t="n"/>
      <c r="CT131" s="2567" t="n"/>
      <c r="CU131" s="2598" t="n"/>
      <c r="CV131" s="2598" t="n"/>
      <c r="CW131" s="2598" t="n"/>
      <c r="CX131" s="2598" t="n"/>
      <c r="CY131" s="2598" t="n"/>
      <c r="CZ131" s="2598" t="n"/>
      <c r="DA131" s="2598" t="n"/>
      <c r="DB131" s="2567" t="n"/>
      <c r="DC131" s="2567" t="n"/>
      <c r="DD131" s="2567" t="n"/>
      <c r="DE131" s="2567" t="n"/>
      <c r="DF131" s="2567" t="n"/>
      <c r="DG131" s="2567" t="n"/>
      <c r="DH131" s="2567" t="n"/>
      <c r="DI131" s="2567" t="n"/>
      <c r="DJ131" s="2567" t="n"/>
      <c r="DK131" s="2567" t="n"/>
      <c r="DL131" s="2567" t="n"/>
      <c r="DM131" s="2567" t="n"/>
      <c r="DN131" s="2567" t="n"/>
      <c r="DO131" s="2567" t="n"/>
      <c r="DP131" s="2567" t="n"/>
      <c r="DU131" s="2598" t="n"/>
      <c r="DV131" s="2598" t="n"/>
      <c r="DW131" s="2598" t="n"/>
      <c r="DX131" s="2598" t="n"/>
      <c r="DY131" s="2598" t="n"/>
      <c r="DZ131" s="2598" t="n"/>
      <c r="EA131" s="2598" t="n"/>
      <c r="EB131" s="2598" t="n"/>
      <c r="EC131" s="2598" t="n"/>
      <c r="ED131" s="2598" t="n"/>
      <c r="EE131" s="2598" t="n"/>
      <c r="EF131" s="4197" t="n"/>
      <c r="EG131" s="4181" t="n"/>
      <c r="EH131" s="2598" t="n"/>
    </row>
    <row r="132">
      <c r="B132" s="1781" t="n"/>
      <c r="C132" s="1806">
        <f>C121</f>
        <v/>
      </c>
      <c r="D132" s="1781" t="n"/>
      <c r="E132" s="1781" t="n"/>
      <c r="F132" s="1781" t="n"/>
      <c r="G132" s="1781" t="n"/>
      <c r="H132" s="1781" t="n"/>
      <c r="I132" s="1781" t="n"/>
      <c r="J132" s="1781" t="n"/>
      <c r="K132" s="1841">
        <f>M121</f>
        <v/>
      </c>
      <c r="L132" s="1781" t="n"/>
      <c r="M132" s="4228" t="n">
        <v>0</v>
      </c>
      <c r="N132" s="4229" t="n">
        <v>0</v>
      </c>
      <c r="O132" s="4134" t="inlineStr">
        <is>
          <t>D</t>
        </is>
      </c>
      <c r="P132" s="4229" t="n">
        <v>0</v>
      </c>
      <c r="Q132" s="4134" t="inlineStr">
        <is>
          <t>D</t>
        </is>
      </c>
      <c r="R132" s="1781" t="n"/>
      <c r="S132" s="2111">
        <f>$K132-M132</f>
        <v/>
      </c>
      <c r="T132" s="2111">
        <f>$K132-N132</f>
        <v/>
      </c>
      <c r="U132" s="2111">
        <f>$K132-P132</f>
        <v/>
      </c>
      <c r="V132" s="1838" t="n"/>
      <c r="W132" s="4231" t="n">
        <v>0</v>
      </c>
      <c r="X132" s="4231" t="n">
        <v>0</v>
      </c>
      <c r="Y132" s="4231" t="n">
        <v>0</v>
      </c>
      <c r="Z132" s="1781" t="n"/>
      <c r="AA132" s="1826" t="n"/>
      <c r="AB132" s="2133" t="inlineStr">
        <is>
          <t>Y/N</t>
        </is>
      </c>
      <c r="AC132" s="1781" t="n"/>
      <c r="AD132" s="1781" t="n"/>
      <c r="AE132" s="1841">
        <f>'Inl. wetlands'!AI391+'Inl. wetlands'!AI376+'Inl. wetlands'!AI360</f>
        <v/>
      </c>
      <c r="AF132" s="1841">
        <f>'Inl. wetlands'!AJ391+'Inl. wetlands'!AJ376+'Inl. wetlands'!AJ360</f>
        <v/>
      </c>
      <c r="AG132" s="1806">
        <f>AF132-AE132</f>
        <v/>
      </c>
      <c r="AH132" s="1781" t="n"/>
      <c r="AI132" s="1781" t="n"/>
      <c r="AS132" s="2598" t="n"/>
      <c r="AT132" s="1801" t="n"/>
      <c r="AU132" s="2598" t="n"/>
      <c r="AV132" s="2598" t="n"/>
      <c r="AW132" s="1801" t="n"/>
      <c r="AX132" s="1801" t="n"/>
      <c r="AY132" s="1795" t="n"/>
      <c r="AZ132" s="1801" t="n"/>
      <c r="BA132" s="1801" t="n"/>
      <c r="BB132" s="1795" t="n"/>
      <c r="BC132" s="1801" t="n"/>
      <c r="BD132" s="1801" t="n"/>
      <c r="BE132" s="2001" t="n"/>
      <c r="BF132" s="1801" t="n"/>
      <c r="BG132" s="4666" t="n"/>
      <c r="BH132" s="1801" t="n"/>
      <c r="BI132" s="2001" t="n"/>
      <c r="BJ132" s="1801" t="n"/>
      <c r="BK132" s="2001" t="n"/>
      <c r="BL132" s="1801" t="n"/>
      <c r="BM132" s="2001" t="n"/>
      <c r="BN132" s="1801" t="n"/>
      <c r="BO132" s="2598" t="n"/>
      <c r="BP132" s="2598" t="n"/>
      <c r="BQ132" s="2598" t="n"/>
      <c r="BR132" s="2598" t="n"/>
      <c r="BS132" s="2598" t="n"/>
      <c r="BU132" s="1997" t="n"/>
      <c r="BV132" s="1997" t="n"/>
      <c r="BW132" s="1997" t="n"/>
      <c r="CD132" s="4201" t="n"/>
      <c r="CE132" s="2598" t="n"/>
      <c r="CF132" s="2598" t="n"/>
      <c r="CG132" s="2598" t="n"/>
      <c r="CH132" s="2598" t="n"/>
      <c r="CI132" s="2598" t="n"/>
      <c r="CJ132" s="2598" t="n"/>
      <c r="CK132" s="2598" t="n"/>
      <c r="CL132" s="2598" t="n"/>
      <c r="CM132" s="2598" t="n"/>
      <c r="CN132" s="2598" t="n"/>
      <c r="CO132" s="2598" t="n"/>
      <c r="CP132" s="2598" t="n"/>
      <c r="CQ132" s="2598" t="n"/>
      <c r="CT132" s="2567" t="n"/>
      <c r="CU132" s="2598" t="n"/>
      <c r="CV132" s="2598" t="n"/>
      <c r="CW132" s="2598" t="n"/>
      <c r="CX132" s="2598" t="n"/>
      <c r="CY132" s="2598" t="n"/>
      <c r="CZ132" s="2598" t="n"/>
      <c r="DA132" s="2598" t="n"/>
      <c r="DB132" s="2567" t="n"/>
      <c r="DC132" s="2567" t="n"/>
      <c r="DD132" s="2567" t="n"/>
      <c r="DE132" s="2567" t="n"/>
      <c r="DF132" s="2567" t="n"/>
      <c r="DG132" s="2567" t="n"/>
      <c r="DH132" s="2567" t="n"/>
      <c r="DI132" s="2567" t="n"/>
      <c r="DJ132" s="2567" t="n"/>
      <c r="DK132" s="2567" t="n"/>
      <c r="DL132" s="2567" t="n"/>
      <c r="DM132" s="2567" t="n"/>
      <c r="DN132" s="2567" t="n"/>
      <c r="DO132" s="2567" t="n"/>
      <c r="DP132" s="2567" t="n"/>
      <c r="DU132" s="2598" t="n"/>
      <c r="DV132" s="2598" t="n"/>
      <c r="DW132" s="2598" t="n"/>
      <c r="DX132" s="2598" t="n"/>
      <c r="DY132" s="2598" t="n"/>
      <c r="DZ132" s="2598" t="n"/>
      <c r="EA132" s="2598" t="n"/>
      <c r="EB132" s="2598" t="n"/>
      <c r="EC132" s="2598" t="n"/>
      <c r="ED132" s="2598" t="n"/>
      <c r="EE132" s="2598" t="n"/>
      <c r="EF132" s="4197" t="n"/>
      <c r="EG132" s="4181" t="n"/>
      <c r="EH132" s="2598" t="n"/>
    </row>
    <row r="133">
      <c r="B133" s="1781" t="n"/>
      <c r="C133" s="1806">
        <f>C122</f>
        <v/>
      </c>
      <c r="D133" s="1781" t="n"/>
      <c r="E133" s="1781" t="n"/>
      <c r="F133" s="1781" t="n"/>
      <c r="G133" s="1781" t="n"/>
      <c r="H133" s="1781" t="n"/>
      <c r="I133" s="1781" t="n"/>
      <c r="J133" s="1781" t="n"/>
      <c r="K133" s="1841">
        <f>M122</f>
        <v/>
      </c>
      <c r="L133" s="1781" t="n"/>
      <c r="M133" s="4228" t="n">
        <v>0</v>
      </c>
      <c r="N133" s="4229" t="n">
        <v>0</v>
      </c>
      <c r="O133" s="4134" t="inlineStr">
        <is>
          <t>D</t>
        </is>
      </c>
      <c r="P133" s="4229" t="n">
        <v>0</v>
      </c>
      <c r="Q133" s="4134" t="inlineStr">
        <is>
          <t>D</t>
        </is>
      </c>
      <c r="R133" s="1781" t="n"/>
      <c r="S133" s="2111">
        <f>$K133-M133</f>
        <v/>
      </c>
      <c r="T133" s="2111">
        <f>$K133-N133</f>
        <v/>
      </c>
      <c r="U133" s="2111">
        <f>$K133-P133</f>
        <v/>
      </c>
      <c r="V133" s="1838" t="n"/>
      <c r="W133" s="4231" t="n">
        <v>0</v>
      </c>
      <c r="X133" s="4231" t="n">
        <v>0</v>
      </c>
      <c r="Y133" s="4231" t="n">
        <v>0</v>
      </c>
      <c r="Z133" s="1781" t="n"/>
      <c r="AA133" s="1826" t="n"/>
      <c r="AB133" s="2133" t="inlineStr">
        <is>
          <t>Y/N</t>
        </is>
      </c>
      <c r="AC133" s="1781" t="n"/>
      <c r="AD133" s="1781" t="n"/>
      <c r="AE133" s="1841">
        <f>'Inl. wetlands'!AI392+'Inl. wetlands'!AI377+'Inl. wetlands'!AI361</f>
        <v/>
      </c>
      <c r="AF133" s="1841">
        <f>'Inl. wetlands'!AJ392+'Inl. wetlands'!AJ377+'Inl. wetlands'!AJ361</f>
        <v/>
      </c>
      <c r="AG133" s="1806">
        <f>AF133-AE133</f>
        <v/>
      </c>
      <c r="AH133" s="1781" t="n"/>
      <c r="AI133" s="1781" t="n"/>
      <c r="AS133" s="2598" t="n"/>
      <c r="AT133" s="1801" t="n"/>
      <c r="AU133" s="2598" t="n"/>
      <c r="AV133" s="2598" t="n"/>
      <c r="AW133" s="1801" t="n"/>
      <c r="AX133" s="1801" t="n"/>
      <c r="AY133" s="1795" t="n"/>
      <c r="AZ133" s="1801" t="n"/>
      <c r="BA133" s="1801" t="n"/>
      <c r="BB133" s="1795" t="n"/>
      <c r="BC133" s="1801" t="n"/>
      <c r="BD133" s="1801" t="n"/>
      <c r="BE133" s="2001" t="n"/>
      <c r="BF133" s="1801" t="n"/>
      <c r="BG133" s="4666" t="n"/>
      <c r="BH133" s="1801" t="n"/>
      <c r="BI133" s="2001" t="n"/>
      <c r="BJ133" s="1801" t="n"/>
      <c r="BK133" s="2001" t="n"/>
      <c r="BL133" s="1801" t="n"/>
      <c r="BM133" s="2001" t="n"/>
      <c r="BN133" s="1801" t="n"/>
      <c r="BO133" s="2598" t="n"/>
      <c r="BP133" s="2598" t="n"/>
      <c r="BQ133" s="2598" t="n"/>
      <c r="BR133" s="2598" t="n"/>
      <c r="BS133" s="2598" t="n"/>
      <c r="BU133" s="1997" t="n"/>
      <c r="BV133" s="1997" t="n"/>
      <c r="BW133" s="1997" t="n"/>
      <c r="CD133" s="4201" t="n"/>
      <c r="CE133" s="2598" t="n"/>
      <c r="CF133" s="2598" t="n"/>
      <c r="CG133" s="2598" t="n"/>
      <c r="CH133" s="2598" t="n"/>
      <c r="CI133" s="2598" t="n"/>
      <c r="CJ133" s="2598" t="n"/>
      <c r="CK133" s="2598" t="n"/>
      <c r="CL133" s="2598" t="n"/>
      <c r="CM133" s="2598" t="n"/>
      <c r="CN133" s="2598" t="n"/>
      <c r="CO133" s="2598" t="n"/>
      <c r="CP133" s="2598" t="n"/>
      <c r="CQ133" s="2598" t="n"/>
      <c r="CT133" s="2567" t="n"/>
      <c r="CU133" s="2598" t="n"/>
      <c r="CV133" s="2598" t="n"/>
      <c r="CW133" s="2598" t="n"/>
      <c r="CX133" s="2598" t="n"/>
      <c r="CY133" s="2598" t="n"/>
      <c r="CZ133" s="2598" t="n"/>
      <c r="DA133" s="2598" t="n"/>
      <c r="DB133" s="2567" t="n"/>
      <c r="DC133" s="2567" t="n"/>
      <c r="DD133" s="2567" t="n"/>
      <c r="DE133" s="2567" t="n"/>
      <c r="DF133" s="2567" t="n"/>
      <c r="DG133" s="2567" t="n"/>
      <c r="DH133" s="2567" t="n"/>
      <c r="DI133" s="2567" t="n"/>
      <c r="DJ133" s="2567" t="n"/>
      <c r="DK133" s="2567" t="n"/>
      <c r="DL133" s="2567" t="n"/>
      <c r="DM133" s="2567" t="n"/>
      <c r="DN133" s="2567" t="n"/>
      <c r="DO133" s="2567" t="n"/>
      <c r="DP133" s="2567" t="n"/>
      <c r="DU133" s="2598" t="n"/>
      <c r="DV133" s="2598" t="n"/>
      <c r="DW133" s="2598" t="n"/>
      <c r="DX133" s="2598" t="n"/>
      <c r="DY133" s="2598" t="n"/>
      <c r="DZ133" s="2598" t="n"/>
      <c r="EA133" s="2598" t="n"/>
      <c r="EB133" s="2598" t="n"/>
      <c r="EC133" s="2598" t="n"/>
      <c r="ED133" s="2598" t="n"/>
      <c r="EE133" s="2598" t="n"/>
      <c r="EF133" s="4197" t="n"/>
      <c r="EG133" s="4181" t="n"/>
      <c r="EH133" s="2598" t="n"/>
    </row>
    <row r="134">
      <c r="B134" s="1781" t="n"/>
      <c r="C134" s="1806">
        <f>C123</f>
        <v/>
      </c>
      <c r="D134" s="1781" t="n"/>
      <c r="E134" s="1781" t="n"/>
      <c r="F134" s="1781" t="n"/>
      <c r="G134" s="1781" t="n"/>
      <c r="H134" s="1781" t="n"/>
      <c r="I134" s="1781" t="n"/>
      <c r="J134" s="1781" t="n"/>
      <c r="K134" s="1841">
        <f>M123</f>
        <v/>
      </c>
      <c r="L134" s="1781" t="n"/>
      <c r="M134" s="4228" t="n">
        <v>0</v>
      </c>
      <c r="N134" s="4229" t="n">
        <v>0</v>
      </c>
      <c r="O134" s="4134" t="inlineStr">
        <is>
          <t>D</t>
        </is>
      </c>
      <c r="P134" s="4229" t="n">
        <v>0</v>
      </c>
      <c r="Q134" s="4134" t="inlineStr">
        <is>
          <t>D</t>
        </is>
      </c>
      <c r="R134" s="1781" t="n"/>
      <c r="S134" s="2111">
        <f>$K134-M134</f>
        <v/>
      </c>
      <c r="T134" s="2111">
        <f>$K134-N134</f>
        <v/>
      </c>
      <c r="U134" s="2111">
        <f>$K134-P134</f>
        <v/>
      </c>
      <c r="V134" s="1838" t="n"/>
      <c r="W134" s="4231" t="n">
        <v>0</v>
      </c>
      <c r="X134" s="4231" t="n">
        <v>0</v>
      </c>
      <c r="Y134" s="4231" t="n">
        <v>0</v>
      </c>
      <c r="Z134" s="1781" t="n"/>
      <c r="AA134" s="1826" t="n"/>
      <c r="AB134" s="2133" t="inlineStr">
        <is>
          <t>Y/N</t>
        </is>
      </c>
      <c r="AC134" s="1781" t="n"/>
      <c r="AD134" s="1781" t="n"/>
      <c r="AE134" s="1841">
        <f>'Inl. wetlands'!AI393+'Inl. wetlands'!AI378+'Inl. wetlands'!AI362</f>
        <v/>
      </c>
      <c r="AF134" s="1841">
        <f>'Inl. wetlands'!AJ393+'Inl. wetlands'!AJ378+'Inl. wetlands'!AJ362</f>
        <v/>
      </c>
      <c r="AG134" s="1806">
        <f>AF134-AE134</f>
        <v/>
      </c>
      <c r="AH134" s="1781" t="n"/>
      <c r="AI134" s="1781" t="n"/>
      <c r="AS134" s="2598" t="n"/>
      <c r="AT134" s="1801" t="n"/>
      <c r="AU134" s="2598" t="n"/>
      <c r="AV134" s="2598" t="n"/>
      <c r="AW134" s="1801" t="n"/>
      <c r="AX134" s="1801" t="n"/>
      <c r="AY134" s="1795" t="n"/>
      <c r="AZ134" s="1801" t="n"/>
      <c r="BA134" s="1801" t="n"/>
      <c r="BB134" s="1795" t="n"/>
      <c r="BC134" s="1801" t="n"/>
      <c r="BD134" s="1801" t="n"/>
      <c r="BE134" s="2001" t="n"/>
      <c r="BF134" s="1801" t="n"/>
      <c r="BG134" s="4666" t="n"/>
      <c r="BH134" s="1801" t="n"/>
      <c r="BI134" s="2001" t="n"/>
      <c r="BJ134" s="1801" t="n"/>
      <c r="BK134" s="2001" t="n"/>
      <c r="BL134" s="1801" t="n"/>
      <c r="BM134" s="2001" t="n"/>
      <c r="BN134" s="1801" t="n"/>
      <c r="BO134" s="2598" t="n"/>
      <c r="BP134" s="2598" t="n"/>
      <c r="BQ134" s="2598" t="n"/>
      <c r="BR134" s="2598" t="n"/>
      <c r="BS134" s="2598" t="n"/>
      <c r="BU134" s="1997" t="n"/>
      <c r="BV134" s="1997" t="n"/>
      <c r="BW134" s="1997" t="n"/>
      <c r="CD134" s="4201" t="n"/>
      <c r="CE134" s="2598" t="n"/>
      <c r="CF134" s="2598" t="n"/>
      <c r="CG134" s="2598" t="n"/>
      <c r="CH134" s="2598" t="n"/>
      <c r="CI134" s="2598" t="n"/>
      <c r="CJ134" s="2598" t="n"/>
      <c r="CK134" s="2598" t="n"/>
      <c r="CL134" s="2598" t="n"/>
      <c r="CM134" s="2598" t="n"/>
      <c r="CN134" s="2598" t="n"/>
      <c r="CO134" s="2598" t="n"/>
      <c r="CP134" s="2598" t="n"/>
      <c r="CQ134" s="2598" t="n"/>
      <c r="CT134" s="2567" t="n"/>
      <c r="CU134" s="2598" t="n"/>
      <c r="CV134" s="2598" t="n"/>
      <c r="CW134" s="2598" t="n"/>
      <c r="CX134" s="2598" t="n"/>
      <c r="CY134" s="2598" t="n"/>
      <c r="CZ134" s="2598" t="n"/>
      <c r="DA134" s="2598" t="n"/>
      <c r="DB134" s="2567" t="n"/>
      <c r="DC134" s="2567" t="n"/>
      <c r="DD134" s="2567" t="n"/>
      <c r="DE134" s="2567" t="n"/>
      <c r="DF134" s="2567" t="n"/>
      <c r="DG134" s="2567" t="n"/>
      <c r="DH134" s="2567" t="n"/>
      <c r="DI134" s="2567" t="n"/>
      <c r="DJ134" s="2567" t="n"/>
      <c r="DK134" s="2567" t="n"/>
      <c r="DL134" s="2567" t="n"/>
      <c r="DM134" s="2567" t="n"/>
      <c r="DN134" s="2567" t="n"/>
      <c r="DO134" s="2567" t="n"/>
      <c r="DP134" s="2567" t="n"/>
      <c r="DU134" s="2598" t="n"/>
      <c r="DV134" s="2598" t="n"/>
      <c r="DW134" s="2598" t="n"/>
      <c r="DX134" s="2598" t="n"/>
      <c r="DY134" s="2598" t="n"/>
      <c r="DZ134" s="2598" t="n"/>
      <c r="EA134" s="2598" t="n"/>
      <c r="EB134" s="2598" t="n"/>
      <c r="EC134" s="2598" t="n"/>
      <c r="ED134" s="2598" t="n"/>
      <c r="EE134" s="2598" t="n"/>
      <c r="EF134" s="4197" t="n"/>
      <c r="EG134" s="4181" t="n"/>
      <c r="EH134" s="2598" t="n"/>
    </row>
    <row r="135">
      <c r="B135" s="1781" t="n"/>
      <c r="C135" s="1781" t="n"/>
      <c r="D135" s="1781" t="n"/>
      <c r="E135" s="1781" t="n"/>
      <c r="F135" s="1781" t="n"/>
      <c r="G135" s="1781" t="n"/>
      <c r="H135" s="1781" t="n"/>
      <c r="I135" s="1781" t="n"/>
      <c r="J135" s="1781" t="n"/>
      <c r="K135" s="1781" t="n"/>
      <c r="L135" s="1781" t="n"/>
      <c r="M135" s="1781" t="n"/>
      <c r="N135" s="1781" t="n"/>
      <c r="O135" s="1781" t="n"/>
      <c r="P135" s="1781" t="n"/>
      <c r="Q135" s="1781" t="n"/>
      <c r="R135" s="1781" t="n"/>
      <c r="S135" s="1781" t="n"/>
      <c r="T135" s="1781" t="n"/>
      <c r="U135" s="1781" t="n"/>
      <c r="V135" s="1781" t="n"/>
      <c r="W135" s="1781" t="n"/>
      <c r="X135" s="1781" t="n"/>
      <c r="Y135" s="1781" t="n"/>
      <c r="Z135" s="1781" t="n"/>
      <c r="AA135" s="4308">
        <f>IF(OR(AND(AB129&lt;&gt;"Y/N", AB129&lt;&gt;"No"), AND(AB130&lt;&gt;"Y/N",AB130&lt;&gt;"No" ), AND(AB131&lt;&gt;"Y/N",AB131&lt;&gt;"No" ), AND(AB132&lt;&gt;"Y/N", AB132&lt;&gt;"No"), AND(AB133&lt;&gt;"Y/N", AB133&lt;&gt;"No"), AND(AB134&lt;&gt;"Y/N", AB134&lt;&gt;"No")), list!$B$279, "")</f>
        <v/>
      </c>
      <c r="AB135" s="1781" t="n"/>
      <c r="AC135" s="1781" t="n"/>
      <c r="AD135" s="1781" t="n"/>
      <c r="AE135" s="1781" t="n"/>
      <c r="AF135" s="1781" t="n"/>
      <c r="AG135" s="1781" t="n"/>
      <c r="AH135" s="1781" t="n"/>
      <c r="AI135" s="1781" t="n"/>
      <c r="AS135" s="2598" t="n"/>
      <c r="AT135" s="1801" t="n"/>
      <c r="AU135" s="2598" t="n"/>
      <c r="AV135" s="2598" t="n"/>
      <c r="AW135" s="1801" t="n"/>
      <c r="AX135" s="1801" t="n"/>
      <c r="AY135" s="1795" t="n"/>
      <c r="AZ135" s="1801" t="n"/>
      <c r="BA135" s="1801" t="n"/>
      <c r="BB135" s="1795" t="n"/>
      <c r="BC135" s="1801" t="n"/>
      <c r="BD135" s="1801" t="n"/>
      <c r="BE135" s="2001" t="n"/>
      <c r="BF135" s="1801" t="n"/>
      <c r="BG135" s="4666" t="n"/>
      <c r="BH135" s="1801" t="n"/>
      <c r="BI135" s="2001" t="n"/>
      <c r="BJ135" s="1801" t="n"/>
      <c r="BK135" s="2001" t="n"/>
      <c r="BL135" s="1801" t="n"/>
      <c r="BM135" s="2001" t="n"/>
      <c r="BN135" s="1801" t="n"/>
      <c r="BO135" s="2598" t="n"/>
      <c r="BP135" s="2598" t="n"/>
      <c r="BQ135" s="2598" t="n"/>
      <c r="BR135" s="2598" t="n"/>
      <c r="BS135" s="2598" t="n"/>
      <c r="BU135" s="1997" t="n"/>
      <c r="BV135" s="1997" t="n"/>
      <c r="BW135" s="1997" t="n"/>
      <c r="CD135" s="4201" t="n"/>
      <c r="CE135" s="2598" t="n"/>
      <c r="CF135" s="2598" t="n"/>
      <c r="CG135" s="2598" t="n"/>
      <c r="CH135" s="2598" t="n"/>
      <c r="CI135" s="2598" t="n"/>
      <c r="CJ135" s="2598" t="n"/>
      <c r="CK135" s="2598" t="n"/>
      <c r="CL135" s="2598" t="n"/>
      <c r="CM135" s="2598" t="n"/>
      <c r="CN135" s="2598" t="n"/>
      <c r="CO135" s="2598" t="n"/>
      <c r="CP135" s="2598" t="n"/>
      <c r="CQ135" s="2598" t="n"/>
      <c r="CT135" s="2567" t="n"/>
      <c r="CU135" s="2598" t="n"/>
      <c r="CV135" s="2598" t="n"/>
      <c r="CW135" s="2598" t="n"/>
      <c r="CX135" s="2598" t="n"/>
      <c r="CY135" s="2598" t="n"/>
      <c r="CZ135" s="2598" t="n"/>
      <c r="DA135" s="2598" t="n"/>
      <c r="DB135" s="2567" t="n"/>
      <c r="DC135" s="2567" t="n"/>
      <c r="DD135" s="2567" t="n"/>
      <c r="DE135" s="2567" t="n"/>
      <c r="DF135" s="2567" t="n"/>
      <c r="DG135" s="2567" t="n"/>
      <c r="DH135" s="2567" t="n"/>
      <c r="DI135" s="2567" t="n"/>
      <c r="DJ135" s="2567" t="n"/>
      <c r="DK135" s="2567" t="n"/>
      <c r="DL135" s="2567" t="n"/>
      <c r="DM135" s="2567" t="n"/>
      <c r="DN135" s="2567" t="n"/>
      <c r="DO135" s="2567" t="n"/>
      <c r="DP135" s="2567" t="n"/>
      <c r="DU135" s="2598" t="n"/>
      <c r="DV135" s="2598" t="n"/>
      <c r="DW135" s="2598" t="n"/>
      <c r="DX135" s="2598" t="n"/>
      <c r="DY135" s="2598" t="n"/>
      <c r="DZ135" s="2598" t="n"/>
      <c r="EA135" s="2598" t="n"/>
      <c r="EB135" s="2598" t="n"/>
      <c r="EC135" s="2598" t="n"/>
      <c r="ED135" s="2598" t="n"/>
      <c r="EE135" s="2598" t="n"/>
      <c r="EF135" s="4197" t="n"/>
      <c r="EG135" s="4181" t="n"/>
      <c r="EH135" s="2598" t="n"/>
    </row>
    <row r="136">
      <c r="B136" s="1961" t="n"/>
      <c r="C136" s="1826" t="n"/>
      <c r="D136" s="1781" t="n"/>
      <c r="E136" s="1781" t="n"/>
      <c r="F136" s="1781" t="n"/>
      <c r="G136" s="1781" t="n"/>
      <c r="H136" s="1781" t="n"/>
      <c r="I136" s="1781" t="n"/>
      <c r="J136" s="1781" t="n"/>
      <c r="K136" s="1781" t="n"/>
      <c r="L136" s="1781" t="n"/>
      <c r="M136" s="1781" t="n"/>
      <c r="N136" s="1781" t="n"/>
      <c r="O136" s="1781" t="n"/>
      <c r="P136" s="1781" t="n"/>
      <c r="Q136" s="1781" t="n"/>
      <c r="R136" s="1781" t="n"/>
      <c r="S136" s="1781" t="n"/>
      <c r="T136" s="1781" t="n"/>
      <c r="U136" s="1781" t="n"/>
      <c r="V136" s="1781" t="n"/>
      <c r="W136" s="1781" t="n"/>
      <c r="X136" s="1781" t="n"/>
      <c r="Y136" s="1781" t="n"/>
      <c r="Z136" s="1781" t="n"/>
      <c r="AA136" s="1781" t="n"/>
      <c r="AB136" s="1789" t="n"/>
      <c r="AC136" s="1781" t="n"/>
      <c r="AD136" s="1781" t="n"/>
      <c r="AE136" s="1781" t="n"/>
      <c r="AF136" s="1781" t="n"/>
      <c r="AG136" s="1781" t="n"/>
      <c r="AH136" s="1781" t="n"/>
      <c r="AI136" s="1781" t="n"/>
      <c r="AS136" s="1801">
        <f>'5.Management'!AQ23</f>
        <v/>
      </c>
      <c r="AT136" s="1801" t="n"/>
      <c r="AU136" s="1801" t="n"/>
      <c r="AV136" s="1801" t="n"/>
      <c r="AW136" s="1801" t="n"/>
      <c r="AX136" s="1801" t="n"/>
      <c r="AY136" s="1801" t="n"/>
      <c r="AZ136" s="1801" t="n"/>
      <c r="BA136" s="1801" t="n"/>
      <c r="BB136" s="1801" t="n"/>
      <c r="BC136" s="1801" t="n"/>
      <c r="BD136" s="1801" t="n"/>
      <c r="BE136" s="1801" t="n"/>
      <c r="BF136" s="1801" t="n"/>
      <c r="BG136" s="1801" t="n"/>
      <c r="BH136" s="1801" t="n"/>
      <c r="BI136" s="1801" t="n"/>
      <c r="BJ136" s="1801" t="n"/>
      <c r="BK136" s="1801" t="n"/>
      <c r="BL136" s="1801" t="n"/>
      <c r="BM136" s="1801" t="n"/>
      <c r="BN136" s="2598" t="n"/>
      <c r="BO136" s="2598" t="n"/>
      <c r="BP136" s="2598" t="n"/>
      <c r="BQ136" s="2598" t="n"/>
      <c r="BR136" s="2598" t="n"/>
      <c r="BS136" s="2598" t="n"/>
      <c r="BU136" s="1997" t="n"/>
      <c r="BV136" s="1997" t="n"/>
      <c r="BW136" s="1997" t="n"/>
      <c r="CD136" s="2598">
        <f>CD101</f>
        <v/>
      </c>
      <c r="CE136" s="2598" t="n"/>
      <c r="CF136" s="2598" t="n"/>
      <c r="CG136" s="2598" t="n"/>
      <c r="CH136" s="2598" t="n"/>
      <c r="CI136" s="2598" t="n"/>
      <c r="CJ136" s="2598" t="n"/>
      <c r="CK136" s="2598" t="n"/>
      <c r="CL136" s="2598" t="n"/>
      <c r="CM136" s="2598" t="n"/>
      <c r="CN136" s="2598" t="n"/>
      <c r="CO136" s="2598" t="n"/>
      <c r="CP136" s="2598" t="n"/>
      <c r="CQ136" s="2598" t="n"/>
      <c r="CT136" s="2598">
        <f>CD136</f>
        <v/>
      </c>
      <c r="CU136" s="2598" t="n"/>
      <c r="CV136" s="2598" t="n"/>
      <c r="CW136" s="2598" t="n"/>
      <c r="CX136" s="2598" t="n"/>
      <c r="CY136" s="2598" t="n"/>
      <c r="CZ136" s="2598" t="n"/>
      <c r="DA136" s="2598" t="n"/>
      <c r="DB136" s="2598" t="n"/>
      <c r="DC136" s="2598" t="n"/>
      <c r="DD136" s="2598" t="n"/>
      <c r="DE136" s="2598" t="n"/>
      <c r="DF136" s="2598" t="n"/>
      <c r="DG136" s="2598" t="n"/>
      <c r="DH136" s="2598" t="n"/>
      <c r="DI136" s="2598" t="n"/>
      <c r="DJ136" s="2598" t="n"/>
      <c r="DK136" s="2598" t="n"/>
      <c r="DL136" s="2598" t="n"/>
      <c r="DM136" s="2598" t="n"/>
      <c r="DN136" s="2598" t="n"/>
      <c r="DO136" s="2598" t="n"/>
      <c r="DP136" s="2598" t="n"/>
      <c r="DU136" s="2598">
        <f>CT136</f>
        <v/>
      </c>
      <c r="DV136" s="2598" t="n"/>
      <c r="DW136" s="2598" t="n"/>
      <c r="DX136" s="2598" t="n"/>
      <c r="DY136" s="2598" t="n"/>
      <c r="DZ136" s="2598" t="n"/>
      <c r="EA136" s="2598" t="n"/>
      <c r="EB136" s="2598" t="n"/>
      <c r="EC136" s="2598" t="n"/>
      <c r="ED136" s="2598" t="n"/>
      <c r="EE136" s="2598" t="n"/>
      <c r="EF136" s="2598" t="n"/>
      <c r="EG136" s="2598" t="n"/>
      <c r="EH136" s="2598" t="n"/>
    </row>
    <row r="137">
      <c r="B137" s="1961" t="n"/>
      <c r="C137" s="1826" t="n"/>
      <c r="D137" s="1781" t="n"/>
      <c r="E137" s="1781" t="n"/>
      <c r="F137" s="1781" t="n"/>
      <c r="G137" s="1781" t="n"/>
      <c r="H137" s="1781" t="n"/>
      <c r="I137" s="1781" t="n"/>
      <c r="J137" s="1781" t="n"/>
      <c r="K137" s="1781" t="n"/>
      <c r="L137" s="1781" t="n"/>
      <c r="M137" s="1781" t="n"/>
      <c r="N137" s="1781" t="n"/>
      <c r="O137" s="1781" t="n"/>
      <c r="P137" s="1781" t="n"/>
      <c r="Q137" s="1781" t="n"/>
      <c r="R137" s="1781" t="n"/>
      <c r="S137" s="1781" t="n"/>
      <c r="T137" s="1781" t="n"/>
      <c r="U137" s="1781" t="n"/>
      <c r="V137" s="1781" t="n"/>
      <c r="W137" s="1781" t="n"/>
      <c r="X137" s="1781" t="n"/>
      <c r="Y137" s="1781" t="n"/>
      <c r="Z137" s="1781" t="n"/>
      <c r="AA137" s="1781" t="n"/>
      <c r="AB137" s="1781" t="n"/>
      <c r="AC137" s="2019" t="n"/>
      <c r="AD137" s="4391">
        <f>Languages!B397</f>
        <v/>
      </c>
      <c r="AE137" s="2039">
        <f>SUM(AE118:AE123)+SUM(AE129:AE134)</f>
        <v/>
      </c>
      <c r="AF137" s="2039">
        <f>SUM(AF118:AF123)+SUM(AF129:AF134)</f>
        <v/>
      </c>
      <c r="AG137" s="2040">
        <f>SUM(AG118:AG123)+SUM(AG129:AG134)</f>
        <v/>
      </c>
      <c r="AH137" s="1781" t="n"/>
      <c r="AI137" s="1781" t="n"/>
      <c r="AS137" s="1801" t="n"/>
      <c r="AT137" s="1801" t="n"/>
      <c r="AU137" s="1801" t="n"/>
      <c r="AV137" s="1801" t="n"/>
      <c r="AW137" s="1801" t="n"/>
      <c r="AX137" s="1801" t="n"/>
      <c r="AY137" s="1801" t="n"/>
      <c r="AZ137" s="1801" t="n"/>
      <c r="BA137" s="1801" t="n"/>
      <c r="BB137" s="1801" t="n"/>
      <c r="BC137" s="1801" t="n"/>
      <c r="BD137" s="1801" t="n"/>
      <c r="BE137" s="1801" t="n"/>
      <c r="BF137" s="1801" t="n"/>
      <c r="BG137" s="1801" t="n"/>
      <c r="BH137" s="1801" t="n"/>
      <c r="BI137" s="1801" t="n"/>
      <c r="BJ137" s="1801" t="n"/>
      <c r="BK137" s="1801" t="n"/>
      <c r="BL137" s="1801" t="n"/>
      <c r="BM137" s="1801" t="n"/>
      <c r="BN137" s="2598" t="n"/>
      <c r="BO137" s="2598" t="n"/>
      <c r="BP137" s="2598" t="n"/>
      <c r="BQ137" s="2598" t="n"/>
      <c r="BR137" s="2598" t="n"/>
      <c r="BS137" s="2598" t="n"/>
      <c r="BU137" s="1997" t="n"/>
      <c r="BV137" s="1997" t="n"/>
      <c r="BW137" s="1997" t="n"/>
      <c r="CD137" s="2598" t="n"/>
      <c r="CE137" s="2598" t="n"/>
      <c r="CF137" s="2598" t="n"/>
      <c r="CG137" s="2598" t="n"/>
      <c r="CH137" s="2598" t="n"/>
      <c r="CI137" s="2598" t="n"/>
      <c r="CJ137" s="2598" t="n"/>
      <c r="CK137" s="2598" t="n"/>
      <c r="CL137" s="2598" t="n"/>
      <c r="CM137" s="2598" t="n"/>
      <c r="CN137" s="2598" t="n"/>
      <c r="CO137" s="2598" t="n"/>
      <c r="CP137" s="2598" t="n"/>
      <c r="CQ137" s="2598" t="n"/>
      <c r="CT137" s="2598" t="n"/>
      <c r="CU137" s="2598" t="n"/>
      <c r="CV137" s="2598" t="n"/>
      <c r="CW137" s="2598" t="n"/>
      <c r="CX137" s="2598" t="n"/>
      <c r="CY137" s="2598" t="n"/>
      <c r="CZ137" s="2598" t="n"/>
      <c r="DA137" s="2598" t="n"/>
      <c r="DB137" s="2598" t="n"/>
      <c r="DC137" s="2598" t="n"/>
      <c r="DD137" s="2598" t="n"/>
      <c r="DE137" s="2598" t="n"/>
      <c r="DF137" s="2598" t="n"/>
      <c r="DG137" s="2598" t="n"/>
      <c r="DH137" s="2598" t="n"/>
      <c r="DI137" s="2598" t="n"/>
      <c r="DJ137" s="2598" t="n"/>
      <c r="DK137" s="2598" t="n"/>
      <c r="DL137" s="2598" t="n"/>
      <c r="DM137" s="2598" t="n"/>
      <c r="DN137" s="2598" t="n"/>
      <c r="DO137" s="2598" t="n"/>
      <c r="DP137" s="2598" t="n"/>
      <c r="DU137" s="2598" t="n"/>
      <c r="DV137" s="2598" t="n"/>
      <c r="DW137" s="2598" t="n"/>
      <c r="DX137" s="2598" t="n"/>
      <c r="DY137" s="2598" t="n"/>
      <c r="DZ137" s="2598" t="n"/>
      <c r="EA137" s="2598" t="n"/>
      <c r="EB137" s="2598" t="n"/>
      <c r="EC137" s="2598" t="n"/>
      <c r="ED137" s="2598" t="n"/>
      <c r="EE137" s="2598" t="n"/>
      <c r="EF137" s="2598" t="n"/>
      <c r="EG137" s="2598" t="n"/>
      <c r="EH137" s="2598" t="n"/>
    </row>
    <row r="138">
      <c r="B138" s="1820" t="n"/>
      <c r="C138" s="1781">
        <f>C102</f>
        <v/>
      </c>
      <c r="D138" s="1781" t="n"/>
      <c r="E138" s="1781" t="n"/>
      <c r="F138" s="1781" t="n"/>
      <c r="G138" s="1781" t="n"/>
      <c r="H138" s="1781" t="n"/>
      <c r="I138" s="1781" t="n"/>
      <c r="J138" s="1781" t="n"/>
      <c r="K138" s="1781" t="n"/>
      <c r="L138" s="1781" t="n"/>
      <c r="M138" s="1781" t="n"/>
      <c r="N138" s="1781" t="n"/>
      <c r="O138" s="1781" t="n"/>
      <c r="P138" s="1781" t="n"/>
      <c r="Q138" s="1781" t="n"/>
      <c r="R138" s="1781" t="n"/>
      <c r="S138" s="1781" t="n"/>
      <c r="T138" s="1781" t="n"/>
      <c r="U138" s="1781" t="n"/>
      <c r="V138" s="1781" t="n"/>
      <c r="W138" s="1781" t="n"/>
      <c r="X138" s="1781" t="n"/>
      <c r="Y138" s="1781" t="n"/>
      <c r="Z138" s="1781" t="n"/>
      <c r="AA138" s="1781" t="n"/>
      <c r="AB138" s="1781" t="n"/>
      <c r="AC138" s="1781" t="n"/>
      <c r="AD138" s="1781" t="n"/>
      <c r="AE138" s="1781" t="n"/>
      <c r="AF138" s="1781" t="n"/>
      <c r="AG138" s="1781" t="n"/>
      <c r="AH138" s="1781" t="n"/>
      <c r="AI138" s="1781" t="n"/>
      <c r="AS138" s="1801">
        <f>'5.Management'!AQ24</f>
        <v/>
      </c>
      <c r="AT138" s="1782" t="n"/>
      <c r="AU138" s="1782" t="n"/>
      <c r="AV138" s="1782" t="n"/>
      <c r="AW138" s="1782" t="n"/>
      <c r="AX138" s="1782" t="n"/>
      <c r="AY138" s="1782" t="n"/>
      <c r="AZ138" s="1782" t="n"/>
      <c r="BA138" s="1782" t="n"/>
      <c r="BB138" s="1782" t="n"/>
      <c r="BC138" s="1782" t="n"/>
      <c r="BD138" s="1782" t="n"/>
      <c r="BE138" s="1782" t="n"/>
      <c r="BF138" s="1782" t="n"/>
      <c r="BG138" s="1782" t="n"/>
      <c r="BH138" s="1782" t="n"/>
      <c r="BI138" s="1782" t="n"/>
      <c r="BJ138" s="1782" t="n"/>
      <c r="BK138" s="1782" t="n"/>
      <c r="BL138" s="1782" t="n"/>
      <c r="BM138" s="1782" t="n"/>
      <c r="BN138" s="2598" t="n"/>
      <c r="BO138" s="2598" t="n"/>
      <c r="BP138" s="2598" t="n"/>
      <c r="BQ138" s="2598" t="n"/>
      <c r="BR138" s="2598" t="n"/>
      <c r="BS138" s="2598" t="n"/>
      <c r="BU138" s="1997" t="n"/>
      <c r="BV138" s="1997" t="n"/>
      <c r="BW138" s="1997" t="n"/>
      <c r="CD138" s="2598">
        <f>CD102</f>
        <v/>
      </c>
      <c r="CE138" s="2598" t="n"/>
      <c r="CF138" s="2598" t="n"/>
      <c r="CG138" s="2598" t="n"/>
      <c r="CH138" s="2598" t="n"/>
      <c r="CI138" s="2598" t="n"/>
      <c r="CJ138" s="2598" t="n"/>
      <c r="CK138" s="2598" t="n"/>
      <c r="CL138" s="2598" t="n"/>
      <c r="CM138" s="2598" t="n"/>
      <c r="CN138" s="2598" t="n"/>
      <c r="CO138" s="2598" t="n"/>
      <c r="CP138" s="2598" t="n"/>
      <c r="CQ138" s="2598" t="n"/>
      <c r="CT138" s="2598">
        <f>CD138</f>
        <v/>
      </c>
      <c r="CU138" s="2598" t="n"/>
      <c r="CV138" s="2598" t="n"/>
      <c r="CW138" s="2598" t="n"/>
      <c r="CX138" s="2598" t="n"/>
      <c r="CY138" s="2598" t="n"/>
      <c r="CZ138" s="2598" t="n"/>
      <c r="DA138" s="2598" t="n"/>
      <c r="DB138" s="2598" t="n"/>
      <c r="DC138" s="2598" t="n"/>
      <c r="DD138" s="2598" t="n"/>
      <c r="DE138" s="2598" t="n"/>
      <c r="DF138" s="2598" t="n"/>
      <c r="DG138" s="2598" t="n"/>
      <c r="DH138" s="2598" t="n"/>
      <c r="DI138" s="2598" t="n"/>
      <c r="DJ138" s="2598" t="n"/>
      <c r="DK138" s="2598" t="n"/>
      <c r="DL138" s="2598" t="n"/>
      <c r="DM138" s="2598" t="n"/>
      <c r="DN138" s="2598" t="n"/>
      <c r="DO138" s="2598" t="n"/>
      <c r="DP138" s="2598" t="n"/>
      <c r="DU138" s="2598">
        <f>CT138</f>
        <v/>
      </c>
      <c r="DV138" s="2598" t="n"/>
      <c r="DW138" s="2598" t="n"/>
      <c r="DX138" s="2598" t="n"/>
      <c r="DY138" s="2598" t="n"/>
      <c r="DZ138" s="2598" t="n"/>
      <c r="EA138" s="2598" t="n"/>
      <c r="EB138" s="2598" t="n"/>
      <c r="EC138" s="2598" t="n"/>
      <c r="ED138" s="2598" t="n"/>
      <c r="EE138" s="2598" t="n"/>
      <c r="EF138" s="2598" t="n"/>
      <c r="EG138" s="2598" t="n"/>
      <c r="EH138" s="2598" t="n"/>
    </row>
    <row r="139" ht="10.25" customHeight="1">
      <c r="B139" s="3514" t="n"/>
      <c r="C139" s="1771" t="n"/>
      <c r="D139" s="1771" t="n"/>
      <c r="E139" s="1771" t="n"/>
      <c r="F139" s="1771" t="n"/>
      <c r="G139" s="1771" t="n"/>
      <c r="H139" s="1771" t="n"/>
      <c r="I139" s="1771" t="n"/>
      <c r="J139" s="1771" t="n"/>
      <c r="K139" s="1771" t="n"/>
      <c r="L139" s="1771" t="n"/>
      <c r="M139" s="1771" t="n"/>
      <c r="N139" s="1771" t="n"/>
      <c r="O139" s="1771" t="n"/>
      <c r="P139" s="1771" t="n"/>
      <c r="Q139" s="1771" t="n"/>
      <c r="R139" s="1771" t="n"/>
      <c r="S139" s="1771" t="n"/>
      <c r="T139" s="1771" t="n"/>
      <c r="U139" s="1771" t="n"/>
      <c r="V139" s="1771" t="n"/>
      <c r="W139" s="1771" t="n"/>
      <c r="X139" s="1771" t="n"/>
      <c r="Y139" s="1771" t="n"/>
      <c r="Z139" s="1771" t="n"/>
      <c r="AA139" s="1771" t="n"/>
      <c r="AB139" s="1771" t="n"/>
      <c r="AC139" s="1771" t="n"/>
      <c r="AD139" s="1771" t="n"/>
      <c r="AE139" s="1771" t="n"/>
      <c r="AF139" s="1771" t="n"/>
      <c r="AG139" s="1771" t="n"/>
      <c r="AH139" s="1771" t="n"/>
      <c r="AI139" s="1771" t="n"/>
      <c r="AS139" s="1918" t="n"/>
      <c r="AT139" s="1771" t="n"/>
      <c r="AU139" s="1771" t="n"/>
      <c r="AV139" s="1771" t="n"/>
      <c r="AW139" s="1771" t="n"/>
      <c r="AX139" s="1771" t="n"/>
      <c r="AY139" s="1771" t="n"/>
      <c r="AZ139" s="1771" t="n"/>
      <c r="BA139" s="1771" t="n"/>
      <c r="BB139" s="1771" t="n"/>
      <c r="BC139" s="1771" t="n"/>
      <c r="BD139" s="1771" t="n"/>
      <c r="BE139" s="1771" t="n"/>
      <c r="BF139" s="1771" t="n"/>
      <c r="BG139" s="1771" t="n"/>
      <c r="BH139" s="1771" t="n"/>
      <c r="BI139" s="1771" t="n"/>
      <c r="BJ139" s="1771" t="n"/>
      <c r="BK139" s="1771" t="n"/>
      <c r="BL139" s="1771" t="n"/>
      <c r="BM139" s="1771" t="n"/>
    </row>
    <row r="140">
      <c r="B140" s="3514" t="n"/>
      <c r="C140" s="1771" t="n"/>
      <c r="D140" s="1771" t="n"/>
      <c r="E140" s="1771" t="n"/>
      <c r="F140" s="1771" t="n"/>
      <c r="G140" s="1771" t="n"/>
      <c r="H140" s="1771" t="n"/>
      <c r="I140" s="1771" t="n"/>
      <c r="J140" s="1771" t="n"/>
      <c r="K140" s="1771" t="n"/>
      <c r="L140" s="1771" t="n"/>
      <c r="M140" s="1771" t="n"/>
      <c r="N140" s="1771" t="n"/>
      <c r="O140" s="1771" t="n"/>
      <c r="P140" s="1771" t="n"/>
      <c r="Q140" s="1771" t="n"/>
      <c r="R140" s="1771" t="n"/>
      <c r="S140" s="1771" t="n"/>
      <c r="T140" s="1771" t="n"/>
      <c r="U140" s="1771" t="n"/>
      <c r="V140" s="1771" t="n"/>
      <c r="W140" s="1771" t="n"/>
      <c r="X140" s="1771" t="n"/>
      <c r="Y140" s="1771" t="n"/>
      <c r="Z140" s="1771" t="n"/>
      <c r="AA140" s="1771" t="n"/>
      <c r="AB140" s="1771" t="n"/>
      <c r="AC140" s="1771" t="n"/>
      <c r="AD140" s="1771" t="n"/>
      <c r="AE140" s="1771" t="n"/>
      <c r="AF140" s="1771" t="n"/>
      <c r="AG140" s="1771" t="n"/>
      <c r="AH140" s="1771" t="n"/>
      <c r="AI140" s="1771" t="n"/>
      <c r="AS140" s="1918" t="n"/>
      <c r="AT140" s="1771" t="n"/>
      <c r="AU140" s="1771" t="n"/>
      <c r="AV140" s="1771" t="n"/>
      <c r="AW140" s="1771" t="n"/>
      <c r="AX140" s="1771" t="n"/>
      <c r="AY140" s="1771" t="n"/>
      <c r="AZ140" s="1771" t="n"/>
      <c r="BA140" s="1771" t="n"/>
      <c r="BB140" s="1771" t="n"/>
      <c r="BC140" s="1771" t="n"/>
      <c r="BD140" s="1771" t="n"/>
      <c r="BE140" s="1771" t="n"/>
      <c r="BF140" s="1771" t="n"/>
      <c r="BG140" s="1771" t="n"/>
      <c r="BH140" s="1771" t="n"/>
      <c r="BI140" s="1771" t="n"/>
      <c r="BJ140" s="1771" t="n"/>
      <c r="BK140" s="1771" t="n"/>
      <c r="BL140" s="1771" t="n"/>
      <c r="BM140" s="1771" t="n"/>
    </row>
    <row r="141" ht="4.25" customHeight="1">
      <c r="B141" s="3514" t="n"/>
      <c r="C141" s="1771" t="n"/>
      <c r="D141" s="1771" t="n"/>
      <c r="E141" s="1771" t="n"/>
      <c r="F141" s="1771" t="n"/>
      <c r="G141" s="1771" t="n"/>
      <c r="H141" s="1771" t="n"/>
      <c r="I141" s="1771" t="n"/>
      <c r="J141" s="1771" t="n"/>
      <c r="K141" s="1771" t="n"/>
      <c r="L141" s="1771" t="n"/>
      <c r="M141" s="1771" t="n"/>
      <c r="N141" s="1771" t="n"/>
      <c r="O141" s="1771" t="n"/>
      <c r="P141" s="1771" t="n"/>
      <c r="Q141" s="1771" t="n"/>
      <c r="R141" s="1771" t="n"/>
      <c r="S141" s="1771" t="n"/>
      <c r="T141" s="1771" t="n"/>
      <c r="U141" s="1771" t="n"/>
      <c r="V141" s="1771" t="n"/>
      <c r="W141" s="1771" t="n"/>
      <c r="X141" s="1771" t="n"/>
      <c r="Y141" s="1771" t="n"/>
      <c r="Z141" s="1771" t="n"/>
      <c r="AA141" s="1771" t="n"/>
      <c r="AB141" s="1771" t="n"/>
      <c r="AC141" s="1771" t="n"/>
      <c r="AD141" s="1771" t="n"/>
      <c r="AE141" s="1771" t="n"/>
      <c r="AF141" s="1771" t="n"/>
      <c r="AG141" s="1771" t="n"/>
      <c r="AH141" s="1771" t="n"/>
      <c r="AI141" s="1771" t="n"/>
      <c r="AS141" s="1918" t="n"/>
      <c r="AT141" s="1771" t="n"/>
      <c r="AU141" s="1771" t="n"/>
      <c r="AV141" s="1771" t="n"/>
      <c r="AW141" s="1771" t="n"/>
      <c r="AX141" s="1771" t="n"/>
      <c r="AY141" s="1771" t="n"/>
      <c r="AZ141" s="1771" t="n"/>
      <c r="BA141" s="1771" t="n"/>
      <c r="BB141" s="1771" t="n"/>
      <c r="BC141" s="1771" t="n"/>
      <c r="BD141" s="1771" t="n"/>
      <c r="BE141" s="1771" t="n"/>
      <c r="BF141" s="1771" t="n"/>
      <c r="BG141" s="1771" t="n"/>
      <c r="BH141" s="1771" t="n"/>
      <c r="BI141" s="1771" t="n"/>
      <c r="BJ141" s="1771" t="n"/>
      <c r="BK141" s="1771" t="n"/>
      <c r="BL141" s="1771" t="n"/>
      <c r="BM141" s="1771" t="n"/>
    </row>
    <row r="142">
      <c r="AS142" s="4213" t="n"/>
      <c r="AT142" s="1771" t="n"/>
      <c r="AU142" s="1771" t="n"/>
      <c r="AV142" s="1771" t="n"/>
      <c r="AW142" s="1771" t="n"/>
      <c r="AX142" s="1771" t="n"/>
      <c r="AY142" s="1771" t="n"/>
      <c r="AZ142" s="1771" t="n"/>
      <c r="BA142" s="1771" t="n"/>
      <c r="BB142" s="1771" t="n"/>
      <c r="BC142" s="1771" t="n"/>
      <c r="BD142" s="1771" t="n"/>
      <c r="BE142" s="1771" t="n"/>
      <c r="BF142" s="1771" t="n"/>
      <c r="BG142" s="1771" t="n"/>
      <c r="BH142" s="1771" t="n"/>
      <c r="BI142" s="1771" t="n"/>
      <c r="BJ142" s="1771" t="n"/>
      <c r="BK142" s="1771" t="n"/>
      <c r="BL142" s="1771" t="n"/>
      <c r="BM142" s="1771" t="n"/>
    </row>
    <row r="143">
      <c r="AS143" s="4213" t="n"/>
      <c r="AT143" s="1771" t="n"/>
      <c r="AU143" s="1771" t="n"/>
      <c r="AV143" s="1771" t="n"/>
      <c r="AW143" s="1771" t="n"/>
      <c r="AX143" s="1771" t="n"/>
      <c r="AY143" s="1771" t="n"/>
      <c r="AZ143" s="1771" t="n"/>
      <c r="BA143" s="1771" t="n"/>
      <c r="BB143" s="1771" t="n"/>
      <c r="BC143" s="1771" t="n"/>
      <c r="BD143" s="1771" t="n"/>
      <c r="BE143" s="1771" t="n"/>
      <c r="BF143" s="1771" t="n"/>
      <c r="BG143" s="1771" t="n"/>
      <c r="BH143" s="1771" t="n"/>
      <c r="BI143" s="1771" t="n"/>
      <c r="BJ143" s="1771" t="n"/>
      <c r="BK143" s="1771" t="n"/>
      <c r="BL143" s="1771" t="n"/>
      <c r="BM143" s="1771" t="n"/>
    </row>
    <row r="144">
      <c r="AS144" s="1771" t="n"/>
      <c r="AT144" s="1771" t="n"/>
      <c r="AU144" s="1771" t="n"/>
      <c r="AV144" s="1771" t="n"/>
      <c r="AW144" s="1771" t="n"/>
      <c r="AX144" s="1771" t="n"/>
      <c r="AY144" s="1771" t="n"/>
      <c r="AZ144" s="1771" t="n"/>
      <c r="BA144" s="1771" t="n"/>
      <c r="BB144" s="1771" t="n"/>
      <c r="BC144" s="1771" t="n"/>
      <c r="BD144" s="1771" t="n"/>
      <c r="BE144" s="1771" t="n"/>
      <c r="BF144" s="1771" t="n"/>
      <c r="BG144" s="1771" t="n"/>
      <c r="BH144" s="1771" t="n"/>
      <c r="BI144" s="1771" t="n"/>
      <c r="BJ144" s="1771" t="n"/>
      <c r="BK144" s="1771" t="n"/>
      <c r="BL144" s="1771" t="n"/>
      <c r="BM144" s="1771" t="n"/>
    </row>
    <row r="145" ht="45" customHeight="1">
      <c r="B145" s="1977" t="n"/>
      <c r="C145" s="2549">
        <f>Languages!B350</f>
        <v/>
      </c>
      <c r="D145" s="1769" t="n"/>
      <c r="E145" s="1769" t="n"/>
      <c r="F145" s="1769" t="n"/>
      <c r="G145" s="1769" t="n"/>
      <c r="H145" s="1769" t="n"/>
      <c r="I145" s="1769" t="n"/>
      <c r="J145" s="1769" t="n"/>
      <c r="K145" s="1769" t="n"/>
      <c r="L145" s="1769" t="n"/>
      <c r="M145" s="1769" t="n"/>
      <c r="N145" s="1769" t="n"/>
      <c r="O145" s="1769" t="n"/>
      <c r="P145" s="1769" t="n"/>
      <c r="Q145" s="1977" t="n"/>
      <c r="R145" s="1977" t="n"/>
      <c r="S145" s="1977" t="n"/>
      <c r="T145" s="1977" t="n"/>
      <c r="U145" s="1977" t="n"/>
      <c r="V145" s="1977" t="n"/>
      <c r="W145" s="1977" t="n"/>
      <c r="X145" s="1977" t="n"/>
      <c r="Y145" s="1977" t="n"/>
      <c r="Z145" s="1977" t="n"/>
      <c r="AA145" s="1977" t="n"/>
      <c r="AB145" s="1979">
        <f>AA112</f>
        <v/>
      </c>
      <c r="AC145" s="1977" t="n"/>
      <c r="AD145" s="1977" t="n"/>
      <c r="AE145" s="1977" t="n"/>
      <c r="AF145" s="1977" t="n"/>
      <c r="AG145" s="1769" t="n"/>
      <c r="AH145" s="1977" t="n"/>
      <c r="AI145" s="1769" t="n"/>
      <c r="AS145" s="2078" t="n"/>
      <c r="BH145" s="4214" t="n"/>
      <c r="BI145" s="4214" t="n"/>
      <c r="BJ145" s="4214" t="n"/>
      <c r="BK145" s="4214" t="n"/>
      <c r="BL145" s="4214" t="n"/>
      <c r="BM145" s="4214" t="n"/>
      <c r="BZ145" s="4404" t="inlineStr">
        <is>
          <t>Annual balance</t>
        </is>
      </c>
      <c r="CA145" s="4404" t="n"/>
      <c r="CB145" s="4404" t="n"/>
      <c r="CD145" s="1976">
        <f>Languages!B361</f>
        <v/>
      </c>
      <c r="CE145" s="1977" t="n"/>
      <c r="CF145" s="1977" t="n"/>
      <c r="CG145" s="1977" t="n"/>
      <c r="CH145" s="1977" t="n"/>
      <c r="CI145" s="1977" t="n"/>
      <c r="CJ145" s="1977" t="n"/>
      <c r="CK145" s="1977" t="n"/>
      <c r="CL145" s="1977" t="n"/>
      <c r="CM145" s="1977" t="n"/>
      <c r="CN145" s="1977" t="n"/>
      <c r="CO145" s="1977" t="n"/>
      <c r="CP145" s="1977" t="n"/>
      <c r="CQ145" s="1977" t="n"/>
      <c r="CT145" s="1976">
        <f>Languages!B368</f>
        <v/>
      </c>
      <c r="CU145" s="1977" t="n"/>
      <c r="CV145" s="1977" t="n"/>
      <c r="CW145" s="1977" t="n"/>
      <c r="CX145" s="1977" t="n"/>
      <c r="CY145" s="1977" t="n"/>
      <c r="CZ145" s="1977" t="n"/>
      <c r="DA145" s="1977" t="n"/>
      <c r="DB145" s="1977" t="n"/>
      <c r="DC145" s="1977" t="n"/>
      <c r="DD145" s="1977" t="n"/>
      <c r="DE145" s="1977" t="n"/>
      <c r="DF145" s="1977" t="n"/>
      <c r="DG145" s="1977" t="n"/>
      <c r="DH145" s="1977" t="n"/>
      <c r="DI145" s="1977" t="n"/>
      <c r="DJ145" s="1977" t="n"/>
      <c r="DK145" s="1977" t="n"/>
      <c r="DL145" s="1977" t="n"/>
      <c r="DM145" s="1977" t="n"/>
      <c r="DN145" s="1977" t="n"/>
      <c r="DO145" s="1977" t="n"/>
      <c r="DP145" s="1977" t="n"/>
      <c r="DU145" s="1976">
        <f>Languages!B378</f>
        <v/>
      </c>
      <c r="DV145" s="1977" t="n"/>
      <c r="DW145" s="1977" t="n"/>
      <c r="DX145" s="1977" t="n"/>
      <c r="DY145" s="1977" t="n"/>
      <c r="DZ145" s="1977" t="n"/>
      <c r="EA145" s="1977" t="n"/>
      <c r="EB145" s="1977" t="n"/>
      <c r="EC145" s="1977" t="n"/>
      <c r="ED145" s="1977" t="n"/>
      <c r="EE145" s="1977" t="n"/>
      <c r="EF145" s="1977" t="n"/>
      <c r="EG145" s="1977" t="n"/>
      <c r="EH145" s="1977" t="n"/>
    </row>
    <row r="146">
      <c r="B146" s="1961" t="n"/>
      <c r="C146" s="1961" t="n"/>
      <c r="D146" s="1961" t="n"/>
      <c r="E146" s="1961" t="n"/>
      <c r="F146" s="1961" t="n"/>
      <c r="G146" s="1961" t="n"/>
      <c r="H146" s="1961" t="n"/>
      <c r="I146" s="1961" t="n"/>
      <c r="J146" s="1961" t="n"/>
      <c r="K146" s="1961" t="n"/>
      <c r="L146" s="1961" t="n"/>
      <c r="M146" s="1961" t="n"/>
      <c r="N146" s="1961" t="n"/>
      <c r="O146" s="1961" t="n"/>
      <c r="P146" s="1961" t="n"/>
      <c r="Q146" s="1961" t="n"/>
      <c r="R146" s="1961" t="n"/>
      <c r="S146" s="1961" t="n"/>
      <c r="T146" s="1961" t="n"/>
      <c r="U146" s="1961" t="n"/>
      <c r="V146" s="1961" t="n"/>
      <c r="W146" s="1961" t="n"/>
      <c r="X146" s="1961" t="n"/>
      <c r="Y146" s="1961" t="n"/>
      <c r="Z146" s="1961" t="n"/>
      <c r="AA146" s="1961" t="n"/>
      <c r="AB146" s="1961" t="n"/>
      <c r="AC146" s="1961" t="n"/>
      <c r="AD146" s="1961" t="n"/>
      <c r="AE146" s="1961" t="n"/>
      <c r="AF146" s="1961" t="n"/>
      <c r="AG146" s="1961" t="n"/>
      <c r="AH146" s="1961" t="n"/>
      <c r="AI146" s="1961" t="n"/>
      <c r="BZ146" s="2598" t="n"/>
      <c r="CA146" s="2598" t="n"/>
      <c r="CB146" s="2598" t="n"/>
      <c r="CD146" s="2598" t="n"/>
      <c r="CE146" s="2598" t="n"/>
      <c r="CF146" s="4176">
        <f>CF113</f>
        <v/>
      </c>
      <c r="CG146" s="4176" t="n"/>
      <c r="CH146" s="4176" t="n"/>
      <c r="CI146" s="4176" t="n"/>
      <c r="CJ146" s="4176" t="n"/>
      <c r="CK146" s="4176" t="n"/>
      <c r="CL146" s="4181" t="n"/>
      <c r="CM146" s="4176">
        <f>CM113</f>
        <v/>
      </c>
      <c r="CN146" s="4176" t="n"/>
      <c r="CO146" s="4176" t="n"/>
      <c r="CP146" s="4176" t="n"/>
      <c r="CQ146" s="2598" t="n"/>
      <c r="CT146" s="2598" t="n"/>
      <c r="CU146" s="2598" t="n"/>
      <c r="CV146" s="2598" t="n"/>
      <c r="CW146" s="2598" t="n"/>
      <c r="CX146" s="2598" t="n"/>
      <c r="CY146" s="2598" t="n"/>
      <c r="CZ146" s="2598" t="n"/>
      <c r="DA146" s="2598" t="n"/>
      <c r="DB146" s="2598" t="n"/>
      <c r="DC146" s="2598" t="n"/>
      <c r="DD146" s="2598" t="n"/>
      <c r="DE146" s="2598" t="n"/>
      <c r="DF146" s="2598" t="n"/>
      <c r="DG146" s="2598" t="n"/>
      <c r="DH146" s="2598" t="n"/>
      <c r="DI146" s="2598" t="n"/>
      <c r="DJ146" s="2598" t="n"/>
      <c r="DK146" s="2598" t="n"/>
      <c r="DL146" s="2598" t="n"/>
      <c r="DM146" s="2598" t="n"/>
      <c r="DN146" s="2598" t="n"/>
      <c r="DO146" s="2598" t="n"/>
      <c r="DP146" s="2598" t="n"/>
      <c r="DU146" s="2598" t="n"/>
      <c r="DV146" s="2598" t="n"/>
      <c r="DW146" s="2598" t="n"/>
      <c r="DX146" s="2598" t="n"/>
      <c r="DY146" s="2598" t="n"/>
      <c r="DZ146" s="2598" t="n"/>
      <c r="EA146" s="2598" t="n"/>
      <c r="EB146" s="2598" t="n"/>
      <c r="EC146" s="2598" t="n"/>
      <c r="ED146" s="2598" t="n"/>
      <c r="EE146" s="2598" t="n"/>
      <c r="EF146" s="2598" t="n"/>
      <c r="EG146" s="2598" t="n"/>
      <c r="EH146" s="2598" t="n"/>
    </row>
    <row r="147">
      <c r="B147" s="1961" t="n"/>
      <c r="C147" s="1838" t="n"/>
      <c r="D147" s="1961" t="n"/>
      <c r="E147" s="1838" t="n"/>
      <c r="F147" s="1961" t="n"/>
      <c r="G147" s="1961" t="n"/>
      <c r="H147" s="1961" t="n"/>
      <c r="I147" s="1838" t="n"/>
      <c r="J147" s="1838" t="n"/>
      <c r="K147" s="1838" t="n"/>
      <c r="L147" s="1961" t="n"/>
      <c r="M147" s="4390">
        <f>M126</f>
        <v/>
      </c>
      <c r="N147" s="4390" t="n"/>
      <c r="O147" s="4390" t="n"/>
      <c r="P147" s="4390" t="n"/>
      <c r="Q147" s="4390" t="n"/>
      <c r="R147" s="4178" t="n"/>
      <c r="S147" s="4390">
        <f>S126</f>
        <v/>
      </c>
      <c r="T147" s="4390" t="n"/>
      <c r="U147" s="4390" t="n"/>
      <c r="V147" s="1961" t="n"/>
      <c r="W147" s="4390">
        <f>W126</f>
        <v/>
      </c>
      <c r="X147" s="4390" t="n"/>
      <c r="Y147" s="4390" t="n"/>
      <c r="Z147" s="1961" t="n"/>
      <c r="AA147" s="4179">
        <f>AB124</f>
        <v/>
      </c>
      <c r="AB147" s="4180" t="n"/>
      <c r="AC147" s="1961" t="n"/>
      <c r="AD147" s="4180" t="n"/>
      <c r="AE147" s="4179">
        <f>AE115</f>
        <v/>
      </c>
      <c r="AF147" s="4179" t="n"/>
      <c r="AG147" s="4179" t="n"/>
      <c r="AH147" s="1961" t="n"/>
      <c r="AI147" s="1961" t="n"/>
      <c r="BZ147" s="1890" t="inlineStr">
        <is>
          <t xml:space="preserve">Start year of </t>
        </is>
      </c>
      <c r="CA147" s="1890" t="n"/>
      <c r="CB147" s="1997" t="n"/>
      <c r="CD147" s="2598" t="n"/>
      <c r="CE147" s="2598" t="n"/>
      <c r="CF147" s="4187">
        <f>CF114</f>
        <v/>
      </c>
      <c r="CG147" s="2567" t="n"/>
      <c r="CH147" s="4185">
        <f>CH114</f>
        <v/>
      </c>
      <c r="CI147" s="2567" t="n"/>
      <c r="CJ147" s="2323">
        <f>CJ114</f>
        <v/>
      </c>
      <c r="CK147" s="2567" t="n"/>
      <c r="CL147" s="2567" t="n"/>
      <c r="CM147" s="4185">
        <f>CM114</f>
        <v/>
      </c>
      <c r="CN147" s="2598" t="n"/>
      <c r="CO147" s="4190">
        <f>CO114</f>
        <v/>
      </c>
      <c r="CP147" s="2598" t="n"/>
      <c r="CQ147" s="2598" t="n"/>
      <c r="CT147" s="2598" t="n"/>
      <c r="CU147" s="2598" t="n"/>
      <c r="CV147" s="4176" t="inlineStr">
        <is>
          <t>Area (ha)</t>
        </is>
      </c>
      <c r="CW147" s="4177" t="n"/>
      <c r="CX147" s="4177" t="n"/>
      <c r="CY147" s="2598" t="n"/>
      <c r="CZ147" s="4176">
        <f>CZ114</f>
        <v/>
      </c>
      <c r="DA147" s="4176" t="n"/>
      <c r="DB147" s="4177" t="n"/>
      <c r="DC147" s="4177" t="n"/>
      <c r="DD147" s="4177" t="n"/>
      <c r="DE147" s="4177" t="n"/>
      <c r="DF147" s="4177" t="n"/>
      <c r="DG147" s="2598" t="n"/>
      <c r="DH147" s="4176" t="inlineStr">
        <is>
          <t>Emission factors fire</t>
        </is>
      </c>
      <c r="DI147" s="4177" t="n"/>
      <c r="DJ147" s="4177" t="n"/>
      <c r="DK147" s="4177" t="n"/>
      <c r="DL147" s="4177" t="n"/>
      <c r="DM147" s="4177" t="n"/>
      <c r="DN147" s="4177" t="n"/>
      <c r="DO147" s="4177" t="n"/>
      <c r="DP147" s="2598" t="n"/>
      <c r="DU147" s="2598" t="n"/>
      <c r="DV147" s="2598" t="n"/>
      <c r="DW147" s="2598" t="n"/>
      <c r="DX147" s="2598" t="n"/>
      <c r="DY147" s="2598" t="n"/>
      <c r="DZ147" s="2598" t="n"/>
      <c r="EA147" s="2598" t="n"/>
      <c r="EB147" s="2598" t="n"/>
      <c r="EC147" s="2598" t="n"/>
      <c r="ED147" s="2598" t="n"/>
      <c r="EE147" s="2598" t="n"/>
      <c r="EF147" s="2598" t="n"/>
      <c r="EG147" s="2598" t="n"/>
      <c r="EH147" s="2598" t="n"/>
    </row>
    <row r="148">
      <c r="B148" s="1961" t="n"/>
      <c r="C148" s="1838">
        <f>C78</f>
        <v/>
      </c>
      <c r="D148" s="1961" t="n"/>
      <c r="E148" s="1838" t="n"/>
      <c r="F148" s="1961" t="n"/>
      <c r="G148" s="1961" t="n"/>
      <c r="H148" s="1961" t="n"/>
      <c r="I148" s="1834">
        <f>Languages!B24</f>
        <v/>
      </c>
      <c r="J148" s="1838" t="n"/>
      <c r="K148" s="1834">
        <f>Languages!B398</f>
        <v/>
      </c>
      <c r="L148" s="1961" t="n"/>
      <c r="M148" s="1838" t="n"/>
      <c r="N148" s="1838" t="n"/>
      <c r="O148" s="1838" t="n"/>
      <c r="P148" s="1838" t="n"/>
      <c r="Q148" s="1838" t="n"/>
      <c r="R148" s="1961" t="n"/>
      <c r="S148" s="1838" t="n"/>
      <c r="T148" s="1838" t="n"/>
      <c r="U148" s="1838" t="n"/>
      <c r="V148" s="1961" t="n"/>
      <c r="W148" s="1961" t="n"/>
      <c r="X148" s="1961" t="n"/>
      <c r="Y148" s="1961" t="n"/>
      <c r="Z148" s="1961" t="n"/>
      <c r="AA148" s="1838">
        <f>T116</f>
        <v/>
      </c>
      <c r="AB148" s="1838">
        <f>AB127</f>
        <v/>
      </c>
      <c r="AC148" s="1961" t="n"/>
      <c r="AD148" s="1961" t="n"/>
      <c r="AE148" s="1961" t="n"/>
      <c r="AF148" s="1961" t="n"/>
      <c r="AG148" s="1961" t="n"/>
      <c r="AH148" s="1961" t="n"/>
      <c r="AI148" s="1961" t="n"/>
      <c r="AW148" s="4215" t="n"/>
      <c r="AX148" s="1972" t="n"/>
      <c r="BC148" s="4215" t="n"/>
      <c r="BD148" s="1972" t="n"/>
      <c r="BZ148" s="2015" t="inlineStr">
        <is>
          <t>implementation</t>
        </is>
      </c>
      <c r="CA148" s="2015" t="n"/>
      <c r="CB148" s="1997" t="n"/>
      <c r="CD148" s="2598" t="n"/>
      <c r="CE148" s="4181">
        <f>Languages!B24</f>
        <v/>
      </c>
      <c r="CF148" s="2567">
        <f>CF115</f>
        <v/>
      </c>
      <c r="CG148" s="2567" t="n"/>
      <c r="CH148" s="2567">
        <f>CH115</f>
        <v/>
      </c>
      <c r="CI148" s="2567" t="n"/>
      <c r="CJ148" s="2567">
        <f>CJ115</f>
        <v/>
      </c>
      <c r="CK148" s="2567" t="n"/>
      <c r="CL148" s="2567" t="n"/>
      <c r="CM148" s="2567">
        <f>CM115</f>
        <v/>
      </c>
      <c r="CN148" s="2567" t="n"/>
      <c r="CO148" s="2323">
        <f>CO115</f>
        <v/>
      </c>
      <c r="CP148" s="2567" t="n"/>
      <c r="CQ148" s="2598" t="n"/>
      <c r="CT148" s="2598" t="n"/>
      <c r="CU148" s="4181">
        <f>CE148</f>
        <v/>
      </c>
      <c r="CV148" s="4216" t="n"/>
      <c r="CW148" s="2567" t="n"/>
      <c r="CX148" s="2598" t="n"/>
      <c r="CY148" s="2598" t="n"/>
      <c r="CZ148" s="2598" t="n"/>
      <c r="DA148" s="4187" t="n"/>
      <c r="DB148" s="4187">
        <f>DB115</f>
        <v/>
      </c>
      <c r="DC148" s="2598" t="n"/>
      <c r="DD148" s="2598" t="n"/>
      <c r="DE148" s="4186">
        <f>DE115</f>
        <v/>
      </c>
      <c r="DF148" s="2598" t="n"/>
      <c r="DG148" s="2598" t="n"/>
      <c r="DH148" s="4183">
        <f>DH115</f>
        <v/>
      </c>
      <c r="DI148" s="4183" t="n"/>
      <c r="DJ148" s="4183">
        <f>DJ115</f>
        <v/>
      </c>
      <c r="DK148" s="4183" t="n"/>
      <c r="DL148" s="4183">
        <f>DL115</f>
        <v/>
      </c>
      <c r="DM148" s="4183" t="n"/>
      <c r="DN148" s="4183">
        <f>DN115</f>
        <v/>
      </c>
      <c r="DO148" s="4183" t="n"/>
      <c r="DP148" s="4181" t="n"/>
      <c r="DU148" s="2598" t="n"/>
      <c r="DV148" s="4181">
        <f>CE148</f>
        <v/>
      </c>
      <c r="DW148" s="2598" t="n"/>
      <c r="DX148" s="4176" t="inlineStr">
        <is>
          <t>On site emissions factor</t>
        </is>
      </c>
      <c r="DY148" s="4177" t="n"/>
      <c r="DZ148" s="4177" t="n"/>
      <c r="EA148" s="4177" t="n"/>
      <c r="EB148" s="4177" t="n"/>
      <c r="EC148" s="4177" t="n"/>
      <c r="ED148" s="2598" t="n"/>
      <c r="EE148" s="4176" t="inlineStr">
        <is>
          <t>Off-site emission factor</t>
        </is>
      </c>
      <c r="EF148" s="4177" t="n"/>
      <c r="EG148" s="4177" t="n"/>
      <c r="EH148" s="2598" t="n"/>
    </row>
    <row r="149">
      <c r="B149" s="1961" t="n"/>
      <c r="C149" s="1838" t="n"/>
      <c r="D149" s="1961" t="n"/>
      <c r="E149" s="1838" t="n"/>
      <c r="F149" s="1961" t="n"/>
      <c r="G149" s="1961" t="n"/>
      <c r="H149" s="1961" t="n"/>
      <c r="I149" s="1961" t="n"/>
      <c r="J149" s="1961" t="n"/>
      <c r="K149" s="1961" t="n"/>
      <c r="L149" s="1961" t="n"/>
      <c r="M149" s="1838">
        <f>M117</f>
        <v/>
      </c>
      <c r="N149" s="1838">
        <f>N117</f>
        <v/>
      </c>
      <c r="O149" s="1781" t="inlineStr">
        <is>
          <t>*</t>
        </is>
      </c>
      <c r="P149" s="1838">
        <f>P117</f>
        <v/>
      </c>
      <c r="Q149" s="1781" t="inlineStr">
        <is>
          <t>*</t>
        </is>
      </c>
      <c r="R149" s="1961" t="n"/>
      <c r="S149" s="1838">
        <f>M149</f>
        <v/>
      </c>
      <c r="T149" s="1838">
        <f>N149</f>
        <v/>
      </c>
      <c r="U149" s="1838">
        <f>P149</f>
        <v/>
      </c>
      <c r="V149" s="1961" t="n"/>
      <c r="W149" s="1838">
        <f>M149</f>
        <v/>
      </c>
      <c r="X149" s="1838">
        <f>N149</f>
        <v/>
      </c>
      <c r="Y149" s="1838">
        <f>P149</f>
        <v/>
      </c>
      <c r="Z149" s="1961" t="n"/>
      <c r="AA149" s="1838">
        <f>'3.Cropland'!K23</f>
        <v/>
      </c>
      <c r="AB149" s="1838">
        <f>AB128</f>
        <v/>
      </c>
      <c r="AC149" s="1961" t="n"/>
      <c r="AD149" s="1961" t="n"/>
      <c r="AE149" s="1838">
        <f>X149</f>
        <v/>
      </c>
      <c r="AF149" s="1838">
        <f>Y149</f>
        <v/>
      </c>
      <c r="AG149" s="1834">
        <f>AG117</f>
        <v/>
      </c>
      <c r="AH149" s="1961" t="n"/>
      <c r="AI149" s="1961" t="n"/>
      <c r="AW149" s="4217" t="n"/>
      <c r="BC149" s="4217" t="n"/>
      <c r="BZ149" s="1997" t="n"/>
      <c r="CA149" s="1894" t="n"/>
      <c r="CB149" s="1997" t="n"/>
      <c r="CD149" s="2598" t="n"/>
      <c r="CE149" s="2598" t="n"/>
      <c r="CF149" s="2598">
        <f>CF116</f>
        <v/>
      </c>
      <c r="CG149" s="2598">
        <f>CG116</f>
        <v/>
      </c>
      <c r="CH149" s="2598">
        <f>CH116</f>
        <v/>
      </c>
      <c r="CI149" s="2598">
        <f>CI116</f>
        <v/>
      </c>
      <c r="CJ149" s="2598">
        <f>CJ116</f>
        <v/>
      </c>
      <c r="CK149" s="2598">
        <f>CK116</f>
        <v/>
      </c>
      <c r="CL149" s="2598" t="n"/>
      <c r="CM149" s="2598">
        <f>CM116</f>
        <v/>
      </c>
      <c r="CN149" s="2598">
        <f>CN116</f>
        <v/>
      </c>
      <c r="CO149" s="2598" t="n"/>
      <c r="CP149" s="2598">
        <f>CP116</f>
        <v/>
      </c>
      <c r="CQ149" s="2598" t="n"/>
      <c r="CT149" s="2598" t="n"/>
      <c r="CU149" s="2598" t="n"/>
      <c r="CV149" s="2598" t="n"/>
      <c r="CW149" s="2598" t="n"/>
      <c r="CX149" s="2598" t="n"/>
      <c r="CY149" s="2598" t="n"/>
      <c r="CZ149" s="2598">
        <f>CZ116</f>
        <v/>
      </c>
      <c r="DA149" s="2598" t="n"/>
      <c r="DB149" s="2567">
        <f>DB116</f>
        <v/>
      </c>
      <c r="DC149" s="2567">
        <f>DC116</f>
        <v/>
      </c>
      <c r="DD149" s="2567" t="n"/>
      <c r="DE149" s="2567">
        <f>DE116</f>
        <v/>
      </c>
      <c r="DF149" s="2567">
        <f>DF116</f>
        <v/>
      </c>
      <c r="DG149" s="2598" t="n"/>
      <c r="DH149" s="4189">
        <f>DH116</f>
        <v/>
      </c>
      <c r="DI149" s="4189" t="n"/>
      <c r="DJ149" s="4189">
        <f>DJ116</f>
        <v/>
      </c>
      <c r="DK149" s="4189" t="n"/>
      <c r="DL149" s="4189">
        <f>DL116</f>
        <v/>
      </c>
      <c r="DM149" s="4189" t="n"/>
      <c r="DN149" s="4189">
        <f>DN116</f>
        <v/>
      </c>
      <c r="DO149" s="4189" t="n"/>
      <c r="DP149" s="2598" t="n"/>
      <c r="DU149" s="2598" t="n"/>
      <c r="DV149" s="2598" t="n"/>
      <c r="DW149" s="2598" t="n"/>
      <c r="DX149" s="2598" t="inlineStr">
        <is>
          <t>CO2 on site</t>
        </is>
      </c>
      <c r="DY149" s="2598" t="n"/>
      <c r="DZ149" s="2598" t="inlineStr">
        <is>
          <t>CH4 on-site</t>
        </is>
      </c>
      <c r="EA149" s="2598" t="n"/>
      <c r="EB149" s="2598" t="inlineStr">
        <is>
          <t>N2O</t>
        </is>
      </c>
      <c r="EC149" s="2598" t="n"/>
      <c r="ED149" s="2598" t="n"/>
      <c r="EE149" s="2598" t="inlineStr">
        <is>
          <t>DOC off-site</t>
        </is>
      </c>
      <c r="EF149" s="2598" t="n"/>
      <c r="EG149" s="2598" t="n"/>
      <c r="EH149" s="2598" t="n"/>
    </row>
    <row r="150">
      <c r="B150" s="1961" t="n"/>
      <c r="C150" s="4570" t="n"/>
      <c r="D150" s="4730" t="n"/>
      <c r="E150" s="4730" t="n"/>
      <c r="F150" s="1961" t="n"/>
      <c r="G150" s="1961" t="n"/>
      <c r="H150" s="1961" t="n"/>
      <c r="I150" s="2135" t="inlineStr">
        <is>
          <t>Please select</t>
        </is>
      </c>
      <c r="J150" s="1961" t="n"/>
      <c r="K150" s="4236" t="n">
        <v>0</v>
      </c>
      <c r="L150" s="1961" t="n"/>
      <c r="M150" s="4236" t="n">
        <v>0</v>
      </c>
      <c r="N150" s="2132" t="n">
        <v>0</v>
      </c>
      <c r="O150" s="2108" t="inlineStr">
        <is>
          <t>D</t>
        </is>
      </c>
      <c r="P150" s="2132" t="n">
        <v>0</v>
      </c>
      <c r="Q150" s="2108" t="inlineStr">
        <is>
          <t>D</t>
        </is>
      </c>
      <c r="R150" s="1961" t="n"/>
      <c r="S150" s="2111">
        <f>$K150-M150</f>
        <v/>
      </c>
      <c r="T150" s="2111">
        <f>$K150-N150</f>
        <v/>
      </c>
      <c r="U150" s="2111">
        <f>$K150-P150</f>
        <v/>
      </c>
      <c r="V150" s="1961" t="n"/>
      <c r="W150" s="4231" t="n">
        <v>0</v>
      </c>
      <c r="X150" s="4231" t="n">
        <v>0</v>
      </c>
      <c r="Y150" s="4231" t="n">
        <v>0</v>
      </c>
      <c r="Z150" s="1961" t="n"/>
      <c r="AA150" s="4230" t="inlineStr">
        <is>
          <t>Y/N</t>
        </is>
      </c>
      <c r="AB150" s="2133" t="inlineStr">
        <is>
          <t>Y/N</t>
        </is>
      </c>
      <c r="AC150" s="1961" t="n"/>
      <c r="AD150" s="1961" t="n"/>
      <c r="AE150" s="2111">
        <f>'Inl. wetlands'!AI453+'Inl. wetlands'!AI439+'Inl. wetlands'!AI425+'Inl. wetlands'!AI413</f>
        <v/>
      </c>
      <c r="AF150" s="2111">
        <f>'Inl. wetlands'!AJ453+'Inl. wetlands'!AJ439+'Inl. wetlands'!AJ425+'Inl. wetlands'!AJ413</f>
        <v/>
      </c>
      <c r="AG150" s="1806">
        <f>AF150-AE150</f>
        <v/>
      </c>
      <c r="AH150" s="1961" t="n"/>
      <c r="AI150" s="1961" t="n"/>
      <c r="AW150" s="4168" t="n"/>
      <c r="AX150" s="4168" t="n"/>
      <c r="BC150" s="4168" t="n"/>
      <c r="BD150" s="4168" t="n"/>
      <c r="BZ150" s="4401" t="n">
        <v>1</v>
      </c>
      <c r="CA150" s="4402" t="n"/>
      <c r="CB150" s="1997" t="n"/>
      <c r="CD150" s="2598" t="n"/>
      <c r="CE150" s="2598">
        <f>I150</f>
        <v/>
      </c>
      <c r="CF150" s="4728">
        <f>'Inl. wetlands'!B439</f>
        <v/>
      </c>
      <c r="CG150" s="4241" t="n"/>
      <c r="CH150" s="4728">
        <f>'Inl. wetlands'!D439</f>
        <v/>
      </c>
      <c r="CI150" s="4241" t="n"/>
      <c r="CJ150" s="4728">
        <f>'Inl. wetlands'!F439</f>
        <v/>
      </c>
      <c r="CK150" s="4241" t="n"/>
      <c r="CL150" s="2598" t="n"/>
      <c r="CM150" s="4728">
        <f>'Inl. wetlands'!H439</f>
        <v/>
      </c>
      <c r="CN150" s="4241" t="n"/>
      <c r="CO150" s="4192">
        <f>'Inl. wetlands'!J439</f>
        <v/>
      </c>
      <c r="CP150" s="4241" t="n"/>
      <c r="CQ150" s="2598" t="n"/>
      <c r="CT150" s="2598" t="n"/>
      <c r="CU150" s="2323" t="n"/>
      <c r="CV150" s="2592">
        <f>M149</f>
        <v/>
      </c>
      <c r="CW150" s="2592">
        <f>N149</f>
        <v/>
      </c>
      <c r="CX150" s="2592">
        <f>DE115</f>
        <v/>
      </c>
      <c r="CY150" s="2598" t="n"/>
      <c r="CZ150" s="2598" t="n"/>
      <c r="DA150" s="2598" t="n"/>
      <c r="DB150" s="2567">
        <f>DB117</f>
        <v/>
      </c>
      <c r="DC150" s="2567">
        <f>DC117</f>
        <v/>
      </c>
      <c r="DD150" s="2567" t="n"/>
      <c r="DE150" s="2567">
        <f>DB150</f>
        <v/>
      </c>
      <c r="DF150" s="2567">
        <f>DC150</f>
        <v/>
      </c>
      <c r="DG150" s="2598" t="n"/>
      <c r="DH150" s="2567">
        <f>DH117</f>
        <v/>
      </c>
      <c r="DI150" s="2567">
        <f>DI117</f>
        <v/>
      </c>
      <c r="DJ150" s="2567">
        <f>DH150</f>
        <v/>
      </c>
      <c r="DK150" s="2567">
        <f>DI150</f>
        <v/>
      </c>
      <c r="DL150" s="2567">
        <f>DJ150</f>
        <v/>
      </c>
      <c r="DM150" s="2567">
        <f>DK150</f>
        <v/>
      </c>
      <c r="DN150" s="2567">
        <f>DL150</f>
        <v/>
      </c>
      <c r="DO150" s="2567">
        <f>DM150</f>
        <v/>
      </c>
      <c r="DP150" s="2598" t="n"/>
      <c r="DU150" s="2598" t="n"/>
      <c r="DV150" s="2598" t="n"/>
      <c r="DW150" s="2598" t="n"/>
      <c r="DX150" s="2598" t="inlineStr">
        <is>
          <t>tC/ha/yr</t>
        </is>
      </c>
      <c r="DY150" s="2598" t="n"/>
      <c r="DZ150" s="2598" t="inlineStr">
        <is>
          <t>kg CH4-C/ha/yr</t>
        </is>
      </c>
      <c r="EA150" s="2598" t="n"/>
      <c r="EB150" s="2598" t="inlineStr">
        <is>
          <t>kg N2O-N/ha/yr</t>
        </is>
      </c>
      <c r="EC150" s="2598" t="n"/>
      <c r="ED150" s="2598" t="n"/>
      <c r="EE150" s="2598" t="inlineStr">
        <is>
          <t>tC/ha/yr</t>
        </is>
      </c>
      <c r="EF150" s="2598" t="n"/>
      <c r="EG150" s="2598" t="n"/>
      <c r="EH150" s="2598" t="n"/>
    </row>
    <row r="151">
      <c r="B151" s="1961" t="n"/>
      <c r="C151" s="4570" t="n"/>
      <c r="D151" s="4730" t="n"/>
      <c r="E151" s="4730" t="n"/>
      <c r="F151" s="1961" t="n"/>
      <c r="G151" s="1961" t="n"/>
      <c r="H151" s="1961" t="n"/>
      <c r="I151" s="2135" t="inlineStr">
        <is>
          <t>Please select</t>
        </is>
      </c>
      <c r="J151" s="1961" t="n"/>
      <c r="K151" s="4236" t="n">
        <v>0</v>
      </c>
      <c r="L151" s="1961" t="n"/>
      <c r="M151" s="4236" t="n">
        <v>0</v>
      </c>
      <c r="N151" s="2132" t="n">
        <v>0</v>
      </c>
      <c r="O151" s="2108" t="inlineStr">
        <is>
          <t>D</t>
        </is>
      </c>
      <c r="P151" s="2132" t="n">
        <v>0</v>
      </c>
      <c r="Q151" s="2108" t="inlineStr">
        <is>
          <t>D</t>
        </is>
      </c>
      <c r="R151" s="1961" t="n"/>
      <c r="S151" s="2111">
        <f>$K151-M151</f>
        <v/>
      </c>
      <c r="T151" s="2111">
        <f>$K151-N151</f>
        <v/>
      </c>
      <c r="U151" s="2111">
        <f>$K151-P151</f>
        <v/>
      </c>
      <c r="V151" s="1961" t="n"/>
      <c r="W151" s="4231" t="n">
        <v>0</v>
      </c>
      <c r="X151" s="4231" t="n">
        <v>0</v>
      </c>
      <c r="Y151" s="4231" t="n">
        <v>0</v>
      </c>
      <c r="Z151" s="1961" t="n"/>
      <c r="AA151" s="4230" t="inlineStr">
        <is>
          <t>Y/N</t>
        </is>
      </c>
      <c r="AB151" s="2133" t="inlineStr">
        <is>
          <t>Y/N</t>
        </is>
      </c>
      <c r="AC151" s="1961" t="n"/>
      <c r="AD151" s="1961" t="n"/>
      <c r="AE151" s="2111">
        <f>'Inl. wetlands'!AI454+'Inl. wetlands'!AI440+'Inl. wetlands'!AI426+'Inl. wetlands'!AI414</f>
        <v/>
      </c>
      <c r="AF151" s="2111">
        <f>'Inl. wetlands'!AJ454+'Inl. wetlands'!AJ440+'Inl. wetlands'!AJ426+'Inl. wetlands'!AJ414</f>
        <v/>
      </c>
      <c r="AG151" s="1806">
        <f>AF151-AE151</f>
        <v/>
      </c>
      <c r="AH151" s="1961" t="n"/>
      <c r="AI151" s="1961" t="n"/>
      <c r="AW151" s="4731" t="n"/>
      <c r="BC151" s="4731" t="n"/>
      <c r="BZ151" s="4401" t="n">
        <v>1</v>
      </c>
      <c r="CA151" s="4402" t="n"/>
      <c r="CB151" s="1997" t="n"/>
      <c r="CD151" s="2598" t="n"/>
      <c r="CE151" s="2598">
        <f>I151</f>
        <v/>
      </c>
      <c r="CF151" s="4728">
        <f>'Inl. wetlands'!B440</f>
        <v/>
      </c>
      <c r="CG151" s="4241" t="n"/>
      <c r="CH151" s="4728">
        <f>'Inl. wetlands'!D440</f>
        <v/>
      </c>
      <c r="CI151" s="4241" t="n"/>
      <c r="CJ151" s="4728">
        <f>'Inl. wetlands'!F440</f>
        <v/>
      </c>
      <c r="CK151" s="4241" t="n"/>
      <c r="CL151" s="2598" t="n"/>
      <c r="CM151" s="4728">
        <f>'Inl. wetlands'!H440</f>
        <v/>
      </c>
      <c r="CN151" s="4241" t="n"/>
      <c r="CO151" s="4192">
        <f>'Inl. wetlands'!J440</f>
        <v/>
      </c>
      <c r="CP151" s="4241" t="n"/>
      <c r="CQ151" s="2598" t="n"/>
      <c r="CT151" s="2567" t="n"/>
      <c r="CU151" s="2323">
        <f>CE150</f>
        <v/>
      </c>
      <c r="CV151" s="2592">
        <f>M150</f>
        <v/>
      </c>
      <c r="CW151" s="2592">
        <f>N150</f>
        <v/>
      </c>
      <c r="CX151" s="2592">
        <f>P150</f>
        <v/>
      </c>
      <c r="CY151" s="2567" t="n"/>
      <c r="CZ151" s="4141" t="inlineStr">
        <is>
          <t>Please select</t>
        </is>
      </c>
      <c r="DA151" s="2567" t="n"/>
      <c r="DB151" s="2133" t="n">
        <v>1</v>
      </c>
      <c r="DC151" s="4246" t="n">
        <v>1</v>
      </c>
      <c r="DD151" s="4207" t="n"/>
      <c r="DE151" s="2133" t="n">
        <v>1</v>
      </c>
      <c r="DF151" s="4246" t="n">
        <v>1</v>
      </c>
      <c r="DG151" s="2567" t="n"/>
      <c r="DH151" s="2592">
        <f>'Inl. wetlands'!O425</f>
        <v/>
      </c>
      <c r="DI151" s="2133" t="n"/>
      <c r="DJ151" s="2592">
        <f>'Inl. wetlands'!Q425</f>
        <v/>
      </c>
      <c r="DK151" s="2133" t="n"/>
      <c r="DL151" s="2592">
        <f>'Inl. wetlands'!S425</f>
        <v/>
      </c>
      <c r="DM151" s="2133" t="n"/>
      <c r="DN151" s="2592">
        <f>'Inl. wetlands'!U425</f>
        <v/>
      </c>
      <c r="DO151" s="2133" t="n"/>
      <c r="DP151" s="2567" t="n"/>
      <c r="DU151" s="2598" t="n"/>
      <c r="DV151" s="2598">
        <f>CE150</f>
        <v/>
      </c>
      <c r="DW151" s="2598" t="n"/>
      <c r="DX151" s="4728">
        <f>'Inl. wetlands'!H453</f>
        <v/>
      </c>
      <c r="DY151" s="4729" t="n"/>
      <c r="DZ151" s="4191">
        <f>'Inl. wetlands'!J453</f>
        <v/>
      </c>
      <c r="EA151" s="2132" t="n"/>
      <c r="EB151" s="4191">
        <f>'Inl. wetlands'!L453</f>
        <v/>
      </c>
      <c r="EC151" s="2132" t="n"/>
      <c r="ED151" s="2598" t="n"/>
      <c r="EE151" s="4192">
        <f>'Inl. wetlands'!N453</f>
        <v/>
      </c>
      <c r="EF151" s="4245" t="n"/>
      <c r="EG151" s="2598" t="n"/>
      <c r="EH151" s="2598" t="n"/>
    </row>
    <row r="152">
      <c r="B152" s="1961" t="n"/>
      <c r="C152" s="4570" t="n"/>
      <c r="D152" s="4730" t="n"/>
      <c r="E152" s="4730" t="n"/>
      <c r="F152" s="1961" t="n"/>
      <c r="G152" s="1961" t="n"/>
      <c r="H152" s="1961" t="n"/>
      <c r="I152" s="2135" t="inlineStr">
        <is>
          <t>Please select</t>
        </is>
      </c>
      <c r="J152" s="1961" t="n"/>
      <c r="K152" s="4236" t="n">
        <v>0</v>
      </c>
      <c r="L152" s="1961" t="n"/>
      <c r="M152" s="4236" t="n">
        <v>0</v>
      </c>
      <c r="N152" s="2132" t="n">
        <v>0</v>
      </c>
      <c r="O152" s="2108" t="inlineStr">
        <is>
          <t>D</t>
        </is>
      </c>
      <c r="P152" s="2132" t="n">
        <v>0</v>
      </c>
      <c r="Q152" s="2108" t="inlineStr">
        <is>
          <t>D</t>
        </is>
      </c>
      <c r="R152" s="1961" t="n"/>
      <c r="S152" s="2111">
        <f>$K152-M152</f>
        <v/>
      </c>
      <c r="T152" s="2111">
        <f>$K152-N152</f>
        <v/>
      </c>
      <c r="U152" s="2111">
        <f>$K152-P152</f>
        <v/>
      </c>
      <c r="V152" s="1961" t="n"/>
      <c r="W152" s="4231" t="n">
        <v>0</v>
      </c>
      <c r="X152" s="4231" t="n">
        <v>0</v>
      </c>
      <c r="Y152" s="4231" t="n">
        <v>0</v>
      </c>
      <c r="Z152" s="1961" t="n"/>
      <c r="AA152" s="4230" t="inlineStr">
        <is>
          <t>Y/N</t>
        </is>
      </c>
      <c r="AB152" s="2133" t="inlineStr">
        <is>
          <t>Y/N</t>
        </is>
      </c>
      <c r="AC152" s="1961" t="n"/>
      <c r="AD152" s="1961" t="n"/>
      <c r="AE152" s="2111">
        <f>'Inl. wetlands'!AI455+'Inl. wetlands'!AI441+'Inl. wetlands'!AI427+'Inl. wetlands'!AI415</f>
        <v/>
      </c>
      <c r="AF152" s="2111">
        <f>'Inl. wetlands'!AJ455+'Inl. wetlands'!AJ441+'Inl. wetlands'!AJ427+'Inl. wetlands'!AJ415</f>
        <v/>
      </c>
      <c r="AG152" s="1806">
        <f>AF152-AE152</f>
        <v/>
      </c>
      <c r="AH152" s="1961" t="n"/>
      <c r="AI152" s="1961" t="n"/>
      <c r="AW152" s="4731" t="n"/>
      <c r="BC152" s="4731" t="n"/>
      <c r="BZ152" s="4401" t="n">
        <v>1</v>
      </c>
      <c r="CA152" s="4402" t="n"/>
      <c r="CB152" s="1997" t="n"/>
      <c r="CD152" s="2598" t="n"/>
      <c r="CE152" s="2598">
        <f>I152</f>
        <v/>
      </c>
      <c r="CF152" s="4728">
        <f>'Inl. wetlands'!B441</f>
        <v/>
      </c>
      <c r="CG152" s="4241" t="n"/>
      <c r="CH152" s="4728">
        <f>'Inl. wetlands'!D441</f>
        <v/>
      </c>
      <c r="CI152" s="4241" t="n"/>
      <c r="CJ152" s="4728">
        <f>'Inl. wetlands'!F441</f>
        <v/>
      </c>
      <c r="CK152" s="4241" t="n"/>
      <c r="CL152" s="2598" t="n"/>
      <c r="CM152" s="4728">
        <f>'Inl. wetlands'!H441</f>
        <v/>
      </c>
      <c r="CN152" s="4241" t="n"/>
      <c r="CO152" s="4192">
        <f>'Inl. wetlands'!J441</f>
        <v/>
      </c>
      <c r="CP152" s="4241" t="n"/>
      <c r="CQ152" s="2598" t="n"/>
      <c r="CT152" s="2567" t="n"/>
      <c r="CU152" s="2323">
        <f>CE151</f>
        <v/>
      </c>
      <c r="CV152" s="2592">
        <f>M151</f>
        <v/>
      </c>
      <c r="CW152" s="2592">
        <f>N151</f>
        <v/>
      </c>
      <c r="CX152" s="2592">
        <f>P151</f>
        <v/>
      </c>
      <c r="CY152" s="2567" t="n"/>
      <c r="CZ152" s="4141" t="inlineStr">
        <is>
          <t>Please select</t>
        </is>
      </c>
      <c r="DA152" s="2567" t="n"/>
      <c r="DB152" s="2133" t="n">
        <v>1</v>
      </c>
      <c r="DC152" s="4246" t="n">
        <v>1</v>
      </c>
      <c r="DD152" s="4207" t="n"/>
      <c r="DE152" s="2133" t="n">
        <v>1</v>
      </c>
      <c r="DF152" s="4246" t="n">
        <v>1</v>
      </c>
      <c r="DG152" s="2567" t="n"/>
      <c r="DH152" s="2592">
        <f>'Inl. wetlands'!O426</f>
        <v/>
      </c>
      <c r="DI152" s="2133" t="n"/>
      <c r="DJ152" s="2592">
        <f>'Inl. wetlands'!Q426</f>
        <v/>
      </c>
      <c r="DK152" s="2133" t="n"/>
      <c r="DL152" s="2592">
        <f>'Inl. wetlands'!S426</f>
        <v/>
      </c>
      <c r="DM152" s="2133" t="n"/>
      <c r="DN152" s="2592">
        <f>'Inl. wetlands'!U426</f>
        <v/>
      </c>
      <c r="DO152" s="2133" t="n"/>
      <c r="DP152" s="2567" t="n"/>
      <c r="DU152" s="2598" t="n"/>
      <c r="DV152" s="2598">
        <f>CE151</f>
        <v/>
      </c>
      <c r="DW152" s="2598" t="n"/>
      <c r="DX152" s="4728">
        <f>'Inl. wetlands'!H454</f>
        <v/>
      </c>
      <c r="DY152" s="4729" t="n"/>
      <c r="DZ152" s="4191">
        <f>'Inl. wetlands'!J454</f>
        <v/>
      </c>
      <c r="EA152" s="2132" t="n"/>
      <c r="EB152" s="4191">
        <f>'Inl. wetlands'!L454</f>
        <v/>
      </c>
      <c r="EC152" s="2132" t="n"/>
      <c r="ED152" s="2598" t="n"/>
      <c r="EE152" s="4192">
        <f>'Inl. wetlands'!N454</f>
        <v/>
      </c>
      <c r="EF152" s="4245" t="n"/>
      <c r="EG152" s="2598" t="n"/>
      <c r="EH152" s="2598" t="n"/>
    </row>
    <row r="153">
      <c r="B153" s="1961" t="n"/>
      <c r="C153" s="4570" t="n"/>
      <c r="D153" s="4730" t="n"/>
      <c r="E153" s="4730" t="n"/>
      <c r="F153" s="1961" t="n"/>
      <c r="G153" s="1961" t="n"/>
      <c r="H153" s="1961" t="n"/>
      <c r="I153" s="2135" t="inlineStr">
        <is>
          <t>Please select</t>
        </is>
      </c>
      <c r="J153" s="1961" t="n"/>
      <c r="K153" s="4236" t="n">
        <v>0</v>
      </c>
      <c r="L153" s="1961" t="n"/>
      <c r="M153" s="4236" t="n">
        <v>0</v>
      </c>
      <c r="N153" s="2132" t="n">
        <v>0</v>
      </c>
      <c r="O153" s="2108" t="inlineStr">
        <is>
          <t>D</t>
        </is>
      </c>
      <c r="P153" s="2132" t="n">
        <v>0</v>
      </c>
      <c r="Q153" s="2108" t="inlineStr">
        <is>
          <t>D</t>
        </is>
      </c>
      <c r="R153" s="1961" t="n"/>
      <c r="S153" s="2111">
        <f>$K153-M153</f>
        <v/>
      </c>
      <c r="T153" s="2111">
        <f>$K153-N153</f>
        <v/>
      </c>
      <c r="U153" s="2111">
        <f>$K153-P153</f>
        <v/>
      </c>
      <c r="V153" s="1961" t="n"/>
      <c r="W153" s="4231" t="n">
        <v>0</v>
      </c>
      <c r="X153" s="4231" t="n">
        <v>0</v>
      </c>
      <c r="Y153" s="4231" t="n">
        <v>0</v>
      </c>
      <c r="Z153" s="1961" t="n"/>
      <c r="AA153" s="4230" t="inlineStr">
        <is>
          <t>Y/N</t>
        </is>
      </c>
      <c r="AB153" s="2133" t="inlineStr">
        <is>
          <t>Y/N</t>
        </is>
      </c>
      <c r="AC153" s="1961" t="n"/>
      <c r="AD153" s="1961" t="n"/>
      <c r="AE153" s="2111">
        <f>'Inl. wetlands'!AI456+'Inl. wetlands'!AI442+'Inl. wetlands'!AI428+'Inl. wetlands'!AI416</f>
        <v/>
      </c>
      <c r="AF153" s="2111">
        <f>'Inl. wetlands'!AJ456+'Inl. wetlands'!AJ442+'Inl. wetlands'!AJ428+'Inl. wetlands'!AJ416</f>
        <v/>
      </c>
      <c r="AG153" s="1806">
        <f>AF153-AE153</f>
        <v/>
      </c>
      <c r="AH153" s="1961" t="n"/>
      <c r="AI153" s="1961" t="n"/>
      <c r="AW153" s="4731" t="n"/>
      <c r="BC153" s="4731" t="n"/>
      <c r="BZ153" s="4401" t="n">
        <v>1</v>
      </c>
      <c r="CA153" s="4402" t="n"/>
      <c r="CB153" s="1997" t="n"/>
      <c r="CD153" s="2598" t="n"/>
      <c r="CE153" s="2598">
        <f>I153</f>
        <v/>
      </c>
      <c r="CF153" s="4728">
        <f>'Inl. wetlands'!B442</f>
        <v/>
      </c>
      <c r="CG153" s="4241" t="n"/>
      <c r="CH153" s="4728">
        <f>'Inl. wetlands'!D442</f>
        <v/>
      </c>
      <c r="CI153" s="4241" t="n"/>
      <c r="CJ153" s="4728">
        <f>'Inl. wetlands'!F442</f>
        <v/>
      </c>
      <c r="CK153" s="4241" t="n"/>
      <c r="CL153" s="2598" t="n"/>
      <c r="CM153" s="4728">
        <f>'Inl. wetlands'!H442</f>
        <v/>
      </c>
      <c r="CN153" s="4241" t="n"/>
      <c r="CO153" s="4192">
        <f>'Inl. wetlands'!J442</f>
        <v/>
      </c>
      <c r="CP153" s="4241" t="n"/>
      <c r="CQ153" s="2598" t="n"/>
      <c r="CT153" s="2567" t="n"/>
      <c r="CU153" s="2323">
        <f>CE152</f>
        <v/>
      </c>
      <c r="CV153" s="2592">
        <f>M152</f>
        <v/>
      </c>
      <c r="CW153" s="2592">
        <f>N152</f>
        <v/>
      </c>
      <c r="CX153" s="2592">
        <f>P152</f>
        <v/>
      </c>
      <c r="CY153" s="2567" t="n"/>
      <c r="CZ153" s="4141" t="inlineStr">
        <is>
          <t>Please select</t>
        </is>
      </c>
      <c r="DA153" s="2567" t="n"/>
      <c r="DB153" s="2133" t="n">
        <v>1</v>
      </c>
      <c r="DC153" s="4246" t="n">
        <v>1</v>
      </c>
      <c r="DD153" s="4207" t="n"/>
      <c r="DE153" s="2133" t="n">
        <v>1</v>
      </c>
      <c r="DF153" s="4246" t="n">
        <v>1</v>
      </c>
      <c r="DG153" s="2567" t="n"/>
      <c r="DH153" s="2592">
        <f>'Inl. wetlands'!O427</f>
        <v/>
      </c>
      <c r="DI153" s="2133" t="n"/>
      <c r="DJ153" s="2592">
        <f>'Inl. wetlands'!Q427</f>
        <v/>
      </c>
      <c r="DK153" s="2133" t="n"/>
      <c r="DL153" s="2592">
        <f>'Inl. wetlands'!S427</f>
        <v/>
      </c>
      <c r="DM153" s="2133" t="n"/>
      <c r="DN153" s="2592">
        <f>'Inl. wetlands'!U427</f>
        <v/>
      </c>
      <c r="DO153" s="2133" t="n"/>
      <c r="DP153" s="2567" t="n"/>
      <c r="DU153" s="2598" t="n"/>
      <c r="DV153" s="2598">
        <f>CE152</f>
        <v/>
      </c>
      <c r="DW153" s="2598" t="n"/>
      <c r="DX153" s="4728">
        <f>'Inl. wetlands'!H455</f>
        <v/>
      </c>
      <c r="DY153" s="4729" t="n"/>
      <c r="DZ153" s="4191">
        <f>'Inl. wetlands'!J455</f>
        <v/>
      </c>
      <c r="EA153" s="2132" t="n"/>
      <c r="EB153" s="4191">
        <f>'Inl. wetlands'!L455</f>
        <v/>
      </c>
      <c r="EC153" s="2132" t="n"/>
      <c r="ED153" s="2598" t="n"/>
      <c r="EE153" s="4192">
        <f>'Inl. wetlands'!N455</f>
        <v/>
      </c>
      <c r="EF153" s="4245" t="n"/>
      <c r="EG153" s="2598" t="n"/>
      <c r="EH153" s="2598" t="n"/>
    </row>
    <row r="154">
      <c r="B154" s="1961" t="n"/>
      <c r="C154" s="4570" t="n"/>
      <c r="D154" s="4730" t="n"/>
      <c r="E154" s="4730" t="n"/>
      <c r="F154" s="1961" t="n"/>
      <c r="G154" s="1961" t="n"/>
      <c r="H154" s="1961" t="n"/>
      <c r="I154" s="2135" t="inlineStr">
        <is>
          <t>Please select</t>
        </is>
      </c>
      <c r="J154" s="1961" t="n"/>
      <c r="K154" s="4236" t="n">
        <v>0</v>
      </c>
      <c r="L154" s="1961" t="n"/>
      <c r="M154" s="4236" t="n">
        <v>0</v>
      </c>
      <c r="N154" s="2132" t="n">
        <v>0</v>
      </c>
      <c r="O154" s="2108" t="inlineStr">
        <is>
          <t>D</t>
        </is>
      </c>
      <c r="P154" s="2132" t="n">
        <v>0</v>
      </c>
      <c r="Q154" s="2108" t="inlineStr">
        <is>
          <t>D</t>
        </is>
      </c>
      <c r="R154" s="1961" t="n"/>
      <c r="S154" s="2111">
        <f>$K154-M154</f>
        <v/>
      </c>
      <c r="T154" s="2111">
        <f>$K154-N154</f>
        <v/>
      </c>
      <c r="U154" s="2111">
        <f>$K154-P154</f>
        <v/>
      </c>
      <c r="V154" s="1961" t="n"/>
      <c r="W154" s="4231" t="n">
        <v>0</v>
      </c>
      <c r="X154" s="4231" t="n">
        <v>0</v>
      </c>
      <c r="Y154" s="4231" t="n">
        <v>0</v>
      </c>
      <c r="Z154" s="1961" t="n"/>
      <c r="AA154" s="4230" t="inlineStr">
        <is>
          <t>Y/N</t>
        </is>
      </c>
      <c r="AB154" s="2133" t="inlineStr">
        <is>
          <t>Y/N</t>
        </is>
      </c>
      <c r="AC154" s="1961" t="n"/>
      <c r="AD154" s="1961" t="n"/>
      <c r="AE154" s="2111">
        <f>'Inl. wetlands'!AI457+'Inl. wetlands'!AI443+'Inl. wetlands'!AI429+'Inl. wetlands'!AI417</f>
        <v/>
      </c>
      <c r="AF154" s="2111">
        <f>'Inl. wetlands'!AJ457+'Inl. wetlands'!AJ443+'Inl. wetlands'!AJ429+'Inl. wetlands'!AJ417</f>
        <v/>
      </c>
      <c r="AG154" s="1806">
        <f>AF154-AE154</f>
        <v/>
      </c>
      <c r="AH154" s="1961" t="n"/>
      <c r="AI154" s="1961" t="n"/>
      <c r="AW154" s="4731" t="n"/>
      <c r="BC154" s="4731" t="n"/>
      <c r="BZ154" s="4401" t="n">
        <v>1</v>
      </c>
      <c r="CA154" s="4402" t="n"/>
      <c r="CB154" s="1997" t="n"/>
      <c r="CD154" s="2598" t="n"/>
      <c r="CE154" s="2598">
        <f>I154</f>
        <v/>
      </c>
      <c r="CF154" s="4728">
        <f>'Inl. wetlands'!B443</f>
        <v/>
      </c>
      <c r="CG154" s="4241" t="n"/>
      <c r="CH154" s="4728">
        <f>'Inl. wetlands'!D443</f>
        <v/>
      </c>
      <c r="CI154" s="4241" t="n"/>
      <c r="CJ154" s="4728">
        <f>'Inl. wetlands'!F443</f>
        <v/>
      </c>
      <c r="CK154" s="4241" t="n"/>
      <c r="CL154" s="2598" t="n"/>
      <c r="CM154" s="4728">
        <f>'Inl. wetlands'!H443</f>
        <v/>
      </c>
      <c r="CN154" s="4241" t="n"/>
      <c r="CO154" s="4192">
        <f>'Inl. wetlands'!J443</f>
        <v/>
      </c>
      <c r="CP154" s="4241" t="n"/>
      <c r="CQ154" s="2598" t="n"/>
      <c r="CT154" s="2567" t="n"/>
      <c r="CU154" s="2323">
        <f>CE153</f>
        <v/>
      </c>
      <c r="CV154" s="2592">
        <f>M153</f>
        <v/>
      </c>
      <c r="CW154" s="2592">
        <f>N153</f>
        <v/>
      </c>
      <c r="CX154" s="2592">
        <f>P153</f>
        <v/>
      </c>
      <c r="CY154" s="2567" t="n"/>
      <c r="CZ154" s="4141" t="inlineStr">
        <is>
          <t>Please select</t>
        </is>
      </c>
      <c r="DA154" s="2567" t="n"/>
      <c r="DB154" s="2133" t="n">
        <v>1</v>
      </c>
      <c r="DC154" s="4246" t="n">
        <v>1</v>
      </c>
      <c r="DD154" s="4207" t="n"/>
      <c r="DE154" s="2133" t="n">
        <v>1</v>
      </c>
      <c r="DF154" s="4246" t="n">
        <v>1</v>
      </c>
      <c r="DG154" s="2567" t="n"/>
      <c r="DH154" s="2592">
        <f>'Inl. wetlands'!O428</f>
        <v/>
      </c>
      <c r="DI154" s="2133" t="n"/>
      <c r="DJ154" s="2592">
        <f>'Inl. wetlands'!Q428</f>
        <v/>
      </c>
      <c r="DK154" s="2133" t="n"/>
      <c r="DL154" s="2592">
        <f>'Inl. wetlands'!S428</f>
        <v/>
      </c>
      <c r="DM154" s="2133" t="n"/>
      <c r="DN154" s="2592">
        <f>'Inl. wetlands'!U428</f>
        <v/>
      </c>
      <c r="DO154" s="2133" t="n"/>
      <c r="DP154" s="2567" t="n"/>
      <c r="DU154" s="2598" t="n"/>
      <c r="DV154" s="2598">
        <f>CE153</f>
        <v/>
      </c>
      <c r="DW154" s="2598" t="n"/>
      <c r="DX154" s="4728">
        <f>'Inl. wetlands'!H456</f>
        <v/>
      </c>
      <c r="DY154" s="4729" t="n"/>
      <c r="DZ154" s="4191">
        <f>'Inl. wetlands'!J456</f>
        <v/>
      </c>
      <c r="EA154" s="2132" t="n"/>
      <c r="EB154" s="4191">
        <f>'Inl. wetlands'!L456</f>
        <v/>
      </c>
      <c r="EC154" s="2132" t="n"/>
      <c r="ED154" s="2598" t="n"/>
      <c r="EE154" s="4192">
        <f>'Inl. wetlands'!N456</f>
        <v/>
      </c>
      <c r="EF154" s="4245" t="n"/>
      <c r="EG154" s="2598" t="n"/>
      <c r="EH154" s="2598" t="n"/>
    </row>
    <row r="155">
      <c r="B155" s="1961" t="n"/>
      <c r="C155" s="4570" t="n"/>
      <c r="D155" s="4730" t="n"/>
      <c r="E155" s="4730" t="n"/>
      <c r="F155" s="1961" t="n"/>
      <c r="G155" s="1961" t="n"/>
      <c r="H155" s="1961" t="n"/>
      <c r="I155" s="2135" t="inlineStr">
        <is>
          <t>Please select</t>
        </is>
      </c>
      <c r="J155" s="1961" t="n"/>
      <c r="K155" s="4236" t="n">
        <v>0</v>
      </c>
      <c r="L155" s="1961" t="n"/>
      <c r="M155" s="4236" t="n">
        <v>0</v>
      </c>
      <c r="N155" s="2132" t="n">
        <v>0</v>
      </c>
      <c r="O155" s="2108" t="inlineStr">
        <is>
          <t>D</t>
        </is>
      </c>
      <c r="P155" s="2132" t="n">
        <v>0</v>
      </c>
      <c r="Q155" s="2108" t="inlineStr">
        <is>
          <t>D</t>
        </is>
      </c>
      <c r="R155" s="1961" t="n"/>
      <c r="S155" s="2111">
        <f>$K155-M155</f>
        <v/>
      </c>
      <c r="T155" s="2111">
        <f>$K155-N155</f>
        <v/>
      </c>
      <c r="U155" s="2111">
        <f>$K155-P155</f>
        <v/>
      </c>
      <c r="V155" s="1961" t="n"/>
      <c r="W155" s="4231" t="n">
        <v>0</v>
      </c>
      <c r="X155" s="4231" t="n">
        <v>0</v>
      </c>
      <c r="Y155" s="4231" t="n">
        <v>0</v>
      </c>
      <c r="Z155" s="1961" t="n"/>
      <c r="AA155" s="4230" t="inlineStr">
        <is>
          <t>Y/N</t>
        </is>
      </c>
      <c r="AB155" s="2133" t="inlineStr">
        <is>
          <t>Y/N</t>
        </is>
      </c>
      <c r="AC155" s="1961" t="n"/>
      <c r="AD155" s="1961" t="n"/>
      <c r="AE155" s="2111">
        <f>'Inl. wetlands'!AI458+'Inl. wetlands'!AI444+'Inl. wetlands'!AI430+'Inl. wetlands'!AI418</f>
        <v/>
      </c>
      <c r="AF155" s="2111">
        <f>'Inl. wetlands'!AJ458+'Inl. wetlands'!AJ444+'Inl. wetlands'!AJ430+'Inl. wetlands'!AJ418</f>
        <v/>
      </c>
      <c r="AG155" s="1806">
        <f>AF155-AE155</f>
        <v/>
      </c>
      <c r="AH155" s="1961" t="n"/>
      <c r="AI155" s="1961" t="n"/>
      <c r="AW155" s="4731" t="n"/>
      <c r="BC155" s="4731" t="n"/>
      <c r="BZ155" s="4401" t="n">
        <v>1</v>
      </c>
      <c r="CA155" s="4402" t="n"/>
      <c r="CB155" s="1997" t="n"/>
      <c r="CD155" s="2598" t="n"/>
      <c r="CE155" s="2598">
        <f>I155</f>
        <v/>
      </c>
      <c r="CF155" s="4728">
        <f>'Inl. wetlands'!B444</f>
        <v/>
      </c>
      <c r="CG155" s="4241" t="n"/>
      <c r="CH155" s="4728">
        <f>'Inl. wetlands'!D444</f>
        <v/>
      </c>
      <c r="CI155" s="4241" t="n"/>
      <c r="CJ155" s="4728">
        <f>'Inl. wetlands'!F444</f>
        <v/>
      </c>
      <c r="CK155" s="4241" t="n"/>
      <c r="CL155" s="2598" t="n"/>
      <c r="CM155" s="4728">
        <f>'Inl. wetlands'!H444</f>
        <v/>
      </c>
      <c r="CN155" s="4241" t="n"/>
      <c r="CO155" s="4192">
        <f>'Inl. wetlands'!J444</f>
        <v/>
      </c>
      <c r="CP155" s="4241" t="n"/>
      <c r="CQ155" s="2598" t="n"/>
      <c r="CT155" s="2567" t="n"/>
      <c r="CU155" s="2323">
        <f>CE154</f>
        <v/>
      </c>
      <c r="CV155" s="2592">
        <f>M154</f>
        <v/>
      </c>
      <c r="CW155" s="2592">
        <f>N154</f>
        <v/>
      </c>
      <c r="CX155" s="2592">
        <f>P154</f>
        <v/>
      </c>
      <c r="CY155" s="2567" t="n"/>
      <c r="CZ155" s="4141" t="inlineStr">
        <is>
          <t>Please select</t>
        </is>
      </c>
      <c r="DA155" s="2567" t="n"/>
      <c r="DB155" s="2133" t="n">
        <v>1</v>
      </c>
      <c r="DC155" s="4246" t="n">
        <v>1</v>
      </c>
      <c r="DD155" s="4207" t="n"/>
      <c r="DE155" s="2133" t="n">
        <v>1</v>
      </c>
      <c r="DF155" s="4246" t="n">
        <v>1</v>
      </c>
      <c r="DG155" s="2567" t="n"/>
      <c r="DH155" s="2592">
        <f>'Inl. wetlands'!O429</f>
        <v/>
      </c>
      <c r="DI155" s="2133" t="n"/>
      <c r="DJ155" s="2592">
        <f>'Inl. wetlands'!Q429</f>
        <v/>
      </c>
      <c r="DK155" s="2133" t="n"/>
      <c r="DL155" s="2592">
        <f>'Inl. wetlands'!S429</f>
        <v/>
      </c>
      <c r="DM155" s="2133" t="n"/>
      <c r="DN155" s="2592">
        <f>'Inl. wetlands'!U429</f>
        <v/>
      </c>
      <c r="DO155" s="2133" t="n"/>
      <c r="DP155" s="2567" t="n"/>
      <c r="DU155" s="2598" t="n"/>
      <c r="DV155" s="2598">
        <f>CE154</f>
        <v/>
      </c>
      <c r="DW155" s="2598" t="n"/>
      <c r="DX155" s="4728">
        <f>'Inl. wetlands'!H457</f>
        <v/>
      </c>
      <c r="DY155" s="4729" t="n"/>
      <c r="DZ155" s="4191">
        <f>'Inl. wetlands'!J457</f>
        <v/>
      </c>
      <c r="EA155" s="2132" t="n"/>
      <c r="EB155" s="4191">
        <f>'Inl. wetlands'!L457</f>
        <v/>
      </c>
      <c r="EC155" s="2132" t="n"/>
      <c r="ED155" s="2598" t="n"/>
      <c r="EE155" s="4192">
        <f>'Inl. wetlands'!N457</f>
        <v/>
      </c>
      <c r="EF155" s="4245" t="n"/>
      <c r="EG155" s="2598" t="n"/>
      <c r="EH155" s="2598" t="n"/>
    </row>
    <row r="156">
      <c r="B156" s="1961" t="n"/>
      <c r="C156" s="1961" t="n"/>
      <c r="D156" s="1961" t="n"/>
      <c r="E156" s="1961" t="n"/>
      <c r="F156" s="1961" t="n"/>
      <c r="G156" s="1961" t="n"/>
      <c r="H156" s="1961" t="n"/>
      <c r="I156" s="4308">
        <f t="array" ref="I156">IF(OR(I150:I155="Degraded land",I150:I155="Other land (non-vegetated)"),"There are no EFs for water table management practices on degraded or other land. Please use tier 2 to account for GHG fluxes", "")</f>
        <v/>
      </c>
      <c r="J156" s="1961" t="n"/>
      <c r="K156" s="4221" t="n"/>
      <c r="L156" s="1961" t="n"/>
      <c r="M156" s="4218" t="n"/>
      <c r="N156" s="4218" t="n"/>
      <c r="O156" s="4219" t="n"/>
      <c r="P156" s="4218" t="n"/>
      <c r="Q156" s="1961" t="n"/>
      <c r="R156" s="1961" t="n"/>
      <c r="S156" s="4308" t="n"/>
      <c r="T156" s="1961" t="n"/>
      <c r="U156" s="4308" t="n"/>
      <c r="V156" s="4308" t="n"/>
      <c r="W156" s="4308" t="n"/>
      <c r="X156" s="1961" t="n"/>
      <c r="Y156" s="4308" t="n"/>
      <c r="Z156" s="4308" t="n"/>
      <c r="AA156" s="4308">
        <f>IF(OR(AND(AB150&lt;&gt;"Y/N", AB150&lt;&gt;"No"), AND(AB151&lt;&gt;"Y/N",AB151&lt;&gt;"No" ), AND(AB152&lt;&gt;"Y/N",AB152&lt;&gt;"No" ), AND(AB153&lt;&gt;"Y/N", AB153&lt;&gt;"No"), AND(AB154&lt;&gt;"Y/N", AB154&lt;&gt;"No"), AND(AB155&lt;&gt;"Y/N", AB155&lt;&gt;"No")), list!$B$279, "")</f>
        <v/>
      </c>
      <c r="AB156" s="4180" t="n"/>
      <c r="AC156" s="4180" t="n"/>
      <c r="AD156" s="1961" t="n"/>
      <c r="AE156" s="1961" t="n"/>
      <c r="AF156" s="1961" t="n"/>
      <c r="AG156" s="1961" t="n"/>
      <c r="AH156" s="1961" t="n"/>
      <c r="AI156" s="1961" t="n"/>
      <c r="AW156" s="4731" t="n"/>
      <c r="BC156" s="4731" t="n"/>
      <c r="BZ156" s="1997" t="n"/>
      <c r="CA156" s="1997" t="n"/>
      <c r="CB156" s="1997" t="n"/>
      <c r="CD156" s="2598" t="n"/>
      <c r="CE156" s="2598" t="n"/>
      <c r="CF156" s="2598" t="n"/>
      <c r="CG156" s="2598" t="n"/>
      <c r="CH156" s="2598" t="n"/>
      <c r="CI156" s="2598" t="n"/>
      <c r="CJ156" s="2598" t="n"/>
      <c r="CK156" s="2598" t="n"/>
      <c r="CL156" s="2598" t="n"/>
      <c r="CM156" s="2598" t="n"/>
      <c r="CN156" s="2598" t="n"/>
      <c r="CO156" s="2598" t="n"/>
      <c r="CP156" s="2598" t="n"/>
      <c r="CQ156" s="2598" t="n"/>
      <c r="CT156" s="2567" t="n"/>
      <c r="CU156" s="2323">
        <f>CE155</f>
        <v/>
      </c>
      <c r="CV156" s="2592">
        <f>M155</f>
        <v/>
      </c>
      <c r="CW156" s="2592">
        <f>N155</f>
        <v/>
      </c>
      <c r="CX156" s="2592">
        <f>P155</f>
        <v/>
      </c>
      <c r="CY156" s="2567" t="n"/>
      <c r="CZ156" s="4141" t="inlineStr">
        <is>
          <t>Please select</t>
        </is>
      </c>
      <c r="DA156" s="2567" t="n"/>
      <c r="DB156" s="2133" t="n">
        <v>1</v>
      </c>
      <c r="DC156" s="4246" t="n">
        <v>1</v>
      </c>
      <c r="DD156" s="4207" t="n"/>
      <c r="DE156" s="2133" t="n">
        <v>1</v>
      </c>
      <c r="DF156" s="4246" t="n">
        <v>1</v>
      </c>
      <c r="DG156" s="2567" t="n"/>
      <c r="DH156" s="2592">
        <f>'Inl. wetlands'!O430</f>
        <v/>
      </c>
      <c r="DI156" s="2133" t="n"/>
      <c r="DJ156" s="2592">
        <f>'Inl. wetlands'!Q430</f>
        <v/>
      </c>
      <c r="DK156" s="2133" t="n"/>
      <c r="DL156" s="2592">
        <f>'Inl. wetlands'!S430</f>
        <v/>
      </c>
      <c r="DM156" s="2133" t="n"/>
      <c r="DN156" s="2592">
        <f>'Inl. wetlands'!U430</f>
        <v/>
      </c>
      <c r="DO156" s="2133" t="n"/>
      <c r="DP156" s="2567" t="n"/>
      <c r="DU156" s="2598" t="n"/>
      <c r="DV156" s="2598">
        <f>CE155</f>
        <v/>
      </c>
      <c r="DW156" s="2598" t="n"/>
      <c r="DX156" s="4728">
        <f>'Inl. wetlands'!H458</f>
        <v/>
      </c>
      <c r="DY156" s="4729" t="n"/>
      <c r="DZ156" s="4191">
        <f>'Inl. wetlands'!J458</f>
        <v/>
      </c>
      <c r="EA156" s="2132" t="n"/>
      <c r="EB156" s="4191">
        <f>'Inl. wetlands'!L458</f>
        <v/>
      </c>
      <c r="EC156" s="2132" t="n"/>
      <c r="ED156" s="2598" t="n"/>
      <c r="EE156" s="4192">
        <f>'Inl. wetlands'!N458</f>
        <v/>
      </c>
      <c r="EF156" s="4245" t="n"/>
      <c r="EG156" s="2598" t="n"/>
      <c r="EH156" s="2598" t="n"/>
    </row>
    <row r="157">
      <c r="B157" s="1961" t="n"/>
      <c r="C157" s="1838" t="n"/>
      <c r="D157" s="1838" t="n"/>
      <c r="E157" s="1838" t="n"/>
      <c r="F157" s="1961" t="n"/>
      <c r="G157" s="1961" t="n"/>
      <c r="H157" s="1961" t="n"/>
      <c r="I157" s="1961" t="n"/>
      <c r="J157" s="1961" t="n"/>
      <c r="K157" s="1961" t="n"/>
      <c r="L157" s="1961" t="n"/>
      <c r="M157" s="4220" t="n"/>
      <c r="N157" s="4221" t="n"/>
      <c r="O157" s="4221" t="n"/>
      <c r="P157" s="4221" t="n"/>
      <c r="Q157" s="4221" t="n"/>
      <c r="R157" s="1961" t="n"/>
      <c r="S157" s="1961" t="n"/>
      <c r="T157" s="1961" t="n"/>
      <c r="U157" s="1961" t="n"/>
      <c r="V157" s="1961" t="n"/>
      <c r="W157" s="1961" t="n"/>
      <c r="X157" s="1961" t="n"/>
      <c r="Y157" s="1961" t="n"/>
      <c r="Z157" s="1961" t="n"/>
      <c r="AA157" s="1961" t="n"/>
      <c r="AB157" s="1961" t="n"/>
      <c r="AC157" s="1961" t="n"/>
      <c r="AD157" s="2019">
        <f>Languages!B373</f>
        <v/>
      </c>
      <c r="AE157" s="2039">
        <f>SUM(AE150:AE155)</f>
        <v/>
      </c>
      <c r="AF157" s="2039">
        <f>SUM(AF150:AF155)</f>
        <v/>
      </c>
      <c r="AG157" s="2040">
        <f>SUM(AG150:AG155)</f>
        <v/>
      </c>
      <c r="AH157" s="1961" t="n"/>
      <c r="AI157" s="1961" t="n"/>
      <c r="BZ157" s="4548" t="inlineStr">
        <is>
          <t>Use this part only if you want to refine yearly GHG fluxes</t>
        </is>
      </c>
      <c r="CD157" s="4201">
        <f>CD126</f>
        <v/>
      </c>
      <c r="CE157" s="2598" t="n"/>
      <c r="CF157" s="2598" t="n"/>
      <c r="CG157" s="2598" t="n"/>
      <c r="CH157" s="2598" t="n"/>
      <c r="CI157" s="2598" t="n"/>
      <c r="CJ157" s="2598" t="n"/>
      <c r="CK157" s="4241" t="inlineStr">
        <is>
          <t>Nutrient poor</t>
        </is>
      </c>
      <c r="CL157" s="4241" t="n"/>
      <c r="CM157" s="4241" t="n"/>
      <c r="CN157" s="2598" t="n"/>
      <c r="CO157" s="2598" t="n"/>
      <c r="CP157" s="2598" t="n"/>
      <c r="CQ157" s="2598" t="n"/>
      <c r="CT157" s="2567" t="n"/>
      <c r="CU157" s="2323" t="n"/>
      <c r="CV157" s="2567" t="n"/>
      <c r="CW157" s="2567" t="n"/>
      <c r="CX157" s="2567" t="n"/>
      <c r="CY157" s="2567" t="n"/>
      <c r="CZ157" s="2567" t="n"/>
      <c r="DA157" s="2567" t="n"/>
      <c r="DB157" s="2567" t="n"/>
      <c r="DC157" s="4207" t="n"/>
      <c r="DD157" s="4207" t="n"/>
      <c r="DE157" s="2567" t="n"/>
      <c r="DF157" s="4207" t="n"/>
      <c r="DG157" s="2567" t="n"/>
      <c r="DH157" s="2592" t="n"/>
      <c r="DI157" s="2567" t="n"/>
      <c r="DJ157" s="2592" t="n"/>
      <c r="DK157" s="2567" t="n"/>
      <c r="DL157" s="2592" t="n"/>
      <c r="DM157" s="2567" t="n"/>
      <c r="DN157" s="2592" t="n"/>
      <c r="DO157" s="2567" t="n"/>
      <c r="DP157" s="2567" t="n"/>
      <c r="DU157" s="2598" t="n"/>
      <c r="DV157" s="2598" t="n"/>
      <c r="DW157" s="2598" t="n"/>
      <c r="DX157" s="4728" t="n"/>
      <c r="DY157" s="2598" t="n"/>
      <c r="DZ157" s="4191" t="n"/>
      <c r="EA157" s="2598" t="n"/>
      <c r="EB157" s="4191" t="n"/>
      <c r="EC157" s="2598" t="n"/>
      <c r="ED157" s="2598" t="n"/>
      <c r="EE157" s="4192" t="n"/>
      <c r="EF157" s="2598" t="n"/>
      <c r="EG157" s="2598" t="n"/>
      <c r="EH157" s="2598" t="n"/>
    </row>
    <row r="158">
      <c r="B158" s="1961" t="n"/>
      <c r="C158" s="4178" t="n"/>
      <c r="D158" s="1961" t="n"/>
      <c r="E158" s="1961" t="n"/>
      <c r="F158" s="1961" t="n"/>
      <c r="G158" s="1961" t="n"/>
      <c r="H158" s="1961" t="n"/>
      <c r="I158" s="1961" t="n"/>
      <c r="J158" s="1961" t="n"/>
      <c r="K158" s="1961" t="n"/>
      <c r="L158" s="1961" t="n"/>
      <c r="M158" s="1961" t="n"/>
      <c r="N158" s="1961" t="n"/>
      <c r="O158" s="1961" t="n"/>
      <c r="P158" s="1961" t="n"/>
      <c r="Q158" s="1961" t="n"/>
      <c r="R158" s="1961" t="n"/>
      <c r="S158" s="1961" t="n"/>
      <c r="T158" s="1961" t="n"/>
      <c r="U158" s="1961" t="n"/>
      <c r="V158" s="1961" t="n"/>
      <c r="W158" s="1961" t="n"/>
      <c r="X158" s="1961" t="n"/>
      <c r="Y158" s="1961" t="n"/>
      <c r="Z158" s="1961" t="n"/>
      <c r="AA158" s="1961" t="n"/>
      <c r="AB158" s="1961" t="n"/>
      <c r="AC158" s="1961" t="n"/>
      <c r="AD158" s="1961" t="n"/>
      <c r="AE158" s="1961" t="n"/>
      <c r="AF158" s="1961" t="n"/>
      <c r="AG158" s="1961" t="n"/>
      <c r="AH158" s="1961" t="n"/>
      <c r="AI158" s="1961" t="n"/>
      <c r="CD158" s="2598">
        <f>CD136</f>
        <v/>
      </c>
      <c r="CE158" s="2598" t="n"/>
      <c r="CF158" s="2598" t="n"/>
      <c r="CG158" s="2598" t="n"/>
      <c r="CH158" s="2598" t="n"/>
      <c r="CI158" s="2598" t="n"/>
      <c r="CJ158" s="2598" t="n"/>
      <c r="CK158" s="2598" t="n"/>
      <c r="CL158" s="2598" t="n"/>
      <c r="CM158" s="2598" t="n"/>
      <c r="CN158" s="2598" t="n"/>
      <c r="CO158" s="2598" t="n"/>
      <c r="CP158" s="2598" t="n"/>
      <c r="CQ158" s="2598" t="n"/>
      <c r="CT158" s="2323">
        <f>CD158</f>
        <v/>
      </c>
      <c r="CU158" s="4222" t="n"/>
      <c r="CV158" s="2598" t="n"/>
      <c r="CW158" s="2598" t="n"/>
      <c r="CX158" s="2598" t="n"/>
      <c r="CY158" s="2598" t="n"/>
      <c r="CZ158" s="2598" t="n"/>
      <c r="DA158" s="2598" t="n"/>
      <c r="DB158" s="2567" t="n"/>
      <c r="DC158" s="2567" t="n"/>
      <c r="DD158" s="2567" t="n"/>
      <c r="DE158" s="2567" t="n"/>
      <c r="DF158" s="2567" t="n"/>
      <c r="DG158" s="2567" t="n"/>
      <c r="DH158" s="2567" t="n"/>
      <c r="DI158" s="2567" t="n"/>
      <c r="DJ158" s="2567" t="n"/>
      <c r="DK158" s="2567" t="n"/>
      <c r="DL158" s="2567" t="n"/>
      <c r="DM158" s="2567" t="n"/>
      <c r="DN158" s="2567" t="n"/>
      <c r="DO158" s="2567" t="n"/>
      <c r="DP158" s="2567" t="n"/>
      <c r="DU158" s="2598" t="n"/>
      <c r="DV158" s="2598" t="n"/>
      <c r="DW158" s="2598" t="n"/>
      <c r="DX158" s="2598" t="n"/>
      <c r="DY158" s="2598" t="n"/>
      <c r="DZ158" s="2598" t="n"/>
      <c r="EA158" s="2598" t="n"/>
      <c r="EB158" s="2598" t="n"/>
      <c r="EC158" s="2598" t="n"/>
      <c r="ED158" s="4222" t="n"/>
      <c r="EE158" s="2598" t="n"/>
      <c r="EF158" s="4197">
        <f>CK157</f>
        <v/>
      </c>
      <c r="EG158" s="4181" t="inlineStr">
        <is>
          <t>soil</t>
        </is>
      </c>
      <c r="EH158" s="2598" t="n"/>
    </row>
    <row r="159">
      <c r="B159" s="1961" t="n"/>
      <c r="C159" s="1961">
        <f>C138</f>
        <v/>
      </c>
      <c r="D159" s="1961" t="n"/>
      <c r="E159" s="1961" t="n"/>
      <c r="F159" s="1961" t="n"/>
      <c r="G159" s="1961" t="n"/>
      <c r="H159" s="1961" t="n"/>
      <c r="I159" s="1961" t="n"/>
      <c r="J159" s="1961" t="n"/>
      <c r="K159" s="1961" t="n"/>
      <c r="L159" s="1961" t="n"/>
      <c r="M159" s="1961" t="n"/>
      <c r="N159" s="1961" t="n"/>
      <c r="O159" s="1961" t="n"/>
      <c r="P159" s="1961" t="n"/>
      <c r="Q159" s="1961" t="n"/>
      <c r="R159" s="1961" t="n"/>
      <c r="S159" s="1961" t="n"/>
      <c r="T159" s="1961" t="n"/>
      <c r="U159" s="1961" t="n"/>
      <c r="V159" s="1961" t="n"/>
      <c r="W159" s="1961" t="n"/>
      <c r="X159" s="1961" t="n"/>
      <c r="Y159" s="1961" t="n"/>
      <c r="Z159" s="1961" t="n"/>
      <c r="AA159" s="1961" t="n"/>
      <c r="AB159" s="1961" t="n"/>
      <c r="AC159" s="1961" t="n"/>
      <c r="AD159" s="1961" t="n"/>
      <c r="AE159" s="1961" t="n"/>
      <c r="AF159" s="1961" t="n"/>
      <c r="AG159" s="1961" t="n"/>
      <c r="AH159" s="1961" t="n"/>
      <c r="AI159" s="1961" t="n"/>
      <c r="CD159" s="2598">
        <f>CD138</f>
        <v/>
      </c>
      <c r="CE159" s="2598" t="n"/>
      <c r="CF159" s="2598" t="n"/>
      <c r="CG159" s="2598" t="n"/>
      <c r="CH159" s="2598" t="n"/>
      <c r="CI159" s="2598" t="n"/>
      <c r="CJ159" s="2598" t="n"/>
      <c r="CK159" s="2598" t="n"/>
      <c r="CL159" s="2598" t="n"/>
      <c r="CM159" s="2598" t="n"/>
      <c r="CN159" s="2598" t="n"/>
      <c r="CO159" s="2598" t="n"/>
      <c r="CP159" s="2598" t="n"/>
      <c r="CQ159" s="2598" t="n"/>
      <c r="CT159" s="2323">
        <f>CD159</f>
        <v/>
      </c>
      <c r="CU159" s="4222" t="n"/>
      <c r="CV159" s="2598" t="n"/>
      <c r="CW159" s="2598" t="n"/>
      <c r="CX159" s="2598" t="n"/>
      <c r="CY159" s="2598" t="n"/>
      <c r="CZ159" s="2598" t="n"/>
      <c r="DA159" s="2598" t="n"/>
      <c r="DB159" s="2598" t="n"/>
      <c r="DC159" s="2598" t="n"/>
      <c r="DD159" s="2598" t="n"/>
      <c r="DE159" s="2598" t="n"/>
      <c r="DF159" s="2598" t="n"/>
      <c r="DG159" s="2598" t="n"/>
      <c r="DH159" s="2598" t="n"/>
      <c r="DI159" s="2598" t="n"/>
      <c r="DJ159" s="2598" t="n"/>
      <c r="DK159" s="2598" t="n"/>
      <c r="DL159" s="2598" t="n"/>
      <c r="DM159" s="2598" t="n"/>
      <c r="DN159" s="2598" t="n"/>
      <c r="DO159" s="2598" t="n"/>
      <c r="DP159" s="2598" t="n"/>
      <c r="DU159" s="2598">
        <f>DU136</f>
        <v/>
      </c>
      <c r="DV159" s="2598" t="n"/>
      <c r="DW159" s="2598" t="n"/>
      <c r="DX159" s="2598" t="n"/>
      <c r="DY159" s="2598" t="n"/>
      <c r="DZ159" s="2598" t="n"/>
      <c r="EA159" s="2598" t="n"/>
      <c r="EB159" s="2598" t="n"/>
      <c r="EC159" s="2598" t="n"/>
      <c r="ED159" s="2598" t="n"/>
      <c r="EE159" s="2598" t="n"/>
      <c r="EF159" s="2598" t="n"/>
      <c r="EG159" s="2598" t="n"/>
      <c r="EH159" s="2598" t="n"/>
    </row>
    <row r="160">
      <c r="B160" s="1961" t="n"/>
      <c r="C160" s="1961" t="n"/>
      <c r="D160" s="1961" t="n"/>
      <c r="E160" s="1961" t="n"/>
      <c r="F160" s="1961" t="n"/>
      <c r="G160" s="1961" t="n"/>
      <c r="H160" s="1961" t="n"/>
      <c r="I160" s="1961" t="n"/>
      <c r="J160" s="1961" t="n"/>
      <c r="K160" s="1961" t="n"/>
      <c r="L160" s="1961" t="n"/>
      <c r="M160" s="1961" t="n"/>
      <c r="N160" s="1961" t="n"/>
      <c r="O160" s="1961" t="n"/>
      <c r="P160" s="1961" t="n"/>
      <c r="Q160" s="1961" t="n"/>
      <c r="R160" s="1961" t="n"/>
      <c r="S160" s="1961" t="n"/>
      <c r="T160" s="1961" t="n"/>
      <c r="U160" s="1961" t="n"/>
      <c r="V160" s="1961" t="n"/>
      <c r="W160" s="1961" t="n"/>
      <c r="X160" s="1961" t="n"/>
      <c r="Y160" s="1961" t="n"/>
      <c r="Z160" s="1961" t="n"/>
      <c r="AA160" s="1961" t="n"/>
      <c r="AB160" s="1961" t="n"/>
      <c r="AC160" s="1961" t="n"/>
      <c r="AD160" s="1961" t="n"/>
      <c r="AE160" s="1961" t="n"/>
      <c r="AF160" s="1961" t="n"/>
      <c r="AG160" s="1961" t="n"/>
      <c r="AH160" s="1961" t="n"/>
      <c r="AI160" s="1961" t="n"/>
      <c r="BZ160" s="1997" t="n"/>
      <c r="CA160" s="1997" t="n"/>
      <c r="CB160" s="1997" t="n"/>
      <c r="CD160" s="2598" t="n"/>
      <c r="CE160" s="2598" t="n"/>
      <c r="CF160" s="2598" t="n"/>
      <c r="CG160" s="2598" t="n"/>
      <c r="CH160" s="2598" t="n"/>
      <c r="CI160" s="2598" t="n"/>
      <c r="CJ160" s="2598" t="n"/>
      <c r="CK160" s="2598" t="n"/>
      <c r="CL160" s="2598" t="n"/>
      <c r="CM160" s="2598" t="n"/>
      <c r="CN160" s="2598" t="n"/>
      <c r="CO160" s="2598" t="n"/>
      <c r="CP160" s="2598" t="n"/>
      <c r="CQ160" s="2598" t="n"/>
      <c r="CT160" s="2598" t="n"/>
      <c r="CU160" s="2598" t="n"/>
      <c r="CV160" s="2598" t="n"/>
      <c r="CW160" s="2598" t="n"/>
      <c r="CX160" s="2598" t="n"/>
      <c r="CY160" s="2598" t="n"/>
      <c r="CZ160" s="2598" t="n"/>
      <c r="DA160" s="2598" t="n"/>
      <c r="DB160" s="2598" t="n"/>
      <c r="DC160" s="2598" t="n"/>
      <c r="DD160" s="2598" t="n"/>
      <c r="DE160" s="2598" t="n"/>
      <c r="DF160" s="2598" t="n"/>
      <c r="DG160" s="2598" t="n"/>
      <c r="DH160" s="2598" t="n"/>
      <c r="DI160" s="2598" t="n"/>
      <c r="DJ160" s="2598" t="n"/>
      <c r="DK160" s="2598" t="n"/>
      <c r="DL160" s="2598" t="n"/>
      <c r="DM160" s="2598" t="n"/>
      <c r="DN160" s="2598" t="n"/>
      <c r="DO160" s="2598" t="n"/>
      <c r="DP160" s="2598" t="n"/>
      <c r="DU160" s="2598">
        <f>DU138</f>
        <v/>
      </c>
      <c r="DV160" s="2598" t="n"/>
      <c r="DW160" s="2598" t="n"/>
      <c r="DX160" s="2598" t="n"/>
      <c r="DY160" s="2598" t="n"/>
      <c r="DZ160" s="2598" t="n"/>
      <c r="EA160" s="2598" t="n"/>
      <c r="EB160" s="2598" t="n"/>
      <c r="EC160" s="2598" t="n"/>
      <c r="ED160" s="2598" t="n"/>
      <c r="EE160" s="2598" t="n"/>
      <c r="EF160" s="2598" t="n"/>
      <c r="EG160" s="2598" t="n"/>
      <c r="EH160" s="2598" t="n"/>
    </row>
    <row r="169" ht="45" customHeight="1">
      <c r="B169" s="1977" t="n"/>
      <c r="C169" s="2172">
        <f>Languages!B351</f>
        <v/>
      </c>
      <c r="D169" s="1769" t="n"/>
      <c r="E169" s="1769" t="n"/>
      <c r="F169" s="1769" t="n"/>
      <c r="G169" s="1769" t="n"/>
      <c r="H169" s="1769" t="n"/>
      <c r="I169" s="1769" t="n"/>
      <c r="J169" s="1769" t="n"/>
      <c r="K169" s="1769" t="n"/>
      <c r="L169" s="1769" t="n"/>
      <c r="M169" s="1769" t="n"/>
      <c r="N169" s="1769" t="n"/>
      <c r="O169" s="1769" t="n"/>
      <c r="P169" s="1769" t="n"/>
      <c r="Q169" s="1977" t="n"/>
      <c r="R169" s="1977" t="n"/>
      <c r="S169" s="1977" t="n"/>
      <c r="T169" s="1977" t="n"/>
      <c r="U169" s="1977" t="n"/>
      <c r="V169" s="1977" t="n"/>
      <c r="W169" s="1977" t="n"/>
      <c r="X169" s="1977" t="n"/>
      <c r="Y169" s="1977" t="n"/>
      <c r="Z169" s="1977" t="n"/>
      <c r="AA169" s="1977" t="n"/>
      <c r="AB169" s="1977" t="n"/>
      <c r="AC169" s="1977" t="n"/>
      <c r="AD169" s="1977" t="n"/>
      <c r="AE169" s="1979">
        <f>AB145</f>
        <v/>
      </c>
      <c r="AF169" s="1977" t="n"/>
      <c r="AG169" s="1769" t="n"/>
      <c r="AH169" s="1977" t="n"/>
      <c r="AI169" s="1977" t="n"/>
      <c r="BZ169" s="4404" t="inlineStr">
        <is>
          <t>Annual balance</t>
        </is>
      </c>
      <c r="CA169" s="4404" t="n"/>
      <c r="CB169" s="4404" t="n"/>
      <c r="CD169" s="1976">
        <f>Languages!B362</f>
        <v/>
      </c>
      <c r="CE169" s="1977" t="n"/>
      <c r="CF169" s="1977" t="n"/>
      <c r="CG169" s="1977" t="n"/>
      <c r="CH169" s="1977" t="n"/>
      <c r="CI169" s="1977" t="n"/>
      <c r="CJ169" s="1977" t="n"/>
      <c r="CK169" s="1977" t="n"/>
      <c r="CL169" s="1977" t="n"/>
      <c r="CM169" s="1977" t="n"/>
      <c r="CN169" s="1977" t="n"/>
      <c r="CO169" s="1977" t="n"/>
      <c r="CP169" s="1977" t="n"/>
      <c r="CQ169" s="1977" t="n"/>
      <c r="CR169" s="1977" t="n"/>
      <c r="CS169" s="1977" t="n"/>
      <c r="CT169" s="1977" t="n"/>
      <c r="CU169" s="1977" t="n"/>
      <c r="CV169" s="1977" t="n"/>
    </row>
    <row r="170" ht="5.25" customHeight="1">
      <c r="BZ170" s="1916" t="n"/>
      <c r="CA170" s="1916" t="n"/>
    </row>
    <row r="171" ht="17" customHeight="1">
      <c r="B171" s="1961" t="n"/>
      <c r="C171" s="1961" t="n"/>
      <c r="D171" s="1961" t="n"/>
      <c r="E171" s="1961" t="n"/>
      <c r="F171" s="1961" t="n"/>
      <c r="G171" s="1961" t="n"/>
      <c r="H171" s="1961" t="n"/>
      <c r="I171" s="1961" t="n"/>
      <c r="J171" s="1961" t="n"/>
      <c r="K171" s="1961" t="n"/>
      <c r="L171" s="1961" t="n"/>
      <c r="M171" s="1961" t="n"/>
      <c r="N171" s="1961" t="n"/>
      <c r="O171" s="1961" t="n"/>
      <c r="P171" s="1961" t="n"/>
      <c r="Q171" s="1961" t="n"/>
      <c r="R171" s="1961" t="n"/>
      <c r="S171" s="1961" t="n"/>
      <c r="T171" s="1961" t="n"/>
      <c r="U171" s="1961" t="n"/>
      <c r="V171" s="1961" t="n"/>
      <c r="W171" s="1961" t="n"/>
      <c r="X171" s="1961" t="n"/>
      <c r="Y171" s="1961" t="n"/>
      <c r="Z171" s="1961" t="n"/>
      <c r="AA171" s="1961" t="n"/>
      <c r="AB171" s="1961" t="n"/>
      <c r="AC171" s="1961" t="n"/>
      <c r="AD171" s="1961" t="n"/>
      <c r="AE171" s="1961" t="n"/>
      <c r="AF171" s="1961" t="n"/>
      <c r="AG171" s="1961" t="n"/>
      <c r="AH171" s="1961" t="n"/>
      <c r="AI171" s="1961" t="n"/>
      <c r="BZ171" s="1784" t="n"/>
      <c r="CA171" s="1784" t="n"/>
      <c r="CB171" s="1997" t="n"/>
      <c r="CD171" s="2598" t="n"/>
      <c r="CE171" s="2598" t="n"/>
      <c r="CF171" s="4176">
        <f>CF146</f>
        <v/>
      </c>
      <c r="CG171" s="4176" t="n"/>
      <c r="CH171" s="4176" t="n"/>
      <c r="CI171" s="4176" t="n"/>
      <c r="CJ171" s="4176" t="n"/>
      <c r="CK171" s="4176" t="n"/>
      <c r="CL171" s="4181" t="n"/>
      <c r="CM171" s="4176">
        <f>CM146</f>
        <v/>
      </c>
      <c r="CN171" s="4176" t="n"/>
      <c r="CO171" s="4176" t="n"/>
      <c r="CP171" s="4176" t="n"/>
      <c r="CQ171" s="2598" t="n"/>
      <c r="CR171" s="4176">
        <f>Languages!B409</f>
        <v/>
      </c>
      <c r="CS171" s="4176" t="n"/>
      <c r="CT171" s="4176" t="n"/>
      <c r="CU171" s="4177" t="n"/>
      <c r="CV171" s="2598" t="n"/>
    </row>
    <row r="172">
      <c r="B172" s="1961" t="n"/>
      <c r="C172" s="4388" t="n"/>
      <c r="D172" s="4388" t="n"/>
      <c r="E172" s="4388" t="n"/>
      <c r="F172" s="1961" t="n"/>
      <c r="G172" s="1961" t="n"/>
      <c r="H172" s="1961" t="n"/>
      <c r="I172" s="4178" t="n"/>
      <c r="J172" s="1961" t="n"/>
      <c r="K172" s="1961" t="n"/>
      <c r="L172" s="1961" t="n"/>
      <c r="M172" s="4179">
        <f>Languages!B400</f>
        <v/>
      </c>
      <c r="N172" s="4180" t="n"/>
      <c r="O172" s="4180" t="n"/>
      <c r="P172" s="4180" t="n"/>
      <c r="Q172" s="4180" t="n"/>
      <c r="R172" s="1961" t="n"/>
      <c r="S172" s="4390">
        <f>W147</f>
        <v/>
      </c>
      <c r="T172" s="4390" t="n"/>
      <c r="U172" s="4390" t="n"/>
      <c r="V172" s="1961" t="n"/>
      <c r="W172" s="4179">
        <f>Languages!B401</f>
        <v/>
      </c>
      <c r="X172" s="4180" t="n"/>
      <c r="Y172" s="4180" t="n"/>
      <c r="Z172" s="1961" t="n"/>
      <c r="AA172" s="4179">
        <f>Languages!B402</f>
        <v/>
      </c>
      <c r="AB172" s="4180" t="n"/>
      <c r="AC172" s="4180" t="n"/>
      <c r="AD172" s="1961" t="n"/>
      <c r="AE172" s="1961" t="n"/>
      <c r="AF172" s="4179">
        <f>AE147</f>
        <v/>
      </c>
      <c r="AG172" s="4179" t="n"/>
      <c r="AH172" s="4179" t="n"/>
      <c r="AI172" s="1961" t="n"/>
      <c r="BZ172" s="1890" t="inlineStr">
        <is>
          <t xml:space="preserve">Start year of </t>
        </is>
      </c>
      <c r="CA172" s="1890" t="n"/>
      <c r="CB172" s="1997" t="n"/>
      <c r="CD172" s="2598" t="n"/>
      <c r="CE172" s="2598" t="n"/>
      <c r="CF172" s="4187">
        <f>CF147</f>
        <v/>
      </c>
      <c r="CG172" s="4187" t="n"/>
      <c r="CH172" s="4187">
        <f>CH147</f>
        <v/>
      </c>
      <c r="CI172" s="4187" t="n"/>
      <c r="CJ172" s="4187">
        <f>CJ147</f>
        <v/>
      </c>
      <c r="CK172" s="4187" t="n"/>
      <c r="CL172" s="4187" t="n"/>
      <c r="CM172" s="4187">
        <f>CM147</f>
        <v/>
      </c>
      <c r="CN172" s="4187" t="n"/>
      <c r="CO172" s="4185">
        <f>CO147</f>
        <v/>
      </c>
      <c r="CP172" s="2598" t="n"/>
      <c r="CQ172" s="2598" t="n"/>
      <c r="CR172" s="2598">
        <f>Languages!B408</f>
        <v/>
      </c>
      <c r="CS172" s="2598" t="n"/>
      <c r="CT172" s="2598" t="n"/>
      <c r="CU172" s="2598" t="n"/>
      <c r="CV172" s="2598" t="n"/>
    </row>
    <row r="173">
      <c r="B173" s="1961" t="n"/>
      <c r="C173" s="1838">
        <f>C148</f>
        <v/>
      </c>
      <c r="D173" s="1961" t="n"/>
      <c r="E173" s="1961" t="n"/>
      <c r="F173" s="1961" t="n"/>
      <c r="G173" s="1961" t="n"/>
      <c r="H173" s="1961" t="n"/>
      <c r="I173" s="1834">
        <f>Languages!B399</f>
        <v/>
      </c>
      <c r="J173" s="1961" t="n"/>
      <c r="K173" s="1961" t="n"/>
      <c r="L173" s="1961" t="n"/>
      <c r="M173" s="1961" t="n"/>
      <c r="N173" s="1961" t="n"/>
      <c r="O173" s="1961" t="n"/>
      <c r="P173" s="1961" t="n"/>
      <c r="Q173" s="1961" t="n"/>
      <c r="R173" s="1961" t="n"/>
      <c r="S173" s="1961" t="n"/>
      <c r="T173" s="1838" t="n"/>
      <c r="U173" s="1838" t="n"/>
      <c r="V173" s="1961" t="n"/>
      <c r="W173" s="1838" t="n"/>
      <c r="X173" s="1838" t="n"/>
      <c r="Y173" s="1838" t="n"/>
      <c r="Z173" s="1961" t="n"/>
      <c r="AA173" s="1961" t="n"/>
      <c r="AB173" s="1961" t="n"/>
      <c r="AC173" s="1961" t="n"/>
      <c r="AD173" s="1961" t="n"/>
      <c r="AE173" s="1961" t="n"/>
      <c r="AF173" s="1961" t="n"/>
      <c r="AG173" s="1961" t="n"/>
      <c r="AH173" s="1961" t="n"/>
      <c r="AI173" s="1961" t="n"/>
      <c r="BZ173" s="2015" t="inlineStr">
        <is>
          <t>implementation</t>
        </is>
      </c>
      <c r="CA173" s="2015" t="n"/>
      <c r="CB173" s="1997" t="n"/>
      <c r="CD173" s="2598" t="n"/>
      <c r="CE173" s="4181">
        <f>I173</f>
        <v/>
      </c>
      <c r="CF173" s="2567">
        <f>CF148</f>
        <v/>
      </c>
      <c r="CG173" s="2567" t="n"/>
      <c r="CH173" s="2567">
        <f>CH148</f>
        <v/>
      </c>
      <c r="CI173" s="2567" t="n"/>
      <c r="CJ173" s="2567">
        <f>CJ148</f>
        <v/>
      </c>
      <c r="CK173" s="2567" t="n"/>
      <c r="CL173" s="2567" t="n"/>
      <c r="CM173" s="2567">
        <f>CM148</f>
        <v/>
      </c>
      <c r="CN173" s="2567" t="n"/>
      <c r="CO173" s="2567">
        <f>CO148</f>
        <v/>
      </c>
      <c r="CP173" s="2567" t="n"/>
      <c r="CQ173" s="2598" t="n"/>
      <c r="CR173" s="2598" t="inlineStr">
        <is>
          <t>t/m3</t>
        </is>
      </c>
      <c r="CS173" s="2598" t="n"/>
      <c r="CT173" s="2598" t="n"/>
      <c r="CU173" s="2567">
        <f>Languages!B410</f>
        <v/>
      </c>
      <c r="CV173" s="2598" t="n"/>
    </row>
    <row r="174" ht="13.25" customHeight="1">
      <c r="B174" s="1961" t="n"/>
      <c r="C174" s="1961" t="n"/>
      <c r="D174" s="1961" t="n"/>
      <c r="E174" s="1961" t="n"/>
      <c r="F174" s="1961" t="n"/>
      <c r="G174" s="1961" t="n"/>
      <c r="H174" s="1961" t="n"/>
      <c r="I174" s="1834" t="n"/>
      <c r="J174" s="1961" t="n"/>
      <c r="K174" s="1961" t="n"/>
      <c r="L174" s="1961" t="n"/>
      <c r="M174" s="1961" t="n"/>
      <c r="N174" s="1961" t="n"/>
      <c r="O174" s="1961" t="n"/>
      <c r="P174" s="1961" t="n"/>
      <c r="Q174" s="1961" t="n"/>
      <c r="R174" s="1961" t="n"/>
      <c r="S174" s="1961" t="n"/>
      <c r="T174" s="1961" t="n"/>
      <c r="U174" s="1961" t="n"/>
      <c r="V174" s="1961" t="n"/>
      <c r="W174" s="1961" t="n"/>
      <c r="X174" s="1961" t="n"/>
      <c r="Y174" s="1961" t="n"/>
      <c r="Z174" s="1961" t="n"/>
      <c r="AA174" s="1961" t="n"/>
      <c r="AB174" s="1961" t="n"/>
      <c r="AC174" s="1961" t="n"/>
      <c r="AD174" s="1961" t="n"/>
      <c r="AE174" s="1961" t="n"/>
      <c r="AF174" s="1961" t="n"/>
      <c r="AG174" s="1961" t="n"/>
      <c r="AH174" s="1961" t="n"/>
      <c r="AI174" s="1961" t="n"/>
      <c r="BZ174" s="1997" t="n"/>
      <c r="CA174" s="1894" t="n"/>
      <c r="CB174" s="1997" t="n"/>
      <c r="CD174" s="2598" t="n"/>
      <c r="CE174" s="2598" t="n"/>
      <c r="CF174" s="2598">
        <f>CF149</f>
        <v/>
      </c>
      <c r="CG174" s="2598">
        <f>CG149</f>
        <v/>
      </c>
      <c r="CH174" s="2598">
        <f>CF174</f>
        <v/>
      </c>
      <c r="CI174" s="2598">
        <f>CG174</f>
        <v/>
      </c>
      <c r="CJ174" s="2567">
        <f>CH174</f>
        <v/>
      </c>
      <c r="CK174" s="2598">
        <f>CI174</f>
        <v/>
      </c>
      <c r="CL174" s="2598" t="n"/>
      <c r="CM174" s="2598">
        <f>CJ174</f>
        <v/>
      </c>
      <c r="CN174" s="2598">
        <f>CK174</f>
        <v/>
      </c>
      <c r="CO174" s="2598">
        <f>CM174</f>
        <v/>
      </c>
      <c r="CP174" s="2598">
        <f>CN174</f>
        <v/>
      </c>
      <c r="CQ174" s="2598" t="n"/>
      <c r="CR174" s="2598">
        <f>CO174</f>
        <v/>
      </c>
      <c r="CS174" s="2598">
        <f>CP174</f>
        <v/>
      </c>
      <c r="CT174" s="2598" t="n"/>
      <c r="CU174" s="2598" t="n"/>
      <c r="CV174" s="2598" t="n"/>
    </row>
    <row r="175" ht="15.5" customHeight="1">
      <c r="B175" s="1961" t="n"/>
      <c r="C175" s="1961" t="n"/>
      <c r="D175" s="1961" t="n"/>
      <c r="E175" s="1961" t="n"/>
      <c r="F175" s="1961" t="n"/>
      <c r="G175" s="1961" t="n"/>
      <c r="H175" s="1961" t="n"/>
      <c r="I175" s="1961" t="n"/>
      <c r="J175" s="1961" t="n"/>
      <c r="K175" s="1961" t="n"/>
      <c r="L175" s="1961" t="n"/>
      <c r="M175" s="1838">
        <f>M149</f>
        <v/>
      </c>
      <c r="N175" s="1838">
        <f>N149</f>
        <v/>
      </c>
      <c r="O175" s="1838" t="inlineStr">
        <is>
          <t>*</t>
        </is>
      </c>
      <c r="P175" s="1838">
        <f>P149</f>
        <v/>
      </c>
      <c r="Q175" s="1961" t="inlineStr">
        <is>
          <t>*</t>
        </is>
      </c>
      <c r="R175" s="1961" t="n"/>
      <c r="S175" s="4223">
        <f>M175</f>
        <v/>
      </c>
      <c r="T175" s="4223">
        <f>N175</f>
        <v/>
      </c>
      <c r="U175" s="4223">
        <f>P175</f>
        <v/>
      </c>
      <c r="V175" s="1961" t="n"/>
      <c r="W175" s="1838">
        <f>M175</f>
        <v/>
      </c>
      <c r="X175" s="1838">
        <f>N175</f>
        <v/>
      </c>
      <c r="Y175" s="1838">
        <f>P175</f>
        <v/>
      </c>
      <c r="Z175" s="1961" t="n"/>
      <c r="AA175" s="1838">
        <f>W175</f>
        <v/>
      </c>
      <c r="AB175" s="1838">
        <f>X175</f>
        <v/>
      </c>
      <c r="AC175" s="1838">
        <f>Y175</f>
        <v/>
      </c>
      <c r="AD175" s="1961" t="n"/>
      <c r="AE175" s="1961" t="n"/>
      <c r="AF175" s="1838">
        <f>X175</f>
        <v/>
      </c>
      <c r="AG175" s="1838">
        <f>Y175</f>
        <v/>
      </c>
      <c r="AH175" s="1834">
        <f>AG149</f>
        <v/>
      </c>
      <c r="AI175" s="1961" t="n"/>
      <c r="BZ175" s="4401" t="n">
        <v>1</v>
      </c>
      <c r="CA175" s="4402" t="n"/>
      <c r="CB175" s="1997" t="n"/>
      <c r="CD175" s="2598" t="n"/>
      <c r="CE175" s="2598">
        <f>I176</f>
        <v/>
      </c>
      <c r="CF175" s="4728">
        <f>'Inl. wetlands'!H468</f>
        <v/>
      </c>
      <c r="CG175" s="4241" t="n"/>
      <c r="CH175" s="4728">
        <f>'Inl. wetlands'!J468</f>
        <v/>
      </c>
      <c r="CI175" s="4241" t="n"/>
      <c r="CJ175" s="4728">
        <f>'Inl. wetlands'!L468</f>
        <v/>
      </c>
      <c r="CK175" s="4241" t="n"/>
      <c r="CL175" s="2598" t="n"/>
      <c r="CM175" s="4192">
        <f>'Inl. wetlands'!N468</f>
        <v/>
      </c>
      <c r="CN175" s="4241" t="n"/>
      <c r="CO175" s="4192">
        <f>'Inl. wetlands'!P468</f>
        <v/>
      </c>
      <c r="CP175" s="4241" t="n"/>
      <c r="CQ175" s="2598" t="n"/>
      <c r="CR175" s="4732">
        <f>'Inl. wetlands'!K488</f>
        <v/>
      </c>
      <c r="CS175" s="4241" t="n"/>
      <c r="CT175" s="2598" t="n"/>
      <c r="CU175" s="2133" t="inlineStr">
        <is>
          <t>Please select</t>
        </is>
      </c>
      <c r="CV175" s="2598" t="n"/>
    </row>
    <row r="176" ht="14.75" customHeight="1">
      <c r="B176" s="1961" t="n"/>
      <c r="C176" s="4570" t="n"/>
      <c r="D176" s="4730" t="n"/>
      <c r="E176" s="4730" t="n"/>
      <c r="F176" s="1961" t="n"/>
      <c r="G176" s="1961" t="n"/>
      <c r="H176" s="1961" t="n"/>
      <c r="I176" s="4237" t="inlineStr">
        <is>
          <t>Please select</t>
        </is>
      </c>
      <c r="J176" s="1961" t="n"/>
      <c r="K176" s="1961" t="n"/>
      <c r="L176" s="1961" t="n"/>
      <c r="M176" s="4236" t="n">
        <v>0</v>
      </c>
      <c r="N176" s="2132" t="n">
        <v>0</v>
      </c>
      <c r="O176" s="2108" t="inlineStr">
        <is>
          <t>D</t>
        </is>
      </c>
      <c r="P176" s="2132" t="n">
        <v>0</v>
      </c>
      <c r="Q176" s="2108" t="inlineStr">
        <is>
          <t>D</t>
        </is>
      </c>
      <c r="R176" s="1961" t="n"/>
      <c r="S176" s="4239" t="n">
        <v>0</v>
      </c>
      <c r="T176" s="4239" t="n">
        <v>0</v>
      </c>
      <c r="U176" s="4273" t="n">
        <v>0</v>
      </c>
      <c r="V176" s="1961" t="n"/>
      <c r="W176" s="2132" t="n">
        <v>50</v>
      </c>
      <c r="X176" s="4240" t="n">
        <v>50</v>
      </c>
      <c r="Y176" s="2079" t="n">
        <v>50</v>
      </c>
      <c r="Z176" s="1961" t="n"/>
      <c r="AA176" s="2111">
        <f>'Inl. wetlands'!P488</f>
        <v/>
      </c>
      <c r="AB176" s="2111">
        <f>'Inl. wetlands'!Q488</f>
        <v/>
      </c>
      <c r="AC176" s="2111">
        <f>'Inl. wetlands'!R488</f>
        <v/>
      </c>
      <c r="AD176" s="1961" t="n"/>
      <c r="AE176" s="1961" t="n"/>
      <c r="AF176" s="2111">
        <f>'Inl. wetlands'!AI488+'Inl. wetlands'!AI478</f>
        <v/>
      </c>
      <c r="AG176" s="2111">
        <f>'Inl. wetlands'!AJ488+'Inl. wetlands'!AJ478</f>
        <v/>
      </c>
      <c r="AH176" s="1806">
        <f>'Inl. wetlands'!AK488+'Inl. wetlands'!AK478</f>
        <v/>
      </c>
      <c r="AI176" s="1961" t="n"/>
      <c r="BZ176" s="4401" t="n">
        <v>1</v>
      </c>
      <c r="CA176" s="4402" t="n"/>
      <c r="CB176" s="1997" t="n"/>
      <c r="CD176" s="2598" t="n"/>
      <c r="CE176" s="2598">
        <f>I177</f>
        <v/>
      </c>
      <c r="CF176" s="4728">
        <f>'Inl. wetlands'!H469</f>
        <v/>
      </c>
      <c r="CG176" s="4241" t="n"/>
      <c r="CH176" s="4728">
        <f>'Inl. wetlands'!J469</f>
        <v/>
      </c>
      <c r="CI176" s="4241" t="n"/>
      <c r="CJ176" s="4728">
        <f>'Inl. wetlands'!L469</f>
        <v/>
      </c>
      <c r="CK176" s="4241" t="n"/>
      <c r="CL176" s="2598" t="n"/>
      <c r="CM176" s="4192">
        <f>'Inl. wetlands'!N469</f>
        <v/>
      </c>
      <c r="CN176" s="4241" t="n"/>
      <c r="CO176" s="4192">
        <f>'Inl. wetlands'!P469</f>
        <v/>
      </c>
      <c r="CP176" s="4241" t="n"/>
      <c r="CQ176" s="2598" t="n"/>
      <c r="CR176" s="4732">
        <f>'Inl. wetlands'!K489</f>
        <v/>
      </c>
      <c r="CS176" s="4241" t="n"/>
      <c r="CT176" s="2598" t="n"/>
      <c r="CU176" s="2133" t="inlineStr">
        <is>
          <t>Please select</t>
        </is>
      </c>
      <c r="CV176" s="2598" t="n"/>
    </row>
    <row r="177" ht="14.75" customHeight="1">
      <c r="B177" s="1961" t="n"/>
      <c r="C177" s="4570" t="n"/>
      <c r="D177" s="4730" t="n"/>
      <c r="E177" s="4730" t="n"/>
      <c r="F177" s="1961" t="n"/>
      <c r="G177" s="1961" t="n"/>
      <c r="H177" s="1961" t="n"/>
      <c r="I177" s="4237" t="inlineStr">
        <is>
          <t>Please select</t>
        </is>
      </c>
      <c r="J177" s="1961" t="n"/>
      <c r="K177" s="1961" t="n"/>
      <c r="L177" s="1961" t="n"/>
      <c r="M177" s="4236" t="n">
        <v>0</v>
      </c>
      <c r="N177" s="2132" t="n">
        <v>0</v>
      </c>
      <c r="O177" s="2108" t="inlineStr">
        <is>
          <t>D</t>
        </is>
      </c>
      <c r="P177" s="2132" t="n">
        <v>0</v>
      </c>
      <c r="Q177" s="2108" t="inlineStr">
        <is>
          <t>D</t>
        </is>
      </c>
      <c r="R177" s="1961" t="n"/>
      <c r="S177" s="4239" t="n">
        <v>0</v>
      </c>
      <c r="T177" s="4239" t="n">
        <v>0</v>
      </c>
      <c r="U177" s="4273" t="n">
        <v>0</v>
      </c>
      <c r="V177" s="1961" t="n"/>
      <c r="W177" s="2132" t="n">
        <v>50</v>
      </c>
      <c r="X177" s="4240" t="n">
        <v>50</v>
      </c>
      <c r="Y177" s="2079" t="n">
        <v>50</v>
      </c>
      <c r="Z177" s="1961" t="n"/>
      <c r="AA177" s="2111">
        <f>'Inl. wetlands'!P489</f>
        <v/>
      </c>
      <c r="AB177" s="2111">
        <f>'Inl. wetlands'!Q489</f>
        <v/>
      </c>
      <c r="AC177" s="2111">
        <f>'Inl. wetlands'!R489</f>
        <v/>
      </c>
      <c r="AD177" s="1961" t="n"/>
      <c r="AE177" s="1961" t="n"/>
      <c r="AF177" s="2111">
        <f>'Inl. wetlands'!AI489+'Inl. wetlands'!AI479</f>
        <v/>
      </c>
      <c r="AG177" s="2111">
        <f>'Inl. wetlands'!AJ489+'Inl. wetlands'!AJ479</f>
        <v/>
      </c>
      <c r="AH177" s="1806">
        <f>'Inl. wetlands'!AK489+'Inl. wetlands'!AK479</f>
        <v/>
      </c>
      <c r="AI177" s="1961" t="n"/>
      <c r="BZ177" s="4401" t="n">
        <v>1</v>
      </c>
      <c r="CA177" s="4402" t="n"/>
      <c r="CB177" s="1997" t="n"/>
      <c r="CD177" s="2598" t="n"/>
      <c r="CE177" s="2598">
        <f>I178</f>
        <v/>
      </c>
      <c r="CF177" s="4728">
        <f>'Inl. wetlands'!H470</f>
        <v/>
      </c>
      <c r="CG177" s="4241" t="n"/>
      <c r="CH177" s="4728">
        <f>'Inl. wetlands'!J470</f>
        <v/>
      </c>
      <c r="CI177" s="4241" t="n"/>
      <c r="CJ177" s="4728">
        <f>'Inl. wetlands'!L470</f>
        <v/>
      </c>
      <c r="CK177" s="4241" t="n"/>
      <c r="CL177" s="2598" t="n"/>
      <c r="CM177" s="4192">
        <f>'Inl. wetlands'!N470</f>
        <v/>
      </c>
      <c r="CN177" s="4241" t="n"/>
      <c r="CO177" s="4192">
        <f>'Inl. wetlands'!P470</f>
        <v/>
      </c>
      <c r="CP177" s="4241" t="n"/>
      <c r="CQ177" s="2598" t="n"/>
      <c r="CR177" s="4732">
        <f>'Inl. wetlands'!K490</f>
        <v/>
      </c>
      <c r="CS177" s="4241" t="n"/>
      <c r="CT177" s="2598" t="n"/>
      <c r="CU177" s="2133" t="inlineStr">
        <is>
          <t>Please select</t>
        </is>
      </c>
      <c r="CV177" s="2598" t="n"/>
    </row>
    <row r="178">
      <c r="B178" s="1961" t="n"/>
      <c r="C178" s="4570" t="n"/>
      <c r="D178" s="4730" t="n"/>
      <c r="E178" s="4730" t="n"/>
      <c r="F178" s="1961" t="n"/>
      <c r="G178" s="1961" t="n"/>
      <c r="H178" s="1961" t="n"/>
      <c r="I178" s="4237" t="inlineStr">
        <is>
          <t>Please select</t>
        </is>
      </c>
      <c r="J178" s="1961" t="n"/>
      <c r="K178" s="1961" t="n"/>
      <c r="L178" s="1961" t="n"/>
      <c r="M178" s="4236" t="n">
        <v>0</v>
      </c>
      <c r="N178" s="2132" t="n">
        <v>0</v>
      </c>
      <c r="O178" s="2108" t="inlineStr">
        <is>
          <t>D</t>
        </is>
      </c>
      <c r="P178" s="2132" t="n">
        <v>0</v>
      </c>
      <c r="Q178" s="2108" t="inlineStr">
        <is>
          <t>D</t>
        </is>
      </c>
      <c r="R178" s="1961" t="n"/>
      <c r="S178" s="4239" t="n">
        <v>0</v>
      </c>
      <c r="T178" s="4239" t="n">
        <v>0</v>
      </c>
      <c r="U178" s="4273" t="n">
        <v>0</v>
      </c>
      <c r="V178" s="1961" t="n"/>
      <c r="W178" s="2132" t="n">
        <v>50</v>
      </c>
      <c r="X178" s="4240" t="n">
        <v>50</v>
      </c>
      <c r="Y178" s="2079" t="n">
        <v>50</v>
      </c>
      <c r="Z178" s="1961" t="n"/>
      <c r="AA178" s="2111">
        <f>'Inl. wetlands'!P490</f>
        <v/>
      </c>
      <c r="AB178" s="2111">
        <f>'Inl. wetlands'!Q490</f>
        <v/>
      </c>
      <c r="AC178" s="2111">
        <f>'Inl. wetlands'!R490</f>
        <v/>
      </c>
      <c r="AD178" s="1961" t="n"/>
      <c r="AE178" s="1961" t="n"/>
      <c r="AF178" s="2111">
        <f>'Inl. wetlands'!AI490+'Inl. wetlands'!AI480</f>
        <v/>
      </c>
      <c r="AG178" s="2111">
        <f>'Inl. wetlands'!AJ490+'Inl. wetlands'!AJ480</f>
        <v/>
      </c>
      <c r="AH178" s="1806">
        <f>'Inl. wetlands'!AK490+'Inl. wetlands'!AK480</f>
        <v/>
      </c>
      <c r="AI178" s="1961" t="n"/>
      <c r="BZ178" s="4401" t="n">
        <v>1</v>
      </c>
      <c r="CA178" s="4402" t="n"/>
      <c r="CB178" s="1997" t="n"/>
      <c r="CD178" s="2598" t="n"/>
      <c r="CE178" s="2598">
        <f>I179</f>
        <v/>
      </c>
      <c r="CF178" s="4728">
        <f>'Inl. wetlands'!H471</f>
        <v/>
      </c>
      <c r="CG178" s="4241" t="n"/>
      <c r="CH178" s="4728">
        <f>'Inl. wetlands'!J471</f>
        <v/>
      </c>
      <c r="CI178" s="4241" t="n"/>
      <c r="CJ178" s="4728">
        <f>'Inl. wetlands'!L471</f>
        <v/>
      </c>
      <c r="CK178" s="4241" t="n"/>
      <c r="CL178" s="2598" t="n"/>
      <c r="CM178" s="4192">
        <f>'Inl. wetlands'!N471</f>
        <v/>
      </c>
      <c r="CN178" s="4241" t="n"/>
      <c r="CO178" s="2592">
        <f>'Inl. wetlands'!P471</f>
        <v/>
      </c>
      <c r="CP178" s="4241" t="n"/>
      <c r="CQ178" s="2598" t="n"/>
      <c r="CR178" s="4732">
        <f>'Inl. wetlands'!K491</f>
        <v/>
      </c>
      <c r="CS178" s="4241" t="n"/>
      <c r="CT178" s="2598" t="n"/>
      <c r="CU178" s="2133" t="inlineStr">
        <is>
          <t>Please select</t>
        </is>
      </c>
      <c r="CV178" s="2598" t="n"/>
    </row>
    <row r="179">
      <c r="B179" s="1961" t="n"/>
      <c r="C179" s="4570" t="n"/>
      <c r="D179" s="4730" t="n"/>
      <c r="E179" s="4730" t="n"/>
      <c r="F179" s="1961" t="n"/>
      <c r="G179" s="1961" t="n"/>
      <c r="H179" s="1961" t="n"/>
      <c r="I179" s="4237" t="inlineStr">
        <is>
          <t>Please select</t>
        </is>
      </c>
      <c r="J179" s="1961" t="n"/>
      <c r="K179" s="1961" t="n"/>
      <c r="L179" s="1961" t="n"/>
      <c r="M179" s="4236" t="n">
        <v>0</v>
      </c>
      <c r="N179" s="2132" t="n">
        <v>0</v>
      </c>
      <c r="O179" s="2108" t="inlineStr">
        <is>
          <t>D</t>
        </is>
      </c>
      <c r="P179" s="2132" t="n">
        <v>0</v>
      </c>
      <c r="Q179" s="2108" t="inlineStr">
        <is>
          <t>D</t>
        </is>
      </c>
      <c r="R179" s="1961" t="n"/>
      <c r="S179" s="4239" t="n">
        <v>0</v>
      </c>
      <c r="T179" s="4239" t="n">
        <v>0</v>
      </c>
      <c r="U179" s="4273" t="n">
        <v>0</v>
      </c>
      <c r="V179" s="1961" t="n"/>
      <c r="W179" s="2132" t="n">
        <v>50</v>
      </c>
      <c r="X179" s="4240" t="n">
        <v>50</v>
      </c>
      <c r="Y179" s="2079" t="n">
        <v>50</v>
      </c>
      <c r="Z179" s="1961" t="n"/>
      <c r="AA179" s="2111">
        <f>'Inl. wetlands'!P491</f>
        <v/>
      </c>
      <c r="AB179" s="2111">
        <f>'Inl. wetlands'!Q491</f>
        <v/>
      </c>
      <c r="AC179" s="2111">
        <f>'Inl. wetlands'!R491</f>
        <v/>
      </c>
      <c r="AD179" s="1961" t="n"/>
      <c r="AE179" s="1961" t="n"/>
      <c r="AF179" s="2111">
        <f>'Inl. wetlands'!AI491+'Inl. wetlands'!AI481</f>
        <v/>
      </c>
      <c r="AG179" s="2111">
        <f>'Inl. wetlands'!AJ491+'Inl. wetlands'!AJ481</f>
        <v/>
      </c>
      <c r="AH179" s="1806">
        <f>'Inl. wetlands'!AK491+'Inl. wetlands'!AK481</f>
        <v/>
      </c>
      <c r="AI179" s="1961" t="n"/>
      <c r="BZ179" s="1997" t="n"/>
      <c r="CA179" s="1997" t="n"/>
      <c r="CB179" s="1997" t="n"/>
      <c r="CD179" s="2598" t="n"/>
      <c r="CE179" s="2598" t="n"/>
      <c r="CF179" s="4728" t="n"/>
      <c r="CG179" s="2598" t="n"/>
      <c r="CH179" s="4728" t="n"/>
      <c r="CI179" s="2598" t="n"/>
      <c r="CJ179" s="4728" t="n"/>
      <c r="CK179" s="2598" t="n"/>
      <c r="CL179" s="2598" t="n"/>
      <c r="CM179" s="4728" t="n"/>
      <c r="CN179" s="2598" t="n"/>
      <c r="CO179" s="2592" t="n"/>
      <c r="CP179" s="2598" t="n"/>
      <c r="CQ179" s="2598" t="n"/>
      <c r="CR179" s="2598" t="n"/>
      <c r="CS179" s="2598" t="n"/>
      <c r="CT179" s="2598" t="n"/>
      <c r="CU179" s="2598" t="n"/>
      <c r="CV179" s="2598" t="n"/>
    </row>
    <row r="180" ht="14" customHeight="1">
      <c r="B180" s="1961" t="n"/>
      <c r="C180" s="1961" t="n"/>
      <c r="D180" s="1961" t="n"/>
      <c r="E180" s="1961" t="n"/>
      <c r="F180" s="1961" t="n"/>
      <c r="G180" s="1961" t="n"/>
      <c r="H180" s="1961" t="n"/>
      <c r="I180" s="1961" t="n"/>
      <c r="J180" s="1961" t="n"/>
      <c r="K180" s="1961" t="n"/>
      <c r="L180" s="1961" t="n"/>
      <c r="M180" s="1961" t="n"/>
      <c r="N180" s="1961" t="n"/>
      <c r="O180" s="1961" t="n"/>
      <c r="P180" s="1961" t="n"/>
      <c r="Q180" s="1961" t="n"/>
      <c r="R180" s="1961" t="n"/>
      <c r="S180" s="1961" t="n"/>
      <c r="T180" s="1961" t="n"/>
      <c r="U180" s="1961" t="n"/>
      <c r="V180" s="1961" t="n"/>
      <c r="W180" s="1961" t="n"/>
      <c r="X180" s="1961" t="n"/>
      <c r="Y180" s="1961" t="n"/>
      <c r="Z180" s="1961" t="n"/>
      <c r="AA180" s="1961" t="n"/>
      <c r="AB180" s="1961" t="n"/>
      <c r="AC180" s="1961" t="n"/>
      <c r="AD180" s="1961" t="n"/>
      <c r="AE180" s="1961" t="n"/>
      <c r="AF180" s="1961" t="n"/>
      <c r="AG180" s="4180" t="n"/>
      <c r="AH180" s="4180" t="n"/>
      <c r="AI180" s="1961" t="n"/>
      <c r="BZ180" s="4548" t="inlineStr">
        <is>
          <t>Use this part only if you want to refine yearly GHG fluxes</t>
        </is>
      </c>
      <c r="CD180" s="2598">
        <f>CD158</f>
        <v/>
      </c>
      <c r="CE180" s="2598" t="n"/>
      <c r="CF180" s="2598" t="n"/>
      <c r="CG180" s="2598" t="n"/>
      <c r="CH180" s="2598" t="n"/>
      <c r="CI180" s="2598" t="n"/>
      <c r="CJ180" s="2598" t="n"/>
      <c r="CK180" s="2598" t="n"/>
      <c r="CL180" s="2598" t="n"/>
      <c r="CM180" s="2598" t="n"/>
      <c r="CN180" s="2598" t="n"/>
      <c r="CO180" s="2598" t="n"/>
      <c r="CP180" s="2598" t="n"/>
      <c r="CQ180" s="2598" t="n"/>
      <c r="CR180" s="2598" t="n"/>
      <c r="CS180" s="2598" t="n"/>
      <c r="CT180" s="2598" t="n"/>
      <c r="CU180" s="4571">
        <f>Languages!B413</f>
        <v/>
      </c>
      <c r="CV180" s="2598" t="n"/>
    </row>
    <row r="181">
      <c r="B181" s="1961" t="n"/>
      <c r="C181" s="4178" t="n"/>
      <c r="D181" s="1961" t="n"/>
      <c r="E181" s="1961" t="n"/>
      <c r="F181" s="1961" t="n"/>
      <c r="G181" s="1961" t="n"/>
      <c r="H181" s="1961" t="n"/>
      <c r="I181" s="1961" t="n"/>
      <c r="J181" s="1961" t="n"/>
      <c r="K181" s="1961" t="n"/>
      <c r="L181" s="1961" t="n"/>
      <c r="M181" s="1961" t="n"/>
      <c r="N181" s="1961" t="n"/>
      <c r="O181" s="1961" t="n"/>
      <c r="P181" s="1961" t="n"/>
      <c r="Q181" s="1961" t="n"/>
      <c r="R181" s="1961" t="n"/>
      <c r="S181" s="1961" t="n"/>
      <c r="T181" s="1961" t="n"/>
      <c r="U181" s="1961" t="n"/>
      <c r="V181" s="1961" t="n"/>
      <c r="W181" s="1961" t="n"/>
      <c r="X181" s="1961" t="n"/>
      <c r="Y181" s="1961" t="n"/>
      <c r="Z181" s="1961" t="n"/>
      <c r="AA181" s="1961" t="n"/>
      <c r="AB181" s="1961" t="n"/>
      <c r="AC181" s="1961" t="n"/>
      <c r="AD181" s="1961" t="n"/>
      <c r="AE181" s="2019">
        <f>Languages!B347</f>
        <v/>
      </c>
      <c r="AF181" s="2039">
        <f>SUM(AF176:AF179)</f>
        <v/>
      </c>
      <c r="AG181" s="1843">
        <f>SUM(AG176:AG179)</f>
        <v/>
      </c>
      <c r="AH181" s="1780">
        <f>SUM(AH176:AH179)</f>
        <v/>
      </c>
      <c r="AI181" s="1961" t="n"/>
      <c r="CD181" s="2598">
        <f>CD159</f>
        <v/>
      </c>
      <c r="CE181" s="4181" t="n"/>
      <c r="CF181" s="2598" t="n"/>
      <c r="CG181" s="2598" t="n"/>
      <c r="CH181" s="2598" t="n"/>
      <c r="CI181" s="2598" t="n"/>
      <c r="CJ181" s="2598" t="n"/>
      <c r="CK181" s="2598" t="n"/>
      <c r="CL181" s="2598" t="n"/>
      <c r="CM181" s="2598" t="n"/>
      <c r="CN181" s="2598" t="n"/>
      <c r="CO181" s="2598" t="n"/>
      <c r="CP181" s="2598" t="n"/>
      <c r="CQ181" s="2598" t="n"/>
      <c r="CR181" s="2598" t="n"/>
      <c r="CS181" s="2598" t="n"/>
      <c r="CT181" s="2598" t="n"/>
      <c r="CV181" s="2598" t="n"/>
    </row>
    <row r="182">
      <c r="B182" s="1961" t="n"/>
      <c r="C182" s="1961">
        <f>C159</f>
        <v/>
      </c>
      <c r="D182" s="1961" t="n"/>
      <c r="E182" s="1961" t="n"/>
      <c r="F182" s="1961" t="n"/>
      <c r="G182" s="1961" t="n"/>
      <c r="H182" s="1961" t="n"/>
      <c r="I182" s="1961" t="n"/>
      <c r="J182" s="1961" t="n"/>
      <c r="K182" s="1961" t="n"/>
      <c r="L182" s="1961" t="n"/>
      <c r="M182" s="1961" t="n"/>
      <c r="N182" s="1961" t="n"/>
      <c r="O182" s="1961" t="n"/>
      <c r="P182" s="1961" t="n"/>
      <c r="Q182" s="1961" t="n"/>
      <c r="R182" s="1961" t="n"/>
      <c r="S182" s="1961" t="n"/>
      <c r="T182" s="1961" t="n"/>
      <c r="U182" s="1961" t="n"/>
      <c r="V182" s="1961" t="n"/>
      <c r="W182" s="1961" t="n"/>
      <c r="X182" s="1961" t="n"/>
      <c r="Y182" s="1961" t="n"/>
      <c r="Z182" s="1961" t="n"/>
      <c r="AA182" s="1961" t="n"/>
      <c r="AB182" s="1961" t="n"/>
      <c r="AC182" s="1961" t="n"/>
      <c r="AD182" s="1961" t="n"/>
      <c r="AE182" s="1961" t="n"/>
      <c r="AF182" s="1961" t="n"/>
      <c r="AG182" s="1961" t="n"/>
      <c r="AH182" s="1961" t="n"/>
      <c r="AI182" s="1961" t="n"/>
      <c r="CD182" s="2598" t="n"/>
      <c r="CE182" s="2598" t="n"/>
      <c r="CF182" s="2598" t="n"/>
      <c r="CG182" s="2598" t="n"/>
      <c r="CH182" s="2598" t="n"/>
      <c r="CI182" s="2598" t="n"/>
      <c r="CJ182" s="2598" t="n"/>
      <c r="CK182" s="2598" t="n"/>
      <c r="CL182" s="2598" t="n"/>
      <c r="CM182" s="2598" t="n"/>
      <c r="CN182" s="2598" t="n"/>
      <c r="CO182" s="2598" t="n"/>
      <c r="CP182" s="2598" t="n"/>
      <c r="CQ182" s="2598" t="n"/>
      <c r="CR182" s="2598" t="n"/>
      <c r="CS182" s="2598" t="n"/>
      <c r="CT182" s="2598" t="n"/>
      <c r="CV182" s="2598" t="n"/>
    </row>
    <row r="190" ht="45" customHeight="1">
      <c r="B190" s="1977" t="n"/>
      <c r="C190" s="2172">
        <f>Languages!B352</f>
        <v/>
      </c>
      <c r="D190" s="1769" t="n"/>
      <c r="E190" s="1769" t="n"/>
      <c r="F190" s="1769" t="n"/>
      <c r="G190" s="1769" t="n"/>
      <c r="H190" s="1769" t="n"/>
      <c r="I190" s="1769" t="n"/>
      <c r="J190" s="1769" t="n"/>
      <c r="K190" s="1769" t="n"/>
      <c r="L190" s="1769" t="n"/>
      <c r="M190" s="1769" t="n"/>
      <c r="N190" s="1769" t="n"/>
      <c r="O190" s="1769" t="n"/>
      <c r="P190" s="1769" t="n"/>
      <c r="Q190" s="1977" t="n"/>
      <c r="R190" s="1977" t="n"/>
      <c r="S190" s="1977" t="n"/>
      <c r="T190" s="1977" t="n"/>
      <c r="U190" s="1977" t="n"/>
      <c r="V190" s="1977" t="n"/>
      <c r="W190" s="1977" t="n"/>
      <c r="X190" s="1977" t="n"/>
      <c r="Y190" s="1977" t="n"/>
      <c r="Z190" s="1977" t="n"/>
      <c r="AA190" s="1977" t="n"/>
      <c r="AB190" s="1977" t="n"/>
      <c r="AC190" s="1977" t="n"/>
      <c r="AD190" s="1977" t="n"/>
      <c r="AE190" s="1979">
        <f>AE169</f>
        <v/>
      </c>
      <c r="AF190" s="1977" t="n"/>
      <c r="AG190" s="1769" t="n"/>
      <c r="AH190" s="1977" t="n"/>
      <c r="AI190" s="1977" t="n"/>
      <c r="BZ190" s="4404" t="inlineStr">
        <is>
          <t>Annual balance</t>
        </is>
      </c>
      <c r="CA190" s="4404" t="n"/>
      <c r="CB190" s="4404" t="n"/>
      <c r="CD190" s="1976">
        <f>Languages!B363</f>
        <v/>
      </c>
      <c r="CE190" s="1977" t="n"/>
      <c r="CF190" s="1977" t="n"/>
      <c r="CG190" s="1977" t="n"/>
      <c r="CH190" s="1977" t="n"/>
      <c r="CI190" s="1977" t="n"/>
      <c r="CJ190" s="1977" t="n"/>
      <c r="CK190" s="1977" t="n"/>
      <c r="CL190" s="1977" t="n"/>
      <c r="CM190" s="1977" t="n"/>
      <c r="CN190" s="1977" t="n"/>
      <c r="CO190" s="1977" t="n"/>
      <c r="CP190" s="1977" t="n"/>
      <c r="CQ190" s="1977" t="n"/>
      <c r="CR190" s="1977" t="n"/>
    </row>
    <row r="191" ht="7.5" customHeight="1">
      <c r="BZ191" s="1916" t="n"/>
      <c r="CA191" s="1916" t="n"/>
    </row>
    <row r="192" ht="17" customHeight="1">
      <c r="B192" s="1961" t="n"/>
      <c r="C192" s="4224">
        <f>Languages!B380</f>
        <v/>
      </c>
      <c r="D192" s="1961" t="n"/>
      <c r="E192" s="1961" t="n"/>
      <c r="F192" s="1961" t="n"/>
      <c r="G192" s="1961" t="n"/>
      <c r="H192" s="1961" t="n"/>
      <c r="I192" s="1961" t="n"/>
      <c r="J192" s="1961" t="n"/>
      <c r="K192" s="1961" t="n"/>
      <c r="L192" s="1961" t="n"/>
      <c r="M192" s="1961" t="n"/>
      <c r="N192" s="1961" t="n"/>
      <c r="O192" s="1961" t="n"/>
      <c r="P192" s="1961" t="n"/>
      <c r="Q192" s="1961" t="n"/>
      <c r="R192" s="1961" t="n"/>
      <c r="S192" s="1961" t="n"/>
      <c r="T192" s="1961" t="n"/>
      <c r="U192" s="1961" t="n"/>
      <c r="V192" s="1961" t="n"/>
      <c r="W192" s="1961" t="n"/>
      <c r="X192" s="1961" t="n"/>
      <c r="Y192" s="1961" t="n"/>
      <c r="Z192" s="1961" t="n"/>
      <c r="AA192" s="1961" t="n"/>
      <c r="AB192" s="1961" t="n"/>
      <c r="AC192" s="1961" t="n"/>
      <c r="AD192" s="1961" t="n"/>
      <c r="AE192" s="1961" t="n"/>
      <c r="AF192" s="1961" t="n"/>
      <c r="AG192" s="1961" t="n"/>
      <c r="AH192" s="1961" t="n"/>
      <c r="AI192" s="1961" t="n"/>
      <c r="BZ192" s="1784" t="n"/>
      <c r="CA192" s="1784" t="n"/>
      <c r="CB192" s="1997" t="n"/>
      <c r="CD192" s="2598" t="n"/>
      <c r="CE192" s="2598" t="n"/>
      <c r="CF192" s="2598" t="n"/>
      <c r="CG192" s="2598" t="n"/>
      <c r="CH192" s="2598" t="n"/>
      <c r="CI192" s="2598" t="n"/>
      <c r="CJ192" s="2598" t="n"/>
      <c r="CK192" s="2598" t="n"/>
      <c r="CL192" s="2598" t="n"/>
      <c r="CM192" s="2598" t="n"/>
      <c r="CN192" s="2598" t="n"/>
      <c r="CO192" s="2598" t="n"/>
      <c r="CP192" s="2598" t="n"/>
      <c r="CQ192" s="2598" t="n"/>
      <c r="CR192" s="2598" t="n"/>
    </row>
    <row r="193">
      <c r="B193" s="1961" t="n"/>
      <c r="C193" s="4224" t="inlineStr">
        <is>
          <t>For aquaculture in coastal wetlands go to "Coastal wetlands"</t>
        </is>
      </c>
      <c r="D193" s="1961" t="n"/>
      <c r="E193" s="1961" t="n"/>
      <c r="F193" s="1961" t="n"/>
      <c r="G193" s="1961" t="n"/>
      <c r="H193" s="1961" t="n"/>
      <c r="I193" s="1961" t="n"/>
      <c r="J193" s="1961" t="n"/>
      <c r="K193" s="1961" t="n"/>
      <c r="L193" s="1961" t="n"/>
      <c r="M193" s="1961" t="n"/>
      <c r="N193" s="1961" t="n"/>
      <c r="O193" s="1961" t="n"/>
      <c r="P193" s="1961" t="n"/>
      <c r="Q193" s="1961" t="n"/>
      <c r="R193" s="1961" t="n"/>
      <c r="S193" s="1961" t="n"/>
      <c r="T193" s="1961" t="n"/>
      <c r="U193" s="1961" t="n"/>
      <c r="V193" s="1961" t="n"/>
      <c r="W193" s="1961" t="n"/>
      <c r="X193" s="1961" t="n"/>
      <c r="Y193" s="1961" t="n"/>
      <c r="Z193" s="1961" t="n"/>
      <c r="AA193" s="1961" t="n"/>
      <c r="AB193" s="1961" t="n"/>
      <c r="AC193" s="1961" t="n"/>
      <c r="AD193" s="1961" t="n"/>
      <c r="AE193" s="1961" t="n"/>
      <c r="AF193" s="1961" t="n"/>
      <c r="AG193" s="1961" t="n"/>
      <c r="AH193" s="1961" t="n"/>
      <c r="AI193" s="1961" t="n"/>
      <c r="BZ193" s="1890" t="inlineStr">
        <is>
          <t xml:space="preserve">Start year of </t>
        </is>
      </c>
      <c r="CA193" s="1890" t="n"/>
      <c r="CB193" s="1997" t="n"/>
      <c r="CD193" s="2598" t="n"/>
      <c r="CE193" s="2598" t="n"/>
      <c r="CF193" s="4176">
        <f>Languages!B411</f>
        <v/>
      </c>
      <c r="CG193" s="4177" t="n"/>
      <c r="CH193" s="4177" t="n"/>
      <c r="CI193" s="4177" t="n"/>
      <c r="CJ193" s="4177" t="n"/>
      <c r="CK193" s="4177" t="n"/>
      <c r="CL193" s="2598" t="n"/>
      <c r="CM193" s="4176">
        <f>T194</f>
        <v/>
      </c>
      <c r="CN193" s="4177" t="n"/>
      <c r="CO193" s="4177" t="n"/>
      <c r="CP193" s="4177" t="n"/>
      <c r="CQ193" s="4177" t="n"/>
      <c r="CR193" s="2598" t="n"/>
    </row>
    <row r="194">
      <c r="B194" s="1961" t="n"/>
      <c r="C194" s="1961" t="n"/>
      <c r="D194" s="1961" t="n"/>
      <c r="E194" s="1961" t="n"/>
      <c r="F194" s="1961" t="n"/>
      <c r="G194" s="1961" t="n"/>
      <c r="H194" s="1961" t="n"/>
      <c r="I194" s="1834" t="n"/>
      <c r="J194" s="1961" t="n"/>
      <c r="K194" s="1961" t="n"/>
      <c r="L194" s="1961" t="n"/>
      <c r="M194" s="4179">
        <f>Languages!B354</f>
        <v/>
      </c>
      <c r="N194" s="4179" t="n"/>
      <c r="O194" s="4180" t="n"/>
      <c r="P194" s="4180" t="n"/>
      <c r="Q194" s="4180" t="n"/>
      <c r="R194" s="1961" t="n"/>
      <c r="S194" s="1961" t="n"/>
      <c r="T194" s="4225">
        <f>Languages!B355</f>
        <v/>
      </c>
      <c r="U194" s="1834" t="n"/>
      <c r="V194" s="1834" t="n"/>
      <c r="W194" s="1961" t="n"/>
      <c r="X194" s="1961" t="n"/>
      <c r="Y194" s="1961" t="n"/>
      <c r="Z194" s="1834" t="n"/>
      <c r="AA194" s="1961" t="n"/>
      <c r="AB194" s="1961" t="n"/>
      <c r="AC194" s="1961" t="n"/>
      <c r="AD194" s="1961" t="n"/>
      <c r="AE194" s="1961" t="n"/>
      <c r="AF194" s="1961" t="n"/>
      <c r="AG194" s="1961" t="n"/>
      <c r="AH194" s="1961" t="n"/>
      <c r="AI194" s="1961" t="n"/>
      <c r="BZ194" s="2015" t="inlineStr">
        <is>
          <t>implementation</t>
        </is>
      </c>
      <c r="CA194" s="2015" t="n"/>
      <c r="CB194" s="1997" t="n"/>
      <c r="CD194" s="2598" t="n"/>
      <c r="CE194" s="4181">
        <f>I195</f>
        <v/>
      </c>
      <c r="CF194" s="2598">
        <f>CO173</f>
        <v/>
      </c>
      <c r="CG194" s="2598" t="n"/>
      <c r="CH194" s="2598" t="n"/>
      <c r="CI194" s="2598" t="n"/>
      <c r="CJ194" s="2598" t="n"/>
      <c r="CK194" s="2598" t="n"/>
      <c r="CL194" s="2598" t="n"/>
      <c r="CM194" s="2598" t="n"/>
      <c r="CN194" s="2598" t="n"/>
      <c r="CO194" s="2598" t="n"/>
      <c r="CP194" s="2567">
        <f>Languages!B412</f>
        <v/>
      </c>
      <c r="CQ194" s="2598" t="n"/>
      <c r="CR194" s="2598" t="n"/>
    </row>
    <row r="195" ht="19" customHeight="1">
      <c r="B195" s="1961" t="n"/>
      <c r="C195" s="1838" t="inlineStr">
        <is>
          <t>User notes</t>
        </is>
      </c>
      <c r="D195" s="1961" t="n"/>
      <c r="E195" s="1961" t="n"/>
      <c r="F195" s="1961" t="n"/>
      <c r="G195" s="1961" t="n"/>
      <c r="H195" s="1961" t="n"/>
      <c r="I195" s="1834">
        <f>Languages!B353</f>
        <v/>
      </c>
      <c r="J195" s="1961" t="n"/>
      <c r="K195" s="1961" t="n"/>
      <c r="L195" s="1961" t="n"/>
      <c r="M195" s="1961" t="n"/>
      <c r="N195" s="1961" t="n"/>
      <c r="O195" s="1961" t="n"/>
      <c r="P195" s="1961" t="n"/>
      <c r="Q195" s="1961" t="n"/>
      <c r="R195" s="1961" t="n"/>
      <c r="S195" s="1961" t="n"/>
      <c r="T195" s="1961" t="n"/>
      <c r="U195" s="1961" t="n"/>
      <c r="V195" s="1961" t="n"/>
      <c r="W195" s="1961" t="n"/>
      <c r="X195" s="1961" t="n"/>
      <c r="Y195" s="1961" t="n"/>
      <c r="Z195" s="1961" t="n"/>
      <c r="AA195" s="1961" t="n"/>
      <c r="AB195" s="1961" t="n"/>
      <c r="AC195" s="1961" t="n"/>
      <c r="AD195" s="1961" t="n"/>
      <c r="AE195" s="1961" t="n"/>
      <c r="AF195" s="4179">
        <f>AF172</f>
        <v/>
      </c>
      <c r="AG195" s="4180" t="n"/>
      <c r="AH195" s="4180" t="n"/>
      <c r="AI195" s="1961" t="n"/>
      <c r="BZ195" s="1997" t="n"/>
      <c r="CA195" s="1894" t="n"/>
      <c r="CB195" s="1997" t="n"/>
      <c r="CD195" s="2598" t="n"/>
      <c r="CE195" s="2598" t="n"/>
      <c r="CF195" s="4187">
        <f>M196</f>
        <v/>
      </c>
      <c r="CG195" s="2598" t="n"/>
      <c r="CH195" s="4185">
        <f>N196</f>
        <v/>
      </c>
      <c r="CI195" s="2598" t="n"/>
      <c r="CJ195" s="4205">
        <f>P196</f>
        <v/>
      </c>
      <c r="CK195" s="2598" t="n"/>
      <c r="CL195" s="2598" t="n"/>
      <c r="CM195" s="4226" t="inlineStr">
        <is>
          <t>α</t>
        </is>
      </c>
      <c r="CN195" s="2598" t="n"/>
      <c r="CO195" s="2598" t="n"/>
      <c r="CP195" s="2598" t="inlineStr">
        <is>
          <t>[μg/L]</t>
        </is>
      </c>
      <c r="CQ195" s="2598" t="n"/>
      <c r="CR195" s="2598" t="n"/>
    </row>
    <row r="196">
      <c r="B196" s="1961" t="n"/>
      <c r="C196" s="1961" t="n"/>
      <c r="D196" s="1961" t="n"/>
      <c r="E196" s="1961" t="n"/>
      <c r="F196" s="1961" t="n"/>
      <c r="G196" s="1961" t="n"/>
      <c r="H196" s="1961" t="n"/>
      <c r="I196" s="1961" t="n"/>
      <c r="J196" s="1961" t="n"/>
      <c r="K196" s="1961" t="n"/>
      <c r="L196" s="1961" t="n"/>
      <c r="M196" s="1838">
        <f>M175</f>
        <v/>
      </c>
      <c r="N196" s="1838">
        <f>N175</f>
        <v/>
      </c>
      <c r="O196" s="1806" t="inlineStr">
        <is>
          <t>*</t>
        </is>
      </c>
      <c r="P196" s="1838">
        <f>P175</f>
        <v/>
      </c>
      <c r="Q196" s="1806" t="inlineStr">
        <is>
          <t>*</t>
        </is>
      </c>
      <c r="R196" s="1961" t="n"/>
      <c r="S196" s="1961" t="n"/>
      <c r="T196" s="1961" t="n"/>
      <c r="U196" s="1961" t="n"/>
      <c r="V196" s="1961" t="n"/>
      <c r="W196" s="1961" t="n"/>
      <c r="X196" s="1961" t="n"/>
      <c r="Y196" s="1961" t="n"/>
      <c r="Z196" s="1961" t="n"/>
      <c r="AA196" s="1961" t="n"/>
      <c r="AB196" s="1961" t="n"/>
      <c r="AC196" s="1961" t="n"/>
      <c r="AD196" s="1961" t="n"/>
      <c r="AE196" s="1961" t="n"/>
      <c r="AF196" s="1961" t="n"/>
      <c r="AG196" s="1961" t="n"/>
      <c r="AH196" s="1961" t="n"/>
      <c r="AI196" s="1961" t="n"/>
      <c r="BZ196" s="1997" t="n"/>
      <c r="CA196" s="1997" t="n"/>
      <c r="CB196" s="1997" t="n"/>
      <c r="CD196" s="2598" t="n"/>
      <c r="CE196" s="2598" t="n"/>
      <c r="CF196" s="2567">
        <f>CF174</f>
        <v/>
      </c>
      <c r="CG196" s="2567">
        <f>CG174</f>
        <v/>
      </c>
      <c r="CH196" s="2567">
        <f>CF196</f>
        <v/>
      </c>
      <c r="CI196" s="2567">
        <f>CG196</f>
        <v/>
      </c>
      <c r="CJ196" s="2567">
        <f>CH196</f>
        <v/>
      </c>
      <c r="CK196" s="2567">
        <f>CI196</f>
        <v/>
      </c>
      <c r="CL196" s="2598" t="n"/>
      <c r="CM196" s="2567" t="inlineStr">
        <is>
          <t>Default</t>
        </is>
      </c>
      <c r="CN196" s="2567" t="inlineStr">
        <is>
          <t>Tier 2</t>
        </is>
      </c>
      <c r="CO196" s="2598" t="n"/>
      <c r="CP196" s="2598" t="n"/>
      <c r="CQ196" s="2598" t="n"/>
      <c r="CR196" s="2598" t="n"/>
    </row>
    <row r="197">
      <c r="B197" s="1961" t="n"/>
      <c r="C197" s="4570" t="n"/>
      <c r="D197" s="4730" t="n"/>
      <c r="E197" s="4730" t="n"/>
      <c r="F197" s="1961" t="n"/>
      <c r="G197" s="1961" t="n"/>
      <c r="H197" s="1961" t="n"/>
      <c r="I197" s="2133" t="inlineStr">
        <is>
          <t>Please select</t>
        </is>
      </c>
      <c r="J197" s="1961" t="n"/>
      <c r="K197" s="1961" t="n"/>
      <c r="L197" s="1961" t="n"/>
      <c r="M197" s="2132" t="n">
        <v>0</v>
      </c>
      <c r="N197" s="2132" t="n">
        <v>0</v>
      </c>
      <c r="O197" s="2108" t="inlineStr">
        <is>
          <t>D</t>
        </is>
      </c>
      <c r="P197" s="2132" t="n">
        <v>0</v>
      </c>
      <c r="Q197" s="2108" t="inlineStr">
        <is>
          <t>D</t>
        </is>
      </c>
      <c r="R197" s="1961" t="n"/>
      <c r="S197" s="1961" t="n"/>
      <c r="T197" s="4141" t="inlineStr">
        <is>
          <t>Please select</t>
        </is>
      </c>
      <c r="U197" s="1961" t="n"/>
      <c r="V197" s="1961" t="n"/>
      <c r="W197" s="1961" t="n"/>
      <c r="X197" s="1961" t="n"/>
      <c r="Y197" s="1961" t="n"/>
      <c r="Z197" s="1961" t="n"/>
      <c r="AA197" s="1961" t="n"/>
      <c r="AB197" s="1961" t="n"/>
      <c r="AC197" s="1961" t="n"/>
      <c r="AD197" s="1961" t="n"/>
      <c r="AE197" s="1961" t="n"/>
      <c r="AF197" s="1838">
        <f>AF175</f>
        <v/>
      </c>
      <c r="AG197" s="1838">
        <f>AG175</f>
        <v/>
      </c>
      <c r="AH197" s="1834">
        <f>AH175</f>
        <v/>
      </c>
      <c r="AI197" s="1961" t="n"/>
      <c r="BZ197" s="4401" t="n">
        <v>1</v>
      </c>
      <c r="CA197" s="4402" t="n"/>
      <c r="CB197" s="1997" t="n"/>
      <c r="CD197" s="2598" t="n"/>
      <c r="CE197" s="2598">
        <f>I197</f>
        <v/>
      </c>
      <c r="CF197" s="4728">
        <f>'Inl. wetlands'!K504</f>
        <v/>
      </c>
      <c r="CG197" s="4729" t="n"/>
      <c r="CH197" s="4728">
        <f>CF197</f>
        <v/>
      </c>
      <c r="CI197" s="4729" t="n"/>
      <c r="CJ197" s="4728">
        <f>CH197</f>
        <v/>
      </c>
      <c r="CK197" s="4729" t="n"/>
      <c r="CL197" s="2598" t="n"/>
      <c r="CM197" s="4728">
        <f>'Inl. wetlands'!H504</f>
        <v/>
      </c>
      <c r="CN197" s="2133" t="n"/>
      <c r="CO197" s="2598" t="n"/>
      <c r="CP197" s="2133" t="n"/>
      <c r="CQ197" s="2598" t="n"/>
      <c r="CR197" s="2598" t="n"/>
    </row>
    <row r="198">
      <c r="B198" s="1961" t="n"/>
      <c r="C198" s="4570" t="n"/>
      <c r="D198" s="4730" t="n"/>
      <c r="E198" s="4730" t="n"/>
      <c r="F198" s="1961" t="n"/>
      <c r="G198" s="1961" t="n"/>
      <c r="H198" s="1961" t="n"/>
      <c r="I198" s="2133" t="inlineStr">
        <is>
          <t>Please select</t>
        </is>
      </c>
      <c r="J198" s="1961" t="n"/>
      <c r="K198" s="1961" t="n"/>
      <c r="L198" s="1961" t="n"/>
      <c r="M198" s="2132" t="n">
        <v>0</v>
      </c>
      <c r="N198" s="2132" t="n">
        <v>0</v>
      </c>
      <c r="O198" s="2108" t="inlineStr">
        <is>
          <t>D</t>
        </is>
      </c>
      <c r="P198" s="2132" t="n">
        <v>0</v>
      </c>
      <c r="Q198" s="2108" t="inlineStr">
        <is>
          <t>D</t>
        </is>
      </c>
      <c r="R198" s="1961" t="n"/>
      <c r="S198" s="1961" t="n"/>
      <c r="T198" s="4141" t="inlineStr">
        <is>
          <t>Please select</t>
        </is>
      </c>
      <c r="U198" s="1961" t="n"/>
      <c r="V198" s="1961" t="n"/>
      <c r="W198" s="1961" t="n"/>
      <c r="X198" s="1961" t="n"/>
      <c r="Y198" s="1961" t="n"/>
      <c r="Z198" s="1961" t="n"/>
      <c r="AA198" s="1961" t="n"/>
      <c r="AB198" s="1961" t="n"/>
      <c r="AC198" s="1961" t="n"/>
      <c r="AD198" s="1961" t="n"/>
      <c r="AE198" s="1961" t="n"/>
      <c r="AF198" s="2111">
        <f>'Inl. wetlands'!AI504</f>
        <v/>
      </c>
      <c r="AG198" s="2111">
        <f>'Inl. wetlands'!AJ504</f>
        <v/>
      </c>
      <c r="AH198" s="1806">
        <f>AG198-AF198</f>
        <v/>
      </c>
      <c r="AI198" s="1961" t="n"/>
      <c r="BZ198" s="4401" t="n">
        <v>1</v>
      </c>
      <c r="CA198" s="4402" t="n"/>
      <c r="CB198" s="1997" t="n"/>
      <c r="CD198" s="2598" t="n"/>
      <c r="CE198" s="2598">
        <f>I198</f>
        <v/>
      </c>
      <c r="CF198" s="4728">
        <f>'Inl. wetlands'!K505</f>
        <v/>
      </c>
      <c r="CG198" s="4729" t="n"/>
      <c r="CH198" s="4728">
        <f>CF198</f>
        <v/>
      </c>
      <c r="CI198" s="4729" t="n"/>
      <c r="CJ198" s="4728">
        <f>CH198</f>
        <v/>
      </c>
      <c r="CK198" s="4729" t="n"/>
      <c r="CL198" s="2598" t="n"/>
      <c r="CM198" s="4728">
        <f>'Inl. wetlands'!H505</f>
        <v/>
      </c>
      <c r="CN198" s="2133" t="n"/>
      <c r="CO198" s="2598" t="n"/>
      <c r="CP198" s="2133" t="n"/>
      <c r="CQ198" s="2598" t="n"/>
      <c r="CR198" s="2598" t="n"/>
    </row>
    <row r="199">
      <c r="B199" s="1961" t="n"/>
      <c r="C199" s="4570" t="n"/>
      <c r="D199" s="4730" t="n"/>
      <c r="E199" s="4730" t="n"/>
      <c r="F199" s="1961" t="n"/>
      <c r="G199" s="1961" t="n"/>
      <c r="H199" s="1961" t="n"/>
      <c r="I199" s="2133" t="inlineStr">
        <is>
          <t>Please select</t>
        </is>
      </c>
      <c r="J199" s="1961" t="n"/>
      <c r="K199" s="1961" t="n"/>
      <c r="L199" s="1961" t="n"/>
      <c r="M199" s="2132" t="n">
        <v>0</v>
      </c>
      <c r="N199" s="2132" t="n">
        <v>0</v>
      </c>
      <c r="O199" s="2108" t="inlineStr">
        <is>
          <t>D</t>
        </is>
      </c>
      <c r="P199" s="2132" t="n">
        <v>0</v>
      </c>
      <c r="Q199" s="2108" t="inlineStr">
        <is>
          <t>D</t>
        </is>
      </c>
      <c r="R199" s="1961" t="n"/>
      <c r="S199" s="1961" t="n"/>
      <c r="T199" s="4141" t="inlineStr">
        <is>
          <t>Please select</t>
        </is>
      </c>
      <c r="U199" s="1961" t="n"/>
      <c r="V199" s="1961" t="n"/>
      <c r="W199" s="1961" t="n"/>
      <c r="X199" s="1961" t="n"/>
      <c r="Y199" s="1961" t="n"/>
      <c r="Z199" s="1961" t="n"/>
      <c r="AA199" s="1961" t="n"/>
      <c r="AB199" s="1961" t="n"/>
      <c r="AC199" s="1961" t="n"/>
      <c r="AD199" s="1961" t="n"/>
      <c r="AE199" s="1961" t="n"/>
      <c r="AF199" s="2111">
        <f>'Inl. wetlands'!AI505</f>
        <v/>
      </c>
      <c r="AG199" s="2111">
        <f>'Inl. wetlands'!AJ505</f>
        <v/>
      </c>
      <c r="AH199" s="1806">
        <f>AG199-AF199</f>
        <v/>
      </c>
      <c r="AI199" s="1961" t="n"/>
      <c r="BZ199" s="4401" t="n">
        <v>1</v>
      </c>
      <c r="CA199" s="4402" t="n"/>
      <c r="CB199" s="1997" t="n"/>
      <c r="CD199" s="2598" t="n"/>
      <c r="CE199" s="2598">
        <f>I199</f>
        <v/>
      </c>
      <c r="CF199" s="4728">
        <f>'Inl. wetlands'!K506</f>
        <v/>
      </c>
      <c r="CG199" s="4729" t="n"/>
      <c r="CH199" s="4728">
        <f>CF199</f>
        <v/>
      </c>
      <c r="CI199" s="4729" t="n"/>
      <c r="CJ199" s="4728">
        <f>CH199</f>
        <v/>
      </c>
      <c r="CK199" s="4729" t="n"/>
      <c r="CL199" s="2598" t="n"/>
      <c r="CM199" s="4728">
        <f>'Inl. wetlands'!H506</f>
        <v/>
      </c>
      <c r="CN199" s="2133" t="n"/>
      <c r="CO199" s="2598" t="n"/>
      <c r="CP199" s="2133" t="n"/>
      <c r="CQ199" s="2598" t="n"/>
      <c r="CR199" s="2598" t="n"/>
    </row>
    <row r="200">
      <c r="B200" s="1961" t="n"/>
      <c r="C200" s="4570" t="n"/>
      <c r="D200" s="4730" t="n"/>
      <c r="E200" s="4730" t="n"/>
      <c r="F200" s="1961" t="n"/>
      <c r="G200" s="1961" t="n"/>
      <c r="H200" s="1961" t="n"/>
      <c r="I200" s="2133" t="inlineStr">
        <is>
          <t>Please select</t>
        </is>
      </c>
      <c r="J200" s="1961" t="n"/>
      <c r="K200" s="1961" t="n"/>
      <c r="L200" s="1961" t="n"/>
      <c r="M200" s="2132" t="n">
        <v>0</v>
      </c>
      <c r="N200" s="2132" t="n">
        <v>0</v>
      </c>
      <c r="O200" s="2108" t="inlineStr">
        <is>
          <t>D</t>
        </is>
      </c>
      <c r="P200" s="2132" t="n">
        <v>0</v>
      </c>
      <c r="Q200" s="2108" t="inlineStr">
        <is>
          <t>D</t>
        </is>
      </c>
      <c r="R200" s="1961" t="n"/>
      <c r="S200" s="1961" t="n"/>
      <c r="T200" s="4141" t="inlineStr">
        <is>
          <t>Please select</t>
        </is>
      </c>
      <c r="U200" s="1961" t="n"/>
      <c r="V200" s="1961" t="n"/>
      <c r="W200" s="1961" t="n"/>
      <c r="X200" s="1961" t="n"/>
      <c r="Y200" s="1961" t="n"/>
      <c r="Z200" s="1961" t="n"/>
      <c r="AA200" s="1961" t="n"/>
      <c r="AB200" s="1961" t="n"/>
      <c r="AC200" s="1961" t="n"/>
      <c r="AD200" s="1961" t="n"/>
      <c r="AE200" s="1961" t="n"/>
      <c r="AF200" s="2111">
        <f>'Inl. wetlands'!AI506</f>
        <v/>
      </c>
      <c r="AG200" s="2111">
        <f>'Inl. wetlands'!AJ506</f>
        <v/>
      </c>
      <c r="AH200" s="1806">
        <f>AG200-AF200</f>
        <v/>
      </c>
      <c r="AI200" s="1961" t="n"/>
      <c r="BZ200" s="4401" t="n">
        <v>1</v>
      </c>
      <c r="CA200" s="4402" t="n"/>
      <c r="CB200" s="1997" t="n"/>
      <c r="CD200" s="2598" t="n"/>
      <c r="CE200" s="2598">
        <f>I200</f>
        <v/>
      </c>
      <c r="CF200" s="4728">
        <f>'Inl. wetlands'!K507</f>
        <v/>
      </c>
      <c r="CG200" s="4729" t="n"/>
      <c r="CH200" s="4728">
        <f>CF200</f>
        <v/>
      </c>
      <c r="CI200" s="4729" t="n"/>
      <c r="CJ200" s="4728">
        <f>CH200</f>
        <v/>
      </c>
      <c r="CK200" s="4729" t="n"/>
      <c r="CL200" s="2598" t="n"/>
      <c r="CM200" s="4728">
        <f>'Inl. wetlands'!H507</f>
        <v/>
      </c>
      <c r="CN200" s="2133" t="n"/>
      <c r="CO200" s="2598" t="n"/>
      <c r="CP200" s="2133" t="n"/>
      <c r="CQ200" s="2598" t="n"/>
      <c r="CR200" s="2598" t="n"/>
    </row>
    <row r="201">
      <c r="B201" s="1961" t="n"/>
      <c r="C201" s="4570" t="n"/>
      <c r="D201" s="4730" t="n"/>
      <c r="E201" s="4730" t="n"/>
      <c r="F201" s="1961" t="n"/>
      <c r="G201" s="1961" t="n"/>
      <c r="H201" s="1961" t="n"/>
      <c r="I201" s="2133" t="inlineStr">
        <is>
          <t>Please select</t>
        </is>
      </c>
      <c r="J201" s="1961" t="n"/>
      <c r="K201" s="1961" t="n"/>
      <c r="L201" s="1961" t="n"/>
      <c r="M201" s="2132" t="n">
        <v>0</v>
      </c>
      <c r="N201" s="2132" t="n">
        <v>0</v>
      </c>
      <c r="O201" s="2108" t="inlineStr">
        <is>
          <t>D</t>
        </is>
      </c>
      <c r="P201" s="2132" t="n">
        <v>0</v>
      </c>
      <c r="Q201" s="2108" t="inlineStr">
        <is>
          <t>D</t>
        </is>
      </c>
      <c r="R201" s="1961" t="n"/>
      <c r="S201" s="1961" t="n"/>
      <c r="T201" s="4141" t="inlineStr">
        <is>
          <t>Please select</t>
        </is>
      </c>
      <c r="U201" s="1961" t="n"/>
      <c r="V201" s="1961" t="n"/>
      <c r="W201" s="1961" t="n"/>
      <c r="X201" s="1961" t="n"/>
      <c r="Y201" s="1961" t="n"/>
      <c r="Z201" s="1961" t="n"/>
      <c r="AA201" s="1961" t="n"/>
      <c r="AB201" s="1961" t="n"/>
      <c r="AC201" s="1961" t="n"/>
      <c r="AD201" s="1961" t="n"/>
      <c r="AE201" s="1961" t="n"/>
      <c r="AF201" s="2111">
        <f>'Inl. wetlands'!AI507</f>
        <v/>
      </c>
      <c r="AG201" s="2111">
        <f>'Inl. wetlands'!AJ507</f>
        <v/>
      </c>
      <c r="AH201" s="1806">
        <f>AG201-AF201</f>
        <v/>
      </c>
      <c r="AI201" s="1961" t="n"/>
      <c r="BZ201" s="4401" t="n">
        <v>1</v>
      </c>
      <c r="CA201" s="4402" t="n"/>
      <c r="CB201" s="1997" t="n"/>
      <c r="CD201" s="2598" t="n"/>
      <c r="CE201" s="2598">
        <f>I201</f>
        <v/>
      </c>
      <c r="CF201" s="4728">
        <f>'Inl. wetlands'!K508</f>
        <v/>
      </c>
      <c r="CG201" s="4729" t="n"/>
      <c r="CH201" s="4728">
        <f>CF201</f>
        <v/>
      </c>
      <c r="CI201" s="4729" t="n"/>
      <c r="CJ201" s="4728">
        <f>CH201</f>
        <v/>
      </c>
      <c r="CK201" s="4729" t="n"/>
      <c r="CL201" s="2598" t="n"/>
      <c r="CM201" s="4728">
        <f>'Inl. wetlands'!H508</f>
        <v/>
      </c>
      <c r="CN201" s="2133" t="n"/>
      <c r="CO201" s="2598" t="n"/>
      <c r="CP201" s="2133" t="n"/>
      <c r="CQ201" s="2598" t="n"/>
      <c r="CR201" s="2598" t="n"/>
    </row>
    <row r="202">
      <c r="B202" s="1961" t="n"/>
      <c r="C202" s="4570" t="n"/>
      <c r="D202" s="4730" t="n"/>
      <c r="E202" s="4730" t="n"/>
      <c r="F202" s="1961" t="n"/>
      <c r="G202" s="1961" t="n"/>
      <c r="H202" s="1961" t="n"/>
      <c r="I202" s="2133" t="inlineStr">
        <is>
          <t>Please select</t>
        </is>
      </c>
      <c r="J202" s="1961" t="n"/>
      <c r="K202" s="1961" t="n"/>
      <c r="L202" s="1961" t="n"/>
      <c r="M202" s="2132" t="n">
        <v>0</v>
      </c>
      <c r="N202" s="2132" t="n">
        <v>0</v>
      </c>
      <c r="O202" s="2108" t="inlineStr">
        <is>
          <t>D</t>
        </is>
      </c>
      <c r="P202" s="2132" t="n">
        <v>0</v>
      </c>
      <c r="Q202" s="2108" t="inlineStr">
        <is>
          <t>D</t>
        </is>
      </c>
      <c r="R202" s="1961" t="n"/>
      <c r="S202" s="1961" t="n"/>
      <c r="T202" s="4141" t="inlineStr">
        <is>
          <t>Please select</t>
        </is>
      </c>
      <c r="U202" s="1961" t="n"/>
      <c r="V202" s="1961" t="n"/>
      <c r="W202" s="1961" t="n"/>
      <c r="X202" s="1961" t="n"/>
      <c r="Y202" s="1961" t="n"/>
      <c r="Z202" s="1961" t="n"/>
      <c r="AA202" s="1961" t="n"/>
      <c r="AB202" s="1961" t="n"/>
      <c r="AC202" s="1961" t="n"/>
      <c r="AD202" s="1961" t="n"/>
      <c r="AE202" s="1961" t="n"/>
      <c r="AF202" s="2111">
        <f>'Inl. wetlands'!AI508</f>
        <v/>
      </c>
      <c r="AG202" s="2111">
        <f>'Inl. wetlands'!AJ508</f>
        <v/>
      </c>
      <c r="AH202" s="1806">
        <f>AG202-AF202</f>
        <v/>
      </c>
      <c r="AI202" s="1961" t="n"/>
      <c r="BZ202" s="4401" t="n">
        <v>1</v>
      </c>
      <c r="CA202" s="4402" t="n"/>
      <c r="CB202" s="1997" t="n"/>
      <c r="CD202" s="2598" t="n"/>
      <c r="CE202" s="2598">
        <f>I202</f>
        <v/>
      </c>
      <c r="CF202" s="4728">
        <f>'Inl. wetlands'!K509</f>
        <v/>
      </c>
      <c r="CG202" s="4729" t="n"/>
      <c r="CH202" s="4728">
        <f>CF202</f>
        <v/>
      </c>
      <c r="CI202" s="4729" t="n"/>
      <c r="CJ202" s="4728">
        <f>CH202</f>
        <v/>
      </c>
      <c r="CK202" s="4729" t="n"/>
      <c r="CL202" s="2598" t="n"/>
      <c r="CM202" s="4728">
        <f>'Inl. wetlands'!H509</f>
        <v/>
      </c>
      <c r="CN202" s="2133" t="n"/>
      <c r="CO202" s="2598" t="n"/>
      <c r="CP202" s="2133" t="n"/>
      <c r="CQ202" s="2598" t="n"/>
      <c r="CR202" s="2598" t="n"/>
    </row>
    <row r="203">
      <c r="B203" s="1961" t="n"/>
      <c r="C203" s="4570" t="n"/>
      <c r="D203" s="4730" t="n"/>
      <c r="E203" s="4730" t="n"/>
      <c r="F203" s="1961" t="n"/>
      <c r="G203" s="1961" t="n"/>
      <c r="H203" s="1961" t="n"/>
      <c r="I203" s="2133" t="inlineStr">
        <is>
          <t>Please select</t>
        </is>
      </c>
      <c r="J203" s="1961" t="n"/>
      <c r="K203" s="1961" t="n"/>
      <c r="L203" s="1961" t="n"/>
      <c r="M203" s="2132" t="n">
        <v>0</v>
      </c>
      <c r="N203" s="2132" t="n">
        <v>0</v>
      </c>
      <c r="O203" s="2108" t="inlineStr">
        <is>
          <t>D</t>
        </is>
      </c>
      <c r="P203" s="2132" t="n">
        <v>0</v>
      </c>
      <c r="Q203" s="2108" t="inlineStr">
        <is>
          <t>D</t>
        </is>
      </c>
      <c r="R203" s="1961" t="n"/>
      <c r="S203" s="1961" t="n"/>
      <c r="T203" s="4141" t="inlineStr">
        <is>
          <t>Please select</t>
        </is>
      </c>
      <c r="U203" s="1961" t="n"/>
      <c r="V203" s="1961" t="n"/>
      <c r="W203" s="1961" t="n"/>
      <c r="X203" s="1961" t="n"/>
      <c r="Y203" s="1961" t="n"/>
      <c r="Z203" s="1961" t="n"/>
      <c r="AA203" s="1961" t="n"/>
      <c r="AB203" s="1961" t="n"/>
      <c r="AC203" s="1961" t="n"/>
      <c r="AD203" s="1961" t="n"/>
      <c r="AE203" s="1961" t="n"/>
      <c r="AF203" s="2111">
        <f>'Inl. wetlands'!AI509</f>
        <v/>
      </c>
      <c r="AG203" s="2111">
        <f>'Inl. wetlands'!AJ509</f>
        <v/>
      </c>
      <c r="AH203" s="1806">
        <f>AG203-AF203</f>
        <v/>
      </c>
      <c r="AI203" s="1961" t="n"/>
      <c r="BZ203" s="4401" t="n">
        <v>1</v>
      </c>
      <c r="CA203" s="4402" t="n"/>
      <c r="CB203" s="1997" t="n"/>
      <c r="CD203" s="2598" t="n"/>
      <c r="CE203" s="2598">
        <f>I203</f>
        <v/>
      </c>
      <c r="CF203" s="4728">
        <f>'Inl. wetlands'!K510</f>
        <v/>
      </c>
      <c r="CG203" s="4729" t="n"/>
      <c r="CH203" s="4728">
        <f>CF203</f>
        <v/>
      </c>
      <c r="CI203" s="4729" t="n"/>
      <c r="CJ203" s="4728">
        <f>CH203</f>
        <v/>
      </c>
      <c r="CK203" s="4729" t="n"/>
      <c r="CL203" s="2598" t="n"/>
      <c r="CM203" s="4728">
        <f>'Inl. wetlands'!H510</f>
        <v/>
      </c>
      <c r="CN203" s="2133" t="n"/>
      <c r="CO203" s="2598" t="n"/>
      <c r="CP203" s="2133" t="n"/>
      <c r="CQ203" s="2598" t="n"/>
      <c r="CR203" s="2598" t="n"/>
    </row>
    <row r="204">
      <c r="B204" s="1961" t="n"/>
      <c r="C204" s="4570" t="n"/>
      <c r="D204" s="4730" t="n"/>
      <c r="E204" s="4730" t="n"/>
      <c r="F204" s="1961" t="n"/>
      <c r="G204" s="1961" t="n"/>
      <c r="H204" s="1961" t="n"/>
      <c r="I204" s="2133" t="inlineStr">
        <is>
          <t>Please select</t>
        </is>
      </c>
      <c r="J204" s="1961" t="n"/>
      <c r="K204" s="1961" t="n"/>
      <c r="L204" s="1961" t="n"/>
      <c r="M204" s="2132" t="n">
        <v>0</v>
      </c>
      <c r="N204" s="2132" t="n">
        <v>0</v>
      </c>
      <c r="O204" s="2108" t="inlineStr">
        <is>
          <t>D</t>
        </is>
      </c>
      <c r="P204" s="2132" t="n">
        <v>0</v>
      </c>
      <c r="Q204" s="2108" t="inlineStr">
        <is>
          <t>D</t>
        </is>
      </c>
      <c r="R204" s="1961" t="n"/>
      <c r="S204" s="1961" t="n"/>
      <c r="T204" s="4141" t="inlineStr">
        <is>
          <t>Please select</t>
        </is>
      </c>
      <c r="U204" s="1961" t="n"/>
      <c r="V204" s="1961" t="n"/>
      <c r="W204" s="1961" t="n"/>
      <c r="X204" s="1961" t="n"/>
      <c r="Y204" s="1961" t="n"/>
      <c r="Z204" s="1961" t="n"/>
      <c r="AA204" s="1961" t="n"/>
      <c r="AB204" s="1961" t="n"/>
      <c r="AC204" s="1961" t="n"/>
      <c r="AD204" s="1961" t="n"/>
      <c r="AE204" s="1961" t="n"/>
      <c r="AF204" s="2111">
        <f>'Inl. wetlands'!AI510</f>
        <v/>
      </c>
      <c r="AG204" s="2111">
        <f>'Inl. wetlands'!AJ510</f>
        <v/>
      </c>
      <c r="AH204" s="1806">
        <f>AG204-AF204</f>
        <v/>
      </c>
      <c r="AI204" s="1961" t="n"/>
      <c r="BZ204" s="4401" t="n">
        <v>1</v>
      </c>
      <c r="CA204" s="4402" t="n"/>
      <c r="CB204" s="1997" t="n"/>
      <c r="CD204" s="2598" t="n"/>
      <c r="CE204" s="2598">
        <f>I204</f>
        <v/>
      </c>
      <c r="CF204" s="4728">
        <f>'Inl. wetlands'!K511</f>
        <v/>
      </c>
      <c r="CG204" s="4729" t="n"/>
      <c r="CH204" s="4728">
        <f>CF204</f>
        <v/>
      </c>
      <c r="CI204" s="4729" t="n"/>
      <c r="CJ204" s="4728">
        <f>CH204</f>
        <v/>
      </c>
      <c r="CK204" s="4729" t="n"/>
      <c r="CL204" s="2598" t="n"/>
      <c r="CM204" s="4728">
        <f>'Inl. wetlands'!H511</f>
        <v/>
      </c>
      <c r="CN204" s="2133" t="n"/>
      <c r="CO204" s="2598" t="n"/>
      <c r="CP204" s="2133" t="n"/>
      <c r="CQ204" s="2598" t="n"/>
      <c r="CR204" s="2598" t="n"/>
    </row>
    <row r="205">
      <c r="B205" s="1961" t="n"/>
      <c r="C205" s="1961" t="n"/>
      <c r="D205" s="1961" t="n"/>
      <c r="E205" s="1961" t="n"/>
      <c r="F205" s="1961" t="n"/>
      <c r="G205" s="1961" t="n"/>
      <c r="H205" s="1961" t="n"/>
      <c r="I205" s="1961" t="n"/>
      <c r="J205" s="1961" t="n"/>
      <c r="K205" s="1961" t="n"/>
      <c r="L205" s="1961" t="n"/>
      <c r="M205" s="4218">
        <f>SUM(M197:M204)</f>
        <v/>
      </c>
      <c r="N205" s="4218">
        <f>SUM(N197:N204)</f>
        <v/>
      </c>
      <c r="O205" s="4218" t="n"/>
      <c r="P205" s="4218">
        <f>SUM(P197:P204)</f>
        <v/>
      </c>
      <c r="Q205" s="1961" t="n"/>
      <c r="R205" s="1961" t="n"/>
      <c r="S205" s="1961" t="n"/>
      <c r="T205" s="1961" t="n"/>
      <c r="U205" s="1961" t="n"/>
      <c r="V205" s="1961" t="n"/>
      <c r="W205" s="1961" t="n"/>
      <c r="X205" s="1961" t="n"/>
      <c r="Y205" s="1961" t="n"/>
      <c r="Z205" s="1961" t="n"/>
      <c r="AA205" s="1961" t="n"/>
      <c r="AB205" s="1961" t="n"/>
      <c r="AC205" s="1961" t="n"/>
      <c r="AD205" s="1961" t="n"/>
      <c r="AE205" s="1961" t="n"/>
      <c r="AF205" s="2111">
        <f>'Inl. wetlands'!AI511</f>
        <v/>
      </c>
      <c r="AG205" s="2111">
        <f>'Inl. wetlands'!AJ511</f>
        <v/>
      </c>
      <c r="AH205" s="1806">
        <f>AG205-AF205</f>
        <v/>
      </c>
      <c r="AI205" s="1961" t="n"/>
      <c r="BZ205" s="1997" t="n"/>
      <c r="CA205" s="1997" t="n"/>
      <c r="CB205" s="1997" t="n"/>
      <c r="CD205" s="2598" t="n"/>
      <c r="CE205" s="2598" t="n"/>
      <c r="CF205" s="2598" t="n"/>
      <c r="CG205" s="2598" t="n"/>
      <c r="CH205" s="2598" t="n"/>
      <c r="CI205" s="2598" t="n"/>
      <c r="CJ205" s="2598" t="n"/>
      <c r="CK205" s="2598" t="n"/>
      <c r="CL205" s="2598" t="n"/>
      <c r="CM205" s="2598" t="n"/>
      <c r="CN205" s="2598" t="n"/>
      <c r="CO205" s="2598" t="n"/>
      <c r="CP205" s="2598" t="n"/>
      <c r="CQ205" s="2598" t="n"/>
      <c r="CR205" s="2598" t="n"/>
    </row>
    <row r="206">
      <c r="B206" s="1961" t="n"/>
      <c r="C206" s="1961" t="n"/>
      <c r="D206" s="1961" t="n"/>
      <c r="E206" s="1961" t="n"/>
      <c r="F206" s="1961" t="n"/>
      <c r="G206" s="1961" t="n"/>
      <c r="H206" s="1961" t="n"/>
      <c r="I206" s="1961" t="n"/>
      <c r="J206" s="1961" t="n"/>
      <c r="K206" s="1961" t="n"/>
      <c r="L206" s="1961" t="n"/>
      <c r="M206" s="4316">
        <f>IF($M$205=$N$205, IF($N$205=$P$205,"", "Error! Please correct areas!"), "Error!  Please correct areas!")</f>
        <v/>
      </c>
      <c r="N206" s="1961" t="n"/>
      <c r="O206" s="1961" t="n"/>
      <c r="P206" s="1961" t="n"/>
      <c r="Q206" s="1961" t="n"/>
      <c r="R206" s="1961" t="n"/>
      <c r="S206" s="1961" t="n"/>
      <c r="T206" s="1961" t="n"/>
      <c r="U206" s="1961" t="n"/>
      <c r="V206" s="1961" t="n"/>
      <c r="W206" s="1961" t="n"/>
      <c r="X206" s="1961" t="n"/>
      <c r="Y206" s="1961" t="n"/>
      <c r="Z206" s="1961" t="n"/>
      <c r="AA206" s="1961" t="n"/>
      <c r="AB206" s="1961" t="n"/>
      <c r="AC206" s="1961" t="n"/>
      <c r="AD206" s="1961" t="n"/>
      <c r="AE206" s="1961" t="n"/>
      <c r="AF206" s="1961" t="n"/>
      <c r="AG206" s="1961" t="n"/>
      <c r="AH206" s="4180" t="n"/>
      <c r="AI206" s="1961" t="n"/>
      <c r="BZ206" s="4548" t="inlineStr">
        <is>
          <t>Use this part only if you want to refine yearly GHG fluxes</t>
        </is>
      </c>
      <c r="CD206" s="2598" t="n"/>
      <c r="CE206" s="2598" t="n"/>
      <c r="CF206" s="2598" t="n"/>
      <c r="CG206" s="2598" t="n"/>
      <c r="CH206" s="2598" t="n"/>
      <c r="CI206" s="2598" t="n"/>
      <c r="CJ206" s="2598" t="n"/>
      <c r="CK206" s="2598" t="n"/>
      <c r="CL206" s="2598" t="n"/>
      <c r="CM206" s="2598" t="n"/>
      <c r="CN206" s="2598" t="n"/>
      <c r="CO206" s="2598" t="n"/>
      <c r="CP206" s="2598" t="n"/>
      <c r="CQ206" s="2598" t="n"/>
      <c r="CR206" s="2598" t="n"/>
    </row>
    <row r="207">
      <c r="B207" s="1961" t="n"/>
      <c r="C207" s="1961" t="n"/>
      <c r="D207" s="1961" t="n"/>
      <c r="E207" s="1961" t="n"/>
      <c r="F207" s="1961" t="n"/>
      <c r="G207" s="1961" t="n"/>
      <c r="H207" s="1961" t="n"/>
      <c r="I207" s="1961" t="n"/>
      <c r="J207" s="1961" t="n"/>
      <c r="K207" s="1961" t="n"/>
      <c r="L207" s="1961" t="n"/>
      <c r="M207" s="1961" t="n"/>
      <c r="N207" s="1961" t="n"/>
      <c r="O207" s="1961" t="n"/>
      <c r="P207" s="1961" t="n"/>
      <c r="Q207" s="1961" t="n"/>
      <c r="R207" s="1961" t="n"/>
      <c r="S207" s="1961" t="n"/>
      <c r="T207" s="1961" t="n"/>
      <c r="U207" s="1961" t="n"/>
      <c r="V207" s="1961" t="n"/>
      <c r="W207" s="1961" t="n"/>
      <c r="X207" s="1961" t="n"/>
      <c r="Y207" s="1961" t="n"/>
      <c r="Z207" s="1961" t="n"/>
      <c r="AA207" s="1961" t="n"/>
      <c r="AB207" s="1961" t="n"/>
      <c r="AC207" s="1961" t="n"/>
      <c r="AD207" s="1961" t="n"/>
      <c r="AE207" s="2019">
        <f>Languages!B382</f>
        <v/>
      </c>
      <c r="AF207" s="2039">
        <f>SUM(AF198:AF205)</f>
        <v/>
      </c>
      <c r="AG207" s="2039">
        <f>SUM(AG198:AG205)</f>
        <v/>
      </c>
      <c r="AH207" s="1780">
        <f>SUM(AH198:AH205)</f>
        <v/>
      </c>
      <c r="AI207" s="1961" t="n"/>
      <c r="CD207" s="2598" t="n"/>
      <c r="CE207" s="2598" t="n"/>
      <c r="CF207" s="2598" t="n"/>
      <c r="CG207" s="2598" t="n"/>
      <c r="CH207" s="2598" t="n"/>
      <c r="CI207" s="2598" t="n"/>
      <c r="CJ207" s="2598" t="n"/>
      <c r="CK207" s="2598" t="n"/>
      <c r="CL207" s="2598" t="n"/>
      <c r="CM207" s="2598" t="n"/>
      <c r="CN207" s="2598" t="n"/>
      <c r="CO207" s="2598" t="n"/>
      <c r="CP207" s="2598" t="n"/>
      <c r="CQ207" s="2598" t="n"/>
      <c r="CR207" s="2598" t="n"/>
    </row>
    <row r="208">
      <c r="B208" s="1961" t="n"/>
      <c r="C208" s="1961">
        <f>C182</f>
        <v/>
      </c>
      <c r="D208" s="1961" t="n"/>
      <c r="E208" s="1961" t="n"/>
      <c r="F208" s="1961" t="n"/>
      <c r="G208" s="1961" t="n"/>
      <c r="H208" s="1961" t="n"/>
      <c r="I208" s="1961" t="n"/>
      <c r="J208" s="1961" t="n"/>
      <c r="K208" s="1961" t="n"/>
      <c r="L208" s="1961" t="n"/>
      <c r="M208" s="1961" t="n"/>
      <c r="N208" s="1961" t="n"/>
      <c r="O208" s="1961" t="n"/>
      <c r="P208" s="1961" t="n"/>
      <c r="Q208" s="1961" t="n"/>
      <c r="R208" s="1961" t="n"/>
      <c r="S208" s="1961" t="n"/>
      <c r="T208" s="1961" t="n"/>
      <c r="U208" s="1961" t="n"/>
      <c r="V208" s="1961" t="n"/>
      <c r="W208" s="1961" t="n"/>
      <c r="X208" s="1961" t="n"/>
      <c r="Y208" s="1961" t="n"/>
      <c r="Z208" s="1961" t="n"/>
      <c r="AA208" s="1961" t="n"/>
      <c r="AB208" s="1961" t="n"/>
      <c r="AC208" s="1961" t="n"/>
      <c r="AD208" s="1961" t="n"/>
      <c r="AE208" s="1961" t="n"/>
      <c r="AF208" s="1961" t="n"/>
      <c r="AG208" s="1961" t="n"/>
      <c r="AH208" s="1961" t="n"/>
      <c r="AI208" s="1961" t="n"/>
      <c r="CD208" s="2598" t="n"/>
      <c r="CE208" s="2598" t="n"/>
      <c r="CF208" s="2598" t="n"/>
      <c r="CG208" s="2598" t="n"/>
      <c r="CH208" s="2598" t="n"/>
      <c r="CI208" s="2598" t="n"/>
      <c r="CJ208" s="2598" t="n"/>
      <c r="CK208" s="2598" t="n"/>
      <c r="CL208" s="2598" t="n"/>
      <c r="CM208" s="2598" t="n"/>
      <c r="CN208" s="2598" t="n"/>
      <c r="CO208" s="2598" t="n"/>
      <c r="CP208" s="2598" t="n"/>
      <c r="CQ208" s="2598" t="n"/>
      <c r="CR208" s="2598" t="n"/>
    </row>
    <row r="209">
      <c r="BZ209" s="1997" t="n"/>
      <c r="CA209" s="1997" t="n"/>
      <c r="CB209" s="1997" t="n"/>
      <c r="CD209" s="2598" t="n"/>
      <c r="CE209" s="2598" t="n"/>
      <c r="CF209" s="2598" t="n"/>
      <c r="CG209" s="2598" t="n"/>
      <c r="CH209" s="2598" t="n"/>
      <c r="CI209" s="2598" t="n"/>
      <c r="CJ209" s="2598" t="n"/>
      <c r="CK209" s="2598" t="n"/>
      <c r="CL209" s="2598" t="n"/>
      <c r="CM209" s="2598" t="n"/>
      <c r="CN209" s="2598" t="n"/>
      <c r="CO209" s="2598" t="n"/>
      <c r="CP209" s="2598" t="n"/>
      <c r="CQ209" s="2598" t="n"/>
      <c r="CR209" s="2598" t="n"/>
    </row>
    <row r="397">
      <c r="AD397" s="1970">
        <f>IF('6.Inland wetlands'!DO151="",'6.Inland wetlands'!DN151,'6.Inland wetlands'!$DO281)</f>
        <v/>
      </c>
    </row>
  </sheetData>
  <sheetProtection selectLockedCells="0" selectUnlockedCells="0" algorithmName="SHA-512" sheet="1" objects="0" insertRows="1" insertHyperlinks="1" autoFilter="1" scenarios="0" formatColumns="0" deleteColumns="1" insertColumns="1" pivotTables="1" deleteRows="1" formatCells="1" saltValue="u0ZZE9hSa+kvAqe6ZPBDGw==" formatRows="1" sort="1" spinCount="100000" hashValue="jtz0e++pgdH15ABD0XdFCLxJ/FlVATk1ghXLiZYtERez3758vh1S0os49a9/cGPLqK8jmtJNF3873bqU/beKWA=="/>
  <mergeCells count="35">
    <mergeCell ref="BZ157:CB159"/>
    <mergeCell ref="W42:Y43"/>
    <mergeCell ref="C177:E177"/>
    <mergeCell ref="C202:E202"/>
    <mergeCell ref="C198:E198"/>
    <mergeCell ref="C176:E176"/>
    <mergeCell ref="Z87:AB88"/>
    <mergeCell ref="C201:E201"/>
    <mergeCell ref="T114:T115"/>
    <mergeCell ref="C178:E178"/>
    <mergeCell ref="C203:E203"/>
    <mergeCell ref="AB124:AB126"/>
    <mergeCell ref="Z54:AB55"/>
    <mergeCell ref="BZ180:CB182"/>
    <mergeCell ref="CU180:CU182"/>
    <mergeCell ref="C150:E150"/>
    <mergeCell ref="C153:E153"/>
    <mergeCell ref="BZ206:CB208"/>
    <mergeCell ref="BH87:BJ89"/>
    <mergeCell ref="Z21:AB22"/>
    <mergeCell ref="C199:E199"/>
    <mergeCell ref="W76:Y77"/>
    <mergeCell ref="C155:E155"/>
    <mergeCell ref="C154:E154"/>
    <mergeCell ref="C179:E179"/>
    <mergeCell ref="BR54:BT56"/>
    <mergeCell ref="C204:E204"/>
    <mergeCell ref="C151:E151"/>
    <mergeCell ref="BI21:BK23"/>
    <mergeCell ref="BU125:BW127"/>
    <mergeCell ref="D22:F24"/>
    <mergeCell ref="W9:Y10"/>
    <mergeCell ref="C197:E197"/>
    <mergeCell ref="C200:E200"/>
    <mergeCell ref="C152:E152"/>
  </mergeCells>
  <conditionalFormatting sqref="E192">
    <cfRule type="expression" priority="29">
      <formula>IF(SUM($M$13:$N$18,$P$13:$P$18,$N$46:$N$51,$P$46:$P$51,$N$80:$N$85,$P$80:$P$85,$M$118:$M$123,$M$150:$N$155,$P$150:$P$155,$M$176:$N$179)&gt;0,)</formula>
    </cfRule>
  </conditionalFormatting>
  <conditionalFormatting sqref="K156">
    <cfRule type="expression" priority="5" dxfId="316">
      <formula>$M$157&lt;&gt;" "</formula>
    </cfRule>
  </conditionalFormatting>
  <conditionalFormatting sqref="M80:M85">
    <cfRule type="cellIs" priority="23" operator="notEqual" dxfId="317">
      <formula>""""""</formula>
    </cfRule>
  </conditionalFormatting>
  <conditionalFormatting sqref="M157:Q157">
    <cfRule type="expression" priority="50" dxfId="316">
      <formula>$M$157&lt;&gt;" "</formula>
    </cfRule>
  </conditionalFormatting>
  <conditionalFormatting sqref="S176:T176">
    <cfRule type="expression" priority="2" dxfId="221">
      <formula>$N$152&gt;0</formula>
    </cfRule>
  </conditionalFormatting>
  <conditionalFormatting sqref="S177:T177">
    <cfRule type="expression" priority="1" dxfId="221">
      <formula>"$U$116=""Drained"""</formula>
    </cfRule>
  </conditionalFormatting>
  <conditionalFormatting sqref="S178:T178">
    <cfRule type="expression" priority="3" dxfId="221">
      <formula>$N$154&gt;0</formula>
    </cfRule>
  </conditionalFormatting>
  <conditionalFormatting sqref="S179:T179">
    <cfRule type="expression" priority="4" dxfId="221">
      <formula>$N$155&gt;0</formula>
    </cfRule>
  </conditionalFormatting>
  <conditionalFormatting sqref="W25">
    <cfRule type="expression" priority="92" dxfId="221">
      <formula>$M$25&gt;0</formula>
    </cfRule>
  </conditionalFormatting>
  <conditionalFormatting sqref="W26">
    <cfRule type="expression" priority="91" dxfId="221">
      <formula>$M$26&gt;0</formula>
    </cfRule>
  </conditionalFormatting>
  <conditionalFormatting sqref="W27">
    <cfRule type="expression" priority="90" dxfId="221">
      <formula>$M$27&gt;0</formula>
    </cfRule>
  </conditionalFormatting>
  <conditionalFormatting sqref="W28">
    <cfRule type="expression" priority="89" dxfId="221">
      <formula>$M$28&gt;0</formula>
    </cfRule>
  </conditionalFormatting>
  <conditionalFormatting sqref="W29">
    <cfRule type="expression" priority="88" dxfId="221">
      <formula>$M$29&gt;0</formula>
    </cfRule>
  </conditionalFormatting>
  <conditionalFormatting sqref="W30">
    <cfRule type="expression" priority="87" dxfId="221">
      <formula>$M$30&gt;0</formula>
    </cfRule>
  </conditionalFormatting>
  <conditionalFormatting sqref="W58">
    <cfRule type="expression" priority="20" dxfId="305">
      <formula>$M$58&gt;0</formula>
    </cfRule>
  </conditionalFormatting>
  <conditionalFormatting sqref="W59">
    <cfRule type="expression" priority="18" dxfId="221">
      <formula>$M$59&gt;0</formula>
    </cfRule>
  </conditionalFormatting>
  <conditionalFormatting sqref="W60">
    <cfRule type="expression" priority="15" dxfId="221">
      <formula>$M$60&gt;0</formula>
    </cfRule>
  </conditionalFormatting>
  <conditionalFormatting sqref="W61">
    <cfRule type="expression" priority="14" dxfId="221">
      <formula>$M$61&gt;0</formula>
    </cfRule>
  </conditionalFormatting>
  <conditionalFormatting sqref="W62">
    <cfRule type="expression" priority="13" dxfId="221">
      <formula>$M$62&gt;0</formula>
    </cfRule>
  </conditionalFormatting>
  <conditionalFormatting sqref="W63">
    <cfRule type="expression" priority="12" dxfId="221">
      <formula>$M$63&gt;0</formula>
    </cfRule>
  </conditionalFormatting>
  <conditionalFormatting sqref="W91">
    <cfRule type="expression" priority="504" dxfId="221">
      <formula>$M$91&gt;0</formula>
    </cfRule>
  </conditionalFormatting>
  <conditionalFormatting sqref="W92">
    <cfRule type="expression" priority="505" dxfId="221">
      <formula>$M$92&gt;0</formula>
    </cfRule>
  </conditionalFormatting>
  <conditionalFormatting sqref="W93">
    <cfRule type="expression" priority="506" dxfId="221">
      <formula>$M$93&gt;0</formula>
    </cfRule>
  </conditionalFormatting>
  <conditionalFormatting sqref="W94">
    <cfRule type="expression" priority="507" dxfId="221">
      <formula>$M$94&gt;0</formula>
    </cfRule>
  </conditionalFormatting>
  <conditionalFormatting sqref="W95">
    <cfRule type="expression" priority="508" dxfId="221">
      <formula>$M$95&gt;0</formula>
    </cfRule>
  </conditionalFormatting>
  <conditionalFormatting sqref="W96">
    <cfRule type="expression" priority="509" dxfId="221">
      <formula>$M$96&gt;0</formula>
    </cfRule>
  </conditionalFormatting>
  <conditionalFormatting sqref="W129">
    <cfRule type="expression" priority="62" dxfId="221">
      <formula>$M$129&gt;0</formula>
    </cfRule>
  </conditionalFormatting>
  <conditionalFormatting sqref="W130">
    <cfRule type="expression" priority="61" dxfId="221">
      <formula>$M$130&gt;0</formula>
    </cfRule>
  </conditionalFormatting>
  <conditionalFormatting sqref="W131">
    <cfRule type="expression" priority="60" dxfId="221">
      <formula>$M$131&gt;0</formula>
    </cfRule>
  </conditionalFormatting>
  <conditionalFormatting sqref="W132">
    <cfRule type="expression" priority="59" dxfId="221">
      <formula>$M$132&gt;0</formula>
    </cfRule>
  </conditionalFormatting>
  <conditionalFormatting sqref="W133">
    <cfRule type="expression" priority="58" dxfId="221">
      <formula>$M$133&gt;0</formula>
    </cfRule>
  </conditionalFormatting>
  <conditionalFormatting sqref="W134">
    <cfRule type="expression" priority="57" dxfId="221">
      <formula>$M$134&gt;0</formula>
    </cfRule>
  </conditionalFormatting>
  <conditionalFormatting sqref="W150">
    <cfRule type="expression" priority="534" dxfId="221">
      <formula>$M$150&gt;0</formula>
    </cfRule>
  </conditionalFormatting>
  <conditionalFormatting sqref="W151">
    <cfRule type="expression" priority="535" dxfId="221">
      <formula>$M$151&gt;0</formula>
    </cfRule>
  </conditionalFormatting>
  <conditionalFormatting sqref="W152">
    <cfRule type="expression" priority="536" dxfId="221">
      <formula>$M$152&gt;0</formula>
    </cfRule>
  </conditionalFormatting>
  <conditionalFormatting sqref="W153">
    <cfRule type="expression" priority="537" dxfId="221">
      <formula>$M$153&gt;0</formula>
    </cfRule>
  </conditionalFormatting>
  <conditionalFormatting sqref="W154">
    <cfRule type="expression" priority="538" dxfId="221">
      <formula>$M$154&gt;0</formula>
    </cfRule>
  </conditionalFormatting>
  <conditionalFormatting sqref="W155">
    <cfRule type="expression" priority="539" dxfId="221">
      <formula>$M$155&gt;0</formula>
    </cfRule>
  </conditionalFormatting>
  <conditionalFormatting sqref="X25">
    <cfRule type="expression" priority="391" dxfId="221">
      <formula>$N$25&gt;0</formula>
    </cfRule>
  </conditionalFormatting>
  <conditionalFormatting sqref="X26">
    <cfRule type="expression" priority="394" dxfId="221">
      <formula>$N$26&gt;0</formula>
    </cfRule>
  </conditionalFormatting>
  <conditionalFormatting sqref="X27">
    <cfRule type="expression" priority="397" dxfId="221">
      <formula>$N$27&gt;0</formula>
    </cfRule>
  </conditionalFormatting>
  <conditionalFormatting sqref="X28">
    <cfRule type="expression" priority="400" dxfId="221">
      <formula>$N$28&gt;0</formula>
    </cfRule>
  </conditionalFormatting>
  <conditionalFormatting sqref="X29">
    <cfRule type="expression" priority="403" dxfId="221">
      <formula>$N$29&gt;0</formula>
    </cfRule>
  </conditionalFormatting>
  <conditionalFormatting sqref="X30">
    <cfRule type="expression" priority="406" dxfId="221">
      <formula>$N$30&gt;0</formula>
    </cfRule>
  </conditionalFormatting>
  <conditionalFormatting sqref="X58">
    <cfRule type="expression" priority="80" dxfId="221">
      <formula>$N$58&gt;0</formula>
    </cfRule>
  </conditionalFormatting>
  <conditionalFormatting sqref="X59">
    <cfRule type="expression" priority="79" dxfId="221">
      <formula>$N$59&gt;0</formula>
    </cfRule>
  </conditionalFormatting>
  <conditionalFormatting sqref="X60">
    <cfRule type="expression" priority="78" dxfId="221">
      <formula>$N$60&gt;0</formula>
    </cfRule>
  </conditionalFormatting>
  <conditionalFormatting sqref="X61">
    <cfRule type="expression" priority="77" dxfId="221">
      <formula>$N$61&gt;0</formula>
    </cfRule>
  </conditionalFormatting>
  <conditionalFormatting sqref="X62">
    <cfRule type="expression" priority="76" dxfId="221">
      <formula>$N$62&gt;0</formula>
    </cfRule>
  </conditionalFormatting>
  <conditionalFormatting sqref="X63">
    <cfRule type="expression" priority="75" dxfId="221">
      <formula>$N$63&gt;0</formula>
    </cfRule>
  </conditionalFormatting>
  <conditionalFormatting sqref="X91">
    <cfRule type="expression" priority="499" dxfId="221">
      <formula>$N$91&gt;0</formula>
    </cfRule>
  </conditionalFormatting>
  <conditionalFormatting sqref="X92">
    <cfRule type="expression" priority="500" dxfId="221">
      <formula>$N$92&gt;0</formula>
    </cfRule>
  </conditionalFormatting>
  <conditionalFormatting sqref="X93">
    <cfRule type="expression" priority="501" dxfId="221">
      <formula>$N$93&gt;0</formula>
    </cfRule>
  </conditionalFormatting>
  <conditionalFormatting sqref="X94">
    <cfRule type="expression" priority="444" dxfId="221">
      <formula>$N$94&gt;0</formula>
    </cfRule>
  </conditionalFormatting>
  <conditionalFormatting sqref="X95">
    <cfRule type="expression" priority="502" dxfId="221">
      <formula>$N$95&gt;0</formula>
    </cfRule>
  </conditionalFormatting>
  <conditionalFormatting sqref="X96">
    <cfRule type="expression" priority="503" dxfId="221">
      <formula>$N$96&gt;0</formula>
    </cfRule>
  </conditionalFormatting>
  <conditionalFormatting sqref="X129">
    <cfRule type="expression" priority="443" dxfId="221">
      <formula>$N$129&gt;0</formula>
    </cfRule>
  </conditionalFormatting>
  <conditionalFormatting sqref="X130">
    <cfRule type="expression" priority="428" dxfId="221">
      <formula>$N$130&gt;0</formula>
    </cfRule>
  </conditionalFormatting>
  <conditionalFormatting sqref="X131">
    <cfRule type="expression" priority="148" dxfId="221">
      <formula>$N$131&gt;0</formula>
    </cfRule>
  </conditionalFormatting>
  <conditionalFormatting sqref="X132">
    <cfRule type="expression" priority="432" dxfId="221">
      <formula>$N$132&gt;0</formula>
    </cfRule>
  </conditionalFormatting>
  <conditionalFormatting sqref="X133">
    <cfRule type="expression" priority="434" dxfId="221">
      <formula>$N$133&gt;0</formula>
    </cfRule>
  </conditionalFormatting>
  <conditionalFormatting sqref="X134">
    <cfRule type="expression" priority="145" dxfId="221">
      <formula>$N$134&gt;0</formula>
    </cfRule>
  </conditionalFormatting>
  <conditionalFormatting sqref="X150">
    <cfRule type="expression" priority="540" dxfId="221">
      <formula>$N$150&gt;0</formula>
    </cfRule>
  </conditionalFormatting>
  <conditionalFormatting sqref="X151">
    <cfRule type="expression" priority="541" dxfId="221">
      <formula>$N$151&gt;0</formula>
    </cfRule>
  </conditionalFormatting>
  <conditionalFormatting sqref="X152">
    <cfRule type="expression" priority="531" dxfId="221">
      <formula>$N$152&gt;0</formula>
    </cfRule>
  </conditionalFormatting>
  <conditionalFormatting sqref="X153">
    <cfRule type="expression" priority="140" dxfId="221">
      <formula>$N$153&gt;0</formula>
    </cfRule>
  </conditionalFormatting>
  <conditionalFormatting sqref="X154">
    <cfRule type="expression" priority="544" dxfId="221">
      <formula>$N$154&gt;0</formula>
    </cfRule>
  </conditionalFormatting>
  <conditionalFormatting sqref="X155">
    <cfRule type="expression" priority="546" dxfId="221">
      <formula>$N$155&gt;0</formula>
    </cfRule>
  </conditionalFormatting>
  <conditionalFormatting sqref="Y25">
    <cfRule type="expression" priority="192" dxfId="221">
      <formula>$P$25&gt;0</formula>
    </cfRule>
  </conditionalFormatting>
  <conditionalFormatting sqref="Y26">
    <cfRule type="expression" priority="191" dxfId="221">
      <formula>$P$26&gt;0</formula>
    </cfRule>
  </conditionalFormatting>
  <conditionalFormatting sqref="Y27">
    <cfRule type="expression" priority="190" dxfId="221">
      <formula>$P$27&gt;0</formula>
    </cfRule>
  </conditionalFormatting>
  <conditionalFormatting sqref="Y28">
    <cfRule type="expression" priority="189" dxfId="221">
      <formula>$P$28&gt;0</formula>
    </cfRule>
  </conditionalFormatting>
  <conditionalFormatting sqref="Y29">
    <cfRule type="expression" priority="188" dxfId="221">
      <formula>$P$29&gt;0</formula>
    </cfRule>
  </conditionalFormatting>
  <conditionalFormatting sqref="Y30">
    <cfRule type="expression" priority="187" dxfId="221">
      <formula>$P$30&gt;0</formula>
    </cfRule>
  </conditionalFormatting>
  <conditionalFormatting sqref="Y58">
    <cfRule type="expression" priority="74" dxfId="221">
      <formula>$P$58&gt;0</formula>
    </cfRule>
  </conditionalFormatting>
  <conditionalFormatting sqref="Y59">
    <cfRule type="expression" priority="73" dxfId="221">
      <formula>$P$59&gt;0</formula>
    </cfRule>
  </conditionalFormatting>
  <conditionalFormatting sqref="Y60">
    <cfRule type="expression" priority="72" dxfId="221">
      <formula>$P$60&gt;0</formula>
    </cfRule>
  </conditionalFormatting>
  <conditionalFormatting sqref="Y61">
    <cfRule type="expression" priority="71" dxfId="221">
      <formula>$P$61&gt;0</formula>
    </cfRule>
  </conditionalFormatting>
  <conditionalFormatting sqref="Y62">
    <cfRule type="expression" priority="70" dxfId="221">
      <formula>$P$62&gt;0</formula>
    </cfRule>
  </conditionalFormatting>
  <conditionalFormatting sqref="Y63">
    <cfRule type="expression" priority="69" dxfId="221">
      <formula>$P$63&gt;0</formula>
    </cfRule>
  </conditionalFormatting>
  <conditionalFormatting sqref="Y91">
    <cfRule type="expression" priority="491" dxfId="221">
      <formula>$P$91&gt;0</formula>
    </cfRule>
  </conditionalFormatting>
  <conditionalFormatting sqref="Y92">
    <cfRule type="expression" priority="493" dxfId="221">
      <formula>$P$92&gt;0</formula>
    </cfRule>
  </conditionalFormatting>
  <conditionalFormatting sqref="Y93">
    <cfRule type="expression" priority="494" dxfId="221">
      <formula>$P$93&gt;0</formula>
    </cfRule>
  </conditionalFormatting>
  <conditionalFormatting sqref="Y94">
    <cfRule type="expression" priority="496" dxfId="221">
      <formula>$P$94&gt;0</formula>
    </cfRule>
  </conditionalFormatting>
  <conditionalFormatting sqref="Y95">
    <cfRule type="expression" priority="497" dxfId="221">
      <formula>$P$95&gt;0</formula>
    </cfRule>
  </conditionalFormatting>
  <conditionalFormatting sqref="Y96">
    <cfRule type="expression" priority="498" dxfId="221">
      <formula>$P$96&gt;0</formula>
    </cfRule>
  </conditionalFormatting>
  <conditionalFormatting sqref="Y129">
    <cfRule type="expression" priority="22" dxfId="221">
      <formula>$P$129&gt;0</formula>
    </cfRule>
  </conditionalFormatting>
  <conditionalFormatting sqref="Y130">
    <cfRule type="expression" priority="437" dxfId="221">
      <formula>$P$130&gt;0</formula>
    </cfRule>
  </conditionalFormatting>
  <conditionalFormatting sqref="Y131">
    <cfRule type="expression" priority="438" dxfId="221">
      <formula>$P$131&gt;0</formula>
    </cfRule>
  </conditionalFormatting>
  <conditionalFormatting sqref="Y132">
    <cfRule type="expression" priority="439" dxfId="221">
      <formula>$P$132&gt;0</formula>
    </cfRule>
  </conditionalFormatting>
  <conditionalFormatting sqref="Y133">
    <cfRule type="expression" priority="440" dxfId="221">
      <formula>$P$133&gt;0</formula>
    </cfRule>
  </conditionalFormatting>
  <conditionalFormatting sqref="Y134">
    <cfRule type="expression" priority="441" dxfId="221">
      <formula>$P$134&gt;0</formula>
    </cfRule>
  </conditionalFormatting>
  <conditionalFormatting sqref="Y150">
    <cfRule type="expression" priority="542" dxfId="221">
      <formula>$P$150&gt;0</formula>
    </cfRule>
  </conditionalFormatting>
  <conditionalFormatting sqref="Y151">
    <cfRule type="expression" priority="543" dxfId="221">
      <formula>$P$151&gt;0</formula>
    </cfRule>
  </conditionalFormatting>
  <conditionalFormatting sqref="Y152">
    <cfRule type="expression" priority="533" dxfId="221">
      <formula>$P$152&gt;0</formula>
    </cfRule>
  </conditionalFormatting>
  <conditionalFormatting sqref="Y153">
    <cfRule type="expression" priority="548" dxfId="221">
      <formula>$P$153&gt;0</formula>
    </cfRule>
  </conditionalFormatting>
  <conditionalFormatting sqref="Y154">
    <cfRule type="expression" priority="549" dxfId="221">
      <formula>$P$154&gt;0</formula>
    </cfRule>
  </conditionalFormatting>
  <conditionalFormatting sqref="Y155">
    <cfRule type="expression" priority="550" dxfId="221">
      <formula>$P$155&gt;0</formula>
    </cfRule>
  </conditionalFormatting>
  <dataValidations count="10">
    <dataValidation sqref="N13:N18" showDropDown="0" showInputMessage="1" showErrorMessage="1" allowBlank="0" type="decimal" operator="lessThanOrEqual">
      <formula1>M13</formula1>
    </dataValidation>
    <dataValidation sqref="N25:N30 N58:N63 N91:N96 N129:N134 N150:N155 P13:P18" showDropDown="0" showInputMessage="1" showErrorMessage="1" allowBlank="0" type="decimal" operator="lessThanOrEqual">
      <formula1>K13</formula1>
    </dataValidation>
    <dataValidation sqref="M118:M123 AW118:AW135 AY118:AY123 AZ124:AZ135 BA118:BA123 BC124:BC135 BD118:BD123 BF118:BF135 BH118:BH135 BJ118:BJ135 BL118:BL135 BN124:BN135" showDropDown="0" showInputMessage="1" showErrorMessage="1" allowBlank="0" type="decimal" operator="greaterThanOrEqual">
      <formula1>0</formula1>
    </dataValidation>
    <dataValidation sqref="W13:W18" showDropDown="0" showInputMessage="1" showErrorMessage="1" allowBlank="0" type="decimal" operator="lessThanOrEqual">
      <formula1>M13</formula1>
    </dataValidation>
    <dataValidation sqref="W46:W51 W80:W85" showDropDown="0" showInputMessage="1" showErrorMessage="1" allowBlank="0" type="decimal" operator="lessThanOrEqual">
      <formula1>MAX(N46,P46)</formula1>
    </dataValidation>
    <dataValidation sqref="Y46:Y51 Y80:Y85" showDropDown="0" showInputMessage="1" showErrorMessage="1" allowBlank="0" type="decimal" operator="lessThanOrEqual">
      <formula1>MAX(N46,P46)</formula1>
    </dataValidation>
    <dataValidation sqref="U13:U18" showDropDown="0" showInputMessage="1" showErrorMessage="1" allowBlank="0" type="decimal" operator="lessThanOrEqual">
      <formula1>M13</formula1>
    </dataValidation>
    <dataValidation sqref="U46:U51 U80:U85" showDropDown="0" showInputMessage="1" showErrorMessage="1" allowBlank="0" type="decimal" operator="lessThanOrEqual">
      <formula1>MAX(N46,P46)</formula1>
    </dataValidation>
    <dataValidation sqref="P25:P30 P58:P63 P91:P96 P129:P134 P150:P155" showDropDown="0" showInputMessage="1" showErrorMessage="1" allowBlank="0" type="decimal" operator="lessThanOrEqual">
      <formula1>K25</formula1>
    </dataValidation>
    <dataValidation sqref="M25:M30 M58:M63 M91:M96 M129:M134 M150:M155" showDropDown="0" showInputMessage="1" showErrorMessage="1" allowBlank="0" type="decimal" operator="lessThanOrEqual">
      <formula1>K25</formula1>
    </dataValidation>
  </dataValidations>
  <pageMargins left="0.7" right="0.7" top="0.75" bottom="0.75" header="0.3" footer="0.3"/>
  <pageSetup orientation="portrait"/>
</worksheet>
</file>

<file path=xl/worksheets/sheet18.xml><?xml version="1.0" encoding="utf-8"?>
<worksheet xmlns:r="http://schemas.openxmlformats.org/officeDocument/2006/relationships" xmlns="http://schemas.openxmlformats.org/spreadsheetml/2006/main">
  <sheetPr codeName="Sheet23">
    <outlinePr summaryBelow="1" summaryRight="1"/>
    <pageSetUpPr/>
  </sheetPr>
  <dimension ref="A1:BU515"/>
  <sheetViews>
    <sheetView topLeftCell="A373" zoomScale="55" zoomScaleNormal="55" workbookViewId="0">
      <selection activeCell="N413" sqref="N413"/>
    </sheetView>
  </sheetViews>
  <sheetFormatPr baseColWidth="10" defaultColWidth="9.33203125" defaultRowHeight="14"/>
  <cols>
    <col width="9.33203125" customWidth="1" style="973" min="1" max="1"/>
    <col width="36.5" customWidth="1" style="973" min="2" max="2"/>
    <col width="22.6640625" customWidth="1" style="973" min="3" max="3"/>
    <col width="21.5" customWidth="1" style="973" min="4" max="4"/>
    <col width="23.5" customWidth="1" style="973" min="5" max="5"/>
    <col width="17.6640625" customWidth="1" style="973" min="6" max="6"/>
    <col width="13.5" customWidth="1" style="973" min="7" max="7"/>
    <col width="12.33203125" customWidth="1" style="973" min="8" max="8"/>
    <col width="21.6640625" customWidth="1" style="973" min="9" max="9"/>
    <col width="16.5" customWidth="1" style="973" min="10" max="10"/>
    <col width="18.6640625" customWidth="1" style="973" min="11" max="11"/>
    <col width="13.5" customWidth="1" style="973" min="12" max="12"/>
    <col width="20.5" customWidth="1" style="973" min="13" max="13"/>
    <col width="16.5" customWidth="1" style="973" min="14" max="14"/>
    <col width="15.6640625" customWidth="1" style="973" min="15" max="15"/>
    <col width="14.6640625" customWidth="1" style="973" min="16" max="16"/>
    <col width="12.5" customWidth="1" style="973" min="17" max="17"/>
    <col width="18.33203125" customWidth="1" style="973" min="18" max="18"/>
    <col width="12.5" customWidth="1" style="973" min="19" max="19"/>
    <col width="13.6640625" customWidth="1" style="973" min="20" max="20"/>
    <col width="14" customWidth="1" style="973" min="21" max="21"/>
    <col width="11.5" customWidth="1" style="973" min="22" max="22"/>
    <col width="12.6640625" customWidth="1" style="973" min="23" max="23"/>
    <col width="13" customWidth="1" style="973" min="24" max="24"/>
    <col width="13.5" customWidth="1" style="973" min="25" max="25"/>
    <col width="19.5" customWidth="1" style="973" min="26" max="26"/>
    <col width="14" customWidth="1" style="973" min="27" max="27"/>
    <col width="10.5" customWidth="1" style="973" min="28" max="28"/>
    <col width="13.6640625" customWidth="1" style="973" min="29" max="29"/>
    <col width="14" customWidth="1" style="973" min="30" max="30"/>
    <col width="18.5" customWidth="1" style="973" min="31" max="31"/>
    <col width="12.5" customWidth="1" style="973" min="32" max="32"/>
    <col width="18.33203125" customWidth="1" style="973" min="33" max="33"/>
    <col width="17.5" customWidth="1" style="973" min="34" max="34"/>
    <col width="17.6640625" customWidth="1" style="973" min="35" max="35"/>
    <col width="19.5" customWidth="1" style="973" min="36" max="36"/>
    <col width="13" customWidth="1" style="973" min="37" max="38"/>
    <col hidden="1" width="13" customWidth="1" style="973" min="39" max="39"/>
    <col hidden="1" width="14.33203125" customWidth="1" style="973" min="40" max="40"/>
    <col hidden="1" width="13.6640625" customWidth="1" style="973" min="41" max="41"/>
    <col hidden="1" width="9.33203125" customWidth="1" style="973" min="42" max="44"/>
    <col hidden="1" width="15.5" customWidth="1" style="973" min="45" max="45"/>
    <col hidden="1" width="14.6640625" customWidth="1" style="973" min="46" max="46"/>
    <col hidden="1" width="11.6640625" customWidth="1" style="973" min="47" max="47"/>
    <col hidden="1" width="9.33203125" customWidth="1" style="973" min="48" max="49"/>
    <col width="15.6640625" customWidth="1" style="1264" min="50" max="50"/>
    <col width="13.5" customWidth="1" style="1264" min="51" max="51"/>
    <col width="15.6640625" customWidth="1" style="1264" min="52" max="52"/>
    <col width="13.5" customWidth="1" style="1264" min="53" max="53"/>
    <col width="15.6640625" customWidth="1" style="1264" min="54" max="54"/>
    <col width="13.5" customWidth="1" style="1264" min="55" max="55"/>
    <col width="15.6640625" customWidth="1" style="1264" min="56" max="57"/>
    <col width="13.5" customWidth="1" style="1264" min="58" max="58"/>
    <col width="15.6640625" customWidth="1" style="1264" min="59" max="59"/>
    <col width="9.33203125" customWidth="1" style="973" min="60" max="61"/>
    <col width="9.33203125" customWidth="1" style="973" min="62" max="62"/>
    <col width="25.5" customWidth="1" style="973" min="63" max="63"/>
    <col width="11.6640625" customWidth="1" style="973" min="64" max="64"/>
    <col width="12.5" customWidth="1" style="973" min="65" max="65"/>
    <col width="14.5" customWidth="1" style="973" min="66" max="66"/>
    <col width="9.33203125" customWidth="1" style="973" min="67" max="67"/>
    <col width="24" customWidth="1" style="973" min="68" max="68"/>
    <col width="13.5" customWidth="1" style="973" min="69" max="69"/>
    <col width="14.6640625" customWidth="1" style="973" min="70" max="70"/>
    <col width="14.5" customWidth="1" style="973" min="71" max="71"/>
    <col width="13" customWidth="1" style="973" min="72" max="72"/>
    <col width="9.33203125" customWidth="1" style="973" min="73" max="16384"/>
  </cols>
  <sheetData>
    <row r="1" ht="15" customHeight="1">
      <c r="J1" s="1122" t="n"/>
      <c r="K1" s="1122" t="n"/>
      <c r="L1" s="1122" t="n"/>
      <c r="M1" s="1122" t="n"/>
      <c r="N1" s="1122" t="n"/>
    </row>
    <row r="2">
      <c r="J2" s="1058" t="n"/>
      <c r="K2" s="1058" t="n"/>
      <c r="L2" s="1058" t="n"/>
      <c r="M2" s="1058" t="n"/>
      <c r="N2" s="1058" t="n"/>
    </row>
    <row r="3">
      <c r="J3" s="1058" t="n"/>
      <c r="K3" s="1058" t="n"/>
      <c r="L3" s="1058" t="n"/>
      <c r="M3" s="1058" t="n"/>
      <c r="N3" s="1058" t="n"/>
    </row>
    <row r="4">
      <c r="J4" s="1058" t="n"/>
      <c r="K4" s="1058" t="n"/>
      <c r="L4" s="1058" t="n"/>
      <c r="M4" s="1058" t="n"/>
      <c r="N4" s="1058" t="n"/>
    </row>
    <row r="5" ht="62.75" customFormat="1" customHeight="1" s="975">
      <c r="B5" s="975">
        <f>Languages!B326</f>
        <v/>
      </c>
      <c r="J5" s="1123" t="n"/>
      <c r="K5" s="1123" t="n"/>
      <c r="L5" s="1123" t="n"/>
      <c r="M5" s="1123" t="n"/>
      <c r="N5" s="1123" t="n"/>
    </row>
    <row r="6" customFormat="1" s="1080">
      <c r="J6" s="1058" t="n"/>
      <c r="K6" s="1058" t="n"/>
      <c r="L6" s="1058" t="n"/>
      <c r="M6" s="1058" t="n"/>
      <c r="N6" s="1058" t="n"/>
      <c r="AX6" s="1504" t="n"/>
      <c r="AY6" s="1504" t="n"/>
      <c r="AZ6" s="1504" t="n"/>
      <c r="BA6" s="1504" t="n"/>
      <c r="BB6" s="1504" t="n"/>
      <c r="BC6" s="1504" t="n"/>
      <c r="BD6" s="1504" t="n"/>
      <c r="BE6" s="1504" t="n"/>
      <c r="BF6" s="1504" t="n"/>
      <c r="BG6" s="1504" t="n"/>
    </row>
    <row r="7" ht="42.75" customFormat="1" customHeight="1" s="975">
      <c r="B7" s="975">
        <f>CONCATENATE(Languages!B327," ", "&amp; management options during conversion")</f>
        <v/>
      </c>
      <c r="J7" s="1123" t="n"/>
      <c r="K7" s="1123" t="n"/>
      <c r="L7" s="1123" t="n"/>
      <c r="M7" s="1123" t="n"/>
      <c r="N7" s="1123" t="n"/>
    </row>
    <row r="8" customFormat="1" s="1080">
      <c r="J8" s="1058" t="n"/>
      <c r="K8" s="1058" t="n"/>
      <c r="L8" s="1058" t="n"/>
      <c r="M8" s="1058" t="n"/>
      <c r="N8" s="1058" t="n"/>
      <c r="AX8" s="1504" t="n"/>
      <c r="AY8" s="1504" t="n"/>
      <c r="AZ8" s="1504" t="n"/>
      <c r="BA8" s="1504" t="n"/>
      <c r="BB8" s="1504" t="n"/>
      <c r="BC8" s="1504" t="n"/>
      <c r="BD8" s="1504" t="n"/>
      <c r="BE8" s="1504" t="n"/>
      <c r="BF8" s="1504" t="n"/>
      <c r="BG8" s="1504" t="n"/>
    </row>
    <row r="9" ht="30.75" customFormat="1" customHeight="1" s="1089">
      <c r="A9" s="1310" t="n"/>
      <c r="B9" s="1311" t="inlineStr">
        <is>
          <t>Emissions from biomass loss and gain and biomass burning</t>
        </is>
      </c>
      <c r="C9" s="1310" t="n"/>
      <c r="D9" s="1310" t="n"/>
      <c r="E9" s="1310" t="n"/>
      <c r="F9" s="1310" t="n"/>
      <c r="G9" s="1310" t="n"/>
      <c r="H9" s="1310" t="n"/>
      <c r="I9" s="1310" t="n"/>
      <c r="J9" s="1310" t="n"/>
      <c r="K9" s="1310" t="n"/>
      <c r="L9" s="1310" t="n"/>
      <c r="M9" s="1310" t="n"/>
      <c r="N9" s="1310" t="n"/>
      <c r="O9" s="1310" t="n"/>
      <c r="P9" s="1310" t="n"/>
      <c r="Q9" s="1310" t="n"/>
      <c r="R9" s="1310" t="n"/>
      <c r="S9" s="1310" t="n"/>
      <c r="T9" s="1310" t="n"/>
      <c r="U9" s="1310" t="n"/>
      <c r="V9" s="1310" t="n"/>
      <c r="W9" s="1310" t="n"/>
      <c r="X9" s="1310" t="n"/>
      <c r="Y9" s="1310" t="n"/>
      <c r="Z9" s="1310" t="n"/>
      <c r="AA9" s="1310" t="n"/>
      <c r="AB9" s="1310" t="n"/>
      <c r="AC9" s="1310" t="n"/>
      <c r="AD9" s="1310" t="n"/>
      <c r="AE9" s="1310" t="n"/>
      <c r="AF9" s="1310" t="n"/>
      <c r="AG9" s="1310" t="n"/>
      <c r="AH9" s="1310" t="n"/>
      <c r="AI9" s="1310" t="n"/>
      <c r="AJ9" s="1310" t="n"/>
      <c r="AK9" s="1310" t="n"/>
      <c r="AX9" s="1447" t="n"/>
      <c r="AY9" s="1447" t="n"/>
      <c r="AZ9" s="1447" t="n"/>
      <c r="BA9" s="1447" t="n"/>
      <c r="BB9" s="1447" t="n"/>
      <c r="BC9" s="1447" t="n"/>
      <c r="BD9" s="1447" t="n"/>
      <c r="BE9" s="1447" t="n"/>
      <c r="BF9" s="1447" t="n"/>
      <c r="BG9" s="1447" t="n"/>
    </row>
    <row r="10" ht="45" customHeight="1">
      <c r="C10" s="973" t="inlineStr">
        <is>
          <t>IPCC 2019, TABLE 4.12. (UPDATED), page 4.47</t>
        </is>
      </c>
      <c r="J10" s="1058" t="n"/>
      <c r="K10" s="1058" t="n"/>
      <c r="L10" s="1058" t="n"/>
      <c r="M10" s="4300" t="inlineStr">
        <is>
          <t>placeholder if data become available in the future</t>
        </is>
      </c>
      <c r="N10" s="1058" t="n"/>
    </row>
    <row r="11">
      <c r="C11" s="1291" t="inlineStr">
        <is>
          <t>AGB</t>
        </is>
      </c>
      <c r="D11" s="1293" t="n"/>
      <c r="E11" s="1292" t="n"/>
      <c r="F11" s="1291" t="inlineStr">
        <is>
          <t>BGB</t>
        </is>
      </c>
      <c r="G11" s="1293" t="n"/>
      <c r="H11" s="1292" t="n"/>
      <c r="I11" s="1291" t="inlineStr">
        <is>
          <t>LITTER</t>
        </is>
      </c>
      <c r="J11" s="1294" t="n"/>
      <c r="K11" s="1295" t="inlineStr">
        <is>
          <t>DEADWOOD</t>
        </is>
      </c>
      <c r="L11" s="1294" t="n"/>
      <c r="M11" s="4295" t="inlineStr">
        <is>
          <t>SOC(0-T)</t>
        </is>
      </c>
      <c r="O11" s="1296" t="inlineStr">
        <is>
          <t>FIRE</t>
        </is>
      </c>
      <c r="P11" s="1296" t="inlineStr">
        <is>
          <t>FIRE CH4</t>
        </is>
      </c>
      <c r="Q11" s="1296" t="inlineStr">
        <is>
          <t>FIRE N2O</t>
        </is>
      </c>
      <c r="S11" s="1296" t="inlineStr">
        <is>
          <t>FIRE</t>
        </is>
      </c>
      <c r="T11" s="1296" t="inlineStr">
        <is>
          <t>FIRE CH4</t>
        </is>
      </c>
      <c r="U11" s="1296" t="inlineStr">
        <is>
          <t>FIRE N2O</t>
        </is>
      </c>
    </row>
    <row r="12">
      <c r="A12" s="1141" t="n"/>
      <c r="B12" s="1124" t="inlineStr">
        <is>
          <t>Forest classes per IPCC climate region</t>
        </is>
      </c>
      <c r="C12" s="1299" t="inlineStr">
        <is>
          <t>IPCC 2019</t>
        </is>
      </c>
      <c r="D12" s="1176" t="inlineStr">
        <is>
          <t>IPCC 2019</t>
        </is>
      </c>
      <c r="E12" s="1300" t="inlineStr">
        <is>
          <t>Tier 2</t>
        </is>
      </c>
      <c r="F12" s="1301" t="inlineStr">
        <is>
          <t>IPCC 2019</t>
        </is>
      </c>
      <c r="G12" s="1176" t="inlineStr">
        <is>
          <t>IPCC 2019</t>
        </is>
      </c>
      <c r="H12" s="1300" t="inlineStr">
        <is>
          <t>Tier 2</t>
        </is>
      </c>
      <c r="I12" s="1176" t="inlineStr">
        <is>
          <t>IPCC 2019</t>
        </is>
      </c>
      <c r="J12" s="1300" t="inlineStr">
        <is>
          <t>Tier 2</t>
        </is>
      </c>
      <c r="K12" s="1176" t="inlineStr">
        <is>
          <t>IPCC 2019</t>
        </is>
      </c>
      <c r="L12" s="1300" t="inlineStr">
        <is>
          <t>Tier 2</t>
        </is>
      </c>
      <c r="M12" s="4296" t="inlineStr">
        <is>
          <t>IPCC</t>
        </is>
      </c>
      <c r="O12" s="1488" t="inlineStr">
        <is>
          <t>Cf</t>
        </is>
      </c>
      <c r="P12" s="1171" t="n"/>
      <c r="Q12" s="1171" t="n"/>
      <c r="S12" s="1488" t="inlineStr">
        <is>
          <t>Cf</t>
        </is>
      </c>
      <c r="T12" s="1171" t="n"/>
      <c r="U12" s="1171" t="n"/>
    </row>
    <row r="13" ht="15" customHeight="1" thickBot="1">
      <c r="A13" s="1168" t="n"/>
      <c r="B13" s="1125">
        <f>climate2</f>
        <v/>
      </c>
      <c r="C13" s="1302" t="inlineStr">
        <is>
          <t>t d.m./ha/yr</t>
        </is>
      </c>
      <c r="D13" s="1303" t="inlineStr">
        <is>
          <t>t C/ha</t>
        </is>
      </c>
      <c r="E13" s="3502" t="inlineStr">
        <is>
          <t>tC/ha</t>
        </is>
      </c>
      <c r="F13" s="1303" t="inlineStr">
        <is>
          <t>t d.m./ha/yr</t>
        </is>
      </c>
      <c r="G13" s="1303" t="inlineStr">
        <is>
          <t>t C/ha</t>
        </is>
      </c>
      <c r="H13" s="3502" t="inlineStr">
        <is>
          <t>tC/ha</t>
        </is>
      </c>
      <c r="I13" s="1304" t="inlineStr">
        <is>
          <t>t C/ha</t>
        </is>
      </c>
      <c r="J13" s="3502" t="inlineStr">
        <is>
          <t>tC/ha</t>
        </is>
      </c>
      <c r="K13" s="1304" t="inlineStr">
        <is>
          <t>t C/ha</t>
        </is>
      </c>
      <c r="L13" s="3502" t="inlineStr">
        <is>
          <t>tC/ha</t>
        </is>
      </c>
      <c r="M13" s="4297" t="inlineStr">
        <is>
          <t>tC/ha</t>
        </is>
      </c>
      <c r="O13" s="1489" t="n"/>
      <c r="P13" s="1305" t="inlineStr">
        <is>
          <t>gCH4/kg dry matter</t>
        </is>
      </c>
      <c r="Q13" s="1305" t="inlineStr">
        <is>
          <t>gCH4/kg dry matter</t>
        </is>
      </c>
      <c r="S13" s="1489" t="n"/>
      <c r="T13" s="1305" t="inlineStr">
        <is>
          <t>gCH4/kg dry matter</t>
        </is>
      </c>
      <c r="U13" s="1305" t="inlineStr">
        <is>
          <t>gCH4/kg dry matter</t>
        </is>
      </c>
    </row>
    <row r="14" ht="15" customHeight="1" thickBot="1">
      <c r="A14" s="1184" t="n"/>
      <c r="B14" s="1126">
        <f>B24</f>
        <v/>
      </c>
      <c r="C14" s="1484">
        <f>IF($E14="","",$E14/0.47)</f>
        <v/>
      </c>
      <c r="D14" s="1486">
        <f>IF(OR($B14= "",$B14="Please select"), "", IF($B14="Mangrove Forest",VLOOKUP(clim_moist,IPCC!$A$1502:$G$1510,4,FALSE),INDEX(IPCC!$B$591:$AK$606,MATCH(continent_selected,IPCC!$A$591:$A$606,0),MATCH($B14,IPCC!$B$590:$AK$590,0))*0.47))</f>
        <v/>
      </c>
      <c r="E14" s="4642">
        <f>IF(OR($B14="",$B14="Please select"),"",IF('6.Inland wetlands'!$AZ13="",'6.Inland wetlands'!$AY13,'6.Inland wetlands'!$AZ13))</f>
        <v/>
      </c>
      <c r="F14" s="1484">
        <f>IFERROR(IF(B14="Please select","",$H14/0.47),0)</f>
        <v/>
      </c>
      <c r="G14" s="1483">
        <f>IF(OR($B14 = "",$B14="Please select"), "", IF($B14="Mangrove Forest",VLOOKUP(clim_moist,IPCC!$A$1502:$G$1510,7,FALSE),IF(OR($D14&lt;=125,$D14&lt;=75),INDEX(IPCC!$B$618:$AI$633,MATCH(continent_selected,IPCC!$A$618:$A$633,0),MATCH($B14,IPCC!$B$616:$AI$616,0)),(IF(OR($D14&gt;125,$D14&gt;75),INDEX(IPCC!$AJ$618:$BS$633,MATCH(continent_selected,IPCC!$A$618:$A$633,0),MATCH($B14,IPCC!$AJ$616:$BS$616,0)),"")))*$D14))</f>
        <v/>
      </c>
      <c r="H14" s="4642">
        <f>IF(OR($B14="Please select",$B14=""),"",IF('6.Inland wetlands'!$BB13="",'6.Inland wetlands'!$BA13,'6.Inland wetlands'!$BB13))</f>
        <v/>
      </c>
      <c r="I14" s="1297">
        <f>IF($B14 = "Please select", "", IF($B14 = "Mangrove Forest", VLOOKUP(clim_moist, IPCC!$A$1502:$J$1511, 8, FALSE),   VLOOKUP($B14, IPCC!$A$643:$B$677, 2, FALSE)))</f>
        <v/>
      </c>
      <c r="J14" s="4642">
        <f>IF($B14="Please select","",IF('6.Inland wetlands'!$BD13="",'6.Inland wetlands'!$BC13,'6.Inland wetlands'!$BD13))</f>
        <v/>
      </c>
      <c r="K14" s="1298">
        <f>IF($B14 = "Please select", "", IF($B14= "Mangrove Forest", VLOOKUP(clim_moist, IPCC!$A$1502:$J$1511, 9, FALSE),  VLOOKUP($B14, IPCC!$A$643:$C$677, 3, FALSE)))</f>
        <v/>
      </c>
      <c r="L14" s="4642">
        <f>IF($B14="Please select","",IF('6.Inland wetlands'!$BF13="",'6.Inland wetlands'!$BE13,'6.Inland wetlands'!$BF13))</f>
        <v/>
      </c>
      <c r="M14" s="4298" t="n"/>
      <c r="O14" s="1491">
        <f>IF(B14="please select",0,VLOOKUP($B14, IPCC!$A$871:$E$906,2, FALSE))</f>
        <v/>
      </c>
      <c r="P14" s="1490">
        <f>IF(B14="Please select",0, VLOOKUP($B14, IPCC!$A$871:$E$906, 4, FALSE))</f>
        <v/>
      </c>
      <c r="Q14" s="1490">
        <f>IF(B14="Please select",0, VLOOKUP($B14, IPCC!$A$871:$E$906, 5, FALSE))</f>
        <v/>
      </c>
      <c r="S14" s="4362">
        <f>IFERROR(VLOOKUP(G24,  IPCC!$A$1473:$E$1496, 2, FALSE),0)</f>
        <v/>
      </c>
      <c r="T14" s="1490">
        <f>IFERROR(VLOOKUP(G24,  IPCC!$A$1473:$E$1496, 4, FALSE),0)</f>
        <v/>
      </c>
      <c r="U14" s="1490">
        <f>IFERROR(VLOOKUP(G24,  IPCC!$A$1473:$E$1496, 5, FALSE),0)</f>
        <v/>
      </c>
    </row>
    <row r="15" ht="15" customHeight="1" thickBot="1">
      <c r="A15" s="1184" t="n"/>
      <c r="B15" s="1126">
        <f>B25</f>
        <v/>
      </c>
      <c r="C15" s="1485">
        <f>IF($E15="","",$E15/0.47)</f>
        <v/>
      </c>
      <c r="D15" s="1487">
        <f>IF(OR($B15= "",$B15="Please select"), "", IF($B15="Mangrove Forest",VLOOKUP(clim_moist,IPCC!$A$1502:$G$1510,4,FALSE),INDEX(IPCC!$B$591:$AK$606,MATCH(continent_selected,IPCC!$A$591:$A$606,0),MATCH($B15,IPCC!$B$590:$AK$590,0))*0.47))</f>
        <v/>
      </c>
      <c r="E15" s="4642">
        <f>IF(OR($B15="",$B15="Please select"),"",IF('6.Inland wetlands'!$AZ14="",'6.Inland wetlands'!$AY14,'6.Inland wetlands'!$AZ14))</f>
        <v/>
      </c>
      <c r="F15" s="1485">
        <f>IFERROR(IF(B15="Please select","",$H15/0.47),0)</f>
        <v/>
      </c>
      <c r="G15" s="1483">
        <f>IF(OR($B15 = "",$B15="Please select"), "", IF($B15="Mangrove Forest",VLOOKUP(clim_moist,IPCC!$A$1502:$G$1510,7,FALSE),IF(OR($D15&lt;=125,$D15&lt;=75),INDEX(IPCC!$B$618:$AI$633,MATCH(continent_selected,IPCC!$A$618:$A$633,0),MATCH($B15,IPCC!$B$616:$AI$616,0)),(IF(OR($D15&gt;125,$D15&gt;75),INDEX(IPCC!$AJ$618:$BS$633,MATCH(continent_selected,IPCC!$A$618:$A$633,0),MATCH($B15,IPCC!$AJ$616:$BS$616,0)),"")))*$D15))</f>
        <v/>
      </c>
      <c r="H15" s="4642">
        <f>IF(OR($B15="Please select",$B15=""),"",IF('6.Inland wetlands'!$BB14="",'6.Inland wetlands'!$BA14,'6.Inland wetlands'!$BB14))</f>
        <v/>
      </c>
      <c r="I15" s="1297">
        <f>IF($B15 = "Please select", "", IF($B15 = "Mangrove Forest", VLOOKUP(clim_moist, IPCC!$A$1502:$J$1511, 8, FALSE),   VLOOKUP($B15, IPCC!$A$643:$B$677, 2, FALSE)))</f>
        <v/>
      </c>
      <c r="J15" s="4642">
        <f>IF($B15="Please select","",IF('6.Inland wetlands'!$BD14="",'6.Inland wetlands'!$BC14,'6.Inland wetlands'!$BD14))</f>
        <v/>
      </c>
      <c r="K15" s="1298">
        <f>IF($B15 = "Please select", "", IF($B15= "Mangrove Forest", VLOOKUP(clim_moist, IPCC!$A$1502:$J$1511, 9, FALSE),  VLOOKUP($B15, IPCC!$A$643:$C$677, 3, FALSE)))</f>
        <v/>
      </c>
      <c r="L15" s="4642">
        <f>IF($B15="Please select","",IF('6.Inland wetlands'!$BF14="",'6.Inland wetlands'!$BE14,'6.Inland wetlands'!$BF14))</f>
        <v/>
      </c>
      <c r="M15" s="4299" t="n"/>
      <c r="O15" s="1491">
        <f>IF(B15="please select",0,VLOOKUP($B15, IPCC!$A$871:$E$906,2, FALSE))</f>
        <v/>
      </c>
      <c r="P15" s="1490">
        <f>IF(B15="Please select",0, VLOOKUP($B15, IPCC!$A$871:$E$906, 4, FALSE))</f>
        <v/>
      </c>
      <c r="Q15" s="1490">
        <f>IF(B15="Please select",0, VLOOKUP($B15, IPCC!$A$871:$E$906, 5, FALSE))</f>
        <v/>
      </c>
      <c r="S15" s="4362">
        <f>IFERROR(VLOOKUP(G25,  IPCC!$A$1473:$E$1496, 2, FALSE),0)</f>
        <v/>
      </c>
      <c r="T15" s="1490">
        <f>IFERROR(VLOOKUP(G25,  IPCC!$A$1473:$E$1496, 4, FALSE),0)</f>
        <v/>
      </c>
      <c r="U15" s="1490">
        <f>IFERROR(VLOOKUP(G25,  IPCC!$A$1473:$E$1496, 5, FALSE),0)</f>
        <v/>
      </c>
    </row>
    <row r="16" ht="15" customHeight="1" thickBot="1">
      <c r="A16" s="1184" t="n"/>
      <c r="B16" s="1126">
        <f>B26</f>
        <v/>
      </c>
      <c r="C16" s="1485">
        <f>IF($E16="","",$E16/0.47)</f>
        <v/>
      </c>
      <c r="D16" s="1487">
        <f>IF(OR($B16= "",$B16="Please select"), "", IF($B16="Mangrove Forest",VLOOKUP(clim_moist,IPCC!$A$1502:$G$1510,4,FALSE),INDEX(IPCC!$B$591:$AK$606,MATCH(continent_selected,IPCC!$A$591:$A$606,0),MATCH($B16,IPCC!$B$590:$AK$590,0))*0.47))</f>
        <v/>
      </c>
      <c r="E16" s="4642">
        <f>IF(OR($B16="",$B16="Please select"),"",IF('6.Inland wetlands'!$AZ15="",'6.Inland wetlands'!$AY15,'6.Inland wetlands'!$AZ15))</f>
        <v/>
      </c>
      <c r="F16" s="1485">
        <f>IFERROR(IF(B16="Please select","",$H16/0.47),0)</f>
        <v/>
      </c>
      <c r="G16" s="1483">
        <f>IF(OR($B16 = "",$B16="Please select"), "", IF($B16="Mangrove Forest",VLOOKUP(clim_moist,IPCC!$A$1502:$G$1510,7,FALSE),IF(OR($D16&lt;=125,$D16&lt;=75),INDEX(IPCC!$B$618:$AI$633,MATCH(continent_selected,IPCC!$A$618:$A$633,0),MATCH($B16,IPCC!$B$616:$AI$616,0)),(IF(OR($D16&gt;125,$D16&gt;75),INDEX(IPCC!$AJ$618:$BS$633,MATCH(continent_selected,IPCC!$A$618:$A$633,0),MATCH($B16,IPCC!$AJ$616:$BS$616,0)),"")))*$D16))</f>
        <v/>
      </c>
      <c r="H16" s="4642">
        <f>IF(OR($B16="Please select",$B16=""),"",IF('6.Inland wetlands'!$BB15="",'6.Inland wetlands'!$BA15,'6.Inland wetlands'!$BB15))</f>
        <v/>
      </c>
      <c r="I16" s="1297">
        <f>IF($B16 = "Please select", "", IF($B16 = "Mangrove Forest", VLOOKUP(clim_moist, IPCC!$A$1502:$J$1511, 8, FALSE),   VLOOKUP($B16, IPCC!$A$643:$B$677, 2, FALSE)))</f>
        <v/>
      </c>
      <c r="J16" s="4642">
        <f>IF($B16="Please select","",IF('6.Inland wetlands'!$BD15="",'6.Inland wetlands'!$BC15,'6.Inland wetlands'!$BD15))</f>
        <v/>
      </c>
      <c r="K16" s="1298">
        <f>IF($B16 = "Please select", "", IF($B16= "Mangrove Forest", VLOOKUP(clim_moist, IPCC!$A$1502:$J$1511, 9, FALSE),  VLOOKUP($B16, IPCC!$A$643:$C$677, 3, FALSE)))</f>
        <v/>
      </c>
      <c r="L16" s="4642">
        <f>IF($B16="Please select","",IF('6.Inland wetlands'!$BF15="",'6.Inland wetlands'!$BE15,'6.Inland wetlands'!$BF15))</f>
        <v/>
      </c>
      <c r="M16" s="4299" t="n"/>
      <c r="O16" s="1491">
        <f>IF(B16="please select",0,VLOOKUP($B16, IPCC!$A$871:$E$906,2, FALSE))</f>
        <v/>
      </c>
      <c r="P16" s="1490">
        <f>IF(B16="Please select",0, VLOOKUP($B16, IPCC!$A$871:$E$906, 4, FALSE))</f>
        <v/>
      </c>
      <c r="Q16" s="1490">
        <f>IF(B16="Please select",0, VLOOKUP($B16, IPCC!$A$871:$E$906, 5, FALSE))</f>
        <v/>
      </c>
      <c r="S16" s="4362">
        <f>IFERROR(VLOOKUP(G26,  IPCC!$A$1473:$E$1496, 2, FALSE),0)</f>
        <v/>
      </c>
      <c r="T16" s="1490">
        <f>IFERROR(VLOOKUP(G26,  IPCC!$A$1473:$E$1496, 4, FALSE),0)</f>
        <v/>
      </c>
      <c r="U16" s="1490">
        <f>IFERROR(VLOOKUP(G26,  IPCC!$A$1473:$E$1496, 5, FALSE),0)</f>
        <v/>
      </c>
    </row>
    <row r="17" ht="15" customHeight="1" thickBot="1">
      <c r="A17" s="1184" t="n"/>
      <c r="B17" s="1126">
        <f>B27</f>
        <v/>
      </c>
      <c r="C17" s="1485">
        <f>IF($E17="","",$E17/0.47)</f>
        <v/>
      </c>
      <c r="D17" s="1487">
        <f>IF(OR($B17= "",$B17="Please select"), "", IF($B17="Mangrove Forest",VLOOKUP(clim_moist,IPCC!$A$1502:$G$1510,4,FALSE),INDEX(IPCC!$B$591:$AK$606,MATCH(continent_selected,IPCC!$A$591:$A$606,0),MATCH($B17,IPCC!$B$590:$AK$590,0))*0.47))</f>
        <v/>
      </c>
      <c r="E17" s="4642">
        <f>IF(OR($B17="",$B17="Please select"),"",IF('6.Inland wetlands'!$AZ16="",'6.Inland wetlands'!$AY16,'6.Inland wetlands'!$AZ16))</f>
        <v/>
      </c>
      <c r="F17" s="1485">
        <f>IFERROR(IF(B17="Please select","",$H17/0.47),0)</f>
        <v/>
      </c>
      <c r="G17" s="1483">
        <f>IF(OR($B17 = "",$B17="Please select"), "", IF($B17="Mangrove Forest",VLOOKUP(clim_moist,IPCC!$A$1502:$G$1510,7,FALSE),IF(OR($D17&lt;=125,$D17&lt;=75),INDEX(IPCC!$B$618:$AI$633,MATCH(continent_selected,IPCC!$A$618:$A$633,0),MATCH($B17,IPCC!$B$616:$AI$616,0)),(IF(OR($D17&gt;125,$D17&gt;75),INDEX(IPCC!$AJ$618:$BS$633,MATCH(continent_selected,IPCC!$A$618:$A$633,0),MATCH($B17,IPCC!$AJ$616:$BS$616,0)),"")))*$D17))</f>
        <v/>
      </c>
      <c r="H17" s="4642">
        <f>IF(OR($B17="Please select",$B17=""),"",IF('6.Inland wetlands'!$BB16="",'6.Inland wetlands'!$BA16,'6.Inland wetlands'!$BB16))</f>
        <v/>
      </c>
      <c r="I17" s="1297">
        <f>IF($B17 = "Please select", "", IF($B17 = "Mangrove Forest", VLOOKUP(clim_moist, IPCC!$A$1502:$J$1511, 8, FALSE),   VLOOKUP($B17, IPCC!$A$643:$B$677, 2, FALSE)))</f>
        <v/>
      </c>
      <c r="J17" s="4642">
        <f>IF($B17="Please select","",IF('6.Inland wetlands'!$BD16="",'6.Inland wetlands'!$BC16,'6.Inland wetlands'!$BD16))</f>
        <v/>
      </c>
      <c r="K17" s="1298">
        <f>IF($B17 = "Please select", "", IF($B17= "Mangrove Forest", VLOOKUP(clim_moist, IPCC!$A$1502:$J$1511, 9, FALSE),  VLOOKUP($B17, IPCC!$A$643:$C$677, 3, FALSE)))</f>
        <v/>
      </c>
      <c r="L17" s="4642">
        <f>IF($B17="Please select","",IF('6.Inland wetlands'!$BF16="",'6.Inland wetlands'!$BE16,'6.Inland wetlands'!$BF16))</f>
        <v/>
      </c>
      <c r="M17" s="4299" t="n"/>
      <c r="O17" s="1491">
        <f>IF(B17="please select",0,VLOOKUP($B17, IPCC!$A$871:$E$906,2, FALSE))</f>
        <v/>
      </c>
      <c r="P17" s="1490">
        <f>IF(B17="Please select",0, VLOOKUP($B17, IPCC!$A$871:$E$906, 4, FALSE))</f>
        <v/>
      </c>
      <c r="Q17" s="1490">
        <f>IF(B17="Please select",0, VLOOKUP($B17, IPCC!$A$871:$E$906, 5, FALSE))</f>
        <v/>
      </c>
      <c r="S17" s="4362">
        <f>IFERROR(VLOOKUP(G27,  IPCC!$A$1473:$E$1496, 2, FALSE),0)</f>
        <v/>
      </c>
      <c r="T17" s="1490">
        <f>IFERROR(VLOOKUP(G27,  IPCC!$A$1473:$E$1496, 4, FALSE),0)</f>
        <v/>
      </c>
      <c r="U17" s="1490">
        <f>IFERROR(VLOOKUP(G27,  IPCC!$A$1473:$E$1496, 5, FALSE),0)</f>
        <v/>
      </c>
      <c r="AX17" s="4317" t="inlineStr">
        <is>
          <t>NB. Calculations for implementation phase only have not been checked, but they are not used for final results yet.</t>
        </is>
      </c>
    </row>
    <row r="18" ht="15" customHeight="1" thickBot="1">
      <c r="A18" s="1184" t="n"/>
      <c r="B18" s="1126">
        <f>B28</f>
        <v/>
      </c>
      <c r="C18" s="1485">
        <f>IF($E18="","",$E18/0.47)</f>
        <v/>
      </c>
      <c r="D18" s="1487">
        <f>IF(OR($B18= "",$B18="Please select"), "", IF($B18="Mangrove Forest",VLOOKUP(clim_moist,IPCC!$A$1502:$G$1510,4,FALSE),INDEX(IPCC!$B$591:$AK$606,MATCH(continent_selected,IPCC!$A$591:$A$606,0),MATCH($B18,IPCC!$B$590:$AK$590,0))*0.47))</f>
        <v/>
      </c>
      <c r="E18" s="4642">
        <f>IF(OR($B18="",$B18="Please select"),"",IF('6.Inland wetlands'!$AZ17="",'6.Inland wetlands'!$AY17,'6.Inland wetlands'!$AZ17))</f>
        <v/>
      </c>
      <c r="F18" s="1485">
        <f>IFERROR(IF(B18="Please select","",$H18/0.47),0)</f>
        <v/>
      </c>
      <c r="G18" s="1483">
        <f>IF(OR($B18 = "",$B18="Please select"), "", IF($B18="Mangrove Forest",VLOOKUP(clim_moist,IPCC!$A$1502:$G$1510,7,FALSE),IF(OR($D18&lt;=125,$D18&lt;=75),INDEX(IPCC!$B$618:$AI$633,MATCH(continent_selected,IPCC!$A$618:$A$633,0),MATCH($B18,IPCC!$B$616:$AI$616,0)),(IF(OR($D18&gt;125,$D18&gt;75),INDEX(IPCC!$AJ$618:$BS$633,MATCH(continent_selected,IPCC!$A$618:$A$633,0),MATCH($B18,IPCC!$AJ$616:$BS$616,0)),"")))*$D18))</f>
        <v/>
      </c>
      <c r="H18" s="4642">
        <f>IF(OR($B18="Please select",$B18=""),"",IF('6.Inland wetlands'!$BB17="",'6.Inland wetlands'!$BA17,'6.Inland wetlands'!$BB17))</f>
        <v/>
      </c>
      <c r="I18" s="1297">
        <f>IF($B18 = "Please select", "", IF($B18 = "Mangrove Forest", VLOOKUP(clim_moist, IPCC!$A$1502:$J$1511, 8, FALSE),   VLOOKUP($B18, IPCC!$A$643:$B$677, 2, FALSE)))</f>
        <v/>
      </c>
      <c r="J18" s="4642">
        <f>IF($B18="Please select","",IF('6.Inland wetlands'!$BD17="",'6.Inland wetlands'!$BC17,'6.Inland wetlands'!$BD17))</f>
        <v/>
      </c>
      <c r="K18" s="1298">
        <f>IF($B18 = "Please select", "", IF($B18= "Mangrove Forest", VLOOKUP(clim_moist, IPCC!$A$1502:$J$1511, 9, FALSE),  VLOOKUP($B18, IPCC!$A$643:$C$677, 3, FALSE)))</f>
        <v/>
      </c>
      <c r="L18" s="4642">
        <f>IF($B18="Please select","",IF('6.Inland wetlands'!$BF17="",'6.Inland wetlands'!$BE17,'6.Inland wetlands'!$BF17))</f>
        <v/>
      </c>
      <c r="M18" s="4299" t="n"/>
      <c r="O18" s="1491">
        <f>IF(B18="please select",0,VLOOKUP($B18, IPCC!$A$871:$E$906,2, FALSE))</f>
        <v/>
      </c>
      <c r="P18" s="1490">
        <f>IF(B18="Please select",0, VLOOKUP($B18, IPCC!$A$871:$E$906, 4, FALSE))</f>
        <v/>
      </c>
      <c r="Q18" s="1490">
        <f>IF(B18="Please select",0, VLOOKUP($B18, IPCC!$A$871:$E$906, 5, FALSE))</f>
        <v/>
      </c>
      <c r="S18" s="4362">
        <f>IFERROR(VLOOKUP(G28,  IPCC!$A$1473:$E$1496, 2, FALSE),0)</f>
        <v/>
      </c>
      <c r="T18" s="1490">
        <f>IFERROR(VLOOKUP(G28,  IPCC!$A$1473:$E$1496, 4, FALSE),0)</f>
        <v/>
      </c>
      <c r="U18" s="1490">
        <f>IFERROR(VLOOKUP(G28,  IPCC!$A$1473:$E$1496, 5, FALSE),0)</f>
        <v/>
      </c>
    </row>
    <row r="19" ht="15" customHeight="1" thickBot="1">
      <c r="A19" s="1184" t="n"/>
      <c r="B19" s="1127">
        <f>B29</f>
        <v/>
      </c>
      <c r="C19" s="1485">
        <f>IF($E19="","",$E19/0.47)</f>
        <v/>
      </c>
      <c r="D19" s="1487">
        <f>IF(OR($B19= "",$B19="Please select"), "", IF($B19="Mangrove Forest",VLOOKUP(clim_moist,IPCC!$A$1502:$G$1510,4,FALSE),INDEX(IPCC!$B$591:$AK$606,MATCH(continent_selected,IPCC!$A$591:$A$606,0),MATCH($B19,IPCC!$B$590:$AK$590,0))*0.47))</f>
        <v/>
      </c>
      <c r="E19" s="4642">
        <f>IF(OR($B19="",$B19="Please select"),"",IF('6.Inland wetlands'!$AZ18="",'6.Inland wetlands'!$AY18,'6.Inland wetlands'!$AZ18))</f>
        <v/>
      </c>
      <c r="F19" s="1485">
        <f>IFERROR(IF(B19="Please select","",$H19/0.47),0)</f>
        <v/>
      </c>
      <c r="G19" s="1483">
        <f>IF(OR($B19 = "",$B19="Please select"), "", IF($B19="Mangrove Forest",VLOOKUP(clim_moist,IPCC!$A$1502:$G$1510,7,FALSE),IF(OR($D19&lt;=125,$D19&lt;=75),INDEX(IPCC!$B$618:$AI$633,MATCH(continent_selected,IPCC!$A$618:$A$633,0),MATCH($B19,IPCC!$B$616:$AI$616,0)),(IF(OR($D19&gt;125,$D19&gt;75),INDEX(IPCC!$AJ$618:$BS$633,MATCH(continent_selected,IPCC!$A$618:$A$633,0),MATCH($B19,IPCC!$AJ$616:$BS$616,0)),"")))*$D19))</f>
        <v/>
      </c>
      <c r="H19" s="4642">
        <f>IF(OR($B19="Please select",$B19=""),"",IF('6.Inland wetlands'!$BB18="",'6.Inland wetlands'!$BA18,'6.Inland wetlands'!$BB18))</f>
        <v/>
      </c>
      <c r="I19" s="1297">
        <f>IF($B19 = "Please select", "", IF($B19 = "Mangrove Forest", VLOOKUP(clim_moist, IPCC!$A$1502:$J$1511, 8, FALSE),   VLOOKUP($B19, IPCC!$A$643:$B$677, 2, FALSE)))</f>
        <v/>
      </c>
      <c r="J19" s="4642">
        <f>IF($B19="Please select","",IF('6.Inland wetlands'!$BD18="",'6.Inland wetlands'!$BC18,'6.Inland wetlands'!$BD18))</f>
        <v/>
      </c>
      <c r="K19" s="1298">
        <f>IF($B19 = "Please select", "", IF($B19= "Mangrove Forest", VLOOKUP(clim_moist, IPCC!$A$1502:$J$1511, 9, FALSE),  VLOOKUP($B19, IPCC!$A$643:$C$677, 3, FALSE)))</f>
        <v/>
      </c>
      <c r="L19" s="4642">
        <f>IF($B19="Please select","",IF('6.Inland wetlands'!$BF18="",'6.Inland wetlands'!$BE18,'6.Inland wetlands'!$BF18))</f>
        <v/>
      </c>
      <c r="M19" s="4299" t="n"/>
      <c r="O19" s="1491">
        <f>IF(B19="please select",0,VLOOKUP($B19, IPCC!$A$871:$E$906,2, FALSE))</f>
        <v/>
      </c>
      <c r="P19" s="1490">
        <f>IF(B19="Please select",0, VLOOKUP($B19, IPCC!$A$871:$E$906, 4, FALSE))</f>
        <v/>
      </c>
      <c r="Q19" s="1490">
        <f>IF(B19="Please select",0, VLOOKUP($B19, IPCC!$A$871:$E$906, 5, FALSE))</f>
        <v/>
      </c>
      <c r="S19" s="4362">
        <f>IFERROR(VLOOKUP(G29,  IPCC!$A$1473:$E$1496, 2, FALSE),0)</f>
        <v/>
      </c>
      <c r="T19" s="1490">
        <f>IFERROR(VLOOKUP(G29,  IPCC!$A$1473:$E$1496, 4, FALSE),0)</f>
        <v/>
      </c>
      <c r="U19" s="1490">
        <f>IFERROR(VLOOKUP(G29,  IPCC!$A$1473:$E$1496, 5, FALSE),0)</f>
        <v/>
      </c>
    </row>
    <row r="20">
      <c r="B20" s="1058" t="n"/>
      <c r="C20" s="1058" t="n"/>
      <c r="D20" s="1058" t="n"/>
      <c r="E20" s="1058" t="n"/>
      <c r="F20" s="1058" t="n"/>
    </row>
    <row r="21">
      <c r="C21" s="1081" t="n"/>
      <c r="D21" s="1081" t="n"/>
      <c r="E21" s="1081" t="n"/>
      <c r="F21" s="1081" t="n"/>
      <c r="G21" s="1081" t="n"/>
      <c r="H21" s="1131" t="n"/>
      <c r="I21" s="1131" t="n"/>
      <c r="J21" s="1132" t="inlineStr">
        <is>
          <t>Biomass New LU</t>
        </is>
      </c>
      <c r="K21" s="1133" t="inlineStr">
        <is>
          <t>Biomass pool (AGB + BGB)</t>
        </is>
      </c>
      <c r="L21" s="1132" t="n"/>
      <c r="M21" s="1131" t="inlineStr">
        <is>
          <t>DOM (dead wood + litter)</t>
        </is>
      </c>
      <c r="N21" s="1131" t="n"/>
      <c r="O21" s="1138" t="inlineStr">
        <is>
          <t>Fire during conversion WOP</t>
        </is>
      </c>
      <c r="P21" s="1139" t="n"/>
      <c r="Q21" s="1139" t="n"/>
      <c r="R21" s="1138" t="inlineStr">
        <is>
          <t>Fire during conversion WP</t>
        </is>
      </c>
      <c r="S21" s="1139" t="n"/>
      <c r="T21" s="1139" t="n"/>
      <c r="Z21" s="4572" t="inlineStr">
        <is>
          <t>AGB accumulation</t>
        </is>
      </c>
      <c r="AB21" s="4572" t="inlineStr">
        <is>
          <t>BGB accumulation</t>
        </is>
      </c>
      <c r="AD21" s="4572" t="inlineStr">
        <is>
          <t xml:space="preserve">Total Biomass </t>
        </is>
      </c>
    </row>
    <row r="22">
      <c r="B22" s="1128">
        <f>'6.Inland wetlands'!C10</f>
        <v/>
      </c>
      <c r="C22" s="1193" t="inlineStr">
        <is>
          <t>HWP before</t>
        </is>
      </c>
      <c r="D22" s="1085" t="n"/>
      <c r="E22" s="1082" t="inlineStr">
        <is>
          <t>Fire use</t>
        </is>
      </c>
      <c r="F22" s="1082" t="inlineStr">
        <is>
          <t>Cf</t>
        </is>
      </c>
      <c r="G22" s="1081">
        <f>'6.Inland wetlands'!I10</f>
        <v/>
      </c>
      <c r="H22" s="1131" t="n"/>
      <c r="I22" s="1131" t="n"/>
      <c r="J22" s="1134" t="inlineStr">
        <is>
          <t>After 1 yr of growth</t>
        </is>
      </c>
      <c r="K22" s="1135" t="n"/>
      <c r="L22" s="1135" t="n"/>
      <c r="M22" s="1136" t="n"/>
      <c r="N22" s="1131" t="n"/>
      <c r="O22" s="1137" t="inlineStr">
        <is>
          <t>MB = AGB - HWP</t>
        </is>
      </c>
      <c r="P22" s="1140" t="inlineStr">
        <is>
          <t>CH4</t>
        </is>
      </c>
      <c r="Q22" s="1140" t="inlineStr">
        <is>
          <t>N2O</t>
        </is>
      </c>
      <c r="R22" s="1137" t="inlineStr">
        <is>
          <t>MB = AGB - HWP</t>
        </is>
      </c>
      <c r="S22" s="1140" t="inlineStr">
        <is>
          <t>CH4</t>
        </is>
      </c>
      <c r="T22" s="1140" t="inlineStr">
        <is>
          <t>N2O</t>
        </is>
      </c>
      <c r="Z22" s="4572" t="inlineStr">
        <is>
          <t xml:space="preserve"> rate (tCO2/ha/year)</t>
        </is>
      </c>
      <c r="AA22" s="4572" t="n"/>
      <c r="AB22" s="4572" t="inlineStr">
        <is>
          <t xml:space="preserve"> rate (tCO2/ha/year)</t>
        </is>
      </c>
      <c r="AC22" s="4572" t="n"/>
      <c r="AD22" s="4572" t="inlineStr">
        <is>
          <t xml:space="preserve"> accumulation rate </t>
        </is>
      </c>
    </row>
    <row r="23">
      <c r="B23" s="1128">
        <f>'6.Inland wetlands'!C11</f>
        <v/>
      </c>
      <c r="C23" s="1082" t="inlineStr">
        <is>
          <t>t DM/ha</t>
        </is>
      </c>
      <c r="D23" s="1069" t="inlineStr">
        <is>
          <t>t C exported/ha</t>
        </is>
      </c>
      <c r="E23" s="1069" t="inlineStr">
        <is>
          <t>yes/no</t>
        </is>
      </c>
      <c r="F23" s="1082" t="n"/>
      <c r="G23" s="1081">
        <f>'6.Inland wetlands'!I11</f>
        <v/>
      </c>
      <c r="H23" s="1131" t="n"/>
      <c r="I23" s="1131" t="n"/>
      <c r="J23" s="1137" t="inlineStr">
        <is>
          <t xml:space="preserve">  tC/ha/year</t>
        </is>
      </c>
      <c r="K23" s="1135" t="inlineStr">
        <is>
          <t>t C/ha</t>
        </is>
      </c>
      <c r="L23" s="1135" t="inlineStr">
        <is>
          <t>t CO2/ha</t>
        </is>
      </c>
      <c r="M23" s="1135" t="inlineStr">
        <is>
          <t>t C/ha</t>
        </is>
      </c>
      <c r="N23" s="1135" t="inlineStr">
        <is>
          <t>t CO2/ha</t>
        </is>
      </c>
      <c r="O23" s="1137" t="inlineStr">
        <is>
          <t>t dm/ha</t>
        </is>
      </c>
      <c r="P23" s="1137" t="inlineStr">
        <is>
          <t>kgCH4</t>
        </is>
      </c>
      <c r="Q23" s="1137" t="inlineStr">
        <is>
          <t>kgN2O</t>
        </is>
      </c>
      <c r="R23" s="1137" t="inlineStr">
        <is>
          <t>t dm/ha</t>
        </is>
      </c>
      <c r="S23" s="1137" t="inlineStr">
        <is>
          <t>kgCH4</t>
        </is>
      </c>
      <c r="T23" s="1137" t="inlineStr">
        <is>
          <t>kgN2O</t>
        </is>
      </c>
      <c r="Z23" s="4572" t="inlineStr">
        <is>
          <t>Default</t>
        </is>
      </c>
      <c r="AA23" s="4572" t="inlineStr">
        <is>
          <t>Tier 2</t>
        </is>
      </c>
      <c r="AB23" s="4572" t="inlineStr">
        <is>
          <t>Default</t>
        </is>
      </c>
      <c r="AC23" s="4572" t="inlineStr">
        <is>
          <t>Tier 2</t>
        </is>
      </c>
      <c r="AD23" s="4572" t="inlineStr">
        <is>
          <t>(tCO2/ha/year)</t>
        </is>
      </c>
    </row>
    <row r="24">
      <c r="B24" s="1129">
        <f>'6.Inland wetlands'!C13</f>
        <v/>
      </c>
      <c r="C24" s="4733">
        <f>'6.Inland wetlands'!E13</f>
        <v/>
      </c>
      <c r="D24" s="4733">
        <f>IF($B24&lt;&gt;"Please select",IF($C24*0.47&gt;$E14,$E14,$C24*0.47),0)</f>
        <v/>
      </c>
      <c r="E24" s="1454">
        <f>'6.Inland wetlands'!G13</f>
        <v/>
      </c>
      <c r="F24" s="1454">
        <f>IF($B24&lt;&gt; "Please select", IF(OR($E24=list!$E$211,$E24=list!$E$212,$E24=list!$E$213), VLOOKUP($B24,IPCC!$A$871:$B$906, 2, FALSE),0), )</f>
        <v/>
      </c>
      <c r="G24" s="1121">
        <f>IF('6.Inland wetlands'!K13="Please select",'6.Inland wetlands'!I13,'6.Inland wetlands'!K13)</f>
        <v/>
      </c>
      <c r="H24" s="1121">
        <f>'6.Inland wetlands'!I13</f>
        <v/>
      </c>
      <c r="I24" s="1121" t="n"/>
      <c r="J24" s="1144">
        <f>IF('6.Inland wetlands'!AZ24=0, IF($G24 &lt;&gt; "Please select", INDEX(IPCC!$D$686:$Y$845,MATCH(clim_moist_cont,IPCC!$C$686:$C$845,0),MATCH($G24,IPCC!$D$682:$Y$682,0)), 0), '6.Inland wetlands'!AZ24)</f>
        <v/>
      </c>
      <c r="K24" s="1145">
        <f>IF(B24&lt;&gt;"Please select",SUM((E14-D24),H14),0)</f>
        <v/>
      </c>
      <c r="L24" s="1145">
        <f>K24*44/12</f>
        <v/>
      </c>
      <c r="M24" s="1145">
        <f>IF($B24&lt;&gt;"Please select",SUM($J14,$L14),0)</f>
        <v/>
      </c>
      <c r="N24" s="1145">
        <f>M24*44/12</f>
        <v/>
      </c>
      <c r="O24" s="1145">
        <f>IF($E24="no",0,(VLOOKUP($B24,$B$13:$M$19,2,FALSE)-$C24))</f>
        <v/>
      </c>
      <c r="P24" s="1145">
        <f>IF($O24&lt;&gt;0,$O24*$O14*$P14, 0)</f>
        <v/>
      </c>
      <c r="Q24" s="1145">
        <f>IF($O24&lt;&gt;0,$O24*$O14*$Q14, 0)</f>
        <v/>
      </c>
      <c r="R24" s="4734">
        <f>IF($E24="NO",0,(VLOOKUP($B24,$B$13:$M$19,2,FALSE)-$C24))</f>
        <v/>
      </c>
      <c r="S24" s="1145">
        <f>IF($R24&lt;&gt;0,$R24*$O14*$P14, 0)</f>
        <v/>
      </c>
      <c r="T24" s="1145">
        <f>IF($R24&lt;&gt;0,$R24*$O14*$Q14, 0)</f>
        <v/>
      </c>
      <c r="Z24" s="1260">
        <f>(IF('6.Inland wetlands'!I13="Agroforestry",INDEX(IPCC!$E$107:$T$298,MATCH(clim_moist_cont,IPCC!$C$107:$C$298,0),MATCH('Inl. wetlands'!G24,IPCC!$E$105:$T$105,0))*(44/12), 0))</f>
        <v/>
      </c>
      <c r="AB24" s="1260">
        <f>(IF('6.Inland wetlands'!I13="Agroforestry",INDEX(IPCC!$E$310:$T$501,MATCH(clim_moist_cont,IPCC!$C$310:$C$501,0),MATCH('Inl. wetlands'!G24,IPCC!$E$308:$T$308,0))*(44/12),0))</f>
        <v/>
      </c>
      <c r="AD24" s="1663">
        <f>SUM(Z24,AB24)</f>
        <v/>
      </c>
    </row>
    <row r="25">
      <c r="B25" s="1129">
        <f>'6.Inland wetlands'!C14</f>
        <v/>
      </c>
      <c r="C25" s="4733">
        <f>'6.Inland wetlands'!E14</f>
        <v/>
      </c>
      <c r="D25" s="4733">
        <f>IF($B25&lt;&gt;"Please select",IF($C25*0.47&gt;$E15,$E15,$C25*0.47),0)</f>
        <v/>
      </c>
      <c r="E25" s="1454">
        <f>'6.Inland wetlands'!G14</f>
        <v/>
      </c>
      <c r="F25" s="1454">
        <f>IF($B25&lt;&gt; "Please select", IF(OR($E25=list!$E$211,$E25=list!$E$212,$E25=list!$E$213), VLOOKUP($B25,IPCC!$A$871:$B$906, 2, FALSE),0), )</f>
        <v/>
      </c>
      <c r="G25" s="1121">
        <f>IF('6.Inland wetlands'!K14="Please select",'6.Inland wetlands'!I14,'6.Inland wetlands'!K14)</f>
        <v/>
      </c>
      <c r="H25" s="1121">
        <f>'6.Inland wetlands'!I14</f>
        <v/>
      </c>
      <c r="I25" s="1121" t="n"/>
      <c r="J25" s="1144">
        <f>IF('6.Inland wetlands'!AZ25=0, IF($G25 &lt;&gt; "Please select", INDEX(IPCC!$D$686:$Y$845,MATCH(clim_moist_cont,IPCC!$C$686:$C$845,0),MATCH($G25,IPCC!$D$682:$Y$682,0)), 0), '6.Inland wetlands'!AZ25)</f>
        <v/>
      </c>
      <c r="K25" s="1145">
        <f>IF(B25&lt;&gt;"Please select",SUM((E15-D25),H15),0)</f>
        <v/>
      </c>
      <c r="L25" s="1147">
        <f>K25*44/12</f>
        <v/>
      </c>
      <c r="M25" s="1145">
        <f>IF($B25&lt;&gt;"Please select",SUM($J15,$L15),0)</f>
        <v/>
      </c>
      <c r="N25" s="1147">
        <f>M25*44/12</f>
        <v/>
      </c>
      <c r="O25" s="1145">
        <f>IF($E25="no",0,(VLOOKUP($B25,$B$13:$M$19,2,FALSE)-$C25))</f>
        <v/>
      </c>
      <c r="P25" s="1145">
        <f>IF($O25&lt;&gt;0,$O25*O15*P15, 0)</f>
        <v/>
      </c>
      <c r="Q25" s="1145">
        <f>IF($O25&lt;&gt;0,$O25*$O15*$Q15, 0)</f>
        <v/>
      </c>
      <c r="R25" s="4734">
        <f>IF($E25="NO",0,(VLOOKUP($B25,$B$13:$M$19,2,FALSE)-$C25))</f>
        <v/>
      </c>
      <c r="S25" s="1145">
        <f>IF($R25&lt;&gt;0,$R25*$O15*$P15, 0)</f>
        <v/>
      </c>
      <c r="T25" s="1145">
        <f>IF($R25&lt;&gt;0,$R25*$O15*$Q15, 0)</f>
        <v/>
      </c>
      <c r="Z25" s="1260">
        <f>(IF('6.Inland wetlands'!I14="Agroforestry",INDEX(IPCC!$E$107:$T$298,MATCH(clim_moist_cont,IPCC!$C$107:$C$298,0),MATCH('Inl. wetlands'!G25,IPCC!$E$105:$T$105,0))*(44/12), 0))</f>
        <v/>
      </c>
      <c r="AB25" s="1260">
        <f>(IF('6.Inland wetlands'!I14="Agroforestry",INDEX(IPCC!$E$310:$T$501,MATCH(clim_moist_cont,IPCC!$C$310:$C$501,0),MATCH('Inl. wetlands'!G25,IPCC!$E$308:$T$308,0))*(44/12),0))</f>
        <v/>
      </c>
      <c r="AD25" s="1663">
        <f>SUM(Z25,AB25)</f>
        <v/>
      </c>
      <c r="AX25" s="1461" t="n"/>
      <c r="AY25" s="1461" t="n"/>
      <c r="AZ25" s="1461" t="n"/>
      <c r="BA25" s="1461" t="n"/>
      <c r="BB25" s="1461" t="n"/>
      <c r="BC25" s="1461" t="n"/>
      <c r="BD25" s="1461" t="n"/>
      <c r="BE25" s="1461" t="n"/>
      <c r="BF25" s="1461" t="n"/>
      <c r="BG25" s="1461" t="n"/>
    </row>
    <row r="26">
      <c r="B26" s="1129">
        <f>'6.Inland wetlands'!C15</f>
        <v/>
      </c>
      <c r="C26" s="4733">
        <f>'6.Inland wetlands'!E15</f>
        <v/>
      </c>
      <c r="D26" s="4733">
        <f>IF($B26&lt;&gt;"Please select",IF($C26*0.47&gt;$E16,$E16,$C26*0.47),0)</f>
        <v/>
      </c>
      <c r="E26" s="1454">
        <f>'6.Inland wetlands'!G15</f>
        <v/>
      </c>
      <c r="F26" s="1454">
        <f>IF($B26&lt;&gt; "Please select", IF(OR($E26=list!$E$211,$E26=list!$E$212,$E26=list!$E$213), VLOOKUP($B26,IPCC!$A$871:$B$906, 2, FALSE),0), )</f>
        <v/>
      </c>
      <c r="G26" s="1121">
        <f>IF('6.Inland wetlands'!K15="Please select",'6.Inland wetlands'!I15,'6.Inland wetlands'!K15)</f>
        <v/>
      </c>
      <c r="H26" s="1121">
        <f>'6.Inland wetlands'!I15</f>
        <v/>
      </c>
      <c r="I26" s="1121" t="n"/>
      <c r="J26" s="1144">
        <f>IF('6.Inland wetlands'!AZ26=0, IF($G26 &lt;&gt; "Please select", INDEX(IPCC!$D$686:$Y$845,MATCH(clim_moist_cont,IPCC!$C$686:$C$845,0),MATCH($G26,IPCC!$D$682:$Y$682,0)), 0), '6.Inland wetlands'!AZ26)</f>
        <v/>
      </c>
      <c r="K26" s="1145">
        <f>IF(B26&lt;&gt;"Please select",SUM((E16-D26),H16),0)</f>
        <v/>
      </c>
      <c r="L26" s="1147">
        <f>K26*44/12</f>
        <v/>
      </c>
      <c r="M26" s="1145">
        <f>IF($B26&lt;&gt;"Please select",SUM($J16,$L16),0)</f>
        <v/>
      </c>
      <c r="N26" s="1147">
        <f>M26*44/12</f>
        <v/>
      </c>
      <c r="O26" s="1145">
        <f>IF($E26="no",0,(VLOOKUP($B26,$B$13:$M$19,2,FALSE)-$C26))</f>
        <v/>
      </c>
      <c r="P26" s="1145">
        <f>IF($O26&lt;&gt;0,$O26*O16*P16, 0)</f>
        <v/>
      </c>
      <c r="Q26" s="1145">
        <f>IF($O26&lt;&gt;0,$O26*$O16*$Q16, 0)</f>
        <v/>
      </c>
      <c r="R26" s="4734">
        <f>IF($E26="NO",0,(VLOOKUP($B26,$B$13:$M$19,2,FALSE)-$C26))</f>
        <v/>
      </c>
      <c r="S26" s="1145">
        <f>IF($R26&lt;&gt;0,$R26*$O16*$P16, 0)</f>
        <v/>
      </c>
      <c r="T26" s="1145">
        <f>IF($R26&lt;&gt;0,$R26*$O16*$Q16, 0)</f>
        <v/>
      </c>
      <c r="Z26" s="1260">
        <f>(IF('6.Inland wetlands'!I15="Agroforestry",INDEX(IPCC!$E$107:$T$298,MATCH(clim_moist_cont,IPCC!$C$107:$C$298,0),MATCH('Inl. wetlands'!G26,IPCC!$E$105:$T$105,0))*(44/12), 0))</f>
        <v/>
      </c>
      <c r="AB26" s="1260">
        <f>(IF('6.Inland wetlands'!I15="Agroforestry",INDEX(IPCC!$E$310:$T$501,MATCH(clim_moist_cont,IPCC!$C$310:$C$501,0),MATCH('Inl. wetlands'!G26,IPCC!$E$308:$T$308,0))*(44/12),0))</f>
        <v/>
      </c>
      <c r="AD26" s="1663">
        <f>SUM(Z26,AB26)</f>
        <v/>
      </c>
      <c r="AY26" s="1451" t="n"/>
      <c r="AZ26" s="1451" t="n"/>
      <c r="BA26" s="1451" t="n"/>
      <c r="BB26" s="1451" t="n"/>
      <c r="BC26" s="1451" t="n"/>
      <c r="BD26" s="1451" t="n"/>
      <c r="BE26" s="1451" t="n"/>
      <c r="BF26" s="1451" t="n"/>
      <c r="BG26" s="1451" t="n"/>
    </row>
    <row r="27">
      <c r="B27" s="1129">
        <f>'6.Inland wetlands'!C16</f>
        <v/>
      </c>
      <c r="C27" s="4733">
        <f>'6.Inland wetlands'!E16</f>
        <v/>
      </c>
      <c r="D27" s="4733">
        <f>IF($B27&lt;&gt;"Please select",IF($C27*0.47&gt;$E17,$E17,$C27*0.47),0)</f>
        <v/>
      </c>
      <c r="E27" s="1454">
        <f>'6.Inland wetlands'!G16</f>
        <v/>
      </c>
      <c r="F27" s="1454">
        <f>IF($B27&lt;&gt; "Please select", IF(OR($E27=list!$E$211,$E27=list!$E$212,$E27=list!$E$213), VLOOKUP($B27,IPCC!$A$871:$B$906, 2, FALSE),0), )</f>
        <v/>
      </c>
      <c r="G27" s="1121">
        <f>IF('6.Inland wetlands'!K16="Please select",'6.Inland wetlands'!I16,'6.Inland wetlands'!K16)</f>
        <v/>
      </c>
      <c r="H27" s="1121">
        <f>'6.Inland wetlands'!I16</f>
        <v/>
      </c>
      <c r="I27" s="1121" t="n"/>
      <c r="J27" s="1144">
        <f>IF('6.Inland wetlands'!AZ27=0, IF($G27 &lt;&gt; "Please select", INDEX(IPCC!$D$686:$Y$845,MATCH(clim_moist_cont,IPCC!$C$686:$C$845,0),MATCH($G27,IPCC!$D$682:$Y$682,0)), 0), '6.Inland wetlands'!AZ27)</f>
        <v/>
      </c>
      <c r="K27" s="1145">
        <f>IF(B27&lt;&gt;"Please select",SUM((E17-D27),H17),0)</f>
        <v/>
      </c>
      <c r="L27" s="1147">
        <f>K27*44/12</f>
        <v/>
      </c>
      <c r="M27" s="1145">
        <f>IF($B27&lt;&gt;"Please select",SUM($J17,$L17),0)</f>
        <v/>
      </c>
      <c r="N27" s="1147">
        <f>M27*44/12</f>
        <v/>
      </c>
      <c r="O27" s="1145">
        <f>IF($E27="no",0,(VLOOKUP($B27,$B$13:$M$19,2,FALSE)-$C27))</f>
        <v/>
      </c>
      <c r="P27" s="1145">
        <f>IF($O27&lt;&gt;0,$O27*O17*P17, 0)</f>
        <v/>
      </c>
      <c r="Q27" s="1145">
        <f>IF($O27&lt;&gt;0,$O27*$O17*$Q17, 0)</f>
        <v/>
      </c>
      <c r="R27" s="4734">
        <f>IF($E27="NO",0,(VLOOKUP($B27,$B$13:$M$19,2,FALSE)-$C27))</f>
        <v/>
      </c>
      <c r="S27" s="1145">
        <f>IF($R27&lt;&gt;0,$R27*$O17*$P17, 0)</f>
        <v/>
      </c>
      <c r="T27" s="1145">
        <f>IF($R27&lt;&gt;0,$R27*$O17*$Q17, 0)</f>
        <v/>
      </c>
      <c r="Z27" s="1260">
        <f>(IF('6.Inland wetlands'!I16="Agroforestry",INDEX(IPCC!$E$107:$T$298,MATCH(clim_moist_cont,IPCC!$C$107:$C$298,0),MATCH('Inl. wetlands'!G27,IPCC!$E$105:$T$105,0))*(44/12), 0))</f>
        <v/>
      </c>
      <c r="AB27" s="1260">
        <f>(IF('6.Inland wetlands'!I16="Agroforestry",INDEX(IPCC!$E$310:$T$501,MATCH(clim_moist_cont,IPCC!$C$310:$C$501,0),MATCH('Inl. wetlands'!G27,IPCC!$E$308:$T$308,0))*(44/12),0))</f>
        <v/>
      </c>
      <c r="AD27" s="1663">
        <f>SUM(Z27,AB27)</f>
        <v/>
      </c>
      <c r="AX27" s="1271" t="n"/>
    </row>
    <row r="28">
      <c r="B28" s="1129">
        <f>'6.Inland wetlands'!C17</f>
        <v/>
      </c>
      <c r="C28" s="4733">
        <f>'6.Inland wetlands'!E17</f>
        <v/>
      </c>
      <c r="D28" s="4733">
        <f>IF($B28&lt;&gt;"Please select",IF($C28*0.47&gt;$E18,$E18,$C28*0.47),0)</f>
        <v/>
      </c>
      <c r="E28" s="1454">
        <f>'6.Inland wetlands'!G17</f>
        <v/>
      </c>
      <c r="F28" s="1454">
        <f>IF($B28&lt;&gt; "Please select", IF(OR($E28=list!$E$211,$E28=list!$E$212,$E28=list!$E$213), VLOOKUP($B28,IPCC!$A$871:$B$906, 2, FALSE),0), )</f>
        <v/>
      </c>
      <c r="G28" s="1121">
        <f>IF('6.Inland wetlands'!K17="Please select",'6.Inland wetlands'!I17,'6.Inland wetlands'!K17)</f>
        <v/>
      </c>
      <c r="H28" s="1121">
        <f>'6.Inland wetlands'!I17</f>
        <v/>
      </c>
      <c r="I28" s="1121" t="n"/>
      <c r="J28" s="1144">
        <f>IF('6.Inland wetlands'!AZ28=0, IF($G28 &lt;&gt; "Please select", INDEX(IPCC!$D$686:$Y$845,MATCH(clim_moist_cont,IPCC!$C$686:$C$845,0),MATCH($G28,IPCC!$D$682:$Y$682,0)), 0), '6.Inland wetlands'!AZ28)</f>
        <v/>
      </c>
      <c r="K28" s="1145">
        <f>IF(B28&lt;&gt;"Please select",SUM((E18-D28),H18),0)</f>
        <v/>
      </c>
      <c r="L28" s="1147">
        <f>K28*44/12</f>
        <v/>
      </c>
      <c r="M28" s="1145">
        <f>IF($B28&lt;&gt;"Please select",SUM($J18,$L18),0)</f>
        <v/>
      </c>
      <c r="N28" s="1147">
        <f>M28*44/12</f>
        <v/>
      </c>
      <c r="O28" s="1145">
        <f>IF($E28="no",0,(VLOOKUP($B28,$B$13:$M$19,2,FALSE)-$C28))</f>
        <v/>
      </c>
      <c r="P28" s="1145">
        <f>IF($O28&lt;&gt;0,$O28*O18*P18, 0)</f>
        <v/>
      </c>
      <c r="Q28" s="1145">
        <f>IF($O28&lt;&gt;0,$O28*$O18*$Q18, 0)</f>
        <v/>
      </c>
      <c r="R28" s="4734">
        <f>IF($E28="NO",0,(VLOOKUP($B28,$B$13:$M$19,2,FALSE)-$C28))</f>
        <v/>
      </c>
      <c r="S28" s="1145">
        <f>IF($R28&lt;&gt;0,$R28*$O18*$P18, 0)</f>
        <v/>
      </c>
      <c r="T28" s="1145">
        <f>IF($R28&lt;&gt;0,$R28*$O18*$Q18, 0)</f>
        <v/>
      </c>
      <c r="Z28" s="1260">
        <f>(IF('6.Inland wetlands'!I17="Agroforestry",INDEX(IPCC!$E$107:$T$298,MATCH(clim_moist_cont,IPCC!$C$107:$C$298,0),MATCH('Inl. wetlands'!G28,IPCC!$E$105:$T$105,0))*(44/12), 0))</f>
        <v/>
      </c>
      <c r="AB28" s="1260">
        <f>(IF('6.Inland wetlands'!I17="Agroforestry",INDEX(IPCC!$E$310:$T$501,MATCH(clim_moist_cont,IPCC!$C$310:$C$501,0),MATCH('Inl. wetlands'!G28,IPCC!$E$308:$T$308,0))*(44/12),0))</f>
        <v/>
      </c>
      <c r="AD28" s="1663">
        <f>SUM(Z28,AB28)</f>
        <v/>
      </c>
      <c r="AJ28" s="1455" t="n"/>
      <c r="AX28" s="1271" t="n"/>
      <c r="AY28" s="1271" t="n"/>
      <c r="AZ28" s="1271" t="n"/>
      <c r="BA28" s="1271" t="n"/>
      <c r="BB28" s="1271" t="n"/>
      <c r="BD28" s="1463" t="n"/>
      <c r="BF28" s="1271" t="n"/>
    </row>
    <row r="29">
      <c r="B29" s="1129">
        <f>'6.Inland wetlands'!C18</f>
        <v/>
      </c>
      <c r="C29" s="4733">
        <f>'6.Inland wetlands'!E18</f>
        <v/>
      </c>
      <c r="D29" s="4733">
        <f>IF($B29&lt;&gt;"Please select",IF($C29*0.47&gt;$E19,$E19,$C29*0.47),0)</f>
        <v/>
      </c>
      <c r="E29" s="1454">
        <f>'6.Inland wetlands'!G18</f>
        <v/>
      </c>
      <c r="F29" s="1454">
        <f>IF($B29&lt;&gt; "Please select", IF(OR($E29=list!$E$211,$E29=list!$E$212,$E29=list!$E$213), VLOOKUP($B29,IPCC!$A$871:$B$906, 2, FALSE),0), )</f>
        <v/>
      </c>
      <c r="G29" s="1121">
        <f>IF('6.Inland wetlands'!K18="Please select",'6.Inland wetlands'!I18,'6.Inland wetlands'!K18)</f>
        <v/>
      </c>
      <c r="H29" s="1121">
        <f>'6.Inland wetlands'!I18</f>
        <v/>
      </c>
      <c r="I29" s="1121" t="n"/>
      <c r="J29" s="1144">
        <f>IF('6.Inland wetlands'!AZ29=0, IF($G29 &lt;&gt; "Please select", INDEX(IPCC!$D$686:$Y$845,MATCH(clim_moist_cont,IPCC!$C$686:$C$845,0),MATCH($G29,IPCC!$D$682:$Y$682,0)), 0), '6.Inland wetlands'!AZ29)</f>
        <v/>
      </c>
      <c r="K29" s="1145">
        <f>IF(B29&lt;&gt;"Please select",SUM((E19-D29),H19),0)</f>
        <v/>
      </c>
      <c r="L29" s="1149">
        <f>K29*44/12</f>
        <v/>
      </c>
      <c r="M29" s="1145">
        <f>IF($B29&lt;&gt;"Please select",SUM($J19,$L19),0)</f>
        <v/>
      </c>
      <c r="N29" s="1149">
        <f>M29*44/12</f>
        <v/>
      </c>
      <c r="O29" s="1145">
        <f>IF($E29="no",0,(VLOOKUP($B29,$B$13:$M$19,2,FALSE)-$C29))</f>
        <v/>
      </c>
      <c r="P29" s="1145">
        <f>IF($O29&lt;&gt;0,$O29*O19*P19, 0)</f>
        <v/>
      </c>
      <c r="Q29" s="1145">
        <f>IF($O29&lt;&gt;0,$O29*$O19*$Q19, 0)</f>
        <v/>
      </c>
      <c r="R29" s="4734">
        <f>IF($E29="NO",0,(VLOOKUP($B29,$B$13:$M$19,2,FALSE)-$C29))</f>
        <v/>
      </c>
      <c r="S29" s="1145">
        <f>IF($R29&lt;&gt;0,$R29*$O19*$P19, 0)</f>
        <v/>
      </c>
      <c r="T29" s="1145">
        <f>IF($R29&lt;&gt;0,$R29*$O19*$Q19, 0)</f>
        <v/>
      </c>
      <c r="Z29" s="1260">
        <f>(IF('6.Inland wetlands'!I18="Agroforestry",INDEX(IPCC!$E$107:$T$298,MATCH(clim_moist_cont,IPCC!$C$107:$C$298,0),MATCH('Inl. wetlands'!G29,IPCC!$E$105:$T$105,0))*(44/12), 0))</f>
        <v/>
      </c>
      <c r="AB29" s="1260">
        <f>(IF('6.Inland wetlands'!I18="Agroforestry",INDEX(IPCC!$E$310:$T$501,MATCH(clim_moist_cont,IPCC!$C$310:$C$501,0),MATCH('Inl. wetlands'!G29,IPCC!$E$308:$T$308,0))*(44/12),0))</f>
        <v/>
      </c>
      <c r="AD29" s="1663">
        <f>SUM(Z29,AB29)</f>
        <v/>
      </c>
      <c r="AJ29" s="1455" t="n"/>
    </row>
    <row r="30">
      <c r="B30" s="1058" t="n"/>
      <c r="D30" s="973" t="inlineStr">
        <is>
          <t>NB: t C exported/ha is not considered in the final balance</t>
        </is>
      </c>
      <c r="F30" s="1454" t="n"/>
      <c r="H30" s="1121" t="n"/>
      <c r="J30" s="973" t="inlineStr">
        <is>
          <t>NB: For annual crops, annual fallow, flooded rice --&gt; AGB
For grassland, perennial agroforestry systems --&gt; Total biomass (AGB + BGB)
For perennial monocultures --&gt; AGB (BGB is not available, pls see Tab 5.3 (Updated)</t>
        </is>
      </c>
      <c r="O30" s="973" t="inlineStr">
        <is>
          <t>NB: refers to the mass of fuel available for combustion</t>
        </is>
      </c>
      <c r="R30" s="973" t="inlineStr">
        <is>
          <t>NB: refers to the mass of fuel available for combustion</t>
        </is>
      </c>
    </row>
    <row r="31">
      <c r="F31" s="1454" t="n"/>
    </row>
    <row r="32" ht="16" customHeight="1">
      <c r="A32" s="973" t="inlineStr">
        <is>
          <t>Biomass fire after conversion</t>
        </is>
      </c>
      <c r="M32" s="1278" t="inlineStr">
        <is>
          <t>Area converted</t>
        </is>
      </c>
      <c r="N32" s="1081" t="n"/>
      <c r="O32" s="1081" t="n"/>
      <c r="P32" s="1081" t="n"/>
      <c r="Q32" s="1081" t="n"/>
      <c r="R32" s="1081" t="n"/>
      <c r="S32" s="1081" t="n"/>
      <c r="T32" s="1081" t="n"/>
      <c r="Z32" s="1278" t="inlineStr">
        <is>
          <t>EMISSIONS FROM BIOMASS GAIN &amp; LOSS &amp; BIOMASS BURNING (tCO2-eq)</t>
        </is>
      </c>
      <c r="AA32" s="1081" t="n"/>
      <c r="AB32" s="1081" t="n"/>
      <c r="AC32" s="1081" t="n"/>
      <c r="AD32" s="1081" t="n"/>
      <c r="AE32" s="1081" t="n"/>
      <c r="AF32" s="1081" t="n"/>
      <c r="AG32" s="1081" t="n"/>
      <c r="AI32" s="1270" t="inlineStr">
        <is>
          <t>Total emissions tCO2eq</t>
        </is>
      </c>
      <c r="AJ32" s="1115" t="n"/>
      <c r="AK32" s="1116" t="n"/>
      <c r="AX32" s="1287" t="inlineStr">
        <is>
          <t>FIRE BIOMASS &amp; BIOMASS GAIN AND LOSS</t>
        </is>
      </c>
      <c r="AY32" s="1501" t="n"/>
      <c r="AZ32" s="1501" t="n"/>
      <c r="BA32" s="1501" t="n"/>
      <c r="BB32" s="1501" t="n"/>
      <c r="BD32" s="1271" t="n"/>
      <c r="BK32" s="1262" t="inlineStr">
        <is>
          <t>GHG PER SCENARIO</t>
        </is>
      </c>
      <c r="BL32" s="3489" t="n"/>
      <c r="BM32" s="3489" t="n"/>
      <c r="BP32" s="1262" t="inlineStr">
        <is>
          <t>TOTAL BALANCE</t>
        </is>
      </c>
      <c r="BQ32" s="3489" t="n"/>
      <c r="BR32" s="3489" t="n"/>
      <c r="BS32" s="3489" t="n"/>
    </row>
    <row r="33" ht="17" customHeight="1">
      <c r="A33" s="1138" t="n"/>
      <c r="B33" s="1138" t="n"/>
      <c r="C33" s="1138" t="inlineStr">
        <is>
          <t>Fire after conversion WOP</t>
        </is>
      </c>
      <c r="D33" s="1139" t="n"/>
      <c r="E33" s="1138" t="inlineStr">
        <is>
          <t>Fire after conversion WP</t>
        </is>
      </c>
      <c r="F33" s="1139" t="n"/>
      <c r="G33" s="1139" t="inlineStr">
        <is>
          <t>Total period WOP</t>
        </is>
      </c>
      <c r="H33" s="1139" t="n"/>
      <c r="I33" s="1139" t="inlineStr">
        <is>
          <t>Total period WP</t>
        </is>
      </c>
      <c r="J33" s="1139" t="n"/>
      <c r="M33" s="1081" t="n"/>
      <c r="N33" s="1081" t="n"/>
      <c r="O33" s="1081" t="n"/>
      <c r="P33" s="1081" t="n"/>
      <c r="Q33" s="1081" t="n"/>
      <c r="R33" s="1081" t="n"/>
      <c r="S33" s="1081" t="n"/>
      <c r="T33" s="1081" t="n"/>
      <c r="Z33" s="1081" t="n"/>
      <c r="AA33" s="1081" t="n"/>
      <c r="AB33" s="1081" t="n"/>
      <c r="AC33" s="1081" t="n"/>
      <c r="AD33" s="1081" t="n"/>
      <c r="AE33" s="1081" t="n"/>
      <c r="AF33" s="1081" t="n"/>
      <c r="AG33" s="1081" t="n"/>
      <c r="AI33" s="1270" t="inlineStr">
        <is>
          <t>ALL PERIOD</t>
        </is>
      </c>
      <c r="AJ33" s="1104" t="n"/>
      <c r="AK33" s="1116" t="n"/>
      <c r="AX33" s="1503" t="inlineStr">
        <is>
          <t>CO2 Biomass</t>
        </is>
      </c>
      <c r="AY33" s="1502" t="n"/>
      <c r="AZ33" s="1502" t="inlineStr">
        <is>
          <t>CH4</t>
        </is>
      </c>
      <c r="BA33" s="1502" t="n"/>
      <c r="BB33" s="1502" t="inlineStr">
        <is>
          <t>N2O</t>
        </is>
      </c>
      <c r="BC33" s="1450" t="n"/>
      <c r="BD33" s="1450" t="n"/>
      <c r="BE33" s="1450" t="n"/>
      <c r="BF33" s="1450" t="n"/>
      <c r="BG33" s="1450" t="n"/>
    </row>
    <row r="34" ht="16" customHeight="1">
      <c r="A34" s="1137" t="inlineStr">
        <is>
          <t>AGBiomass New LU</t>
        </is>
      </c>
      <c r="B34" s="1137" t="n"/>
      <c r="C34" s="1140" t="inlineStr">
        <is>
          <t>CH4</t>
        </is>
      </c>
      <c r="D34" s="1140" t="inlineStr">
        <is>
          <t>N2O</t>
        </is>
      </c>
      <c r="E34" s="1140" t="inlineStr">
        <is>
          <t>CH4</t>
        </is>
      </c>
      <c r="F34" s="1140" t="inlineStr">
        <is>
          <t>N2O</t>
        </is>
      </c>
      <c r="G34" s="1140">
        <f>C34</f>
        <v/>
      </c>
      <c r="H34" s="1140">
        <f>D34</f>
        <v/>
      </c>
      <c r="I34" s="1140">
        <f>E34</f>
        <v/>
      </c>
      <c r="J34" s="1140">
        <f>F34</f>
        <v/>
      </c>
      <c r="M34" s="1537" t="inlineStr">
        <is>
          <t>GHG emissions/removals</t>
        </is>
      </c>
      <c r="N34" s="1081" t="inlineStr">
        <is>
          <t>START</t>
        </is>
      </c>
      <c r="O34" s="1100" t="inlineStr">
        <is>
          <t>WITHOUT</t>
        </is>
      </c>
      <c r="P34" s="1100" t="n"/>
      <c r="Q34" s="1101" t="inlineStr">
        <is>
          <t>WITH</t>
        </is>
      </c>
      <c r="R34" s="1101" t="n"/>
      <c r="S34" s="1081" t="inlineStr">
        <is>
          <t>Area deforested (ha)</t>
        </is>
      </c>
      <c r="T34" s="1081" t="n"/>
      <c r="Z34" s="1081" t="inlineStr">
        <is>
          <t>Biomass loss (tCO2)</t>
        </is>
      </c>
      <c r="AA34" s="1081" t="n"/>
      <c r="AB34" s="1081" t="inlineStr">
        <is>
          <t>Biomass gain tCO2</t>
        </is>
      </c>
      <c r="AC34" s="1081" t="n"/>
      <c r="AD34" s="1081" t="inlineStr">
        <is>
          <t>Deadwood loss tCO2</t>
        </is>
      </c>
      <c r="AE34" s="1081" t="n"/>
      <c r="AF34" s="1081" t="inlineStr">
        <is>
          <t>Burning biomass</t>
        </is>
      </c>
      <c r="AG34" s="1081" t="n"/>
      <c r="AI34" s="1270" t="inlineStr">
        <is>
          <t>BIOMASS &amp; BIOMASS BURNING</t>
        </is>
      </c>
      <c r="AJ34" s="1116" t="n"/>
      <c r="AK34" s="1116" t="n"/>
      <c r="BK34" s="1321" t="inlineStr">
        <is>
          <t>CATEGORIES</t>
        </is>
      </c>
      <c r="BL34" s="1317" t="inlineStr">
        <is>
          <t>WITHOUT</t>
        </is>
      </c>
      <c r="BM34" s="1317" t="inlineStr">
        <is>
          <t>WITH</t>
        </is>
      </c>
      <c r="BP34" s="1321" t="inlineStr">
        <is>
          <t>CATEGORIES</t>
        </is>
      </c>
      <c r="BQ34" s="1317" t="inlineStr">
        <is>
          <t>BALANCE</t>
        </is>
      </c>
      <c r="BR34" s="1317" t="inlineStr">
        <is>
          <t>IMPLEM.</t>
        </is>
      </c>
      <c r="BS34" s="1318" t="inlineStr">
        <is>
          <t>CAPITAL.</t>
        </is>
      </c>
      <c r="BT34" s="1454" t="n"/>
    </row>
    <row r="35">
      <c r="A35" s="1137" t="inlineStr">
        <is>
          <t>t C/ha</t>
        </is>
      </c>
      <c r="B35" s="1137" t="inlineStr">
        <is>
          <t>tdm/ha</t>
        </is>
      </c>
      <c r="C35" s="1137" t="inlineStr">
        <is>
          <t>kgCH4</t>
        </is>
      </c>
      <c r="D35" s="1137" t="inlineStr">
        <is>
          <t>kgN2O</t>
        </is>
      </c>
      <c r="E35" s="1137" t="inlineStr">
        <is>
          <t>kgCH4</t>
        </is>
      </c>
      <c r="F35" s="1137" t="inlineStr">
        <is>
          <t>kgN2O</t>
        </is>
      </c>
      <c r="G35" s="1137">
        <f>C35</f>
        <v/>
      </c>
      <c r="H35" s="1137">
        <f>D35</f>
        <v/>
      </c>
      <c r="I35" s="1137">
        <f>E35</f>
        <v/>
      </c>
      <c r="J35" s="1137">
        <f>F35</f>
        <v/>
      </c>
      <c r="M35" s="1128">
        <f>B22</f>
        <v/>
      </c>
      <c r="N35" s="1069" t="inlineStr">
        <is>
          <t>ha</t>
        </is>
      </c>
      <c r="O35" s="1102" t="inlineStr">
        <is>
          <t>ha</t>
        </is>
      </c>
      <c r="P35" s="1102" t="inlineStr">
        <is>
          <t>rate</t>
        </is>
      </c>
      <c r="Q35" s="1103" t="inlineStr">
        <is>
          <t>ha</t>
        </is>
      </c>
      <c r="R35" s="1103" t="inlineStr">
        <is>
          <t>rate</t>
        </is>
      </c>
      <c r="S35" s="1102" t="inlineStr">
        <is>
          <t>Without</t>
        </is>
      </c>
      <c r="T35" s="1103" t="inlineStr">
        <is>
          <t>with</t>
        </is>
      </c>
      <c r="Z35" s="1102" t="inlineStr">
        <is>
          <t>Without</t>
        </is>
      </c>
      <c r="AA35" s="1103" t="inlineStr">
        <is>
          <t>with</t>
        </is>
      </c>
      <c r="AB35" s="1102" t="inlineStr">
        <is>
          <t>Without</t>
        </is>
      </c>
      <c r="AC35" s="1103" t="inlineStr">
        <is>
          <t>with</t>
        </is>
      </c>
      <c r="AD35" s="1102" t="inlineStr">
        <is>
          <t>Without</t>
        </is>
      </c>
      <c r="AE35" s="1103" t="inlineStr">
        <is>
          <t>with</t>
        </is>
      </c>
      <c r="AF35" s="1102" t="inlineStr">
        <is>
          <t>Without</t>
        </is>
      </c>
      <c r="AG35" s="1103" t="inlineStr">
        <is>
          <t>with</t>
        </is>
      </c>
      <c r="AI35" s="1102" t="inlineStr">
        <is>
          <t>WITHOUT</t>
        </is>
      </c>
      <c r="AJ35" s="1103" t="inlineStr">
        <is>
          <t>WITH</t>
        </is>
      </c>
      <c r="AK35" s="1104" t="inlineStr">
        <is>
          <t>BALANCE</t>
        </is>
      </c>
      <c r="AX35" s="1272" t="inlineStr">
        <is>
          <t>WITHOUT</t>
        </is>
      </c>
      <c r="AY35" s="1272" t="inlineStr">
        <is>
          <t>WITH</t>
        </is>
      </c>
      <c r="AZ35" s="1272" t="inlineStr">
        <is>
          <t>WITHOUT</t>
        </is>
      </c>
      <c r="BA35" s="1272" t="inlineStr">
        <is>
          <t>WITH</t>
        </is>
      </c>
      <c r="BB35" s="1272" t="inlineStr">
        <is>
          <t>WITHOUT</t>
        </is>
      </c>
      <c r="BC35" s="1272" t="inlineStr">
        <is>
          <t>WITH</t>
        </is>
      </c>
      <c r="BD35" s="1272" t="n"/>
      <c r="BE35" s="1272" t="n"/>
      <c r="BF35" s="1272" t="n"/>
      <c r="BG35" s="1272" t="n"/>
      <c r="BK35" s="1084" t="inlineStr">
        <is>
          <t>CO2 biomass</t>
        </is>
      </c>
      <c r="BL35" s="1312">
        <f>SUM(Z36:Z41)+SUM(AB36:AB41)+SUM(AD36:AD41)</f>
        <v/>
      </c>
      <c r="BM35" s="1313">
        <f>SUM(AA36:AA41)+SUM(AC36:AC41)+SUM(AE36:AE41)</f>
        <v/>
      </c>
      <c r="BN35" s="1246">
        <f>BM35-BL35</f>
        <v/>
      </c>
      <c r="BP35" s="1322">
        <f>BK35</f>
        <v/>
      </c>
      <c r="BQ35" s="1312">
        <f>BM35-BL35</f>
        <v/>
      </c>
      <c r="BR35" s="1312">
        <f>IF(time=0,0,BQ35)</f>
        <v/>
      </c>
      <c r="BS35" s="1453">
        <f>BQ35-BR35</f>
        <v/>
      </c>
      <c r="BT35" s="1455">
        <f>SUM(BR35:BS35)</f>
        <v/>
      </c>
    </row>
    <row r="36">
      <c r="A36" s="1145">
        <f>IF('6.Inland wetlands'!AZ24=0, IF(AND($G24 &lt;&gt; "Please select", $H24&lt;&gt; "Agroforestry"), INDEX(IPCC!$D$686:$Y$845,MATCH(clim_moist_cont,IPCC!$C$686:$C$845,0),MATCH($G24,IPCC!$D$682:$Y$682,0)), IF($G24 = "Please select", 0, INDEX(IPCC!$E$107:$T$298,MATCH(clim_moist_cont,IPCC!$C$107:$C$298,0),MATCH(G24,IPCC!$E$105:$T$105,0)))), '6.Inland wetlands'!AZ24)</f>
        <v/>
      </c>
      <c r="B36" s="1145">
        <f>A36/0.47</f>
        <v/>
      </c>
      <c r="C36" s="1145">
        <f>IF(AND('6.Inland wetlands'!X13 &lt;&gt; "W/out project", '6.Inland wetlands'!X13 &lt;&gt;"W/out&amp;With"), 0, IF($S36&lt;&gt;0,$B36*$S14*$T14, 0))</f>
        <v/>
      </c>
      <c r="D36" s="1145">
        <f>IF(AND('6.Inland wetlands'!X13 &lt;&gt; "W/out project", '6.Inland wetlands'!X13 &lt;&gt;"W/out&amp;With"), 0,IF($S36&lt;&gt;0,$B36*$S14*$U14, 0))</f>
        <v/>
      </c>
      <c r="E36" s="1145">
        <f>IF(AND('6.Inland wetlands'!X13 &lt;&gt; "With project", '6.Inland wetlands'!X13 &lt;&gt;"W/out&amp;With"), 0,IF($T36&lt;&gt;0,$B36*$S14*$T14, 0))</f>
        <v/>
      </c>
      <c r="F36" s="1145">
        <f>IF(AND('6.Inland wetlands'!X13 &lt;&gt; "With project", '6.Inland wetlands'!X13 &lt;&gt;"W/out&amp;With"), 0, IF($T36&lt;&gt;0,$B36*$S14*$U14, 0))</f>
        <v/>
      </c>
      <c r="G36" s="1145">
        <f>C36*S36*(time_cap+time*(VLOOKUP(P36, list!$J$48:$K$50,2,)))*methane/1000</f>
        <v/>
      </c>
      <c r="H36" s="1145">
        <f>D36*S36*(time_cap+time*(VLOOKUP(P36, list!$J$48:$K$50,2,)))*Nitrous/1000</f>
        <v/>
      </c>
      <c r="I36" s="1145">
        <f>E36*T36*(time_cap+time*(VLOOKUP(R36, list!$J$48:$K$50,2,)))*methane/1000</f>
        <v/>
      </c>
      <c r="J36" s="1145">
        <f>F36*T36*(time_cap+time*(VLOOKUP(R36, list!$J$48:$K$50,2,)))*Nitrous/1000</f>
        <v/>
      </c>
      <c r="M36" s="1129">
        <f>B24</f>
        <v/>
      </c>
      <c r="N36" s="3493">
        <f>'6.Inland wetlands'!M13</f>
        <v/>
      </c>
      <c r="O36" s="1151">
        <f>'6.Inland wetlands'!N13</f>
        <v/>
      </c>
      <c r="P36" s="1151">
        <f>VLOOKUP('6.Inland wetlands'!O13, list!$I$48:$J$50,2,FALSE )</f>
        <v/>
      </c>
      <c r="Q36" s="1151">
        <f>'6.Inland wetlands'!P13</f>
        <v/>
      </c>
      <c r="R36" s="1151">
        <f>VLOOKUP('6.Inland wetlands'!Q13, list!$I$48:$J$50,2,FALSE )</f>
        <v/>
      </c>
      <c r="S36" s="1151">
        <f>N36-O36</f>
        <v/>
      </c>
      <c r="T36" s="1151">
        <f>N36-Q36</f>
        <v/>
      </c>
      <c r="Z36" s="1151">
        <f>$L24*$S36</f>
        <v/>
      </c>
      <c r="AA36" s="1151">
        <f>$L24*$T36</f>
        <v/>
      </c>
      <c r="AB36" s="1151">
        <f>-$J24*$S36*44/12</f>
        <v/>
      </c>
      <c r="AC36" s="1151">
        <f>-$J24*44/12*$T36</f>
        <v/>
      </c>
      <c r="AD36" s="1151">
        <f>$N24*$S36</f>
        <v/>
      </c>
      <c r="AE36" s="1151">
        <f>$N24*$T36</f>
        <v/>
      </c>
      <c r="AF36" s="1151">
        <f>($P24*methane+$Q24*Nitrous)/1000*$S36+G36+H36</f>
        <v/>
      </c>
      <c r="AG36" s="1151">
        <f>($S24*methane+$T24*Nitrous)/1000*$T36+I36+J36</f>
        <v/>
      </c>
      <c r="AI36" s="1152">
        <f>Z36+AB36+AD36+AF36</f>
        <v/>
      </c>
      <c r="AJ36" s="1152">
        <f>AA36+AC36+AE36+AG36</f>
        <v/>
      </c>
      <c r="AK36" s="3154">
        <f>AJ36-AI36</f>
        <v/>
      </c>
      <c r="AX36" s="1449">
        <f>SUM($AD36,$AB36,$Z36)</f>
        <v/>
      </c>
      <c r="AY36" s="1449">
        <f>SUM($AE36,$AC36,$AA36)</f>
        <v/>
      </c>
      <c r="AZ36" s="1449">
        <f>$P24/1000*methane*$S36</f>
        <v/>
      </c>
      <c r="BA36" s="1449">
        <f>$S24/1000*methane*$T36</f>
        <v/>
      </c>
      <c r="BB36" s="1449">
        <f>$Q24/1000*Nitrous*$S36</f>
        <v/>
      </c>
      <c r="BC36" s="1449">
        <f>$T24/1000*Nitrous*$T36</f>
        <v/>
      </c>
      <c r="BD36" s="1449" t="n"/>
      <c r="BE36" s="1449" t="n"/>
      <c r="BF36" s="1449" t="n"/>
      <c r="BG36" s="1449" t="n"/>
      <c r="BK36" s="1084" t="inlineStr">
        <is>
          <t>CO2 soil drainage</t>
        </is>
      </c>
      <c r="BL36" s="1314">
        <f>SUM(AB66:AB71)+SUM($AB77:$AB82)</f>
        <v/>
      </c>
      <c r="BM36" s="1315">
        <f>SUM(AC66:AC71)+SUM($AC77:$AC82)</f>
        <v/>
      </c>
      <c r="BN36" s="1246">
        <f>BM36-BL36</f>
        <v/>
      </c>
      <c r="BP36" s="1322">
        <f>BK36</f>
        <v/>
      </c>
      <c r="BQ36" s="1312">
        <f>BM36-BL36</f>
        <v/>
      </c>
      <c r="BR36" s="1312">
        <f>IF(time=0,0,SUM(AY66:AY71,BE66:BE71)-SUM(AX66:AX71,BD66:BD71))</f>
        <v/>
      </c>
      <c r="BS36" s="1453">
        <f>BQ36-BR36</f>
        <v/>
      </c>
      <c r="BT36" s="1455">
        <f>SUM(BR36:BS36)</f>
        <v/>
      </c>
    </row>
    <row r="37">
      <c r="A37" s="1145">
        <f>IF('6.Inland wetlands'!AZ25=0, IF(AND($G25 &lt;&gt; "Please select", $H25&lt;&gt; "Agroforestry"), INDEX(IPCC!$D$686:$Y$845,MATCH(clim_moist_cont,IPCC!$C$686:$C$845,0),MATCH($G25,IPCC!$D$682:$Y$682,0)), IF($G25 = "Please select", 0, INDEX(IPCC!$E$107:$T$298,MATCH(clim_moist_cont,IPCC!$C$107:$C$298,0),MATCH(G25,IPCC!$E$105:$T$105,0)))), '6.Inland wetlands'!AZ25)</f>
        <v/>
      </c>
      <c r="B37" s="1145">
        <f>A37/0.47</f>
        <v/>
      </c>
      <c r="C37" s="1145">
        <f>IF(AND('6.Inland wetlands'!X14 &lt;&gt; "W/out project", '6.Inland wetlands'!X14 &lt;&gt;"W/out&amp;With"), 0, IF($S37&lt;&gt;0,$B37*$S15*$T15, 0))</f>
        <v/>
      </c>
      <c r="D37" s="1145">
        <f>IF(AND('6.Inland wetlands'!X14 &lt;&gt; "W/out project", '6.Inland wetlands'!X14 &lt;&gt;"W/out&amp;With"), 0,IF($S37&lt;&gt;0,$B37*$S15*$U15, 0))</f>
        <v/>
      </c>
      <c r="E37" s="1145">
        <f>IF(AND('6.Inland wetlands'!X14 &lt;&gt; "With project", '6.Inland wetlands'!X14 &lt;&gt;"W/out&amp;With"), 0,IF($T37&lt;&gt;0,$B37*$S15*$T15, 0))</f>
        <v/>
      </c>
      <c r="F37" s="1145">
        <f>IF(AND('6.Inland wetlands'!X14 &lt;&gt; "With project", '6.Inland wetlands'!X14 &lt;&gt;"W/out&amp;With"), 0, IF($T37&lt;&gt;0,$B37*$S15*$U15, 0))</f>
        <v/>
      </c>
      <c r="G37" s="1145">
        <f>C37*S37*(time_cap+time*(VLOOKUP(P37, list!$J$48:$K$50,2,)))*methane/1000</f>
        <v/>
      </c>
      <c r="H37" s="1145">
        <f>D37*S37*(time_cap+time*(VLOOKUP(P37, list!$J$48:$K$50,2,)))*Nitrous/1000</f>
        <v/>
      </c>
      <c r="I37" s="1145">
        <f>E37*T37*(time_cap+time*(VLOOKUP(R37, list!$J$48:$K$50,2,)))*methane/1000</f>
        <v/>
      </c>
      <c r="J37" s="1145">
        <f>F37*T37*(time_cap+time*(VLOOKUP(R37, list!$J$48:$K$50,2,)))*Nitrous/1000</f>
        <v/>
      </c>
      <c r="M37" s="1129">
        <f>B25</f>
        <v/>
      </c>
      <c r="N37" s="3495">
        <f>'6.Inland wetlands'!M14</f>
        <v/>
      </c>
      <c r="O37" s="1152">
        <f>'6.Inland wetlands'!N14</f>
        <v/>
      </c>
      <c r="P37" s="1152">
        <f>VLOOKUP('6.Inland wetlands'!O14, list!$I$48:$J$50,2,FALSE )</f>
        <v/>
      </c>
      <c r="Q37" s="1152">
        <f>'6.Inland wetlands'!P14</f>
        <v/>
      </c>
      <c r="R37" s="1152">
        <f>VLOOKUP('6.Inland wetlands'!Q14, list!$I$48:$J$50,2,FALSE )</f>
        <v/>
      </c>
      <c r="S37" s="1152">
        <f>N37-O37</f>
        <v/>
      </c>
      <c r="T37" s="1152">
        <f>N37-Q37</f>
        <v/>
      </c>
      <c r="Z37" s="1151">
        <f>$L25*$S37</f>
        <v/>
      </c>
      <c r="AA37" s="1151">
        <f>$L25*$T37</f>
        <v/>
      </c>
      <c r="AB37" s="1152">
        <f>-$J25*$S37*44/12</f>
        <v/>
      </c>
      <c r="AC37" s="1152">
        <f>-$J25*44/12*$T37</f>
        <v/>
      </c>
      <c r="AD37" s="1151">
        <f>$N25*$S37</f>
        <v/>
      </c>
      <c r="AE37" s="1151">
        <f>$N25*$T37</f>
        <v/>
      </c>
      <c r="AF37" s="1151">
        <f>($P25*methane+$Q25*Nitrous)/1000*$S37+G37+H37</f>
        <v/>
      </c>
      <c r="AG37" s="1151">
        <f>($S25*methane+$T25*Nitrous)/1000*$T37+I37+J37</f>
        <v/>
      </c>
      <c r="AI37" s="1152">
        <f>Z37+AB37+AD37+AF37+G37+H37</f>
        <v/>
      </c>
      <c r="AJ37" s="1152">
        <f>AA37+AC37+AE37+AG37+I37+J37</f>
        <v/>
      </c>
      <c r="AK37" s="3154">
        <f>AJ37-AI37</f>
        <v/>
      </c>
      <c r="AX37" s="1449">
        <f>SUM($AD37,$AB37,$Z37)</f>
        <v/>
      </c>
      <c r="AY37" s="1449">
        <f>SUM($AE37,$AC37,$AA37)</f>
        <v/>
      </c>
      <c r="AZ37" s="1449">
        <f>$P25/1000*methane*$S37</f>
        <v/>
      </c>
      <c r="BA37" s="1449">
        <f>$S25/1000*methane*$T37</f>
        <v/>
      </c>
      <c r="BB37" s="1449">
        <f>$Q25/1000*Nitrous*$S37</f>
        <v/>
      </c>
      <c r="BC37" s="1449">
        <f>$T25/1000*Nitrous*$T37</f>
        <v/>
      </c>
      <c r="BD37" s="1449" t="n"/>
      <c r="BE37" s="1449" t="n"/>
      <c r="BF37" s="1449" t="n"/>
      <c r="BG37" s="1449" t="n"/>
      <c r="BK37" s="1084" t="inlineStr">
        <is>
          <t>CH4 soil drainage</t>
        </is>
      </c>
      <c r="BL37" s="1314">
        <f>SUM($AD77:$AD82)+SUM($AD66:$AD71)</f>
        <v/>
      </c>
      <c r="BM37" s="1315">
        <f>SUM(AE66:AE71)+SUM($AE77:$AE82)</f>
        <v/>
      </c>
      <c r="BN37" s="1246">
        <f>BM37-BL37</f>
        <v/>
      </c>
      <c r="BP37" s="1322">
        <f>BK37</f>
        <v/>
      </c>
      <c r="BQ37" s="1312">
        <f>BM37-BL37</f>
        <v/>
      </c>
      <c r="BR37" s="1312">
        <f>IF(time=0,0,SUM(BA66:BA71,BG66:BG71)-SUM(AZ66:AZ71,BF66:BF71))</f>
        <v/>
      </c>
      <c r="BS37" s="1453">
        <f>BQ37-BR37</f>
        <v/>
      </c>
      <c r="BT37" s="1455">
        <f>SUM(BR37:BS37)</f>
        <v/>
      </c>
    </row>
    <row r="38">
      <c r="A38" s="1145">
        <f>IF('6.Inland wetlands'!AZ26=0, IF(AND($G26 &lt;&gt; "Please select", $H26&lt;&gt; "Agroforestry"), INDEX(IPCC!$D$686:$Y$845,MATCH(clim_moist_cont,IPCC!$C$686:$C$845,0),MATCH($G26,IPCC!$D$682:$Y$682,0)), IF($G26 = "Please select", 0, INDEX(IPCC!$E$107:$T$298,MATCH(clim_moist_cont,IPCC!$C$107:$C$298,0),MATCH(G26,IPCC!$E$105:$T$105,0)))), '6.Inland wetlands'!AZ26)</f>
        <v/>
      </c>
      <c r="B38" s="1145">
        <f>A38/0.47</f>
        <v/>
      </c>
      <c r="C38" s="1145">
        <f>IF(AND('6.Inland wetlands'!X15 &lt;&gt; "W/out project", '6.Inland wetlands'!X15 &lt;&gt;"W/out&amp;With"), 0, IF($S38&lt;&gt;0,$B38*$S16*$T16, 0))</f>
        <v/>
      </c>
      <c r="D38" s="1145">
        <f>IF(AND('6.Inland wetlands'!X15 &lt;&gt; "W/out project", '6.Inland wetlands'!X15 &lt;&gt;"W/out&amp;With"), 0,IF($S38&lt;&gt;0,$B38*$S16*$U16, 0))</f>
        <v/>
      </c>
      <c r="E38" s="1145">
        <f>IF(AND('6.Inland wetlands'!X15 &lt;&gt; "With project", '6.Inland wetlands'!X15 &lt;&gt;"W/out&amp;With"), 0,IF($T38&lt;&gt;0,$B38*$S16*$T16, 0))</f>
        <v/>
      </c>
      <c r="F38" s="1145">
        <f>IF(AND('6.Inland wetlands'!X15 &lt;&gt; "With project", '6.Inland wetlands'!X15 &lt;&gt;"W/out&amp;With"), 0, IF($T38&lt;&gt;0,$B38*$S16*$U16, 0))</f>
        <v/>
      </c>
      <c r="G38" s="1145">
        <f>C38*S38*(time_cap+time*(VLOOKUP(P38, list!$J$48:$K$50,2,)))*methane/1000</f>
        <v/>
      </c>
      <c r="H38" s="1145">
        <f>D38*S38*(time_cap+time*(VLOOKUP(P38, list!$J$48:$K$50,2,)))*Nitrous/1000</f>
        <v/>
      </c>
      <c r="I38" s="1145">
        <f>E38*T38*(time_cap+time*(VLOOKUP(R38, list!$J$48:$K$50,2,)))*methane/1000</f>
        <v/>
      </c>
      <c r="J38" s="1145">
        <f>F38*T38*(time_cap+time*(VLOOKUP(R38, list!$J$48:$K$50,2,)))*Nitrous/1000</f>
        <v/>
      </c>
      <c r="M38" s="1129">
        <f>B26</f>
        <v/>
      </c>
      <c r="N38" s="3495">
        <f>'6.Inland wetlands'!M15</f>
        <v/>
      </c>
      <c r="O38" s="1152">
        <f>'6.Inland wetlands'!N15</f>
        <v/>
      </c>
      <c r="P38" s="1152">
        <f>VLOOKUP('6.Inland wetlands'!O15, list!$I$48:$J$50,2,FALSE )</f>
        <v/>
      </c>
      <c r="Q38" s="1152">
        <f>'6.Inland wetlands'!P15</f>
        <v/>
      </c>
      <c r="R38" s="1152">
        <f>VLOOKUP('6.Inland wetlands'!Q15, list!$I$48:$J$50,2,FALSE )</f>
        <v/>
      </c>
      <c r="S38" s="1152">
        <f>N38-O38</f>
        <v/>
      </c>
      <c r="T38" s="1152">
        <f>N38-Q38</f>
        <v/>
      </c>
      <c r="Z38" s="1151">
        <f>$L26*$S38</f>
        <v/>
      </c>
      <c r="AA38" s="1151">
        <f>$L26*$T38</f>
        <v/>
      </c>
      <c r="AB38" s="1152">
        <f>-$J26*$S38*44/12</f>
        <v/>
      </c>
      <c r="AC38" s="1152">
        <f>-$J26*44/12*$T38</f>
        <v/>
      </c>
      <c r="AD38" s="1151">
        <f>$N26*$S38</f>
        <v/>
      </c>
      <c r="AE38" s="1151">
        <f>$N26*$T38</f>
        <v/>
      </c>
      <c r="AF38" s="1151">
        <f>($P26*methane+$Q26*Nitrous)/1000*$S38+G38+H38</f>
        <v/>
      </c>
      <c r="AG38" s="1151">
        <f>($S26*methane+$T26*Nitrous)/1000*$T38+I38+J38</f>
        <v/>
      </c>
      <c r="AI38" s="1152">
        <f>Z38+AB38+AD38+AF38+G38+H38</f>
        <v/>
      </c>
      <c r="AJ38" s="1152">
        <f>AA38+AC38+AE38+AG38+I38+J38</f>
        <v/>
      </c>
      <c r="AK38" s="3154">
        <f>AJ38-AI38</f>
        <v/>
      </c>
      <c r="AX38" s="1449">
        <f>SUM($AD38,$AB38,$Z38)</f>
        <v/>
      </c>
      <c r="AY38" s="1449">
        <f>SUM($AE38,$AC38,$AA38)</f>
        <v/>
      </c>
      <c r="AZ38" s="1449">
        <f>$P26/1000*methane*$S38</f>
        <v/>
      </c>
      <c r="BA38" s="1449">
        <f>$S26/1000*methane*$T38</f>
        <v/>
      </c>
      <c r="BB38" s="1449">
        <f>$Q26/1000*Nitrous*$S38</f>
        <v/>
      </c>
      <c r="BC38" s="1449">
        <f>$T26/1000*Nitrous*$T38</f>
        <v/>
      </c>
      <c r="BD38" s="1449" t="n"/>
      <c r="BE38" s="1449" t="n"/>
      <c r="BF38" s="1449" t="n"/>
      <c r="BG38" s="1449" t="n"/>
      <c r="BK38" s="1084" t="inlineStr">
        <is>
          <t>N2O soil drainage</t>
        </is>
      </c>
      <c r="BL38" s="1314">
        <f>SUM(AF66:AF71)+SUM($AF77:$AF82)</f>
        <v/>
      </c>
      <c r="BM38" s="1315">
        <f>SUM(AG66:AG71)+SUM($AG77:$AG82)</f>
        <v/>
      </c>
      <c r="BN38" s="1246">
        <f>BM38-BL38</f>
        <v/>
      </c>
      <c r="BP38" s="1322">
        <f>BK38</f>
        <v/>
      </c>
      <c r="BQ38" s="1312">
        <f>BM38-BL38</f>
        <v/>
      </c>
      <c r="BR38" s="1312">
        <f>IF(time=0,0,SUM(BC66:BC71)-SUM(BB66:BB71))</f>
        <v/>
      </c>
      <c r="BS38" s="1453">
        <f>BQ38-BR38</f>
        <v/>
      </c>
      <c r="BT38" s="1455">
        <f>SUM(BR38:BS38)</f>
        <v/>
      </c>
    </row>
    <row r="39">
      <c r="A39" s="1145">
        <f>IF('6.Inland wetlands'!AZ27=0, IF(AND($G27 &lt;&gt; "Please select", $H27&lt;&gt; "Agroforestry"), INDEX(IPCC!$D$686:$Y$845,MATCH(clim_moist_cont,IPCC!$C$686:$C$845,0),MATCH($G27,IPCC!$D$682:$Y$682,0)), IF($G27 = "Please select", 0, INDEX(IPCC!$E$107:$T$298,MATCH(clim_moist_cont,IPCC!$C$107:$C$298,0),MATCH(G27,IPCC!$E$105:$T$105,0)))), '6.Inland wetlands'!AZ27)</f>
        <v/>
      </c>
      <c r="B39" s="1145">
        <f>A39/0.47</f>
        <v/>
      </c>
      <c r="C39" s="1145">
        <f>IF(AND('6.Inland wetlands'!X16 &lt;&gt; "W/out project", '6.Inland wetlands'!X16 &lt;&gt;"W/out&amp;With"), 0, IF($S39&lt;&gt;0,$B39*$S17*$T17, 0))</f>
        <v/>
      </c>
      <c r="D39" s="1145">
        <f>IF(AND('6.Inland wetlands'!X16 &lt;&gt; "W/out project", '6.Inland wetlands'!X16 &lt;&gt;"W/out&amp;With"), 0,IF($S39&lt;&gt;0,$B39*$S17*$U17, 0))</f>
        <v/>
      </c>
      <c r="E39" s="1145">
        <f>IF(AND('6.Inland wetlands'!X16 &lt;&gt; "With project", '6.Inland wetlands'!X16 &lt;&gt;"W/out&amp;With"), 0,IF($T39&lt;&gt;0,$B39*$S17*$T17, 0))</f>
        <v/>
      </c>
      <c r="F39" s="1145">
        <f>IF(AND('6.Inland wetlands'!X16 &lt;&gt; "With project", '6.Inland wetlands'!X16 &lt;&gt;"W/out&amp;With"), 0, IF($T39&lt;&gt;0,$B39*$S17*$U17, 0))</f>
        <v/>
      </c>
      <c r="G39" s="1145">
        <f>C39*S39*(time_cap+time*(VLOOKUP(P39, list!$J$48:$K$50,2,)))*methane/1000</f>
        <v/>
      </c>
      <c r="H39" s="1145">
        <f>D39*S39*(time_cap+time*(VLOOKUP(P39, list!$J$48:$K$50,2,)))*Nitrous/1000</f>
        <v/>
      </c>
      <c r="I39" s="1145">
        <f>E39*T39*(time_cap+time*(VLOOKUP(R39, list!$J$48:$K$50,2,)))*methane/1000</f>
        <v/>
      </c>
      <c r="J39" s="1145">
        <f>F39*T39*(time_cap+time*(VLOOKUP(R39, list!$J$48:$K$50,2,)))*Nitrous/1000</f>
        <v/>
      </c>
      <c r="M39" s="1129">
        <f>B27</f>
        <v/>
      </c>
      <c r="N39" s="3495">
        <f>'6.Inland wetlands'!M16</f>
        <v/>
      </c>
      <c r="O39" s="1152">
        <f>'6.Inland wetlands'!N16</f>
        <v/>
      </c>
      <c r="P39" s="1152">
        <f>VLOOKUP('6.Inland wetlands'!O16, list!$I$48:$J$50,2,FALSE )</f>
        <v/>
      </c>
      <c r="Q39" s="1152">
        <f>'6.Inland wetlands'!P16</f>
        <v/>
      </c>
      <c r="R39" s="1152">
        <f>VLOOKUP('6.Inland wetlands'!Q16, list!$I$48:$J$50,2,FALSE )</f>
        <v/>
      </c>
      <c r="S39" s="1152">
        <f>N39-O39</f>
        <v/>
      </c>
      <c r="T39" s="1152">
        <f>N39-Q39</f>
        <v/>
      </c>
      <c r="Z39" s="1151">
        <f>$L27*$S39</f>
        <v/>
      </c>
      <c r="AA39" s="1151">
        <f>$L27*$T39</f>
        <v/>
      </c>
      <c r="AB39" s="1152">
        <f>-$J27*$S39*44/12</f>
        <v/>
      </c>
      <c r="AC39" s="1152">
        <f>-$J27*44/12*$T39</f>
        <v/>
      </c>
      <c r="AD39" s="1151">
        <f>$N27*$S39</f>
        <v/>
      </c>
      <c r="AE39" s="1151">
        <f>$N27*$T39</f>
        <v/>
      </c>
      <c r="AF39" s="1151">
        <f>($P27*methane+$Q27*Nitrous)/1000*$S39+G39+H39</f>
        <v/>
      </c>
      <c r="AG39" s="1151">
        <f>($S27*methane+$T27*Nitrous)/1000*$T39+I39+J39</f>
        <v/>
      </c>
      <c r="AI39" s="1152">
        <f>Z39+AB39+AD39+AF39+G39+H39</f>
        <v/>
      </c>
      <c r="AJ39" s="1152">
        <f>AA39+AC39+AE39+AG39+I39+J39</f>
        <v/>
      </c>
      <c r="AK39" s="3154">
        <f>AJ39-AI39</f>
        <v/>
      </c>
      <c r="AX39" s="1449">
        <f>SUM($AD39,$AB39,$Z39)</f>
        <v/>
      </c>
      <c r="AY39" s="1449">
        <f>SUM($AE39,$AC39,$AA39)</f>
        <v/>
      </c>
      <c r="AZ39" s="1449">
        <f>$P27/1000*methane*$S39</f>
        <v/>
      </c>
      <c r="BA39" s="1449">
        <f>$S27/1000*methane*$T39</f>
        <v/>
      </c>
      <c r="BB39" s="1449">
        <f>$Q27/1000*Nitrous*$S39</f>
        <v/>
      </c>
      <c r="BC39" s="1449">
        <f>$T27/1000*Nitrous*$T39</f>
        <v/>
      </c>
      <c r="BD39" s="1449" t="n"/>
      <c r="BE39" s="1449" t="n"/>
      <c r="BF39" s="1449" t="n"/>
      <c r="BG39" s="1449" t="n"/>
      <c r="BK39" s="1084" t="inlineStr">
        <is>
          <t>CO2 soil rewetting</t>
        </is>
      </c>
      <c r="BL39" s="1314">
        <f>SUM(AB102:AB107)+SUM(AB91:AB96)</f>
        <v/>
      </c>
      <c r="BM39" s="1315">
        <f>SUM(AC91:AC96)+SUM(AC102:AC107)</f>
        <v/>
      </c>
      <c r="BN39" s="1246">
        <f>BM39-BL39</f>
        <v/>
      </c>
      <c r="BP39" s="1322">
        <f>BK39</f>
        <v/>
      </c>
      <c r="BQ39" s="1312">
        <f>BM39-BL39</f>
        <v/>
      </c>
      <c r="BR39" s="1312">
        <f>IF(time=0,0,SUM(AY91:AY96)-SUM(AX91:AX96))</f>
        <v/>
      </c>
      <c r="BS39" s="1453">
        <f>BQ39-BR39</f>
        <v/>
      </c>
      <c r="BT39" s="1455">
        <f>SUM(BR39:BS39)</f>
        <v/>
      </c>
    </row>
    <row r="40">
      <c r="A40" s="1145">
        <f>IF('6.Inland wetlands'!AZ28=0, IF(AND($G28 &lt;&gt; "Please select", $H28&lt;&gt; "Agroforestry"), INDEX(IPCC!$D$686:$Y$845,MATCH(clim_moist_cont,IPCC!$C$686:$C$845,0),MATCH($G28,IPCC!$D$682:$Y$682,0)), IF($G28 = "Please select", 0, INDEX(IPCC!$E$107:$T$298,MATCH(clim_moist_cont,IPCC!$C$107:$C$298,0),MATCH(G28,IPCC!$E$105:$T$105,0)))), '6.Inland wetlands'!AZ28)</f>
        <v/>
      </c>
      <c r="B40" s="1145">
        <f>A40/0.47</f>
        <v/>
      </c>
      <c r="C40" s="1145">
        <f>IF(AND('6.Inland wetlands'!X17 &lt;&gt; "W/out project", '6.Inland wetlands'!X17 &lt;&gt;"W/out&amp;With"), 0, IF($S40&lt;&gt;0,$B40*$S18*$T18, 0))</f>
        <v/>
      </c>
      <c r="D40" s="1145">
        <f>IF(AND('6.Inland wetlands'!X17 &lt;&gt; "W/out project", '6.Inland wetlands'!X17 &lt;&gt;"W/out&amp;With"), 0,IF($S40&lt;&gt;0,$B40*$S18*$U18, 0))</f>
        <v/>
      </c>
      <c r="E40" s="1145">
        <f>IF(AND('6.Inland wetlands'!X17 &lt;&gt; "With project", '6.Inland wetlands'!X17 &lt;&gt;"W/out&amp;With"), 0,IF($T40&lt;&gt;0,$B40*$S18*$T18, 0))</f>
        <v/>
      </c>
      <c r="F40" s="1145">
        <f>IF(AND('6.Inland wetlands'!X17 &lt;&gt; "With project", '6.Inland wetlands'!X17 &lt;&gt;"W/out&amp;With"), 0, IF($T40&lt;&gt;0,$B40*$S18*$U18, 0))</f>
        <v/>
      </c>
      <c r="G40" s="1145">
        <f>C40*S40*(time_cap+time*(VLOOKUP(P40, list!$J$48:$K$50,2,)))*methane/1000</f>
        <v/>
      </c>
      <c r="H40" s="1145">
        <f>D40*S40*(time_cap+time*(VLOOKUP(P40, list!$J$48:$K$50,2,)))*Nitrous/1000</f>
        <v/>
      </c>
      <c r="I40" s="1145">
        <f>E40*T40*(time_cap+time*(VLOOKUP(R40, list!$J$48:$K$50,2,)))*methane/1000</f>
        <v/>
      </c>
      <c r="J40" s="1145">
        <f>F40*T40*(time_cap+time*(VLOOKUP(R40, list!$J$48:$K$50,2,)))*Nitrous/1000</f>
        <v/>
      </c>
      <c r="M40" s="1129">
        <f>B28</f>
        <v/>
      </c>
      <c r="N40" s="3495">
        <f>'6.Inland wetlands'!M17</f>
        <v/>
      </c>
      <c r="O40" s="1152">
        <f>'6.Inland wetlands'!N17</f>
        <v/>
      </c>
      <c r="P40" s="1152">
        <f>VLOOKUP('6.Inland wetlands'!O17, list!$I$48:$J$50,2,FALSE )</f>
        <v/>
      </c>
      <c r="Q40" s="1152">
        <f>'6.Inland wetlands'!P17</f>
        <v/>
      </c>
      <c r="R40" s="1152">
        <f>VLOOKUP('6.Inland wetlands'!Q17, list!$I$48:$J$50,2,FALSE )</f>
        <v/>
      </c>
      <c r="S40" s="1152">
        <f>N40-O40</f>
        <v/>
      </c>
      <c r="T40" s="1152">
        <f>N40-Q40</f>
        <v/>
      </c>
      <c r="Z40" s="1151">
        <f>$L28*$S40</f>
        <v/>
      </c>
      <c r="AA40" s="1151">
        <f>$L28*$T40</f>
        <v/>
      </c>
      <c r="AB40" s="1152">
        <f>-$J28*$S40*44/12</f>
        <v/>
      </c>
      <c r="AC40" s="1152">
        <f>-$J28*44/12*$T40</f>
        <v/>
      </c>
      <c r="AD40" s="1151">
        <f>$N28*$S40</f>
        <v/>
      </c>
      <c r="AE40" s="1151">
        <f>$N28*$T40</f>
        <v/>
      </c>
      <c r="AF40" s="1151">
        <f>($P28*methane+$Q28*Nitrous)/1000*$S40+G40+H40</f>
        <v/>
      </c>
      <c r="AG40" s="1151">
        <f>($S28*methane+$T28*Nitrous)/1000*$T40+I40+J40</f>
        <v/>
      </c>
      <c r="AI40" s="1152">
        <f>Z40+AB40+AD40+AF40+G40+H40</f>
        <v/>
      </c>
      <c r="AJ40" s="1152">
        <f>AA40+AC40+AE40+AG40+I40+J40</f>
        <v/>
      </c>
      <c r="AK40" s="3154">
        <f>AJ40-AI40</f>
        <v/>
      </c>
      <c r="AX40" s="1449">
        <f>SUM($AD40,$AB40,$Z40)</f>
        <v/>
      </c>
      <c r="AY40" s="1449">
        <f>SUM($AE40,$AC40,$AA40)</f>
        <v/>
      </c>
      <c r="AZ40" s="1449">
        <f>$P28/1000*methane*$S40</f>
        <v/>
      </c>
      <c r="BA40" s="1449">
        <f>$S28/1000*methane*$T40</f>
        <v/>
      </c>
      <c r="BB40" s="1449">
        <f>$Q28/1000*Nitrous*$S40</f>
        <v/>
      </c>
      <c r="BC40" s="1449">
        <f>$T28/1000*Nitrous*$T40</f>
        <v/>
      </c>
      <c r="BD40" s="1449" t="n"/>
      <c r="BE40" s="1449" t="n"/>
      <c r="BF40" s="1449" t="n"/>
      <c r="BG40" s="1449" t="n"/>
      <c r="BK40" s="1084" t="inlineStr">
        <is>
          <t>CH4 soil rewetting</t>
        </is>
      </c>
      <c r="BL40" s="1314">
        <f>SUM(AD91:AD96)+SUM(AD102:AD107)</f>
        <v/>
      </c>
      <c r="BM40" s="1315">
        <f>SUM(AE91:AE96)+SUM(AE102:AE107)</f>
        <v/>
      </c>
      <c r="BN40" s="1246">
        <f>BM40-BL40</f>
        <v/>
      </c>
      <c r="BP40" s="1322">
        <f>BK40</f>
        <v/>
      </c>
      <c r="BQ40" s="1312">
        <f>BM40-BL40</f>
        <v/>
      </c>
      <c r="BR40" s="1312">
        <f>IF(time=0,0,SUM(BA91:BA96)-SUM(AZ91:AZ96))</f>
        <v/>
      </c>
      <c r="BS40" s="1453">
        <f>BQ40-BR40</f>
        <v/>
      </c>
      <c r="BT40" s="1455">
        <f>SUM(BR40:BS40)</f>
        <v/>
      </c>
    </row>
    <row r="41">
      <c r="A41" s="1145">
        <f>IF('6.Inland wetlands'!AZ29=0, IF(AND($G29 &lt;&gt; "Please select", $H29&lt;&gt; "Agroforestry"), INDEX(IPCC!$D$686:$Y$845,MATCH(clim_moist_cont,IPCC!$C$686:$C$845,0),MATCH($G29,IPCC!$D$682:$Y$682,0)), IF($G29 = "Please select", 0, INDEX(IPCC!$E$107:$T$298,MATCH(clim_moist_cont,IPCC!$C$107:$C$298,0),MATCH(G29,IPCC!$E$105:$T$105,0)))), '6.Inland wetlands'!AZ29)</f>
        <v/>
      </c>
      <c r="B41" s="1145">
        <f>A41/0.47</f>
        <v/>
      </c>
      <c r="C41" s="1145">
        <f>IF(AND('6.Inland wetlands'!X18 &lt;&gt; "W/out project", '6.Inland wetlands'!X18 &lt;&gt;"W/out&amp;With"), 0, IF($S41&lt;&gt;0,$B41*$S19*$T19, 0))</f>
        <v/>
      </c>
      <c r="D41" s="1145">
        <f>IF(AND('6.Inland wetlands'!X18 &lt;&gt; "W/out project", '6.Inland wetlands'!X18 &lt;&gt;"W/out&amp;With"), 0,IF($S41&lt;&gt;0,$B41*$S19*$U19, 0))</f>
        <v/>
      </c>
      <c r="E41" s="1145">
        <f>IF(AND('6.Inland wetlands'!X18 &lt;&gt; "With project", '6.Inland wetlands'!X18 &lt;&gt;"W/out&amp;With"), 0,IF($T41&lt;&gt;0,$B41*$S19*$T19, 0))</f>
        <v/>
      </c>
      <c r="F41" s="1145">
        <f>IF(AND('6.Inland wetlands'!X18 &lt;&gt; "With project", '6.Inland wetlands'!X18 &lt;&gt;"W/out&amp;With"), 0, IF($T41&lt;&gt;0,$B41*$S19*$U19, 0))</f>
        <v/>
      </c>
      <c r="G41" s="1145">
        <f>C41*S41*(time_cap+time*(VLOOKUP(P41, list!$J$48:$K$50,2,)))*methane/1000</f>
        <v/>
      </c>
      <c r="H41" s="1145">
        <f>D41*S41*(time_cap+time*(VLOOKUP(P41, list!$J$48:$K$50,2,)))*Nitrous/1000</f>
        <v/>
      </c>
      <c r="I41" s="1145">
        <f>E41*T41*(time_cap+time*(VLOOKUP(R41, list!$J$48:$K$50,2,)))*methane/1000</f>
        <v/>
      </c>
      <c r="J41" s="1145">
        <f>F41*T41*(time_cap+time*(VLOOKUP(R41, list!$J$48:$K$50,2,)))*Nitrous/1000</f>
        <v/>
      </c>
      <c r="M41" s="1129">
        <f>B29</f>
        <v/>
      </c>
      <c r="N41" s="3496">
        <f>'6.Inland wetlands'!M18</f>
        <v/>
      </c>
      <c r="O41" s="1153">
        <f>'6.Inland wetlands'!N18</f>
        <v/>
      </c>
      <c r="P41" s="1153">
        <f>VLOOKUP('6.Inland wetlands'!O18, list!$I$48:$J$50,2,FALSE )</f>
        <v/>
      </c>
      <c r="Q41" s="1153">
        <f>'6.Inland wetlands'!P18</f>
        <v/>
      </c>
      <c r="R41" s="1153">
        <f>VLOOKUP('6.Inland wetlands'!Q18, list!$I$48:$J$50,2,FALSE )</f>
        <v/>
      </c>
      <c r="S41" s="1153">
        <f>N41-O41</f>
        <v/>
      </c>
      <c r="T41" s="1153">
        <f>N41-Q41</f>
        <v/>
      </c>
      <c r="Z41" s="1151">
        <f>$L29*$S41</f>
        <v/>
      </c>
      <c r="AA41" s="1151">
        <f>$L29*$T41</f>
        <v/>
      </c>
      <c r="AB41" s="1153">
        <f>-$J29*$S41*44/12</f>
        <v/>
      </c>
      <c r="AC41" s="1153">
        <f>-$J29*44/12*$T41</f>
        <v/>
      </c>
      <c r="AD41" s="1151">
        <f>$N29*$S41</f>
        <v/>
      </c>
      <c r="AE41" s="1151">
        <f>$N29*$T41</f>
        <v/>
      </c>
      <c r="AF41" s="1151">
        <f>($P29*methane+$Q29*Nitrous)/1000*$S41+G41+H41</f>
        <v/>
      </c>
      <c r="AG41" s="1151">
        <f>($S29*methane+$T29*Nitrous)/1000*$T41+I41+J41</f>
        <v/>
      </c>
      <c r="AI41" s="1152">
        <f>Z41+AB41+AD41+AF41+G41+H41</f>
        <v/>
      </c>
      <c r="AJ41" s="1152">
        <f>AA41+AC41+AE41+AG41+I41+J41</f>
        <v/>
      </c>
      <c r="AK41" s="3154">
        <f>AJ41-AI41</f>
        <v/>
      </c>
      <c r="AX41" s="1449">
        <f>SUM($AD41,$AB41,$Z41)</f>
        <v/>
      </c>
      <c r="AY41" s="1449">
        <f>SUM($AE41,$AC41,$AA41)</f>
        <v/>
      </c>
      <c r="AZ41" s="1449">
        <f>$P29/1000*methane*$S41</f>
        <v/>
      </c>
      <c r="BA41" s="1449">
        <f>$S29/1000*methane*$T41</f>
        <v/>
      </c>
      <c r="BB41" s="1449">
        <f>$Q29/1000*Nitrous*$S41</f>
        <v/>
      </c>
      <c r="BC41" s="1449">
        <f>$T29/1000*Nitrous*$T41</f>
        <v/>
      </c>
      <c r="BD41" s="1449" t="n"/>
      <c r="BE41" s="1449" t="n"/>
      <c r="BF41" s="1449" t="n"/>
      <c r="BG41" s="1449" t="n"/>
      <c r="BK41" s="1084" t="inlineStr">
        <is>
          <t>N2O soil rewetting</t>
        </is>
      </c>
      <c r="BL41" s="1314">
        <f>SUM(AF91:AF96)+SUM(AF102:AF107)</f>
        <v/>
      </c>
      <c r="BM41" s="1315">
        <f>SUM(AG91:AG96)+SUM(AG102:AG107)</f>
        <v/>
      </c>
      <c r="BN41" s="1246">
        <f>BM41-BL41</f>
        <v/>
      </c>
      <c r="BP41" s="1322">
        <f>BK41</f>
        <v/>
      </c>
      <c r="BQ41" s="1312">
        <f>BM41-BL41</f>
        <v/>
      </c>
      <c r="BR41" s="1312">
        <f>IF(time=0,0,SUM(BC91:BC96)-SUM(BB91:BB96))</f>
        <v/>
      </c>
      <c r="BS41" s="1453">
        <f>BQ41-BR41</f>
        <v/>
      </c>
      <c r="BT41" s="1455">
        <f>SUM(BR41:BS41)</f>
        <v/>
      </c>
    </row>
    <row r="42">
      <c r="AH42" s="1469" t="n"/>
      <c r="BK42" s="1084" t="inlineStr">
        <is>
          <t>CO2 Fire</t>
        </is>
      </c>
      <c r="BL42" s="1314">
        <f>SUM(AE53:AE58)</f>
        <v/>
      </c>
      <c r="BM42" s="1315">
        <f>SUM(AF53:AF58)</f>
        <v/>
      </c>
      <c r="BN42" s="1246">
        <f>BM42-BL42</f>
        <v/>
      </c>
      <c r="BP42" s="1322">
        <f>BK42</f>
        <v/>
      </c>
      <c r="BQ42" s="1312">
        <f>BM42-BL42</f>
        <v/>
      </c>
      <c r="BR42" s="1312">
        <f>IF(time=0,0,SUM(AZ53:AZ58)-SUM(AY53:AY58))</f>
        <v/>
      </c>
      <c r="BS42" s="1453">
        <f>BQ42-BR42</f>
        <v/>
      </c>
      <c r="BT42" s="1455">
        <f>SUM(BR42:BS42)</f>
        <v/>
      </c>
    </row>
    <row r="43">
      <c r="B43" s="1058" t="n"/>
      <c r="AX43" s="1451">
        <f>SUM(AX36:AX41)</f>
        <v/>
      </c>
      <c r="AY43" s="1451">
        <f>SUM(AY36:AY41)</f>
        <v/>
      </c>
      <c r="AZ43" s="1451">
        <f>SUM(AZ36:AZ41)</f>
        <v/>
      </c>
      <c r="BA43" s="1451">
        <f>SUM(BA36:BA41)</f>
        <v/>
      </c>
      <c r="BB43" s="1451">
        <f>SUM(BB36:BB41)</f>
        <v/>
      </c>
      <c r="BC43" s="1451">
        <f>SUM(BC36:BC41)</f>
        <v/>
      </c>
      <c r="BK43" s="1084" t="inlineStr">
        <is>
          <t>CH4 Fire</t>
        </is>
      </c>
      <c r="BL43" s="1314">
        <f>SUMPRODUCT($P24:$P29,$S36:$S41)*methane/1000+SUM($AG53:$AG58)+SUM(G36:G41)</f>
        <v/>
      </c>
      <c r="BM43" s="1314">
        <f>SUMPRODUCT($S24:$S29,$T36:$T41)*methane/1000+SUM(AH53:AH58)+SUM(I36:I41)</f>
        <v/>
      </c>
      <c r="BN43" s="1246">
        <f>BM43-BL43</f>
        <v/>
      </c>
      <c r="BP43" s="1322">
        <f>BK43</f>
        <v/>
      </c>
      <c r="BQ43" s="1312">
        <f>BM43-BL43</f>
        <v/>
      </c>
      <c r="BR43" s="1312">
        <f>IF(time=0,0,SUM(BA36:BA41)-SUM(AZ36:AZ41)+SUM(BB53:BB58)-SUM(BA53:BA58))</f>
        <v/>
      </c>
      <c r="BS43" s="1453">
        <f>BQ43-BR43</f>
        <v/>
      </c>
      <c r="BT43" s="1455">
        <f>SUM(BR43:BS43)</f>
        <v/>
      </c>
    </row>
    <row r="44">
      <c r="AY44" s="1451">
        <f>AY43-AX43</f>
        <v/>
      </c>
      <c r="AZ44" s="1451" t="n"/>
      <c r="BA44" s="1451">
        <f>BA43-AZ43</f>
        <v/>
      </c>
      <c r="BB44" s="1451" t="n"/>
      <c r="BC44" s="1451">
        <f>BC43-BB43</f>
        <v/>
      </c>
      <c r="BK44" s="1459" t="inlineStr">
        <is>
          <t>N2O Fire</t>
        </is>
      </c>
      <c r="BL44" s="1319">
        <f>SUMPRODUCT($Q24:$Q29,$S36:$S41)*Nitrous/1000+SUM(H36:H41)</f>
        <v/>
      </c>
      <c r="BM44" s="1320">
        <f>SUMPRODUCT($T24:$T29,$T36:$T41)*Nitrous/1000+SUM(J36:J41)</f>
        <v/>
      </c>
      <c r="BN44" s="1246">
        <f>BM44-BL44</f>
        <v/>
      </c>
      <c r="BP44" s="1323">
        <f>BK44</f>
        <v/>
      </c>
      <c r="BQ44" s="1312">
        <f>BM44-BL44</f>
        <v/>
      </c>
      <c r="BR44" s="1319">
        <f>IF(time=0,0,SUM(BC36:BC41)-SUM(BB36:BB41))</f>
        <v/>
      </c>
      <c r="BS44" s="1320">
        <f>BQ44-BR44</f>
        <v/>
      </c>
      <c r="BT44" s="1455">
        <f>SUM(BR44:BS44)</f>
        <v/>
      </c>
    </row>
    <row r="45" ht="30.75" customFormat="1" customHeight="1" s="1089">
      <c r="B45" s="1112" t="inlineStr">
        <is>
          <t xml:space="preserve">Emissions from soil loss of on-site and off-site carbon (CO2, DOC), on-site and off-site methane (CH4), on-site nitrous oxide (N2O) associated with drainage and fire on organic soils </t>
        </is>
      </c>
      <c r="C45" s="1113" t="n"/>
      <c r="D45" s="1113" t="n"/>
      <c r="E45" s="1113" t="n"/>
      <c r="F45" s="1113" t="n"/>
      <c r="G45" s="1113" t="n"/>
      <c r="H45" s="1113" t="n"/>
      <c r="I45" s="1113" t="n"/>
      <c r="J45" s="1113" t="n"/>
      <c r="K45" s="1113" t="n"/>
      <c r="L45" s="1113" t="n"/>
      <c r="M45" s="1113" t="n"/>
      <c r="N45" s="1113" t="n"/>
      <c r="O45" s="1113" t="n"/>
      <c r="P45" s="1113" t="n"/>
      <c r="Q45" s="1113" t="n"/>
      <c r="R45" s="1113" t="n"/>
      <c r="S45" s="1113" t="n"/>
      <c r="T45" s="1113" t="n"/>
      <c r="U45" s="1113" t="n"/>
      <c r="V45" s="1113" t="n"/>
      <c r="W45" s="1113" t="n"/>
      <c r="X45" s="1113" t="n"/>
      <c r="Y45" s="1113" t="n"/>
      <c r="Z45" s="1113" t="n"/>
      <c r="AA45" s="1113" t="n"/>
      <c r="AB45" s="1113" t="n"/>
      <c r="AC45" s="1113" t="n"/>
      <c r="AD45" s="1113" t="n"/>
      <c r="AE45" s="1113" t="n"/>
      <c r="AF45" s="1113" t="n"/>
      <c r="AG45" s="1113" t="n"/>
      <c r="AH45" s="1113" t="n"/>
      <c r="AI45" s="1113" t="n"/>
      <c r="AJ45" s="1113" t="n"/>
      <c r="AK45" s="1113" t="n"/>
      <c r="AX45" s="1447" t="n"/>
      <c r="AY45" s="1447" t="n"/>
      <c r="AZ45" s="1447" t="n"/>
      <c r="BA45" s="1447" t="n"/>
      <c r="BB45" s="1447" t="n"/>
      <c r="BC45" s="1447" t="n"/>
      <c r="BD45" s="1447" t="n"/>
      <c r="BE45" s="1447" t="n"/>
      <c r="BF45" s="1447" t="n"/>
      <c r="BG45" s="1447" t="n"/>
      <c r="BI45" s="973" t="n"/>
      <c r="BK45" s="973" t="n"/>
      <c r="BL45" s="973" t="n"/>
      <c r="BM45" s="973" t="n"/>
      <c r="BN45" s="973" t="n"/>
      <c r="BO45" s="973" t="n"/>
      <c r="BP45" s="1316" t="n"/>
      <c r="BQ45" s="1460">
        <f>SUM(BQ35:BQ44)</f>
        <v/>
      </c>
      <c r="BR45" s="1460">
        <f>SUM(BR35:BR44)</f>
        <v/>
      </c>
      <c r="BS45" s="1460">
        <f>SUM(BS35:BS44)</f>
        <v/>
      </c>
      <c r="BT45" s="992">
        <f>BR45+BS45</f>
        <v/>
      </c>
    </row>
    <row r="46">
      <c r="BK46" s="973" t="inlineStr">
        <is>
          <t>TOTAL (tCO2-eq)</t>
        </is>
      </c>
      <c r="BL46" s="992">
        <f>SUM(BL35:BL44)</f>
        <v/>
      </c>
      <c r="BM46" s="992">
        <f>SUM(BM35:BM44)</f>
        <v/>
      </c>
      <c r="BN46" s="1246">
        <f>BM46-BL46</f>
        <v/>
      </c>
      <c r="BO46" s="1246" t="n"/>
    </row>
    <row r="47" ht="18" customHeight="1">
      <c r="B47" s="1257" t="inlineStr">
        <is>
          <t>Dominant quality of peat for initial land use:</t>
        </is>
      </c>
      <c r="D47" s="1250">
        <f>'6.Inland wetlands'!CK20</f>
        <v/>
      </c>
      <c r="F47" s="1257" t="inlineStr">
        <is>
          <t>Dominant quality of peat for final land use:</t>
        </is>
      </c>
      <c r="J47" s="1250">
        <f>'6.Inland wetlands'!CK33</f>
        <v/>
      </c>
      <c r="BK47" s="973" t="inlineStr">
        <is>
          <t>Total CO2eq activity</t>
        </is>
      </c>
      <c r="BL47" s="992">
        <f>SUM(AI36:AI41,AJ53:AJ58,AI98:AI103,AI71:AI76)</f>
        <v/>
      </c>
      <c r="BM47" s="992">
        <f>SUM(AJ36:AJ41,AK53:AK58,AJ98:AJ103,AJ71:AJ76)</f>
        <v/>
      </c>
      <c r="BN47" s="992">
        <f>SUM(AK36:AK41,AL53:AL58,AK98:AK103,AK71:AK76)</f>
        <v/>
      </c>
      <c r="BO47" s="1246" t="n"/>
    </row>
    <row r="48">
      <c r="Q48" s="1120" t="inlineStr">
        <is>
          <t>GWP CO = 2</t>
        </is>
      </c>
    </row>
    <row r="49" ht="16" customHeight="1">
      <c r="A49" s="1276" t="n"/>
      <c r="B49" s="1231" t="inlineStr">
        <is>
          <t>Conversion details (previous land use, use of fire before deforestation, water table mngt)</t>
        </is>
      </c>
      <c r="G49" s="1262" t="inlineStr">
        <is>
          <t>Deforested area and fire severity and occurrence</t>
        </is>
      </c>
      <c r="H49" s="3489" t="n"/>
      <c r="I49" s="3489" t="n"/>
      <c r="J49" s="3489" t="n"/>
      <c r="K49" s="3489" t="n"/>
      <c r="L49" s="3489" t="n"/>
      <c r="M49" s="3489" t="n"/>
      <c r="N49" s="3489" t="n"/>
      <c r="P49" s="1275" t="inlineStr">
        <is>
          <t>Emission factors for fire on soil</t>
        </is>
      </c>
      <c r="Q49" s="1275" t="n"/>
      <c r="R49" s="1275" t="n"/>
      <c r="S49" s="1276" t="n"/>
      <c r="T49" s="1276" t="n"/>
      <c r="U49" s="1276" t="n"/>
      <c r="V49" s="1276" t="n"/>
      <c r="W49" s="1276" t="n"/>
      <c r="X49" s="1276" t="n"/>
      <c r="Y49" s="1276" t="inlineStr">
        <is>
          <t>SOIL FIRE EMISSIONS</t>
        </is>
      </c>
      <c r="Z49" s="1276" t="n"/>
      <c r="AA49" s="1276" t="n"/>
      <c r="AE49" s="1497" t="inlineStr">
        <is>
          <t>SOIL FIRE EMISSIONS (also valid for rewetted soil)</t>
        </is>
      </c>
      <c r="AF49" s="1276" t="n"/>
      <c r="AG49" s="1276" t="n"/>
      <c r="AH49" s="1276" t="n"/>
      <c r="AJ49" s="1270" t="inlineStr">
        <is>
          <t>Total emissions tCO2eq</t>
        </is>
      </c>
      <c r="AK49" s="1115" t="n"/>
      <c r="AL49" s="1116" t="n"/>
      <c r="AX49" s="973" t="n"/>
      <c r="AY49" s="1287" t="inlineStr">
        <is>
          <t>FIRE ON SOIL</t>
        </is>
      </c>
      <c r="AZ49" s="1501" t="n"/>
      <c r="BA49" s="1501" t="n"/>
      <c r="BH49" s="1264" t="n"/>
      <c r="BL49" s="1246">
        <f>BL47-BL46</f>
        <v/>
      </c>
      <c r="BM49" s="1246">
        <f>BM47-BM46</f>
        <v/>
      </c>
      <c r="BN49" s="1246">
        <f>BN47-BN46</f>
        <v/>
      </c>
    </row>
    <row r="50" ht="17" customHeight="1">
      <c r="A50" s="1276" t="n"/>
      <c r="F50" s="1081" t="inlineStr">
        <is>
          <t>START</t>
        </is>
      </c>
      <c r="G50" s="1105" t="inlineStr">
        <is>
          <t>WITHOUT</t>
        </is>
      </c>
      <c r="H50" s="1100" t="n"/>
      <c r="I50" s="1100" t="n"/>
      <c r="J50" s="1100" t="n"/>
      <c r="K50" s="1106" t="inlineStr">
        <is>
          <t>WITH</t>
        </is>
      </c>
      <c r="L50" s="1101" t="n"/>
      <c r="M50" s="1101" t="n"/>
      <c r="N50" s="1101" t="n"/>
      <c r="P50" s="1275" t="inlineStr">
        <is>
          <t>CO2</t>
        </is>
      </c>
      <c r="Q50" s="1276" t="n"/>
      <c r="R50" s="1275" t="inlineStr">
        <is>
          <t>CO</t>
        </is>
      </c>
      <c r="S50" s="1276" t="n"/>
      <c r="T50" s="1275" t="inlineStr">
        <is>
          <t>CH4</t>
        </is>
      </c>
      <c r="U50" s="1276" t="n"/>
      <c r="V50" s="1275" t="inlineStr">
        <is>
          <t>Dry matter</t>
        </is>
      </c>
      <c r="W50" s="1276" t="n"/>
      <c r="X50" s="1276" t="n"/>
      <c r="Y50" s="1276" t="n"/>
      <c r="Z50" s="1276" t="n"/>
      <c r="AA50" s="1276" t="n"/>
      <c r="AE50" s="1276" t="inlineStr">
        <is>
          <t>tCO2-eq all period</t>
        </is>
      </c>
      <c r="AF50" s="1276" t="n"/>
      <c r="AG50" s="1276" t="n"/>
      <c r="AH50" s="1276" t="n"/>
      <c r="AI50" s="1281" t="n"/>
      <c r="AJ50" s="1270" t="inlineStr">
        <is>
          <t>ALL PERIOD</t>
        </is>
      </c>
      <c r="AK50" s="1104" t="n"/>
      <c r="AL50" s="1116" t="n"/>
      <c r="AX50" s="973" t="n"/>
      <c r="AY50" s="1502" t="inlineStr">
        <is>
          <t>CO2</t>
        </is>
      </c>
      <c r="AZ50" s="1502" t="n"/>
      <c r="BA50" s="1502" t="inlineStr">
        <is>
          <t>CH4</t>
        </is>
      </c>
      <c r="BB50" s="1450" t="n"/>
      <c r="BH50" s="1264" t="n"/>
    </row>
    <row r="51" ht="16" customHeight="1">
      <c r="A51" s="1276" t="n"/>
      <c r="B51" s="1281" t="inlineStr">
        <is>
          <t>Initial land use</t>
        </is>
      </c>
      <c r="D51" s="1281">
        <f>Languages!B333</f>
        <v/>
      </c>
      <c r="F51" s="1069" t="inlineStr">
        <is>
          <t>ha</t>
        </is>
      </c>
      <c r="G51" s="1100" t="inlineStr">
        <is>
          <t>Area deforested</t>
        </is>
      </c>
      <c r="H51" s="1100" t="n"/>
      <c r="I51" s="1100" t="inlineStr">
        <is>
          <t>Periodicity</t>
        </is>
      </c>
      <c r="J51" s="1100" t="inlineStr">
        <is>
          <t>Impact</t>
        </is>
      </c>
      <c r="K51" s="1101" t="inlineStr">
        <is>
          <t>Area deforested</t>
        </is>
      </c>
      <c r="L51" s="1101" t="n"/>
      <c r="M51" s="1101" t="inlineStr">
        <is>
          <t>Periodicity</t>
        </is>
      </c>
      <c r="N51" s="1101" t="inlineStr">
        <is>
          <t>Impact</t>
        </is>
      </c>
      <c r="P51" s="1276" t="inlineStr">
        <is>
          <t>gC/kg d.m.</t>
        </is>
      </c>
      <c r="Q51" s="1276" t="n"/>
      <c r="R51" s="1276" t="inlineStr">
        <is>
          <t>gCO/kg d.m.</t>
        </is>
      </c>
      <c r="S51" s="1276" t="n"/>
      <c r="T51" s="1276" t="inlineStr">
        <is>
          <t>gCH4/kg d.m.</t>
        </is>
      </c>
      <c r="U51" s="1276" t="n"/>
      <c r="V51" s="1276" t="inlineStr">
        <is>
          <t>t d.m./ha</t>
        </is>
      </c>
      <c r="W51" s="1276" t="n"/>
      <c r="X51" s="1276" t="n"/>
      <c r="Y51" s="1309" t="inlineStr">
        <is>
          <t>Biomass burnt (tonne dry matter)</t>
        </is>
      </c>
      <c r="Z51" s="1276" t="n"/>
      <c r="AA51" s="1276" t="n"/>
      <c r="AE51" s="1276" t="inlineStr">
        <is>
          <t>CO2&amp;CO</t>
        </is>
      </c>
      <c r="AF51" s="1276" t="n"/>
      <c r="AG51" s="1276" t="inlineStr">
        <is>
          <t>CH4</t>
        </is>
      </c>
      <c r="AH51" s="1276" t="n"/>
      <c r="AJ51" s="1270" t="inlineStr">
        <is>
          <t>FIRE SOIL</t>
        </is>
      </c>
      <c r="AK51" s="1116" t="n"/>
      <c r="AL51" s="1116" t="n"/>
      <c r="AX51" s="973" t="n"/>
      <c r="AY51" s="1264" t="inlineStr">
        <is>
          <t>IMPLEMENTATION PHASE</t>
        </is>
      </c>
      <c r="BA51" s="1264" t="inlineStr">
        <is>
          <t>IMPLEMENTATION PHASE</t>
        </is>
      </c>
      <c r="BH51" s="1264" t="n"/>
    </row>
    <row r="52" ht="15" customHeight="1">
      <c r="A52" s="1276" t="n"/>
      <c r="B52" s="1281" t="inlineStr">
        <is>
          <t>User selection</t>
        </is>
      </c>
      <c r="C52" s="1281" t="inlineStr">
        <is>
          <t>IPCC equivalent*</t>
        </is>
      </c>
      <c r="D52" s="1281" t="inlineStr">
        <is>
          <t>User selection</t>
        </is>
      </c>
      <c r="E52" s="1281" t="inlineStr">
        <is>
          <t>IPCC equivalent*</t>
        </is>
      </c>
      <c r="F52" s="1281" t="n"/>
      <c r="G52" s="1102" t="inlineStr">
        <is>
          <t>ha</t>
        </is>
      </c>
      <c r="H52" s="1102" t="inlineStr">
        <is>
          <t>Rate</t>
        </is>
      </c>
      <c r="I52" s="1102" t="inlineStr">
        <is>
          <t>Year</t>
        </is>
      </c>
      <c r="J52" s="1107" t="inlineStr">
        <is>
          <t>%area burnt</t>
        </is>
      </c>
      <c r="K52" s="1103" t="inlineStr">
        <is>
          <t>ha</t>
        </is>
      </c>
      <c r="L52" s="1103" t="inlineStr">
        <is>
          <t>Rate</t>
        </is>
      </c>
      <c r="M52" s="1103" t="inlineStr">
        <is>
          <t>Year</t>
        </is>
      </c>
      <c r="N52" s="1108" t="inlineStr">
        <is>
          <t>%area burnt</t>
        </is>
      </c>
      <c r="P52" s="1277" t="inlineStr">
        <is>
          <t>IPCC</t>
        </is>
      </c>
      <c r="Q52" s="1277" t="inlineStr">
        <is>
          <t>Tier 2</t>
        </is>
      </c>
      <c r="R52" s="1277" t="inlineStr">
        <is>
          <t>IPCC</t>
        </is>
      </c>
      <c r="S52" s="1277" t="inlineStr">
        <is>
          <t>Tier 2</t>
        </is>
      </c>
      <c r="T52" s="1277" t="inlineStr">
        <is>
          <t>IPCC</t>
        </is>
      </c>
      <c r="U52" s="1277" t="inlineStr">
        <is>
          <t>Tier 2</t>
        </is>
      </c>
      <c r="V52" s="1277" t="inlineStr">
        <is>
          <t>IPCC</t>
        </is>
      </c>
      <c r="W52" s="1277" t="inlineStr">
        <is>
          <t>Tier 2</t>
        </is>
      </c>
      <c r="X52" s="1276" t="n"/>
      <c r="Y52" s="973" t="inlineStr">
        <is>
          <t>Start</t>
        </is>
      </c>
      <c r="Z52" s="1102" t="inlineStr">
        <is>
          <t>Without</t>
        </is>
      </c>
      <c r="AA52" s="1103" t="inlineStr">
        <is>
          <t>With</t>
        </is>
      </c>
      <c r="AE52" s="1102" t="inlineStr">
        <is>
          <t>Without</t>
        </is>
      </c>
      <c r="AF52" s="1103" t="inlineStr">
        <is>
          <t>With</t>
        </is>
      </c>
      <c r="AG52" s="1102" t="inlineStr">
        <is>
          <t>Without</t>
        </is>
      </c>
      <c r="AH52" s="1103" t="inlineStr">
        <is>
          <t>With</t>
        </is>
      </c>
      <c r="AI52" s="1688" t="n"/>
      <c r="AJ52" s="1102" t="inlineStr">
        <is>
          <t>WITHOUT</t>
        </is>
      </c>
      <c r="AK52" s="1103" t="inlineStr">
        <is>
          <t>WITH</t>
        </is>
      </c>
      <c r="AL52" s="1104" t="inlineStr">
        <is>
          <t>BALANCE</t>
        </is>
      </c>
      <c r="AM52" s="1688" t="n"/>
      <c r="AN52" s="1688" t="n"/>
      <c r="AX52" s="973" t="n"/>
      <c r="AY52" s="1272" t="inlineStr">
        <is>
          <t>WITHOUT</t>
        </is>
      </c>
      <c r="AZ52" s="1272" t="inlineStr">
        <is>
          <t>WITH</t>
        </is>
      </c>
      <c r="BA52" s="1272" t="inlineStr">
        <is>
          <t>WITHOUT</t>
        </is>
      </c>
      <c r="BB52" s="1272" t="inlineStr">
        <is>
          <t>WITH</t>
        </is>
      </c>
      <c r="BH52" s="1264" t="n"/>
    </row>
    <row r="53">
      <c r="A53" s="1276" t="inlineStr">
        <is>
          <t>S1</t>
        </is>
      </c>
      <c r="B53" s="973">
        <f>'6.Inland wetlands'!C13</f>
        <v/>
      </c>
      <c r="C53" s="1109">
        <f>IF(B53="Please select","",IF(ISNUMBER(SEARCH("Planted",B53)),"Plantation","Forest"))</f>
        <v/>
      </c>
      <c r="D53" s="973">
        <f>'6.Inland wetlands'!I13</f>
        <v/>
      </c>
      <c r="E53" s="1109">
        <f>IF(D53="Please select","",IF(ISNUMBER(SEARCH("Annual",$D53)),"Annual",IF(ISNUMBER(SEARCH(list!$C$218,'Inl. wetlands'!$D53)),"Other land",IF($D53="Agroforestry","Perennial",'Inl. wetlands'!$D53))))</f>
        <v/>
      </c>
      <c r="F53" s="3493">
        <f>N36</f>
        <v/>
      </c>
      <c r="G53" s="3493">
        <f>'6.Inland wetlands'!S13</f>
        <v/>
      </c>
      <c r="H53" s="1154">
        <f>VLOOKUP('6.Inland wetlands'!O13, list!$I$48:$J$50,2,FALSE )</f>
        <v/>
      </c>
      <c r="I53" s="1154">
        <f>'6.Inland wetlands'!DB13</f>
        <v/>
      </c>
      <c r="J53" s="1155">
        <f>'6.Inland wetlands'!DC13</f>
        <v/>
      </c>
      <c r="K53" s="1151">
        <f>'6.Inland wetlands'!T13</f>
        <v/>
      </c>
      <c r="L53" s="1154">
        <f>VLOOKUP('6.Inland wetlands'!Q13, list!$I$48:$J$50,2,FALSE )</f>
        <v/>
      </c>
      <c r="M53" s="1154">
        <f>'6.Inland wetlands'!DE13</f>
        <v/>
      </c>
      <c r="N53" s="1156">
        <f>'6.Inland wetlands'!DF13</f>
        <v/>
      </c>
      <c r="P53" s="1111">
        <f>IFERROR(INDEX(IPCC!$A$2037:$D$2048,MATCH(clim_moist,IPCC!$A$2037:$A$2048,0),MATCH('Inl. wetlands'!$P$50,IPCC!$A$2037:$D$2037,0)),0)</f>
        <v/>
      </c>
      <c r="Q53" s="3492">
        <f>IF('6.Inland wetlands'!DI13="",'6.Inland wetlands'!DH13,'6.Inland wetlands'!DI13)</f>
        <v/>
      </c>
      <c r="R53" s="1111">
        <f>IFERROR(INDEX(IPCC!$A$2037:$D$2048,MATCH(clim_moist,IPCC!$A$2037:$A$2048,0),MATCH('Inl. wetlands'!$R$50,IPCC!$A$2037:$D$2037,0)),0)</f>
        <v/>
      </c>
      <c r="S53" s="3492">
        <f>IF('6.Inland wetlands'!DK13="",'6.Inland wetlands'!DJ13,'6.Inland wetlands'!DK13)</f>
        <v/>
      </c>
      <c r="T53" s="1111">
        <f>IFERROR(INDEX(IPCC!$A$2037:$D$2048,MATCH(clim_moist,IPCC!$A$2037:$A$2048,0),MATCH('Inl. wetlands'!$T$50,IPCC!$A$2037:$D$2037,0)),0)</f>
        <v/>
      </c>
      <c r="U53" s="3492">
        <f>IF('6.Inland wetlands'!DM13="",'6.Inland wetlands'!DL13,'6.Inland wetlands'!DM13)</f>
        <v/>
      </c>
      <c r="V53" s="1111">
        <f>IFERROR(INDEX(IPCC!$A$2020:$D$2031,MATCH(clim_moist,IPCC!$A$2021:$A$2031,0),MATCH('6.Inland wetlands'!$CZ13,IPCC!$A$2020:$D$2020,0)),0)</f>
        <v/>
      </c>
      <c r="W53" s="3492">
        <f>IF('6.Inland wetlands'!DO13="",'6.Inland wetlands'!DN13,'6.Inland wetlands'!DO13)</f>
        <v/>
      </c>
      <c r="X53" s="1276" t="n"/>
      <c r="Y53" s="1151" t="n">
        <v>0</v>
      </c>
      <c r="Z53" s="1151">
        <f>IF('6.Inland wetlands'!$CZ13=list!$F$210,0,W53*G53)</f>
        <v/>
      </c>
      <c r="AA53" s="1151">
        <f>IF('6.Inland wetlands'!$CZ13=list!$F$210,0,W53*K53)</f>
        <v/>
      </c>
      <c r="AE53" s="1151">
        <f>IF(OR('6.Inland wetlands'!$AA25=list!$E$214,'6.Inland wetlands'!$AA25=list!$E$212,'6.Inland wetlands'!$AA25=list!$E$210),0,IF($I53&gt;time_tot,0,MIN($Y53,$Z53)*time_tot+ABS($Z53-$Y53)*IF($Z53&gt;$Y53,time_cap+time*VLOOKUP($H53,list!$J$48:$K$50,2,0),time*(1-VLOOKUP($H53,list!$J$48:$K$50,2,0))))*(1/$I53)*($J53)*($Q53*44/12/1000)+IF($I53&gt;time_tot,0,MIN($Y53,$Z53)*time_tot+ABS($Z53-$Y53)*IF($Z53&gt;$Y53,time_cap+time*VLOOKUP($H53,list!$J$48:$K$50,2,0),time*(1-VLOOKUP($H53,list!$J$48:$K$50,2,0))))*(1/$I53)*($J53)*($S53*2/1000))</f>
        <v/>
      </c>
      <c r="AF53" s="1151">
        <f>IF(OR('6.Inland wetlands'!$AA25=list!$E$214,'6.Inland wetlands'!$AA25=list!$E$211,'6.Inland wetlands'!$AA25=list!$E$210),0,IF($M53&gt;time_tot,0,MIN($Y53,$AA53)*time_tot+ABS($AA53-$Y53)*IF($AA53&gt;$Y53,time_cap+time*VLOOKUP($L53,list!$J$48:$K$50,2,0),time*(1-VLOOKUP($L53,list!$J$48:$K$50,2,0))))*(1/$M53)*($N53)*($Q53*44/12/1000)+IF($M53&gt;time_tot,0,MIN($Y53,$AA53)*time_tot+ABS($AA53-$Y53)*IF($AA53&gt;$Y53,time_cap+time*VLOOKUP($L53,list!$J$48:$K$50,2,0),time*(1-VLOOKUP($L53,list!$J$48:$K$50,2,0))))*(1/$M53)*($N53)*($S53*2/1000))</f>
        <v/>
      </c>
      <c r="AG53" s="1151">
        <f>IF(OR('6.Inland wetlands'!$AA25=list!$E$214,'6.Inland wetlands'!$AA25=list!$E$212,'6.Inland wetlands'!$AA25=list!$E$210),0,IF($I53&gt;time_tot,0,MIN($Y53,$Z53)*time_tot+ABS($Z53-$Y53)*IF($Z53&gt;$Y53,time_cap+time*VLOOKUP($H53,list!$J$48:$K$50,2,0),time*(1-VLOOKUP($H53,list!$J$48:$K$50,2,0))))*(1/$I53)*($J53)*(U53*methane/1000))</f>
        <v/>
      </c>
      <c r="AH53" s="1151">
        <f>IF(OR('6.Inland wetlands'!$AA25=list!$E$214,'6.Inland wetlands'!$AA25=list!$E$211,'6.Inland wetlands'!$AA25=list!$E$210),0,IF($M53&gt;time_tot,0,MIN($Y53,$AA53)*time_tot+ABS($AA53-$Y53)*IF($AA53&gt;$Y53,time_cap+time*VLOOKUP($L53,list!$J$48:$K$50,2,0),time*(1-VLOOKUP($L53,list!$J$48:$K$50,2,0))))*(1/$M53)*($N53)*($U53*methane/1000))</f>
        <v/>
      </c>
      <c r="AI53" s="1165" t="n"/>
      <c r="AJ53" s="1152">
        <f>$AE53+$AG53</f>
        <v/>
      </c>
      <c r="AK53" s="1152">
        <f>$AF53+$AH53</f>
        <v/>
      </c>
      <c r="AL53" s="3154">
        <f>AK53-AJ53</f>
        <v/>
      </c>
      <c r="AM53" s="992" t="n"/>
      <c r="AN53" s="992" t="n"/>
      <c r="AX53" s="973" t="n"/>
      <c r="AY53" s="1449">
        <f>IF('6.Inland wetlands'!$CZ13=list!$F$210,0,IF($I53&gt;time_tot,0,MIN($Y53,$Z53)*time+ABS($Z53-$Y53)*IF($Z53&gt;$Y53,time*VLOOKUP($H53,list!$J$48:$K$50,2,0),time*(1-VLOOKUP($H53,list!$J$48:$K$50,2,0))))*(1/$I53)*($J53)*($Q53/1000)+IF($I53&gt;time_tot,0,MIN($Y53,$Z53)*time+ABS($Z53-$Y53)*IF($Z53&gt;$Y53,time*VLOOKUP($H53,list!$J$48:$K$50,2,0),time*(1-VLOOKUP($H53,list!$J$48:$K$50,2,0))))*(1/$I53)*($J53)*($S53*2/1000))</f>
        <v/>
      </c>
      <c r="AZ53" s="1449">
        <f>IF('6.Inland wetlands'!$CZ13=list!$F$210,0,IF($M53&gt;time_tot,0,MIN($Y53,$AA53)*time+ABS($AA53-$Y53)*IF($AA53&gt;$Y53,time*VLOOKUP($L53,list!$J$48:$K$50,2,0),time*(1-VLOOKUP($L53,list!$J$48:$K$50,2,0))))*(1/$M53)*($N53)*($Q53/1000)+IF($M53&gt;time_tot,0,MIN($Y53,$AA53)*time+ABS($AA53-$Y53)*IF($AA53&gt;$Y53,time*VLOOKUP($L53,list!$J$48:$K$50,2,0),time*(1-VLOOKUP($L53,list!$J$48:$K$50,2,0))))*(1/$M53)*($N53)*($S53*2/1000))</f>
        <v/>
      </c>
      <c r="BA53" s="1449">
        <f>IF('6.Inland wetlands'!$CZ13=list!$F$210,0,IF($I53&gt;time_tot,0,MIN($Y53,$Z53)*time+ABS($Z53-$Y53)*IF($Z53&gt;$Y53,time*VLOOKUP($H53,list!$J$48:$K$50,2,0),time*(1-VLOOKUP($H53,list!$J$48:$K$50,2,0))))*(1/$I53)*($J53)*(U53*methane/1000))</f>
        <v/>
      </c>
      <c r="BB53" s="1449">
        <f>IF('6.Inland wetlands'!$CZ13=list!$F$210,0,IF($M53&gt;time_tot,0,MIN($Y53,$AA53)*time+ABS($AA53-$Y53)*IF($AA53&gt;$Y53,time*VLOOKUP($L53,list!$J$48:$K$50,2,0),time*(1-VLOOKUP($L53,list!$J$48:$K$50,2,0))))*(1/$M53)*($N53)*($U53*methane/1000))</f>
        <v/>
      </c>
      <c r="BH53" s="1264" t="n"/>
    </row>
    <row r="54">
      <c r="A54" s="1276" t="inlineStr">
        <is>
          <t>S2</t>
        </is>
      </c>
      <c r="B54" s="973">
        <f>'6.Inland wetlands'!C14</f>
        <v/>
      </c>
      <c r="C54" s="1109">
        <f>IF(B54="Please select","",IF(ISNUMBER(SEARCH("Planted",B54)),"Plantation","Forest"))</f>
        <v/>
      </c>
      <c r="D54" s="973">
        <f>'6.Inland wetlands'!I14</f>
        <v/>
      </c>
      <c r="E54" s="1109">
        <f>IF(D54="Please select","",IF(ISNUMBER(SEARCH("Annual",$D54)),"Annual",IF(ISNUMBER(SEARCH(list!$C$218,'Inl. wetlands'!$D54)),"Other land",IF($D54="Agroforestry","Perennial",'Inl. wetlands'!$D54))))</f>
        <v/>
      </c>
      <c r="F54" s="3493">
        <f>N37</f>
        <v/>
      </c>
      <c r="G54" s="3493">
        <f>'6.Inland wetlands'!S14</f>
        <v/>
      </c>
      <c r="H54" s="1154">
        <f>VLOOKUP('6.Inland wetlands'!O14, list!$I$48:$J$50,2,FALSE )</f>
        <v/>
      </c>
      <c r="I54" s="1154">
        <f>'6.Inland wetlands'!DB14</f>
        <v/>
      </c>
      <c r="J54" s="1155">
        <f>'6.Inland wetlands'!DC14</f>
        <v/>
      </c>
      <c r="K54" s="1151">
        <f>'6.Inland wetlands'!T14</f>
        <v/>
      </c>
      <c r="L54" s="1154">
        <f>VLOOKUP('6.Inland wetlands'!Q14, list!$I$48:$J$50,2,FALSE )</f>
        <v/>
      </c>
      <c r="M54" s="1154">
        <f>'6.Inland wetlands'!DE14</f>
        <v/>
      </c>
      <c r="N54" s="1156">
        <f>'6.Inland wetlands'!DF14</f>
        <v/>
      </c>
      <c r="P54" s="1111">
        <f>IFERROR(INDEX(IPCC!$A$2037:$D$2048,MATCH(clim_moist,IPCC!$A$2037:$A$2048,0),MATCH('Inl. wetlands'!$P$50,IPCC!$A$2037:$D$2037,0)),0)</f>
        <v/>
      </c>
      <c r="Q54" s="3492">
        <f>IF('6.Inland wetlands'!DI14="",'6.Inland wetlands'!DH14,'6.Inland wetlands'!DI14)</f>
        <v/>
      </c>
      <c r="R54" s="1111">
        <f>IFERROR(INDEX(IPCC!$A$2037:$D$2048,MATCH(clim_moist,IPCC!$A$2037:$A$2048,0),MATCH('Inl. wetlands'!$R$50,IPCC!$A$2037:$D$2037,0)),0)</f>
        <v/>
      </c>
      <c r="S54" s="3492">
        <f>IF('6.Inland wetlands'!DK14="",'6.Inland wetlands'!DJ14,'6.Inland wetlands'!DK14)</f>
        <v/>
      </c>
      <c r="T54" s="1111">
        <f>IFERROR(INDEX(IPCC!$A$2037:$D$2048,MATCH(clim_moist,IPCC!$A$2037:$A$2048,0),MATCH('Inl. wetlands'!$T$50,IPCC!$A$2037:$D$2037,0)),0)</f>
        <v/>
      </c>
      <c r="U54" s="3492">
        <f>IF('6.Inland wetlands'!DM14="",'6.Inland wetlands'!DL14,'6.Inland wetlands'!DM14)</f>
        <v/>
      </c>
      <c r="V54" s="1111">
        <f>IFERROR(INDEX(IPCC!$A$2020:$D$2031,MATCH(clim_moist,IPCC!$A$2021:$A$2031,0),MATCH('6.Inland wetlands'!$CZ14,IPCC!$A$2020:$D$2020,0)),0)</f>
        <v/>
      </c>
      <c r="W54" s="3492">
        <f>IF('6.Inland wetlands'!DO14="",'6.Inland wetlands'!DN14,'6.Inland wetlands'!DO14)</f>
        <v/>
      </c>
      <c r="X54" s="1276" t="n"/>
      <c r="Y54" s="1151" t="n">
        <v>0</v>
      </c>
      <c r="Z54" s="1151">
        <f>IF('6.Inland wetlands'!$CZ14=list!$F$210,0,W54*G54)</f>
        <v/>
      </c>
      <c r="AA54" s="1151">
        <f>IF('6.Inland wetlands'!$CZ14=list!$F$210,0,W54*K54)</f>
        <v/>
      </c>
      <c r="AE54" s="1151">
        <f>IF(OR('6.Inland wetlands'!$AA26=list!$E$214,'6.Inland wetlands'!$AA26=list!$E$212,'6.Inland wetlands'!$AA26=list!$E$210),0,IF($I54&gt;time_tot,0,MIN($Y54,$Z54)*time_tot+ABS($Z54-$Y54)*IF($Z54&gt;$Y54,time_cap+time*VLOOKUP($H54,list!$J$48:$K$50,2,0),time*(1-VLOOKUP($H54,list!$J$48:$K$50,2,0))))*(1/$I54)*($J54)*($Q54*44/12/1000)+IF($I54&gt;time_tot,0,MIN($Y54,$Z54)*time_tot+ABS($Z54-$Y54)*IF($Z54&gt;$Y54,time_cap+time*VLOOKUP($H54,list!$J$48:$K$50,2,0),time*(1-VLOOKUP($H54,list!$J$48:$K$50,2,0))))*(1/$I54)*($J54)*($S54*2/1000))</f>
        <v/>
      </c>
      <c r="AF54" s="1151">
        <f>IF(OR('6.Inland wetlands'!$AA26=list!$E$214,'6.Inland wetlands'!$AA26=list!$E$211,'6.Inland wetlands'!$AA26=list!$E$210),0,IF($M54&gt;time_tot,0,MIN($Y54,$AA54)*time_tot+ABS($AA54-$Y54)*IF($AA54&gt;$Y54,time_cap+time*VLOOKUP($L54,list!$J$48:$K$50,2,0),time*(1-VLOOKUP($L54,list!$J$48:$K$50,2,0))))*(1/$M54)*($N54)*($Q54*44/12/1000)+IF($M54&gt;time_tot,0,MIN($Y54,$AA54)*time_tot+ABS($AA54-$Y54)*IF($AA54&gt;$Y54,time_cap+time*VLOOKUP($L54,list!$J$48:$K$50,2,0),time*(1-VLOOKUP($L54,list!$J$48:$K$50,2,0))))*(1/$M54)*($N54)*($S54*2/1000))</f>
        <v/>
      </c>
      <c r="AG54" s="1151">
        <f>IF(OR('6.Inland wetlands'!$AA26=list!$E$214,'6.Inland wetlands'!$AA26=list!$E$212,'6.Inland wetlands'!$AA26=list!$E$210),0,IF($I54&gt;time_tot,0,MIN($Y54,$Z54)*time_tot+ABS($Z54-$Y54)*IF($Z54&gt;$Y54,time_cap+time*VLOOKUP($H54,list!$J$48:$K$50,2,0),time*(1-VLOOKUP($H54,list!$J$48:$K$50,2,0))))*(1/$I54)*($J54)*(U54*methane/1000))</f>
        <v/>
      </c>
      <c r="AH54" s="1151">
        <f>IF(OR('6.Inland wetlands'!$AA26=list!$E$214,'6.Inland wetlands'!$AA26=list!$E$211,'6.Inland wetlands'!$AA26=list!$E$210),0,IF($M54&gt;time_tot,0,MIN($Y54,$AA54)*time_tot+ABS($AA54-$Y54)*IF($AA54&gt;$Y54,time_cap+time*VLOOKUP($L54,list!$J$48:$K$50,2,0),time*(1-VLOOKUP($L54,list!$J$48:$K$50,2,0))))*(1/$M54)*($N54)*($U54*methane/1000))</f>
        <v/>
      </c>
      <c r="AI54" s="1165" t="n"/>
      <c r="AJ54" s="1152">
        <f>$AE54+$AG54</f>
        <v/>
      </c>
      <c r="AK54" s="1152">
        <f>$AF54+$AH54</f>
        <v/>
      </c>
      <c r="AL54" s="3154">
        <f>AK54-AJ54</f>
        <v/>
      </c>
      <c r="AM54" s="992" t="n"/>
      <c r="AN54" s="992" t="n"/>
      <c r="AX54" s="973" t="n"/>
      <c r="AY54" s="1449">
        <f>IF('6.Inland wetlands'!$CZ14=list!$F$210,0,IF($I54&gt;time_tot,0,MIN($Y54,$Z54)*time+ABS($Z54-$Y54)*IF($Z54&gt;$Y54,time*VLOOKUP($H54,list!$J$48:$K$50,2,0),time*(1-VLOOKUP($H54,list!$J$48:$K$50,2,0))))*(1/$I54)*($J54)*($Q54/1000)+IF($I54&gt;time_tot,0,MIN($Y54,$Z54)*time+ABS($Z54-$Y54)*IF($Z54&gt;$Y54,time*VLOOKUP($H54,list!$J$48:$K$50,2,0),time*(1-VLOOKUP($H54,list!$J$48:$K$50,2,0))))*(1/$I54)*($J54)*($S54*2/1000))</f>
        <v/>
      </c>
      <c r="AZ54" s="1449">
        <f>IF('6.Inland wetlands'!$CZ14=list!$F$210,0,IF($M54&gt;time_tot,0,MIN($Y54,$AA54)*time+ABS($AA54-$Y54)*IF($AA54&gt;$Y54,time*VLOOKUP($L54,list!$J$48:$K$50,2,0),time*(1-VLOOKUP($L54,list!$J$48:$K$50,2,0))))*(1/$M54)*($N54)*($Q54/1000)+IF($M54&gt;time_tot,0,MIN($Y54,$AA54)*time+ABS($AA54-$Y54)*IF($AA54&gt;$Y54,time*VLOOKUP($L54,list!$J$48:$K$50,2,0),time*(1-VLOOKUP($L54,list!$J$48:$K$50,2,0))))*(1/$M54)*($N54)*($S54*2/1000))</f>
        <v/>
      </c>
      <c r="BA54" s="1449">
        <f>IF('6.Inland wetlands'!$CZ14=list!$F$210,0,IF($I54&gt;time_tot,0,MIN($Y54,$Z54)*time+ABS($Z54-$Y54)*IF($Z54&gt;$Y54,time*VLOOKUP($H54,list!$J$48:$K$50,2,0),time*(1-VLOOKUP($H54,list!$J$48:$K$50,2,0))))*(1/$I54)*($J54)*(U54*methane/1000))</f>
        <v/>
      </c>
      <c r="BB54" s="1449">
        <f>IF('6.Inland wetlands'!$CZ14=list!$F$210,0,IF($M54&gt;time_tot,0,MIN($Y54,$AA54)*time+ABS($AA54-$Y54)*IF($AA54&gt;$Y54,time*VLOOKUP($L54,list!$J$48:$K$50,2,0),time*(1-VLOOKUP($L54,list!$J$48:$K$50,2,0))))*(1/$M54)*($N54)*($U54*methane/1000))</f>
        <v/>
      </c>
      <c r="BC54" s="1451" t="n"/>
      <c r="BD54" s="1451" t="n"/>
      <c r="BH54" s="1264" t="n"/>
    </row>
    <row r="55">
      <c r="A55" s="1276" t="inlineStr">
        <is>
          <t>S3</t>
        </is>
      </c>
      <c r="B55" s="973">
        <f>'6.Inland wetlands'!C15</f>
        <v/>
      </c>
      <c r="C55" s="1109">
        <f>IF(B55="Please select","",IF(ISNUMBER(SEARCH("Planted",B55)),"Plantation","Forest"))</f>
        <v/>
      </c>
      <c r="D55" s="973">
        <f>'6.Inland wetlands'!I15</f>
        <v/>
      </c>
      <c r="E55" s="1109">
        <f>IF(D55="Please select","",IF(ISNUMBER(SEARCH("Annual",$D55)),"Annual",IF(ISNUMBER(SEARCH(list!$C$218,'Inl. wetlands'!$D55)),"Other land",IF($D55="Agroforestry","Perennial",'Inl. wetlands'!$D55))))</f>
        <v/>
      </c>
      <c r="F55" s="3493">
        <f>N38</f>
        <v/>
      </c>
      <c r="G55" s="3493">
        <f>'6.Inland wetlands'!S15</f>
        <v/>
      </c>
      <c r="H55" s="1154">
        <f>VLOOKUP('6.Inland wetlands'!O15, list!$I$48:$J$50,2,FALSE )</f>
        <v/>
      </c>
      <c r="I55" s="1154">
        <f>'6.Inland wetlands'!DB15</f>
        <v/>
      </c>
      <c r="J55" s="1155">
        <f>'6.Inland wetlands'!DC15</f>
        <v/>
      </c>
      <c r="K55" s="1151">
        <f>'6.Inland wetlands'!T15</f>
        <v/>
      </c>
      <c r="L55" s="1154">
        <f>VLOOKUP('6.Inland wetlands'!Q15, list!$I$48:$J$50,2,FALSE )</f>
        <v/>
      </c>
      <c r="M55" s="1154">
        <f>'6.Inland wetlands'!DE15</f>
        <v/>
      </c>
      <c r="N55" s="1156">
        <f>'6.Inland wetlands'!DF15</f>
        <v/>
      </c>
      <c r="P55" s="1111">
        <f>IFERROR(INDEX(IPCC!$A$2037:$D$2048,MATCH(clim_moist,IPCC!$A$2037:$A$2048,0),MATCH('Inl. wetlands'!$P$50,IPCC!$A$2037:$D$2037,0)),0)</f>
        <v/>
      </c>
      <c r="Q55" s="3492">
        <f>IF('6.Inland wetlands'!DI15="",'6.Inland wetlands'!DH15,'6.Inland wetlands'!DI15)</f>
        <v/>
      </c>
      <c r="R55" s="1111">
        <f>IFERROR(INDEX(IPCC!$A$2037:$D$2048,MATCH(clim_moist,IPCC!$A$2037:$A$2048,0),MATCH('Inl. wetlands'!$R$50,IPCC!$A$2037:$D$2037,0)),0)</f>
        <v/>
      </c>
      <c r="S55" s="3492">
        <f>IF('6.Inland wetlands'!DK15="",'6.Inland wetlands'!DJ15,'6.Inland wetlands'!DK15)</f>
        <v/>
      </c>
      <c r="T55" s="1111">
        <f>IFERROR(INDEX(IPCC!$A$2037:$D$2048,MATCH(clim_moist,IPCC!$A$2037:$A$2048,0),MATCH('Inl. wetlands'!$T$50,IPCC!$A$2037:$D$2037,0)),0)</f>
        <v/>
      </c>
      <c r="U55" s="3492">
        <f>IF('6.Inland wetlands'!DM15="",'6.Inland wetlands'!DL15,'6.Inland wetlands'!DM15)</f>
        <v/>
      </c>
      <c r="V55" s="1111">
        <f>IFERROR(INDEX(IPCC!$A$2020:$D$2031,MATCH(clim_moist,IPCC!$A$2021:$A$2031,0),MATCH('6.Inland wetlands'!$CZ15,IPCC!$A$2020:$D$2020,0)),0)</f>
        <v/>
      </c>
      <c r="W55" s="3492">
        <f>IF('6.Inland wetlands'!DO15="",'6.Inland wetlands'!DN15,'6.Inland wetlands'!DO15)</f>
        <v/>
      </c>
      <c r="X55" s="1276" t="n"/>
      <c r="Y55" s="1151" t="n">
        <v>0</v>
      </c>
      <c r="Z55" s="1151">
        <f>IF('6.Inland wetlands'!$CZ15=list!$F$210,0,W55*G55)</f>
        <v/>
      </c>
      <c r="AA55" s="1151">
        <f>IF('6.Inland wetlands'!$CZ15=list!$F$210,0,W55*K55)</f>
        <v/>
      </c>
      <c r="AE55" s="1151">
        <f>IF(OR('6.Inland wetlands'!$AA27=list!$E$214,'6.Inland wetlands'!$AA27=list!$E$212,'6.Inland wetlands'!$AA27=list!$E$210),0,IF($I55&gt;time_tot,0,MIN($Y55,$Z55)*time_tot+ABS($Z55-$Y55)*IF($Z55&gt;$Y55,time_cap+time*VLOOKUP($H55,list!$J$48:$K$50,2,0),time*(1-VLOOKUP($H55,list!$J$48:$K$50,2,0))))*(1/$I55)*($J55)*($Q55*44/12/1000)+IF($I55&gt;time_tot,0,MIN($Y55,$Z55)*time_tot+ABS($Z55-$Y55)*IF($Z55&gt;$Y55,time_cap+time*VLOOKUP($H55,list!$J$48:$K$50,2,0),time*(1-VLOOKUP($H55,list!$J$48:$K$50,2,0))))*(1/$I55)*($J55)*($S55*2/1000))</f>
        <v/>
      </c>
      <c r="AF55" s="1151">
        <f>IF(OR('6.Inland wetlands'!$AA27=list!$E$214,'6.Inland wetlands'!$AA27=list!$E$211,'6.Inland wetlands'!$AA27=list!$E$210),0,IF($M55&gt;time_tot,0,MIN($Y55,$AA55)*time_tot+ABS($AA55-$Y55)*IF($AA55&gt;$Y55,time_cap+time*VLOOKUP($L55,list!$J$48:$K$50,2,0),time*(1-VLOOKUP($L55,list!$J$48:$K$50,2,0))))*(1/$M55)*($N55)*($Q55*44/12/1000)+IF($M55&gt;time_tot,0,MIN($Y55,$AA55)*time_tot+ABS($AA55-$Y55)*IF($AA55&gt;$Y55,time_cap+time*VLOOKUP($L55,list!$J$48:$K$50,2,0),time*(1-VLOOKUP($L55,list!$J$48:$K$50,2,0))))*(1/$M55)*($N55)*($S55*2/1000))</f>
        <v/>
      </c>
      <c r="AG55" s="1151">
        <f>IF(OR('6.Inland wetlands'!$AA27=list!$E$214,'6.Inland wetlands'!$AA27=list!$E$212,'6.Inland wetlands'!$AA27=list!$E$210),0,IF($I55&gt;time_tot,0,MIN($Y55,$Z55)*time_tot+ABS($Z55-$Y55)*IF($Z55&gt;$Y55,time_cap+time*VLOOKUP($H55,list!$J$48:$K$50,2,0),time*(1-VLOOKUP($H55,list!$J$48:$K$50,2,0))))*(1/$I55)*($J55)*(U55*methane/1000))</f>
        <v/>
      </c>
      <c r="AH55" s="1151">
        <f>IF(OR('6.Inland wetlands'!$AA27=list!$E$214,'6.Inland wetlands'!$AA27=list!$E$211,'6.Inland wetlands'!$AA27=list!$E$210),0,IF($M55&gt;time_tot,0,MIN($Y55,$AA55)*time_tot+ABS($AA55-$Y55)*IF($AA55&gt;$Y55,time_cap+time*VLOOKUP($L55,list!$J$48:$K$50,2,0),time*(1-VLOOKUP($L55,list!$J$48:$K$50,2,0))))*(1/$M55)*($N55)*($U55*methane/1000))</f>
        <v/>
      </c>
      <c r="AI55" s="1165" t="n"/>
      <c r="AJ55" s="1152">
        <f>$AE55+$AG55</f>
        <v/>
      </c>
      <c r="AK55" s="1152">
        <f>$AF55+$AH55</f>
        <v/>
      </c>
      <c r="AL55" s="3154">
        <f>AK55-AJ55</f>
        <v/>
      </c>
      <c r="AM55" s="992" t="n"/>
      <c r="AN55" s="992" t="n"/>
      <c r="AX55" s="973" t="n"/>
      <c r="AY55" s="1449">
        <f>IF('6.Inland wetlands'!$CZ15=list!$F$210,0,IF($I55&gt;time_tot,0,MIN($Y55,$Z55)*time+ABS($Z55-$Y55)*IF($Z55&gt;$Y55,time*VLOOKUP($H55,list!$J$48:$K$50,2,0),time*(1-VLOOKUP($H55,list!$J$48:$K$50,2,0))))*(1/$I55)*($J55)*($Q55/1000)+IF($I55&gt;time_tot,0,MIN($Y55,$Z55)*time+ABS($Z55-$Y55)*IF($Z55&gt;$Y55,time*VLOOKUP($H55,list!$J$48:$K$50,2,0),time*(1-VLOOKUP($H55,list!$J$48:$K$50,2,0))))*(1/$I55)*($J55)*($S55*2/1000))</f>
        <v/>
      </c>
      <c r="AZ55" s="1449">
        <f>IF('6.Inland wetlands'!$CZ15=list!$F$210,0,IF($M55&gt;time_tot,0,MIN($Y55,$AA55)*time+ABS($AA55-$Y55)*IF($AA55&gt;$Y55,time*VLOOKUP($L55,list!$J$48:$K$50,2,0),time*(1-VLOOKUP($L55,list!$J$48:$K$50,2,0))))*(1/$M55)*($N55)*($Q55/1000)+IF($M55&gt;time_tot,0,MIN($Y55,$AA55)*time+ABS($AA55-$Y55)*IF($AA55&gt;$Y55,time*VLOOKUP($L55,list!$J$48:$K$50,2,0),time*(1-VLOOKUP($L55,list!$J$48:$K$50,2,0))))*(1/$M55)*($N55)*($S55*2/1000))</f>
        <v/>
      </c>
      <c r="BA55" s="1449">
        <f>IF('6.Inland wetlands'!$CZ15=list!$F$210,0,IF($I55&gt;time_tot,0,MIN($Y55,$Z55)*time+ABS($Z55-$Y55)*IF($Z55&gt;$Y55,time*VLOOKUP($H55,list!$J$48:$K$50,2,0),time*(1-VLOOKUP($H55,list!$J$48:$K$50,2,0))))*(1/$I55)*($J55)*(U55*methane/1000))</f>
        <v/>
      </c>
      <c r="BB55" s="1449">
        <f>IF('6.Inland wetlands'!$CZ15=list!$F$210,0,IF($M55&gt;time_tot,0,MIN($Y55,$AA55)*time+ABS($AA55-$Y55)*IF($AA55&gt;$Y55,time*VLOOKUP($L55,list!$J$48:$K$50,2,0),time*(1-VLOOKUP($L55,list!$J$48:$K$50,2,0))))*(1/$M55)*($N55)*($U55*methane/1000))</f>
        <v/>
      </c>
      <c r="BH55" s="1264" t="n"/>
    </row>
    <row r="56">
      <c r="A56" s="1276" t="inlineStr">
        <is>
          <t>S4</t>
        </is>
      </c>
      <c r="B56" s="973">
        <f>'6.Inland wetlands'!C16</f>
        <v/>
      </c>
      <c r="C56" s="1109">
        <f>IF(B56="Please select","",IF(ISNUMBER(SEARCH("Planted",B56)),"Plantation","Forest"))</f>
        <v/>
      </c>
      <c r="D56" s="973">
        <f>'6.Inland wetlands'!I16</f>
        <v/>
      </c>
      <c r="E56" s="1109">
        <f>IF(D56="Please select","",IF(ISNUMBER(SEARCH("Annual",$D56)),"Annual",IF(ISNUMBER(SEARCH(list!$C$218,'Inl. wetlands'!$D56)),"Other land",IF($D56="Agroforestry","Perennial",'Inl. wetlands'!$D56))))</f>
        <v/>
      </c>
      <c r="F56" s="3493">
        <f>N39</f>
        <v/>
      </c>
      <c r="G56" s="3493">
        <f>'6.Inland wetlands'!S16</f>
        <v/>
      </c>
      <c r="H56" s="1154">
        <f>VLOOKUP('6.Inland wetlands'!O16, list!$I$48:$J$50,2,FALSE )</f>
        <v/>
      </c>
      <c r="I56" s="1154">
        <f>'6.Inland wetlands'!DB16</f>
        <v/>
      </c>
      <c r="J56" s="1155">
        <f>'6.Inland wetlands'!DC16</f>
        <v/>
      </c>
      <c r="K56" s="1151">
        <f>'6.Inland wetlands'!T16</f>
        <v/>
      </c>
      <c r="L56" s="1154">
        <f>VLOOKUP('6.Inland wetlands'!Q16, list!$I$48:$J$50,2,FALSE )</f>
        <v/>
      </c>
      <c r="M56" s="1154">
        <f>'6.Inland wetlands'!DE16</f>
        <v/>
      </c>
      <c r="N56" s="1156">
        <f>'6.Inland wetlands'!DF16</f>
        <v/>
      </c>
      <c r="P56" s="1111">
        <f>IFERROR(INDEX(IPCC!$A$2037:$D$2048,MATCH(clim_moist,IPCC!$A$2037:$A$2048,0),MATCH('Inl. wetlands'!$P$50,IPCC!$A$2037:$D$2037,0)),0)</f>
        <v/>
      </c>
      <c r="Q56" s="3492">
        <f>IF('6.Inland wetlands'!DI16="",'6.Inland wetlands'!DH16,'6.Inland wetlands'!DI16)</f>
        <v/>
      </c>
      <c r="R56" s="1111">
        <f>IFERROR(INDEX(IPCC!$A$2037:$D$2048,MATCH(clim_moist,IPCC!$A$2037:$A$2048,0),MATCH('Inl. wetlands'!$R$50,IPCC!$A$2037:$D$2037,0)),0)</f>
        <v/>
      </c>
      <c r="S56" s="3492">
        <f>IF('6.Inland wetlands'!DK16="",'6.Inland wetlands'!DJ16,'6.Inland wetlands'!DK16)</f>
        <v/>
      </c>
      <c r="T56" s="1111">
        <f>IFERROR(INDEX(IPCC!$A$2037:$D$2048,MATCH(clim_moist,IPCC!$A$2037:$A$2048,0),MATCH('Inl. wetlands'!$T$50,IPCC!$A$2037:$D$2037,0)),0)</f>
        <v/>
      </c>
      <c r="U56" s="3492">
        <f>IF('6.Inland wetlands'!DM16="",'6.Inland wetlands'!DL16,'6.Inland wetlands'!DM16)</f>
        <v/>
      </c>
      <c r="V56" s="1111">
        <f>IFERROR(INDEX(IPCC!$A$2020:$D$2031,MATCH(clim_moist,IPCC!$A$2021:$A$2031,0),MATCH('6.Inland wetlands'!$CZ16,IPCC!$A$2020:$D$2020,0)),0)</f>
        <v/>
      </c>
      <c r="W56" s="3492">
        <f>IF('6.Inland wetlands'!DO16="",'6.Inland wetlands'!DN16,'6.Inland wetlands'!DO16)</f>
        <v/>
      </c>
      <c r="X56" s="1276" t="n"/>
      <c r="Y56" s="1151" t="n">
        <v>0</v>
      </c>
      <c r="Z56" s="1151">
        <f>IF('6.Inland wetlands'!$CZ16=list!$F$210,0,W56*G56)</f>
        <v/>
      </c>
      <c r="AA56" s="1151">
        <f>IF('6.Inland wetlands'!$CZ16=list!$F$210,0,W56*K56)</f>
        <v/>
      </c>
      <c r="AE56" s="1151">
        <f>IF(OR('6.Inland wetlands'!$AA28=list!$E$214,'6.Inland wetlands'!$AA28=list!$E$212,'6.Inland wetlands'!$AA28=list!$E$210),0,IF($I56&gt;time_tot,0,MIN($Y56,$Z56)*time_tot+ABS($Z56-$Y56)*IF($Z56&gt;$Y56,time_cap+time*VLOOKUP($H56,list!$J$48:$K$50,2,0),time*(1-VLOOKUP($H56,list!$J$48:$K$50,2,0))))*(1/$I56)*($J56)*($Q56*44/12/1000)+IF($I56&gt;time_tot,0,MIN($Y56,$Z56)*time_tot+ABS($Z56-$Y56)*IF($Z56&gt;$Y56,time_cap+time*VLOOKUP($H56,list!$J$48:$K$50,2,0),time*(1-VLOOKUP($H56,list!$J$48:$K$50,2,0))))*(1/$I56)*($J56)*($S56*2/1000))</f>
        <v/>
      </c>
      <c r="AF56" s="1151">
        <f>IF(OR('6.Inland wetlands'!$AA28=list!$E$214,'6.Inland wetlands'!$AA28=list!$E$211,'6.Inland wetlands'!$AA28=list!$E$210),0,IF($M56&gt;time_tot,0,MIN($Y56,$AA56)*time_tot+ABS($AA56-$Y56)*IF($AA56&gt;$Y56,time_cap+time*VLOOKUP($L56,list!$J$48:$K$50,2,0),time*(1-VLOOKUP($L56,list!$J$48:$K$50,2,0))))*(1/$M56)*($N56)*($Q56*44/12/1000)+IF($M56&gt;time_tot,0,MIN($Y56,$AA56)*time_tot+ABS($AA56-$Y56)*IF($AA56&gt;$Y56,time_cap+time*VLOOKUP($L56,list!$J$48:$K$50,2,0),time*(1-VLOOKUP($L56,list!$J$48:$K$50,2,0))))*(1/$M56)*($N56)*($S56*2/1000))</f>
        <v/>
      </c>
      <c r="AG56" s="1151">
        <f>IF(OR('6.Inland wetlands'!$AA28=list!$E$214,'6.Inland wetlands'!$AA28=list!$E$212,'6.Inland wetlands'!$AA28=list!$E$210),0,IF($I56&gt;time_tot,0,MIN($Y56,$Z56)*time_tot+ABS($Z56-$Y56)*IF($Z56&gt;$Y56,time_cap+time*VLOOKUP($H56,list!$J$48:$K$50,2,0),time*(1-VLOOKUP($H56,list!$J$48:$K$50,2,0))))*(1/$I56)*($J56)*(U56*methane/1000))</f>
        <v/>
      </c>
      <c r="AH56" s="1151">
        <f>IF(OR('6.Inland wetlands'!$AA28=list!$E$214,'6.Inland wetlands'!$AA28=list!$E$211,'6.Inland wetlands'!$AA28=list!$E$210),0,IF($M56&gt;time_tot,0,MIN($Y56,$AA56)*time_tot+ABS($AA56-$Y56)*IF($AA56&gt;$Y56,time_cap+time*VLOOKUP($L56,list!$J$48:$K$50,2,0),time*(1-VLOOKUP($L56,list!$J$48:$K$50,2,0))))*(1/$M56)*($N56)*($U56*methane/1000))</f>
        <v/>
      </c>
      <c r="AI56" s="1165" t="n"/>
      <c r="AJ56" s="1152">
        <f>$AE56+$AG56</f>
        <v/>
      </c>
      <c r="AK56" s="1152">
        <f>$AF56+$AH56</f>
        <v/>
      </c>
      <c r="AL56" s="3154">
        <f>AK56-AJ56</f>
        <v/>
      </c>
      <c r="AM56" s="992" t="n"/>
      <c r="AN56" s="992" t="n"/>
      <c r="AX56" s="973" t="n"/>
      <c r="AY56" s="1449">
        <f>IF('6.Inland wetlands'!$CZ16=list!$F$210,0,IF($I56&gt;time_tot,0,MIN($Y56,$Z56)*time+ABS($Z56-$Y56)*IF($Z56&gt;$Y56,time*VLOOKUP($H56,list!$J$48:$K$50,2,0),time*(1-VLOOKUP($H56,list!$J$48:$K$50,2,0))))*(1/$I56)*($J56)*($Q56/1000)+IF($I56&gt;time_tot,0,MIN($Y56,$Z56)*time+ABS($Z56-$Y56)*IF($Z56&gt;$Y56,time*VLOOKUP($H56,list!$J$48:$K$50,2,0),time*(1-VLOOKUP($H56,list!$J$48:$K$50,2,0))))*(1/$I56)*($J56)*($S56*2/1000))</f>
        <v/>
      </c>
      <c r="AZ56" s="1449">
        <f>IF('6.Inland wetlands'!$CZ16=list!$F$210,0,IF($M56&gt;time_tot,0,MIN($Y56,$AA56)*time+ABS($AA56-$Y56)*IF($AA56&gt;$Y56,time*VLOOKUP($L56,list!$J$48:$K$50,2,0),time*(1-VLOOKUP($L56,list!$J$48:$K$50,2,0))))*(1/$M56)*($N56)*($Q56/1000)+IF($M56&gt;time_tot,0,MIN($Y56,$AA56)*time+ABS($AA56-$Y56)*IF($AA56&gt;$Y56,time*VLOOKUP($L56,list!$J$48:$K$50,2,0),time*(1-VLOOKUP($L56,list!$J$48:$K$50,2,0))))*(1/$M56)*($N56)*($S56*2/1000))</f>
        <v/>
      </c>
      <c r="BA56" s="1449">
        <f>IF('6.Inland wetlands'!$CZ16=list!$F$210,0,IF($I56&gt;time_tot,0,MIN($Y56,$Z56)*time+ABS($Z56-$Y56)*IF($Z56&gt;$Y56,time*VLOOKUP($H56,list!$J$48:$K$50,2,0),time*(1-VLOOKUP($H56,list!$J$48:$K$50,2,0))))*(1/$I56)*($J56)*(U56*methane/1000))</f>
        <v/>
      </c>
      <c r="BB56" s="1449">
        <f>IF('6.Inland wetlands'!$CZ16=list!$F$210,0,IF($M56&gt;time_tot,0,MIN($Y56,$AA56)*time+ABS($AA56-$Y56)*IF($AA56&gt;$Y56,time*VLOOKUP($L56,list!$J$48:$K$50,2,0),time*(1-VLOOKUP($L56,list!$J$48:$K$50,2,0))))*(1/$M56)*($N56)*($U56*methane/1000))</f>
        <v/>
      </c>
      <c r="BH56" s="1264" t="n"/>
    </row>
    <row r="57">
      <c r="A57" s="1276" t="inlineStr">
        <is>
          <t>S5</t>
        </is>
      </c>
      <c r="B57" s="973">
        <f>'6.Inland wetlands'!C17</f>
        <v/>
      </c>
      <c r="C57" s="1109">
        <f>IF(B57="Please select","",IF(ISNUMBER(SEARCH("Planted",B57)),"Plantation","Forest"))</f>
        <v/>
      </c>
      <c r="D57" s="973">
        <f>'6.Inland wetlands'!I17</f>
        <v/>
      </c>
      <c r="E57" s="1109">
        <f>IF(D57="Please select","",IF(ISNUMBER(SEARCH("Annual",$D57)),"Annual",IF(ISNUMBER(SEARCH(list!$C$218,'Inl. wetlands'!$D57)),"Other land",IF($D57="Agroforestry","Perennial",'Inl. wetlands'!$D57))))</f>
        <v/>
      </c>
      <c r="F57" s="3493">
        <f>N40</f>
        <v/>
      </c>
      <c r="G57" s="3493">
        <f>'6.Inland wetlands'!S17</f>
        <v/>
      </c>
      <c r="H57" s="1154">
        <f>VLOOKUP('6.Inland wetlands'!O17, list!$I$48:$J$50,2,FALSE )</f>
        <v/>
      </c>
      <c r="I57" s="1154">
        <f>'6.Inland wetlands'!DB17</f>
        <v/>
      </c>
      <c r="J57" s="1155">
        <f>'6.Inland wetlands'!DC17</f>
        <v/>
      </c>
      <c r="K57" s="1151">
        <f>'6.Inland wetlands'!T17</f>
        <v/>
      </c>
      <c r="L57" s="1154">
        <f>VLOOKUP('6.Inland wetlands'!Q17, list!$I$48:$J$50,2,FALSE )</f>
        <v/>
      </c>
      <c r="M57" s="1154">
        <f>'6.Inland wetlands'!DE17</f>
        <v/>
      </c>
      <c r="N57" s="1156">
        <f>'6.Inland wetlands'!DF17</f>
        <v/>
      </c>
      <c r="P57" s="1111">
        <f>IFERROR(INDEX(IPCC!$A$2037:$D$2048,MATCH(clim_moist,IPCC!$A$2037:$A$2048,0),MATCH('Inl. wetlands'!$P$50,IPCC!$A$2037:$D$2037,0)),0)</f>
        <v/>
      </c>
      <c r="Q57" s="3492">
        <f>IF('6.Inland wetlands'!DI17="",'6.Inland wetlands'!DH17,'6.Inland wetlands'!DI17)</f>
        <v/>
      </c>
      <c r="R57" s="1111">
        <f>IFERROR(INDEX(IPCC!$A$2037:$D$2048,MATCH(clim_moist,IPCC!$A$2037:$A$2048,0),MATCH('Inl. wetlands'!$R$50,IPCC!$A$2037:$D$2037,0)),0)</f>
        <v/>
      </c>
      <c r="S57" s="3492">
        <f>IF('6.Inland wetlands'!DK17="",'6.Inland wetlands'!DJ17,'6.Inland wetlands'!DK17)</f>
        <v/>
      </c>
      <c r="T57" s="1111">
        <f>IFERROR(INDEX(IPCC!$A$2037:$D$2048,MATCH(clim_moist,IPCC!$A$2037:$A$2048,0),MATCH('Inl. wetlands'!$T$50,IPCC!$A$2037:$D$2037,0)),0)</f>
        <v/>
      </c>
      <c r="U57" s="3492">
        <f>IF('6.Inland wetlands'!DM17="",'6.Inland wetlands'!DL17,'6.Inland wetlands'!DM17)</f>
        <v/>
      </c>
      <c r="V57" s="1111">
        <f>IFERROR(INDEX(IPCC!$A$2020:$D$2031,MATCH(clim_moist,IPCC!$A$2021:$A$2031,0),MATCH('6.Inland wetlands'!$CZ17,IPCC!$A$2020:$D$2020,0)),0)</f>
        <v/>
      </c>
      <c r="W57" s="3492">
        <f>IF('6.Inland wetlands'!DO17="",'6.Inland wetlands'!DN17,'6.Inland wetlands'!DO17)</f>
        <v/>
      </c>
      <c r="X57" s="1276" t="n"/>
      <c r="Y57" s="1151" t="n">
        <v>0</v>
      </c>
      <c r="Z57" s="1151">
        <f>IF('6.Inland wetlands'!$CZ17=list!$F$210,0,W57*G57)</f>
        <v/>
      </c>
      <c r="AA57" s="1151">
        <f>IF('6.Inland wetlands'!$CZ17=list!$F$210,0,W57*K57)</f>
        <v/>
      </c>
      <c r="AE57" s="1151">
        <f>IF(OR('6.Inland wetlands'!$AA29=list!$E$214,'6.Inland wetlands'!$AA29=list!$E$212,'6.Inland wetlands'!$AA29=list!$E$210),0,IF($I57&gt;time_tot,0,MIN($Y57,$Z57)*time_tot+ABS($Z57-$Y57)*IF($Z57&gt;$Y57,time_cap+time*VLOOKUP($H57,list!$J$48:$K$50,2,0),time*(1-VLOOKUP($H57,list!$J$48:$K$50,2,0))))*(1/$I57)*($J57)*($Q57*44/12/1000)+IF($I57&gt;time_tot,0,MIN($Y57,$Z57)*time_tot+ABS($Z57-$Y57)*IF($Z57&gt;$Y57,time_cap+time*VLOOKUP($H57,list!$J$48:$K$50,2,0),time*(1-VLOOKUP($H57,list!$J$48:$K$50,2,0))))*(1/$I57)*($J57)*($S57*2/1000))</f>
        <v/>
      </c>
      <c r="AF57" s="1151">
        <f>IF(OR('6.Inland wetlands'!$AA29=list!$E$214,'6.Inland wetlands'!$AA29=list!$E$211,'6.Inland wetlands'!$AA29=list!$E$210),0,IF($M57&gt;time_tot,0,MIN($Y57,$AA57)*time_tot+ABS($AA57-$Y57)*IF($AA57&gt;$Y57,time_cap+time*VLOOKUP($L57,list!$J$48:$K$50,2,0),time*(1-VLOOKUP($L57,list!$J$48:$K$50,2,0))))*(1/$M57)*($N57)*($Q57*44/12/1000)+IF($M57&gt;time_tot,0,MIN($Y57,$AA57)*time_tot+ABS($AA57-$Y57)*IF($AA57&gt;$Y57,time_cap+time*VLOOKUP($L57,list!$J$48:$K$50,2,0),time*(1-VLOOKUP($L57,list!$J$48:$K$50,2,0))))*(1/$M57)*($N57)*($S57*2/1000))</f>
        <v/>
      </c>
      <c r="AG57" s="1151">
        <f>IF(OR('6.Inland wetlands'!$AA29=list!$E$214,'6.Inland wetlands'!$AA29=list!$E$212,'6.Inland wetlands'!$AA29=list!$E$210),0,IF($I57&gt;time_tot,0,MIN($Y57,$Z57)*time_tot+ABS($Z57-$Y57)*IF($Z57&gt;$Y57,time_cap+time*VLOOKUP($H57,list!$J$48:$K$50,2,0),time*(1-VLOOKUP($H57,list!$J$48:$K$50,2,0))))*(1/$I57)*($J57)*(U57*methane/1000))</f>
        <v/>
      </c>
      <c r="AH57" s="1151">
        <f>IF(OR('6.Inland wetlands'!$AA29=list!$E$214,'6.Inland wetlands'!$AA29=list!$E$211,'6.Inland wetlands'!$AA29=list!$E$210),0,IF($M57&gt;time_tot,0,MIN($Y57,$AA57)*time_tot+ABS($AA57-$Y57)*IF($AA57&gt;$Y57,time_cap+time*VLOOKUP($L57,list!$J$48:$K$50,2,0),time*(1-VLOOKUP($L57,list!$J$48:$K$50,2,0))))*(1/$M57)*($N57)*($U57*methane/1000))</f>
        <v/>
      </c>
      <c r="AI57" s="1165" t="n"/>
      <c r="AJ57" s="1152">
        <f>$AE57+$AG57</f>
        <v/>
      </c>
      <c r="AK57" s="1152">
        <f>$AF57+$AH57</f>
        <v/>
      </c>
      <c r="AL57" s="3154">
        <f>AK57-AJ57</f>
        <v/>
      </c>
      <c r="AM57" s="992" t="n"/>
      <c r="AN57" s="992" t="n"/>
      <c r="AX57" s="973" t="n"/>
      <c r="AY57" s="1449">
        <f>IF('6.Inland wetlands'!$CZ17=list!$F$210,0,IF($I57&gt;time_tot,0,MIN($Y57,$Z57)*time+ABS($Z57-$Y57)*IF($Z57&gt;$Y57,time*VLOOKUP($H57,list!$J$48:$K$50,2,0),time*(1-VLOOKUP($H57,list!$J$48:$K$50,2,0))))*(1/$I57)*($J57)*($Q57/1000)+IF($I57&gt;time_tot,0,MIN($Y57,$Z57)*time+ABS($Z57-$Y57)*IF($Z57&gt;$Y57,time*VLOOKUP($H57,list!$J$48:$K$50,2,0),time*(1-VLOOKUP($H57,list!$J$48:$K$50,2,0))))*(1/$I57)*($J57)*($S57*2/1000))</f>
        <v/>
      </c>
      <c r="AZ57" s="1449">
        <f>IF('6.Inland wetlands'!$CZ17=list!$F$210,0,IF($M57&gt;time_tot,0,MIN($Y57,$AA57)*time+ABS($AA57-$Y57)*IF($AA57&gt;$Y57,time*VLOOKUP($L57,list!$J$48:$K$50,2,0),time*(1-VLOOKUP($L57,list!$J$48:$K$50,2,0))))*(1/$M57)*($N57)*($Q57/1000)+IF($M57&gt;time_tot,0,MIN($Y57,$AA57)*time+ABS($AA57-$Y57)*IF($AA57&gt;$Y57,time*VLOOKUP($L57,list!$J$48:$K$50,2,0),time*(1-VLOOKUP($L57,list!$J$48:$K$50,2,0))))*(1/$M57)*($N57)*($S57*2/1000))</f>
        <v/>
      </c>
      <c r="BA57" s="1449">
        <f>IF('6.Inland wetlands'!$CZ17=list!$F$210,0,IF($I57&gt;time_tot,0,MIN($Y57,$Z57)*time+ABS($Z57-$Y57)*IF($Z57&gt;$Y57,time*VLOOKUP($H57,list!$J$48:$K$50,2,0),time*(1-VLOOKUP($H57,list!$J$48:$K$50,2,0))))*(1/$I57)*($J57)*(U57*methane/1000))</f>
        <v/>
      </c>
      <c r="BB57" s="1449">
        <f>IF('6.Inland wetlands'!$CZ17=list!$F$210,0,IF($M57&gt;time_tot,0,MIN($Y57,$AA57)*time+ABS($AA57-$Y57)*IF($AA57&gt;$Y57,time*VLOOKUP($L57,list!$J$48:$K$50,2,0),time*(1-VLOOKUP($L57,list!$J$48:$K$50,2,0))))*(1/$M57)*($N57)*($U57*methane/1000))</f>
        <v/>
      </c>
      <c r="BH57" s="1264" t="n"/>
    </row>
    <row r="58">
      <c r="A58" s="1276" t="inlineStr">
        <is>
          <t>S6</t>
        </is>
      </c>
      <c r="B58" s="973">
        <f>'6.Inland wetlands'!C18</f>
        <v/>
      </c>
      <c r="C58" s="1109">
        <f>IF(B58="Please select","",IF(ISNUMBER(SEARCH("Planted",B58)),"Plantation","Forest"))</f>
        <v/>
      </c>
      <c r="D58" s="973">
        <f>'6.Inland wetlands'!I18</f>
        <v/>
      </c>
      <c r="E58" s="1109">
        <f>IF(D58="Please select","",IF(ISNUMBER(SEARCH("Annual",$D58)),"Annual",IF(ISNUMBER(SEARCH(list!$C$218,'Inl. wetlands'!$D58)),"Other land",IF($D58="Agroforestry","Perennial",'Inl. wetlands'!$D58))))</f>
        <v/>
      </c>
      <c r="F58" s="3493">
        <f>N41</f>
        <v/>
      </c>
      <c r="G58" s="3493">
        <f>'6.Inland wetlands'!S18</f>
        <v/>
      </c>
      <c r="H58" s="1154">
        <f>VLOOKUP('6.Inland wetlands'!O18, list!$I$48:$J$50,2,FALSE )</f>
        <v/>
      </c>
      <c r="I58" s="1154">
        <f>'6.Inland wetlands'!DB18</f>
        <v/>
      </c>
      <c r="J58" s="1155">
        <f>'6.Inland wetlands'!DC18</f>
        <v/>
      </c>
      <c r="K58" s="1151">
        <f>'6.Inland wetlands'!T18</f>
        <v/>
      </c>
      <c r="L58" s="1154">
        <f>VLOOKUP('6.Inland wetlands'!Q18, list!$I$48:$J$50,2,FALSE )</f>
        <v/>
      </c>
      <c r="M58" s="1154">
        <f>'6.Inland wetlands'!DE18</f>
        <v/>
      </c>
      <c r="N58" s="1156">
        <f>'6.Inland wetlands'!DF18</f>
        <v/>
      </c>
      <c r="P58" s="1111">
        <f>IFERROR(INDEX(IPCC!$A$2037:$D$2048,MATCH(clim_moist,IPCC!$A$2037:$A$2048,0),MATCH('Inl. wetlands'!$P$50,IPCC!$A$2037:$D$2037,0)),0)</f>
        <v/>
      </c>
      <c r="Q58" s="3492">
        <f>IF('6.Inland wetlands'!DI18="",'6.Inland wetlands'!DH18,'6.Inland wetlands'!DI18)</f>
        <v/>
      </c>
      <c r="R58" s="1111">
        <f>IFERROR(INDEX(IPCC!$A$2037:$D$2048,MATCH(clim_moist,IPCC!$A$2037:$A$2048,0),MATCH('Inl. wetlands'!$R$50,IPCC!$A$2037:$D$2037,0)),0)</f>
        <v/>
      </c>
      <c r="S58" s="3492">
        <f>IF('6.Inland wetlands'!DK18="",'6.Inland wetlands'!DJ18,'6.Inland wetlands'!DK18)</f>
        <v/>
      </c>
      <c r="T58" s="1111">
        <f>IFERROR(INDEX(IPCC!$A$2037:$D$2048,MATCH(clim_moist,IPCC!$A$2037:$A$2048,0),MATCH('Inl. wetlands'!$T$50,IPCC!$A$2037:$D$2037,0)),0)</f>
        <v/>
      </c>
      <c r="U58" s="3492">
        <f>IF('6.Inland wetlands'!DM18="",'6.Inland wetlands'!DL18,'6.Inland wetlands'!DM18)</f>
        <v/>
      </c>
      <c r="V58" s="1111">
        <f>IFERROR(INDEX(IPCC!$A$2020:$D$2031,MATCH(clim_moist,IPCC!$A$2021:$A$2031,0),MATCH('6.Inland wetlands'!$CZ18,IPCC!$A$2020:$D$2020,0)),0)</f>
        <v/>
      </c>
      <c r="W58" s="3492">
        <f>IF('6.Inland wetlands'!DO18="",'6.Inland wetlands'!DN18,'6.Inland wetlands'!DO18)</f>
        <v/>
      </c>
      <c r="X58" s="1276" t="n"/>
      <c r="Y58" s="1151" t="n">
        <v>0</v>
      </c>
      <c r="Z58" s="1151">
        <f>IF('6.Inland wetlands'!$CZ18=list!$F$210,0,W58*G58)</f>
        <v/>
      </c>
      <c r="AA58" s="1151">
        <f>IF('6.Inland wetlands'!$CZ18=list!$F$210,0,W58*K58)</f>
        <v/>
      </c>
      <c r="AE58" s="1151">
        <f>IF(OR('6.Inland wetlands'!$AA30=list!$E$214,'6.Inland wetlands'!$AA30=list!$E$212,'6.Inland wetlands'!$AA30=list!$E$210),0,IF($I58&gt;time_tot,0,MIN($Y58,$Z58)*time_tot+ABS($Z58-$Y58)*IF($Z58&gt;$Y58,time_cap+time*VLOOKUP($H58,list!$J$48:$K$50,2,0),time*(1-VLOOKUP($H58,list!$J$48:$K$50,2,0))))*(1/$I58)*($J58)*($Q58*44/12/1000)+IF($I58&gt;time_tot,0,MIN($Y58,$Z58)*time_tot+ABS($Z58-$Y58)*IF($Z58&gt;$Y58,time_cap+time*VLOOKUP($H58,list!$J$48:$K$50,2,0),time*(1-VLOOKUP($H58,list!$J$48:$K$50,2,0))))*(1/$I58)*($J58)*($S58*2/1000))</f>
        <v/>
      </c>
      <c r="AF58" s="1151">
        <f>IF(OR('6.Inland wetlands'!$AA30=list!$E$214,'6.Inland wetlands'!$AA30=list!$E$211,'6.Inland wetlands'!$AA30=list!$E$210),0,IF($M58&gt;time_tot,0,MIN($Y58,$AA58)*time_tot+ABS($AA58-$Y58)*IF($AA58&gt;$Y58,time_cap+time*VLOOKUP($L58,list!$J$48:$K$50,2,0),time*(1-VLOOKUP($L58,list!$J$48:$K$50,2,0))))*(1/$M58)*($N58)*($Q58*44/12/1000)+IF($M58&gt;time_tot,0,MIN($Y58,$AA58)*time_tot+ABS($AA58-$Y58)*IF($AA58&gt;$Y58,time_cap+time*VLOOKUP($L58,list!$J$48:$K$50,2,0),time*(1-VLOOKUP($L58,list!$J$48:$K$50,2,0))))*(1/$M58)*($N58)*($S58*2/1000))</f>
        <v/>
      </c>
      <c r="AG58" s="1151">
        <f>IF(OR('6.Inland wetlands'!$AA30=list!$E$214,'6.Inland wetlands'!$AA30=list!$E$212,'6.Inland wetlands'!$AA30=list!$E$210),0,IF($I58&gt;time_tot,0,MIN($Y58,$Z58)*time_tot+ABS($Z58-$Y58)*IF($Z58&gt;$Y58,time_cap+time*VLOOKUP($H58,list!$J$48:$K$50,2,0),time*(1-VLOOKUP($H58,list!$J$48:$K$50,2,0))))*(1/$I58)*($J58)*(U58*methane/1000))</f>
        <v/>
      </c>
      <c r="AH58" s="1151">
        <f>IF(OR('6.Inland wetlands'!$AA30=list!$E$214,'6.Inland wetlands'!$AA30=list!$E$211,'6.Inland wetlands'!$AA30=list!$E$210),0,IF($M58&gt;time_tot,0,MIN($Y58,$AA58)*time_tot+ABS($AA58-$Y58)*IF($AA58&gt;$Y58,time_cap+time*VLOOKUP($L58,list!$J$48:$K$50,2,0),time*(1-VLOOKUP($L58,list!$J$48:$K$50,2,0))))*(1/$M58)*($N58)*($U58*methane/1000))</f>
        <v/>
      </c>
      <c r="AI58" s="1165" t="n"/>
      <c r="AJ58" s="1152">
        <f>$AE58+$AG58</f>
        <v/>
      </c>
      <c r="AK58" s="1152">
        <f>$AF58+$AH58</f>
        <v/>
      </c>
      <c r="AL58" s="3154">
        <f>AK58-AJ58</f>
        <v/>
      </c>
      <c r="AM58" s="992" t="n"/>
      <c r="AN58" s="992" t="n"/>
      <c r="AX58" s="973" t="n"/>
      <c r="AY58" s="1449">
        <f>IF('6.Inland wetlands'!$CZ18=list!$F$210,0,IF($I58&gt;time_tot,0,MIN($Y58,$Z58)*time+ABS($Z58-$Y58)*IF($Z58&gt;$Y58,time*VLOOKUP($H58,list!$J$48:$K$50,2,0),time*(1-VLOOKUP($H58,list!$J$48:$K$50,2,0))))*(1/$I58)*($J58)*($Q58/1000)+IF($I58&gt;time_tot,0,MIN($Y58,$Z58)*time+ABS($Z58-$Y58)*IF($Z58&gt;$Y58,time*VLOOKUP($H58,list!$J$48:$K$50,2,0),time*(1-VLOOKUP($H58,list!$J$48:$K$50,2,0))))*(1/$I58)*($J58)*($S58*2/1000))</f>
        <v/>
      </c>
      <c r="AZ58" s="1449">
        <f>IF('6.Inland wetlands'!$CZ18=list!$F$210,0,IF($M58&gt;time_tot,0,MIN($Y58,$AA58)*time+ABS($AA58-$Y58)*IF($AA58&gt;$Y58,time*VLOOKUP($L58,list!$J$48:$K$50,2,0),time*(1-VLOOKUP($L58,list!$J$48:$K$50,2,0))))*(1/$M58)*($N58)*($Q58/1000)+IF($M58&gt;time_tot,0,MIN($Y58,$AA58)*time+ABS($AA58-$Y58)*IF($AA58&gt;$Y58,time*VLOOKUP($L58,list!$J$48:$K$50,2,0),time*(1-VLOOKUP($L58,list!$J$48:$K$50,2,0))))*(1/$M58)*($N58)*($S58*2/1000))</f>
        <v/>
      </c>
      <c r="BA58" s="1449">
        <f>IF('6.Inland wetlands'!$CZ18=list!$F$210,0,IF($I58&gt;time_tot,0,MIN($Y58,$Z58)*time+ABS($Z58-$Y58)*IF($Z58&gt;$Y58,time*VLOOKUP($H58,list!$J$48:$K$50,2,0),time*(1-VLOOKUP($H58,list!$J$48:$K$50,2,0))))*(1/$I58)*($J58)*(U58*methane/1000))</f>
        <v/>
      </c>
      <c r="BB58" s="1449">
        <f>IF('6.Inland wetlands'!$CZ18=list!$F$210,0,IF($M58&gt;time_tot,0,MIN($Y58,$AA58)*time+ABS($AA58-$Y58)*IF($AA58&gt;$Y58,time*VLOOKUP($L58,list!$J$48:$K$50,2,0),time*(1-VLOOKUP($L58,list!$J$48:$K$50,2,0))))*(1/$M58)*($N58)*($U58*methane/1000))</f>
        <v/>
      </c>
      <c r="BH58" s="1264" t="n"/>
    </row>
    <row r="59" ht="15.75" customHeight="1">
      <c r="B59" s="973" t="inlineStr">
        <is>
          <t>* Other land (non vegetated) includes Settlements &amp; Other Land under the IPCC terminology</t>
        </is>
      </c>
      <c r="F59" s="1041" t="n"/>
      <c r="G59" s="1688" t="n"/>
      <c r="AX59" s="1449" t="n"/>
      <c r="AY59" s="1449" t="n"/>
      <c r="AZ59" s="1449" t="n"/>
      <c r="BA59" s="1449" t="n"/>
    </row>
    <row r="60" ht="15.75" customHeight="1">
      <c r="B60" s="973" t="inlineStr">
        <is>
          <t>** for Other land, EFs drainage are the one from the previous land use</t>
        </is>
      </c>
      <c r="F60" s="1041" t="n"/>
      <c r="G60" s="1688" t="n"/>
      <c r="AX60" s="1451">
        <f>SUM(AY53:AY58)</f>
        <v/>
      </c>
      <c r="AY60" s="1451">
        <f>SUM(AZ53:AZ58)</f>
        <v/>
      </c>
      <c r="AZ60" s="1451">
        <f>SUM(BA53:BA58)</f>
        <v/>
      </c>
      <c r="BA60" s="1451">
        <f>SUM(BB53:BB58)</f>
        <v/>
      </c>
      <c r="BB60" s="1451" t="n"/>
      <c r="BC60" s="1451" t="n"/>
      <c r="BD60" s="1461" t="n"/>
      <c r="BE60" s="1461" t="n"/>
      <c r="BF60" s="1461" t="n"/>
      <c r="BG60" s="1461" t="n"/>
    </row>
    <row r="61" ht="15.75" customHeight="1">
      <c r="F61" s="1041" t="n"/>
      <c r="G61" s="1688" t="n"/>
      <c r="AY61" s="1451">
        <f>AY60-AX60</f>
        <v/>
      </c>
      <c r="AZ61" s="1451" t="n"/>
      <c r="BA61" s="1451">
        <f>BA60-AZ60</f>
        <v/>
      </c>
      <c r="BB61" s="1451" t="n"/>
      <c r="BC61" s="1451" t="n"/>
      <c r="BD61" s="1451" t="n"/>
      <c r="BE61" s="1451" t="n"/>
      <c r="BF61" s="1451" t="n"/>
      <c r="BG61" s="1451" t="n"/>
    </row>
    <row r="62" ht="33" customFormat="1" customHeight="1" s="1097">
      <c r="A62" s="1308" t="inlineStr">
        <is>
          <t>INITIAL</t>
        </is>
      </c>
      <c r="B62" s="1271" t="inlineStr">
        <is>
          <t>Drainage On-site emission factors</t>
        </is>
      </c>
      <c r="C62" s="1271" t="n"/>
      <c r="D62" s="1271" t="n"/>
      <c r="E62" s="1271" t="n"/>
      <c r="F62" s="1271" t="n"/>
      <c r="G62" s="1271" t="n"/>
      <c r="H62" s="1273" t="inlineStr">
        <is>
          <t>Drainage Off-site emission factors</t>
        </is>
      </c>
      <c r="I62" s="1273" t="n"/>
      <c r="J62" s="1273" t="n"/>
      <c r="K62" s="1273" t="n"/>
      <c r="L62" s="1307" t="inlineStr">
        <is>
          <t>Emissions from drainage in tCO2 eq/year</t>
        </is>
      </c>
      <c r="M62" s="1308" t="n"/>
      <c r="N62" s="1307" t="n"/>
      <c r="O62" s="1307" t="n"/>
      <c r="P62" s="1307" t="n"/>
      <c r="Q62" s="1307" t="n"/>
      <c r="R62" s="1307" t="n"/>
      <c r="S62" s="1307" t="n"/>
      <c r="T62" s="1307" t="n"/>
      <c r="U62" s="1279" t="n"/>
      <c r="V62" s="1279" t="n"/>
      <c r="W62" s="1279" t="n"/>
      <c r="X62" s="1279" t="n"/>
      <c r="Y62" s="1279" t="n"/>
      <c r="Z62" s="1279" t="n"/>
      <c r="AB62" s="1287" t="inlineStr">
        <is>
          <t>DRAINAGE EMISSIONS</t>
        </is>
      </c>
      <c r="AC62" s="1264" t="n"/>
      <c r="AD62" s="1264" t="n"/>
      <c r="AE62" s="1264" t="n"/>
      <c r="AF62" s="1264" t="n"/>
      <c r="AG62" s="1264" t="n"/>
      <c r="AO62" s="1220" t="n"/>
      <c r="AP62" s="1220" t="n"/>
      <c r="AQ62" s="1220" t="n"/>
      <c r="AR62" s="1220" t="n"/>
      <c r="AS62" s="1220" t="n"/>
      <c r="AT62" s="1220" t="n"/>
      <c r="AU62" s="1220" t="n"/>
      <c r="AV62" s="1220" t="n"/>
      <c r="AW62" s="1220" t="n"/>
      <c r="AX62" s="1287" t="inlineStr">
        <is>
          <t>ON SITE DRAINAGE</t>
        </is>
      </c>
      <c r="AY62" s="1501" t="n"/>
      <c r="AZ62" s="1501" t="n"/>
      <c r="BA62" s="1501" t="n"/>
      <c r="BB62" s="1501" t="n"/>
      <c r="BC62" s="1501" t="n"/>
      <c r="BD62" s="1287" t="inlineStr">
        <is>
          <t>OFF SITE DRAINAGE</t>
        </is>
      </c>
      <c r="BE62" s="1501" t="n"/>
      <c r="BF62" s="1501" t="n"/>
      <c r="BG62" s="1264" t="n"/>
    </row>
    <row r="63" ht="17" customHeight="1">
      <c r="A63" s="1308" t="n"/>
      <c r="B63" s="1271" t="inlineStr">
        <is>
          <t>CO2</t>
        </is>
      </c>
      <c r="C63" s="1264" t="n"/>
      <c r="D63" s="1271" t="inlineStr">
        <is>
          <t>CH4</t>
        </is>
      </c>
      <c r="E63" s="1264" t="n"/>
      <c r="F63" s="1271" t="inlineStr">
        <is>
          <t>N2O</t>
        </is>
      </c>
      <c r="G63" s="1264" t="n"/>
      <c r="H63" s="1273" t="inlineStr">
        <is>
          <t>DOC</t>
        </is>
      </c>
      <c r="I63" s="1261" t="n"/>
      <c r="J63" s="1273" t="inlineStr">
        <is>
          <t>CH4</t>
        </is>
      </c>
      <c r="K63" s="1261" t="n"/>
      <c r="L63" s="1264" t="n"/>
      <c r="M63" s="1264" t="n"/>
      <c r="N63" s="1264" t="n"/>
      <c r="O63" s="1264" t="n"/>
      <c r="P63" s="1264" t="n"/>
      <c r="Q63" s="1264" t="n"/>
      <c r="R63" s="1264" t="n"/>
      <c r="S63" s="1264" t="n"/>
      <c r="T63" s="1264" t="n"/>
      <c r="U63" s="1261" t="n"/>
      <c r="V63" s="1261" t="n"/>
      <c r="W63" s="1261" t="n"/>
      <c r="X63" s="1261" t="n"/>
      <c r="Y63" s="1261" t="n"/>
      <c r="Z63" s="1261" t="n"/>
      <c r="AB63" s="1287" t="inlineStr">
        <is>
          <t>Emissions in tCO2eq All period</t>
        </is>
      </c>
      <c r="AC63" s="1264" t="n"/>
      <c r="AD63" s="1264" t="n"/>
      <c r="AE63" s="1264" t="n"/>
      <c r="AF63" s="1264" t="n"/>
      <c r="AG63" s="1264" t="n"/>
      <c r="AX63" s="1502" t="inlineStr">
        <is>
          <t>CO2</t>
        </is>
      </c>
      <c r="AY63" s="1502" t="n"/>
      <c r="AZ63" s="1502" t="inlineStr">
        <is>
          <t>CH4</t>
        </is>
      </c>
      <c r="BA63" s="1502" t="n"/>
      <c r="BB63" s="1502" t="inlineStr">
        <is>
          <t>N2O</t>
        </is>
      </c>
      <c r="BC63" s="1502" t="n"/>
      <c r="BD63" s="1502" t="inlineStr">
        <is>
          <t>DOC</t>
        </is>
      </c>
      <c r="BE63" s="1502" t="n"/>
      <c r="BF63" s="1502" t="inlineStr">
        <is>
          <t>CH4</t>
        </is>
      </c>
      <c r="BG63" s="1450" t="n"/>
    </row>
    <row r="64">
      <c r="A64" s="1264" t="n"/>
      <c r="B64" s="1264" t="inlineStr">
        <is>
          <t>tC/ha/yr</t>
        </is>
      </c>
      <c r="C64" s="1264" t="n"/>
      <c r="D64" s="1264" t="inlineStr">
        <is>
          <t>kgCH4/ha/yr</t>
        </is>
      </c>
      <c r="E64" s="1264" t="n"/>
      <c r="F64" s="1264" t="inlineStr">
        <is>
          <t>kgN2O-N/ha/yr</t>
        </is>
      </c>
      <c r="G64" s="1264" t="n"/>
      <c r="H64" s="1261" t="inlineStr">
        <is>
          <t>tC/ha/yr</t>
        </is>
      </c>
      <c r="I64" s="1261" t="n"/>
      <c r="J64" s="1261" t="inlineStr">
        <is>
          <t>kgCH4/ha/yr</t>
        </is>
      </c>
      <c r="K64" s="1261" t="n"/>
      <c r="L64" s="1271" t="inlineStr">
        <is>
          <t>CO2</t>
        </is>
      </c>
      <c r="M64" s="1264" t="n"/>
      <c r="N64" s="1271" t="n"/>
      <c r="O64" s="1271" t="inlineStr">
        <is>
          <t>CH4</t>
        </is>
      </c>
      <c r="P64" s="1264" t="n"/>
      <c r="Q64" s="1271" t="n"/>
      <c r="R64" s="1271" t="inlineStr">
        <is>
          <t>N2O</t>
        </is>
      </c>
      <c r="S64" s="1264" t="n"/>
      <c r="T64" s="1271" t="n"/>
      <c r="U64" s="1273" t="inlineStr">
        <is>
          <t>DOC</t>
        </is>
      </c>
      <c r="V64" s="1261" t="n"/>
      <c r="W64" s="1273" t="n"/>
      <c r="X64" s="1273" t="inlineStr">
        <is>
          <t>CH4</t>
        </is>
      </c>
      <c r="Y64" s="1261" t="n"/>
      <c r="Z64" s="1273" t="n"/>
      <c r="AB64" s="1264" t="inlineStr">
        <is>
          <t>CO2&amp;DOC</t>
        </is>
      </c>
      <c r="AC64" s="1264" t="n"/>
      <c r="AD64" s="1264" t="inlineStr">
        <is>
          <t>CH4</t>
        </is>
      </c>
      <c r="AE64" s="1264" t="n"/>
      <c r="AF64" s="1264" t="inlineStr">
        <is>
          <t>N2O</t>
        </is>
      </c>
      <c r="AG64" s="1264" t="n"/>
      <c r="AO64" s="1114" t="n"/>
      <c r="AP64" s="1114" t="n"/>
      <c r="AQ64" s="1114" t="n"/>
      <c r="AR64" s="1114" t="n"/>
      <c r="AS64" s="1114" t="n"/>
      <c r="AT64" s="1114" t="n"/>
      <c r="AU64" s="1114" t="n"/>
      <c r="AV64" s="1114" t="n"/>
      <c r="AW64" s="1114" t="n"/>
      <c r="AX64" s="1264" t="inlineStr">
        <is>
          <t>IMPLEMENTATION PHASE</t>
        </is>
      </c>
      <c r="AZ64" s="1264" t="inlineStr">
        <is>
          <t>IMPLEMENTATION PHASE</t>
        </is>
      </c>
      <c r="BB64" s="1264" t="inlineStr">
        <is>
          <t>IMPLEMENTATION PHASE</t>
        </is>
      </c>
      <c r="BD64" s="1264" t="inlineStr">
        <is>
          <t>IMPLEMENTATION PHASE</t>
        </is>
      </c>
      <c r="BF64" s="1264" t="inlineStr">
        <is>
          <t>IMPLEMENTATION PHASE</t>
        </is>
      </c>
    </row>
    <row r="65">
      <c r="A65" s="1264" t="n"/>
      <c r="B65" s="1272" t="inlineStr">
        <is>
          <t>IPCC</t>
        </is>
      </c>
      <c r="C65" s="1272" t="inlineStr">
        <is>
          <t>Tier 2</t>
        </is>
      </c>
      <c r="D65" s="1272" t="inlineStr">
        <is>
          <t>IPCC</t>
        </is>
      </c>
      <c r="E65" s="1272" t="inlineStr">
        <is>
          <t>Tier 2</t>
        </is>
      </c>
      <c r="F65" s="1272" t="inlineStr">
        <is>
          <t>IPCC</t>
        </is>
      </c>
      <c r="G65" s="1272" t="inlineStr">
        <is>
          <t>Tier 2</t>
        </is>
      </c>
      <c r="H65" s="1274" t="inlineStr">
        <is>
          <t>IPCC</t>
        </is>
      </c>
      <c r="I65" s="1274" t="inlineStr">
        <is>
          <t>Tier 2</t>
        </is>
      </c>
      <c r="J65" s="1274" t="inlineStr">
        <is>
          <t>IPCC</t>
        </is>
      </c>
      <c r="K65" s="1274" t="inlineStr">
        <is>
          <t>Tier 2</t>
        </is>
      </c>
      <c r="L65" s="973" t="inlineStr">
        <is>
          <t>Start</t>
        </is>
      </c>
      <c r="M65" s="1102" t="inlineStr">
        <is>
          <t>Without</t>
        </is>
      </c>
      <c r="N65" s="1103" t="inlineStr">
        <is>
          <t>With</t>
        </is>
      </c>
      <c r="O65" s="973" t="inlineStr">
        <is>
          <t>Start</t>
        </is>
      </c>
      <c r="P65" s="1102" t="inlineStr">
        <is>
          <t>Without</t>
        </is>
      </c>
      <c r="Q65" s="1103" t="inlineStr">
        <is>
          <t>With</t>
        </is>
      </c>
      <c r="R65" s="973" t="inlineStr">
        <is>
          <t>Start</t>
        </is>
      </c>
      <c r="S65" s="1102" t="inlineStr">
        <is>
          <t>Without</t>
        </is>
      </c>
      <c r="T65" s="1103" t="inlineStr">
        <is>
          <t>With</t>
        </is>
      </c>
      <c r="U65" s="973" t="inlineStr">
        <is>
          <t>Start</t>
        </is>
      </c>
      <c r="V65" s="1102" t="inlineStr">
        <is>
          <t>Without</t>
        </is>
      </c>
      <c r="W65" s="1103" t="inlineStr">
        <is>
          <t>With</t>
        </is>
      </c>
      <c r="X65" s="973" t="inlineStr">
        <is>
          <t>Start</t>
        </is>
      </c>
      <c r="Y65" s="1102" t="inlineStr">
        <is>
          <t>Without</t>
        </is>
      </c>
      <c r="Z65" s="1103" t="inlineStr">
        <is>
          <t>With</t>
        </is>
      </c>
      <c r="AB65" s="1102" t="inlineStr">
        <is>
          <t>Without</t>
        </is>
      </c>
      <c r="AC65" s="1103" t="inlineStr">
        <is>
          <t>With</t>
        </is>
      </c>
      <c r="AD65" s="1102" t="inlineStr">
        <is>
          <t>Without</t>
        </is>
      </c>
      <c r="AE65" s="1103" t="inlineStr">
        <is>
          <t>With</t>
        </is>
      </c>
      <c r="AF65" s="1102" t="inlineStr">
        <is>
          <t>Without</t>
        </is>
      </c>
      <c r="AG65" s="1103" t="inlineStr">
        <is>
          <t>With</t>
        </is>
      </c>
      <c r="AO65" s="992" t="n"/>
      <c r="AP65" s="992" t="n"/>
      <c r="AQ65" s="992" t="n"/>
      <c r="AR65" s="992" t="n"/>
      <c r="AS65" s="992" t="n"/>
      <c r="AT65" s="992" t="n"/>
      <c r="AU65" s="992" t="n"/>
      <c r="AV65" s="992" t="n"/>
      <c r="AW65" s="992" t="n"/>
      <c r="AX65" s="1272" t="inlineStr">
        <is>
          <t>WITHOUT</t>
        </is>
      </c>
      <c r="AY65" s="1272" t="inlineStr">
        <is>
          <t>WITH</t>
        </is>
      </c>
      <c r="AZ65" s="1272" t="inlineStr">
        <is>
          <t>WITHOUT</t>
        </is>
      </c>
      <c r="BA65" s="1272" t="inlineStr">
        <is>
          <t>WITH</t>
        </is>
      </c>
      <c r="BB65" s="1272" t="inlineStr">
        <is>
          <t>WITHOUT</t>
        </is>
      </c>
      <c r="BC65" s="1272" t="inlineStr">
        <is>
          <t>WITH</t>
        </is>
      </c>
      <c r="BD65" s="1272" t="inlineStr">
        <is>
          <t>WITHOUT</t>
        </is>
      </c>
      <c r="BE65" s="1272" t="inlineStr">
        <is>
          <t>WITH</t>
        </is>
      </c>
      <c r="BF65" s="1272" t="inlineStr">
        <is>
          <t>WITHOUT</t>
        </is>
      </c>
      <c r="BG65" s="1272" t="inlineStr">
        <is>
          <t>WITH</t>
        </is>
      </c>
    </row>
    <row r="66">
      <c r="A66" s="1467" t="inlineStr">
        <is>
          <t>S1</t>
        </is>
      </c>
      <c r="B66" s="1110">
        <f>IFERROR(IF(AND(OR($C53="Other land",$C53="Degraded land"),$D$47=list!$J$210),INDEX(IPCC!$A$1762:$J$1773,MATCH(clim_moist,IPCC!$A$1762:$A$1773,0),MATCH('Inl. wetlands'!$C53,IPCC!$A$1762:$J$1762,0)),IF(AND(OR($C53="Other land",$C53="Degraded land"),$D$47=list!$J$211),INDEX(IPCC!$A$1781:$J$1792,MATCH(clim_moist,IPCC!$A$1781:$A$1792,0),MATCH('Inl. wetlands'!$C53,IPCC!$A$1781:$J$1781,0)),IF($D$47=list!$J$210,INDEX(IPCC!$A$1762:$J$1773,MATCH(clim_moist,IPCC!$A$1781:$A$1792,0),MATCH('Inl. wetlands'!$C53,IPCC!$A$1781:$J$1781,0)),IF($D$47=list!$J$211,INDEX(IPCC!$A$1781:$J$1792,MATCH(clim_moist,IPCC!$A$1781:$A$1792,0),MATCH('Inl. wetlands'!$C53,IPCC!$A$1781:$J$1781,0)))))),0)</f>
        <v/>
      </c>
      <c r="C66" s="1104">
        <f>IF('6.Inland wetlands'!CG13="",'6.Inland wetlands'!CF13,'6.Inland wetlands'!CG13)</f>
        <v/>
      </c>
      <c r="D66" s="1044">
        <f>IFERROR(IF(AND(OR($C53="Other land",$C53="Degraded land"),$D$47=list!$J$210),INDEX(IPCC!$A$1818:$J$1829,MATCH(clim_moist,IPCC!$A$1818:$A$1829,0),MATCH('Inl. wetlands'!C53,IPCC!$A$1818:$J$1818,0)),IF(AND(OR($C53="Other land",$C53="Degraded land"),$D$47=list!$J$211),INDEX(IPCC!$A$1836:$J$1847,MATCH(clim_moist,IPCC!$A$1836:$A$1847,0),MATCH('Inl. wetlands'!$C53,IPCC!$A$1836:$J$1836,0)),IF($D$47=list!$J$210,INDEX(IPCC!$A$1818:$G$1829,MATCH(clim_moist,IPCC!$A$1818:$A$1829,0),MATCH('Inl. wetlands'!$C53,IPCC!$A$1818:$J$1818,0)),IF($D$47=list!$J$211,INDEX(IPCC!$A$1836:$J$1847,MATCH(clim_moist,IPCC!$A$1836:$A$1847,0),MATCH('Inl. wetlands'!$C53,IPCC!$A$1836:$J$1836,0)))))),0)</f>
        <v/>
      </c>
      <c r="E66" s="1104">
        <f>IF('6.Inland wetlands'!CI13="",'6.Inland wetlands'!CH13,'6.Inland wetlands'!CI13)</f>
        <v/>
      </c>
      <c r="F66" s="1044">
        <f>IFERROR(IF(AND(OR($C53="Other land",$C53="Degraded land"),$D$47=list!$J$210),INDEX(IPCC!$A$1872:$J$1883,MATCH(clim_moist,IPCC!$A$1872:$A$1883,0),MATCH('Inl. wetlands'!C53,IPCC!$A$1872:$J$1872,0)),IF(AND(OR($C53="Other land",$C53="Degraded land"),$D$47=list!$J$211),INDEX(IPCC!$A$1890:$J$1901,MATCH(clim_moist,IPCC!$A$1890:$A$1901,0),MATCH('Inl. wetlands'!$C53,IPCC!$A$1890:$J$1890,0)),IF($D$47=list!$J$210,INDEX(IPCC!$A$1872:$J$1883,MATCH(clim_moist,IPCC!$A$1872:$A$1883,0),MATCH('Inl. wetlands'!$C53,IPCC!$A$1872:$J$1872,0)),IF($D$47=list!$J$211,INDEX(IPCC!$A$1890:$J$1901,MATCH(clim_moist,IPCC!$A$1890:$A$1901,0),MATCH('Inl. wetlands'!$C53,IPCC!$A$1890:$J$1890,0)))))),0)</f>
        <v/>
      </c>
      <c r="G66" s="1104">
        <f>IF('6.Inland wetlands'!CK13="",'6.Inland wetlands'!CJ13,'6.Inland wetlands'!CK13)</f>
        <v/>
      </c>
      <c r="H66" s="1110">
        <f>IFERROR(IF(AND(OR($C53="Other land",$C53="Degraded land"),$D$47=list!$J$210),INDEX(IPCC!$A$1800:$J$1811,MATCH(clim_moist,IPCC!$A$1800:$A$1811,0),MATCH('Inl. wetlands'!C53,IPCC!$A$1800:$J$1800,0)),IF(AND(OR($C53="Other land",$C53="Degraded land"),$D$47=list!$J$211),INDEX(IPCC!$A$1800:$J$1811,MATCH(clim_moist,IPCC!$A$1800:$A$1811,0),MATCH('Inl. wetlands'!$C53,IPCC!$A$1800:$J$1800,0)),IF($D$47=list!$J$210,INDEX(IPCC!$A$1800:$J$1811,MATCH(clim_moist,IPCC!$A$1800:$A$1811,0),MATCH('Inl. wetlands'!$C53,IPCC!$A$1800:$J$1800,0)),IF($D$47=list!$J$211,INDEX(IPCC!$A$1800:$J$1811,MATCH(clim_moist,IPCC!$A$1800:$A$1811,0),MATCH('Inl. wetlands'!$C53,IPCC!$A$1800:$J$1800,0)))))),0)</f>
        <v/>
      </c>
      <c r="I66" s="1104">
        <f>IF('6.Inland wetlands'!CN13="",'6.Inland wetlands'!CM13,'6.Inland wetlands'!CN13)</f>
        <v/>
      </c>
      <c r="J66" s="1111">
        <f>IFERROR(IF(AND(OR($E53="Other land",$E53="Degraded land"),$D$47=list!$J$210),INDEX(IPCC!$A$1854:$J$1865,MATCH(clim_moist,IPCC!$A$1854:$A$1865,0),MATCH('Inl. wetlands'!$C53,IPCC!$A$1854:$J$1854,0)),IF(AND(OR($E53="Other land",$E53="Degraded land"),$D$47=list!$J$211),INDEX(IPCC!$A$1854:$J$1865,MATCH(clim_moist,IPCC!$A$1854:A$1865,0),MATCH('Inl. wetlands'!$C53,IPCC!$A$1854:$J$1854,0)),IF($D$47=list!$J$210,INDEX(IPCC!$A$1854:$J$1865,MATCH(clim_moist,IPCC!$A$1854:$A$1865,0),MATCH('Inl. wetlands'!$E53,IPCC!$A$1854:$J$1854,0)),IF($D$47=list!$J$211,INDEX(IPCC!$A$1854:$J$1865,MATCH(clim_moist,IPCC!$A$1854:$A$1865,0),MATCH('Inl. wetlands'!$E53,IPCC!$A$1854:$J$1854,0)))))),0)</f>
        <v/>
      </c>
      <c r="K66" s="3492">
        <f>IF('6.Inland wetlands'!CP13="",'6.Inland wetlands'!CO13,'6.Inland wetlands'!CP13)</f>
        <v/>
      </c>
      <c r="L66" s="3493">
        <f>IF('6.Inland wetlands'!M25=0, 0,'Inl. wetlands'!C66*44/12*'6.Inland wetlands'!M25)</f>
        <v/>
      </c>
      <c r="M66" s="3493">
        <f>IF('6.Inland wetlands'!S13=0, C66*44/12*'6.Inland wetlands'!N25, IF('6.Inland wetlands'!N25&lt;'6.Inland wetlands'!S13,0, 'Inl. wetlands'!C66*44/12*('6.Inland wetlands'!N25-'6.Inland wetlands'!S13)))</f>
        <v/>
      </c>
      <c r="N66" s="1151">
        <f>IF('6.Inland wetlands'!T13=0, C66*44/12*'6.Inland wetlands'!P25, IF('6.Inland wetlands'!P25&lt;'6.Inland wetlands'!T13,0, 'Inl. wetlands'!C66*44/12*('6.Inland wetlands'!P25-'6.Inland wetlands'!T13)))</f>
        <v/>
      </c>
      <c r="O66" s="4360">
        <f>IF('6.Inland wetlands'!M25=0, 0,$E66*methane/1000*'6.Inland wetlands'!M25*(1-'6.Inland wetlands'!W25))</f>
        <v/>
      </c>
      <c r="P66" s="4360">
        <f>IF('6.Inland wetlands'!S13=0,$E66*methane/1000*'6.Inland wetlands'!N25*(1-'6.Inland wetlands'!X25),IF('6.Inland wetlands'!N25&lt;'6.Inland wetlands'!S13,0, $E66*methane/1000*('6.Inland wetlands'!N25-'6.Inland wetlands'!S13)*(1-'6.Inland wetlands'!X25)))</f>
        <v/>
      </c>
      <c r="Q66" s="4360">
        <f>IF('6.Inland wetlands'!T13=0,$E66*methane/1000*'6.Inland wetlands'!P25*(1-'6.Inland wetlands'!Y25),IF('6.Inland wetlands'!P25&lt;'6.Inland wetlands'!T13,0, $E66*methane/1000*('6.Inland wetlands'!P25-'6.Inland wetlands'!T13)*(1-'6.Inland wetlands'!Y25)))</f>
        <v/>
      </c>
      <c r="R66" s="4360">
        <f>IF('6.Inland wetlands'!M25=0, 0, $G66*'6.Inland wetlands'!M25*44/28*Nitrous/1000)</f>
        <v/>
      </c>
      <c r="S66" s="4360">
        <f>IF('6.Inland wetlands'!S13=0, $G66*'6.Inland wetlands'!N25*44/28*Nitrous/1000, IF('6.Inland wetlands'!N25&lt;'6.Inland wetlands'!S13,0, $G66*('6.Inland wetlands'!N25-'6.Inland wetlands'!S13)*44/28*Nitrous/1000))</f>
        <v/>
      </c>
      <c r="T66" s="4360">
        <f>IF('6.Inland wetlands'!T13=0, $G66*'6.Inland wetlands'!P25*44/28*Nitrous/1000, IF('6.Inland wetlands'!P25&lt;'6.Inland wetlands'!T13,0,$G66*44/28*Nitrous/1000*('6.Inland wetlands'!P25-'6.Inland wetlands'!T13)))</f>
        <v/>
      </c>
      <c r="U66" s="4360">
        <f>IF('6.Inland wetlands'!M25=0, 0, $I66*'6.Inland wetlands'!M25*44/12)</f>
        <v/>
      </c>
      <c r="V66" s="4360">
        <f>IF('6.Inland wetlands'!S13=0, I66*44/12*'6.Inland wetlands'!N25, IF('6.Inland wetlands'!N25&lt;'6.Inland wetlands'!S13,0, 'Inl. wetlands'!I66*44/12*('6.Inland wetlands'!N25-'6.Inland wetlands'!S13)))</f>
        <v/>
      </c>
      <c r="W66" s="4360">
        <f>IF('6.Inland wetlands'!T13=0, I66*44/12*'6.Inland wetlands'!P25, IF('6.Inland wetlands'!P25&lt;'6.Inland wetlands'!T13,0, 'Inl. wetlands'!I66*44/12*('6.Inland wetlands'!P25-'6.Inland wetlands'!T13)))</f>
        <v/>
      </c>
      <c r="X66" s="4360">
        <f>IF('6.Inland wetlands'!M25=0,0, $K66/1000*methane*'6.Inland wetlands'!M25*'6.Inland wetlands'!$W25)</f>
        <v/>
      </c>
      <c r="Y66" s="4360">
        <f>IF('6.Inland wetlands'!S13=0,$K66*methane/1000*'6.Inland wetlands'!N25*('6.Inland wetlands'!X25),IF('6.Inland wetlands'!N25&lt;'6.Inland wetlands'!S13,0, $K66*methane/1000*('6.Inland wetlands'!N25-'6.Inland wetlands'!S13)*('6.Inland wetlands'!X25)))</f>
        <v/>
      </c>
      <c r="Z66" s="4360">
        <f>IF('6.Inland wetlands'!T13=0,$K66*methane/1000*'6.Inland wetlands'!P25*('6.Inland wetlands'!Y25),IF('6.Inland wetlands'!P25&lt;'6.Inland wetlands'!T13,0, $K66*methane/1000*('6.Inland wetlands'!P25-'6.Inland wetlands'!T13)*('6.Inland wetlands'!Y25)))</f>
        <v/>
      </c>
      <c r="AB66" s="3493">
        <f>MIN('Inl. wetlands'!$L66,'Inl. wetlands'!$M66)*time_tot+ABS('Inl. wetlands'!$M66-'Inl. wetlands'!$L66)*IF('Inl. wetlands'!$M66&gt;'Inl. wetlands'!$L66,time_cap+time*(VLOOKUP('6.Inland wetlands'!O25,list!$I$48:$K$50,3,0)),time*(1-(VLOOKUP('6.Inland wetlands'!O25,list!$I$48:$K$50,3,0))))+MIN('Inl. wetlands'!$U66,'Inl. wetlands'!$V66)*time_tot+ABS('Inl. wetlands'!$V66-'Inl. wetlands'!$U66)*IF('Inl. wetlands'!$V66&gt;'Inl. wetlands'!$U66,time_cap+time*(VLOOKUP('6.Inland wetlands'!O25,list!$I$48:$K$50,3,0)),time*(1-(VLOOKUP('6.Inland wetlands'!O25,list!$I$48:$K$50,3,0))))</f>
        <v/>
      </c>
      <c r="AC66" s="3493">
        <f>MIN('Inl. wetlands'!$L66,'Inl. wetlands'!$N66)*time_tot+ABS('Inl. wetlands'!$N66-'Inl. wetlands'!$L66)*IF('Inl. wetlands'!$N66&gt;'Inl. wetlands'!$L66,time_cap+time*(VLOOKUP('6.Inland wetlands'!Q25,list!$I$48:$K$50,3,0)),time*(1-(VLOOKUP('6.Inland wetlands'!Q25,list!$I$48:$K$50,3,0))))+MIN('Inl. wetlands'!$U66,'Inl. wetlands'!$W66)*time_tot+ABS('Inl. wetlands'!$W66-'Inl. wetlands'!$U66)*IF('Inl. wetlands'!$W66&gt;'Inl. wetlands'!$U66,time_cap+time*(VLOOKUP('6.Inland wetlands'!Q25,list!$I$48:$K$50,3,0)),time*(1-(VLOOKUP('6.Inland wetlands'!Q25,list!$I$48:$K$50,3,0))))</f>
        <v/>
      </c>
      <c r="AD66" s="3493">
        <f>MIN('Inl. wetlands'!$O66,'Inl. wetlands'!$P66)*time_tot+ABS('Inl. wetlands'!$P66-'Inl. wetlands'!$O66)*IF('Inl. wetlands'!$P66&gt;'Inl. wetlands'!$O66,time_cap+time*(VLOOKUP('6.Inland wetlands'!O25,list!$I$48:$K$50,3,0)),time*(1-(VLOOKUP('6.Inland wetlands'!O25,list!$I$48:$K$50,3,0))))+MIN('Inl. wetlands'!$X66,'Inl. wetlands'!$Y66)*time_tot+ABS('Inl. wetlands'!$Y66-'Inl. wetlands'!$X66)*IF('Inl. wetlands'!$Y66&gt;'Inl. wetlands'!$X66,time_cap+time*(VLOOKUP('6.Inland wetlands'!O25,list!$I$48:$K$50,3,0)),time*(1-(VLOOKUP('6.Inland wetlands'!O25,list!$I$48:$K$50,3,0))))</f>
        <v/>
      </c>
      <c r="AE66" s="3493">
        <f>MIN('Inl. wetlands'!$O66,'Inl. wetlands'!$Q66)*time_tot+ABS('Inl. wetlands'!$Q66-'Inl. wetlands'!$O66)*IF('Inl. wetlands'!$Q66&gt;'Inl. wetlands'!$O66,time_cap+time*(VLOOKUP('6.Inland wetlands'!Q25,list!$I$48:$K$50,3,0)),time*(1-(VLOOKUP('6.Inland wetlands'!Q25,list!$I$48:$K$50,3,0))))+MIN('Inl. wetlands'!$X66,'Inl. wetlands'!$Z66)*time_tot+ABS('Inl. wetlands'!$Z66-'Inl. wetlands'!$X66)*IF('Inl. wetlands'!$Z66&gt;'Inl. wetlands'!$X66,time_cap+time*(VLOOKUP('6.Inland wetlands'!Q25,list!$I$48:$K$50,3,0)),time*(1-(VLOOKUP('6.Inland wetlands'!Q25,list!$I$48:$K$50,3,0))))</f>
        <v/>
      </c>
      <c r="AF66" s="3493">
        <f>MIN('Inl. wetlands'!$R66,'Inl. wetlands'!$S66)*time_tot+ABS('Inl. wetlands'!$S66-'Inl. wetlands'!$R66)*IF('Inl. wetlands'!$S66&gt;'Inl. wetlands'!$R66,time_cap+time*(VLOOKUP('6.Inland wetlands'!O25,list!$I$48:$K$50,3,0)),time*(1-(VLOOKUP('6.Inland wetlands'!O25,list!$I$48:$K$50,3,0))))</f>
        <v/>
      </c>
      <c r="AG66" s="3493">
        <f>MIN('Inl. wetlands'!$R66,'Inl. wetlands'!$T66)*time_tot+ABS('Inl. wetlands'!$T66-'Inl. wetlands'!$R66)*IF('Inl. wetlands'!$T66&gt;'Inl. wetlands'!$R66,time_cap+time*(VLOOKUP('6.Inland wetlands'!Q25,list!$I$48:$K$50,3,0)),time*(1-(VLOOKUP('6.Inland wetlands'!Q25,list!$I$48:$K$50,3,0))))</f>
        <v/>
      </c>
      <c r="AO66" s="992" t="n"/>
      <c r="AP66" s="992" t="n"/>
      <c r="AQ66" s="992" t="n"/>
      <c r="AR66" s="992" t="n"/>
      <c r="AS66" s="992" t="n"/>
      <c r="AT66" s="992" t="n"/>
      <c r="AU66" s="992" t="n"/>
      <c r="AV66" s="992" t="n"/>
      <c r="AW66" s="992" t="n"/>
      <c r="AX66" s="1449">
        <f>MIN($L66,$M66)*time+ABS($M66-$L66)*IF($M66&gt;$L66,time*(VLOOKUP($H53,list!$J$48:$K$50,2,0)),time*(1-(VLOOKUP($H53,list!$J$48:$K$50,2,0))))</f>
        <v/>
      </c>
      <c r="AY66" s="1449">
        <f>MIN($L66,$N66)*time+ABS($N66-$L66)*IF($N66&gt;$L66,time*(VLOOKUP($L53,list!$J$48:$K$50,2,0)),time*(1-(VLOOKUP($L53,list!$J$48:$K$50,2,0))))</f>
        <v/>
      </c>
      <c r="AZ66" s="1449">
        <f>MIN($O66,$P66)*time+ABS($P66-$O66)*IF($P66&gt;$O66,time*(VLOOKUP($H53,list!$J$48:$K$50,2,0)),time*(1-(VLOOKUP($H53,list!$J$48:$K$50,2,0))))</f>
        <v/>
      </c>
      <c r="BA66" s="1449">
        <f>MIN($O66,$Q66)*time+ABS($Q66-$O66)*IF($Q66&gt;$O66,time*(VLOOKUP($L53,list!$J$48:$K$50,2,0)),time*(1-(VLOOKUP($L53,list!$J$48:$K$50,2,0))))</f>
        <v/>
      </c>
      <c r="BB66" s="1449">
        <f>MIN($R66,$S66)*time+ABS($S66-$R66)*IF($S66&gt;$R66,time*(VLOOKUP($H53,list!$J$48:$K$50,2,0)),time*(1-(VLOOKUP($H53,list!$J$48:$K$50,2,0))))</f>
        <v/>
      </c>
      <c r="BC66" s="1449">
        <f>MIN($R66,$T66)*time+ABS($T66-$R66)*IF($T66&gt;$R66,time*(VLOOKUP($L53,list!$J$48:$K$50,2,0)),time*(1-(VLOOKUP($L53,list!$J$48:$K$50,2,0))))</f>
        <v/>
      </c>
      <c r="BD66" s="1449">
        <f>MIN($U66,$V66)*time+ABS($V66-$U66)*IF($V66&gt;$U66,time*(VLOOKUP($H53,list!$J$48:$K$50,2,0)),time*(1-(VLOOKUP($H53,list!$J$48:$K$50,2,0))))</f>
        <v/>
      </c>
      <c r="BE66" s="1449">
        <f>MIN($U66,$W66)*time+ABS($W66-$U66)*IF($W66&gt;$U66,time*(VLOOKUP($L53,list!$J$48:$K$50,2,0)),time*(1-(VLOOKUP($L53,list!$J$48:$K$50,2,0))))</f>
        <v/>
      </c>
      <c r="BF66" s="1449">
        <f>MIN($X66,$Y66)*time+ABS($Y66-$X66)*IF($Y66&gt;$X66,time*(VLOOKUP($H53,list!$J$48:$K$50,2,0)),time*(1-(VLOOKUP($H53,list!$J$48:$K$50,2,0))))</f>
        <v/>
      </c>
      <c r="BG66" s="1449">
        <f>MIN($X66,$Z66)*time+ABS($Z66-$X66)*IF($Z66&gt;$X66,time*(VLOOKUP($L53,list!$J$48:$K$50,2,0)),time*(1-(VLOOKUP($L53,list!$J$48:$K$50,2,0))))</f>
        <v/>
      </c>
    </row>
    <row r="67" ht="16" customHeight="1">
      <c r="A67" s="1467" t="inlineStr">
        <is>
          <t>S2</t>
        </is>
      </c>
      <c r="B67" s="1110">
        <f>IFERROR(IF(AND(OR($E54="Other land",$E54="Degraded land"),$D$47=list!$J$210),INDEX(IPCC!$A$1762:$J$1773,MATCH(clim_moist,IPCC!$A$1762:$A$1773,0),MATCH('Inl. wetlands'!$C54,IPCC!$A$1762:$J$1762,0)),IF(AND(OR($E54="Other land",$E54="Degraded land"),$D$47=list!$J$211),INDEX(IPCC!$A$1781:$J$1792,MATCH(clim_moist,IPCC!$A$1781:$A$1792,0),MATCH('Inl. wetlands'!$C54,IPCC!$A$1781:$J$1781,0)),IF($D$47=list!$J$210,INDEX(IPCC!$A$1762:$J$1773,MATCH(clim_moist,IPCC!$A$1781:$A$1792,0),MATCH('Inl. wetlands'!$E54,IPCC!$A$1781:$J$1781,0)),IF($D$47=list!$J$211,INDEX(IPCC!$A$1781:$J$1792,MATCH(clim_moist,IPCC!$A$1781:$A$1792,0),MATCH('Inl. wetlands'!$E54,IPCC!$A$1781:$J$1781,0)))))),0)</f>
        <v/>
      </c>
      <c r="C67" s="1104">
        <f>IF('6.Inland wetlands'!CG14="",'6.Inland wetlands'!CF14,'6.Inland wetlands'!CG14)</f>
        <v/>
      </c>
      <c r="D67" s="1044">
        <f>IFERROR(IF(AND(OR($E54="Other land",$E54="Degraded land"),$D$47=list!$J$210),INDEX(IPCC!$A$1818:$J$1829,MATCH(clim_moist,IPCC!$A$1818:$A$1829,0),MATCH('Inl. wetlands'!C54,IPCC!$A$1818:$J$1818,0)),IF(AND(OR($E54="Other land",$E54="Degraded land"),$D$47=list!$J$211),INDEX(IPCC!$A$1836:$J$1847,MATCH(clim_moist,IPCC!$A$1836:$A$1847,0),MATCH('Inl. wetlands'!$C54,IPCC!$A$1836:$J$1836,0)),IF($D$47=list!$J$210,INDEX(IPCC!$A$1818:$G$1829,MATCH(clim_moist,IPCC!$A$1818:$A$1829,0),MATCH('Inl. wetlands'!$E54,IPCC!$A$1818:$J$1818,0)),IF($D$47=list!$J$211,INDEX(IPCC!$A$1836:$J$1847,MATCH(clim_moist,IPCC!$A$1836:$A$1847,0),MATCH('Inl. wetlands'!$E54,IPCC!$A$1836:$J$1836,0)))))),0)</f>
        <v/>
      </c>
      <c r="E67" s="1104">
        <f>IF('6.Inland wetlands'!CI14="",'6.Inland wetlands'!CH14,'6.Inland wetlands'!CI14)</f>
        <v/>
      </c>
      <c r="F67" s="1044">
        <f>IFERROR(IF(AND(OR($E54="Other land",$E54="Degraded land"),$D$47=list!$J$210),INDEX(IPCC!$A$1872:$J$1883,MATCH(clim_moist,IPCC!$A$1872:$A$1883,0),MATCH('Inl. wetlands'!D54,IPCC!$A$1872:$J$1872,0)),IF(AND(OR($E54="Other land",$E54="Degraded land"),$D$47=list!$J$211),INDEX(IPCC!$A$1890:$J$1901,MATCH(clim_moist,IPCC!$A$1890:$A$1901,0),MATCH('Inl. wetlands'!$C54,IPCC!$A$1890:$J$1890,0)),IF($D$47=list!$J$210,INDEX(IPCC!$A$1872:$J$1883,MATCH(clim_moist,IPCC!$A$1872:$A$1883,0),MATCH('Inl. wetlands'!$E54,IPCC!$A$1872:$J$1872,0)),IF($D$47=list!$J$211,INDEX(IPCC!$A$1890:$J$1901,MATCH(clim_moist,IPCC!$A$1890:$A$1901,0),MATCH('Inl. wetlands'!$E54,IPCC!$A$1890:$J$1890,0)))))),0)</f>
        <v/>
      </c>
      <c r="G67" s="1104">
        <f>IF('6.Inland wetlands'!CK14="",'6.Inland wetlands'!CJ14,'6.Inland wetlands'!CK14)</f>
        <v/>
      </c>
      <c r="H67" s="1110">
        <f>IFERROR(IF(AND(OR($E54="Other land",$E54="Degraded land"),$D$47=list!$J$210),INDEX(IPCC!$A$1800:$J$1811,MATCH(clim_moist,IPCC!$A$1800:$A$1811,0),MATCH('Inl. wetlands'!C54,IPCC!$A$1800:$J$1800,0)),IF(AND(OR($E54="Other land",$E54="Degraded land"),$D$47=list!$J$211),INDEX(IPCC!$A$1800:$J$1811,MATCH(clim_moist,IPCC!$A$1800:$A$1811,0),MATCH('Inl. wetlands'!$C54,IPCC!$A$1800:$J$1800,0)),IF($D$47=list!$J$210,INDEX(IPCC!$A$1800:$J$1811,MATCH(clim_moist,IPCC!$A$1800:$A$1811,0),MATCH('Inl. wetlands'!$E54,IPCC!$A$1800:$J$1800,0)),IF($D$47=list!$J$211,INDEX(IPCC!$A$1800:$J$1811,MATCH(clim_moist,IPCC!$A$1800:$A$1811,0),MATCH('Inl. wetlands'!$E54,IPCC!$A$1800:$J$1800,0)))))),0)</f>
        <v/>
      </c>
      <c r="I67" s="1104">
        <f>IF('6.Inland wetlands'!CN14="",'6.Inland wetlands'!CM14,'6.Inland wetlands'!CN14)</f>
        <v/>
      </c>
      <c r="J67" s="1111">
        <f>IFERROR(IF(AND(OR($E54="Other land",$E54="Degraded land"),$D$47=list!$J$210),INDEX(IPCC!$A$1854:$J$1865,MATCH(clim_moist,IPCC!$A$1854:$A$1865,0),MATCH('Inl. wetlands'!$C54,IPCC!$A$1854:$J$1854,0)),IF(AND(OR($E54="Other land",$E54="Degraded land"),$D$47=list!$J$211),INDEX(IPCC!$A$1854:$J$1865,MATCH(clim_moist,IPCC!$A$1854:A$1865,0),MATCH('Inl. wetlands'!$C54,IPCC!$A$1854:$J$1854,0)),IF($D$47=list!$J$210,INDEX(IPCC!$A$1854:$J$1865,MATCH(clim_moist,IPCC!$A$1854:$A$1865,0),MATCH('Inl. wetlands'!$E54,IPCC!$A$1854:$J$1854,0)),IF($D$47=list!$J$211,INDEX(IPCC!$A$1854:$J$1865,MATCH(clim_moist,IPCC!$A$1854:$A$1865,0),MATCH('Inl. wetlands'!$E54,IPCC!$A$1854:$J$1854,0)))))),0)</f>
        <v/>
      </c>
      <c r="K67" s="3492">
        <f>IF('6.Inland wetlands'!CP14="",'6.Inland wetlands'!CO14,'6.Inland wetlands'!CP14)</f>
        <v/>
      </c>
      <c r="L67" s="3493">
        <f>IF('6.Inland wetlands'!M26=0, 0,'Inl. wetlands'!C67*44/12*'6.Inland wetlands'!M26)</f>
        <v/>
      </c>
      <c r="M67" s="3493">
        <f>IF('6.Inland wetlands'!S14=0, C67*44/12*'6.Inland wetlands'!N26, IF('6.Inland wetlands'!N26&lt;'6.Inland wetlands'!S14,0, 'Inl. wetlands'!C67*44/12*('6.Inland wetlands'!N26-'6.Inland wetlands'!S14)))</f>
        <v/>
      </c>
      <c r="N67" s="1151">
        <f>IF('6.Inland wetlands'!S14=0, C67*44/12*'6.Inland wetlands'!N26, IF('6.Inland wetlands'!P26&lt;'6.Inland wetlands'!T14,0, 'Inl. wetlands'!C67*44/12*('6.Inland wetlands'!P26-'6.Inland wetlands'!T14)))</f>
        <v/>
      </c>
      <c r="O67" s="4360">
        <f>IF('6.Inland wetlands'!M26=0, 0,$E67*methane/1000*'6.Inland wetlands'!M26*(1-'6.Inland wetlands'!W26))</f>
        <v/>
      </c>
      <c r="P67" s="4360">
        <f>IF('6.Inland wetlands'!S14=0,$E67*methane/1000*'6.Inland wetlands'!N26*(1-'6.Inland wetlands'!X26),IF('6.Inland wetlands'!N26&lt;'6.Inland wetlands'!S14,0, $E67*methane/1000*('6.Inland wetlands'!N26-'6.Inland wetlands'!S14)*(1-'6.Inland wetlands'!X26)))</f>
        <v/>
      </c>
      <c r="Q67" s="4360">
        <f>IF('6.Inland wetlands'!T14=0,$E67*methane/1000*'6.Inland wetlands'!P26*(1-'6.Inland wetlands'!Y26),IF('6.Inland wetlands'!P26&lt;'6.Inland wetlands'!T14,0, $E67*methane/1000*('6.Inland wetlands'!P26-'6.Inland wetlands'!T14)*(1-'6.Inland wetlands'!Y26)))</f>
        <v/>
      </c>
      <c r="R67" s="4360">
        <f>IF('6.Inland wetlands'!M26=0, 0, $G67*'6.Inland wetlands'!M26*44/28*Nitrous/1000)</f>
        <v/>
      </c>
      <c r="S67" s="4360">
        <f>IF('6.Inland wetlands'!S14=0, $G67*'6.Inland wetlands'!N26*44/28*Nitrous/1000, IF('6.Inland wetlands'!N26&lt;'6.Inland wetlands'!S14,0, $G67*('6.Inland wetlands'!N26-'6.Inland wetlands'!S14)*44/28*Nitrous/1000))</f>
        <v/>
      </c>
      <c r="T67" s="4360">
        <f>IF('6.Inland wetlands'!T14=0, $G67*'6.Inland wetlands'!P26*44/28*Nitrous/1000, IF('6.Inland wetlands'!P26&lt;'6.Inland wetlands'!T14,0,$G67*44/28*Nitrous/1000*('6.Inland wetlands'!P26-'6.Inland wetlands'!T14)))</f>
        <v/>
      </c>
      <c r="U67" s="4360">
        <f>IF('6.Inland wetlands'!M26=0, 0, $I67*'6.Inland wetlands'!M26*44/12)</f>
        <v/>
      </c>
      <c r="V67" s="4360">
        <f>IF('6.Inland wetlands'!S14=0, I67*44/12*'6.Inland wetlands'!N26, IF('6.Inland wetlands'!N26&lt;'6.Inland wetlands'!S14,0, 'Inl. wetlands'!I67*44/12*('6.Inland wetlands'!N26-'6.Inland wetlands'!S14)))</f>
        <v/>
      </c>
      <c r="W67" s="4360">
        <f>IF('6.Inland wetlands'!$AC$13=list!$G$213,$I67*'6.Inland wetlands'!Y14*44/12,0)</f>
        <v/>
      </c>
      <c r="X67" s="4360">
        <f>IF('6.Inland wetlands'!M26=0,0, $K67/1000*methane*'6.Inland wetlands'!M26*'6.Inland wetlands'!$W26)</f>
        <v/>
      </c>
      <c r="Y67" s="4360">
        <f>IF('6.Inland wetlands'!S14=0,$K67*methane/1000*'6.Inland wetlands'!N26*('6.Inland wetlands'!X26),IF('6.Inland wetlands'!N26&lt;'6.Inland wetlands'!S14,0, $K67*methane/1000*('6.Inland wetlands'!N26-'6.Inland wetlands'!S14)*('6.Inland wetlands'!X26)))</f>
        <v/>
      </c>
      <c r="Z67" s="4360">
        <f>IF('6.Inland wetlands'!T14=0,$K67*methane/1000*'6.Inland wetlands'!P26*('6.Inland wetlands'!Y26),IF('6.Inland wetlands'!P26&lt;'6.Inland wetlands'!T14,0, $K67*methane/1000*('6.Inland wetlands'!P26-'6.Inland wetlands'!T14)*('6.Inland wetlands'!Y26)))</f>
        <v/>
      </c>
      <c r="AB67" s="3493">
        <f>MIN('Inl. wetlands'!$L67,'Inl. wetlands'!$M67)*time_tot+ABS('Inl. wetlands'!$M67-'Inl. wetlands'!$L67)*IF('Inl. wetlands'!$M67&gt;'Inl. wetlands'!$L67,time_cap+time*(VLOOKUP('6.Inland wetlands'!O26,list!$I$48:$K$50,3,0)),time*(1-(VLOOKUP('6.Inland wetlands'!O26,list!$I$48:$K$50,3,0))))+MIN('Inl. wetlands'!$U67,'Inl. wetlands'!$V67)*time_tot+ABS('Inl. wetlands'!$V67-'Inl. wetlands'!$U67)*IF('Inl. wetlands'!$V67&gt;'Inl. wetlands'!$U67,time_cap+time*(VLOOKUP('6.Inland wetlands'!O26,list!$I$48:$K$50,3,0)),time*(1-(VLOOKUP('6.Inland wetlands'!O26,list!$I$48:$K$50,3,0))))</f>
        <v/>
      </c>
      <c r="AC67" s="3493">
        <f>MIN('Inl. wetlands'!$L67,'Inl. wetlands'!$N67)*time_tot+ABS('Inl. wetlands'!$N67-'Inl. wetlands'!$L67)*IF('Inl. wetlands'!$N67&gt;'Inl. wetlands'!$L67,time_cap+time*(VLOOKUP('6.Inland wetlands'!Q26,list!$I$48:$K$50,3,0)),time*(1-(VLOOKUP('6.Inland wetlands'!Q26,list!$I$48:$K$50,3,0))))+MIN('Inl. wetlands'!$U67,'Inl. wetlands'!$W67)*time_tot+ABS('Inl. wetlands'!$W67-'Inl. wetlands'!$U67)*IF('Inl. wetlands'!$W67&gt;'Inl. wetlands'!$U67,time_cap+time*(VLOOKUP('6.Inland wetlands'!Q26,list!$I$48:$K$50,3,0)),time*(1-(VLOOKUP('6.Inland wetlands'!Q26,list!$I$48:$K$50,3,0))))</f>
        <v/>
      </c>
      <c r="AD67" s="3493">
        <f>MIN('Inl. wetlands'!$O67,'Inl. wetlands'!$P67)*time_tot+ABS('Inl. wetlands'!$P67-'Inl. wetlands'!$O67)*IF('Inl. wetlands'!$P67&gt;'Inl. wetlands'!$O67,time_cap+time*(VLOOKUP('6.Inland wetlands'!O26,list!$I$48:$K$50,3,0)),time*(1-(VLOOKUP('6.Inland wetlands'!O26,list!$I$48:$K$50,3,0))))+MIN('Inl. wetlands'!$X67,'Inl. wetlands'!$Y67)*time_tot+ABS('Inl. wetlands'!$Y67-'Inl. wetlands'!$X67)*IF('Inl. wetlands'!$Y67&gt;'Inl. wetlands'!$X67,time_cap+time*(VLOOKUP('6.Inland wetlands'!O26,list!$I$48:$K$50,3,0)),time*(1-(VLOOKUP('6.Inland wetlands'!O26,list!$I$48:$K$50,3,0))))</f>
        <v/>
      </c>
      <c r="AE67" s="3493">
        <f>MIN('Inl. wetlands'!$O67,'Inl. wetlands'!$Q67)*time_tot+ABS('Inl. wetlands'!$Q67-'Inl. wetlands'!$O67)*IF('Inl. wetlands'!$Q67&gt;'Inl. wetlands'!$O67,time_cap+time*(VLOOKUP('6.Inland wetlands'!Q26,list!$I$48:$K$50,3,0)),time*(1-(VLOOKUP('6.Inland wetlands'!Q26,list!$I$48:$K$50,3,0))))+MIN('Inl. wetlands'!$X67,'Inl. wetlands'!$Z67)*time_tot+ABS('Inl. wetlands'!$Z67-'Inl. wetlands'!$X67)*IF('Inl. wetlands'!$Z67&gt;'Inl. wetlands'!$X67,time_cap+time*(VLOOKUP('6.Inland wetlands'!Q26,list!$I$48:$K$50,3,0)),time*(1-(VLOOKUP('6.Inland wetlands'!Q26,list!$I$48:$K$50,3,0))))</f>
        <v/>
      </c>
      <c r="AF67" s="3493">
        <f>MIN('Inl. wetlands'!$R67,'Inl. wetlands'!$S67)*time_tot+ABS('Inl. wetlands'!$S67-'Inl. wetlands'!$R67)*IF('Inl. wetlands'!$S67&gt;'Inl. wetlands'!$R67,time_cap+time*(VLOOKUP('6.Inland wetlands'!O26,list!$I$48:$K$50,3,0)),time*(1-(VLOOKUP('6.Inland wetlands'!O26,list!$I$48:$K$50,3,0))))</f>
        <v/>
      </c>
      <c r="AG67" s="3493">
        <f>MIN('Inl. wetlands'!$R67,'Inl. wetlands'!$T67)*time_tot+ABS('Inl. wetlands'!$T67-'Inl. wetlands'!$R67)*IF('Inl. wetlands'!$T67&gt;'Inl. wetlands'!$R67,time_cap+time*(VLOOKUP('6.Inland wetlands'!Q26,list!$I$48:$K$50,3,0)),time*(1-(VLOOKUP('6.Inland wetlands'!Q26,list!$I$48:$K$50,3,0))))</f>
        <v/>
      </c>
      <c r="AI67" s="1270" t="inlineStr">
        <is>
          <t>Total emissions tCO2eq</t>
        </is>
      </c>
      <c r="AJ67" s="1116" t="n"/>
      <c r="AK67" s="1116" t="n"/>
      <c r="AO67" s="992" t="n"/>
      <c r="AP67" s="992" t="n"/>
      <c r="AQ67" s="992" t="n"/>
      <c r="AR67" s="992" t="n"/>
      <c r="AS67" s="992" t="n"/>
      <c r="AT67" s="992" t="n"/>
      <c r="AU67" s="992" t="n"/>
      <c r="AV67" s="992" t="n"/>
      <c r="AW67" s="992" t="n"/>
      <c r="AX67" s="1449">
        <f>MIN($L67,$M67)*time+ABS($M67-$L67)*IF($M67&gt;$L67,time*(VLOOKUP($H54,list!$J$48:$K$50,2,0)),time*(1-(VLOOKUP($H54,list!$J$48:$K$50,2,0))))</f>
        <v/>
      </c>
      <c r="AY67" s="1449">
        <f>MIN($L67,$N67)*time+ABS($N67-$L67)*IF($N67&gt;$L67,time*(VLOOKUP($L54,list!$J$48:$K$50,2,0)),time*(1-(VLOOKUP($L54,list!$J$48:$K$50,2,0))))</f>
        <v/>
      </c>
      <c r="AZ67" s="1449">
        <f>MIN($O67,$P67)*time+ABS($P67-$O67)*IF($P67&gt;$O67,time*(VLOOKUP($H54,list!$J$48:$K$50,2,0)),time*(1-(VLOOKUP($H54,list!$J$48:$K$50,2,0))))</f>
        <v/>
      </c>
      <c r="BA67" s="1449">
        <f>MIN($O67,$Q67)*time+ABS($Q67-$O67)*IF($Q67&gt;$O67,time*(VLOOKUP($L54,list!$J$48:$K$50,2,0)),time*(1-(VLOOKUP($L54,list!$J$48:$K$50,2,0))))</f>
        <v/>
      </c>
      <c r="BB67" s="1449">
        <f>MIN($R67,$S67)*time+ABS($S67-$R67)*IF($S67&gt;$R67,time*(VLOOKUP($H54,list!$J$48:$K$50,2,0)),time*(1-(VLOOKUP($H54,list!$J$48:$K$50,2,0))))</f>
        <v/>
      </c>
      <c r="BC67" s="1449">
        <f>MIN($R67,$T67)*time+ABS($T67-$R67)*IF($T67&gt;$R67,time*(VLOOKUP($L54,list!$J$48:$K$50,2,0)),time*(1-(VLOOKUP($L54,list!$J$48:$K$50,2,0))))</f>
        <v/>
      </c>
      <c r="BD67" s="1449">
        <f>MIN($U67,$V67)*time+ABS($V67-$U67)*IF($V67&gt;$U67,time*(VLOOKUP($H54,list!$J$48:$K$50,2,0)),time*(1-(VLOOKUP($H54,list!$J$48:$K$50,2,0))))</f>
        <v/>
      </c>
      <c r="BE67" s="1449">
        <f>MIN($U67,$W67)*time+ABS($W67-$U67)*IF($W67&gt;$U67,time*(VLOOKUP($L54,list!$J$48:$K$50,2,0)),time*(1-(VLOOKUP($L54,list!$J$48:$K$50,2,0))))</f>
        <v/>
      </c>
      <c r="BF67" s="1449">
        <f>MIN($X67,$Y67)*time+ABS($Y67-$X67)*IF($Y67&gt;$X67,time*(VLOOKUP($H54,list!$J$48:$K$50,2,0)),time*(1-(VLOOKUP($H54,list!$J$48:$K$50,2,0))))</f>
        <v/>
      </c>
      <c r="BG67" s="1449">
        <f>MIN($X67,$Z67)*time+ABS($Z67-$X67)*IF($Z67&gt;$X67,time*(VLOOKUP($L54,list!$J$48:$K$50,2,0)),time*(1-(VLOOKUP($L54,list!$J$48:$K$50,2,0))))</f>
        <v/>
      </c>
    </row>
    <row r="68" ht="16" customHeight="1">
      <c r="A68" s="1467" t="inlineStr">
        <is>
          <t>S3</t>
        </is>
      </c>
      <c r="B68" s="1110">
        <f>IFERROR(IF(AND(OR($E55="Other land",$E55="Degraded land"),$D$47=list!$J$210),INDEX(IPCC!$A$1762:$J$1773,MATCH(clim_moist,IPCC!$A$1762:$A$1773,0),MATCH('Inl. wetlands'!$C55,IPCC!$A$1762:$J$1762,0)),IF(AND(OR($E55="Other land",$E55="Degraded land"),$D$47=list!$J$211),INDEX(IPCC!$A$1781:$J$1792,MATCH(clim_moist,IPCC!$A$1781:$A$1792,0),MATCH('Inl. wetlands'!$C55,IPCC!$A$1781:$J$1781,0)),IF($D$47=list!$J$210,INDEX(IPCC!$A$1762:$J$1773,MATCH(clim_moist,IPCC!$A$1781:$A$1792,0),MATCH('Inl. wetlands'!$E55,IPCC!$A$1781:$J$1781,0)),IF($D$47=list!$J$211,INDEX(IPCC!$A$1781:$J$1792,MATCH(clim_moist,IPCC!$A$1781:$A$1792,0),MATCH('Inl. wetlands'!$E55,IPCC!$A$1781:$J$1781,0)))))),0)</f>
        <v/>
      </c>
      <c r="C68" s="1104">
        <f>IF('6.Inland wetlands'!CG15="",'6.Inland wetlands'!CF15,'6.Inland wetlands'!CG15)</f>
        <v/>
      </c>
      <c r="D68" s="1044">
        <f>IFERROR(IF(AND(OR($E55="Other land",$E55="Degraded land"),$D$47=list!$J$210),INDEX(IPCC!$A$1818:$J$1829,MATCH(clim_moist,IPCC!$A$1818:$A$1829,0),MATCH('Inl. wetlands'!C55,IPCC!$A$1818:$J$1818,0)),IF(AND(OR($E55="Other land",$E55="Degraded land"),$D$47=list!$J$211),INDEX(IPCC!$A$1836:$J$1847,MATCH(clim_moist,IPCC!$A$1836:$A$1847,0),MATCH('Inl. wetlands'!$C55,IPCC!$A$1836:$J$1836,0)),IF($D$47=list!$J$210,INDEX(IPCC!$A$1818:$G$1829,MATCH(clim_moist,IPCC!$A$1818:$A$1829,0),MATCH('Inl. wetlands'!$E55,IPCC!$A$1818:$J$1818,0)),IF($D$47=list!$J$211,INDEX(IPCC!$A$1836:$J$1847,MATCH(clim_moist,IPCC!$A$1836:$A$1847,0),MATCH('Inl. wetlands'!$E55,IPCC!$A$1836:$J$1836,0)))))),0)</f>
        <v/>
      </c>
      <c r="E68" s="1104">
        <f>IF('6.Inland wetlands'!CI15="",'6.Inland wetlands'!CH15,'6.Inland wetlands'!CI15)</f>
        <v/>
      </c>
      <c r="F68" s="1044">
        <f>IFERROR(IF(AND(OR($E55="Other land",$E55="Degraded land"),$D$47=list!$J$210),INDEX(IPCC!$A$1872:$J$1883,MATCH(clim_moist,IPCC!$A$1872:$A$1883,0),MATCH('Inl. wetlands'!D55,IPCC!$A$1872:$J$1872,0)),IF(AND(OR($E55="Other land",$E55="Degraded land"),$D$47=list!$J$211),INDEX(IPCC!$A$1890:$J$1901,MATCH(clim_moist,IPCC!$A$1890:$A$1901,0),MATCH('Inl. wetlands'!$C55,IPCC!$A$1890:$J$1890,0)),IF($D$47=list!$J$210,INDEX(IPCC!$A$1872:$J$1883,MATCH(clim_moist,IPCC!$A$1872:$A$1883,0),MATCH('Inl. wetlands'!$E55,IPCC!$A$1872:$J$1872,0)),IF($D$47=list!$J$211,INDEX(IPCC!$A$1890:$J$1901,MATCH(clim_moist,IPCC!$A$1890:$A$1901,0),MATCH('Inl. wetlands'!$E55,IPCC!$A$1890:$J$1890,0)))))),0)</f>
        <v/>
      </c>
      <c r="G68" s="1104">
        <f>IF('6.Inland wetlands'!CK15="",'6.Inland wetlands'!CJ15,'6.Inland wetlands'!CK15)</f>
        <v/>
      </c>
      <c r="H68" s="1110">
        <f>IFERROR(IF(AND(OR($E55="Other land",$E55="Degraded land"),$D$47=list!$J$210),INDEX(IPCC!$A$1800:$J$1811,MATCH(clim_moist,IPCC!$A$1800:$A$1811,0),MATCH('Inl. wetlands'!C55,IPCC!$A$1800:$J$1800,0)),IF(AND(OR($E55="Other land",$E55="Degraded land"),$D$47=list!$J$211),INDEX(IPCC!$A$1800:$J$1811,MATCH(clim_moist,IPCC!$A$1800:$A$1811,0),MATCH('Inl. wetlands'!$C55,IPCC!$A$1800:$J$1800,0)),IF($D$47=list!$J$210,INDEX(IPCC!$A$1800:$J$1811,MATCH(clim_moist,IPCC!$A$1800:$A$1811,0),MATCH('Inl. wetlands'!$E55,IPCC!$A$1800:$J$1800,0)),IF($D$47=list!$J$211,INDEX(IPCC!$A$1800:$J$1811,MATCH(clim_moist,IPCC!$A$1800:$A$1811,0),MATCH('Inl. wetlands'!$E55,IPCC!$A$1800:$J$1800,0)))))),0)</f>
        <v/>
      </c>
      <c r="I68" s="1104">
        <f>IF('6.Inland wetlands'!CN15="",'6.Inland wetlands'!CM15,'6.Inland wetlands'!CN15)</f>
        <v/>
      </c>
      <c r="J68" s="1111">
        <f>IFERROR(IF(AND(OR($E55="Other land",$E55="Degraded land"),$D$47=list!$J$210),INDEX(IPCC!$A$1854:$J$1865,MATCH(clim_moist,IPCC!$A$1854:$A$1865,0),MATCH('Inl. wetlands'!$C55,IPCC!$A$1854:$J$1854,0)),IF(AND(OR($E55="Other land",$E55="Degraded land"),$D$47=list!$J$211),INDEX(IPCC!$A$1854:$J$1865,MATCH(clim_moist,IPCC!$A$1854:A$1865,0),MATCH('Inl. wetlands'!$C55,IPCC!$A$1854:$J$1854,0)),IF($D$47=list!$J$210,INDEX(IPCC!$A$1854:$J$1865,MATCH(clim_moist,IPCC!$A$1854:$A$1865,0),MATCH('Inl. wetlands'!$E55,IPCC!$A$1854:$J$1854,0)),IF($D$47=list!$J$211,INDEX(IPCC!$A$1854:$J$1865,MATCH(clim_moist,IPCC!$A$1854:$A$1865,0),MATCH('Inl. wetlands'!$E55,IPCC!$A$1854:$J$1854,0)))))),0)</f>
        <v/>
      </c>
      <c r="K68" s="3492">
        <f>IF('6.Inland wetlands'!CP15="",'6.Inland wetlands'!CO15,'6.Inland wetlands'!CP15)</f>
        <v/>
      </c>
      <c r="L68" s="3493">
        <f>IF('6.Inland wetlands'!M27=0, 0,'Inl. wetlands'!C68*44/12*'6.Inland wetlands'!M27)</f>
        <v/>
      </c>
      <c r="M68" s="3493">
        <f>IF('6.Inland wetlands'!S15=0, C68*44/12*'6.Inland wetlands'!N27, IF('6.Inland wetlands'!N27&lt;'6.Inland wetlands'!S15,0, 'Inl. wetlands'!C68*44/12*('6.Inland wetlands'!N27-'6.Inland wetlands'!S15)))</f>
        <v/>
      </c>
      <c r="N68" s="1151">
        <f>IF('6.Inland wetlands'!S15=0, C68*44/12*'6.Inland wetlands'!N27, IF('6.Inland wetlands'!P27&lt;'6.Inland wetlands'!T15,0, 'Inl. wetlands'!C68*44/12*('6.Inland wetlands'!P27-'6.Inland wetlands'!T15)))</f>
        <v/>
      </c>
      <c r="O68" s="4360">
        <f>IF('6.Inland wetlands'!M27=0, 0,$E68*methane/1000*'6.Inland wetlands'!M27*(1-'6.Inland wetlands'!W27))</f>
        <v/>
      </c>
      <c r="P68" s="4360">
        <f>IF('6.Inland wetlands'!S15=0,$E68*methane/1000*'6.Inland wetlands'!N27*(1-'6.Inland wetlands'!X27),IF('6.Inland wetlands'!N27&lt;'6.Inland wetlands'!S15,0, $E68*methane/1000*('6.Inland wetlands'!N27-'6.Inland wetlands'!S15)*(1-'6.Inland wetlands'!X27)))</f>
        <v/>
      </c>
      <c r="Q68" s="4360">
        <f>IF('6.Inland wetlands'!T15=0,$E68*methane/1000*'6.Inland wetlands'!P27*(1-'6.Inland wetlands'!Y27),IF('6.Inland wetlands'!P27&lt;'6.Inland wetlands'!T15,0, $E68*methane/1000*('6.Inland wetlands'!P27-'6.Inland wetlands'!T15)*(1-'6.Inland wetlands'!Y27)))</f>
        <v/>
      </c>
      <c r="R68" s="4360">
        <f>IF('6.Inland wetlands'!M27=0, 0, $G68*'6.Inland wetlands'!M27*44/28*Nitrous/1000)</f>
        <v/>
      </c>
      <c r="S68" s="4360">
        <f>IF('6.Inland wetlands'!S15=0, $G68*'6.Inland wetlands'!N27*44/28*Nitrous/1000, IF('6.Inland wetlands'!N27&lt;'6.Inland wetlands'!S15,0, $G68*('6.Inland wetlands'!N27-'6.Inland wetlands'!S15)*44/28*Nitrous/1000))</f>
        <v/>
      </c>
      <c r="T68" s="4360">
        <f>IF('6.Inland wetlands'!T15=0, $G68*'6.Inland wetlands'!P27*44/28*Nitrous/1000, IF('6.Inland wetlands'!P27&lt;'6.Inland wetlands'!T15,0,$G68*44/28*Nitrous/1000*('6.Inland wetlands'!P27-'6.Inland wetlands'!T15)))</f>
        <v/>
      </c>
      <c r="U68" s="4360">
        <f>IF('6.Inland wetlands'!M27=0, 0, $I68*'6.Inland wetlands'!M27*44/12)</f>
        <v/>
      </c>
      <c r="V68" s="4360">
        <f>IF('6.Inland wetlands'!S15=0, I68*44/12*'6.Inland wetlands'!N27, IF('6.Inland wetlands'!N27&lt;'6.Inland wetlands'!S15,0, 'Inl. wetlands'!I68*44/12*('6.Inland wetlands'!N27-'6.Inland wetlands'!S15)))</f>
        <v/>
      </c>
      <c r="W68" s="4360">
        <f>IF('6.Inland wetlands'!$AC$13=list!$G$213,$I68*'6.Inland wetlands'!Y15*44/12,0)</f>
        <v/>
      </c>
      <c r="X68" s="4360">
        <f>IF('6.Inland wetlands'!M27=0,0, $K68/1000*methane*'6.Inland wetlands'!M27*'6.Inland wetlands'!$W27)</f>
        <v/>
      </c>
      <c r="Y68" s="4360">
        <f>IF('6.Inland wetlands'!S15=0,$K68*methane/1000*'6.Inland wetlands'!N27*('6.Inland wetlands'!X27),IF('6.Inland wetlands'!N27&lt;'6.Inland wetlands'!S15,0, $K68*methane/1000*('6.Inland wetlands'!N27-'6.Inland wetlands'!S15)*('6.Inland wetlands'!X27)))</f>
        <v/>
      </c>
      <c r="Z68" s="4360">
        <f>IF('6.Inland wetlands'!T15=0,$K68*methane/1000*'6.Inland wetlands'!P27*('6.Inland wetlands'!Y27),IF('6.Inland wetlands'!P27&lt;'6.Inland wetlands'!T15,0, $K68*methane/1000*('6.Inland wetlands'!P27-'6.Inland wetlands'!T15)*('6.Inland wetlands'!Y27)))</f>
        <v/>
      </c>
      <c r="AB68" s="3493">
        <f>MIN('Inl. wetlands'!$L68,'Inl. wetlands'!$M68)*time_tot+ABS('Inl. wetlands'!$M68-'Inl. wetlands'!$L68)*IF('Inl. wetlands'!$M68&gt;'Inl. wetlands'!$L68,time_cap+time*(VLOOKUP('6.Inland wetlands'!O27,list!$I$48:$K$50,3,0)),time*(1-(VLOOKUP('6.Inland wetlands'!O27,list!$I$48:$K$50,3,0))))+MIN('Inl. wetlands'!$U68,'Inl. wetlands'!$V68)*time_tot+ABS('Inl. wetlands'!$V68-'Inl. wetlands'!$U68)*IF('Inl. wetlands'!$V68&gt;'Inl. wetlands'!$U68,time_cap+time*(VLOOKUP('6.Inland wetlands'!O27,list!$I$48:$K$50,3,0)),time*(1-(VLOOKUP('6.Inland wetlands'!O27,list!$I$48:$K$50,3,0))))</f>
        <v/>
      </c>
      <c r="AC68" s="3493">
        <f>MIN('Inl. wetlands'!$L68,'Inl. wetlands'!$N68)*time_tot+ABS('Inl. wetlands'!$N68-'Inl. wetlands'!$L68)*IF('Inl. wetlands'!$N68&gt;'Inl. wetlands'!$L68,time_cap+time*(VLOOKUP('6.Inland wetlands'!Q27,list!$I$48:$K$50,3,0)),time*(1-(VLOOKUP('6.Inland wetlands'!Q27,list!$I$48:$K$50,3,0))))+MIN('Inl. wetlands'!$U68,'Inl. wetlands'!$W68)*time_tot+ABS('Inl. wetlands'!$W68-'Inl. wetlands'!$U68)*IF('Inl. wetlands'!$W68&gt;'Inl. wetlands'!$U68,time_cap+time*(VLOOKUP('6.Inland wetlands'!Q27,list!$I$48:$K$50,3,0)),time*(1-(VLOOKUP('6.Inland wetlands'!Q27,list!$I$48:$K$50,3,0))))</f>
        <v/>
      </c>
      <c r="AD68" s="3493">
        <f>MIN('Inl. wetlands'!$O68,'Inl. wetlands'!$P68)*time_tot+ABS('Inl. wetlands'!$P68-'Inl. wetlands'!$O68)*IF('Inl. wetlands'!$P68&gt;'Inl. wetlands'!$O68,time_cap+time*(VLOOKUP('6.Inland wetlands'!O27,list!$I$48:$K$50,3,0)),time*(1-(VLOOKUP('6.Inland wetlands'!O27,list!$I$48:$K$50,3,0))))+MIN('Inl. wetlands'!$X68,'Inl. wetlands'!$Y68)*time_tot+ABS('Inl. wetlands'!$Y68-'Inl. wetlands'!$X68)*IF('Inl. wetlands'!$Y68&gt;'Inl. wetlands'!$X68,time_cap+time*(VLOOKUP('6.Inland wetlands'!O27,list!$I$48:$K$50,3,0)),time*(1-(VLOOKUP('6.Inland wetlands'!O27,list!$I$48:$K$50,3,0))))</f>
        <v/>
      </c>
      <c r="AE68" s="3493">
        <f>MIN('Inl. wetlands'!$O68,'Inl. wetlands'!$Q68)*time_tot+ABS('Inl. wetlands'!$Q68-'Inl. wetlands'!$O68)*IF('Inl. wetlands'!$Q68&gt;'Inl. wetlands'!$O68,time_cap+time*(VLOOKUP('6.Inland wetlands'!Q27,list!$I$48:$K$50,3,0)),time*(1-(VLOOKUP('6.Inland wetlands'!Q27,list!$I$48:$K$50,3,0))))+MIN('Inl. wetlands'!$X68,'Inl. wetlands'!$Z68)*time_tot+ABS('Inl. wetlands'!$Z68-'Inl. wetlands'!$X68)*IF('Inl. wetlands'!$Z68&gt;'Inl. wetlands'!$X68,time_cap+time*(VLOOKUP('6.Inland wetlands'!Q27,list!$I$48:$K$50,3,0)),time*(1-(VLOOKUP('6.Inland wetlands'!Q27,list!$I$48:$K$50,3,0))))</f>
        <v/>
      </c>
      <c r="AF68" s="3493">
        <f>MIN('Inl. wetlands'!$R68,'Inl. wetlands'!$S68)*time_tot+ABS('Inl. wetlands'!$S68-'Inl. wetlands'!$R68)*IF('Inl. wetlands'!$S68&gt;'Inl. wetlands'!$R68,time_cap+time*(VLOOKUP('6.Inland wetlands'!O27,list!$I$48:$K$50,3,0)),time*(1-(VLOOKUP('6.Inland wetlands'!O27,list!$I$48:$K$50,3,0))))</f>
        <v/>
      </c>
      <c r="AG68" s="3493">
        <f>MIN('Inl. wetlands'!$R68,'Inl. wetlands'!$T68)*time_tot+ABS('Inl. wetlands'!$T68-'Inl. wetlands'!$R68)*IF('Inl. wetlands'!$T68&gt;'Inl. wetlands'!$R68,time_cap+time*(VLOOKUP('6.Inland wetlands'!Q27,list!$I$48:$K$50,3,0)),time*(1-(VLOOKUP('6.Inland wetlands'!Q27,list!$I$48:$K$50,3,0))))</f>
        <v/>
      </c>
      <c r="AI68" s="1270" t="inlineStr">
        <is>
          <t>ALL PERIOD</t>
        </is>
      </c>
      <c r="AJ68" s="1116" t="n"/>
      <c r="AK68" s="1116" t="n"/>
      <c r="AO68" s="992" t="n"/>
      <c r="AP68" s="992" t="n"/>
      <c r="AQ68" s="992" t="n"/>
      <c r="AR68" s="992" t="n"/>
      <c r="AS68" s="992" t="n"/>
      <c r="AT68" s="992" t="n"/>
      <c r="AU68" s="992" t="n"/>
      <c r="AV68" s="992" t="n"/>
      <c r="AW68" s="992" t="n"/>
      <c r="AX68" s="1449">
        <f>MIN($L68,$M68)*time+ABS($M68-$L68)*IF($M68&gt;$L68,time*(VLOOKUP($H55,list!$J$48:$K$50,2,0)),time*(1-(VLOOKUP($H55,list!$J$48:$K$50,2,0))))</f>
        <v/>
      </c>
      <c r="AY68" s="1449">
        <f>MIN($L68,$N68)*time+ABS($N68-$L68)*IF($N68&gt;$L68,time*(VLOOKUP($L55,list!$J$48:$K$50,2,0)),time*(1-(VLOOKUP($L55,list!$J$48:$K$50,2,0))))</f>
        <v/>
      </c>
      <c r="AZ68" s="1449">
        <f>MIN($O68,$P68)*time+ABS($P68-$O68)*IF($P68&gt;$O68,time*(VLOOKUP($H55,list!$J$48:$K$50,2,0)),time*(1-(VLOOKUP($H55,list!$J$48:$K$50,2,0))))</f>
        <v/>
      </c>
      <c r="BA68" s="1449">
        <f>MIN($O68,$Q68)*time+ABS($Q68-$O68)*IF($Q68&gt;$O68,time*(VLOOKUP($L55,list!$J$48:$K$50,2,0)),time*(1-(VLOOKUP($L55,list!$J$48:$K$50,2,0))))</f>
        <v/>
      </c>
      <c r="BB68" s="1449">
        <f>MIN($R68,$S68)*time+ABS($S68-$R68)*IF($S68&gt;$R68,time*(VLOOKUP($H55,list!$J$48:$K$50,2,0)),time*(1-(VLOOKUP($H55,list!$J$48:$K$50,2,0))))</f>
        <v/>
      </c>
      <c r="BC68" s="1449">
        <f>MIN($R68,$T68)*time+ABS($T68-$R68)*IF($T68&gt;$R68,time*(VLOOKUP($L55,list!$J$48:$K$50,2,0)),time*(1-(VLOOKUP($L55,list!$J$48:$K$50,2,0))))</f>
        <v/>
      </c>
      <c r="BD68" s="1449">
        <f>MIN($U68,$V68)*time+ABS($V68-$U68)*IF($V68&gt;$U68,time*(VLOOKUP($H55,list!$J$48:$K$50,2,0)),time*(1-(VLOOKUP($H55,list!$J$48:$K$50,2,0))))</f>
        <v/>
      </c>
      <c r="BE68" s="1449">
        <f>MIN($U68,$W68)*time+ABS($W68-$U68)*IF($W68&gt;$U68,time*(VLOOKUP($L55,list!$J$48:$K$50,2,0)),time*(1-(VLOOKUP($L55,list!$J$48:$K$50,2,0))))</f>
        <v/>
      </c>
      <c r="BF68" s="1449">
        <f>MIN($X68,$Y68)*time+ABS($Y68-$X68)*IF($Y68&gt;$X68,time*(VLOOKUP($H55,list!$J$48:$K$50,2,0)),time*(1-(VLOOKUP($H55,list!$J$48:$K$50,2,0))))</f>
        <v/>
      </c>
      <c r="BG68" s="1449">
        <f>MIN($X68,$Z68)*time+ABS($Z68-$X68)*IF($Z68&gt;$X68,time*(VLOOKUP($L55,list!$J$48:$K$50,2,0)),time*(1-(VLOOKUP($L55,list!$J$48:$K$50,2,0))))</f>
        <v/>
      </c>
    </row>
    <row r="69" ht="16" customHeight="1">
      <c r="A69" s="1467" t="inlineStr">
        <is>
          <t>S4</t>
        </is>
      </c>
      <c r="B69" s="1110">
        <f>IFERROR(IF(AND(OR($E56="Other land",$E56="Degraded land"),$D$47=list!$J$210),INDEX(IPCC!$A$1762:$J$1773,MATCH(clim_moist,IPCC!$A$1762:$A$1773,0),MATCH('Inl. wetlands'!$C56,IPCC!$A$1762:$J$1762,0)),IF(AND(OR($E56="Other land",$E56="Degraded land"),$D$47=list!$J$211),INDEX(IPCC!$A$1781:$J$1792,MATCH(clim_moist,IPCC!$A$1781:$A$1792,0),MATCH('Inl. wetlands'!$C56,IPCC!$A$1781:$J$1781,0)),IF($D$47=list!$J$210,INDEX(IPCC!$A$1762:$J$1773,MATCH(clim_moist,IPCC!$A$1781:$A$1792,0),MATCH('Inl. wetlands'!$E56,IPCC!$A$1781:$J$1781,0)),IF($D$47=list!$J$211,INDEX(IPCC!$A$1781:$J$1792,MATCH(clim_moist,IPCC!$A$1781:$A$1792,0),MATCH('Inl. wetlands'!$E56,IPCC!$A$1781:$J$1781,0)))))),0)</f>
        <v/>
      </c>
      <c r="C69" s="1104">
        <f>IF('6.Inland wetlands'!CG16="",'6.Inland wetlands'!CF16,'6.Inland wetlands'!CG16)</f>
        <v/>
      </c>
      <c r="D69" s="1044">
        <f>IFERROR(IF(AND(OR($E56="Other land",$E56="Degraded land"),$D$47=list!$J$210),INDEX(IPCC!$A$1818:$J$1829,MATCH(clim_moist,IPCC!$A$1818:$A$1829,0),MATCH('Inl. wetlands'!C56,IPCC!$A$1818:$J$1818,0)),IF(AND(OR($E56="Other land",$E56="Degraded land"),$D$47=list!$J$211),INDEX(IPCC!$A$1836:$J$1847,MATCH(clim_moist,IPCC!$A$1836:$A$1847,0),MATCH('Inl. wetlands'!$C56,IPCC!$A$1836:$J$1836,0)),IF($D$47=list!$J$210,INDEX(IPCC!$A$1818:$G$1829,MATCH(clim_moist,IPCC!$A$1818:$A$1829,0),MATCH('Inl. wetlands'!$E56,IPCC!$A$1818:$J$1818,0)),IF($D$47=list!$J$211,INDEX(IPCC!$A$1836:$J$1847,MATCH(clim_moist,IPCC!$A$1836:$A$1847,0),MATCH('Inl. wetlands'!$E56,IPCC!$A$1836:$J$1836,0)))))),0)</f>
        <v/>
      </c>
      <c r="E69" s="1104">
        <f>IF('6.Inland wetlands'!CI16="",'6.Inland wetlands'!CH16,'6.Inland wetlands'!CI16)</f>
        <v/>
      </c>
      <c r="F69" s="1044">
        <f>IFERROR(IF(AND(OR($E56="Other land",$E56="Degraded land"),$D$47=list!$J$210),INDEX(IPCC!$A$1872:$J$1883,MATCH(clim_moist,IPCC!$A$1872:$A$1883,0),MATCH('Inl. wetlands'!D56,IPCC!$A$1872:$J$1872,0)),IF(AND(OR($E56="Other land",$E56="Degraded land"),$D$47=list!$J$211),INDEX(IPCC!$A$1890:$J$1901,MATCH(clim_moist,IPCC!$A$1890:$A$1901,0),MATCH('Inl. wetlands'!$C56,IPCC!$A$1890:$J$1890,0)),IF($D$47=list!$J$210,INDEX(IPCC!$A$1872:$J$1883,MATCH(clim_moist,IPCC!$A$1872:$A$1883,0),MATCH('Inl. wetlands'!$E56,IPCC!$A$1872:$J$1872,0)),IF($D$47=list!$J$211,INDEX(IPCC!$A$1890:$J$1901,MATCH(clim_moist,IPCC!$A$1890:$A$1901,0),MATCH('Inl. wetlands'!$E56,IPCC!$A$1890:$J$1890,0)))))),0)</f>
        <v/>
      </c>
      <c r="G69" s="1104">
        <f>IF('6.Inland wetlands'!CK16="",'6.Inland wetlands'!CJ16,'6.Inland wetlands'!CK16)</f>
        <v/>
      </c>
      <c r="H69" s="1110">
        <f>IFERROR(IF(AND(OR($E56="Other land",$E56="Degraded land"),$D$47=list!$J$210),INDEX(IPCC!$A$1800:$J$1811,MATCH(clim_moist,IPCC!$A$1800:$A$1811,0),MATCH('Inl. wetlands'!C56,IPCC!$A$1800:$J$1800,0)),IF(AND(OR($E56="Other land",$E56="Degraded land"),$D$47=list!$J$211),INDEX(IPCC!$A$1800:$J$1811,MATCH(clim_moist,IPCC!$A$1800:$A$1811,0),MATCH('Inl. wetlands'!$C56,IPCC!$A$1800:$J$1800,0)),IF($D$47=list!$J$210,INDEX(IPCC!$A$1800:$J$1811,MATCH(clim_moist,IPCC!$A$1800:$A$1811,0),MATCH('Inl. wetlands'!$E56,IPCC!$A$1800:$J$1800,0)),IF($D$47=list!$J$211,INDEX(IPCC!$A$1800:$J$1811,MATCH(clim_moist,IPCC!$A$1800:$A$1811,0),MATCH('Inl. wetlands'!$E56,IPCC!$A$1800:$J$1800,0)))))),0)</f>
        <v/>
      </c>
      <c r="I69" s="1104">
        <f>IF('6.Inland wetlands'!CN16="",'6.Inland wetlands'!CM16,'6.Inland wetlands'!CN16)</f>
        <v/>
      </c>
      <c r="J69" s="1111">
        <f>IFERROR(IF(AND(OR($E56="Other land",$E56="Degraded land"),$D$47=list!$J$210),INDEX(IPCC!$A$1854:$J$1865,MATCH(clim_moist,IPCC!$A$1854:$A$1865,0),MATCH('Inl. wetlands'!$C56,IPCC!$A$1854:$J$1854,0)),IF(AND(OR($E56="Other land",$E56="Degraded land"),$D$47=list!$J$211),INDEX(IPCC!$A$1854:$J$1865,MATCH(clim_moist,IPCC!$A$1854:A$1865,0),MATCH('Inl. wetlands'!$C56,IPCC!$A$1854:$J$1854,0)),IF($D$47=list!$J$210,INDEX(IPCC!$A$1854:$J$1865,MATCH(clim_moist,IPCC!$A$1854:$A$1865,0),MATCH('Inl. wetlands'!$E56,IPCC!$A$1854:$J$1854,0)),IF($D$47=list!$J$211,INDEX(IPCC!$A$1854:$J$1865,MATCH(clim_moist,IPCC!$A$1854:$A$1865,0),MATCH('Inl. wetlands'!$E56,IPCC!$A$1854:$J$1854,0)))))),0)</f>
        <v/>
      </c>
      <c r="K69" s="3492">
        <f>IF('6.Inland wetlands'!CP16="",'6.Inland wetlands'!CO16,'6.Inland wetlands'!CP16)</f>
        <v/>
      </c>
      <c r="L69" s="3493">
        <f>IF('6.Inland wetlands'!M28=0, 0,'Inl. wetlands'!C69*44/12*'6.Inland wetlands'!M28)</f>
        <v/>
      </c>
      <c r="M69" s="3493">
        <f>IF('6.Inland wetlands'!S16=0, C69*44/12*'6.Inland wetlands'!N28, IF('6.Inland wetlands'!N28&lt;'6.Inland wetlands'!S16,0, 'Inl. wetlands'!C69*44/12*('6.Inland wetlands'!N28-'6.Inland wetlands'!S16)))</f>
        <v/>
      </c>
      <c r="N69" s="1151">
        <f>IF('6.Inland wetlands'!S16=0, C69*44/12*'6.Inland wetlands'!N28, IF('6.Inland wetlands'!P28&lt;'6.Inland wetlands'!T16,0, 'Inl. wetlands'!C69*44/12*('6.Inland wetlands'!P28-'6.Inland wetlands'!T16)))</f>
        <v/>
      </c>
      <c r="O69" s="4360">
        <f>IF('6.Inland wetlands'!M28=0, 0,$E69*methane/1000*'6.Inland wetlands'!M28*(1-'6.Inland wetlands'!W28))</f>
        <v/>
      </c>
      <c r="P69" s="4360">
        <f>IF('6.Inland wetlands'!S16=0,$E69*methane/1000*'6.Inland wetlands'!N28*(1-'6.Inland wetlands'!X28),IF('6.Inland wetlands'!N28&lt;'6.Inland wetlands'!S16,0, $E69*methane/1000*('6.Inland wetlands'!N28-'6.Inland wetlands'!S16)*(1-'6.Inland wetlands'!X28)))</f>
        <v/>
      </c>
      <c r="Q69" s="4360">
        <f>IF('6.Inland wetlands'!T16=0,$E69*methane/1000*'6.Inland wetlands'!P28*(1-'6.Inland wetlands'!Y28),IF('6.Inland wetlands'!P28&lt;'6.Inland wetlands'!T16,0, $E69*methane/1000*('6.Inland wetlands'!P28-'6.Inland wetlands'!T16)*(1-'6.Inland wetlands'!Y28)))</f>
        <v/>
      </c>
      <c r="R69" s="4360">
        <f>IF('6.Inland wetlands'!M28=0, 0, $G69*'6.Inland wetlands'!M28*44/28*Nitrous/1000)</f>
        <v/>
      </c>
      <c r="S69" s="4360">
        <f>IF('6.Inland wetlands'!S16=0, $G69*'6.Inland wetlands'!N28*44/28*Nitrous/1000, IF('6.Inland wetlands'!N28&lt;'6.Inland wetlands'!S16,0, $G69*('6.Inland wetlands'!N28-'6.Inland wetlands'!S16)*44/28*Nitrous/1000))</f>
        <v/>
      </c>
      <c r="T69" s="4360">
        <f>IF('6.Inland wetlands'!T16=0, $G69*'6.Inland wetlands'!P28*44/28*Nitrous/1000, IF('6.Inland wetlands'!P28&lt;'6.Inland wetlands'!T16,0,$G69*44/28*Nitrous/1000*('6.Inland wetlands'!P28-'6.Inland wetlands'!T16)))</f>
        <v/>
      </c>
      <c r="U69" s="4360">
        <f>IF('6.Inland wetlands'!M28=0, 0, $I69*'6.Inland wetlands'!M28*44/12)</f>
        <v/>
      </c>
      <c r="V69" s="4360">
        <f>IF('6.Inland wetlands'!S16=0, I69*44/12*'6.Inland wetlands'!N28, IF('6.Inland wetlands'!N28&lt;'6.Inland wetlands'!S16,0, 'Inl. wetlands'!I69*44/12*('6.Inland wetlands'!N28-'6.Inland wetlands'!S16)))</f>
        <v/>
      </c>
      <c r="W69" s="4360">
        <f>IF('6.Inland wetlands'!$AC$13=list!$G$213,$I69*'6.Inland wetlands'!Y16*44/12,0)</f>
        <v/>
      </c>
      <c r="X69" s="4360">
        <f>IF('6.Inland wetlands'!M28=0,0, $K69/1000*methane*'6.Inland wetlands'!M28*'6.Inland wetlands'!$W28)</f>
        <v/>
      </c>
      <c r="Y69" s="4360">
        <f>IF('6.Inland wetlands'!S16=0,$K69*methane/1000*'6.Inland wetlands'!N28*('6.Inland wetlands'!X28),IF('6.Inland wetlands'!N28&lt;'6.Inland wetlands'!S16,0, $K69*methane/1000*('6.Inland wetlands'!N28-'6.Inland wetlands'!S16)*('6.Inland wetlands'!X28)))</f>
        <v/>
      </c>
      <c r="Z69" s="4360">
        <f>IF('6.Inland wetlands'!T16=0,$K69*methane/1000*'6.Inland wetlands'!P28*('6.Inland wetlands'!Y28),IF('6.Inland wetlands'!P28&lt;'6.Inland wetlands'!T16,0, $K69*methane/1000*('6.Inland wetlands'!P28-'6.Inland wetlands'!T16)*('6.Inland wetlands'!Y28)))</f>
        <v/>
      </c>
      <c r="AB69" s="3493">
        <f>MIN('Inl. wetlands'!$L69,'Inl. wetlands'!$M69)*time_tot+ABS('Inl. wetlands'!$M69-'Inl. wetlands'!$L69)*IF('Inl. wetlands'!$M69&gt;'Inl. wetlands'!$L69,time_cap+time*(VLOOKUP('6.Inland wetlands'!O28,list!$I$48:$K$50,3,0)),time*(1-(VLOOKUP('6.Inland wetlands'!O28,list!$I$48:$K$50,3,0))))+MIN('Inl. wetlands'!$U69,'Inl. wetlands'!$V69)*time_tot+ABS('Inl. wetlands'!$V69-'Inl. wetlands'!$U69)*IF('Inl. wetlands'!$V69&gt;'Inl. wetlands'!$U69,time_cap+time*(VLOOKUP('6.Inland wetlands'!O28,list!$I$48:$K$50,3,0)),time*(1-(VLOOKUP('6.Inland wetlands'!O28,list!$I$48:$K$50,3,0))))</f>
        <v/>
      </c>
      <c r="AC69" s="3493">
        <f>MIN('Inl. wetlands'!$L69,'Inl. wetlands'!$N69)*time_tot+ABS('Inl. wetlands'!$N69-'Inl. wetlands'!$L69)*IF('Inl. wetlands'!$N69&gt;'Inl. wetlands'!$L69,time_cap+time*(VLOOKUP('6.Inland wetlands'!Q28,list!$I$48:$K$50,3,0)),time*(1-(VLOOKUP('6.Inland wetlands'!Q28,list!$I$48:$K$50,3,0))))+MIN('Inl. wetlands'!$U69,'Inl. wetlands'!$W69)*time_tot+ABS('Inl. wetlands'!$W69-'Inl. wetlands'!$U69)*IF('Inl. wetlands'!$W69&gt;'Inl. wetlands'!$U69,time_cap+time*(VLOOKUP('6.Inland wetlands'!Q28,list!$I$48:$K$50,3,0)),time*(1-(VLOOKUP('6.Inland wetlands'!Q28,list!$I$48:$K$50,3,0))))</f>
        <v/>
      </c>
      <c r="AD69" s="3493">
        <f>MIN('Inl. wetlands'!$O69,'Inl. wetlands'!$P69)*time_tot+ABS('Inl. wetlands'!$P69-'Inl. wetlands'!$O69)*IF('Inl. wetlands'!$P69&gt;'Inl. wetlands'!$O69,time_cap+time*(VLOOKUP('6.Inland wetlands'!O28,list!$I$48:$K$50,3,0)),time*(1-(VLOOKUP('6.Inland wetlands'!O28,list!$I$48:$K$50,3,0))))+MIN('Inl. wetlands'!$X69,'Inl. wetlands'!$Y69)*time_tot+ABS('Inl. wetlands'!$Y69-'Inl. wetlands'!$X69)*IF('Inl. wetlands'!$Y69&gt;'Inl. wetlands'!$X69,time_cap+time*(VLOOKUP('6.Inland wetlands'!O28,list!$I$48:$K$50,3,0)),time*(1-(VLOOKUP('6.Inland wetlands'!O28,list!$I$48:$K$50,3,0))))</f>
        <v/>
      </c>
      <c r="AE69" s="3493">
        <f>MIN('Inl. wetlands'!$O69,'Inl. wetlands'!$Q69)*time_tot+ABS('Inl. wetlands'!$Q69-'Inl. wetlands'!$O69)*IF('Inl. wetlands'!$Q69&gt;'Inl. wetlands'!$O69,time_cap+time*(VLOOKUP('6.Inland wetlands'!Q28,list!$I$48:$K$50,3,0)),time*(1-(VLOOKUP('6.Inland wetlands'!Q28,list!$I$48:$K$50,3,0))))+MIN('Inl. wetlands'!$X69,'Inl. wetlands'!$Z69)*time_tot+ABS('Inl. wetlands'!$Z69-'Inl. wetlands'!$X69)*IF('Inl. wetlands'!$Z69&gt;'Inl. wetlands'!$X69,time_cap+time*(VLOOKUP('6.Inland wetlands'!Q28,list!$I$48:$K$50,3,0)),time*(1-(VLOOKUP('6.Inland wetlands'!Q28,list!$I$48:$K$50,3,0))))</f>
        <v/>
      </c>
      <c r="AF69" s="3493">
        <f>MIN('Inl. wetlands'!$R69,'Inl. wetlands'!$S69)*time_tot+ABS('Inl. wetlands'!$S69-'Inl. wetlands'!$R69)*IF('Inl. wetlands'!$S69&gt;'Inl. wetlands'!$R69,time_cap+time*(VLOOKUP('6.Inland wetlands'!O28,list!$I$48:$K$50,3,0)),time*(1-(VLOOKUP('6.Inland wetlands'!O28,list!$I$48:$K$50,3,0))))</f>
        <v/>
      </c>
      <c r="AG69" s="3493">
        <f>MIN('Inl. wetlands'!$R69,'Inl. wetlands'!$T69)*time_tot+ABS('Inl. wetlands'!$T69-'Inl. wetlands'!$R69)*IF('Inl. wetlands'!$T69&gt;'Inl. wetlands'!$R69,time_cap+time*(VLOOKUP('6.Inland wetlands'!Q28,list!$I$48:$K$50,3,0)),time*(1-(VLOOKUP('6.Inland wetlands'!Q28,list!$I$48:$K$50,3,0))))</f>
        <v/>
      </c>
      <c r="AI69" s="1270" t="inlineStr">
        <is>
          <t>DRAINAGE</t>
        </is>
      </c>
      <c r="AJ69" s="1116" t="n"/>
      <c r="AK69" s="1116" t="n"/>
      <c r="AO69" s="992" t="n"/>
      <c r="AP69" s="992" t="n"/>
      <c r="AQ69" s="992" t="n"/>
      <c r="AR69" s="992" t="n"/>
      <c r="AS69" s="992" t="n"/>
      <c r="AT69" s="992" t="n"/>
      <c r="AU69" s="992" t="n"/>
      <c r="AV69" s="992" t="n"/>
      <c r="AW69" s="992" t="n"/>
      <c r="AX69" s="1449">
        <f>MIN($L69,$M69)*time+ABS($M69-$L69)*IF($M69&gt;$L69,time*(VLOOKUP($H56,list!$J$48:$K$50,2,0)),time*(1-(VLOOKUP($H56,list!$J$48:$K$50,2,0))))</f>
        <v/>
      </c>
      <c r="AY69" s="1449">
        <f>MIN($L69,$N69)*time+ABS($N69-$L69)*IF($N69&gt;$L69,time*(VLOOKUP($L56,list!$J$48:$K$50,2,0)),time*(1-(VLOOKUP($L56,list!$J$48:$K$50,2,0))))</f>
        <v/>
      </c>
      <c r="AZ69" s="1449">
        <f>MIN($O69,$P69)*time+ABS($P69-$O69)*IF($P69&gt;$O69,time*(VLOOKUP($H56,list!$J$48:$K$50,2,0)),time*(1-(VLOOKUP($H56,list!$J$48:$K$50,2,0))))</f>
        <v/>
      </c>
      <c r="BA69" s="1449">
        <f>MIN($O69,$Q69)*time+ABS($Q69-$O69)*IF($Q69&gt;$O69,time*(VLOOKUP($L56,list!$J$48:$K$50,2,0)),time*(1-(VLOOKUP($L56,list!$J$48:$K$50,2,0))))</f>
        <v/>
      </c>
      <c r="BB69" s="1449">
        <f>MIN($R69,$S69)*time+ABS($S69-$R69)*IF($S69&gt;$R69,time*(VLOOKUP($H56,list!$J$48:$K$50,2,0)),time*(1-(VLOOKUP($H56,list!$J$48:$K$50,2,0))))</f>
        <v/>
      </c>
      <c r="BC69" s="1449">
        <f>MIN($R69,$T69)*time+ABS($T69-$R69)*IF($T69&gt;$R69,time*(VLOOKUP($L56,list!$J$48:$K$50,2,0)),time*(1-(VLOOKUP($L56,list!$J$48:$K$50,2,0))))</f>
        <v/>
      </c>
      <c r="BD69" s="1449">
        <f>MIN($U69,$V69)*time+ABS($V69-$U69)*IF($V69&gt;$U69,time*(VLOOKUP($H56,list!$J$48:$K$50,2,0)),time*(1-(VLOOKUP($H56,list!$J$48:$K$50,2,0))))</f>
        <v/>
      </c>
      <c r="BE69" s="1449">
        <f>MIN($U69,$W69)*time+ABS($W69-$U69)*IF($W69&gt;$U69,time*(VLOOKUP($L56,list!$J$48:$K$50,2,0)),time*(1-(VLOOKUP($L56,list!$J$48:$K$50,2,0))))</f>
        <v/>
      </c>
      <c r="BF69" s="1449">
        <f>MIN($X69,$Y69)*time+ABS($Y69-$X69)*IF($Y69&gt;$X69,time*(VLOOKUP($H56,list!$J$48:$K$50,2,0)),time*(1-(VLOOKUP($H56,list!$J$48:$K$50,2,0))))</f>
        <v/>
      </c>
      <c r="BG69" s="1449">
        <f>MIN($X69,$Z69)*time+ABS($Z69-$X69)*IF($Z69&gt;$X69,time*(VLOOKUP($L56,list!$J$48:$K$50,2,0)),time*(1-(VLOOKUP($L56,list!$J$48:$K$50,2,0))))</f>
        <v/>
      </c>
    </row>
    <row r="70">
      <c r="A70" s="1467" t="inlineStr">
        <is>
          <t>S5</t>
        </is>
      </c>
      <c r="B70" s="1110">
        <f>IFERROR(IF(AND(OR($E57="Other land",$E57="Degraded land"),$D$47=list!$J$210),INDEX(IPCC!$A$1762:$J$1773,MATCH(clim_moist,IPCC!$A$1762:$A$1773,0),MATCH('Inl. wetlands'!$C57,IPCC!$A$1762:$J$1762,0)),IF(AND(OR($E57="Other land",$E57="Degraded land"),$D$47=list!$J$211),INDEX(IPCC!$A$1781:$J$1792,MATCH(clim_moist,IPCC!$A$1781:$A$1792,0),MATCH('Inl. wetlands'!$C57,IPCC!$A$1781:$J$1781,0)),IF($D$47=list!$J$210,INDEX(IPCC!$A$1762:$J$1773,MATCH(clim_moist,IPCC!$A$1781:$A$1792,0),MATCH('Inl. wetlands'!$E57,IPCC!$A$1781:$J$1781,0)),IF($D$47=list!$J$211,INDEX(IPCC!$A$1781:$J$1792,MATCH(clim_moist,IPCC!$A$1781:$A$1792,0),MATCH('Inl. wetlands'!$E57,IPCC!$A$1781:$J$1781,0)))))),0)</f>
        <v/>
      </c>
      <c r="C70" s="1104">
        <f>IF('6.Inland wetlands'!CG17="",'6.Inland wetlands'!CF17,'6.Inland wetlands'!CG17)</f>
        <v/>
      </c>
      <c r="D70" s="1044">
        <f>IFERROR(IF(AND(OR($E57="Other land",$E57="Degraded land"),$D$47=list!$J$210),INDEX(IPCC!$A$1818:$J$1829,MATCH(clim_moist,IPCC!$A$1818:$A$1829,0),MATCH('Inl. wetlands'!C57,IPCC!$A$1818:$J$1818,0)),IF(AND(OR($E57="Other land",$E57="Degraded land"),$D$47=list!$J$211),INDEX(IPCC!$A$1836:$J$1847,MATCH(clim_moist,IPCC!$A$1836:$A$1847,0),MATCH('Inl. wetlands'!$C57,IPCC!$A$1836:$J$1836,0)),IF($D$47=list!$J$210,INDEX(IPCC!$A$1818:$G$1829,MATCH(clim_moist,IPCC!$A$1818:$A$1829,0),MATCH('Inl. wetlands'!$E57,IPCC!$A$1818:$J$1818,0)),IF($D$47=list!$J$211,INDEX(IPCC!$A$1836:$J$1847,MATCH(clim_moist,IPCC!$A$1836:$A$1847,0),MATCH('Inl. wetlands'!$E57,IPCC!$A$1836:$J$1836,0)))))),0)</f>
        <v/>
      </c>
      <c r="E70" s="1104">
        <f>IF('6.Inland wetlands'!CI17="",'6.Inland wetlands'!CH17,'6.Inland wetlands'!CI17)</f>
        <v/>
      </c>
      <c r="F70" s="1044">
        <f>IFERROR(IF(AND(OR($E57="Other land",$E57="Degraded land"),$D$47=list!$J$210),INDEX(IPCC!$A$1872:$J$1883,MATCH(clim_moist,IPCC!$A$1872:$A$1883,0),MATCH('Inl. wetlands'!D57,IPCC!$A$1872:$J$1872,0)),IF(AND(OR($E57="Other land",$E57="Degraded land"),$D$47=list!$J$211),INDEX(IPCC!$A$1890:$J$1901,MATCH(clim_moist,IPCC!$A$1890:$A$1901,0),MATCH('Inl. wetlands'!$C57,IPCC!$A$1890:$J$1890,0)),IF($D$47=list!$J$210,INDEX(IPCC!$A$1872:$J$1883,MATCH(clim_moist,IPCC!$A$1872:$A$1883,0),MATCH('Inl. wetlands'!$E57,IPCC!$A$1872:$J$1872,0)),IF($D$47=list!$J$211,INDEX(IPCC!$A$1890:$J$1901,MATCH(clim_moist,IPCC!$A$1890:$A$1901,0),MATCH('Inl. wetlands'!$E57,IPCC!$A$1890:$J$1890,0)))))),0)</f>
        <v/>
      </c>
      <c r="G70" s="1104">
        <f>IF('6.Inland wetlands'!CK17="",'6.Inland wetlands'!CJ17,'6.Inland wetlands'!CK17)</f>
        <v/>
      </c>
      <c r="H70" s="1110">
        <f>IFERROR(IF(AND(OR($E57="Other land",$E57="Degraded land"),$D$47=list!$J$210),INDEX(IPCC!$A$1800:$J$1811,MATCH(clim_moist,IPCC!$A$1800:$A$1811,0),MATCH('Inl. wetlands'!C57,IPCC!$A$1800:$J$1800,0)),IF(AND(OR($E57="Other land",$E57="Degraded land"),$D$47=list!$J$211),INDEX(IPCC!$A$1800:$J$1811,MATCH(clim_moist,IPCC!$A$1800:$A$1811,0),MATCH('Inl. wetlands'!$C57,IPCC!$A$1800:$J$1800,0)),IF($D$47=list!$J$210,INDEX(IPCC!$A$1800:$J$1811,MATCH(clim_moist,IPCC!$A$1800:$A$1811,0),MATCH('Inl. wetlands'!$E57,IPCC!$A$1800:$J$1800,0)),IF($D$47=list!$J$211,INDEX(IPCC!$A$1800:$J$1811,MATCH(clim_moist,IPCC!$A$1800:$A$1811,0),MATCH('Inl. wetlands'!$E57,IPCC!$A$1800:$J$1800,0)))))),0)</f>
        <v/>
      </c>
      <c r="I70" s="1104">
        <f>IF('6.Inland wetlands'!CN17="",'6.Inland wetlands'!CM17,'6.Inland wetlands'!CN17)</f>
        <v/>
      </c>
      <c r="J70" s="1111">
        <f>IFERROR(IF(AND(OR($E57="Other land",$E57="Degraded land"),$D$47=list!$J$210),INDEX(IPCC!$A$1854:$J$1865,MATCH(clim_moist,IPCC!$A$1854:$A$1865,0),MATCH('Inl. wetlands'!$C57,IPCC!$A$1854:$J$1854,0)),IF(AND(OR($E57="Other land",$E57="Degraded land"),$D$47=list!$J$211),INDEX(IPCC!$A$1854:$J$1865,MATCH(clim_moist,IPCC!$A$1854:A$1865,0),MATCH('Inl. wetlands'!$C57,IPCC!$A$1854:$J$1854,0)),IF($D$47=list!$J$210,INDEX(IPCC!$A$1854:$J$1865,MATCH(clim_moist,IPCC!$A$1854:$A$1865,0),MATCH('Inl. wetlands'!$E57,IPCC!$A$1854:$J$1854,0)),IF($D$47=list!$J$211,INDEX(IPCC!$A$1854:$J$1865,MATCH(clim_moist,IPCC!$A$1854:$A$1865,0),MATCH('Inl. wetlands'!$E57,IPCC!$A$1854:$J$1854,0)))))),0)</f>
        <v/>
      </c>
      <c r="K70" s="3492">
        <f>IF('6.Inland wetlands'!CP17="",'6.Inland wetlands'!CO17,'6.Inland wetlands'!CP17)</f>
        <v/>
      </c>
      <c r="L70" s="3493">
        <f>IF('6.Inland wetlands'!M29=0, 0,'Inl. wetlands'!C70*44/12*'6.Inland wetlands'!M29)</f>
        <v/>
      </c>
      <c r="M70" s="3493">
        <f>IF('6.Inland wetlands'!S17=0, C70*44/12*'6.Inland wetlands'!N29, IF('6.Inland wetlands'!N29&lt;'6.Inland wetlands'!S17,0, 'Inl. wetlands'!C70*44/12*('6.Inland wetlands'!N29-'6.Inland wetlands'!S17)))</f>
        <v/>
      </c>
      <c r="N70" s="1151">
        <f>IF('6.Inland wetlands'!S17=0, C70*44/12*'6.Inland wetlands'!N29, IF('6.Inland wetlands'!P29&lt;'6.Inland wetlands'!T17,0, 'Inl. wetlands'!C70*44/12*('6.Inland wetlands'!P29-'6.Inland wetlands'!T17)))</f>
        <v/>
      </c>
      <c r="O70" s="4360">
        <f>IF('6.Inland wetlands'!M29=0, 0,$E70*methane/1000*'6.Inland wetlands'!M29*(1-'6.Inland wetlands'!W29))</f>
        <v/>
      </c>
      <c r="P70" s="4360">
        <f>IF('6.Inland wetlands'!S17=0,$E70*methane/1000*'6.Inland wetlands'!N29*(1-'6.Inland wetlands'!X29),IF('6.Inland wetlands'!N29&lt;'6.Inland wetlands'!S17,0, $E70*methane/1000*('6.Inland wetlands'!N29-'6.Inland wetlands'!S17)*(1-'6.Inland wetlands'!X29)))</f>
        <v/>
      </c>
      <c r="Q70" s="4360">
        <f>IF('6.Inland wetlands'!T17=0,$E70*methane/1000*'6.Inland wetlands'!P29*(1-'6.Inland wetlands'!Y29),IF('6.Inland wetlands'!P29&lt;'6.Inland wetlands'!T17,0, $E70*methane/1000*('6.Inland wetlands'!P29-'6.Inland wetlands'!T17)*(1-'6.Inland wetlands'!Y29)))</f>
        <v/>
      </c>
      <c r="R70" s="4360">
        <f>IF('6.Inland wetlands'!M29=0, 0, $G70*'6.Inland wetlands'!M29*44/28*Nitrous/1000)</f>
        <v/>
      </c>
      <c r="S70" s="4360">
        <f>IF('6.Inland wetlands'!S17=0, $G70*'6.Inland wetlands'!N29*44/28*Nitrous/1000, IF('6.Inland wetlands'!N29&lt;'6.Inland wetlands'!S17,0, $G70*('6.Inland wetlands'!N29-'6.Inland wetlands'!S17)*44/28*Nitrous/1000))</f>
        <v/>
      </c>
      <c r="T70" s="4360">
        <f>IF('6.Inland wetlands'!T17=0, $G70*'6.Inland wetlands'!P29*44/28*Nitrous/1000, IF('6.Inland wetlands'!P29&lt;'6.Inland wetlands'!T17,0,$G70*44/28*Nitrous/1000*('6.Inland wetlands'!P29-'6.Inland wetlands'!T17)))</f>
        <v/>
      </c>
      <c r="U70" s="4360">
        <f>IF('6.Inland wetlands'!M29=0, 0, $I70*'6.Inland wetlands'!M29*44/12)</f>
        <v/>
      </c>
      <c r="V70" s="4360">
        <f>IF('6.Inland wetlands'!S17=0, I70*44/12*'6.Inland wetlands'!N29, IF('6.Inland wetlands'!N29&lt;'6.Inland wetlands'!S17,0, 'Inl. wetlands'!I70*44/12*('6.Inland wetlands'!N29-'6.Inland wetlands'!S17)))</f>
        <v/>
      </c>
      <c r="W70" s="4360">
        <f>IF('6.Inland wetlands'!$AC$13=list!$G$213,$I70*'6.Inland wetlands'!Y17*44/12,0)</f>
        <v/>
      </c>
      <c r="X70" s="4360">
        <f>IF('6.Inland wetlands'!M29=0,0, $K70/1000*methane*'6.Inland wetlands'!M29*'6.Inland wetlands'!$W29)</f>
        <v/>
      </c>
      <c r="Y70" s="4360">
        <f>IF('6.Inland wetlands'!S17=0,$K70*methane/1000*'6.Inland wetlands'!N29*('6.Inland wetlands'!X29),IF('6.Inland wetlands'!N29&lt;'6.Inland wetlands'!S17,0, $K70*methane/1000*('6.Inland wetlands'!N29-'6.Inland wetlands'!S17)*('6.Inland wetlands'!X29)))</f>
        <v/>
      </c>
      <c r="Z70" s="4360">
        <f>IF('6.Inland wetlands'!T17=0,$K70*methane/1000*'6.Inland wetlands'!P29*('6.Inland wetlands'!Y29),IF('6.Inland wetlands'!P29&lt;'6.Inland wetlands'!T17,0, $K70*methane/1000*('6.Inland wetlands'!P29-'6.Inland wetlands'!T17)*('6.Inland wetlands'!Y29)))</f>
        <v/>
      </c>
      <c r="AB70" s="3493">
        <f>MIN('Inl. wetlands'!$L70,'Inl. wetlands'!$M70)*time_tot+ABS('Inl. wetlands'!$M70-'Inl. wetlands'!$L70)*IF('Inl. wetlands'!$M70&gt;'Inl. wetlands'!$L70,time_cap+time*(VLOOKUP('6.Inland wetlands'!O29,list!$I$48:$K$50,3,0)),time*(1-(VLOOKUP('6.Inland wetlands'!O29,list!$I$48:$K$50,3,0))))+MIN('Inl. wetlands'!$U70,'Inl. wetlands'!$V70)*time_tot+ABS('Inl. wetlands'!$V70-'Inl. wetlands'!$U70)*IF('Inl. wetlands'!$V70&gt;'Inl. wetlands'!$U70,time_cap+time*(VLOOKUP('6.Inland wetlands'!O29,list!$I$48:$K$50,3,0)),time*(1-(VLOOKUP('6.Inland wetlands'!O29,list!$I$48:$K$50,3,0))))</f>
        <v/>
      </c>
      <c r="AC70" s="3493">
        <f>MIN('Inl. wetlands'!$L70,'Inl. wetlands'!$N70)*time_tot+ABS('Inl. wetlands'!$N70-'Inl. wetlands'!$L70)*IF('Inl. wetlands'!$N70&gt;'Inl. wetlands'!$L70,time_cap+time*(VLOOKUP('6.Inland wetlands'!Q29,list!$I$48:$K$50,3,0)),time*(1-(VLOOKUP('6.Inland wetlands'!Q29,list!$I$48:$K$50,3,0))))+MIN('Inl. wetlands'!$U70,'Inl. wetlands'!$W70)*time_tot+ABS('Inl. wetlands'!$W70-'Inl. wetlands'!$U70)*IF('Inl. wetlands'!$W70&gt;'Inl. wetlands'!$U70,time_cap+time*(VLOOKUP('6.Inland wetlands'!Q29,list!$I$48:$K$50,3,0)),time*(1-(VLOOKUP('6.Inland wetlands'!Q29,list!$I$48:$K$50,3,0))))</f>
        <v/>
      </c>
      <c r="AD70" s="3493">
        <f>MIN('Inl. wetlands'!$O70,'Inl. wetlands'!$P70)*time_tot+ABS('Inl. wetlands'!$P70-'Inl. wetlands'!$O70)*IF('Inl. wetlands'!$P70&gt;'Inl. wetlands'!$O70,time_cap+time*(VLOOKUP('6.Inland wetlands'!O29,list!$I$48:$K$50,3,0)),time*(1-(VLOOKUP('6.Inland wetlands'!O29,list!$I$48:$K$50,3,0))))+MIN('Inl. wetlands'!$X70,'Inl. wetlands'!$Y70)*time_tot+ABS('Inl. wetlands'!$Y70-'Inl. wetlands'!$X70)*IF('Inl. wetlands'!$Y70&gt;'Inl. wetlands'!$X70,time_cap+time*(VLOOKUP('6.Inland wetlands'!O29,list!$I$48:$K$50,3,0)),time*(1-(VLOOKUP('6.Inland wetlands'!O29,list!$I$48:$K$50,3,0))))</f>
        <v/>
      </c>
      <c r="AE70" s="3493">
        <f>MIN('Inl. wetlands'!$O70,'Inl. wetlands'!$Q70)*time_tot+ABS('Inl. wetlands'!$Q70-'Inl. wetlands'!$O70)*IF('Inl. wetlands'!$Q70&gt;'Inl. wetlands'!$O70,time_cap+time*(VLOOKUP('6.Inland wetlands'!Q29,list!$I$48:$K$50,3,0)),time*(1-(VLOOKUP('6.Inland wetlands'!Q29,list!$I$48:$K$50,3,0))))+MIN('Inl. wetlands'!$X70,'Inl. wetlands'!$Z70)*time_tot+ABS('Inl. wetlands'!$Z70-'Inl. wetlands'!$X70)*IF('Inl. wetlands'!$Z70&gt;'Inl. wetlands'!$X70,time_cap+time*(VLOOKUP('6.Inland wetlands'!Q29,list!$I$48:$K$50,3,0)),time*(1-(VLOOKUP('6.Inland wetlands'!Q29,list!$I$48:$K$50,3,0))))</f>
        <v/>
      </c>
      <c r="AF70" s="3493">
        <f>MIN('Inl. wetlands'!$R70,'Inl. wetlands'!$S70)*time_tot+ABS('Inl. wetlands'!$S70-'Inl. wetlands'!$R70)*IF('Inl. wetlands'!$S70&gt;'Inl. wetlands'!$R70,time_cap+time*(VLOOKUP('6.Inland wetlands'!O29,list!$I$48:$K$50,3,0)),time*(1-(VLOOKUP('6.Inland wetlands'!O29,list!$I$48:$K$50,3,0))))</f>
        <v/>
      </c>
      <c r="AG70" s="3493">
        <f>MIN('Inl. wetlands'!$R70,'Inl. wetlands'!$T70)*time_tot+ABS('Inl. wetlands'!$T70-'Inl. wetlands'!$R70)*IF('Inl. wetlands'!$T70&gt;'Inl. wetlands'!$R70,time_cap+time*(VLOOKUP('6.Inland wetlands'!Q29,list!$I$48:$K$50,3,0)),time*(1-(VLOOKUP('6.Inland wetlands'!Q29,list!$I$48:$K$50,3,0))))</f>
        <v/>
      </c>
      <c r="AI70" s="1102" t="inlineStr">
        <is>
          <t>WITHOUT</t>
        </is>
      </c>
      <c r="AJ70" s="1103" t="inlineStr">
        <is>
          <t>WITH</t>
        </is>
      </c>
      <c r="AK70" s="1104" t="inlineStr">
        <is>
          <t>BALANCE</t>
        </is>
      </c>
      <c r="AO70" s="992" t="n"/>
      <c r="AP70" s="992" t="n"/>
      <c r="AQ70" s="992" t="n"/>
      <c r="AR70" s="992" t="n"/>
      <c r="AS70" s="992" t="n"/>
      <c r="AT70" s="992" t="n"/>
      <c r="AU70" s="992" t="n"/>
      <c r="AV70" s="992" t="n"/>
      <c r="AW70" s="992" t="n"/>
      <c r="AX70" s="1449">
        <f>MIN($L70,$M70)*time+ABS($M70-$L70)*IF($M70&gt;$L70,time*(VLOOKUP($H57,list!$J$48:$K$50,2,0)),time*(1-(VLOOKUP($H57,list!$J$48:$K$50,2,0))))</f>
        <v/>
      </c>
      <c r="AY70" s="1449">
        <f>MIN($L70,$N70)*time+ABS($N70-$L70)*IF($N70&gt;$L70,time*(VLOOKUP($L57,list!$J$48:$K$50,2,0)),time*(1-(VLOOKUP($L57,list!$J$48:$K$50,2,0))))</f>
        <v/>
      </c>
      <c r="AZ70" s="1449">
        <f>MIN($O70,$P70)*time+ABS($P70-$O70)*IF($P70&gt;$O70,time*(VLOOKUP($H57,list!$J$48:$K$50,2,0)),time*(1-(VLOOKUP($H57,list!$J$48:$K$50,2,0))))</f>
        <v/>
      </c>
      <c r="BA70" s="1449">
        <f>MIN($O70,$Q70)*time+ABS($Q70-$O70)*IF($Q70&gt;$O70,time*(VLOOKUP($L57,list!$J$48:$K$50,2,0)),time*(1-(VLOOKUP($L57,list!$J$48:$K$50,2,0))))</f>
        <v/>
      </c>
      <c r="BB70" s="1449">
        <f>MIN($R70,$S70)*time+ABS($S70-$R70)*IF($S70&gt;$R70,time*(VLOOKUP($H57,list!$J$48:$K$50,2,0)),time*(1-(VLOOKUP($H57,list!$J$48:$K$50,2,0))))</f>
        <v/>
      </c>
      <c r="BC70" s="1449">
        <f>MIN($R70,$T70)*time+ABS($T70-$R70)*IF($T70&gt;$R70,time*(VLOOKUP($L57,list!$J$48:$K$50,2,0)),time*(1-(VLOOKUP($L57,list!$J$48:$K$50,2,0))))</f>
        <v/>
      </c>
      <c r="BD70" s="1449">
        <f>MIN($U70,$V70)*time+ABS($V70-$U70)*IF($V70&gt;$U70,time*(VLOOKUP($H57,list!$J$48:$K$50,2,0)),time*(1-(VLOOKUP($H57,list!$J$48:$K$50,2,0))))</f>
        <v/>
      </c>
      <c r="BE70" s="1449">
        <f>MIN($U70,$W70)*time+ABS($W70-$U70)*IF($W70&gt;$U70,time*(VLOOKUP($L57,list!$J$48:$K$50,2,0)),time*(1-(VLOOKUP($L57,list!$J$48:$K$50,2,0))))</f>
        <v/>
      </c>
      <c r="BF70" s="1449">
        <f>MIN($X70,$Y70)*time+ABS($Y70-$X70)*IF($Y70&gt;$X70,time*(VLOOKUP($H57,list!$J$48:$K$50,2,0)),time*(1-(VLOOKUP($H57,list!$J$48:$K$50,2,0))))</f>
        <v/>
      </c>
      <c r="BG70" s="1449">
        <f>MIN($X70,$Z70)*time+ABS($Z70-$X70)*IF($Z70&gt;$X70,time*(VLOOKUP($L57,list!$J$48:$K$50,2,0)),time*(1-(VLOOKUP($L57,list!$J$48:$K$50,2,0))))</f>
        <v/>
      </c>
    </row>
    <row r="71">
      <c r="A71" s="1467" t="inlineStr">
        <is>
          <t>S6</t>
        </is>
      </c>
      <c r="B71" s="1110">
        <f>IFERROR(IF(AND(OR($E58="Other land",$E58="Degraded land"),$D$47=list!$J$210),INDEX(IPCC!$A$1762:$J$1773,MATCH(clim_moist,IPCC!$A$1762:$A$1773,0),MATCH('Inl. wetlands'!$C58,IPCC!$A$1762:$J$1762,0)),IF(AND(OR($E58="Other land",$E58="Degraded land"),$D$47=list!$J$211),INDEX(IPCC!$A$1781:$J$1792,MATCH(clim_moist,IPCC!$A$1781:$A$1792,0),MATCH('Inl. wetlands'!$C58,IPCC!$A$1781:$J$1781,0)),IF($D$47=list!$J$210,INDEX(IPCC!$A$1762:$J$1773,MATCH(clim_moist,IPCC!$A$1781:$A$1792,0),MATCH('Inl. wetlands'!$E58,IPCC!$A$1781:$J$1781,0)),IF($D$47=list!$J$211,INDEX(IPCC!$A$1781:$J$1792,MATCH(clim_moist,IPCC!$A$1781:$A$1792,0),MATCH('Inl. wetlands'!$E58,IPCC!$A$1781:$J$1781,0)))))),0)</f>
        <v/>
      </c>
      <c r="C71" s="1104">
        <f>IF('6.Inland wetlands'!CG18="",'6.Inland wetlands'!CF18,'6.Inland wetlands'!CG18)</f>
        <v/>
      </c>
      <c r="D71" s="1044">
        <f>IFERROR(IF(AND(OR($E58="Other land",$E58="Degraded land"),$D$47=list!$J$210),INDEX(IPCC!$A$1818:$J$1829,MATCH(clim_moist,IPCC!$A$1818:$A$1829,0),MATCH('Inl. wetlands'!C58,IPCC!$A$1818:$J$1818,0)),IF(AND(OR($E58="Other land",$E58="Degraded land"),$D$47=list!$J$211),INDEX(IPCC!$A$1836:$J$1847,MATCH(clim_moist,IPCC!$A$1836:$A$1847,0),MATCH('Inl. wetlands'!$C58,IPCC!$A$1836:$J$1836,0)),IF($D$47=list!$J$210,INDEX(IPCC!$A$1818:$G$1829,MATCH(clim_moist,IPCC!$A$1818:$A$1829,0),MATCH('Inl. wetlands'!$E58,IPCC!$A$1818:$J$1818,0)),IF($D$47=list!$J$211,INDEX(IPCC!$A$1836:$J$1847,MATCH(clim_moist,IPCC!$A$1836:$A$1847,0),MATCH('Inl. wetlands'!$E58,IPCC!$A$1836:$J$1836,0)))))),0)</f>
        <v/>
      </c>
      <c r="E71" s="1104">
        <f>IF('6.Inland wetlands'!CI18="",'6.Inland wetlands'!CH18,'6.Inland wetlands'!CI18)</f>
        <v/>
      </c>
      <c r="F71" s="1044">
        <f>IFERROR(IF(AND(OR($E58="Other land",$E58="Degraded land"),$D$47=list!$J$210),INDEX(IPCC!$A$1872:$J$1883,MATCH(clim_moist,IPCC!$A$1872:$A$1883,0),MATCH('Inl. wetlands'!D58,IPCC!$A$1872:$J$1872,0)),IF(AND(OR($E58="Other land",$E58="Degraded land"),$D$47=list!$J$211),INDEX(IPCC!$A$1890:$J$1901,MATCH(clim_moist,IPCC!$A$1890:$A$1901,0),MATCH('Inl. wetlands'!$C58,IPCC!$A$1890:$J$1890,0)),IF($D$47=list!$J$210,INDEX(IPCC!$A$1872:$J$1883,MATCH(clim_moist,IPCC!$A$1872:$A$1883,0),MATCH('Inl. wetlands'!$E58,IPCC!$A$1872:$J$1872,0)),IF($D$47=list!$J$211,INDEX(IPCC!$A$1890:$J$1901,MATCH(clim_moist,IPCC!$A$1890:$A$1901,0),MATCH('Inl. wetlands'!$E58,IPCC!$A$1890:$J$1890,0)))))),0)</f>
        <v/>
      </c>
      <c r="G71" s="1104">
        <f>IF('6.Inland wetlands'!CK18="",'6.Inland wetlands'!CJ18,'6.Inland wetlands'!CK18)</f>
        <v/>
      </c>
      <c r="H71" s="1110">
        <f>IFERROR(IF(AND(OR($E58="Other land",$E58="Degraded land"),$D$47=list!$J$210),INDEX(IPCC!$A$1800:$J$1811,MATCH(clim_moist,IPCC!$A$1800:$A$1811,0),MATCH('Inl. wetlands'!C58,IPCC!$A$1800:$J$1800,0)),IF(AND(OR($E58="Other land",$E58="Degraded land"),$D$47=list!$J$211),INDEX(IPCC!$A$1800:$J$1811,MATCH(clim_moist,IPCC!$A$1800:$A$1811,0),MATCH('Inl. wetlands'!$C58,IPCC!$A$1800:$J$1800,0)),IF($D$47=list!$J$210,INDEX(IPCC!$A$1800:$J$1811,MATCH(clim_moist,IPCC!$A$1800:$A$1811,0),MATCH('Inl. wetlands'!$E58,IPCC!$A$1800:$J$1800,0)),IF($D$47=list!$J$211,INDEX(IPCC!$A$1800:$J$1811,MATCH(clim_moist,IPCC!$A$1800:$A$1811,0),MATCH('Inl. wetlands'!$E58,IPCC!$A$1800:$J$1800,0)))))),0)</f>
        <v/>
      </c>
      <c r="I71" s="1104">
        <f>IF('6.Inland wetlands'!CN18="",'6.Inland wetlands'!CM18,'6.Inland wetlands'!CN18)</f>
        <v/>
      </c>
      <c r="J71" s="1111">
        <f>IFERROR(IF(AND(OR($E58="Other land",$E58="Degraded land"),$D$47=list!$J$210),INDEX(IPCC!$A$1854:$J$1865,MATCH(clim_moist,IPCC!$A$1854:$A$1865,0),MATCH('Inl. wetlands'!$C58,IPCC!$A$1854:$J$1854,0)),IF(AND(OR($E58="Other land",$E58="Degraded land"),$D$47=list!$J$211),INDEX(IPCC!$A$1854:$J$1865,MATCH(clim_moist,IPCC!$A$1854:A$1865,0),MATCH('Inl. wetlands'!$C58,IPCC!$A$1854:$J$1854,0)),IF($D$47=list!$J$210,INDEX(IPCC!$A$1854:$J$1865,MATCH(clim_moist,IPCC!$A$1854:$A$1865,0),MATCH('Inl. wetlands'!$E58,IPCC!$A$1854:$J$1854,0)),IF($D$47=list!$J$211,INDEX(IPCC!$A$1854:$J$1865,MATCH(clim_moist,IPCC!$A$1854:$A$1865,0),MATCH('Inl. wetlands'!$E58,IPCC!$A$1854:$J$1854,0)))))),0)</f>
        <v/>
      </c>
      <c r="K71" s="3492">
        <f>IF('6.Inland wetlands'!CP18="",'6.Inland wetlands'!CO18,'6.Inland wetlands'!CP18)</f>
        <v/>
      </c>
      <c r="L71" s="3493">
        <f>IF('6.Inland wetlands'!M30=0, 0,'Inl. wetlands'!C71*44/12*'6.Inland wetlands'!M30)</f>
        <v/>
      </c>
      <c r="M71" s="3493">
        <f>IF('6.Inland wetlands'!S18=0, C71*44/12*'6.Inland wetlands'!N30, IF('6.Inland wetlands'!N30&lt;'6.Inland wetlands'!S18,0, 'Inl. wetlands'!C71*44/12*('6.Inland wetlands'!N30-'6.Inland wetlands'!S18)))</f>
        <v/>
      </c>
      <c r="N71" s="1151">
        <f>IF('6.Inland wetlands'!S18=0, C71*44/12*'6.Inland wetlands'!N30, IF('6.Inland wetlands'!P30&lt;'6.Inland wetlands'!T18,0, 'Inl. wetlands'!C71*44/12*('6.Inland wetlands'!P30-'6.Inland wetlands'!T18)))</f>
        <v/>
      </c>
      <c r="O71" s="4360">
        <f>IF('6.Inland wetlands'!M30=0, 0,$E71*methane/1000*'6.Inland wetlands'!M30*(1-'6.Inland wetlands'!W30))</f>
        <v/>
      </c>
      <c r="P71" s="4360">
        <f>IF('6.Inland wetlands'!S18=0,$E71*methane/1000*'6.Inland wetlands'!N30*(1-'6.Inland wetlands'!X30),IF('6.Inland wetlands'!N30&lt;'6.Inland wetlands'!S18,0, $E71*methane/1000*('6.Inland wetlands'!N30-'6.Inland wetlands'!S18)*(1-'6.Inland wetlands'!X30)))</f>
        <v/>
      </c>
      <c r="Q71" s="4360">
        <f>IF('6.Inland wetlands'!T18=0,$E71*methane/1000*'6.Inland wetlands'!P30*(1-'6.Inland wetlands'!Y30),IF('6.Inland wetlands'!P30&lt;'6.Inland wetlands'!T18,0, $E71*methane/1000*('6.Inland wetlands'!P30-'6.Inland wetlands'!T18)*(1-'6.Inland wetlands'!Y30)))</f>
        <v/>
      </c>
      <c r="R71" s="4360">
        <f>IF('6.Inland wetlands'!M30=0, 0, $G71*'6.Inland wetlands'!M30*44/28*Nitrous/1000)</f>
        <v/>
      </c>
      <c r="S71" s="4360">
        <f>IF('6.Inland wetlands'!S18=0, $G71*'6.Inland wetlands'!N30*44/28*Nitrous/1000, IF('6.Inland wetlands'!N30&lt;'6.Inland wetlands'!S18,0, $G71*('6.Inland wetlands'!N30-'6.Inland wetlands'!S18)*44/28*Nitrous/1000))</f>
        <v/>
      </c>
      <c r="T71" s="4360">
        <f>IF('6.Inland wetlands'!T18=0, $G71*'6.Inland wetlands'!P30*44/28*Nitrous/1000, IF('6.Inland wetlands'!P30&lt;'6.Inland wetlands'!T18,0,$G71*44/28*Nitrous/1000*('6.Inland wetlands'!P30-'6.Inland wetlands'!T18)))</f>
        <v/>
      </c>
      <c r="U71" s="4360">
        <f>IF('6.Inland wetlands'!M30=0, 0, $I71*'6.Inland wetlands'!M30*44/12)</f>
        <v/>
      </c>
      <c r="V71" s="4360">
        <f>IF('6.Inland wetlands'!S18=0, I71*44/12*'6.Inland wetlands'!N30, IF('6.Inland wetlands'!N30&lt;'6.Inland wetlands'!S18,0, 'Inl. wetlands'!I71*44/12*('6.Inland wetlands'!N30-'6.Inland wetlands'!S18)))</f>
        <v/>
      </c>
      <c r="W71" s="4360">
        <f>IF('6.Inland wetlands'!$AC$13=list!$G$213,$I71*'6.Inland wetlands'!Y18*44/12,0)</f>
        <v/>
      </c>
      <c r="X71" s="4360">
        <f>IF('6.Inland wetlands'!M30=0,0, $K71/1000*methane*'6.Inland wetlands'!M30*'6.Inland wetlands'!$W30)</f>
        <v/>
      </c>
      <c r="Y71" s="4360">
        <f>IF('6.Inland wetlands'!S18=0,$K71*methane/1000*'6.Inland wetlands'!N30*('6.Inland wetlands'!X30),IF('6.Inland wetlands'!N30&lt;'6.Inland wetlands'!S18,0, $K71*methane/1000*('6.Inland wetlands'!N30-'6.Inland wetlands'!S18)*('6.Inland wetlands'!X30)))</f>
        <v/>
      </c>
      <c r="Z71" s="4360">
        <f>IF('6.Inland wetlands'!T18=0,$K71*methane/1000*'6.Inland wetlands'!P30*('6.Inland wetlands'!Y30),IF('6.Inland wetlands'!P30&lt;'6.Inland wetlands'!T18,0, $K71*methane/1000*('6.Inland wetlands'!P30-'6.Inland wetlands'!T18)*('6.Inland wetlands'!Y30)))</f>
        <v/>
      </c>
      <c r="AB71" s="3493">
        <f>MIN('Inl. wetlands'!$L71,'Inl. wetlands'!$M71)*time_tot+ABS('Inl. wetlands'!$M71-'Inl. wetlands'!$L71)*IF('Inl. wetlands'!$M71&gt;'Inl. wetlands'!$L71,time_cap+time*(VLOOKUP('6.Inland wetlands'!O30,list!$I$48:$K$50,3,0)),time*(1-(VLOOKUP('6.Inland wetlands'!O30,list!$I$48:$K$50,3,0))))+MIN('Inl. wetlands'!$U71,'Inl. wetlands'!$V71)*time_tot+ABS('Inl. wetlands'!$V71-'Inl. wetlands'!$U71)*IF('Inl. wetlands'!$V71&gt;'Inl. wetlands'!$U71,time_cap+time*(VLOOKUP('6.Inland wetlands'!O30,list!$I$48:$K$50,3,0)),time*(1-(VLOOKUP('6.Inland wetlands'!O30,list!$I$48:$K$50,3,0))))</f>
        <v/>
      </c>
      <c r="AC71" s="3493">
        <f>MIN('Inl. wetlands'!$L71,'Inl. wetlands'!$N71)*time_tot+ABS('Inl. wetlands'!$N71-'Inl. wetlands'!$L71)*IF('Inl. wetlands'!$N71&gt;'Inl. wetlands'!$L71,time_cap+time*(VLOOKUP('6.Inland wetlands'!Q30,list!$I$48:$K$50,3,0)),time*(1-(VLOOKUP('6.Inland wetlands'!Q30,list!$I$48:$K$50,3,0))))+MIN('Inl. wetlands'!$U71,'Inl. wetlands'!$W71)*time_tot+ABS('Inl. wetlands'!$W71-'Inl. wetlands'!$U71)*IF('Inl. wetlands'!$W71&gt;'Inl. wetlands'!$U71,time_cap+time*(VLOOKUP('6.Inland wetlands'!Q30,list!$I$48:$K$50,3,0)),time*(1-(VLOOKUP('6.Inland wetlands'!Q30,list!$I$48:$K$50,3,0))))</f>
        <v/>
      </c>
      <c r="AD71" s="3493">
        <f>MIN('Inl. wetlands'!$O71,'Inl. wetlands'!$P71)*time_tot+ABS('Inl. wetlands'!$P71-'Inl. wetlands'!$O71)*IF('Inl. wetlands'!$P71&gt;'Inl. wetlands'!$O71,time_cap+time*(VLOOKUP('6.Inland wetlands'!O30,list!$I$48:$K$50,3,0)),time*(1-(VLOOKUP('6.Inland wetlands'!O30,list!$I$48:$K$50,3,0))))+MIN('Inl. wetlands'!$X71,'Inl. wetlands'!$Y71)*time_tot+ABS('Inl. wetlands'!$Y71-'Inl. wetlands'!$X71)*IF('Inl. wetlands'!$Y71&gt;'Inl. wetlands'!$X71,time_cap+time*(VLOOKUP('6.Inland wetlands'!O30,list!$I$48:$K$50,3,0)),time*(1-(VLOOKUP('6.Inland wetlands'!O30,list!$I$48:$K$50,3,0))))</f>
        <v/>
      </c>
      <c r="AE71" s="3493">
        <f>MIN('Inl. wetlands'!$O71,'Inl. wetlands'!$Q71)*time_tot+ABS('Inl. wetlands'!$Q71-'Inl. wetlands'!$O71)*IF('Inl. wetlands'!$Q71&gt;'Inl. wetlands'!$O71,time_cap+time*(VLOOKUP('6.Inland wetlands'!Q30,list!$I$48:$K$50,3,0)),time*(1-(VLOOKUP('6.Inland wetlands'!Q30,list!$I$48:$K$50,3,0))))+MIN('Inl. wetlands'!$X71,'Inl. wetlands'!$Z71)*time_tot+ABS('Inl. wetlands'!$Z71-'Inl. wetlands'!$X71)*IF('Inl. wetlands'!$Z71&gt;'Inl. wetlands'!$X71,time_cap+time*(VLOOKUP('6.Inland wetlands'!Q30,list!$I$48:$K$50,3,0)),time*(1-(VLOOKUP('6.Inland wetlands'!Q30,list!$I$48:$K$50,3,0))))</f>
        <v/>
      </c>
      <c r="AF71" s="3493">
        <f>MIN('Inl. wetlands'!$R71,'Inl. wetlands'!$S71)*time_tot+ABS('Inl. wetlands'!$S71-'Inl. wetlands'!$R71)*IF('Inl. wetlands'!$S71&gt;'Inl. wetlands'!$R71,time_cap+time*(VLOOKUP('6.Inland wetlands'!O30,list!$I$48:$K$50,3,0)),time*(1-(VLOOKUP('6.Inland wetlands'!O30,list!$I$48:$K$50,3,0))))</f>
        <v/>
      </c>
      <c r="AG71" s="3493">
        <f>MIN('Inl. wetlands'!$R71,'Inl. wetlands'!$T71)*time_tot+ABS('Inl. wetlands'!$T71-'Inl. wetlands'!$R71)*IF('Inl. wetlands'!$T71&gt;'Inl. wetlands'!$R71,time_cap+time*(VLOOKUP('6.Inland wetlands'!Q30,list!$I$48:$K$50,3,0)),time*(1-(VLOOKUP('6.Inland wetlands'!Q30,list!$I$48:$K$50,3,0))))</f>
        <v/>
      </c>
      <c r="AI71" s="3492">
        <f>SUM('Inl. wetlands'!AB77,'Inl. wetlands'!AD77,'Inl. wetlands'!AF77)+SUM('Inl. wetlands'!AB66,'Inl. wetlands'!AD66,'Inl. wetlands'!AF66)</f>
        <v/>
      </c>
      <c r="AJ71" s="3492">
        <f>SUM('Inl. wetlands'!AC77,'Inl. wetlands'!AE77,'Inl. wetlands'!AG77)+SUM('Inl. wetlands'!AC66,'Inl. wetlands'!AE66,'Inl. wetlands'!AG66)</f>
        <v/>
      </c>
      <c r="AK71" s="3154">
        <f>AJ71-AI71</f>
        <v/>
      </c>
      <c r="AX71" s="1449">
        <f>MIN($L71,$M71)*time+ABS($M71-$L71)*IF($M71&gt;$L71,time*(VLOOKUP($H58,list!$J$48:$K$50,2,0)),time*(1-(VLOOKUP($H58,list!$J$48:$K$50,2,0))))</f>
        <v/>
      </c>
      <c r="AY71" s="1449">
        <f>MIN($L71,$N71)*time+ABS($N71-$L71)*IF($N71&gt;$L71,time*(VLOOKUP($L58,list!$J$48:$K$50,2,0)),time*(1-(VLOOKUP($L58,list!$J$48:$K$50,2,0))))</f>
        <v/>
      </c>
      <c r="AZ71" s="1449">
        <f>MIN($O71,$P71)*time+ABS($P71-$O71)*IF($P71&gt;$O71,time*(VLOOKUP($H58,list!$J$48:$K$50,2,0)),time*(1-(VLOOKUP($H58,list!$J$48:$K$50,2,0))))</f>
        <v/>
      </c>
      <c r="BA71" s="1449">
        <f>MIN($O71,$Q71)*time+ABS($Q71-$O71)*IF($Q71&gt;$O71,time*(VLOOKUP($L58,list!$J$48:$K$50,2,0)),time*(1-(VLOOKUP($L58,list!$J$48:$K$50,2,0))))</f>
        <v/>
      </c>
      <c r="BB71" s="1449">
        <f>MIN($R71,$S71)*time+ABS($S71-$R71)*IF($S71&gt;$R71,time*(VLOOKUP($H58,list!$J$48:$K$50,2,0)),time*(1-(VLOOKUP($H58,list!$J$48:$K$50,2,0))))</f>
        <v/>
      </c>
      <c r="BC71" s="1449">
        <f>MIN($R71,$T71)*time+ABS($T71-$R71)*IF($T71&gt;$R71,time*(VLOOKUP($L58,list!$J$48:$K$50,2,0)),time*(1-(VLOOKUP($L58,list!$J$48:$K$50,2,0))))</f>
        <v/>
      </c>
      <c r="BD71" s="1449">
        <f>MIN($U71,$V71)*time+ABS($V71-$U71)*IF($V71&gt;$U71,time*(VLOOKUP($H58,list!$J$48:$K$50,2,0)),time*(1-(VLOOKUP($H58,list!$J$48:$K$50,2,0))))</f>
        <v/>
      </c>
      <c r="BE71" s="1449">
        <f>MIN($U71,$W71)*time+ABS($W71-$U71)*IF($W71&gt;$U71,time*(VLOOKUP($L58,list!$J$48:$K$50,2,0)),time*(1-(VLOOKUP($L58,list!$J$48:$K$50,2,0))))</f>
        <v/>
      </c>
      <c r="BF71" s="1449">
        <f>MIN($X71,$Y71)*time+ABS($Y71-$X71)*IF($Y71&gt;$X71,time*(VLOOKUP($H58,list!$J$48:$K$50,2,0)),time*(1-(VLOOKUP($H58,list!$J$48:$K$50,2,0))))</f>
        <v/>
      </c>
      <c r="BG71" s="1449">
        <f>MIN($X71,$Z71)*time+ABS($Z71-$X71)*IF($Z71&gt;$X71,time*(VLOOKUP($L58,list!$J$48:$K$50,2,0)),time*(1-(VLOOKUP($L58,list!$J$48:$K$50,2,0))))</f>
        <v/>
      </c>
    </row>
    <row r="72">
      <c r="I72" s="1246" t="n"/>
      <c r="L72" s="1246" t="n"/>
      <c r="AA72" s="1246" t="n"/>
      <c r="AB72" s="1246" t="n"/>
      <c r="AC72" s="1246" t="n"/>
      <c r="AD72" s="1246" t="n"/>
      <c r="AE72" s="1246" t="n"/>
      <c r="AF72" s="1246" t="n"/>
      <c r="AI72" s="3492">
        <f>SUM(AB78,AD78,AF78)+SUM(AB67,AD67,AF67)</f>
        <v/>
      </c>
      <c r="AJ72" s="3492">
        <f>SUM(AC78,AE78,AG78)+SUM(AC67,AE67,AG67)</f>
        <v/>
      </c>
      <c r="AK72" s="3154">
        <f>AJ72-AI72</f>
        <v/>
      </c>
    </row>
    <row r="73" ht="16" customHeight="1">
      <c r="A73" s="1308" t="inlineStr">
        <is>
          <t>FINAL</t>
        </is>
      </c>
      <c r="B73" s="1271" t="inlineStr">
        <is>
          <t>Drainage On-site emission factors</t>
        </is>
      </c>
      <c r="C73" s="1271" t="n"/>
      <c r="D73" s="1271" t="n"/>
      <c r="E73" s="1271" t="n"/>
      <c r="F73" s="1271" t="n"/>
      <c r="G73" s="1271" t="n"/>
      <c r="H73" s="1273" t="inlineStr">
        <is>
          <t>Drainage Off-site emission factors</t>
        </is>
      </c>
      <c r="I73" s="1273" t="n"/>
      <c r="J73" s="1273" t="n"/>
      <c r="K73" s="1273" t="n"/>
      <c r="L73" s="1307" t="inlineStr">
        <is>
          <t>Emissions from drainage in tCO2 eq/year</t>
        </is>
      </c>
      <c r="M73" s="1308" t="n"/>
      <c r="N73" s="1307" t="n"/>
      <c r="O73" s="1307" t="n"/>
      <c r="P73" s="1307" t="n"/>
      <c r="Q73" s="1307" t="n"/>
      <c r="R73" s="1307" t="n"/>
      <c r="S73" s="1307" t="n"/>
      <c r="T73" s="1307" t="n"/>
      <c r="U73" s="1279" t="n"/>
      <c r="V73" s="1279" t="n"/>
      <c r="W73" s="1279" t="n"/>
      <c r="X73" s="1279" t="n"/>
      <c r="Y73" s="1279" t="n"/>
      <c r="Z73" s="1279" t="n"/>
      <c r="AA73" s="1246" t="n"/>
      <c r="AB73" s="1287" t="inlineStr">
        <is>
          <t>DRAINAGE EMISSIONS</t>
        </is>
      </c>
      <c r="AC73" s="1264" t="n"/>
      <c r="AD73" s="1264" t="n"/>
      <c r="AE73" s="1264" t="n"/>
      <c r="AF73" s="1264" t="n"/>
      <c r="AG73" s="1264" t="n"/>
      <c r="AI73" s="3492">
        <f>SUM(AB79,AD79,AF79)+SUM(AB68,AD68,AF68)</f>
        <v/>
      </c>
      <c r="AJ73" s="3492">
        <f>SUM(AC79,AE79,AG79)+SUM(AC68,AE68,AG68)</f>
        <v/>
      </c>
      <c r="AK73" s="3154">
        <f>AJ73-AI73</f>
        <v/>
      </c>
    </row>
    <row r="74" ht="16" customHeight="1">
      <c r="A74" s="1308" t="n"/>
      <c r="B74" s="1271" t="inlineStr">
        <is>
          <t>CO2</t>
        </is>
      </c>
      <c r="C74" s="1264" t="n"/>
      <c r="D74" s="1271" t="inlineStr">
        <is>
          <t>CH4</t>
        </is>
      </c>
      <c r="E74" s="1264" t="n"/>
      <c r="F74" s="1271" t="inlineStr">
        <is>
          <t>N2O</t>
        </is>
      </c>
      <c r="G74" s="1264" t="n"/>
      <c r="H74" s="1273" t="inlineStr">
        <is>
          <t>DOC</t>
        </is>
      </c>
      <c r="I74" s="1261" t="n"/>
      <c r="J74" s="1273" t="inlineStr">
        <is>
          <t>CH4</t>
        </is>
      </c>
      <c r="K74" s="1261" t="n"/>
      <c r="L74" s="1264" t="n"/>
      <c r="M74" s="1264" t="n"/>
      <c r="N74" s="1264" t="n"/>
      <c r="O74" s="1264" t="n"/>
      <c r="P74" s="1264" t="n"/>
      <c r="Q74" s="1264" t="n"/>
      <c r="R74" s="1264" t="n"/>
      <c r="S74" s="1264" t="n"/>
      <c r="T74" s="1264" t="n"/>
      <c r="U74" s="1261" t="n"/>
      <c r="V74" s="1261" t="n"/>
      <c r="W74" s="1261" t="n"/>
      <c r="X74" s="1261" t="n"/>
      <c r="Y74" s="1261" t="n"/>
      <c r="Z74" s="1261" t="n"/>
      <c r="AA74" s="1246" t="n"/>
      <c r="AB74" s="1287" t="inlineStr">
        <is>
          <t>Emissions in tCO2eq All period</t>
        </is>
      </c>
      <c r="AC74" s="1264" t="n"/>
      <c r="AD74" s="1264" t="n"/>
      <c r="AE74" s="1264" t="n"/>
      <c r="AF74" s="1264" t="n"/>
      <c r="AG74" s="1264" t="n"/>
      <c r="AI74" s="3492">
        <f>SUM(AB80,AD80,AF80)+SUM(AB69,AD69,AF69)</f>
        <v/>
      </c>
      <c r="AJ74" s="3492">
        <f>SUM(AC80,AE80,AG80)+SUM(AC69,AE69,AG69)</f>
        <v/>
      </c>
      <c r="AK74" s="3154">
        <f>AJ74-AI74</f>
        <v/>
      </c>
    </row>
    <row r="75">
      <c r="A75" s="1264" t="n"/>
      <c r="B75" s="1264" t="inlineStr">
        <is>
          <t>tC/ha/yr</t>
        </is>
      </c>
      <c r="C75" s="1264" t="n"/>
      <c r="D75" s="1264" t="inlineStr">
        <is>
          <t>kgCH4/ha/yr</t>
        </is>
      </c>
      <c r="E75" s="1264" t="n"/>
      <c r="F75" s="1264" t="inlineStr">
        <is>
          <t>kgN2O-N/ha/yr</t>
        </is>
      </c>
      <c r="G75" s="1264" t="n"/>
      <c r="H75" s="1261" t="inlineStr">
        <is>
          <t>tC/ha/yr</t>
        </is>
      </c>
      <c r="I75" s="1261" t="n"/>
      <c r="J75" s="1261" t="inlineStr">
        <is>
          <t>kgCH4/ha/yr</t>
        </is>
      </c>
      <c r="K75" s="1261" t="n"/>
      <c r="L75" s="1271" t="inlineStr">
        <is>
          <t>CO2</t>
        </is>
      </c>
      <c r="M75" s="1264" t="n"/>
      <c r="N75" s="1271" t="n"/>
      <c r="O75" s="1271" t="inlineStr">
        <is>
          <t>CH4</t>
        </is>
      </c>
      <c r="P75" s="1264" t="n"/>
      <c r="Q75" s="1271" t="n"/>
      <c r="R75" s="1271" t="inlineStr">
        <is>
          <t>N2O</t>
        </is>
      </c>
      <c r="S75" s="1264" t="n"/>
      <c r="T75" s="1271" t="n"/>
      <c r="U75" s="1273" t="inlineStr">
        <is>
          <t>DOC</t>
        </is>
      </c>
      <c r="V75" s="1261" t="n"/>
      <c r="W75" s="1273" t="n"/>
      <c r="X75" s="1273" t="inlineStr">
        <is>
          <t>CH4</t>
        </is>
      </c>
      <c r="Y75" s="1261" t="n"/>
      <c r="Z75" s="1273" t="n"/>
      <c r="AA75" s="1246" t="n"/>
      <c r="AB75" s="1264" t="inlineStr">
        <is>
          <t>CO2&amp;DOC</t>
        </is>
      </c>
      <c r="AC75" s="1264" t="n"/>
      <c r="AD75" s="1264" t="inlineStr">
        <is>
          <t>CH4</t>
        </is>
      </c>
      <c r="AE75" s="1264" t="n"/>
      <c r="AF75" s="1264" t="inlineStr">
        <is>
          <t>N2O</t>
        </is>
      </c>
      <c r="AG75" s="1264" t="n"/>
      <c r="AI75" s="3492">
        <f>SUM(AB81,AD81,AF81)+SUM(AB70,AD70,AF70)</f>
        <v/>
      </c>
      <c r="AJ75" s="3492">
        <f>SUM(AC81,AE81,AG81)+SUM(AC70,AE70,AG70)</f>
        <v/>
      </c>
      <c r="AK75" s="3154">
        <f>AJ75-AI75</f>
        <v/>
      </c>
    </row>
    <row r="76">
      <c r="A76" s="1264" t="n"/>
      <c r="B76" s="1272" t="inlineStr">
        <is>
          <t>IPCC</t>
        </is>
      </c>
      <c r="C76" s="1272" t="inlineStr">
        <is>
          <t>Tier 2</t>
        </is>
      </c>
      <c r="D76" s="1272" t="inlineStr">
        <is>
          <t>IPCC</t>
        </is>
      </c>
      <c r="E76" s="1272" t="inlineStr">
        <is>
          <t>Tier 2</t>
        </is>
      </c>
      <c r="F76" s="1272" t="inlineStr">
        <is>
          <t>IPCC</t>
        </is>
      </c>
      <c r="G76" s="1272" t="inlineStr">
        <is>
          <t>Tier 2</t>
        </is>
      </c>
      <c r="H76" s="1274" t="inlineStr">
        <is>
          <t>IPCC</t>
        </is>
      </c>
      <c r="I76" s="1274" t="inlineStr">
        <is>
          <t>Tier 2</t>
        </is>
      </c>
      <c r="J76" s="1274" t="inlineStr">
        <is>
          <t>IPCC</t>
        </is>
      </c>
      <c r="K76" s="1274" t="inlineStr">
        <is>
          <t>Tier 2</t>
        </is>
      </c>
      <c r="L76" s="973" t="inlineStr">
        <is>
          <t>Start</t>
        </is>
      </c>
      <c r="M76" s="1102" t="inlineStr">
        <is>
          <t>Without</t>
        </is>
      </c>
      <c r="N76" s="1103" t="inlineStr">
        <is>
          <t>With</t>
        </is>
      </c>
      <c r="O76" s="973" t="inlineStr">
        <is>
          <t>Start</t>
        </is>
      </c>
      <c r="P76" s="1102" t="inlineStr">
        <is>
          <t>Without</t>
        </is>
      </c>
      <c r="Q76" s="1103" t="inlineStr">
        <is>
          <t>With</t>
        </is>
      </c>
      <c r="R76" s="973" t="inlineStr">
        <is>
          <t>Start</t>
        </is>
      </c>
      <c r="S76" s="1102" t="inlineStr">
        <is>
          <t>Without</t>
        </is>
      </c>
      <c r="T76" s="1103" t="inlineStr">
        <is>
          <t>With</t>
        </is>
      </c>
      <c r="U76" s="973" t="inlineStr">
        <is>
          <t>Start</t>
        </is>
      </c>
      <c r="V76" s="1102" t="inlineStr">
        <is>
          <t>Without</t>
        </is>
      </c>
      <c r="W76" s="1103" t="inlineStr">
        <is>
          <t>With</t>
        </is>
      </c>
      <c r="X76" s="973" t="inlineStr">
        <is>
          <t>Start</t>
        </is>
      </c>
      <c r="Y76" s="1102" t="inlineStr">
        <is>
          <t>Without</t>
        </is>
      </c>
      <c r="Z76" s="1103" t="inlineStr">
        <is>
          <t>With</t>
        </is>
      </c>
      <c r="AA76" s="1246" t="n"/>
      <c r="AB76" s="1102" t="inlineStr">
        <is>
          <t>Without</t>
        </is>
      </c>
      <c r="AC76" s="1103" t="inlineStr">
        <is>
          <t>With</t>
        </is>
      </c>
      <c r="AD76" s="1102" t="inlineStr">
        <is>
          <t>Without</t>
        </is>
      </c>
      <c r="AE76" s="1103" t="inlineStr">
        <is>
          <t>With</t>
        </is>
      </c>
      <c r="AF76" s="1102" t="inlineStr">
        <is>
          <t>Without</t>
        </is>
      </c>
      <c r="AG76" s="1103" t="inlineStr">
        <is>
          <t>With</t>
        </is>
      </c>
      <c r="AI76" s="3492">
        <f>SUM(AB82,AD82,AF82)+SUM(AB71,AD71,AF71)</f>
        <v/>
      </c>
      <c r="AJ76" s="3492">
        <f>SUM(AC82,AE82,AG82)+SUM(AC71,AE71,AG71)</f>
        <v/>
      </c>
      <c r="AK76" s="3154">
        <f>AJ76-AI76</f>
        <v/>
      </c>
    </row>
    <row r="77">
      <c r="A77" s="1467" t="inlineStr">
        <is>
          <t>S1</t>
        </is>
      </c>
      <c r="B77" s="1110">
        <f>IFERROR(IF(AND(OR('Inl. wetlands'!$E53="Other land",'Inl. wetlands'!$E53="Degraded land"),'Inl. wetlands'!$J$47=list!$J$210),INDEX(IPCC!$A$1762:$J$1773,MATCH(clim_moist,IPCC!$A$1762:$A$1773,0),MATCH('Inl. wetlands'!$E53,IPCC!$A$1762:$J$1762,0)),IF(AND(OR('Inl. wetlands'!$E53="Other land",'Inl. wetlands'!$E53="Degraded land"),'Inl. wetlands'!$J$47=list!$J$211),INDEX(IPCC!$A$1781:$J$1792,MATCH(clim_moist,IPCC!$A$1781:$A$1792,0),MATCH('Inl. wetlands'!$E53,IPCC!$A$1781:$J$1781,0)),IF('Inl. wetlands'!$J$47=list!$J$210,INDEX(IPCC!$A$1762:$J$1773,MATCH(clim_moist,IPCC!$A$1781:$A$1792,0),MATCH('Inl. wetlands'!$E53,IPCC!$A$1781:$J$1781,0)),IF('Inl. wetlands'!$J$47=list!$J$211,INDEX(IPCC!$A$1781:$J$1792,MATCH(clim_moist,IPCC!$A$1781:$A$1792,0),MATCH('Inl. wetlands'!$E53,IPCC!$A$1781:$J$1781,0)))))),0)</f>
        <v/>
      </c>
      <c r="C77" s="1104">
        <f>IF('6.Inland wetlands'!CG25="",'6.Inland wetlands'!CF25,'6.Inland wetlands'!CG25)</f>
        <v/>
      </c>
      <c r="D77" s="1044">
        <f>IFERROR(IF(AND(OR('Inl. wetlands'!$E53="Other land",'Inl. wetlands'!$E53="Degraded land"),'Inl. wetlands'!$J$47=list!$J$210),INDEX(IPCC!$A$1818:$J$1829,MATCH(clim_moist,IPCC!$A$1818:$A$1829,0),MATCH('Inl. wetlands'!E53,IPCC!$A$1818:$J$1818,0)),IF(AND(OR('Inl. wetlands'!$E53="Other land",'Inl. wetlands'!$E53="Degraded land"),'Inl. wetlands'!$J$47=list!$J$211),INDEX(IPCC!$A$1836:$J$1847,MATCH(clim_moist,IPCC!$A$1836:$A$1847,0),MATCH('Inl. wetlands'!$E53,IPCC!$A$1836:$J$1836,0)),IF('Inl. wetlands'!$J$47=list!$J$210,INDEX(IPCC!$A$1818:$G$1829,MATCH(clim_moist,IPCC!$A$1818:$A$1829,0),MATCH('Inl. wetlands'!$E53,IPCC!$A$1818:$J$1818,0)),IF('Inl. wetlands'!$J$47=list!$J$211,INDEX(IPCC!$A$1836:$J$1847,MATCH(clim_moist,IPCC!$A$1836:$A$1847,0),MATCH('Inl. wetlands'!$E53,IPCC!$A$1836:$J$1836,0)))))),0)</f>
        <v/>
      </c>
      <c r="E77" s="1104">
        <f>IF('6.Inland wetlands'!CI25="",'6.Inland wetlands'!CH25,'6.Inland wetlands'!CI25)</f>
        <v/>
      </c>
      <c r="F77" s="1044">
        <f>IFERROR(IF(AND(OR('Inl. wetlands'!$E53="Other land",'Inl. wetlands'!$E53="Degraded land"),'Inl. wetlands'!$J$47=list!$J$210),INDEX(IPCC!$A$1872:$J$1883,MATCH(clim_moist,IPCC!$A$1872:$A$1883,0),MATCH('Inl. wetlands'!D53,IPCC!$A$1872:$J$1872,0)),IF(AND(OR('Inl. wetlands'!$E53="Other land",'Inl. wetlands'!$E53="Degraded land"),'Inl. wetlands'!$J$47=list!$J$211),INDEX(IPCC!$A$1890:$J$1901,MATCH(clim_moist,IPCC!$A$1890:$A$1901,0),MATCH('Inl. wetlands'!$E53,IPCC!$A$1890:$J$1890,0)),IF('Inl. wetlands'!$J$47=list!$J$210,INDEX(IPCC!$A$1872:$J$1883,MATCH(clim_moist,IPCC!$A$1872:$A$1883,0),MATCH('Inl. wetlands'!$E53,IPCC!$A$1872:$J$1872,0)),IF('Inl. wetlands'!$J$47=list!$J$211,INDEX(IPCC!$A$1890:$J$1901,MATCH(clim_moist,IPCC!$A$1890:$A$1901,0),MATCH('Inl. wetlands'!$E53,IPCC!$A$1890:$J$1890,0)))))),0)</f>
        <v/>
      </c>
      <c r="G77" s="1104">
        <f>IF('6.Inland wetlands'!CK25="",'6.Inland wetlands'!CJ25,'6.Inland wetlands'!CK25)</f>
        <v/>
      </c>
      <c r="H77" s="1110">
        <f>IFERROR(IF(AND(OR('Inl. wetlands'!$E53="Other land",'Inl. wetlands'!$E53="Degraded land"),'Inl. wetlands'!$J$47=list!$J$210),INDEX(IPCC!$A$1800:$J$1811,MATCH(clim_moist,IPCC!$A$1800:$A$1811,0),MATCH('Inl. wetlands'!E53,IPCC!$A$1800:$J$1800,0)),IF(AND(OR('Inl. wetlands'!$E53="Other land",'Inl. wetlands'!$E53="Degraded land"),'Inl. wetlands'!$J$47=list!$J$211),INDEX(IPCC!$A$1800:$J$1811,MATCH(clim_moist,IPCC!$A$1800:$A$1811,0),MATCH('Inl. wetlands'!$E53,IPCC!$A$1800:$J$1800,0)),IF('Inl. wetlands'!$J$47=list!$J$210,INDEX(IPCC!$A$1800:$J$1811,MATCH(clim_moist,IPCC!$A$1800:$A$1811,0),MATCH('Inl. wetlands'!$E53,IPCC!$A$1800:$J$1800,0)),IF('Inl. wetlands'!$J$47=list!$J$211,INDEX(IPCC!$A$1800:$J$1811,MATCH(clim_moist,IPCC!$A$1800:$A$1811,0),MATCH('Inl. wetlands'!$E53,IPCC!$A$1800:$J$1800,0)))))),0)</f>
        <v/>
      </c>
      <c r="I77" s="1104">
        <f>IF('6.Inland wetlands'!CN25="",'6.Inland wetlands'!CM25,'6.Inland wetlands'!CN25)</f>
        <v/>
      </c>
      <c r="J77" s="1111">
        <f>IFERROR(IF(AND(OR('Inl. wetlands'!$E53="Other land",'Inl. wetlands'!$E53="Degraded land"),'Inl. wetlands'!$J$47=list!$J$210),INDEX(IPCC!$A$1854:$J$1865,MATCH(clim_moist,IPCC!$A$1854:$A$1865,0),MATCH('Inl. wetlands'!$E53,IPCC!$A$1854:$J$1854,0)),IF(AND(OR('Inl. wetlands'!$E53="Other land",'Inl. wetlands'!$E53="Degraded land"),'Inl. wetlands'!$J$47=list!$J$211),INDEX(IPCC!$A$1854:$J$1865,MATCH(clim_moist,IPCC!$A$1854:A$1865,0),MATCH('Inl. wetlands'!$E53,IPCC!$A$1854:$J$1854,0)),IF('Inl. wetlands'!$J$47=list!$J$210,INDEX(IPCC!$A$1854:$J$1865,MATCH(clim_moist,IPCC!$A$1854:$A$1865,0),MATCH('Inl. wetlands'!$E53,IPCC!$A$1854:$J$1854,0)),IF('Inl. wetlands'!$J$47=list!$J$211,INDEX(IPCC!$A$1854:$J$1865,MATCH(clim_moist,IPCC!$A$1854:$A$1865,0),MATCH('Inl. wetlands'!$E53,IPCC!$A$1854:$J$1854,0)))))),0)</f>
        <v/>
      </c>
      <c r="K77" s="3492">
        <f>IF('6.Inland wetlands'!CP25="",'6.Inland wetlands'!CO25,'6.Inland wetlands'!CP25)</f>
        <v/>
      </c>
      <c r="L77" s="1543" t="n">
        <v>0</v>
      </c>
      <c r="M77" s="1543">
        <f>IF('6.Inland wetlands'!S13=0, 0, IF('6.Inland wetlands'!N25&lt;'6.Inland wetlands'!S13, 'Inl. wetlands'!C77*44/12*'6.Inland wetlands'!N25, 'Inl. wetlands'!C77*44/12*('6.Inland wetlands'!S13)))</f>
        <v/>
      </c>
      <c r="N77" s="4360">
        <f>IF('6.Inland wetlands'!T13=0, 0, IF('6.Inland wetlands'!P25&lt;'6.Inland wetlands'!T13, 'Inl. wetlands'!C77*44/12*'6.Inland wetlands'!P25, 'Inl. wetlands'!C77*44/12*('6.Inland wetlands'!T13)))</f>
        <v/>
      </c>
      <c r="O77" s="4360" t="n">
        <v>0</v>
      </c>
      <c r="P77" s="4360">
        <f>IF('6.Inland wetlands'!S13=0, 0, IF('6.Inland wetlands'!N25&lt;'6.Inland wetlands'!S13, 'Inl. wetlands'!E77*methane/1000*'6.Inland wetlands'!N25*(1-'6.Inland wetlands'!X25), 'Inl. wetlands'!E77*methane/1000*('6.Inland wetlands'!S13*(1-'6.Inland wetlands'!X25))))</f>
        <v/>
      </c>
      <c r="Q77" s="4360">
        <f>IF('6.Inland wetlands'!T13=0, 0, IF('6.Inland wetlands'!P25&lt;'6.Inland wetlands'!T13, 'Inl. wetlands'!E77*methane/1000*'6.Inland wetlands'!P25*(1-'6.Inland wetlands'!Y25), 'Inl. wetlands'!E77*methane/1000*('6.Inland wetlands'!T13*(1-'6.Inland wetlands'!Y25))))</f>
        <v/>
      </c>
      <c r="R77" s="4360" t="n">
        <v>0</v>
      </c>
      <c r="S77" s="4360">
        <f>IF('6.Inland wetlands'!S13=0, 0, IF('6.Inland wetlands'!N25&lt;'6.Inland wetlands'!S13, 'Inl. wetlands'!G77*44/28*Nitrous/1000*'6.Inland wetlands'!N25, 'Inl. wetlands'!G77*44/28*Nitrous/1000*('6.Inland wetlands'!S13)))</f>
        <v/>
      </c>
      <c r="T77" s="4360">
        <f>IF('6.Inland wetlands'!T13=0, 0, IF('6.Inland wetlands'!P25&lt;'6.Inland wetlands'!T13, 'Inl. wetlands'!G77*44/28*Nitrous/1000*'6.Inland wetlands'!P25, 'Inl. wetlands'!G77*44/28*Nitrous/1000*('6.Inland wetlands'!T13)))</f>
        <v/>
      </c>
      <c r="U77" s="4360" t="n">
        <v>0</v>
      </c>
      <c r="V77" s="4360">
        <f>IF('6.Inland wetlands'!S13=0, 0, IF('6.Inland wetlands'!N25&lt;'6.Inland wetlands'!S13, 'Inl. wetlands'!I77*44/12*'6.Inland wetlands'!N25, 'Inl. wetlands'!I77*44/12*('6.Inland wetlands'!S13)))</f>
        <v/>
      </c>
      <c r="W77" s="4360">
        <f>IF('6.Inland wetlands'!T13=0, 0, IF('6.Inland wetlands'!P25&lt;'6.Inland wetlands'!T13, 'Inl. wetlands'!I77*44/12*'6.Inland wetlands'!P25, 'Inl. wetlands'!I77*44/12*('6.Inland wetlands'!T13)))</f>
        <v/>
      </c>
      <c r="X77" s="4360" t="n">
        <v>0</v>
      </c>
      <c r="Y77" s="4734">
        <f>IF('6.Inland wetlands'!S13=0, 0, IF('6.Inland wetlands'!N25&lt;'6.Inland wetlands'!S13, 'Inl. wetlands'!K77*methane/1000*'6.Inland wetlands'!N25*('6.Inland wetlands'!X25), 'Inl. wetlands'!K77*methane/1000*('6.Inland wetlands'!S13*('6.Inland wetlands'!X25))))</f>
        <v/>
      </c>
      <c r="Z77" s="4734">
        <f>IF('6.Inland wetlands'!T13=0, 0, IF('6.Inland wetlands'!P25&lt;'6.Inland wetlands'!T13, 'Inl. wetlands'!K77*methane/1000*'6.Inland wetlands'!P25*('6.Inland wetlands'!Y25), 'Inl. wetlands'!K77*methane/1000*('6.Inland wetlands'!T13*('6.Inland wetlands'!Y25))))</f>
        <v/>
      </c>
      <c r="AA77" s="1246" t="n"/>
      <c r="AB77" s="3493">
        <f>MIN('Inl. wetlands'!$L77,'Inl. wetlands'!$M77)*time_tot+ABS('Inl. wetlands'!$M77-'Inl. wetlands'!$L77)*IF('Inl. wetlands'!$M77&gt;'Inl. wetlands'!$L77,time_cap+time*(VLOOKUP('6.Inland wetlands'!O25,list!$I$48:$K$50,3,0)),time*(1-(VLOOKUP('6.Inland wetlands'!O25,list!$I$48:$K$50,3,0))))+MIN('Inl. wetlands'!$U77,'Inl. wetlands'!$V77)*time_tot+ABS('Inl. wetlands'!$V77-'Inl. wetlands'!$U77)*IF('Inl. wetlands'!$V77&gt;'Inl. wetlands'!$U77,time_cap+time*(VLOOKUP('6.Inland wetlands'!O25,list!$I$48:$K$50,3,0)),time*(1-(VLOOKUP('6.Inland wetlands'!O25,list!$I$48:$K$50,3,0))))</f>
        <v/>
      </c>
      <c r="AC77" s="3493">
        <f>MIN('Inl. wetlands'!$L77,'Inl. wetlands'!$N77)*time_tot+ABS('Inl. wetlands'!$N77-'Inl. wetlands'!$L77)*IF('Inl. wetlands'!$N77&gt;'Inl. wetlands'!$L77,time_cap+time*(VLOOKUP('6.Inland wetlands'!Q25,list!$I$48:$K$50,3,0)),time*(1-(VLOOKUP('6.Inland wetlands'!Q25,list!$I$48:$K$50,3,0))))+MIN('Inl. wetlands'!$U77,'Inl. wetlands'!$W77)*time_tot+ABS('Inl. wetlands'!$W77-'Inl. wetlands'!$U77)*IF('Inl. wetlands'!$W77&gt;'Inl. wetlands'!$U77,time_cap+time*(VLOOKUP('6.Inland wetlands'!Q25,list!$I$48:$K$50,3,0)),time*(1-(VLOOKUP('6.Inland wetlands'!Q25,list!$I$48:$K$50,3,0))))</f>
        <v/>
      </c>
      <c r="AD77" s="3493">
        <f>MIN('Inl. wetlands'!$O77,'Inl. wetlands'!$P77)*time_tot+ABS('Inl. wetlands'!$P77-'Inl. wetlands'!$O77)*IF('Inl. wetlands'!$P77&gt;'Inl. wetlands'!$O77,time_cap+time*(VLOOKUP('6.Inland wetlands'!O25,list!$I$48:$K$50,3,0)),time*(1-(VLOOKUP('6.Inland wetlands'!O25,list!$I$48:$K$50,3,0))))+MIN('Inl. wetlands'!$X77,'Inl. wetlands'!$Y77)*time_tot+ABS('Inl. wetlands'!$Y77-'Inl. wetlands'!$X77)*IF('Inl. wetlands'!$Y77&gt;'Inl. wetlands'!$X77,time_cap+time*(VLOOKUP('6.Inland wetlands'!O25,list!$I$48:$K$50,3,0)),time*(1-(VLOOKUP('6.Inland wetlands'!O25,list!$I$48:$K$50,3,0))))</f>
        <v/>
      </c>
      <c r="AE77" s="3493">
        <f>MIN('Inl. wetlands'!$O77,'Inl. wetlands'!$Q77)*time_tot+ABS('Inl. wetlands'!$Q77-'Inl. wetlands'!$O77)*IF('Inl. wetlands'!$Q77&gt;'Inl. wetlands'!$O77,time_cap+time*(VLOOKUP('6.Inland wetlands'!Q25,list!$I$48:$K$50,3,0)),time*(1-(VLOOKUP('6.Inland wetlands'!Q25,list!$I$48:$K$50,3,0))))+MIN('Inl. wetlands'!$X77,'Inl. wetlands'!$Z77)*time_tot+ABS('Inl. wetlands'!$Z77-'Inl. wetlands'!$X77)*IF('Inl. wetlands'!$Z77&gt;'Inl. wetlands'!$X77,time_cap+time*(VLOOKUP('6.Inland wetlands'!Q25,list!$I$48:$K$50,3,0)),time*(1-(VLOOKUP('6.Inland wetlands'!Q25,list!$I$48:$K$50,3,0))))</f>
        <v/>
      </c>
      <c r="AF77" s="3493">
        <f>MIN('Inl. wetlands'!$R77,'Inl. wetlands'!$S77)*time_tot+ABS('Inl. wetlands'!$S77-'Inl. wetlands'!$R77)*IF('Inl. wetlands'!$S77&gt;'Inl. wetlands'!$R77,time_cap+time*(VLOOKUP('6.Inland wetlands'!O25,list!$I$48:$K$50,3,0)),time*(1-(VLOOKUP('6.Inland wetlands'!O25,list!$I$48:$K$50,3,0))))</f>
        <v/>
      </c>
      <c r="AG77" s="3493">
        <f>MIN('Inl. wetlands'!$R77,'Inl. wetlands'!$T77)*time_tot+ABS('Inl. wetlands'!$T77-'Inl. wetlands'!$R77)*IF('Inl. wetlands'!$T77&gt;'Inl. wetlands'!$R77,time_cap+time*(VLOOKUP('6.Inland wetlands'!Q25,list!$I$48:$K$50,3,0)),time*(1-(VLOOKUP('6.Inland wetlands'!Q25,list!$I$48:$K$50,3,0))))</f>
        <v/>
      </c>
      <c r="AI77" s="992" t="n"/>
      <c r="AJ77" s="992" t="n"/>
      <c r="AK77" s="992" t="n"/>
    </row>
    <row r="78">
      <c r="A78" s="1467" t="inlineStr">
        <is>
          <t>S2</t>
        </is>
      </c>
      <c r="B78" s="1110">
        <f>IFERROR(IF(AND(OR('Inl. wetlands'!$E54="Other land",'Inl. wetlands'!$E54="Degraded land"),'Inl. wetlands'!$J$47=list!$J$210),INDEX(IPCC!$A$1762:$J$1773,MATCH(clim_moist,IPCC!$A$1762:$A$1773,0),MATCH('Inl. wetlands'!$E54,IPCC!$A$1762:$J$1762,0)),IF(AND(OR('Inl. wetlands'!$E54="Other land",'Inl. wetlands'!$E54="Degraded land"),'Inl. wetlands'!$J$47=list!$J$211),INDEX(IPCC!$A$1781:$J$1792,MATCH(clim_moist,IPCC!$A$1781:$A$1792,0),MATCH('Inl. wetlands'!$E54,IPCC!$A$1781:$J$1781,0)),IF('Inl. wetlands'!$J$47=list!$J$210,INDEX(IPCC!$A$1762:$J$1773,MATCH(clim_moist,IPCC!$A$1781:$A$1792,0),MATCH('Inl. wetlands'!$E54,IPCC!$A$1781:$J$1781,0)),IF('Inl. wetlands'!$J$47=list!$J$211,INDEX(IPCC!$A$1781:$J$1792,MATCH(clim_moist,IPCC!$A$1781:$A$1792,0),MATCH('Inl. wetlands'!$E54,IPCC!$A$1781:$J$1781,0)))))),0)</f>
        <v/>
      </c>
      <c r="C78" s="1104">
        <f>IF('6.Inland wetlands'!CG26="",'6.Inland wetlands'!CF26,'6.Inland wetlands'!CG26)</f>
        <v/>
      </c>
      <c r="D78" s="1044">
        <f>IFERROR(IF(AND(OR('Inl. wetlands'!$E54="Other land",'Inl. wetlands'!$E54="Degraded land"),'Inl. wetlands'!$J$47=list!$J$210),INDEX(IPCC!$A$1818:$J$1829,MATCH(clim_moist,IPCC!$A$1818:$A$1829,0),MATCH('Inl. wetlands'!E54,IPCC!$A$1818:$J$1818,0)),IF(AND(OR('Inl. wetlands'!$E54="Other land",'Inl. wetlands'!$E54="Degraded land"),'Inl. wetlands'!$J$47=list!$J$211),INDEX(IPCC!$A$1836:$J$1847,MATCH(clim_moist,IPCC!$A$1836:$A$1847,0),MATCH('Inl. wetlands'!$E54,IPCC!$A$1836:$J$1836,0)),IF('Inl. wetlands'!$J$47=list!$J$210,INDEX(IPCC!$A$1818:$G$1829,MATCH(clim_moist,IPCC!$A$1818:$A$1829,0),MATCH('Inl. wetlands'!$E54,IPCC!$A$1818:$J$1818,0)),IF('Inl. wetlands'!$J$47=list!$J$211,INDEX(IPCC!$A$1836:$J$1847,MATCH(clim_moist,IPCC!$A$1836:$A$1847,0),MATCH('Inl. wetlands'!$E54,IPCC!$A$1836:$J$1836,0)))))),0)</f>
        <v/>
      </c>
      <c r="E78" s="1104">
        <f>IF('6.Inland wetlands'!CI26="",'6.Inland wetlands'!CH26,'6.Inland wetlands'!CI26)</f>
        <v/>
      </c>
      <c r="F78" s="1044">
        <f>IFERROR(IF(AND(OR('Inl. wetlands'!$E54="Other land",'Inl. wetlands'!$E54="Degraded land"),'Inl. wetlands'!$J$47=list!$J$210),INDEX(IPCC!$A$1872:$J$1883,MATCH(clim_moist,IPCC!$A$1872:$A$1883,0),MATCH('Inl. wetlands'!D54,IPCC!$A$1872:$J$1872,0)),IF(AND(OR('Inl. wetlands'!$E54="Other land",'Inl. wetlands'!$E54="Degraded land"),'Inl. wetlands'!$J$47=list!$J$211),INDEX(IPCC!$A$1890:$J$1901,MATCH(clim_moist,IPCC!$A$1890:$A$1901,0),MATCH('Inl. wetlands'!$E54,IPCC!$A$1890:$J$1890,0)),IF('Inl. wetlands'!$J$47=list!$J$210,INDEX(IPCC!$A$1872:$J$1883,MATCH(clim_moist,IPCC!$A$1872:$A$1883,0),MATCH('Inl. wetlands'!$E54,IPCC!$A$1872:$J$1872,0)),IF('Inl. wetlands'!$J$47=list!$J$211,INDEX(IPCC!$A$1890:$J$1901,MATCH(clim_moist,IPCC!$A$1890:$A$1901,0),MATCH('Inl. wetlands'!$E54,IPCC!$A$1890:$J$1890,0)))))),0)</f>
        <v/>
      </c>
      <c r="G78" s="1104">
        <f>IF('6.Inland wetlands'!CK26="",'6.Inland wetlands'!CJ26,'6.Inland wetlands'!CK26)</f>
        <v/>
      </c>
      <c r="H78" s="1110">
        <f>IFERROR(IF(AND(OR('Inl. wetlands'!$E54="Other land",'Inl. wetlands'!$E54="Degraded land"),'Inl. wetlands'!$J$47=list!$J$210),INDEX(IPCC!$A$1800:$J$1811,MATCH(clim_moist,IPCC!$A$1800:$A$1811,0),MATCH('Inl. wetlands'!E54,IPCC!$A$1800:$J$1800,0)),IF(AND(OR('Inl. wetlands'!$E54="Other land",'Inl. wetlands'!$E54="Degraded land"),'Inl. wetlands'!$J$47=list!$J$211),INDEX(IPCC!$A$1800:$J$1811,MATCH(clim_moist,IPCC!$A$1800:$A$1811,0),MATCH('Inl. wetlands'!$E54,IPCC!$A$1800:$J$1800,0)),IF('Inl. wetlands'!$J$47=list!$J$210,INDEX(IPCC!$A$1800:$J$1811,MATCH(clim_moist,IPCC!$A$1800:$A$1811,0),MATCH('Inl. wetlands'!$E54,IPCC!$A$1800:$J$1800,0)),IF('Inl. wetlands'!$J$47=list!$J$211,INDEX(IPCC!$A$1800:$J$1811,MATCH(clim_moist,IPCC!$A$1800:$A$1811,0),MATCH('Inl. wetlands'!$E54,IPCC!$A$1800:$J$1800,0)))))),0)</f>
        <v/>
      </c>
      <c r="I78" s="1104">
        <f>IF('6.Inland wetlands'!CN26="",'6.Inland wetlands'!CM26,'6.Inland wetlands'!CN26)</f>
        <v/>
      </c>
      <c r="J78" s="1111">
        <f>IFERROR(IF(AND(OR('Inl. wetlands'!$E54="Other land",'Inl. wetlands'!$E54="Degraded land"),'Inl. wetlands'!$J$47=list!$J$210),INDEX(IPCC!$A$1854:$J$1865,MATCH(clim_moist,IPCC!$A$1854:$A$1865,0),MATCH('Inl. wetlands'!$E54,IPCC!$A$1854:$J$1854,0)),IF(AND(OR('Inl. wetlands'!$E54="Other land",'Inl. wetlands'!$E54="Degraded land"),'Inl. wetlands'!$J$47=list!$J$211),INDEX(IPCC!$A$1854:$J$1865,MATCH(clim_moist,IPCC!$A$1854:A$1865,0),MATCH('Inl. wetlands'!$E54,IPCC!$A$1854:$J$1854,0)),IF('Inl. wetlands'!$J$47=list!$J$210,INDEX(IPCC!$A$1854:$J$1865,MATCH(clim_moist,IPCC!$A$1854:$A$1865,0),MATCH('Inl. wetlands'!$E54,IPCC!$A$1854:$J$1854,0)),IF('Inl. wetlands'!$J$47=list!$J$211,INDEX(IPCC!$A$1854:$J$1865,MATCH(clim_moist,IPCC!$A$1854:$A$1865,0),MATCH('Inl. wetlands'!$E54,IPCC!$A$1854:$J$1854,0)))))),0)</f>
        <v/>
      </c>
      <c r="K78" s="3492">
        <f>IF('6.Inland wetlands'!CP26="",'6.Inland wetlands'!CO26,'6.Inland wetlands'!CP26)</f>
        <v/>
      </c>
      <c r="L78" s="1543" t="n">
        <v>0</v>
      </c>
      <c r="M78" s="1543">
        <f>IF('6.Inland wetlands'!S14=0, 0, IF('6.Inland wetlands'!N26&lt;'6.Inland wetlands'!S14, C78*44/12*'6.Inland wetlands'!N26, 'Inl. wetlands'!C78*44/12*('6.Inland wetlands'!S14)))</f>
        <v/>
      </c>
      <c r="N78" s="4360">
        <f>IF('6.Inland wetlands'!T14=0, 0, IF('6.Inland wetlands'!P26&lt;'6.Inland wetlands'!T14, C78*44/12*'6.Inland wetlands'!P26, 'Inl. wetlands'!C78*44/12*('6.Inland wetlands'!T14)))</f>
        <v/>
      </c>
      <c r="O78" s="4360" t="n">
        <v>0</v>
      </c>
      <c r="P78" s="4360">
        <f>IF('6.Inland wetlands'!S14=0, 0, IF('6.Inland wetlands'!N26&lt;'6.Inland wetlands'!S14, E78*methane/1000*'6.Inland wetlands'!N26*(1-'6.Inland wetlands'!X26), 'Inl. wetlands'!E78*methane/1000*('6.Inland wetlands'!S14*(1-'6.Inland wetlands'!X26))))</f>
        <v/>
      </c>
      <c r="Q78" s="4360">
        <f>IF('6.Inland wetlands'!T14=0, 0, IF('6.Inland wetlands'!P26&lt;'6.Inland wetlands'!T14, E78*methane/1000*'6.Inland wetlands'!P26*(1-'6.Inland wetlands'!Y26), 'Inl. wetlands'!E78*methane/1000*('6.Inland wetlands'!T14*(1-'6.Inland wetlands'!Y26))))</f>
        <v/>
      </c>
      <c r="R78" s="4360" t="n">
        <v>0</v>
      </c>
      <c r="S78" s="4360">
        <f>IF('6.Inland wetlands'!S14=0, 0, IF('6.Inland wetlands'!N26&lt;'6.Inland wetlands'!S14, G78*44/28*Nitrous/1000*'6.Inland wetlands'!N26, 'Inl. wetlands'!G78*44/28*Nitrous/1000*('6.Inland wetlands'!S14)))</f>
        <v/>
      </c>
      <c r="T78" s="4360">
        <f>IF('6.Inland wetlands'!T14=0, 0, IF('6.Inland wetlands'!P26&lt;'6.Inland wetlands'!T14, G78*44/28*Nitrous/1000*'6.Inland wetlands'!P26, 'Inl. wetlands'!G78*44/28*Nitrous/1000*('6.Inland wetlands'!T14)))</f>
        <v/>
      </c>
      <c r="U78" s="4360" t="n">
        <v>0</v>
      </c>
      <c r="V78" s="4360">
        <f>IF('6.Inland wetlands'!S14=0, 0, IF('6.Inland wetlands'!N26&lt;'6.Inland wetlands'!S14, I78*44/12*'6.Inland wetlands'!N26, 'Inl. wetlands'!I78*44/12*('6.Inland wetlands'!S14)))</f>
        <v/>
      </c>
      <c r="W78" s="4360">
        <f>IF('6.Inland wetlands'!T14=0, 0, IF('6.Inland wetlands'!P26&lt;'6.Inland wetlands'!T14, I78*44/12*'6.Inland wetlands'!P26, 'Inl. wetlands'!I78*44/12*('6.Inland wetlands'!T14)))</f>
        <v/>
      </c>
      <c r="X78" s="4360" t="n">
        <v>0</v>
      </c>
      <c r="Y78" s="4734">
        <f>IF('6.Inland wetlands'!S14=0, 0, IF('6.Inland wetlands'!N26&lt;'6.Inland wetlands'!S14, K78*methane/1000*'6.Inland wetlands'!N26*('6.Inland wetlands'!X26), 'Inl. wetlands'!K78*methane/1000*('6.Inland wetlands'!S14*('6.Inland wetlands'!X26))))</f>
        <v/>
      </c>
      <c r="Z78" s="4734">
        <f>IF('6.Inland wetlands'!T14=0, 0, IF('6.Inland wetlands'!P26&lt;'6.Inland wetlands'!T14, K78*methane/1000*'6.Inland wetlands'!P26*('6.Inland wetlands'!Y26), 'Inl. wetlands'!K78*methane/1000*('6.Inland wetlands'!T14*('6.Inland wetlands'!Y26))))</f>
        <v/>
      </c>
      <c r="AA78" s="1246" t="n"/>
      <c r="AB78" s="3493">
        <f>MIN('Inl. wetlands'!$L78,'Inl. wetlands'!$M78)*time_tot+ABS('Inl. wetlands'!$M78-'Inl. wetlands'!$L78)*IF('Inl. wetlands'!$M78&gt;'Inl. wetlands'!$L78,time_cap+time*(VLOOKUP('6.Inland wetlands'!O26,list!$I$48:$K$50,3,0)),time*(1-(VLOOKUP('6.Inland wetlands'!O26,list!$I$48:$K$50,3,0))))+MIN('Inl. wetlands'!$U78,'Inl. wetlands'!$V78)*time_tot+ABS('Inl. wetlands'!$V78-'Inl. wetlands'!$U78)*IF('Inl. wetlands'!$V78&gt;'Inl. wetlands'!$U78,time_cap+time*(VLOOKUP('6.Inland wetlands'!O26,list!$I$48:$K$50,3,0)),time*(1-(VLOOKUP('6.Inland wetlands'!O26,list!$I$48:$K$50,3,0))))</f>
        <v/>
      </c>
      <c r="AC78" s="3493">
        <f>MIN('Inl. wetlands'!$L78,'Inl. wetlands'!$N78)*time_tot+ABS('Inl. wetlands'!$N78-'Inl. wetlands'!$L78)*IF('Inl. wetlands'!$N78&gt;'Inl. wetlands'!$L78,time_cap+time*(VLOOKUP('6.Inland wetlands'!Q26,list!$I$48:$K$50,3,0)),time*(1-(VLOOKUP('6.Inland wetlands'!Q26,list!$I$48:$K$50,3,0))))+MIN('Inl. wetlands'!$U78,'Inl. wetlands'!$W78)*time_tot+ABS('Inl. wetlands'!$W78-'Inl. wetlands'!$U78)*IF('Inl. wetlands'!$W78&gt;'Inl. wetlands'!$U78,time_cap+time*(VLOOKUP('6.Inland wetlands'!Q26,list!$I$48:$K$50,3,0)),time*(1-(VLOOKUP('6.Inland wetlands'!Q26,list!$I$48:$K$50,3,0))))</f>
        <v/>
      </c>
      <c r="AD78" s="3493">
        <f>MIN('Inl. wetlands'!$O78,'Inl. wetlands'!$P78)*time_tot+ABS('Inl. wetlands'!$P78-'Inl. wetlands'!$O78)*IF('Inl. wetlands'!$P78&gt;'Inl. wetlands'!$O78,time_cap+time*(VLOOKUP('6.Inland wetlands'!O26,list!$I$48:$K$50,3,0)),time*(1-(VLOOKUP('6.Inland wetlands'!O26,list!$I$48:$K$50,3,0))))+MIN('Inl. wetlands'!$X78,'Inl. wetlands'!$Y78)*time_tot+ABS('Inl. wetlands'!$Y78-'Inl. wetlands'!$X78)*IF('Inl. wetlands'!$Y78&gt;'Inl. wetlands'!$X78,time_cap+time*(VLOOKUP('6.Inland wetlands'!O26,list!$I$48:$K$50,3,0)),time*(1-(VLOOKUP('6.Inland wetlands'!O26,list!$I$48:$K$50,3,0))))</f>
        <v/>
      </c>
      <c r="AE78" s="3493">
        <f>MIN('Inl. wetlands'!$O78,'Inl. wetlands'!$Q78)*time_tot+ABS('Inl. wetlands'!$Q78-'Inl. wetlands'!$O78)*IF('Inl. wetlands'!$Q78&gt;'Inl. wetlands'!$O78,time_cap+time*(VLOOKUP('6.Inland wetlands'!Q26,list!$I$48:$K$50,3,0)),time*(1-(VLOOKUP('6.Inland wetlands'!Q26,list!$I$48:$K$50,3,0))))+MIN('Inl. wetlands'!$X78,'Inl. wetlands'!$Z78)*time_tot+ABS('Inl. wetlands'!$Z78-'Inl. wetlands'!$X78)*IF('Inl. wetlands'!$Z78&gt;'Inl. wetlands'!$X78,time_cap+time*(VLOOKUP('6.Inland wetlands'!Q26,list!$I$48:$K$50,3,0)),time*(1-(VLOOKUP('6.Inland wetlands'!Q26,list!$I$48:$K$50,3,0))))</f>
        <v/>
      </c>
      <c r="AF78" s="3493">
        <f>MIN('Inl. wetlands'!$R78,'Inl. wetlands'!$S78)*time_tot+ABS('Inl. wetlands'!$S78-'Inl. wetlands'!$R78)*IF('Inl. wetlands'!$S78&gt;'Inl. wetlands'!$R78,time_cap+time*(VLOOKUP('6.Inland wetlands'!O26,list!$I$48:$K$50,3,0)),time*(1-(VLOOKUP('6.Inland wetlands'!O26,list!$I$48:$K$50,3,0))))</f>
        <v/>
      </c>
      <c r="AG78" s="3493">
        <f>MIN('Inl. wetlands'!$R78,'Inl. wetlands'!$T78)*time_tot+ABS('Inl. wetlands'!$T78-'Inl. wetlands'!$R78)*IF('Inl. wetlands'!$T78&gt;'Inl. wetlands'!$R78,time_cap+time*(VLOOKUP('6.Inland wetlands'!Q26,list!$I$48:$K$50,3,0)),time*(1-(VLOOKUP('6.Inland wetlands'!Q26,list!$I$48:$K$50,3,0))))</f>
        <v/>
      </c>
      <c r="AI78" s="992" t="n"/>
      <c r="AJ78" s="992" t="n"/>
      <c r="AK78" s="992" t="n"/>
    </row>
    <row r="79">
      <c r="A79" s="1467" t="inlineStr">
        <is>
          <t>S3</t>
        </is>
      </c>
      <c r="B79" s="1110">
        <f>IFERROR(IF(AND(OR('Inl. wetlands'!$E55="Other land",'Inl. wetlands'!$E55="Degraded land"),'Inl. wetlands'!$J$47=list!$J$210),INDEX(IPCC!$A$1762:$J$1773,MATCH(clim_moist,IPCC!$A$1762:$A$1773,0),MATCH('Inl. wetlands'!$E55,IPCC!$A$1762:$J$1762,0)),IF(AND(OR('Inl. wetlands'!$E55="Other land",'Inl. wetlands'!$E55="Degraded land"),'Inl. wetlands'!$J$47=list!$J$211),INDEX(IPCC!$A$1781:$J$1792,MATCH(clim_moist,IPCC!$A$1781:$A$1792,0),MATCH('Inl. wetlands'!$E55,IPCC!$A$1781:$J$1781,0)),IF('Inl. wetlands'!$J$47=list!$J$210,INDEX(IPCC!$A$1762:$J$1773,MATCH(clim_moist,IPCC!$A$1781:$A$1792,0),MATCH('Inl. wetlands'!$E55,IPCC!$A$1781:$J$1781,0)),IF('Inl. wetlands'!$J$47=list!$J$211,INDEX(IPCC!$A$1781:$J$1792,MATCH(clim_moist,IPCC!$A$1781:$A$1792,0),MATCH('Inl. wetlands'!$E55,IPCC!$A$1781:$J$1781,0)))))),0)</f>
        <v/>
      </c>
      <c r="C79" s="1104">
        <f>IF('6.Inland wetlands'!CG27="",'6.Inland wetlands'!CF27,'6.Inland wetlands'!CG27)</f>
        <v/>
      </c>
      <c r="D79" s="1044">
        <f>IFERROR(IF(AND(OR('Inl. wetlands'!$E55="Other land",'Inl. wetlands'!$E55="Degraded land"),'Inl. wetlands'!$J$47=list!$J$210),INDEX(IPCC!$A$1818:$J$1829,MATCH(clim_moist,IPCC!$A$1818:$A$1829,0),MATCH('Inl. wetlands'!E55,IPCC!$A$1818:$J$1818,0)),IF(AND(OR('Inl. wetlands'!$E55="Other land",'Inl. wetlands'!$E55="Degraded land"),'Inl. wetlands'!$J$47=list!$J$211),INDEX(IPCC!$A$1836:$J$1847,MATCH(clim_moist,IPCC!$A$1836:$A$1847,0),MATCH('Inl. wetlands'!$E55,IPCC!$A$1836:$J$1836,0)),IF('Inl. wetlands'!$J$47=list!$J$210,INDEX(IPCC!$A$1818:$G$1829,MATCH(clim_moist,IPCC!$A$1818:$A$1829,0),MATCH('Inl. wetlands'!$E55,IPCC!$A$1818:$J$1818,0)),IF('Inl. wetlands'!$J$47=list!$J$211,INDEX(IPCC!$A$1836:$J$1847,MATCH(clim_moist,IPCC!$A$1836:$A$1847,0),MATCH('Inl. wetlands'!$E55,IPCC!$A$1836:$J$1836,0)))))),0)</f>
        <v/>
      </c>
      <c r="E79" s="1104">
        <f>IF('6.Inland wetlands'!CI27="",'6.Inland wetlands'!CH27,'6.Inland wetlands'!CI27)</f>
        <v/>
      </c>
      <c r="F79" s="1044">
        <f>IFERROR(IF(AND(OR('Inl. wetlands'!$E55="Other land",'Inl. wetlands'!$E55="Degraded land"),'Inl. wetlands'!$J$47=list!$J$210),INDEX(IPCC!$A$1872:$J$1883,MATCH(clim_moist,IPCC!$A$1872:$A$1883,0),MATCH('Inl. wetlands'!D55,IPCC!$A$1872:$J$1872,0)),IF(AND(OR('Inl. wetlands'!$E55="Other land",'Inl. wetlands'!$E55="Degraded land"),'Inl. wetlands'!$J$47=list!$J$211),INDEX(IPCC!$A$1890:$J$1901,MATCH(clim_moist,IPCC!$A$1890:$A$1901,0),MATCH('Inl. wetlands'!$E55,IPCC!$A$1890:$J$1890,0)),IF('Inl. wetlands'!$J$47=list!$J$210,INDEX(IPCC!$A$1872:$J$1883,MATCH(clim_moist,IPCC!$A$1872:$A$1883,0),MATCH('Inl. wetlands'!$E55,IPCC!$A$1872:$J$1872,0)),IF('Inl. wetlands'!$J$47=list!$J$211,INDEX(IPCC!$A$1890:$J$1901,MATCH(clim_moist,IPCC!$A$1890:$A$1901,0),MATCH('Inl. wetlands'!$E55,IPCC!$A$1890:$J$1890,0)))))),0)</f>
        <v/>
      </c>
      <c r="G79" s="1104">
        <f>IF('6.Inland wetlands'!CK27="",'6.Inland wetlands'!CJ27,'6.Inland wetlands'!CK27)</f>
        <v/>
      </c>
      <c r="H79" s="1110">
        <f>IFERROR(IF(AND(OR('Inl. wetlands'!$E55="Other land",'Inl. wetlands'!$E55="Degraded land"),'Inl. wetlands'!$J$47=list!$J$210),INDEX(IPCC!$A$1800:$J$1811,MATCH(clim_moist,IPCC!$A$1800:$A$1811,0),MATCH('Inl. wetlands'!E55,IPCC!$A$1800:$J$1800,0)),IF(AND(OR('Inl. wetlands'!$E55="Other land",'Inl. wetlands'!$E55="Degraded land"),'Inl. wetlands'!$J$47=list!$J$211),INDEX(IPCC!$A$1800:$J$1811,MATCH(clim_moist,IPCC!$A$1800:$A$1811,0),MATCH('Inl. wetlands'!$E55,IPCC!$A$1800:$J$1800,0)),IF('Inl. wetlands'!$J$47=list!$J$210,INDEX(IPCC!$A$1800:$J$1811,MATCH(clim_moist,IPCC!$A$1800:$A$1811,0),MATCH('Inl. wetlands'!$E55,IPCC!$A$1800:$J$1800,0)),IF('Inl. wetlands'!$J$47=list!$J$211,INDEX(IPCC!$A$1800:$J$1811,MATCH(clim_moist,IPCC!$A$1800:$A$1811,0),MATCH('Inl. wetlands'!$E55,IPCC!$A$1800:$J$1800,0)))))),0)</f>
        <v/>
      </c>
      <c r="I79" s="1104">
        <f>IF('6.Inland wetlands'!CN27="",'6.Inland wetlands'!CM27,'6.Inland wetlands'!CN27)</f>
        <v/>
      </c>
      <c r="J79" s="1111">
        <f>IFERROR(IF(AND(OR('Inl. wetlands'!$E55="Other land",'Inl. wetlands'!$E55="Degraded land"),'Inl. wetlands'!$J$47=list!$J$210),INDEX(IPCC!$A$1854:$J$1865,MATCH(clim_moist,IPCC!$A$1854:$A$1865,0),MATCH('Inl. wetlands'!$E55,IPCC!$A$1854:$J$1854,0)),IF(AND(OR('Inl. wetlands'!$E55="Other land",'Inl. wetlands'!$E55="Degraded land"),'Inl. wetlands'!$J$47=list!$J$211),INDEX(IPCC!$A$1854:$J$1865,MATCH(clim_moist,IPCC!$A$1854:A$1865,0),MATCH('Inl. wetlands'!$E55,IPCC!$A$1854:$J$1854,0)),IF('Inl. wetlands'!$J$47=list!$J$210,INDEX(IPCC!$A$1854:$J$1865,MATCH(clim_moist,IPCC!$A$1854:$A$1865,0),MATCH('Inl. wetlands'!$E55,IPCC!$A$1854:$J$1854,0)),IF('Inl. wetlands'!$J$47=list!$J$211,INDEX(IPCC!$A$1854:$J$1865,MATCH(clim_moist,IPCC!$A$1854:$A$1865,0),MATCH('Inl. wetlands'!$E55,IPCC!$A$1854:$J$1854,0)))))),0)</f>
        <v/>
      </c>
      <c r="K79" s="3492">
        <f>IF('6.Inland wetlands'!CP27="",'6.Inland wetlands'!CO27,'6.Inland wetlands'!CP27)</f>
        <v/>
      </c>
      <c r="L79" s="1543" t="n">
        <v>0</v>
      </c>
      <c r="M79" s="1543">
        <f>IF('6.Inland wetlands'!S15=0, 0, IF('6.Inland wetlands'!N27&lt;'6.Inland wetlands'!S15, C79*44/12*'6.Inland wetlands'!N27, 'Inl. wetlands'!C79*44/12*('6.Inland wetlands'!S15)))</f>
        <v/>
      </c>
      <c r="N79" s="4360">
        <f>IF('6.Inland wetlands'!T15=0, 0, IF('6.Inland wetlands'!P27&lt;'6.Inland wetlands'!T15, C79*44/12*'6.Inland wetlands'!P27, 'Inl. wetlands'!C79*44/12*('6.Inland wetlands'!T15)))</f>
        <v/>
      </c>
      <c r="O79" s="4360" t="n">
        <v>0</v>
      </c>
      <c r="P79" s="4360">
        <f>IF('6.Inland wetlands'!S15=0, 0, IF('6.Inland wetlands'!N27&lt;'6.Inland wetlands'!S15, E79*methane/1000*'6.Inland wetlands'!N27*(1-'6.Inland wetlands'!X27), 'Inl. wetlands'!E79*methane/1000*('6.Inland wetlands'!S15*(1-'6.Inland wetlands'!X27))))</f>
        <v/>
      </c>
      <c r="Q79" s="4360">
        <f>IF('6.Inland wetlands'!T15=0, 0, IF('6.Inland wetlands'!P27&lt;'6.Inland wetlands'!T15, E79*methane/1000*'6.Inland wetlands'!P27*(1-'6.Inland wetlands'!Y27), 'Inl. wetlands'!E79*methane/1000*('6.Inland wetlands'!T15*(1-'6.Inland wetlands'!Y27))))</f>
        <v/>
      </c>
      <c r="R79" s="4360" t="n">
        <v>0</v>
      </c>
      <c r="S79" s="4360">
        <f>IF('6.Inland wetlands'!S15=0, 0, IF('6.Inland wetlands'!N27&lt;'6.Inland wetlands'!S15, G79*44/28*Nitrous/1000*'6.Inland wetlands'!N27, 'Inl. wetlands'!G79*44/28*Nitrous/1000*('6.Inland wetlands'!S15)))</f>
        <v/>
      </c>
      <c r="T79" s="4360">
        <f>IF('6.Inland wetlands'!T15=0, 0, IF('6.Inland wetlands'!P27&lt;'6.Inland wetlands'!T15, G79*44/28*Nitrous/1000*'6.Inland wetlands'!P27, 'Inl. wetlands'!G79*44/28*Nitrous/1000*('6.Inland wetlands'!T15)))</f>
        <v/>
      </c>
      <c r="U79" s="4360" t="n">
        <v>0</v>
      </c>
      <c r="V79" s="4360">
        <f>IF('6.Inland wetlands'!S15=0, 0, IF('6.Inland wetlands'!N27&lt;'6.Inland wetlands'!S15, I79*44/12*'6.Inland wetlands'!N27, 'Inl. wetlands'!I79*44/12*('6.Inland wetlands'!S15)))</f>
        <v/>
      </c>
      <c r="W79" s="4360">
        <f>IF('6.Inland wetlands'!T15=0, 0, IF('6.Inland wetlands'!P27&lt;'6.Inland wetlands'!T15, I79*44/12*'6.Inland wetlands'!P27, 'Inl. wetlands'!I79*44/12*('6.Inland wetlands'!T15)))</f>
        <v/>
      </c>
      <c r="X79" s="4360" t="n">
        <v>0</v>
      </c>
      <c r="Y79" s="4734">
        <f>IF('6.Inland wetlands'!S15=0, 0, IF('6.Inland wetlands'!N27&lt;'6.Inland wetlands'!S15, K79*methane/1000*'6.Inland wetlands'!N27*('6.Inland wetlands'!X27), 'Inl. wetlands'!K79*methane/1000*('6.Inland wetlands'!S15*('6.Inland wetlands'!X27))))</f>
        <v/>
      </c>
      <c r="Z79" s="4734">
        <f>IF('6.Inland wetlands'!T15=0, 0, IF('6.Inland wetlands'!P27&lt;'6.Inland wetlands'!T15, K79*methane/1000*'6.Inland wetlands'!P27*('6.Inland wetlands'!Y27), 'Inl. wetlands'!K79*methane/1000*('6.Inland wetlands'!T15*('6.Inland wetlands'!Y27))))</f>
        <v/>
      </c>
      <c r="AA79" s="1246" t="n"/>
      <c r="AB79" s="3493">
        <f>MIN('Inl. wetlands'!$L79,'Inl. wetlands'!$M79)*time_tot+ABS('Inl. wetlands'!$M79-'Inl. wetlands'!$L79)*IF('Inl. wetlands'!$M79&gt;'Inl. wetlands'!$L79,time_cap+time*(VLOOKUP('6.Inland wetlands'!O27,list!$I$48:$K$50,3,0)),time*(1-(VLOOKUP('6.Inland wetlands'!O27,list!$I$48:$K$50,3,0))))+MIN('Inl. wetlands'!$U79,'Inl. wetlands'!$V79)*time_tot+ABS('Inl. wetlands'!$V79-'Inl. wetlands'!$U79)*IF('Inl. wetlands'!$V79&gt;'Inl. wetlands'!$U79,time_cap+time*(VLOOKUP('6.Inland wetlands'!O27,list!$I$48:$K$50,3,0)),time*(1-(VLOOKUP('6.Inland wetlands'!O27,list!$I$48:$K$50,3,0))))</f>
        <v/>
      </c>
      <c r="AC79" s="3493">
        <f>MIN('Inl. wetlands'!$L79,'Inl. wetlands'!$N79)*time_tot+ABS('Inl. wetlands'!$N79-'Inl. wetlands'!$L79)*IF('Inl. wetlands'!$N79&gt;'Inl. wetlands'!$L79,time_cap+time*(VLOOKUP('6.Inland wetlands'!Q27,list!$I$48:$K$50,3,0)),time*(1-(VLOOKUP('6.Inland wetlands'!Q27,list!$I$48:$K$50,3,0))))+MIN('Inl. wetlands'!$U79,'Inl. wetlands'!$W79)*time_tot+ABS('Inl. wetlands'!$W79-'Inl. wetlands'!$U79)*IF('Inl. wetlands'!$W79&gt;'Inl. wetlands'!$U79,time_cap+time*(VLOOKUP('6.Inland wetlands'!Q27,list!$I$48:$K$50,3,0)),time*(1-(VLOOKUP('6.Inland wetlands'!Q27,list!$I$48:$K$50,3,0))))</f>
        <v/>
      </c>
      <c r="AD79" s="3493">
        <f>MIN('Inl. wetlands'!$O79,'Inl. wetlands'!$P79)*time_tot+ABS('Inl. wetlands'!$P79-'Inl. wetlands'!$O79)*IF('Inl. wetlands'!$P79&gt;'Inl. wetlands'!$O79,time_cap+time*(VLOOKUP('6.Inland wetlands'!O27,list!$I$48:$K$50,3,0)),time*(1-(VLOOKUP('6.Inland wetlands'!O27,list!$I$48:$K$50,3,0))))+MIN('Inl. wetlands'!$X79,'Inl. wetlands'!$Y79)*time_tot+ABS('Inl. wetlands'!$Y79-'Inl. wetlands'!$X79)*IF('Inl. wetlands'!$Y79&gt;'Inl. wetlands'!$X79,time_cap+time*(VLOOKUP('6.Inland wetlands'!O27,list!$I$48:$K$50,3,0)),time*(1-(VLOOKUP('6.Inland wetlands'!O27,list!$I$48:$K$50,3,0))))</f>
        <v/>
      </c>
      <c r="AE79" s="3493">
        <f>MIN('Inl. wetlands'!$O79,'Inl. wetlands'!$Q79)*time_tot+ABS('Inl. wetlands'!$Q79-'Inl. wetlands'!$O79)*IF('Inl. wetlands'!$Q79&gt;'Inl. wetlands'!$O79,time_cap+time*(VLOOKUP('6.Inland wetlands'!Q27,list!$I$48:$K$50,3,0)),time*(1-(VLOOKUP('6.Inland wetlands'!Q27,list!$I$48:$K$50,3,0))))+MIN('Inl. wetlands'!$X79,'Inl. wetlands'!$Z79)*time_tot+ABS('Inl. wetlands'!$Z79-'Inl. wetlands'!$X79)*IF('Inl. wetlands'!$Z79&gt;'Inl. wetlands'!$X79,time_cap+time*(VLOOKUP('6.Inland wetlands'!Q27,list!$I$48:$K$50,3,0)),time*(1-(VLOOKUP('6.Inland wetlands'!Q27,list!$I$48:$K$50,3,0))))</f>
        <v/>
      </c>
      <c r="AF79" s="3493">
        <f>MIN('Inl. wetlands'!$R79,'Inl. wetlands'!$S79)*time_tot+ABS('Inl. wetlands'!$S79-'Inl. wetlands'!$R79)*IF('Inl. wetlands'!$S79&gt;'Inl. wetlands'!$R79,time_cap+time*(VLOOKUP('6.Inland wetlands'!O27,list!$I$48:$K$50,3,0)),time*(1-(VLOOKUP('6.Inland wetlands'!O27,list!$I$48:$K$50,3,0))))</f>
        <v/>
      </c>
      <c r="AG79" s="3493">
        <f>MIN('Inl. wetlands'!$R79,'Inl. wetlands'!$T79)*time_tot+ABS('Inl. wetlands'!$T79-'Inl. wetlands'!$R79)*IF('Inl. wetlands'!$T79&gt;'Inl. wetlands'!$R79,time_cap+time*(VLOOKUP('6.Inland wetlands'!Q27,list!$I$48:$K$50,3,0)),time*(1-(VLOOKUP('6.Inland wetlands'!Q27,list!$I$48:$K$50,3,0))))</f>
        <v/>
      </c>
      <c r="AI79" s="992" t="n"/>
      <c r="AJ79" s="992" t="n"/>
      <c r="AK79" s="992" t="n"/>
    </row>
    <row r="80">
      <c r="A80" s="1467" t="inlineStr">
        <is>
          <t>S4</t>
        </is>
      </c>
      <c r="B80" s="1110">
        <f>IFERROR(IF(AND(OR('Inl. wetlands'!$E56="Other land",'Inl. wetlands'!$E56="Degraded land"),'Inl. wetlands'!$J$47=list!$J$210),INDEX(IPCC!$A$1762:$J$1773,MATCH(clim_moist,IPCC!$A$1762:$A$1773,0),MATCH('Inl. wetlands'!$E56,IPCC!$A$1762:$J$1762,0)),IF(AND(OR('Inl. wetlands'!$E56="Other land",'Inl. wetlands'!$E56="Degraded land"),'Inl. wetlands'!$J$47=list!$J$211),INDEX(IPCC!$A$1781:$J$1792,MATCH(clim_moist,IPCC!$A$1781:$A$1792,0),MATCH('Inl. wetlands'!$E56,IPCC!$A$1781:$J$1781,0)),IF('Inl. wetlands'!$J$47=list!$J$210,INDEX(IPCC!$A$1762:$J$1773,MATCH(clim_moist,IPCC!$A$1781:$A$1792,0),MATCH('Inl. wetlands'!$E56,IPCC!$A$1781:$J$1781,0)),IF('Inl. wetlands'!$J$47=list!$J$211,INDEX(IPCC!$A$1781:$J$1792,MATCH(clim_moist,IPCC!$A$1781:$A$1792,0),MATCH('Inl. wetlands'!$E56,IPCC!$A$1781:$J$1781,0)))))),0)</f>
        <v/>
      </c>
      <c r="C80" s="1104">
        <f>IF('6.Inland wetlands'!CG28="",'6.Inland wetlands'!CF28,'6.Inland wetlands'!CG28)</f>
        <v/>
      </c>
      <c r="D80" s="1044">
        <f>IFERROR(IF(AND(OR('Inl. wetlands'!$E56="Other land",'Inl. wetlands'!$E56="Degraded land"),'Inl. wetlands'!$J$47=list!$J$210),INDEX(IPCC!$A$1818:$J$1829,MATCH(clim_moist,IPCC!$A$1818:$A$1829,0),MATCH('Inl. wetlands'!E56,IPCC!$A$1818:$J$1818,0)),IF(AND(OR('Inl. wetlands'!$E56="Other land",'Inl. wetlands'!$E56="Degraded land"),'Inl. wetlands'!$J$47=list!$J$211),INDEX(IPCC!$A$1836:$J$1847,MATCH(clim_moist,IPCC!$A$1836:$A$1847,0),MATCH('Inl. wetlands'!$E56,IPCC!$A$1836:$J$1836,0)),IF('Inl. wetlands'!$J$47=list!$J$210,INDEX(IPCC!$A$1818:$G$1829,MATCH(clim_moist,IPCC!$A$1818:$A$1829,0),MATCH('Inl. wetlands'!$E56,IPCC!$A$1818:$J$1818,0)),IF('Inl. wetlands'!$J$47=list!$J$211,INDEX(IPCC!$A$1836:$J$1847,MATCH(clim_moist,IPCC!$A$1836:$A$1847,0),MATCH('Inl. wetlands'!$E56,IPCC!$A$1836:$J$1836,0)))))),0)</f>
        <v/>
      </c>
      <c r="E80" s="1104">
        <f>IF('6.Inland wetlands'!CI28="",'6.Inland wetlands'!CH28,'6.Inland wetlands'!CI28)</f>
        <v/>
      </c>
      <c r="F80" s="1044">
        <f>IFERROR(IF(AND(OR('Inl. wetlands'!$E56="Other land",'Inl. wetlands'!$E56="Degraded land"),'Inl. wetlands'!$J$47=list!$J$210),INDEX(IPCC!$A$1872:$J$1883,MATCH(clim_moist,IPCC!$A$1872:$A$1883,0),MATCH('Inl. wetlands'!D56,IPCC!$A$1872:$J$1872,0)),IF(AND(OR('Inl. wetlands'!$E56="Other land",'Inl. wetlands'!$E56="Degraded land"),'Inl. wetlands'!$J$47=list!$J$211),INDEX(IPCC!$A$1890:$J$1901,MATCH(clim_moist,IPCC!$A$1890:$A$1901,0),MATCH('Inl. wetlands'!$E56,IPCC!$A$1890:$J$1890,0)),IF('Inl. wetlands'!$J$47=list!$J$210,INDEX(IPCC!$A$1872:$J$1883,MATCH(clim_moist,IPCC!$A$1872:$A$1883,0),MATCH('Inl. wetlands'!$E56,IPCC!$A$1872:$J$1872,0)),IF('Inl. wetlands'!$J$47=list!$J$211,INDEX(IPCC!$A$1890:$J$1901,MATCH(clim_moist,IPCC!$A$1890:$A$1901,0),MATCH('Inl. wetlands'!$E56,IPCC!$A$1890:$J$1890,0)))))),0)</f>
        <v/>
      </c>
      <c r="G80" s="1104">
        <f>IF('6.Inland wetlands'!CK28="",'6.Inland wetlands'!CJ28,'6.Inland wetlands'!CK28)</f>
        <v/>
      </c>
      <c r="H80" s="1110">
        <f>IFERROR(IF(AND(OR('Inl. wetlands'!$E56="Other land",'Inl. wetlands'!$E56="Degraded land"),'Inl. wetlands'!$J$47=list!$J$210),INDEX(IPCC!$A$1800:$J$1811,MATCH(clim_moist,IPCC!$A$1800:$A$1811,0),MATCH('Inl. wetlands'!E56,IPCC!$A$1800:$J$1800,0)),IF(AND(OR('Inl. wetlands'!$E56="Other land",'Inl. wetlands'!$E56="Degraded land"),'Inl. wetlands'!$J$47=list!$J$211),INDEX(IPCC!$A$1800:$J$1811,MATCH(clim_moist,IPCC!$A$1800:$A$1811,0),MATCH('Inl. wetlands'!$E56,IPCC!$A$1800:$J$1800,0)),IF('Inl. wetlands'!$J$47=list!$J$210,INDEX(IPCC!$A$1800:$J$1811,MATCH(clim_moist,IPCC!$A$1800:$A$1811,0),MATCH('Inl. wetlands'!$E56,IPCC!$A$1800:$J$1800,0)),IF('Inl. wetlands'!$J$47=list!$J$211,INDEX(IPCC!$A$1800:$J$1811,MATCH(clim_moist,IPCC!$A$1800:$A$1811,0),MATCH('Inl. wetlands'!$E56,IPCC!$A$1800:$J$1800,0)))))),0)</f>
        <v/>
      </c>
      <c r="I80" s="1104">
        <f>IF('6.Inland wetlands'!CN28="",'6.Inland wetlands'!CM28,'6.Inland wetlands'!CN28)</f>
        <v/>
      </c>
      <c r="J80" s="1111">
        <f>IFERROR(IF(AND(OR('Inl. wetlands'!$E56="Other land",'Inl. wetlands'!$E56="Degraded land"),'Inl. wetlands'!$J$47=list!$J$210),INDEX(IPCC!$A$1854:$J$1865,MATCH(clim_moist,IPCC!$A$1854:$A$1865,0),MATCH('Inl. wetlands'!$E56,IPCC!$A$1854:$J$1854,0)),IF(AND(OR('Inl. wetlands'!$E56="Other land",'Inl. wetlands'!$E56="Degraded land"),'Inl. wetlands'!$J$47=list!$J$211),INDEX(IPCC!$A$1854:$J$1865,MATCH(clim_moist,IPCC!$A$1854:A$1865,0),MATCH('Inl. wetlands'!$E56,IPCC!$A$1854:$J$1854,0)),IF('Inl. wetlands'!$J$47=list!$J$210,INDEX(IPCC!$A$1854:$J$1865,MATCH(clim_moist,IPCC!$A$1854:$A$1865,0),MATCH('Inl. wetlands'!$E56,IPCC!$A$1854:$J$1854,0)),IF('Inl. wetlands'!$J$47=list!$J$211,INDEX(IPCC!$A$1854:$J$1865,MATCH(clim_moist,IPCC!$A$1854:$A$1865,0),MATCH('Inl. wetlands'!$E56,IPCC!$A$1854:$J$1854,0)))))),0)</f>
        <v/>
      </c>
      <c r="K80" s="3492">
        <f>IF('6.Inland wetlands'!CP28="",'6.Inland wetlands'!CO28,'6.Inland wetlands'!CP28)</f>
        <v/>
      </c>
      <c r="L80" s="1543" t="n">
        <v>0</v>
      </c>
      <c r="M80" s="1543">
        <f>IF('6.Inland wetlands'!S16=0, 0, IF('6.Inland wetlands'!N28&lt;'6.Inland wetlands'!S16, C80*44/12*'6.Inland wetlands'!N28, 'Inl. wetlands'!C80*44/12*('6.Inland wetlands'!S16)))</f>
        <v/>
      </c>
      <c r="N80" s="4360">
        <f>IF('6.Inland wetlands'!T16=0, 0, IF('6.Inland wetlands'!P28&lt;'6.Inland wetlands'!T16, C80*44/12*'6.Inland wetlands'!P28, 'Inl. wetlands'!C80*44/12*('6.Inland wetlands'!T16)))</f>
        <v/>
      </c>
      <c r="O80" s="4360" t="n">
        <v>0</v>
      </c>
      <c r="P80" s="4360">
        <f>IF('6.Inland wetlands'!S16=0, 0, IF('6.Inland wetlands'!N28&lt;'6.Inland wetlands'!S16, E80*methane/1000*'6.Inland wetlands'!N28*(1-'6.Inland wetlands'!X28), 'Inl. wetlands'!E80*methane/1000*('6.Inland wetlands'!S16*(1-'6.Inland wetlands'!X28))))</f>
        <v/>
      </c>
      <c r="Q80" s="4360">
        <f>IF('6.Inland wetlands'!T16=0, 0, IF('6.Inland wetlands'!P28&lt;'6.Inland wetlands'!T16, E80*methane/1000*'6.Inland wetlands'!P28*(1-'6.Inland wetlands'!Y28), 'Inl. wetlands'!E80*methane/1000*('6.Inland wetlands'!T16*(1-'6.Inland wetlands'!Y28))))</f>
        <v/>
      </c>
      <c r="R80" s="4360" t="n">
        <v>0</v>
      </c>
      <c r="S80" s="4360">
        <f>IF('6.Inland wetlands'!S16=0, 0, IF('6.Inland wetlands'!N28&lt;'6.Inland wetlands'!S16, G80*44/28*Nitrous/1000*'6.Inland wetlands'!N28, 'Inl. wetlands'!G80*44/28*Nitrous/1000*('6.Inland wetlands'!S16)))</f>
        <v/>
      </c>
      <c r="T80" s="4360">
        <f>IF('6.Inland wetlands'!T16=0, 0, IF('6.Inland wetlands'!P28&lt;'6.Inland wetlands'!T16, G80*44/28*Nitrous/1000*'6.Inland wetlands'!P28, 'Inl. wetlands'!G80*44/28*Nitrous/1000*('6.Inland wetlands'!T16)))</f>
        <v/>
      </c>
      <c r="U80" s="4360" t="n">
        <v>0</v>
      </c>
      <c r="V80" s="4360">
        <f>IF('6.Inland wetlands'!S16=0, 0, IF('6.Inland wetlands'!N28&lt;'6.Inland wetlands'!S16, I80*44/12*'6.Inland wetlands'!N28, 'Inl. wetlands'!I80*44/12*('6.Inland wetlands'!S16)))</f>
        <v/>
      </c>
      <c r="W80" s="4360">
        <f>IF('6.Inland wetlands'!T16=0, 0, IF('6.Inland wetlands'!P28&lt;'6.Inland wetlands'!T16, I80*44/12*'6.Inland wetlands'!P28, 'Inl. wetlands'!I80*44/12*('6.Inland wetlands'!T16)))</f>
        <v/>
      </c>
      <c r="X80" s="4360" t="n">
        <v>0</v>
      </c>
      <c r="Y80" s="4734">
        <f>IF('6.Inland wetlands'!S16=0, 0, IF('6.Inland wetlands'!N28&lt;'6.Inland wetlands'!S16, K80*methane/1000*'6.Inland wetlands'!N28*('6.Inland wetlands'!X28), 'Inl. wetlands'!K80*methane/1000*('6.Inland wetlands'!S16*('6.Inland wetlands'!X28))))</f>
        <v/>
      </c>
      <c r="Z80" s="4734">
        <f>IF('6.Inland wetlands'!T16=0, 0, IF('6.Inland wetlands'!P28&lt;'6.Inland wetlands'!T16, K80*methane/1000*'6.Inland wetlands'!P28*('6.Inland wetlands'!Y28), 'Inl. wetlands'!K80*methane/1000*('6.Inland wetlands'!T16*('6.Inland wetlands'!Y28))))</f>
        <v/>
      </c>
      <c r="AA80" s="1246" t="n"/>
      <c r="AB80" s="3493">
        <f>MIN('Inl. wetlands'!$L80,'Inl. wetlands'!$M80)*time_tot+ABS('Inl. wetlands'!$M80-'Inl. wetlands'!$L80)*IF('Inl. wetlands'!$M80&gt;'Inl. wetlands'!$L80,time_cap+time*(VLOOKUP('6.Inland wetlands'!O28,list!$I$48:$K$50,3,0)),time*(1-(VLOOKUP('6.Inland wetlands'!O28,list!$I$48:$K$50,3,0))))+MIN('Inl. wetlands'!$U80,'Inl. wetlands'!$V80)*time_tot+ABS('Inl. wetlands'!$V80-'Inl. wetlands'!$U80)*IF('Inl. wetlands'!$V80&gt;'Inl. wetlands'!$U80,time_cap+time*(VLOOKUP('6.Inland wetlands'!O28,list!$I$48:$K$50,3,0)),time*(1-(VLOOKUP('6.Inland wetlands'!O28,list!$I$48:$K$50,3,0))))</f>
        <v/>
      </c>
      <c r="AC80" s="3493">
        <f>MIN('Inl. wetlands'!$L80,'Inl. wetlands'!$N80)*time_tot+ABS('Inl. wetlands'!$N80-'Inl. wetlands'!$L80)*IF('Inl. wetlands'!$N80&gt;'Inl. wetlands'!$L80,time_cap+time*(VLOOKUP('6.Inland wetlands'!Q28,list!$I$48:$K$50,3,0)),time*(1-(VLOOKUP('6.Inland wetlands'!Q28,list!$I$48:$K$50,3,0))))+MIN('Inl. wetlands'!$U80,'Inl. wetlands'!$W80)*time_tot+ABS('Inl. wetlands'!$W80-'Inl. wetlands'!$U80)*IF('Inl. wetlands'!$W80&gt;'Inl. wetlands'!$U80,time_cap+time*(VLOOKUP('6.Inland wetlands'!Q28,list!$I$48:$K$50,3,0)),time*(1-(VLOOKUP('6.Inland wetlands'!Q28,list!$I$48:$K$50,3,0))))</f>
        <v/>
      </c>
      <c r="AD80" s="3493">
        <f>MIN('Inl. wetlands'!$O80,'Inl. wetlands'!$P80)*time_tot+ABS('Inl. wetlands'!$P80-'Inl. wetlands'!$O80)*IF('Inl. wetlands'!$P80&gt;'Inl. wetlands'!$O80,time_cap+time*(VLOOKUP('6.Inland wetlands'!O28,list!$I$48:$K$50,3,0)),time*(1-(VLOOKUP('6.Inland wetlands'!O28,list!$I$48:$K$50,3,0))))+MIN('Inl. wetlands'!$X80,'Inl. wetlands'!$Y80)*time_tot+ABS('Inl. wetlands'!$Y80-'Inl. wetlands'!$X80)*IF('Inl. wetlands'!$Y80&gt;'Inl. wetlands'!$X80,time_cap+time*(VLOOKUP('6.Inland wetlands'!O28,list!$I$48:$K$50,3,0)),time*(1-(VLOOKUP('6.Inland wetlands'!O28,list!$I$48:$K$50,3,0))))</f>
        <v/>
      </c>
      <c r="AE80" s="3493">
        <f>MIN('Inl. wetlands'!$O80,'Inl. wetlands'!$Q80)*time_tot+ABS('Inl. wetlands'!$Q80-'Inl. wetlands'!$O80)*IF('Inl. wetlands'!$Q80&gt;'Inl. wetlands'!$O80,time_cap+time*(VLOOKUP('6.Inland wetlands'!Q28,list!$I$48:$K$50,3,0)),time*(1-(VLOOKUP('6.Inland wetlands'!Q28,list!$I$48:$K$50,3,0))))+MIN('Inl. wetlands'!$X80,'Inl. wetlands'!$Z80)*time_tot+ABS('Inl. wetlands'!$Z80-'Inl. wetlands'!$X80)*IF('Inl. wetlands'!$Z80&gt;'Inl. wetlands'!$X80,time_cap+time*(VLOOKUP('6.Inland wetlands'!Q28,list!$I$48:$K$50,3,0)),time*(1-(VLOOKUP('6.Inland wetlands'!Q28,list!$I$48:$K$50,3,0))))</f>
        <v/>
      </c>
      <c r="AF80" s="3493">
        <f>MIN('Inl. wetlands'!$R80,'Inl. wetlands'!$S80)*time_tot+ABS('Inl. wetlands'!$S80-'Inl. wetlands'!$R80)*IF('Inl. wetlands'!$S80&gt;'Inl. wetlands'!$R80,time_cap+time*(VLOOKUP('6.Inland wetlands'!O28,list!$I$48:$K$50,3,0)),time*(1-(VLOOKUP('6.Inland wetlands'!O28,list!$I$48:$K$50,3,0))))</f>
        <v/>
      </c>
      <c r="AG80" s="3493">
        <f>MIN('Inl. wetlands'!$R80,'Inl. wetlands'!$T80)*time_tot+ABS('Inl. wetlands'!$T80-'Inl. wetlands'!$R80)*IF('Inl. wetlands'!$T80&gt;'Inl. wetlands'!$R80,time_cap+time*(VLOOKUP('6.Inland wetlands'!Q28,list!$I$48:$K$50,3,0)),time*(1-(VLOOKUP('6.Inland wetlands'!Q28,list!$I$48:$K$50,3,0))))</f>
        <v/>
      </c>
      <c r="AI80" s="992" t="n"/>
      <c r="AJ80" s="992" t="n"/>
      <c r="AK80" s="992" t="n"/>
    </row>
    <row r="81">
      <c r="A81" s="1467" t="inlineStr">
        <is>
          <t>S5</t>
        </is>
      </c>
      <c r="B81" s="1110">
        <f>IFERROR(IF(AND(OR('Inl. wetlands'!$E57="Other land",'Inl. wetlands'!$E57="Degraded land"),'Inl. wetlands'!$J$47=list!$J$210),INDEX(IPCC!$A$1762:$J$1773,MATCH(clim_moist,IPCC!$A$1762:$A$1773,0),MATCH('Inl. wetlands'!$E57,IPCC!$A$1762:$J$1762,0)),IF(AND(OR('Inl. wetlands'!$E57="Other land",'Inl. wetlands'!$E57="Degraded land"),'Inl. wetlands'!$J$47=list!$J$211),INDEX(IPCC!$A$1781:$J$1792,MATCH(clim_moist,IPCC!$A$1781:$A$1792,0),MATCH('Inl. wetlands'!$E57,IPCC!$A$1781:$J$1781,0)),IF('Inl. wetlands'!$J$47=list!$J$210,INDEX(IPCC!$A$1762:$J$1773,MATCH(clim_moist,IPCC!$A$1781:$A$1792,0),MATCH('Inl. wetlands'!$E57,IPCC!$A$1781:$J$1781,0)),IF('Inl. wetlands'!$J$47=list!$J$211,INDEX(IPCC!$A$1781:$J$1792,MATCH(clim_moist,IPCC!$A$1781:$A$1792,0),MATCH('Inl. wetlands'!$E57,IPCC!$A$1781:$J$1781,0)))))),0)</f>
        <v/>
      </c>
      <c r="C81" s="1104">
        <f>IF('6.Inland wetlands'!CG29="",'6.Inland wetlands'!CF29,'6.Inland wetlands'!CG29)</f>
        <v/>
      </c>
      <c r="D81" s="1044">
        <f>IFERROR(IF(AND(OR('Inl. wetlands'!$E57="Other land",'Inl. wetlands'!$E57="Degraded land"),'Inl. wetlands'!$J$47=list!$J$210),INDEX(IPCC!$A$1818:$J$1829,MATCH(clim_moist,IPCC!$A$1818:$A$1829,0),MATCH('Inl. wetlands'!E57,IPCC!$A$1818:$J$1818,0)),IF(AND(OR('Inl. wetlands'!$E57="Other land",'Inl. wetlands'!$E57="Degraded land"),'Inl. wetlands'!$J$47=list!$J$211),INDEX(IPCC!$A$1836:$J$1847,MATCH(clim_moist,IPCC!$A$1836:$A$1847,0),MATCH('Inl. wetlands'!$E57,IPCC!$A$1836:$J$1836,0)),IF('Inl. wetlands'!$J$47=list!$J$210,INDEX(IPCC!$A$1818:$G$1829,MATCH(clim_moist,IPCC!$A$1818:$A$1829,0),MATCH('Inl. wetlands'!$E57,IPCC!$A$1818:$J$1818,0)),IF('Inl. wetlands'!$J$47=list!$J$211,INDEX(IPCC!$A$1836:$J$1847,MATCH(clim_moist,IPCC!$A$1836:$A$1847,0),MATCH('Inl. wetlands'!$E57,IPCC!$A$1836:$J$1836,0)))))),0)</f>
        <v/>
      </c>
      <c r="E81" s="1104">
        <f>IF('6.Inland wetlands'!CI29="",'6.Inland wetlands'!CH29,'6.Inland wetlands'!CI29)</f>
        <v/>
      </c>
      <c r="F81" s="1044">
        <f>IFERROR(IF(AND(OR('Inl. wetlands'!$E57="Other land",'Inl. wetlands'!$E57="Degraded land"),'Inl. wetlands'!$J$47=list!$J$210),INDEX(IPCC!$A$1872:$J$1883,MATCH(clim_moist,IPCC!$A$1872:$A$1883,0),MATCH('Inl. wetlands'!D57,IPCC!$A$1872:$J$1872,0)),IF(AND(OR('Inl. wetlands'!$E57="Other land",'Inl. wetlands'!$E57="Degraded land"),'Inl. wetlands'!$J$47=list!$J$211),INDEX(IPCC!$A$1890:$J$1901,MATCH(clim_moist,IPCC!$A$1890:$A$1901,0),MATCH('Inl. wetlands'!$E57,IPCC!$A$1890:$J$1890,0)),IF('Inl. wetlands'!$J$47=list!$J$210,INDEX(IPCC!$A$1872:$J$1883,MATCH(clim_moist,IPCC!$A$1872:$A$1883,0),MATCH('Inl. wetlands'!$E57,IPCC!$A$1872:$J$1872,0)),IF('Inl. wetlands'!$J$47=list!$J$211,INDEX(IPCC!$A$1890:$J$1901,MATCH(clim_moist,IPCC!$A$1890:$A$1901,0),MATCH('Inl. wetlands'!$E57,IPCC!$A$1890:$J$1890,0)))))),0)</f>
        <v/>
      </c>
      <c r="G81" s="1104">
        <f>IF('6.Inland wetlands'!CK29="",'6.Inland wetlands'!CJ29,'6.Inland wetlands'!CK29)</f>
        <v/>
      </c>
      <c r="H81" s="1110">
        <f>IFERROR(IF(AND(OR('Inl. wetlands'!$E57="Other land",'Inl. wetlands'!$E57="Degraded land"),'Inl. wetlands'!$J$47=list!$J$210),INDEX(IPCC!$A$1800:$J$1811,MATCH(clim_moist,IPCC!$A$1800:$A$1811,0),MATCH('Inl. wetlands'!E57,IPCC!$A$1800:$J$1800,0)),IF(AND(OR('Inl. wetlands'!$E57="Other land",'Inl. wetlands'!$E57="Degraded land"),'Inl. wetlands'!$J$47=list!$J$211),INDEX(IPCC!$A$1800:$J$1811,MATCH(clim_moist,IPCC!$A$1800:$A$1811,0),MATCH('Inl. wetlands'!$E57,IPCC!$A$1800:$J$1800,0)),IF('Inl. wetlands'!$J$47=list!$J$210,INDEX(IPCC!$A$1800:$J$1811,MATCH(clim_moist,IPCC!$A$1800:$A$1811,0),MATCH('Inl. wetlands'!$E57,IPCC!$A$1800:$J$1800,0)),IF('Inl. wetlands'!$J$47=list!$J$211,INDEX(IPCC!$A$1800:$J$1811,MATCH(clim_moist,IPCC!$A$1800:$A$1811,0),MATCH('Inl. wetlands'!$E57,IPCC!$A$1800:$J$1800,0)))))),0)</f>
        <v/>
      </c>
      <c r="I81" s="1104">
        <f>IF('6.Inland wetlands'!CN29="",'6.Inland wetlands'!CM29,'6.Inland wetlands'!CN29)</f>
        <v/>
      </c>
      <c r="J81" s="1111">
        <f>IFERROR(IF(AND(OR('Inl. wetlands'!$E57="Other land",'Inl. wetlands'!$E57="Degraded land"),'Inl. wetlands'!$J$47=list!$J$210),INDEX(IPCC!$A$1854:$J$1865,MATCH(clim_moist,IPCC!$A$1854:$A$1865,0),MATCH('Inl. wetlands'!$E57,IPCC!$A$1854:$J$1854,0)),IF(AND(OR('Inl. wetlands'!$E57="Other land",'Inl. wetlands'!$E57="Degraded land"),'Inl. wetlands'!$J$47=list!$J$211),INDEX(IPCC!$A$1854:$J$1865,MATCH(clim_moist,IPCC!$A$1854:A$1865,0),MATCH('Inl. wetlands'!$E57,IPCC!$A$1854:$J$1854,0)),IF('Inl. wetlands'!$J$47=list!$J$210,INDEX(IPCC!$A$1854:$J$1865,MATCH(clim_moist,IPCC!$A$1854:$A$1865,0),MATCH('Inl. wetlands'!$E57,IPCC!$A$1854:$J$1854,0)),IF('Inl. wetlands'!$J$47=list!$J$211,INDEX(IPCC!$A$1854:$J$1865,MATCH(clim_moist,IPCC!$A$1854:$A$1865,0),MATCH('Inl. wetlands'!$E57,IPCC!$A$1854:$J$1854,0)))))),0)</f>
        <v/>
      </c>
      <c r="K81" s="3492">
        <f>IF('6.Inland wetlands'!CP29="",'6.Inland wetlands'!CO29,'6.Inland wetlands'!CP29)</f>
        <v/>
      </c>
      <c r="L81" s="1543" t="n">
        <v>0</v>
      </c>
      <c r="M81" s="1543">
        <f>IF('6.Inland wetlands'!S17=0, 0, IF('6.Inland wetlands'!N29&lt;'6.Inland wetlands'!S17, C81*44/12*'6.Inland wetlands'!N29, 'Inl. wetlands'!C81*44/12*('6.Inland wetlands'!S17)))</f>
        <v/>
      </c>
      <c r="N81" s="4360">
        <f>IF('6.Inland wetlands'!T17=0, 0, IF('6.Inland wetlands'!P29&lt;'6.Inland wetlands'!T17, C81*44/12*'6.Inland wetlands'!P29, 'Inl. wetlands'!C81*44/12*('6.Inland wetlands'!T17)))</f>
        <v/>
      </c>
      <c r="O81" s="4360" t="n">
        <v>0</v>
      </c>
      <c r="P81" s="4360">
        <f>IF('6.Inland wetlands'!S17=0, 0, IF('6.Inland wetlands'!N29&lt;'6.Inland wetlands'!S17, E81*methane/1000*'6.Inland wetlands'!N29*(1-'6.Inland wetlands'!X29), 'Inl. wetlands'!E81*methane/1000*('6.Inland wetlands'!S17*(1-'6.Inland wetlands'!X29))))</f>
        <v/>
      </c>
      <c r="Q81" s="4360">
        <f>IF('6.Inland wetlands'!T17=0, 0, IF('6.Inland wetlands'!P29&lt;'6.Inland wetlands'!T17, E81*methane/1000*'6.Inland wetlands'!P29*(1-'6.Inland wetlands'!Y29), 'Inl. wetlands'!E81*methane/1000*('6.Inland wetlands'!T17*(1-'6.Inland wetlands'!Y29))))</f>
        <v/>
      </c>
      <c r="R81" s="4360" t="n">
        <v>0</v>
      </c>
      <c r="S81" s="4360">
        <f>IF('6.Inland wetlands'!S17=0, 0, IF('6.Inland wetlands'!N29&lt;'6.Inland wetlands'!S17, G81*44/28*Nitrous/1000*'6.Inland wetlands'!N29, 'Inl. wetlands'!G81*44/28*Nitrous/1000*('6.Inland wetlands'!S17)))</f>
        <v/>
      </c>
      <c r="T81" s="4360">
        <f>IF('6.Inland wetlands'!T17=0, 0, IF('6.Inland wetlands'!P29&lt;'6.Inland wetlands'!T17, G81*44/28*Nitrous/1000*'6.Inland wetlands'!P29, 'Inl. wetlands'!G81*44/28*Nitrous/1000*('6.Inland wetlands'!T17)))</f>
        <v/>
      </c>
      <c r="U81" s="4360" t="n">
        <v>0</v>
      </c>
      <c r="V81" s="4360">
        <f>IF('6.Inland wetlands'!S17=0, 0, IF('6.Inland wetlands'!N29&lt;'6.Inland wetlands'!S17, I81*44/12*'6.Inland wetlands'!N29, 'Inl. wetlands'!I81*44/12*('6.Inland wetlands'!S17)))</f>
        <v/>
      </c>
      <c r="W81" s="4360">
        <f>IF('6.Inland wetlands'!T17=0, 0, IF('6.Inland wetlands'!P29&lt;'6.Inland wetlands'!T17, I81*44/12*'6.Inland wetlands'!P29, 'Inl. wetlands'!I81*44/12*('6.Inland wetlands'!T17)))</f>
        <v/>
      </c>
      <c r="X81" s="4360" t="n">
        <v>0</v>
      </c>
      <c r="Y81" s="4734">
        <f>IF('6.Inland wetlands'!S17=0, 0, IF('6.Inland wetlands'!N29&lt;'6.Inland wetlands'!S17, K81*methane/1000*'6.Inland wetlands'!N29*('6.Inland wetlands'!X29), 'Inl. wetlands'!K81*methane/1000*('6.Inland wetlands'!S17*('6.Inland wetlands'!X29))))</f>
        <v/>
      </c>
      <c r="Z81" s="4734">
        <f>IF('6.Inland wetlands'!T17=0, 0, IF('6.Inland wetlands'!P29&lt;'6.Inland wetlands'!T17, K81*methane/1000*'6.Inland wetlands'!P29*('6.Inland wetlands'!Y29), 'Inl. wetlands'!K81*methane/1000*('6.Inland wetlands'!T17*('6.Inland wetlands'!Y29))))</f>
        <v/>
      </c>
      <c r="AA81" s="1246" t="n"/>
      <c r="AB81" s="3493">
        <f>MIN('Inl. wetlands'!$L81,'Inl. wetlands'!$M81)*time_tot+ABS('Inl. wetlands'!$M81-'Inl. wetlands'!$L81)*IF('Inl. wetlands'!$M81&gt;'Inl. wetlands'!$L81,time_cap+time*(VLOOKUP('6.Inland wetlands'!O29,list!$I$48:$K$50,3,0)),time*(1-(VLOOKUP('6.Inland wetlands'!O29,list!$I$48:$K$50,3,0))))+MIN('Inl. wetlands'!$U81,'Inl. wetlands'!$V81)*time_tot+ABS('Inl. wetlands'!$V81-'Inl. wetlands'!$U81)*IF('Inl. wetlands'!$V81&gt;'Inl. wetlands'!$U81,time_cap+time*(VLOOKUP('6.Inland wetlands'!O29,list!$I$48:$K$50,3,0)),time*(1-(VLOOKUP('6.Inland wetlands'!O29,list!$I$48:$K$50,3,0))))</f>
        <v/>
      </c>
      <c r="AC81" s="3493">
        <f>MIN('Inl. wetlands'!$L81,'Inl. wetlands'!$N81)*time_tot+ABS('Inl. wetlands'!$N81-'Inl. wetlands'!$L81)*IF('Inl. wetlands'!$N81&gt;'Inl. wetlands'!$L81,time_cap+time*(VLOOKUP('6.Inland wetlands'!Q29,list!$I$48:$K$50,3,0)),time*(1-(VLOOKUP('6.Inland wetlands'!Q29,list!$I$48:$K$50,3,0))))+MIN('Inl. wetlands'!$U81,'Inl. wetlands'!$W81)*time_tot+ABS('Inl. wetlands'!$W81-'Inl. wetlands'!$U81)*IF('Inl. wetlands'!$W81&gt;'Inl. wetlands'!$U81,time_cap+time*(VLOOKUP('6.Inland wetlands'!Q29,list!$I$48:$K$50,3,0)),time*(1-(VLOOKUP('6.Inland wetlands'!Q29,list!$I$48:$K$50,3,0))))</f>
        <v/>
      </c>
      <c r="AD81" s="3493">
        <f>MIN('Inl. wetlands'!$O81,'Inl. wetlands'!$P81)*time_tot+ABS('Inl. wetlands'!$P81-'Inl. wetlands'!$O81)*IF('Inl. wetlands'!$P81&gt;'Inl. wetlands'!$O81,time_cap+time*(VLOOKUP('6.Inland wetlands'!O29,list!$I$48:$K$50,3,0)),time*(1-(VLOOKUP('6.Inland wetlands'!O29,list!$I$48:$K$50,3,0))))+MIN('Inl. wetlands'!$X81,'Inl. wetlands'!$Y81)*time_tot+ABS('Inl. wetlands'!$Y81-'Inl. wetlands'!$X81)*IF('Inl. wetlands'!$Y81&gt;'Inl. wetlands'!$X81,time_cap+time*(VLOOKUP('6.Inland wetlands'!O29,list!$I$48:$K$50,3,0)),time*(1-(VLOOKUP('6.Inland wetlands'!O29,list!$I$48:$K$50,3,0))))</f>
        <v/>
      </c>
      <c r="AE81" s="3493">
        <f>MIN('Inl. wetlands'!$O81,'Inl. wetlands'!$Q81)*time_tot+ABS('Inl. wetlands'!$Q81-'Inl. wetlands'!$O81)*IF('Inl. wetlands'!$Q81&gt;'Inl. wetlands'!$O81,time_cap+time*(VLOOKUP('6.Inland wetlands'!Q29,list!$I$48:$K$50,3,0)),time*(1-(VLOOKUP('6.Inland wetlands'!Q29,list!$I$48:$K$50,3,0))))+MIN('Inl. wetlands'!$X81,'Inl. wetlands'!$Z81)*time_tot+ABS('Inl. wetlands'!$Z81-'Inl. wetlands'!$X81)*IF('Inl. wetlands'!$Z81&gt;'Inl. wetlands'!$X81,time_cap+time*(VLOOKUP('6.Inland wetlands'!Q29,list!$I$48:$K$50,3,0)),time*(1-(VLOOKUP('6.Inland wetlands'!Q29,list!$I$48:$K$50,3,0))))</f>
        <v/>
      </c>
      <c r="AF81" s="3493">
        <f>MIN('Inl. wetlands'!$R81,'Inl. wetlands'!$S81)*time_tot+ABS('Inl. wetlands'!$S81-'Inl. wetlands'!$R81)*IF('Inl. wetlands'!$S81&gt;'Inl. wetlands'!$R81,time_cap+time*(VLOOKUP('6.Inland wetlands'!O29,list!$I$48:$K$50,3,0)),time*(1-(VLOOKUP('6.Inland wetlands'!O29,list!$I$48:$K$50,3,0))))</f>
        <v/>
      </c>
      <c r="AG81" s="3493">
        <f>MIN('Inl. wetlands'!$R81,'Inl. wetlands'!$T81)*time_tot+ABS('Inl. wetlands'!$T81-'Inl. wetlands'!$R81)*IF('Inl. wetlands'!$T81&gt;'Inl. wetlands'!$R81,time_cap+time*(VLOOKUP('6.Inland wetlands'!Q29,list!$I$48:$K$50,3,0)),time*(1-(VLOOKUP('6.Inland wetlands'!Q29,list!$I$48:$K$50,3,0))))</f>
        <v/>
      </c>
      <c r="AI81" s="992" t="n"/>
      <c r="AJ81" s="992" t="n"/>
      <c r="AK81" s="992" t="n"/>
    </row>
    <row r="82">
      <c r="A82" s="1467" t="inlineStr">
        <is>
          <t>S6</t>
        </is>
      </c>
      <c r="B82" s="1110">
        <f>IFERROR(IF(AND(OR('Inl. wetlands'!$E58="Other land",'Inl. wetlands'!$E58="Degraded land"),'Inl. wetlands'!$J$47=list!$J$210),INDEX(IPCC!$A$1762:$J$1773,MATCH(clim_moist,IPCC!$A$1762:$A$1773,0),MATCH('Inl. wetlands'!$E58,IPCC!$A$1762:$J$1762,0)),IF(AND(OR('Inl. wetlands'!$E58="Other land",'Inl. wetlands'!$E58="Degraded land"),'Inl. wetlands'!$J$47=list!$J$211),INDEX(IPCC!$A$1781:$J$1792,MATCH(clim_moist,IPCC!$A$1781:$A$1792,0),MATCH('Inl. wetlands'!$E58,IPCC!$A$1781:$J$1781,0)),IF('Inl. wetlands'!$J$47=list!$J$210,INDEX(IPCC!$A$1762:$J$1773,MATCH(clim_moist,IPCC!$A$1781:$A$1792,0),MATCH('Inl. wetlands'!$E58,IPCC!$A$1781:$J$1781,0)),IF('Inl. wetlands'!$J$47=list!$J$211,INDEX(IPCC!$A$1781:$J$1792,MATCH(clim_moist,IPCC!$A$1781:$A$1792,0),MATCH('Inl. wetlands'!$E58,IPCC!$A$1781:$J$1781,0)))))),0)</f>
        <v/>
      </c>
      <c r="C82" s="1104">
        <f>IF('6.Inland wetlands'!CG30="",'6.Inland wetlands'!CF30,'6.Inland wetlands'!CG30)</f>
        <v/>
      </c>
      <c r="D82" s="1044">
        <f>IFERROR(IF(AND(OR('Inl. wetlands'!$E58="Other land",'Inl. wetlands'!$E58="Degraded land"),'Inl. wetlands'!$J$47=list!$J$210),INDEX(IPCC!$A$1818:$J$1829,MATCH(clim_moist,IPCC!$A$1818:$A$1829,0),MATCH('Inl. wetlands'!E58,IPCC!$A$1818:$J$1818,0)),IF(AND(OR('Inl. wetlands'!$E58="Other land",'Inl. wetlands'!$E58="Degraded land"),'Inl. wetlands'!$J$47=list!$J$211),INDEX(IPCC!$A$1836:$J$1847,MATCH(clim_moist,IPCC!$A$1836:$A$1847,0),MATCH('Inl. wetlands'!$E58,IPCC!$A$1836:$J$1836,0)),IF('Inl. wetlands'!$J$47=list!$J$210,INDEX(IPCC!$A$1818:$G$1829,MATCH(clim_moist,IPCC!$A$1818:$A$1829,0),MATCH('Inl. wetlands'!$E58,IPCC!$A$1818:$J$1818,0)),IF('Inl. wetlands'!$J$47=list!$J$211,INDEX(IPCC!$A$1836:$J$1847,MATCH(clim_moist,IPCC!$A$1836:$A$1847,0),MATCH('Inl. wetlands'!$E58,IPCC!$A$1836:$J$1836,0)))))),0)</f>
        <v/>
      </c>
      <c r="E82" s="1104">
        <f>IF('6.Inland wetlands'!CI30="",'6.Inland wetlands'!CH30,'6.Inland wetlands'!CI30)</f>
        <v/>
      </c>
      <c r="F82" s="1044">
        <f>IFERROR(IF(AND(OR('Inl. wetlands'!$E58="Other land",'Inl. wetlands'!$E58="Degraded land"),'Inl. wetlands'!$J$47=list!$J$210),INDEX(IPCC!$A$1872:$J$1883,MATCH(clim_moist,IPCC!$A$1872:$A$1883,0),MATCH('Inl. wetlands'!D58,IPCC!$A$1872:$J$1872,0)),IF(AND(OR('Inl. wetlands'!$E58="Other land",'Inl. wetlands'!$E58="Degraded land"),'Inl. wetlands'!$J$47=list!$J$211),INDEX(IPCC!$A$1890:$J$1901,MATCH(clim_moist,IPCC!$A$1890:$A$1901,0),MATCH('Inl. wetlands'!$E58,IPCC!$A$1890:$J$1890,0)),IF('Inl. wetlands'!$J$47=list!$J$210,INDEX(IPCC!$A$1872:$J$1883,MATCH(clim_moist,IPCC!$A$1872:$A$1883,0),MATCH('Inl. wetlands'!$E58,IPCC!$A$1872:$J$1872,0)),IF('Inl. wetlands'!$J$47=list!$J$211,INDEX(IPCC!$A$1890:$J$1901,MATCH(clim_moist,IPCC!$A$1890:$A$1901,0),MATCH('Inl. wetlands'!$E58,IPCC!$A$1890:$J$1890,0)))))),0)</f>
        <v/>
      </c>
      <c r="G82" s="1104">
        <f>IF('6.Inland wetlands'!CK30="",'6.Inland wetlands'!CJ30,'6.Inland wetlands'!CK30)</f>
        <v/>
      </c>
      <c r="H82" s="1110">
        <f>IFERROR(IF(AND(OR('Inl. wetlands'!$E58="Other land",'Inl. wetlands'!$E58="Degraded land"),'Inl. wetlands'!$J$47=list!$J$210),INDEX(IPCC!$A$1800:$J$1811,MATCH(clim_moist,IPCC!$A$1800:$A$1811,0),MATCH('Inl. wetlands'!E58,IPCC!$A$1800:$J$1800,0)),IF(AND(OR('Inl. wetlands'!$E58="Other land",'Inl. wetlands'!$E58="Degraded land"),'Inl. wetlands'!$J$47=list!$J$211),INDEX(IPCC!$A$1800:$J$1811,MATCH(clim_moist,IPCC!$A$1800:$A$1811,0),MATCH('Inl. wetlands'!$E58,IPCC!$A$1800:$J$1800,0)),IF('Inl. wetlands'!$J$47=list!$J$210,INDEX(IPCC!$A$1800:$J$1811,MATCH(clim_moist,IPCC!$A$1800:$A$1811,0),MATCH('Inl. wetlands'!$E58,IPCC!$A$1800:$J$1800,0)),IF('Inl. wetlands'!$J$47=list!$J$211,INDEX(IPCC!$A$1800:$J$1811,MATCH(clim_moist,IPCC!$A$1800:$A$1811,0),MATCH('Inl. wetlands'!$E58,IPCC!$A$1800:$J$1800,0)))))),0)</f>
        <v/>
      </c>
      <c r="I82" s="1104">
        <f>IF('6.Inland wetlands'!CN30="",'6.Inland wetlands'!CM30,'6.Inland wetlands'!CN30)</f>
        <v/>
      </c>
      <c r="J82" s="1111">
        <f>IFERROR(IF(AND(OR('Inl. wetlands'!$E58="Other land",'Inl. wetlands'!$E58="Degraded land"),'Inl. wetlands'!$J$47=list!$J$210),INDEX(IPCC!$A$1854:$J$1865,MATCH(clim_moist,IPCC!$A$1854:$A$1865,0),MATCH('Inl. wetlands'!$E58,IPCC!$A$1854:$J$1854,0)),IF(AND(OR('Inl. wetlands'!$E58="Other land",'Inl. wetlands'!$E58="Degraded land"),'Inl. wetlands'!$J$47=list!$J$211),INDEX(IPCC!$A$1854:$J$1865,MATCH(clim_moist,IPCC!$A$1854:A$1865,0),MATCH('Inl. wetlands'!$E58,IPCC!$A$1854:$J$1854,0)),IF('Inl. wetlands'!$J$47=list!$J$210,INDEX(IPCC!$A$1854:$J$1865,MATCH(clim_moist,IPCC!$A$1854:$A$1865,0),MATCH('Inl. wetlands'!$E58,IPCC!$A$1854:$J$1854,0)),IF('Inl. wetlands'!$J$47=list!$J$211,INDEX(IPCC!$A$1854:$J$1865,MATCH(clim_moist,IPCC!$A$1854:$A$1865,0),MATCH('Inl. wetlands'!$E58,IPCC!$A$1854:$J$1854,0)))))),0)</f>
        <v/>
      </c>
      <c r="K82" s="3492">
        <f>IF('6.Inland wetlands'!CP30="",'6.Inland wetlands'!CO30,'6.Inland wetlands'!CP30)</f>
        <v/>
      </c>
      <c r="L82" s="1543" t="n">
        <v>0</v>
      </c>
      <c r="M82" s="1543">
        <f>IF('6.Inland wetlands'!S18=0, 0, IF('6.Inland wetlands'!N30&lt;'6.Inland wetlands'!S18, C82*44/12*'6.Inland wetlands'!N30, 'Inl. wetlands'!C82*44/12*('6.Inland wetlands'!S18)))</f>
        <v/>
      </c>
      <c r="N82" s="4360">
        <f>IF('6.Inland wetlands'!T18=0, 0, IF('6.Inland wetlands'!P30&lt;'6.Inland wetlands'!T18, C82*44/12*'6.Inland wetlands'!P30, 'Inl. wetlands'!C82*44/12*('6.Inland wetlands'!T18)))</f>
        <v/>
      </c>
      <c r="O82" s="4360" t="n">
        <v>0</v>
      </c>
      <c r="P82" s="4360">
        <f>IF('6.Inland wetlands'!S18=0, 0, IF('6.Inland wetlands'!N30&lt;'6.Inland wetlands'!S18, E82*methane/1000*'6.Inland wetlands'!N30*(1-'6.Inland wetlands'!X30), 'Inl. wetlands'!E82*methane/1000*('6.Inland wetlands'!S18*(1-'6.Inland wetlands'!X30))))</f>
        <v/>
      </c>
      <c r="Q82" s="4360">
        <f>IF('6.Inland wetlands'!T18=0, 0, IF('6.Inland wetlands'!P30&lt;'6.Inland wetlands'!T18, E82*methane/1000*'6.Inland wetlands'!P30*(1-'6.Inland wetlands'!Y30), 'Inl. wetlands'!E82*methane/1000*('6.Inland wetlands'!T18*(1-'6.Inland wetlands'!Y30))))</f>
        <v/>
      </c>
      <c r="R82" s="4360" t="n">
        <v>0</v>
      </c>
      <c r="S82" s="4360">
        <f>IF('6.Inland wetlands'!S18=0, 0, IF('6.Inland wetlands'!N30&lt;'6.Inland wetlands'!S18, G82*44/28*Nitrous/1000*'6.Inland wetlands'!N30, 'Inl. wetlands'!G82*44/28*Nitrous/1000*('6.Inland wetlands'!S18)))</f>
        <v/>
      </c>
      <c r="T82" s="4360">
        <f>IF('6.Inland wetlands'!T18=0, 0, IF('6.Inland wetlands'!P30&lt;'6.Inland wetlands'!T18, G82*44/28*Nitrous/1000*'6.Inland wetlands'!P30, 'Inl. wetlands'!G82*44/28*Nitrous/1000*('6.Inland wetlands'!T18)))</f>
        <v/>
      </c>
      <c r="U82" s="4360" t="n">
        <v>0</v>
      </c>
      <c r="V82" s="4360">
        <f>IF('6.Inland wetlands'!S18=0, 0, IF('6.Inland wetlands'!N30&lt;'6.Inland wetlands'!S18, I82*44/12*'6.Inland wetlands'!N30, 'Inl. wetlands'!I82*44/12*('6.Inland wetlands'!S18)))</f>
        <v/>
      </c>
      <c r="W82" s="4360">
        <f>IF('6.Inland wetlands'!T18=0, 0, IF('6.Inland wetlands'!P30&lt;'6.Inland wetlands'!T18, I82*44/12*'6.Inland wetlands'!P30, 'Inl. wetlands'!I82*44/12*('6.Inland wetlands'!T18)))</f>
        <v/>
      </c>
      <c r="X82" s="4360" t="n">
        <v>0</v>
      </c>
      <c r="Y82" s="4734">
        <f>IF('6.Inland wetlands'!S18=0, 0, IF('6.Inland wetlands'!N30&lt;'6.Inland wetlands'!S18, K82*methane/1000*'6.Inland wetlands'!N30*('6.Inland wetlands'!X30), 'Inl. wetlands'!K82*methane/1000*('6.Inland wetlands'!S18*('6.Inland wetlands'!X30))))</f>
        <v/>
      </c>
      <c r="Z82" s="4734">
        <f>IF('6.Inland wetlands'!T18=0, 0, IF('6.Inland wetlands'!P30&lt;'6.Inland wetlands'!T18, K82*methane/1000*'6.Inland wetlands'!P30*('6.Inland wetlands'!Y30), 'Inl. wetlands'!K82*methane/1000*('6.Inland wetlands'!T18*('6.Inland wetlands'!Y30))))</f>
        <v/>
      </c>
      <c r="AA82" s="1246" t="n"/>
      <c r="AB82" s="3493">
        <f>MIN('Inl. wetlands'!$L82,'Inl. wetlands'!$M82)*time_tot+ABS('Inl. wetlands'!$M82-'Inl. wetlands'!$L82)*IF('Inl. wetlands'!$M82&gt;'Inl. wetlands'!$L82,time_cap+time*(VLOOKUP('6.Inland wetlands'!O30,list!$I$48:$K$50,3,0)),time*(1-(VLOOKUP('6.Inland wetlands'!O30,list!$I$48:$K$50,3,0))))+MIN('Inl. wetlands'!$U82,'Inl. wetlands'!$V82)*time_tot+ABS('Inl. wetlands'!$V82-'Inl. wetlands'!$U82)*IF('Inl. wetlands'!$V82&gt;'Inl. wetlands'!$U82,time_cap+time*(VLOOKUP('6.Inland wetlands'!O30,list!$I$48:$K$50,3,0)),time*(1-(VLOOKUP('6.Inland wetlands'!O30,list!$I$48:$K$50,3,0))))</f>
        <v/>
      </c>
      <c r="AC82" s="3493">
        <f>MIN('Inl. wetlands'!$L82,'Inl. wetlands'!$N82)*time_tot+ABS('Inl. wetlands'!$N82-'Inl. wetlands'!$L82)*IF('Inl. wetlands'!$N82&gt;'Inl. wetlands'!$L82,time_cap+time*(VLOOKUP('6.Inland wetlands'!Q30,list!$I$48:$K$50,3,0)),time*(1-(VLOOKUP('6.Inland wetlands'!Q30,list!$I$48:$K$50,3,0))))+MIN('Inl. wetlands'!$U82,'Inl. wetlands'!$W82)*time_tot+ABS('Inl. wetlands'!$W82-'Inl. wetlands'!$U82)*IF('Inl. wetlands'!$W82&gt;'Inl. wetlands'!$U82,time_cap+time*(VLOOKUP('6.Inland wetlands'!Q30,list!$I$48:$K$50,3,0)),time*(1-(VLOOKUP('6.Inland wetlands'!Q30,list!$I$48:$K$50,3,0))))</f>
        <v/>
      </c>
      <c r="AD82" s="3493">
        <f>MIN('Inl. wetlands'!$O82,'Inl. wetlands'!$P82)*time_tot+ABS('Inl. wetlands'!$P82-'Inl. wetlands'!$O82)*IF('Inl. wetlands'!$P82&gt;'Inl. wetlands'!$O82,time_cap+time*(VLOOKUP('6.Inland wetlands'!O30,list!$I$48:$K$50,3,0)),time*(1-(VLOOKUP('6.Inland wetlands'!O30,list!$I$48:$K$50,3,0))))+MIN('Inl. wetlands'!$X82,'Inl. wetlands'!$Y82)*time_tot+ABS('Inl. wetlands'!$Y82-'Inl. wetlands'!$X82)*IF('Inl. wetlands'!$Y82&gt;'Inl. wetlands'!$X82,time_cap+time*(VLOOKUP('6.Inland wetlands'!O30,list!$I$48:$K$50,3,0)),time*(1-(VLOOKUP('6.Inland wetlands'!O30,list!$I$48:$K$50,3,0))))</f>
        <v/>
      </c>
      <c r="AE82" s="3493">
        <f>MIN('Inl. wetlands'!$O82,'Inl. wetlands'!$Q82)*time_tot+ABS('Inl. wetlands'!$Q82-'Inl. wetlands'!$O82)*IF('Inl. wetlands'!$Q82&gt;'Inl. wetlands'!$O82,time_cap+time*(VLOOKUP('6.Inland wetlands'!Q30,list!$I$48:$K$50,3,0)),time*(1-(VLOOKUP('6.Inland wetlands'!Q30,list!$I$48:$K$50,3,0))))+MIN('Inl. wetlands'!$X82,'Inl. wetlands'!$Z82)*time_tot+ABS('Inl. wetlands'!$Z82-'Inl. wetlands'!$X82)*IF('Inl. wetlands'!$Z82&gt;'Inl. wetlands'!$X82,time_cap+time*(VLOOKUP('6.Inland wetlands'!Q30,list!$I$48:$K$50,3,0)),time*(1-(VLOOKUP('6.Inland wetlands'!Q30,list!$I$48:$K$50,3,0))))</f>
        <v/>
      </c>
      <c r="AF82" s="3493">
        <f>MIN('Inl. wetlands'!$R82,'Inl. wetlands'!$S82)*time_tot+ABS('Inl. wetlands'!$S82-'Inl. wetlands'!$R82)*IF('Inl. wetlands'!$S82&gt;'Inl. wetlands'!$R82,time_cap+time*(VLOOKUP('6.Inland wetlands'!O30,list!$I$48:$K$50,3,0)),time*(1-(VLOOKUP('6.Inland wetlands'!O30,list!$I$48:$K$50,3,0))))</f>
        <v/>
      </c>
      <c r="AG82" s="3493">
        <f>MIN('Inl. wetlands'!$R82,'Inl. wetlands'!$T82)*time_tot+ABS('Inl. wetlands'!$T82-'Inl. wetlands'!$R82)*IF('Inl. wetlands'!$T82&gt;'Inl. wetlands'!$R82,time_cap+time*(VLOOKUP('6.Inland wetlands'!Q30,list!$I$48:$K$50,3,0)),time*(1-(VLOOKUP('6.Inland wetlands'!Q30,list!$I$48:$K$50,3,0))))</f>
        <v/>
      </c>
      <c r="AI82" s="992" t="n"/>
      <c r="AJ82" s="992" t="n"/>
      <c r="AK82" s="992" t="n"/>
    </row>
    <row r="83">
      <c r="I83" s="1246" t="n"/>
      <c r="L83" s="1246" t="n"/>
      <c r="AA83" s="1246" t="n"/>
      <c r="AB83" s="1246" t="n"/>
      <c r="AC83" s="1246" t="n"/>
      <c r="AD83" s="1246" t="n"/>
      <c r="AE83" s="1246" t="n"/>
      <c r="AF83" s="1246" t="n"/>
      <c r="AI83" s="992" t="n"/>
      <c r="AJ83" s="992" t="n"/>
      <c r="AK83" s="992" t="n"/>
    </row>
    <row r="84" ht="16" customHeight="1">
      <c r="E84" s="4026" t="inlineStr">
        <is>
          <t>Drained areas</t>
        </is>
      </c>
      <c r="F84" s="4026">
        <f>SUMIF(L66:L71,"&gt;0",N36:N41)</f>
        <v/>
      </c>
      <c r="G84" s="4026">
        <f>SUMIF(M66:M71,"&gt;0",O36:O41)</f>
        <v/>
      </c>
      <c r="H84" s="4026">
        <f>SUMIF(N66:N71,"&gt;0",Q36:Q41)</f>
        <v/>
      </c>
      <c r="W84" s="1231" t="n"/>
      <c r="X84" s="1231" t="n"/>
      <c r="Y84" s="1231" t="n"/>
      <c r="Z84" s="1231" t="n"/>
      <c r="AA84" s="1457" t="n"/>
      <c r="AB84" s="1231" t="n"/>
      <c r="AC84" s="1458" t="n"/>
      <c r="AD84" s="1458" t="n"/>
      <c r="AE84" s="1458" t="n"/>
      <c r="AX84" s="1451">
        <f>SUM(AX66:AX71)</f>
        <v/>
      </c>
      <c r="AY84" s="1451">
        <f>SUM(AY66:AY71)</f>
        <v/>
      </c>
      <c r="AZ84" s="1451">
        <f>SUM(AZ66:AZ71)</f>
        <v/>
      </c>
      <c r="BA84" s="1451">
        <f>SUM(BA66:BA71)</f>
        <v/>
      </c>
      <c r="BB84" s="1451">
        <f>SUM(BB66:BB71)</f>
        <v/>
      </c>
      <c r="BC84" s="1451">
        <f>SUM(BC66:BC71)</f>
        <v/>
      </c>
      <c r="BD84" s="1451">
        <f>SUM(BD66:BD71)</f>
        <v/>
      </c>
      <c r="BE84" s="1451">
        <f>SUM(BE66:BE71)</f>
        <v/>
      </c>
      <c r="BF84" s="1451">
        <f>SUM(BF66:BF71)</f>
        <v/>
      </c>
      <c r="BG84" s="1451">
        <f>SUM(BG66:BG71)</f>
        <v/>
      </c>
    </row>
    <row r="85" ht="30.5" customFormat="1" customHeight="1" s="1089">
      <c r="B85" s="1112" t="inlineStr">
        <is>
          <t>Emissions associated with rewetting</t>
        </is>
      </c>
      <c r="C85" s="1113" t="n"/>
      <c r="D85" s="1113" t="n"/>
      <c r="E85" s="1113" t="n"/>
      <c r="F85" s="1113" t="n"/>
      <c r="G85" s="1113" t="n"/>
      <c r="H85" s="1113" t="n"/>
      <c r="I85" s="1113" t="n"/>
      <c r="J85" s="1113" t="n"/>
      <c r="K85" s="1113" t="n"/>
      <c r="L85" s="1113" t="n"/>
      <c r="M85" s="1113" t="n"/>
      <c r="N85" s="1113" t="n"/>
      <c r="O85" s="1113" t="n"/>
      <c r="P85" s="1113" t="n"/>
      <c r="Q85" s="1113" t="n"/>
      <c r="R85" s="1113" t="n"/>
      <c r="S85" s="1113" t="n"/>
      <c r="T85" s="1113" t="n"/>
      <c r="U85" s="1113" t="n"/>
      <c r="V85" s="1113" t="n"/>
      <c r="W85" s="1113" t="n"/>
      <c r="X85" s="1113" t="n"/>
      <c r="Y85" s="1113" t="n"/>
      <c r="Z85" s="1113" t="n"/>
      <c r="AA85" s="1113" t="n"/>
      <c r="AB85" s="1113" t="n"/>
      <c r="AC85" s="1113" t="n"/>
      <c r="AD85" s="1113" t="n"/>
      <c r="AE85" s="1113" t="n"/>
      <c r="AF85" s="1113" t="n"/>
      <c r="AG85" s="1113" t="n"/>
      <c r="AH85" s="1113" t="n"/>
      <c r="AI85" s="1113" t="n"/>
      <c r="AJ85" s="1113" t="n"/>
      <c r="AK85" s="1113" t="n"/>
      <c r="AX85" s="1264" t="n"/>
      <c r="AY85" s="1451">
        <f>AY84-AX84</f>
        <v/>
      </c>
      <c r="AZ85" s="1451" t="n"/>
      <c r="BA85" s="1451">
        <f>BA84-AZ84</f>
        <v/>
      </c>
      <c r="BB85" s="1264" t="n"/>
      <c r="BC85" s="1451">
        <f>BC84-BB84</f>
        <v/>
      </c>
      <c r="BD85" s="1451" t="n"/>
      <c r="BE85" s="1451">
        <f>BE84-BD84</f>
        <v/>
      </c>
      <c r="BF85" s="1264" t="n"/>
      <c r="BG85" s="1451">
        <f>BG84-BF84</f>
        <v/>
      </c>
    </row>
    <row r="86">
      <c r="BD86" s="1271" t="n"/>
    </row>
    <row r="87" ht="16.5" customHeight="1">
      <c r="A87" s="1492" t="n"/>
      <c r="E87" s="1265" t="inlineStr">
        <is>
          <t>Rewetted area</t>
        </is>
      </c>
      <c r="F87" s="1262" t="n"/>
      <c r="G87" s="1262" t="n"/>
      <c r="H87" s="1262" t="n"/>
      <c r="I87" s="1473" t="inlineStr">
        <is>
          <t>On site emissions factors</t>
        </is>
      </c>
      <c r="J87" s="1474" t="n"/>
      <c r="K87" s="1474" t="n"/>
      <c r="L87" s="1475" t="n"/>
      <c r="M87" s="1474" t="n"/>
      <c r="N87" s="1476" t="n"/>
      <c r="O87" s="1476" t="inlineStr">
        <is>
          <t>Off-site EF</t>
        </is>
      </c>
      <c r="P87" s="1476" t="n"/>
      <c r="Q87" s="1481" t="inlineStr">
        <is>
          <t>Total emissions in tCO2-eq per year</t>
        </is>
      </c>
      <c r="R87" s="1482" t="n"/>
      <c r="S87" s="1482" t="n"/>
      <c r="T87" s="1482" t="n"/>
      <c r="U87" s="1482" t="n"/>
      <c r="V87" s="1482" t="n"/>
      <c r="W87" s="1482" t="n"/>
      <c r="X87" s="1482" t="n"/>
      <c r="Y87" s="1482" t="n"/>
      <c r="AB87" s="1505" t="inlineStr">
        <is>
          <t>REWETTING EMISSIONS</t>
        </is>
      </c>
      <c r="AC87" s="1470" t="n"/>
      <c r="AD87" s="1470" t="n"/>
      <c r="AE87" s="1470" t="n"/>
      <c r="AF87" s="1470" t="n"/>
      <c r="AG87" s="1470" t="n"/>
      <c r="AX87" s="1287" t="inlineStr">
        <is>
          <t>REWETTING</t>
        </is>
      </c>
      <c r="AY87" s="1501" t="n"/>
      <c r="AZ87" s="1501" t="n"/>
      <c r="BA87" s="1501" t="n"/>
      <c r="BB87" s="1501" t="n"/>
      <c r="BC87" s="1451">
        <f>AY85+BE85</f>
        <v/>
      </c>
      <c r="BD87" s="1448" t="n"/>
      <c r="BE87" s="1448" t="n"/>
      <c r="BF87" s="1448" t="n"/>
      <c r="BG87" s="1448" t="n"/>
    </row>
    <row r="88" ht="17" customHeight="1">
      <c r="A88" s="1492" t="n"/>
      <c r="D88" s="1576" t="inlineStr">
        <is>
          <t>START</t>
        </is>
      </c>
      <c r="E88" s="1105" t="inlineStr">
        <is>
          <t>WITHOUT</t>
        </is>
      </c>
      <c r="F88" s="1105" t="n"/>
      <c r="G88" s="1106" t="inlineStr">
        <is>
          <t>WITH</t>
        </is>
      </c>
      <c r="H88" s="1106" t="n"/>
      <c r="I88" s="1477" t="inlineStr">
        <is>
          <t>CO2 (IPCC 2013)</t>
        </is>
      </c>
      <c r="J88" s="1478" t="n"/>
      <c r="K88" s="1477" t="inlineStr">
        <is>
          <t>CH4 (IPCC 2013)</t>
        </is>
      </c>
      <c r="L88" s="1478" t="n"/>
      <c r="M88" s="1477" t="inlineStr">
        <is>
          <t>N2O (IPCC 2013)</t>
        </is>
      </c>
      <c r="N88" s="1478" t="n"/>
      <c r="O88" s="1477" t="inlineStr">
        <is>
          <t>DOC (IPCC 2013)</t>
        </is>
      </c>
      <c r="P88" s="1478" t="n"/>
      <c r="Q88" s="1482" t="n"/>
      <c r="R88" s="1482" t="n"/>
      <c r="S88" s="1482" t="n"/>
      <c r="T88" s="1482" t="n"/>
      <c r="U88" s="1482" t="n"/>
      <c r="V88" s="1482" t="n"/>
      <c r="W88" s="1482" t="n"/>
      <c r="X88" s="1482" t="n"/>
      <c r="Y88" s="1482" t="n"/>
      <c r="AB88" s="1505" t="inlineStr">
        <is>
          <t>Emissions in tCO2-eq all period</t>
        </is>
      </c>
      <c r="AC88" s="1471" t="n"/>
      <c r="AD88" s="1471" t="n"/>
      <c r="AE88" s="1470" t="n"/>
      <c r="AF88" s="1471" t="n"/>
      <c r="AG88" s="1470" t="n"/>
      <c r="AX88" s="1502" t="inlineStr">
        <is>
          <t>CO2</t>
        </is>
      </c>
      <c r="AY88" s="1502" t="n"/>
      <c r="AZ88" s="1502" t="inlineStr">
        <is>
          <t>CH4</t>
        </is>
      </c>
      <c r="BA88" s="1502" t="n"/>
      <c r="BB88" s="1502" t="inlineStr">
        <is>
          <t>N2O</t>
        </is>
      </c>
      <c r="BC88" s="1450" t="n"/>
    </row>
    <row r="89">
      <c r="A89" s="1462" t="n"/>
      <c r="B89" s="1281">
        <f>B51</f>
        <v/>
      </c>
      <c r="C89" s="1281" t="n"/>
      <c r="D89" s="1688" t="n"/>
      <c r="E89" s="1100" t="n"/>
      <c r="F89" s="1100" t="n"/>
      <c r="G89" s="1101" t="n"/>
      <c r="H89" s="1101" t="n"/>
      <c r="I89" s="1479" t="inlineStr">
        <is>
          <t>tC/ha/yr</t>
        </is>
      </c>
      <c r="J89" s="1479" t="n"/>
      <c r="K89" s="1479" t="inlineStr">
        <is>
          <t>kgCH4/ha/yr</t>
        </is>
      </c>
      <c r="L89" s="1479" t="n"/>
      <c r="M89" s="1479" t="inlineStr">
        <is>
          <t>kgN2O-N/ha/yr</t>
        </is>
      </c>
      <c r="N89" s="1479" t="n"/>
      <c r="O89" s="1479" t="inlineStr">
        <is>
          <t>tC/ha/yr</t>
        </is>
      </c>
      <c r="P89" s="1479" t="n"/>
      <c r="Q89" s="1482" t="inlineStr">
        <is>
          <t>CO2&amp;DOC</t>
        </is>
      </c>
      <c r="R89" s="1482" t="n"/>
      <c r="S89" s="1482" t="n"/>
      <c r="T89" s="1482" t="inlineStr">
        <is>
          <t>CH4</t>
        </is>
      </c>
      <c r="U89" s="1482" t="n"/>
      <c r="V89" s="1482" t="n"/>
      <c r="W89" s="1482" t="inlineStr">
        <is>
          <t>N2O-N</t>
        </is>
      </c>
      <c r="X89" s="1482" t="n"/>
      <c r="Y89" s="1482" t="n"/>
      <c r="AB89" s="1472" t="inlineStr">
        <is>
          <t>CO2&amp;DOC</t>
        </is>
      </c>
      <c r="AC89" s="1472" t="n"/>
      <c r="AD89" s="1472" t="inlineStr">
        <is>
          <t>CH4</t>
        </is>
      </c>
      <c r="AE89" s="1472" t="n"/>
      <c r="AF89" s="1472" t="inlineStr">
        <is>
          <t>N2O-N</t>
        </is>
      </c>
      <c r="AG89" s="1472" t="n"/>
      <c r="AX89" s="1264" t="inlineStr">
        <is>
          <t>IMPLEMENTATION PHASE</t>
        </is>
      </c>
      <c r="AZ89" s="1264" t="inlineStr">
        <is>
          <t>IMPLEMENTATION PHASE</t>
        </is>
      </c>
      <c r="BB89" s="1264" t="inlineStr">
        <is>
          <t>IMPLEMENTATION PHASE</t>
        </is>
      </c>
      <c r="BD89" s="1272" t="n"/>
      <c r="BE89" s="1272" t="n"/>
      <c r="BF89" s="1272" t="n"/>
      <c r="BG89" s="1272" t="n"/>
    </row>
    <row r="90">
      <c r="A90" s="1462" t="n"/>
      <c r="B90" s="1281">
        <f>D52</f>
        <v/>
      </c>
      <c r="C90" s="1281">
        <f>E52</f>
        <v/>
      </c>
      <c r="D90" s="1688" t="inlineStr">
        <is>
          <t>ha</t>
        </is>
      </c>
      <c r="E90" s="1100">
        <f>G52</f>
        <v/>
      </c>
      <c r="F90" s="1100">
        <f>H52</f>
        <v/>
      </c>
      <c r="G90" s="1101">
        <f>K52</f>
        <v/>
      </c>
      <c r="H90" s="1101">
        <f>L52</f>
        <v/>
      </c>
      <c r="I90" s="1480" t="inlineStr">
        <is>
          <t>Default</t>
        </is>
      </c>
      <c r="J90" s="1480" t="inlineStr">
        <is>
          <t>Tier 2</t>
        </is>
      </c>
      <c r="K90" s="1480" t="inlineStr">
        <is>
          <t>Default</t>
        </is>
      </c>
      <c r="L90" s="1480" t="inlineStr">
        <is>
          <t>Tier 2</t>
        </is>
      </c>
      <c r="M90" s="1480" t="inlineStr">
        <is>
          <t>Default</t>
        </is>
      </c>
      <c r="N90" s="1480" t="inlineStr">
        <is>
          <t>Tier 2</t>
        </is>
      </c>
      <c r="O90" s="1480" t="inlineStr">
        <is>
          <t>Default</t>
        </is>
      </c>
      <c r="P90" s="1480" t="inlineStr">
        <is>
          <t>Tier 2</t>
        </is>
      </c>
      <c r="Q90" s="973" t="inlineStr">
        <is>
          <t>Start</t>
        </is>
      </c>
      <c r="R90" s="1100" t="inlineStr">
        <is>
          <t>Without</t>
        </is>
      </c>
      <c r="S90" s="1101" t="inlineStr">
        <is>
          <t>With</t>
        </is>
      </c>
      <c r="T90" s="973" t="inlineStr">
        <is>
          <t>Start</t>
        </is>
      </c>
      <c r="U90" s="1100" t="inlineStr">
        <is>
          <t>Without</t>
        </is>
      </c>
      <c r="V90" s="1101" t="inlineStr">
        <is>
          <t>With</t>
        </is>
      </c>
      <c r="W90" s="973">
        <f>T90</f>
        <v/>
      </c>
      <c r="X90" s="1100" t="inlineStr">
        <is>
          <t>Without</t>
        </is>
      </c>
      <c r="Y90" s="1101" t="inlineStr">
        <is>
          <t>With</t>
        </is>
      </c>
      <c r="AB90" s="1100" t="inlineStr">
        <is>
          <t>Without</t>
        </is>
      </c>
      <c r="AC90" s="1101" t="inlineStr">
        <is>
          <t>With</t>
        </is>
      </c>
      <c r="AD90" s="1100" t="inlineStr">
        <is>
          <t>Without</t>
        </is>
      </c>
      <c r="AE90" s="1101" t="inlineStr">
        <is>
          <t>With</t>
        </is>
      </c>
      <c r="AF90" s="1100" t="inlineStr">
        <is>
          <t>Without</t>
        </is>
      </c>
      <c r="AG90" s="1101" t="inlineStr">
        <is>
          <t>With</t>
        </is>
      </c>
      <c r="AX90" s="1272" t="inlineStr">
        <is>
          <t>WITHOUT</t>
        </is>
      </c>
      <c r="AY90" s="1272" t="inlineStr">
        <is>
          <t>WITH</t>
        </is>
      </c>
      <c r="AZ90" s="1272" t="inlineStr">
        <is>
          <t>WITHOUT</t>
        </is>
      </c>
      <c r="BA90" s="1272" t="inlineStr">
        <is>
          <t>WITH</t>
        </is>
      </c>
      <c r="BB90" s="1272" t="inlineStr">
        <is>
          <t>WITHOUT</t>
        </is>
      </c>
      <c r="BC90" s="1272" t="inlineStr">
        <is>
          <t>WITH</t>
        </is>
      </c>
      <c r="BD90" s="1449" t="n"/>
      <c r="BE90" s="1449" t="n"/>
      <c r="BF90" s="1449" t="n"/>
      <c r="BG90" s="1449" t="n"/>
    </row>
    <row r="91">
      <c r="A91" s="1493" t="inlineStr">
        <is>
          <t>S1</t>
        </is>
      </c>
      <c r="B91" s="973">
        <f>B53</f>
        <v/>
      </c>
      <c r="C91" s="973">
        <f>C53</f>
        <v/>
      </c>
      <c r="D91" s="992">
        <f>'6.Inland wetlands'!M13</f>
        <v/>
      </c>
      <c r="E91" s="992">
        <f>IF('6.Inland wetlands'!S25='6.Inland wetlands'!K25, 0, IF(('6.Inland wetlands'!T25-'6.Inland wetlands'!S25)-'6.Inland wetlands'!S13&gt;0,('6.Inland wetlands'!T25-'6.Inland wetlands'!S25)-'6.Inland wetlands'!S13,0))</f>
        <v/>
      </c>
      <c r="F91" s="1688">
        <f>H53</f>
        <v/>
      </c>
      <c r="G91" s="992">
        <f>IF(('6.Inland wetlands'!U25-'6.Inland wetlands'!S25)-'6.Inland wetlands'!T13&gt;0,('6.Inland wetlands'!U25-'6.Inland wetlands'!S25)-'6.Inland wetlands'!T13,0)</f>
        <v/>
      </c>
      <c r="H91" s="1688">
        <f>L53</f>
        <v/>
      </c>
      <c r="I91" s="1004">
        <f>IFERROR(IF($B91="Please select",0,IF($D$47="Nutrient poor",INDEX(IPCC!$A$1910:$J$1921,MATCH(clim_moist,IPCC!$A$1910:$A$1921,0),MATCH($C91,IPCC!$A$1910:$J$1910,0)),INDEX(IPCC!$A$1928:$J$1939,MATCH(clim_moist,IPCC!$A$1928:$A$1939,0),MATCH($C91,IPCC!$A$1928:$J$1928,0)))),0)</f>
        <v/>
      </c>
      <c r="J91" s="1259">
        <f>IF('6.Inland wetlands'!$DY12="",'6.Inland wetlands'!$DX12,'6.Inland wetlands'!$DY12)</f>
        <v/>
      </c>
      <c r="K91" s="1004">
        <f>IFERROR(IF($B91="Please select",0,IF($D$47="Nutrient poor",INDEX(IPCC!$A$1964:$J$1975,MATCH(clim_moist,IPCC!$A$1964:$A$1975,0),MATCH($C91,IPCC!$A$1964:$J$1964,0)),INDEX(IPCC!$A$1982:$J$1993,MATCH(clim_moist,IPCC!$A$1982:$A$1993,0),MATCH($C91,IPCC!$A$1982:$J$1982,0)))),0)</f>
        <v/>
      </c>
      <c r="L91" s="1259">
        <f>IF('6.Inland wetlands'!$EA12="",'6.Inland wetlands'!$DZ12,'6.Inland wetlands'!$EA12)</f>
        <v/>
      </c>
      <c r="M91" s="1004">
        <f>IFERROR(IF($B91="Please select",0,INDEX(IPCC!$A$2000:$J$2011,MATCH(clim_moist,IPCC!$A$2000:$A$2011,0),MATCH($C91,IPCC!$A$2000:$J$2000,0))),0)</f>
        <v/>
      </c>
      <c r="N91" s="1259">
        <f>IF('6.Inland wetlands'!$EC12="",'6.Inland wetlands'!$EB12,'6.Inland wetlands'!$EC12)</f>
        <v/>
      </c>
      <c r="O91" s="1260">
        <f>IFERROR(IF($B91="Please select",0,INDEX(IPCC!$A$1946:$J$1957,MATCH(clim_moist,IPCC!$A$1946:$A$1957,0),MATCH($C91,IPCC!$A$1946:$J$1946,0))),0)</f>
        <v/>
      </c>
      <c r="P91" s="1259">
        <f>IF('6.Inland wetlands'!$EF12="",'6.Inland wetlands'!$EE12,'6.Inland wetlands'!$EF12)</f>
        <v/>
      </c>
      <c r="Q91" s="3493" t="n">
        <v>0</v>
      </c>
      <c r="R91" s="3493">
        <f>SUM($J91,$P91)*44/12*E91</f>
        <v/>
      </c>
      <c r="S91" s="1151">
        <f>SUM($J91,$P91)*44/12*G91</f>
        <v/>
      </c>
      <c r="T91" s="3493" t="n">
        <v>0</v>
      </c>
      <c r="U91" s="1151">
        <f>$L91/1000*16/12*methane*E91</f>
        <v/>
      </c>
      <c r="V91" s="1151">
        <f>$L91/1000*16/12*methane*G91</f>
        <v/>
      </c>
      <c r="W91" s="3493" t="n">
        <v>0</v>
      </c>
      <c r="X91" s="1151">
        <f>$N91/1000*44/28*Nitrous*E91</f>
        <v/>
      </c>
      <c r="Y91" s="3494">
        <f>$N91/1000*44/28*Nitrous*G91</f>
        <v/>
      </c>
      <c r="AB91" s="3493">
        <f>MIN('Inl. wetlands'!$Q91,'Inl. wetlands'!$R91)*time_tot+ABS('Inl. wetlands'!$R91-'Inl. wetlands'!$Q91)*IF('Inl. wetlands'!$R91&gt;'Inl. wetlands'!$Q91,time_cap+time*(VLOOKUP('6.Inland wetlands'!O25,list!$I$48:$K$50,3,0)),time*(1-(VLOOKUP('6.Inland wetlands'!O25,list!$I$48:$K$50,3,0))))</f>
        <v/>
      </c>
      <c r="AC91" s="3493">
        <f>MIN('Inl. wetlands'!$Q91,'Inl. wetlands'!$S91)*time_tot+ABS('Inl. wetlands'!$S91-'Inl. wetlands'!$Q91)*IF('Inl. wetlands'!$S91&gt;'Inl. wetlands'!$Q91,time_cap+time*(VLOOKUP('6.Inland wetlands'!Q25,list!$I$48:$K$50,3,0)),time*(1-(VLOOKUP('6.Inland wetlands'!Q25,list!$I$48:$K$50,3,0))))</f>
        <v/>
      </c>
      <c r="AD91" s="3493">
        <f>MIN('Inl. wetlands'!$T91,'Inl. wetlands'!$U91)*time_tot+ABS('Inl. wetlands'!$U91-'Inl. wetlands'!$T91)*IF('Inl. wetlands'!$U91&gt;'Inl. wetlands'!$T91,time_cap+time*(VLOOKUP('6.Inland wetlands'!O25,list!$I$48:$K$50,3,0)),time*(1-(VLOOKUP('6.Inland wetlands'!O25,list!$I$48:$K$50,3,0))))</f>
        <v/>
      </c>
      <c r="AE91" s="3493">
        <f>MIN('Inl. wetlands'!$T91,'Inl. wetlands'!$V91)*time_tot+ABS('Inl. wetlands'!$V91-'Inl. wetlands'!$T91)*IF('Inl. wetlands'!$V91&gt;'Inl. wetlands'!$T91,time_cap+time*(VLOOKUP('6.Inland wetlands'!Q25,list!$I$48:$K$50,3,0)),time*(1-(VLOOKUP('6.Inland wetlands'!Q25,list!$I$48:$K$50,3,0))))</f>
        <v/>
      </c>
      <c r="AF91" s="3493">
        <f>MIN('Inl. wetlands'!$W91,'Inl. wetlands'!$X91)*time_tot+ABS('Inl. wetlands'!$X91-'Inl. wetlands'!$W91)*IF('Inl. wetlands'!$X91&gt;'Inl. wetlands'!$W91,time_cap+time*(VLOOKUP('6.Inland wetlands'!O25,list!$I$48:$K$50,3,0)),time*(1-(VLOOKUP('6.Inland wetlands'!O25,list!$I$48:$K$50,3,0))))</f>
        <v/>
      </c>
      <c r="AG91" s="3493">
        <f>MIN('Inl. wetlands'!$W91,'Inl. wetlands'!$Y91)*time_tot+ABS('Inl. wetlands'!$Y91-'Inl. wetlands'!$W91)*IF('Inl. wetlands'!$Y91&gt;'Inl. wetlands'!$W91,time_cap+time*(VLOOKUP('6.Inland wetlands'!Q25,list!$I$48:$K$50,3,0)),time*(1-(VLOOKUP('6.Inland wetlands'!Q25,list!$I$48:$K$50,3,0))))</f>
        <v/>
      </c>
      <c r="AX91" s="1449">
        <f>MIN($Q91,$R91)*time+ABS($R91-$Q91)*IF($R91&gt;$Q91,time*(VLOOKUP($H53,list!$J$48:$K$50,2,0)),time*(1-(VLOOKUP($H53,list!$J$48:$K$50,2,0))))</f>
        <v/>
      </c>
      <c r="AY91" s="1449">
        <f>MIN($Q91,$S91)*time+ABS($S91-$Q91)*IF($S91&gt;$Q91,time*(VLOOKUP($L53,list!$J$48:$K$50,2,0)),time*(1-(VLOOKUP($L53,list!$J$48:$K$50,2,0))))</f>
        <v/>
      </c>
      <c r="AZ91" s="1449">
        <f>MIN($T91,$U91)*time+ABS($U91-$T91)*IF($U91&gt;$T91,time*(VLOOKUP($H53,list!$J$48:$K$50,2,0)),time*(1-(VLOOKUP($H53,list!$J$48:$K$50,2,0))))</f>
        <v/>
      </c>
      <c r="BA91" s="1449">
        <f>MIN($T91,$V91)*time+ABS($V91-$T91)*IF($V91&gt;$T91,time*(VLOOKUP($L53,list!$J$48:$K$50,2,0)),time*(1-(VLOOKUP($L53,list!$J$48:$K$50,2,0))))</f>
        <v/>
      </c>
      <c r="BB91" s="1449">
        <f>MIN($W91,$X91)*time+ABS($X91-$W91)*IF($X91&gt;$W91,time*(VLOOKUP($H53,list!$J$48:$K$50,2,0)),time*(1-(VLOOKUP($H53,list!$J$48:$K$50,2,0))))</f>
        <v/>
      </c>
      <c r="BC91" s="1449">
        <f>MIN($W91,$Y91)*time+ABS($Y91-$W91)*IF($Y91&gt;$W91,time*(VLOOKUP($L53,list!$J$48:$K$50,2,0)),time*(1-(VLOOKUP($L53,list!$J$48:$K$50,2,0))))</f>
        <v/>
      </c>
      <c r="BD91" s="1449" t="n"/>
      <c r="BE91" s="1449" t="n"/>
      <c r="BF91" s="1449" t="n"/>
      <c r="BG91" s="1449" t="n"/>
    </row>
    <row r="92">
      <c r="A92" s="1493" t="inlineStr">
        <is>
          <t>S2</t>
        </is>
      </c>
      <c r="B92" s="973">
        <f>B54</f>
        <v/>
      </c>
      <c r="C92" s="973">
        <f>C54</f>
        <v/>
      </c>
      <c r="D92" s="992">
        <f>'6.Inland wetlands'!M14</f>
        <v/>
      </c>
      <c r="E92" s="992">
        <f>IF('6.Inland wetlands'!S26='6.Inland wetlands'!K26, 0, IF(('6.Inland wetlands'!T26-'6.Inland wetlands'!S26)-'6.Inland wetlands'!S14&gt;0,('6.Inland wetlands'!T26-'6.Inland wetlands'!S26)-'6.Inland wetlands'!S14,0))</f>
        <v/>
      </c>
      <c r="F92" s="1688">
        <f>H54</f>
        <v/>
      </c>
      <c r="G92" s="992">
        <f>IF(('6.Inland wetlands'!U26-'6.Inland wetlands'!S26)-'6.Inland wetlands'!T14&gt;0,('6.Inland wetlands'!U26-'6.Inland wetlands'!S26)-'6.Inland wetlands'!T14,0)</f>
        <v/>
      </c>
      <c r="H92" s="1688">
        <f>L54</f>
        <v/>
      </c>
      <c r="I92" s="1004">
        <f>IFERROR(IF($B92="Please select",0,IF($D$47="Nutrient poor",INDEX(IPCC!$A$1910:$J$1921,MATCH(clim_moist,IPCC!$A$1910:$A$1921,0),MATCH($C92,IPCC!$A$1910:$J$1910,0)),INDEX(IPCC!$A$1928:$J$1939,MATCH(clim_moist,IPCC!$A$1928:$A$1939,0),MATCH($C92,IPCC!$A$1928:$J$1928,0)))),0)</f>
        <v/>
      </c>
      <c r="J92" s="1259">
        <f>IF('6.Inland wetlands'!$DY13="",'6.Inland wetlands'!$DX13,'6.Inland wetlands'!$DY13)</f>
        <v/>
      </c>
      <c r="K92" s="1004">
        <f>IFERROR(IF($B92="Please select",0,IF($D$47="Nutrient poor",INDEX(IPCC!$A$1964:$J$1975,MATCH(clim_moist,IPCC!$A$1964:$A$1975,0),MATCH($C92,IPCC!$A$1964:$J$1964,0)),INDEX(IPCC!$A$1982:$J$1993,MATCH(clim_moist,IPCC!$A$1982:$A$1993,0),MATCH($C92,IPCC!$A$1982:$J$1982,0)))),0)</f>
        <v/>
      </c>
      <c r="L92" s="1259">
        <f>IF('6.Inland wetlands'!$EA13="",'6.Inland wetlands'!$DZ13,'6.Inland wetlands'!$EA13)</f>
        <v/>
      </c>
      <c r="M92" s="1004">
        <f>IFERROR(IF($B92="Please select",0,INDEX(IPCC!$A$2000:$J$2011,MATCH(clim_moist,IPCC!$A$2000:$A$2011,0),MATCH($C92,IPCC!$A$2000:$J$2000,0))),0)</f>
        <v/>
      </c>
      <c r="N92" s="1259">
        <f>IF('6.Inland wetlands'!$EC13="",'6.Inland wetlands'!$EB13,'6.Inland wetlands'!$EC13)</f>
        <v/>
      </c>
      <c r="O92" s="1260">
        <f>IFERROR(IF($B92="Please select",0,INDEX(IPCC!$A$1946:$J$1957,MATCH(clim_moist,IPCC!$A$1946:$A$1957,0),MATCH($C92,IPCC!$A$1946:$J$1946,0))),0)</f>
        <v/>
      </c>
      <c r="P92" s="1259">
        <f>IF('6.Inland wetlands'!$EF13="",'6.Inland wetlands'!$EE13,'6.Inland wetlands'!$EF13)</f>
        <v/>
      </c>
      <c r="Q92" s="3493" t="n">
        <v>0</v>
      </c>
      <c r="R92" s="3493">
        <f>SUM($J92,$P92)*44/12*E92</f>
        <v/>
      </c>
      <c r="S92" s="1151">
        <f>SUM($J92,$P92)*44/12*G92</f>
        <v/>
      </c>
      <c r="T92" s="3493" t="n">
        <v>0</v>
      </c>
      <c r="U92" s="1151">
        <f>$L92/1000*16/12*methane*E92</f>
        <v/>
      </c>
      <c r="V92" s="1151">
        <f>$L92/1000*16/12*methane*G92</f>
        <v/>
      </c>
      <c r="W92" s="3493" t="n">
        <v>0</v>
      </c>
      <c r="X92" s="1151">
        <f>$N92/1000*44/28*Nitrous*E92</f>
        <v/>
      </c>
      <c r="Y92" s="3494">
        <f>$N92/1000*44/28*Nitrous*G92</f>
        <v/>
      </c>
      <c r="AB92" s="3493">
        <f>MIN('Inl. wetlands'!$Q92,'Inl. wetlands'!$R92)*time_tot+ABS('Inl. wetlands'!$R92-'Inl. wetlands'!$Q92)*IF('Inl. wetlands'!$R92&gt;'Inl. wetlands'!$Q92,time_cap+time*(VLOOKUP('6.Inland wetlands'!O26,list!$I$48:$K$50,3,0)),time*(1-(VLOOKUP('6.Inland wetlands'!O26,list!$I$48:$K$50,3,0))))</f>
        <v/>
      </c>
      <c r="AC92" s="3493">
        <f>MIN('Inl. wetlands'!$Q92,'Inl. wetlands'!$S92)*time_tot+ABS('Inl. wetlands'!$S92-'Inl. wetlands'!$Q92)*IF('Inl. wetlands'!$S92&gt;'Inl. wetlands'!$Q92,time_cap+time*(VLOOKUP('6.Inland wetlands'!Q26,list!$I$48:$K$50,3,0)),time*(1-(VLOOKUP('6.Inland wetlands'!Q26,list!$I$48:$K$50,3,0))))</f>
        <v/>
      </c>
      <c r="AD92" s="3493">
        <f>MIN('Inl. wetlands'!$T92,'Inl. wetlands'!$U92)*time_tot+ABS('Inl. wetlands'!$U92-'Inl. wetlands'!$T92)*IF('Inl. wetlands'!$U92&gt;'Inl. wetlands'!$T92,time_cap+time*(VLOOKUP('6.Inland wetlands'!O26,list!$I$48:$K$50,3,0)),time*(1-(VLOOKUP('6.Inland wetlands'!O26,list!$I$48:$K$50,3,0))))</f>
        <v/>
      </c>
      <c r="AE92" s="3493">
        <f>MIN('Inl. wetlands'!$T92,'Inl. wetlands'!$V92)*time_tot+ABS('Inl. wetlands'!$V92-'Inl. wetlands'!$T92)*IF('Inl. wetlands'!$V92&gt;'Inl. wetlands'!$T92,time_cap+time*(VLOOKUP('6.Inland wetlands'!Q26,list!$I$48:$K$50,3,0)),time*(1-(VLOOKUP('6.Inland wetlands'!Q26,list!$I$48:$K$50,3,0))))</f>
        <v/>
      </c>
      <c r="AF92" s="3493">
        <f>MIN('Inl. wetlands'!$W92,'Inl. wetlands'!$X92)*time_tot+ABS('Inl. wetlands'!$X92-'Inl. wetlands'!$W92)*IF('Inl. wetlands'!$X92&gt;'Inl. wetlands'!$W92,time_cap+time*(VLOOKUP('6.Inland wetlands'!O26,list!$I$48:$K$50,3,0)),time*(1-(VLOOKUP('6.Inland wetlands'!O26,list!$I$48:$K$50,3,0))))</f>
        <v/>
      </c>
      <c r="AG92" s="3493">
        <f>MIN('Inl. wetlands'!$W92,'Inl. wetlands'!$Y92)*time_tot+ABS('Inl. wetlands'!$Y92-'Inl. wetlands'!$W92)*IF('Inl. wetlands'!$Y92&gt;'Inl. wetlands'!$W92,time_cap+time*(VLOOKUP('6.Inland wetlands'!Q26,list!$I$48:$K$50,3,0)),time*(1-(VLOOKUP('6.Inland wetlands'!Q26,list!$I$48:$K$50,3,0))))</f>
        <v/>
      </c>
      <c r="AX92" s="1449">
        <f>MIN($Q92,$R92)*time+ABS($R92-$Q92)*IF($R92&gt;$Q92,time*(VLOOKUP($H54,list!$J$48:$K$50,2,0)),time*(1-(VLOOKUP($H54,list!$J$48:$K$50,2,0))))</f>
        <v/>
      </c>
      <c r="AY92" s="1449">
        <f>MIN($Q92,$S92)*time+ABS($S92-$Q92)*IF($S92&gt;$Q92,time*(VLOOKUP($L54,list!$J$48:$K$50,2,0)),time*(1-(VLOOKUP($L54,list!$J$48:$K$50,2,0))))</f>
        <v/>
      </c>
      <c r="AZ92" s="1449">
        <f>MIN($T92,$U92)*time+ABS($U92-$T92)*IF($U92&gt;$T92,time*(VLOOKUP($H54,list!$J$48:$K$50,2,0)),time*(1-(VLOOKUP($H54,list!$J$48:$K$50,2,0))))</f>
        <v/>
      </c>
      <c r="BA92" s="1449">
        <f>MIN($T92,$V92)*time+ABS($V92-$T92)*IF($V92&gt;$T92,time*(VLOOKUP($L54,list!$J$48:$K$50,2,0)),time*(1-(VLOOKUP($L54,list!$J$48:$K$50,2,0))))</f>
        <v/>
      </c>
      <c r="BB92" s="1449">
        <f>MIN($W92,$X92)*time+ABS($X92-$W92)*IF($X92&gt;$W92,time*(VLOOKUP($H54,list!$J$48:$K$50,2,0)),time*(1-(VLOOKUP($H54,list!$J$48:$K$50,2,0))))</f>
        <v/>
      </c>
      <c r="BC92" s="1449">
        <f>MIN($W92,$Y92)*time+ABS($Y92-$W92)*IF($Y92&gt;$W92,time*(VLOOKUP($L54,list!$J$48:$K$50,2,0)),time*(1-(VLOOKUP($L54,list!$J$48:$K$50,2,0))))</f>
        <v/>
      </c>
      <c r="BD92" s="1449" t="n"/>
      <c r="BE92" s="1449" t="n"/>
      <c r="BF92" s="1449" t="n"/>
      <c r="BG92" s="1449" t="n"/>
    </row>
    <row r="93">
      <c r="A93" s="1493" t="inlineStr">
        <is>
          <t>S3</t>
        </is>
      </c>
      <c r="B93" s="973">
        <f>B55</f>
        <v/>
      </c>
      <c r="C93" s="973">
        <f>C55</f>
        <v/>
      </c>
      <c r="D93" s="992">
        <f>'6.Inland wetlands'!M15</f>
        <v/>
      </c>
      <c r="E93" s="992">
        <f>IF('6.Inland wetlands'!S27='6.Inland wetlands'!K27, 0, IF(('6.Inland wetlands'!T27-'6.Inland wetlands'!S27)-'6.Inland wetlands'!S15&gt;0,('6.Inland wetlands'!T27-'6.Inland wetlands'!S27)-'6.Inland wetlands'!S15,0))</f>
        <v/>
      </c>
      <c r="F93" s="1688">
        <f>H55</f>
        <v/>
      </c>
      <c r="G93" s="992">
        <f>IF(('6.Inland wetlands'!U27-'6.Inland wetlands'!S27)-'6.Inland wetlands'!T15&gt;0,('6.Inland wetlands'!U27-'6.Inland wetlands'!S27)-'6.Inland wetlands'!T15,0)</f>
        <v/>
      </c>
      <c r="H93" s="1688">
        <f>L55</f>
        <v/>
      </c>
      <c r="I93" s="1004">
        <f>IFERROR(IF($B93="Please select",0,IF($D$47="Nutrient poor",INDEX(IPCC!$A$1910:$J$1921,MATCH(clim_moist,IPCC!$A$1910:$A$1921,0),MATCH($C93,IPCC!$A$1910:$J$1910,0)),INDEX(IPCC!$A$1928:$J$1939,MATCH(clim_moist,IPCC!$A$1928:$A$1939,0),MATCH($C93,IPCC!$A$1928:$J$1928,0)))),0)</f>
        <v/>
      </c>
      <c r="J93" s="1259">
        <f>IF('6.Inland wetlands'!$DY14="",'6.Inland wetlands'!$DX14,'6.Inland wetlands'!$DY14)</f>
        <v/>
      </c>
      <c r="K93" s="1004">
        <f>IFERROR(IF($B93="Please select",0,IF($D$47="Nutrient poor",INDEX(IPCC!$A$1964:$J$1975,MATCH(clim_moist,IPCC!$A$1964:$A$1975,0),MATCH($C93,IPCC!$A$1964:$J$1964,0)),INDEX(IPCC!$A$1982:$J$1993,MATCH(clim_moist,IPCC!$A$1982:$A$1993,0),MATCH($C93,IPCC!$A$1982:$J$1982,0)))),0)</f>
        <v/>
      </c>
      <c r="L93" s="1259">
        <f>IF('6.Inland wetlands'!$EA14="",'6.Inland wetlands'!$DZ14,'6.Inland wetlands'!$EA14)</f>
        <v/>
      </c>
      <c r="M93" s="1004">
        <f>IFERROR(IF($B93="Please select",0,INDEX(IPCC!$A$2000:$J$2011,MATCH(clim_moist,IPCC!$A$2000:$A$2011,0),MATCH($C93,IPCC!$A$2000:$J$2000,0))),0)</f>
        <v/>
      </c>
      <c r="N93" s="1259">
        <f>IF('6.Inland wetlands'!$EC14="",'6.Inland wetlands'!$EB14,'6.Inland wetlands'!$EC14)</f>
        <v/>
      </c>
      <c r="O93" s="1260">
        <f>IFERROR(IF($B93="Please select",0,INDEX(IPCC!$A$1946:$J$1957,MATCH(clim_moist,IPCC!$A$1946:$A$1957,0),MATCH($C93,IPCC!$A$1946:$J$1946,0))),0)</f>
        <v/>
      </c>
      <c r="P93" s="1259">
        <f>IF('6.Inland wetlands'!$EF14="",'6.Inland wetlands'!$EE14,'6.Inland wetlands'!$EF14)</f>
        <v/>
      </c>
      <c r="Q93" s="3493" t="n">
        <v>0</v>
      </c>
      <c r="R93" s="3493">
        <f>SUM($J93,$P93)*44/12*E93</f>
        <v/>
      </c>
      <c r="S93" s="1151">
        <f>SUM($J93,$P93)*44/12*G93</f>
        <v/>
      </c>
      <c r="T93" s="3493" t="n">
        <v>0</v>
      </c>
      <c r="U93" s="1151">
        <f>$L93/1000*16/12*methane*E93</f>
        <v/>
      </c>
      <c r="V93" s="1151">
        <f>$L93/1000*16/12*methane*G93</f>
        <v/>
      </c>
      <c r="W93" s="3493" t="n">
        <v>0</v>
      </c>
      <c r="X93" s="1151">
        <f>$N93/1000*44/28*Nitrous*E93</f>
        <v/>
      </c>
      <c r="Y93" s="3494">
        <f>$N93/1000*44/28*Nitrous*G93</f>
        <v/>
      </c>
      <c r="AB93" s="3493">
        <f>MIN('Inl. wetlands'!$Q93,'Inl. wetlands'!$R93)*time_tot+ABS('Inl. wetlands'!$R93-'Inl. wetlands'!$Q93)*IF('Inl. wetlands'!$R93&gt;'Inl. wetlands'!$Q93,time_cap+time*(VLOOKUP('6.Inland wetlands'!O27,list!$I$48:$K$50,3,0)),time*(1-(VLOOKUP('6.Inland wetlands'!O27,list!$I$48:$K$50,3,0))))</f>
        <v/>
      </c>
      <c r="AC93" s="3493">
        <f>MIN('Inl. wetlands'!$Q93,'Inl. wetlands'!$S93)*time_tot+ABS('Inl. wetlands'!$S93-'Inl. wetlands'!$Q93)*IF('Inl. wetlands'!$S93&gt;'Inl. wetlands'!$Q93,time_cap+time*(VLOOKUP('6.Inland wetlands'!Q27,list!$I$48:$K$50,3,0)),time*(1-(VLOOKUP('6.Inland wetlands'!Q27,list!$I$48:$K$50,3,0))))</f>
        <v/>
      </c>
      <c r="AD93" s="3493">
        <f>MIN('Inl. wetlands'!$T93,'Inl. wetlands'!$U93)*time_tot+ABS('Inl. wetlands'!$U93-'Inl. wetlands'!$T93)*IF('Inl. wetlands'!$U93&gt;'Inl. wetlands'!$T93,time_cap+time*(VLOOKUP('6.Inland wetlands'!O27,list!$I$48:$K$50,3,0)),time*(1-(VLOOKUP('6.Inland wetlands'!O27,list!$I$48:$K$50,3,0))))</f>
        <v/>
      </c>
      <c r="AE93" s="3493">
        <f>MIN('Inl. wetlands'!$T93,'Inl. wetlands'!$V93)*time_tot+ABS('Inl. wetlands'!$V93-'Inl. wetlands'!$T93)*IF('Inl. wetlands'!$V93&gt;'Inl. wetlands'!$T93,time_cap+time*(VLOOKUP('6.Inland wetlands'!Q27,list!$I$48:$K$50,3,0)),time*(1-(VLOOKUP('6.Inland wetlands'!Q27,list!$I$48:$K$50,3,0))))</f>
        <v/>
      </c>
      <c r="AF93" s="3493">
        <f>MIN('Inl. wetlands'!$W93,'Inl. wetlands'!$X93)*time_tot+ABS('Inl. wetlands'!$X93-'Inl. wetlands'!$W93)*IF('Inl. wetlands'!$X93&gt;'Inl. wetlands'!$W93,time_cap+time*(VLOOKUP('6.Inland wetlands'!O27,list!$I$48:$K$50,3,0)),time*(1-(VLOOKUP('6.Inland wetlands'!O27,list!$I$48:$K$50,3,0))))</f>
        <v/>
      </c>
      <c r="AG93" s="3493">
        <f>MIN('Inl. wetlands'!$W93,'Inl. wetlands'!$Y93)*time_tot+ABS('Inl. wetlands'!$Y93-'Inl. wetlands'!$W93)*IF('Inl. wetlands'!$Y93&gt;'Inl. wetlands'!$W93,time_cap+time*(VLOOKUP('6.Inland wetlands'!Q27,list!$I$48:$K$50,3,0)),time*(1-(VLOOKUP('6.Inland wetlands'!Q27,list!$I$48:$K$50,3,0))))</f>
        <v/>
      </c>
      <c r="AX93" s="1449">
        <f>MIN($Q93,$R93)*time+ABS($R93-$Q93)*IF($R93&gt;$Q93,time*(VLOOKUP($H55,list!$J$48:$K$50,2,0)),time*(1-(VLOOKUP($H55,list!$J$48:$K$50,2,0))))</f>
        <v/>
      </c>
      <c r="AY93" s="1449">
        <f>MIN($Q93,$S93)*time+ABS($S93-$Q93)*IF($S93&gt;$Q93,time*(VLOOKUP($L55,list!$J$48:$K$50,2,0)),time*(1-(VLOOKUP($L55,list!$J$48:$K$50,2,0))))</f>
        <v/>
      </c>
      <c r="AZ93" s="1449">
        <f>MIN($T93,$U93)*time+ABS($U93-$T93)*IF($U93&gt;$T93,time*(VLOOKUP($H55,list!$J$48:$K$50,2,0)),time*(1-(VLOOKUP($H55,list!$J$48:$K$50,2,0))))</f>
        <v/>
      </c>
      <c r="BA93" s="1449">
        <f>MIN($T93,$V93)*time+ABS($V93-$T93)*IF($V93&gt;$T93,time*(VLOOKUP($L55,list!$J$48:$K$50,2,0)),time*(1-(VLOOKUP($L55,list!$J$48:$K$50,2,0))))</f>
        <v/>
      </c>
      <c r="BB93" s="1449">
        <f>MIN($W93,$X93)*time+ABS($X93-$W93)*IF($X93&gt;$W93,time*(VLOOKUP($H55,list!$J$48:$K$50,2,0)),time*(1-(VLOOKUP($H55,list!$J$48:$K$50,2,0))))</f>
        <v/>
      </c>
      <c r="BC93" s="1449">
        <f>MIN($W93,$Y93)*time+ABS($Y93-$W93)*IF($Y93&gt;$W93,time*(VLOOKUP($L55,list!$J$48:$K$50,2,0)),time*(1-(VLOOKUP($L55,list!$J$48:$K$50,2,0))))</f>
        <v/>
      </c>
      <c r="BD93" s="1449" t="n"/>
      <c r="BE93" s="1449" t="n"/>
      <c r="BF93" s="1449" t="n"/>
      <c r="BG93" s="1449" t="n"/>
    </row>
    <row r="94" ht="16" customHeight="1">
      <c r="A94" s="1493" t="inlineStr">
        <is>
          <t>S4</t>
        </is>
      </c>
      <c r="B94" s="973">
        <f>B56</f>
        <v/>
      </c>
      <c r="C94" s="973">
        <f>C56</f>
        <v/>
      </c>
      <c r="D94" s="992">
        <f>'6.Inland wetlands'!M16</f>
        <v/>
      </c>
      <c r="E94" s="992">
        <f>IF('6.Inland wetlands'!S28='6.Inland wetlands'!K28, 0, IF(('6.Inland wetlands'!T28-'6.Inland wetlands'!S28)-'6.Inland wetlands'!S16&gt;0,('6.Inland wetlands'!T28-'6.Inland wetlands'!S28)-'6.Inland wetlands'!S16,0))</f>
        <v/>
      </c>
      <c r="F94" s="1688">
        <f>H56</f>
        <v/>
      </c>
      <c r="G94" s="992">
        <f>IF(('6.Inland wetlands'!U28-'6.Inland wetlands'!S28)-'6.Inland wetlands'!T16&gt;0,('6.Inland wetlands'!U28-'6.Inland wetlands'!S28)-'6.Inland wetlands'!T16,0)</f>
        <v/>
      </c>
      <c r="H94" s="1688">
        <f>L56</f>
        <v/>
      </c>
      <c r="I94" s="1004">
        <f>IFERROR(IF($B94="Please select",0,IF($D$47="Nutrient poor",INDEX(IPCC!$A$1910:$J$1921,MATCH(clim_moist,IPCC!$A$1910:$A$1921,0),MATCH($C94,IPCC!$A$1910:$J$1910,0)),INDEX(IPCC!$A$1928:$J$1939,MATCH(clim_moist,IPCC!$A$1928:$A$1939,0),MATCH($C94,IPCC!$A$1928:$J$1928,0)))),0)</f>
        <v/>
      </c>
      <c r="J94" s="1259">
        <f>IF('6.Inland wetlands'!$DY15="",'6.Inland wetlands'!$DX15,'6.Inland wetlands'!$DY15)</f>
        <v/>
      </c>
      <c r="K94" s="1004">
        <f>IFERROR(IF($B94="Please select",0,IF($D$47="Nutrient poor",INDEX(IPCC!$A$1964:$J$1975,MATCH(clim_moist,IPCC!$A$1964:$A$1975,0),MATCH($C94,IPCC!$A$1964:$J$1964,0)),INDEX(IPCC!$A$1982:$J$1993,MATCH(clim_moist,IPCC!$A$1982:$A$1993,0),MATCH($C94,IPCC!$A$1982:$J$1982,0)))),0)</f>
        <v/>
      </c>
      <c r="L94" s="1259">
        <f>IF('6.Inland wetlands'!$EA15="",'6.Inland wetlands'!$DZ15,'6.Inland wetlands'!$EA15)</f>
        <v/>
      </c>
      <c r="M94" s="1004">
        <f>IFERROR(IF($B94="Please select",0,INDEX(IPCC!$A$2000:$J$2011,MATCH(clim_moist,IPCC!$A$2000:$A$2011,0),MATCH($C94,IPCC!$A$2000:$J$2000,0))),0)</f>
        <v/>
      </c>
      <c r="N94" s="1259">
        <f>IF('6.Inland wetlands'!$EC15="",'6.Inland wetlands'!$EB15,'6.Inland wetlands'!$EC15)</f>
        <v/>
      </c>
      <c r="O94" s="1260">
        <f>IFERROR(IF($B94="Please select",0,INDEX(IPCC!$A$1946:$J$1957,MATCH(clim_moist,IPCC!$A$1946:$A$1957,0),MATCH($C94,IPCC!$A$1946:$J$1946,0))),0)</f>
        <v/>
      </c>
      <c r="P94" s="1259">
        <f>IF('6.Inland wetlands'!$EF15="",'6.Inland wetlands'!$EE15,'6.Inland wetlands'!$EF15)</f>
        <v/>
      </c>
      <c r="Q94" s="3493" t="n">
        <v>0</v>
      </c>
      <c r="R94" s="3493">
        <f>SUM($J94,$P94)*44/12*E94</f>
        <v/>
      </c>
      <c r="S94" s="1151">
        <f>SUM($J94,$P94)*44/12*G94</f>
        <v/>
      </c>
      <c r="T94" s="3493" t="n">
        <v>0</v>
      </c>
      <c r="U94" s="1151">
        <f>$L94/1000*16/12*methane*E94</f>
        <v/>
      </c>
      <c r="V94" s="1151">
        <f>$L94/1000*16/12*methane*G94</f>
        <v/>
      </c>
      <c r="W94" s="3493" t="n">
        <v>0</v>
      </c>
      <c r="X94" s="1151">
        <f>$N94/1000*44/28*Nitrous*E94</f>
        <v/>
      </c>
      <c r="Y94" s="3494">
        <f>$N94/1000*44/28*Nitrous*G94</f>
        <v/>
      </c>
      <c r="AB94" s="3493">
        <f>MIN('Inl. wetlands'!$Q94,'Inl. wetlands'!$R94)*time_tot+ABS('Inl. wetlands'!$R94-'Inl. wetlands'!$Q94)*IF('Inl. wetlands'!$R94&gt;'Inl. wetlands'!$Q94,time_cap+time*(VLOOKUP('6.Inland wetlands'!O28,list!$I$48:$K$50,3,0)),time*(1-(VLOOKUP('6.Inland wetlands'!O28,list!$I$48:$K$50,3,0))))</f>
        <v/>
      </c>
      <c r="AC94" s="3493">
        <f>MIN('Inl. wetlands'!$Q94,'Inl. wetlands'!$S94)*time_tot+ABS('Inl. wetlands'!$S94-'Inl. wetlands'!$Q94)*IF('Inl. wetlands'!$S94&gt;'Inl. wetlands'!$Q94,time_cap+time*(VLOOKUP('6.Inland wetlands'!Q28,list!$I$48:$K$50,3,0)),time*(1-(VLOOKUP('6.Inland wetlands'!Q28,list!$I$48:$K$50,3,0))))</f>
        <v/>
      </c>
      <c r="AD94" s="3493">
        <f>MIN('Inl. wetlands'!$T94,'Inl. wetlands'!$U94)*time_tot+ABS('Inl. wetlands'!$U94-'Inl. wetlands'!$T94)*IF('Inl. wetlands'!$U94&gt;'Inl. wetlands'!$T94,time_cap+time*(VLOOKUP('6.Inland wetlands'!O28,list!$I$48:$K$50,3,0)),time*(1-(VLOOKUP('6.Inland wetlands'!O28,list!$I$48:$K$50,3,0))))</f>
        <v/>
      </c>
      <c r="AE94" s="3493">
        <f>MIN('Inl. wetlands'!$T94,'Inl. wetlands'!$V94)*time_tot+ABS('Inl. wetlands'!$V94-'Inl. wetlands'!$T94)*IF('Inl. wetlands'!$V94&gt;'Inl. wetlands'!$T94,time_cap+time*(VLOOKUP('6.Inland wetlands'!Q28,list!$I$48:$K$50,3,0)),time*(1-(VLOOKUP('6.Inland wetlands'!Q28,list!$I$48:$K$50,3,0))))</f>
        <v/>
      </c>
      <c r="AF94" s="3493">
        <f>MIN('Inl. wetlands'!$W94,'Inl. wetlands'!$X94)*time_tot+ABS('Inl. wetlands'!$X94-'Inl. wetlands'!$W94)*IF('Inl. wetlands'!$X94&gt;'Inl. wetlands'!$W94,time_cap+time*(VLOOKUP('6.Inland wetlands'!O28,list!$I$48:$K$50,3,0)),time*(1-(VLOOKUP('6.Inland wetlands'!O28,list!$I$48:$K$50,3,0))))</f>
        <v/>
      </c>
      <c r="AG94" s="3493">
        <f>MIN('Inl. wetlands'!$W94,'Inl. wetlands'!$Y94)*time_tot+ABS('Inl. wetlands'!$Y94-'Inl. wetlands'!$W94)*IF('Inl. wetlands'!$Y94&gt;'Inl. wetlands'!$W94,time_cap+time*(VLOOKUP('6.Inland wetlands'!Q28,list!$I$48:$K$50,3,0)),time*(1-(VLOOKUP('6.Inland wetlands'!Q28,list!$I$48:$K$50,3,0))))</f>
        <v/>
      </c>
      <c r="AI94" s="1270" t="inlineStr">
        <is>
          <t>Total emissions tCO2eq</t>
        </is>
      </c>
      <c r="AJ94" s="1116" t="n"/>
      <c r="AK94" s="1116" t="n"/>
      <c r="AX94" s="1449">
        <f>MIN($Q94,$R94)*time+ABS($R94-$Q94)*IF($R94&gt;$Q94,time*(VLOOKUP($H56,list!$J$48:$K$50,2,0)),time*(1-(VLOOKUP($H56,list!$J$48:$K$50,2,0))))</f>
        <v/>
      </c>
      <c r="AY94" s="1449">
        <f>MIN($Q94,$S94)*time+ABS($S94-$Q94)*IF($S94&gt;$Q94,time*(VLOOKUP($L56,list!$J$48:$K$50,2,0)),time*(1-(VLOOKUP($L56,list!$J$48:$K$50,2,0))))</f>
        <v/>
      </c>
      <c r="AZ94" s="1449">
        <f>MIN($T94,$U94)*time+ABS($U94-$T94)*IF($U94&gt;$T94,time*(VLOOKUP($H56,list!$J$48:$K$50,2,0)),time*(1-(VLOOKUP($H56,list!$J$48:$K$50,2,0))))</f>
        <v/>
      </c>
      <c r="BA94" s="1449">
        <f>MIN($T94,$V94)*time+ABS($V94-$T94)*IF($V94&gt;$T94,time*(VLOOKUP($L56,list!$J$48:$K$50,2,0)),time*(1-(VLOOKUP($L56,list!$J$48:$K$50,2,0))))</f>
        <v/>
      </c>
      <c r="BB94" s="1449">
        <f>MIN($W94,$X94)*time+ABS($X94-$W94)*IF($X94&gt;$W94,time*(VLOOKUP($H56,list!$J$48:$K$50,2,0)),time*(1-(VLOOKUP($H56,list!$J$48:$K$50,2,0))))</f>
        <v/>
      </c>
      <c r="BC94" s="1449">
        <f>MIN($W94,$Y94)*time+ABS($Y94-$W94)*IF($Y94&gt;$W94,time*(VLOOKUP($L56,list!$J$48:$K$50,2,0)),time*(1-(VLOOKUP($L56,list!$J$48:$K$50,2,0))))</f>
        <v/>
      </c>
      <c r="BD94" s="1449" t="n"/>
      <c r="BE94" s="1449" t="n"/>
      <c r="BF94" s="1449" t="n"/>
      <c r="BG94" s="1449" t="n"/>
    </row>
    <row r="95" ht="16" customHeight="1">
      <c r="A95" s="1493" t="inlineStr">
        <is>
          <t>S5</t>
        </is>
      </c>
      <c r="B95" s="973">
        <f>B57</f>
        <v/>
      </c>
      <c r="C95" s="973">
        <f>C57</f>
        <v/>
      </c>
      <c r="D95" s="992">
        <f>'6.Inland wetlands'!M17</f>
        <v/>
      </c>
      <c r="E95" s="992">
        <f>IF('6.Inland wetlands'!S29='6.Inland wetlands'!K29, 0, IF(('6.Inland wetlands'!T29-'6.Inland wetlands'!S29)-'6.Inland wetlands'!S17&gt;0,('6.Inland wetlands'!T29-'6.Inland wetlands'!S29)-'6.Inland wetlands'!S17,0))</f>
        <v/>
      </c>
      <c r="F95" s="1688">
        <f>H57</f>
        <v/>
      </c>
      <c r="G95" s="992">
        <f>IF(('6.Inland wetlands'!U29-'6.Inland wetlands'!S29)-'6.Inland wetlands'!T17&gt;0,('6.Inland wetlands'!U29-'6.Inland wetlands'!S29)-'6.Inland wetlands'!T17,0)</f>
        <v/>
      </c>
      <c r="H95" s="1688">
        <f>L57</f>
        <v/>
      </c>
      <c r="I95" s="1004">
        <f>IFERROR(IF($B95="Please select",0,IF($D$47="Nutrient poor",INDEX(IPCC!$A$1910:$J$1921,MATCH(clim_moist,IPCC!$A$1910:$A$1921,0),MATCH($C95,IPCC!$A$1910:$J$1910,0)),INDEX(IPCC!$A$1928:$J$1939,MATCH(clim_moist,IPCC!$A$1928:$A$1939,0),MATCH($C95,IPCC!$A$1928:$J$1928,0)))),0)</f>
        <v/>
      </c>
      <c r="J95" s="1259">
        <f>IF('6.Inland wetlands'!$DY16="",'6.Inland wetlands'!$DX16,'6.Inland wetlands'!$DY16)</f>
        <v/>
      </c>
      <c r="K95" s="1004">
        <f>IFERROR(IF($B95="Please select",0,IF($D$47="Nutrient poor",INDEX(IPCC!$A$1964:$J$1975,MATCH(clim_moist,IPCC!$A$1964:$A$1975,0),MATCH($C95,IPCC!$A$1964:$J$1964,0)),INDEX(IPCC!$A$1982:$J$1993,MATCH(clim_moist,IPCC!$A$1982:$A$1993,0),MATCH($C95,IPCC!$A$1982:$J$1982,0)))),0)</f>
        <v/>
      </c>
      <c r="L95" s="1259">
        <f>IF('6.Inland wetlands'!$EA16="",'6.Inland wetlands'!$DZ16,'6.Inland wetlands'!$EA16)</f>
        <v/>
      </c>
      <c r="M95" s="1004">
        <f>IFERROR(IF($B95="Please select",0,INDEX(IPCC!$A$2000:$J$2011,MATCH(clim_moist,IPCC!$A$2000:$A$2011,0),MATCH($C95,IPCC!$A$2000:$J$2000,0))),0)</f>
        <v/>
      </c>
      <c r="N95" s="1259">
        <f>IF('6.Inland wetlands'!$EC16="",'6.Inland wetlands'!$EB16,'6.Inland wetlands'!$EC16)</f>
        <v/>
      </c>
      <c r="O95" s="1260">
        <f>IFERROR(IF($B95="Please select",0,INDEX(IPCC!$A$1946:$J$1957,MATCH(clim_moist,IPCC!$A$1946:$A$1957,0),MATCH($C95,IPCC!$A$1946:$J$1946,0))),0)</f>
        <v/>
      </c>
      <c r="P95" s="1259">
        <f>IF('6.Inland wetlands'!$EF16="",'6.Inland wetlands'!$EE16,'6.Inland wetlands'!$EF16)</f>
        <v/>
      </c>
      <c r="Q95" s="3493" t="n">
        <v>0</v>
      </c>
      <c r="R95" s="3493">
        <f>SUM($J95,$P95)*44/12*E95</f>
        <v/>
      </c>
      <c r="S95" s="1151">
        <f>SUM($J95,$P95)*44/12*G95</f>
        <v/>
      </c>
      <c r="T95" s="3493" t="n">
        <v>0</v>
      </c>
      <c r="U95" s="1151">
        <f>$L95/1000*16/12*methane*E95</f>
        <v/>
      </c>
      <c r="V95" s="1151">
        <f>$L95/1000*16/12*methane*G95</f>
        <v/>
      </c>
      <c r="W95" s="3493" t="n">
        <v>0</v>
      </c>
      <c r="X95" s="1151">
        <f>$N95/1000*44/28*Nitrous*E95</f>
        <v/>
      </c>
      <c r="Y95" s="3494">
        <f>$N95/1000*44/28*Nitrous*G95</f>
        <v/>
      </c>
      <c r="AB95" s="3493">
        <f>MIN('Inl. wetlands'!$Q95,'Inl. wetlands'!$R95)*time_tot+ABS('Inl. wetlands'!$R95-'Inl. wetlands'!$Q95)*IF('Inl. wetlands'!$R95&gt;'Inl. wetlands'!$Q95,time_cap+time*(VLOOKUP('6.Inland wetlands'!O29,list!$I$48:$K$50,3,0)),time*(1-(VLOOKUP('6.Inland wetlands'!O29,list!$I$48:$K$50,3,0))))</f>
        <v/>
      </c>
      <c r="AC95" s="3493">
        <f>MIN('Inl. wetlands'!$Q95,'Inl. wetlands'!$S95)*time_tot+ABS('Inl. wetlands'!$S95-'Inl. wetlands'!$Q95)*IF('Inl. wetlands'!$S95&gt;'Inl. wetlands'!$Q95,time_cap+time*(VLOOKUP('6.Inland wetlands'!Q29,list!$I$48:$K$50,3,0)),time*(1-(VLOOKUP('6.Inland wetlands'!Q29,list!$I$48:$K$50,3,0))))</f>
        <v/>
      </c>
      <c r="AD95" s="3493">
        <f>MIN('Inl. wetlands'!$T95,'Inl. wetlands'!$U95)*time_tot+ABS('Inl. wetlands'!$U95-'Inl. wetlands'!$T95)*IF('Inl. wetlands'!$U95&gt;'Inl. wetlands'!$T95,time_cap+time*(VLOOKUP('6.Inland wetlands'!O29,list!$I$48:$K$50,3,0)),time*(1-(VLOOKUP('6.Inland wetlands'!O29,list!$I$48:$K$50,3,0))))</f>
        <v/>
      </c>
      <c r="AE95" s="3493">
        <f>MIN('Inl. wetlands'!$T95,'Inl. wetlands'!$V95)*time_tot+ABS('Inl. wetlands'!$V95-'Inl. wetlands'!$T95)*IF('Inl. wetlands'!$V95&gt;'Inl. wetlands'!$T95,time_cap+time*(VLOOKUP('6.Inland wetlands'!Q29,list!$I$48:$K$50,3,0)),time*(1-(VLOOKUP('6.Inland wetlands'!Q29,list!$I$48:$K$50,3,0))))</f>
        <v/>
      </c>
      <c r="AF95" s="3493">
        <f>MIN('Inl. wetlands'!$W95,'Inl. wetlands'!$X95)*time_tot+ABS('Inl. wetlands'!$X95-'Inl. wetlands'!$W95)*IF('Inl. wetlands'!$X95&gt;'Inl. wetlands'!$W95,time_cap+time*(VLOOKUP('6.Inland wetlands'!O29,list!$I$48:$K$50,3,0)),time*(1-(VLOOKUP('6.Inland wetlands'!O29,list!$I$48:$K$50,3,0))))</f>
        <v/>
      </c>
      <c r="AG95" s="3493">
        <f>MIN('Inl. wetlands'!$W95,'Inl. wetlands'!$Y95)*time_tot+ABS('Inl. wetlands'!$Y95-'Inl. wetlands'!$W95)*IF('Inl. wetlands'!$Y95&gt;'Inl. wetlands'!$W95,time_cap+time*(VLOOKUP('6.Inland wetlands'!Q29,list!$I$48:$K$50,3,0)),time*(1-(VLOOKUP('6.Inland wetlands'!Q29,list!$I$48:$K$50,3,0))))</f>
        <v/>
      </c>
      <c r="AI95" s="1270" t="inlineStr">
        <is>
          <t>ALL PERIOD</t>
        </is>
      </c>
      <c r="AJ95" s="1116" t="n"/>
      <c r="AK95" s="1116" t="n"/>
      <c r="AX95" s="1449">
        <f>MIN($Q95,$R95)*time+ABS($R95-$Q95)*IF($R95&gt;$Q95,time*(VLOOKUP($H57,list!$J$48:$K$50,2,0)),time*(1-(VLOOKUP($H57,list!$J$48:$K$50,2,0))))</f>
        <v/>
      </c>
      <c r="AY95" s="1449">
        <f>MIN($Q95,$S95)*time+ABS($S95-$Q95)*IF($S95&gt;$Q95,time*(VLOOKUP($L57,list!$J$48:$K$50,2,0)),time*(1-(VLOOKUP($L57,list!$J$48:$K$50,2,0))))</f>
        <v/>
      </c>
      <c r="AZ95" s="1449">
        <f>MIN($T95,$U95)*time+ABS($U95-$T95)*IF($U95&gt;$T95,time*(VLOOKUP($H57,list!$J$48:$K$50,2,0)),time*(1-(VLOOKUP($H57,list!$J$48:$K$50,2,0))))</f>
        <v/>
      </c>
      <c r="BA95" s="1449">
        <f>MIN($T95,$V95)*time+ABS($V95-$T95)*IF($V95&gt;$T95,time*(VLOOKUP($L57,list!$J$48:$K$50,2,0)),time*(1-(VLOOKUP($L57,list!$J$48:$K$50,2,0))))</f>
        <v/>
      </c>
      <c r="BB95" s="1449">
        <f>MIN($W95,$X95)*time+ABS($X95-$W95)*IF($X95&gt;$W95,time*(VLOOKUP($H57,list!$J$48:$K$50,2,0)),time*(1-(VLOOKUP($H57,list!$J$48:$K$50,2,0))))</f>
        <v/>
      </c>
      <c r="BC95" s="1449">
        <f>MIN($W95,$Y95)*time+ABS($Y95-$W95)*IF($Y95&gt;$W95,time*(VLOOKUP($L57,list!$J$48:$K$50,2,0)),time*(1-(VLOOKUP($L57,list!$J$48:$K$50,2,0))))</f>
        <v/>
      </c>
      <c r="BD95" s="1449" t="n"/>
      <c r="BE95" s="1449" t="n"/>
      <c r="BF95" s="1449" t="n"/>
      <c r="BG95" s="1449" t="n"/>
    </row>
    <row r="96" ht="16" customHeight="1">
      <c r="A96" s="1493" t="inlineStr">
        <is>
          <t>S6</t>
        </is>
      </c>
      <c r="B96" s="973">
        <f>B58</f>
        <v/>
      </c>
      <c r="C96" s="973">
        <f>C58</f>
        <v/>
      </c>
      <c r="D96" s="992">
        <f>'6.Inland wetlands'!M18</f>
        <v/>
      </c>
      <c r="E96" s="992">
        <f>IF('6.Inland wetlands'!S30='6.Inland wetlands'!K30, 0, IF(('6.Inland wetlands'!T30-'6.Inland wetlands'!S30)-'6.Inland wetlands'!S18&gt;0,('6.Inland wetlands'!T30-'6.Inland wetlands'!S30)-'6.Inland wetlands'!S18,0))</f>
        <v/>
      </c>
      <c r="F96" s="1688">
        <f>H58</f>
        <v/>
      </c>
      <c r="G96" s="992">
        <f>IF(('6.Inland wetlands'!U30-'6.Inland wetlands'!S30)-'6.Inland wetlands'!T18&gt;0,('6.Inland wetlands'!U30-'6.Inland wetlands'!S30)-'6.Inland wetlands'!T18,0)</f>
        <v/>
      </c>
      <c r="H96" s="1688">
        <f>L58</f>
        <v/>
      </c>
      <c r="I96" s="1004">
        <f>IFERROR(IF($B96="Please select",0,IF($D$47="Nutrient poor",INDEX(IPCC!$A$1910:$J$1921,MATCH(clim_moist,IPCC!$A$1910:$A$1921,0),MATCH($C96,IPCC!$A$1910:$J$1910,0)),INDEX(IPCC!$A$1928:$J$1939,MATCH(clim_moist,IPCC!$A$1928:$A$1939,0),MATCH($C96,IPCC!$A$1928:$J$1928,0)))),0)</f>
        <v/>
      </c>
      <c r="J96" s="1259">
        <f>IF('6.Inland wetlands'!$DY17="",'6.Inland wetlands'!$DX17,'6.Inland wetlands'!$DY17)</f>
        <v/>
      </c>
      <c r="K96" s="1004">
        <f>IFERROR(IF($B96="Please select",0,IF($D$47="Nutrient poor",INDEX(IPCC!$A$1964:$J$1975,MATCH(clim_moist,IPCC!$A$1964:$A$1975,0),MATCH($C96,IPCC!$A$1964:$J$1964,0)),INDEX(IPCC!$A$1982:$J$1993,MATCH(clim_moist,IPCC!$A$1982:$A$1993,0),MATCH($C96,IPCC!$A$1982:$J$1982,0)))),0)</f>
        <v/>
      </c>
      <c r="L96" s="1259">
        <f>IF('6.Inland wetlands'!$EA17="",'6.Inland wetlands'!$DZ17,'6.Inland wetlands'!$EA17)</f>
        <v/>
      </c>
      <c r="M96" s="1004">
        <f>IFERROR(IF($B96="Please select",0,INDEX(IPCC!$A$2000:$J$2011,MATCH(clim_moist,IPCC!$A$2000:$A$2011,0),MATCH($C96,IPCC!$A$2000:$J$2000,0))),0)</f>
        <v/>
      </c>
      <c r="N96" s="1259">
        <f>IF('6.Inland wetlands'!$EC17="",'6.Inland wetlands'!$EB17,'6.Inland wetlands'!$EC17)</f>
        <v/>
      </c>
      <c r="O96" s="1260">
        <f>IFERROR(IF($B96="Please select",0,INDEX(IPCC!$A$1946:$J$1957,MATCH(clim_moist,IPCC!$A$1946:$A$1957,0),MATCH($C96,IPCC!$A$1946:$J$1946,0))),0)</f>
        <v/>
      </c>
      <c r="P96" s="1259">
        <f>IF('6.Inland wetlands'!$EF17="",'6.Inland wetlands'!$EE17,'6.Inland wetlands'!$EF17)</f>
        <v/>
      </c>
      <c r="Q96" s="3493" t="n">
        <v>0</v>
      </c>
      <c r="R96" s="3493">
        <f>SUM($J96,$P96)*44/12*E96</f>
        <v/>
      </c>
      <c r="S96" s="1151">
        <f>SUM($J96,$P96)*44/12*G96</f>
        <v/>
      </c>
      <c r="T96" s="3493" t="n">
        <v>0</v>
      </c>
      <c r="U96" s="1151">
        <f>$L96/1000*16/12*methane*E96</f>
        <v/>
      </c>
      <c r="V96" s="1151">
        <f>$L96/1000*16/12*methane*G96</f>
        <v/>
      </c>
      <c r="W96" s="3493" t="n">
        <v>0</v>
      </c>
      <c r="X96" s="1151">
        <f>$N96/1000*44/28*Nitrous*E96</f>
        <v/>
      </c>
      <c r="Y96" s="3494">
        <f>$N96/1000*44/28*Nitrous*G96</f>
        <v/>
      </c>
      <c r="AB96" s="3493">
        <f>MIN('Inl. wetlands'!$Q96,'Inl. wetlands'!$R96)*time_tot+ABS('Inl. wetlands'!$R96-'Inl. wetlands'!$Q96)*IF('Inl. wetlands'!$R96&gt;'Inl. wetlands'!$Q96,time_cap+time*(VLOOKUP('6.Inland wetlands'!O30,list!$I$48:$K$50,3,0)),time*(1-(VLOOKUP('6.Inland wetlands'!O30,list!$I$48:$K$50,3,0))))</f>
        <v/>
      </c>
      <c r="AC96" s="3493">
        <f>MIN('Inl. wetlands'!$Q96,'Inl. wetlands'!$S96)*time_tot+ABS('Inl. wetlands'!$S96-'Inl. wetlands'!$Q96)*IF('Inl. wetlands'!$S96&gt;'Inl. wetlands'!$Q96,time_cap+time*(VLOOKUP('6.Inland wetlands'!Q30,list!$I$48:$K$50,3,0)),time*(1-(VLOOKUP('6.Inland wetlands'!Q30,list!$I$48:$K$50,3,0))))</f>
        <v/>
      </c>
      <c r="AD96" s="3493">
        <f>MIN('Inl. wetlands'!$T96,'Inl. wetlands'!$U96)*time_tot+ABS('Inl. wetlands'!$U96-'Inl. wetlands'!$T96)*IF('Inl. wetlands'!$U96&gt;'Inl. wetlands'!$T96,time_cap+time*(VLOOKUP('6.Inland wetlands'!O30,list!$I$48:$K$50,3,0)),time*(1-(VLOOKUP('6.Inland wetlands'!O30,list!$I$48:$K$50,3,0))))</f>
        <v/>
      </c>
      <c r="AE96" s="3493">
        <f>MIN('Inl. wetlands'!$T96,'Inl. wetlands'!$V96)*time_tot+ABS('Inl. wetlands'!$V96-'Inl. wetlands'!$T96)*IF('Inl. wetlands'!$V96&gt;'Inl. wetlands'!$T96,time_cap+time*(VLOOKUP('6.Inland wetlands'!Q30,list!$I$48:$K$50,3,0)),time*(1-(VLOOKUP('6.Inland wetlands'!Q30,list!$I$48:$K$50,3,0))))</f>
        <v/>
      </c>
      <c r="AF96" s="3493">
        <f>MIN('Inl. wetlands'!$W96,'Inl. wetlands'!$X96)*time_tot+ABS('Inl. wetlands'!$X96-'Inl. wetlands'!$W96)*IF('Inl. wetlands'!$X96&gt;'Inl. wetlands'!$W96,time_cap+time*(VLOOKUP('6.Inland wetlands'!O30,list!$I$48:$K$50,3,0)),time*(1-(VLOOKUP('6.Inland wetlands'!O30,list!$I$48:$K$50,3,0))))</f>
        <v/>
      </c>
      <c r="AG96" s="3493">
        <f>MIN('Inl. wetlands'!$W96,'Inl. wetlands'!$Y96)*time_tot+ABS('Inl. wetlands'!$Y96-'Inl. wetlands'!$W96)*IF('Inl. wetlands'!$Y96&gt;'Inl. wetlands'!$W96,time_cap+time*(VLOOKUP('6.Inland wetlands'!Q30,list!$I$48:$K$50,3,0)),time*(1-(VLOOKUP('6.Inland wetlands'!Q30,list!$I$48:$K$50,3,0))))</f>
        <v/>
      </c>
      <c r="AI96" s="1270" t="inlineStr">
        <is>
          <t>REWETTING</t>
        </is>
      </c>
      <c r="AJ96" s="1116" t="n"/>
      <c r="AK96" s="1116" t="n"/>
      <c r="AX96" s="1449">
        <f>MIN($Q96,$R96)*time+ABS($R96-$Q96)*IF($R96&gt;$Q96,time*(VLOOKUP($H58,list!$J$48:$K$50,2,0)),time*(1-(VLOOKUP($H58,list!$J$48:$K$50,2,0))))</f>
        <v/>
      </c>
      <c r="AY96" s="1449">
        <f>MIN($Q96,$S96)*time+ABS($S96-$Q96)*IF($S96&gt;$Q96,time*(VLOOKUP($L58,list!$J$48:$K$50,2,0)),time*(1-(VLOOKUP($L58,list!$J$48:$K$50,2,0))))</f>
        <v/>
      </c>
      <c r="AZ96" s="1449">
        <f>MIN($T96,$U96)*time+ABS($U96-$T96)*IF($U96&gt;$T96,time*(VLOOKUP($H58,list!$J$48:$K$50,2,0)),time*(1-(VLOOKUP($H58,list!$J$48:$K$50,2,0))))</f>
        <v/>
      </c>
      <c r="BA96" s="1449">
        <f>MIN($T96,$V96)*time+ABS($V96-$T96)*IF($V96&gt;$T96,time*(VLOOKUP($L58,list!$J$48:$K$50,2,0)),time*(1-(VLOOKUP($L58,list!$J$48:$K$50,2,0))))</f>
        <v/>
      </c>
      <c r="BB96" s="1449">
        <f>MIN($W96,$X96)*time+ABS($X96-$W96)*IF($X96&gt;$W96,time*(VLOOKUP($H58,list!$J$48:$K$50,2,0)),time*(1-(VLOOKUP($H58,list!$J$48:$K$50,2,0))))</f>
        <v/>
      </c>
      <c r="BC96" s="1449">
        <f>MIN($W96,$Y96)*time+ABS($Y96-$W96)*IF($Y96&gt;$W96,time*(VLOOKUP($L58,list!$J$48:$K$50,2,0)),time*(1-(VLOOKUP($L58,list!$J$48:$K$50,2,0))))</f>
        <v/>
      </c>
    </row>
    <row r="97">
      <c r="G97" s="992" t="n"/>
      <c r="H97" s="1688" t="n"/>
      <c r="I97" s="1688" t="n"/>
      <c r="J97" s="1164" t="n"/>
      <c r="K97" s="992" t="n"/>
      <c r="L97" s="1688" t="n"/>
      <c r="M97" s="1688" t="n"/>
      <c r="N97" s="1580" t="n"/>
      <c r="O97" s="1201" t="n"/>
      <c r="P97" s="1200" t="n"/>
      <c r="AI97" s="1102" t="inlineStr">
        <is>
          <t>WITHOUT</t>
        </is>
      </c>
      <c r="AJ97" s="1103" t="inlineStr">
        <is>
          <t>WITH</t>
        </is>
      </c>
      <c r="AK97" s="1104" t="inlineStr">
        <is>
          <t>BALANCE</t>
        </is>
      </c>
      <c r="BD97" s="1461" t="n"/>
      <c r="BE97" s="1461" t="n"/>
      <c r="BF97" s="1461" t="n"/>
      <c r="BG97" s="1461" t="n"/>
    </row>
    <row r="98" ht="18" customHeight="1">
      <c r="A98" s="1492" t="n"/>
      <c r="E98" s="1265" t="inlineStr">
        <is>
          <t>Rewetted area</t>
        </is>
      </c>
      <c r="I98" s="1473" t="inlineStr">
        <is>
          <t>On site emissions factors</t>
        </is>
      </c>
      <c r="J98" s="1474" t="n"/>
      <c r="K98" s="1474" t="n"/>
      <c r="L98" s="1475" t="n"/>
      <c r="M98" s="1474" t="n"/>
      <c r="N98" s="1476" t="n"/>
      <c r="O98" s="1476" t="inlineStr">
        <is>
          <t>Off-site EF</t>
        </is>
      </c>
      <c r="P98" s="1476" t="n"/>
      <c r="Q98" s="1481" t="inlineStr">
        <is>
          <t>Total emissions in tCO2-eq per year</t>
        </is>
      </c>
      <c r="R98" s="1482" t="n"/>
      <c r="S98" s="1482" t="n"/>
      <c r="T98" s="1482" t="n"/>
      <c r="U98" s="1482" t="n"/>
      <c r="V98" s="1482" t="n"/>
      <c r="W98" s="1482" t="n"/>
      <c r="X98" s="1482" t="n"/>
      <c r="Y98" s="1482" t="n"/>
      <c r="Z98" s="992" t="n"/>
      <c r="AA98" s="992" t="n"/>
      <c r="AB98" s="1505" t="inlineStr">
        <is>
          <t>REWETTING EMISSIONS</t>
        </is>
      </c>
      <c r="AC98" s="1470" t="n"/>
      <c r="AD98" s="1470" t="n"/>
      <c r="AE98" s="1470" t="n"/>
      <c r="AF98" s="1470" t="n"/>
      <c r="AG98" s="1470" t="n"/>
      <c r="AI98" s="3493">
        <f>'Inl. wetlands'!AB91+'Inl. wetlands'!AD91+'Inl. wetlands'!AF91+AB102+AD102+AF102</f>
        <v/>
      </c>
      <c r="AJ98" s="3493">
        <f>'Inl. wetlands'!AC91+'Inl. wetlands'!AE91+'Inl. wetlands'!AG91+AC102+AE102+AG102</f>
        <v/>
      </c>
      <c r="AK98" s="1465">
        <f>AJ98-AI98</f>
        <v/>
      </c>
      <c r="AX98" s="1451">
        <f>SUM(AX91:AX96)</f>
        <v/>
      </c>
      <c r="AY98" s="1451">
        <f>SUM(AY91:AY96)</f>
        <v/>
      </c>
      <c r="AZ98" s="1451">
        <f>SUM(AZ91:AZ96)</f>
        <v/>
      </c>
      <c r="BA98" s="1451">
        <f>SUM(BA91:BA96)</f>
        <v/>
      </c>
      <c r="BB98" s="1451">
        <f>SUM(BB91:BB96)</f>
        <v/>
      </c>
      <c r="BC98" s="1451">
        <f>SUM(BC91:BC96)</f>
        <v/>
      </c>
      <c r="BD98" s="1451" t="n"/>
      <c r="BE98" s="1451" t="n"/>
      <c r="BF98" s="1451" t="n"/>
      <c r="BG98" s="1451" t="n"/>
    </row>
    <row r="99" ht="16" customHeight="1">
      <c r="A99" s="1492" t="n"/>
      <c r="D99" s="1576" t="inlineStr">
        <is>
          <t>START</t>
        </is>
      </c>
      <c r="E99" s="1105" t="inlineStr">
        <is>
          <t>WITHOUT</t>
        </is>
      </c>
      <c r="F99" s="1105" t="n"/>
      <c r="G99" s="1106" t="inlineStr">
        <is>
          <t>WITH</t>
        </is>
      </c>
      <c r="H99" s="1106" t="n"/>
      <c r="I99" s="1477" t="inlineStr">
        <is>
          <t>CO2 (IPCC 2013)</t>
        </is>
      </c>
      <c r="J99" s="1478" t="n"/>
      <c r="K99" s="1477" t="inlineStr">
        <is>
          <t>CH4 (IPCC 2013)</t>
        </is>
      </c>
      <c r="L99" s="1478" t="n"/>
      <c r="M99" s="1477" t="inlineStr">
        <is>
          <t>N2O (IPCC 2013)</t>
        </is>
      </c>
      <c r="N99" s="1478" t="n"/>
      <c r="O99" s="1477" t="inlineStr">
        <is>
          <t>DOC (IPCC 2013)</t>
        </is>
      </c>
      <c r="P99" s="1478" t="n"/>
      <c r="Q99" s="1482" t="n"/>
      <c r="R99" s="1482" t="n"/>
      <c r="S99" s="1482" t="n"/>
      <c r="T99" s="1482" t="n"/>
      <c r="U99" s="1482" t="n"/>
      <c r="V99" s="1482" t="n"/>
      <c r="W99" s="1482" t="n"/>
      <c r="X99" s="1482" t="n"/>
      <c r="Y99" s="1482" t="n"/>
      <c r="Z99" s="992" t="n"/>
      <c r="AA99" s="992" t="n"/>
      <c r="AB99" s="1505" t="inlineStr">
        <is>
          <t>Emissions in tCO2-eq all period</t>
        </is>
      </c>
      <c r="AC99" s="1471" t="n"/>
      <c r="AD99" s="1471" t="n"/>
      <c r="AE99" s="1470" t="n"/>
      <c r="AF99" s="1471" t="n"/>
      <c r="AG99" s="1470" t="n"/>
      <c r="AI99" s="3493">
        <f>'Inl. wetlands'!AB92+'Inl. wetlands'!AD92+'Inl. wetlands'!AF92+AB103+AD103+AF103</f>
        <v/>
      </c>
      <c r="AJ99" s="3493">
        <f>'Inl. wetlands'!AC92+'Inl. wetlands'!AE92+'Inl. wetlands'!AG92+AC103+AE103+AG103</f>
        <v/>
      </c>
      <c r="AK99" s="1465">
        <f>AJ99-AI99</f>
        <v/>
      </c>
      <c r="AX99" s="1451" t="n"/>
      <c r="AY99" s="1451" t="n"/>
      <c r="AZ99" s="1451" t="n"/>
      <c r="BA99" s="1451" t="n"/>
      <c r="BB99" s="1451" t="n"/>
      <c r="BC99" s="1451" t="n"/>
      <c r="BD99" s="1451" t="n"/>
      <c r="BE99" s="1451" t="n"/>
      <c r="BF99" s="1451" t="n"/>
      <c r="BG99" s="1451" t="n"/>
    </row>
    <row r="100">
      <c r="A100" s="1462" t="n"/>
      <c r="B100" s="1281">
        <f>B89</f>
        <v/>
      </c>
      <c r="C100" s="1281" t="n"/>
      <c r="D100" s="1688" t="n"/>
      <c r="E100" s="1100" t="n"/>
      <c r="F100" s="1100" t="n"/>
      <c r="G100" s="1101" t="n"/>
      <c r="H100" s="1101" t="n"/>
      <c r="I100" s="1479" t="inlineStr">
        <is>
          <t>tC/ha/yr</t>
        </is>
      </c>
      <c r="J100" s="1479" t="n"/>
      <c r="K100" s="1479" t="inlineStr">
        <is>
          <t>kgCH4/ha/yr</t>
        </is>
      </c>
      <c r="L100" s="1479" t="n"/>
      <c r="M100" s="1479" t="inlineStr">
        <is>
          <t>kgN2O-N/ha/yr</t>
        </is>
      </c>
      <c r="N100" s="1479" t="n"/>
      <c r="O100" s="1479" t="inlineStr">
        <is>
          <t>tC/ha/yr</t>
        </is>
      </c>
      <c r="P100" s="1479" t="n"/>
      <c r="Q100" s="1482" t="inlineStr">
        <is>
          <t>CO2&amp;DOC</t>
        </is>
      </c>
      <c r="R100" s="1482" t="n"/>
      <c r="S100" s="1482" t="n"/>
      <c r="T100" s="1482" t="inlineStr">
        <is>
          <t>CH4</t>
        </is>
      </c>
      <c r="U100" s="1482" t="n"/>
      <c r="V100" s="1482" t="n"/>
      <c r="W100" s="1482" t="inlineStr">
        <is>
          <t>N2O-N</t>
        </is>
      </c>
      <c r="X100" s="1482" t="n"/>
      <c r="Y100" s="1482" t="n"/>
      <c r="Z100" s="992" t="n"/>
      <c r="AA100" s="992" t="n"/>
      <c r="AB100" s="1472" t="inlineStr">
        <is>
          <t>CO2&amp;DOC</t>
        </is>
      </c>
      <c r="AC100" s="1472" t="n"/>
      <c r="AD100" s="1472" t="inlineStr">
        <is>
          <t>CH4</t>
        </is>
      </c>
      <c r="AE100" s="1472" t="n"/>
      <c r="AF100" s="1472" t="inlineStr">
        <is>
          <t>N2O-N</t>
        </is>
      </c>
      <c r="AG100" s="1472" t="n"/>
      <c r="AI100" s="3493">
        <f>'Inl. wetlands'!AB93+'Inl. wetlands'!AD93+'Inl. wetlands'!AF93+AB104+AD104+AF104</f>
        <v/>
      </c>
      <c r="AJ100" s="3493">
        <f>'Inl. wetlands'!AC93+'Inl. wetlands'!AE93+'Inl. wetlands'!AG93+AC104+AE104+AG104</f>
        <v/>
      </c>
      <c r="AK100" s="1465">
        <f>AJ100-AI100</f>
        <v/>
      </c>
      <c r="AX100" s="1451" t="n"/>
      <c r="AY100" s="1451" t="n"/>
      <c r="AZ100" s="1451" t="n"/>
      <c r="BA100" s="1451" t="n"/>
      <c r="BB100" s="1451" t="n"/>
      <c r="BC100" s="1451" t="n"/>
      <c r="BD100" s="1451" t="n"/>
      <c r="BE100" s="1451" t="n"/>
      <c r="BF100" s="1451" t="n"/>
      <c r="BG100" s="1451" t="n"/>
    </row>
    <row r="101">
      <c r="A101" s="1462" t="n"/>
      <c r="B101" s="1281">
        <f>B90</f>
        <v/>
      </c>
      <c r="C101" s="1281">
        <f>C90</f>
        <v/>
      </c>
      <c r="D101" s="1688" t="inlineStr">
        <is>
          <t>ha</t>
        </is>
      </c>
      <c r="E101" s="1100">
        <f>E90</f>
        <v/>
      </c>
      <c r="F101" s="1100">
        <f>F90</f>
        <v/>
      </c>
      <c r="G101" s="1101">
        <f>G90</f>
        <v/>
      </c>
      <c r="H101" s="1101">
        <f>H90</f>
        <v/>
      </c>
      <c r="I101" s="1480" t="inlineStr">
        <is>
          <t>Default</t>
        </is>
      </c>
      <c r="J101" s="1480" t="inlineStr">
        <is>
          <t>Tier 2</t>
        </is>
      </c>
      <c r="K101" s="1480" t="inlineStr">
        <is>
          <t>Default</t>
        </is>
      </c>
      <c r="L101" s="1480" t="inlineStr">
        <is>
          <t>Tier 2</t>
        </is>
      </c>
      <c r="M101" s="1480" t="inlineStr">
        <is>
          <t>Default</t>
        </is>
      </c>
      <c r="N101" s="1480" t="inlineStr">
        <is>
          <t>Tier 2</t>
        </is>
      </c>
      <c r="O101" s="1480" t="inlineStr">
        <is>
          <t>Default</t>
        </is>
      </c>
      <c r="P101" s="1480" t="inlineStr">
        <is>
          <t>Tier 2</t>
        </is>
      </c>
      <c r="Q101" s="973" t="inlineStr">
        <is>
          <t>Start</t>
        </is>
      </c>
      <c r="R101" s="1100" t="inlineStr">
        <is>
          <t>Without</t>
        </is>
      </c>
      <c r="S101" s="1101" t="inlineStr">
        <is>
          <t>With</t>
        </is>
      </c>
      <c r="T101" s="973" t="inlineStr">
        <is>
          <t>Start</t>
        </is>
      </c>
      <c r="U101" s="1100" t="inlineStr">
        <is>
          <t>Without</t>
        </is>
      </c>
      <c r="V101" s="1101" t="inlineStr">
        <is>
          <t>With</t>
        </is>
      </c>
      <c r="W101" s="973" t="inlineStr">
        <is>
          <t>Start</t>
        </is>
      </c>
      <c r="X101" s="1100" t="inlineStr">
        <is>
          <t>Without</t>
        </is>
      </c>
      <c r="Y101" s="1101" t="inlineStr">
        <is>
          <t>With</t>
        </is>
      </c>
      <c r="Z101" s="992" t="n"/>
      <c r="AA101" s="992" t="n"/>
      <c r="AB101" s="1100" t="inlineStr">
        <is>
          <t>Without</t>
        </is>
      </c>
      <c r="AC101" s="1101" t="inlineStr">
        <is>
          <t>With</t>
        </is>
      </c>
      <c r="AD101" s="1100" t="inlineStr">
        <is>
          <t>Without</t>
        </is>
      </c>
      <c r="AE101" s="1101" t="inlineStr">
        <is>
          <t>With</t>
        </is>
      </c>
      <c r="AF101" s="1100" t="inlineStr">
        <is>
          <t>Without</t>
        </is>
      </c>
      <c r="AG101" s="1101" t="inlineStr">
        <is>
          <t>With</t>
        </is>
      </c>
      <c r="AI101" s="3493">
        <f>'Inl. wetlands'!AB94+'Inl. wetlands'!AD94+'Inl. wetlands'!AF94+AB105+AD105+AF105</f>
        <v/>
      </c>
      <c r="AJ101" s="3493">
        <f>'Inl. wetlands'!AC94+'Inl. wetlands'!AE94+'Inl. wetlands'!AG94+AC105+AE105+AG105</f>
        <v/>
      </c>
      <c r="AK101" s="1465">
        <f>AJ101-AI101</f>
        <v/>
      </c>
      <c r="AX101" s="1451" t="n"/>
      <c r="AY101" s="1451" t="n"/>
      <c r="AZ101" s="1451" t="n"/>
      <c r="BA101" s="1451" t="n"/>
      <c r="BB101" s="1451" t="n"/>
      <c r="BC101" s="1451" t="n"/>
      <c r="BD101" s="1451" t="n"/>
      <c r="BE101" s="1451" t="n"/>
      <c r="BF101" s="1451" t="n"/>
      <c r="BG101" s="1451" t="n"/>
    </row>
    <row r="102">
      <c r="A102" s="1493" t="inlineStr">
        <is>
          <t>S1</t>
        </is>
      </c>
      <c r="B102" s="973">
        <f>D53</f>
        <v/>
      </c>
      <c r="C102" s="1121">
        <f>E53</f>
        <v/>
      </c>
      <c r="D102" s="992">
        <f>N47</f>
        <v/>
      </c>
      <c r="E102" s="992">
        <f>IF('6.Inland wetlands'!S25='6.Inland wetlands'!K25, 0,'6.Inland wetlands'!T25-'Inl. wetlands'!E91)</f>
        <v/>
      </c>
      <c r="F102" s="1688">
        <f>F91</f>
        <v/>
      </c>
      <c r="G102" s="992">
        <f>IF('6.Inland wetlands'!S25='6.Inland wetlands'!K25, 0, '6.Inland wetlands'!U25-'Inl. wetlands'!G91)</f>
        <v/>
      </c>
      <c r="H102" s="1688">
        <f>H91</f>
        <v/>
      </c>
      <c r="I102" s="1004">
        <f>IFERROR(IF('Inl. wetlands'!$B102="Please select",0,IF('Inl. wetlands'!$J$47="Nutrient poor",INDEX(IPCC!$A$1910:$J$1921,MATCH(clim_moist,IPCC!$A$1910:$A$1921,0),MATCH('Inl. wetlands'!$C102,IPCC!$A$1910:$J$1910,0)),INDEX(IPCC!$A$1928:$J$1939,MATCH(clim_moist,IPCC!$A$1928:$A$1939,0),MATCH('Inl. wetlands'!$C102,IPCC!$A$1928:$J$1928,0)))),0)</f>
        <v/>
      </c>
      <c r="J102" s="1259">
        <f>IF('6.Inland wetlands'!$DY24="",'6.Inland wetlands'!$DX24,'6.Inland wetlands'!$DY24)</f>
        <v/>
      </c>
      <c r="K102" s="1004">
        <f>IFERROR(IF('Inl. wetlands'!$B102="Please select",0,IF('Inl. wetlands'!$J$47="Nutrient poor",INDEX(IPCC!$A$1964:$J$1975,MATCH(clim_moist,IPCC!$A$1964:$A$1975,0),MATCH('Inl. wetlands'!$C102,IPCC!$A$1964:$J$1964,0)),INDEX(IPCC!$A$1982:$J$1993,MATCH(clim_moist,IPCC!$A$1982:$A$1993,0),MATCH('Inl. wetlands'!$C102,IPCC!$A$1982:$J$1982,0)))),0)</f>
        <v/>
      </c>
      <c r="L102" s="1259">
        <f>IF('6.Inland wetlands'!$EA24="",'6.Inland wetlands'!$DZ24,'6.Inland wetlands'!$EA24)</f>
        <v/>
      </c>
      <c r="M102" s="1004">
        <f>IFERROR(IF('Inl. wetlands'!$B102="Please select",0,INDEX(IPCC!$A$2000:$J$2011,MATCH(clim_moist,IPCC!$A$2000:$A$2011,0),MATCH('Inl. wetlands'!$C102,IPCC!$A$2000:$J$2000,0))),0)</f>
        <v/>
      </c>
      <c r="N102" s="1259">
        <f>IF('6.Inland wetlands'!$EC24="",'6.Inland wetlands'!$EB24,'6.Inland wetlands'!$EC24)</f>
        <v/>
      </c>
      <c r="O102" s="1260">
        <f>IFERROR(IF('Inl. wetlands'!$B102="Please select",0,INDEX(IPCC!$A$1946:$J$1957,MATCH(clim_moist,IPCC!$A$1946:$A$1957,0),MATCH('Inl. wetlands'!$C102,IPCC!$A$1946:$J$1946,0))),0)</f>
        <v/>
      </c>
      <c r="P102" s="1259">
        <f>IF('6.Inland wetlands'!$EF24="",'6.Inland wetlands'!$EE24,'6.Inland wetlands'!$EF24)</f>
        <v/>
      </c>
      <c r="Q102" s="3493" t="n">
        <v>0</v>
      </c>
      <c r="R102" s="3493">
        <f>SUM('Inl. wetlands'!$J102,'Inl. wetlands'!$P102)*44/12*E102</f>
        <v/>
      </c>
      <c r="S102" s="1151">
        <f>SUM('Inl. wetlands'!$J102,'Inl. wetlands'!$P102)*44/12*G102</f>
        <v/>
      </c>
      <c r="T102" s="3493" t="n">
        <v>0</v>
      </c>
      <c r="U102" s="1151">
        <f>'Inl. wetlands'!$L102/1000*16/12*methane*E102</f>
        <v/>
      </c>
      <c r="V102" s="1151">
        <f>'Inl. wetlands'!$L102/1000*16/12*methane*G102</f>
        <v/>
      </c>
      <c r="W102" s="3493" t="n">
        <v>0</v>
      </c>
      <c r="X102" s="1151">
        <f>'Inl. wetlands'!$N102/1000*44/28*Nitrous*E102</f>
        <v/>
      </c>
      <c r="Y102" s="3494">
        <f>'Inl. wetlands'!$N102/1000*44/28*Nitrous*G102</f>
        <v/>
      </c>
      <c r="Z102" s="992" t="n"/>
      <c r="AA102" s="992" t="n"/>
      <c r="AB102" s="3493">
        <f>MIN('Inl. wetlands'!$Q102,'Inl. wetlands'!$R102)*time_tot+ABS('Inl. wetlands'!$R102-'Inl. wetlands'!$Q102)*IF('Inl. wetlands'!$R102&gt;'Inl. wetlands'!$Q102,time_cap+time*(VLOOKUP('6.Inland wetlands'!O25,list!$I$48:$K$50,3,0)),time*(1-(VLOOKUP('6.Inland wetlands'!O25,list!$I$48:$K$50,3,0))))</f>
        <v/>
      </c>
      <c r="AC102" s="3493">
        <f>MIN('Inl. wetlands'!$Q102,'Inl. wetlands'!$S102)*time_tot+ABS('Inl. wetlands'!$S102-'Inl. wetlands'!$Q102)*IF('Inl. wetlands'!$S102&gt;'Inl. wetlands'!$Q102,time_cap+time*(VLOOKUP('6.Inland wetlands'!Q25,list!$I$48:$K$50,3,0)),time*(1-(VLOOKUP('6.Inland wetlands'!Q25,list!$I$48:$K$50,3,0))))</f>
        <v/>
      </c>
      <c r="AD102" s="3493">
        <f>MIN('Inl. wetlands'!$T102,'Inl. wetlands'!$U102)*time_tot+ABS('Inl. wetlands'!$U102-'Inl. wetlands'!$T102)*IF('Inl. wetlands'!$U102&gt;'Inl. wetlands'!$T102,time_cap+time*(VLOOKUP('6.Inland wetlands'!O25,list!$I$48:$K$50,3,0)),time*(1-(VLOOKUP('6.Inland wetlands'!O25,list!$I$48:$K$50,3,0))))</f>
        <v/>
      </c>
      <c r="AE102" s="3493">
        <f>MIN('Inl. wetlands'!$T102,'Inl. wetlands'!$V102)*time_tot+ABS('Inl. wetlands'!$V102-'Inl. wetlands'!$T102)*IF('Inl. wetlands'!$V102&gt;'Inl. wetlands'!$T102,time_cap+time*(VLOOKUP('6.Inland wetlands'!Q25,list!$I$48:$K$50,3,0)),time*(1-(VLOOKUP('6.Inland wetlands'!Q25,list!$I$48:$K$50,3,0))))</f>
        <v/>
      </c>
      <c r="AF102" s="3493">
        <f>MIN('Inl. wetlands'!$W102,'Inl. wetlands'!$X102)*time_tot+ABS('Inl. wetlands'!$X102-'Inl. wetlands'!$W102)*IF('Inl. wetlands'!$X102&gt;'Inl. wetlands'!$W102,time_cap+time*(VLOOKUP('6.Inland wetlands'!O25,list!$I$48:$K$50,3,0)),time*(1-(VLOOKUP('6.Inland wetlands'!O25,list!$I$48:$K$50,3,0))))</f>
        <v/>
      </c>
      <c r="AG102" s="3493">
        <f>MIN('Inl. wetlands'!$W102,'Inl. wetlands'!$Y102)*time_tot+ABS('Inl. wetlands'!$Y102-'Inl. wetlands'!$W102)*IF('Inl. wetlands'!$Y102&gt;'Inl. wetlands'!$W102,time_cap+time*(VLOOKUP('6.Inland wetlands'!Q25,list!$I$48:$K$50,3,0)),time*(1-(VLOOKUP('6.Inland wetlands'!Q25,list!$I$48:$K$50,3,0))))</f>
        <v/>
      </c>
      <c r="AI102" s="3493">
        <f>'Inl. wetlands'!AB95+'Inl. wetlands'!AD95+'Inl. wetlands'!AF95+AB106+AD106+AF106</f>
        <v/>
      </c>
      <c r="AJ102" s="3493">
        <f>'Inl. wetlands'!AC95+'Inl. wetlands'!AE95+'Inl. wetlands'!AG95+AC106+AE106+AG106</f>
        <v/>
      </c>
      <c r="AK102" s="1465">
        <f>AJ102-AI102</f>
        <v/>
      </c>
      <c r="AX102" s="1451" t="n"/>
      <c r="AY102" s="1451" t="n"/>
      <c r="AZ102" s="1451" t="n"/>
      <c r="BA102" s="1451" t="n"/>
      <c r="BB102" s="1451" t="n"/>
      <c r="BC102" s="1451" t="n"/>
      <c r="BD102" s="1451" t="n"/>
      <c r="BE102" s="1451" t="n"/>
      <c r="BF102" s="1451" t="n"/>
      <c r="BG102" s="1451" t="n"/>
    </row>
    <row r="103">
      <c r="A103" s="1493" t="inlineStr">
        <is>
          <t>S2</t>
        </is>
      </c>
      <c r="B103" s="973">
        <f>D54</f>
        <v/>
      </c>
      <c r="C103" s="1121">
        <f>E54</f>
        <v/>
      </c>
      <c r="D103" s="992">
        <f>N48</f>
        <v/>
      </c>
      <c r="E103" s="992">
        <f>IF('6.Inland wetlands'!S26='6.Inland wetlands'!K26, 0,'6.Inland wetlands'!T26-'Inl. wetlands'!E92)</f>
        <v/>
      </c>
      <c r="F103" s="1688">
        <f>F92</f>
        <v/>
      </c>
      <c r="G103" s="992">
        <f>IF('6.Inland wetlands'!S26='6.Inland wetlands'!K26, 0, '6.Inland wetlands'!U26-'Inl. wetlands'!G92)</f>
        <v/>
      </c>
      <c r="H103" s="1688">
        <f>H92</f>
        <v/>
      </c>
      <c r="I103" s="1004">
        <f>IFERROR(IF('Inl. wetlands'!$B103="Please select",0,IF('Inl. wetlands'!$J$47="Nutrient poor",INDEX(IPCC!$A$1910:$J$1921,MATCH(clim_moist,IPCC!$A$1910:$A$1921,0),MATCH('Inl. wetlands'!$C103,IPCC!$A$1910:$J$1910,0)),INDEX(IPCC!$A$1928:$J$1939,MATCH(clim_moist,IPCC!$A$1928:$A$1939,0),MATCH('Inl. wetlands'!$C103,IPCC!$A$1928:$J$1928,0)))),0)</f>
        <v/>
      </c>
      <c r="J103" s="1259">
        <f>IF('6.Inland wetlands'!$DY25="",'6.Inland wetlands'!$DX25,'6.Inland wetlands'!$DY25)</f>
        <v/>
      </c>
      <c r="K103" s="1004">
        <f>IFERROR(IF('Inl. wetlands'!$B103="Please select",0,IF('Inl. wetlands'!$J$47="Nutrient poor",INDEX(IPCC!$A$1964:$J$1975,MATCH(clim_moist,IPCC!$A$1964:$A$1975,0),MATCH('Inl. wetlands'!$C103,IPCC!$A$1964:$J$1964,0)),INDEX(IPCC!$A$1982:$J$1993,MATCH(clim_moist,IPCC!$A$1982:$A$1993,0),MATCH('Inl. wetlands'!$C103,IPCC!$A$1982:$J$1982,0)))),0)</f>
        <v/>
      </c>
      <c r="L103" s="1259">
        <f>IF('6.Inland wetlands'!$EA25="",'6.Inland wetlands'!$DZ25,'6.Inland wetlands'!$EA25)</f>
        <v/>
      </c>
      <c r="M103" s="1004">
        <f>IFERROR(IF('Inl. wetlands'!$B103="Please select",0,INDEX(IPCC!$A$2000:$J$2011,MATCH(clim_moist,IPCC!$A$2000:$A$2011,0),MATCH('Inl. wetlands'!$C103,IPCC!$A$2000:$J$2000,0))),0)</f>
        <v/>
      </c>
      <c r="N103" s="1259">
        <f>IF('6.Inland wetlands'!$EC25="",'6.Inland wetlands'!$EB25,'6.Inland wetlands'!$EC25)</f>
        <v/>
      </c>
      <c r="O103" s="1260">
        <f>IFERROR(IF('Inl. wetlands'!$B103="Please select",0,INDEX(IPCC!$A$1946:$J$1957,MATCH(clim_moist,IPCC!$A$1946:$A$1957,0),MATCH('Inl. wetlands'!$C103,IPCC!$A$1946:$J$1946,0))),0)</f>
        <v/>
      </c>
      <c r="P103" s="1259">
        <f>IF('6.Inland wetlands'!$EF25="",'6.Inland wetlands'!$EE25,'6.Inland wetlands'!$EF25)</f>
        <v/>
      </c>
      <c r="Q103" s="3493" t="n">
        <v>0</v>
      </c>
      <c r="R103" s="3493">
        <f>SUM($J103,$P103)*44/12*E103</f>
        <v/>
      </c>
      <c r="S103" s="1151">
        <f>SUM($J103,$P103)*44/12*G103</f>
        <v/>
      </c>
      <c r="T103" s="3493" t="n">
        <v>0</v>
      </c>
      <c r="U103" s="1151">
        <f>$L103/1000*16/12*methane*E103</f>
        <v/>
      </c>
      <c r="V103" s="1151">
        <f>$L103/1000*16/12*methane*G103</f>
        <v/>
      </c>
      <c r="W103" s="3493" t="n">
        <v>0</v>
      </c>
      <c r="X103" s="1151">
        <f>$N103/1000*44/28*Nitrous*E103</f>
        <v/>
      </c>
      <c r="Y103" s="3494">
        <f>$N103/1000*44/28*Nitrous*G103</f>
        <v/>
      </c>
      <c r="Z103" s="992" t="n"/>
      <c r="AA103" s="992" t="n"/>
      <c r="AB103" s="3493">
        <f>MIN('Inl. wetlands'!$Q103,'Inl. wetlands'!$R103)*time_tot+ABS('Inl. wetlands'!$R103-'Inl. wetlands'!$Q103)*IF('Inl. wetlands'!$R103&gt;'Inl. wetlands'!$Q103,time_cap+time*(VLOOKUP('6.Inland wetlands'!O26,list!$I$48:$K$50,3,0)),time*(1-(VLOOKUP('6.Inland wetlands'!O26,list!$I$48:$K$50,3,0))))</f>
        <v/>
      </c>
      <c r="AC103" s="3493">
        <f>MIN('Inl. wetlands'!$Q103,'Inl. wetlands'!$S103)*time_tot+ABS('Inl. wetlands'!$S103-'Inl. wetlands'!$Q103)*IF('Inl. wetlands'!$S103&gt;'Inl. wetlands'!$Q103,time_cap+time*(VLOOKUP('6.Inland wetlands'!Q26,list!$I$48:$K$50,3,0)),time*(1-(VLOOKUP('6.Inland wetlands'!Q26,list!$I$48:$K$50,3,0))))</f>
        <v/>
      </c>
      <c r="AD103" s="3493">
        <f>MIN('Inl. wetlands'!$T103,'Inl. wetlands'!$U103)*time_tot+ABS('Inl. wetlands'!$U103-'Inl. wetlands'!$T103)*IF('Inl. wetlands'!$U103&gt;'Inl. wetlands'!$T103,time_cap+time*(VLOOKUP('6.Inland wetlands'!O26,list!$I$48:$K$50,3,0)),time*(1-(VLOOKUP('6.Inland wetlands'!O26,list!$I$48:$K$50,3,0))))</f>
        <v/>
      </c>
      <c r="AE103" s="3493">
        <f>MIN('Inl. wetlands'!$T103,'Inl. wetlands'!$V103)*time_tot+ABS('Inl. wetlands'!$V103-'Inl. wetlands'!$T103)*IF('Inl. wetlands'!$V103&gt;'Inl. wetlands'!$T103,time_cap+time*(VLOOKUP('6.Inland wetlands'!Q26,list!$I$48:$K$50,3,0)),time*(1-(VLOOKUP('6.Inland wetlands'!Q26,list!$I$48:$K$50,3,0))))</f>
        <v/>
      </c>
      <c r="AF103" s="3493">
        <f>MIN('Inl. wetlands'!$W103,'Inl. wetlands'!$X103)*time_tot+ABS('Inl. wetlands'!$X103-'Inl. wetlands'!$W103)*IF('Inl. wetlands'!$X103&gt;'Inl. wetlands'!$W103,time_cap+time*(VLOOKUP('6.Inland wetlands'!O26,list!$I$48:$K$50,3,0)),time*(1-(VLOOKUP('6.Inland wetlands'!O26,list!$I$48:$K$50,3,0))))</f>
        <v/>
      </c>
      <c r="AG103" s="3493">
        <f>MIN('Inl. wetlands'!$W103,'Inl. wetlands'!$Y103)*time_tot+ABS('Inl. wetlands'!$Y103-'Inl. wetlands'!$W103)*IF('Inl. wetlands'!$Y103&gt;'Inl. wetlands'!$W103,time_cap+time*(VLOOKUP('6.Inland wetlands'!Q26,list!$I$48:$K$50,3,0)),time*(1-(VLOOKUP('6.Inland wetlands'!Q26,list!$I$48:$K$50,3,0))))</f>
        <v/>
      </c>
      <c r="AI103" s="3493">
        <f>'Inl. wetlands'!AB96+'Inl. wetlands'!AD96+'Inl. wetlands'!AF96+AB107+AD107+AF107</f>
        <v/>
      </c>
      <c r="AJ103" s="3493">
        <f>'Inl. wetlands'!AC96+'Inl. wetlands'!AE96+'Inl. wetlands'!AG96+AC107+AE107+AG107</f>
        <v/>
      </c>
      <c r="AK103" s="1465">
        <f>AJ103-AI103</f>
        <v/>
      </c>
      <c r="AX103" s="1451" t="n"/>
      <c r="AY103" s="1451" t="n"/>
      <c r="AZ103" s="1451" t="n"/>
      <c r="BA103" s="1451" t="n"/>
      <c r="BB103" s="1451" t="n"/>
      <c r="BC103" s="1451" t="n"/>
      <c r="BD103" s="1451" t="n"/>
      <c r="BE103" s="1451" t="n"/>
      <c r="BF103" s="1451" t="n"/>
      <c r="BG103" s="1451" t="n"/>
    </row>
    <row r="104">
      <c r="A104" s="1493" t="inlineStr">
        <is>
          <t>S3</t>
        </is>
      </c>
      <c r="B104" s="973">
        <f>D55</f>
        <v/>
      </c>
      <c r="C104" s="1121">
        <f>E55</f>
        <v/>
      </c>
      <c r="D104" s="992">
        <f>N49</f>
        <v/>
      </c>
      <c r="E104" s="992">
        <f>IF('6.Inland wetlands'!S27='6.Inland wetlands'!K27, 0,'6.Inland wetlands'!T27-'Inl. wetlands'!E93)</f>
        <v/>
      </c>
      <c r="F104" s="1688">
        <f>F93</f>
        <v/>
      </c>
      <c r="G104" s="992">
        <f>IF('6.Inland wetlands'!S27='6.Inland wetlands'!K27, 0, '6.Inland wetlands'!U27-'Inl. wetlands'!G93)</f>
        <v/>
      </c>
      <c r="H104" s="1688">
        <f>H93</f>
        <v/>
      </c>
      <c r="I104" s="1004">
        <f>IFERROR(IF('Inl. wetlands'!$B104="Please select",0,IF('Inl. wetlands'!$J$47="Nutrient poor",INDEX(IPCC!$A$1910:$J$1921,MATCH(clim_moist,IPCC!$A$1910:$A$1921,0),MATCH('Inl. wetlands'!$C104,IPCC!$A$1910:$J$1910,0)),INDEX(IPCC!$A$1928:$J$1939,MATCH(clim_moist,IPCC!$A$1928:$A$1939,0),MATCH('Inl. wetlands'!$C104,IPCC!$A$1928:$J$1928,0)))),0)</f>
        <v/>
      </c>
      <c r="J104" s="1259">
        <f>IF('6.Inland wetlands'!$DY26="",'6.Inland wetlands'!$DX26,'6.Inland wetlands'!$DY26)</f>
        <v/>
      </c>
      <c r="K104" s="1004">
        <f>IFERROR(IF('Inl. wetlands'!$B104="Please select",0,IF('Inl. wetlands'!$J$47="Nutrient poor",INDEX(IPCC!$A$1964:$J$1975,MATCH(clim_moist,IPCC!$A$1964:$A$1975,0),MATCH('Inl. wetlands'!$C104,IPCC!$A$1964:$J$1964,0)),INDEX(IPCC!$A$1982:$J$1993,MATCH(clim_moist,IPCC!$A$1982:$A$1993,0),MATCH('Inl. wetlands'!$C104,IPCC!$A$1982:$J$1982,0)))),0)</f>
        <v/>
      </c>
      <c r="L104" s="1259">
        <f>IF('6.Inland wetlands'!$EA26="",'6.Inland wetlands'!$DZ26,'6.Inland wetlands'!$EA26)</f>
        <v/>
      </c>
      <c r="M104" s="1004">
        <f>IFERROR(IF('Inl. wetlands'!$B104="Please select",0,INDEX(IPCC!$A$2000:$J$2011,MATCH(clim_moist,IPCC!$A$2000:$A$2011,0),MATCH('Inl. wetlands'!$C104,IPCC!$A$2000:$J$2000,0))),0)</f>
        <v/>
      </c>
      <c r="N104" s="1259">
        <f>IF('6.Inland wetlands'!$EC26="",'6.Inland wetlands'!$EB26,'6.Inland wetlands'!$EC26)</f>
        <v/>
      </c>
      <c r="O104" s="1260">
        <f>IFERROR(IF('Inl. wetlands'!$B104="Please select",0,INDEX(IPCC!$A$1946:$J$1957,MATCH(clim_moist,IPCC!$A$1946:$A$1957,0),MATCH('Inl. wetlands'!$C104,IPCC!$A$1946:$J$1946,0))),0)</f>
        <v/>
      </c>
      <c r="P104" s="1259">
        <f>IF('6.Inland wetlands'!$EF26="",'6.Inland wetlands'!$EE26,'6.Inland wetlands'!$EF26)</f>
        <v/>
      </c>
      <c r="Q104" s="3493" t="n">
        <v>0</v>
      </c>
      <c r="R104" s="3493">
        <f>SUM($J104,$P104)*44/12*E104</f>
        <v/>
      </c>
      <c r="S104" s="1151">
        <f>SUM($J104,$P104)*44/12*G104</f>
        <v/>
      </c>
      <c r="T104" s="3493" t="n">
        <v>0</v>
      </c>
      <c r="U104" s="1151">
        <f>$L104/1000*16/12*methane*E104</f>
        <v/>
      </c>
      <c r="V104" s="1151">
        <f>$L104/1000*16/12*methane*G104</f>
        <v/>
      </c>
      <c r="W104" s="3493" t="n">
        <v>0</v>
      </c>
      <c r="X104" s="1151">
        <f>$N104/1000*44/28*Nitrous*E104</f>
        <v/>
      </c>
      <c r="Y104" s="3494">
        <f>$N104/1000*44/28*Nitrous*G104</f>
        <v/>
      </c>
      <c r="Z104" s="992" t="n"/>
      <c r="AA104" s="992" t="n"/>
      <c r="AB104" s="3493">
        <f>MIN('Inl. wetlands'!$Q104,'Inl. wetlands'!$R104)*time_tot+ABS('Inl. wetlands'!$R104-'Inl. wetlands'!$Q104)*IF('Inl. wetlands'!$R104&gt;'Inl. wetlands'!$Q104,time_cap+time*(VLOOKUP('6.Inland wetlands'!O27,list!$I$48:$K$50,3,0)),time*(1-(VLOOKUP('6.Inland wetlands'!O27,list!$I$48:$K$50,3,0))))</f>
        <v/>
      </c>
      <c r="AC104" s="3493">
        <f>MIN('Inl. wetlands'!$Q104,'Inl. wetlands'!$S104)*time_tot+ABS('Inl. wetlands'!$S104-'Inl. wetlands'!$Q104)*IF('Inl. wetlands'!$S104&gt;'Inl. wetlands'!$Q104,time_cap+time*(VLOOKUP('6.Inland wetlands'!Q27,list!$I$48:$K$50,3,0)),time*(1-(VLOOKUP('6.Inland wetlands'!Q27,list!$I$48:$K$50,3,0))))</f>
        <v/>
      </c>
      <c r="AD104" s="3493">
        <f>MIN('Inl. wetlands'!$T104,'Inl. wetlands'!$U104)*time_tot+ABS('Inl. wetlands'!$U104-'Inl. wetlands'!$T104)*IF('Inl. wetlands'!$U104&gt;'Inl. wetlands'!$T104,time_cap+time*(VLOOKUP('6.Inland wetlands'!O27,list!$I$48:$K$50,3,0)),time*(1-(VLOOKUP('6.Inland wetlands'!O27,list!$I$48:$K$50,3,0))))</f>
        <v/>
      </c>
      <c r="AE104" s="3493">
        <f>MIN('Inl. wetlands'!$T104,'Inl. wetlands'!$V104)*time_tot+ABS('Inl. wetlands'!$V104-'Inl. wetlands'!$T104)*IF('Inl. wetlands'!$V104&gt;'Inl. wetlands'!$T104,time_cap+time*(VLOOKUP('6.Inland wetlands'!Q27,list!$I$48:$K$50,3,0)),time*(1-(VLOOKUP('6.Inland wetlands'!Q27,list!$I$48:$K$50,3,0))))</f>
        <v/>
      </c>
      <c r="AF104" s="3493">
        <f>MIN('Inl. wetlands'!$W104,'Inl. wetlands'!$X104)*time_tot+ABS('Inl. wetlands'!$X104-'Inl. wetlands'!$W104)*IF('Inl. wetlands'!$X104&gt;'Inl. wetlands'!$W104,time_cap+time*(VLOOKUP('6.Inland wetlands'!O27,list!$I$48:$K$50,3,0)),time*(1-(VLOOKUP('6.Inland wetlands'!O27,list!$I$48:$K$50,3,0))))</f>
        <v/>
      </c>
      <c r="AG104" s="3493">
        <f>MIN('Inl. wetlands'!$W104,'Inl. wetlands'!$Y104)*time_tot+ABS('Inl. wetlands'!$Y104-'Inl. wetlands'!$W104)*IF('Inl. wetlands'!$Y104&gt;'Inl. wetlands'!$W104,time_cap+time*(VLOOKUP('6.Inland wetlands'!Q27,list!$I$48:$K$50,3,0)),time*(1-(VLOOKUP('6.Inland wetlands'!Q27,list!$I$48:$K$50,3,0))))</f>
        <v/>
      </c>
      <c r="AI104" s="992" t="n"/>
      <c r="AJ104" s="992" t="n"/>
      <c r="AK104" s="992" t="n"/>
      <c r="AX104" s="1451" t="n"/>
      <c r="AY104" s="1451" t="n"/>
      <c r="AZ104" s="1451" t="n"/>
      <c r="BA104" s="1451" t="n"/>
      <c r="BB104" s="1451" t="n"/>
      <c r="BC104" s="1451" t="n"/>
      <c r="BD104" s="1451" t="n"/>
      <c r="BE104" s="1451" t="n"/>
      <c r="BF104" s="1451" t="n"/>
      <c r="BG104" s="1451" t="n"/>
    </row>
    <row r="105">
      <c r="A105" s="1493" t="inlineStr">
        <is>
          <t>S4</t>
        </is>
      </c>
      <c r="B105" s="973">
        <f>D56</f>
        <v/>
      </c>
      <c r="C105" s="1121">
        <f>E56</f>
        <v/>
      </c>
      <c r="D105" s="992">
        <f>N50</f>
        <v/>
      </c>
      <c r="E105" s="992">
        <f>IF('6.Inland wetlands'!S28='6.Inland wetlands'!K28, 0,'6.Inland wetlands'!T28-'Inl. wetlands'!E94)</f>
        <v/>
      </c>
      <c r="F105" s="1688">
        <f>F94</f>
        <v/>
      </c>
      <c r="G105" s="992">
        <f>IF('6.Inland wetlands'!S28='6.Inland wetlands'!K28, 0, '6.Inland wetlands'!U28-'Inl. wetlands'!G94)</f>
        <v/>
      </c>
      <c r="H105" s="1688">
        <f>H94</f>
        <v/>
      </c>
      <c r="I105" s="1004">
        <f>IFERROR(IF('Inl. wetlands'!$B105="Please select",0,IF('Inl. wetlands'!$J$47="Nutrient poor",INDEX(IPCC!$A$1910:$J$1921,MATCH(clim_moist,IPCC!$A$1910:$A$1921,0),MATCH('Inl. wetlands'!$C105,IPCC!$A$1910:$J$1910,0)),INDEX(IPCC!$A$1928:$J$1939,MATCH(clim_moist,IPCC!$A$1928:$A$1939,0),MATCH('Inl. wetlands'!$C105,IPCC!$A$1928:$J$1928,0)))),0)</f>
        <v/>
      </c>
      <c r="J105" s="1259">
        <f>IF('6.Inland wetlands'!$DY27="",'6.Inland wetlands'!$DX27,'6.Inland wetlands'!$DY27)</f>
        <v/>
      </c>
      <c r="K105" s="1004">
        <f>IFERROR(IF('Inl. wetlands'!$B105="Please select",0,IF('Inl. wetlands'!$J$47="Nutrient poor",INDEX(IPCC!$A$1964:$J$1975,MATCH(clim_moist,IPCC!$A$1964:$A$1975,0),MATCH('Inl. wetlands'!$C105,IPCC!$A$1964:$J$1964,0)),INDEX(IPCC!$A$1982:$J$1993,MATCH(clim_moist,IPCC!$A$1982:$A$1993,0),MATCH('Inl. wetlands'!$C105,IPCC!$A$1982:$J$1982,0)))),0)</f>
        <v/>
      </c>
      <c r="L105" s="1259">
        <f>IF('6.Inland wetlands'!$EA27="",'6.Inland wetlands'!$DZ27,'6.Inland wetlands'!$EA27)</f>
        <v/>
      </c>
      <c r="M105" s="1004">
        <f>IFERROR(IF('Inl. wetlands'!$B105="Please select",0,INDEX(IPCC!$A$2000:$J$2011,MATCH(clim_moist,IPCC!$A$2000:$A$2011,0),MATCH('Inl. wetlands'!$C105,IPCC!$A$2000:$J$2000,0))),0)</f>
        <v/>
      </c>
      <c r="N105" s="1259">
        <f>IF('6.Inland wetlands'!$EC27="",'6.Inland wetlands'!$EB27,'6.Inland wetlands'!$EC27)</f>
        <v/>
      </c>
      <c r="O105" s="1260">
        <f>IFERROR(IF('Inl. wetlands'!$B105="Please select",0,INDEX(IPCC!$A$1946:$J$1957,MATCH(clim_moist,IPCC!$A$1946:$A$1957,0),MATCH('Inl. wetlands'!$C105,IPCC!$A$1946:$J$1946,0))),0)</f>
        <v/>
      </c>
      <c r="P105" s="1259">
        <f>IF('6.Inland wetlands'!$EF27="",'6.Inland wetlands'!$EE27,'6.Inland wetlands'!$EF27)</f>
        <v/>
      </c>
      <c r="Q105" s="3493" t="n">
        <v>0</v>
      </c>
      <c r="R105" s="3493">
        <f>SUM($J105,$P105)*44/12*E105</f>
        <v/>
      </c>
      <c r="S105" s="1151">
        <f>SUM($J105,$P105)*44/12*G105</f>
        <v/>
      </c>
      <c r="T105" s="3493" t="n">
        <v>0</v>
      </c>
      <c r="U105" s="1151">
        <f>$L105/1000*16/12*methane*E105</f>
        <v/>
      </c>
      <c r="V105" s="1151">
        <f>$L105/1000*16/12*methane*G105</f>
        <v/>
      </c>
      <c r="W105" s="3493" t="n">
        <v>0</v>
      </c>
      <c r="X105" s="1151">
        <f>$N105/1000*44/28*Nitrous*E105</f>
        <v/>
      </c>
      <c r="Y105" s="3494">
        <f>$N105/1000*44/28*Nitrous*G105</f>
        <v/>
      </c>
      <c r="Z105" s="992" t="n"/>
      <c r="AA105" s="992" t="n"/>
      <c r="AB105" s="3493">
        <f>MIN('Inl. wetlands'!$Q105,'Inl. wetlands'!$R105)*time_tot+ABS('Inl. wetlands'!$R105-'Inl. wetlands'!$Q105)*IF('Inl. wetlands'!$R105&gt;'Inl. wetlands'!$Q105,time_cap+time*(VLOOKUP('6.Inland wetlands'!O28,list!$I$48:$K$50,3,0)),time*(1-(VLOOKUP('6.Inland wetlands'!O28,list!$I$48:$K$50,3,0))))</f>
        <v/>
      </c>
      <c r="AC105" s="3493">
        <f>MIN('Inl. wetlands'!$Q105,'Inl. wetlands'!$S105)*time_tot+ABS('Inl. wetlands'!$S105-'Inl. wetlands'!$Q105)*IF('Inl. wetlands'!$S105&gt;'Inl. wetlands'!$Q105,time_cap+time*(VLOOKUP('6.Inland wetlands'!Q28,list!$I$48:$K$50,3,0)),time*(1-(VLOOKUP('6.Inland wetlands'!Q28,list!$I$48:$K$50,3,0))))</f>
        <v/>
      </c>
      <c r="AD105" s="3493">
        <f>MIN('Inl. wetlands'!$T105,'Inl. wetlands'!$U105)*time_tot+ABS('Inl. wetlands'!$U105-'Inl. wetlands'!$T105)*IF('Inl. wetlands'!$U105&gt;'Inl. wetlands'!$T105,time_cap+time*(VLOOKUP('6.Inland wetlands'!O28,list!$I$48:$K$50,3,0)),time*(1-(VLOOKUP('6.Inland wetlands'!O28,list!$I$48:$K$50,3,0))))</f>
        <v/>
      </c>
      <c r="AE105" s="3493">
        <f>MIN('Inl. wetlands'!$T105,'Inl. wetlands'!$V105)*time_tot+ABS('Inl. wetlands'!$V105-'Inl. wetlands'!$T105)*IF('Inl. wetlands'!$V105&gt;'Inl. wetlands'!$T105,time_cap+time*(VLOOKUP('6.Inland wetlands'!Q28,list!$I$48:$K$50,3,0)),time*(1-(VLOOKUP('6.Inland wetlands'!Q28,list!$I$48:$K$50,3,0))))</f>
        <v/>
      </c>
      <c r="AF105" s="3493">
        <f>MIN('Inl. wetlands'!$W105,'Inl. wetlands'!$X105)*time_tot+ABS('Inl. wetlands'!$X105-'Inl. wetlands'!$W105)*IF('Inl. wetlands'!$X105&gt;'Inl. wetlands'!$W105,time_cap+time*(VLOOKUP('6.Inland wetlands'!O28,list!$I$48:$K$50,3,0)),time*(1-(VLOOKUP('6.Inland wetlands'!O28,list!$I$48:$K$50,3,0))))</f>
        <v/>
      </c>
      <c r="AG105" s="3493">
        <f>MIN('Inl. wetlands'!$W105,'Inl. wetlands'!$Y105)*time_tot+ABS('Inl. wetlands'!$Y105-'Inl. wetlands'!$W105)*IF('Inl. wetlands'!$Y105&gt;'Inl. wetlands'!$W105,time_cap+time*(VLOOKUP('6.Inland wetlands'!Q28,list!$I$48:$K$50,3,0)),time*(1-(VLOOKUP('6.Inland wetlands'!Q28,list!$I$48:$K$50,3,0))))</f>
        <v/>
      </c>
      <c r="AI105" s="992" t="n"/>
      <c r="AJ105" s="992" t="n"/>
      <c r="AK105" s="992" t="n"/>
      <c r="AX105" s="1451" t="n"/>
      <c r="AY105" s="1451" t="n"/>
      <c r="AZ105" s="1451" t="n"/>
      <c r="BA105" s="1451" t="n"/>
      <c r="BB105" s="1451" t="n"/>
      <c r="BC105" s="1451" t="n"/>
      <c r="BD105" s="1451" t="n"/>
      <c r="BE105" s="1451" t="n"/>
      <c r="BF105" s="1451" t="n"/>
      <c r="BG105" s="1451" t="n"/>
    </row>
    <row r="106">
      <c r="A106" s="1493" t="inlineStr">
        <is>
          <t>S5</t>
        </is>
      </c>
      <c r="B106" s="973">
        <f>D57</f>
        <v/>
      </c>
      <c r="C106" s="1121">
        <f>E57</f>
        <v/>
      </c>
      <c r="D106" s="992">
        <f>N51</f>
        <v/>
      </c>
      <c r="E106" s="992">
        <f>IF('6.Inland wetlands'!S29='6.Inland wetlands'!K29, 0,'6.Inland wetlands'!T29-'Inl. wetlands'!E95)</f>
        <v/>
      </c>
      <c r="F106" s="1688">
        <f>F95</f>
        <v/>
      </c>
      <c r="G106" s="992">
        <f>IF('6.Inland wetlands'!S29='6.Inland wetlands'!K29, 0, '6.Inland wetlands'!U29-'Inl. wetlands'!G95)</f>
        <v/>
      </c>
      <c r="H106" s="1688">
        <f>H95</f>
        <v/>
      </c>
      <c r="I106" s="1004">
        <f>IFERROR(IF('Inl. wetlands'!$B106="Please select",0,IF('Inl. wetlands'!$J$47="Nutrient poor",INDEX(IPCC!$A$1910:$J$1921,MATCH(clim_moist,IPCC!$A$1910:$A$1921,0),MATCH('Inl. wetlands'!$C106,IPCC!$A$1910:$J$1910,0)),INDEX(IPCC!$A$1928:$J$1939,MATCH(clim_moist,IPCC!$A$1928:$A$1939,0),MATCH('Inl. wetlands'!$C106,IPCC!$A$1928:$J$1928,0)))),0)</f>
        <v/>
      </c>
      <c r="J106" s="1259">
        <f>IF('6.Inland wetlands'!$DY28="",'6.Inland wetlands'!$DX28,'6.Inland wetlands'!$DY28)</f>
        <v/>
      </c>
      <c r="K106" s="1004">
        <f>IFERROR(IF('Inl. wetlands'!$B106="Please select",0,IF('Inl. wetlands'!$J$47="Nutrient poor",INDEX(IPCC!$A$1964:$J$1975,MATCH(clim_moist,IPCC!$A$1964:$A$1975,0),MATCH('Inl. wetlands'!$C106,IPCC!$A$1964:$J$1964,0)),INDEX(IPCC!$A$1982:$J$1993,MATCH(clim_moist,IPCC!$A$1982:$A$1993,0),MATCH('Inl. wetlands'!$C106,IPCC!$A$1982:$J$1982,0)))),0)</f>
        <v/>
      </c>
      <c r="L106" s="1259">
        <f>IF('6.Inland wetlands'!$EA28="",'6.Inland wetlands'!$DZ28,'6.Inland wetlands'!$EA28)</f>
        <v/>
      </c>
      <c r="M106" s="1004">
        <f>IFERROR(IF('Inl. wetlands'!$B106="Please select",0,INDEX(IPCC!$A$2000:$J$2011,MATCH(clim_moist,IPCC!$A$2000:$A$2011,0),MATCH('Inl. wetlands'!$C106,IPCC!$A$2000:$J$2000,0))),0)</f>
        <v/>
      </c>
      <c r="N106" s="1259">
        <f>IF('6.Inland wetlands'!$EC28="",'6.Inland wetlands'!$EB28,'6.Inland wetlands'!$EC28)</f>
        <v/>
      </c>
      <c r="O106" s="1260">
        <f>IFERROR(IF('Inl. wetlands'!$B106="Please select",0,INDEX(IPCC!$A$1946:$J$1957,MATCH(clim_moist,IPCC!$A$1946:$A$1957,0),MATCH('Inl. wetlands'!$C106,IPCC!$A$1946:$J$1946,0))),0)</f>
        <v/>
      </c>
      <c r="P106" s="1259">
        <f>IF('6.Inland wetlands'!$EF28="",'6.Inland wetlands'!$EE28,'6.Inland wetlands'!$EF28)</f>
        <v/>
      </c>
      <c r="Q106" s="3493" t="n">
        <v>0</v>
      </c>
      <c r="R106" s="3493">
        <f>SUM($J106,$P106)*44/12*E106</f>
        <v/>
      </c>
      <c r="S106" s="1151">
        <f>SUM($J106,$P106)*44/12*G106</f>
        <v/>
      </c>
      <c r="T106" s="3493" t="n">
        <v>0</v>
      </c>
      <c r="U106" s="1151">
        <f>$L106/1000*16/12*methane*E106</f>
        <v/>
      </c>
      <c r="V106" s="1151">
        <f>$L106/1000*16/12*methane*G106</f>
        <v/>
      </c>
      <c r="W106" s="3493" t="n">
        <v>0</v>
      </c>
      <c r="X106" s="1151">
        <f>$N106/1000*44/28*Nitrous*E106</f>
        <v/>
      </c>
      <c r="Y106" s="3494">
        <f>$N106/1000*44/28*Nitrous*G106</f>
        <v/>
      </c>
      <c r="Z106" s="992" t="n"/>
      <c r="AA106" s="992" t="n"/>
      <c r="AB106" s="3493">
        <f>MIN('Inl. wetlands'!$Q106,'Inl. wetlands'!$R106)*time_tot+ABS('Inl. wetlands'!$R106-'Inl. wetlands'!$Q106)*IF('Inl. wetlands'!$R106&gt;'Inl. wetlands'!$Q106,time_cap+time*(VLOOKUP('6.Inland wetlands'!O29,list!$I$48:$K$50,3,0)),time*(1-(VLOOKUP('6.Inland wetlands'!O29,list!$I$48:$K$50,3,0))))</f>
        <v/>
      </c>
      <c r="AC106" s="3493">
        <f>MIN('Inl. wetlands'!$Q106,'Inl. wetlands'!$S106)*time_tot+ABS('Inl. wetlands'!$S106-'Inl. wetlands'!$Q106)*IF('Inl. wetlands'!$S106&gt;'Inl. wetlands'!$Q106,time_cap+time*(VLOOKUP('6.Inland wetlands'!Q29,list!$I$48:$K$50,3,0)),time*(1-(VLOOKUP('6.Inland wetlands'!Q29,list!$I$48:$K$50,3,0))))</f>
        <v/>
      </c>
      <c r="AD106" s="3493">
        <f>MIN('Inl. wetlands'!$T106,'Inl. wetlands'!$U106)*time_tot+ABS('Inl. wetlands'!$U106-'Inl. wetlands'!$T106)*IF('Inl. wetlands'!$U106&gt;'Inl. wetlands'!$T106,time_cap+time*(VLOOKUP('6.Inland wetlands'!O29,list!$I$48:$K$50,3,0)),time*(1-(VLOOKUP('6.Inland wetlands'!O29,list!$I$48:$K$50,3,0))))</f>
        <v/>
      </c>
      <c r="AE106" s="3493">
        <f>MIN('Inl. wetlands'!$T106,'Inl. wetlands'!$V106)*time_tot+ABS('Inl. wetlands'!$V106-'Inl. wetlands'!$T106)*IF('Inl. wetlands'!$V106&gt;'Inl. wetlands'!$T106,time_cap+time*(VLOOKUP('6.Inland wetlands'!Q29,list!$I$48:$K$50,3,0)),time*(1-(VLOOKUP('6.Inland wetlands'!Q29,list!$I$48:$K$50,3,0))))</f>
        <v/>
      </c>
      <c r="AF106" s="3493">
        <f>MIN('Inl. wetlands'!$W106,'Inl. wetlands'!$X106)*time_tot+ABS('Inl. wetlands'!$X106-'Inl. wetlands'!$W106)*IF('Inl. wetlands'!$X106&gt;'Inl. wetlands'!$W106,time_cap+time*(VLOOKUP('6.Inland wetlands'!O29,list!$I$48:$K$50,3,0)),time*(1-(VLOOKUP('6.Inland wetlands'!O29,list!$I$48:$K$50,3,0))))</f>
        <v/>
      </c>
      <c r="AG106" s="3493">
        <f>MIN('Inl. wetlands'!$W106,'Inl. wetlands'!$Y106)*time_tot+ABS('Inl. wetlands'!$Y106-'Inl. wetlands'!$W106)*IF('Inl. wetlands'!$Y106&gt;'Inl. wetlands'!$W106,time_cap+time*(VLOOKUP('6.Inland wetlands'!Q29,list!$I$48:$K$50,3,0)),time*(1-(VLOOKUP('6.Inland wetlands'!Q29,list!$I$48:$K$50,3,0))))</f>
        <v/>
      </c>
      <c r="AI106" s="992" t="n"/>
      <c r="AJ106" s="992" t="n"/>
      <c r="AK106" s="992" t="n"/>
      <c r="AX106" s="1451" t="n"/>
      <c r="AY106" s="1451" t="n"/>
      <c r="AZ106" s="1451" t="n"/>
      <c r="BA106" s="1451" t="n"/>
      <c r="BB106" s="1451" t="n"/>
      <c r="BC106" s="1451" t="n"/>
      <c r="BD106" s="1451" t="n"/>
      <c r="BE106" s="1451" t="n"/>
      <c r="BF106" s="1451" t="n"/>
      <c r="BG106" s="1451" t="n"/>
    </row>
    <row r="107">
      <c r="A107" s="1493" t="inlineStr">
        <is>
          <t>S6</t>
        </is>
      </c>
      <c r="B107" s="973">
        <f>D58</f>
        <v/>
      </c>
      <c r="C107" s="1121">
        <f>E58</f>
        <v/>
      </c>
      <c r="D107" s="992">
        <f>N52</f>
        <v/>
      </c>
      <c r="E107" s="992">
        <f>IF('6.Inland wetlands'!S30='6.Inland wetlands'!K30, 0,'6.Inland wetlands'!T30-'Inl. wetlands'!E96)</f>
        <v/>
      </c>
      <c r="F107" s="1688">
        <f>F96</f>
        <v/>
      </c>
      <c r="G107" s="992">
        <f>IF('6.Inland wetlands'!S30='6.Inland wetlands'!K30, 0, '6.Inland wetlands'!U30-'Inl. wetlands'!G96)</f>
        <v/>
      </c>
      <c r="H107" s="1688">
        <f>H96</f>
        <v/>
      </c>
      <c r="I107" s="1004">
        <f>IFERROR(IF('Inl. wetlands'!$B107="Please select",0,IF('Inl. wetlands'!$J$47="Nutrient poor",INDEX(IPCC!$A$1910:$J$1921,MATCH(clim_moist,IPCC!$A$1910:$A$1921,0),MATCH('Inl. wetlands'!$C107,IPCC!$A$1910:$J$1910,0)),INDEX(IPCC!$A$1928:$J$1939,MATCH(clim_moist,IPCC!$A$1928:$A$1939,0),MATCH('Inl. wetlands'!$C107,IPCC!$A$1928:$J$1928,0)))),0)</f>
        <v/>
      </c>
      <c r="J107" s="1259">
        <f>IF('6.Inland wetlands'!$DY29="",'6.Inland wetlands'!$DX29,'6.Inland wetlands'!$DY29)</f>
        <v/>
      </c>
      <c r="K107" s="1004">
        <f>IFERROR(IF('Inl. wetlands'!$B107="Please select",0,IF('Inl. wetlands'!$J$47="Nutrient poor",INDEX(IPCC!$A$1964:$J$1975,MATCH(clim_moist,IPCC!$A$1964:$A$1975,0),MATCH('Inl. wetlands'!$C107,IPCC!$A$1964:$J$1964,0)),INDEX(IPCC!$A$1982:$J$1993,MATCH(clim_moist,IPCC!$A$1982:$A$1993,0),MATCH('Inl. wetlands'!$C107,IPCC!$A$1982:$J$1982,0)))),0)</f>
        <v/>
      </c>
      <c r="L107" s="1259">
        <f>IF('6.Inland wetlands'!$EA29="",'6.Inland wetlands'!$DZ29,'6.Inland wetlands'!$EA29)</f>
        <v/>
      </c>
      <c r="M107" s="1004">
        <f>IFERROR(IF('Inl. wetlands'!$B107="Please select",0,INDEX(IPCC!$A$2000:$J$2011,MATCH(clim_moist,IPCC!$A$2000:$A$2011,0),MATCH('Inl. wetlands'!$C107,IPCC!$A$2000:$J$2000,0))),0)</f>
        <v/>
      </c>
      <c r="N107" s="1259">
        <f>IF('6.Inland wetlands'!$EC29="",'6.Inland wetlands'!$EB29,'6.Inland wetlands'!$EC29)</f>
        <v/>
      </c>
      <c r="O107" s="1260">
        <f>IFERROR(IF('Inl. wetlands'!$B107="Please select",0,INDEX(IPCC!$A$1946:$J$1957,MATCH(clim_moist,IPCC!$A$1946:$A$1957,0),MATCH('Inl. wetlands'!$C107,IPCC!$A$1946:$J$1946,0))),0)</f>
        <v/>
      </c>
      <c r="P107" s="1259">
        <f>IF('6.Inland wetlands'!$EF29="",'6.Inland wetlands'!$EE29,'6.Inland wetlands'!$EF29)</f>
        <v/>
      </c>
      <c r="Q107" s="3493" t="n">
        <v>0</v>
      </c>
      <c r="R107" s="3493">
        <f>SUM($J107,$P107)*44/12*E107</f>
        <v/>
      </c>
      <c r="S107" s="1151">
        <f>SUM($J107,$P107)*44/12*G107</f>
        <v/>
      </c>
      <c r="T107" s="3493" t="n">
        <v>0</v>
      </c>
      <c r="U107" s="1151">
        <f>$L107/1000*16/12*methane*E107</f>
        <v/>
      </c>
      <c r="V107" s="1151">
        <f>$L107/1000*16/12*methane*G107</f>
        <v/>
      </c>
      <c r="W107" s="3493" t="n">
        <v>0</v>
      </c>
      <c r="X107" s="1151">
        <f>$N107/1000*44/28*Nitrous*E107</f>
        <v/>
      </c>
      <c r="Y107" s="3494">
        <f>$N107/1000*44/28*Nitrous*G107</f>
        <v/>
      </c>
      <c r="Z107" s="992" t="n"/>
      <c r="AA107" s="992" t="n"/>
      <c r="AB107" s="3493">
        <f>MIN('Inl. wetlands'!$Q107,'Inl. wetlands'!$R107)*time_tot+ABS('Inl. wetlands'!$R107-'Inl. wetlands'!$Q107)*IF('Inl. wetlands'!$R107&gt;'Inl. wetlands'!$Q107,time_cap+time*(VLOOKUP('6.Inland wetlands'!O30,list!$I$48:$K$50,3,0)),time*(1-(VLOOKUP('6.Inland wetlands'!O30,list!$I$48:$K$50,3,0))))</f>
        <v/>
      </c>
      <c r="AC107" s="3493">
        <f>MIN('Inl. wetlands'!$Q107,'Inl. wetlands'!$S107)*time_tot+ABS('Inl. wetlands'!$S107-'Inl. wetlands'!$Q107)*IF('Inl. wetlands'!$S107&gt;'Inl. wetlands'!$Q107,time_cap+time*(VLOOKUP('6.Inland wetlands'!Q30,list!$I$48:$K$50,3,0)),time*(1-(VLOOKUP('6.Inland wetlands'!Q30,list!$I$48:$K$50,3,0))))</f>
        <v/>
      </c>
      <c r="AD107" s="3493">
        <f>MIN('Inl. wetlands'!$T107,'Inl. wetlands'!$U107)*time_tot+ABS('Inl. wetlands'!$U107-'Inl. wetlands'!$T107)*IF('Inl. wetlands'!$U107&gt;'Inl. wetlands'!$T107,time_cap+time*(VLOOKUP('6.Inland wetlands'!O30,list!$I$48:$K$50,3,0)),time*(1-(VLOOKUP('6.Inland wetlands'!O30,list!$I$48:$K$50,3,0))))</f>
        <v/>
      </c>
      <c r="AE107" s="3493">
        <f>MIN('Inl. wetlands'!$T107,'Inl. wetlands'!$V107)*time_tot+ABS('Inl. wetlands'!$V107-'Inl. wetlands'!$T107)*IF('Inl. wetlands'!$V107&gt;'Inl. wetlands'!$T107,time_cap+time*(VLOOKUP('6.Inland wetlands'!Q30,list!$I$48:$K$50,3,0)),time*(1-(VLOOKUP('6.Inland wetlands'!Q30,list!$I$48:$K$50,3,0))))</f>
        <v/>
      </c>
      <c r="AF107" s="3493">
        <f>MIN('Inl. wetlands'!$W107,'Inl. wetlands'!$X107)*time_tot+ABS('Inl. wetlands'!$X107-'Inl. wetlands'!$W107)*IF('Inl. wetlands'!$X107&gt;'Inl. wetlands'!$W107,time_cap+time*(VLOOKUP('6.Inland wetlands'!O30,list!$I$48:$K$50,3,0)),time*(1-(VLOOKUP('6.Inland wetlands'!O30,list!$I$48:$K$50,3,0))))</f>
        <v/>
      </c>
      <c r="AG107" s="3493">
        <f>MIN('Inl. wetlands'!$W107,'Inl. wetlands'!$Y107)*time_tot+ABS('Inl. wetlands'!$Y107-'Inl. wetlands'!$W107)*IF('Inl. wetlands'!$Y107&gt;'Inl. wetlands'!$W107,time_cap+time*(VLOOKUP('6.Inland wetlands'!Q30,list!$I$48:$K$50,3,0)),time*(1-(VLOOKUP('6.Inland wetlands'!Q30,list!$I$48:$K$50,3,0))))</f>
        <v/>
      </c>
      <c r="AI107" s="992" t="n"/>
      <c r="AJ107" s="992" t="n"/>
      <c r="AK107" s="992" t="n"/>
      <c r="AX107" s="1451" t="n"/>
      <c r="AY107" s="1451" t="n"/>
      <c r="AZ107" s="1451" t="n"/>
      <c r="BA107" s="1451" t="n"/>
      <c r="BB107" s="1451" t="n"/>
      <c r="BC107" s="1451" t="n"/>
      <c r="BD107" s="1451" t="n"/>
      <c r="BE107" s="1451" t="n"/>
      <c r="BF107" s="1451" t="n"/>
      <c r="BG107" s="1451" t="n"/>
    </row>
    <row r="108" ht="16" customHeight="1">
      <c r="AC108" s="1163" t="n"/>
      <c r="AD108" s="1163" t="n"/>
      <c r="AE108" s="1163" t="n"/>
      <c r="AF108" s="1163" t="n"/>
      <c r="AG108" s="1163" t="n"/>
      <c r="AH108" s="1143" t="inlineStr">
        <is>
          <t>Total deforestation, drainage, fire on organic soil and rewetting (tCO2 eq)</t>
        </is>
      </c>
      <c r="AI108" s="1192">
        <f>SUM(AI98:AI103,AI71:AI76,AJ53:AJ58,AI36:AI41)</f>
        <v/>
      </c>
      <c r="AJ108" s="1192">
        <f>SUM(AJ98:AJ103,AJ71:AJ76,AK53:AK58,AJ36:AJ41)</f>
        <v/>
      </c>
      <c r="AK108" s="1192">
        <f>SUM(AK98:AK103,AK71:AK76,AL53:AL58,AK36:AK41)</f>
        <v/>
      </c>
      <c r="AY108" s="1451">
        <f>AY98-AX98</f>
        <v/>
      </c>
      <c r="AZ108" s="1451" t="n"/>
      <c r="BA108" s="1451">
        <f>BA98-AZ98</f>
        <v/>
      </c>
      <c r="BC108" s="1451">
        <f>BC98-BB98</f>
        <v/>
      </c>
      <c r="BD108" s="1451" t="n"/>
      <c r="BE108" s="1451" t="n"/>
      <c r="BG108" s="1451" t="n"/>
    </row>
    <row r="109">
      <c r="BD109" s="1463" t="n"/>
      <c r="BF109" s="1271" t="n"/>
    </row>
    <row r="110" ht="16" customHeight="1">
      <c r="E110" s="4027" t="inlineStr">
        <is>
          <t>Rewetted areas</t>
        </is>
      </c>
      <c r="F110" s="4027">
        <f>MAX(G110:H110)</f>
        <v/>
      </c>
      <c r="G110" s="4361">
        <f>SUM(E91:E96)+SUM(E102:E107)</f>
        <v/>
      </c>
      <c r="H110" s="4361">
        <f>SUM(G91:G96)+SUM(G102:G107)</f>
        <v/>
      </c>
      <c r="W110" s="1231" t="n"/>
      <c r="X110" s="1231" t="n"/>
      <c r="Y110" s="1231" t="n"/>
      <c r="Z110" s="1231" t="n"/>
      <c r="AB110" s="1231" t="n"/>
      <c r="AJ110" s="1445" t="inlineStr">
        <is>
          <t xml:space="preserve">TEST TIER 2 </t>
        </is>
      </c>
      <c r="AK110" s="3165">
        <f>SUM('6.Inland wetlands'!CG13:CG18,'6.Inland wetlands'!CI13:CI18,'6.Inland wetlands'!CK13:CK18,'6.Inland wetlands'!CN13:CN18,'6.Inland wetlands'!CP13:CP18)</f>
        <v/>
      </c>
      <c r="AL110" s="973" t="inlineStr">
        <is>
          <t>drainage</t>
        </is>
      </c>
      <c r="AX110" s="1449" t="n"/>
      <c r="AY110" s="1449" t="n"/>
      <c r="BA110" s="1449" t="n"/>
      <c r="BD110" s="1449" t="n"/>
      <c r="BF110" s="1449" t="n"/>
    </row>
    <row r="111" ht="16" customHeight="1">
      <c r="W111" s="1231" t="n"/>
      <c r="X111" s="1231" t="n"/>
      <c r="Y111" s="1231" t="n"/>
      <c r="Z111" s="1231" t="n"/>
      <c r="AA111" s="1457" t="n"/>
      <c r="AB111" s="1231" t="n"/>
      <c r="AC111" s="1458" t="n"/>
      <c r="AD111" s="1458" t="n"/>
      <c r="AE111" s="1458" t="n"/>
      <c r="AJ111" s="1445" t="inlineStr">
        <is>
          <t>TEST TIER 2</t>
        </is>
      </c>
      <c r="AK111" s="3165">
        <f>SUM('6.Inland wetlands'!DY118:DY123,'6.Inland wetlands'!EA118:EA123,'6.Inland wetlands'!EC118:EC123,'6.Inland wetlands'!EF118:EF123)</f>
        <v/>
      </c>
      <c r="AL111" s="973" t="inlineStr">
        <is>
          <t>rewetting</t>
        </is>
      </c>
    </row>
    <row r="112" ht="42.75" customFormat="1" customHeight="1" s="975">
      <c r="B112" s="975" t="inlineStr">
        <is>
          <t>6.1.2 Reforestation and management options during conversion</t>
        </is>
      </c>
      <c r="J112" s="1123" t="n"/>
      <c r="K112" s="1123" t="n"/>
      <c r="L112" s="1123" t="n"/>
      <c r="M112" s="1123" t="n"/>
      <c r="N112" s="1123" t="n"/>
    </row>
    <row r="114" ht="30.75" customFormat="1" customHeight="1" s="1089">
      <c r="B114" s="1112" t="inlineStr">
        <is>
          <t>Emissions from biomass loss and gain and biomass burning</t>
        </is>
      </c>
      <c r="C114" s="1113" t="n"/>
      <c r="D114" s="1113" t="n"/>
      <c r="E114" s="1113" t="n"/>
      <c r="F114" s="1113" t="n"/>
      <c r="G114" s="1113" t="n"/>
      <c r="H114" s="1113" t="n"/>
      <c r="I114" s="1113" t="n"/>
      <c r="J114" s="1113" t="n"/>
      <c r="K114" s="1113" t="n"/>
      <c r="L114" s="973" t="inlineStr">
        <is>
          <t>Biomass fire after conversion</t>
        </is>
      </c>
      <c r="M114" s="973" t="n"/>
      <c r="N114" s="973" t="n"/>
      <c r="O114" s="973" t="n"/>
      <c r="P114" s="973" t="n"/>
      <c r="Q114" s="973" t="n"/>
      <c r="R114" s="973" t="n"/>
      <c r="S114" s="973" t="n"/>
      <c r="T114" s="973" t="n"/>
      <c r="U114" s="973" t="n"/>
      <c r="AX114" s="1447" t="n"/>
      <c r="AY114" s="1447" t="n"/>
      <c r="AZ114" s="1447" t="n"/>
      <c r="BA114" s="1447" t="n"/>
      <c r="BB114" s="1447" t="n"/>
      <c r="BC114" s="1447" t="n"/>
      <c r="BD114" s="1447" t="n"/>
      <c r="BE114" s="1447" t="n"/>
      <c r="BF114" s="1447" t="n"/>
      <c r="BG114" s="1447" t="n"/>
    </row>
    <row r="115">
      <c r="B115" s="1166" t="n"/>
      <c r="C115" s="3491" t="n"/>
      <c r="D115" s="1174" t="inlineStr">
        <is>
          <t>AGB secondary</t>
        </is>
      </c>
      <c r="E115" s="1175" t="n"/>
      <c r="F115" s="1247" t="inlineStr">
        <is>
          <t>Below ground</t>
        </is>
      </c>
      <c r="G115" s="3491" t="n"/>
      <c r="H115" s="1176" t="inlineStr">
        <is>
          <t>Litter</t>
        </is>
      </c>
      <c r="I115" s="3500" t="inlineStr">
        <is>
          <t>Dead wood</t>
        </is>
      </c>
      <c r="J115" s="1171" t="inlineStr">
        <is>
          <t>SOC(0-T)</t>
        </is>
      </c>
      <c r="L115" s="1138" t="n"/>
      <c r="M115" s="1138" t="n"/>
      <c r="N115" s="1138" t="inlineStr">
        <is>
          <t>Fire after conversion WOP</t>
        </is>
      </c>
      <c r="O115" s="1139" t="n"/>
      <c r="P115" s="1138" t="inlineStr">
        <is>
          <t>Fire after conversion WP</t>
        </is>
      </c>
      <c r="Q115" s="1139" t="n"/>
      <c r="R115" s="1139" t="inlineStr">
        <is>
          <t>Total period WOP</t>
        </is>
      </c>
      <c r="S115" s="1139" t="n"/>
      <c r="T115" s="1139" t="inlineStr">
        <is>
          <t>Total period WP</t>
        </is>
      </c>
      <c r="U115" s="1139" t="n"/>
      <c r="X115" s="1296" t="inlineStr">
        <is>
          <t>FIRE</t>
        </is>
      </c>
      <c r="Y115" s="1296" t="inlineStr">
        <is>
          <t>FIRE CH4</t>
        </is>
      </c>
      <c r="Z115" s="1296" t="inlineStr">
        <is>
          <t>FIRE N2O</t>
        </is>
      </c>
    </row>
    <row r="116">
      <c r="B116" s="1177" t="inlineStr">
        <is>
          <t>Forest classes per IPCC climate region</t>
        </is>
      </c>
      <c r="C116" s="1163" t="inlineStr">
        <is>
          <t>continent_selected</t>
        </is>
      </c>
      <c r="D116" s="1178" t="inlineStr">
        <is>
          <t>t dm/ha/yr</t>
        </is>
      </c>
      <c r="E116" s="1178" t="inlineStr">
        <is>
          <t>t dm/ha/yr</t>
        </is>
      </c>
      <c r="F116" s="1178" t="inlineStr">
        <is>
          <t>t dm/ha/yr</t>
        </is>
      </c>
      <c r="G116" s="1178" t="inlineStr">
        <is>
          <t>t dm/ha/yr</t>
        </is>
      </c>
      <c r="H116" s="1178" t="inlineStr">
        <is>
          <t>tC/ha</t>
        </is>
      </c>
      <c r="I116" s="1178" t="inlineStr">
        <is>
          <t>tC/ha</t>
        </is>
      </c>
      <c r="J116" s="1179" t="inlineStr">
        <is>
          <t>tC/ha</t>
        </is>
      </c>
      <c r="L116" s="1137" t="inlineStr">
        <is>
          <t>AGBiomass New LU</t>
        </is>
      </c>
      <c r="M116" s="1137" t="n"/>
      <c r="N116" s="1140" t="inlineStr">
        <is>
          <t>CH4</t>
        </is>
      </c>
      <c r="O116" s="1140" t="inlineStr">
        <is>
          <t>N2O</t>
        </is>
      </c>
      <c r="P116" s="1140" t="inlineStr">
        <is>
          <t>CH4</t>
        </is>
      </c>
      <c r="Q116" s="1140" t="inlineStr">
        <is>
          <t>N2O</t>
        </is>
      </c>
      <c r="R116" s="1140">
        <f>N116</f>
        <v/>
      </c>
      <c r="S116" s="1140">
        <f>O116</f>
        <v/>
      </c>
      <c r="T116" s="1140">
        <f>P116</f>
        <v/>
      </c>
      <c r="U116" s="1140">
        <f>Q116</f>
        <v/>
      </c>
      <c r="X116" s="1488" t="inlineStr">
        <is>
          <t>Cf</t>
        </is>
      </c>
      <c r="Y116" s="1171" t="n"/>
      <c r="Z116" s="1171" t="n"/>
      <c r="AB116" s="973" t="inlineStr">
        <is>
          <t>WOP TOTAL BIOMASS GROWTH</t>
        </is>
      </c>
      <c r="AC116" s="973" t="inlineStr">
        <is>
          <t>WP TOTAL BIOMASS GROWTH</t>
        </is>
      </c>
      <c r="AD116" s="973" t="inlineStr">
        <is>
          <t>MAX GROWTH</t>
        </is>
      </c>
      <c r="AE116" s="973" t="inlineStr">
        <is>
          <t>WOP MAX</t>
        </is>
      </c>
      <c r="AF116" s="973" t="inlineStr">
        <is>
          <t>WP MAX</t>
        </is>
      </c>
    </row>
    <row r="117">
      <c r="B117" s="1180">
        <f>clim3</f>
        <v/>
      </c>
      <c r="C117" s="1181">
        <f>continent_selected</f>
        <v/>
      </c>
      <c r="D117" s="1182" t="inlineStr">
        <is>
          <t>( ≤ 20 years )</t>
        </is>
      </c>
      <c r="E117" s="1182" t="inlineStr">
        <is>
          <t>( &gt; 20 years )</t>
        </is>
      </c>
      <c r="F117" s="1182" t="inlineStr">
        <is>
          <t>( ≤ 20 years )</t>
        </is>
      </c>
      <c r="G117" s="1182" t="inlineStr">
        <is>
          <t>( &gt; 20 years )</t>
        </is>
      </c>
      <c r="H117" s="1163" t="n"/>
      <c r="I117" s="1163" t="n"/>
      <c r="J117" s="1183" t="n"/>
      <c r="L117" s="1137" t="inlineStr">
        <is>
          <t>t C/ha</t>
        </is>
      </c>
      <c r="M117" s="1137" t="inlineStr">
        <is>
          <t>tdm/ha</t>
        </is>
      </c>
      <c r="N117" s="1137" t="inlineStr">
        <is>
          <t>kgCH4</t>
        </is>
      </c>
      <c r="O117" s="1137" t="inlineStr">
        <is>
          <t>kgN2O</t>
        </is>
      </c>
      <c r="P117" s="1137" t="inlineStr">
        <is>
          <t>kgCH4</t>
        </is>
      </c>
      <c r="Q117" s="1137" t="inlineStr">
        <is>
          <t>kgN2O</t>
        </is>
      </c>
      <c r="R117" s="1137" t="inlineStr">
        <is>
          <t>tCH4</t>
        </is>
      </c>
      <c r="S117" s="1137" t="inlineStr">
        <is>
          <t>Tn2o</t>
        </is>
      </c>
      <c r="T117" s="1137" t="inlineStr">
        <is>
          <t>tCH4</t>
        </is>
      </c>
      <c r="U117" s="1137" t="inlineStr">
        <is>
          <t>Tn2o</t>
        </is>
      </c>
      <c r="X117" s="1489" t="n"/>
      <c r="Y117" s="1305" t="inlineStr">
        <is>
          <t>gCH4/kg dry matter</t>
        </is>
      </c>
      <c r="Z117" s="1305" t="inlineStr">
        <is>
          <t>gCH4/kg dry matter</t>
        </is>
      </c>
    </row>
    <row r="118">
      <c r="B118" s="1167">
        <f>B134</f>
        <v/>
      </c>
      <c r="C118" s="973">
        <f>IF( B118 &lt;&gt; "Please select", CONCATENATE(B118,continent_selected), "")</f>
        <v/>
      </c>
      <c r="D118" s="1663">
        <f>IF(B118="Please select",0,VLOOKUP(C118, IPCC!$C$924:$E$1467, 3, FALSE))</f>
        <v/>
      </c>
      <c r="E118" s="1663">
        <f>IF(B118="Please select",0,VLOOKUP($C118, IPCC!$C$924:$E$1467, 2, FALSE))</f>
        <v/>
      </c>
      <c r="F118" s="1663">
        <f>IF(B118="Please select",0,IF(OR($D118&lt;=125,$D118&lt;=75),INDEX(IPCC!$B$618:$AI$633,MATCH(continent_selected,IPCC!$A$618:$A$633,0),MATCH($B118,IPCC!$B$616:$AI$616,0)),(IF(OR($D118&gt;125,$D118&gt;75),INDEX(IPCC!$AJ$618:$BS$633,MATCH(continent_selected,IPCC!$A$618:$A$633,0),MATCH($B118,IPCC!$AJ$616:$BS$616,0)),"")))*$D118)</f>
        <v/>
      </c>
      <c r="G118" s="1663">
        <f>IF(B118="Please select",0,IF(OR($E118 &lt;=125, $E118 &lt;= 75),INDEX(IPCC!$B$618:$AI$633,MATCH(continent_selected,IPCC!$A$618:$A$633,0),MATCH($B118,IPCC!$B$616:$AI$616,0)),(IF(OR($E118&gt;125,$E118&gt;75),INDEX(IPCC!$AJ$618:$BS$633,MATCH(continent_selected,IPCC!$A$618:$A$633,0),MATCH($B118,IPCC!$AJ$616:$BS$616,0)),"")))*$E118)</f>
        <v/>
      </c>
      <c r="H118" s="1663">
        <f>IF($B118="Please select",0, VLOOKUP($B118,IPCC!$A$643:$B$677, 2, FALSE))</f>
        <v/>
      </c>
      <c r="I118" s="1663">
        <f>IF($B118="Please select",0,VLOOKUP($B118, IPCC!$A$643:$C$677, 3, FALSE))</f>
        <v/>
      </c>
      <c r="J118" s="1184" t="n"/>
      <c r="L118" s="1145">
        <f>'Inl. wetlands'!D118</f>
        <v/>
      </c>
      <c r="M118" s="1145">
        <f>L118/0.47</f>
        <v/>
      </c>
      <c r="N118" s="1145">
        <f>IF(AND('6.Inland wetlands'!X46&lt;&gt; "W/out project", '6.Inland wetlands'!X46 &lt;&gt;"W/out&amp;With"), 0, IF(P134&lt;&gt;0,M118*X118*Y118, 0))</f>
        <v/>
      </c>
      <c r="O118" s="1145">
        <f>IF(AND('6.Inland wetlands'!X46 &lt;&gt; "W/out project", '6.Inland wetlands'!X46 &lt;&gt;"W/out&amp;With"), 0,IF(P134&lt;&gt;0,M118*X118*Z118, 0))</f>
        <v/>
      </c>
      <c r="P118" s="1145">
        <f>IF(AND('6.Inland wetlands'!X46 &lt;&gt; "With project", '6.Inland wetlands'!X46 &lt;&gt;"W/out&amp;With"), 0,IF(R134&lt;&gt;0,M118*X118*Y118, 0))</f>
        <v/>
      </c>
      <c r="Q118" s="1145">
        <f>IF(AND('6.Inland wetlands'!X46 &lt;&gt; "With project", '6.Inland wetlands'!X46 &lt;&gt;"W/out&amp;With"), 0, IF(R134&lt;&gt;0,M118*X118*Z118, 0))</f>
        <v/>
      </c>
      <c r="R118" s="1145">
        <f>N118*P134*(time_cap+time*(VLOOKUP(Q134, list!$J$48:$K$50,2,)))*methane/1000</f>
        <v/>
      </c>
      <c r="S118" s="1145">
        <f>O118*P134*(time_cap+time*(VLOOKUP(Q134, list!$J$48:$K$50,2,)))*Nitrous/1000</f>
        <v/>
      </c>
      <c r="T118" s="1145">
        <f>P118*R134*(time_cap+time*(VLOOKUP(S134, list!$J$48:$K$50,2,)))*methane/1000</f>
        <v/>
      </c>
      <c r="U118" s="1145">
        <f>Q118*R134*(time_cap+time*(VLOOKUP(S134, list!$J$48:$K$50,2,)))*Nitrous/1000</f>
        <v/>
      </c>
      <c r="X118" s="4362">
        <f>IF(B118="please select",0,VLOOKUP(B118, IPCC!$A$871:$E$906,2, FALSE))</f>
        <v/>
      </c>
      <c r="Y118" s="1490">
        <f>IF(B118="Please select",0, VLOOKUP(B118, IPCC!$A$871:$E$906, 4, FALSE))</f>
        <v/>
      </c>
      <c r="Z118" s="1490">
        <f>IF(B118="Please select",0, VLOOKUP(B118, IPCC!$A$871:$E$906, 5, FALSE))</f>
        <v/>
      </c>
      <c r="AB118" s="1195">
        <f>-(44/12)*($K134*(IF($Q134="Immediate",$P134*MIN(20,time_tot),$P134*IF(time_tot&gt;time+20,20,IF(time_tot&lt;20,(time*VLOOKUP($Q134, list!$J$48:$K$50, 2,))+(time_tot-time),((MIN(20,time)*VLOOKUP($Q134, list!$J$48:$K$50, 2,)) + (time_tot-MIN(20,time))-IF($Q134="Exponential",time_tot-20+0.217*time*(EXP(4.606*(20-time_tot)/time)-1),((time_tot-20)^2)*(0.5/time)))))))+($L134*(IF($E1239="Immediate", $P134*(time_tot-MIN(20,time_tot)),$P134*IF(time_tot&gt;time+20,(time*VLOOKUP($Q134, list!$J$48:$K$50,2,))+(time_tot-time-20),IF(time_tot&lt;20,0,IF($Q134="Exponential",time_tot-20+0.217*time*(EXP(4.606*(20-time_tot)/time)-1),((time_tot-20)^2)*(0.5/time))))))))</f>
        <v/>
      </c>
      <c r="AC118" s="1195">
        <f>IFERROR(-(44/12)*($K134*(IF($S134="Immediate",$R134*MIN(20,time_tot),$R134*IF(time_tot&gt;time+20,20,IF(time_tot&lt;20,(time*VLOOKUP($S134, list!$J$48:$K$50, 2,))+(time_tot-time),((MIN(20,time)*VLOOKUP($S134, list!$J$48:$K$50, 2,)) + (time_tot-MIN(20,time))-IF($S134="Exponential",time_tot-20+0.217*time*(EXP(4.606*(20-time_tot)/time)-1),((time_tot-20)^2)*(0.5/time)))))))+($L134*(IF($E1239="Immediate", $R134*(time_tot-MIN(20,time_tot)),$R134*IF(time_tot&gt;time+20,(time*VLOOKUP($S134, list!$J$48:$K$50,2,))+(time_tot-time-20),IF(time_tot&lt;20,0,IF($S134="Exponential",time_tot-20+0.217*time*(EXP(4.606*(20-time_tot)/time)-1),((time_tot-20)^2)*(0.5/time)))))))),0)</f>
        <v/>
      </c>
      <c r="AD118" s="973">
        <f>IF('6.Inland wetlands'!BH58&lt;&gt; "",'6.Inland wetlands'!BH58*44/12, IF('Inl. wetlands'!B118="Please select",0,INDEX(IPCC!$A$590:$AK$606,MATCH('Inl. wetlands'!$C$117,IPCC!$A$590:$A$606,0),MATCH('Inl. wetlands'!B118,IPCC!$A$590:$AK$590,0))+(INDEX(IPCC!$A$590:$AK$606,MATCH($C$117,IPCC!$A$590:$A$606,0),MATCH('Inl. wetlands'!B118,IPCC!$A$590:$AK$590,0))*INDEX(IPCC!$A$617:$BS$633,MATCH($C$117,IPCC!$A$617:$A$633,0),MATCH('Inl. wetlands'!B118,IPCC!$A$616:$BS$616,0))))*0.47*44/12)</f>
        <v/>
      </c>
      <c r="AE118" s="973">
        <f>AD118*P134</f>
        <v/>
      </c>
      <c r="AF118" s="973">
        <f>AD118*R134</f>
        <v/>
      </c>
    </row>
    <row r="119">
      <c r="B119" s="1167">
        <f>B135</f>
        <v/>
      </c>
      <c r="C119" s="973">
        <f>IF( B119 &lt;&gt; "Please select", CONCATENATE(B119,continent_selected), "")</f>
        <v/>
      </c>
      <c r="D119" s="1663">
        <f>IF(B119="Please select",0,VLOOKUP(C119, IPCC!$C$924:$E$1467, 3, FALSE))</f>
        <v/>
      </c>
      <c r="E119" s="1663">
        <f>IF(B119="Please select",0,VLOOKUP($C119, IPCC!$C$924:$E$1467, 2, FALSE))</f>
        <v/>
      </c>
      <c r="F119" s="1663">
        <f>IF(B119="Please select",0,IF(OR($D119&lt;=125,$D119&lt;=75),INDEX(IPCC!$B$618:$AI$633,MATCH(continent_selected,IPCC!$A$618:$A$633,0),MATCH($B119,IPCC!$B$616:$AI$616,0)),(IF(OR($D119&gt;125,$D119&gt;75),INDEX(IPCC!$AJ$618:$BS$633,MATCH(continent_selected,IPCC!$A$618:$A$633,0),MATCH($B119,IPCC!$AJ$616:$BS$616,0)),"")))*$D119)</f>
        <v/>
      </c>
      <c r="G119" s="1663">
        <f>IF(B119="Please select",0,IF(OR($E119 &lt;=125, $E119 &lt;= 75),INDEX(IPCC!$B$618:$AI$633,MATCH(continent_selected,IPCC!$A$618:$A$633,0),MATCH($B119,IPCC!$B$616:$AI$616,0)),(IF(OR($E119&gt;125,$E119&gt;75),INDEX(IPCC!$AJ$618:$BS$633,MATCH(continent_selected,IPCC!$A$618:$A$633,0),MATCH($B119,IPCC!$AJ$616:$BS$616,0)),"")))*$E119)</f>
        <v/>
      </c>
      <c r="H119" s="1663">
        <f>IF($B119="Please select",0, VLOOKUP($B119,IPCC!$A$643:$B$677, 2, FALSE))</f>
        <v/>
      </c>
      <c r="I119" s="1663">
        <f>IF($B119="Please select",0,VLOOKUP($B119, IPCC!$A$643:$C$677, 3, FALSE))</f>
        <v/>
      </c>
      <c r="J119" s="1184" t="n"/>
      <c r="L119" s="1145">
        <f>'Inl. wetlands'!D119</f>
        <v/>
      </c>
      <c r="M119" s="1145">
        <f>L119/0.47</f>
        <v/>
      </c>
      <c r="N119" s="1145">
        <f>IF(AND('6.Inland wetlands'!X47&lt;&gt; "W/out project", '6.Inland wetlands'!X47 &lt;&gt;"W/out&amp;With"), 0, IF(P135&lt;&gt;0,M119*X119*Y119, 0))</f>
        <v/>
      </c>
      <c r="O119" s="1145">
        <f>IF(AND('6.Inland wetlands'!X47 &lt;&gt; "W/out project", '6.Inland wetlands'!X47 &lt;&gt;"W/out&amp;With"), 0,IF(P135&lt;&gt;0,M119*X119*Z119, 0))</f>
        <v/>
      </c>
      <c r="P119" s="1145">
        <f>IF(AND('6.Inland wetlands'!X47 &lt;&gt; "With project", '6.Inland wetlands'!X47 &lt;&gt;"W/out&amp;With"), 0,IF(R135&lt;&gt;0,M119*X119*Y119, 0))</f>
        <v/>
      </c>
      <c r="Q119" s="1145">
        <f>IF(AND('6.Inland wetlands'!X47 &lt;&gt; "With project", '6.Inland wetlands'!X47 &lt;&gt;"W/out&amp;With"), 0, IF(R135&lt;&gt;0,M119*X119*Z119, 0))</f>
        <v/>
      </c>
      <c r="R119" s="1145">
        <f>N119*P135*(time_cap+time*(VLOOKUP(Q135, list!$J$48:$K$50,2,)))*methane/1000</f>
        <v/>
      </c>
      <c r="S119" s="1145">
        <f>O119*P135*(time_cap+time*(VLOOKUP(Q135, list!$J$48:$K$50,2,)))*Nitrous/1000</f>
        <v/>
      </c>
      <c r="T119" s="1145">
        <f>P119*R135*(time_cap+time*(VLOOKUP(S135, list!$J$48:$K$50,2,)))*methane/1000</f>
        <v/>
      </c>
      <c r="U119" s="1145">
        <f>Q119*R135*(time_cap+time*(VLOOKUP(S135, list!$J$48:$K$50,2,)))*Nitrous/1000</f>
        <v/>
      </c>
      <c r="X119" s="4362">
        <f>IF(B119="please select",0,VLOOKUP(B119, IPCC!$A$871:$E$906,2, FALSE))</f>
        <v/>
      </c>
      <c r="Y119" s="1490">
        <f>IF(B119="Please select",0, VLOOKUP(B119, IPCC!$A$871:$E$906, 4, FALSE))</f>
        <v/>
      </c>
      <c r="Z119" s="1490">
        <f>IF(B119="Please select",0, VLOOKUP(B119, IPCC!$A$871:$E$906, 5, FALSE))</f>
        <v/>
      </c>
      <c r="AB119" s="1195">
        <f>-(44/12)*($K135*(IF($Q135="Immediate",$P135*MIN(20,time_tot),$P135*IF(time_tot&gt;time+20,20,IF(time_tot&lt;20,(time*VLOOKUP($Q135, list!$J$48:$K$50, 2,))+(time_tot-time),((MIN(20,time)*VLOOKUP($Q135, list!$J$48:$K$50, 2,)) + (time_tot-MIN(20,time))-IF($Q135="Exponential",time_tot-20+0.217*time*(EXP(4.606*(20-time_tot)/time)-1),((time_tot-20)^2)*(0.5/time)))))))+($L135*(IF($E1240="Immediate", $P135*(time_tot-MIN(20,time_tot)),$P135*IF(time_tot&gt;time+20,(time*VLOOKUP($Q135, list!$J$48:$K$50,2,))+(time_tot-time-20),IF(time_tot&lt;20,0,IF($Q135="Exponential",time_tot-20+0.217*time*(EXP(4.606*(20-time_tot)/time)-1),((time_tot-20)^2)*(0.5/time))))))))</f>
        <v/>
      </c>
      <c r="AC119" s="1195">
        <f>IFERROR(-(44/12)*($K135*(IF($S135="Immediate",$R135*MIN(20,time_tot),$R135*IF(time_tot&gt;time+20,20,IF(time_tot&lt;20,(time*VLOOKUP($S135, list!$J$48:$K$50, 2,))+(time_tot-time),((MIN(20,time)*VLOOKUP($S135, list!$J$48:$K$50, 2,)) + (time_tot-MIN(20,time))-IF($S135="Exponential",time_tot-20+0.217*time*(EXP(4.606*(20-time_tot)/time)-1),((time_tot-20)^2)*(0.5/time)))))))+($L135*(IF($E1240="Immediate", $R135*(time_tot-MIN(20,time_tot)),$R135*IF(time_tot&gt;time+20,(time*VLOOKUP($S135, list!$J$48:$K$50,2,))+(time_tot-time-20),IF(time_tot&lt;20,0,IF($S135="Exponential",time_tot-20+0.217*time*(EXP(4.606*(20-time_tot)/time)-1),((time_tot-20)^2)*(0.5/time)))))))),0)</f>
        <v/>
      </c>
      <c r="AD119" s="973">
        <f>IF('6.Inland wetlands'!BH59&lt;&gt; "",'6.Inland wetlands'!BH59*44/12, IF('Inl. wetlands'!B119="Please select",0,INDEX(IPCC!$A$590:$AK$606,MATCH('Inl. wetlands'!$C$117,IPCC!$A$590:$A$606,0),MATCH('Inl. wetlands'!B119,IPCC!$A$590:$AK$590,0))+(INDEX(IPCC!$A$590:$AK$606,MATCH($C$117,IPCC!$A$590:$A$606,0),MATCH('Inl. wetlands'!B119,IPCC!$A$590:$AK$590,0))*INDEX(IPCC!$A$617:$BS$633,MATCH($C$117,IPCC!$A$617:$A$633,0),MATCH('Inl. wetlands'!B119,IPCC!$A$616:$BS$616,0))))*0.47*44/12)</f>
        <v/>
      </c>
      <c r="AE119" s="973">
        <f>AD119*P135</f>
        <v/>
      </c>
      <c r="AF119" s="973">
        <f>AD119*R135</f>
        <v/>
      </c>
    </row>
    <row r="120">
      <c r="B120" s="1167">
        <f>B136</f>
        <v/>
      </c>
      <c r="C120" s="973">
        <f>IF( B120 &lt;&gt; "Please select", CONCATENATE(B120,continent_selected), "")</f>
        <v/>
      </c>
      <c r="D120" s="1663">
        <f>IF(B120="Please select",0,VLOOKUP(C120, IPCC!$C$924:$E$1467, 3, FALSE))</f>
        <v/>
      </c>
      <c r="E120" s="1663">
        <f>IF(B120="Please select",0,VLOOKUP($C120, IPCC!$C$924:$E$1467, 2, FALSE))</f>
        <v/>
      </c>
      <c r="F120" s="1663">
        <f>IF(B120="Please select",0,IF(OR($D120&lt;=125,$D120&lt;=75),INDEX(IPCC!$B$618:$AI$633,MATCH(continent_selected,IPCC!$A$618:$A$633,0),MATCH($B120,IPCC!$B$616:$AI$616,0)),(IF(OR($D120&gt;125,$D120&gt;75),INDEX(IPCC!$AJ$618:$BS$633,MATCH(continent_selected,IPCC!$A$618:$A$633,0),MATCH($B120,IPCC!$AJ$616:$BS$616,0)),"")))*$D120)</f>
        <v/>
      </c>
      <c r="G120" s="1663">
        <f>IF(B120="Please select",0,IF(OR($E120 &lt;=125, $E120 &lt;= 75),INDEX(IPCC!$B$618:$AI$633,MATCH(continent_selected,IPCC!$A$618:$A$633,0),MATCH($B120,IPCC!$B$616:$AI$616,0)),(IF(OR($E120&gt;125,$E120&gt;75),INDEX(IPCC!$AJ$618:$BS$633,MATCH(continent_selected,IPCC!$A$618:$A$633,0),MATCH($B120,IPCC!$AJ$616:$BS$616,0)),"")))*$E120)</f>
        <v/>
      </c>
      <c r="H120" s="1663">
        <f>IF($B120="Please select",0, VLOOKUP($B120,IPCC!$A$643:$B$677, 2, FALSE))</f>
        <v/>
      </c>
      <c r="I120" s="1663">
        <f>IF($B120="Please select",0,VLOOKUP($B120, IPCC!$A$643:$C$677, 3, FALSE))</f>
        <v/>
      </c>
      <c r="J120" s="1184" t="n"/>
      <c r="L120" s="1145">
        <f>'Inl. wetlands'!D120</f>
        <v/>
      </c>
      <c r="M120" s="1145">
        <f>L120/0.47</f>
        <v/>
      </c>
      <c r="N120" s="1145">
        <f>IF(AND('6.Inland wetlands'!X48&lt;&gt; "W/out project", '6.Inland wetlands'!X48 &lt;&gt;"W/out&amp;With"), 0, IF(P136&lt;&gt;0,M120*X120*Y120, 0))</f>
        <v/>
      </c>
      <c r="O120" s="1145">
        <f>IF(AND('6.Inland wetlands'!X48 &lt;&gt; "W/out project", '6.Inland wetlands'!X48 &lt;&gt;"W/out&amp;With"), 0,IF(P136&lt;&gt;0,M120*X120*Z120, 0))</f>
        <v/>
      </c>
      <c r="P120" s="1145">
        <f>IF(AND('6.Inland wetlands'!X48 &lt;&gt; "With project", '6.Inland wetlands'!X48 &lt;&gt;"W/out&amp;With"), 0,IF(R136&lt;&gt;0,M120*X120*Y120, 0))</f>
        <v/>
      </c>
      <c r="Q120" s="1145">
        <f>IF(AND('6.Inland wetlands'!X48 &lt;&gt; "With project", '6.Inland wetlands'!X48 &lt;&gt;"W/out&amp;With"), 0, IF(R136&lt;&gt;0,M120*X120*Z120, 0))</f>
        <v/>
      </c>
      <c r="R120" s="1145">
        <f>N120*P136*(time_cap+time*(VLOOKUP(Q136, list!$J$48:$K$50,2,)))*methane/1000</f>
        <v/>
      </c>
      <c r="S120" s="1145">
        <f>O120*P136*(time_cap+time*(VLOOKUP(Q136, list!$J$48:$K$50,2,)))*Nitrous/1000</f>
        <v/>
      </c>
      <c r="T120" s="1145">
        <f>P120*R136*(time_cap+time*(VLOOKUP(S136, list!$J$48:$K$50,2,)))*methane/1000</f>
        <v/>
      </c>
      <c r="U120" s="1145">
        <f>Q120*R136*(time_cap+time*(VLOOKUP(S136, list!$J$48:$K$50,2,)))*Nitrous/1000</f>
        <v/>
      </c>
      <c r="X120" s="4362">
        <f>IF(B120="please select",0,VLOOKUP(B120, IPCC!$A$871:$E$906,2, FALSE))</f>
        <v/>
      </c>
      <c r="Y120" s="1490">
        <f>IF(B120="Please select",0, VLOOKUP(B120, IPCC!$A$871:$E$906, 4, FALSE))</f>
        <v/>
      </c>
      <c r="Z120" s="1490">
        <f>IF(B120="Please select",0, VLOOKUP(B120, IPCC!$A$871:$E$906, 5, FALSE))</f>
        <v/>
      </c>
      <c r="AB120" s="1195">
        <f>-(44/12)*($K136*(IF($Q136="Immediate",$P136*MIN(20,time_tot),$P136*IF(time_tot&gt;time+20,20,IF(time_tot&lt;20,(time*VLOOKUP($Q136, list!$J$48:$K$50, 2,))+(time_tot-time),((MIN(20,time)*VLOOKUP($Q136, list!$J$48:$K$50, 2,)) + (time_tot-MIN(20,time))-IF($Q136="Exponential",time_tot-20+0.217*time*(EXP(4.606*(20-time_tot)/time)-1),((time_tot-20)^2)*(0.5/time)))))))+($L136*(IF($E1241="Immediate", $P136*(time_tot-MIN(20,time_tot)),$P136*IF(time_tot&gt;time+20,(time*VLOOKUP($Q136, list!$J$48:$K$50,2,))+(time_tot-time-20),IF(time_tot&lt;20,0,IF($Q136="Exponential",time_tot-20+0.217*time*(EXP(4.606*(20-time_tot)/time)-1),((time_tot-20)^2)*(0.5/time))))))))</f>
        <v/>
      </c>
      <c r="AC120" s="1195">
        <f>IFERROR(-(44/12)*($K136*(IF($S136="Immediate",$R136*MIN(20,time_tot),$R136*IF(time_tot&gt;time+20,20,IF(time_tot&lt;20,(time*VLOOKUP($S136, list!$J$48:$K$50, 2,))+(time_tot-time),((MIN(20,time)*VLOOKUP($S136, list!$J$48:$K$50, 2,)) + (time_tot-MIN(20,time))-IF($S136="Exponential",time_tot-20+0.217*time*(EXP(4.606*(20-time_tot)/time)-1),((time_tot-20)^2)*(0.5/time)))))))+($L136*(IF($E1241="Immediate", $R136*(time_tot-MIN(20,time_tot)),$R136*IF(time_tot&gt;time+20,(time*VLOOKUP($S136, list!$J$48:$K$50,2,))+(time_tot-time-20),IF(time_tot&lt;20,0,IF($S136="Exponential",time_tot-20+0.217*time*(EXP(4.606*(20-time_tot)/time)-1),((time_tot-20)^2)*(0.5/time)))))))),0)</f>
        <v/>
      </c>
      <c r="AD120" s="973">
        <f>IF('6.Inland wetlands'!BH60&lt;&gt; "",'6.Inland wetlands'!BH60*44/12, IF('Inl. wetlands'!B120="Please select",0,INDEX(IPCC!$A$590:$AK$606,MATCH('Inl. wetlands'!$C$117,IPCC!$A$590:$A$606,0),MATCH('Inl. wetlands'!B120,IPCC!$A$590:$AK$590,0))+(INDEX(IPCC!$A$590:$AK$606,MATCH($C$117,IPCC!$A$590:$A$606,0),MATCH('Inl. wetlands'!B120,IPCC!$A$590:$AK$590,0))*INDEX(IPCC!$A$617:$BS$633,MATCH($C$117,IPCC!$A$617:$A$633,0),MATCH('Inl. wetlands'!B120,IPCC!$A$616:$BS$616,0))))*0.47*44/12)</f>
        <v/>
      </c>
      <c r="AE120" s="973">
        <f>AD120*P136</f>
        <v/>
      </c>
      <c r="AF120" s="973">
        <f>AD120*R136</f>
        <v/>
      </c>
      <c r="BF120" s="1449" t="n"/>
    </row>
    <row r="121">
      <c r="B121" s="1167">
        <f>B137</f>
        <v/>
      </c>
      <c r="C121" s="973">
        <f>IF( B121 &lt;&gt; "Please select", CONCATENATE(B121,continent_selected), "")</f>
        <v/>
      </c>
      <c r="D121" s="1663">
        <f>IF(B121="Please select",0,VLOOKUP(C121, IPCC!$C$924:$E$1467, 3, FALSE))</f>
        <v/>
      </c>
      <c r="E121" s="1663">
        <f>IF(B121="Please select",0,VLOOKUP($C121, IPCC!$C$924:$E$1467, 2, FALSE))</f>
        <v/>
      </c>
      <c r="F121" s="1663">
        <f>IF(B121="Please select",0,IF(OR($D121&lt;=125,$D121&lt;=75),INDEX(IPCC!$B$618:$AI$633,MATCH(continent_selected,IPCC!$A$618:$A$633,0),MATCH($B121,IPCC!$B$616:$AI$616,0)),(IF(OR($D121&gt;125,$D121&gt;75),INDEX(IPCC!$AJ$618:$BS$633,MATCH(continent_selected,IPCC!$A$618:$A$633,0),MATCH($B121,IPCC!$AJ$616:$BS$616,0)),"")))*$D121)</f>
        <v/>
      </c>
      <c r="G121" s="1663">
        <f>IF(B121="Please select",0,IF(OR($E121 &lt;=125, $E121 &lt;= 75),INDEX(IPCC!$B$618:$AI$633,MATCH(continent_selected,IPCC!$A$618:$A$633,0),MATCH($B121,IPCC!$B$616:$AI$616,0)),(IF(OR($E121&gt;125,$E121&gt;75),INDEX(IPCC!$AJ$618:$BS$633,MATCH(continent_selected,IPCC!$A$618:$A$633,0),MATCH($B121,IPCC!$AJ$616:$BS$616,0)),"")))*$E121)</f>
        <v/>
      </c>
      <c r="H121" s="1663">
        <f>IF($B121="Please select",0, VLOOKUP($B121,IPCC!$A$643:$B$677, 2, FALSE))</f>
        <v/>
      </c>
      <c r="I121" s="1663">
        <f>IF($B121="Please select",0,VLOOKUP($B121, IPCC!$A$643:$C$677, 3, FALSE))</f>
        <v/>
      </c>
      <c r="J121" s="1184" t="n"/>
      <c r="L121" s="1145">
        <f>'Inl. wetlands'!D121</f>
        <v/>
      </c>
      <c r="M121" s="1145">
        <f>L121/0.47</f>
        <v/>
      </c>
      <c r="N121" s="1145">
        <f>IF(AND('6.Inland wetlands'!X49&lt;&gt; "W/out project", '6.Inland wetlands'!X49 &lt;&gt;"W/out&amp;With"), 0, IF(P137&lt;&gt;0,M121*X121*Y121, 0))</f>
        <v/>
      </c>
      <c r="O121" s="1145">
        <f>IF(AND('6.Inland wetlands'!X49 &lt;&gt; "W/out project", '6.Inland wetlands'!X49 &lt;&gt;"W/out&amp;With"), 0,IF(P137&lt;&gt;0,M121*X121*Z121, 0))</f>
        <v/>
      </c>
      <c r="P121" s="1145">
        <f>IF(AND('6.Inland wetlands'!X49 &lt;&gt; "With project", '6.Inland wetlands'!X49 &lt;&gt;"W/out&amp;With"), 0,IF(R137&lt;&gt;0,M121*X121*Y121, 0))</f>
        <v/>
      </c>
      <c r="Q121" s="1145">
        <f>IF(AND('6.Inland wetlands'!X49 &lt;&gt; "With project", '6.Inland wetlands'!X49 &lt;&gt;"W/out&amp;With"), 0, IF(R137&lt;&gt;0,M121*X121*Z121, 0))</f>
        <v/>
      </c>
      <c r="R121" s="1145">
        <f>N121*P137*(time_cap+time*(VLOOKUP(Q137, list!$J$48:$K$50,2,)))*methane/1000</f>
        <v/>
      </c>
      <c r="S121" s="1145">
        <f>O121*P137*(time_cap+time*(VLOOKUP(Q137, list!$J$48:$K$50,2,)))*Nitrous/1000</f>
        <v/>
      </c>
      <c r="T121" s="1145">
        <f>P121*R137*(time_cap+time*(VLOOKUP(S137, list!$J$48:$K$50,2,)))*methane/1000</f>
        <v/>
      </c>
      <c r="U121" s="1145">
        <f>Q121*R137*(time_cap+time*(VLOOKUP(S137, list!$J$48:$K$50,2,)))*Nitrous/1000</f>
        <v/>
      </c>
      <c r="X121" s="4362">
        <f>IF(B121="please select",0,VLOOKUP(B121, IPCC!$A$871:$E$906,2, FALSE))</f>
        <v/>
      </c>
      <c r="Y121" s="1490">
        <f>IF(B121="Please select",0, VLOOKUP(B121, IPCC!$A$871:$E$906, 4, FALSE))</f>
        <v/>
      </c>
      <c r="Z121" s="1490">
        <f>IF(B121="Please select",0, VLOOKUP(B121, IPCC!$A$871:$E$906, 5, FALSE))</f>
        <v/>
      </c>
      <c r="AB121" s="1195">
        <f>-(44/12)*($K137*(IF($Q137="Immediate",$P137*MIN(20,time_tot),$P137*IF(time_tot&gt;time+20,20,IF(time_tot&lt;20,(time*VLOOKUP($Q137, list!$J$48:$K$50, 2,))+(time_tot-time),((MIN(20,time)*VLOOKUP($Q137, list!$J$48:$K$50, 2,)) + (time_tot-MIN(20,time))-IF($Q137="Exponential",time_tot-20+0.217*time*(EXP(4.606*(20-time_tot)/time)-1),((time_tot-20)^2)*(0.5/time)))))))+($L137*(IF($E1242="Immediate", $P137*(time_tot-MIN(20,time_tot)),$P137*IF(time_tot&gt;time+20,(time*VLOOKUP($Q137, list!$J$48:$K$50,2,))+(time_tot-time-20),IF(time_tot&lt;20,0,IF($Q137="Exponential",time_tot-20+0.217*time*(EXP(4.606*(20-time_tot)/time)-1),((time_tot-20)^2)*(0.5/time))))))))</f>
        <v/>
      </c>
      <c r="AC121" s="1195">
        <f>IFERROR(-(44/12)*($K137*(IF($S137="Immediate",$R137*MIN(20,time_tot),$R137*IF(time_tot&gt;time+20,20,IF(time_tot&lt;20,(time*VLOOKUP($S137, list!$J$48:$K$50, 2,))+(time_tot-time),((MIN(20,time)*VLOOKUP($S137, list!$J$48:$K$50, 2,)) + (time_tot-MIN(20,time))-IF($S137="Exponential",time_tot-20+0.217*time*(EXP(4.606*(20-time_tot)/time)-1),((time_tot-20)^2)*(0.5/time)))))))+($L137*(IF($E1242="Immediate", $R137*(time_tot-MIN(20,time_tot)),$R137*IF(time_tot&gt;time+20,(time*VLOOKUP($S137, list!$J$48:$K$50,2,))+(time_tot-time-20),IF(time_tot&lt;20,0,IF($S137="Exponential",time_tot-20+0.217*time*(EXP(4.606*(20-time_tot)/time)-1),((time_tot-20)^2)*(0.5/time)))))))),0)</f>
        <v/>
      </c>
      <c r="AD121" s="973">
        <f>IF('6.Inland wetlands'!BH61&lt;&gt; "",'6.Inland wetlands'!BH61*44/12, IF('Inl. wetlands'!B121="Please select",0,INDEX(IPCC!$A$590:$AK$606,MATCH('Inl. wetlands'!$C$117,IPCC!$A$590:$A$606,0),MATCH('Inl. wetlands'!B121,IPCC!$A$590:$AK$590,0))+(INDEX(IPCC!$A$590:$AK$606,MATCH($C$117,IPCC!$A$590:$A$606,0),MATCH('Inl. wetlands'!B121,IPCC!$A$590:$AK$590,0))*INDEX(IPCC!$A$617:$BS$633,MATCH($C$117,IPCC!$A$617:$A$633,0),MATCH('Inl. wetlands'!B121,IPCC!$A$616:$BS$616,0))))*0.47*44/12)</f>
        <v/>
      </c>
      <c r="AE121" s="973">
        <f>AD121*P137</f>
        <v/>
      </c>
      <c r="AF121" s="973">
        <f>AD121*R137</f>
        <v/>
      </c>
    </row>
    <row r="122">
      <c r="B122" s="1167">
        <f>B138</f>
        <v/>
      </c>
      <c r="C122" s="973">
        <f>IF( B122 &lt;&gt; "Please select", CONCATENATE(B122,continent_selected), "")</f>
        <v/>
      </c>
      <c r="D122" s="1663">
        <f>IF(B122="Please select",0,VLOOKUP(C122, IPCC!$C$924:$E$1467, 3, FALSE))</f>
        <v/>
      </c>
      <c r="E122" s="1663">
        <f>IF(B122="Please select",0,VLOOKUP($C122, IPCC!$C$924:$E$1467, 2, FALSE))</f>
        <v/>
      </c>
      <c r="F122" s="1663">
        <f>IF(B122="Please select",0,IF(OR($D122&lt;=125,$D122&lt;=75),INDEX(IPCC!$B$618:$AI$633,MATCH(continent_selected,IPCC!$A$618:$A$633,0),MATCH($B122,IPCC!$B$616:$AI$616,0)),(IF(OR($D122&gt;125,$D122&gt;75),INDEX(IPCC!$AJ$618:$BS$633,MATCH(continent_selected,IPCC!$A$618:$A$633,0),MATCH($B122,IPCC!$AJ$616:$BS$616,0)),"")))*$D122)</f>
        <v/>
      </c>
      <c r="G122" s="1663">
        <f>IF(B122="Please select",0,IF(OR($E122 &lt;=125, $E122 &lt;= 75),INDEX(IPCC!$B$618:$AI$633,MATCH(continent_selected,IPCC!$A$618:$A$633,0),MATCH($B122,IPCC!$B$616:$AI$616,0)),(IF(OR($E122&gt;125,$E122&gt;75),INDEX(IPCC!$AJ$618:$BS$633,MATCH(continent_selected,IPCC!$A$618:$A$633,0),MATCH($B122,IPCC!$AJ$616:$BS$616,0)),"")))*$E122)</f>
        <v/>
      </c>
      <c r="H122" s="1663">
        <f>IF($B122="Please select",0, VLOOKUP($B122,IPCC!$A$643:$B$677, 2, FALSE))</f>
        <v/>
      </c>
      <c r="I122" s="1663">
        <f>IF($B122="Please select",0,VLOOKUP($B122, IPCC!$A$643:$C$677, 3, FALSE))</f>
        <v/>
      </c>
      <c r="J122" s="1184" t="n"/>
      <c r="L122" s="1145">
        <f>'Inl. wetlands'!D122</f>
        <v/>
      </c>
      <c r="M122" s="1145">
        <f>L122/0.47</f>
        <v/>
      </c>
      <c r="N122" s="1145">
        <f>IF(AND('6.Inland wetlands'!X50&lt;&gt; "W/out project", '6.Inland wetlands'!X50 &lt;&gt;"W/out&amp;With"), 0, IF(P138&lt;&gt;0,M122*X122*Y122, 0))</f>
        <v/>
      </c>
      <c r="O122" s="1145">
        <f>IF(AND('6.Inland wetlands'!X50 &lt;&gt; "W/out project", '6.Inland wetlands'!X50 &lt;&gt;"W/out&amp;With"), 0,IF(P138&lt;&gt;0,M122*X122*Z122, 0))</f>
        <v/>
      </c>
      <c r="P122" s="1145">
        <f>IF(AND('6.Inland wetlands'!X50 &lt;&gt; "With project", '6.Inland wetlands'!X50 &lt;&gt;"W/out&amp;With"), 0,IF(R138&lt;&gt;0,M122*X122*Y122, 0))</f>
        <v/>
      </c>
      <c r="Q122" s="1145">
        <f>IF(AND('6.Inland wetlands'!X50 &lt;&gt; "With project", '6.Inland wetlands'!X50 &lt;&gt;"W/out&amp;With"), 0, IF(R138&lt;&gt;0,M122*X122*Z122, 0))</f>
        <v/>
      </c>
      <c r="R122" s="1145">
        <f>N122*P138*(time_cap+time*(VLOOKUP(Q138, list!$J$48:$K$50,2,)))*methane/1000</f>
        <v/>
      </c>
      <c r="S122" s="1145">
        <f>O122*P138*(time_cap+time*(VLOOKUP(Q138, list!$J$48:$K$50,2,)))*Nitrous/1000</f>
        <v/>
      </c>
      <c r="T122" s="1145">
        <f>P122*R138*(time_cap+time*(VLOOKUP(S138, list!$J$48:$K$50,2,)))*methane/1000</f>
        <v/>
      </c>
      <c r="U122" s="1145">
        <f>Q122*R138*(time_cap+time*(VLOOKUP(S138, list!$J$48:$K$50,2,)))*Nitrous/1000</f>
        <v/>
      </c>
      <c r="X122" s="4362">
        <f>IF(B122="please select",0,VLOOKUP(B122, IPCC!$A$871:$E$906,2, FALSE))</f>
        <v/>
      </c>
      <c r="Y122" s="1490">
        <f>IF(B122="Please select",0, VLOOKUP(B122, IPCC!$A$871:$E$906, 4, FALSE))</f>
        <v/>
      </c>
      <c r="Z122" s="1490">
        <f>IF(B122="Please select",0, VLOOKUP(B122, IPCC!$A$871:$E$906, 5, FALSE))</f>
        <v/>
      </c>
      <c r="AB122" s="1195">
        <f>-(44/12)*($K138*(IF($Q138="Immediate",$P138*MIN(20,time_tot),$P138*IF(time_tot&gt;time+20,20,IF(time_tot&lt;20,(time*VLOOKUP($Q138, list!$J$48:$K$50, 2,))+(time_tot-time),((MIN(20,time)*VLOOKUP($Q138, list!$J$48:$K$50, 2,)) + (time_tot-MIN(20,time))-IF($Q138="Exponential",time_tot-20+0.217*time*(EXP(4.606*(20-time_tot)/time)-1),((time_tot-20)^2)*(0.5/time)))))))+($L138*(IF($E1243="Immediate", $P138*(time_tot-MIN(20,time_tot)),$P138*IF(time_tot&gt;time+20,(time*VLOOKUP($Q138, list!$J$48:$K$50,2,))+(time_tot-time-20),IF(time_tot&lt;20,0,IF($Q138="Exponential",time_tot-20+0.217*time*(EXP(4.606*(20-time_tot)/time)-1),((time_tot-20)^2)*(0.5/time))))))))</f>
        <v/>
      </c>
      <c r="AC122" s="1195">
        <f>IFERROR(-(44/12)*($K138*(IF($S138="Immediate",$R138*MIN(20,time_tot),$R138*IF(time_tot&gt;time+20,20,IF(time_tot&lt;20,(time*VLOOKUP($S138, list!$J$48:$K$50, 2,))+(time_tot-time),((MIN(20,time)*VLOOKUP($S138, list!$J$48:$K$50, 2,)) + (time_tot-MIN(20,time))-IF($S138="Exponential",time_tot-20+0.217*time*(EXP(4.606*(20-time_tot)/time)-1),((time_tot-20)^2)*(0.5/time)))))))+($L138*(IF($E1243="Immediate", $R138*(time_tot-MIN(20,time_tot)),$R138*IF(time_tot&gt;time+20,(time*VLOOKUP($S138, list!$J$48:$K$50,2,))+(time_tot-time-20),IF(time_tot&lt;20,0,IF($S138="Exponential",time_tot-20+0.217*time*(EXP(4.606*(20-time_tot)/time)-1),((time_tot-20)^2)*(0.5/time)))))))),0)</f>
        <v/>
      </c>
      <c r="AD122" s="973">
        <f>IF('6.Inland wetlands'!BH62&lt;&gt; "",'6.Inland wetlands'!BH62*44/12, IF('Inl. wetlands'!B122="Please select",0,INDEX(IPCC!$A$590:$AK$606,MATCH('Inl. wetlands'!$C$117,IPCC!$A$590:$A$606,0),MATCH('Inl. wetlands'!B122,IPCC!$A$590:$AK$590,0))+(INDEX(IPCC!$A$590:$AK$606,MATCH($C$117,IPCC!$A$590:$A$606,0),MATCH('Inl. wetlands'!B122,IPCC!$A$590:$AK$590,0))*INDEX(IPCC!$A$617:$BS$633,MATCH($C$117,IPCC!$A$617:$A$633,0),MATCH('Inl. wetlands'!B122,IPCC!$A$616:$BS$616,0))))*0.47*44/12)</f>
        <v/>
      </c>
      <c r="AE122" s="973">
        <f>AD122*P138</f>
        <v/>
      </c>
      <c r="AF122" s="973">
        <f>AD122*R138</f>
        <v/>
      </c>
    </row>
    <row r="123">
      <c r="B123" s="1167">
        <f>B139</f>
        <v/>
      </c>
      <c r="C123" s="973">
        <f>IF( B123 &lt;&gt; "Please select", CONCATENATE(B123,continent_selected), "")</f>
        <v/>
      </c>
      <c r="D123" s="1663">
        <f>IF(B123="Please select",0,VLOOKUP(C123, IPCC!$C$924:$E$1467, 3, FALSE))</f>
        <v/>
      </c>
      <c r="E123" s="1663">
        <f>IF(B123="Please select",0,VLOOKUP($C123, IPCC!$C$924:$E$1467, 2, FALSE))</f>
        <v/>
      </c>
      <c r="F123" s="1663">
        <f>IF(B123="Please select",0,IF(OR($D123&lt;=125,$D123&lt;=75),INDEX(IPCC!$B$618:$AI$633,MATCH(continent_selected,IPCC!$A$618:$A$633,0),MATCH($B123,IPCC!$B$616:$AI$616,0)),(IF(OR($D123&gt;125,$D123&gt;75),INDEX(IPCC!$AJ$618:$BS$633,MATCH(continent_selected,IPCC!$A$618:$A$633,0),MATCH($B123,IPCC!$AJ$616:$BS$616,0)),"")))*$D123)</f>
        <v/>
      </c>
      <c r="G123" s="1663">
        <f>IF(B123="Please select",0,IF(OR($E123 &lt;=125, $E123 &lt;= 75),INDEX(IPCC!$B$618:$AI$633,MATCH(continent_selected,IPCC!$A$618:$A$633,0),MATCH($B123,IPCC!$B$616:$AI$616,0)),(IF(OR($E123&gt;125,$E123&gt;75),INDEX(IPCC!$AJ$618:$BS$633,MATCH(continent_selected,IPCC!$A$618:$A$633,0),MATCH($B123,IPCC!$AJ$616:$BS$616,0)),"")))*$E123)</f>
        <v/>
      </c>
      <c r="H123" s="1663">
        <f>IF($B123="Please select",0, VLOOKUP($B123,IPCC!$A$643:$B$677, 2, FALSE))</f>
        <v/>
      </c>
      <c r="I123" s="1663">
        <f>IF($B123="Please select",0,VLOOKUP($B123, IPCC!$A$643:$C$677, 3, FALSE))</f>
        <v/>
      </c>
      <c r="J123" s="1184" t="n"/>
      <c r="L123" s="1145">
        <f>'Inl. wetlands'!D123</f>
        <v/>
      </c>
      <c r="M123" s="1145">
        <f>L123/0.47</f>
        <v/>
      </c>
      <c r="N123" s="1145">
        <f>IF(AND('6.Inland wetlands'!X51&lt;&gt; "W/out project", '6.Inland wetlands'!X51 &lt;&gt;"W/out&amp;With"), 0, IF(P139&lt;&gt;0,M123*X123*Y123, 0))</f>
        <v/>
      </c>
      <c r="O123" s="1145">
        <f>IF(AND('6.Inland wetlands'!X51 &lt;&gt; "W/out project", '6.Inland wetlands'!X51 &lt;&gt;"W/out&amp;With"), 0,IF(P139&lt;&gt;0,M123*X123*Z123, 0))</f>
        <v/>
      </c>
      <c r="P123" s="1145">
        <f>IF(AND('6.Inland wetlands'!X51 &lt;&gt; "With project", '6.Inland wetlands'!X51 &lt;&gt;"W/out&amp;With"), 0,IF(R139&lt;&gt;0,M123*X123*Y123, 0))</f>
        <v/>
      </c>
      <c r="Q123" s="1145">
        <f>IF(AND('6.Inland wetlands'!X51 &lt;&gt; "With project", '6.Inland wetlands'!X51 &lt;&gt;"W/out&amp;With"), 0, IF(R139&lt;&gt;0,M123*X123*Z123, 0))</f>
        <v/>
      </c>
      <c r="R123" s="1145">
        <f>N123*P139*(time_cap+time*(VLOOKUP(Q139, list!$J$48:$K$50,2,)))*methane/1000</f>
        <v/>
      </c>
      <c r="S123" s="1145">
        <f>O123*P139*(time_cap+time*(VLOOKUP(Q139, list!$J$48:$K$50,2,)))*Nitrous/1000</f>
        <v/>
      </c>
      <c r="T123" s="1145">
        <f>P123*R139*(time_cap+time*(VLOOKUP(S139, list!$J$48:$K$50,2,)))*methane/1000</f>
        <v/>
      </c>
      <c r="U123" s="1145">
        <f>Q123*R139*(time_cap+time*(VLOOKUP(S139, list!$J$48:$K$50,2,)))*Nitrous/1000</f>
        <v/>
      </c>
      <c r="X123" s="4362">
        <f>IF(B123="please select",0,VLOOKUP(B123, IPCC!$A$871:$E$906,2, FALSE))</f>
        <v/>
      </c>
      <c r="Y123" s="1490">
        <f>IF(B123="Please select",0, VLOOKUP(B123, IPCC!$A$871:$E$906, 4, FALSE))</f>
        <v/>
      </c>
      <c r="Z123" s="1490">
        <f>IF(B123="Please select",0, VLOOKUP(B123, IPCC!$A$871:$E$906, 5, FALSE))</f>
        <v/>
      </c>
      <c r="AB123" s="1195">
        <f>-(44/12)*($K139*(IF($Q139="Immediate",$P139*MIN(20,time_tot),$P139*IF(time_tot&gt;time+20,20,IF(time_tot&lt;20,(time*VLOOKUP($Q139, list!$J$48:$K$50, 2,))+(time_tot-time),((MIN(20,time)*VLOOKUP($Q139, list!$J$48:$K$50, 2,)) + (time_tot-MIN(20,time))-IF($Q139="Exponential",time_tot-20+0.217*time*(EXP(4.606*(20-time_tot)/time)-1),((time_tot-20)^2)*(0.5/time)))))))+($L139*(IF($E1244="Immediate", $P139*(time_tot-MIN(20,time_tot)),$P139*IF(time_tot&gt;time+20,(time*VLOOKUP($Q139, list!$J$48:$K$50,2,))+(time_tot-time-20),IF(time_tot&lt;20,0,IF($Q139="Exponential",time_tot-20+0.217*time*(EXP(4.606*(20-time_tot)/time)-1),((time_tot-20)^2)*(0.5/time))))))))</f>
        <v/>
      </c>
      <c r="AC123" s="1195">
        <f>IFERROR(-(44/12)*($K139*(IF($S139="Immediate",$R139*MIN(20,time_tot),$R139*IF(time_tot&gt;time+20,20,IF(time_tot&lt;20,(time*VLOOKUP($S139, list!$J$48:$K$50, 2,))+(time_tot-time),((MIN(20,time)*VLOOKUP($S139, list!$J$48:$K$50, 2,)) + (time_tot-MIN(20,time))-IF($S139="Exponential",time_tot-20+0.217*time*(EXP(4.606*(20-time_tot)/time)-1),((time_tot-20)^2)*(0.5/time)))))))+($L139*(IF($E1244="Immediate", $R139*(time_tot-MIN(20,time_tot)),$R139*IF(time_tot&gt;time+20,(time*VLOOKUP($S139, list!$J$48:$K$50,2,))+(time_tot-time-20),IF(time_tot&lt;20,0,IF($S139="Exponential",time_tot-20+0.217*time*(EXP(4.606*(20-time_tot)/time)-1),((time_tot-20)^2)*(0.5/time)))))))),0)</f>
        <v/>
      </c>
      <c r="AD123" s="973">
        <f>IF('6.Inland wetlands'!BH63&lt;&gt; "",'6.Inland wetlands'!BH63*44/12, IF('Inl. wetlands'!B123="Please select",0,INDEX(IPCC!$A$590:$AK$606,MATCH('Inl. wetlands'!$C$117,IPCC!$A$590:$A$606,0),MATCH('Inl. wetlands'!B123,IPCC!$A$590:$AK$590,0))+(INDEX(IPCC!$A$590:$AK$606,MATCH($C$117,IPCC!$A$590:$A$606,0),MATCH('Inl. wetlands'!B123,IPCC!$A$590:$AK$590,0))*INDEX(IPCC!$A$617:$BS$633,MATCH($C$117,IPCC!$A$617:$A$633,0),MATCH('Inl. wetlands'!B123,IPCC!$A$616:$BS$616,0))))*0.47*44/12)</f>
        <v/>
      </c>
      <c r="AE123" s="973">
        <f>AD123*P139</f>
        <v/>
      </c>
      <c r="AF123" s="973">
        <f>AD123*R139</f>
        <v/>
      </c>
    </row>
    <row r="124">
      <c r="B124" s="3491" t="n"/>
      <c r="C124" s="3491" t="n"/>
      <c r="D124" s="2550" t="n"/>
      <c r="E124" s="2550" t="n"/>
      <c r="F124" s="2550" t="n"/>
      <c r="G124" s="2550" t="n"/>
      <c r="H124" s="2550" t="n"/>
      <c r="I124" s="2550" t="n"/>
      <c r="J124" s="1300" t="n"/>
    </row>
    <row r="125">
      <c r="D125" s="1663" t="n"/>
      <c r="E125" s="1663" t="n"/>
      <c r="F125" s="1663" t="n"/>
      <c r="G125" s="1663" t="n"/>
      <c r="H125" s="1663" t="n"/>
      <c r="I125" s="1663" t="n"/>
      <c r="J125" s="1688" t="n"/>
    </row>
    <row r="127">
      <c r="D127" s="1663" t="n"/>
      <c r="E127" s="1663" t="n"/>
      <c r="F127" s="1663" t="n"/>
      <c r="G127" s="1663" t="n"/>
      <c r="H127" s="1663" t="n"/>
      <c r="I127" s="1663" t="n"/>
      <c r="J127" s="1688" t="n"/>
    </row>
    <row r="130" ht="21" customHeight="1">
      <c r="B130" s="1231" t="inlineStr">
        <is>
          <t>Conversion details (initial and final land use)</t>
        </is>
      </c>
      <c r="D130" s="1081" t="n"/>
      <c r="E130" s="1081" t="n"/>
      <c r="F130" s="1069" t="inlineStr">
        <is>
          <t>MB</t>
        </is>
      </c>
      <c r="G130" s="1069" t="inlineStr">
        <is>
          <t>Cf</t>
        </is>
      </c>
      <c r="H130" s="1069" t="n"/>
      <c r="I130" s="1069" t="n"/>
      <c r="J130" s="1069" t="n"/>
      <c r="K130" s="1190" t="inlineStr">
        <is>
          <t>Tot_biomass growth</t>
        </is>
      </c>
      <c r="L130" s="1069" t="n"/>
      <c r="M130" s="1069" t="inlineStr">
        <is>
          <t>DOM</t>
        </is>
      </c>
      <c r="N130" s="1576" t="n"/>
      <c r="P130" s="1164" t="n"/>
      <c r="T130" s="1278" t="inlineStr">
        <is>
          <t>EMISSIONS FROM BIOMASS GAIN &amp; LOSS &amp; BIOMASS BURNING (tCO2-eq)</t>
        </is>
      </c>
      <c r="U130" s="1081" t="n"/>
      <c r="V130" s="1081" t="n"/>
      <c r="W130" s="1081" t="n"/>
      <c r="X130" s="1081" t="n"/>
      <c r="Y130" s="1081" t="n"/>
      <c r="AI130" s="1270" t="inlineStr">
        <is>
          <t>Total emissions tCO2eq</t>
        </is>
      </c>
      <c r="AJ130" s="1115" t="n"/>
      <c r="AK130" s="1116" t="n"/>
      <c r="AX130" s="1287" t="inlineStr">
        <is>
          <t>FIRE BIOMASS &amp; BIOMASS GAIN AND LOSS</t>
        </is>
      </c>
      <c r="AY130" s="1501" t="n"/>
      <c r="AZ130" s="1501" t="n"/>
      <c r="BA130" s="1501" t="n"/>
      <c r="BB130" s="1501" t="n"/>
      <c r="BC130" s="1501" t="n"/>
      <c r="BD130" s="1271" t="n"/>
      <c r="BE130" s="1449" t="n"/>
      <c r="BF130" s="1449" t="n"/>
      <c r="BG130" s="1449" t="n"/>
    </row>
    <row r="131" ht="18" customHeight="1">
      <c r="D131" s="1081" t="n"/>
      <c r="E131" s="1081" t="n"/>
      <c r="F131" s="1191" t="inlineStr">
        <is>
          <t xml:space="preserve">mass of fuel </t>
        </is>
      </c>
      <c r="G131" s="1069" t="inlineStr">
        <is>
          <t xml:space="preserve">the fraction </t>
        </is>
      </c>
      <c r="H131" s="1069" t="inlineStr">
        <is>
          <t xml:space="preserve">Non-CO2 emissions from biomass burning </t>
        </is>
      </c>
      <c r="I131" s="1069" t="n"/>
      <c r="J131" s="1069" t="n"/>
      <c r="K131" s="1069" t="inlineStr">
        <is>
          <t>AGB + BGB</t>
        </is>
      </c>
      <c r="L131" s="1069" t="inlineStr">
        <is>
          <t>AGB + BGB</t>
        </is>
      </c>
      <c r="M131" s="1069" t="inlineStr">
        <is>
          <t>Litter + Dead wood</t>
        </is>
      </c>
      <c r="N131" s="1576" t="n"/>
      <c r="T131" s="1081" t="n"/>
      <c r="U131" s="1081" t="n"/>
      <c r="V131" s="1081" t="n"/>
      <c r="W131" s="1081" t="n"/>
      <c r="X131" s="1081" t="n"/>
      <c r="Y131" s="1081" t="n"/>
      <c r="AI131" s="1270" t="inlineStr">
        <is>
          <t>ALL PERIOD</t>
        </is>
      </c>
      <c r="AJ131" s="1104" t="n"/>
      <c r="AK131" s="1116" t="n"/>
      <c r="AX131" s="1503" t="inlineStr">
        <is>
          <t>CO2 Biomass</t>
        </is>
      </c>
      <c r="AY131" s="1502" t="n"/>
      <c r="AZ131" s="1502" t="inlineStr">
        <is>
          <t>CH4</t>
        </is>
      </c>
      <c r="BA131" s="1502" t="n"/>
      <c r="BB131" s="1502" t="inlineStr">
        <is>
          <t>N2O</t>
        </is>
      </c>
      <c r="BC131" s="1502" t="n"/>
      <c r="BD131" s="1450" t="n"/>
      <c r="BE131" s="1452" t="n"/>
      <c r="BF131" s="1452" t="n"/>
      <c r="BG131" s="1452" t="n"/>
      <c r="BJ131" s="1089" t="n"/>
      <c r="BK131" s="1262" t="inlineStr">
        <is>
          <t>GHG PER SCENARIO</t>
        </is>
      </c>
      <c r="BL131" s="3489" t="n"/>
      <c r="BM131" s="3489" t="n"/>
      <c r="BP131" s="1262" t="inlineStr">
        <is>
          <t>TOTAL BALANCE</t>
        </is>
      </c>
      <c r="BQ131" s="3489" t="n"/>
      <c r="BR131" s="3489" t="n"/>
      <c r="BS131" s="3489" t="n"/>
      <c r="BU131" s="1089" t="n"/>
    </row>
    <row r="132" ht="16" customHeight="1">
      <c r="B132" s="1281" t="inlineStr">
        <is>
          <t>Final land use</t>
        </is>
      </c>
      <c r="C132" s="1281" t="inlineStr">
        <is>
          <t>Initial land use</t>
        </is>
      </c>
      <c r="D132" s="1081" t="inlineStr">
        <is>
          <t>Biomass burnt</t>
        </is>
      </c>
      <c r="E132" s="1083" t="inlineStr">
        <is>
          <t>Biomass of LUs converted to FL</t>
        </is>
      </c>
      <c r="F132" s="1191" t="inlineStr">
        <is>
          <t xml:space="preserve"> for combustion</t>
        </is>
      </c>
      <c r="G132" s="1069" t="inlineStr">
        <is>
          <t xml:space="preserve"> combusted</t>
        </is>
      </c>
      <c r="H132" s="1069" t="inlineStr">
        <is>
          <t>CH4</t>
        </is>
      </c>
      <c r="I132" s="1069" t="inlineStr">
        <is>
          <t>N2O</t>
        </is>
      </c>
      <c r="J132" s="1069" t="inlineStr">
        <is>
          <t>Total_non-CO2</t>
        </is>
      </c>
      <c r="K132" s="1069" t="inlineStr">
        <is>
          <t>≤20 yrs</t>
        </is>
      </c>
      <c r="L132" s="1069" t="inlineStr">
        <is>
          <t>&gt;20 yrs</t>
        </is>
      </c>
      <c r="M132" s="1069" t="n"/>
      <c r="N132" s="1537" t="inlineStr">
        <is>
          <t>GHG emissions/removals</t>
        </is>
      </c>
      <c r="O132" s="1082" t="inlineStr">
        <is>
          <t>Start</t>
        </is>
      </c>
      <c r="P132" s="1266" t="inlineStr">
        <is>
          <t>Without</t>
        </is>
      </c>
      <c r="Q132" s="1267" t="n"/>
      <c r="R132" s="1268" t="inlineStr">
        <is>
          <t>With</t>
        </is>
      </c>
      <c r="S132" s="1269" t="n"/>
      <c r="T132" s="1081" t="inlineStr">
        <is>
          <t>Biomass gain tCO2</t>
        </is>
      </c>
      <c r="U132" s="1081" t="n"/>
      <c r="V132" s="1081" t="inlineStr">
        <is>
          <t>Biomass loss (tCO2)</t>
        </is>
      </c>
      <c r="W132" s="1081" t="n"/>
      <c r="X132" s="1081" t="inlineStr">
        <is>
          <t>Burning biomass</t>
        </is>
      </c>
      <c r="Y132" s="1081" t="n"/>
      <c r="AI132" s="1270" t="inlineStr">
        <is>
          <t>BIOMASS &amp; BIOMASS BURNING</t>
        </is>
      </c>
      <c r="AJ132" s="1116" t="n"/>
      <c r="AK132" s="1116" t="n"/>
    </row>
    <row r="133">
      <c r="D133" s="1081" t="inlineStr">
        <is>
          <t>during conversion</t>
        </is>
      </c>
      <c r="E133" s="1083" t="inlineStr">
        <is>
          <t>tC/ha</t>
        </is>
      </c>
      <c r="F133" s="1069" t="inlineStr">
        <is>
          <t>tonnes dry matter/ha</t>
        </is>
      </c>
      <c r="G133" s="1069" t="inlineStr">
        <is>
          <t>%</t>
        </is>
      </c>
      <c r="H133" s="1069" t="inlineStr">
        <is>
          <t>kg CH4</t>
        </is>
      </c>
      <c r="I133" s="1069" t="inlineStr">
        <is>
          <t>kg N2O</t>
        </is>
      </c>
      <c r="J133" s="1083" t="inlineStr">
        <is>
          <t>tCO2 eq</t>
        </is>
      </c>
      <c r="K133" s="1083" t="inlineStr">
        <is>
          <t>t C/ha/yr</t>
        </is>
      </c>
      <c r="L133" s="1083" t="inlineStr">
        <is>
          <t>t C/ha/yr</t>
        </is>
      </c>
      <c r="M133" s="1083" t="inlineStr">
        <is>
          <t>tC/ha</t>
        </is>
      </c>
      <c r="N133" s="1281">
        <f>B132</f>
        <v/>
      </c>
      <c r="O133" s="1069" t="inlineStr">
        <is>
          <t>ha</t>
        </is>
      </c>
      <c r="P133" s="1102" t="inlineStr">
        <is>
          <t>ha</t>
        </is>
      </c>
      <c r="Q133" s="1102" t="inlineStr">
        <is>
          <t>rate</t>
        </is>
      </c>
      <c r="R133" s="1103" t="inlineStr">
        <is>
          <t>ha</t>
        </is>
      </c>
      <c r="S133" s="1103" t="inlineStr">
        <is>
          <t>rate</t>
        </is>
      </c>
      <c r="T133" s="1188" t="inlineStr">
        <is>
          <t>Without</t>
        </is>
      </c>
      <c r="U133" s="1189" t="inlineStr">
        <is>
          <t>With</t>
        </is>
      </c>
      <c r="V133" s="1188" t="inlineStr">
        <is>
          <t>Without</t>
        </is>
      </c>
      <c r="W133" s="1189" t="inlineStr">
        <is>
          <t>With</t>
        </is>
      </c>
      <c r="X133" s="1188" t="inlineStr">
        <is>
          <t>Without</t>
        </is>
      </c>
      <c r="Y133" s="1189" t="inlineStr">
        <is>
          <t>With</t>
        </is>
      </c>
      <c r="AI133" s="1102" t="inlineStr">
        <is>
          <t>WITHOUT</t>
        </is>
      </c>
      <c r="AJ133" s="1103" t="inlineStr">
        <is>
          <t>WITH</t>
        </is>
      </c>
      <c r="AK133" s="1104" t="inlineStr">
        <is>
          <t>BALANCE</t>
        </is>
      </c>
      <c r="AX133" s="1272" t="inlineStr">
        <is>
          <t>WITHOUT</t>
        </is>
      </c>
      <c r="AY133" s="1272" t="inlineStr">
        <is>
          <t>WITH</t>
        </is>
      </c>
      <c r="AZ133" s="1272" t="inlineStr">
        <is>
          <t>WITHOUT</t>
        </is>
      </c>
      <c r="BA133" s="1272" t="inlineStr">
        <is>
          <t>WITH</t>
        </is>
      </c>
      <c r="BB133" s="1272" t="inlineStr">
        <is>
          <t>WITHOUT</t>
        </is>
      </c>
      <c r="BC133" s="1272" t="inlineStr">
        <is>
          <t>WITH</t>
        </is>
      </c>
      <c r="BD133" s="1272" t="n"/>
      <c r="BK133" s="1321" t="inlineStr">
        <is>
          <t>CATEGORIES</t>
        </is>
      </c>
      <c r="BL133" s="1317" t="inlineStr">
        <is>
          <t>WITHOUT</t>
        </is>
      </c>
      <c r="BM133" s="1317" t="inlineStr">
        <is>
          <t>WITH</t>
        </is>
      </c>
      <c r="BP133" s="1321" t="inlineStr">
        <is>
          <t>CATEGORIES</t>
        </is>
      </c>
      <c r="BQ133" s="1317" t="inlineStr">
        <is>
          <t>BALANCE</t>
        </is>
      </c>
      <c r="BR133" s="1317" t="inlineStr">
        <is>
          <t>IMPLEM.</t>
        </is>
      </c>
      <c r="BS133" s="1318" t="inlineStr">
        <is>
          <t>CAPITAL.</t>
        </is>
      </c>
      <c r="BT133" s="1454" t="n"/>
    </row>
    <row r="134">
      <c r="B134" s="973">
        <f>'6.Inland wetlands'!C46</f>
        <v/>
      </c>
      <c r="C134" s="973">
        <f>IF('6.Inland wetlands'!K46="Please select",'6.Inland wetlands'!I46,'6.Inland wetlands'!K46)</f>
        <v/>
      </c>
      <c r="D134" s="1194">
        <f>'6.Inland wetlands'!G46</f>
        <v/>
      </c>
      <c r="E134" s="4734">
        <f>IF('6.Inland wetlands'!AZ47=0, IF($C134="Please select",0,INDEX(IPCC!$D$1521:$Y$1680,MATCH(clim_moist_cont,IPCC!$C$1521:$C$1680,0),MATCH($C134,IPCC!$D$1520:$Y$1520,0))), '6.Inland wetlands'!AZ47)</f>
        <v/>
      </c>
      <c r="F134" s="4734">
        <f>IF(OR(C134="Annual cropland",C134="Annual fallow"),$E134*40%,E134)</f>
        <v/>
      </c>
      <c r="G134" s="4734">
        <f>IF($C134="Please select",0,VLOOKUP($C134,IPCC!$A$1473:$B$1495,2, FALSE))</f>
        <v/>
      </c>
      <c r="H134" s="4734">
        <f>IFERROR($F134*$G134*VLOOKUP(C134,IPCC!$A$1473:$E$1496,4,FALSE),0)</f>
        <v/>
      </c>
      <c r="I134" s="4734">
        <f>IFERROR($F134*$G134*VLOOKUP($C134, IPCC!$A$1473:$E$1496, 5, FALSE),0)</f>
        <v/>
      </c>
      <c r="J134" s="1145">
        <f>($H134*methane + $I134*Nitrous)/1000</f>
        <v/>
      </c>
      <c r="K134" s="1145">
        <f>IF($B134="Please select",0,IF('6.Inland wetlands'!$AX58="",(VLOOKUP($B134,$B$117:$J$125,3,FALSE)+VLOOKUP($B134,$B$117:$J$125,5,FALSE))*0.47,'6.Inland wetlands'!$AX58))</f>
        <v/>
      </c>
      <c r="L134" s="1145">
        <f>IF($B134="Please select",0,IF('6.Inland wetlands'!$AZ58="",(VLOOKUP($B134,$B$117:$J$125,4, FALSE) + VLOOKUP($B134,$B$117:$J$125,6, FALSE))*0.47,'6.Inland wetlands'!$AZ58))</f>
        <v/>
      </c>
      <c r="M134" s="1195">
        <f>IF($B134="Please select",0,IF('6.Inland wetlands'!$BL58="",VLOOKUP($B134,$B$117:$J$125, 7, FALSE),'6.Inland wetlands'!$BL58) +IF('6.Inland wetlands'!$BO58="",VLOOKUP($B134,$B$117:$J$125,8, FALSE),'6.Inland wetlands'!$BO58))</f>
        <v/>
      </c>
      <c r="N134" s="1121">
        <f>B134</f>
        <v/>
      </c>
      <c r="O134" s="1194" t="n">
        <v>0</v>
      </c>
      <c r="P134" s="1154">
        <f>'6.Inland wetlands'!N46</f>
        <v/>
      </c>
      <c r="Q134" s="1154">
        <f>VLOOKUP('6.Inland wetlands'!O46, list!$I$48:$J$50,2,FALSE )</f>
        <v/>
      </c>
      <c r="R134" s="1154">
        <f>'6.Inland wetlands'!P46</f>
        <v/>
      </c>
      <c r="S134" s="1154">
        <f>VLOOKUP('6.Inland wetlands'!Q46, list!$I$48:$J$50,2,FALSE )</f>
        <v/>
      </c>
      <c r="T134" s="1151">
        <f>IF(AB118&lt;-AE118,-AE118,AB118+(-M134*P134*44/12))</f>
        <v/>
      </c>
      <c r="U134" s="1151">
        <f>IF(AC118&lt;-AF118,-AF118,AC118+(-M134*R134*44/12))</f>
        <v/>
      </c>
      <c r="V134" s="1151">
        <f>IF(N134="Please select",0,$P134*$E134*44/12)</f>
        <v/>
      </c>
      <c r="W134" s="1151">
        <f>IF(N134="Please select",0,$R134*$E134*44/12)</f>
        <v/>
      </c>
      <c r="X134" s="1151">
        <f>IF($D134="NO",0,$P134*$J134)+R118+S118</f>
        <v/>
      </c>
      <c r="Y134" s="1151">
        <f>IF($D134="NO", 0, $R134*$J134)+T118+U118</f>
        <v/>
      </c>
      <c r="AB134" s="973">
        <f>IF(AB118&lt;-AE118,-AE118,AB118+(-M134*P134*44/12))</f>
        <v/>
      </c>
      <c r="AC134" s="973">
        <f>IF(AC118&lt;-AF118,-AF118,AC118+(-M134*R134*44/12))</f>
        <v/>
      </c>
      <c r="AI134" s="1151">
        <f>T134+V134+X134</f>
        <v/>
      </c>
      <c r="AJ134" s="1151">
        <f>U134+W134+Y134</f>
        <v/>
      </c>
      <c r="AK134" s="3498">
        <f>AJ134-AI134</f>
        <v/>
      </c>
      <c r="AX134" s="1449">
        <f>SUM($V134,$T134)</f>
        <v/>
      </c>
      <c r="AY134" s="1449">
        <f>SUM($W134,$U134)</f>
        <v/>
      </c>
      <c r="AZ134" s="1449">
        <f>IF(D134= "YES",$H134/1000*methane*$P134,0)</f>
        <v/>
      </c>
      <c r="BA134" s="1449">
        <f>IF(D134= "YES",$H134/1000*methane*$R134,0)</f>
        <v/>
      </c>
      <c r="BB134" s="1449">
        <f>IF($D134="YES",$I134/1000*Nitrous*$P134,0)</f>
        <v/>
      </c>
      <c r="BC134" s="1449">
        <f>IF($D134= "YES",$I134/1000*Nitrous*$R134,0)</f>
        <v/>
      </c>
      <c r="BD134" s="1449" t="n"/>
      <c r="BK134" s="1084" t="inlineStr">
        <is>
          <t>CO2 biomass</t>
        </is>
      </c>
      <c r="BL134" s="1312">
        <f>SUM($T134:$T139)+SUM($V134:$V139)</f>
        <v/>
      </c>
      <c r="BM134" s="1312">
        <f>SUM($U134:$U139)+SUM($W134:$W139)</f>
        <v/>
      </c>
      <c r="BN134" s="1246">
        <f>BM134-BL134</f>
        <v/>
      </c>
      <c r="BP134" s="1322">
        <f>BK134</f>
        <v/>
      </c>
      <c r="BQ134" s="1312">
        <f>BM134-BL134</f>
        <v/>
      </c>
      <c r="BR134" s="1312">
        <f>IF(time=0,0,BQ134)</f>
        <v/>
      </c>
      <c r="BS134" s="1453">
        <f>BQ134-BR134</f>
        <v/>
      </c>
      <c r="BT134" s="1455">
        <f>SUM(BR134:BS134)</f>
        <v/>
      </c>
    </row>
    <row r="135">
      <c r="B135" s="973">
        <f>'6.Inland wetlands'!C47</f>
        <v/>
      </c>
      <c r="C135" s="973">
        <f>IF('6.Inland wetlands'!K47="Please select",'6.Inland wetlands'!I47,'6.Inland wetlands'!K47)</f>
        <v/>
      </c>
      <c r="D135" s="1194">
        <f>'6.Inland wetlands'!G47</f>
        <v/>
      </c>
      <c r="E135" s="4734">
        <f>IF('6.Inland wetlands'!AZ48=0, IF($C135="Please select",0,INDEX(IPCC!$D$1521:$Y$1680,MATCH(clim_moist_cont,IPCC!$C$1521:$C$1680,0),MATCH($C135,IPCC!$D$1520:$Y$1520,0))), '6.Inland wetlands'!AZ48)</f>
        <v/>
      </c>
      <c r="F135" s="4734">
        <f>IF(OR(C135="Annual cropland",C135="Annual fallow"),$E135*40%,E135)</f>
        <v/>
      </c>
      <c r="G135" s="4648">
        <f>IF($C135="Please select",0,VLOOKUP($C135,IPCC!$A$1473:$B$1495,2, FALSE))</f>
        <v/>
      </c>
      <c r="H135" s="4734">
        <f>IFERROR($F135*$G135*VLOOKUP(C135,IPCC!$A$1473:$E$1496,4,FALSE),0)</f>
        <v/>
      </c>
      <c r="I135" s="4734">
        <f>IFERROR($F135*$G135*VLOOKUP($C135, IPCC!$A$1473:$E$1496, 5, FALSE),0)</f>
        <v/>
      </c>
      <c r="J135" s="1147">
        <f>($H135*methane + $I135*Nitrous)/1000</f>
        <v/>
      </c>
      <c r="K135" s="1147">
        <f>IF($B135="Please select",0,IF('6.Inland wetlands'!$AX59="",(VLOOKUP($B135,$B$117:$J$125,3,FALSE)+VLOOKUP($B135,$B$117:$J$125,5,FALSE))*0.47,'6.Inland wetlands'!$AX59))</f>
        <v/>
      </c>
      <c r="L135" s="1147">
        <f>IF($B135="Please select",0,IF('6.Inland wetlands'!$AZ59="",(VLOOKUP($B135,$B$117:$J$125,4, FALSE) + VLOOKUP($B135,$B$117:$J$125,6, FALSE))*0.47,'6.Inland wetlands'!$AZ59))</f>
        <v/>
      </c>
      <c r="M135" s="1197">
        <f>IF($B135="Please select",0,IF('6.Inland wetlands'!$BL59="",VLOOKUP($B135,$B$117:$J$125, 7, FALSE),'6.Inland wetlands'!$BL59) +IF('6.Inland wetlands'!$BO59="",VLOOKUP($B135,$B$117:$J$125,8, FALSE),'6.Inland wetlands'!$BO59))</f>
        <v/>
      </c>
      <c r="N135" s="1121">
        <f>B135</f>
        <v/>
      </c>
      <c r="O135" s="1196" t="n">
        <v>0</v>
      </c>
      <c r="P135" s="1157">
        <f>'6.Inland wetlands'!N47</f>
        <v/>
      </c>
      <c r="Q135" s="1157">
        <f>VLOOKUP('6.Inland wetlands'!O47, list!$I$48:$J$50,2,FALSE )</f>
        <v/>
      </c>
      <c r="R135" s="1157">
        <f>'6.Inland wetlands'!P47</f>
        <v/>
      </c>
      <c r="S135" s="1157">
        <f>VLOOKUP('6.Inland wetlands'!Q47, list!$I$48:$J$50,2,FALSE )</f>
        <v/>
      </c>
      <c r="T135" s="1151">
        <f>IF(AB119&lt;-AE119,-AE119,AB119+(-M135*P135*44/12))</f>
        <v/>
      </c>
      <c r="U135" s="1151">
        <f>IF(AC119&lt;-AF119,-AF119,AC119+(-M135*R135*44/12))</f>
        <v/>
      </c>
      <c r="V135" s="1152">
        <f>IF(N135="Please select",0,$P135*$E135*44/12)</f>
        <v/>
      </c>
      <c r="W135" s="1152">
        <f>IF(N135="Please select",0,$R135*$E135*44/12)</f>
        <v/>
      </c>
      <c r="X135" s="1151">
        <f>IF($D135="NO",0,$P135*$J135)+R119+S119</f>
        <v/>
      </c>
      <c r="Y135" s="1151">
        <f>IF($D135="NO", 0, $R135*$J135)+T119+U119</f>
        <v/>
      </c>
      <c r="AB135" s="973">
        <f>IF(AB119&lt;-AE119,-AE119,AB119+(-M135*P135*44/12))</f>
        <v/>
      </c>
      <c r="AC135" s="973">
        <f>IF(AC119&lt;-AF119,-AF119,AC119+(-M135*R135*44/12))</f>
        <v/>
      </c>
      <c r="AI135" s="1151">
        <f>T135+V135+X135</f>
        <v/>
      </c>
      <c r="AJ135" s="1151">
        <f>U135+W135+Y135</f>
        <v/>
      </c>
      <c r="AK135" s="1159">
        <f>AJ135-AI135</f>
        <v/>
      </c>
      <c r="AX135" s="1449">
        <f>SUM($V135,$T135)</f>
        <v/>
      </c>
      <c r="AY135" s="1449">
        <f>SUM($W135,$U135)</f>
        <v/>
      </c>
      <c r="AZ135" s="1449">
        <f>IF(D135= "YES",$H135/1000*methane*$P135,0)</f>
        <v/>
      </c>
      <c r="BA135" s="1449">
        <f>IF(D135= "YES",$H135/1000*methane*$R135,0)</f>
        <v/>
      </c>
      <c r="BB135" s="1449">
        <f>IF($D135="YES",$I135/1000*Nitrous*$P135,0)</f>
        <v/>
      </c>
      <c r="BC135" s="1449">
        <f>IF($D135= "YES",$I135/1000*Nitrous*$R135,0)</f>
        <v/>
      </c>
      <c r="BD135" s="1449" t="n"/>
      <c r="BK135" s="1084" t="inlineStr">
        <is>
          <t>CO2 soil drainage</t>
        </is>
      </c>
      <c r="BL135" s="1314">
        <f>SUM($AB176:$AB181)+SUM($AB165:$AB170)</f>
        <v/>
      </c>
      <c r="BM135" s="1314">
        <f>SUM($AC165:$AC170)+SUM($AC176:$AC181)</f>
        <v/>
      </c>
      <c r="BN135" s="1246">
        <f>BM135-BL135</f>
        <v/>
      </c>
      <c r="BP135" s="1322">
        <f>BK135</f>
        <v/>
      </c>
      <c r="BQ135" s="1312">
        <f>BM135-BL135</f>
        <v/>
      </c>
      <c r="BR135" s="1312">
        <f>IF(time=0,0,SUM(AY165:AY170,BE165:BE170)-SUM(AX165:AX170,BD165:BD170))</f>
        <v/>
      </c>
      <c r="BS135" s="1453">
        <f>BQ135-BR135</f>
        <v/>
      </c>
      <c r="BT135" s="1455">
        <f>SUM(BR135:BS135)</f>
        <v/>
      </c>
    </row>
    <row r="136">
      <c r="B136" s="973">
        <f>'6.Inland wetlands'!C48</f>
        <v/>
      </c>
      <c r="C136" s="973">
        <f>IF('6.Inland wetlands'!K48="Please select",'6.Inland wetlands'!I48,'6.Inland wetlands'!K48)</f>
        <v/>
      </c>
      <c r="D136" s="1194">
        <f>'6.Inland wetlands'!G48</f>
        <v/>
      </c>
      <c r="E136" s="4734">
        <f>IF('6.Inland wetlands'!AZ49=0, IF($C136="Please select",0,INDEX(IPCC!$D$1521:$Y$1680,MATCH(clim_moist_cont,IPCC!$C$1521:$C$1680,0),MATCH($C136,IPCC!$D$1520:$Y$1520,0))), '6.Inland wetlands'!AZ49)</f>
        <v/>
      </c>
      <c r="F136" s="4734">
        <f>IF(OR(C136="Annual cropland",C136="Annual fallow"),$E136*40%,E136)</f>
        <v/>
      </c>
      <c r="G136" s="4648">
        <f>IF($C136="Please select",0,VLOOKUP($C136,IPCC!$A$1473:$B$1495,2, FALSE))</f>
        <v/>
      </c>
      <c r="H136" s="4734">
        <f>IFERROR($F136*$G136*VLOOKUP(C136,IPCC!$A$1473:$E$1496,4,FALSE),0)</f>
        <v/>
      </c>
      <c r="I136" s="4734">
        <f>IFERROR($F136*$G136*VLOOKUP($C136, IPCC!$A$1473:$E$1496, 5, FALSE),0)</f>
        <v/>
      </c>
      <c r="J136" s="1147">
        <f>($H136*methane + $I136*Nitrous)/1000</f>
        <v/>
      </c>
      <c r="K136" s="1147">
        <f>IF($B136="Please select",0,IF('6.Inland wetlands'!$AX60="",(VLOOKUP($B136,$B$117:$J$125,3,FALSE)+VLOOKUP($B136,$B$117:$J$125,5,FALSE))*0.47,'6.Inland wetlands'!$AX60))</f>
        <v/>
      </c>
      <c r="L136" s="1147">
        <f>IF($B136="Please select",0,IF('6.Inland wetlands'!$AZ60="",(VLOOKUP($B136,$B$117:$J$125,4, FALSE) + VLOOKUP($B136,$B$117:$J$125,6, FALSE))*0.47,'6.Inland wetlands'!$AZ60))</f>
        <v/>
      </c>
      <c r="M136" s="1197">
        <f>IF($B136="Please select",0,IF('6.Inland wetlands'!$BL60="",VLOOKUP($B136,$B$117:$J$125, 7, FALSE),'6.Inland wetlands'!$BL60) +IF('6.Inland wetlands'!$BO60="",VLOOKUP($B136,$B$117:$J$125,8, FALSE),'6.Inland wetlands'!$BO60))</f>
        <v/>
      </c>
      <c r="N136" s="1121">
        <f>B136</f>
        <v/>
      </c>
      <c r="O136" s="1196" t="n">
        <v>0</v>
      </c>
      <c r="P136" s="1157">
        <f>'6.Inland wetlands'!N48</f>
        <v/>
      </c>
      <c r="Q136" s="1157">
        <f>VLOOKUP('6.Inland wetlands'!O48, list!$I$48:$J$50,2,FALSE )</f>
        <v/>
      </c>
      <c r="R136" s="1157">
        <f>'6.Inland wetlands'!P48</f>
        <v/>
      </c>
      <c r="S136" s="1157">
        <f>VLOOKUP('6.Inland wetlands'!Q48, list!$I$48:$J$50,2,FALSE )</f>
        <v/>
      </c>
      <c r="T136" s="1151">
        <f>IF(AB120&lt;-AE120,-AE120,AB120+(-M136*P136*44/12))</f>
        <v/>
      </c>
      <c r="U136" s="1151">
        <f>IF(AC120&lt;-AF120,-AF120,AC120+(-M136*R136*44/12))</f>
        <v/>
      </c>
      <c r="V136" s="1152">
        <f>IF(N136="Please select",0,$P136*$E136*44/12)</f>
        <v/>
      </c>
      <c r="W136" s="1152">
        <f>IF(N136="Please select",0,$R136*$E136*44/12)</f>
        <v/>
      </c>
      <c r="X136" s="1151">
        <f>IF($D136="NO",0,$P136*$J136)+R120+S120</f>
        <v/>
      </c>
      <c r="Y136" s="1151">
        <f>IF($D136="NO", 0, $R136*$J136)+T120+U120</f>
        <v/>
      </c>
      <c r="AB136" s="973">
        <f>IF(AB120&lt;-AE120,-AE120,AB120+(-M136*P136*44/12))</f>
        <v/>
      </c>
      <c r="AC136" s="973">
        <f>IF(AC120&lt;-AF120,-AF120,AC120+(-M136*R136*44/12))</f>
        <v/>
      </c>
      <c r="AI136" s="1151">
        <f>T136+V136+X136</f>
        <v/>
      </c>
      <c r="AJ136" s="1151">
        <f>U136+W136+Y136</f>
        <v/>
      </c>
      <c r="AK136" s="1159">
        <f>AJ136-AI136</f>
        <v/>
      </c>
      <c r="AX136" s="1449">
        <f>SUM($V136,$T136)</f>
        <v/>
      </c>
      <c r="AY136" s="1449">
        <f>SUM($W136,$U136)</f>
        <v/>
      </c>
      <c r="AZ136" s="1449">
        <f>IF(D136= "YES",$H136/1000*methane*$P136,0)</f>
        <v/>
      </c>
      <c r="BA136" s="1449">
        <f>IF(D136= "YES",$H136/1000*methane*$R136,0)</f>
        <v/>
      </c>
      <c r="BB136" s="1449">
        <f>IF($D136="YES",$I136/1000*Nitrous*$P136,0)</f>
        <v/>
      </c>
      <c r="BC136" s="1449">
        <f>IF($D136= "YES",$I136/1000*Nitrous*$R136,0)</f>
        <v/>
      </c>
      <c r="BD136" s="1449" t="n"/>
      <c r="BK136" s="1084" t="inlineStr">
        <is>
          <t>CH4 soil drainage</t>
        </is>
      </c>
      <c r="BL136" s="1314">
        <f>SUM($AD165:$AD170)+SUM($AD176:$AD181)</f>
        <v/>
      </c>
      <c r="BM136" s="1314">
        <f>SUM($AE165:$AE170)+SUM($AE176:$AE181)</f>
        <v/>
      </c>
      <c r="BN136" s="1246">
        <f>BM136-BL136</f>
        <v/>
      </c>
      <c r="BP136" s="1322">
        <f>BK136</f>
        <v/>
      </c>
      <c r="BQ136" s="1312">
        <f>BM136-BL136</f>
        <v/>
      </c>
      <c r="BR136" s="1312">
        <f>IF(time=0,0,SUM(BA165:BA170,BG165:BG170)-SUM(AZ165:AZ170,BF165:BF170))</f>
        <v/>
      </c>
      <c r="BS136" s="1453">
        <f>BQ136-BR136</f>
        <v/>
      </c>
      <c r="BT136" s="1455">
        <f>SUM(BR136:BS136)</f>
        <v/>
      </c>
    </row>
    <row r="137">
      <c r="B137" s="973">
        <f>'6.Inland wetlands'!C49</f>
        <v/>
      </c>
      <c r="C137" s="973">
        <f>IF('6.Inland wetlands'!K49="Please select",'6.Inland wetlands'!I49,'6.Inland wetlands'!K49)</f>
        <v/>
      </c>
      <c r="D137" s="1194">
        <f>'6.Inland wetlands'!G49</f>
        <v/>
      </c>
      <c r="E137" s="4734">
        <f>IF('6.Inland wetlands'!AZ50=0, IF($C137="Please select",0,INDEX(IPCC!$D$1521:$Y$1680,MATCH(clim_moist_cont,IPCC!$C$1521:$C$1680,0),MATCH($C137,IPCC!$D$1520:$Y$1520,0))), '6.Inland wetlands'!AZ50)</f>
        <v/>
      </c>
      <c r="F137" s="4734">
        <f>IF(OR(C137="Annual cropland",C137="Annual fallow"),$E137*40%,E137)</f>
        <v/>
      </c>
      <c r="G137" s="4648">
        <f>IF($C137="Please select",0,VLOOKUP($C137,IPCC!$A$1473:$B$1495,2, FALSE))</f>
        <v/>
      </c>
      <c r="H137" s="4734">
        <f>IFERROR($F137*$G137*VLOOKUP(C137,IPCC!$A$1473:$E$1496,4,FALSE),0)</f>
        <v/>
      </c>
      <c r="I137" s="4734">
        <f>IFERROR($F137*$G137*VLOOKUP($C137, IPCC!$A$1473:$E$1496, 5, FALSE),0)</f>
        <v/>
      </c>
      <c r="J137" s="1147">
        <f>($H137*methane + $I137*Nitrous)/1000</f>
        <v/>
      </c>
      <c r="K137" s="1147">
        <f>IF($B137="Please select",0,IF('6.Inland wetlands'!$AX61="",(VLOOKUP($B137,$B$117:$J$125,3,FALSE)+VLOOKUP($B137,$B$117:$J$125,5,FALSE))*0.47,'6.Inland wetlands'!$AX61))</f>
        <v/>
      </c>
      <c r="L137" s="1147">
        <f>IF($B137="Please select",0,IF('6.Inland wetlands'!$AZ61="",(VLOOKUP($B137,$B$117:$J$125,4, FALSE) + VLOOKUP($B137,$B$117:$J$125,6, FALSE))*0.47,'6.Inland wetlands'!$AZ61))</f>
        <v/>
      </c>
      <c r="M137" s="1197">
        <f>IF($B137="Please select",0,IF('6.Inland wetlands'!$BL61="",VLOOKUP($B137,$B$117:$J$125, 7, FALSE),'6.Inland wetlands'!$BL61) +IF('6.Inland wetlands'!$BO61="",VLOOKUP($B137,$B$117:$J$125,8, FALSE),'6.Inland wetlands'!$BO61))</f>
        <v/>
      </c>
      <c r="N137" s="1121">
        <f>B137</f>
        <v/>
      </c>
      <c r="O137" s="1196" t="n">
        <v>0</v>
      </c>
      <c r="P137" s="1157">
        <f>'6.Inland wetlands'!N49</f>
        <v/>
      </c>
      <c r="Q137" s="1157">
        <f>VLOOKUP('6.Inland wetlands'!O49, list!$I$48:$J$50,2,FALSE )</f>
        <v/>
      </c>
      <c r="R137" s="1157">
        <f>'6.Inland wetlands'!P49</f>
        <v/>
      </c>
      <c r="S137" s="1157">
        <f>VLOOKUP('6.Inland wetlands'!Q49, list!$I$48:$J$50,2,FALSE )</f>
        <v/>
      </c>
      <c r="T137" s="1151">
        <f>IF(AB121&lt;-AE121,-AE121,AB121+(-M137*P137*44/12))</f>
        <v/>
      </c>
      <c r="U137" s="1151">
        <f>IF(AC121&lt;-AF121,-AF121,AC121+(-M137*R137*44/12))</f>
        <v/>
      </c>
      <c r="V137" s="1152">
        <f>IF(N137="Please select",0,$P137*$E137*44/12)</f>
        <v/>
      </c>
      <c r="W137" s="1152">
        <f>IF(N137="Please select",0,$R137*$E137*44/12)</f>
        <v/>
      </c>
      <c r="X137" s="1151">
        <f>IF($D137="NO",0,$P137*$J137)+R121+S121</f>
        <v/>
      </c>
      <c r="Y137" s="1151">
        <f>IF($D137="NO", 0, $R137*$J137)+T121+U121</f>
        <v/>
      </c>
      <c r="AB137" s="973">
        <f>IF(AB121&lt;-AE121,-AE121,AB121+(-M137*P137*44/12))</f>
        <v/>
      </c>
      <c r="AC137" s="973">
        <f>IF(AC121&lt;-AF121,-AF121,AC121+(-M137*R137*44/12))</f>
        <v/>
      </c>
      <c r="AI137" s="1151">
        <f>T137+V137+X137</f>
        <v/>
      </c>
      <c r="AJ137" s="1151">
        <f>U137+W137+Y137</f>
        <v/>
      </c>
      <c r="AK137" s="1159">
        <f>AJ137-AI137</f>
        <v/>
      </c>
      <c r="AX137" s="1449">
        <f>SUM($V137,$T137)</f>
        <v/>
      </c>
      <c r="AY137" s="1449">
        <f>SUM($W137,$U137)</f>
        <v/>
      </c>
      <c r="AZ137" s="1449">
        <f>IF(D137= "YES",$H137/1000*methane*$P137,0)</f>
        <v/>
      </c>
      <c r="BA137" s="1449">
        <f>IF(D137= "YES",$H137/1000*methane*$R137,0)</f>
        <v/>
      </c>
      <c r="BB137" s="1449">
        <f>IF($D137="YES",$I137/1000*Nitrous*$P137,0)</f>
        <v/>
      </c>
      <c r="BC137" s="1449">
        <f>IF($D137= "YES",$I137/1000*Nitrous*$R137,0)</f>
        <v/>
      </c>
      <c r="BD137" s="1449" t="n"/>
      <c r="BK137" s="1084" t="inlineStr">
        <is>
          <t>N2O soil drainage</t>
        </is>
      </c>
      <c r="BL137" s="1314">
        <f>SUM($AF165:$AF170)+SUM($AF176:$AF181)</f>
        <v/>
      </c>
      <c r="BM137" s="1314">
        <f>SUM($AG165:$AG170)+SUM($AG176:$AG181)</f>
        <v/>
      </c>
      <c r="BN137" s="1246">
        <f>BM137-BL137</f>
        <v/>
      </c>
      <c r="BP137" s="1322">
        <f>BK137</f>
        <v/>
      </c>
      <c r="BQ137" s="1312">
        <f>BM137-BL137</f>
        <v/>
      </c>
      <c r="BR137" s="1312">
        <f>IF(time=0,0,SUM(BC165:BC170)-SUM(BB165:BB170))</f>
        <v/>
      </c>
      <c r="BS137" s="1453">
        <f>BQ137-BR137</f>
        <v/>
      </c>
      <c r="BT137" s="1455">
        <f>SUM(BR137:BS137)</f>
        <v/>
      </c>
    </row>
    <row r="138">
      <c r="B138" s="973">
        <f>'6.Inland wetlands'!C50</f>
        <v/>
      </c>
      <c r="C138" s="973">
        <f>IF('6.Inland wetlands'!K50="Please select",'6.Inland wetlands'!I50,'6.Inland wetlands'!K50)</f>
        <v/>
      </c>
      <c r="D138" s="1194">
        <f>'6.Inland wetlands'!G50</f>
        <v/>
      </c>
      <c r="E138" s="4734">
        <f>IF('6.Inland wetlands'!AZ51=0, IF($C138="Please select",0,INDEX(IPCC!$D$1521:$Y$1680,MATCH(clim_moist_cont,IPCC!$C$1521:$C$1680,0),MATCH($C138,IPCC!$D$1520:$Y$1520,0))), '6.Inland wetlands'!AZ51)</f>
        <v/>
      </c>
      <c r="F138" s="4734">
        <f>IF(OR(C138="Annual cropland",C138="Annual fallow"),$E138*40%,E138)</f>
        <v/>
      </c>
      <c r="G138" s="4648">
        <f>IF($C138="Please select",0,VLOOKUP($C138,IPCC!$A$1473:$B$1495,2, FALSE))</f>
        <v/>
      </c>
      <c r="H138" s="4734">
        <f>IFERROR($F138*$G138*VLOOKUP(C138,IPCC!$A$1473:$E$1496,4,FALSE),0)</f>
        <v/>
      </c>
      <c r="I138" s="4734">
        <f>IFERROR($F138*$G138*VLOOKUP($C138, IPCC!$A$1473:$E$1496, 5, FALSE),0)</f>
        <v/>
      </c>
      <c r="J138" s="1147">
        <f>($H138*methane + $I138*Nitrous)/1000</f>
        <v/>
      </c>
      <c r="K138" s="1147">
        <f>IF($B138="Please select",0,IF('6.Inland wetlands'!$AX62="",(VLOOKUP($B138,$B$117:$J$125,3,FALSE)+VLOOKUP($B138,$B$117:$J$125,5,FALSE))*0.47,'6.Inland wetlands'!$AX62))</f>
        <v/>
      </c>
      <c r="L138" s="1147">
        <f>IF($B138="Please select",0,IF('6.Inland wetlands'!$AZ62="",(VLOOKUP($B138,$B$117:$J$125,4, FALSE) + VLOOKUP($B138,$B$117:$J$125,6, FALSE))*0.47,'6.Inland wetlands'!$AZ62))</f>
        <v/>
      </c>
      <c r="M138" s="1197">
        <f>IF($B138="Please select",0,IF('6.Inland wetlands'!$BL62="",VLOOKUP($B138,$B$117:$J$125, 7, FALSE),'6.Inland wetlands'!$BL62) +IF('6.Inland wetlands'!$BO62="",VLOOKUP($B138,$B$117:$J$125,8, FALSE),'6.Inland wetlands'!$BO62))</f>
        <v/>
      </c>
      <c r="N138" s="1121">
        <f>B138</f>
        <v/>
      </c>
      <c r="O138" s="1196" t="n">
        <v>0</v>
      </c>
      <c r="P138" s="1157">
        <f>'6.Inland wetlands'!N50</f>
        <v/>
      </c>
      <c r="Q138" s="1157">
        <f>VLOOKUP('6.Inland wetlands'!O50, list!$I$48:$J$50,2,FALSE )</f>
        <v/>
      </c>
      <c r="R138" s="1157">
        <f>'6.Inland wetlands'!P50</f>
        <v/>
      </c>
      <c r="S138" s="1157">
        <f>VLOOKUP('6.Inland wetlands'!Q50, list!$I$48:$J$50,2,FALSE )</f>
        <v/>
      </c>
      <c r="T138" s="1151">
        <f>IF(AB122&lt;-AE122,-AE122,AB122+(-M138*P138*44/12))</f>
        <v/>
      </c>
      <c r="U138" s="1151">
        <f>IF(AC122&lt;-AF122,-AF122,AC122+(-M138*R138*44/12))</f>
        <v/>
      </c>
      <c r="V138" s="1152">
        <f>IF(N138="Please select",0,$P138*$E138*44/12)</f>
        <v/>
      </c>
      <c r="W138" s="1152">
        <f>IF(N138="Please select",0,$R138*$E138*44/12)</f>
        <v/>
      </c>
      <c r="X138" s="1151">
        <f>IF($D138="NO",0,$P138*$J138)+R122+S122</f>
        <v/>
      </c>
      <c r="Y138" s="1151">
        <f>IF($D138="NO", 0, $R138*$J138)+T122+U122</f>
        <v/>
      </c>
      <c r="AB138" s="973">
        <f>IF(AB122&lt;-AE122,-AE122,AB122+(-M138*P138*44/12))</f>
        <v/>
      </c>
      <c r="AC138" s="973">
        <f>IF(AC122&lt;-AF122,-AF122,AC122+(-M138*R138*44/12))</f>
        <v/>
      </c>
      <c r="AI138" s="1151">
        <f>T138+V138+X138</f>
        <v/>
      </c>
      <c r="AJ138" s="1151">
        <f>U138+W138+Y138</f>
        <v/>
      </c>
      <c r="AK138" s="1159">
        <f>AJ138-AI138</f>
        <v/>
      </c>
      <c r="AX138" s="1449">
        <f>SUM($V138,$T138)</f>
        <v/>
      </c>
      <c r="AY138" s="1449">
        <f>SUM($W138,$U138)</f>
        <v/>
      </c>
      <c r="AZ138" s="1449">
        <f>IF(D138= "YES",$H138/1000*methane*$P138,0)</f>
        <v/>
      </c>
      <c r="BA138" s="1449">
        <f>IF(D138= "YES",$H138/1000*methane*$R138,0)</f>
        <v/>
      </c>
      <c r="BB138" s="1449">
        <f>IF($D138="YES",$I138/1000*Nitrous*$P138,0)</f>
        <v/>
      </c>
      <c r="BC138" s="1449">
        <f>IF($D138= "YES",$I138/1000*Nitrous*$R138,0)</f>
        <v/>
      </c>
      <c r="BD138" s="1449" t="n"/>
      <c r="BK138" s="1084" t="inlineStr">
        <is>
          <t>CO2 soil rewetting</t>
        </is>
      </c>
      <c r="BL138" s="1314">
        <f>SUM($AB193:$AB198)+SUM(AB204:AB209)</f>
        <v/>
      </c>
      <c r="BM138" s="1314">
        <f>SUM($AC193:$AC198)+SUM(AC204:AC209)</f>
        <v/>
      </c>
      <c r="BN138" s="1246">
        <f>BM138-BL138</f>
        <v/>
      </c>
      <c r="BP138" s="1322">
        <f>BK138</f>
        <v/>
      </c>
      <c r="BQ138" s="1312">
        <f>BM138-BL138</f>
        <v/>
      </c>
      <c r="BR138" s="1312">
        <f>IF(time=0,0,SUM(AY191:AY196)-SUM(AX191:AX196))</f>
        <v/>
      </c>
      <c r="BS138" s="1453">
        <f>BQ138-BR138</f>
        <v/>
      </c>
      <c r="BT138" s="1455">
        <f>SUM(BR138:BS138)</f>
        <v/>
      </c>
    </row>
    <row r="139">
      <c r="B139" s="973">
        <f>'6.Inland wetlands'!C51</f>
        <v/>
      </c>
      <c r="C139" s="973">
        <f>IF('6.Inland wetlands'!K51="Please select",'6.Inland wetlands'!I51,'6.Inland wetlands'!K51)</f>
        <v/>
      </c>
      <c r="D139" s="1194">
        <f>'6.Inland wetlands'!G51</f>
        <v/>
      </c>
      <c r="E139" s="4734">
        <f>IF('6.Inland wetlands'!AZ52=0, IF($C139="Please select",0,INDEX(IPCC!$D$1521:$Y$1680,MATCH(clim_moist_cont,IPCC!$C$1521:$C$1680,0),MATCH($C139,IPCC!$D$1520:$Y$1520,0))), '6.Inland wetlands'!AZ52)</f>
        <v/>
      </c>
      <c r="F139" s="4734">
        <f>IF(OR(C139="Annual cropland",C139="Annual fallow"),$E139*40%,E139)</f>
        <v/>
      </c>
      <c r="G139" s="4735">
        <f>IF($C139="Please select",0,VLOOKUP($C139,IPCC!$A$1473:$B$1495,2, FALSE))</f>
        <v/>
      </c>
      <c r="H139" s="4734">
        <f>IFERROR($F139*$G139*VLOOKUP(C139,IPCC!$A$1473:$E$1496,4,FALSE),0)</f>
        <v/>
      </c>
      <c r="I139" s="4734">
        <f>IFERROR($F139*$G139*VLOOKUP($C139, IPCC!$A$1473:$E$1496, 5, FALSE),0)</f>
        <v/>
      </c>
      <c r="J139" s="1149">
        <f>($H139*methane + $I139*Nitrous)/1000</f>
        <v/>
      </c>
      <c r="K139" s="1149">
        <f>IF($B139="Please select",0,IF('6.Inland wetlands'!$AX63="",(VLOOKUP($B139,$B$117:$J$125,3,FALSE)+VLOOKUP($B139,$B$117:$J$125,5,FALSE))*0.47,'6.Inland wetlands'!$AX63))</f>
        <v/>
      </c>
      <c r="L139" s="1149">
        <f>IF($B139="Please select",0,IF('6.Inland wetlands'!$AZ63="",(VLOOKUP($B139,$B$117:$J$125,4, FALSE) + VLOOKUP($B139,$B$117:$J$125,6, FALSE))*0.47,'6.Inland wetlands'!$AZ63))</f>
        <v/>
      </c>
      <c r="M139" s="1199">
        <f>IF($B139="Please select",0,IF('6.Inland wetlands'!$BL63="",VLOOKUP($B139,$B$117:$J$125, 7, FALSE),'6.Inland wetlands'!$BL63) +IF('6.Inland wetlands'!$BO63="",VLOOKUP($B139,$B$117:$J$125,8, FALSE),'6.Inland wetlands'!$BO63))</f>
        <v/>
      </c>
      <c r="N139" s="1121">
        <f>B139</f>
        <v/>
      </c>
      <c r="O139" s="1198" t="n">
        <v>0</v>
      </c>
      <c r="P139" s="1158">
        <f>'6.Inland wetlands'!N51</f>
        <v/>
      </c>
      <c r="Q139" s="1158">
        <f>VLOOKUP('6.Inland wetlands'!O51, list!$I$48:$J$50,2,FALSE )</f>
        <v/>
      </c>
      <c r="R139" s="1158">
        <f>'6.Inland wetlands'!P51</f>
        <v/>
      </c>
      <c r="S139" s="1158">
        <f>VLOOKUP('6.Inland wetlands'!Q51, list!$I$48:$J$50,2,FALSE )</f>
        <v/>
      </c>
      <c r="T139" s="1151">
        <f>IF(AB123&lt;-AE123,-AE123,AB123+(-M139*P139*44/12))</f>
        <v/>
      </c>
      <c r="U139" s="1151">
        <f>IF(AC123&lt;-AF123,-AF123,AC123+(-M139*R139*44/12))</f>
        <v/>
      </c>
      <c r="V139" s="1153">
        <f>IF(N139="Please select",0,$P139*$E139*44/12)</f>
        <v/>
      </c>
      <c r="W139" s="1153">
        <f>IF(N139="Please select",0,$R139*$E139*44/12)</f>
        <v/>
      </c>
      <c r="X139" s="1151">
        <f>IF($D139="NO",0,$P139*$J139)+R123+S123</f>
        <v/>
      </c>
      <c r="Y139" s="1151">
        <f>IF($D139="NO", 0, $R139*$J139)+T123+U123</f>
        <v/>
      </c>
      <c r="AB139" s="973">
        <f>IF(AB123&lt;-AE123,-AE123,AB123+(-M139*P139*44/12))</f>
        <v/>
      </c>
      <c r="AC139" s="973">
        <f>IF(AC123&lt;-AF123,-AF123,AC123+(-M139*R139*44/12))</f>
        <v/>
      </c>
      <c r="AI139" s="1151">
        <f>T139+V139+X139</f>
        <v/>
      </c>
      <c r="AJ139" s="1151">
        <f>U139+W139+Y139</f>
        <v/>
      </c>
      <c r="AK139" s="3499">
        <f>AJ139-AI139</f>
        <v/>
      </c>
      <c r="AX139" s="1449">
        <f>SUM($V139,$T139)</f>
        <v/>
      </c>
      <c r="AY139" s="1449">
        <f>SUM($W139,$U139)</f>
        <v/>
      </c>
      <c r="AZ139" s="1449">
        <f>IF(D139= "YES",$H139/1000*methane*$P139,0)</f>
        <v/>
      </c>
      <c r="BA139" s="1449">
        <f>IF(D139= "YES",$H139/1000*methane*$R139,0)</f>
        <v/>
      </c>
      <c r="BB139" s="1449">
        <f>IF($D139="YES",$I139/1000*Nitrous*$P139,0)</f>
        <v/>
      </c>
      <c r="BC139" s="1449">
        <f>IF($D139= "YES",$I139/1000*Nitrous*$R139,0)</f>
        <v/>
      </c>
      <c r="BD139" s="1449" t="n"/>
      <c r="BK139" s="1084" t="inlineStr">
        <is>
          <t>CH4 soil rewetting</t>
        </is>
      </c>
      <c r="BL139" s="1314">
        <f>SUM($AD193:$AD198)+SUM(AD204:AD209)</f>
        <v/>
      </c>
      <c r="BM139" s="1314">
        <f>SUM($AE193:$AE198)+SUM(AE204:AE209)</f>
        <v/>
      </c>
      <c r="BN139" s="1246">
        <f>BM139-BL139</f>
        <v/>
      </c>
      <c r="BP139" s="1322">
        <f>BK139</f>
        <v/>
      </c>
      <c r="BQ139" s="1312">
        <f>BM139-BL139</f>
        <v/>
      </c>
      <c r="BR139" s="1312">
        <f>IF(time=0,0,SUM(BA191:BA196)-SUM(AZ191:AZ196))</f>
        <v/>
      </c>
      <c r="BS139" s="1453">
        <f>BQ139-BR139</f>
        <v/>
      </c>
      <c r="BT139" s="1455">
        <f>SUM(BR139:BS139)</f>
        <v/>
      </c>
    </row>
    <row r="140">
      <c r="D140" s="1688" t="n"/>
      <c r="E140" s="4736" t="n"/>
      <c r="F140" s="4736" t="n"/>
      <c r="G140" s="4736" t="n"/>
      <c r="H140" s="4736" t="n"/>
      <c r="I140" s="4736" t="n"/>
      <c r="J140" s="1187" t="n"/>
      <c r="K140" s="1187" t="n"/>
      <c r="L140" s="1187" t="n"/>
      <c r="M140" s="1663" t="n"/>
      <c r="O140" s="1688" t="n"/>
      <c r="P140" s="1688" t="n"/>
      <c r="Q140" s="1688" t="n"/>
      <c r="R140" s="1688" t="n"/>
      <c r="S140" s="1688" t="n"/>
      <c r="T140" s="992" t="n"/>
      <c r="U140" s="992" t="n"/>
      <c r="V140" s="992" t="n"/>
      <c r="W140" s="992" t="n"/>
      <c r="X140" s="992" t="n"/>
      <c r="Y140" s="992" t="n"/>
      <c r="AI140" s="992" t="n"/>
      <c r="AJ140" s="992" t="n"/>
      <c r="AK140" s="992" t="n"/>
      <c r="AX140" s="1449" t="n"/>
      <c r="AY140" s="1449" t="n"/>
      <c r="AZ140" s="1449" t="n"/>
      <c r="BA140" s="1449" t="n"/>
      <c r="BB140" s="1449" t="n"/>
      <c r="BC140" s="1449" t="n"/>
      <c r="BD140" s="1449" t="n"/>
      <c r="BK140" s="1084" t="inlineStr">
        <is>
          <t>N2O soil rewetting</t>
        </is>
      </c>
      <c r="BL140" s="1314">
        <f>SUM($AF193:$AF198)+SUM(AF204:AF209)</f>
        <v/>
      </c>
      <c r="BM140" s="1314">
        <f>SUM($AG193:$AG198)+SUM(AG204:AG209)</f>
        <v/>
      </c>
      <c r="BN140" s="1246">
        <f>BM140-BL140</f>
        <v/>
      </c>
      <c r="BP140" s="1322">
        <f>BK140</f>
        <v/>
      </c>
      <c r="BQ140" s="1312">
        <f>BM140-BL140</f>
        <v/>
      </c>
      <c r="BR140" s="1312">
        <f>IF(time=0,0,SUM(BC191:BC196)-SUM(BB191:BB196))</f>
        <v/>
      </c>
      <c r="BS140" s="1453">
        <f>BQ140-BR140</f>
        <v/>
      </c>
      <c r="BT140" s="1455">
        <f>SUM(BR140:BS140)</f>
        <v/>
      </c>
    </row>
    <row r="141">
      <c r="D141" s="1688" t="n"/>
      <c r="E141" s="4736" t="n"/>
      <c r="F141" s="4736" t="n"/>
      <c r="G141" s="4736" t="n"/>
      <c r="H141" s="4736" t="n"/>
      <c r="I141" s="4736" t="n"/>
      <c r="J141" s="1187" t="n"/>
      <c r="K141" s="1187" t="n"/>
      <c r="L141" s="1187" t="n"/>
      <c r="M141" s="1663" t="n"/>
      <c r="O141" s="1688" t="n"/>
      <c r="P141" s="1688" t="n"/>
      <c r="Q141" s="1688" t="n"/>
      <c r="R141" s="1688" t="n"/>
      <c r="S141" s="1688" t="n"/>
      <c r="T141" s="992" t="n"/>
      <c r="U141" s="992" t="n"/>
      <c r="V141" s="992" t="n"/>
      <c r="W141" s="992" t="n"/>
      <c r="X141" s="992" t="n"/>
      <c r="Y141" s="992" t="n"/>
      <c r="AI141" s="992" t="n"/>
      <c r="AJ141" s="992" t="n"/>
      <c r="AK141" s="992" t="n"/>
      <c r="AX141" s="1449" t="n"/>
      <c r="AY141" s="1449" t="n"/>
      <c r="AZ141" s="1449" t="n"/>
      <c r="BA141" s="1449" t="n"/>
      <c r="BB141" s="1449" t="n"/>
      <c r="BC141" s="1449" t="n"/>
      <c r="BD141" s="1449" t="n"/>
      <c r="BK141" s="1084" t="inlineStr">
        <is>
          <t>CO2 Fire</t>
        </is>
      </c>
      <c r="BL141" s="1314">
        <f>SUM($AD151:$AD156)</f>
        <v/>
      </c>
      <c r="BM141" s="1314">
        <f>SUM($AE151:$AE156)</f>
        <v/>
      </c>
      <c r="BN141" s="1246">
        <f>BM141-BL141</f>
        <v/>
      </c>
      <c r="BP141" s="1322">
        <f>BK141</f>
        <v/>
      </c>
      <c r="BQ141" s="1312">
        <f>BM141-BL141</f>
        <v/>
      </c>
      <c r="BR141" s="1312">
        <f>IF(time=0,0,SUM(AY151:AY156)-SUM(AX151:AX156))</f>
        <v/>
      </c>
      <c r="BS141" s="1453">
        <f>BQ141-BR141</f>
        <v/>
      </c>
      <c r="BT141" s="1455">
        <f>SUM(BR141:BS141)</f>
        <v/>
      </c>
    </row>
    <row r="142">
      <c r="BK142" s="1084" t="inlineStr">
        <is>
          <t>CH4 Fire</t>
        </is>
      </c>
      <c r="BL142" s="1314">
        <f>SUM($AZ134:$AZ139)+SUM($AF151:$AF156)+SUM(R118:R123)</f>
        <v/>
      </c>
      <c r="BM142" s="1314">
        <f>SUM($BA134:$BA139)+SUM($AG151:$AG156)+SUM(T118:T123)</f>
        <v/>
      </c>
      <c r="BN142" s="1246">
        <f>BM142-BL142</f>
        <v/>
      </c>
      <c r="BP142" s="1322">
        <f>BK142</f>
        <v/>
      </c>
      <c r="BQ142" s="1312">
        <f>BM142-BL142</f>
        <v/>
      </c>
      <c r="BR142" s="1312">
        <f>IF(time=0,0,SUM(BA151:BA156)-SUM(AZ151:AZ156)+SUM(BA134:BA139)-SUM(AZ134:AZ139))</f>
        <v/>
      </c>
      <c r="BS142" s="1453">
        <f>BQ142-BR142</f>
        <v/>
      </c>
      <c r="BT142" s="1455">
        <f>SUM(BR142:BS142)</f>
        <v/>
      </c>
    </row>
    <row r="143" ht="30.5" customFormat="1" customHeight="1" s="1089">
      <c r="B143" s="1112" t="inlineStr">
        <is>
          <t>Emissions from loss of on-site and off-site carbon (CO2, DOC), on-site and off-site methane (CH4), on-site nitrous oxide (N2O) and fire on organic soils associated with drainage</t>
        </is>
      </c>
      <c r="C143" s="1113" t="n"/>
      <c r="D143" s="1113" t="n"/>
      <c r="E143" s="1113" t="n"/>
      <c r="F143" s="1113" t="n"/>
      <c r="G143" s="1113" t="n"/>
      <c r="H143" s="1113" t="n"/>
      <c r="I143" s="1113" t="n"/>
      <c r="J143" s="1113" t="n"/>
      <c r="K143" s="1113" t="n"/>
      <c r="L143" s="1113" t="n"/>
      <c r="M143" s="1113" t="n"/>
      <c r="N143" s="1113" t="n"/>
      <c r="O143" s="1113" t="n"/>
      <c r="P143" s="1113" t="n"/>
      <c r="Q143" s="1113" t="n"/>
      <c r="R143" s="1113" t="n"/>
      <c r="S143" s="1113" t="n"/>
      <c r="T143" s="1113" t="n"/>
      <c r="U143" s="1113" t="n"/>
      <c r="V143" s="1113" t="n"/>
      <c r="W143" s="1113" t="n"/>
      <c r="X143" s="1113" t="n"/>
      <c r="Y143" s="1113" t="n"/>
      <c r="Z143" s="1113" t="n"/>
      <c r="AA143" s="1113" t="n"/>
      <c r="AB143" s="1113" t="n"/>
      <c r="AC143" s="1113" t="n"/>
      <c r="AD143" s="1113" t="n"/>
      <c r="AE143" s="1113" t="n"/>
      <c r="AF143" s="1113" t="n"/>
      <c r="AG143" s="1113" t="n"/>
      <c r="AH143" s="1113" t="n"/>
      <c r="AI143" s="1113" t="n"/>
      <c r="AJ143" s="1113" t="n"/>
      <c r="AK143" s="1113" t="n"/>
      <c r="AX143" s="1447" t="n"/>
      <c r="AY143" s="1447" t="n"/>
      <c r="AZ143" s="1447" t="n"/>
      <c r="BA143" s="1447" t="n"/>
      <c r="BB143" s="1447" t="n"/>
      <c r="BC143" s="1447" t="n"/>
      <c r="BD143" s="1447" t="n"/>
      <c r="BE143" s="1447" t="n"/>
      <c r="BF143" s="1447" t="n"/>
      <c r="BG143" s="1447" t="n"/>
      <c r="BJ143" s="973" t="n"/>
      <c r="BK143" s="1459" t="inlineStr">
        <is>
          <t>N2O Fire</t>
        </is>
      </c>
      <c r="BL143" s="1319">
        <f>SUM($BB134:$BB139)+SUM(S118:S123)</f>
        <v/>
      </c>
      <c r="BM143" s="1319">
        <f>SUM($BC134:$BC139)+SUM(U118:U123)</f>
        <v/>
      </c>
      <c r="BN143" s="1246">
        <f>BM143-BL143</f>
        <v/>
      </c>
      <c r="BO143" s="973" t="n"/>
      <c r="BP143" s="1323">
        <f>BK143</f>
        <v/>
      </c>
      <c r="BQ143" s="1312">
        <f>BM143-BL143</f>
        <v/>
      </c>
      <c r="BR143" s="1464">
        <f>IF(time=0,0,SUM(BC134:BC139)-SUM(BB134:BB139))</f>
        <v/>
      </c>
      <c r="BS143" s="1320">
        <f>BQ143-BR143</f>
        <v/>
      </c>
      <c r="BT143" s="1455">
        <f>SUM(BR143:BS143)</f>
        <v/>
      </c>
      <c r="BU143" s="973" t="n"/>
    </row>
    <row r="144" ht="20.25" customFormat="1" customHeight="1" s="1089">
      <c r="B144" s="1228" t="n"/>
      <c r="AX144" s="1447" t="n"/>
      <c r="AY144" s="1447" t="n"/>
      <c r="AZ144" s="1447" t="n"/>
      <c r="BA144" s="1447" t="n"/>
      <c r="BB144" s="1447" t="n"/>
      <c r="BC144" s="1447" t="n"/>
      <c r="BD144" s="1447" t="n"/>
      <c r="BE144" s="1447" t="n"/>
      <c r="BF144" s="1447" t="n"/>
      <c r="BG144" s="1447" t="n"/>
      <c r="BJ144" s="973" t="n"/>
      <c r="BK144" s="973" t="n"/>
      <c r="BL144" s="973" t="n"/>
      <c r="BM144" s="973" t="n"/>
      <c r="BN144" s="973" t="n"/>
      <c r="BO144" s="973" t="n"/>
      <c r="BP144" s="1316" t="n"/>
      <c r="BQ144" s="1460">
        <f>SUM(BQ134:BQ143)</f>
        <v/>
      </c>
      <c r="BR144" s="1460">
        <f>SUM(BR134:BR143)</f>
        <v/>
      </c>
      <c r="BS144" s="1460">
        <f>SUM(BS134:BS143)</f>
        <v/>
      </c>
      <c r="BT144" s="992">
        <f>BR144+BS144</f>
        <v/>
      </c>
      <c r="BU144" s="973" t="n"/>
    </row>
    <row r="145" ht="20.25" customFormat="1" customHeight="1" s="1089">
      <c r="B145" s="1257" t="inlineStr">
        <is>
          <t>Dominant quality of peat for initial land use:</t>
        </is>
      </c>
      <c r="D145" s="1250">
        <f>'6.Inland wetlands'!CK53</f>
        <v/>
      </c>
      <c r="F145" s="1257" t="inlineStr">
        <is>
          <t>Dominant quality of peat for final land use:</t>
        </is>
      </c>
      <c r="G145" s="973" t="n"/>
      <c r="H145" s="973" t="n"/>
      <c r="I145" s="973" t="n"/>
      <c r="J145" s="1250">
        <f>'6.Inland wetlands'!CK65</f>
        <v/>
      </c>
      <c r="AX145" s="1447" t="n"/>
      <c r="AY145" s="1447" t="n"/>
      <c r="AZ145" s="1447" t="n"/>
      <c r="BA145" s="1447" t="n"/>
      <c r="BB145" s="1447" t="n"/>
      <c r="BC145" s="1447" t="n"/>
      <c r="BD145" s="1447" t="n"/>
      <c r="BE145" s="1447" t="n"/>
      <c r="BF145" s="1447" t="n"/>
      <c r="BG145" s="1447" t="n"/>
      <c r="BJ145" s="973" t="n"/>
      <c r="BK145" s="973" t="inlineStr">
        <is>
          <t>TOTAL (tCO2-eq)</t>
        </is>
      </c>
      <c r="BL145" s="992">
        <f>SUM(BL134:BL143)</f>
        <v/>
      </c>
      <c r="BM145" s="992">
        <f>SUM(BM134:BM143)</f>
        <v/>
      </c>
      <c r="BN145" s="1246">
        <f>BM145-BL145</f>
        <v/>
      </c>
      <c r="BO145" s="1246" t="n"/>
      <c r="BP145" s="973" t="n"/>
      <c r="BQ145" s="973" t="n"/>
      <c r="BR145" s="973" t="n"/>
      <c r="BS145" s="973" t="n"/>
      <c r="BT145" s="973" t="n"/>
      <c r="BU145" s="973" t="n"/>
    </row>
    <row r="146">
      <c r="Q146" s="1120" t="inlineStr">
        <is>
          <t>GWP CO = 2</t>
        </is>
      </c>
      <c r="BK146" s="973" t="inlineStr">
        <is>
          <t>Total CO2eq activity</t>
        </is>
      </c>
      <c r="BL146" s="992">
        <f>SUM(AI134:AI139,AI151:AI156,AI171:AI176,AI200:AI205)</f>
        <v/>
      </c>
      <c r="BM146" s="992">
        <f>SUM(AJ134:AJ139,AJ151:AJ156,AJ171:AJ176,AJ200:AJ205)</f>
        <v/>
      </c>
      <c r="BN146" s="992">
        <f>SUM(AK134:AK139,AK151:AK156,AK171:AK176,AK200:AK205)</f>
        <v/>
      </c>
      <c r="BO146" s="1246" t="n"/>
    </row>
    <row r="147" ht="16" customHeight="1">
      <c r="A147" s="1306" t="n"/>
      <c r="B147" s="1231">
        <f>B130</f>
        <v/>
      </c>
      <c r="F147" s="1262" t="inlineStr">
        <is>
          <t>Reforested area &amp; Fire management</t>
        </is>
      </c>
      <c r="G147" s="3489" t="n"/>
      <c r="H147" s="3489" t="n"/>
      <c r="I147" s="3489" t="n"/>
      <c r="J147" s="3489" t="n"/>
      <c r="K147" s="3489" t="n"/>
      <c r="L147" s="3489" t="n"/>
      <c r="M147" s="3489" t="n"/>
      <c r="O147" s="1497" t="inlineStr">
        <is>
          <t>Emission factors for fire on soil</t>
        </is>
      </c>
      <c r="P147" s="1497" t="n"/>
      <c r="Q147" s="1497" t="n"/>
      <c r="R147" s="1506" t="n"/>
      <c r="S147" s="1506" t="n"/>
      <c r="T147" s="1506" t="n"/>
      <c r="U147" s="1506" t="n"/>
      <c r="V147" s="1506" t="n"/>
      <c r="W147" s="1506" t="n"/>
      <c r="X147" s="1276" t="inlineStr">
        <is>
          <t>SOIL FIRE EMISSIONS</t>
        </is>
      </c>
      <c r="Y147" s="1276" t="n"/>
      <c r="Z147" s="1276" t="n"/>
      <c r="AD147" s="1497" t="inlineStr">
        <is>
          <t>SOIL FIRE EMISSIONS (also valid for rewetted soil)</t>
        </is>
      </c>
      <c r="AE147" s="1276" t="n"/>
      <c r="AF147" s="1276" t="n"/>
      <c r="AG147" s="1276" t="n"/>
      <c r="AI147" s="1270" t="inlineStr">
        <is>
          <t>Total emissions tCO2eq</t>
        </is>
      </c>
      <c r="AJ147" s="1116" t="n"/>
      <c r="AK147" s="1116" t="n"/>
      <c r="AX147" s="1287" t="inlineStr">
        <is>
          <t>FIRE ON SOIL</t>
        </is>
      </c>
      <c r="AY147" s="1501" t="n"/>
      <c r="AZ147" s="1501" t="n"/>
    </row>
    <row r="148" ht="17" customHeight="1">
      <c r="A148" s="1306" t="n"/>
      <c r="F148" s="1100" t="inlineStr">
        <is>
          <t>WITHOUT</t>
        </is>
      </c>
      <c r="G148" s="1100" t="n"/>
      <c r="H148" s="1100" t="n"/>
      <c r="I148" s="1100" t="n"/>
      <c r="J148" s="1101" t="inlineStr">
        <is>
          <t>WITH</t>
        </is>
      </c>
      <c r="K148" s="1101" t="n"/>
      <c r="L148" s="1101" t="n"/>
      <c r="M148" s="1101" t="n"/>
      <c r="O148" s="1497" t="inlineStr">
        <is>
          <t>CO2</t>
        </is>
      </c>
      <c r="P148" s="1506" t="n"/>
      <c r="Q148" s="1497" t="inlineStr">
        <is>
          <t>CO</t>
        </is>
      </c>
      <c r="R148" s="1506" t="n"/>
      <c r="S148" s="1497" t="inlineStr">
        <is>
          <t>CH4</t>
        </is>
      </c>
      <c r="T148" s="1506" t="n"/>
      <c r="U148" s="1497" t="inlineStr">
        <is>
          <t>Dry matter</t>
        </is>
      </c>
      <c r="V148" s="1506" t="n"/>
      <c r="W148" s="1506" t="n"/>
      <c r="X148" s="1276" t="n"/>
      <c r="Y148" s="1276" t="n"/>
      <c r="Z148" s="1276" t="n"/>
      <c r="AD148" s="1506" t="inlineStr">
        <is>
          <t>tCO2-eq all period</t>
        </is>
      </c>
      <c r="AE148" s="1276" t="n"/>
      <c r="AF148" s="1276" t="n"/>
      <c r="AG148" s="1276" t="n"/>
      <c r="AI148" s="1270" t="inlineStr">
        <is>
          <t>ALL PERIOD</t>
        </is>
      </c>
      <c r="AJ148" s="1116" t="n"/>
      <c r="AK148" s="1116" t="n"/>
      <c r="AX148" s="1502" t="inlineStr">
        <is>
          <t>CO2</t>
        </is>
      </c>
      <c r="AY148" s="1502" t="n"/>
      <c r="AZ148" s="1502" t="inlineStr">
        <is>
          <t>CH4</t>
        </is>
      </c>
      <c r="BA148" s="1450" t="n"/>
      <c r="BB148" s="1452" t="n"/>
      <c r="BC148" s="1452" t="n"/>
      <c r="BD148" s="1452" t="n"/>
      <c r="BE148" s="1452" t="n"/>
      <c r="BF148" s="1452" t="n"/>
      <c r="BG148" s="1452" t="n"/>
    </row>
    <row r="149" ht="16" customHeight="1">
      <c r="A149" s="1306" t="n"/>
      <c r="B149" s="1231" t="inlineStr">
        <is>
          <t>Final land use</t>
        </is>
      </c>
      <c r="C149" s="1231" t="n"/>
      <c r="D149" s="1231" t="inlineStr">
        <is>
          <t>Initial land use</t>
        </is>
      </c>
      <c r="E149" s="1231" t="n"/>
      <c r="F149" s="1100" t="n"/>
      <c r="G149" s="1105" t="n"/>
      <c r="H149" s="1100" t="inlineStr">
        <is>
          <t>Periodicity</t>
        </is>
      </c>
      <c r="I149" s="1100" t="inlineStr">
        <is>
          <t>Impact</t>
        </is>
      </c>
      <c r="J149" s="1101" t="n"/>
      <c r="K149" s="1101" t="n"/>
      <c r="L149" s="1101">
        <f>H149</f>
        <v/>
      </c>
      <c r="M149" s="1101">
        <f>I149</f>
        <v/>
      </c>
      <c r="O149" s="1506" t="inlineStr">
        <is>
          <t>gC/kg d.m.</t>
        </is>
      </c>
      <c r="P149" s="1506" t="n"/>
      <c r="Q149" s="1506" t="inlineStr">
        <is>
          <t>gCO/kg d.m.</t>
        </is>
      </c>
      <c r="R149" s="1506" t="n"/>
      <c r="S149" s="1506" t="inlineStr">
        <is>
          <t>gCH4/kg d.m.</t>
        </is>
      </c>
      <c r="T149" s="1506" t="n"/>
      <c r="U149" s="1506" t="inlineStr">
        <is>
          <t>t d.m./ha</t>
        </is>
      </c>
      <c r="V149" s="1506" t="n"/>
      <c r="W149" s="1506" t="n"/>
      <c r="X149" s="1309" t="inlineStr">
        <is>
          <t>Biomass burnt (tonne dry matter)</t>
        </is>
      </c>
      <c r="Y149" s="1276" t="n"/>
      <c r="Z149" s="1276" t="n"/>
      <c r="AD149" s="1506" t="inlineStr">
        <is>
          <t>CO2&amp;CO</t>
        </is>
      </c>
      <c r="AE149" s="1276" t="n"/>
      <c r="AF149" s="1506" t="inlineStr">
        <is>
          <t>CH4</t>
        </is>
      </c>
      <c r="AG149" s="1276" t="n"/>
      <c r="AI149" s="1270" t="inlineStr">
        <is>
          <t>SOIL FIRE</t>
        </is>
      </c>
      <c r="AJ149" s="1116" t="n"/>
      <c r="AK149" s="1116" t="n"/>
      <c r="AX149" s="1264" t="inlineStr">
        <is>
          <t>IMPLEMENTATION PHASE</t>
        </is>
      </c>
      <c r="AZ149" s="1264" t="inlineStr">
        <is>
          <t>IMPLEMENTATION PHASE</t>
        </is>
      </c>
    </row>
    <row r="150" ht="16" customHeight="1">
      <c r="A150" s="1306" t="n"/>
      <c r="B150" s="1231" t="inlineStr">
        <is>
          <t>User selection</t>
        </is>
      </c>
      <c r="C150" s="1231" t="inlineStr">
        <is>
          <t>IPCC equivalent</t>
        </is>
      </c>
      <c r="D150" s="1231" t="inlineStr">
        <is>
          <t>User selection</t>
        </is>
      </c>
      <c r="E150" s="1231" t="inlineStr">
        <is>
          <t>IPCC equivalent</t>
        </is>
      </c>
      <c r="F150" s="1102" t="inlineStr">
        <is>
          <t>ha</t>
        </is>
      </c>
      <c r="G150" s="1102" t="inlineStr">
        <is>
          <t>Rate</t>
        </is>
      </c>
      <c r="H150" s="1102" t="inlineStr">
        <is>
          <t>Year</t>
        </is>
      </c>
      <c r="I150" s="1107" t="inlineStr">
        <is>
          <t>%area burnt</t>
        </is>
      </c>
      <c r="J150" s="1103" t="inlineStr">
        <is>
          <t>ha</t>
        </is>
      </c>
      <c r="K150" s="1103" t="inlineStr">
        <is>
          <t>Rate</t>
        </is>
      </c>
      <c r="L150" s="1103" t="inlineStr">
        <is>
          <t>Year</t>
        </is>
      </c>
      <c r="M150" s="1108" t="inlineStr">
        <is>
          <t>%area burnt</t>
        </is>
      </c>
      <c r="O150" s="1507" t="inlineStr">
        <is>
          <t>IPCC</t>
        </is>
      </c>
      <c r="P150" s="1507" t="inlineStr">
        <is>
          <t>Tier 2</t>
        </is>
      </c>
      <c r="Q150" s="1507" t="inlineStr">
        <is>
          <t>IPCC</t>
        </is>
      </c>
      <c r="R150" s="1507" t="inlineStr">
        <is>
          <t>Tier 2</t>
        </is>
      </c>
      <c r="S150" s="1507" t="inlineStr">
        <is>
          <t>IPCC</t>
        </is>
      </c>
      <c r="T150" s="1507" t="inlineStr">
        <is>
          <t>Tier 2</t>
        </is>
      </c>
      <c r="U150" s="1507" t="inlineStr">
        <is>
          <t>IPCC</t>
        </is>
      </c>
      <c r="V150" s="1507" t="inlineStr">
        <is>
          <t>Tier 2</t>
        </is>
      </c>
      <c r="W150" s="1506" t="n"/>
      <c r="X150" s="973" t="inlineStr">
        <is>
          <t>Start</t>
        </is>
      </c>
      <c r="Y150" s="1102" t="inlineStr">
        <is>
          <t>Without</t>
        </is>
      </c>
      <c r="Z150" s="1103" t="inlineStr">
        <is>
          <t>With</t>
        </is>
      </c>
      <c r="AA150" s="1688" t="n"/>
      <c r="AD150" s="1102" t="inlineStr">
        <is>
          <t>Without</t>
        </is>
      </c>
      <c r="AE150" s="1103" t="inlineStr">
        <is>
          <t>With</t>
        </is>
      </c>
      <c r="AF150" s="1102" t="inlineStr">
        <is>
          <t>Without</t>
        </is>
      </c>
      <c r="AG150" s="1103" t="inlineStr">
        <is>
          <t>With</t>
        </is>
      </c>
      <c r="AI150" s="1102" t="inlineStr">
        <is>
          <t>WITHOUT</t>
        </is>
      </c>
      <c r="AJ150" s="1103" t="inlineStr">
        <is>
          <t>WITH</t>
        </is>
      </c>
      <c r="AK150" s="1104" t="inlineStr">
        <is>
          <t>BALANCE</t>
        </is>
      </c>
      <c r="AX150" s="1272" t="inlineStr">
        <is>
          <t>WITHOUT</t>
        </is>
      </c>
      <c r="AY150" s="1272" t="inlineStr">
        <is>
          <t>WITH</t>
        </is>
      </c>
      <c r="AZ150" s="1272" t="inlineStr">
        <is>
          <t>WITHOUT</t>
        </is>
      </c>
      <c r="BA150" s="1272" t="inlineStr">
        <is>
          <t>WITH</t>
        </is>
      </c>
    </row>
    <row r="151">
      <c r="A151" s="1466" t="inlineStr">
        <is>
          <t>S1</t>
        </is>
      </c>
      <c r="B151" s="973">
        <f>'6.Inland wetlands'!C46</f>
        <v/>
      </c>
      <c r="C151" s="1121">
        <f>IF($B151="Please select","",IF(ISNUMBER(SEARCH("Planted",$B151)),"Plantation","Forest"))</f>
        <v/>
      </c>
      <c r="D151" s="973">
        <f>IF('6.Inland wetlands'!K46="Please select",'6.Inland wetlands'!I46,'6.Inland wetlands'!K46)</f>
        <v/>
      </c>
      <c r="E151" s="1121">
        <f>IF($D151="Please select","",IF(ISNUMBER(SEARCH("Annual",$D151)),"Annual",IF(ISNUMBER(SEARCH(list!$C$218,$D151)),"Other land",IF($D151="Agroforestry","Perennial",$D151))))</f>
        <v/>
      </c>
      <c r="F151" s="992">
        <f>'6.Inland wetlands'!N46</f>
        <v/>
      </c>
      <c r="G151" s="1688">
        <f>VLOOKUP('6.Inland wetlands'!O46, list!$I$48:$J$50,2,FALSE )</f>
        <v/>
      </c>
      <c r="H151" s="1688">
        <f>'6.Inland wetlands'!DB46</f>
        <v/>
      </c>
      <c r="I151" s="1580">
        <f>'6.Inland wetlands'!DC46</f>
        <v/>
      </c>
      <c r="J151" s="992">
        <f>'6.Inland wetlands'!P46</f>
        <v/>
      </c>
      <c r="K151" s="1688">
        <f>VLOOKUP('6.Inland wetlands'!Q46, list!$I$48:$J$50,2,FALSE )</f>
        <v/>
      </c>
      <c r="L151" s="1688">
        <f>'6.Inland wetlands'!DE46</f>
        <v/>
      </c>
      <c r="M151" s="1580">
        <f>'6.Inland wetlands'!DF46</f>
        <v/>
      </c>
      <c r="O151" s="1111">
        <f>IFERROR(INDEX(IPCC!$A$2037:$D$2048,MATCH(clim_moist,IPCC!$A$2037:$A$2048,0),MATCH($O$148,IPCC!$A$2037:$D$2037,0)),0)</f>
        <v/>
      </c>
      <c r="P151" s="1161">
        <f>IF('6.Inland wetlands'!DI46="",'6.Inland wetlands'!DH46,'6.Inland wetlands'!DI46)</f>
        <v/>
      </c>
      <c r="Q151" s="1111">
        <f>IFERROR(INDEX(IPCC!$A$2037:$D$2048,MATCH(clim_moist,IPCC!$A$2037:$A$2048,0),MATCH($Q$148,IPCC!$A$2037:$D$2037,0)),0)</f>
        <v/>
      </c>
      <c r="R151" s="1161">
        <f>IF('6.Inland wetlands'!DK46="",'6.Inland wetlands'!DJ46,'6.Inland wetlands'!DK46)</f>
        <v/>
      </c>
      <c r="S151" s="1111">
        <f>IFERROR(INDEX(IPCC!$A$2037:$D$2048,MATCH(clim_moist,IPCC!$A$2037:$A$2048,0),MATCH($S$148,IPCC!$A$2037:$D$2037,0)),0)</f>
        <v/>
      </c>
      <c r="T151" s="1161">
        <f>IF('6.Inland wetlands'!DM46="",'6.Inland wetlands'!DL46,'6.Inland wetlands'!DM46)</f>
        <v/>
      </c>
      <c r="U151" s="1111">
        <f>IFERROR(INDEX(IPCC!$A$2020:$D$2031,MATCH(clim_moist,IPCC!$A$2021:$A$2031,0),MATCH('6.Inland wetlands'!$CZ46,IPCC!$A$2020:$D$2020,0)),0)</f>
        <v/>
      </c>
      <c r="V151" s="1161">
        <f>IF('6.Inland wetlands'!DO46="",'6.Inland wetlands'!DN46,'6.Inland wetlands'!DO46)</f>
        <v/>
      </c>
      <c r="W151" s="1276" t="n"/>
      <c r="X151" s="1151" t="n">
        <v>0</v>
      </c>
      <c r="Y151" s="1151">
        <f>IF('6.Inland wetlands'!CZ46=list!$F$210,0,V151*F151)</f>
        <v/>
      </c>
      <c r="Z151" s="1151">
        <f>IF('6.Inland wetlands'!$CZ46=list!$F$210,0,V151*J151)</f>
        <v/>
      </c>
      <c r="AA151" s="1468" t="n"/>
      <c r="AD151" s="1151">
        <f>IF(OR('6.Inland wetlands'!$AA58=list!$E$210,'6.Inland wetlands'!$AA58=list!$E$212,'6.Inland wetlands'!$AA58=list!$E$214),0,IF($H151&gt;time_tot,0,MIN($X151,$Y151)*time_tot+ABS($Y151-$X151)*IF($Y151&gt;$X151,time_cap+time*VLOOKUP($G151,list!$J$48:$K$50,2,0),time*(1-VLOOKUP($G151,list!$J$48:$K$50,2,0))))*(1/$H151)*($I151)*($P151*44/12/1000)+IF($H151&gt;time_tot,0,MIN($X151,$Y151)*time_tot+ABS($Y151-$X151)*IF($Y151&gt;$X151,time_cap+time*VLOOKUP($G151,list!$J$48:$K$50,2,0),time*(1-VLOOKUP($G151,list!$J$48:$K$50,2,0))))*(1/$H151)*($I151)*($R151*2/1000))</f>
        <v/>
      </c>
      <c r="AE151" s="1151">
        <f>IF(OR('6.Inland wetlands'!$AA58=list!$E$210,'6.Inland wetlands'!$AA58=list!$E$211,'6.Inland wetlands'!$AA58=list!$E$214),0,IF($L151&gt;time_tot,0,MIN($X151,$Z151)*time_tot+ABS($Z151-$X151)*IF($Z151&gt;$X151,time_cap+time*VLOOKUP($K151,list!$J$48:$K$50,2,0),time*(1-VLOOKUP($K151,list!$J$48:$K$50,2,0))))*(1/$L151)*($M151)*($P151*44/12/1000)+IF($K151&gt;time_tot,0,MIN($X151,$Z151)*time_tot+ABS($Z151-$X151)*IF($Z151&gt;$X151,time_cap+time*VLOOKUP($K151,list!$J$48:$K$50,2,0),time*(1-VLOOKUP($K151,list!$J$48:$K$50,2,0))))*(1/$L151)*($M151)*($R151*2/1000))</f>
        <v/>
      </c>
      <c r="AF151" s="1151">
        <f>IF(OR('6.Inland wetlands'!$AA58=list!$E$210,'6.Inland wetlands'!$AA58=list!$E$212,'6.Inland wetlands'!$AA58=list!$E$214),0,IF($H151&gt;time_tot,0,MIN($X151,$Y151)*time_tot+ABS($Y151-$X151)*IF($Y151&gt;$X151,time_cap+time*VLOOKUP($G151,list!$J$48:$K$50,2,0),time*(1-VLOOKUP($G151,list!$J$48:$K$50,2,0))))*(1/$H151)*($I151)*($T151*methane/1000))</f>
        <v/>
      </c>
      <c r="AG151" s="1151">
        <f>IF(OR('6.Inland wetlands'!$AA58=list!$E$210,'6.Inland wetlands'!$AA58=list!$E$211,'6.Inland wetlands'!$AA58=list!$E$214),0,IF($L151&gt;time_tot,0,MIN($X151,$Z151)*time_tot+ABS($Z151-$X151)*IF($Z151&gt;$X151,time_cap+time*VLOOKUP($K151,list!$J$48:$K$50,2,0),time*(1-VLOOKUP($K151,list!$J$48:$K$50,2,0))))*(1/$L151)*($M151)*($V151*methane/1000))</f>
        <v/>
      </c>
      <c r="AI151" s="1151">
        <f>SUM(AD151,AF151)</f>
        <v/>
      </c>
      <c r="AJ151" s="1151">
        <f>SUM(AE151,AG151)</f>
        <v/>
      </c>
      <c r="AK151" s="1160">
        <f>AJ151-AI151</f>
        <v/>
      </c>
      <c r="AX151" s="1449">
        <f>IF($H151&gt;time_tot,0,$X151*time*(VLOOKUP($G151,list!$J$48:$K$50,2,0)))</f>
        <v/>
      </c>
      <c r="AY151" s="1449">
        <f>IF($L151&gt;time_tot,0,$Y151*time*(VLOOKUP($K151,list!$J$48:$K$50,2,0)))</f>
        <v/>
      </c>
      <c r="AZ151" s="1449">
        <f>IF($H151&gt;time_tot,0,$Z151*time*(VLOOKUP($G151,list!$J$48:$K$50,2,0)))</f>
        <v/>
      </c>
      <c r="BA151" s="1449">
        <f>IF($L151&gt;time_tot,0,$AA151*time*(VLOOKUP($K151,list!$J$48:$K$50,2,0)))</f>
        <v/>
      </c>
    </row>
    <row r="152">
      <c r="A152" s="1466" t="inlineStr">
        <is>
          <t>S2</t>
        </is>
      </c>
      <c r="B152" s="973">
        <f>'6.Inland wetlands'!C47</f>
        <v/>
      </c>
      <c r="C152" s="1121">
        <f>IF($B152="Please select","",IF(ISNUMBER(SEARCH("Planted",$B152)),"Plantation","Forest"))</f>
        <v/>
      </c>
      <c r="D152" s="973">
        <f>IF('6.Inland wetlands'!K47="Please select",'6.Inland wetlands'!I47,'6.Inland wetlands'!K47)</f>
        <v/>
      </c>
      <c r="E152" s="1121">
        <f>IF($D152="Please select","",IF(ISNUMBER(SEARCH("Annual",$D152)),"Annual",IF(ISNUMBER(SEARCH(list!$C$218,$D152)),"Other land",IF($D152="Agroforestry","Perennial",$D152))))</f>
        <v/>
      </c>
      <c r="F152" s="992">
        <f>'6.Inland wetlands'!N47</f>
        <v/>
      </c>
      <c r="G152" s="1688">
        <f>VLOOKUP('6.Inland wetlands'!O47, list!$I$48:$J$50,2,FALSE )</f>
        <v/>
      </c>
      <c r="H152" s="1688">
        <f>'6.Inland wetlands'!DB47</f>
        <v/>
      </c>
      <c r="I152" s="1580">
        <f>'6.Inland wetlands'!DC47</f>
        <v/>
      </c>
      <c r="J152" s="992">
        <f>'6.Inland wetlands'!P47</f>
        <v/>
      </c>
      <c r="K152" s="1688">
        <f>VLOOKUP('6.Inland wetlands'!Q47, list!$I$48:$J$50,2,FALSE )</f>
        <v/>
      </c>
      <c r="L152" s="1688">
        <f>'6.Inland wetlands'!DE47</f>
        <v/>
      </c>
      <c r="M152" s="1580">
        <f>'6.Inland wetlands'!DF47</f>
        <v/>
      </c>
      <c r="O152" s="1111">
        <f>IFERROR(INDEX(IPCC!$A$2037:$D$2048,MATCH(clim_moist,IPCC!$A$2037:$A$2048,0),MATCH($O$148,IPCC!$A$2037:$D$2037,0)),0)</f>
        <v/>
      </c>
      <c r="P152" s="1161">
        <f>IF('6.Inland wetlands'!DI47="",'6.Inland wetlands'!DH47,'6.Inland wetlands'!DI47)</f>
        <v/>
      </c>
      <c r="Q152" s="1111">
        <f>IFERROR(INDEX(IPCC!$A$2037:$D$2048,MATCH(clim_moist,IPCC!$A$2037:$A$2048,0),MATCH($Q$148,IPCC!$A$2037:$D$2037,0)),0)</f>
        <v/>
      </c>
      <c r="R152" s="1161">
        <f>IF('6.Inland wetlands'!DK47="",'6.Inland wetlands'!DJ47,'6.Inland wetlands'!DK47)</f>
        <v/>
      </c>
      <c r="S152" s="1111">
        <f>IFERROR(INDEX(IPCC!$A$2037:$D$2048,MATCH(clim_moist,IPCC!$A$2037:$A$2048,0),MATCH($S$148,IPCC!$A$2037:$D$2037,0)),0)</f>
        <v/>
      </c>
      <c r="T152" s="1161">
        <f>IF('6.Inland wetlands'!DM47="",'6.Inland wetlands'!DL47,'6.Inland wetlands'!DM47)</f>
        <v/>
      </c>
      <c r="U152" s="1111">
        <f>IFERROR(INDEX(IPCC!$A$2020:$D$2031,MATCH(clim_moist,IPCC!$A$2021:$A$2031,0),MATCH('6.Inland wetlands'!$CZ47,IPCC!$A$2020:$D$2020,0)),0)</f>
        <v/>
      </c>
      <c r="V152" s="1161">
        <f>IF('6.Inland wetlands'!DO47="",'6.Inland wetlands'!DN47,'6.Inland wetlands'!DO47)</f>
        <v/>
      </c>
      <c r="W152" s="1276" t="n"/>
      <c r="X152" s="1151" t="n">
        <v>0</v>
      </c>
      <c r="Y152" s="1151">
        <f>IF('6.Inland wetlands'!CZ47=list!$F$210,0,V152*F152)</f>
        <v/>
      </c>
      <c r="Z152" s="1151">
        <f>IF('6.Inland wetlands'!$CZ47=list!$F$210,0,V152*J152)</f>
        <v/>
      </c>
      <c r="AA152" s="1468" t="n"/>
      <c r="AD152" s="1151">
        <f>IF(OR('6.Inland wetlands'!$AA59=list!$E$210,'6.Inland wetlands'!$AA59=list!$E$212,'6.Inland wetlands'!$AA59=list!$E$214),0,IF($H152&gt;time_tot,0,MIN($X152,$Y152)*time_tot+ABS($Y152-$X152)*IF($Y152&gt;$X152,time_cap+time*VLOOKUP($G152,list!$J$48:$K$50,2,0),time*(1-VLOOKUP($G152,list!$J$48:$K$50,2,0))))*(1/$H152)*($I152)*($P152*44/12/1000)+IF($H152&gt;time_tot,0,MIN($X152,$Y152)*time_tot+ABS($Y152-$X152)*IF($Y152&gt;$X152,time_cap+time*VLOOKUP($G152,list!$J$48:$K$50,2,0),time*(1-VLOOKUP($G152,list!$J$48:$K$50,2,0))))*(1/$H152)*($I152)*($R152*2/1000))</f>
        <v/>
      </c>
      <c r="AE152" s="1151">
        <f>IF(OR('6.Inland wetlands'!$AA59=list!$E$210,'6.Inland wetlands'!$AA59=list!$E$211,'6.Inland wetlands'!$AA59=list!$E$214),0,IF($L152&gt;time_tot,0,MIN($X152,$Z152)*time_tot+ABS($Z152-$X152)*IF($Z152&gt;$X152,time_cap+time*VLOOKUP($K152,list!$J$48:$K$50,2,0),time*(1-VLOOKUP($K152,list!$J$48:$K$50,2,0))))*(1/$L152)*($M152)*($P152*44/12/1000)+IF($K152&gt;time_tot,0,MIN($X152,$Z152)*time_tot+ABS($Z152-$X152)*IF($Z152&gt;$X152,time_cap+time*VLOOKUP($K152,list!$J$48:$K$50,2,0),time*(1-VLOOKUP($K152,list!$J$48:$K$50,2,0))))*(1/$L152)*($M152)*($R152*2/1000))</f>
        <v/>
      </c>
      <c r="AF152" s="1151">
        <f>IF(OR('6.Inland wetlands'!$AA59=list!$E$210,'6.Inland wetlands'!$AA59=list!$E$212,'6.Inland wetlands'!$AA59=list!$E$214),0,IF($H152&gt;time_tot,0,MIN($X152,$Y152)*time_tot+ABS($Y152-$X152)*IF($Y152&gt;$X152,time_cap+time*VLOOKUP($G152,list!$J$48:$K$50,2,0),time*(1-VLOOKUP($G152,list!$J$48:$K$50,2,0))))*(1/$H152)*($I152)*($T152*methane/1000))</f>
        <v/>
      </c>
      <c r="AG152" s="1151">
        <f>IF(OR('6.Inland wetlands'!$AA59=list!$E$210,'6.Inland wetlands'!$AA59=list!$E$211,'6.Inland wetlands'!$AA59=list!$E$214),0,IF($L152&gt;time_tot,0,MIN($X152,$Z152)*time_tot+ABS($Z152-$X152)*IF($Z152&gt;$X152,time_cap+time*VLOOKUP($K152,list!$J$48:$K$50,2,0),time*(1-VLOOKUP($K152,list!$J$48:$K$50,2,0))))*(1/$L152)*($M152)*($V152*methane/1000))</f>
        <v/>
      </c>
      <c r="AI152" s="1151">
        <f>SUM(AD152,AF152)</f>
        <v/>
      </c>
      <c r="AJ152" s="1151">
        <f>SUM(AE152,AG152)</f>
        <v/>
      </c>
      <c r="AK152" s="1160">
        <f>AJ152-AI152</f>
        <v/>
      </c>
      <c r="AX152" s="1449">
        <f>IF($H152&gt;time_tot,0,$X152*time*(VLOOKUP($G152,list!$J$48:$K$50,2,0)))</f>
        <v/>
      </c>
      <c r="AY152" s="1449">
        <f>IF($L152&gt;time_tot,0,$Y152*time*(VLOOKUP($K152,list!$J$48:$K$50,2,0)))</f>
        <v/>
      </c>
      <c r="AZ152" s="1449">
        <f>IF($H152&gt;time_tot,0,$Z152*time*(VLOOKUP($G152,list!$J$48:$K$50,2,0)))</f>
        <v/>
      </c>
      <c r="BA152" s="1449">
        <f>IF($L152&gt;time_tot,0,$AA152*time*(VLOOKUP($K152,list!$J$48:$K$50,2,0)))</f>
        <v/>
      </c>
    </row>
    <row r="153">
      <c r="A153" s="1466" t="inlineStr">
        <is>
          <t>S3</t>
        </is>
      </c>
      <c r="B153" s="973">
        <f>'6.Inland wetlands'!C48</f>
        <v/>
      </c>
      <c r="C153" s="1121">
        <f>IF($B153="Please select","",IF(ISNUMBER(SEARCH("Planted",$B153)),"Plantation","Forest"))</f>
        <v/>
      </c>
      <c r="D153" s="973">
        <f>IF('6.Inland wetlands'!K48="Please select",'6.Inland wetlands'!I48,'6.Inland wetlands'!K48)</f>
        <v/>
      </c>
      <c r="E153" s="1121">
        <f>IF($D153="Please select","",IF(ISNUMBER(SEARCH("Annual",$D153)),"Annual",IF(ISNUMBER(SEARCH(list!$C$218,$D153)),"Other land",IF($D153="Agroforestry","Perennial",$D153))))</f>
        <v/>
      </c>
      <c r="F153" s="992">
        <f>'6.Inland wetlands'!N48</f>
        <v/>
      </c>
      <c r="G153" s="1688">
        <f>VLOOKUP('6.Inland wetlands'!O48, list!$I$48:$J$50,2,FALSE )</f>
        <v/>
      </c>
      <c r="H153" s="1688">
        <f>'6.Inland wetlands'!DB48</f>
        <v/>
      </c>
      <c r="I153" s="1580">
        <f>'6.Inland wetlands'!DC48</f>
        <v/>
      </c>
      <c r="J153" s="992">
        <f>'6.Inland wetlands'!P48</f>
        <v/>
      </c>
      <c r="K153" s="1688">
        <f>VLOOKUP('6.Inland wetlands'!Q48, list!$I$48:$J$50,2,FALSE )</f>
        <v/>
      </c>
      <c r="L153" s="1688">
        <f>'6.Inland wetlands'!DE48</f>
        <v/>
      </c>
      <c r="M153" s="1580">
        <f>'6.Inland wetlands'!DF48</f>
        <v/>
      </c>
      <c r="O153" s="1111">
        <f>IFERROR(INDEX(IPCC!$A$2037:$D$2048,MATCH(clim_moist,IPCC!$A$2037:$A$2048,0),MATCH($O$148,IPCC!$A$2037:$D$2037,0)),0)</f>
        <v/>
      </c>
      <c r="P153" s="1161">
        <f>IF('6.Inland wetlands'!DI48="",'6.Inland wetlands'!DH48,'6.Inland wetlands'!DI48)</f>
        <v/>
      </c>
      <c r="Q153" s="1111">
        <f>IFERROR(INDEX(IPCC!$A$2037:$D$2048,MATCH(clim_moist,IPCC!$A$2037:$A$2048,0),MATCH($Q$148,IPCC!$A$2037:$D$2037,0)),0)</f>
        <v/>
      </c>
      <c r="R153" s="1161">
        <f>IF('6.Inland wetlands'!DK48="",'6.Inland wetlands'!DJ48,'6.Inland wetlands'!DK48)</f>
        <v/>
      </c>
      <c r="S153" s="1111">
        <f>IFERROR(INDEX(IPCC!$A$2037:$D$2048,MATCH(clim_moist,IPCC!$A$2037:$A$2048,0),MATCH($S$148,IPCC!$A$2037:$D$2037,0)),0)</f>
        <v/>
      </c>
      <c r="T153" s="1161">
        <f>IF('6.Inland wetlands'!DM48="",'6.Inland wetlands'!DL48,'6.Inland wetlands'!DM48)</f>
        <v/>
      </c>
      <c r="U153" s="1111">
        <f>IFERROR(INDEX(IPCC!$A$2020:$D$2031,MATCH(clim_moist,IPCC!$A$2021:$A$2031,0),MATCH('6.Inland wetlands'!$CZ48,IPCC!$A$2020:$D$2020,0)),0)</f>
        <v/>
      </c>
      <c r="V153" s="1161">
        <f>IF('6.Inland wetlands'!DO48="",'6.Inland wetlands'!DN48,'6.Inland wetlands'!DO48)</f>
        <v/>
      </c>
      <c r="W153" s="1276" t="n"/>
      <c r="X153" s="1151" t="n">
        <v>0</v>
      </c>
      <c r="Y153" s="1151">
        <f>IF('6.Inland wetlands'!CZ48=list!$F$210,0,V153*F153)</f>
        <v/>
      </c>
      <c r="Z153" s="1151">
        <f>IF('6.Inland wetlands'!$CZ48=list!$F$210,0,V153*J153)</f>
        <v/>
      </c>
      <c r="AA153" s="1468" t="n"/>
      <c r="AD153" s="1151">
        <f>IF(OR('6.Inland wetlands'!$AA60=list!$E$210,'6.Inland wetlands'!$AA60=list!$E$212,'6.Inland wetlands'!$AA60=list!$E$214),0,IF($H153&gt;time_tot,0,MIN($X153,$Y153)*time_tot+ABS($Y153-$X153)*IF($Y153&gt;$X153,time_cap+time*VLOOKUP($G153,list!$J$48:$K$50,2,0),time*(1-VLOOKUP($G153,list!$J$48:$K$50,2,0))))*(1/$H153)*($I153)*($P153*44/12/1000)+IF($H153&gt;time_tot,0,MIN($X153,$Y153)*time_tot+ABS($Y153-$X153)*IF($Y153&gt;$X153,time_cap+time*VLOOKUP($G153,list!$J$48:$K$50,2,0),time*(1-VLOOKUP($G153,list!$J$48:$K$50,2,0))))*(1/$H153)*($I153)*($R153*2/1000))</f>
        <v/>
      </c>
      <c r="AE153" s="1151">
        <f>IF(OR('6.Inland wetlands'!$AA60=list!$E$210,'6.Inland wetlands'!$AA60=list!$E$211,'6.Inland wetlands'!$AA60=list!$E$214),0,IF($L153&gt;time_tot,0,MIN($X153,$Z153)*time_tot+ABS($Z153-$X153)*IF($Z153&gt;$X153,time_cap+time*VLOOKUP($K153,list!$J$48:$K$50,2,0),time*(1-VLOOKUP($K153,list!$J$48:$K$50,2,0))))*(1/$L153)*($M153)*($P153*44/12/1000)+IF($K153&gt;time_tot,0,MIN($X153,$Z153)*time_tot+ABS($Z153-$X153)*IF($Z153&gt;$X153,time_cap+time*VLOOKUP($K153,list!$J$48:$K$50,2,0),time*(1-VLOOKUP($K153,list!$J$48:$K$50,2,0))))*(1/$L153)*($M153)*($R153*2/1000))</f>
        <v/>
      </c>
      <c r="AF153" s="1151">
        <f>IF(OR('6.Inland wetlands'!$AA60=list!$E$210,'6.Inland wetlands'!$AA60=list!$E$212,'6.Inland wetlands'!$AA60=list!$E$214),0,IF($H153&gt;time_tot,0,MIN($X153,$Y153)*time_tot+ABS($Y153-$X153)*IF($Y153&gt;$X153,time_cap+time*VLOOKUP($G153,list!$J$48:$K$50,2,0),time*(1-VLOOKUP($G153,list!$J$48:$K$50,2,0))))*(1/$H153)*($I153)*($T153*methane/1000))</f>
        <v/>
      </c>
      <c r="AG153" s="1151">
        <f>IF(OR('6.Inland wetlands'!$AA60=list!$E$210,'6.Inland wetlands'!$AA60=list!$E$211,'6.Inland wetlands'!$AA60=list!$E$214),0,IF($L153&gt;time_tot,0,MIN($X153,$Z153)*time_tot+ABS($Z153-$X153)*IF($Z153&gt;$X153,time_cap+time*VLOOKUP($K153,list!$J$48:$K$50,2,0),time*(1-VLOOKUP($K153,list!$J$48:$K$50,2,0))))*(1/$L153)*($M153)*($V153*methane/1000))</f>
        <v/>
      </c>
      <c r="AI153" s="1151">
        <f>SUM(AD153,AF153)</f>
        <v/>
      </c>
      <c r="AJ153" s="1151">
        <f>SUM(AE153,AG153)</f>
        <v/>
      </c>
      <c r="AK153" s="1160">
        <f>AJ153-AI153</f>
        <v/>
      </c>
      <c r="AX153" s="1449">
        <f>IF($H153&gt;time_tot,0,$X153*time*(VLOOKUP($G153,list!$J$48:$K$50,2,0)))</f>
        <v/>
      </c>
      <c r="AY153" s="1449">
        <f>IF($L153&gt;time_tot,0,$Y153*time*(VLOOKUP($K153,list!$J$48:$K$50,2,0)))</f>
        <v/>
      </c>
      <c r="AZ153" s="1449">
        <f>IF($H153&gt;time_tot,0,$Z153*time*(VLOOKUP($G153,list!$J$48:$K$50,2,0)))</f>
        <v/>
      </c>
      <c r="BA153" s="1449">
        <f>IF($L153&gt;time_tot,0,$AA153*time*(VLOOKUP($K153,list!$J$48:$K$50,2,0)))</f>
        <v/>
      </c>
    </row>
    <row r="154">
      <c r="A154" s="1466" t="inlineStr">
        <is>
          <t>S4</t>
        </is>
      </c>
      <c r="B154" s="973">
        <f>'6.Inland wetlands'!C49</f>
        <v/>
      </c>
      <c r="C154" s="1121">
        <f>IF($B154="Please select","",IF(ISNUMBER(SEARCH("Planted",$B154)),"Plantation","Forest"))</f>
        <v/>
      </c>
      <c r="D154" s="973">
        <f>IF('6.Inland wetlands'!K49="Please select",'6.Inland wetlands'!I49,'6.Inland wetlands'!K49)</f>
        <v/>
      </c>
      <c r="E154" s="1121">
        <f>IF($D154="Please select","",IF(ISNUMBER(SEARCH("Annual",$D154)),"Annual",IF(ISNUMBER(SEARCH(list!$C$218,$D154)),"Other land",IF($D154="Agroforestry","Perennial",$D154))))</f>
        <v/>
      </c>
      <c r="F154" s="992">
        <f>'6.Inland wetlands'!N49</f>
        <v/>
      </c>
      <c r="G154" s="1688">
        <f>VLOOKUP('6.Inland wetlands'!O49, list!$I$48:$J$50,2,FALSE )</f>
        <v/>
      </c>
      <c r="H154" s="1688">
        <f>'6.Inland wetlands'!DB49</f>
        <v/>
      </c>
      <c r="I154" s="1580">
        <f>'6.Inland wetlands'!DC49</f>
        <v/>
      </c>
      <c r="J154" s="992">
        <f>'6.Inland wetlands'!P49</f>
        <v/>
      </c>
      <c r="K154" s="1688">
        <f>VLOOKUP('6.Inland wetlands'!Q49, list!$I$48:$J$50,2,FALSE )</f>
        <v/>
      </c>
      <c r="L154" s="1688">
        <f>'6.Inland wetlands'!DE49</f>
        <v/>
      </c>
      <c r="M154" s="1580">
        <f>'6.Inland wetlands'!DF49</f>
        <v/>
      </c>
      <c r="O154" s="1111">
        <f>IFERROR(INDEX(IPCC!$A$2037:$D$2048,MATCH(clim_moist,IPCC!$A$2037:$A$2048,0),MATCH($O$148,IPCC!$A$2037:$D$2037,0)),0)</f>
        <v/>
      </c>
      <c r="P154" s="1161">
        <f>IF('6.Inland wetlands'!DI49="",'6.Inland wetlands'!DH49,'6.Inland wetlands'!DI49)</f>
        <v/>
      </c>
      <c r="Q154" s="1111">
        <f>IFERROR(INDEX(IPCC!$A$2037:$D$2048,MATCH(clim_moist,IPCC!$A$2037:$A$2048,0),MATCH($Q$148,IPCC!$A$2037:$D$2037,0)),0)</f>
        <v/>
      </c>
      <c r="R154" s="1161">
        <f>IF('6.Inland wetlands'!DK49="",'6.Inland wetlands'!DJ49,'6.Inland wetlands'!DK49)</f>
        <v/>
      </c>
      <c r="S154" s="1111">
        <f>IFERROR(INDEX(IPCC!$A$2037:$D$2048,MATCH(clim_moist,IPCC!$A$2037:$A$2048,0),MATCH($S$148,IPCC!$A$2037:$D$2037,0)),0)</f>
        <v/>
      </c>
      <c r="T154" s="1161">
        <f>IF('6.Inland wetlands'!DM49="",'6.Inland wetlands'!DL49,'6.Inland wetlands'!DM49)</f>
        <v/>
      </c>
      <c r="U154" s="1111">
        <f>IFERROR(INDEX(IPCC!$A$2020:$D$2031,MATCH(clim_moist,IPCC!$A$2021:$A$2031,0),MATCH('6.Inland wetlands'!$CZ49,IPCC!$A$2020:$D$2020,0)),0)</f>
        <v/>
      </c>
      <c r="V154" s="1161">
        <f>IF('6.Inland wetlands'!DO49="",'6.Inland wetlands'!DN49,'6.Inland wetlands'!DO49)</f>
        <v/>
      </c>
      <c r="W154" s="1276" t="n"/>
      <c r="X154" s="1151" t="n">
        <v>0</v>
      </c>
      <c r="Y154" s="1151">
        <f>IF('6.Inland wetlands'!CZ49=list!$F$210,0,V154*F154)</f>
        <v/>
      </c>
      <c r="Z154" s="1151">
        <f>IF('6.Inland wetlands'!$CZ49=list!$F$210,0,V154*J154)</f>
        <v/>
      </c>
      <c r="AA154" s="1468" t="n"/>
      <c r="AD154" s="1151">
        <f>IF(OR('6.Inland wetlands'!$AA61=list!$E$210,'6.Inland wetlands'!$AA61=list!$E$212,'6.Inland wetlands'!$AA61=list!$E$214),0,IF($H154&gt;time_tot,0,MIN($X154,$Y154)*time_tot+ABS($Y154-$X154)*IF($Y154&gt;$X154,time_cap+time*VLOOKUP($G154,list!$J$48:$K$50,2,0),time*(1-VLOOKUP($G154,list!$J$48:$K$50,2,0))))*(1/$H154)*($I154)*($P154*44/12/1000)+IF($H154&gt;time_tot,0,MIN($X154,$Y154)*time_tot+ABS($Y154-$X154)*IF($Y154&gt;$X154,time_cap+time*VLOOKUP($G154,list!$J$48:$K$50,2,0),time*(1-VLOOKUP($G154,list!$J$48:$K$50,2,0))))*(1/$H154)*($I154)*($R154*2/1000))</f>
        <v/>
      </c>
      <c r="AE154" s="1151">
        <f>IF(OR('6.Inland wetlands'!$AA61=list!$E$210,'6.Inland wetlands'!$AA61=list!$E$211,'6.Inland wetlands'!$AA61=list!$E$214),0,IF($L154&gt;time_tot,0,MIN($X154,$Z154)*time_tot+ABS($Z154-$X154)*IF($Z154&gt;$X154,time_cap+time*VLOOKUP($K154,list!$J$48:$K$50,2,0),time*(1-VLOOKUP($K154,list!$J$48:$K$50,2,0))))*(1/$L154)*($M154)*($P154*44/12/1000)+IF($K154&gt;time_tot,0,MIN($X154,$Z154)*time_tot+ABS($Z154-$X154)*IF($Z154&gt;$X154,time_cap+time*VLOOKUP($K154,list!$J$48:$K$50,2,0),time*(1-VLOOKUP($K154,list!$J$48:$K$50,2,0))))*(1/$L154)*($M154)*($R154*2/1000))</f>
        <v/>
      </c>
      <c r="AF154" s="1151">
        <f>IF(OR('6.Inland wetlands'!$AA61=list!$E$210,'6.Inland wetlands'!$AA61=list!$E$212,'6.Inland wetlands'!$AA61=list!$E$214),0,IF($H154&gt;time_tot,0,MIN($X154,$Y154)*time_tot+ABS($Y154-$X154)*IF($Y154&gt;$X154,time_cap+time*VLOOKUP($G154,list!$J$48:$K$50,2,0),time*(1-VLOOKUP($G154,list!$J$48:$K$50,2,0))))*(1/$H154)*($I154)*($T154*methane/1000))</f>
        <v/>
      </c>
      <c r="AG154" s="1151">
        <f>IF(OR('6.Inland wetlands'!$AA61=list!$E$210,'6.Inland wetlands'!$AA61=list!$E$211,'6.Inland wetlands'!$AA61=list!$E$214),0,IF($L154&gt;time_tot,0,MIN($X154,$Z154)*time_tot+ABS($Z154-$X154)*IF($Z154&gt;$X154,time_cap+time*VLOOKUP($K154,list!$J$48:$K$50,2,0),time*(1-VLOOKUP($K154,list!$J$48:$K$50,2,0))))*(1/$L154)*($M154)*($V154*methane/1000))</f>
        <v/>
      </c>
      <c r="AI154" s="1151">
        <f>SUM(AD154,AF154)</f>
        <v/>
      </c>
      <c r="AJ154" s="1151">
        <f>SUM(AE154,AG154)</f>
        <v/>
      </c>
      <c r="AK154" s="1160">
        <f>AJ154-AI154</f>
        <v/>
      </c>
      <c r="AX154" s="1449">
        <f>IF($H154&gt;time_tot,0,$X154*time*(VLOOKUP($G154,list!$J$48:$K$50,2,0)))</f>
        <v/>
      </c>
      <c r="AY154" s="1449">
        <f>IF($L154&gt;time_tot,0,$Y154*time*(VLOOKUP($K154,list!$J$48:$K$50,2,0)))</f>
        <v/>
      </c>
      <c r="AZ154" s="1449">
        <f>IF($H154&gt;time_tot,0,$Z154*time*(VLOOKUP($G154,list!$J$48:$K$50,2,0)))</f>
        <v/>
      </c>
      <c r="BA154" s="1449">
        <f>IF($L154&gt;time_tot,0,$AA154*time*(VLOOKUP($K154,list!$J$48:$K$50,2,0)))</f>
        <v/>
      </c>
    </row>
    <row r="155">
      <c r="A155" s="1466" t="inlineStr">
        <is>
          <t>S5</t>
        </is>
      </c>
      <c r="B155" s="973">
        <f>'6.Inland wetlands'!C50</f>
        <v/>
      </c>
      <c r="C155" s="1121">
        <f>IF($B155="Please select","",IF(ISNUMBER(SEARCH("Planted",$B155)),"Plantation","Forest"))</f>
        <v/>
      </c>
      <c r="D155" s="973">
        <f>IF('6.Inland wetlands'!K50="Please select",'6.Inland wetlands'!I50,'6.Inland wetlands'!K50)</f>
        <v/>
      </c>
      <c r="E155" s="1121">
        <f>IF($D155="Please select","",IF(ISNUMBER(SEARCH("Annual",$D155)),"Annual",IF(ISNUMBER(SEARCH(list!$C$218,$D155)),"Other land",IF($D155="Agroforestry","Perennial",$D155))))</f>
        <v/>
      </c>
      <c r="F155" s="992">
        <f>'6.Inland wetlands'!N50</f>
        <v/>
      </c>
      <c r="G155" s="1688">
        <f>VLOOKUP('6.Inland wetlands'!O50, list!$I$48:$J$50,2,FALSE )</f>
        <v/>
      </c>
      <c r="H155" s="1688">
        <f>'6.Inland wetlands'!DB50</f>
        <v/>
      </c>
      <c r="I155" s="1580">
        <f>'6.Inland wetlands'!DC50</f>
        <v/>
      </c>
      <c r="J155" s="992">
        <f>'6.Inland wetlands'!P50</f>
        <v/>
      </c>
      <c r="K155" s="1688">
        <f>VLOOKUP('6.Inland wetlands'!Q50, list!$I$48:$J$50,2,FALSE )</f>
        <v/>
      </c>
      <c r="L155" s="1688">
        <f>'6.Inland wetlands'!DE50</f>
        <v/>
      </c>
      <c r="M155" s="1580">
        <f>'6.Inland wetlands'!DF50</f>
        <v/>
      </c>
      <c r="O155" s="1111">
        <f>IFERROR(INDEX(IPCC!$A$2037:$D$2048,MATCH(clim_moist,IPCC!$A$2037:$A$2048,0),MATCH($O$148,IPCC!$A$2037:$D$2037,0)),0)</f>
        <v/>
      </c>
      <c r="P155" s="1161">
        <f>IF('6.Inland wetlands'!DI50="",'6.Inland wetlands'!DH50,'6.Inland wetlands'!DI50)</f>
        <v/>
      </c>
      <c r="Q155" s="1111">
        <f>IFERROR(INDEX(IPCC!$A$2037:$D$2048,MATCH(clim_moist,IPCC!$A$2037:$A$2048,0),MATCH($Q$148,IPCC!$A$2037:$D$2037,0)),0)</f>
        <v/>
      </c>
      <c r="R155" s="1161">
        <f>IF('6.Inland wetlands'!DK50="",'6.Inland wetlands'!DJ50,'6.Inland wetlands'!DK50)</f>
        <v/>
      </c>
      <c r="S155" s="1111">
        <f>IFERROR(INDEX(IPCC!$A$2037:$D$2048,MATCH(clim_moist,IPCC!$A$2037:$A$2048,0),MATCH($S$148,IPCC!$A$2037:$D$2037,0)),0)</f>
        <v/>
      </c>
      <c r="T155" s="1161">
        <f>IF('6.Inland wetlands'!DM50="",'6.Inland wetlands'!DL50,'6.Inland wetlands'!DM50)</f>
        <v/>
      </c>
      <c r="U155" s="1111">
        <f>IFERROR(INDEX(IPCC!$A$2020:$D$2031,MATCH(clim_moist,IPCC!$A$2021:$A$2031,0),MATCH('6.Inland wetlands'!$CZ50,IPCC!$A$2020:$D$2020,0)),0)</f>
        <v/>
      </c>
      <c r="V155" s="1161">
        <f>IF('6.Inland wetlands'!DO50="",'6.Inland wetlands'!DN50,'6.Inland wetlands'!DO50)</f>
        <v/>
      </c>
      <c r="W155" s="1276" t="n"/>
      <c r="X155" s="1151" t="n">
        <v>0</v>
      </c>
      <c r="Y155" s="1151">
        <f>IF('6.Inland wetlands'!CZ50=list!$F$210,0,V155*F155)</f>
        <v/>
      </c>
      <c r="Z155" s="1151">
        <f>IF('6.Inland wetlands'!$CZ50=list!$F$210,0,V155*J155)</f>
        <v/>
      </c>
      <c r="AA155" s="1468" t="n"/>
      <c r="AD155" s="1151">
        <f>IF(OR('6.Inland wetlands'!$AA62=list!$E$210,'6.Inland wetlands'!$AA62=list!$E$212,'6.Inland wetlands'!$AA62=list!$E$214),0,IF($H155&gt;time_tot,0,MIN($X155,$Y155)*time_tot+ABS($Y155-$X155)*IF($Y155&gt;$X155,time_cap+time*VLOOKUP($G155,list!$J$48:$K$50,2,0),time*(1-VLOOKUP($G155,list!$J$48:$K$50,2,0))))*(1/$H155)*($I155)*($P155*44/12/1000)+IF($H155&gt;time_tot,0,MIN($X155,$Y155)*time_tot+ABS($Y155-$X155)*IF($Y155&gt;$X155,time_cap+time*VLOOKUP($G155,list!$J$48:$K$50,2,0),time*(1-VLOOKUP($G155,list!$J$48:$K$50,2,0))))*(1/$H155)*($I155)*($R155*2/1000))</f>
        <v/>
      </c>
      <c r="AE155" s="1151">
        <f>IF(OR('6.Inland wetlands'!$AA62=list!$E$210,'6.Inland wetlands'!$AA62=list!$E$211,'6.Inland wetlands'!$AA62=list!$E$214),0,IF($L155&gt;time_tot,0,MIN($X155,$Z155)*time_tot+ABS($Z155-$X155)*IF($Z155&gt;$X155,time_cap+time*VLOOKUP($K155,list!$J$48:$K$50,2,0),time*(1-VLOOKUP($K155,list!$J$48:$K$50,2,0))))*(1/$L155)*($M155)*($P155*44/12/1000)+IF($K155&gt;time_tot,0,MIN($X155,$Z155)*time_tot+ABS($Z155-$X155)*IF($Z155&gt;$X155,time_cap+time*VLOOKUP($K155,list!$J$48:$K$50,2,0),time*(1-VLOOKUP($K155,list!$J$48:$K$50,2,0))))*(1/$L155)*($M155)*($R155*2/1000))</f>
        <v/>
      </c>
      <c r="AF155" s="1151">
        <f>IF(OR('6.Inland wetlands'!$AA62=list!$E$210,'6.Inland wetlands'!$AA62=list!$E$212,'6.Inland wetlands'!$AA62=list!$E$214),0,IF($H155&gt;time_tot,0,MIN($X155,$Y155)*time_tot+ABS($Y155-$X155)*IF($Y155&gt;$X155,time_cap+time*VLOOKUP($G155,list!$J$48:$K$50,2,0),time*(1-VLOOKUP($G155,list!$J$48:$K$50,2,0))))*(1/$H155)*($I155)*($T155*methane/1000))</f>
        <v/>
      </c>
      <c r="AG155" s="1151">
        <f>IF(OR('6.Inland wetlands'!$AA62=list!$E$210,'6.Inland wetlands'!$AA62=list!$E$211,'6.Inland wetlands'!$AA62=list!$E$214),0,IF($L155&gt;time_tot,0,MIN($X155,$Z155)*time_tot+ABS($Z155-$X155)*IF($Z155&gt;$X155,time_cap+time*VLOOKUP($K155,list!$J$48:$K$50,2,0),time*(1-VLOOKUP($K155,list!$J$48:$K$50,2,0))))*(1/$L155)*($M155)*($V155*methane/1000))</f>
        <v/>
      </c>
      <c r="AI155" s="1151">
        <f>SUM(AD155,AF155)</f>
        <v/>
      </c>
      <c r="AJ155" s="1151">
        <f>SUM(AE155,AG155)</f>
        <v/>
      </c>
      <c r="AK155" s="1160">
        <f>AJ155-AI155</f>
        <v/>
      </c>
      <c r="AX155" s="1449">
        <f>IF($H155&gt;time_tot,0,$X155*time*(VLOOKUP($G155,list!$J$48:$K$50,2,0)))</f>
        <v/>
      </c>
      <c r="AY155" s="1449">
        <f>IF($L155&gt;time_tot,0,$Y155*time*(VLOOKUP($K155,list!$J$48:$K$50,2,0)))</f>
        <v/>
      </c>
      <c r="AZ155" s="1449">
        <f>IF($H155&gt;time_tot,0,$Z155*time*(VLOOKUP($G155,list!$J$48:$K$50,2,0)))</f>
        <v/>
      </c>
      <c r="BA155" s="1449">
        <f>IF($L155&gt;time_tot,0,$AA155*time*(VLOOKUP($K155,list!$J$48:$K$50,2,0)))</f>
        <v/>
      </c>
    </row>
    <row r="156">
      <c r="A156" s="1466" t="inlineStr">
        <is>
          <t>S6</t>
        </is>
      </c>
      <c r="B156" s="973">
        <f>'6.Inland wetlands'!C51</f>
        <v/>
      </c>
      <c r="C156" s="1121">
        <f>IF($B156="Please select","",IF(ISNUMBER(SEARCH("Planted",$B156)),"Plantation","Forest"))</f>
        <v/>
      </c>
      <c r="D156" s="973">
        <f>IF('6.Inland wetlands'!K51="Please select",'6.Inland wetlands'!I51,'6.Inland wetlands'!K51)</f>
        <v/>
      </c>
      <c r="E156" s="1121">
        <f>IF($D156="Please select","",IF(ISNUMBER(SEARCH("Annual",$D156)),"Annual",IF(ISNUMBER(SEARCH(list!$C$218,$D156)),"Other land",IF($D156="Agroforestry","Perennial",$D156))))</f>
        <v/>
      </c>
      <c r="F156" s="992">
        <f>'6.Inland wetlands'!N51</f>
        <v/>
      </c>
      <c r="G156" s="1688">
        <f>VLOOKUP('6.Inland wetlands'!O51, list!$I$48:$J$50,2,FALSE )</f>
        <v/>
      </c>
      <c r="H156" s="1688">
        <f>'6.Inland wetlands'!DB51</f>
        <v/>
      </c>
      <c r="I156" s="1580">
        <f>'6.Inland wetlands'!DC51</f>
        <v/>
      </c>
      <c r="J156" s="992">
        <f>'6.Inland wetlands'!P51</f>
        <v/>
      </c>
      <c r="K156" s="1688">
        <f>VLOOKUP('6.Inland wetlands'!Q51, list!$I$48:$J$50,2,FALSE )</f>
        <v/>
      </c>
      <c r="L156" s="1688">
        <f>'6.Inland wetlands'!DE51</f>
        <v/>
      </c>
      <c r="M156" s="1580">
        <f>'6.Inland wetlands'!DF51</f>
        <v/>
      </c>
      <c r="O156" s="1111">
        <f>IFERROR(INDEX(IPCC!$A$2037:$D$2048,MATCH(clim_moist,IPCC!$A$2037:$A$2048,0),MATCH($O$148,IPCC!$A$2037:$D$2037,0)),0)</f>
        <v/>
      </c>
      <c r="P156" s="1161">
        <f>IF('6.Inland wetlands'!DI51="",'6.Inland wetlands'!DH51,'6.Inland wetlands'!DI51)</f>
        <v/>
      </c>
      <c r="Q156" s="1111">
        <f>IFERROR(INDEX(IPCC!$A$2037:$D$2048,MATCH(clim_moist,IPCC!$A$2037:$A$2048,0),MATCH($Q$148,IPCC!$A$2037:$D$2037,0)),0)</f>
        <v/>
      </c>
      <c r="R156" s="1161">
        <f>IF('6.Inland wetlands'!DK51="",'6.Inland wetlands'!DJ51,'6.Inland wetlands'!DK51)</f>
        <v/>
      </c>
      <c r="S156" s="1111">
        <f>IFERROR(INDEX(IPCC!$A$2037:$D$2048,MATCH(clim_moist,IPCC!$A$2037:$A$2048,0),MATCH($S$148,IPCC!$A$2037:$D$2037,0)),0)</f>
        <v/>
      </c>
      <c r="T156" s="1161">
        <f>IF('6.Inland wetlands'!DM51="",'6.Inland wetlands'!DL51,'6.Inland wetlands'!DM51)</f>
        <v/>
      </c>
      <c r="U156" s="1111">
        <f>IFERROR(INDEX(IPCC!$A$2020:$D$2031,MATCH(clim_moist,IPCC!$A$2021:$A$2031,0),MATCH('6.Inland wetlands'!$CZ51,IPCC!$A$2020:$D$2020,0)),0)</f>
        <v/>
      </c>
      <c r="V156" s="1161">
        <f>IF('6.Inland wetlands'!DO51="",'6.Inland wetlands'!DN51,'6.Inland wetlands'!DO51)</f>
        <v/>
      </c>
      <c r="W156" s="1276" t="n"/>
      <c r="X156" s="1151" t="n">
        <v>0</v>
      </c>
      <c r="Y156" s="1151">
        <f>IF('6.Inland wetlands'!CZ51=list!$F$210,0,V156*F156)</f>
        <v/>
      </c>
      <c r="Z156" s="1151">
        <f>IF('6.Inland wetlands'!$CZ51=list!$F$210,0,V156*J156)</f>
        <v/>
      </c>
      <c r="AA156" s="1468" t="n"/>
      <c r="AD156" s="1151">
        <f>IF(OR('6.Inland wetlands'!$AA63=list!$E$210,'6.Inland wetlands'!$AA63=list!$E$212,'6.Inland wetlands'!$AA63=list!$E$214),0,IF($H156&gt;time_tot,0,MIN($X156,$Y156)*time_tot+ABS($Y156-$X156)*IF($Y156&gt;$X156,time_cap+time*VLOOKUP($G156,list!$J$48:$K$50,2,0),time*(1-VLOOKUP($G156,list!$J$48:$K$50,2,0))))*(1/$H156)*($I156)*($P156*44/12/1000)+IF($H156&gt;time_tot,0,MIN($X156,$Y156)*time_tot+ABS($Y156-$X156)*IF($Y156&gt;$X156,time_cap+time*VLOOKUP($G156,list!$J$48:$K$50,2,0),time*(1-VLOOKUP($G156,list!$J$48:$K$50,2,0))))*(1/$H156)*($I156)*($R156*2/1000))</f>
        <v/>
      </c>
      <c r="AE156" s="1151">
        <f>IF(OR('6.Inland wetlands'!$AA63=list!$E$210,'6.Inland wetlands'!$AA63=list!$E$211,'6.Inland wetlands'!$AA63=list!$E$214),0,IF($L156&gt;time_tot,0,MIN($X156,$Z156)*time_tot+ABS($Z156-$X156)*IF($Z156&gt;$X156,time_cap+time*VLOOKUP($K156,list!$J$48:$K$50,2,0),time*(1-VLOOKUP($K156,list!$J$48:$K$50,2,0))))*(1/$L156)*($M156)*($P156*44/12/1000)+IF($K156&gt;time_tot,0,MIN($X156,$Z156)*time_tot+ABS($Z156-$X156)*IF($Z156&gt;$X156,time_cap+time*VLOOKUP($K156,list!$J$48:$K$50,2,0),time*(1-VLOOKUP($K156,list!$J$48:$K$50,2,0))))*(1/$L156)*($M156)*($R156*2/1000))</f>
        <v/>
      </c>
      <c r="AF156" s="1151">
        <f>IF(OR('6.Inland wetlands'!$AA63=list!$E$210,'6.Inland wetlands'!$AA63=list!$E$212,'6.Inland wetlands'!$AA63=list!$E$214),0,IF($H156&gt;time_tot,0,MIN($X156,$Y156)*time_tot+ABS($Y156-$X156)*IF($Y156&gt;$X156,time_cap+time*VLOOKUP($G156,list!$J$48:$K$50,2,0),time*(1-VLOOKUP($G156,list!$J$48:$K$50,2,0))))*(1/$H156)*($I156)*($T156*methane/1000))</f>
        <v/>
      </c>
      <c r="AG156" s="1151">
        <f>IF(OR('6.Inland wetlands'!$AA63=list!$E$210,'6.Inland wetlands'!$AA63=list!$E$211,'6.Inland wetlands'!$AA63=list!$E$214),0,IF($L156&gt;time_tot,0,MIN($X156,$Z156)*time_tot+ABS($Z156-$X156)*IF($Z156&gt;$X156,time_cap+time*VLOOKUP($K156,list!$J$48:$K$50,2,0),time*(1-VLOOKUP($K156,list!$J$48:$K$50,2,0))))*(1/$L156)*($M156)*($V156*methane/1000))</f>
        <v/>
      </c>
      <c r="AI156" s="1151">
        <f>SUM(AD156,AF156)</f>
        <v/>
      </c>
      <c r="AJ156" s="1151">
        <f>SUM(AE156,AG156)</f>
        <v/>
      </c>
      <c r="AK156" s="1160">
        <f>AJ156-AI156</f>
        <v/>
      </c>
      <c r="AX156" s="1449">
        <f>IF($H156&gt;time_tot,0,$X156*time*(VLOOKUP($G156,list!$J$48:$K$50,2,0)))</f>
        <v/>
      </c>
      <c r="AY156" s="1449">
        <f>IF($L156&gt;time_tot,0,$Y156*time*(VLOOKUP($K156,list!$J$48:$K$50,2,0)))</f>
        <v/>
      </c>
      <c r="AZ156" s="1449">
        <f>IF($H156&gt;time_tot,0,$Z156*time*(VLOOKUP($G156,list!$J$48:$K$50,2,0)))</f>
        <v/>
      </c>
      <c r="BA156" s="1449">
        <f>IF($L156&gt;time_tot,0,$AA156*time*(VLOOKUP($K156,list!$J$48:$K$50,2,0)))</f>
        <v/>
      </c>
    </row>
    <row r="158">
      <c r="AX158" s="1451">
        <f>SUM(AX151:AX156)</f>
        <v/>
      </c>
      <c r="AY158" s="1451">
        <f>SUM(AY151:AY156)</f>
        <v/>
      </c>
      <c r="AZ158" s="1451">
        <f>SUM(AZ151:AZ156)</f>
        <v/>
      </c>
      <c r="BA158" s="1451">
        <f>SUM(BA151:BA156)</f>
        <v/>
      </c>
      <c r="BD158" s="1463" t="n"/>
      <c r="BF158" s="1271" t="n"/>
    </row>
    <row r="159">
      <c r="E159" s="4026" t="inlineStr">
        <is>
          <t>Drained areas</t>
        </is>
      </c>
      <c r="F159" s="4026">
        <f>MAX(G159:H159)</f>
        <v/>
      </c>
      <c r="G159" s="4026">
        <f>SUMIF(M166:M170,"&gt;0",F151:F156)</f>
        <v/>
      </c>
      <c r="H159" s="4026">
        <f>SUMIF(N166:N170,"&gt;0",J151:J156)</f>
        <v/>
      </c>
      <c r="AX159" s="1451" t="n"/>
      <c r="AY159" s="1451">
        <f>AY158-AX158</f>
        <v/>
      </c>
      <c r="AZ159" s="1451" t="n"/>
      <c r="BA159" s="1451">
        <f>BA158-AZ158</f>
        <v/>
      </c>
      <c r="BD159" s="1463" t="n"/>
      <c r="BF159" s="1271" t="n"/>
    </row>
    <row r="160">
      <c r="L160" s="2171" t="inlineStr">
        <is>
          <t>NB we should consider the % of ditches in the start secnario, which is still not the case.</t>
        </is>
      </c>
    </row>
    <row r="161" ht="16" customHeight="1">
      <c r="A161" s="1264" t="inlineStr">
        <is>
          <t>INITIAL</t>
        </is>
      </c>
      <c r="B161" s="1287" t="inlineStr">
        <is>
          <t>Drainage On-site emission factors</t>
        </is>
      </c>
      <c r="C161" s="1287" t="n"/>
      <c r="D161" s="1287" t="n"/>
      <c r="E161" s="1287" t="n"/>
      <c r="F161" s="1287" t="n"/>
      <c r="G161" s="1287" t="n"/>
      <c r="H161" s="1508" t="inlineStr">
        <is>
          <t>Drainage Off-site emissin factors</t>
        </is>
      </c>
      <c r="I161" s="1508" t="n"/>
      <c r="J161" s="1508" t="n"/>
      <c r="K161" s="1508" t="n"/>
      <c r="L161" s="1287" t="inlineStr">
        <is>
          <t>Emissions from drainage in tCO2-e/yr</t>
        </is>
      </c>
      <c r="M161" s="1501" t="n"/>
      <c r="N161" s="1501" t="n"/>
      <c r="O161" s="1501" t="n"/>
      <c r="P161" s="1501" t="n"/>
      <c r="Q161" s="1501" t="n"/>
      <c r="R161" s="1501" t="n"/>
      <c r="S161" s="1501" t="n"/>
      <c r="T161" s="1501" t="n"/>
      <c r="U161" s="1508" t="n"/>
      <c r="V161" s="1508" t="n"/>
      <c r="W161" s="1508" t="n"/>
      <c r="X161" s="1509" t="n"/>
      <c r="Y161" s="1509" t="n"/>
      <c r="Z161" s="1509" t="n"/>
      <c r="AB161" s="1287" t="inlineStr">
        <is>
          <t>DRAINAGE EMISSIONS</t>
        </is>
      </c>
      <c r="AC161" s="1264" t="n"/>
      <c r="AD161" s="1264" t="n"/>
      <c r="AE161" s="1264" t="n"/>
      <c r="AF161" s="1264" t="n"/>
      <c r="AG161" s="1264" t="n"/>
      <c r="AX161" s="1287" t="inlineStr">
        <is>
          <t>ON SITE DRAINAGE</t>
        </is>
      </c>
      <c r="AY161" s="1501" t="n"/>
      <c r="AZ161" s="1501" t="n"/>
      <c r="BA161" s="1501" t="n"/>
      <c r="BB161" s="1501" t="n"/>
      <c r="BC161" s="1501" t="n"/>
      <c r="BD161" s="1287" t="inlineStr">
        <is>
          <t>OFF SITE DRAINAGE</t>
        </is>
      </c>
      <c r="BE161" s="1501" t="n"/>
      <c r="BF161" s="1501" t="n"/>
    </row>
    <row r="162" ht="17" customHeight="1">
      <c r="A162" s="1264" t="n"/>
      <c r="B162" s="1287" t="inlineStr">
        <is>
          <t>CO2</t>
        </is>
      </c>
      <c r="C162" s="1501" t="n"/>
      <c r="D162" s="1287" t="inlineStr">
        <is>
          <t>CH4</t>
        </is>
      </c>
      <c r="E162" s="1501" t="n"/>
      <c r="F162" s="1287" t="inlineStr">
        <is>
          <t>N2O</t>
        </is>
      </c>
      <c r="G162" s="1501" t="n"/>
      <c r="H162" s="1508" t="inlineStr">
        <is>
          <t>DOC</t>
        </is>
      </c>
      <c r="I162" s="1509" t="n"/>
      <c r="J162" s="1508" t="inlineStr">
        <is>
          <t>CH4</t>
        </is>
      </c>
      <c r="K162" s="1509" t="n"/>
      <c r="L162" s="1501" t="inlineStr">
        <is>
          <t>Emissions from drainage</t>
        </is>
      </c>
      <c r="M162" s="1501" t="n"/>
      <c r="N162" s="1501" t="n"/>
      <c r="O162" s="1501" t="n"/>
      <c r="P162" s="1501" t="n"/>
      <c r="Q162" s="1501" t="n"/>
      <c r="R162" s="1501" t="n"/>
      <c r="S162" s="1501" t="n"/>
      <c r="T162" s="1501" t="n"/>
      <c r="U162" s="1508" t="n"/>
      <c r="V162" s="1508" t="n"/>
      <c r="W162" s="1508" t="n"/>
      <c r="X162" s="1509" t="n"/>
      <c r="Y162" s="1509" t="n"/>
      <c r="Z162" s="1510" t="n"/>
      <c r="AB162" s="1287" t="inlineStr">
        <is>
          <t>Emissions in tCO2eq All period</t>
        </is>
      </c>
      <c r="AC162" s="1264" t="n"/>
      <c r="AD162" s="1264" t="n"/>
      <c r="AE162" s="1264" t="n"/>
      <c r="AF162" s="1264" t="n"/>
      <c r="AG162" s="1264" t="n"/>
      <c r="AX162" s="1502" t="inlineStr">
        <is>
          <t>CO2</t>
        </is>
      </c>
      <c r="AY162" s="1502" t="n"/>
      <c r="AZ162" s="1502" t="inlineStr">
        <is>
          <t>CH4</t>
        </is>
      </c>
      <c r="BA162" s="1502" t="n"/>
      <c r="BB162" s="1502" t="inlineStr">
        <is>
          <t>N2O</t>
        </is>
      </c>
      <c r="BC162" s="1502" t="n"/>
      <c r="BD162" s="1502" t="inlineStr">
        <is>
          <t>DOC</t>
        </is>
      </c>
      <c r="BE162" s="1502" t="n"/>
      <c r="BF162" s="1502" t="inlineStr">
        <is>
          <t>CH4</t>
        </is>
      </c>
      <c r="BG162" s="1450" t="n"/>
    </row>
    <row r="163" ht="16" customHeight="1">
      <c r="A163" s="1264" t="n"/>
      <c r="B163" s="1501" t="inlineStr">
        <is>
          <t>tC/ha/yr</t>
        </is>
      </c>
      <c r="C163" s="1501" t="n"/>
      <c r="D163" s="1501" t="inlineStr">
        <is>
          <t>kgCH4/ha/yr</t>
        </is>
      </c>
      <c r="E163" s="1501" t="n"/>
      <c r="F163" s="1501" t="inlineStr">
        <is>
          <t>kgN2O-N/ha/yr</t>
        </is>
      </c>
      <c r="G163" s="1501" t="n"/>
      <c r="H163" s="1509" t="inlineStr">
        <is>
          <t>tC/ha/yr</t>
        </is>
      </c>
      <c r="I163" s="1509" t="n"/>
      <c r="J163" s="1509" t="inlineStr">
        <is>
          <t>kgCH4/ha/yr</t>
        </is>
      </c>
      <c r="K163" s="1509" t="n"/>
      <c r="L163" s="1287" t="inlineStr">
        <is>
          <t>CO2</t>
        </is>
      </c>
      <c r="M163" s="1501" t="n"/>
      <c r="N163" s="1287" t="n"/>
      <c r="O163" s="1287" t="inlineStr">
        <is>
          <t>CH4</t>
        </is>
      </c>
      <c r="P163" s="1501" t="n"/>
      <c r="Q163" s="1287" t="n"/>
      <c r="R163" s="1287" t="inlineStr">
        <is>
          <t>N2O</t>
        </is>
      </c>
      <c r="S163" s="1501" t="n"/>
      <c r="T163" s="1287" t="n"/>
      <c r="U163" s="1508" t="inlineStr">
        <is>
          <t>DOC</t>
        </is>
      </c>
      <c r="V163" s="1508" t="n"/>
      <c r="W163" s="1508" t="n"/>
      <c r="X163" s="1508" t="inlineStr">
        <is>
          <t>CH4</t>
        </is>
      </c>
      <c r="Y163" s="1509" t="n"/>
      <c r="Z163" s="1508" t="n"/>
      <c r="AB163" s="1501" t="inlineStr">
        <is>
          <t>CO2&amp;DOC</t>
        </is>
      </c>
      <c r="AC163" s="1264" t="n"/>
      <c r="AD163" s="1501" t="inlineStr">
        <is>
          <t>CH4</t>
        </is>
      </c>
      <c r="AE163" s="1264" t="n"/>
      <c r="AF163" s="1501" t="inlineStr">
        <is>
          <t>N2O</t>
        </is>
      </c>
      <c r="AG163" s="1264" t="n"/>
      <c r="AX163" s="1264" t="inlineStr">
        <is>
          <t>IMPLEMENTATION PHASE</t>
        </is>
      </c>
      <c r="AZ163" s="1264" t="inlineStr">
        <is>
          <t>IMPLEMENTATION PHASE</t>
        </is>
      </c>
      <c r="BB163" s="1264" t="inlineStr">
        <is>
          <t>IMPLEMENTATION PHASE</t>
        </is>
      </c>
      <c r="BD163" s="1264" t="inlineStr">
        <is>
          <t>IMPLEMENTATION PHASE</t>
        </is>
      </c>
      <c r="BF163" s="1264" t="inlineStr">
        <is>
          <t>IMPLEMENTATION PHASE</t>
        </is>
      </c>
    </row>
    <row r="164" ht="16" customHeight="1">
      <c r="A164" s="1264" t="n"/>
      <c r="B164" s="1511" t="inlineStr">
        <is>
          <t>IPCC</t>
        </is>
      </c>
      <c r="C164" s="1511" t="inlineStr">
        <is>
          <t>Tier 2</t>
        </is>
      </c>
      <c r="D164" s="1511" t="inlineStr">
        <is>
          <t>IPCC</t>
        </is>
      </c>
      <c r="E164" s="1511" t="inlineStr">
        <is>
          <t>Tier 2</t>
        </is>
      </c>
      <c r="F164" s="1511" t="inlineStr">
        <is>
          <t>IPCC</t>
        </is>
      </c>
      <c r="G164" s="1511" t="inlineStr">
        <is>
          <t>Tier 2</t>
        </is>
      </c>
      <c r="H164" s="1512" t="inlineStr">
        <is>
          <t>IPCC</t>
        </is>
      </c>
      <c r="I164" s="1512" t="inlineStr">
        <is>
          <t>Tier 2</t>
        </is>
      </c>
      <c r="J164" s="1512" t="inlineStr">
        <is>
          <t>IPCC</t>
        </is>
      </c>
      <c r="K164" s="1512" t="inlineStr">
        <is>
          <t>Tier 2</t>
        </is>
      </c>
      <c r="L164" s="973" t="inlineStr">
        <is>
          <t>Start</t>
        </is>
      </c>
      <c r="M164" s="1102" t="inlineStr">
        <is>
          <t>Without</t>
        </is>
      </c>
      <c r="N164" s="1103" t="inlineStr">
        <is>
          <t>With</t>
        </is>
      </c>
      <c r="O164" s="973" t="inlineStr">
        <is>
          <t>Start</t>
        </is>
      </c>
      <c r="P164" s="1102" t="inlineStr">
        <is>
          <t>Without</t>
        </is>
      </c>
      <c r="Q164" s="1103" t="inlineStr">
        <is>
          <t>With</t>
        </is>
      </c>
      <c r="R164" s="973" t="inlineStr">
        <is>
          <t>Start</t>
        </is>
      </c>
      <c r="S164" s="1102" t="inlineStr">
        <is>
          <t>Without</t>
        </is>
      </c>
      <c r="T164" s="1103" t="inlineStr">
        <is>
          <t>With</t>
        </is>
      </c>
      <c r="U164" s="973" t="inlineStr">
        <is>
          <t>Start</t>
        </is>
      </c>
      <c r="V164" s="1102" t="inlineStr">
        <is>
          <t>Without</t>
        </is>
      </c>
      <c r="W164" s="1103" t="inlineStr">
        <is>
          <t>With</t>
        </is>
      </c>
      <c r="X164" s="973" t="inlineStr">
        <is>
          <t>Start</t>
        </is>
      </c>
      <c r="Y164" s="1102" t="inlineStr">
        <is>
          <t>Without</t>
        </is>
      </c>
      <c r="Z164" s="1103" t="inlineStr">
        <is>
          <t>With</t>
        </is>
      </c>
      <c r="AB164" s="1102" t="inlineStr">
        <is>
          <t>Without</t>
        </is>
      </c>
      <c r="AC164" s="1103" t="inlineStr">
        <is>
          <t>With</t>
        </is>
      </c>
      <c r="AD164" s="1102" t="inlineStr">
        <is>
          <t>Without</t>
        </is>
      </c>
      <c r="AE164" s="1103" t="inlineStr">
        <is>
          <t>With</t>
        </is>
      </c>
      <c r="AF164" s="1102" t="inlineStr">
        <is>
          <t>Without</t>
        </is>
      </c>
      <c r="AG164" s="1103" t="inlineStr">
        <is>
          <t>With</t>
        </is>
      </c>
      <c r="AX164" s="1272" t="inlineStr">
        <is>
          <t>WITHOUT</t>
        </is>
      </c>
      <c r="AY164" s="1272" t="inlineStr">
        <is>
          <t>WITH</t>
        </is>
      </c>
      <c r="AZ164" s="1272" t="inlineStr">
        <is>
          <t>WITHOUT</t>
        </is>
      </c>
      <c r="BA164" s="1272" t="inlineStr">
        <is>
          <t>WITH</t>
        </is>
      </c>
      <c r="BB164" s="1272" t="inlineStr">
        <is>
          <t>WITHOUT</t>
        </is>
      </c>
      <c r="BC164" s="1272" t="inlineStr">
        <is>
          <t>WITH</t>
        </is>
      </c>
      <c r="BD164" s="1272" t="inlineStr">
        <is>
          <t>WITHOUT</t>
        </is>
      </c>
      <c r="BE164" s="1272" t="inlineStr">
        <is>
          <t>WITH</t>
        </is>
      </c>
      <c r="BF164" s="1272" t="inlineStr">
        <is>
          <t>WITHOUT</t>
        </is>
      </c>
      <c r="BG164" s="1272" t="inlineStr">
        <is>
          <t>WITH</t>
        </is>
      </c>
    </row>
    <row r="165">
      <c r="A165" s="1467" t="inlineStr">
        <is>
          <t>S1</t>
        </is>
      </c>
      <c r="B165" s="1044">
        <f>IFERROR(IF('Inl. wetlands'!$D$145=list!$J$210,INDEX(IPCC!$A$1762:$J$1773,MATCH(clim_moist,IPCC!$A$1781:$A$1792,0),MATCH('Inl. wetlands'!$E151,IPCC!$A$1781:$J$1781,0)),IF('Inl. wetlands'!$D$145=list!$J$211,INDEX(IPCC!$A$1781:$J$1792,MATCH(clim_moist,IPCC!$A$1781:$A$1792,0),MATCH('Inl. wetlands'!$E151,IPCC!$A$1781:$J$1781,0)))),0)</f>
        <v/>
      </c>
      <c r="C165" s="1162">
        <f>IF('6.Inland wetlands'!CG46="",'6.Inland wetlands'!CF46,'6.Inland wetlands'!CG46)</f>
        <v/>
      </c>
      <c r="D165" s="1044">
        <f>IFERROR(IF('Inl. wetlands'!$D$145=list!$J$210,INDEX(IPCC!$A$1818:$J$1829,MATCH(clim_moist,IPCC!$A$1818:$A$1829,0),MATCH('Inl. wetlands'!$E151,IPCC!$A$1818:$J$1818,0)),IF('Inl. wetlands'!$D$145=list!$J$211,INDEX(IPCC!$A$1836:$J$1847,MATCH(clim_moist,IPCC!$A$1836:$A$1847,0),MATCH('Inl. wetlands'!$E151,IPCC!$A$1836:$J$1836,0)))),0)</f>
        <v/>
      </c>
      <c r="E165" s="1162">
        <f>IF('6.Inland wetlands'!CI46="",'6.Inland wetlands'!CH46,'6.Inland wetlands'!CI46)</f>
        <v/>
      </c>
      <c r="F165" s="1044">
        <f>IFERROR(IF('Inl. wetlands'!$D$145=list!$J$210,INDEX(IPCC!$A$1872:$J$1883,MATCH(clim_moist,IPCC!$A$1872:$A$1883,0),MATCH('Inl. wetlands'!$E151,IPCC!$A$1872:$J$1872,0)),IF('Inl. wetlands'!$D$145=list!$J$211,INDEX(IPCC!$A$1890:$J$1901,MATCH(clim_moist,IPCC!$A$1890:$A$1901,0),MATCH('Inl. wetlands'!$E151,IPCC!$A$1890:$J$1890,0)))),0)</f>
        <v/>
      </c>
      <c r="G165" s="1162">
        <f>IF('6.Inland wetlands'!CK46="",'6.Inland wetlands'!CJ46,'6.Inland wetlands'!CK46)</f>
        <v/>
      </c>
      <c r="H165" s="1044">
        <f>IFERROR(IF('Inl. wetlands'!$D$145=list!$J$210,INDEX(IPCC!$A$1800:$J$1811,MATCH(clim_moist,IPCC!$A$1800:$A$1811,0),MATCH('Inl. wetlands'!$E151,IPCC!$A$1800:$J$1800,0)),IF('Inl. wetlands'!$D$145=list!$J$211,INDEX(IPCC!$A$1800:$J$1811,MATCH(clim_moist,IPCC!$A$1800:$A$1811,0),MATCH('Inl. wetlands'!$E151,IPCC!$A$1800:$J$1800,0)))),0)</f>
        <v/>
      </c>
      <c r="I165" s="1162">
        <f>IF('6.Inland wetlands'!CN46="",'6.Inland wetlands'!CM46,'6.Inland wetlands'!CN46)</f>
        <v/>
      </c>
      <c r="J165" s="1111">
        <f>IFERROR(IF('Inl. wetlands'!$D$145=list!$J$210,INDEX(IPCC!$A$1854:$J$1865,MATCH(clim_moist,IPCC!$A$1854:$A$1865,0),MATCH('Inl. wetlands'!$E151,IPCC!$A$1854:$J$1854,0)),IF('Inl. wetlands'!$D$145=list!$J$211,INDEX(IPCC!$A$1854:$J$1865,MATCH(clim_moist,IPCC!$A$1854:$A$1865,0),MATCH('Inl. wetlands'!$E151,IPCC!$A$1854:$J$1854,0)))),0)</f>
        <v/>
      </c>
      <c r="K165" s="1161">
        <f>IF('6.Inland wetlands'!CP46="",'6.Inland wetlands'!CO46,'6.Inland wetlands'!CP46)</f>
        <v/>
      </c>
      <c r="L165" s="3493">
        <f>IF('6.Inland wetlands'!M58=0, 0,'Inl. wetlands'!C165*44/12*'6.Inland wetlands'!M58)</f>
        <v/>
      </c>
      <c r="M165" s="3493">
        <f>IF('6.Inland wetlands'!N46=0, 'Inl. wetlands'!C165*44/12*'6.Inland wetlands'!N58, IF('6.Inland wetlands'!N58&lt;'6.Inland wetlands'!N46,0, 'Inl. wetlands'!C165*44/12*('6.Inland wetlands'!N58-'6.Inland wetlands'!N46)))</f>
        <v/>
      </c>
      <c r="N165" s="1151">
        <f>IF('6.Inland wetlands'!P46=0, 'Inl. wetlands'!C165*44/12*'6.Inland wetlands'!P58, IF('6.Inland wetlands'!P58&lt;'6.Inland wetlands'!P46,0, 'Inl. wetlands'!C165*44/12*('6.Inland wetlands'!P58-'6.Inland wetlands'!P46)))</f>
        <v/>
      </c>
      <c r="O165" s="4360">
        <f>IF('6.Inland wetlands'!M58=0, 0,'Inl. wetlands'!$E165*methane/1000*'6.Inland wetlands'!M58*(1-'6.Inland wetlands'!W58))</f>
        <v/>
      </c>
      <c r="P165" s="4360">
        <f>IF('6.Inland wetlands'!N46=0,'Inl. wetlands'!$E165*methane/1000*'6.Inland wetlands'!N58*(1-'6.Inland wetlands'!X58),IF('6.Inland wetlands'!N58&lt;'6.Inland wetlands'!N46,0, 'Inl. wetlands'!$E165*methane/1000*('6.Inland wetlands'!N58-'6.Inland wetlands'!N46)*(1-'6.Inland wetlands'!X58)))</f>
        <v/>
      </c>
      <c r="Q165" s="4360">
        <f>IF('6.Inland wetlands'!P46=0,'Inl. wetlands'!$E165*methane/1000*'6.Inland wetlands'!P58*(1-'6.Inland wetlands'!Y58),IF('6.Inland wetlands'!P58&lt;'6.Inland wetlands'!P46,0, 'Inl. wetlands'!$E165*methane/1000*('6.Inland wetlands'!P58-'6.Inland wetlands'!P46)*(1-'6.Inland wetlands'!Y58)))</f>
        <v/>
      </c>
      <c r="R165" s="4360">
        <f>IF('6.Inland wetlands'!M58=0, 0, 'Inl. wetlands'!$G165*'6.Inland wetlands'!M58*44/28*Nitrous/1000)</f>
        <v/>
      </c>
      <c r="S165" s="4360">
        <f>IF('6.Inland wetlands'!N46=0, 'Inl. wetlands'!$G165*'6.Inland wetlands'!N58*44/28*Nitrous/1000, IF('6.Inland wetlands'!N58&lt;'6.Inland wetlands'!N46,0, 'Inl. wetlands'!$G165*('6.Inland wetlands'!N58-'6.Inland wetlands'!N46)*44/28*Nitrous/1000))</f>
        <v/>
      </c>
      <c r="T165" s="4360">
        <f>IF('6.Inland wetlands'!P46=0, 'Inl. wetlands'!$G165*'6.Inland wetlands'!P58*44/28*Nitrous/1000, IF('6.Inland wetlands'!P58&lt;'6.Inland wetlands'!P46,0,'Inl. wetlands'!$G165*44/28*Nitrous/1000*('6.Inland wetlands'!P58-'6.Inland wetlands'!P46)))</f>
        <v/>
      </c>
      <c r="U165" s="4360">
        <f>IF('6.Inland wetlands'!M58=0, 0, 'Inl. wetlands'!$I165*'6.Inland wetlands'!M58*44/12)</f>
        <v/>
      </c>
      <c r="V165" s="4360">
        <f>IF('6.Inland wetlands'!N46=0, 'Inl. wetlands'!I165*44/12*'6.Inland wetlands'!N58, IF('6.Inland wetlands'!N58&lt;'6.Inland wetlands'!N46,0, 'Inl. wetlands'!I165*44/12*('6.Inland wetlands'!N58-'6.Inland wetlands'!N46)))</f>
        <v/>
      </c>
      <c r="W165" s="4360">
        <f>IF('6.Inland wetlands'!P46=0, 'Inl. wetlands'!I165*44/12*'6.Inland wetlands'!P58, IF('6.Inland wetlands'!P58&lt;'6.Inland wetlands'!P46,0, 'Inl. wetlands'!I165*44/12*('6.Inland wetlands'!P58-'6.Inland wetlands'!P46)))</f>
        <v/>
      </c>
      <c r="X165" s="4360">
        <f>IF('6.Inland wetlands'!M58=0,0, 'Inl. wetlands'!$K165/1000*methane*'6.Inland wetlands'!M58*'6.Inland wetlands'!$W58)</f>
        <v/>
      </c>
      <c r="Y165" s="4360">
        <f>IF('6.Inland wetlands'!N46=0,'Inl. wetlands'!$K165*methane/1000*'6.Inland wetlands'!N58*('6.Inland wetlands'!X58),IF('6.Inland wetlands'!N58&lt;'6.Inland wetlands'!N46,0, 'Inl. wetlands'!$K165*methane/1000*('6.Inland wetlands'!N58-'6.Inland wetlands'!N46)*('6.Inland wetlands'!X58)))</f>
        <v/>
      </c>
      <c r="Z165" s="4360">
        <f>IF('6.Inland wetlands'!P46=0,'Inl. wetlands'!$K165*methane/1000*'6.Inland wetlands'!P58*('6.Inland wetlands'!Y58),IF('6.Inland wetlands'!P58&lt;'6.Inland wetlands'!P46,0, 'Inl. wetlands'!$K165*methane/1000*('6.Inland wetlands'!P58-'6.Inland wetlands'!P46)*('6.Inland wetlands'!Y58)))</f>
        <v/>
      </c>
      <c r="AB165" s="3493">
        <f>MIN('Inl. wetlands'!L165,'Inl. wetlands'!M165)*time_tot+ABS('Inl. wetlands'!M165-'Inl. wetlands'!L165)*IF('Inl. wetlands'!M165&gt;'Inl. wetlands'!L165,time_cap+time*(VLOOKUP('6.Inland wetlands'!O58,list!$I$48:$K$50,3,0)),time*(1-(VLOOKUP('6.Inland wetlands'!O58,list!$I$48:$K$50,3,0))))+MIN('Inl. wetlands'!U165,'Inl. wetlands'!V165)*time_tot+ABS('Inl. wetlands'!V165-'Inl. wetlands'!U165)*IF('Inl. wetlands'!V165&gt;'Inl. wetlands'!U165,time_cap+time*(VLOOKUP('6.Inland wetlands'!O58,list!$I$48:$K$50,3,0)),time*(1-(VLOOKUP('6.Inland wetlands'!O58,list!$I$48:$K$50,3,0))))</f>
        <v/>
      </c>
      <c r="AC165" s="3493">
        <f>MIN('Inl. wetlands'!L165,'Inl. wetlands'!N165)*time_tot+ABS('Inl. wetlands'!N165-'Inl. wetlands'!L165)*IF('Inl. wetlands'!N165&gt;'Inl. wetlands'!L165,time_cap+time*(VLOOKUP('6.Inland wetlands'!Q58,list!$I$48:$K$50,3,0)),time*(1-(VLOOKUP('6.Inland wetlands'!Q58,list!$I$48:$K$50,3,0))))+MIN('Inl. wetlands'!U165,'Inl. wetlands'!W165)*time_tot+ABS('Inl. wetlands'!W165-'Inl. wetlands'!U165)*IF('Inl. wetlands'!W165&gt;'Inl. wetlands'!U165,time_cap+time*(VLOOKUP('6.Inland wetlands'!Q58,list!$I$48:$K$50,3,0)),time*(1-(VLOOKUP('6.Inland wetlands'!Q58,list!$I$48:$K$50,3,0))))</f>
        <v/>
      </c>
      <c r="AD165" s="1151">
        <f>MIN('Inl. wetlands'!O165,'Inl. wetlands'!P165)*time_tot+ABS('Inl. wetlands'!P165-'Inl. wetlands'!O165)*IF('Inl. wetlands'!P165&gt;'Inl. wetlands'!O165,time_cap+time*(VLOOKUP('6.Inland wetlands'!O58,list!$I$48:$K$50,3,0)),time*(1-(VLOOKUP('6.Inland wetlands'!O58,list!$I$48:$K$50,3,0))))+MIN('Inl. wetlands'!X165,'Inl. wetlands'!Y165)*time_tot+ABS('Inl. wetlands'!Y165-'Inl. wetlands'!X165)*IF('Inl. wetlands'!Y165&gt;'Inl. wetlands'!X165,time_cap+time*(VLOOKUP('6.Inland wetlands'!O58,list!$I$48:$K$50,3,0)),time*(1-(VLOOKUP('6.Inland wetlands'!O58,list!$I$48:$K$50,3,0))))</f>
        <v/>
      </c>
      <c r="AE165" s="1151">
        <f>MIN('Inl. wetlands'!O165,'Inl. wetlands'!Q165)*time_tot+ABS('Inl. wetlands'!Q165-'Inl. wetlands'!O165)*IF('Inl. wetlands'!Q165&gt;'Inl. wetlands'!O165,time_cap+time*(VLOOKUP('6.Inland wetlands'!Q58,list!$I$48:$K$50,3,0)),time*(1-(VLOOKUP('6.Inland wetlands'!Q58,list!$I$48:$K$50,3,0))))+MIN('Inl. wetlands'!X165,'Inl. wetlands'!Z165)*time_tot+ABS('Inl. wetlands'!Z165-'Inl. wetlands'!X165)*IF('Inl. wetlands'!Z165&gt;'Inl. wetlands'!X165,time_cap+time*(VLOOKUP('6.Inland wetlands'!Q58,list!$I$48:$K$50,3,0)),time*(1-(VLOOKUP('6.Inland wetlands'!Q58,list!$I$48:$K$50,3,0))))</f>
        <v/>
      </c>
      <c r="AF165" s="1151">
        <f>MIN('Inl. wetlands'!R165,'Inl. wetlands'!S165)*time_tot+ABS('Inl. wetlands'!S165-'Inl. wetlands'!R165)*IF('Inl. wetlands'!S165&gt;'Inl. wetlands'!R165,time_cap+time*(VLOOKUP('6.Inland wetlands'!O58,list!$I$48:$K$50,3,0)),time*(1-(VLOOKUP('6.Inland wetlands'!O58,list!$I$48:$K$50,3,0))))</f>
        <v/>
      </c>
      <c r="AG165" s="1151">
        <f>MIN('Inl. wetlands'!R165,'Inl. wetlands'!T165)*time_tot+ABS('Inl. wetlands'!T165-'Inl. wetlands'!R165)*IF('Inl. wetlands'!T165&gt;'Inl. wetlands'!R165,time_cap+time*(VLOOKUP('6.Inland wetlands'!Q58,list!$I$48:$K$50,3,0)),time*(1-(VLOOKUP('6.Inland wetlands'!Q58,list!$I$48:$K$50,3,0))))</f>
        <v/>
      </c>
      <c r="AX165" s="1449">
        <f>'Inl. wetlands'!$M165*time*(VLOOKUP($G151,list!$J$48:$K$50,2,0))</f>
        <v/>
      </c>
      <c r="AY165" s="1449">
        <f>'Inl. wetlands'!$N165*time*(VLOOKUP($K151,list!$J$48:$K$50,2,0))</f>
        <v/>
      </c>
      <c r="AZ165" s="1449">
        <f>'Inl. wetlands'!$P165*time*(VLOOKUP($G151,list!$J$48:$K$50,2,0))</f>
        <v/>
      </c>
      <c r="BA165" s="1449">
        <f>'Inl. wetlands'!$Q165*time*(VLOOKUP($K151,list!$J$48:$K$50,2,0))</f>
        <v/>
      </c>
      <c r="BB165" s="1449">
        <f>'Inl. wetlands'!$S165*time*(VLOOKUP($G151,list!$J$48:$K$50,2,0))</f>
        <v/>
      </c>
      <c r="BC165" s="1449">
        <f>'Inl. wetlands'!$T165*time*(VLOOKUP($K151,list!$J$48:$K$50,2,0))</f>
        <v/>
      </c>
      <c r="BD165" s="1449">
        <f>'Inl. wetlands'!$V165*time*(VLOOKUP($G151,list!$J$48:$K$50,2,0))</f>
        <v/>
      </c>
      <c r="BE165" s="1449">
        <f>'Inl. wetlands'!$W165*time*(VLOOKUP($K151,list!$J$48:$K$50,2,0))</f>
        <v/>
      </c>
      <c r="BF165" s="1449">
        <f>'Inl. wetlands'!$Y165*time*(VLOOKUP($G151,list!$J$48:$K$50,2,0))</f>
        <v/>
      </c>
      <c r="BG165" s="1449">
        <f>'Inl. wetlands'!$Z165*time*(VLOOKUP($K151,list!$J$48:$K$50,2,0))</f>
        <v/>
      </c>
    </row>
    <row r="166">
      <c r="A166" s="1467" t="inlineStr">
        <is>
          <t>S2</t>
        </is>
      </c>
      <c r="B166" s="1044">
        <f>IFERROR(IF('Inl. wetlands'!$D$145=list!$J$210,INDEX(IPCC!$A$1762:$J$1773,MATCH(clim_moist,IPCC!$A$1781:$A$1792,0),MATCH('Inl. wetlands'!$E152,IPCC!$A$1781:$J$1781,0)),IF('Inl. wetlands'!$D$145=list!$J$211,INDEX(IPCC!$A$1781:$J$1792,MATCH(clim_moist,IPCC!$A$1781:$A$1792,0),MATCH('Inl. wetlands'!$E152,IPCC!$A$1781:$J$1781,0)))),0)</f>
        <v/>
      </c>
      <c r="C166" s="1162">
        <f>IF('6.Inland wetlands'!CG47="",'6.Inland wetlands'!CF47,'6.Inland wetlands'!CG47)</f>
        <v/>
      </c>
      <c r="D166" s="1044">
        <f>IFERROR(IF('Inl. wetlands'!$D$145=list!$J$210,INDEX(IPCC!$A$1818:$J$1829,MATCH(clim_moist,IPCC!$A$1818:$A$1829,0),MATCH('Inl. wetlands'!$E152,IPCC!$A$1818:$J$1818,0)),IF('Inl. wetlands'!$D$145=list!$J$211,INDEX(IPCC!$A$1836:$J$1847,MATCH(clim_moist,IPCC!$A$1836:$A$1847,0),MATCH('Inl. wetlands'!$E152,IPCC!$A$1836:$J$1836,0)))),0)</f>
        <v/>
      </c>
      <c r="E166" s="1162">
        <f>IF('6.Inland wetlands'!CI47="",'6.Inland wetlands'!CH47,'6.Inland wetlands'!CI47)</f>
        <v/>
      </c>
      <c r="F166" s="1044">
        <f>IFERROR(IF('Inl. wetlands'!$D$145=list!$J$210,INDEX(IPCC!$A$1872:$J$1883,MATCH(clim_moist,IPCC!$A$1872:$A$1883,0),MATCH('Inl. wetlands'!$E152,IPCC!$A$1872:$J$1872,0)),IF('Inl. wetlands'!$D$145=list!$J$211,INDEX(IPCC!$A$1890:$J$1901,MATCH(clim_moist,IPCC!$A$1890:$A$1901,0),MATCH('Inl. wetlands'!$E152,IPCC!$A$1890:$J$1890,0)))),0)</f>
        <v/>
      </c>
      <c r="G166" s="1162">
        <f>IF('6.Inland wetlands'!CK47="",'6.Inland wetlands'!CJ47,'6.Inland wetlands'!CK47)</f>
        <v/>
      </c>
      <c r="H166" s="1044">
        <f>IFERROR(IF('Inl. wetlands'!$D$145=list!$J$210,INDEX(IPCC!$A$1800:$J$1811,MATCH(clim_moist,IPCC!$A$1800:$A$1811,0),MATCH('Inl. wetlands'!$E152,IPCC!$A$1800:$J$1800,0)),IF('Inl. wetlands'!$D$145=list!$J$211,INDEX(IPCC!$A$1800:$J$1811,MATCH(clim_moist,IPCC!$A$1800:$A$1811,0),MATCH('Inl. wetlands'!$E152,IPCC!$A$1800:$J$1800,0)))),0)</f>
        <v/>
      </c>
      <c r="I166" s="1162">
        <f>IF('6.Inland wetlands'!CN47="",'6.Inland wetlands'!CM47,'6.Inland wetlands'!CN47)</f>
        <v/>
      </c>
      <c r="J166" s="1111">
        <f>IFERROR(IF('Inl. wetlands'!$D$145=list!$J$210,INDEX(IPCC!$A$1854:$J$1865,MATCH(clim_moist,IPCC!$A$1854:$A$1865,0),MATCH('Inl. wetlands'!$E152,IPCC!$A$1854:$J$1854,0)),IF('Inl. wetlands'!$D$145=list!$J$211,INDEX(IPCC!$A$1854:$J$1865,MATCH(clim_moist,IPCC!$A$1854:$A$1865,0),MATCH('Inl. wetlands'!$E152,IPCC!$A$1854:$J$1854,0)))),0)</f>
        <v/>
      </c>
      <c r="K166" s="1161">
        <f>IF('6.Inland wetlands'!CP47="",'6.Inland wetlands'!CO47,'6.Inland wetlands'!CP47)</f>
        <v/>
      </c>
      <c r="L166" s="3493">
        <f>IF('6.Inland wetlands'!M59=0, 0,'Inl. wetlands'!C166*44/12*'6.Inland wetlands'!M59)</f>
        <v/>
      </c>
      <c r="M166" s="3493">
        <f>IF('6.Inland wetlands'!N47=0, 'Inl. wetlands'!C166*44/12*'6.Inland wetlands'!N59, IF('6.Inland wetlands'!N59&lt;'6.Inland wetlands'!N47,0, 'Inl. wetlands'!C166*44/12*('6.Inland wetlands'!N59-'6.Inland wetlands'!N47)))</f>
        <v/>
      </c>
      <c r="N166" s="1151">
        <f>IF('6.Inland wetlands'!P47=0, 'Inl. wetlands'!C166*44/12*'6.Inland wetlands'!P59, IF('6.Inland wetlands'!P59&lt;'6.Inland wetlands'!P47,0, 'Inl. wetlands'!C166*44/12*('6.Inland wetlands'!P59-'6.Inland wetlands'!P47)))</f>
        <v/>
      </c>
      <c r="O166" s="4360">
        <f>IF('6.Inland wetlands'!M59=0, 0,'Inl. wetlands'!$E166*methane/1000*'6.Inland wetlands'!M59*(1-'6.Inland wetlands'!W59))</f>
        <v/>
      </c>
      <c r="P166" s="4360">
        <f>IF('6.Inland wetlands'!N47=0,'Inl. wetlands'!$E166*methane/1000*'6.Inland wetlands'!N59*(1-'6.Inland wetlands'!X59),IF('6.Inland wetlands'!N59&lt;'6.Inland wetlands'!N47,0, 'Inl. wetlands'!$E166*methane/1000*('6.Inland wetlands'!N59-'6.Inland wetlands'!N47)*(1-'6.Inland wetlands'!X59)))</f>
        <v/>
      </c>
      <c r="Q166" s="4360">
        <f>IF('6.Inland wetlands'!P47=0,'Inl. wetlands'!$E166*methane/1000*'6.Inland wetlands'!P59*(1-'6.Inland wetlands'!Y59),IF('6.Inland wetlands'!P59&lt;'6.Inland wetlands'!P47,0, 'Inl. wetlands'!$E166*methane/1000*('6.Inland wetlands'!P59-'6.Inland wetlands'!P47)*(1-'6.Inland wetlands'!Y59)))</f>
        <v/>
      </c>
      <c r="R166" s="4360">
        <f>IF('6.Inland wetlands'!M59=0, 0, 'Inl. wetlands'!$G166*'6.Inland wetlands'!M59*44/28*Nitrous/1000)</f>
        <v/>
      </c>
      <c r="S166" s="4360">
        <f>IF('6.Inland wetlands'!N47=0, 'Inl. wetlands'!$G166*'6.Inland wetlands'!N59*44/28*Nitrous/1000, IF('6.Inland wetlands'!N59&lt;'6.Inland wetlands'!N47,0, 'Inl. wetlands'!$G166*('6.Inland wetlands'!N59-'6.Inland wetlands'!N47)*44/28*Nitrous/1000))</f>
        <v/>
      </c>
      <c r="T166" s="4360">
        <f>IF('6.Inland wetlands'!P47=0, 'Inl. wetlands'!$G166*'6.Inland wetlands'!P59*44/28*Nitrous/1000, IF('6.Inland wetlands'!P59&lt;'6.Inland wetlands'!P47,0,'Inl. wetlands'!$G166*44/28*Nitrous/1000*('6.Inland wetlands'!P59-'6.Inland wetlands'!P47)))</f>
        <v/>
      </c>
      <c r="U166" s="4360">
        <f>IF('6.Inland wetlands'!M59=0, 0, 'Inl. wetlands'!$I166*'6.Inland wetlands'!M59*44/12)</f>
        <v/>
      </c>
      <c r="V166" s="4360">
        <f>IF('6.Inland wetlands'!N47=0, 'Inl. wetlands'!I166*44/12*'6.Inland wetlands'!N59, IF('6.Inland wetlands'!N59&lt;'6.Inland wetlands'!N47,0, 'Inl. wetlands'!I166*44/12*('6.Inland wetlands'!N59-'6.Inland wetlands'!N47)))</f>
        <v/>
      </c>
      <c r="W166" s="4360">
        <f>IF('6.Inland wetlands'!P47=0, 'Inl. wetlands'!I166*44/12*'6.Inland wetlands'!P59, IF('6.Inland wetlands'!P59&lt;'6.Inland wetlands'!P47,0, 'Inl. wetlands'!I166*44/12*('6.Inland wetlands'!P59-'6.Inland wetlands'!P47)))</f>
        <v/>
      </c>
      <c r="X166" s="4360">
        <f>IF('6.Inland wetlands'!M59=0,0, 'Inl. wetlands'!$K166/1000*methane*'6.Inland wetlands'!M59*'6.Inland wetlands'!$W59)</f>
        <v/>
      </c>
      <c r="Y166" s="4360">
        <f>IF('6.Inland wetlands'!N47=0,'Inl. wetlands'!$K166*methane/1000*'6.Inland wetlands'!N59*('6.Inland wetlands'!X59),IF('6.Inland wetlands'!N59&lt;'6.Inland wetlands'!N47,0, 'Inl. wetlands'!$K166*methane/1000*('6.Inland wetlands'!N59-'6.Inland wetlands'!N47)*('6.Inland wetlands'!X59)))</f>
        <v/>
      </c>
      <c r="Z166" s="4360">
        <f>IF('6.Inland wetlands'!P47=0,'Inl. wetlands'!$K166*methane/1000*'6.Inland wetlands'!P59*('6.Inland wetlands'!Y59),IF('6.Inland wetlands'!P59&lt;'6.Inland wetlands'!P47,0, 'Inl. wetlands'!$K166*methane/1000*('6.Inland wetlands'!P59-'6.Inland wetlands'!P47)*('6.Inland wetlands'!Y59)))</f>
        <v/>
      </c>
      <c r="AB166" s="3493">
        <f>MIN('Inl. wetlands'!L166,'Inl. wetlands'!M166)*time_tot+ABS('Inl. wetlands'!M166-'Inl. wetlands'!L166)*IF('Inl. wetlands'!M166&gt;'Inl. wetlands'!L166,time_cap+time*(VLOOKUP('6.Inland wetlands'!O59,list!$I$48:$K$50,3,0)),time*(1-(VLOOKUP('6.Inland wetlands'!O59,list!$I$48:$K$50,3,0))))+MIN('Inl. wetlands'!U166,'Inl. wetlands'!V166)*time_tot+ABS('Inl. wetlands'!V166-'Inl. wetlands'!U166)*IF('Inl. wetlands'!V166&gt;'Inl. wetlands'!U166,time_cap+time*(VLOOKUP('6.Inland wetlands'!O59,list!$I$48:$K$50,3,0)),time*(1-(VLOOKUP('6.Inland wetlands'!O59,list!$I$48:$K$50,3,0))))</f>
        <v/>
      </c>
      <c r="AC166" s="3493">
        <f>MIN('Inl. wetlands'!L166,'Inl. wetlands'!N166)*time_tot+ABS('Inl. wetlands'!N166-'Inl. wetlands'!L166)*IF('Inl. wetlands'!N166&gt;'Inl. wetlands'!L166,time_cap+time*(VLOOKUP('6.Inland wetlands'!Q59,list!$I$48:$K$50,3,0)),time*(1-(VLOOKUP('6.Inland wetlands'!Q59,list!$I$48:$K$50,3,0))))+MIN('Inl. wetlands'!U166,'Inl. wetlands'!W166)*time_tot+ABS('Inl. wetlands'!W166-'Inl. wetlands'!U166)*IF('Inl. wetlands'!W166&gt;'Inl. wetlands'!U166,time_cap+time*(VLOOKUP('6.Inland wetlands'!Q59,list!$I$48:$K$50,3,0)),time*(1-(VLOOKUP('6.Inland wetlands'!Q59,list!$I$48:$K$50,3,0))))</f>
        <v/>
      </c>
      <c r="AD166" s="1151">
        <f>MIN('Inl. wetlands'!O166,'Inl. wetlands'!P166)*time_tot+ABS('Inl. wetlands'!P166-'Inl. wetlands'!O166)*IF('Inl. wetlands'!P166&gt;'Inl. wetlands'!O166,time_cap+time*(VLOOKUP('6.Inland wetlands'!O59,list!$I$48:$K$50,3,0)),time*(1-(VLOOKUP('6.Inland wetlands'!O59,list!$I$48:$K$50,3,0))))+MIN('Inl. wetlands'!X166,'Inl. wetlands'!Y166)*time_tot+ABS('Inl. wetlands'!Y166-'Inl. wetlands'!X166)*IF('Inl. wetlands'!Y166&gt;'Inl. wetlands'!X166,time_cap+time*(VLOOKUP('6.Inland wetlands'!O59,list!$I$48:$K$50,3,0)),time*(1-(VLOOKUP('6.Inland wetlands'!O59,list!$I$48:$K$50,3,0))))</f>
        <v/>
      </c>
      <c r="AE166" s="1151">
        <f>MIN('Inl. wetlands'!O166,'Inl. wetlands'!Q166)*time_tot+ABS('Inl. wetlands'!Q166-'Inl. wetlands'!O166)*IF('Inl. wetlands'!Q166&gt;'Inl. wetlands'!O166,time_cap+time*(VLOOKUP('6.Inland wetlands'!Q59,list!$I$48:$K$50,3,0)),time*(1-(VLOOKUP('6.Inland wetlands'!Q59,list!$I$48:$K$50,3,0))))+MIN('Inl. wetlands'!X166,'Inl. wetlands'!Z166)*time_tot+ABS('Inl. wetlands'!Z166-'Inl. wetlands'!X166)*IF('Inl. wetlands'!Z166&gt;'Inl. wetlands'!X166,time_cap+time*(VLOOKUP('6.Inland wetlands'!Q59,list!$I$48:$K$50,3,0)),time*(1-(VLOOKUP('6.Inland wetlands'!Q59,list!$I$48:$K$50,3,0))))</f>
        <v/>
      </c>
      <c r="AF166" s="1151">
        <f>MIN('Inl. wetlands'!R166,'Inl. wetlands'!S166)*time_tot+ABS('Inl. wetlands'!S166-'Inl. wetlands'!R166)*IF('Inl. wetlands'!S166&gt;'Inl. wetlands'!R166,time_cap+time*(VLOOKUP('6.Inland wetlands'!O59,list!$I$48:$K$50,3,0)),time*(1-(VLOOKUP('6.Inland wetlands'!O59,list!$I$48:$K$50,3,0))))</f>
        <v/>
      </c>
      <c r="AG166" s="1151">
        <f>MIN('Inl. wetlands'!R166,'Inl. wetlands'!T166)*time_tot+ABS('Inl. wetlands'!T166-'Inl. wetlands'!R166)*IF('Inl. wetlands'!T166&gt;'Inl. wetlands'!R166,time_cap+time*(VLOOKUP('6.Inland wetlands'!Q59,list!$I$48:$K$50,3,0)),time*(1-(VLOOKUP('6.Inland wetlands'!Q59,list!$I$48:$K$50,3,0))))</f>
        <v/>
      </c>
      <c r="AX166" s="1449">
        <f>$M166*time*(VLOOKUP($G152,list!$J$48:$K$50,2,0))</f>
        <v/>
      </c>
      <c r="AY166" s="1449">
        <f>$N166*time*(VLOOKUP($K152,list!$J$48:$K$50,2,0))</f>
        <v/>
      </c>
      <c r="AZ166" s="1449">
        <f>$P166*time*(VLOOKUP($G152,list!$J$48:$K$50,2,0))</f>
        <v/>
      </c>
      <c r="BA166" s="1449">
        <f>$Q166*time*(VLOOKUP($K152,list!$J$48:$K$50,2,0))</f>
        <v/>
      </c>
      <c r="BB166" s="1449">
        <f>$S166*time*(VLOOKUP($G152,list!$J$48:$K$50,2,0))</f>
        <v/>
      </c>
      <c r="BC166" s="1449">
        <f>$T166*time*(VLOOKUP($K152,list!$J$48:$K$50,2,0))</f>
        <v/>
      </c>
      <c r="BD166" s="1449">
        <f>$V166*time*(VLOOKUP($G152,list!$J$48:$K$50,2,0))</f>
        <v/>
      </c>
      <c r="BE166" s="1449">
        <f>$W166*time*(VLOOKUP($K152,list!$J$48:$K$50,2,0))</f>
        <v/>
      </c>
      <c r="BF166" s="1449">
        <f>$Y166*time*(VLOOKUP($G152,list!$J$48:$K$50,2,0))</f>
        <v/>
      </c>
      <c r="BG166" s="1449">
        <f>$Z166*time*(VLOOKUP($K152,list!$J$48:$K$50,2,0))</f>
        <v/>
      </c>
    </row>
    <row r="167" ht="16" customHeight="1">
      <c r="A167" s="1467" t="inlineStr">
        <is>
          <t>S3</t>
        </is>
      </c>
      <c r="B167" s="1044">
        <f>IFERROR(IF('Inl. wetlands'!$D$145=list!$J$210,INDEX(IPCC!$A$1762:$J$1773,MATCH(clim_moist,IPCC!$A$1781:$A$1792,0),MATCH('Inl. wetlands'!$E153,IPCC!$A$1781:$J$1781,0)),IF('Inl. wetlands'!$D$145=list!$J$211,INDEX(IPCC!$A$1781:$J$1792,MATCH(clim_moist,IPCC!$A$1781:$A$1792,0),MATCH('Inl. wetlands'!$E153,IPCC!$A$1781:$J$1781,0)))),0)</f>
        <v/>
      </c>
      <c r="C167" s="1162">
        <f>IF('6.Inland wetlands'!CG48="",'6.Inland wetlands'!CF48,'6.Inland wetlands'!CG48)</f>
        <v/>
      </c>
      <c r="D167" s="1044">
        <f>IFERROR(IF('Inl. wetlands'!$D$145=list!$J$210,INDEX(IPCC!$A$1818:$J$1829,MATCH(clim_moist,IPCC!$A$1818:$A$1829,0),MATCH('Inl. wetlands'!$E153,IPCC!$A$1818:$J$1818,0)),IF('Inl. wetlands'!$D$145=list!$J$211,INDEX(IPCC!$A$1836:$J$1847,MATCH(clim_moist,IPCC!$A$1836:$A$1847,0),MATCH('Inl. wetlands'!$E153,IPCC!$A$1836:$J$1836,0)))),0)</f>
        <v/>
      </c>
      <c r="E167" s="1162">
        <f>IF('6.Inland wetlands'!CI48="",'6.Inland wetlands'!CH48,'6.Inland wetlands'!CI48)</f>
        <v/>
      </c>
      <c r="F167" s="1044">
        <f>IFERROR(IF('Inl. wetlands'!$D$145=list!$J$210,INDEX(IPCC!$A$1872:$J$1883,MATCH(clim_moist,IPCC!$A$1872:$A$1883,0),MATCH('Inl. wetlands'!$E153,IPCC!$A$1872:$J$1872,0)),IF('Inl. wetlands'!$D$145=list!$J$211,INDEX(IPCC!$A$1890:$J$1901,MATCH(clim_moist,IPCC!$A$1890:$A$1901,0),MATCH('Inl. wetlands'!$E153,IPCC!$A$1890:$J$1890,0)))),0)</f>
        <v/>
      </c>
      <c r="G167" s="1162">
        <f>IF('6.Inland wetlands'!CK48="",'6.Inland wetlands'!CJ48,'6.Inland wetlands'!CK48)</f>
        <v/>
      </c>
      <c r="H167" s="1044">
        <f>IFERROR(IF('Inl. wetlands'!$D$145=list!$J$210,INDEX(IPCC!$A$1800:$J$1811,MATCH(clim_moist,IPCC!$A$1800:$A$1811,0),MATCH('Inl. wetlands'!$E153,IPCC!$A$1800:$J$1800,0)),IF('Inl. wetlands'!$D$145=list!$J$211,INDEX(IPCC!$A$1800:$J$1811,MATCH(clim_moist,IPCC!$A$1800:$A$1811,0),MATCH('Inl. wetlands'!$E153,IPCC!$A$1800:$J$1800,0)))),0)</f>
        <v/>
      </c>
      <c r="I167" s="1162">
        <f>IF('6.Inland wetlands'!CN48="",'6.Inland wetlands'!CM48,'6.Inland wetlands'!CN48)</f>
        <v/>
      </c>
      <c r="J167" s="1111">
        <f>IFERROR(IF('Inl. wetlands'!$D$145=list!$J$210,INDEX(IPCC!$A$1854:$J$1865,MATCH(clim_moist,IPCC!$A$1854:$A$1865,0),MATCH('Inl. wetlands'!$E153,IPCC!$A$1854:$J$1854,0)),IF('Inl. wetlands'!$D$145=list!$J$211,INDEX(IPCC!$A$1854:$J$1865,MATCH(clim_moist,IPCC!$A$1854:$A$1865,0),MATCH('Inl. wetlands'!$E153,IPCC!$A$1854:$J$1854,0)))),0)</f>
        <v/>
      </c>
      <c r="K167" s="1161">
        <f>IF('6.Inland wetlands'!CP48="",'6.Inland wetlands'!CO48,'6.Inland wetlands'!CP48)</f>
        <v/>
      </c>
      <c r="L167" s="3493">
        <f>IF('6.Inland wetlands'!M60=0, 0,'Inl. wetlands'!C167*44/12*'6.Inland wetlands'!M60)</f>
        <v/>
      </c>
      <c r="M167" s="3493">
        <f>IF('6.Inland wetlands'!N48=0, 'Inl. wetlands'!C167*44/12*'6.Inland wetlands'!N60, IF('6.Inland wetlands'!N60&lt;'6.Inland wetlands'!N48,0, 'Inl. wetlands'!C167*44/12*('6.Inland wetlands'!N60-'6.Inland wetlands'!N48)))</f>
        <v/>
      </c>
      <c r="N167" s="1151">
        <f>IF('6.Inland wetlands'!P48=0, 'Inl. wetlands'!C167*44/12*'6.Inland wetlands'!P60, IF('6.Inland wetlands'!P60&lt;'6.Inland wetlands'!P48,0, 'Inl. wetlands'!C167*44/12*('6.Inland wetlands'!P60-'6.Inland wetlands'!P48)))</f>
        <v/>
      </c>
      <c r="O167" s="4360">
        <f>IF('6.Inland wetlands'!M60=0, 0,'Inl. wetlands'!$E167*methane/1000*'6.Inland wetlands'!M60*(1-'6.Inland wetlands'!W60))</f>
        <v/>
      </c>
      <c r="P167" s="4360">
        <f>IF('6.Inland wetlands'!N48=0,'Inl. wetlands'!$E167*methane/1000*'6.Inland wetlands'!N60*(1-'6.Inland wetlands'!X60),IF('6.Inland wetlands'!N60&lt;'6.Inland wetlands'!N48,0, 'Inl. wetlands'!$E167*methane/1000*('6.Inland wetlands'!N60-'6.Inland wetlands'!N48)*(1-'6.Inland wetlands'!X60)))</f>
        <v/>
      </c>
      <c r="Q167" s="4360">
        <f>IF('6.Inland wetlands'!P48=0,'Inl. wetlands'!$E167*methane/1000*'6.Inland wetlands'!P60*(1-'6.Inland wetlands'!Y60),IF('6.Inland wetlands'!P60&lt;'6.Inland wetlands'!P48,0, 'Inl. wetlands'!$E167*methane/1000*('6.Inland wetlands'!P60-'6.Inland wetlands'!P48)*(1-'6.Inland wetlands'!Y60)))</f>
        <v/>
      </c>
      <c r="R167" s="4360">
        <f>IF('6.Inland wetlands'!M60=0, 0, 'Inl. wetlands'!$G167*'6.Inland wetlands'!M60*44/28*Nitrous/1000)</f>
        <v/>
      </c>
      <c r="S167" s="4360">
        <f>IF('6.Inland wetlands'!N48=0, 'Inl. wetlands'!$G167*'6.Inland wetlands'!N60*44/28*Nitrous/1000, IF('6.Inland wetlands'!N60&lt;'6.Inland wetlands'!N48,0, 'Inl. wetlands'!$G167*('6.Inland wetlands'!N60-'6.Inland wetlands'!N48)*44/28*Nitrous/1000))</f>
        <v/>
      </c>
      <c r="T167" s="4360">
        <f>IF('6.Inland wetlands'!P48=0, 'Inl. wetlands'!$G167*'6.Inland wetlands'!P60*44/28*Nitrous/1000, IF('6.Inland wetlands'!P60&lt;'6.Inland wetlands'!P48,0,'Inl. wetlands'!$G167*44/28*Nitrous/1000*('6.Inland wetlands'!P60-'6.Inland wetlands'!P48)))</f>
        <v/>
      </c>
      <c r="U167" s="4360">
        <f>IF('6.Inland wetlands'!M60=0, 0, 'Inl. wetlands'!$I167*'6.Inland wetlands'!M60*44/12)</f>
        <v/>
      </c>
      <c r="V167" s="4360">
        <f>IF('6.Inland wetlands'!N48=0, 'Inl. wetlands'!I167*44/12*'6.Inland wetlands'!N60, IF('6.Inland wetlands'!N60&lt;'6.Inland wetlands'!N48,0, 'Inl. wetlands'!I167*44/12*('6.Inland wetlands'!N60-'6.Inland wetlands'!N48)))</f>
        <v/>
      </c>
      <c r="W167" s="4360">
        <f>IF('6.Inland wetlands'!P48=0, 'Inl. wetlands'!I167*44/12*'6.Inland wetlands'!P60, IF('6.Inland wetlands'!P60&lt;'6.Inland wetlands'!P48,0, 'Inl. wetlands'!I167*44/12*('6.Inland wetlands'!P60-'6.Inland wetlands'!P48)))</f>
        <v/>
      </c>
      <c r="X167" s="4360">
        <f>IF('6.Inland wetlands'!M60=0,0, 'Inl. wetlands'!$K167/1000*methane*'6.Inland wetlands'!M60*'6.Inland wetlands'!$W60)</f>
        <v/>
      </c>
      <c r="Y167" s="4360">
        <f>IF('6.Inland wetlands'!N48=0,'Inl. wetlands'!$K167*methane/1000*'6.Inland wetlands'!N60*('6.Inland wetlands'!X60),IF('6.Inland wetlands'!N60&lt;'6.Inland wetlands'!N48,0, 'Inl. wetlands'!$K167*methane/1000*('6.Inland wetlands'!N60-'6.Inland wetlands'!N48)*('6.Inland wetlands'!X60)))</f>
        <v/>
      </c>
      <c r="Z167" s="4360">
        <f>IF('6.Inland wetlands'!P48=0,'Inl. wetlands'!$K167*methane/1000*'6.Inland wetlands'!P60*('6.Inland wetlands'!Y60),IF('6.Inland wetlands'!P60&lt;'6.Inland wetlands'!P48,0, 'Inl. wetlands'!$K167*methane/1000*('6.Inland wetlands'!P60-'6.Inland wetlands'!P48)*('6.Inland wetlands'!Y60)))</f>
        <v/>
      </c>
      <c r="AB167" s="3493">
        <f>MIN('Inl. wetlands'!L167,'Inl. wetlands'!M167)*time_tot+ABS('Inl. wetlands'!M167-'Inl. wetlands'!L167)*IF('Inl. wetlands'!M167&gt;'Inl. wetlands'!L167,time_cap+time*(VLOOKUP('6.Inland wetlands'!O60,list!$I$48:$K$50,3,0)),time*(1-(VLOOKUP('6.Inland wetlands'!O60,list!$I$48:$K$50,3,0))))+MIN('Inl. wetlands'!U167,'Inl. wetlands'!V167)*time_tot+ABS('Inl. wetlands'!V167-'Inl. wetlands'!U167)*IF('Inl. wetlands'!V167&gt;'Inl. wetlands'!U167,time_cap+time*(VLOOKUP('6.Inland wetlands'!O60,list!$I$48:$K$50,3,0)),time*(1-(VLOOKUP('6.Inland wetlands'!O60,list!$I$48:$K$50,3,0))))</f>
        <v/>
      </c>
      <c r="AC167" s="3493">
        <f>MIN('Inl. wetlands'!L167,'Inl. wetlands'!N167)*time_tot+ABS('Inl. wetlands'!N167-'Inl. wetlands'!L167)*IF('Inl. wetlands'!N167&gt;'Inl. wetlands'!L167,time_cap+time*(VLOOKUP('6.Inland wetlands'!Q60,list!$I$48:$K$50,3,0)),time*(1-(VLOOKUP('6.Inland wetlands'!Q60,list!$I$48:$K$50,3,0))))+MIN('Inl. wetlands'!U167,'Inl. wetlands'!W167)*time_tot+ABS('Inl. wetlands'!W167-'Inl. wetlands'!U167)*IF('Inl. wetlands'!W167&gt;'Inl. wetlands'!U167,time_cap+time*(VLOOKUP('6.Inland wetlands'!Q60,list!$I$48:$K$50,3,0)),time*(1-(VLOOKUP('6.Inland wetlands'!Q60,list!$I$48:$K$50,3,0))))</f>
        <v/>
      </c>
      <c r="AD167" s="1151">
        <f>MIN('Inl. wetlands'!O167,'Inl. wetlands'!P167)*time_tot+ABS('Inl. wetlands'!P167-'Inl. wetlands'!O167)*IF('Inl. wetlands'!P167&gt;'Inl. wetlands'!O167,time_cap+time*(VLOOKUP('6.Inland wetlands'!O60,list!$I$48:$K$50,3,0)),time*(1-(VLOOKUP('6.Inland wetlands'!O60,list!$I$48:$K$50,3,0))))+MIN('Inl. wetlands'!X167,'Inl. wetlands'!Y167)*time_tot+ABS('Inl. wetlands'!Y167-'Inl. wetlands'!X167)*IF('Inl. wetlands'!Y167&gt;'Inl. wetlands'!X167,time_cap+time*(VLOOKUP('6.Inland wetlands'!O60,list!$I$48:$K$50,3,0)),time*(1-(VLOOKUP('6.Inland wetlands'!O60,list!$I$48:$K$50,3,0))))</f>
        <v/>
      </c>
      <c r="AE167" s="1151">
        <f>MIN('Inl. wetlands'!O167,'Inl. wetlands'!Q167)*time_tot+ABS('Inl. wetlands'!Q167-'Inl. wetlands'!O167)*IF('Inl. wetlands'!Q167&gt;'Inl. wetlands'!O167,time_cap+time*(VLOOKUP('6.Inland wetlands'!Q60,list!$I$48:$K$50,3,0)),time*(1-(VLOOKUP('6.Inland wetlands'!Q60,list!$I$48:$K$50,3,0))))+MIN('Inl. wetlands'!X167,'Inl. wetlands'!Z167)*time_tot+ABS('Inl. wetlands'!Z167-'Inl. wetlands'!X167)*IF('Inl. wetlands'!Z167&gt;'Inl. wetlands'!X167,time_cap+time*(VLOOKUP('6.Inland wetlands'!Q60,list!$I$48:$K$50,3,0)),time*(1-(VLOOKUP('6.Inland wetlands'!Q60,list!$I$48:$K$50,3,0))))</f>
        <v/>
      </c>
      <c r="AF167" s="1151">
        <f>MIN('Inl. wetlands'!R167,'Inl. wetlands'!S167)*time_tot+ABS('Inl. wetlands'!S167-'Inl. wetlands'!R167)*IF('Inl. wetlands'!S167&gt;'Inl. wetlands'!R167,time_cap+time*(VLOOKUP('6.Inland wetlands'!O60,list!$I$48:$K$50,3,0)),time*(1-(VLOOKUP('6.Inland wetlands'!O60,list!$I$48:$K$50,3,0))))</f>
        <v/>
      </c>
      <c r="AG167" s="1151">
        <f>MIN('Inl. wetlands'!R167,'Inl. wetlands'!T167)*time_tot+ABS('Inl. wetlands'!T167-'Inl. wetlands'!R167)*IF('Inl. wetlands'!T167&gt;'Inl. wetlands'!R167,time_cap+time*(VLOOKUP('6.Inland wetlands'!Q60,list!$I$48:$K$50,3,0)),time*(1-(VLOOKUP('6.Inland wetlands'!Q60,list!$I$48:$K$50,3,0))))</f>
        <v/>
      </c>
      <c r="AI167" s="1270" t="inlineStr">
        <is>
          <t>Total emissions tCO2eq</t>
        </is>
      </c>
      <c r="AJ167" s="1116" t="n"/>
      <c r="AK167" s="1116" t="n"/>
      <c r="AX167" s="1449">
        <f>$M167*time*(VLOOKUP($G153,list!$J$48:$K$50,2,0))</f>
        <v/>
      </c>
      <c r="AY167" s="1449">
        <f>$N167*time*(VLOOKUP($K153,list!$J$48:$K$50,2,0))</f>
        <v/>
      </c>
      <c r="AZ167" s="1449">
        <f>$P167*time*(VLOOKUP($G153,list!$J$48:$K$50,2,0))</f>
        <v/>
      </c>
      <c r="BA167" s="1449">
        <f>$Q167*time*(VLOOKUP($K153,list!$J$48:$K$50,2,0))</f>
        <v/>
      </c>
      <c r="BB167" s="1449">
        <f>$S167*time*(VLOOKUP($G153,list!$J$48:$K$50,2,0))</f>
        <v/>
      </c>
      <c r="BC167" s="1449">
        <f>$T167*time*(VLOOKUP($K153,list!$J$48:$K$50,2,0))</f>
        <v/>
      </c>
      <c r="BD167" s="1449">
        <f>$V167*time*(VLOOKUP($G153,list!$J$48:$K$50,2,0))</f>
        <v/>
      </c>
      <c r="BE167" s="1449">
        <f>$W167*time*(VLOOKUP($K153,list!$J$48:$K$50,2,0))</f>
        <v/>
      </c>
      <c r="BF167" s="1449">
        <f>$Y167*time*(VLOOKUP($G153,list!$J$48:$K$50,2,0))</f>
        <v/>
      </c>
      <c r="BG167" s="1449">
        <f>$Z167*time*(VLOOKUP($K153,list!$J$48:$K$50,2,0))</f>
        <v/>
      </c>
    </row>
    <row r="168" ht="16" customHeight="1">
      <c r="A168" s="1467" t="inlineStr">
        <is>
          <t>S4</t>
        </is>
      </c>
      <c r="B168" s="1044">
        <f>IFERROR(IF('Inl. wetlands'!$D$145=list!$J$210,INDEX(IPCC!$A$1762:$J$1773,MATCH(clim_moist,IPCC!$A$1781:$A$1792,0),MATCH('Inl. wetlands'!$E154,IPCC!$A$1781:$J$1781,0)),IF('Inl. wetlands'!$D$145=list!$J$211,INDEX(IPCC!$A$1781:$J$1792,MATCH(clim_moist,IPCC!$A$1781:$A$1792,0),MATCH('Inl. wetlands'!$E154,IPCC!$A$1781:$J$1781,0)))),0)</f>
        <v/>
      </c>
      <c r="C168" s="1162">
        <f>IF('6.Inland wetlands'!CG49="",'6.Inland wetlands'!CF49,'6.Inland wetlands'!CG49)</f>
        <v/>
      </c>
      <c r="D168" s="1044">
        <f>IFERROR(IF('Inl. wetlands'!$D$145=list!$J$210,INDEX(IPCC!$A$1818:$J$1829,MATCH(clim_moist,IPCC!$A$1818:$A$1829,0),MATCH('Inl. wetlands'!$E154,IPCC!$A$1818:$J$1818,0)),IF('Inl. wetlands'!$D$145=list!$J$211,INDEX(IPCC!$A$1836:$J$1847,MATCH(clim_moist,IPCC!$A$1836:$A$1847,0),MATCH('Inl. wetlands'!$E154,IPCC!$A$1836:$J$1836,0)))),0)</f>
        <v/>
      </c>
      <c r="E168" s="1162">
        <f>IF('6.Inland wetlands'!CI49="",'6.Inland wetlands'!CH49,'6.Inland wetlands'!CI49)</f>
        <v/>
      </c>
      <c r="F168" s="1044">
        <f>IFERROR(IF('Inl. wetlands'!$D$145=list!$J$210,INDEX(IPCC!$A$1872:$J$1883,MATCH(clim_moist,IPCC!$A$1872:$A$1883,0),MATCH('Inl. wetlands'!$E154,IPCC!$A$1872:$J$1872,0)),IF('Inl. wetlands'!$D$145=list!$J$211,INDEX(IPCC!$A$1890:$J$1901,MATCH(clim_moist,IPCC!$A$1890:$A$1901,0),MATCH('Inl. wetlands'!$E154,IPCC!$A$1890:$J$1890,0)))),0)</f>
        <v/>
      </c>
      <c r="G168" s="1162">
        <f>IF('6.Inland wetlands'!CK49="",'6.Inland wetlands'!CJ49,'6.Inland wetlands'!CK49)</f>
        <v/>
      </c>
      <c r="H168" s="1044">
        <f>IFERROR(IF('Inl. wetlands'!$D$145=list!$J$210,INDEX(IPCC!$A$1800:$J$1811,MATCH(clim_moist,IPCC!$A$1800:$A$1811,0),MATCH('Inl. wetlands'!$E154,IPCC!$A$1800:$J$1800,0)),IF('Inl. wetlands'!$D$145=list!$J$211,INDEX(IPCC!$A$1800:$J$1811,MATCH(clim_moist,IPCC!$A$1800:$A$1811,0),MATCH('Inl. wetlands'!$E154,IPCC!$A$1800:$J$1800,0)))),0)</f>
        <v/>
      </c>
      <c r="I168" s="1162">
        <f>IF('6.Inland wetlands'!CN49="",'6.Inland wetlands'!CM49,'6.Inland wetlands'!CN49)</f>
        <v/>
      </c>
      <c r="J168" s="1111">
        <f>IFERROR(IF('Inl. wetlands'!$D$145=list!$J$210,INDEX(IPCC!$A$1854:$J$1865,MATCH(clim_moist,IPCC!$A$1854:$A$1865,0),MATCH('Inl. wetlands'!$E154,IPCC!$A$1854:$J$1854,0)),IF('Inl. wetlands'!$D$145=list!$J$211,INDEX(IPCC!$A$1854:$J$1865,MATCH(clim_moist,IPCC!$A$1854:$A$1865,0),MATCH('Inl. wetlands'!$E154,IPCC!$A$1854:$J$1854,0)))),0)</f>
        <v/>
      </c>
      <c r="K168" s="1161">
        <f>IF('6.Inland wetlands'!CP49="",'6.Inland wetlands'!CO49,'6.Inland wetlands'!CP49)</f>
        <v/>
      </c>
      <c r="L168" s="3493">
        <f>IF('6.Inland wetlands'!M61=0, 0,'Inl. wetlands'!C168*44/12*'6.Inland wetlands'!M61)</f>
        <v/>
      </c>
      <c r="M168" s="3493">
        <f>IF('6.Inland wetlands'!N49=0, 'Inl. wetlands'!C168*44/12*'6.Inland wetlands'!N61, IF('6.Inland wetlands'!N61&lt;'6.Inland wetlands'!N49,0, 'Inl. wetlands'!C168*44/12*('6.Inland wetlands'!N61-'6.Inland wetlands'!N49)))</f>
        <v/>
      </c>
      <c r="N168" s="1151">
        <f>IF('6.Inland wetlands'!P49=0, 'Inl. wetlands'!C168*44/12*'6.Inland wetlands'!P61, IF('6.Inland wetlands'!P61&lt;'6.Inland wetlands'!P49,0, 'Inl. wetlands'!C168*44/12*('6.Inland wetlands'!P61-'6.Inland wetlands'!P49)))</f>
        <v/>
      </c>
      <c r="O168" s="4360">
        <f>IF('6.Inland wetlands'!M61=0, 0,'Inl. wetlands'!$E168*methane/1000*'6.Inland wetlands'!M61*(1-'6.Inland wetlands'!W61))</f>
        <v/>
      </c>
      <c r="P168" s="4360">
        <f>IF('6.Inland wetlands'!N49=0,'Inl. wetlands'!$E168*methane/1000*'6.Inland wetlands'!N61*(1-'6.Inland wetlands'!X61),IF('6.Inland wetlands'!N61&lt;'6.Inland wetlands'!N49,0, 'Inl. wetlands'!$E168*methane/1000*('6.Inland wetlands'!N61-'6.Inland wetlands'!N49)*(1-'6.Inland wetlands'!X61)))</f>
        <v/>
      </c>
      <c r="Q168" s="4360">
        <f>IF('6.Inland wetlands'!P49=0,'Inl. wetlands'!$E168*methane/1000*'6.Inland wetlands'!P61*(1-'6.Inland wetlands'!Y61),IF('6.Inland wetlands'!P61&lt;'6.Inland wetlands'!P49,0, 'Inl. wetlands'!$E168*methane/1000*('6.Inland wetlands'!P61-'6.Inland wetlands'!P49)*(1-'6.Inland wetlands'!Y61)))</f>
        <v/>
      </c>
      <c r="R168" s="4360">
        <f>IF('6.Inland wetlands'!M61=0, 0, 'Inl. wetlands'!$G168*'6.Inland wetlands'!M61*44/28*Nitrous/1000)</f>
        <v/>
      </c>
      <c r="S168" s="4360">
        <f>IF('6.Inland wetlands'!N49=0, 'Inl. wetlands'!$G168*'6.Inland wetlands'!N61*44/28*Nitrous/1000, IF('6.Inland wetlands'!N61&lt;'6.Inland wetlands'!N49,0, 'Inl. wetlands'!$G168*('6.Inland wetlands'!N61-'6.Inland wetlands'!N49)*44/28*Nitrous/1000))</f>
        <v/>
      </c>
      <c r="T168" s="4360">
        <f>IF('6.Inland wetlands'!P49=0, 'Inl. wetlands'!$G168*'6.Inland wetlands'!P61*44/28*Nitrous/1000, IF('6.Inland wetlands'!P61&lt;'6.Inland wetlands'!P49,0,'Inl. wetlands'!$G168*44/28*Nitrous/1000*('6.Inland wetlands'!P61-'6.Inland wetlands'!P49)))</f>
        <v/>
      </c>
      <c r="U168" s="4360">
        <f>IF('6.Inland wetlands'!M61=0, 0, 'Inl. wetlands'!$I168*'6.Inland wetlands'!M61*44/12)</f>
        <v/>
      </c>
      <c r="V168" s="4360">
        <f>IF('6.Inland wetlands'!N49=0, 'Inl. wetlands'!I168*44/12*'6.Inland wetlands'!N61, IF('6.Inland wetlands'!N61&lt;'6.Inland wetlands'!N49,0, 'Inl. wetlands'!I168*44/12*('6.Inland wetlands'!N61-'6.Inland wetlands'!N49)))</f>
        <v/>
      </c>
      <c r="W168" s="4360">
        <f>IF('6.Inland wetlands'!P49=0, 'Inl. wetlands'!I168*44/12*'6.Inland wetlands'!P61, IF('6.Inland wetlands'!P61&lt;'6.Inland wetlands'!P49,0, 'Inl. wetlands'!I168*44/12*('6.Inland wetlands'!P61-'6.Inland wetlands'!P49)))</f>
        <v/>
      </c>
      <c r="X168" s="4360">
        <f>IF('6.Inland wetlands'!M61=0,0, 'Inl. wetlands'!$K168/1000*methane*'6.Inland wetlands'!M61*'6.Inland wetlands'!$W61)</f>
        <v/>
      </c>
      <c r="Y168" s="4360">
        <f>IF('6.Inland wetlands'!N49=0,'Inl. wetlands'!$K168*methane/1000*'6.Inland wetlands'!N61*('6.Inland wetlands'!X61),IF('6.Inland wetlands'!N61&lt;'6.Inland wetlands'!N49,0, 'Inl. wetlands'!$K168*methane/1000*('6.Inland wetlands'!N61-'6.Inland wetlands'!N49)*('6.Inland wetlands'!X61)))</f>
        <v/>
      </c>
      <c r="Z168" s="4360">
        <f>IF('6.Inland wetlands'!P49=0,'Inl. wetlands'!$K168*methane/1000*'6.Inland wetlands'!P61*('6.Inland wetlands'!Y61),IF('6.Inland wetlands'!P61&lt;'6.Inland wetlands'!P49,0, 'Inl. wetlands'!$K168*methane/1000*('6.Inland wetlands'!P61-'6.Inland wetlands'!P49)*('6.Inland wetlands'!Y61)))</f>
        <v/>
      </c>
      <c r="AB168" s="3493">
        <f>MIN('Inl. wetlands'!L168,'Inl. wetlands'!M168)*time_tot+ABS('Inl. wetlands'!M168-'Inl. wetlands'!L168)*IF('Inl. wetlands'!M168&gt;'Inl. wetlands'!L168,time_cap+time*(VLOOKUP('6.Inland wetlands'!O61,list!$I$48:$K$50,3,0)),time*(1-(VLOOKUP('6.Inland wetlands'!O61,list!$I$48:$K$50,3,0))))+MIN('Inl. wetlands'!U168,'Inl. wetlands'!V168)*time_tot+ABS('Inl. wetlands'!V168-'Inl. wetlands'!U168)*IF('Inl. wetlands'!V168&gt;'Inl. wetlands'!U168,time_cap+time*(VLOOKUP('6.Inland wetlands'!O61,list!$I$48:$K$50,3,0)),time*(1-(VLOOKUP('6.Inland wetlands'!O61,list!$I$48:$K$50,3,0))))</f>
        <v/>
      </c>
      <c r="AC168" s="3493">
        <f>MIN('Inl. wetlands'!L168,'Inl. wetlands'!N168)*time_tot+ABS('Inl. wetlands'!N168-'Inl. wetlands'!L168)*IF('Inl. wetlands'!N168&gt;'Inl. wetlands'!L168,time_cap+time*(VLOOKUP('6.Inland wetlands'!Q61,list!$I$48:$K$50,3,0)),time*(1-(VLOOKUP('6.Inland wetlands'!Q61,list!$I$48:$K$50,3,0))))+MIN('Inl. wetlands'!U168,'Inl. wetlands'!W168)*time_tot+ABS('Inl. wetlands'!W168-'Inl. wetlands'!U168)*IF('Inl. wetlands'!W168&gt;'Inl. wetlands'!U168,time_cap+time*(VLOOKUP('6.Inland wetlands'!Q61,list!$I$48:$K$50,3,0)),time*(1-(VLOOKUP('6.Inland wetlands'!Q61,list!$I$48:$K$50,3,0))))</f>
        <v/>
      </c>
      <c r="AD168" s="1151">
        <f>MIN('Inl. wetlands'!O168,'Inl. wetlands'!P168)*time_tot+ABS('Inl. wetlands'!P168-'Inl. wetlands'!O168)*IF('Inl. wetlands'!P168&gt;'Inl. wetlands'!O168,time_cap+time*(VLOOKUP('6.Inland wetlands'!O61,list!$I$48:$K$50,3,0)),time*(1-(VLOOKUP('6.Inland wetlands'!O61,list!$I$48:$K$50,3,0))))+MIN('Inl. wetlands'!X168,'Inl. wetlands'!Y168)*time_tot+ABS('Inl. wetlands'!Y168-'Inl. wetlands'!X168)*IF('Inl. wetlands'!Y168&gt;'Inl. wetlands'!X168,time_cap+time*(VLOOKUP('6.Inland wetlands'!O61,list!$I$48:$K$50,3,0)),time*(1-(VLOOKUP('6.Inland wetlands'!O61,list!$I$48:$K$50,3,0))))</f>
        <v/>
      </c>
      <c r="AE168" s="1151">
        <f>MIN('Inl. wetlands'!O168,'Inl. wetlands'!Q168)*time_tot+ABS('Inl. wetlands'!Q168-'Inl. wetlands'!O168)*IF('Inl. wetlands'!Q168&gt;'Inl. wetlands'!O168,time_cap+time*(VLOOKUP('6.Inland wetlands'!Q61,list!$I$48:$K$50,3,0)),time*(1-(VLOOKUP('6.Inland wetlands'!Q61,list!$I$48:$K$50,3,0))))+MIN('Inl. wetlands'!X168,'Inl. wetlands'!Z168)*time_tot+ABS('Inl. wetlands'!Z168-'Inl. wetlands'!X168)*IF('Inl. wetlands'!Z168&gt;'Inl. wetlands'!X168,time_cap+time*(VLOOKUP('6.Inland wetlands'!Q61,list!$I$48:$K$50,3,0)),time*(1-(VLOOKUP('6.Inland wetlands'!Q61,list!$I$48:$K$50,3,0))))</f>
        <v/>
      </c>
      <c r="AF168" s="1151">
        <f>MIN('Inl. wetlands'!R168,'Inl. wetlands'!S168)*time_tot+ABS('Inl. wetlands'!S168-'Inl. wetlands'!R168)*IF('Inl. wetlands'!S168&gt;'Inl. wetlands'!R168,time_cap+time*(VLOOKUP('6.Inland wetlands'!O61,list!$I$48:$K$50,3,0)),time*(1-(VLOOKUP('6.Inland wetlands'!O61,list!$I$48:$K$50,3,0))))</f>
        <v/>
      </c>
      <c r="AG168" s="1151">
        <f>MIN('Inl. wetlands'!R168,'Inl. wetlands'!T168)*time_tot+ABS('Inl. wetlands'!T168-'Inl. wetlands'!R168)*IF('Inl. wetlands'!T168&gt;'Inl. wetlands'!R168,time_cap+time*(VLOOKUP('6.Inland wetlands'!Q61,list!$I$48:$K$50,3,0)),time*(1-(VLOOKUP('6.Inland wetlands'!Q61,list!$I$48:$K$50,3,0))))</f>
        <v/>
      </c>
      <c r="AI168" s="1270" t="inlineStr">
        <is>
          <t>ALL PERIOD</t>
        </is>
      </c>
      <c r="AJ168" s="1116" t="n"/>
      <c r="AK168" s="1116" t="n"/>
      <c r="AX168" s="1449">
        <f>$M168*time*(VLOOKUP($G154,list!$J$48:$K$50,2,0))</f>
        <v/>
      </c>
      <c r="AY168" s="1449">
        <f>$N168*time*(VLOOKUP($K154,list!$J$48:$K$50,2,0))</f>
        <v/>
      </c>
      <c r="AZ168" s="1449">
        <f>$P168*time*(VLOOKUP($G154,list!$J$48:$K$50,2,0))</f>
        <v/>
      </c>
      <c r="BA168" s="1449">
        <f>$Q168*time*(VLOOKUP($K154,list!$J$48:$K$50,2,0))</f>
        <v/>
      </c>
      <c r="BB168" s="1449">
        <f>$S168*time*(VLOOKUP($G154,list!$J$48:$K$50,2,0))</f>
        <v/>
      </c>
      <c r="BC168" s="1449">
        <f>$T168*time*(VLOOKUP($K154,list!$J$48:$K$50,2,0))</f>
        <v/>
      </c>
      <c r="BD168" s="1449">
        <f>$V168*time*(VLOOKUP($G154,list!$J$48:$K$50,2,0))</f>
        <v/>
      </c>
      <c r="BE168" s="1449">
        <f>$W168*time*(VLOOKUP($K154,list!$J$48:$K$50,2,0))</f>
        <v/>
      </c>
      <c r="BF168" s="1449">
        <f>$Y168*time*(VLOOKUP($G154,list!$J$48:$K$50,2,0))</f>
        <v/>
      </c>
      <c r="BG168" s="1449">
        <f>$Z168*time*(VLOOKUP($K154,list!$J$48:$K$50,2,0))</f>
        <v/>
      </c>
    </row>
    <row r="169" ht="16" customHeight="1">
      <c r="A169" s="1467" t="inlineStr">
        <is>
          <t>S5</t>
        </is>
      </c>
      <c r="B169" s="1044">
        <f>IFERROR(IF('Inl. wetlands'!$D$145=list!$J$210,INDEX(IPCC!$A$1762:$J$1773,MATCH(clim_moist,IPCC!$A$1781:$A$1792,0),MATCH('Inl. wetlands'!$E155,IPCC!$A$1781:$J$1781,0)),IF('Inl. wetlands'!$D$145=list!$J$211,INDEX(IPCC!$A$1781:$J$1792,MATCH(clim_moist,IPCC!$A$1781:$A$1792,0),MATCH('Inl. wetlands'!$E155,IPCC!$A$1781:$J$1781,0)))),0)</f>
        <v/>
      </c>
      <c r="C169" s="1162">
        <f>IF('6.Inland wetlands'!CG50="",'6.Inland wetlands'!CF50,'6.Inland wetlands'!CG50)</f>
        <v/>
      </c>
      <c r="D169" s="1044">
        <f>IFERROR(IF('Inl. wetlands'!$D$145=list!$J$210,INDEX(IPCC!$A$1818:$J$1829,MATCH(clim_moist,IPCC!$A$1818:$A$1829,0),MATCH('Inl. wetlands'!$E155,IPCC!$A$1818:$J$1818,0)),IF('Inl. wetlands'!$D$145=list!$J$211,INDEX(IPCC!$A$1836:$J$1847,MATCH(clim_moist,IPCC!$A$1836:$A$1847,0),MATCH('Inl. wetlands'!$E155,IPCC!$A$1836:$J$1836,0)))),0)</f>
        <v/>
      </c>
      <c r="E169" s="1162">
        <f>IF('6.Inland wetlands'!CI50="",'6.Inland wetlands'!CH50,'6.Inland wetlands'!CI50)</f>
        <v/>
      </c>
      <c r="F169" s="1044">
        <f>IFERROR(IF('Inl. wetlands'!$D$145=list!$J$210,INDEX(IPCC!$A$1872:$J$1883,MATCH(clim_moist,IPCC!$A$1872:$A$1883,0),MATCH('Inl. wetlands'!$E155,IPCC!$A$1872:$J$1872,0)),IF('Inl. wetlands'!$D$145=list!$J$211,INDEX(IPCC!$A$1890:$J$1901,MATCH(clim_moist,IPCC!$A$1890:$A$1901,0),MATCH('Inl. wetlands'!$E155,IPCC!$A$1890:$J$1890,0)))),0)</f>
        <v/>
      </c>
      <c r="G169" s="1162">
        <f>IF('6.Inland wetlands'!CK50="",'6.Inland wetlands'!CJ50,'6.Inland wetlands'!CK50)</f>
        <v/>
      </c>
      <c r="H169" s="1044">
        <f>IFERROR(IF('Inl. wetlands'!$D$145=list!$J$210,INDEX(IPCC!$A$1800:$J$1811,MATCH(clim_moist,IPCC!$A$1800:$A$1811,0),MATCH('Inl. wetlands'!$E155,IPCC!$A$1800:$J$1800,0)),IF('Inl. wetlands'!$D$145=list!$J$211,INDEX(IPCC!$A$1800:$J$1811,MATCH(clim_moist,IPCC!$A$1800:$A$1811,0),MATCH('Inl. wetlands'!$E155,IPCC!$A$1800:$J$1800,0)))),0)</f>
        <v/>
      </c>
      <c r="I169" s="1162">
        <f>IF('6.Inland wetlands'!CN50="",'6.Inland wetlands'!CM50,'6.Inland wetlands'!CN50)</f>
        <v/>
      </c>
      <c r="J169" s="1111">
        <f>IFERROR(IF('Inl. wetlands'!$D$145=list!$J$210,INDEX(IPCC!$A$1854:$J$1865,MATCH(clim_moist,IPCC!$A$1854:$A$1865,0),MATCH('Inl. wetlands'!$E155,IPCC!$A$1854:$J$1854,0)),IF('Inl. wetlands'!$D$145=list!$J$211,INDEX(IPCC!$A$1854:$J$1865,MATCH(clim_moist,IPCC!$A$1854:$A$1865,0),MATCH('Inl. wetlands'!$E155,IPCC!$A$1854:$J$1854,0)))),0)</f>
        <v/>
      </c>
      <c r="K169" s="1161">
        <f>IF('6.Inland wetlands'!CP50="",'6.Inland wetlands'!CO50,'6.Inland wetlands'!CP50)</f>
        <v/>
      </c>
      <c r="L169" s="3493">
        <f>IF('6.Inland wetlands'!M62=0, 0,'Inl. wetlands'!C169*44/12*'6.Inland wetlands'!M62)</f>
        <v/>
      </c>
      <c r="M169" s="3493">
        <f>IF('6.Inland wetlands'!N50=0, 'Inl. wetlands'!C169*44/12*'6.Inland wetlands'!N62, IF('6.Inland wetlands'!N62&lt;'6.Inland wetlands'!N50,0, 'Inl. wetlands'!C169*44/12*('6.Inland wetlands'!N62-'6.Inland wetlands'!N50)))</f>
        <v/>
      </c>
      <c r="N169" s="1151">
        <f>IF('6.Inland wetlands'!P50=0, 'Inl. wetlands'!C169*44/12*'6.Inland wetlands'!P62, IF('6.Inland wetlands'!P62&lt;'6.Inland wetlands'!P50,0, 'Inl. wetlands'!C169*44/12*('6.Inland wetlands'!P62-'6.Inland wetlands'!P50)))</f>
        <v/>
      </c>
      <c r="O169" s="4360">
        <f>IF('6.Inland wetlands'!M62=0, 0,'Inl. wetlands'!$E169*methane/1000*'6.Inland wetlands'!M62*(1-'6.Inland wetlands'!W62))</f>
        <v/>
      </c>
      <c r="P169" s="4360">
        <f>IF('6.Inland wetlands'!N50=0,'Inl. wetlands'!$E169*methane/1000*'6.Inland wetlands'!N62*(1-'6.Inland wetlands'!X62),IF('6.Inland wetlands'!N62&lt;'6.Inland wetlands'!N50,0, 'Inl. wetlands'!$E169*methane/1000*('6.Inland wetlands'!N62-'6.Inland wetlands'!N50)*(1-'6.Inland wetlands'!X62)))</f>
        <v/>
      </c>
      <c r="Q169" s="4360">
        <f>IF('6.Inland wetlands'!P50=0,'Inl. wetlands'!$E169*methane/1000*'6.Inland wetlands'!P62*(1-'6.Inland wetlands'!Y62),IF('6.Inland wetlands'!P62&lt;'6.Inland wetlands'!P50,0, 'Inl. wetlands'!$E169*methane/1000*('6.Inland wetlands'!P62-'6.Inland wetlands'!P50)*(1-'6.Inland wetlands'!Y62)))</f>
        <v/>
      </c>
      <c r="R169" s="4360">
        <f>IF('6.Inland wetlands'!M62=0, 0, 'Inl. wetlands'!$G169*'6.Inland wetlands'!M62*44/28*Nitrous/1000)</f>
        <v/>
      </c>
      <c r="S169" s="4360">
        <f>IF('6.Inland wetlands'!N50=0, 'Inl. wetlands'!$G169*'6.Inland wetlands'!N62*44/28*Nitrous/1000, IF('6.Inland wetlands'!N62&lt;'6.Inland wetlands'!N50,0, 'Inl. wetlands'!$G169*('6.Inland wetlands'!N62-'6.Inland wetlands'!N50)*44/28*Nitrous/1000))</f>
        <v/>
      </c>
      <c r="T169" s="4360">
        <f>IF('6.Inland wetlands'!P50=0, 'Inl. wetlands'!$G169*'6.Inland wetlands'!P62*44/28*Nitrous/1000, IF('6.Inland wetlands'!P62&lt;'6.Inland wetlands'!P50,0,'Inl. wetlands'!$G169*44/28*Nitrous/1000*('6.Inland wetlands'!P62-'6.Inland wetlands'!P50)))</f>
        <v/>
      </c>
      <c r="U169" s="4360">
        <f>IF('6.Inland wetlands'!M62=0, 0, 'Inl. wetlands'!$I169*'6.Inland wetlands'!M62*44/12)</f>
        <v/>
      </c>
      <c r="V169" s="4360">
        <f>IF('6.Inland wetlands'!N50=0, 'Inl. wetlands'!I169*44/12*'6.Inland wetlands'!N62, IF('6.Inland wetlands'!N62&lt;'6.Inland wetlands'!N50,0, 'Inl. wetlands'!I169*44/12*('6.Inland wetlands'!N62-'6.Inland wetlands'!N50)))</f>
        <v/>
      </c>
      <c r="W169" s="4360">
        <f>IF('6.Inland wetlands'!P50=0, 'Inl. wetlands'!I169*44/12*'6.Inland wetlands'!P62, IF('6.Inland wetlands'!P62&lt;'6.Inland wetlands'!P50,0, 'Inl. wetlands'!I169*44/12*('6.Inland wetlands'!P62-'6.Inland wetlands'!P50)))</f>
        <v/>
      </c>
      <c r="X169" s="4360">
        <f>IF('6.Inland wetlands'!M62=0,0, 'Inl. wetlands'!$K169/1000*methane*'6.Inland wetlands'!M62*'6.Inland wetlands'!$W62)</f>
        <v/>
      </c>
      <c r="Y169" s="4360">
        <f>IF('6.Inland wetlands'!N50=0,'Inl. wetlands'!$K169*methane/1000*'6.Inland wetlands'!N62*('6.Inland wetlands'!X62),IF('6.Inland wetlands'!N62&lt;'6.Inland wetlands'!N50,0, 'Inl. wetlands'!$K169*methane/1000*('6.Inland wetlands'!N62-'6.Inland wetlands'!N50)*('6.Inland wetlands'!X62)))</f>
        <v/>
      </c>
      <c r="Z169" s="4360">
        <f>IF('6.Inland wetlands'!P50=0,'Inl. wetlands'!$K169*methane/1000*'6.Inland wetlands'!P62*('6.Inland wetlands'!Y62),IF('6.Inland wetlands'!P62&lt;'6.Inland wetlands'!P50,0, 'Inl. wetlands'!$K169*methane/1000*('6.Inland wetlands'!P62-'6.Inland wetlands'!P50)*('6.Inland wetlands'!Y62)))</f>
        <v/>
      </c>
      <c r="AB169" s="3493">
        <f>MIN('Inl. wetlands'!L169,'Inl. wetlands'!M169)*time_tot+ABS('Inl. wetlands'!M169-'Inl. wetlands'!L169)*IF('Inl. wetlands'!M169&gt;'Inl. wetlands'!L169,time_cap+time*(VLOOKUP('6.Inland wetlands'!O62,list!$I$48:$K$50,3,0)),time*(1-(VLOOKUP('6.Inland wetlands'!O62,list!$I$48:$K$50,3,0))))+MIN('Inl. wetlands'!U169,'Inl. wetlands'!V169)*time_tot+ABS('Inl. wetlands'!V169-'Inl. wetlands'!U169)*IF('Inl. wetlands'!V169&gt;'Inl. wetlands'!U169,time_cap+time*(VLOOKUP('6.Inland wetlands'!O62,list!$I$48:$K$50,3,0)),time*(1-(VLOOKUP('6.Inland wetlands'!O62,list!$I$48:$K$50,3,0))))</f>
        <v/>
      </c>
      <c r="AC169" s="3493">
        <f>MIN('Inl. wetlands'!L169,'Inl. wetlands'!N169)*time_tot+ABS('Inl. wetlands'!N169-'Inl. wetlands'!L169)*IF('Inl. wetlands'!N169&gt;'Inl. wetlands'!L169,time_cap+time*(VLOOKUP('6.Inland wetlands'!Q62,list!$I$48:$K$50,3,0)),time*(1-(VLOOKUP('6.Inland wetlands'!Q62,list!$I$48:$K$50,3,0))))+MIN('Inl. wetlands'!U169,'Inl. wetlands'!W169)*time_tot+ABS('Inl. wetlands'!W169-'Inl. wetlands'!U169)*IF('Inl. wetlands'!W169&gt;'Inl. wetlands'!U169,time_cap+time*(VLOOKUP('6.Inland wetlands'!Q62,list!$I$48:$K$50,3,0)),time*(1-(VLOOKUP('6.Inland wetlands'!Q62,list!$I$48:$K$50,3,0))))</f>
        <v/>
      </c>
      <c r="AD169" s="1151">
        <f>MIN('Inl. wetlands'!O169,'Inl. wetlands'!P169)*time_tot+ABS('Inl. wetlands'!P169-'Inl. wetlands'!O169)*IF('Inl. wetlands'!P169&gt;'Inl. wetlands'!O169,time_cap+time*(VLOOKUP('6.Inland wetlands'!O62,list!$I$48:$K$50,3,0)),time*(1-(VLOOKUP('6.Inland wetlands'!O62,list!$I$48:$K$50,3,0))))+MIN('Inl. wetlands'!X169,'Inl. wetlands'!Y169)*time_tot+ABS('Inl. wetlands'!Y169-'Inl. wetlands'!X169)*IF('Inl. wetlands'!Y169&gt;'Inl. wetlands'!X169,time_cap+time*(VLOOKUP('6.Inland wetlands'!O62,list!$I$48:$K$50,3,0)),time*(1-(VLOOKUP('6.Inland wetlands'!O62,list!$I$48:$K$50,3,0))))</f>
        <v/>
      </c>
      <c r="AE169" s="1151">
        <f>MIN('Inl. wetlands'!O169,'Inl. wetlands'!Q169)*time_tot+ABS('Inl. wetlands'!Q169-'Inl. wetlands'!O169)*IF('Inl. wetlands'!Q169&gt;'Inl. wetlands'!O169,time_cap+time*(VLOOKUP('6.Inland wetlands'!Q62,list!$I$48:$K$50,3,0)),time*(1-(VLOOKUP('6.Inland wetlands'!Q62,list!$I$48:$K$50,3,0))))+MIN('Inl. wetlands'!X169,'Inl. wetlands'!Z169)*time_tot+ABS('Inl. wetlands'!Z169-'Inl. wetlands'!X169)*IF('Inl. wetlands'!Z169&gt;'Inl. wetlands'!X169,time_cap+time*(VLOOKUP('6.Inland wetlands'!Q62,list!$I$48:$K$50,3,0)),time*(1-(VLOOKUP('6.Inland wetlands'!Q62,list!$I$48:$K$50,3,0))))</f>
        <v/>
      </c>
      <c r="AF169" s="1151">
        <f>MIN('Inl. wetlands'!R169,'Inl. wetlands'!S169)*time_tot+ABS('Inl. wetlands'!S169-'Inl. wetlands'!R169)*IF('Inl. wetlands'!S169&gt;'Inl. wetlands'!R169,time_cap+time*(VLOOKUP('6.Inland wetlands'!O62,list!$I$48:$K$50,3,0)),time*(1-(VLOOKUP('6.Inland wetlands'!O62,list!$I$48:$K$50,3,0))))</f>
        <v/>
      </c>
      <c r="AG169" s="1151">
        <f>MIN('Inl. wetlands'!R169,'Inl. wetlands'!T169)*time_tot+ABS('Inl. wetlands'!T169-'Inl. wetlands'!R169)*IF('Inl. wetlands'!T169&gt;'Inl. wetlands'!R169,time_cap+time*(VLOOKUP('6.Inland wetlands'!Q62,list!$I$48:$K$50,3,0)),time*(1-(VLOOKUP('6.Inland wetlands'!Q62,list!$I$48:$K$50,3,0))))</f>
        <v/>
      </c>
      <c r="AI169" s="1270" t="inlineStr">
        <is>
          <t>DRAINAGE</t>
        </is>
      </c>
      <c r="AJ169" s="1116" t="n"/>
      <c r="AK169" s="1116" t="n"/>
      <c r="AX169" s="1449">
        <f>$M169*time*(VLOOKUP($G155,list!$J$48:$K$50,2,0))</f>
        <v/>
      </c>
      <c r="AY169" s="1449">
        <f>$N169*time*(VLOOKUP($K155,list!$J$48:$K$50,2,0))</f>
        <v/>
      </c>
      <c r="AZ169" s="1449">
        <f>$P169*time*(VLOOKUP($G155,list!$J$48:$K$50,2,0))</f>
        <v/>
      </c>
      <c r="BA169" s="1449">
        <f>$Q169*time*(VLOOKUP($K155,list!$J$48:$K$50,2,0))</f>
        <v/>
      </c>
      <c r="BB169" s="1449">
        <f>$S169*time*(VLOOKUP($G155,list!$J$48:$K$50,2,0))</f>
        <v/>
      </c>
      <c r="BC169" s="1449">
        <f>$T169*time*(VLOOKUP($K155,list!$J$48:$K$50,2,0))</f>
        <v/>
      </c>
      <c r="BD169" s="1449">
        <f>$V169*time*(VLOOKUP($G155,list!$J$48:$K$50,2,0))</f>
        <v/>
      </c>
      <c r="BE169" s="1449">
        <f>$W169*time*(VLOOKUP($K155,list!$J$48:$K$50,2,0))</f>
        <v/>
      </c>
      <c r="BF169" s="1449">
        <f>$Y169*time*(VLOOKUP($G155,list!$J$48:$K$50,2,0))</f>
        <v/>
      </c>
      <c r="BG169" s="1449">
        <f>$Z169*time*(VLOOKUP($K155,list!$J$48:$K$50,2,0))</f>
        <v/>
      </c>
    </row>
    <row r="170">
      <c r="A170" s="1467" t="inlineStr">
        <is>
          <t>S6</t>
        </is>
      </c>
      <c r="B170" s="1044">
        <f>IFERROR(IF('Inl. wetlands'!$D$145=list!$J$210,INDEX(IPCC!$A$1762:$J$1773,MATCH(clim_moist,IPCC!$A$1781:$A$1792,0),MATCH('Inl. wetlands'!$E156,IPCC!$A$1781:$J$1781,0)),IF('Inl. wetlands'!$D$145=list!$J$211,INDEX(IPCC!$A$1781:$J$1792,MATCH(clim_moist,IPCC!$A$1781:$A$1792,0),MATCH('Inl. wetlands'!$E156,IPCC!$A$1781:$J$1781,0)))),0)</f>
        <v/>
      </c>
      <c r="C170" s="1162">
        <f>IF('6.Inland wetlands'!CG51="",'6.Inland wetlands'!CF51,'6.Inland wetlands'!CG51)</f>
        <v/>
      </c>
      <c r="D170" s="1044">
        <f>IFERROR(IF('Inl. wetlands'!$D$145=list!$J$210,INDEX(IPCC!$A$1818:$J$1829,MATCH(clim_moist,IPCC!$A$1818:$A$1829,0),MATCH('Inl. wetlands'!$E156,IPCC!$A$1818:$J$1818,0)),IF('Inl. wetlands'!$D$145=list!$J$211,INDEX(IPCC!$A$1836:$J$1847,MATCH(clim_moist,IPCC!$A$1836:$A$1847,0),MATCH('Inl. wetlands'!$E156,IPCC!$A$1836:$J$1836,0)))),0)</f>
        <v/>
      </c>
      <c r="E170" s="1162">
        <f>IF('6.Inland wetlands'!CI51="",'6.Inland wetlands'!CH51,'6.Inland wetlands'!CI51)</f>
        <v/>
      </c>
      <c r="F170" s="1044">
        <f>IFERROR(IF('Inl. wetlands'!$D$145=list!$J$210,INDEX(IPCC!$A$1872:$J$1883,MATCH(clim_moist,IPCC!$A$1872:$A$1883,0),MATCH('Inl. wetlands'!$E156,IPCC!$A$1872:$J$1872,0)),IF('Inl. wetlands'!$D$145=list!$J$211,INDEX(IPCC!$A$1890:$J$1901,MATCH(clim_moist,IPCC!$A$1890:$A$1901,0),MATCH('Inl. wetlands'!$E156,IPCC!$A$1890:$J$1890,0)))),0)</f>
        <v/>
      </c>
      <c r="G170" s="1162">
        <f>IF('6.Inland wetlands'!CK51="",'6.Inland wetlands'!CJ51,'6.Inland wetlands'!CK51)</f>
        <v/>
      </c>
      <c r="H170" s="1044">
        <f>IFERROR(IF('Inl. wetlands'!$D$145=list!$J$210,INDEX(IPCC!$A$1800:$J$1811,MATCH(clim_moist,IPCC!$A$1800:$A$1811,0),MATCH('Inl. wetlands'!$E156,IPCC!$A$1800:$J$1800,0)),IF('Inl. wetlands'!$D$145=list!$J$211,INDEX(IPCC!$A$1800:$J$1811,MATCH(clim_moist,IPCC!$A$1800:$A$1811,0),MATCH('Inl. wetlands'!$E156,IPCC!$A$1800:$J$1800,0)))),0)</f>
        <v/>
      </c>
      <c r="I170" s="1162">
        <f>IF('6.Inland wetlands'!CN51="",'6.Inland wetlands'!CM51,'6.Inland wetlands'!CN51)</f>
        <v/>
      </c>
      <c r="J170" s="1111">
        <f>IFERROR(IF('Inl. wetlands'!$D$145=list!$J$210,INDEX(IPCC!$A$1854:$J$1865,MATCH(clim_moist,IPCC!$A$1854:$A$1865,0),MATCH('Inl. wetlands'!$E156,IPCC!$A$1854:$J$1854,0)),IF('Inl. wetlands'!$D$145=list!$J$211,INDEX(IPCC!$A$1854:$J$1865,MATCH(clim_moist,IPCC!$A$1854:$A$1865,0),MATCH('Inl. wetlands'!$E156,IPCC!$A$1854:$J$1854,0)))),0)</f>
        <v/>
      </c>
      <c r="K170" s="1161">
        <f>IF('6.Inland wetlands'!CP51="",'6.Inland wetlands'!CO51,'6.Inland wetlands'!CP51)</f>
        <v/>
      </c>
      <c r="L170" s="3493">
        <f>IF('6.Inland wetlands'!M63=0, 0,'Inl. wetlands'!C170*44/12*'6.Inland wetlands'!M63)</f>
        <v/>
      </c>
      <c r="M170" s="3493">
        <f>IF('6.Inland wetlands'!N51=0, 'Inl. wetlands'!C170*44/12*'6.Inland wetlands'!N63, IF('6.Inland wetlands'!N63&lt;'6.Inland wetlands'!N51,0, 'Inl. wetlands'!C170*44/12*('6.Inland wetlands'!N63-'6.Inland wetlands'!N51)))</f>
        <v/>
      </c>
      <c r="N170" s="1151">
        <f>IF('6.Inland wetlands'!P51=0, 'Inl. wetlands'!C170*44/12*'6.Inland wetlands'!P63, IF('6.Inland wetlands'!P63&lt;'6.Inland wetlands'!P51,0, 'Inl. wetlands'!C170*44/12*('6.Inland wetlands'!P63-'6.Inland wetlands'!P51)))</f>
        <v/>
      </c>
      <c r="O170" s="4360">
        <f>IF('6.Inland wetlands'!M63=0, 0,'Inl. wetlands'!$E170*methane/1000*'6.Inland wetlands'!M63*(1-'6.Inland wetlands'!W63))</f>
        <v/>
      </c>
      <c r="P170" s="4360">
        <f>IF('6.Inland wetlands'!N51=0,'Inl. wetlands'!$E170*methane/1000*'6.Inland wetlands'!N63*(1-'6.Inland wetlands'!X63),IF('6.Inland wetlands'!N63&lt;'6.Inland wetlands'!N51,0, 'Inl. wetlands'!$E170*methane/1000*('6.Inland wetlands'!N63-'6.Inland wetlands'!N51)*(1-'6.Inland wetlands'!X63)))</f>
        <v/>
      </c>
      <c r="Q170" s="4360">
        <f>IF('6.Inland wetlands'!P51=0,'Inl. wetlands'!$E170*methane/1000*'6.Inland wetlands'!P63*(1-'6.Inland wetlands'!Y63),IF('6.Inland wetlands'!P63&lt;'6.Inland wetlands'!P51,0, 'Inl. wetlands'!$E170*methane/1000*('6.Inland wetlands'!P63-'6.Inland wetlands'!P51)*(1-'6.Inland wetlands'!Y63)))</f>
        <v/>
      </c>
      <c r="R170" s="4360">
        <f>IF('6.Inland wetlands'!M63=0, 0, 'Inl. wetlands'!$G170*'6.Inland wetlands'!M63*44/28*Nitrous/1000)</f>
        <v/>
      </c>
      <c r="S170" s="4360">
        <f>IF('6.Inland wetlands'!N51=0, 'Inl. wetlands'!$G170*'6.Inland wetlands'!N63*44/28*Nitrous/1000, IF('6.Inland wetlands'!N63&lt;'6.Inland wetlands'!N51,0, 'Inl. wetlands'!$G170*('6.Inland wetlands'!N63-'6.Inland wetlands'!N51)*44/28*Nitrous/1000))</f>
        <v/>
      </c>
      <c r="T170" s="4360">
        <f>IF('6.Inland wetlands'!P51=0, 'Inl. wetlands'!$G170*'6.Inland wetlands'!P63*44/28*Nitrous/1000, IF('6.Inland wetlands'!P63&lt;'6.Inland wetlands'!P51,0,'Inl. wetlands'!$G170*44/28*Nitrous/1000*('6.Inland wetlands'!P63-'6.Inland wetlands'!P51)))</f>
        <v/>
      </c>
      <c r="U170" s="4360">
        <f>IF('6.Inland wetlands'!M63=0, 0, 'Inl. wetlands'!$I170*'6.Inland wetlands'!M63*44/12)</f>
        <v/>
      </c>
      <c r="V170" s="4360">
        <f>IF('6.Inland wetlands'!N51=0, 'Inl. wetlands'!I170*44/12*'6.Inland wetlands'!N63, IF('6.Inland wetlands'!N63&lt;'6.Inland wetlands'!N51,0, 'Inl. wetlands'!I170*44/12*('6.Inland wetlands'!N63-'6.Inland wetlands'!N51)))</f>
        <v/>
      </c>
      <c r="W170" s="4360">
        <f>IF('6.Inland wetlands'!P51=0, 'Inl. wetlands'!I170*44/12*'6.Inland wetlands'!P63, IF('6.Inland wetlands'!P63&lt;'6.Inland wetlands'!P51,0, 'Inl. wetlands'!I170*44/12*('6.Inland wetlands'!P63-'6.Inland wetlands'!P51)))</f>
        <v/>
      </c>
      <c r="X170" s="4360">
        <f>IF('6.Inland wetlands'!M63=0,0, 'Inl. wetlands'!$K170/1000*methane*'6.Inland wetlands'!M63*'6.Inland wetlands'!$W63)</f>
        <v/>
      </c>
      <c r="Y170" s="4360">
        <f>IF('6.Inland wetlands'!N51=0,'Inl. wetlands'!$K170*methane/1000*'6.Inland wetlands'!N63*('6.Inland wetlands'!X63),IF('6.Inland wetlands'!N63&lt;'6.Inland wetlands'!N51,0, 'Inl. wetlands'!$K170*methane/1000*('6.Inland wetlands'!N63-'6.Inland wetlands'!N51)*('6.Inland wetlands'!X63)))</f>
        <v/>
      </c>
      <c r="Z170" s="4360">
        <f>IF('6.Inland wetlands'!P51=0,'Inl. wetlands'!$K170*methane/1000*'6.Inland wetlands'!P63*('6.Inland wetlands'!Y63),IF('6.Inland wetlands'!P63&lt;'6.Inland wetlands'!P51,0, 'Inl. wetlands'!$K170*methane/1000*('6.Inland wetlands'!P63-'6.Inland wetlands'!P51)*('6.Inland wetlands'!Y63)))</f>
        <v/>
      </c>
      <c r="AB170" s="3493">
        <f>MIN('Inl. wetlands'!L170,'Inl. wetlands'!M170)*time_tot+ABS('Inl. wetlands'!M170-'Inl. wetlands'!L170)*IF('Inl. wetlands'!M170&gt;'Inl. wetlands'!L170,time_cap+time*(VLOOKUP('6.Inland wetlands'!O63,list!$I$48:$K$50,3,0)),time*(1-(VLOOKUP('6.Inland wetlands'!O63,list!$I$48:$K$50,3,0))))+MIN('Inl. wetlands'!U170,'Inl. wetlands'!V170)*time_tot+ABS('Inl. wetlands'!V170-'Inl. wetlands'!U170)*IF('Inl. wetlands'!V170&gt;'Inl. wetlands'!U170,time_cap+time*(VLOOKUP('6.Inland wetlands'!O63,list!$I$48:$K$50,3,0)),time*(1-(VLOOKUP('6.Inland wetlands'!O63,list!$I$48:$K$50,3,0))))</f>
        <v/>
      </c>
      <c r="AC170" s="3493">
        <f>MIN('Inl. wetlands'!L170,'Inl. wetlands'!N170)*time_tot+ABS('Inl. wetlands'!N170-'Inl. wetlands'!L170)*IF('Inl. wetlands'!N170&gt;'Inl. wetlands'!L170,time_cap+time*(VLOOKUP('6.Inland wetlands'!Q63,list!$I$48:$K$50,3,0)),time*(1-(VLOOKUP('6.Inland wetlands'!Q63,list!$I$48:$K$50,3,0))))+MIN('Inl. wetlands'!U170,'Inl. wetlands'!W170)*time_tot+ABS('Inl. wetlands'!W170-'Inl. wetlands'!U170)*IF('Inl. wetlands'!W170&gt;'Inl. wetlands'!U170,time_cap+time*(VLOOKUP('6.Inland wetlands'!Q63,list!$I$48:$K$50,3,0)),time*(1-(VLOOKUP('6.Inland wetlands'!Q63,list!$I$48:$K$50,3,0))))</f>
        <v/>
      </c>
      <c r="AD170" s="1151">
        <f>MIN('Inl. wetlands'!O170,'Inl. wetlands'!P170)*time_tot+ABS('Inl. wetlands'!P170-'Inl. wetlands'!O170)*IF('Inl. wetlands'!P170&gt;'Inl. wetlands'!O170,time_cap+time*(VLOOKUP('6.Inland wetlands'!O63,list!$I$48:$K$50,3,0)),time*(1-(VLOOKUP('6.Inland wetlands'!O63,list!$I$48:$K$50,3,0))))+MIN('Inl. wetlands'!X170,'Inl. wetlands'!Y170)*time_tot+ABS('Inl. wetlands'!Y170-'Inl. wetlands'!X170)*IF('Inl. wetlands'!Y170&gt;'Inl. wetlands'!X170,time_cap+time*(VLOOKUP('6.Inland wetlands'!O63,list!$I$48:$K$50,3,0)),time*(1-(VLOOKUP('6.Inland wetlands'!O63,list!$I$48:$K$50,3,0))))</f>
        <v/>
      </c>
      <c r="AE170" s="1151">
        <f>MIN('Inl. wetlands'!O170,'Inl. wetlands'!Q170)*time_tot+ABS('Inl. wetlands'!Q170-'Inl. wetlands'!O170)*IF('Inl. wetlands'!Q170&gt;'Inl. wetlands'!O170,time_cap+time*(VLOOKUP('6.Inland wetlands'!Q63,list!$I$48:$K$50,3,0)),time*(1-(VLOOKUP('6.Inland wetlands'!Q63,list!$I$48:$K$50,3,0))))+MIN('Inl. wetlands'!X170,'Inl. wetlands'!Z170)*time_tot+ABS('Inl. wetlands'!Z170-'Inl. wetlands'!X170)*IF('Inl. wetlands'!Z170&gt;'Inl. wetlands'!X170,time_cap+time*(VLOOKUP('6.Inland wetlands'!Q63,list!$I$48:$K$50,3,0)),time*(1-(VLOOKUP('6.Inland wetlands'!Q63,list!$I$48:$K$50,3,0))))</f>
        <v/>
      </c>
      <c r="AF170" s="1151">
        <f>MIN('Inl. wetlands'!R170,'Inl. wetlands'!S170)*time_tot+ABS('Inl. wetlands'!S170-'Inl. wetlands'!R170)*IF('Inl. wetlands'!S170&gt;'Inl. wetlands'!R170,time_cap+time*(VLOOKUP('6.Inland wetlands'!O63,list!$I$48:$K$50,3,0)),time*(1-(VLOOKUP('6.Inland wetlands'!O63,list!$I$48:$K$50,3,0))))</f>
        <v/>
      </c>
      <c r="AG170" s="1151">
        <f>MIN('Inl. wetlands'!R170,'Inl. wetlands'!T170)*time_tot+ABS('Inl. wetlands'!T170-'Inl. wetlands'!R170)*IF('Inl. wetlands'!T170&gt;'Inl. wetlands'!R170,time_cap+time*(VLOOKUP('6.Inland wetlands'!Q63,list!$I$48:$K$50,3,0)),time*(1-(VLOOKUP('6.Inland wetlands'!Q63,list!$I$48:$K$50,3,0))))</f>
        <v/>
      </c>
      <c r="AI170" s="1102" t="inlineStr">
        <is>
          <t>WITHOUT</t>
        </is>
      </c>
      <c r="AJ170" s="1103" t="inlineStr">
        <is>
          <t>WITH</t>
        </is>
      </c>
      <c r="AK170" s="1104" t="inlineStr">
        <is>
          <t>BALANCE</t>
        </is>
      </c>
      <c r="AX170" s="1449">
        <f>$M170*time*(VLOOKUP($G156,list!$J$48:$K$50,2,0))</f>
        <v/>
      </c>
      <c r="AY170" s="1449">
        <f>$N170*time*(VLOOKUP($K156,list!$J$48:$K$50,2,0))</f>
        <v/>
      </c>
      <c r="AZ170" s="1449">
        <f>$P170*time*(VLOOKUP($G156,list!$J$48:$K$50,2,0))</f>
        <v/>
      </c>
      <c r="BA170" s="1449">
        <f>$Q170*time*(VLOOKUP($K156,list!$J$48:$K$50,2,0))</f>
        <v/>
      </c>
      <c r="BB170" s="1449">
        <f>$S170*time*(VLOOKUP($G156,list!$J$48:$K$50,2,0))</f>
        <v/>
      </c>
      <c r="BC170" s="1449">
        <f>$T170*time*(VLOOKUP($K156,list!$J$48:$K$50,2,0))</f>
        <v/>
      </c>
      <c r="BD170" s="1449">
        <f>$V170*time*(VLOOKUP($G156,list!$J$48:$K$50,2,0))</f>
        <v/>
      </c>
      <c r="BE170" s="1449">
        <f>$W170*time*(VLOOKUP($K156,list!$J$48:$K$50,2,0))</f>
        <v/>
      </c>
      <c r="BF170" s="1449">
        <f>$Y170*time*(VLOOKUP($G156,list!$J$48:$K$50,2,0))</f>
        <v/>
      </c>
      <c r="BG170" s="1449">
        <f>$Z170*time*(VLOOKUP($K156,list!$J$48:$K$50,2,0))</f>
        <v/>
      </c>
    </row>
    <row r="171">
      <c r="X171" s="1281" t="n"/>
      <c r="Y171" s="1281" t="n"/>
      <c r="Z171" s="1281" t="n"/>
      <c r="AA171" s="1281" t="n"/>
      <c r="AI171" s="1151">
        <f>SUM('Inl. wetlands'!AB165,'Inl. wetlands'!AD165,'Inl. wetlands'!AF165)+SUM(AB176,AD176,AF176)</f>
        <v/>
      </c>
      <c r="AJ171" s="1151">
        <f>SUM('Inl. wetlands'!AC165,'Inl. wetlands'!AE165,'Inl. wetlands'!AG165)+SUM(AC176,AE176,AG176)</f>
        <v/>
      </c>
      <c r="AK171" s="1160">
        <f>AJ171-AI171</f>
        <v/>
      </c>
    </row>
    <row r="172" ht="16" customHeight="1">
      <c r="A172" s="1264" t="inlineStr">
        <is>
          <t>FINAL</t>
        </is>
      </c>
      <c r="B172" s="1287" t="inlineStr">
        <is>
          <t>Drainage On-site emission factors</t>
        </is>
      </c>
      <c r="C172" s="1287" t="n"/>
      <c r="D172" s="1287" t="n"/>
      <c r="E172" s="1287" t="n"/>
      <c r="F172" s="1287" t="n"/>
      <c r="G172" s="1287" t="n"/>
      <c r="H172" s="1508" t="inlineStr">
        <is>
          <t>Drainage Off-site emissin factors</t>
        </is>
      </c>
      <c r="I172" s="1508" t="n"/>
      <c r="J172" s="1508" t="n"/>
      <c r="K172" s="1508" t="n"/>
      <c r="L172" s="1287" t="inlineStr">
        <is>
          <t>Emissions from drainage in tCO2-e/yr</t>
        </is>
      </c>
      <c r="M172" s="1501" t="n"/>
      <c r="N172" s="1501" t="n"/>
      <c r="O172" s="1501" t="n"/>
      <c r="P172" s="1501" t="n"/>
      <c r="Q172" s="1501" t="n"/>
      <c r="R172" s="1501" t="n"/>
      <c r="S172" s="1501" t="n"/>
      <c r="T172" s="1501" t="n"/>
      <c r="U172" s="1508" t="n"/>
      <c r="V172" s="1508" t="n"/>
      <c r="W172" s="1508" t="n"/>
      <c r="X172" s="1509" t="n"/>
      <c r="Y172" s="1509" t="n"/>
      <c r="Z172" s="1509" t="n"/>
      <c r="AA172" s="1281" t="n"/>
      <c r="AB172" s="1287" t="inlineStr">
        <is>
          <t>DRAINAGE EMISSIONS</t>
        </is>
      </c>
      <c r="AC172" s="1264" t="n"/>
      <c r="AD172" s="1264" t="n"/>
      <c r="AE172" s="1264" t="n"/>
      <c r="AF172" s="1264" t="n"/>
      <c r="AG172" s="1264" t="n"/>
      <c r="AI172" s="1151">
        <f>SUM('Inl. wetlands'!AB166,'Inl. wetlands'!AD166,'Inl. wetlands'!AF166)+SUM(AB177,AD177,AF177)</f>
        <v/>
      </c>
      <c r="AJ172" s="1151">
        <f>SUM('Inl. wetlands'!AC166,'Inl. wetlands'!AE166,'Inl. wetlands'!AG166)+SUM(AC177,AE177,AG177)</f>
        <v/>
      </c>
      <c r="AK172" s="3498">
        <f>AJ172-AI172</f>
        <v/>
      </c>
    </row>
    <row r="173" ht="16" customHeight="1">
      <c r="A173" s="1264" t="n"/>
      <c r="B173" s="1287" t="inlineStr">
        <is>
          <t>CO2</t>
        </is>
      </c>
      <c r="C173" s="1501" t="n"/>
      <c r="D173" s="1287" t="inlineStr">
        <is>
          <t>CH4</t>
        </is>
      </c>
      <c r="E173" s="1501" t="n"/>
      <c r="F173" s="1287" t="inlineStr">
        <is>
          <t>N2O</t>
        </is>
      </c>
      <c r="G173" s="1501" t="n"/>
      <c r="H173" s="1508" t="inlineStr">
        <is>
          <t>DOC</t>
        </is>
      </c>
      <c r="I173" s="1509" t="n"/>
      <c r="J173" s="1508" t="inlineStr">
        <is>
          <t>CH4</t>
        </is>
      </c>
      <c r="K173" s="1509" t="n"/>
      <c r="L173" s="1501" t="inlineStr">
        <is>
          <t>Emissions from drainage</t>
        </is>
      </c>
      <c r="M173" s="1501" t="n"/>
      <c r="N173" s="1501" t="n"/>
      <c r="O173" s="1501" t="n"/>
      <c r="P173" s="1501" t="n"/>
      <c r="Q173" s="1501" t="n"/>
      <c r="R173" s="1501" t="n"/>
      <c r="S173" s="1501" t="n"/>
      <c r="T173" s="1501" t="n"/>
      <c r="U173" s="1508" t="n"/>
      <c r="V173" s="1508" t="n"/>
      <c r="W173" s="1508" t="n"/>
      <c r="X173" s="1509" t="n"/>
      <c r="Y173" s="1509" t="n"/>
      <c r="Z173" s="1510" t="n"/>
      <c r="AA173" s="1281" t="n"/>
      <c r="AB173" s="1287" t="inlineStr">
        <is>
          <t>Emissions in tCO2eq All period</t>
        </is>
      </c>
      <c r="AC173" s="1264" t="n"/>
      <c r="AD173" s="1264" t="n"/>
      <c r="AE173" s="1264" t="n"/>
      <c r="AF173" s="1264" t="n"/>
      <c r="AG173" s="1264" t="n"/>
      <c r="AI173" s="1151">
        <f>SUM('Inl. wetlands'!AB167,'Inl. wetlands'!AD167,'Inl. wetlands'!AF167)+SUM(AB178,AD178,AF178)</f>
        <v/>
      </c>
      <c r="AJ173" s="1151">
        <f>SUM('Inl. wetlands'!AC167,'Inl. wetlands'!AE167,'Inl. wetlands'!AG167)+SUM(AC178,AE178,AG178)</f>
        <v/>
      </c>
      <c r="AK173" s="1159">
        <f>AJ173-AI173</f>
        <v/>
      </c>
    </row>
    <row r="174" ht="16" customHeight="1">
      <c r="A174" s="1264" t="n"/>
      <c r="B174" s="1501" t="inlineStr">
        <is>
          <t>tC/ha/yr</t>
        </is>
      </c>
      <c r="C174" s="1501" t="n"/>
      <c r="D174" s="1501" t="inlineStr">
        <is>
          <t>kgCH4/ha/yr</t>
        </is>
      </c>
      <c r="E174" s="1501" t="n"/>
      <c r="F174" s="1501" t="inlineStr">
        <is>
          <t>kgN2O-N/ha/yr</t>
        </is>
      </c>
      <c r="G174" s="1501" t="n"/>
      <c r="H174" s="1509" t="inlineStr">
        <is>
          <t>tC/ha/yr</t>
        </is>
      </c>
      <c r="I174" s="1509" t="n"/>
      <c r="J174" s="1509" t="inlineStr">
        <is>
          <t>kgCH4/ha/yr</t>
        </is>
      </c>
      <c r="K174" s="1509" t="n"/>
      <c r="L174" s="1287" t="inlineStr">
        <is>
          <t>CO2</t>
        </is>
      </c>
      <c r="M174" s="1501" t="n"/>
      <c r="N174" s="1287" t="n"/>
      <c r="O174" s="1287" t="inlineStr">
        <is>
          <t>CH4</t>
        </is>
      </c>
      <c r="P174" s="1501" t="n"/>
      <c r="Q174" s="1287" t="n"/>
      <c r="R174" s="1287" t="inlineStr">
        <is>
          <t>N2O</t>
        </is>
      </c>
      <c r="S174" s="1501" t="n"/>
      <c r="T174" s="1287" t="n"/>
      <c r="U174" s="1508" t="inlineStr">
        <is>
          <t>DOC</t>
        </is>
      </c>
      <c r="V174" s="1508" t="n"/>
      <c r="W174" s="1508" t="n"/>
      <c r="X174" s="1508" t="inlineStr">
        <is>
          <t>CH4</t>
        </is>
      </c>
      <c r="Y174" s="1509" t="n"/>
      <c r="Z174" s="1508" t="n"/>
      <c r="AA174" s="1281" t="n"/>
      <c r="AB174" s="1501" t="inlineStr">
        <is>
          <t>CO2&amp;DOC</t>
        </is>
      </c>
      <c r="AC174" s="1264" t="n"/>
      <c r="AD174" s="1501" t="inlineStr">
        <is>
          <t>CH4</t>
        </is>
      </c>
      <c r="AE174" s="1264" t="n"/>
      <c r="AF174" s="1501" t="inlineStr">
        <is>
          <t>N2O</t>
        </is>
      </c>
      <c r="AG174" s="1264" t="n"/>
      <c r="AI174" s="1151">
        <f>SUM('Inl. wetlands'!AB168,'Inl. wetlands'!AD168,'Inl. wetlands'!AF168)+SUM(AB179,AD179,AF179)</f>
        <v/>
      </c>
      <c r="AJ174" s="1151">
        <f>SUM('Inl. wetlands'!AC168,'Inl. wetlands'!AE168,'Inl. wetlands'!AG168)+SUM(AC179,AE179,AG179)</f>
        <v/>
      </c>
      <c r="AK174" s="1159">
        <f>AJ174-AI174</f>
        <v/>
      </c>
    </row>
    <row r="175" ht="16" customHeight="1">
      <c r="A175" s="1264" t="n"/>
      <c r="B175" s="1511" t="inlineStr">
        <is>
          <t>IPCC</t>
        </is>
      </c>
      <c r="C175" s="1511" t="inlineStr">
        <is>
          <t>Tier 2</t>
        </is>
      </c>
      <c r="D175" s="1511" t="inlineStr">
        <is>
          <t>IPCC</t>
        </is>
      </c>
      <c r="E175" s="1511" t="inlineStr">
        <is>
          <t>Tier 2</t>
        </is>
      </c>
      <c r="F175" s="1511" t="inlineStr">
        <is>
          <t>IPCC</t>
        </is>
      </c>
      <c r="G175" s="1511" t="inlineStr">
        <is>
          <t>Tier 2</t>
        </is>
      </c>
      <c r="H175" s="1512" t="inlineStr">
        <is>
          <t>IPCC</t>
        </is>
      </c>
      <c r="I175" s="1512" t="inlineStr">
        <is>
          <t>Tier 2</t>
        </is>
      </c>
      <c r="J175" s="1512" t="inlineStr">
        <is>
          <t>IPCC</t>
        </is>
      </c>
      <c r="K175" s="1512" t="inlineStr">
        <is>
          <t>Tier 2</t>
        </is>
      </c>
      <c r="L175" s="973" t="inlineStr">
        <is>
          <t>Start</t>
        </is>
      </c>
      <c r="M175" s="1102" t="inlineStr">
        <is>
          <t>Without</t>
        </is>
      </c>
      <c r="N175" s="1103" t="inlineStr">
        <is>
          <t>With</t>
        </is>
      </c>
      <c r="O175" s="973" t="inlineStr">
        <is>
          <t>Start</t>
        </is>
      </c>
      <c r="P175" s="1102" t="inlineStr">
        <is>
          <t>Without</t>
        </is>
      </c>
      <c r="Q175" s="1103" t="inlineStr">
        <is>
          <t>With</t>
        </is>
      </c>
      <c r="R175" s="973" t="inlineStr">
        <is>
          <t>Start</t>
        </is>
      </c>
      <c r="S175" s="1102" t="inlineStr">
        <is>
          <t>Without</t>
        </is>
      </c>
      <c r="T175" s="1103" t="inlineStr">
        <is>
          <t>With</t>
        </is>
      </c>
      <c r="U175" s="973" t="inlineStr">
        <is>
          <t>Start</t>
        </is>
      </c>
      <c r="V175" s="1102" t="inlineStr">
        <is>
          <t>Without</t>
        </is>
      </c>
      <c r="W175" s="1103" t="inlineStr">
        <is>
          <t>With</t>
        </is>
      </c>
      <c r="X175" s="973" t="inlineStr">
        <is>
          <t>Start</t>
        </is>
      </c>
      <c r="Y175" s="1102" t="inlineStr">
        <is>
          <t>Without</t>
        </is>
      </c>
      <c r="Z175" s="1103" t="inlineStr">
        <is>
          <t>With</t>
        </is>
      </c>
      <c r="AA175" s="1281" t="n"/>
      <c r="AB175" s="1102" t="inlineStr">
        <is>
          <t>Without</t>
        </is>
      </c>
      <c r="AC175" s="1103" t="inlineStr">
        <is>
          <t>With</t>
        </is>
      </c>
      <c r="AD175" s="1102" t="inlineStr">
        <is>
          <t>Without</t>
        </is>
      </c>
      <c r="AE175" s="1103" t="inlineStr">
        <is>
          <t>With</t>
        </is>
      </c>
      <c r="AF175" s="1102" t="inlineStr">
        <is>
          <t>Without</t>
        </is>
      </c>
      <c r="AG175" s="1103" t="inlineStr">
        <is>
          <t>With</t>
        </is>
      </c>
      <c r="AI175" s="1151">
        <f>SUM('Inl. wetlands'!AB169,'Inl. wetlands'!AD169,'Inl. wetlands'!AF169)+SUM(AB180,AD180,AF180)</f>
        <v/>
      </c>
      <c r="AJ175" s="1151">
        <f>SUM('Inl. wetlands'!AC169,'Inl. wetlands'!AE169,'Inl. wetlands'!AG169)+SUM(AC180,AE180,AG180)</f>
        <v/>
      </c>
      <c r="AK175" s="1159">
        <f>AJ175-AI175</f>
        <v/>
      </c>
    </row>
    <row r="176">
      <c r="A176" s="1467" t="inlineStr">
        <is>
          <t>S1</t>
        </is>
      </c>
      <c r="B176" s="1044">
        <f>IFERROR(IF('Inl. wetlands'!$J$145=list!$J$210,INDEX(IPCC!$A$1762:$J$1773,MATCH(clim_moist,IPCC!$A$1781:$A$1792,0),MATCH('Inl. wetlands'!$C151,IPCC!$A$1781:$J$1781,0)),IF('Inl. wetlands'!$J$145=list!$J$211,INDEX(IPCC!$A$1781:$J$1792,MATCH(clim_moist,IPCC!$A$1781:$A$1792,0),MATCH('Inl. wetlands'!$C151,IPCC!$A$1781:$J$1781,0)))),0)</f>
        <v/>
      </c>
      <c r="C176" s="1162">
        <f>IF('6.Inland wetlands'!CG58="",'6.Inland wetlands'!CF58,'6.Inland wetlands'!CG58)</f>
        <v/>
      </c>
      <c r="D176" s="1044">
        <f>IFERROR(IF('Inl. wetlands'!$J$145=list!$J$210,INDEX(IPCC!$A$1818:$J$1829,MATCH(clim_moist,IPCC!$A$1818:$A$1829,0),MATCH('Inl. wetlands'!$C151,IPCC!$A$1818:$J$1818,0)),IF('Inl. wetlands'!$J$145=list!$J$211,INDEX(IPCC!$A$1836:$J$1847,MATCH(clim_moist,IPCC!$A$1836:$A$1847,0),MATCH('Inl. wetlands'!$C151,IPCC!$A$1836:$J$1836,0)))),0)</f>
        <v/>
      </c>
      <c r="E176" s="1162">
        <f>IF('6.Inland wetlands'!CI58="",'6.Inland wetlands'!CH58,'6.Inland wetlands'!CI58)</f>
        <v/>
      </c>
      <c r="F176" s="1044">
        <f>IFERROR(IF('Inl. wetlands'!$J$145=list!$J$210,INDEX(IPCC!$A$1872:$J$1883,MATCH(clim_moist,IPCC!$A$1872:$A$1883,0),MATCH('Inl. wetlands'!$C151,IPCC!$A$1872:$J$1872,0)),IF('Inl. wetlands'!$J$145=list!$J$211,INDEX(IPCC!$A$1890:$J$1901,MATCH(clim_moist,IPCC!$A$1890:$A$1901,0),MATCH('Inl. wetlands'!$C151,IPCC!$A$1890:$J$1890,0)))),0)</f>
        <v/>
      </c>
      <c r="G176" s="1162">
        <f>IF('6.Inland wetlands'!CK58="",'6.Inland wetlands'!CJ58,'6.Inland wetlands'!CK58)</f>
        <v/>
      </c>
      <c r="H176" s="1044">
        <f>IFERROR(IF('Inl. wetlands'!$J$145=list!$J$210,INDEX(IPCC!$A$1800:$J$1811,MATCH(clim_moist,IPCC!$A$1800:$A$1811,0),MATCH('Inl. wetlands'!$C151,IPCC!$A$1800:$J$1800,0)),IF('Inl. wetlands'!$J$145=list!$J$211,INDEX(IPCC!$A$1800:$J$1811,MATCH(clim_moist,IPCC!$A$1800:$A$1811,0),MATCH('Inl. wetlands'!$C151,IPCC!$A$1800:$J$1800,0)))),0)</f>
        <v/>
      </c>
      <c r="I176" s="1162">
        <f>IF('6.Inland wetlands'!CN58="",'6.Inland wetlands'!CM58,'6.Inland wetlands'!CN58)</f>
        <v/>
      </c>
      <c r="J176" s="1111">
        <f>IFERROR(IF('Inl. wetlands'!$J$145=list!$J$210,INDEX(IPCC!$A$1854:$J$1865,MATCH(clim_moist,IPCC!$A$1854:$A$1865,0),MATCH('Inl. wetlands'!$C151,IPCC!$A$1854:$J$1854,0)),IF('Inl. wetlands'!$J$145=list!$J$211,INDEX(IPCC!$A$1854:$J$1865,MATCH(clim_moist,IPCC!$A$1854:$A$1865,0),MATCH('Inl. wetlands'!$C151,IPCC!$A$1854:$J$1854,0)))),0)</f>
        <v/>
      </c>
      <c r="K176" s="1161">
        <f>IF('6.Inland wetlands'!CP58="",'6.Inland wetlands'!CO58,'6.Inland wetlands'!CP58)</f>
        <v/>
      </c>
      <c r="L176" s="1543" t="n">
        <v>0</v>
      </c>
      <c r="M176" s="1543">
        <f>IF('6.Inland wetlands'!N46=0, 0, IF('6.Inland wetlands'!N58&lt;'6.Inland wetlands'!N46, 'Inl. wetlands'!C176*44/12*'6.Inland wetlands'!N58, 'Inl. wetlands'!C176*44/12*('6.Inland wetlands'!N46)))</f>
        <v/>
      </c>
      <c r="N176" s="4360">
        <f>IF('6.Inland wetlands'!P46=0, 0, IF('6.Inland wetlands'!P58&lt;'6.Inland wetlands'!P46, 'Inl. wetlands'!C176*44/12*'6.Inland wetlands'!P58, 'Inl. wetlands'!C176*44/12*('6.Inland wetlands'!P46)))</f>
        <v/>
      </c>
      <c r="O176" s="1543" t="n">
        <v>0</v>
      </c>
      <c r="P176" s="4360">
        <f>IF('6.Inland wetlands'!N46=0, 0, IF('6.Inland wetlands'!N58&lt;'6.Inland wetlands'!N46, 'Inl. wetlands'!E176*methane/1000*'6.Inland wetlands'!N58*(1-'6.Inland wetlands'!X58), 'Inl. wetlands'!E176*methane/1000*('6.Inland wetlands'!N46*(1-'6.Inland wetlands'!X58))))</f>
        <v/>
      </c>
      <c r="Q176" s="4360">
        <f>IF('6.Inland wetlands'!P46=0, 0, IF('6.Inland wetlands'!P58&lt;'6.Inland wetlands'!P46, 'Inl. wetlands'!E176*methane/1000*'6.Inland wetlands'!P58*(1-'6.Inland wetlands'!Y58), 'Inl. wetlands'!E176*methane/1000*('6.Inland wetlands'!P46*(1-'6.Inland wetlands'!Y58))))</f>
        <v/>
      </c>
      <c r="R176" s="1543" t="n">
        <v>0</v>
      </c>
      <c r="S176" s="4360">
        <f>IF('6.Inland wetlands'!N46=0, 0, IF('6.Inland wetlands'!N58&lt;'6.Inland wetlands'!N46, 'Inl. wetlands'!G176*44/28*Nitrous/1000*'6.Inland wetlands'!N58, 'Inl. wetlands'!G176*44/28*Nitrous/1000*('6.Inland wetlands'!N46)))</f>
        <v/>
      </c>
      <c r="T176" s="4360">
        <f>IF('6.Inland wetlands'!P46=0, 0, IF('6.Inland wetlands'!P58&lt;'6.Inland wetlands'!P46, 'Inl. wetlands'!G176*44/28*Nitrous/1000*'6.Inland wetlands'!P58, 'Inl. wetlands'!G176*44/28*Nitrous/1000*('6.Inland wetlands'!P46)))</f>
        <v/>
      </c>
      <c r="U176" s="1543" t="n">
        <v>0</v>
      </c>
      <c r="V176" s="4360">
        <f>IF('6.Inland wetlands'!N46=0, 0, IF('6.Inland wetlands'!N58&lt;'6.Inland wetlands'!N46, 'Inl. wetlands'!I176*44/12*'6.Inland wetlands'!N58, 'Inl. wetlands'!I176*44/12*('6.Inland wetlands'!N46)))</f>
        <v/>
      </c>
      <c r="W176" s="4360">
        <f>IF('6.Inland wetlands'!P46=0, 0, IF('6.Inland wetlands'!P58&lt;'6.Inland wetlands'!P46, 'Inl. wetlands'!I176*44/12*'6.Inland wetlands'!P58, 'Inl. wetlands'!I176*44/12*('6.Inland wetlands'!P46)))</f>
        <v/>
      </c>
      <c r="X176" s="4360" t="n">
        <v>0</v>
      </c>
      <c r="Y176" s="4734">
        <f>IF('6.Inland wetlands'!N46=0, 0, IF('6.Inland wetlands'!N58&lt;'6.Inland wetlands'!N46, 'Inl. wetlands'!K176*methane/1000*'6.Inland wetlands'!N58*('6.Inland wetlands'!X58), 'Inl. wetlands'!K176*methane/1000*('6.Inland wetlands'!N46*('6.Inland wetlands'!X58))))</f>
        <v/>
      </c>
      <c r="Z176" s="4734">
        <f>IF('6.Inland wetlands'!P46=0, 0, IF('6.Inland wetlands'!P58&lt;'6.Inland wetlands'!P46, 'Inl. wetlands'!K176*methane/1000*'6.Inland wetlands'!P58*('6.Inland wetlands'!Y58), 'Inl. wetlands'!K176*methane/1000*('6.Inland wetlands'!P46*('6.Inland wetlands'!Y58))))</f>
        <v/>
      </c>
      <c r="AA176" s="1281" t="n"/>
      <c r="AB176" s="3493">
        <f>MIN('Inl. wetlands'!L176,'Inl. wetlands'!M176)*time_tot+ABS('Inl. wetlands'!M176-'Inl. wetlands'!L176)*IF('Inl. wetlands'!M176&gt;'Inl. wetlands'!L176,time_cap+time*(VLOOKUP('6.Inland wetlands'!O58,list!$I$48:$K$50,3,0)),time*(1-(VLOOKUP('6.Inland wetlands'!O58,list!$I$48:$K$50,3,0))))+MIN('Inl. wetlands'!U176,'Inl. wetlands'!V176)*time_tot+ABS('Inl. wetlands'!V176-'Inl. wetlands'!U176)*IF('Inl. wetlands'!V176&gt;'Inl. wetlands'!U176,time_cap+time*(VLOOKUP('6.Inland wetlands'!O58,list!$I$48:$K$50,3,0)),time*(1-(VLOOKUP('6.Inland wetlands'!O58,list!$I$48:$K$50,3,0))))</f>
        <v/>
      </c>
      <c r="AC176" s="3493">
        <f>MIN('Inl. wetlands'!L176,'Inl. wetlands'!N176)*time_tot+ABS('Inl. wetlands'!N176-'Inl. wetlands'!L176)*IF('Inl. wetlands'!N176&gt;'Inl. wetlands'!L176,time_cap+time*(VLOOKUP('6.Inland wetlands'!Q58,list!$I$48:$K$50,3,0)),time*(1-(VLOOKUP('6.Inland wetlands'!Q58,list!$I$48:$K$50,3,0))))+MIN('Inl. wetlands'!U176,'Inl. wetlands'!W176)*time_tot+ABS('Inl. wetlands'!W176-'Inl. wetlands'!U176)*IF('Inl. wetlands'!W176&gt;'Inl. wetlands'!U176,time_cap+time*(VLOOKUP('6.Inland wetlands'!Q58,list!$I$48:$K$50,3,0)),time*(1-(VLOOKUP('6.Inland wetlands'!Q58,list!$I$48:$K$50,3,0))))</f>
        <v/>
      </c>
      <c r="AD176" s="1151">
        <f>MIN('Inl. wetlands'!O176,'Inl. wetlands'!P176)*time_tot+ABS('Inl. wetlands'!P176-'Inl. wetlands'!O176)*IF('Inl. wetlands'!P176&gt;'Inl. wetlands'!O176,time_cap+time*(VLOOKUP('6.Inland wetlands'!O58,list!$I$48:$K$50,3,0)),time*(1-(VLOOKUP('6.Inland wetlands'!O58,list!$I$48:$K$50,3,0))))+MIN('Inl. wetlands'!X176,'Inl. wetlands'!Y176)*time_tot+ABS('Inl. wetlands'!Y176-'Inl. wetlands'!X176)*IF('Inl. wetlands'!Y176&gt;'Inl. wetlands'!X176,time_cap+time*(VLOOKUP('6.Inland wetlands'!O58,list!$I$48:$K$50,3,0)),time*(1-(VLOOKUP('6.Inland wetlands'!O58,list!$I$48:$K$50,3,0))))</f>
        <v/>
      </c>
      <c r="AE176" s="1151">
        <f>MIN('Inl. wetlands'!O176,'Inl. wetlands'!Q176)*time_tot+ABS('Inl. wetlands'!Q176-'Inl. wetlands'!O176)*IF('Inl. wetlands'!Q176&gt;'Inl. wetlands'!O176,time_cap+time*(VLOOKUP('6.Inland wetlands'!Q58,list!$I$48:$K$50,3,0)),time*(1-(VLOOKUP('6.Inland wetlands'!Q58,list!$I$48:$K$50,3,0))))+MIN('Inl. wetlands'!X176,'Inl. wetlands'!Z176)*time_tot+ABS('Inl. wetlands'!Z176-'Inl. wetlands'!X176)*IF('Inl. wetlands'!Z176&gt;'Inl. wetlands'!X176,time_cap+time*(VLOOKUP('6.Inland wetlands'!Q58,list!$I$48:$K$50,3,0)),time*(1-(VLOOKUP('6.Inland wetlands'!Q58,list!$I$48:$K$50,3,0))))</f>
        <v/>
      </c>
      <c r="AF176" s="1151">
        <f>MIN('Inl. wetlands'!R176,'Inl. wetlands'!S176)*time_tot+ABS('Inl. wetlands'!S176-'Inl. wetlands'!R176)*IF('Inl. wetlands'!S176&gt;'Inl. wetlands'!R176,time_cap+time*(VLOOKUP('6.Inland wetlands'!O58,list!$I$48:$K$50,3,0)),time*(1-(VLOOKUP('6.Inland wetlands'!O58,list!$I$48:$K$50,3,0))))</f>
        <v/>
      </c>
      <c r="AG176" s="1151">
        <f>MIN('Inl. wetlands'!R176,'Inl. wetlands'!T176)*time_tot+ABS('Inl. wetlands'!T176-'Inl. wetlands'!R176)*IF('Inl. wetlands'!T176&gt;'Inl. wetlands'!R176,time_cap+time*(VLOOKUP('6.Inland wetlands'!Q58,list!$I$48:$K$50,3,0)),time*(1-(VLOOKUP('6.Inland wetlands'!Q58,list!$I$48:$K$50,3,0))))</f>
        <v/>
      </c>
      <c r="AI176" s="1151">
        <f>SUM('Inl. wetlands'!AB170,'Inl. wetlands'!AD170,'Inl. wetlands'!AF170)+SUM(AB181,AD181,AF181)</f>
        <v/>
      </c>
      <c r="AJ176" s="1151">
        <f>SUM('Inl. wetlands'!AC170,'Inl. wetlands'!AE170,'Inl. wetlands'!AG170)+SUM(AC181,AE181,AG181)</f>
        <v/>
      </c>
      <c r="AK176" s="3499">
        <f>AJ176-AI176</f>
        <v/>
      </c>
    </row>
    <row r="177">
      <c r="A177" s="1467" t="inlineStr">
        <is>
          <t>S2</t>
        </is>
      </c>
      <c r="B177" s="1044">
        <f>IFERROR(IF('Inl. wetlands'!$J$145=list!$J$210,INDEX(IPCC!$A$1762:$J$1773,MATCH(clim_moist,IPCC!$A$1781:$A$1792,0),MATCH('Inl. wetlands'!$C152,IPCC!$A$1781:$J$1781,0)),IF('Inl. wetlands'!$J$145=list!$J$211,INDEX(IPCC!$A$1781:$J$1792,MATCH(clim_moist,IPCC!$A$1781:$A$1792,0),MATCH('Inl. wetlands'!$C152,IPCC!$A$1781:$J$1781,0)))),0)</f>
        <v/>
      </c>
      <c r="C177" s="1162">
        <f>IF('6.Inland wetlands'!CG59="",'6.Inland wetlands'!CF59,'6.Inland wetlands'!CG59)</f>
        <v/>
      </c>
      <c r="D177" s="1044">
        <f>IFERROR(IF('Inl. wetlands'!$J$145=list!$J$210,INDEX(IPCC!$A$1818:$J$1829,MATCH(clim_moist,IPCC!$A$1818:$A$1829,0),MATCH('Inl. wetlands'!$C152,IPCC!$A$1818:$J$1818,0)),IF('Inl. wetlands'!$J$145=list!$J$211,INDEX(IPCC!$A$1836:$J$1847,MATCH(clim_moist,IPCC!$A$1836:$A$1847,0),MATCH('Inl. wetlands'!$C152,IPCC!$A$1836:$J$1836,0)))),0)</f>
        <v/>
      </c>
      <c r="E177" s="1162">
        <f>IF('6.Inland wetlands'!CI59="",'6.Inland wetlands'!CH59,'6.Inland wetlands'!CI59)</f>
        <v/>
      </c>
      <c r="F177" s="1044">
        <f>IFERROR(IF('Inl. wetlands'!$J$145=list!$J$210,INDEX(IPCC!$A$1872:$J$1883,MATCH(clim_moist,IPCC!$A$1872:$A$1883,0),MATCH('Inl. wetlands'!$C152,IPCC!$A$1872:$J$1872,0)),IF('Inl. wetlands'!$J$145=list!$J$211,INDEX(IPCC!$A$1890:$J$1901,MATCH(clim_moist,IPCC!$A$1890:$A$1901,0),MATCH('Inl. wetlands'!$C152,IPCC!$A$1890:$J$1890,0)))),0)</f>
        <v/>
      </c>
      <c r="G177" s="1162">
        <f>IF('6.Inland wetlands'!CK59="",'6.Inland wetlands'!CJ59,'6.Inland wetlands'!CK59)</f>
        <v/>
      </c>
      <c r="H177" s="1044">
        <f>IFERROR(IF('Inl. wetlands'!$J$145=list!$J$210,INDEX(IPCC!$A$1800:$J$1811,MATCH(clim_moist,IPCC!$A$1800:$A$1811,0),MATCH('Inl. wetlands'!$C152,IPCC!$A$1800:$J$1800,0)),IF('Inl. wetlands'!$J$145=list!$J$211,INDEX(IPCC!$A$1800:$J$1811,MATCH(clim_moist,IPCC!$A$1800:$A$1811,0),MATCH('Inl. wetlands'!$C152,IPCC!$A$1800:$J$1800,0)))),0)</f>
        <v/>
      </c>
      <c r="I177" s="1162">
        <f>IF('6.Inland wetlands'!CN59="",'6.Inland wetlands'!CM59,'6.Inland wetlands'!CN59)</f>
        <v/>
      </c>
      <c r="J177" s="1111">
        <f>IFERROR(IF('Inl. wetlands'!$J$145=list!$J$210,INDEX(IPCC!$A$1854:$J$1865,MATCH(clim_moist,IPCC!$A$1854:$A$1865,0),MATCH('Inl. wetlands'!$C152,IPCC!$A$1854:$J$1854,0)),IF('Inl. wetlands'!$J$145=list!$J$211,INDEX(IPCC!$A$1854:$J$1865,MATCH(clim_moist,IPCC!$A$1854:$A$1865,0),MATCH('Inl. wetlands'!$C152,IPCC!$A$1854:$J$1854,0)))),0)</f>
        <v/>
      </c>
      <c r="K177" s="1161">
        <f>IF('6.Inland wetlands'!CP59="",'6.Inland wetlands'!CO59,'6.Inland wetlands'!CP59)</f>
        <v/>
      </c>
      <c r="L177" s="1543" t="n">
        <v>0</v>
      </c>
      <c r="M177" s="1543">
        <f>IF('6.Inland wetlands'!N47=0, 0, IF('6.Inland wetlands'!N59&lt;'6.Inland wetlands'!N47, 'Inl. wetlands'!C177*44/12*'6.Inland wetlands'!N59, 'Inl. wetlands'!C177*44/12*('6.Inland wetlands'!N47)))</f>
        <v/>
      </c>
      <c r="N177" s="4360">
        <f>IF('6.Inland wetlands'!P47=0, 0, IF('6.Inland wetlands'!P59&lt;'6.Inland wetlands'!P47, 'Inl. wetlands'!C177*44/12*'6.Inland wetlands'!P59, 'Inl. wetlands'!C177*44/12*('6.Inland wetlands'!P47)))</f>
        <v/>
      </c>
      <c r="O177" s="1543" t="n">
        <v>0</v>
      </c>
      <c r="P177" s="4360">
        <f>IF('6.Inland wetlands'!N47=0, 0, IF('6.Inland wetlands'!N59&lt;'6.Inland wetlands'!N47, 'Inl. wetlands'!E177*methane/1000*'6.Inland wetlands'!N59*(1-'6.Inland wetlands'!X59), 'Inl. wetlands'!E177*methane/1000*('6.Inland wetlands'!N47*(1-'6.Inland wetlands'!X59))))</f>
        <v/>
      </c>
      <c r="Q177" s="4360">
        <f>IF('6.Inland wetlands'!P47=0, 0, IF('6.Inland wetlands'!P59&lt;'6.Inland wetlands'!P47, 'Inl. wetlands'!E177*methane/1000*'6.Inland wetlands'!P59*(1-'6.Inland wetlands'!Y59), 'Inl. wetlands'!E177*methane/1000*('6.Inland wetlands'!P47*(1-'6.Inland wetlands'!Y59))))</f>
        <v/>
      </c>
      <c r="R177" s="1543" t="n">
        <v>0</v>
      </c>
      <c r="S177" s="4360">
        <f>IF('6.Inland wetlands'!N47=0, 0, IF('6.Inland wetlands'!N59&lt;'6.Inland wetlands'!N47, 'Inl. wetlands'!G177*44/28*Nitrous/1000*'6.Inland wetlands'!N59, 'Inl. wetlands'!G177*44/28*Nitrous/1000*('6.Inland wetlands'!N47)))</f>
        <v/>
      </c>
      <c r="T177" s="4360">
        <f>IF('6.Inland wetlands'!P47=0, 0, IF('6.Inland wetlands'!P59&lt;'6.Inland wetlands'!P47, 'Inl. wetlands'!G177*44/28*Nitrous/1000*'6.Inland wetlands'!P59, 'Inl. wetlands'!G177*44/28*Nitrous/1000*('6.Inland wetlands'!P47)))</f>
        <v/>
      </c>
      <c r="U177" s="1543" t="n">
        <v>0</v>
      </c>
      <c r="V177" s="4360">
        <f>IF('6.Inland wetlands'!N47=0, 0, IF('6.Inland wetlands'!N59&lt;'6.Inland wetlands'!N47, 'Inl. wetlands'!I177*44/12*'6.Inland wetlands'!N59, 'Inl. wetlands'!I177*44/12*('6.Inland wetlands'!N47)))</f>
        <v/>
      </c>
      <c r="W177" s="4360">
        <f>IF('6.Inland wetlands'!P47=0, 0, IF('6.Inland wetlands'!P59&lt;'6.Inland wetlands'!P47, 'Inl. wetlands'!I177*44/12*'6.Inland wetlands'!P59, 'Inl. wetlands'!I177*44/12*('6.Inland wetlands'!P47)))</f>
        <v/>
      </c>
      <c r="X177" s="4360" t="n">
        <v>0</v>
      </c>
      <c r="Y177" s="4734">
        <f>IF('6.Inland wetlands'!N47=0, 0, IF('6.Inland wetlands'!N59&lt;'6.Inland wetlands'!N47, 'Inl. wetlands'!K177*methane/1000*'6.Inland wetlands'!N59*('6.Inland wetlands'!X59), 'Inl. wetlands'!K177*methane/1000*('6.Inland wetlands'!N47*('6.Inland wetlands'!X59))))</f>
        <v/>
      </c>
      <c r="Z177" s="4734">
        <f>IF('6.Inland wetlands'!P47=0, 0, IF('6.Inland wetlands'!P59&lt;'6.Inland wetlands'!P47, 'Inl. wetlands'!K177*methane/1000*'6.Inland wetlands'!P59*('6.Inland wetlands'!Y59), 'Inl. wetlands'!K177*methane/1000*('6.Inland wetlands'!P47*('6.Inland wetlands'!Y59))))</f>
        <v/>
      </c>
      <c r="AA177" s="1281" t="n"/>
      <c r="AB177" s="3493">
        <f>MIN('Inl. wetlands'!L177,'Inl. wetlands'!M177)*time_tot+ABS('Inl. wetlands'!M177-'Inl. wetlands'!L177)*IF('Inl. wetlands'!M177&gt;'Inl. wetlands'!L177,time_cap+time*(VLOOKUP('6.Inland wetlands'!O59,list!$I$48:$K$50,3,0)),time*(1-(VLOOKUP('6.Inland wetlands'!O59,list!$I$48:$K$50,3,0))))+MIN('Inl. wetlands'!U177,'Inl. wetlands'!V177)*time_tot+ABS('Inl. wetlands'!V177-'Inl. wetlands'!U177)*IF('Inl. wetlands'!V177&gt;'Inl. wetlands'!U177,time_cap+time*(VLOOKUP('6.Inland wetlands'!O59,list!$I$48:$K$50,3,0)),time*(1-(VLOOKUP('6.Inland wetlands'!O59,list!$I$48:$K$50,3,0))))</f>
        <v/>
      </c>
      <c r="AC177" s="3493">
        <f>MIN('Inl. wetlands'!L177,'Inl. wetlands'!N177)*time_tot+ABS('Inl. wetlands'!N177-'Inl. wetlands'!L177)*IF('Inl. wetlands'!N177&gt;'Inl. wetlands'!L177,time_cap+time*(VLOOKUP('6.Inland wetlands'!Q59,list!$I$48:$K$50,3,0)),time*(1-(VLOOKUP('6.Inland wetlands'!Q59,list!$I$48:$K$50,3,0))))+MIN('Inl. wetlands'!U177,'Inl. wetlands'!W177)*time_tot+ABS('Inl. wetlands'!W177-'Inl. wetlands'!U177)*IF('Inl. wetlands'!W177&gt;'Inl. wetlands'!U177,time_cap+time*(VLOOKUP('6.Inland wetlands'!Q59,list!$I$48:$K$50,3,0)),time*(1-(VLOOKUP('6.Inland wetlands'!Q59,list!$I$48:$K$50,3,0))))</f>
        <v/>
      </c>
      <c r="AD177" s="1151">
        <f>MIN('Inl. wetlands'!O177,'Inl. wetlands'!P177)*time_tot+ABS('Inl. wetlands'!P177-'Inl. wetlands'!O177)*IF('Inl. wetlands'!P177&gt;'Inl. wetlands'!O177,time_cap+time*(VLOOKUP('6.Inland wetlands'!O59,list!$I$48:$K$50,3,0)),time*(1-(VLOOKUP('6.Inland wetlands'!O59,list!$I$48:$K$50,3,0))))+MIN('Inl. wetlands'!X177,'Inl. wetlands'!Y177)*time_tot+ABS('Inl. wetlands'!Y177-'Inl. wetlands'!X177)*IF('Inl. wetlands'!Y177&gt;'Inl. wetlands'!X177,time_cap+time*(VLOOKUP('6.Inland wetlands'!O59,list!$I$48:$K$50,3,0)),time*(1-(VLOOKUP('6.Inland wetlands'!O59,list!$I$48:$K$50,3,0))))</f>
        <v/>
      </c>
      <c r="AE177" s="1151">
        <f>MIN('Inl. wetlands'!O177,'Inl. wetlands'!Q177)*time_tot+ABS('Inl. wetlands'!Q177-'Inl. wetlands'!O177)*IF('Inl. wetlands'!Q177&gt;'Inl. wetlands'!O177,time_cap+time*(VLOOKUP('6.Inland wetlands'!Q59,list!$I$48:$K$50,3,0)),time*(1-(VLOOKUP('6.Inland wetlands'!Q59,list!$I$48:$K$50,3,0))))+MIN('Inl. wetlands'!X177,'Inl. wetlands'!Z177)*time_tot+ABS('Inl. wetlands'!Z177-'Inl. wetlands'!X177)*IF('Inl. wetlands'!Z177&gt;'Inl. wetlands'!X177,time_cap+time*(VLOOKUP('6.Inland wetlands'!Q59,list!$I$48:$K$50,3,0)),time*(1-(VLOOKUP('6.Inland wetlands'!Q59,list!$I$48:$K$50,3,0))))</f>
        <v/>
      </c>
      <c r="AF177" s="1151">
        <f>MIN('Inl. wetlands'!R177,'Inl. wetlands'!S177)*time_tot+ABS('Inl. wetlands'!S177-'Inl. wetlands'!R177)*IF('Inl. wetlands'!S177&gt;'Inl. wetlands'!R177,time_cap+time*(VLOOKUP('6.Inland wetlands'!O59,list!$I$48:$K$50,3,0)),time*(1-(VLOOKUP('6.Inland wetlands'!O59,list!$I$48:$K$50,3,0))))</f>
        <v/>
      </c>
      <c r="AG177" s="1151">
        <f>MIN('Inl. wetlands'!R177,'Inl. wetlands'!T177)*time_tot+ABS('Inl. wetlands'!T177-'Inl. wetlands'!R177)*IF('Inl. wetlands'!T177&gt;'Inl. wetlands'!R177,time_cap+time*(VLOOKUP('6.Inland wetlands'!Q59,list!$I$48:$K$50,3,0)),time*(1-(VLOOKUP('6.Inland wetlands'!Q59,list!$I$48:$K$50,3,0))))</f>
        <v/>
      </c>
    </row>
    <row r="178">
      <c r="A178" s="1467" t="inlineStr">
        <is>
          <t>S3</t>
        </is>
      </c>
      <c r="B178" s="1044">
        <f>IFERROR(IF('Inl. wetlands'!$J$145=list!$J$210,INDEX(IPCC!$A$1762:$J$1773,MATCH(clim_moist,IPCC!$A$1781:$A$1792,0),MATCH('Inl. wetlands'!$C153,IPCC!$A$1781:$J$1781,0)),IF('Inl. wetlands'!$J$145=list!$J$211,INDEX(IPCC!$A$1781:$J$1792,MATCH(clim_moist,IPCC!$A$1781:$A$1792,0),MATCH('Inl. wetlands'!$C153,IPCC!$A$1781:$J$1781,0)))),0)</f>
        <v/>
      </c>
      <c r="C178" s="1162">
        <f>IF('6.Inland wetlands'!CG60="",'6.Inland wetlands'!CF60,'6.Inland wetlands'!CG60)</f>
        <v/>
      </c>
      <c r="D178" s="1044">
        <f>IFERROR(IF('Inl. wetlands'!$J$145=list!$J$210,INDEX(IPCC!$A$1818:$J$1829,MATCH(clim_moist,IPCC!$A$1818:$A$1829,0),MATCH('Inl. wetlands'!$C153,IPCC!$A$1818:$J$1818,0)),IF('Inl. wetlands'!$J$145=list!$J$211,INDEX(IPCC!$A$1836:$J$1847,MATCH(clim_moist,IPCC!$A$1836:$A$1847,0),MATCH('Inl. wetlands'!$C153,IPCC!$A$1836:$J$1836,0)))),0)</f>
        <v/>
      </c>
      <c r="E178" s="1162">
        <f>IF('6.Inland wetlands'!CI60="",'6.Inland wetlands'!CH60,'6.Inland wetlands'!CI60)</f>
        <v/>
      </c>
      <c r="F178" s="1044">
        <f>IFERROR(IF('Inl. wetlands'!$J$145=list!$J$210,INDEX(IPCC!$A$1872:$J$1883,MATCH(clim_moist,IPCC!$A$1872:$A$1883,0),MATCH('Inl. wetlands'!$C153,IPCC!$A$1872:$J$1872,0)),IF('Inl. wetlands'!$J$145=list!$J$211,INDEX(IPCC!$A$1890:$J$1901,MATCH(clim_moist,IPCC!$A$1890:$A$1901,0),MATCH('Inl. wetlands'!$C153,IPCC!$A$1890:$J$1890,0)))),0)</f>
        <v/>
      </c>
      <c r="G178" s="1162">
        <f>IF('6.Inland wetlands'!CK60="",'6.Inland wetlands'!CJ60,'6.Inland wetlands'!CK60)</f>
        <v/>
      </c>
      <c r="H178" s="1044">
        <f>IFERROR(IF('Inl. wetlands'!$J$145=list!$J$210,INDEX(IPCC!$A$1800:$J$1811,MATCH(clim_moist,IPCC!$A$1800:$A$1811,0),MATCH('Inl. wetlands'!$C153,IPCC!$A$1800:$J$1800,0)),IF('Inl. wetlands'!$J$145=list!$J$211,INDEX(IPCC!$A$1800:$J$1811,MATCH(clim_moist,IPCC!$A$1800:$A$1811,0),MATCH('Inl. wetlands'!$C153,IPCC!$A$1800:$J$1800,0)))),0)</f>
        <v/>
      </c>
      <c r="I178" s="1162">
        <f>IF('6.Inland wetlands'!CN60="",'6.Inland wetlands'!CM60,'6.Inland wetlands'!CN60)</f>
        <v/>
      </c>
      <c r="J178" s="1111">
        <f>IFERROR(IF('Inl. wetlands'!$J$145=list!$J$210,INDEX(IPCC!$A$1854:$J$1865,MATCH(clim_moist,IPCC!$A$1854:$A$1865,0),MATCH('Inl. wetlands'!$C153,IPCC!$A$1854:$J$1854,0)),IF('Inl. wetlands'!$J$145=list!$J$211,INDEX(IPCC!$A$1854:$J$1865,MATCH(clim_moist,IPCC!$A$1854:$A$1865,0),MATCH('Inl. wetlands'!$C153,IPCC!$A$1854:$J$1854,0)))),0)</f>
        <v/>
      </c>
      <c r="K178" s="1161">
        <f>IF('6.Inland wetlands'!CP60="",'6.Inland wetlands'!CO60,'6.Inland wetlands'!CP60)</f>
        <v/>
      </c>
      <c r="L178" s="1543" t="n">
        <v>0</v>
      </c>
      <c r="M178" s="1543">
        <f>IF('6.Inland wetlands'!N48=0, 0, IF('6.Inland wetlands'!N60&lt;'6.Inland wetlands'!N48, 'Inl. wetlands'!C178*44/12*'6.Inland wetlands'!N60, 'Inl. wetlands'!C178*44/12*('6.Inland wetlands'!N48)))</f>
        <v/>
      </c>
      <c r="N178" s="4360">
        <f>IF('6.Inland wetlands'!P48=0, 0, IF('6.Inland wetlands'!P60&lt;'6.Inland wetlands'!P48, 'Inl. wetlands'!C178*44/12*'6.Inland wetlands'!P60, 'Inl. wetlands'!C178*44/12*('6.Inland wetlands'!P48)))</f>
        <v/>
      </c>
      <c r="O178" s="1543" t="n">
        <v>0</v>
      </c>
      <c r="P178" s="4360">
        <f>IF('6.Inland wetlands'!N48=0, 0, IF('6.Inland wetlands'!N60&lt;'6.Inland wetlands'!N48, 'Inl. wetlands'!E178*methane/1000*'6.Inland wetlands'!N60*(1-'6.Inland wetlands'!X60), 'Inl. wetlands'!E178*methane/1000*('6.Inland wetlands'!N48*(1-'6.Inland wetlands'!X60))))</f>
        <v/>
      </c>
      <c r="Q178" s="4360">
        <f>IF('6.Inland wetlands'!P48=0, 0, IF('6.Inland wetlands'!P60&lt;'6.Inland wetlands'!P48, 'Inl. wetlands'!E178*methane/1000*'6.Inland wetlands'!P60*(1-'6.Inland wetlands'!Y60), 'Inl. wetlands'!E178*methane/1000*('6.Inland wetlands'!P48*(1-'6.Inland wetlands'!Y60))))</f>
        <v/>
      </c>
      <c r="R178" s="1543" t="n">
        <v>0</v>
      </c>
      <c r="S178" s="4360">
        <f>IF('6.Inland wetlands'!N48=0, 0, IF('6.Inland wetlands'!N60&lt;'6.Inland wetlands'!N48, 'Inl. wetlands'!G178*44/28*Nitrous/1000*'6.Inland wetlands'!N60, 'Inl. wetlands'!G178*44/28*Nitrous/1000*('6.Inland wetlands'!N48)))</f>
        <v/>
      </c>
      <c r="T178" s="4360">
        <f>IF('6.Inland wetlands'!P48=0, 0, IF('6.Inland wetlands'!P60&lt;'6.Inland wetlands'!P48, 'Inl. wetlands'!G178*44/28*Nitrous/1000*'6.Inland wetlands'!P60, 'Inl. wetlands'!G178*44/28*Nitrous/1000*('6.Inland wetlands'!P48)))</f>
        <v/>
      </c>
      <c r="U178" s="1543" t="n">
        <v>0</v>
      </c>
      <c r="V178" s="4360">
        <f>IF('6.Inland wetlands'!N48=0, 0, IF('6.Inland wetlands'!N60&lt;'6.Inland wetlands'!N48, 'Inl. wetlands'!I178*44/12*'6.Inland wetlands'!N60, 'Inl. wetlands'!I178*44/12*('6.Inland wetlands'!N48)))</f>
        <v/>
      </c>
      <c r="W178" s="4360">
        <f>IF('6.Inland wetlands'!P48=0, 0, IF('6.Inland wetlands'!P60&lt;'6.Inland wetlands'!P48, 'Inl. wetlands'!I178*44/12*'6.Inland wetlands'!P60, 'Inl. wetlands'!I178*44/12*('6.Inland wetlands'!P48)))</f>
        <v/>
      </c>
      <c r="X178" s="4360" t="n">
        <v>0</v>
      </c>
      <c r="Y178" s="4734">
        <f>IF('6.Inland wetlands'!N48=0, 0, IF('6.Inland wetlands'!N60&lt;'6.Inland wetlands'!N48, 'Inl. wetlands'!K178*methane/1000*'6.Inland wetlands'!N60*('6.Inland wetlands'!X60), 'Inl. wetlands'!K178*methane/1000*('6.Inland wetlands'!N48*('6.Inland wetlands'!X60))))</f>
        <v/>
      </c>
      <c r="Z178" s="4734">
        <f>IF('6.Inland wetlands'!P48=0, 0, IF('6.Inland wetlands'!P60&lt;'6.Inland wetlands'!P48, 'Inl. wetlands'!K178*methane/1000*'6.Inland wetlands'!P60*('6.Inland wetlands'!Y60), 'Inl. wetlands'!K178*methane/1000*('6.Inland wetlands'!P48*('6.Inland wetlands'!Y60))))</f>
        <v/>
      </c>
      <c r="AA178" s="1281" t="n"/>
      <c r="AB178" s="3493">
        <f>MIN('Inl. wetlands'!L178,'Inl. wetlands'!M178)*time_tot+ABS('Inl. wetlands'!M178-'Inl. wetlands'!L178)*IF('Inl. wetlands'!M178&gt;'Inl. wetlands'!L178,time_cap+time*(VLOOKUP('6.Inland wetlands'!O60,list!$I$48:$K$50,3,0)),time*(1-(VLOOKUP('6.Inland wetlands'!O60,list!$I$48:$K$50,3,0))))+MIN('Inl. wetlands'!U178,'Inl. wetlands'!V178)*time_tot+ABS('Inl. wetlands'!V178-'Inl. wetlands'!U178)*IF('Inl. wetlands'!V178&gt;'Inl. wetlands'!U178,time_cap+time*(VLOOKUP('6.Inland wetlands'!O60,list!$I$48:$K$50,3,0)),time*(1-(VLOOKUP('6.Inland wetlands'!O60,list!$I$48:$K$50,3,0))))</f>
        <v/>
      </c>
      <c r="AC178" s="3493">
        <f>MIN('Inl. wetlands'!L178,'Inl. wetlands'!N178)*time_tot+ABS('Inl. wetlands'!N178-'Inl. wetlands'!L178)*IF('Inl. wetlands'!N178&gt;'Inl. wetlands'!L178,time_cap+time*(VLOOKUP('6.Inland wetlands'!Q60,list!$I$48:$K$50,3,0)),time*(1-(VLOOKUP('6.Inland wetlands'!Q60,list!$I$48:$K$50,3,0))))+MIN('Inl. wetlands'!U178,'Inl. wetlands'!W178)*time_tot+ABS('Inl. wetlands'!W178-'Inl. wetlands'!U178)*IF('Inl. wetlands'!W178&gt;'Inl. wetlands'!U178,time_cap+time*(VLOOKUP('6.Inland wetlands'!Q60,list!$I$48:$K$50,3,0)),time*(1-(VLOOKUP('6.Inland wetlands'!Q60,list!$I$48:$K$50,3,0))))</f>
        <v/>
      </c>
      <c r="AD178" s="1151">
        <f>MIN('Inl. wetlands'!O178,'Inl. wetlands'!P178)*time_tot+ABS('Inl. wetlands'!P178-'Inl. wetlands'!O178)*IF('Inl. wetlands'!P178&gt;'Inl. wetlands'!O178,time_cap+time*(VLOOKUP('6.Inland wetlands'!O60,list!$I$48:$K$50,3,0)),time*(1-(VLOOKUP('6.Inland wetlands'!O60,list!$I$48:$K$50,3,0))))+MIN('Inl. wetlands'!X178,'Inl. wetlands'!Y178)*time_tot+ABS('Inl. wetlands'!Y178-'Inl. wetlands'!X178)*IF('Inl. wetlands'!Y178&gt;'Inl. wetlands'!X178,time_cap+time*(VLOOKUP('6.Inland wetlands'!O60,list!$I$48:$K$50,3,0)),time*(1-(VLOOKUP('6.Inland wetlands'!O60,list!$I$48:$K$50,3,0))))</f>
        <v/>
      </c>
      <c r="AE178" s="1151">
        <f>MIN('Inl. wetlands'!O178,'Inl. wetlands'!Q178)*time_tot+ABS('Inl. wetlands'!Q178-'Inl. wetlands'!O178)*IF('Inl. wetlands'!Q178&gt;'Inl. wetlands'!O178,time_cap+time*(VLOOKUP('6.Inland wetlands'!Q60,list!$I$48:$K$50,3,0)),time*(1-(VLOOKUP('6.Inland wetlands'!Q60,list!$I$48:$K$50,3,0))))+MIN('Inl. wetlands'!X178,'Inl. wetlands'!Z178)*time_tot+ABS('Inl. wetlands'!Z178-'Inl. wetlands'!X178)*IF('Inl. wetlands'!Z178&gt;'Inl. wetlands'!X178,time_cap+time*(VLOOKUP('6.Inland wetlands'!Q60,list!$I$48:$K$50,3,0)),time*(1-(VLOOKUP('6.Inland wetlands'!Q60,list!$I$48:$K$50,3,0))))</f>
        <v/>
      </c>
      <c r="AF178" s="1151">
        <f>MIN('Inl. wetlands'!R178,'Inl. wetlands'!S178)*time_tot+ABS('Inl. wetlands'!S178-'Inl. wetlands'!R178)*IF('Inl. wetlands'!S178&gt;'Inl. wetlands'!R178,time_cap+time*(VLOOKUP('6.Inland wetlands'!O60,list!$I$48:$K$50,3,0)),time*(1-(VLOOKUP('6.Inland wetlands'!O60,list!$I$48:$K$50,3,0))))</f>
        <v/>
      </c>
      <c r="AG178" s="1151">
        <f>MIN('Inl. wetlands'!R178,'Inl. wetlands'!T178)*time_tot+ABS('Inl. wetlands'!T178-'Inl. wetlands'!R178)*IF('Inl. wetlands'!T178&gt;'Inl. wetlands'!R178,time_cap+time*(VLOOKUP('6.Inland wetlands'!Q60,list!$I$48:$K$50,3,0)),time*(1-(VLOOKUP('6.Inland wetlands'!Q60,list!$I$48:$K$50,3,0))))</f>
        <v/>
      </c>
    </row>
    <row r="179">
      <c r="A179" s="1467" t="inlineStr">
        <is>
          <t>S4</t>
        </is>
      </c>
      <c r="B179" s="1044">
        <f>IFERROR(IF('Inl. wetlands'!$J$145=list!$J$210,INDEX(IPCC!$A$1762:$J$1773,MATCH(clim_moist,IPCC!$A$1781:$A$1792,0),MATCH('Inl. wetlands'!$C154,IPCC!$A$1781:$J$1781,0)),IF('Inl. wetlands'!$J$145=list!$J$211,INDEX(IPCC!$A$1781:$J$1792,MATCH(clim_moist,IPCC!$A$1781:$A$1792,0),MATCH('Inl. wetlands'!$C154,IPCC!$A$1781:$J$1781,0)))),0)</f>
        <v/>
      </c>
      <c r="C179" s="1162">
        <f>IF('6.Inland wetlands'!CG61="",'6.Inland wetlands'!CF61,'6.Inland wetlands'!CG61)</f>
        <v/>
      </c>
      <c r="D179" s="1044">
        <f>IFERROR(IF('Inl. wetlands'!$J$145=list!$J$210,INDEX(IPCC!$A$1818:$J$1829,MATCH(clim_moist,IPCC!$A$1818:$A$1829,0),MATCH('Inl. wetlands'!$C154,IPCC!$A$1818:$J$1818,0)),IF('Inl. wetlands'!$J$145=list!$J$211,INDEX(IPCC!$A$1836:$J$1847,MATCH(clim_moist,IPCC!$A$1836:$A$1847,0),MATCH('Inl. wetlands'!$C154,IPCC!$A$1836:$J$1836,0)))),0)</f>
        <v/>
      </c>
      <c r="E179" s="1162">
        <f>IF('6.Inland wetlands'!CI61="",'6.Inland wetlands'!CH61,'6.Inland wetlands'!CI61)</f>
        <v/>
      </c>
      <c r="F179" s="1044">
        <f>IFERROR(IF('Inl. wetlands'!$J$145=list!$J$210,INDEX(IPCC!$A$1872:$J$1883,MATCH(clim_moist,IPCC!$A$1872:$A$1883,0),MATCH('Inl. wetlands'!$C154,IPCC!$A$1872:$J$1872,0)),IF('Inl. wetlands'!$J$145=list!$J$211,INDEX(IPCC!$A$1890:$J$1901,MATCH(clim_moist,IPCC!$A$1890:$A$1901,0),MATCH('Inl. wetlands'!$C154,IPCC!$A$1890:$J$1890,0)))),0)</f>
        <v/>
      </c>
      <c r="G179" s="1162">
        <f>IF('6.Inland wetlands'!CK61="",'6.Inland wetlands'!CJ61,'6.Inland wetlands'!CK61)</f>
        <v/>
      </c>
      <c r="H179" s="1044">
        <f>IFERROR(IF('Inl. wetlands'!$J$145=list!$J$210,INDEX(IPCC!$A$1800:$J$1811,MATCH(clim_moist,IPCC!$A$1800:$A$1811,0),MATCH('Inl. wetlands'!$C154,IPCC!$A$1800:$J$1800,0)),IF('Inl. wetlands'!$J$145=list!$J$211,INDEX(IPCC!$A$1800:$J$1811,MATCH(clim_moist,IPCC!$A$1800:$A$1811,0),MATCH('Inl. wetlands'!$C154,IPCC!$A$1800:$J$1800,0)))),0)</f>
        <v/>
      </c>
      <c r="I179" s="1162">
        <f>IF('6.Inland wetlands'!CN61="",'6.Inland wetlands'!CM61,'6.Inland wetlands'!CN61)</f>
        <v/>
      </c>
      <c r="J179" s="1111">
        <f>IFERROR(IF('Inl. wetlands'!$J$145=list!$J$210,INDEX(IPCC!$A$1854:$J$1865,MATCH(clim_moist,IPCC!$A$1854:$A$1865,0),MATCH('Inl. wetlands'!$C154,IPCC!$A$1854:$J$1854,0)),IF('Inl. wetlands'!$J$145=list!$J$211,INDEX(IPCC!$A$1854:$J$1865,MATCH(clim_moist,IPCC!$A$1854:$A$1865,0),MATCH('Inl. wetlands'!$C154,IPCC!$A$1854:$J$1854,0)))),0)</f>
        <v/>
      </c>
      <c r="K179" s="1161">
        <f>IF('6.Inland wetlands'!CP61="",'6.Inland wetlands'!CO61,'6.Inland wetlands'!CP61)</f>
        <v/>
      </c>
      <c r="L179" s="1543" t="n">
        <v>0</v>
      </c>
      <c r="M179" s="1543">
        <f>IF('6.Inland wetlands'!N49=0, 0, IF('6.Inland wetlands'!N61&lt;'6.Inland wetlands'!N49, 'Inl. wetlands'!C179*44/12*'6.Inland wetlands'!N61, 'Inl. wetlands'!C179*44/12*('6.Inland wetlands'!N49)))</f>
        <v/>
      </c>
      <c r="N179" s="4360">
        <f>IF('6.Inland wetlands'!P49=0, 0, IF('6.Inland wetlands'!P61&lt;'6.Inland wetlands'!P49, 'Inl. wetlands'!C179*44/12*'6.Inland wetlands'!P61, 'Inl. wetlands'!C179*44/12*('6.Inland wetlands'!P49)))</f>
        <v/>
      </c>
      <c r="O179" s="1543" t="n">
        <v>0</v>
      </c>
      <c r="P179" s="4360">
        <f>IF('6.Inland wetlands'!N49=0, 0, IF('6.Inland wetlands'!N61&lt;'6.Inland wetlands'!N49, 'Inl. wetlands'!E179*methane/1000*'6.Inland wetlands'!N61*(1-'6.Inland wetlands'!X61), 'Inl. wetlands'!E179*methane/1000*('6.Inland wetlands'!N49*(1-'6.Inland wetlands'!X61))))</f>
        <v/>
      </c>
      <c r="Q179" s="4360">
        <f>IF('6.Inland wetlands'!P49=0, 0, IF('6.Inland wetlands'!P61&lt;'6.Inland wetlands'!P49, 'Inl. wetlands'!E179*methane/1000*'6.Inland wetlands'!P61*(1-'6.Inland wetlands'!Y61), 'Inl. wetlands'!E179*methane/1000*('6.Inland wetlands'!P49*(1-'6.Inland wetlands'!Y61))))</f>
        <v/>
      </c>
      <c r="R179" s="1543" t="n">
        <v>0</v>
      </c>
      <c r="S179" s="4360">
        <f>IF('6.Inland wetlands'!N49=0, 0, IF('6.Inland wetlands'!N61&lt;'6.Inland wetlands'!N49, 'Inl. wetlands'!G179*44/28*Nitrous/1000*'6.Inland wetlands'!N61, 'Inl. wetlands'!G179*44/28*Nitrous/1000*('6.Inland wetlands'!N49)))</f>
        <v/>
      </c>
      <c r="T179" s="4360">
        <f>IF('6.Inland wetlands'!P49=0, 0, IF('6.Inland wetlands'!P61&lt;'6.Inland wetlands'!P49, 'Inl. wetlands'!G179*44/28*Nitrous/1000*'6.Inland wetlands'!P61, 'Inl. wetlands'!G179*44/28*Nitrous/1000*('6.Inland wetlands'!P49)))</f>
        <v/>
      </c>
      <c r="U179" s="1543" t="n">
        <v>0</v>
      </c>
      <c r="V179" s="4360">
        <f>IF('6.Inland wetlands'!N49=0, 0, IF('6.Inland wetlands'!N61&lt;'6.Inland wetlands'!N49, 'Inl. wetlands'!I179*44/12*'6.Inland wetlands'!N61, 'Inl. wetlands'!I179*44/12*('6.Inland wetlands'!N49)))</f>
        <v/>
      </c>
      <c r="W179" s="4360">
        <f>IF('6.Inland wetlands'!P49=0, 0, IF('6.Inland wetlands'!P61&lt;'6.Inland wetlands'!P49, 'Inl. wetlands'!I179*44/12*'6.Inland wetlands'!P61, 'Inl. wetlands'!I179*44/12*('6.Inland wetlands'!P49)))</f>
        <v/>
      </c>
      <c r="X179" s="4360" t="n">
        <v>0</v>
      </c>
      <c r="Y179" s="4734">
        <f>IF('6.Inland wetlands'!N49=0, 0, IF('6.Inland wetlands'!N61&lt;'6.Inland wetlands'!N49, 'Inl. wetlands'!K179*methane/1000*'6.Inland wetlands'!N61*('6.Inland wetlands'!X61), 'Inl. wetlands'!K179*methane/1000*('6.Inland wetlands'!N49*('6.Inland wetlands'!X61))))</f>
        <v/>
      </c>
      <c r="Z179" s="4734">
        <f>IF('6.Inland wetlands'!P49=0, 0, IF('6.Inland wetlands'!P61&lt;'6.Inland wetlands'!P49, 'Inl. wetlands'!K179*methane/1000*'6.Inland wetlands'!P61*('6.Inland wetlands'!Y61), 'Inl. wetlands'!K179*methane/1000*('6.Inland wetlands'!P49*('6.Inland wetlands'!Y61))))</f>
        <v/>
      </c>
      <c r="AA179" s="1281" t="n"/>
      <c r="AB179" s="3493">
        <f>MIN('Inl. wetlands'!L179,'Inl. wetlands'!M179)*time_tot+ABS('Inl. wetlands'!M179-'Inl. wetlands'!L179)*IF('Inl. wetlands'!M179&gt;'Inl. wetlands'!L179,time_cap+time*(VLOOKUP('6.Inland wetlands'!O61,list!$I$48:$K$50,3,0)),time*(1-(VLOOKUP('6.Inland wetlands'!O61,list!$I$48:$K$50,3,0))))+MIN('Inl. wetlands'!U179,'Inl. wetlands'!V179)*time_tot+ABS('Inl. wetlands'!V179-'Inl. wetlands'!U179)*IF('Inl. wetlands'!V179&gt;'Inl. wetlands'!U179,time_cap+time*(VLOOKUP('6.Inland wetlands'!O61,list!$I$48:$K$50,3,0)),time*(1-(VLOOKUP('6.Inland wetlands'!O61,list!$I$48:$K$50,3,0))))</f>
        <v/>
      </c>
      <c r="AC179" s="3493">
        <f>MIN('Inl. wetlands'!L179,'Inl. wetlands'!N179)*time_tot+ABS('Inl. wetlands'!N179-'Inl. wetlands'!L179)*IF('Inl. wetlands'!N179&gt;'Inl. wetlands'!L179,time_cap+time*(VLOOKUP('6.Inland wetlands'!Q61,list!$I$48:$K$50,3,0)),time*(1-(VLOOKUP('6.Inland wetlands'!Q61,list!$I$48:$K$50,3,0))))+MIN('Inl. wetlands'!U179,'Inl. wetlands'!W179)*time_tot+ABS('Inl. wetlands'!W179-'Inl. wetlands'!U179)*IF('Inl. wetlands'!W179&gt;'Inl. wetlands'!U179,time_cap+time*(VLOOKUP('6.Inland wetlands'!Q61,list!$I$48:$K$50,3,0)),time*(1-(VLOOKUP('6.Inland wetlands'!Q61,list!$I$48:$K$50,3,0))))</f>
        <v/>
      </c>
      <c r="AD179" s="1151">
        <f>MIN('Inl. wetlands'!O179,'Inl. wetlands'!P179)*time_tot+ABS('Inl. wetlands'!P179-'Inl. wetlands'!O179)*IF('Inl. wetlands'!P179&gt;'Inl. wetlands'!O179,time_cap+time*(VLOOKUP('6.Inland wetlands'!O61,list!$I$48:$K$50,3,0)),time*(1-(VLOOKUP('6.Inland wetlands'!O61,list!$I$48:$K$50,3,0))))+MIN('Inl. wetlands'!X179,'Inl. wetlands'!Y179)*time_tot+ABS('Inl. wetlands'!Y179-'Inl. wetlands'!X179)*IF('Inl. wetlands'!Y179&gt;'Inl. wetlands'!X179,time_cap+time*(VLOOKUP('6.Inland wetlands'!O61,list!$I$48:$K$50,3,0)),time*(1-(VLOOKUP('6.Inland wetlands'!O61,list!$I$48:$K$50,3,0))))</f>
        <v/>
      </c>
      <c r="AE179" s="1151">
        <f>MIN('Inl. wetlands'!O179,'Inl. wetlands'!Q179)*time_tot+ABS('Inl. wetlands'!Q179-'Inl. wetlands'!O179)*IF('Inl. wetlands'!Q179&gt;'Inl. wetlands'!O179,time_cap+time*(VLOOKUP('6.Inland wetlands'!Q61,list!$I$48:$K$50,3,0)),time*(1-(VLOOKUP('6.Inland wetlands'!Q61,list!$I$48:$K$50,3,0))))+MIN('Inl. wetlands'!X179,'Inl. wetlands'!Z179)*time_tot+ABS('Inl. wetlands'!Z179-'Inl. wetlands'!X179)*IF('Inl. wetlands'!Z179&gt;'Inl. wetlands'!X179,time_cap+time*(VLOOKUP('6.Inland wetlands'!Q61,list!$I$48:$K$50,3,0)),time*(1-(VLOOKUP('6.Inland wetlands'!Q61,list!$I$48:$K$50,3,0))))</f>
        <v/>
      </c>
      <c r="AF179" s="1151">
        <f>MIN('Inl. wetlands'!R179,'Inl. wetlands'!S179)*time_tot+ABS('Inl. wetlands'!S179-'Inl. wetlands'!R179)*IF('Inl. wetlands'!S179&gt;'Inl. wetlands'!R179,time_cap+time*(VLOOKUP('6.Inland wetlands'!O61,list!$I$48:$K$50,3,0)),time*(1-(VLOOKUP('6.Inland wetlands'!O61,list!$I$48:$K$50,3,0))))</f>
        <v/>
      </c>
      <c r="AG179" s="1151">
        <f>MIN('Inl. wetlands'!R179,'Inl. wetlands'!T179)*time_tot+ABS('Inl. wetlands'!T179-'Inl. wetlands'!R179)*IF('Inl. wetlands'!T179&gt;'Inl. wetlands'!R179,time_cap+time*(VLOOKUP('6.Inland wetlands'!Q61,list!$I$48:$K$50,3,0)),time*(1-(VLOOKUP('6.Inland wetlands'!Q61,list!$I$48:$K$50,3,0))))</f>
        <v/>
      </c>
    </row>
    <row r="180">
      <c r="A180" s="1467" t="inlineStr">
        <is>
          <t>S5</t>
        </is>
      </c>
      <c r="B180" s="1044">
        <f>IFERROR(IF('Inl. wetlands'!$J$145=list!$J$210,INDEX(IPCC!$A$1762:$J$1773,MATCH(clim_moist,IPCC!$A$1781:$A$1792,0),MATCH('Inl. wetlands'!$C155,IPCC!$A$1781:$J$1781,0)),IF('Inl. wetlands'!$J$145=list!$J$211,INDEX(IPCC!$A$1781:$J$1792,MATCH(clim_moist,IPCC!$A$1781:$A$1792,0),MATCH('Inl. wetlands'!$C155,IPCC!$A$1781:$J$1781,0)))),0)</f>
        <v/>
      </c>
      <c r="C180" s="1162">
        <f>IF('6.Inland wetlands'!CG62="",'6.Inland wetlands'!CF62,'6.Inland wetlands'!CG62)</f>
        <v/>
      </c>
      <c r="D180" s="1044">
        <f>IFERROR(IF('Inl. wetlands'!$J$145=list!$J$210,INDEX(IPCC!$A$1818:$J$1829,MATCH(clim_moist,IPCC!$A$1818:$A$1829,0),MATCH('Inl. wetlands'!$C155,IPCC!$A$1818:$J$1818,0)),IF('Inl. wetlands'!$J$145=list!$J$211,INDEX(IPCC!$A$1836:$J$1847,MATCH(clim_moist,IPCC!$A$1836:$A$1847,0),MATCH('Inl. wetlands'!$C155,IPCC!$A$1836:$J$1836,0)))),0)</f>
        <v/>
      </c>
      <c r="E180" s="1162">
        <f>IF('6.Inland wetlands'!CI62="",'6.Inland wetlands'!CH62,'6.Inland wetlands'!CI62)</f>
        <v/>
      </c>
      <c r="F180" s="1044">
        <f>IFERROR(IF('Inl. wetlands'!$J$145=list!$J$210,INDEX(IPCC!$A$1872:$J$1883,MATCH(clim_moist,IPCC!$A$1872:$A$1883,0),MATCH('Inl. wetlands'!$C155,IPCC!$A$1872:$J$1872,0)),IF('Inl. wetlands'!$J$145=list!$J$211,INDEX(IPCC!$A$1890:$J$1901,MATCH(clim_moist,IPCC!$A$1890:$A$1901,0),MATCH('Inl. wetlands'!$C155,IPCC!$A$1890:$J$1890,0)))),0)</f>
        <v/>
      </c>
      <c r="G180" s="1162">
        <f>IF('6.Inland wetlands'!CK62="",'6.Inland wetlands'!CJ62,'6.Inland wetlands'!CK62)</f>
        <v/>
      </c>
      <c r="H180" s="1044">
        <f>IFERROR(IF('Inl. wetlands'!$J$145=list!$J$210,INDEX(IPCC!$A$1800:$J$1811,MATCH(clim_moist,IPCC!$A$1800:$A$1811,0),MATCH('Inl. wetlands'!$C155,IPCC!$A$1800:$J$1800,0)),IF('Inl. wetlands'!$J$145=list!$J$211,INDEX(IPCC!$A$1800:$J$1811,MATCH(clim_moist,IPCC!$A$1800:$A$1811,0),MATCH('Inl. wetlands'!$C155,IPCC!$A$1800:$J$1800,0)))),0)</f>
        <v/>
      </c>
      <c r="I180" s="1162">
        <f>IF('6.Inland wetlands'!CN62="",'6.Inland wetlands'!CM62,'6.Inland wetlands'!CN62)</f>
        <v/>
      </c>
      <c r="J180" s="1111">
        <f>IFERROR(IF('Inl. wetlands'!$J$145=list!$J$210,INDEX(IPCC!$A$1854:$J$1865,MATCH(clim_moist,IPCC!$A$1854:$A$1865,0),MATCH('Inl. wetlands'!$C155,IPCC!$A$1854:$J$1854,0)),IF('Inl. wetlands'!$J$145=list!$J$211,INDEX(IPCC!$A$1854:$J$1865,MATCH(clim_moist,IPCC!$A$1854:$A$1865,0),MATCH('Inl. wetlands'!$C155,IPCC!$A$1854:$J$1854,0)))),0)</f>
        <v/>
      </c>
      <c r="K180" s="1161">
        <f>IF('6.Inland wetlands'!CP62="",'6.Inland wetlands'!CO62,'6.Inland wetlands'!CP62)</f>
        <v/>
      </c>
      <c r="L180" s="1543" t="n">
        <v>0</v>
      </c>
      <c r="M180" s="1543">
        <f>IF('6.Inland wetlands'!N50=0, 0, IF('6.Inland wetlands'!N62&lt;'6.Inland wetlands'!N50, 'Inl. wetlands'!C180*44/12*'6.Inland wetlands'!N62, 'Inl. wetlands'!C180*44/12*('6.Inland wetlands'!N50)))</f>
        <v/>
      </c>
      <c r="N180" s="4360">
        <f>IF('6.Inland wetlands'!P50=0, 0, IF('6.Inland wetlands'!P62&lt;'6.Inland wetlands'!P50, 'Inl. wetlands'!C180*44/12*'6.Inland wetlands'!P62, 'Inl. wetlands'!C180*44/12*('6.Inland wetlands'!P50)))</f>
        <v/>
      </c>
      <c r="O180" s="1543" t="n">
        <v>0</v>
      </c>
      <c r="P180" s="4360">
        <f>IF('6.Inland wetlands'!N50=0, 0, IF('6.Inland wetlands'!N62&lt;'6.Inland wetlands'!N50, 'Inl. wetlands'!E180*methane/1000*'6.Inland wetlands'!N62*(1-'6.Inland wetlands'!X62), 'Inl. wetlands'!E180*methane/1000*('6.Inland wetlands'!N50*(1-'6.Inland wetlands'!X62))))</f>
        <v/>
      </c>
      <c r="Q180" s="4360">
        <f>IF('6.Inland wetlands'!P50=0, 0, IF('6.Inland wetlands'!P62&lt;'6.Inland wetlands'!P50, 'Inl. wetlands'!E180*methane/1000*'6.Inland wetlands'!P62*(1-'6.Inland wetlands'!Y62), 'Inl. wetlands'!E180*methane/1000*('6.Inland wetlands'!P50*(1-'6.Inland wetlands'!Y62))))</f>
        <v/>
      </c>
      <c r="R180" s="1543" t="n">
        <v>0</v>
      </c>
      <c r="S180" s="4360">
        <f>IF('6.Inland wetlands'!N50=0, 0, IF('6.Inland wetlands'!N62&lt;'6.Inland wetlands'!N50, 'Inl. wetlands'!G180*44/28*Nitrous/1000*'6.Inland wetlands'!N62, 'Inl. wetlands'!G180*44/28*Nitrous/1000*('6.Inland wetlands'!N50)))</f>
        <v/>
      </c>
      <c r="T180" s="4360">
        <f>IF('6.Inland wetlands'!P50=0, 0, IF('6.Inland wetlands'!P62&lt;'6.Inland wetlands'!P50, 'Inl. wetlands'!G180*44/28*Nitrous/1000*'6.Inland wetlands'!P62, 'Inl. wetlands'!G180*44/28*Nitrous/1000*('6.Inland wetlands'!P50)))</f>
        <v/>
      </c>
      <c r="U180" s="1543" t="n">
        <v>0</v>
      </c>
      <c r="V180" s="4360">
        <f>IF('6.Inland wetlands'!N50=0, 0, IF('6.Inland wetlands'!N62&lt;'6.Inland wetlands'!N50, 'Inl. wetlands'!I180*44/12*'6.Inland wetlands'!N62, 'Inl. wetlands'!I180*44/12*('6.Inland wetlands'!N50)))</f>
        <v/>
      </c>
      <c r="W180" s="4360">
        <f>IF('6.Inland wetlands'!P50=0, 0, IF('6.Inland wetlands'!P62&lt;'6.Inland wetlands'!P50, 'Inl. wetlands'!I180*44/12*'6.Inland wetlands'!P62, 'Inl. wetlands'!I180*44/12*('6.Inland wetlands'!P50)))</f>
        <v/>
      </c>
      <c r="X180" s="4360" t="n">
        <v>0</v>
      </c>
      <c r="Y180" s="4734">
        <f>IF('6.Inland wetlands'!N50=0, 0, IF('6.Inland wetlands'!N62&lt;'6.Inland wetlands'!N50, 'Inl. wetlands'!K180*methane/1000*'6.Inland wetlands'!N62*('6.Inland wetlands'!X62), 'Inl. wetlands'!K180*methane/1000*('6.Inland wetlands'!N50*('6.Inland wetlands'!X62))))</f>
        <v/>
      </c>
      <c r="Z180" s="4734">
        <f>IF('6.Inland wetlands'!P50=0, 0, IF('6.Inland wetlands'!P62&lt;'6.Inland wetlands'!P50, 'Inl. wetlands'!K180*methane/1000*'6.Inland wetlands'!P62*('6.Inland wetlands'!Y62), 'Inl. wetlands'!K180*methane/1000*('6.Inland wetlands'!P50*('6.Inland wetlands'!Y62))))</f>
        <v/>
      </c>
      <c r="AA180" s="1281" t="n"/>
      <c r="AB180" s="3493">
        <f>MIN('Inl. wetlands'!L180,'Inl. wetlands'!M180)*time_tot+ABS('Inl. wetlands'!M180-'Inl. wetlands'!L180)*IF('Inl. wetlands'!M180&gt;'Inl. wetlands'!L180,time_cap+time*(VLOOKUP('6.Inland wetlands'!O62,list!$I$48:$K$50,3,0)),time*(1-(VLOOKUP('6.Inland wetlands'!O62,list!$I$48:$K$50,3,0))))+MIN('Inl. wetlands'!U180,'Inl. wetlands'!V180)*time_tot+ABS('Inl. wetlands'!V180-'Inl. wetlands'!U180)*IF('Inl. wetlands'!V180&gt;'Inl. wetlands'!U180,time_cap+time*(VLOOKUP('6.Inland wetlands'!O62,list!$I$48:$K$50,3,0)),time*(1-(VLOOKUP('6.Inland wetlands'!O62,list!$I$48:$K$50,3,0))))</f>
        <v/>
      </c>
      <c r="AC180" s="3493">
        <f>MIN('Inl. wetlands'!L180,'Inl. wetlands'!N180)*time_tot+ABS('Inl. wetlands'!N180-'Inl. wetlands'!L180)*IF('Inl. wetlands'!N180&gt;'Inl. wetlands'!L180,time_cap+time*(VLOOKUP('6.Inland wetlands'!Q62,list!$I$48:$K$50,3,0)),time*(1-(VLOOKUP('6.Inland wetlands'!Q62,list!$I$48:$K$50,3,0))))+MIN('Inl. wetlands'!U180,'Inl. wetlands'!W180)*time_tot+ABS('Inl. wetlands'!W180-'Inl. wetlands'!U180)*IF('Inl. wetlands'!W180&gt;'Inl. wetlands'!U180,time_cap+time*(VLOOKUP('6.Inland wetlands'!Q62,list!$I$48:$K$50,3,0)),time*(1-(VLOOKUP('6.Inland wetlands'!Q62,list!$I$48:$K$50,3,0))))</f>
        <v/>
      </c>
      <c r="AD180" s="1151">
        <f>MIN('Inl. wetlands'!O180,'Inl. wetlands'!P180)*time_tot+ABS('Inl. wetlands'!P180-'Inl. wetlands'!O180)*IF('Inl. wetlands'!P180&gt;'Inl. wetlands'!O180,time_cap+time*(VLOOKUP('6.Inland wetlands'!O62,list!$I$48:$K$50,3,0)),time*(1-(VLOOKUP('6.Inland wetlands'!O62,list!$I$48:$K$50,3,0))))+MIN('Inl. wetlands'!X180,'Inl. wetlands'!Y180)*time_tot+ABS('Inl. wetlands'!Y180-'Inl. wetlands'!X180)*IF('Inl. wetlands'!Y180&gt;'Inl. wetlands'!X180,time_cap+time*(VLOOKUP('6.Inland wetlands'!O62,list!$I$48:$K$50,3,0)),time*(1-(VLOOKUP('6.Inland wetlands'!O62,list!$I$48:$K$50,3,0))))</f>
        <v/>
      </c>
      <c r="AE180" s="1151">
        <f>MIN('Inl. wetlands'!O180,'Inl. wetlands'!Q180)*time_tot+ABS('Inl. wetlands'!Q180-'Inl. wetlands'!O180)*IF('Inl. wetlands'!Q180&gt;'Inl. wetlands'!O180,time_cap+time*(VLOOKUP('6.Inland wetlands'!Q62,list!$I$48:$K$50,3,0)),time*(1-(VLOOKUP('6.Inland wetlands'!Q62,list!$I$48:$K$50,3,0))))+MIN('Inl. wetlands'!X180,'Inl. wetlands'!Z180)*time_tot+ABS('Inl. wetlands'!Z180-'Inl. wetlands'!X180)*IF('Inl. wetlands'!Z180&gt;'Inl. wetlands'!X180,time_cap+time*(VLOOKUP('6.Inland wetlands'!Q62,list!$I$48:$K$50,3,0)),time*(1-(VLOOKUP('6.Inland wetlands'!Q62,list!$I$48:$K$50,3,0))))</f>
        <v/>
      </c>
      <c r="AF180" s="1151">
        <f>MIN('Inl. wetlands'!R180,'Inl. wetlands'!S180)*time_tot+ABS('Inl. wetlands'!S180-'Inl. wetlands'!R180)*IF('Inl. wetlands'!S180&gt;'Inl. wetlands'!R180,time_cap+time*(VLOOKUP('6.Inland wetlands'!O62,list!$I$48:$K$50,3,0)),time*(1-(VLOOKUP('6.Inland wetlands'!O62,list!$I$48:$K$50,3,0))))</f>
        <v/>
      </c>
      <c r="AG180" s="1151">
        <f>MIN('Inl. wetlands'!R180,'Inl. wetlands'!T180)*time_tot+ABS('Inl. wetlands'!T180-'Inl. wetlands'!R180)*IF('Inl. wetlands'!T180&gt;'Inl. wetlands'!R180,time_cap+time*(VLOOKUP('6.Inland wetlands'!Q62,list!$I$48:$K$50,3,0)),time*(1-(VLOOKUP('6.Inland wetlands'!Q62,list!$I$48:$K$50,3,0))))</f>
        <v/>
      </c>
    </row>
    <row r="181">
      <c r="A181" s="1467" t="inlineStr">
        <is>
          <t>S6</t>
        </is>
      </c>
      <c r="B181" s="1044">
        <f>IFERROR(IF('Inl. wetlands'!$J$145=list!$J$210,INDEX(IPCC!$A$1762:$J$1773,MATCH(clim_moist,IPCC!$A$1781:$A$1792,0),MATCH('Inl. wetlands'!$C156,IPCC!$A$1781:$J$1781,0)),IF('Inl. wetlands'!$J$145=list!$J$211,INDEX(IPCC!$A$1781:$J$1792,MATCH(clim_moist,IPCC!$A$1781:$A$1792,0),MATCH('Inl. wetlands'!$C156,IPCC!$A$1781:$J$1781,0)))),0)</f>
        <v/>
      </c>
      <c r="C181" s="1162">
        <f>IF('6.Inland wetlands'!CG63="",'6.Inland wetlands'!CF63,'6.Inland wetlands'!CG63)</f>
        <v/>
      </c>
      <c r="D181" s="1044">
        <f>IFERROR(IF('Inl. wetlands'!$J$145=list!$J$210,INDEX(IPCC!$A$1818:$J$1829,MATCH(clim_moist,IPCC!$A$1818:$A$1829,0),MATCH('Inl. wetlands'!$C156,IPCC!$A$1818:$J$1818,0)),IF('Inl. wetlands'!$J$145=list!$J$211,INDEX(IPCC!$A$1836:$J$1847,MATCH(clim_moist,IPCC!$A$1836:$A$1847,0),MATCH('Inl. wetlands'!$C156,IPCC!$A$1836:$J$1836,0)))),0)</f>
        <v/>
      </c>
      <c r="E181" s="1162">
        <f>IF('6.Inland wetlands'!CI63="",'6.Inland wetlands'!CH63,'6.Inland wetlands'!CI63)</f>
        <v/>
      </c>
      <c r="F181" s="1044">
        <f>IFERROR(IF('Inl. wetlands'!$J$145=list!$J$210,INDEX(IPCC!$A$1872:$J$1883,MATCH(clim_moist,IPCC!$A$1872:$A$1883,0),MATCH('Inl. wetlands'!$C156,IPCC!$A$1872:$J$1872,0)),IF('Inl. wetlands'!$J$145=list!$J$211,INDEX(IPCC!$A$1890:$J$1901,MATCH(clim_moist,IPCC!$A$1890:$A$1901,0),MATCH('Inl. wetlands'!$C156,IPCC!$A$1890:$J$1890,0)))),0)</f>
        <v/>
      </c>
      <c r="G181" s="1162">
        <f>IF('6.Inland wetlands'!CK63="",'6.Inland wetlands'!CJ63,'6.Inland wetlands'!CK63)</f>
        <v/>
      </c>
      <c r="H181" s="1044">
        <f>IFERROR(IF('Inl. wetlands'!$J$145=list!$J$210,INDEX(IPCC!$A$1800:$J$1811,MATCH(clim_moist,IPCC!$A$1800:$A$1811,0),MATCH('Inl. wetlands'!$C156,IPCC!$A$1800:$J$1800,0)),IF('Inl. wetlands'!$J$145=list!$J$211,INDEX(IPCC!$A$1800:$J$1811,MATCH(clim_moist,IPCC!$A$1800:$A$1811,0),MATCH('Inl. wetlands'!$C156,IPCC!$A$1800:$J$1800,0)))),0)</f>
        <v/>
      </c>
      <c r="I181" s="1162">
        <f>IF('6.Inland wetlands'!CN63="",'6.Inland wetlands'!CM63,'6.Inland wetlands'!CN63)</f>
        <v/>
      </c>
      <c r="J181" s="1111">
        <f>IFERROR(IF('Inl. wetlands'!$J$145=list!$J$210,INDEX(IPCC!$A$1854:$J$1865,MATCH(clim_moist,IPCC!$A$1854:$A$1865,0),MATCH('Inl. wetlands'!$C156,IPCC!$A$1854:$J$1854,0)),IF('Inl. wetlands'!$J$145=list!$J$211,INDEX(IPCC!$A$1854:$J$1865,MATCH(clim_moist,IPCC!$A$1854:$A$1865,0),MATCH('Inl. wetlands'!$C156,IPCC!$A$1854:$J$1854,0)))),0)</f>
        <v/>
      </c>
      <c r="K181" s="1161">
        <f>IF('6.Inland wetlands'!CP63="",'6.Inland wetlands'!CO63,'6.Inland wetlands'!CP63)</f>
        <v/>
      </c>
      <c r="L181" s="1543" t="n">
        <v>0</v>
      </c>
      <c r="M181" s="1543">
        <f>IF('6.Inland wetlands'!N51=0, 0, IF('6.Inland wetlands'!N63&lt;'6.Inland wetlands'!N51, 'Inl. wetlands'!C181*44/12*'6.Inland wetlands'!N63, 'Inl. wetlands'!C181*44/12*('6.Inland wetlands'!N51)))</f>
        <v/>
      </c>
      <c r="N181" s="4360">
        <f>IF('6.Inland wetlands'!P51=0, 0, IF('6.Inland wetlands'!P63&lt;'6.Inland wetlands'!P51, 'Inl. wetlands'!C181*44/12*'6.Inland wetlands'!P63, 'Inl. wetlands'!C181*44/12*('6.Inland wetlands'!P51)))</f>
        <v/>
      </c>
      <c r="O181" s="1543" t="n">
        <v>0</v>
      </c>
      <c r="P181" s="4360">
        <f>IF('6.Inland wetlands'!N51=0, 0, IF('6.Inland wetlands'!N63&lt;'6.Inland wetlands'!N51, 'Inl. wetlands'!E181*methane/1000*'6.Inland wetlands'!N63*(1-'6.Inland wetlands'!X63), 'Inl. wetlands'!E181*methane/1000*('6.Inland wetlands'!N51*(1-'6.Inland wetlands'!X63))))</f>
        <v/>
      </c>
      <c r="Q181" s="4360">
        <f>IF('6.Inland wetlands'!P51=0, 0, IF('6.Inland wetlands'!P63&lt;'6.Inland wetlands'!P51, 'Inl. wetlands'!E181*methane/1000*'6.Inland wetlands'!P63*(1-'6.Inland wetlands'!Y63), 'Inl. wetlands'!E181*methane/1000*('6.Inland wetlands'!P51*(1-'6.Inland wetlands'!Y63))))</f>
        <v/>
      </c>
      <c r="R181" s="1543" t="n">
        <v>0</v>
      </c>
      <c r="S181" s="4360">
        <f>IF('6.Inland wetlands'!N51=0, 0, IF('6.Inland wetlands'!N63&lt;'6.Inland wetlands'!N51, 'Inl. wetlands'!G181*44/28*Nitrous/1000*'6.Inland wetlands'!N63, 'Inl. wetlands'!G181*44/28*Nitrous/1000*('6.Inland wetlands'!N51)))</f>
        <v/>
      </c>
      <c r="T181" s="4360">
        <f>IF('6.Inland wetlands'!P51=0, 0, IF('6.Inland wetlands'!P63&lt;'6.Inland wetlands'!P51, 'Inl. wetlands'!G181*44/28*Nitrous/1000*'6.Inland wetlands'!P63, 'Inl. wetlands'!G181*44/28*Nitrous/1000*('6.Inland wetlands'!P51)))</f>
        <v/>
      </c>
      <c r="U181" s="1543" t="n">
        <v>0</v>
      </c>
      <c r="V181" s="4360">
        <f>IF('6.Inland wetlands'!N51=0, 0, IF('6.Inland wetlands'!N63&lt;'6.Inland wetlands'!N51, 'Inl. wetlands'!I181*44/12*'6.Inland wetlands'!N63, 'Inl. wetlands'!I181*44/12*('6.Inland wetlands'!N51)))</f>
        <v/>
      </c>
      <c r="W181" s="4360">
        <f>IF('6.Inland wetlands'!P51=0, 0, IF('6.Inland wetlands'!P63&lt;'6.Inland wetlands'!P51, 'Inl. wetlands'!I181*44/12*'6.Inland wetlands'!P63, 'Inl. wetlands'!I181*44/12*('6.Inland wetlands'!P51)))</f>
        <v/>
      </c>
      <c r="X181" s="4360" t="n">
        <v>0</v>
      </c>
      <c r="Y181" s="4734">
        <f>IF('6.Inland wetlands'!N51=0, 0, IF('6.Inland wetlands'!N63&lt;'6.Inland wetlands'!N51, 'Inl. wetlands'!K181*methane/1000*'6.Inland wetlands'!N63*('6.Inland wetlands'!X63), 'Inl. wetlands'!K181*methane/1000*('6.Inland wetlands'!N51*('6.Inland wetlands'!X63))))</f>
        <v/>
      </c>
      <c r="Z181" s="4734">
        <f>IF('6.Inland wetlands'!P51=0, 0, IF('6.Inland wetlands'!P63&lt;'6.Inland wetlands'!P51, 'Inl. wetlands'!K181*methane/1000*'6.Inland wetlands'!P63*('6.Inland wetlands'!Y63), 'Inl. wetlands'!K181*methane/1000*('6.Inland wetlands'!P51*('6.Inland wetlands'!Y63))))</f>
        <v/>
      </c>
      <c r="AA181" s="1281" t="n"/>
      <c r="AB181" s="3493">
        <f>MIN('Inl. wetlands'!L181,'Inl. wetlands'!M181)*time_tot+ABS('Inl. wetlands'!M181-'Inl. wetlands'!L181)*IF('Inl. wetlands'!M181&gt;'Inl. wetlands'!L181,time_cap+time*(VLOOKUP('6.Inland wetlands'!O63,list!$I$48:$K$50,3,0)),time*(1-(VLOOKUP('6.Inland wetlands'!O63,list!$I$48:$K$50,3,0))))+MIN('Inl. wetlands'!U181,'Inl. wetlands'!V181)*time_tot+ABS('Inl. wetlands'!V181-'Inl. wetlands'!U181)*IF('Inl. wetlands'!V181&gt;'Inl. wetlands'!U181,time_cap+time*(VLOOKUP('6.Inland wetlands'!O63,list!$I$48:$K$50,3,0)),time*(1-(VLOOKUP('6.Inland wetlands'!O63,list!$I$48:$K$50,3,0))))</f>
        <v/>
      </c>
      <c r="AC181" s="3493">
        <f>MIN('Inl. wetlands'!L181,'Inl. wetlands'!N181)*time_tot+ABS('Inl. wetlands'!N181-'Inl. wetlands'!L181)*IF('Inl. wetlands'!N181&gt;'Inl. wetlands'!L181,time_cap+time*(VLOOKUP('6.Inland wetlands'!Q63,list!$I$48:$K$50,3,0)),time*(1-(VLOOKUP('6.Inland wetlands'!Q63,list!$I$48:$K$50,3,0))))+MIN('Inl. wetlands'!U181,'Inl. wetlands'!W181)*time_tot+ABS('Inl. wetlands'!W181-'Inl. wetlands'!U181)*IF('Inl. wetlands'!W181&gt;'Inl. wetlands'!U181,time_cap+time*(VLOOKUP('6.Inland wetlands'!Q63,list!$I$48:$K$50,3,0)),time*(1-(VLOOKUP('6.Inland wetlands'!Q63,list!$I$48:$K$50,3,0))))</f>
        <v/>
      </c>
      <c r="AD181" s="1151">
        <f>MIN('Inl. wetlands'!O181,'Inl. wetlands'!P181)*time_tot+ABS('Inl. wetlands'!P181-'Inl. wetlands'!O181)*IF('Inl. wetlands'!P181&gt;'Inl. wetlands'!O181,time_cap+time*(VLOOKUP('6.Inland wetlands'!O63,list!$I$48:$K$50,3,0)),time*(1-(VLOOKUP('6.Inland wetlands'!O63,list!$I$48:$K$50,3,0))))+MIN('Inl. wetlands'!X181,'Inl. wetlands'!Y181)*time_tot+ABS('Inl. wetlands'!Y181-'Inl. wetlands'!X181)*IF('Inl. wetlands'!Y181&gt;'Inl. wetlands'!X181,time_cap+time*(VLOOKUP('6.Inland wetlands'!O63,list!$I$48:$K$50,3,0)),time*(1-(VLOOKUP('6.Inland wetlands'!O63,list!$I$48:$K$50,3,0))))</f>
        <v/>
      </c>
      <c r="AE181" s="1151">
        <f>MIN('Inl. wetlands'!O181,'Inl. wetlands'!Q181)*time_tot+ABS('Inl. wetlands'!Q181-'Inl. wetlands'!O181)*IF('Inl. wetlands'!Q181&gt;'Inl. wetlands'!O181,time_cap+time*(VLOOKUP('6.Inland wetlands'!Q63,list!$I$48:$K$50,3,0)),time*(1-(VLOOKUP('6.Inland wetlands'!Q63,list!$I$48:$K$50,3,0))))+MIN('Inl. wetlands'!X181,'Inl. wetlands'!Z181)*time_tot+ABS('Inl. wetlands'!Z181-'Inl. wetlands'!X181)*IF('Inl. wetlands'!Z181&gt;'Inl. wetlands'!X181,time_cap+time*(VLOOKUP('6.Inland wetlands'!Q63,list!$I$48:$K$50,3,0)),time*(1-(VLOOKUP('6.Inland wetlands'!Q63,list!$I$48:$K$50,3,0))))</f>
        <v/>
      </c>
      <c r="AF181" s="1151">
        <f>MIN('Inl. wetlands'!R181,'Inl. wetlands'!S181)*time_tot+ABS('Inl. wetlands'!S181-'Inl. wetlands'!R181)*IF('Inl. wetlands'!S181&gt;'Inl. wetlands'!R181,time_cap+time*(VLOOKUP('6.Inland wetlands'!O63,list!$I$48:$K$50,3,0)),time*(1-(VLOOKUP('6.Inland wetlands'!O63,list!$I$48:$K$50,3,0))))</f>
        <v/>
      </c>
      <c r="AG181" s="1151">
        <f>MIN('Inl. wetlands'!R181,'Inl. wetlands'!T181)*time_tot+ABS('Inl. wetlands'!T181-'Inl. wetlands'!R181)*IF('Inl. wetlands'!T181&gt;'Inl. wetlands'!R181,time_cap+time*(VLOOKUP('6.Inland wetlands'!Q63,list!$I$48:$K$50,3,0)),time*(1-(VLOOKUP('6.Inland wetlands'!Q63,list!$I$48:$K$50,3,0))))</f>
        <v/>
      </c>
    </row>
    <row r="182">
      <c r="X182" s="1281" t="n"/>
      <c r="Y182" s="1281" t="n"/>
      <c r="Z182" s="1281" t="n"/>
      <c r="AA182" s="1281" t="n"/>
    </row>
    <row r="183">
      <c r="X183" s="1281" t="n"/>
      <c r="Y183" s="1281" t="n"/>
      <c r="Z183" s="1281" t="n"/>
      <c r="AA183" s="1281" t="n"/>
    </row>
    <row r="184">
      <c r="X184" s="1281" t="n"/>
      <c r="Y184" s="1281" t="n"/>
      <c r="Z184" s="1281" t="n"/>
      <c r="AA184" s="1281" t="n"/>
    </row>
    <row r="185">
      <c r="AA185" s="1688" t="n"/>
      <c r="AB185" s="1688" t="n"/>
      <c r="AX185" s="1451">
        <f>SUM(AX165:AX170)</f>
        <v/>
      </c>
      <c r="AY185" s="1451">
        <f>SUM(AY165:AY170)</f>
        <v/>
      </c>
      <c r="AZ185" s="1451">
        <f>SUM(AZ165:AZ170)</f>
        <v/>
      </c>
      <c r="BA185" s="1451">
        <f>SUM(BA165:BA170)</f>
        <v/>
      </c>
      <c r="BB185" s="1451">
        <f>SUM(BB165:BB170)</f>
        <v/>
      </c>
      <c r="BC185" s="1451">
        <f>SUM(BC165:BC170)</f>
        <v/>
      </c>
      <c r="BD185" s="1451">
        <f>SUM(BD165:BD170)</f>
        <v/>
      </c>
      <c r="BE185" s="1451">
        <f>SUM(BE165:BE170)</f>
        <v/>
      </c>
      <c r="BF185" s="1451">
        <f>SUM(BF165:BF170)</f>
        <v/>
      </c>
      <c r="BG185" s="1451">
        <f>SUM(BG165:BG170)</f>
        <v/>
      </c>
    </row>
    <row r="186">
      <c r="AY186" s="1451">
        <f>AY185-AX185</f>
        <v/>
      </c>
      <c r="AZ186" s="1451" t="n"/>
      <c r="BA186" s="1451">
        <f>BA185-AZ185</f>
        <v/>
      </c>
      <c r="BB186" s="1451" t="n"/>
      <c r="BC186" s="1451">
        <f>BC185-BB185</f>
        <v/>
      </c>
      <c r="BD186" s="1451" t="n"/>
      <c r="BE186" s="1451">
        <f>BE185-BD185</f>
        <v/>
      </c>
      <c r="BF186" s="1451" t="n"/>
      <c r="BG186" s="1451">
        <f>BG185-BF185</f>
        <v/>
      </c>
    </row>
    <row r="187" ht="30.5" customFormat="1" customHeight="1" s="1089">
      <c r="B187" s="1112" t="inlineStr">
        <is>
          <t>Emissions associated with rewetting</t>
        </is>
      </c>
      <c r="C187" s="1113" t="n"/>
      <c r="D187" s="1113" t="n"/>
      <c r="E187" s="1113" t="n"/>
      <c r="F187" s="1113" t="n"/>
      <c r="G187" s="1113" t="n"/>
      <c r="H187" s="1113" t="n"/>
      <c r="I187" s="1113" t="n"/>
      <c r="J187" s="1113" t="n"/>
      <c r="K187" s="1113" t="n"/>
      <c r="L187" s="1113" t="n"/>
      <c r="M187" s="1113" t="n"/>
      <c r="N187" s="1113" t="n"/>
      <c r="O187" s="1113" t="n"/>
      <c r="P187" s="1113" t="n"/>
      <c r="Q187" s="1113" t="n"/>
      <c r="R187" s="1113" t="n"/>
      <c r="S187" s="1113" t="n"/>
      <c r="T187" s="1113" t="n"/>
      <c r="U187" s="1113" t="n"/>
      <c r="V187" s="1113" t="n"/>
      <c r="W187" s="1113" t="n"/>
      <c r="X187" s="1113" t="n"/>
      <c r="Y187" s="1113" t="n"/>
      <c r="Z187" s="1113" t="n"/>
      <c r="AA187" s="1113" t="n"/>
      <c r="AB187" s="1113" t="n"/>
      <c r="AC187" s="1113" t="n"/>
      <c r="AD187" s="1113" t="n"/>
      <c r="AE187" s="1113" t="n"/>
      <c r="AF187" s="1113" t="n"/>
      <c r="AG187" s="1113" t="n"/>
      <c r="AH187" s="1113" t="n"/>
      <c r="AI187" s="1113" t="n"/>
      <c r="AJ187" s="1113" t="n"/>
      <c r="AK187" s="1113" t="n"/>
      <c r="AX187" s="1287" t="inlineStr">
        <is>
          <t>REWETTING</t>
        </is>
      </c>
      <c r="AY187" s="1501" t="n"/>
      <c r="AZ187" s="1501" t="n"/>
      <c r="BA187" s="1501" t="n"/>
      <c r="BB187" s="1501" t="n"/>
      <c r="BC187" s="1264" t="n"/>
      <c r="BD187" s="1271" t="n"/>
      <c r="BE187" s="1264" t="n"/>
      <c r="BF187" s="1264" t="n"/>
      <c r="BG187" s="1264" t="n"/>
    </row>
    <row r="188" ht="17" customHeight="1">
      <c r="P188" s="2171" t="inlineStr">
        <is>
          <t xml:space="preserve">NB we should consider the % of ditches in the start secnario, which is still not the case. This will impact tehr esults for rewetting emissions. Need to be fixed in the new subversion. </t>
        </is>
      </c>
      <c r="AX188" s="1502" t="inlineStr">
        <is>
          <t>CO2</t>
        </is>
      </c>
      <c r="AY188" s="1502" t="n"/>
      <c r="AZ188" s="1502" t="inlineStr">
        <is>
          <t>CH4</t>
        </is>
      </c>
      <c r="BA188" s="1502" t="n"/>
      <c r="BB188" s="1502" t="inlineStr">
        <is>
          <t>N2O</t>
        </is>
      </c>
      <c r="BC188" s="1450" t="n"/>
      <c r="BD188" s="1450" t="n"/>
      <c r="BE188" s="1450" t="n"/>
      <c r="BF188" s="1450" t="n"/>
      <c r="BG188" s="1450" t="n"/>
    </row>
    <row r="189" ht="16.5" customHeight="1">
      <c r="A189" s="1462" t="n"/>
      <c r="D189" s="1262" t="inlineStr">
        <is>
          <t xml:space="preserve">Rewetted area </t>
        </is>
      </c>
      <c r="E189" s="1262" t="n"/>
      <c r="F189" s="1262" t="n"/>
      <c r="G189" s="1262" t="n"/>
      <c r="H189" s="1513" t="inlineStr">
        <is>
          <t>On site emissions factors</t>
        </is>
      </c>
      <c r="I189" s="1514" t="n"/>
      <c r="J189" s="1514" t="n"/>
      <c r="K189" s="1515" t="n"/>
      <c r="L189" s="1514" t="n"/>
      <c r="M189" s="1516" t="n"/>
      <c r="N189" s="1516" t="inlineStr">
        <is>
          <t>Off-site EF</t>
        </is>
      </c>
      <c r="O189" s="1516" t="n"/>
      <c r="P189" s="1481" t="inlineStr">
        <is>
          <t>Total emissions in tCO2-eq per year</t>
        </is>
      </c>
      <c r="Q189" s="1482" t="n"/>
      <c r="R189" s="1482" t="n"/>
      <c r="S189" s="1482" t="n"/>
      <c r="T189" s="1482" t="n"/>
      <c r="U189" s="1482" t="n"/>
      <c r="V189" s="1482" t="n"/>
      <c r="W189" s="1482" t="n"/>
      <c r="X189" s="1482" t="n"/>
      <c r="AB189" s="1471" t="inlineStr">
        <is>
          <t>REWETTING EMISSIONS</t>
        </is>
      </c>
      <c r="AC189" s="1470" t="n"/>
      <c r="AD189" s="1470" t="n"/>
      <c r="AE189" s="1470" t="n"/>
      <c r="AF189" s="1470" t="n"/>
      <c r="AG189" s="1470" t="n"/>
      <c r="AX189" s="1264" t="inlineStr">
        <is>
          <t>IMPLEMENTATION PHASE</t>
        </is>
      </c>
      <c r="AZ189" s="1264" t="inlineStr">
        <is>
          <t>IMPLEMENTATION PHASE</t>
        </is>
      </c>
      <c r="BB189" s="1264" t="inlineStr">
        <is>
          <t>IMPLEMENTATION PHASE</t>
        </is>
      </c>
    </row>
    <row r="190" ht="16" customHeight="1">
      <c r="A190" s="1462" t="n"/>
      <c r="D190" s="1521" t="inlineStr">
        <is>
          <t>WITHOUT</t>
        </is>
      </c>
      <c r="E190" s="1521" t="n"/>
      <c r="F190" s="1522" t="inlineStr">
        <is>
          <t>WITH</t>
        </is>
      </c>
      <c r="G190" s="1522" t="n"/>
      <c r="H190" s="1517" t="inlineStr">
        <is>
          <t>CO2 (IPCC 2013)</t>
        </is>
      </c>
      <c r="I190" s="1518" t="n"/>
      <c r="J190" s="1517" t="inlineStr">
        <is>
          <t>CH4 (IPCC 2013)</t>
        </is>
      </c>
      <c r="K190" s="1518" t="n"/>
      <c r="L190" s="1517" t="inlineStr">
        <is>
          <t>N2O (IPCC 2013)</t>
        </is>
      </c>
      <c r="M190" s="1518" t="n"/>
      <c r="N190" s="1517" t="inlineStr">
        <is>
          <t>DOC (IPCC 2013)</t>
        </is>
      </c>
      <c r="O190" s="1518" t="n"/>
      <c r="P190" s="1482" t="n"/>
      <c r="Q190" s="1482" t="n"/>
      <c r="R190" s="1482" t="n"/>
      <c r="S190" s="1482" t="n"/>
      <c r="T190" s="1482" t="n"/>
      <c r="U190" s="1482" t="n"/>
      <c r="V190" s="1482" t="n"/>
      <c r="W190" s="1482" t="n"/>
      <c r="X190" s="1482" t="n"/>
      <c r="AB190" s="1471" t="inlineStr">
        <is>
          <t>Emissions in tCO2-eq all period</t>
        </is>
      </c>
      <c r="AC190" s="1471" t="n"/>
      <c r="AD190" s="1471" t="n"/>
      <c r="AE190" s="1470" t="n"/>
      <c r="AF190" s="1471" t="n"/>
      <c r="AG190" s="1470" t="n"/>
      <c r="AX190" s="1272" t="inlineStr">
        <is>
          <t>WITHOUT</t>
        </is>
      </c>
      <c r="AY190" s="1272" t="inlineStr">
        <is>
          <t>WITH</t>
        </is>
      </c>
      <c r="AZ190" s="1272" t="inlineStr">
        <is>
          <t>WITHOUT</t>
        </is>
      </c>
      <c r="BA190" s="1272" t="inlineStr">
        <is>
          <t>WITH</t>
        </is>
      </c>
      <c r="BB190" s="1272" t="inlineStr">
        <is>
          <t>WITHOUT</t>
        </is>
      </c>
      <c r="BC190" s="1272" t="inlineStr">
        <is>
          <t>WITH</t>
        </is>
      </c>
      <c r="BD190" s="1272" t="n"/>
      <c r="BE190" s="1272" t="n"/>
      <c r="BF190" s="1272" t="n"/>
      <c r="BG190" s="1272" t="n"/>
    </row>
    <row r="191" ht="16" customHeight="1">
      <c r="A191" s="1462" t="n"/>
      <c r="B191" s="1281">
        <f>D149</f>
        <v/>
      </c>
      <c r="C191" s="1281" t="n"/>
      <c r="D191" s="1521" t="n"/>
      <c r="E191" s="1521" t="n"/>
      <c r="F191" s="1522" t="n"/>
      <c r="G191" s="1522" t="n"/>
      <c r="H191" s="1519" t="inlineStr">
        <is>
          <t>tC/ha/yr</t>
        </is>
      </c>
      <c r="I191" s="1519" t="n"/>
      <c r="J191" s="1519" t="inlineStr">
        <is>
          <t>kgCH4/ha/yr</t>
        </is>
      </c>
      <c r="K191" s="1519" t="n"/>
      <c r="L191" s="1519" t="inlineStr">
        <is>
          <t>kgN2O-N/ha/yr</t>
        </is>
      </c>
      <c r="M191" s="1519" t="n"/>
      <c r="N191" s="1519" t="inlineStr">
        <is>
          <t>tC/ha/yr</t>
        </is>
      </c>
      <c r="O191" s="1519" t="n"/>
      <c r="P191" s="1482" t="inlineStr">
        <is>
          <t>CO2&amp;DOC</t>
        </is>
      </c>
      <c r="Q191" s="1482" t="n"/>
      <c r="R191" s="1482" t="n"/>
      <c r="S191" s="1482" t="inlineStr">
        <is>
          <t>CH4</t>
        </is>
      </c>
      <c r="T191" s="1482" t="n"/>
      <c r="U191" s="1482" t="n"/>
      <c r="V191" s="1482" t="inlineStr">
        <is>
          <t>N2O-N</t>
        </is>
      </c>
      <c r="W191" s="1482" t="n"/>
      <c r="X191" s="1482" t="n"/>
      <c r="Z191" s="1231" t="n"/>
      <c r="AB191" s="1472" t="inlineStr">
        <is>
          <t>CO2&amp;DOC</t>
        </is>
      </c>
      <c r="AC191" s="1472" t="n"/>
      <c r="AD191" s="1472" t="inlineStr">
        <is>
          <t>CH4</t>
        </is>
      </c>
      <c r="AE191" s="1472" t="n"/>
      <c r="AF191" s="1472" t="inlineStr">
        <is>
          <t>N2O-N</t>
        </is>
      </c>
      <c r="AG191" s="1472" t="n"/>
      <c r="AX191" s="1449">
        <f>'Inl. wetlands'!$Q193*time*(VLOOKUP($E193,list!$J$48:$K$50,2,0))</f>
        <v/>
      </c>
      <c r="AY191" s="1449">
        <f>'Inl. wetlands'!$R193*time*(VLOOKUP($G193,list!$J$48:$K$50,2,0))</f>
        <v/>
      </c>
      <c r="AZ191" s="1449">
        <f>'Inl. wetlands'!$T193*time*(VLOOKUP($E193,list!$J$48:$K$50,2,0))</f>
        <v/>
      </c>
      <c r="BA191" s="1449">
        <f>'Inl. wetlands'!$U193*time*(VLOOKUP($G193,list!$J$48:$K$50,2,0))</f>
        <v/>
      </c>
      <c r="BB191" s="1449">
        <f>'Inl. wetlands'!$W193*time*(VLOOKUP($E193,list!$J$48:$K$50,2,0))</f>
        <v/>
      </c>
      <c r="BC191" s="1449">
        <f>'Inl. wetlands'!$X193*time*(VLOOKUP($G193,list!$J$48:$K$50,2,0))</f>
        <v/>
      </c>
      <c r="BD191" s="1449" t="n"/>
      <c r="BE191" s="1449" t="n"/>
      <c r="BF191" s="1449" t="n"/>
      <c r="BG191" s="1449" t="n"/>
    </row>
    <row r="192" ht="16" customHeight="1">
      <c r="A192" s="1462" t="n"/>
      <c r="B192" s="1281">
        <f>D150</f>
        <v/>
      </c>
      <c r="C192" s="1281">
        <f>E150</f>
        <v/>
      </c>
      <c r="D192" s="1523">
        <f>F150</f>
        <v/>
      </c>
      <c r="E192" s="1523">
        <f>G150</f>
        <v/>
      </c>
      <c r="F192" s="1524">
        <f>J150</f>
        <v/>
      </c>
      <c r="G192" s="1524">
        <f>K150</f>
        <v/>
      </c>
      <c r="H192" s="1520" t="inlineStr">
        <is>
          <t>Default</t>
        </is>
      </c>
      <c r="I192" s="1520" t="inlineStr">
        <is>
          <t>Tier 2</t>
        </is>
      </c>
      <c r="J192" s="1520" t="inlineStr">
        <is>
          <t>Default</t>
        </is>
      </c>
      <c r="K192" s="1520" t="inlineStr">
        <is>
          <t>Tier 2</t>
        </is>
      </c>
      <c r="L192" s="1520" t="inlineStr">
        <is>
          <t>Default</t>
        </is>
      </c>
      <c r="M192" s="1520" t="inlineStr">
        <is>
          <t>Tier 2</t>
        </is>
      </c>
      <c r="N192" s="1520" t="inlineStr">
        <is>
          <t>Default</t>
        </is>
      </c>
      <c r="O192" s="1520" t="inlineStr">
        <is>
          <t>Tier 2</t>
        </is>
      </c>
      <c r="P192" s="973" t="inlineStr">
        <is>
          <t>Start</t>
        </is>
      </c>
      <c r="Q192" s="1100" t="inlineStr">
        <is>
          <t>Without</t>
        </is>
      </c>
      <c r="R192" s="1101" t="inlineStr">
        <is>
          <t>With</t>
        </is>
      </c>
      <c r="S192" s="973" t="inlineStr">
        <is>
          <t>Start</t>
        </is>
      </c>
      <c r="T192" s="1100" t="inlineStr">
        <is>
          <t>Without</t>
        </is>
      </c>
      <c r="U192" s="1101" t="inlineStr">
        <is>
          <t>With</t>
        </is>
      </c>
      <c r="V192" s="973" t="inlineStr">
        <is>
          <t>Start</t>
        </is>
      </c>
      <c r="W192" s="1100" t="inlineStr">
        <is>
          <t>Without</t>
        </is>
      </c>
      <c r="X192" s="1101" t="inlineStr">
        <is>
          <t>With</t>
        </is>
      </c>
      <c r="AB192" s="1102" t="inlineStr">
        <is>
          <t>Without</t>
        </is>
      </c>
      <c r="AC192" s="1103" t="inlineStr">
        <is>
          <t>With</t>
        </is>
      </c>
      <c r="AD192" s="1102" t="inlineStr">
        <is>
          <t>Without</t>
        </is>
      </c>
      <c r="AE192" s="1103" t="inlineStr">
        <is>
          <t>With</t>
        </is>
      </c>
      <c r="AF192" s="1102" t="inlineStr">
        <is>
          <t>Without</t>
        </is>
      </c>
      <c r="AG192" s="1103" t="inlineStr">
        <is>
          <t>With</t>
        </is>
      </c>
      <c r="AX192" s="1449">
        <f>$Q194*time*(VLOOKUP($E194,list!$J$48:$K$50,2,0))</f>
        <v/>
      </c>
      <c r="AY192" s="1449">
        <f>$R194*time*(VLOOKUP($G194,list!$J$48:$K$50,2,0))</f>
        <v/>
      </c>
      <c r="AZ192" s="1449">
        <f>$T194*time*(VLOOKUP($E194,list!$J$48:$K$50,2,0))</f>
        <v/>
      </c>
      <c r="BA192" s="1449">
        <f>$U194*time*(VLOOKUP($G194,list!$J$48:$K$50,2,0))</f>
        <v/>
      </c>
      <c r="BB192" s="1449">
        <f>$W194*time*(VLOOKUP($E194,list!$J$48:$K$50,2,0))</f>
        <v/>
      </c>
      <c r="BC192" s="1449">
        <f>$X194*time*(VLOOKUP($G194,list!$J$48:$K$50,2,0))</f>
        <v/>
      </c>
      <c r="BD192" s="1449" t="n"/>
      <c r="BE192" s="1449" t="n"/>
      <c r="BF192" s="1449" t="n"/>
      <c r="BG192" s="1449" t="n"/>
    </row>
    <row r="193">
      <c r="A193" s="1493" t="inlineStr">
        <is>
          <t>S1</t>
        </is>
      </c>
      <c r="B193" s="1281">
        <f>D151</f>
        <v/>
      </c>
      <c r="C193" s="1121">
        <f>E151</f>
        <v/>
      </c>
      <c r="D193" s="992">
        <f>IF('6.Inland wetlands'!S58='6.Inland wetlands'!K58, 0, IF(('6.Inland wetlands'!T58-'6.Inland wetlands'!S58)-'6.Inland wetlands'!N46&gt;0,('6.Inland wetlands'!T58-'6.Inland wetlands'!S58)-'6.Inland wetlands'!N46,0))</f>
        <v/>
      </c>
      <c r="E193" s="1688">
        <f>G151</f>
        <v/>
      </c>
      <c r="F193" s="992">
        <f>IF(('6.Inland wetlands'!U58-'6.Inland wetlands'!S58)-'6.Inland wetlands'!P46&gt;0,('6.Inland wetlands'!U58-'6.Inland wetlands'!S58)-'6.Inland wetlands'!P46,0)</f>
        <v/>
      </c>
      <c r="G193" s="1688">
        <f>K151</f>
        <v/>
      </c>
      <c r="H193" s="1004">
        <f>IFERROR(IF($D151="Please select",0,IF($D$145="Nutrient poor",INDEX(IPCC!$A$1910:$J$1921,MATCH(clim_moist,IPCC!$A$1910:$A$1921,0),MATCH($E151,IPCC!$A$1910:$J$1910,0)),INDEX(IPCC!$A$1928:$J$1939,MATCH(clim_moist,IPCC!$A$1928:$A$1939,0),MATCH($E151,IPCC!$A$1928:$J$1928,0)))),0)</f>
        <v/>
      </c>
      <c r="I193" s="1259">
        <f>IF('6.Inland wetlands'!$DY46="",'6.Inland wetlands'!$DX46,'6.Inland wetlands'!$DY46)</f>
        <v/>
      </c>
      <c r="J193" s="1004">
        <f>IFERROR(IF($D151="Please select",0,IF($D$145="Nutrient poor",INDEX(IPCC!$A$1964:$J$1975,MATCH(clim_moist,IPCC!$A$1964:$A$1975,0),MATCH($E151,IPCC!$A$1964:$J$1964,0)),INDEX(IPCC!$A$1982:$J$1993,MATCH(clim_moist,IPCC!$A$1982:$A$1993,0),MATCH($E151,IPCC!$A$1982:$J$1982,0)))),0)</f>
        <v/>
      </c>
      <c r="K193" s="1259">
        <f>IF('6.Inland wetlands'!$EA46="",'6.Inland wetlands'!$DZ46,'6.Inland wetlands'!$EA46)</f>
        <v/>
      </c>
      <c r="L193" s="1004">
        <f>IFERROR(IF($D151="Please select",0,INDEX(IPCC!$A$2000:$J$2011,MATCH(clim_moist,IPCC!$A$2000:$A$2011,0),MATCH($E151,IPCC!$A$2000:$J$2000,0))),0)</f>
        <v/>
      </c>
      <c r="M193" s="1259">
        <f>IF('6.Inland wetlands'!$EC46="",'6.Inland wetlands'!$EB46,'6.Inland wetlands'!$EC46)</f>
        <v/>
      </c>
      <c r="N193" s="1260">
        <f>IFERROR(IF($D151="Please select",0,INDEX(IPCC!$A$1946:$J$1957,MATCH(clim_moist,IPCC!$A$1946:$A$1957,0),MATCH($E151,IPCC!$A$1946:$J$1946,0))),0)</f>
        <v/>
      </c>
      <c r="O193" s="1259">
        <f>IF('6.Inland wetlands'!$EF46="",'6.Inland wetlands'!$EE46,'6.Inland wetlands'!$EF46)</f>
        <v/>
      </c>
      <c r="P193" s="3493" t="n">
        <v>0</v>
      </c>
      <c r="Q193" s="3493">
        <f>SUM('Inl. wetlands'!$I193,$O193)*44/12*'Inl. wetlands'!D193</f>
        <v/>
      </c>
      <c r="R193" s="1151">
        <f>SUM('Inl. wetlands'!$I193,$O193)*44/12*'Inl. wetlands'!F193</f>
        <v/>
      </c>
      <c r="S193" s="3493" t="n">
        <v>0</v>
      </c>
      <c r="T193" s="1151">
        <f>'Inl. wetlands'!$K193/1000*16/12*methane*'Inl. wetlands'!D193</f>
        <v/>
      </c>
      <c r="U193" s="1151">
        <f>'Inl. wetlands'!$K193/1000*16/12*methane*'Inl. wetlands'!F193</f>
        <v/>
      </c>
      <c r="V193" s="3493" t="n">
        <v>0</v>
      </c>
      <c r="W193" s="1151">
        <f>'Inl. wetlands'!$M193/1000*44/28*Nitrous*'Inl. wetlands'!D193</f>
        <v/>
      </c>
      <c r="X193" s="3494">
        <f>'Inl. wetlands'!$M193/1000*44/28*Nitrous*'Inl. wetlands'!F193</f>
        <v/>
      </c>
      <c r="AB193" s="3493">
        <f>MIN('Inl. wetlands'!P193,'Inl. wetlands'!Q193)*time_tot+ABS('Inl. wetlands'!Q193-'Inl. wetlands'!P193)*IF('Inl. wetlands'!Q193&gt;'Inl. wetlands'!P193,time_cap+time*(VLOOKUP('6.Inland wetlands'!O58,list!$I$48:$K$50,3,0)),time*(1-(VLOOKUP('6.Inland wetlands'!O58,list!$I$48:$K$50,3,0))))</f>
        <v/>
      </c>
      <c r="AC193" s="3493">
        <f>MIN('Inl. wetlands'!P193,'Inl. wetlands'!R193)*time_tot+ABS('Inl. wetlands'!R193-'Inl. wetlands'!P193)*IF('Inl. wetlands'!R193&gt;'Inl. wetlands'!P193,time_cap+time*(VLOOKUP('6.Inland wetlands'!Q58,list!$I$48:$K$50,3,0)),time*(1-(VLOOKUP('6.Inland wetlands'!Q58,list!$I$48:$K$50,3,0))))</f>
        <v/>
      </c>
      <c r="AD193" s="3493">
        <f>MIN('Inl. wetlands'!S193,'Inl. wetlands'!T193)*time_tot+ABS('Inl. wetlands'!T193-'Inl. wetlands'!S193)*IF('Inl. wetlands'!T193&gt;'Inl. wetlands'!S193,time_cap+time*(VLOOKUP('6.Inland wetlands'!O58,list!$I$48:$K$50,3,0)),time*(1-(VLOOKUP('6.Inland wetlands'!O58,list!$I$48:$K$50,3,0))))</f>
        <v/>
      </c>
      <c r="AE193" s="3493">
        <f>MIN('Inl. wetlands'!S193,'Inl. wetlands'!U193)*time_tot+ABS('Inl. wetlands'!U193-'Inl. wetlands'!S193)*IF('Inl. wetlands'!U193&gt;'Inl. wetlands'!S193,time_cap+time*(VLOOKUP('6.Inland wetlands'!Q58,list!$I$48:$K$50,3,0)),time*(1-(VLOOKUP('6.Inland wetlands'!Q58,list!$I$48:$K$50,3,0))))</f>
        <v/>
      </c>
      <c r="AF193" s="3493">
        <f>MIN('Inl. wetlands'!V193,'Inl. wetlands'!W193)*time_tot+ABS('Inl. wetlands'!W193-'Inl. wetlands'!V193)*IF('Inl. wetlands'!W193&gt;'Inl. wetlands'!V193,time_cap+time*(VLOOKUP('6.Inland wetlands'!O58,list!$I$48:$K$50,3,0)),time*(1-(VLOOKUP('6.Inland wetlands'!O58,list!$I$48:$K$50,3,0))))</f>
        <v/>
      </c>
      <c r="AG193" s="3493">
        <f>MIN('Inl. wetlands'!V193,'Inl. wetlands'!X193)*time_tot+ABS('Inl. wetlands'!X193-'Inl. wetlands'!V193)*IF('Inl. wetlands'!X193&gt;'Inl. wetlands'!V193,time_cap+time*(VLOOKUP('6.Inland wetlands'!Q58,list!$I$48:$K$50,3,0)),time*(1-(VLOOKUP('6.Inland wetlands'!Q58,list!$I$48:$K$50,3,0))))</f>
        <v/>
      </c>
      <c r="AX193" s="1449">
        <f>$Q195*time*(VLOOKUP($E195,list!$J$48:$K$50,2,0))</f>
        <v/>
      </c>
      <c r="AY193" s="1449">
        <f>$R195*time*(VLOOKUP($G195,list!$J$48:$K$50,2,0))</f>
        <v/>
      </c>
      <c r="AZ193" s="1449">
        <f>$T195*time*(VLOOKUP($E195,list!$J$48:$K$50,2,0))</f>
        <v/>
      </c>
      <c r="BA193" s="1449">
        <f>$U195*time*(VLOOKUP($G195,list!$J$48:$K$50,2,0))</f>
        <v/>
      </c>
      <c r="BB193" s="1449">
        <f>$W195*time*(VLOOKUP($E195,list!$J$48:$K$50,2,0))</f>
        <v/>
      </c>
      <c r="BC193" s="1449">
        <f>$X195*time*(VLOOKUP($G195,list!$J$48:$K$50,2,0))</f>
        <v/>
      </c>
      <c r="BD193" s="1449" t="n"/>
      <c r="BE193" s="1449" t="n"/>
      <c r="BF193" s="1449" t="n"/>
      <c r="BG193" s="1449" t="n"/>
    </row>
    <row r="194">
      <c r="A194" s="1493" t="inlineStr">
        <is>
          <t>S2</t>
        </is>
      </c>
      <c r="B194" s="1281">
        <f>D152</f>
        <v/>
      </c>
      <c r="C194" s="1121">
        <f>E152</f>
        <v/>
      </c>
      <c r="D194" s="992">
        <f>IF('6.Inland wetlands'!S59='6.Inland wetlands'!K59, 0, IF(('6.Inland wetlands'!T59-'6.Inland wetlands'!S59)-'6.Inland wetlands'!N47&gt;0,('6.Inland wetlands'!T59-'6.Inland wetlands'!S59)-'6.Inland wetlands'!N47,0))</f>
        <v/>
      </c>
      <c r="E194" s="1688">
        <f>G152</f>
        <v/>
      </c>
      <c r="F194" s="992">
        <f>IF(('6.Inland wetlands'!U59-'6.Inland wetlands'!S59)-'6.Inland wetlands'!P47&gt;0,('6.Inland wetlands'!U59-'6.Inland wetlands'!S59)-'6.Inland wetlands'!P47,0)</f>
        <v/>
      </c>
      <c r="G194" s="1688">
        <f>K152</f>
        <v/>
      </c>
      <c r="H194" s="1004">
        <f>IFERROR(IF($D152="Please select",0,IF($D$145="Nutrient poor",INDEX(IPCC!$A$1910:$J$1921,MATCH(clim_moist,IPCC!$A$1910:$A$1921,0),MATCH($E152,IPCC!$A$1910:$J$1910,0)),INDEX(IPCC!$A$1928:$J$1939,MATCH(clim_moist,IPCC!$A$1928:$A$1939,0),MATCH($E152,IPCC!$A$1928:$J$1928,0)))),0)</f>
        <v/>
      </c>
      <c r="I194" s="1259">
        <f>IF('6.Inland wetlands'!$DY47="",'6.Inland wetlands'!$DX47,'6.Inland wetlands'!$DY47)</f>
        <v/>
      </c>
      <c r="J194" s="1004">
        <f>IFERROR(IF($D152="Please select",0,IF($D$145="Nutrient poor",INDEX(IPCC!$A$1964:$J$1975,MATCH(clim_moist,IPCC!$A$1964:$A$1975,0),MATCH($E152,IPCC!$A$1964:$J$1964,0)),INDEX(IPCC!$A$1982:$J$1993,MATCH(clim_moist,IPCC!$A$1982:$A$1993,0),MATCH($E152,IPCC!$A$1982:$J$1982,0)))),0)</f>
        <v/>
      </c>
      <c r="K194" s="1259">
        <f>IF('6.Inland wetlands'!$EA47="",'6.Inland wetlands'!$DZ47,'6.Inland wetlands'!$EA47)</f>
        <v/>
      </c>
      <c r="L194" s="1004">
        <f>IFERROR(IF($D152="Please select",0,INDEX(IPCC!$A$2000:$J$2011,MATCH(clim_moist,IPCC!$A$2000:$A$2011,0),MATCH($E152,IPCC!$A$2000:$J$2000,0))),0)</f>
        <v/>
      </c>
      <c r="M194" s="1259">
        <f>IF('6.Inland wetlands'!$EC47="",'6.Inland wetlands'!$EB47,'6.Inland wetlands'!$EC47)</f>
        <v/>
      </c>
      <c r="N194" s="1260">
        <f>IFERROR(IF($D152="Please select",0,INDEX(IPCC!$A$1946:$J$1957,MATCH(clim_moist,IPCC!$A$1946:$A$1957,0),MATCH($E152,IPCC!$A$1946:$J$1946,0))),0)</f>
        <v/>
      </c>
      <c r="O194" s="1259">
        <f>IF('6.Inland wetlands'!$EF47="",'6.Inland wetlands'!$EE47,'6.Inland wetlands'!$EF47)</f>
        <v/>
      </c>
      <c r="P194" s="3493" t="n">
        <v>0</v>
      </c>
      <c r="Q194" s="3493">
        <f>SUM('Inl. wetlands'!$I194,$O194)*44/12*'Inl. wetlands'!D194</f>
        <v/>
      </c>
      <c r="R194" s="1151">
        <f>SUM('Inl. wetlands'!$I194,$O194)*44/12*'Inl. wetlands'!F194</f>
        <v/>
      </c>
      <c r="S194" s="3493" t="n">
        <v>0</v>
      </c>
      <c r="T194" s="1151">
        <f>'Inl. wetlands'!$K194/1000*16/12*methane*'Inl. wetlands'!D194</f>
        <v/>
      </c>
      <c r="U194" s="1151">
        <f>'Inl. wetlands'!$K194/1000*16/12*methane*'Inl. wetlands'!F194</f>
        <v/>
      </c>
      <c r="V194" s="3493" t="n">
        <v>0</v>
      </c>
      <c r="W194" s="1151">
        <f>'Inl. wetlands'!$M194/1000*44/28*Nitrous*'Inl. wetlands'!D194</f>
        <v/>
      </c>
      <c r="X194" s="3494">
        <f>'Inl. wetlands'!$M194/1000*44/28*Nitrous*'Inl. wetlands'!F194</f>
        <v/>
      </c>
      <c r="AB194" s="3493">
        <f>MIN('Inl. wetlands'!P194,'Inl. wetlands'!Q194)*time_tot+ABS('Inl. wetlands'!Q194-'Inl. wetlands'!P194)*IF('Inl. wetlands'!Q194&gt;'Inl. wetlands'!P194,time_cap+time*(VLOOKUP('6.Inland wetlands'!O59,list!$I$48:$K$50,3,0)),time*(1-(VLOOKUP('6.Inland wetlands'!O59,list!$I$48:$K$50,3,0))))</f>
        <v/>
      </c>
      <c r="AC194" s="3493">
        <f>MIN('Inl. wetlands'!P194,'Inl. wetlands'!R194)*time_tot+ABS('Inl. wetlands'!R194-'Inl. wetlands'!P194)*IF('Inl. wetlands'!R194&gt;'Inl. wetlands'!P194,time_cap+time*(VLOOKUP('6.Inland wetlands'!Q59,list!$I$48:$K$50,3,0)),time*(1-(VLOOKUP('6.Inland wetlands'!Q59,list!$I$48:$K$50,3,0))))</f>
        <v/>
      </c>
      <c r="AD194" s="3493">
        <f>MIN('Inl. wetlands'!S194,'Inl. wetlands'!T194)*time_tot+ABS('Inl. wetlands'!T194-'Inl. wetlands'!S194)*IF('Inl. wetlands'!T194&gt;'Inl. wetlands'!S194,time_cap+time*(VLOOKUP('6.Inland wetlands'!O59,list!$I$48:$K$50,3,0)),time*(1-(VLOOKUP('6.Inland wetlands'!O59,list!$I$48:$K$50,3,0))))</f>
        <v/>
      </c>
      <c r="AE194" s="3493">
        <f>MIN('Inl. wetlands'!S194,'Inl. wetlands'!U194)*time_tot+ABS('Inl. wetlands'!U194-'Inl. wetlands'!S194)*IF('Inl. wetlands'!U194&gt;'Inl. wetlands'!S194,time_cap+time*(VLOOKUP('6.Inland wetlands'!Q59,list!$I$48:$K$50,3,0)),time*(1-(VLOOKUP('6.Inland wetlands'!Q59,list!$I$48:$K$50,3,0))))</f>
        <v/>
      </c>
      <c r="AF194" s="3493">
        <f>MIN('Inl. wetlands'!V194,'Inl. wetlands'!W194)*time_tot+ABS('Inl. wetlands'!W194-'Inl. wetlands'!V194)*IF('Inl. wetlands'!W194&gt;'Inl. wetlands'!V194,time_cap+time*(VLOOKUP('6.Inland wetlands'!O59,list!$I$48:$K$50,3,0)),time*(1-(VLOOKUP('6.Inland wetlands'!O59,list!$I$48:$K$50,3,0))))</f>
        <v/>
      </c>
      <c r="AG194" s="3493">
        <f>MIN('Inl. wetlands'!V194,'Inl. wetlands'!X194)*time_tot+ABS('Inl. wetlands'!X194-'Inl. wetlands'!V194)*IF('Inl. wetlands'!X194&gt;'Inl. wetlands'!V194,time_cap+time*(VLOOKUP('6.Inland wetlands'!Q59,list!$I$48:$K$50,3,0)),time*(1-(VLOOKUP('6.Inland wetlands'!Q59,list!$I$48:$K$50,3,0))))</f>
        <v/>
      </c>
      <c r="AX194" s="1449">
        <f>$Q196*time*(VLOOKUP($E196,list!$J$48:$K$50,2,0))</f>
        <v/>
      </c>
      <c r="AY194" s="1449">
        <f>$R196*time*(VLOOKUP($G196,list!$J$48:$K$50,2,0))</f>
        <v/>
      </c>
      <c r="AZ194" s="1449">
        <f>$T196*time*(VLOOKUP($E196,list!$J$48:$K$50,2,0))</f>
        <v/>
      </c>
      <c r="BA194" s="1449">
        <f>$U196*time*(VLOOKUP($G196,list!$J$48:$K$50,2,0))</f>
        <v/>
      </c>
      <c r="BB194" s="1449">
        <f>$W196*time*(VLOOKUP($E196,list!$J$48:$K$50,2,0))</f>
        <v/>
      </c>
      <c r="BC194" s="1449">
        <f>$X196*time*(VLOOKUP($G196,list!$J$48:$K$50,2,0))</f>
        <v/>
      </c>
      <c r="BD194" s="1449" t="n"/>
      <c r="BE194" s="1449" t="n"/>
      <c r="BF194" s="1449" t="n"/>
      <c r="BG194" s="1449" t="n"/>
    </row>
    <row r="195">
      <c r="A195" s="1493" t="inlineStr">
        <is>
          <t>S3</t>
        </is>
      </c>
      <c r="B195" s="1281">
        <f>D153</f>
        <v/>
      </c>
      <c r="C195" s="1121">
        <f>E153</f>
        <v/>
      </c>
      <c r="D195" s="992">
        <f>IF('6.Inland wetlands'!S60='6.Inland wetlands'!K60, 0, IF(('6.Inland wetlands'!T60-'6.Inland wetlands'!S60)-'6.Inland wetlands'!N48&gt;0,('6.Inland wetlands'!T60-'6.Inland wetlands'!S60)-'6.Inland wetlands'!N48,0))</f>
        <v/>
      </c>
      <c r="E195" s="1688">
        <f>G153</f>
        <v/>
      </c>
      <c r="F195" s="992">
        <f>IF(('6.Inland wetlands'!U60-'6.Inland wetlands'!S60)-'6.Inland wetlands'!P48&gt;0,('6.Inland wetlands'!U60-'6.Inland wetlands'!S60)-'6.Inland wetlands'!P48,0)</f>
        <v/>
      </c>
      <c r="G195" s="1688">
        <f>K153</f>
        <v/>
      </c>
      <c r="H195" s="1004">
        <f>IFERROR(IF($D153="Please select",0,IF($D$145="Nutrient poor",INDEX(IPCC!$A$1910:$J$1921,MATCH(clim_moist,IPCC!$A$1910:$A$1921,0),MATCH($E153,IPCC!$A$1910:$J$1910,0)),INDEX(IPCC!$A$1928:$J$1939,MATCH(clim_moist,IPCC!$A$1928:$A$1939,0),MATCH($E153,IPCC!$A$1928:$J$1928,0)))),0)</f>
        <v/>
      </c>
      <c r="I195" s="1259">
        <f>IF('6.Inland wetlands'!$DY48="",'6.Inland wetlands'!$DX48,'6.Inland wetlands'!$DY48)</f>
        <v/>
      </c>
      <c r="J195" s="1004">
        <f>IFERROR(IF($D153="Please select",0,IF($D$145="Nutrient poor",INDEX(IPCC!$A$1964:$J$1975,MATCH(clim_moist,IPCC!$A$1964:$A$1975,0),MATCH($E153,IPCC!$A$1964:$J$1964,0)),INDEX(IPCC!$A$1982:$J$1993,MATCH(clim_moist,IPCC!$A$1982:$A$1993,0),MATCH($E153,IPCC!$A$1982:$J$1982,0)))),0)</f>
        <v/>
      </c>
      <c r="K195" s="1259">
        <f>IF('6.Inland wetlands'!$EA48="",'6.Inland wetlands'!$DZ48,'6.Inland wetlands'!$EA48)</f>
        <v/>
      </c>
      <c r="L195" s="1004">
        <f>IFERROR(IF($D153="Please select",0,INDEX(IPCC!$A$2000:$J$2011,MATCH(clim_moist,IPCC!$A$2000:$A$2011,0),MATCH($E153,IPCC!$A$2000:$J$2000,0))),0)</f>
        <v/>
      </c>
      <c r="M195" s="1259">
        <f>IF('6.Inland wetlands'!$EC48="",'6.Inland wetlands'!$EB48,'6.Inland wetlands'!$EC48)</f>
        <v/>
      </c>
      <c r="N195" s="1260">
        <f>IFERROR(IF($D153="Please select",0,INDEX(IPCC!$A$1946:$J$1957,MATCH(clim_moist,IPCC!$A$1946:$A$1957,0),MATCH($E153,IPCC!$A$1946:$J$1946,0))),0)</f>
        <v/>
      </c>
      <c r="O195" s="1259">
        <f>IF('6.Inland wetlands'!$EF48="",'6.Inland wetlands'!$EE48,'6.Inland wetlands'!$EF48)</f>
        <v/>
      </c>
      <c r="P195" s="3493" t="n">
        <v>0</v>
      </c>
      <c r="Q195" s="3493">
        <f>SUM('Inl. wetlands'!$I195,$O195)*44/12*'Inl. wetlands'!D195</f>
        <v/>
      </c>
      <c r="R195" s="1151">
        <f>SUM('Inl. wetlands'!$I195,$O195)*44/12*'Inl. wetlands'!F195</f>
        <v/>
      </c>
      <c r="S195" s="3493" t="n">
        <v>0</v>
      </c>
      <c r="T195" s="1151">
        <f>'Inl. wetlands'!$K195/1000*16/12*methane*'Inl. wetlands'!D195</f>
        <v/>
      </c>
      <c r="U195" s="1151">
        <f>'Inl. wetlands'!$K195/1000*16/12*methane*'Inl. wetlands'!F195</f>
        <v/>
      </c>
      <c r="V195" s="3493" t="n">
        <v>0</v>
      </c>
      <c r="W195" s="1151">
        <f>'Inl. wetlands'!$M195/1000*44/28*Nitrous*'Inl. wetlands'!D195</f>
        <v/>
      </c>
      <c r="X195" s="3494">
        <f>'Inl. wetlands'!$M195/1000*44/28*Nitrous*'Inl. wetlands'!F195</f>
        <v/>
      </c>
      <c r="AB195" s="3493">
        <f>MIN('Inl. wetlands'!P195,'Inl. wetlands'!Q195)*time_tot+ABS('Inl. wetlands'!Q195-'Inl. wetlands'!P195)*IF('Inl. wetlands'!Q195&gt;'Inl. wetlands'!P195,time_cap+time*(VLOOKUP('6.Inland wetlands'!O60,list!$I$48:$K$50,3,0)),time*(1-(VLOOKUP('6.Inland wetlands'!O60,list!$I$48:$K$50,3,0))))</f>
        <v/>
      </c>
      <c r="AC195" s="3493">
        <f>MIN('Inl. wetlands'!P195,'Inl. wetlands'!R195)*time_tot+ABS('Inl. wetlands'!R195-'Inl. wetlands'!P195)*IF('Inl. wetlands'!R195&gt;'Inl. wetlands'!P195,time_cap+time*(VLOOKUP('6.Inland wetlands'!Q60,list!$I$48:$K$50,3,0)),time*(1-(VLOOKUP('6.Inland wetlands'!Q60,list!$I$48:$K$50,3,0))))</f>
        <v/>
      </c>
      <c r="AD195" s="3493">
        <f>MIN('Inl. wetlands'!S195,'Inl. wetlands'!T195)*time_tot+ABS('Inl. wetlands'!T195-'Inl. wetlands'!S195)*IF('Inl. wetlands'!T195&gt;'Inl. wetlands'!S195,time_cap+time*(VLOOKUP('6.Inland wetlands'!O60,list!$I$48:$K$50,3,0)),time*(1-(VLOOKUP('6.Inland wetlands'!O60,list!$I$48:$K$50,3,0))))</f>
        <v/>
      </c>
      <c r="AE195" s="3493">
        <f>MIN('Inl. wetlands'!S195,'Inl. wetlands'!U195)*time_tot+ABS('Inl. wetlands'!U195-'Inl. wetlands'!S195)*IF('Inl. wetlands'!U195&gt;'Inl. wetlands'!S195,time_cap+time*(VLOOKUP('6.Inland wetlands'!Q60,list!$I$48:$K$50,3,0)),time*(1-(VLOOKUP('6.Inland wetlands'!Q60,list!$I$48:$K$50,3,0))))</f>
        <v/>
      </c>
      <c r="AF195" s="3493">
        <f>MIN('Inl. wetlands'!V195,'Inl. wetlands'!W195)*time_tot+ABS('Inl. wetlands'!W195-'Inl. wetlands'!V195)*IF('Inl. wetlands'!W195&gt;'Inl. wetlands'!V195,time_cap+time*(VLOOKUP('6.Inland wetlands'!O60,list!$I$48:$K$50,3,0)),time*(1-(VLOOKUP('6.Inland wetlands'!O60,list!$I$48:$K$50,3,0))))</f>
        <v/>
      </c>
      <c r="AG195" s="3493">
        <f>MIN('Inl. wetlands'!V195,'Inl. wetlands'!X195)*time_tot+ABS('Inl. wetlands'!X195-'Inl. wetlands'!V195)*IF('Inl. wetlands'!X195&gt;'Inl. wetlands'!V195,time_cap+time*(VLOOKUP('6.Inland wetlands'!Q60,list!$I$48:$K$50,3,0)),time*(1-(VLOOKUP('6.Inland wetlands'!Q60,list!$I$48:$K$50,3,0))))</f>
        <v/>
      </c>
      <c r="AX195" s="1449">
        <f>$Q197*time*(VLOOKUP($E197,list!$J$48:$K$50,2,0))</f>
        <v/>
      </c>
      <c r="AY195" s="1449">
        <f>$R197*time*(VLOOKUP($G197,list!$J$48:$K$50,2,0))</f>
        <v/>
      </c>
      <c r="AZ195" s="1449">
        <f>$T197*time*(VLOOKUP($E197,list!$J$48:$K$50,2,0))</f>
        <v/>
      </c>
      <c r="BA195" s="1449">
        <f>$U197*time*(VLOOKUP($G197,list!$J$48:$K$50,2,0))</f>
        <v/>
      </c>
      <c r="BB195" s="1449">
        <f>$W197*time*(VLOOKUP($E197,list!$J$48:$K$50,2,0))</f>
        <v/>
      </c>
      <c r="BC195" s="1449">
        <f>$X197*time*(VLOOKUP($G197,list!$J$48:$K$50,2,0))</f>
        <v/>
      </c>
      <c r="BD195" s="1449" t="n"/>
      <c r="BE195" s="1449" t="n"/>
      <c r="BF195" s="1449" t="n"/>
      <c r="BG195" s="1449" t="n"/>
    </row>
    <row r="196" ht="16" customHeight="1">
      <c r="A196" s="1493" t="inlineStr">
        <is>
          <t>S4</t>
        </is>
      </c>
      <c r="B196" s="1281">
        <f>D154</f>
        <v/>
      </c>
      <c r="C196" s="1121">
        <f>E154</f>
        <v/>
      </c>
      <c r="D196" s="992">
        <f>IF('6.Inland wetlands'!S61='6.Inland wetlands'!K61, 0, IF(('6.Inland wetlands'!T61-'6.Inland wetlands'!S61)-'6.Inland wetlands'!N49&gt;0,('6.Inland wetlands'!T61-'6.Inland wetlands'!S61)-'6.Inland wetlands'!N49,0))</f>
        <v/>
      </c>
      <c r="E196" s="1688">
        <f>G154</f>
        <v/>
      </c>
      <c r="F196" s="992">
        <f>IF(('6.Inland wetlands'!U61-'6.Inland wetlands'!S61)-'6.Inland wetlands'!P49&gt;0,('6.Inland wetlands'!U61-'6.Inland wetlands'!S61)-'6.Inland wetlands'!P49,0)</f>
        <v/>
      </c>
      <c r="G196" s="1688">
        <f>K154</f>
        <v/>
      </c>
      <c r="H196" s="1004">
        <f>IFERROR(IF($D154="Please select",0,IF($D$145="Nutrient poor",INDEX(IPCC!$A$1910:$J$1921,MATCH(clim_moist,IPCC!$A$1910:$A$1921,0),MATCH($E154,IPCC!$A$1910:$J$1910,0)),INDEX(IPCC!$A$1928:$J$1939,MATCH(clim_moist,IPCC!$A$1928:$A$1939,0),MATCH($E154,IPCC!$A$1928:$J$1928,0)))),0)</f>
        <v/>
      </c>
      <c r="I196" s="1259">
        <f>IF('6.Inland wetlands'!$DY49="",'6.Inland wetlands'!$DX49,'6.Inland wetlands'!$DY49)</f>
        <v/>
      </c>
      <c r="J196" s="1004">
        <f>IFERROR(IF($D154="Please select",0,IF($D$145="Nutrient poor",INDEX(IPCC!$A$1964:$J$1975,MATCH(clim_moist,IPCC!$A$1964:$A$1975,0),MATCH($E154,IPCC!$A$1964:$J$1964,0)),INDEX(IPCC!$A$1982:$J$1993,MATCH(clim_moist,IPCC!$A$1982:$A$1993,0),MATCH($E154,IPCC!$A$1982:$J$1982,0)))),0)</f>
        <v/>
      </c>
      <c r="K196" s="1259">
        <f>IF('6.Inland wetlands'!$EA49="",'6.Inland wetlands'!$DZ49,'6.Inland wetlands'!$EA49)</f>
        <v/>
      </c>
      <c r="L196" s="1004">
        <f>IFERROR(IF($D154="Please select",0,INDEX(IPCC!$A$2000:$J$2011,MATCH(clim_moist,IPCC!$A$2000:$A$2011,0),MATCH($E154,IPCC!$A$2000:$J$2000,0))),0)</f>
        <v/>
      </c>
      <c r="M196" s="1259">
        <f>IF('6.Inland wetlands'!$EC49="",'6.Inland wetlands'!$EB49,'6.Inland wetlands'!$EC49)</f>
        <v/>
      </c>
      <c r="N196" s="1260">
        <f>IFERROR(IF($D154="Please select",0,INDEX(IPCC!$A$1946:$J$1957,MATCH(clim_moist,IPCC!$A$1946:$A$1957,0),MATCH($E154,IPCC!$A$1946:$J$1946,0))),0)</f>
        <v/>
      </c>
      <c r="O196" s="1259">
        <f>IF('6.Inland wetlands'!$EF49="",'6.Inland wetlands'!$EE49,'6.Inland wetlands'!$EF49)</f>
        <v/>
      </c>
      <c r="P196" s="3493" t="n">
        <v>0</v>
      </c>
      <c r="Q196" s="3493">
        <f>SUM('Inl. wetlands'!$I196,$O196)*44/12*'Inl. wetlands'!D196</f>
        <v/>
      </c>
      <c r="R196" s="1151">
        <f>SUM('Inl. wetlands'!$I196,$O196)*44/12*'Inl. wetlands'!F196</f>
        <v/>
      </c>
      <c r="S196" s="3493" t="n">
        <v>0</v>
      </c>
      <c r="T196" s="1151">
        <f>'Inl. wetlands'!$K196/1000*16/12*methane*'Inl. wetlands'!D196</f>
        <v/>
      </c>
      <c r="U196" s="1151">
        <f>'Inl. wetlands'!$K196/1000*16/12*methane*'Inl. wetlands'!F196</f>
        <v/>
      </c>
      <c r="V196" s="3493" t="n">
        <v>0</v>
      </c>
      <c r="W196" s="1151">
        <f>'Inl. wetlands'!$M196/1000*44/28*Nitrous*'Inl. wetlands'!D196</f>
        <v/>
      </c>
      <c r="X196" s="3494">
        <f>'Inl. wetlands'!$M196/1000*44/28*Nitrous*'Inl. wetlands'!F196</f>
        <v/>
      </c>
      <c r="AB196" s="3493">
        <f>MIN('Inl. wetlands'!P196,'Inl. wetlands'!Q196)*time_tot+ABS('Inl. wetlands'!Q196-'Inl. wetlands'!P196)*IF('Inl. wetlands'!Q196&gt;'Inl. wetlands'!P196,time_cap+time*(VLOOKUP('6.Inland wetlands'!O61,list!$I$48:$K$50,3,0)),time*(1-(VLOOKUP('6.Inland wetlands'!O61,list!$I$48:$K$50,3,0))))</f>
        <v/>
      </c>
      <c r="AC196" s="3493">
        <f>MIN('Inl. wetlands'!P196,'Inl. wetlands'!R196)*time_tot+ABS('Inl. wetlands'!R196-'Inl. wetlands'!P196)*IF('Inl. wetlands'!R196&gt;'Inl. wetlands'!P196,time_cap+time*(VLOOKUP('6.Inland wetlands'!Q61,list!$I$48:$K$50,3,0)),time*(1-(VLOOKUP('6.Inland wetlands'!Q61,list!$I$48:$K$50,3,0))))</f>
        <v/>
      </c>
      <c r="AD196" s="3493">
        <f>MIN('Inl. wetlands'!S196,'Inl. wetlands'!T196)*time_tot+ABS('Inl. wetlands'!T196-'Inl. wetlands'!S196)*IF('Inl. wetlands'!T196&gt;'Inl. wetlands'!S196,time_cap+time*(VLOOKUP('6.Inland wetlands'!O61,list!$I$48:$K$50,3,0)),time*(1-(VLOOKUP('6.Inland wetlands'!O61,list!$I$48:$K$50,3,0))))</f>
        <v/>
      </c>
      <c r="AE196" s="3493">
        <f>MIN('Inl. wetlands'!S196,'Inl. wetlands'!U196)*time_tot+ABS('Inl. wetlands'!U196-'Inl. wetlands'!S196)*IF('Inl. wetlands'!U196&gt;'Inl. wetlands'!S196,time_cap+time*(VLOOKUP('6.Inland wetlands'!Q61,list!$I$48:$K$50,3,0)),time*(1-(VLOOKUP('6.Inland wetlands'!Q61,list!$I$48:$K$50,3,0))))</f>
        <v/>
      </c>
      <c r="AF196" s="3493">
        <f>MIN('Inl. wetlands'!V196,'Inl. wetlands'!W196)*time_tot+ABS('Inl. wetlands'!W196-'Inl. wetlands'!V196)*IF('Inl. wetlands'!W196&gt;'Inl. wetlands'!V196,time_cap+time*(VLOOKUP('6.Inland wetlands'!O61,list!$I$48:$K$50,3,0)),time*(1-(VLOOKUP('6.Inland wetlands'!O61,list!$I$48:$K$50,3,0))))</f>
        <v/>
      </c>
      <c r="AG196" s="3493">
        <f>MIN('Inl. wetlands'!V196,'Inl. wetlands'!X196)*time_tot+ABS('Inl. wetlands'!X196-'Inl. wetlands'!V196)*IF('Inl. wetlands'!X196&gt;'Inl. wetlands'!V196,time_cap+time*(VLOOKUP('6.Inland wetlands'!Q61,list!$I$48:$K$50,3,0)),time*(1-(VLOOKUP('6.Inland wetlands'!Q61,list!$I$48:$K$50,3,0))))</f>
        <v/>
      </c>
      <c r="AI196" s="1270" t="inlineStr">
        <is>
          <t>Total emissions tCO2eq</t>
        </is>
      </c>
      <c r="AJ196" s="1116" t="n"/>
      <c r="AK196" s="1116" t="n"/>
      <c r="AX196" s="1449">
        <f>$Q198*time*(VLOOKUP($E198,list!$J$48:$K$50,2,0))</f>
        <v/>
      </c>
      <c r="AY196" s="1449">
        <f>$R198*time*(VLOOKUP($G198,list!$J$48:$K$50,2,0))</f>
        <v/>
      </c>
      <c r="AZ196" s="1449">
        <f>$T198*time*(VLOOKUP($E198,list!$J$48:$K$50,2,0))</f>
        <v/>
      </c>
      <c r="BA196" s="1449">
        <f>$U198*time*(VLOOKUP($G198,list!$J$48:$K$50,2,0))</f>
        <v/>
      </c>
      <c r="BB196" s="1449">
        <f>$W198*time*(VLOOKUP($E198,list!$J$48:$K$50,2,0))</f>
        <v/>
      </c>
      <c r="BC196" s="1449">
        <f>$X198*time*(VLOOKUP($G198,list!$J$48:$K$50,2,0))</f>
        <v/>
      </c>
      <c r="BD196" s="1449" t="n"/>
      <c r="BE196" s="1449" t="n"/>
      <c r="BF196" s="1449" t="n"/>
      <c r="BG196" s="1449" t="n"/>
    </row>
    <row r="197" ht="16" customHeight="1">
      <c r="A197" s="1493" t="inlineStr">
        <is>
          <t>S5</t>
        </is>
      </c>
      <c r="B197" s="1281">
        <f>D155</f>
        <v/>
      </c>
      <c r="C197" s="1121">
        <f>E155</f>
        <v/>
      </c>
      <c r="D197" s="992">
        <f>IF('6.Inland wetlands'!S62='6.Inland wetlands'!K62, 0, IF(('6.Inland wetlands'!T62-'6.Inland wetlands'!S62)-'6.Inland wetlands'!N50&gt;0,('6.Inland wetlands'!T62-'6.Inland wetlands'!S62)-'6.Inland wetlands'!N50,0))</f>
        <v/>
      </c>
      <c r="E197" s="1688">
        <f>G155</f>
        <v/>
      </c>
      <c r="F197" s="992">
        <f>IF(('6.Inland wetlands'!U62-'6.Inland wetlands'!S62)-'6.Inland wetlands'!P50&gt;0,('6.Inland wetlands'!U62-'6.Inland wetlands'!S62)-'6.Inland wetlands'!P50,0)</f>
        <v/>
      </c>
      <c r="G197" s="1688">
        <f>K155</f>
        <v/>
      </c>
      <c r="H197" s="1004">
        <f>IFERROR(IF($D155="Please select",0,IF($D$145="Nutrient poor",INDEX(IPCC!$A$1910:$J$1921,MATCH(clim_moist,IPCC!$A$1910:$A$1921,0),MATCH($E155,IPCC!$A$1910:$J$1910,0)),INDEX(IPCC!$A$1928:$J$1939,MATCH(clim_moist,IPCC!$A$1928:$A$1939,0),MATCH($E155,IPCC!$A$1928:$J$1928,0)))),0)</f>
        <v/>
      </c>
      <c r="I197" s="1259">
        <f>IF('6.Inland wetlands'!$DY50="",'6.Inland wetlands'!$DX50,'6.Inland wetlands'!$DY50)</f>
        <v/>
      </c>
      <c r="J197" s="1004">
        <f>IFERROR(IF($D155="Please select",0,IF($D$145="Nutrient poor",INDEX(IPCC!$A$1964:$J$1975,MATCH(clim_moist,IPCC!$A$1964:$A$1975,0),MATCH($E155,IPCC!$A$1964:$J$1964,0)),INDEX(IPCC!$A$1982:$J$1993,MATCH(clim_moist,IPCC!$A$1982:$A$1993,0),MATCH($E155,IPCC!$A$1982:$J$1982,0)))),0)</f>
        <v/>
      </c>
      <c r="K197" s="1259">
        <f>IF('6.Inland wetlands'!$EA50="",'6.Inland wetlands'!$DZ50,'6.Inland wetlands'!$EA50)</f>
        <v/>
      </c>
      <c r="L197" s="1004">
        <f>IFERROR(IF($D155="Please select",0,INDEX(IPCC!$A$2000:$J$2011,MATCH(clim_moist,IPCC!$A$2000:$A$2011,0),MATCH($E155,IPCC!$A$2000:$J$2000,0))),0)</f>
        <v/>
      </c>
      <c r="M197" s="1259">
        <f>IF('6.Inland wetlands'!$EC50="",'6.Inland wetlands'!$EB50,'6.Inland wetlands'!$EC50)</f>
        <v/>
      </c>
      <c r="N197" s="1260">
        <f>IFERROR(IF($D155="Please select",0,INDEX(IPCC!$A$1946:$J$1957,MATCH(clim_moist,IPCC!$A$1946:$A$1957,0),MATCH($E155,IPCC!$A$1946:$J$1946,0))),0)</f>
        <v/>
      </c>
      <c r="O197" s="1259">
        <f>IF('6.Inland wetlands'!$EF50="",'6.Inland wetlands'!$EE50,'6.Inland wetlands'!$EF50)</f>
        <v/>
      </c>
      <c r="P197" s="3493" t="n">
        <v>0</v>
      </c>
      <c r="Q197" s="3493">
        <f>SUM('Inl. wetlands'!$I197,$O197)*44/12*'Inl. wetlands'!D197</f>
        <v/>
      </c>
      <c r="R197" s="1151">
        <f>SUM('Inl. wetlands'!$I197,$O197)*44/12*'Inl. wetlands'!F197</f>
        <v/>
      </c>
      <c r="S197" s="3493" t="n">
        <v>0</v>
      </c>
      <c r="T197" s="1151">
        <f>'Inl. wetlands'!$K197/1000*16/12*methane*'Inl. wetlands'!D197</f>
        <v/>
      </c>
      <c r="U197" s="1151">
        <f>'Inl. wetlands'!$K197/1000*16/12*methane*'Inl. wetlands'!F197</f>
        <v/>
      </c>
      <c r="V197" s="3493" t="n">
        <v>0</v>
      </c>
      <c r="W197" s="1151">
        <f>'Inl. wetlands'!$M197/1000*44/28*Nitrous*'Inl. wetlands'!D197</f>
        <v/>
      </c>
      <c r="X197" s="3494">
        <f>'Inl. wetlands'!$M197/1000*44/28*Nitrous*'Inl. wetlands'!F197</f>
        <v/>
      </c>
      <c r="AB197" s="3493">
        <f>MIN('Inl. wetlands'!P197,'Inl. wetlands'!Q197)*time_tot+ABS('Inl. wetlands'!Q197-'Inl. wetlands'!P197)*IF('Inl. wetlands'!Q197&gt;'Inl. wetlands'!P197,time_cap+time*(VLOOKUP('6.Inland wetlands'!O62,list!$I$48:$K$50,3,0)),time*(1-(VLOOKUP('6.Inland wetlands'!O62,list!$I$48:$K$50,3,0))))</f>
        <v/>
      </c>
      <c r="AC197" s="3493">
        <f>MIN('Inl. wetlands'!P197,'Inl. wetlands'!R197)*time_tot+ABS('Inl. wetlands'!R197-'Inl. wetlands'!P197)*IF('Inl. wetlands'!R197&gt;'Inl. wetlands'!P197,time_cap+time*(VLOOKUP('6.Inland wetlands'!Q62,list!$I$48:$K$50,3,0)),time*(1-(VLOOKUP('6.Inland wetlands'!Q62,list!$I$48:$K$50,3,0))))</f>
        <v/>
      </c>
      <c r="AD197" s="3493">
        <f>MIN('Inl. wetlands'!S197,'Inl. wetlands'!T197)*time_tot+ABS('Inl. wetlands'!T197-'Inl. wetlands'!S197)*IF('Inl. wetlands'!T197&gt;'Inl. wetlands'!S197,time_cap+time*(VLOOKUP('6.Inland wetlands'!O62,list!$I$48:$K$50,3,0)),time*(1-(VLOOKUP('6.Inland wetlands'!O62,list!$I$48:$K$50,3,0))))</f>
        <v/>
      </c>
      <c r="AE197" s="3493">
        <f>MIN('Inl. wetlands'!S197,'Inl. wetlands'!U197)*time_tot+ABS('Inl. wetlands'!U197-'Inl. wetlands'!S197)*IF('Inl. wetlands'!U197&gt;'Inl. wetlands'!S197,time_cap+time*(VLOOKUP('6.Inland wetlands'!Q62,list!$I$48:$K$50,3,0)),time*(1-(VLOOKUP('6.Inland wetlands'!Q62,list!$I$48:$K$50,3,0))))</f>
        <v/>
      </c>
      <c r="AF197" s="3493">
        <f>MIN('Inl. wetlands'!V197,'Inl. wetlands'!W197)*time_tot+ABS('Inl. wetlands'!W197-'Inl. wetlands'!V197)*IF('Inl. wetlands'!W197&gt;'Inl. wetlands'!V197,time_cap+time*(VLOOKUP('6.Inland wetlands'!O62,list!$I$48:$K$50,3,0)),time*(1-(VLOOKUP('6.Inland wetlands'!O62,list!$I$48:$K$50,3,0))))</f>
        <v/>
      </c>
      <c r="AG197" s="3493">
        <f>MIN('Inl. wetlands'!V197,'Inl. wetlands'!X197)*time_tot+ABS('Inl. wetlands'!X197-'Inl. wetlands'!V197)*IF('Inl. wetlands'!X197&gt;'Inl. wetlands'!V197,time_cap+time*(VLOOKUP('6.Inland wetlands'!Q62,list!$I$48:$K$50,3,0)),time*(1-(VLOOKUP('6.Inland wetlands'!Q62,list!$I$48:$K$50,3,0))))</f>
        <v/>
      </c>
      <c r="AI197" s="1270" t="inlineStr">
        <is>
          <t>ALL PERIOD</t>
        </is>
      </c>
      <c r="AJ197" s="1116" t="n"/>
      <c r="AK197" s="1116" t="n"/>
    </row>
    <row r="198" ht="16" customHeight="1">
      <c r="A198" s="1493" t="inlineStr">
        <is>
          <t>S6</t>
        </is>
      </c>
      <c r="B198" s="1281">
        <f>D156</f>
        <v/>
      </c>
      <c r="C198" s="1121">
        <f>E156</f>
        <v/>
      </c>
      <c r="D198" s="992">
        <f>IF('6.Inland wetlands'!S63='6.Inland wetlands'!K63, 0, IF(('6.Inland wetlands'!T63-'6.Inland wetlands'!S63)-'6.Inland wetlands'!N51&gt;0,('6.Inland wetlands'!T63-'6.Inland wetlands'!S63)-'6.Inland wetlands'!N51,0))</f>
        <v/>
      </c>
      <c r="E198" s="1688">
        <f>G156</f>
        <v/>
      </c>
      <c r="F198" s="992">
        <f>IF(('6.Inland wetlands'!U63-'6.Inland wetlands'!S63)-'6.Inland wetlands'!P51&gt;0,('6.Inland wetlands'!U63-'6.Inland wetlands'!S63)-'6.Inland wetlands'!P51,0)</f>
        <v/>
      </c>
      <c r="G198" s="1688">
        <f>K156</f>
        <v/>
      </c>
      <c r="H198" s="1004">
        <f>IFERROR(IF($D156="Please select",0,IF($D$145="Nutrient poor",INDEX(IPCC!$A$1910:$J$1921,MATCH(clim_moist,IPCC!$A$1910:$A$1921,0),MATCH($E156,IPCC!$A$1910:$J$1910,0)),INDEX(IPCC!$A$1928:$J$1939,MATCH(clim_moist,IPCC!$A$1928:$A$1939,0),MATCH($E156,IPCC!$A$1928:$J$1928,0)))),0)</f>
        <v/>
      </c>
      <c r="I198" s="1259">
        <f>IF('6.Inland wetlands'!$DY51="",'6.Inland wetlands'!$DX51,'6.Inland wetlands'!$DY51)</f>
        <v/>
      </c>
      <c r="J198" s="1004">
        <f>IFERROR(IF($D156="Please select",0,IF($D$145="Nutrient poor",INDEX(IPCC!$A$1964:$J$1975,MATCH(clim_moist,IPCC!$A$1964:$A$1975,0),MATCH($E156,IPCC!$A$1964:$J$1964,0)),INDEX(IPCC!$A$1982:$J$1993,MATCH(clim_moist,IPCC!$A$1982:$A$1993,0),MATCH($E156,IPCC!$A$1982:$J$1982,0)))),0)</f>
        <v/>
      </c>
      <c r="K198" s="1259">
        <f>IF('6.Inland wetlands'!$EA51="",'6.Inland wetlands'!$DZ51,'6.Inland wetlands'!$EA51)</f>
        <v/>
      </c>
      <c r="L198" s="1004">
        <f>IFERROR(IF($D156="Please select",0,INDEX(IPCC!$A$2000:$J$2011,MATCH(clim_moist,IPCC!$A$2000:$A$2011,0),MATCH($E156,IPCC!$A$2000:$J$2000,0))),0)</f>
        <v/>
      </c>
      <c r="M198" s="1259">
        <f>IF('6.Inland wetlands'!$EC51="",'6.Inland wetlands'!$EB51,'6.Inland wetlands'!$EC51)</f>
        <v/>
      </c>
      <c r="N198" s="1260">
        <f>IFERROR(IF($D156="Please select",0,INDEX(IPCC!$A$1946:$J$1957,MATCH(clim_moist,IPCC!$A$1946:$A$1957,0),MATCH($E156,IPCC!$A$1946:$J$1946,0))),0)</f>
        <v/>
      </c>
      <c r="O198" s="1259">
        <f>IF('6.Inland wetlands'!$EF51="",'6.Inland wetlands'!$EE51,'6.Inland wetlands'!$EF51)</f>
        <v/>
      </c>
      <c r="P198" s="3493" t="n">
        <v>0</v>
      </c>
      <c r="Q198" s="3493">
        <f>SUM('Inl. wetlands'!$I198,$O198)*44/12*'Inl. wetlands'!D198</f>
        <v/>
      </c>
      <c r="R198" s="1151">
        <f>SUM('Inl. wetlands'!$I198,$O198)*44/12*'Inl. wetlands'!F198</f>
        <v/>
      </c>
      <c r="S198" s="3493" t="n">
        <v>0</v>
      </c>
      <c r="T198" s="1151">
        <f>'Inl. wetlands'!$K198/1000*16/12*methane*'Inl. wetlands'!D198</f>
        <v/>
      </c>
      <c r="U198" s="1151">
        <f>'Inl. wetlands'!$K198/1000*16/12*methane*'Inl. wetlands'!F198</f>
        <v/>
      </c>
      <c r="V198" s="3493" t="n">
        <v>0</v>
      </c>
      <c r="W198" s="1151">
        <f>'Inl. wetlands'!$M198/1000*44/28*Nitrous*'Inl. wetlands'!D198</f>
        <v/>
      </c>
      <c r="X198" s="3494">
        <f>'Inl. wetlands'!$M198/1000*44/28*Nitrous*'Inl. wetlands'!F198</f>
        <v/>
      </c>
      <c r="AB198" s="3493">
        <f>MIN('Inl. wetlands'!P198,'Inl. wetlands'!Q198)*time_tot+ABS('Inl. wetlands'!Q198-'Inl. wetlands'!P198)*IF('Inl. wetlands'!Q198&gt;'Inl. wetlands'!P198,time_cap+time*(VLOOKUP('6.Inland wetlands'!O63,list!$I$48:$K$50,3,0)),time*(1-(VLOOKUP('6.Inland wetlands'!O63,list!$I$48:$K$50,3,0))))</f>
        <v/>
      </c>
      <c r="AC198" s="3493">
        <f>MIN('Inl. wetlands'!P198,'Inl. wetlands'!R198)*time_tot+ABS('Inl. wetlands'!R198-'Inl. wetlands'!P198)*IF('Inl. wetlands'!R198&gt;'Inl. wetlands'!P198,time_cap+time*(VLOOKUP('6.Inland wetlands'!Q63,list!$I$48:$K$50,3,0)),time*(1-(VLOOKUP('6.Inland wetlands'!Q63,list!$I$48:$K$50,3,0))))</f>
        <v/>
      </c>
      <c r="AD198" s="3493">
        <f>MIN('Inl. wetlands'!S198,'Inl. wetlands'!T198)*time_tot+ABS('Inl. wetlands'!T198-'Inl. wetlands'!S198)*IF('Inl. wetlands'!T198&gt;'Inl. wetlands'!S198,time_cap+time*(VLOOKUP('6.Inland wetlands'!O63,list!$I$48:$K$50,3,0)),time*(1-(VLOOKUP('6.Inland wetlands'!O63,list!$I$48:$K$50,3,0))))</f>
        <v/>
      </c>
      <c r="AE198" s="3493">
        <f>MIN('Inl. wetlands'!S198,'Inl. wetlands'!U198)*time_tot+ABS('Inl. wetlands'!U198-'Inl. wetlands'!S198)*IF('Inl. wetlands'!U198&gt;'Inl. wetlands'!S198,time_cap+time*(VLOOKUP('6.Inland wetlands'!Q63,list!$I$48:$K$50,3,0)),time*(1-(VLOOKUP('6.Inland wetlands'!Q63,list!$I$48:$K$50,3,0))))</f>
        <v/>
      </c>
      <c r="AF198" s="3493">
        <f>MIN('Inl. wetlands'!V198,'Inl. wetlands'!W198)*time_tot+ABS('Inl. wetlands'!W198-'Inl. wetlands'!V198)*IF('Inl. wetlands'!W198&gt;'Inl. wetlands'!V198,time_cap+time*(VLOOKUP('6.Inland wetlands'!O63,list!$I$48:$K$50,3,0)),time*(1-(VLOOKUP('6.Inland wetlands'!O63,list!$I$48:$K$50,3,0))))</f>
        <v/>
      </c>
      <c r="AG198" s="3493">
        <f>MIN('Inl. wetlands'!V198,'Inl. wetlands'!X198)*time_tot+ABS('Inl. wetlands'!X198-'Inl. wetlands'!V198)*IF('Inl. wetlands'!X198&gt;'Inl. wetlands'!V198,time_cap+time*(VLOOKUP('6.Inland wetlands'!Q63,list!$I$48:$K$50,3,0)),time*(1-(VLOOKUP('6.Inland wetlands'!Q63,list!$I$48:$K$50,3,0))))</f>
        <v/>
      </c>
      <c r="AI198" s="1270" t="inlineStr">
        <is>
          <t>REWETTING</t>
        </is>
      </c>
      <c r="AJ198" s="1116" t="n"/>
      <c r="AK198" s="1116" t="n"/>
      <c r="AX198" s="1451">
        <f>SUM(AX191:AX196)</f>
        <v/>
      </c>
      <c r="AY198" s="1451">
        <f>SUM(AY191:AY196)</f>
        <v/>
      </c>
      <c r="AZ198" s="1451">
        <f>SUM(AZ191:AZ196)</f>
        <v/>
      </c>
      <c r="BA198" s="1451">
        <f>SUM(BA191:BA196)</f>
        <v/>
      </c>
      <c r="BB198" s="1451">
        <f>SUM(BB191:BB196)</f>
        <v/>
      </c>
      <c r="BC198" s="1451">
        <f>SUM(BC191:BC196)</f>
        <v/>
      </c>
      <c r="BD198" s="1451" t="n"/>
      <c r="BE198" s="1451" t="n"/>
      <c r="BF198" s="1451" t="n"/>
      <c r="BG198" s="1451" t="n"/>
    </row>
    <row r="199">
      <c r="F199" s="992" t="n"/>
      <c r="G199" s="1688" t="n"/>
      <c r="H199" s="992" t="n"/>
      <c r="I199" s="1688" t="n"/>
      <c r="J199" s="1201" t="n"/>
      <c r="K199" s="1200" t="n"/>
      <c r="AI199" s="1102" t="inlineStr">
        <is>
          <t>WITHOUT</t>
        </is>
      </c>
      <c r="AJ199" s="1103" t="inlineStr">
        <is>
          <t>WITH</t>
        </is>
      </c>
      <c r="AK199" s="1104" t="inlineStr">
        <is>
          <t>BALANCE</t>
        </is>
      </c>
      <c r="AY199" s="1451">
        <f>AY198-AX198</f>
        <v/>
      </c>
      <c r="AZ199" s="1451" t="n"/>
      <c r="BA199" s="1451">
        <f>BA198-AZ198</f>
        <v/>
      </c>
      <c r="BB199" s="1451" t="n"/>
      <c r="BC199" s="1451">
        <f>BC198-BB198</f>
        <v/>
      </c>
      <c r="BD199" s="1451" t="n"/>
      <c r="BE199" s="1451" t="n"/>
      <c r="BF199" s="1451" t="n"/>
      <c r="BG199" s="1451" t="n"/>
    </row>
    <row r="200" ht="16" customHeight="1">
      <c r="A200" s="1462" t="n"/>
      <c r="D200" s="1262">
        <f>D189</f>
        <v/>
      </c>
      <c r="E200" s="1262" t="n"/>
      <c r="F200" s="1262" t="n"/>
      <c r="G200" s="1262" t="n"/>
      <c r="H200" s="1513" t="inlineStr">
        <is>
          <t>On site emissions factors</t>
        </is>
      </c>
      <c r="I200" s="1514" t="n"/>
      <c r="J200" s="1514" t="n"/>
      <c r="K200" s="1515" t="n"/>
      <c r="L200" s="1514" t="n"/>
      <c r="M200" s="1516" t="n"/>
      <c r="N200" s="1516" t="inlineStr">
        <is>
          <t>Off-site EF</t>
        </is>
      </c>
      <c r="O200" s="1516" t="n"/>
      <c r="P200" s="1481" t="inlineStr">
        <is>
          <t>Total emissions in tCO2-eq per year</t>
        </is>
      </c>
      <c r="Q200" s="1482" t="n"/>
      <c r="R200" s="1482" t="n"/>
      <c r="S200" s="1482" t="n"/>
      <c r="T200" s="1482" t="n"/>
      <c r="U200" s="1482" t="n"/>
      <c r="V200" s="1482" t="n"/>
      <c r="W200" s="1482" t="n"/>
      <c r="X200" s="1482" t="n"/>
      <c r="Y200" s="992" t="n"/>
      <c r="Z200" s="992" t="n"/>
      <c r="AA200" s="992" t="n"/>
      <c r="AB200" s="1471" t="inlineStr">
        <is>
          <t>REWETTING EMISSIONS</t>
        </is>
      </c>
      <c r="AC200" s="1470" t="n"/>
      <c r="AD200" s="1470" t="n"/>
      <c r="AE200" s="1470" t="n"/>
      <c r="AF200" s="1470" t="n"/>
      <c r="AG200" s="1470" t="n"/>
      <c r="AI200" s="1151">
        <f>SUM('Inl. wetlands'!AB193,'Inl. wetlands'!AF193,'Inl. wetlands'!AD193)+'Inl. wetlands'!AB204+'Inl. wetlands'!AD204+'Inl. wetlands'!AF204</f>
        <v/>
      </c>
      <c r="AJ200" s="1151">
        <f>SUM('Inl. wetlands'!AE193,'Inl. wetlands'!AC193,'Inl. wetlands'!AG193)+'Inl. wetlands'!AC204+'Inl. wetlands'!AE204+'Inl. wetlands'!AG204</f>
        <v/>
      </c>
      <c r="AK200" s="1284">
        <f>AJ200-AI200</f>
        <v/>
      </c>
      <c r="AX200" s="1271" t="n"/>
    </row>
    <row r="201" ht="16" customHeight="1">
      <c r="A201" s="1462" t="n"/>
      <c r="D201" s="1521" t="inlineStr">
        <is>
          <t>WITHOUT</t>
        </is>
      </c>
      <c r="E201" s="1521" t="n"/>
      <c r="F201" s="1522" t="inlineStr">
        <is>
          <t>WITH</t>
        </is>
      </c>
      <c r="G201" s="1522" t="n"/>
      <c r="H201" s="1517" t="inlineStr">
        <is>
          <t>CO2 (IPCC 2013)</t>
        </is>
      </c>
      <c r="I201" s="1518" t="n"/>
      <c r="J201" s="1517" t="inlineStr">
        <is>
          <t>CH4 (IPCC 2013)</t>
        </is>
      </c>
      <c r="K201" s="1518" t="n"/>
      <c r="L201" s="1517" t="inlineStr">
        <is>
          <t>N2O (IPCC 2013)</t>
        </is>
      </c>
      <c r="M201" s="1518" t="n"/>
      <c r="N201" s="1517" t="inlineStr">
        <is>
          <t>DOC (IPCC 2013)</t>
        </is>
      </c>
      <c r="O201" s="1518" t="n"/>
      <c r="P201" s="1482" t="n"/>
      <c r="Q201" s="1482" t="n"/>
      <c r="R201" s="1482" t="n"/>
      <c r="S201" s="1482" t="n"/>
      <c r="T201" s="1482" t="n"/>
      <c r="U201" s="1482" t="n"/>
      <c r="V201" s="1482" t="n"/>
      <c r="W201" s="1482" t="n"/>
      <c r="X201" s="1482" t="n"/>
      <c r="Y201" s="992" t="n"/>
      <c r="Z201" s="992" t="n"/>
      <c r="AA201" s="992" t="n"/>
      <c r="AB201" s="1471" t="inlineStr">
        <is>
          <t>Emissions in tCO2-eq all period</t>
        </is>
      </c>
      <c r="AC201" s="1471" t="n"/>
      <c r="AD201" s="1471" t="n"/>
      <c r="AE201" s="1470" t="n"/>
      <c r="AF201" s="1471" t="n"/>
      <c r="AG201" s="1470" t="n"/>
      <c r="AI201" s="1151">
        <f>SUM(AB194,AF194,AD194)+AB205+AD205+AF205</f>
        <v/>
      </c>
      <c r="AJ201" s="1151">
        <f>SUM('Inl. wetlands'!AE194,'Inl. wetlands'!AC194,'Inl. wetlands'!AG194)+'Inl. wetlands'!AC205+'Inl. wetlands'!AE205+'Inl. wetlands'!AG205</f>
        <v/>
      </c>
      <c r="AK201" s="1285">
        <f>AJ201-AI201</f>
        <v/>
      </c>
      <c r="AX201" s="1271" t="n"/>
    </row>
    <row r="202" ht="16" customHeight="1">
      <c r="A202" s="1462" t="n"/>
      <c r="B202" s="1281">
        <f>B149</f>
        <v/>
      </c>
      <c r="C202" s="1281" t="n"/>
      <c r="D202" s="1521" t="n"/>
      <c r="E202" s="1521" t="n"/>
      <c r="F202" s="1522" t="n"/>
      <c r="G202" s="1522" t="n"/>
      <c r="H202" s="1519" t="inlineStr">
        <is>
          <t>tC/ha/yr</t>
        </is>
      </c>
      <c r="I202" s="1519" t="n"/>
      <c r="J202" s="1519" t="inlineStr">
        <is>
          <t>kgCH4/ha/yr</t>
        </is>
      </c>
      <c r="K202" s="1519" t="n"/>
      <c r="L202" s="1519" t="inlineStr">
        <is>
          <t>kgN2O-N/ha/yr</t>
        </is>
      </c>
      <c r="M202" s="1519" t="n"/>
      <c r="N202" s="1519" t="inlineStr">
        <is>
          <t>tC/ha/yr</t>
        </is>
      </c>
      <c r="O202" s="1519" t="n"/>
      <c r="P202" s="1482" t="inlineStr">
        <is>
          <t>CO2&amp;DOC</t>
        </is>
      </c>
      <c r="Q202" s="1482" t="n"/>
      <c r="R202" s="1482" t="n"/>
      <c r="S202" s="1482" t="inlineStr">
        <is>
          <t>CH4</t>
        </is>
      </c>
      <c r="T202" s="1482" t="n"/>
      <c r="U202" s="1482" t="n"/>
      <c r="V202" s="1482" t="inlineStr">
        <is>
          <t>N2O-N</t>
        </is>
      </c>
      <c r="W202" s="1482" t="n"/>
      <c r="X202" s="1482" t="n"/>
      <c r="Y202" s="992" t="n"/>
      <c r="Z202" s="992" t="n"/>
      <c r="AA202" s="992" t="n"/>
      <c r="AB202" s="1472" t="inlineStr">
        <is>
          <t>CO2&amp;DOC</t>
        </is>
      </c>
      <c r="AC202" s="1472" t="n"/>
      <c r="AD202" s="1472" t="inlineStr">
        <is>
          <t>CH4</t>
        </is>
      </c>
      <c r="AE202" s="1472" t="n"/>
      <c r="AF202" s="1472" t="inlineStr">
        <is>
          <t>N2O-N</t>
        </is>
      </c>
      <c r="AG202" s="1472" t="n"/>
      <c r="AI202" s="1151">
        <f>SUM(AB195,AF195,AD195)+AB206+AD206+AF206</f>
        <v/>
      </c>
      <c r="AJ202" s="1151">
        <f>SUM('Inl. wetlands'!AE195,'Inl. wetlands'!AC195,'Inl. wetlands'!AG195)+'Inl. wetlands'!AC206+'Inl. wetlands'!AE206+'Inl. wetlands'!AG206</f>
        <v/>
      </c>
      <c r="AK202" s="1285">
        <f>AJ202-AI202</f>
        <v/>
      </c>
      <c r="AX202" s="1271" t="n"/>
    </row>
    <row r="203" ht="16" customHeight="1">
      <c r="A203" s="1462" t="n"/>
      <c r="B203" s="1281">
        <f>B150</f>
        <v/>
      </c>
      <c r="C203" s="1281">
        <f>C150</f>
        <v/>
      </c>
      <c r="D203" s="1523">
        <f>D192</f>
        <v/>
      </c>
      <c r="E203" s="1523">
        <f>E192</f>
        <v/>
      </c>
      <c r="F203" s="1524">
        <f>F192</f>
        <v/>
      </c>
      <c r="G203" s="1524">
        <f>G192</f>
        <v/>
      </c>
      <c r="H203" s="1520" t="inlineStr">
        <is>
          <t>Default</t>
        </is>
      </c>
      <c r="I203" s="1520" t="inlineStr">
        <is>
          <t>Tier 2</t>
        </is>
      </c>
      <c r="J203" s="1520" t="inlineStr">
        <is>
          <t>Default</t>
        </is>
      </c>
      <c r="K203" s="1520" t="inlineStr">
        <is>
          <t>Tier 2</t>
        </is>
      </c>
      <c r="L203" s="1520" t="inlineStr">
        <is>
          <t>Default</t>
        </is>
      </c>
      <c r="M203" s="1520" t="inlineStr">
        <is>
          <t>Tier 2</t>
        </is>
      </c>
      <c r="N203" s="1520" t="inlineStr">
        <is>
          <t>Default</t>
        </is>
      </c>
      <c r="O203" s="1520" t="inlineStr">
        <is>
          <t>Tier 2</t>
        </is>
      </c>
      <c r="P203" s="973" t="inlineStr">
        <is>
          <t>Start</t>
        </is>
      </c>
      <c r="Q203" s="1100" t="inlineStr">
        <is>
          <t>Without</t>
        </is>
      </c>
      <c r="R203" s="1101" t="inlineStr">
        <is>
          <t>With</t>
        </is>
      </c>
      <c r="S203" s="973" t="inlineStr">
        <is>
          <t>Start</t>
        </is>
      </c>
      <c r="T203" s="1100" t="inlineStr">
        <is>
          <t>Without</t>
        </is>
      </c>
      <c r="U203" s="1101" t="inlineStr">
        <is>
          <t>With</t>
        </is>
      </c>
      <c r="V203" s="973" t="inlineStr">
        <is>
          <t>Start</t>
        </is>
      </c>
      <c r="W203" s="1100" t="inlineStr">
        <is>
          <t>Without</t>
        </is>
      </c>
      <c r="X203" s="1101" t="inlineStr">
        <is>
          <t>With</t>
        </is>
      </c>
      <c r="Y203" s="992" t="n"/>
      <c r="Z203" s="992" t="n"/>
      <c r="AA203" s="992" t="n"/>
      <c r="AB203" s="1102" t="inlineStr">
        <is>
          <t>Without</t>
        </is>
      </c>
      <c r="AC203" s="1103" t="inlineStr">
        <is>
          <t>With</t>
        </is>
      </c>
      <c r="AD203" s="1102" t="inlineStr">
        <is>
          <t>Without</t>
        </is>
      </c>
      <c r="AE203" s="1103" t="inlineStr">
        <is>
          <t>With</t>
        </is>
      </c>
      <c r="AF203" s="1102" t="inlineStr">
        <is>
          <t>Without</t>
        </is>
      </c>
      <c r="AG203" s="1103" t="inlineStr">
        <is>
          <t>With</t>
        </is>
      </c>
      <c r="AI203" s="1151">
        <f>SUM(AB196,AF196,AD196)+AB207+AD207+AF207</f>
        <v/>
      </c>
      <c r="AJ203" s="1151">
        <f>SUM('Inl. wetlands'!AE196,'Inl. wetlands'!AC196,'Inl. wetlands'!AG196)+'Inl. wetlands'!AC207+'Inl. wetlands'!AE207+'Inl. wetlands'!AG207</f>
        <v/>
      </c>
      <c r="AK203" s="1285">
        <f>AJ203-AI203</f>
        <v/>
      </c>
      <c r="AX203" s="1271" t="n"/>
    </row>
    <row r="204">
      <c r="A204" s="1493" t="inlineStr">
        <is>
          <t>S1</t>
        </is>
      </c>
      <c r="B204" s="1281">
        <f>B151</f>
        <v/>
      </c>
      <c r="C204" s="1121">
        <f>C151</f>
        <v/>
      </c>
      <c r="D204" s="992">
        <f>IF('6.Inland wetlands'!S58='6.Inland wetlands'!K58, 0, '6.Inland wetlands'!T58-'Inl. wetlands'!D193)</f>
        <v/>
      </c>
      <c r="E204" s="1688">
        <f>E193</f>
        <v/>
      </c>
      <c r="F204" s="992">
        <f>IF('6.Inland wetlands'!S58='6.Inland wetlands'!K58, 0, '6.Inland wetlands'!U58-'Inl. wetlands'!F193)</f>
        <v/>
      </c>
      <c r="G204" s="1688">
        <f>G193</f>
        <v/>
      </c>
      <c r="H204" s="1004">
        <f>IFERROR(IF($B204="Please select",0,IF($D$145="Nutrient poor",INDEX(IPCC!$A$1910:$J$1921,MATCH(clim_moist,IPCC!$A$1910:$A$1921,0),MATCH($C204,IPCC!$A$1910:$J$1910,0)),INDEX(IPCC!$A$1928:$J$1939,MATCH(clim_moist,IPCC!$A$1928:$A$1939,0),MATCH($C204,IPCC!$A$1928:$J$1928,0)))),0)</f>
        <v/>
      </c>
      <c r="I204" s="1259">
        <f>IF('6.Inland wetlands'!$DY58="",'6.Inland wetlands'!$DX58,'6.Inland wetlands'!$DY58)</f>
        <v/>
      </c>
      <c r="J204" s="1004">
        <f>IFERROR(IF($B204="Please select",0,IF($D$145="Nutrient poor",INDEX(IPCC!$A$1964:$J$1975,MATCH(clim_moist,IPCC!$A$1964:$A$1975,0),MATCH($C204,IPCC!$A$1964:$J$1964,0)),INDEX(IPCC!$A$1982:$J$1993,MATCH(clim_moist,IPCC!$A$1982:$A$1993,0),MATCH($C204,IPCC!$A$1982:$J$1982,0)))),0)</f>
        <v/>
      </c>
      <c r="K204" s="1259">
        <f>IF('6.Inland wetlands'!$EA58="",'6.Inland wetlands'!$DZ58,'6.Inland wetlands'!$EA58)</f>
        <v/>
      </c>
      <c r="L204" s="1004">
        <f>IFERROR(IF($B204="Please select",0,INDEX(IPCC!$A$2000:$J$2011,MATCH(clim_moist,IPCC!$A$2000:$A$2011,0),MATCH($C204,IPCC!$A$2000:$J$2000,0))),0)</f>
        <v/>
      </c>
      <c r="M204" s="1259">
        <f>IF('6.Inland wetlands'!$EC58="",'6.Inland wetlands'!$EB58,'6.Inland wetlands'!$EC58)</f>
        <v/>
      </c>
      <c r="N204" s="1260">
        <f>IFERROR(IF($B204="Please select",0,INDEX(IPCC!$A$1946:$J$1957,MATCH(clim_moist,IPCC!$A$1946:$A$1957,0),MATCH($C204,IPCC!$A$1946:$J$1946,0))),0)</f>
        <v/>
      </c>
      <c r="O204" s="1259">
        <f>IF('6.Inland wetlands'!$EF58="",'6.Inland wetlands'!$EE58,'6.Inland wetlands'!$EF58)</f>
        <v/>
      </c>
      <c r="P204" s="3493" t="n">
        <v>0</v>
      </c>
      <c r="Q204" s="3493">
        <f>SUM('Inl. wetlands'!$I204,'Inl. wetlands'!$O204)*44/12*D204</f>
        <v/>
      </c>
      <c r="R204" s="1151">
        <f>SUM('Inl. wetlands'!$I204,'Inl. wetlands'!$O204)*44/12*F204</f>
        <v/>
      </c>
      <c r="S204" s="3493" t="n">
        <v>0</v>
      </c>
      <c r="T204" s="1151">
        <f>'Inl. wetlands'!$K204/1000*16/12*methane*D204</f>
        <v/>
      </c>
      <c r="U204" s="1151">
        <f>'Inl. wetlands'!$K204/1000*16/12*methane*F204</f>
        <v/>
      </c>
      <c r="V204" s="3493" t="n">
        <v>0</v>
      </c>
      <c r="W204" s="1151">
        <f>'Inl. wetlands'!$M204/1000*44/28*Nitrous*D204</f>
        <v/>
      </c>
      <c r="X204" s="3494">
        <f>'Inl. wetlands'!$M204/1000*44/28*Nitrous*F204</f>
        <v/>
      </c>
      <c r="Y204" s="992" t="n"/>
      <c r="Z204" s="992" t="n"/>
      <c r="AA204" s="992" t="n"/>
      <c r="AB204" s="3493">
        <f>MIN('Inl. wetlands'!P204,'Inl. wetlands'!Q204)*time_tot+ABS('Inl. wetlands'!Q204-'Inl. wetlands'!P204)*IF('Inl. wetlands'!Q204&gt;'Inl. wetlands'!P204,time_cap+time*(VLOOKUP('6.Inland wetlands'!O58,list!$I$48:$K$50,3,0)),time*(1-(VLOOKUP('6.Inland wetlands'!O58,list!$I$48:$K$50,3,0))))</f>
        <v/>
      </c>
      <c r="AC204" s="3493">
        <f>MIN('Inl. wetlands'!P204,'Inl. wetlands'!R204)*time_tot+ABS('Inl. wetlands'!R204-'Inl. wetlands'!P204)*IF('Inl. wetlands'!R204&gt;'Inl. wetlands'!P204,time_cap+time*(VLOOKUP('6.Inland wetlands'!Q58,list!$I$48:$K$50,3,0)),time*(1-(VLOOKUP('6.Inland wetlands'!Q58,list!$I$48:$K$50,3,0))))</f>
        <v/>
      </c>
      <c r="AD204" s="3493">
        <f>MIN('Inl. wetlands'!S204,'Inl. wetlands'!T204)*time_tot+ABS('Inl. wetlands'!T204-'Inl. wetlands'!S204)*IF('Inl. wetlands'!T204&gt;'Inl. wetlands'!S204,time_cap+time*(VLOOKUP('6.Inland wetlands'!O58,list!$I$48:$K$50,3,0)),time*(1-(VLOOKUP('6.Inland wetlands'!O58,list!$I$48:$K$50,3,0))))</f>
        <v/>
      </c>
      <c r="AE204" s="3493">
        <f>MIN('Inl. wetlands'!S204,'Inl. wetlands'!U204)*time_tot+ABS('Inl. wetlands'!U204-'Inl. wetlands'!S204)*IF('Inl. wetlands'!U204&gt;'Inl. wetlands'!S204,time_cap+time*(VLOOKUP('6.Inland wetlands'!Q58,list!$I$48:$K$50,3,0)),time*(1-(VLOOKUP('6.Inland wetlands'!Q58,list!$I$48:$K$50,3,0))))</f>
        <v/>
      </c>
      <c r="AF204" s="3493">
        <f>MIN('Inl. wetlands'!V204,'Inl. wetlands'!W204)*time_tot+ABS('Inl. wetlands'!W204-'Inl. wetlands'!V204)*IF('Inl. wetlands'!W204&gt;'Inl. wetlands'!V204,time_cap+time*(VLOOKUP('6.Inland wetlands'!O58,list!$I$48:$K$50,3,0)),time*(1-(VLOOKUP('6.Inland wetlands'!O58,list!$I$48:$K$50,3,0))))</f>
        <v/>
      </c>
      <c r="AG204" s="3493">
        <f>MIN('Inl. wetlands'!V204,'Inl. wetlands'!X204)*time_tot+ABS('Inl. wetlands'!X204-'Inl. wetlands'!V204)*IF('Inl. wetlands'!X204&gt;'Inl. wetlands'!V204,time_cap+time*(VLOOKUP('6.Inland wetlands'!Q58,list!$I$48:$K$50,3,0)),time*(1-(VLOOKUP('6.Inland wetlands'!Q58,list!$I$48:$K$50,3,0))))</f>
        <v/>
      </c>
      <c r="AI204" s="1151">
        <f>SUM(AB197,AF197,AD197)+AB208+AD208+AF208</f>
        <v/>
      </c>
      <c r="AJ204" s="1151">
        <f>SUM('Inl. wetlands'!AE197,'Inl. wetlands'!AC197,'Inl. wetlands'!AG197)+'Inl. wetlands'!AC208+'Inl. wetlands'!AE208+'Inl. wetlands'!AG208</f>
        <v/>
      </c>
      <c r="AK204" s="1285">
        <f>AJ204-AI204</f>
        <v/>
      </c>
      <c r="AX204" s="1271" t="n"/>
    </row>
    <row r="205">
      <c r="A205" s="1493" t="inlineStr">
        <is>
          <t>S2</t>
        </is>
      </c>
      <c r="B205" s="1281">
        <f>B152</f>
        <v/>
      </c>
      <c r="C205" s="1121">
        <f>C152</f>
        <v/>
      </c>
      <c r="D205" s="992">
        <f>IF('6.Inland wetlands'!S59='6.Inland wetlands'!K59, 0, '6.Inland wetlands'!T59-'Inl. wetlands'!D194)</f>
        <v/>
      </c>
      <c r="E205" s="1688">
        <f>E194</f>
        <v/>
      </c>
      <c r="F205" s="992">
        <f>IF('6.Inland wetlands'!S59='6.Inland wetlands'!K59, 0, '6.Inland wetlands'!U59-'Inl. wetlands'!F194)</f>
        <v/>
      </c>
      <c r="G205" s="1688">
        <f>G194</f>
        <v/>
      </c>
      <c r="H205" s="1004">
        <f>IFERROR(IF($B205="Please select",0,IF($D$145="Nutrient poor",INDEX(IPCC!$A$1910:$J$1921,MATCH(clim_moist,IPCC!$A$1910:$A$1921,0),MATCH($C205,IPCC!$A$1910:$J$1910,0)),INDEX(IPCC!$A$1928:$J$1939,MATCH(clim_moist,IPCC!$A$1928:$A$1939,0),MATCH($C205,IPCC!$A$1928:$J$1928,0)))),0)</f>
        <v/>
      </c>
      <c r="I205" s="1259">
        <f>IF('6.Inland wetlands'!$DY59="",'6.Inland wetlands'!$DX59,'6.Inland wetlands'!$DY59)</f>
        <v/>
      </c>
      <c r="J205" s="1004">
        <f>IFERROR(IF($B205="Please select",0,IF($D$145="Nutrient poor",INDEX(IPCC!$A$1964:$J$1975,MATCH(clim_moist,IPCC!$A$1964:$A$1975,0),MATCH($C205,IPCC!$A$1964:$J$1964,0)),INDEX(IPCC!$A$1982:$J$1993,MATCH(clim_moist,IPCC!$A$1982:$A$1993,0),MATCH($C205,IPCC!$A$1982:$J$1982,0)))),0)</f>
        <v/>
      </c>
      <c r="K205" s="1259">
        <f>IF('6.Inland wetlands'!$EA59="",'6.Inland wetlands'!$DZ59,'6.Inland wetlands'!$EA59)</f>
        <v/>
      </c>
      <c r="L205" s="1004">
        <f>IFERROR(IF($B205="Please select",0,INDEX(IPCC!$A$2000:$J$2011,MATCH(clim_moist,IPCC!$A$2000:$A$2011,0),MATCH($C205,IPCC!$A$2000:$J$2000,0))),0)</f>
        <v/>
      </c>
      <c r="M205" s="1259">
        <f>IF('6.Inland wetlands'!$EC59="",'6.Inland wetlands'!$EB59,'6.Inland wetlands'!$EC59)</f>
        <v/>
      </c>
      <c r="N205" s="1260">
        <f>IFERROR(IF($B194="Please select",0,INDEX(IPCC!$A$1946:$J$1957,MATCH(clim_moist,IPCC!$A$1946:$A$1957,0),MATCH($C194,IPCC!$A$1946:$J$1946,0))),0)</f>
        <v/>
      </c>
      <c r="O205" s="1259">
        <f>IF('6.Inland wetlands'!$EF59="",'6.Inland wetlands'!$EE59,'6.Inland wetlands'!$EF59)</f>
        <v/>
      </c>
      <c r="P205" s="3493" t="n">
        <v>0</v>
      </c>
      <c r="Q205" s="3493">
        <f>SUM('Inl. wetlands'!$I205,'Inl. wetlands'!$O205)*44/12*D205</f>
        <v/>
      </c>
      <c r="R205" s="1151">
        <f>SUM('Inl. wetlands'!$I205,'Inl. wetlands'!$O205)*44/12*F205</f>
        <v/>
      </c>
      <c r="S205" s="3493" t="n">
        <v>0</v>
      </c>
      <c r="T205" s="1151">
        <f>'Inl. wetlands'!$K205/1000*16/12*methane*D205</f>
        <v/>
      </c>
      <c r="U205" s="1151">
        <f>'Inl. wetlands'!$K205/1000*16/12*methane*F205</f>
        <v/>
      </c>
      <c r="V205" s="3493" t="n">
        <v>0</v>
      </c>
      <c r="W205" s="1151">
        <f>'Inl. wetlands'!$M205/1000*44/28*Nitrous*D205</f>
        <v/>
      </c>
      <c r="X205" s="3494">
        <f>'Inl. wetlands'!$M205/1000*44/28*Nitrous*F205</f>
        <v/>
      </c>
      <c r="Y205" s="992" t="n"/>
      <c r="Z205" s="992" t="n"/>
      <c r="AA205" s="992" t="n"/>
      <c r="AB205" s="3493">
        <f>MIN('Inl. wetlands'!P205,'Inl. wetlands'!Q205)*time_tot+ABS('Inl. wetlands'!Q205-'Inl. wetlands'!P205)*IF('Inl. wetlands'!Q205&gt;'Inl. wetlands'!P205,time_cap+time*(VLOOKUP('6.Inland wetlands'!O59,list!$I$48:$K$50,3,0)),time*(1-(VLOOKUP('6.Inland wetlands'!O59,list!$I$48:$K$50,3,0))))</f>
        <v/>
      </c>
      <c r="AC205" s="3493">
        <f>MIN('Inl. wetlands'!P205,'Inl. wetlands'!R205)*time_tot+ABS('Inl. wetlands'!R205-'Inl. wetlands'!P205)*IF('Inl. wetlands'!R205&gt;'Inl. wetlands'!P205,time_cap+time*(VLOOKUP('6.Inland wetlands'!Q59,list!$I$48:$K$50,3,0)),time*(1-(VLOOKUP('6.Inland wetlands'!Q59,list!$I$48:$K$50,3,0))))</f>
        <v/>
      </c>
      <c r="AD205" s="3493">
        <f>MIN('Inl. wetlands'!S205,'Inl. wetlands'!T205)*time_tot+ABS('Inl. wetlands'!T205-'Inl. wetlands'!S205)*IF('Inl. wetlands'!T205&gt;'Inl. wetlands'!S205,time_cap+time*(VLOOKUP('6.Inland wetlands'!O59,list!$I$48:$K$50,3,0)),time*(1-(VLOOKUP('6.Inland wetlands'!O59,list!$I$48:$K$50,3,0))))</f>
        <v/>
      </c>
      <c r="AE205" s="3493">
        <f>MIN('Inl. wetlands'!S205,'Inl. wetlands'!U205)*time_tot+ABS('Inl. wetlands'!U205-'Inl. wetlands'!S205)*IF('Inl. wetlands'!U205&gt;'Inl. wetlands'!S205,time_cap+time*(VLOOKUP('6.Inland wetlands'!Q59,list!$I$48:$K$50,3,0)),time*(1-(VLOOKUP('6.Inland wetlands'!Q59,list!$I$48:$K$50,3,0))))</f>
        <v/>
      </c>
      <c r="AF205" s="3493">
        <f>MIN('Inl. wetlands'!V205,'Inl. wetlands'!W205)*time_tot+ABS('Inl. wetlands'!W205-'Inl. wetlands'!V205)*IF('Inl. wetlands'!W205&gt;'Inl. wetlands'!V205,time_cap+time*(VLOOKUP('6.Inland wetlands'!O59,list!$I$48:$K$50,3,0)),time*(1-(VLOOKUP('6.Inland wetlands'!O59,list!$I$48:$K$50,3,0))))</f>
        <v/>
      </c>
      <c r="AG205" s="3493">
        <f>MIN('Inl. wetlands'!V205,'Inl. wetlands'!X205)*time_tot+ABS('Inl. wetlands'!X205-'Inl. wetlands'!V205)*IF('Inl. wetlands'!X205&gt;'Inl. wetlands'!V205,time_cap+time*(VLOOKUP('6.Inland wetlands'!Q59,list!$I$48:$K$50,3,0)),time*(1-(VLOOKUP('6.Inland wetlands'!Q59,list!$I$48:$K$50,3,0))))</f>
        <v/>
      </c>
      <c r="AI205" s="1151">
        <f>SUM(AB198,AF198,AD198)+AB209+AD209+AF209</f>
        <v/>
      </c>
      <c r="AJ205" s="1151">
        <f>SUM('Inl. wetlands'!AE198,'Inl. wetlands'!AC198,'Inl. wetlands'!AG198)+'Inl. wetlands'!AC209+'Inl. wetlands'!AE209+'Inl. wetlands'!AG209</f>
        <v/>
      </c>
      <c r="AK205" s="1286">
        <f>AJ205-AI205</f>
        <v/>
      </c>
      <c r="AX205" s="1271" t="n"/>
    </row>
    <row r="206">
      <c r="A206" s="1493" t="inlineStr">
        <is>
          <t>S3</t>
        </is>
      </c>
      <c r="B206" s="1281">
        <f>B153</f>
        <v/>
      </c>
      <c r="C206" s="1121">
        <f>C153</f>
        <v/>
      </c>
      <c r="D206" s="992">
        <f>IF('6.Inland wetlands'!S60='6.Inland wetlands'!K60, 0, '6.Inland wetlands'!T60-'Inl. wetlands'!D195)</f>
        <v/>
      </c>
      <c r="E206" s="1688">
        <f>E195</f>
        <v/>
      </c>
      <c r="F206" s="992">
        <f>IF('6.Inland wetlands'!S60='6.Inland wetlands'!K60, 0, '6.Inland wetlands'!U60-'Inl. wetlands'!F195)</f>
        <v/>
      </c>
      <c r="G206" s="1688">
        <f>G195</f>
        <v/>
      </c>
      <c r="H206" s="1004">
        <f>IFERROR(IF($B206="Please select",0,IF($D$145="Nutrient poor",INDEX(IPCC!$A$1910:$J$1921,MATCH(clim_moist,IPCC!$A$1910:$A$1921,0),MATCH($C206,IPCC!$A$1910:$J$1910,0)),INDEX(IPCC!$A$1928:$J$1939,MATCH(clim_moist,IPCC!$A$1928:$A$1939,0),MATCH($C206,IPCC!$A$1928:$J$1928,0)))),0)</f>
        <v/>
      </c>
      <c r="I206" s="1259">
        <f>IF('6.Inland wetlands'!$DY60="",'6.Inland wetlands'!$DX60,'6.Inland wetlands'!$DY60)</f>
        <v/>
      </c>
      <c r="J206" s="1004">
        <f>IFERROR(IF($B206="Please select",0,IF($D$145="Nutrient poor",INDEX(IPCC!$A$1964:$J$1975,MATCH(clim_moist,IPCC!$A$1964:$A$1975,0),MATCH($C206,IPCC!$A$1964:$J$1964,0)),INDEX(IPCC!$A$1982:$J$1993,MATCH(clim_moist,IPCC!$A$1982:$A$1993,0),MATCH($C206,IPCC!$A$1982:$J$1982,0)))),0)</f>
        <v/>
      </c>
      <c r="K206" s="1259">
        <f>IF('6.Inland wetlands'!$EA60="",'6.Inland wetlands'!$DZ60,'6.Inland wetlands'!$EA60)</f>
        <v/>
      </c>
      <c r="L206" s="1004">
        <f>IFERROR(IF($B206="Please select",0,INDEX(IPCC!$A$2000:$J$2011,MATCH(clim_moist,IPCC!$A$2000:$A$2011,0),MATCH($C206,IPCC!$A$2000:$J$2000,0))),0)</f>
        <v/>
      </c>
      <c r="M206" s="1259">
        <f>IF('6.Inland wetlands'!$EC60="",'6.Inland wetlands'!$EB60,'6.Inland wetlands'!$EC60)</f>
        <v/>
      </c>
      <c r="N206" s="1260">
        <f>IFERROR(IF($B195="Please select",0,INDEX(IPCC!$A$1946:$J$1957,MATCH(clim_moist,IPCC!$A$1946:$A$1957,0),MATCH($C195,IPCC!$A$1946:$J$1946,0))),0)</f>
        <v/>
      </c>
      <c r="O206" s="1259">
        <f>IF('6.Inland wetlands'!$EF60="",'6.Inland wetlands'!$EE60,'6.Inland wetlands'!$EF60)</f>
        <v/>
      </c>
      <c r="P206" s="3493" t="n">
        <v>0</v>
      </c>
      <c r="Q206" s="3493">
        <f>SUM('Inl. wetlands'!$I206,'Inl. wetlands'!$O206)*44/12*D206</f>
        <v/>
      </c>
      <c r="R206" s="1151">
        <f>SUM('Inl. wetlands'!$I206,'Inl. wetlands'!$O206)*44/12*F206</f>
        <v/>
      </c>
      <c r="S206" s="3493" t="n">
        <v>0</v>
      </c>
      <c r="T206" s="1151">
        <f>'Inl. wetlands'!$K206/1000*16/12*methane*D206</f>
        <v/>
      </c>
      <c r="U206" s="1151">
        <f>'Inl. wetlands'!$K206/1000*16/12*methane*F206</f>
        <v/>
      </c>
      <c r="V206" s="3493" t="n">
        <v>0</v>
      </c>
      <c r="W206" s="1151">
        <f>'Inl. wetlands'!$M206/1000*44/28*Nitrous*D206</f>
        <v/>
      </c>
      <c r="X206" s="3494">
        <f>'Inl. wetlands'!$M206/1000*44/28*Nitrous*F206</f>
        <v/>
      </c>
      <c r="Y206" s="992" t="n"/>
      <c r="Z206" s="992" t="n"/>
      <c r="AA206" s="992" t="n"/>
      <c r="AB206" s="3493">
        <f>MIN('Inl. wetlands'!P206,'Inl. wetlands'!Q206)*time_tot+ABS('Inl. wetlands'!Q206-'Inl. wetlands'!P206)*IF('Inl. wetlands'!Q206&gt;'Inl. wetlands'!P206,time_cap+time*(VLOOKUP('6.Inland wetlands'!O60,list!$I$48:$K$50,3,0)),time*(1-(VLOOKUP('6.Inland wetlands'!O60,list!$I$48:$K$50,3,0))))</f>
        <v/>
      </c>
      <c r="AC206" s="3493">
        <f>MIN('Inl. wetlands'!P206,'Inl. wetlands'!R206)*time_tot+ABS('Inl. wetlands'!R206-'Inl. wetlands'!P206)*IF('Inl. wetlands'!R206&gt;'Inl. wetlands'!P206,time_cap+time*(VLOOKUP('6.Inland wetlands'!Q60,list!$I$48:$K$50,3,0)),time*(1-(VLOOKUP('6.Inland wetlands'!Q60,list!$I$48:$K$50,3,0))))</f>
        <v/>
      </c>
      <c r="AD206" s="3493">
        <f>MIN('Inl. wetlands'!S206,'Inl. wetlands'!T206)*time_tot+ABS('Inl. wetlands'!T206-'Inl. wetlands'!S206)*IF('Inl. wetlands'!T206&gt;'Inl. wetlands'!S206,time_cap+time*(VLOOKUP('6.Inland wetlands'!O60,list!$I$48:$K$50,3,0)),time*(1-(VLOOKUP('6.Inland wetlands'!O60,list!$I$48:$K$50,3,0))))</f>
        <v/>
      </c>
      <c r="AE206" s="3493">
        <f>MIN('Inl. wetlands'!S206,'Inl. wetlands'!U206)*time_tot+ABS('Inl. wetlands'!U206-'Inl. wetlands'!S206)*IF('Inl. wetlands'!U206&gt;'Inl. wetlands'!S206,time_cap+time*(VLOOKUP('6.Inland wetlands'!Q60,list!$I$48:$K$50,3,0)),time*(1-(VLOOKUP('6.Inland wetlands'!Q60,list!$I$48:$K$50,3,0))))</f>
        <v/>
      </c>
      <c r="AF206" s="3493">
        <f>MIN('Inl. wetlands'!V206,'Inl. wetlands'!W206)*time_tot+ABS('Inl. wetlands'!W206-'Inl. wetlands'!V206)*IF('Inl. wetlands'!W206&gt;'Inl. wetlands'!V206,time_cap+time*(VLOOKUP('6.Inland wetlands'!O60,list!$I$48:$K$50,3,0)),time*(1-(VLOOKUP('6.Inland wetlands'!O60,list!$I$48:$K$50,3,0))))</f>
        <v/>
      </c>
      <c r="AG206" s="3493">
        <f>MIN('Inl. wetlands'!V206,'Inl. wetlands'!X206)*time_tot+ABS('Inl. wetlands'!X206-'Inl. wetlands'!V206)*IF('Inl. wetlands'!X206&gt;'Inl. wetlands'!V206,time_cap+time*(VLOOKUP('6.Inland wetlands'!Q60,list!$I$48:$K$50,3,0)),time*(1-(VLOOKUP('6.Inland wetlands'!Q60,list!$I$48:$K$50,3,0))))</f>
        <v/>
      </c>
      <c r="AX206" s="1271" t="n"/>
    </row>
    <row r="207">
      <c r="A207" s="1493" t="inlineStr">
        <is>
          <t>S4</t>
        </is>
      </c>
      <c r="B207" s="1281">
        <f>B154</f>
        <v/>
      </c>
      <c r="C207" s="1121">
        <f>C154</f>
        <v/>
      </c>
      <c r="D207" s="992">
        <f>IF('6.Inland wetlands'!S61='6.Inland wetlands'!K61, 0, '6.Inland wetlands'!T61-'Inl. wetlands'!D196)</f>
        <v/>
      </c>
      <c r="E207" s="1688">
        <f>E196</f>
        <v/>
      </c>
      <c r="F207" s="992">
        <f>IF('6.Inland wetlands'!S61='6.Inland wetlands'!K61, 0, '6.Inland wetlands'!U61-'Inl. wetlands'!F196)</f>
        <v/>
      </c>
      <c r="G207" s="1688">
        <f>G196</f>
        <v/>
      </c>
      <c r="H207" s="1004">
        <f>IFERROR(IF($B207="Please select",0,IF($D$145="Nutrient poor",INDEX(IPCC!$A$1910:$J$1921,MATCH(clim_moist,IPCC!$A$1910:$A$1921,0),MATCH($C207,IPCC!$A$1910:$J$1910,0)),INDEX(IPCC!$A$1928:$J$1939,MATCH(clim_moist,IPCC!$A$1928:$A$1939,0),MATCH($C207,IPCC!$A$1928:$J$1928,0)))),0)</f>
        <v/>
      </c>
      <c r="I207" s="1259">
        <f>IF('6.Inland wetlands'!$DY61="",'6.Inland wetlands'!$DX61,'6.Inland wetlands'!$DY61)</f>
        <v/>
      </c>
      <c r="J207" s="1004">
        <f>IFERROR(IF($B207="Please select",0,IF($D$145="Nutrient poor",INDEX(IPCC!$A$1964:$J$1975,MATCH(clim_moist,IPCC!$A$1964:$A$1975,0),MATCH($C207,IPCC!$A$1964:$J$1964,0)),INDEX(IPCC!$A$1982:$J$1993,MATCH(clim_moist,IPCC!$A$1982:$A$1993,0),MATCH($C207,IPCC!$A$1982:$J$1982,0)))),0)</f>
        <v/>
      </c>
      <c r="K207" s="1259">
        <f>IF('6.Inland wetlands'!$EA61="",'6.Inland wetlands'!$DZ61,'6.Inland wetlands'!$EA61)</f>
        <v/>
      </c>
      <c r="L207" s="1004">
        <f>IFERROR(IF($B207="Please select",0,INDEX(IPCC!$A$2000:$J$2011,MATCH(clim_moist,IPCC!$A$2000:$A$2011,0),MATCH($C207,IPCC!$A$2000:$J$2000,0))),0)</f>
        <v/>
      </c>
      <c r="M207" s="1259">
        <f>IF('6.Inland wetlands'!$EC61="",'6.Inland wetlands'!$EB61,'6.Inland wetlands'!$EC61)</f>
        <v/>
      </c>
      <c r="N207" s="1260">
        <f>IFERROR(IF($B196="Please select",0,INDEX(IPCC!$A$1946:$J$1957,MATCH(clim_moist,IPCC!$A$1946:$A$1957,0),MATCH($C196,IPCC!$A$1946:$J$1946,0))),0)</f>
        <v/>
      </c>
      <c r="O207" s="1259">
        <f>IF('6.Inland wetlands'!$EF61="",'6.Inland wetlands'!$EE61,'6.Inland wetlands'!$EF61)</f>
        <v/>
      </c>
      <c r="P207" s="3493" t="n">
        <v>0</v>
      </c>
      <c r="Q207" s="3493">
        <f>SUM('Inl. wetlands'!$I207,'Inl. wetlands'!$O207)*44/12*D207</f>
        <v/>
      </c>
      <c r="R207" s="1151">
        <f>SUM('Inl. wetlands'!$I207,'Inl. wetlands'!$O207)*44/12*F207</f>
        <v/>
      </c>
      <c r="S207" s="3493" t="n">
        <v>0</v>
      </c>
      <c r="T207" s="1151">
        <f>'Inl. wetlands'!$K207/1000*16/12*methane*D207</f>
        <v/>
      </c>
      <c r="U207" s="1151">
        <f>'Inl. wetlands'!$K207/1000*16/12*methane*F207</f>
        <v/>
      </c>
      <c r="V207" s="3493" t="n">
        <v>0</v>
      </c>
      <c r="W207" s="1151">
        <f>'Inl. wetlands'!$M207/1000*44/28*Nitrous*D207</f>
        <v/>
      </c>
      <c r="X207" s="3494">
        <f>'Inl. wetlands'!$M207/1000*44/28*Nitrous*F207</f>
        <v/>
      </c>
      <c r="Y207" s="992" t="n"/>
      <c r="Z207" s="992" t="n"/>
      <c r="AA207" s="992" t="n"/>
      <c r="AB207" s="3493">
        <f>MIN('Inl. wetlands'!P207,'Inl. wetlands'!Q207)*time_tot+ABS('Inl. wetlands'!Q207-'Inl. wetlands'!P207)*IF('Inl. wetlands'!Q207&gt;'Inl. wetlands'!P207,time_cap+time*(VLOOKUP('6.Inland wetlands'!O61,list!$I$48:$K$50,3,0)),time*(1-(VLOOKUP('6.Inland wetlands'!O61,list!$I$48:$K$50,3,0))))</f>
        <v/>
      </c>
      <c r="AC207" s="3493">
        <f>MIN('Inl. wetlands'!P207,'Inl. wetlands'!R207)*time_tot+ABS('Inl. wetlands'!R207-'Inl. wetlands'!P207)*IF('Inl. wetlands'!R207&gt;'Inl. wetlands'!P207,time_cap+time*(VLOOKUP('6.Inland wetlands'!Q61,list!$I$48:$K$50,3,0)),time*(1-(VLOOKUP('6.Inland wetlands'!Q61,list!$I$48:$K$50,3,0))))</f>
        <v/>
      </c>
      <c r="AD207" s="3493">
        <f>MIN('Inl. wetlands'!S207,'Inl. wetlands'!T207)*time_tot+ABS('Inl. wetlands'!T207-'Inl. wetlands'!S207)*IF('Inl. wetlands'!T207&gt;'Inl. wetlands'!S207,time_cap+time*(VLOOKUP('6.Inland wetlands'!O61,list!$I$48:$K$50,3,0)),time*(1-(VLOOKUP('6.Inland wetlands'!O61,list!$I$48:$K$50,3,0))))</f>
        <v/>
      </c>
      <c r="AE207" s="3493">
        <f>MIN('Inl. wetlands'!S207,'Inl. wetlands'!U207)*time_tot+ABS('Inl. wetlands'!U207-'Inl. wetlands'!S207)*IF('Inl. wetlands'!U207&gt;'Inl. wetlands'!S207,time_cap+time*(VLOOKUP('6.Inland wetlands'!Q61,list!$I$48:$K$50,3,0)),time*(1-(VLOOKUP('6.Inland wetlands'!Q61,list!$I$48:$K$50,3,0))))</f>
        <v/>
      </c>
      <c r="AF207" s="3493">
        <f>MIN('Inl. wetlands'!V207,'Inl. wetlands'!W207)*time_tot+ABS('Inl. wetlands'!W207-'Inl. wetlands'!V207)*IF('Inl. wetlands'!W207&gt;'Inl. wetlands'!V207,time_cap+time*(VLOOKUP('6.Inland wetlands'!O61,list!$I$48:$K$50,3,0)),time*(1-(VLOOKUP('6.Inland wetlands'!O61,list!$I$48:$K$50,3,0))))</f>
        <v/>
      </c>
      <c r="AG207" s="3493">
        <f>MIN('Inl. wetlands'!V207,'Inl. wetlands'!X207)*time_tot+ABS('Inl. wetlands'!X207-'Inl. wetlands'!V207)*IF('Inl. wetlands'!X207&gt;'Inl. wetlands'!V207,time_cap+time*(VLOOKUP('6.Inland wetlands'!Q61,list!$I$48:$K$50,3,0)),time*(1-(VLOOKUP('6.Inland wetlands'!Q61,list!$I$48:$K$50,3,0))))</f>
        <v/>
      </c>
      <c r="AX207" s="1271" t="n"/>
    </row>
    <row r="208">
      <c r="A208" s="1493" t="inlineStr">
        <is>
          <t>S5</t>
        </is>
      </c>
      <c r="B208" s="1281">
        <f>B155</f>
        <v/>
      </c>
      <c r="C208" s="1121">
        <f>C155</f>
        <v/>
      </c>
      <c r="D208" s="992">
        <f>IF('6.Inland wetlands'!S62='6.Inland wetlands'!K62, 0, '6.Inland wetlands'!T62-'Inl. wetlands'!D197)</f>
        <v/>
      </c>
      <c r="E208" s="1688">
        <f>E197</f>
        <v/>
      </c>
      <c r="F208" s="992">
        <f>IF('6.Inland wetlands'!S62='6.Inland wetlands'!K62, 0, '6.Inland wetlands'!U62-'Inl. wetlands'!F197)</f>
        <v/>
      </c>
      <c r="G208" s="1688">
        <f>G197</f>
        <v/>
      </c>
      <c r="H208" s="1004">
        <f>IFERROR(IF($B208="Please select",0,IF($D$145="Nutrient poor",INDEX(IPCC!$A$1910:$J$1921,MATCH(clim_moist,IPCC!$A$1910:$A$1921,0),MATCH($C208,IPCC!$A$1910:$J$1910,0)),INDEX(IPCC!$A$1928:$J$1939,MATCH(clim_moist,IPCC!$A$1928:$A$1939,0),MATCH($C208,IPCC!$A$1928:$J$1928,0)))),0)</f>
        <v/>
      </c>
      <c r="I208" s="1259">
        <f>IF('6.Inland wetlands'!$DY62="",'6.Inland wetlands'!$DX62,'6.Inland wetlands'!$DY62)</f>
        <v/>
      </c>
      <c r="J208" s="1004">
        <f>IFERROR(IF($B208="Please select",0,IF($D$145="Nutrient poor",INDEX(IPCC!$A$1964:$J$1975,MATCH(clim_moist,IPCC!$A$1964:$A$1975,0),MATCH($C208,IPCC!$A$1964:$J$1964,0)),INDEX(IPCC!$A$1982:$J$1993,MATCH(clim_moist,IPCC!$A$1982:$A$1993,0),MATCH($C208,IPCC!$A$1982:$J$1982,0)))),0)</f>
        <v/>
      </c>
      <c r="K208" s="1259">
        <f>IF('6.Inland wetlands'!$EA62="",'6.Inland wetlands'!$DZ62,'6.Inland wetlands'!$EA62)</f>
        <v/>
      </c>
      <c r="L208" s="1004">
        <f>IFERROR(IF($B208="Please select",0,INDEX(IPCC!$A$2000:$J$2011,MATCH(clim_moist,IPCC!$A$2000:$A$2011,0),MATCH($C208,IPCC!$A$2000:$J$2000,0))),0)</f>
        <v/>
      </c>
      <c r="M208" s="1259">
        <f>IF('6.Inland wetlands'!$EC62="",'6.Inland wetlands'!$EB62,'6.Inland wetlands'!$EC62)</f>
        <v/>
      </c>
      <c r="N208" s="1260">
        <f>IFERROR(IF($B197="Please select",0,INDEX(IPCC!$A$1946:$J$1957,MATCH(clim_moist,IPCC!$A$1946:$A$1957,0),MATCH($C197,IPCC!$A$1946:$J$1946,0))),0)</f>
        <v/>
      </c>
      <c r="O208" s="1259">
        <f>IF('6.Inland wetlands'!$EF62="",'6.Inland wetlands'!$EE62,'6.Inland wetlands'!$EF62)</f>
        <v/>
      </c>
      <c r="P208" s="3493" t="n">
        <v>0</v>
      </c>
      <c r="Q208" s="3493">
        <f>SUM('Inl. wetlands'!$I208,'Inl. wetlands'!$O208)*44/12*D208</f>
        <v/>
      </c>
      <c r="R208" s="1151">
        <f>SUM('Inl. wetlands'!$I208,'Inl. wetlands'!$O208)*44/12*F208</f>
        <v/>
      </c>
      <c r="S208" s="3493" t="n">
        <v>0</v>
      </c>
      <c r="T208" s="1151">
        <f>'Inl. wetlands'!$K208/1000*16/12*methane*D208</f>
        <v/>
      </c>
      <c r="U208" s="1151">
        <f>'Inl. wetlands'!$K208/1000*16/12*methane*F208</f>
        <v/>
      </c>
      <c r="V208" s="3493" t="n">
        <v>0</v>
      </c>
      <c r="W208" s="1151">
        <f>'Inl. wetlands'!$M208/1000*44/28*Nitrous*D208</f>
        <v/>
      </c>
      <c r="X208" s="3494">
        <f>'Inl. wetlands'!$M208/1000*44/28*Nitrous*F208</f>
        <v/>
      </c>
      <c r="Y208" s="992" t="n"/>
      <c r="Z208" s="992" t="n"/>
      <c r="AA208" s="992" t="n"/>
      <c r="AB208" s="3493">
        <f>MIN('Inl. wetlands'!P208,'Inl. wetlands'!Q208)*time_tot+ABS('Inl. wetlands'!Q208-'Inl. wetlands'!P208)*IF('Inl. wetlands'!Q208&gt;'Inl. wetlands'!P208,time_cap+time*(VLOOKUP('6.Inland wetlands'!O62,list!$I$48:$K$50,3,0)),time*(1-(VLOOKUP('6.Inland wetlands'!O62,list!$I$48:$K$50,3,0))))</f>
        <v/>
      </c>
      <c r="AC208" s="3493">
        <f>MIN('Inl. wetlands'!P208,'Inl. wetlands'!R208)*time_tot+ABS('Inl. wetlands'!R208-'Inl. wetlands'!P208)*IF('Inl. wetlands'!R208&gt;'Inl. wetlands'!P208,time_cap+time*(VLOOKUP('6.Inland wetlands'!Q62,list!$I$48:$K$50,3,0)),time*(1-(VLOOKUP('6.Inland wetlands'!Q62,list!$I$48:$K$50,3,0))))</f>
        <v/>
      </c>
      <c r="AD208" s="3493">
        <f>MIN('Inl. wetlands'!S208,'Inl. wetlands'!T208)*time_tot+ABS('Inl. wetlands'!T208-'Inl. wetlands'!S208)*IF('Inl. wetlands'!T208&gt;'Inl. wetlands'!S208,time_cap+time*(VLOOKUP('6.Inland wetlands'!O62,list!$I$48:$K$50,3,0)),time*(1-(VLOOKUP('6.Inland wetlands'!O62,list!$I$48:$K$50,3,0))))</f>
        <v/>
      </c>
      <c r="AE208" s="3493">
        <f>MIN('Inl. wetlands'!S208,'Inl. wetlands'!U208)*time_tot+ABS('Inl. wetlands'!U208-'Inl. wetlands'!S208)*IF('Inl. wetlands'!U208&gt;'Inl. wetlands'!S208,time_cap+time*(VLOOKUP('6.Inland wetlands'!Q62,list!$I$48:$K$50,3,0)),time*(1-(VLOOKUP('6.Inland wetlands'!Q62,list!$I$48:$K$50,3,0))))</f>
        <v/>
      </c>
      <c r="AF208" s="3493">
        <f>MIN('Inl. wetlands'!V208,'Inl. wetlands'!W208)*time_tot+ABS('Inl. wetlands'!W208-'Inl. wetlands'!V208)*IF('Inl. wetlands'!W208&gt;'Inl. wetlands'!V208,time_cap+time*(VLOOKUP('6.Inland wetlands'!O62,list!$I$48:$K$50,3,0)),time*(1-(VLOOKUP('6.Inland wetlands'!O62,list!$I$48:$K$50,3,0))))</f>
        <v/>
      </c>
      <c r="AG208" s="3493">
        <f>MIN('Inl. wetlands'!V208,'Inl. wetlands'!X208)*time_tot+ABS('Inl. wetlands'!X208-'Inl. wetlands'!V208)*IF('Inl. wetlands'!X208&gt;'Inl. wetlands'!V208,time_cap+time*(VLOOKUP('6.Inland wetlands'!Q62,list!$I$48:$K$50,3,0)),time*(1-(VLOOKUP('6.Inland wetlands'!Q62,list!$I$48:$K$50,3,0))))</f>
        <v/>
      </c>
      <c r="AX208" s="1271" t="n"/>
    </row>
    <row r="209">
      <c r="A209" s="1493" t="inlineStr">
        <is>
          <t>S6</t>
        </is>
      </c>
      <c r="B209" s="1281">
        <f>B156</f>
        <v/>
      </c>
      <c r="C209" s="1121">
        <f>C156</f>
        <v/>
      </c>
      <c r="D209" s="992">
        <f>IF('6.Inland wetlands'!S63='6.Inland wetlands'!K63, 0, '6.Inland wetlands'!T63-'Inl. wetlands'!D198)</f>
        <v/>
      </c>
      <c r="E209" s="1688">
        <f>E198</f>
        <v/>
      </c>
      <c r="F209" s="992">
        <f>IF('6.Inland wetlands'!S63='6.Inland wetlands'!K63, 0, '6.Inland wetlands'!U63-'Inl. wetlands'!F198)</f>
        <v/>
      </c>
      <c r="G209" s="1688">
        <f>G198</f>
        <v/>
      </c>
      <c r="H209" s="1004">
        <f>IFERROR(IF($B209="Please select",0,IF($D$145="Nutrient poor",INDEX(IPCC!$A$1910:$J$1921,MATCH(clim_moist,IPCC!$A$1910:$A$1921,0),MATCH($C209,IPCC!$A$1910:$J$1910,0)),INDEX(IPCC!$A$1928:$J$1939,MATCH(clim_moist,IPCC!$A$1928:$A$1939,0),MATCH($C209,IPCC!$A$1928:$J$1928,0)))),0)</f>
        <v/>
      </c>
      <c r="I209" s="1259">
        <f>IF('6.Inland wetlands'!$DY63="",'6.Inland wetlands'!$DX63,'6.Inland wetlands'!$DY63)</f>
        <v/>
      </c>
      <c r="J209" s="1004">
        <f>IFERROR(IF($B209="Please select",0,IF($D$145="Nutrient poor",INDEX(IPCC!$A$1964:$J$1975,MATCH(clim_moist,IPCC!$A$1964:$A$1975,0),MATCH($C209,IPCC!$A$1964:$J$1964,0)),INDEX(IPCC!$A$1982:$J$1993,MATCH(clim_moist,IPCC!$A$1982:$A$1993,0),MATCH($C209,IPCC!$A$1982:$J$1982,0)))),0)</f>
        <v/>
      </c>
      <c r="K209" s="1259">
        <f>IF('6.Inland wetlands'!$EA63="",'6.Inland wetlands'!$DZ63,'6.Inland wetlands'!$EA63)</f>
        <v/>
      </c>
      <c r="L209" s="1004">
        <f>IFERROR(IF($B209="Please select",0,INDEX(IPCC!$A$2000:$J$2011,MATCH(clim_moist,IPCC!$A$2000:$A$2011,0),MATCH($C209,IPCC!$A$2000:$J$2000,0))),0)</f>
        <v/>
      </c>
      <c r="M209" s="1259">
        <f>IF('6.Inland wetlands'!$EC63="",'6.Inland wetlands'!$EB63,'6.Inland wetlands'!$EC63)</f>
        <v/>
      </c>
      <c r="N209" s="1260">
        <f>IFERROR(IF($B198="Please select",0,INDEX(IPCC!$A$1946:$J$1957,MATCH(clim_moist,IPCC!$A$1946:$A$1957,0),MATCH($C198,IPCC!$A$1946:$J$1946,0))),0)</f>
        <v/>
      </c>
      <c r="O209" s="1259">
        <f>IF('6.Inland wetlands'!$EF63="",'6.Inland wetlands'!$EE63,'6.Inland wetlands'!$EF63)</f>
        <v/>
      </c>
      <c r="P209" s="3493" t="n">
        <v>0</v>
      </c>
      <c r="Q209" s="3493">
        <f>SUM('Inl. wetlands'!$I209,'Inl. wetlands'!$O209)*44/12*D209</f>
        <v/>
      </c>
      <c r="R209" s="1151">
        <f>SUM('Inl. wetlands'!$I209,'Inl. wetlands'!$O209)*44/12*F209</f>
        <v/>
      </c>
      <c r="S209" s="3493" t="n">
        <v>0</v>
      </c>
      <c r="T209" s="1151">
        <f>'Inl. wetlands'!$K209/1000*16/12*methane*D209</f>
        <v/>
      </c>
      <c r="U209" s="1151">
        <f>'Inl. wetlands'!$K209/1000*16/12*methane*F209</f>
        <v/>
      </c>
      <c r="V209" s="3493" t="n">
        <v>0</v>
      </c>
      <c r="W209" s="1151">
        <f>'Inl. wetlands'!$M209/1000*44/28*Nitrous*D209</f>
        <v/>
      </c>
      <c r="X209" s="3494">
        <f>'Inl. wetlands'!$M209/1000*44/28*Nitrous*F209</f>
        <v/>
      </c>
      <c r="Y209" s="992" t="n"/>
      <c r="Z209" s="992" t="n"/>
      <c r="AA209" s="992" t="n"/>
      <c r="AB209" s="3493">
        <f>MIN('Inl. wetlands'!P209,'Inl. wetlands'!Q209)*time_tot+ABS('Inl. wetlands'!Q209-'Inl. wetlands'!P209)*IF('Inl. wetlands'!Q209&gt;'Inl. wetlands'!P209,time_cap+time*(VLOOKUP('6.Inland wetlands'!O63,list!$I$48:$K$50,3,0)),time*(1-(VLOOKUP('6.Inland wetlands'!O63,list!$I$48:$K$50,3,0))))</f>
        <v/>
      </c>
      <c r="AC209" s="3493">
        <f>MIN('Inl. wetlands'!P209,'Inl. wetlands'!R209)*time_tot+ABS('Inl. wetlands'!R209-'Inl. wetlands'!P209)*IF('Inl. wetlands'!R209&gt;'Inl. wetlands'!P209,time_cap+time*(VLOOKUP('6.Inland wetlands'!Q63,list!$I$48:$K$50,3,0)),time*(1-(VLOOKUP('6.Inland wetlands'!Q63,list!$I$48:$K$50,3,0))))</f>
        <v/>
      </c>
      <c r="AD209" s="3493">
        <f>MIN('Inl. wetlands'!S209,'Inl. wetlands'!T209)*time_tot+ABS('Inl. wetlands'!T209-'Inl. wetlands'!S209)*IF('Inl. wetlands'!T209&gt;'Inl. wetlands'!S209,time_cap+time*(VLOOKUP('6.Inland wetlands'!O63,list!$I$48:$K$50,3,0)),time*(1-(VLOOKUP('6.Inland wetlands'!O63,list!$I$48:$K$50,3,0))))</f>
        <v/>
      </c>
      <c r="AE209" s="3493">
        <f>MIN('Inl. wetlands'!S209,'Inl. wetlands'!U209)*time_tot+ABS('Inl. wetlands'!U209-'Inl. wetlands'!S209)*IF('Inl. wetlands'!U209&gt;'Inl. wetlands'!S209,time_cap+time*(VLOOKUP('6.Inland wetlands'!Q63,list!$I$48:$K$50,3,0)),time*(1-(VLOOKUP('6.Inland wetlands'!Q63,list!$I$48:$K$50,3,0))))</f>
        <v/>
      </c>
      <c r="AF209" s="3493">
        <f>MIN('Inl. wetlands'!V209,'Inl. wetlands'!W209)*time_tot+ABS('Inl. wetlands'!W209-'Inl. wetlands'!V209)*IF('Inl. wetlands'!W209&gt;'Inl. wetlands'!V209,time_cap+time*(VLOOKUP('6.Inland wetlands'!O63,list!$I$48:$K$50,3,0)),time*(1-(VLOOKUP('6.Inland wetlands'!O63,list!$I$48:$K$50,3,0))))</f>
        <v/>
      </c>
      <c r="AG209" s="3493">
        <f>MIN('Inl. wetlands'!V209,'Inl. wetlands'!X209)*time_tot+ABS('Inl. wetlands'!X209-'Inl. wetlands'!V209)*IF('Inl. wetlands'!X209&gt;'Inl. wetlands'!V209,time_cap+time*(VLOOKUP('6.Inland wetlands'!Q63,list!$I$48:$K$50,3,0)),time*(1-(VLOOKUP('6.Inland wetlands'!Q63,list!$I$48:$K$50,3,0))))</f>
        <v/>
      </c>
      <c r="AX209" s="1271" t="n"/>
    </row>
    <row r="210">
      <c r="F210" s="992" t="n"/>
      <c r="G210" s="1688" t="n"/>
      <c r="H210" s="992" t="n"/>
      <c r="P210" s="992" t="n"/>
      <c r="Q210" s="992" t="n"/>
      <c r="R210" s="992" t="n"/>
      <c r="S210" s="992" t="n"/>
      <c r="T210" s="992" t="n"/>
      <c r="U210" s="992" t="n"/>
      <c r="V210" s="992" t="n"/>
      <c r="W210" s="992" t="n"/>
      <c r="X210" s="992" t="n"/>
      <c r="Y210" s="992" t="n"/>
      <c r="Z210" s="992" t="n"/>
      <c r="AA210" s="992" t="n"/>
      <c r="AB210" s="992" t="n"/>
      <c r="AX210" s="1271" t="n"/>
    </row>
    <row r="211" ht="16" customHeight="1">
      <c r="F211" s="992" t="n"/>
      <c r="G211" s="1688" t="n"/>
      <c r="H211" s="992" t="n"/>
      <c r="P211" s="992" t="n"/>
      <c r="Q211" s="992" t="n"/>
      <c r="R211" s="992" t="n"/>
      <c r="S211" s="992" t="n"/>
      <c r="T211" s="992" t="n"/>
      <c r="U211" s="992" t="n"/>
      <c r="V211" s="992" t="n"/>
      <c r="W211" s="992" t="n"/>
      <c r="X211" s="992" t="n"/>
      <c r="Y211" s="992" t="n"/>
      <c r="Z211" s="992" t="n"/>
      <c r="AA211" s="992" t="n"/>
      <c r="AB211" s="992" t="n"/>
      <c r="AH211" s="1192" t="inlineStr">
        <is>
          <t>Total afforestation/reforestation (tCO2 eq)</t>
        </is>
      </c>
      <c r="AI211" s="1192">
        <f>SUM(AI200:AI205,AI171:AI176,AI151:AI156,AI134:AI139)</f>
        <v/>
      </c>
      <c r="AJ211" s="1192">
        <f>SUM(AJ200:AJ205,AJ171:AJ176,AJ151:AJ156,AJ134:AJ139)</f>
        <v/>
      </c>
      <c r="AK211" s="1192">
        <f>SUM(AK200:AK205,AK171:AK176,AK151:AK156,AK134:AK139)</f>
        <v/>
      </c>
      <c r="AX211" s="1271" t="n"/>
    </row>
    <row r="212">
      <c r="AX212" s="1271" t="n"/>
      <c r="AY212" s="1271" t="n"/>
      <c r="AZ212" s="1271" t="n"/>
      <c r="BA212" s="1271" t="n"/>
      <c r="BB212" s="1271" t="n"/>
      <c r="BD212" s="1463" t="n"/>
      <c r="BF212" s="1271" t="n"/>
    </row>
    <row r="213">
      <c r="E213" s="4027" t="inlineStr">
        <is>
          <t>Rewetted areas</t>
        </is>
      </c>
      <c r="F213" s="4361">
        <f>MAX(G213:H213)</f>
        <v/>
      </c>
      <c r="G213" s="4361">
        <f>SUM(D193:D198)+SUM(D204:D209)</f>
        <v/>
      </c>
      <c r="H213" s="4361">
        <f>SUM(F193:F198)+SUM(F204:F209)</f>
        <v/>
      </c>
      <c r="AJ213" s="1445" t="inlineStr">
        <is>
          <t>TEST TIER 2</t>
        </is>
      </c>
      <c r="AK213" s="1445">
        <f>SUM('6.Inland wetlands'!CG58:CG63,'6.Inland wetlands'!CI58:CI63,'6.Inland wetlands'!CK58:CK63,'6.Inland wetlands'!CN58:CN63,'6.Inland wetlands'!CP58:CP63)</f>
        <v/>
      </c>
      <c r="AL213" s="973" t="inlineStr">
        <is>
          <t>Drainage</t>
        </is>
      </c>
      <c r="AX213" s="1449" t="n"/>
      <c r="AY213" s="1449" t="n"/>
      <c r="BA213" s="1449" t="n"/>
      <c r="BD213" s="1449" t="n"/>
      <c r="BF213" s="1449" t="n"/>
    </row>
    <row r="214" ht="16" customHeight="1">
      <c r="W214" s="1231" t="n"/>
      <c r="X214" s="1231" t="n"/>
      <c r="Y214" s="1231" t="n"/>
      <c r="AJ214" s="1445" t="inlineStr">
        <is>
          <t>TEST TIER 2</t>
        </is>
      </c>
      <c r="AK214" s="1445">
        <f>+SUM('6.Inland wetlands'!DY58:DY63,'6.Inland wetlands'!EA58:EA63,'6.Inland wetlands'!EC58:EC63,'6.Inland wetlands'!EF58:EF63)</f>
        <v/>
      </c>
      <c r="AL214" s="973" t="inlineStr">
        <is>
          <t>Rewetting</t>
        </is>
      </c>
    </row>
    <row r="216" ht="42.75" customFormat="1" customHeight="1" s="975">
      <c r="B216" s="975" t="inlineStr">
        <is>
          <t>6.1.3 Non forest land use changes and management options during conversion</t>
        </is>
      </c>
      <c r="J216" s="1123" t="n"/>
      <c r="K216" s="1123" t="n"/>
      <c r="L216" s="1123" t="n"/>
      <c r="M216" s="1123" t="n"/>
      <c r="N216" s="1123" t="n"/>
    </row>
    <row r="218" ht="30.5" customFormat="1" customHeight="1" s="1089">
      <c r="B218" s="1112" t="inlineStr">
        <is>
          <t>Emissions from gain/loss biomass and biomass burning</t>
        </is>
      </c>
      <c r="C218" s="1113" t="n"/>
      <c r="D218" s="1113" t="n"/>
      <c r="E218" s="1113" t="n"/>
      <c r="F218" s="1113" t="n"/>
      <c r="G218" s="1113" t="n"/>
      <c r="H218" s="1113" t="n"/>
      <c r="I218" s="1113" t="n"/>
      <c r="J218" s="1113" t="n"/>
      <c r="K218" s="1113" t="n"/>
      <c r="L218" s="1113" t="n"/>
      <c r="M218" s="1113" t="n"/>
      <c r="N218" s="1113" t="n"/>
      <c r="O218" s="1113" t="n"/>
      <c r="P218" s="1113" t="n"/>
      <c r="Q218" s="1113" t="n"/>
      <c r="R218" s="1113" t="n"/>
      <c r="S218" s="1113" t="n"/>
      <c r="T218" s="1113" t="n"/>
      <c r="U218" s="1113" t="n"/>
      <c r="V218" s="1113" t="n"/>
      <c r="W218" s="1113" t="n"/>
      <c r="X218" s="1113" t="n"/>
      <c r="Y218" s="1113" t="n"/>
      <c r="Z218" s="1113" t="n"/>
      <c r="AA218" s="1113" t="n"/>
      <c r="AB218" s="1113" t="n"/>
      <c r="AC218" s="1113" t="n"/>
      <c r="AD218" s="1113" t="n"/>
      <c r="AE218" s="1113" t="n"/>
      <c r="AF218" s="1113" t="n"/>
      <c r="AG218" s="1113" t="n"/>
      <c r="AH218" s="1113" t="n"/>
      <c r="AI218" s="1113" t="n"/>
      <c r="AJ218" s="1113" t="n"/>
      <c r="AK218" s="1113" t="n"/>
      <c r="AX218" s="1447" t="n"/>
      <c r="AY218" s="1447" t="n"/>
      <c r="AZ218" s="1447" t="n"/>
      <c r="BA218" s="1264" t="n"/>
      <c r="BB218" s="1264" t="n"/>
      <c r="BC218" s="1264" t="n"/>
      <c r="BD218" s="1264" t="n"/>
      <c r="BE218" s="1264" t="n"/>
      <c r="BF218" s="1264" t="n"/>
      <c r="BG218" s="1447" t="n"/>
    </row>
    <row r="219" ht="30.5" customFormat="1" customHeight="1" s="1089">
      <c r="B219" s="1228" t="n"/>
      <c r="AW219" s="973" t="n"/>
      <c r="AX219" s="1447" t="n"/>
      <c r="AY219" s="1447" t="n"/>
      <c r="AZ219" s="1447" t="n"/>
      <c r="BA219" s="1447" t="n"/>
      <c r="BB219" s="1447" t="n"/>
      <c r="BC219" s="1447" t="n"/>
      <c r="BD219" s="1447" t="n"/>
      <c r="BE219" s="1447" t="n"/>
      <c r="BF219" s="1447" t="n"/>
      <c r="BG219" s="1447" t="n"/>
    </row>
    <row r="220" ht="16" customHeight="1">
      <c r="B220" s="1231" t="inlineStr">
        <is>
          <t>Conversion details (initial and final land use and fire management)</t>
        </is>
      </c>
      <c r="F220" s="1262" t="inlineStr">
        <is>
          <t>Converted areas and fire severity and occurrence</t>
        </is>
      </c>
      <c r="G220" s="1262" t="n"/>
      <c r="H220" s="1262" t="n"/>
      <c r="I220" s="1262" t="n"/>
      <c r="J220" s="1262" t="n"/>
      <c r="K220" s="1262" t="n"/>
      <c r="L220" s="1262" t="n"/>
      <c r="M220" s="1262" t="n"/>
      <c r="Q220" s="1670" t="inlineStr">
        <is>
          <t>Fire emissions</t>
        </is>
      </c>
      <c r="R220" s="1538" t="n"/>
      <c r="S220" s="1539" t="n"/>
      <c r="T220" s="1539" t="n"/>
      <c r="U220" s="1539" t="n"/>
      <c r="V220" s="1234" t="inlineStr">
        <is>
          <t>Burning biomass</t>
        </is>
      </c>
      <c r="W220" s="1229" t="n"/>
      <c r="AA220" s="1281" t="n"/>
      <c r="AB220" s="1281" t="n"/>
      <c r="AC220" s="1281" t="n"/>
      <c r="AI220" s="1270" t="inlineStr">
        <is>
          <t>Total emissions tCO2eq</t>
        </is>
      </c>
      <c r="AJ220" s="1115" t="n"/>
      <c r="AK220" s="1116" t="n"/>
      <c r="AX220" s="1287" t="inlineStr">
        <is>
          <t>FIRE BIOMASS &amp; BIOMASS GAIN AND LOSS</t>
        </is>
      </c>
      <c r="AY220" s="1501" t="n"/>
      <c r="AZ220" s="1501" t="n"/>
      <c r="BA220" s="1501" t="n"/>
      <c r="BB220" s="1501" t="n"/>
      <c r="BD220" s="1271" t="n"/>
    </row>
    <row r="221" ht="18" customHeight="1">
      <c r="F221" s="1521" t="inlineStr">
        <is>
          <t>WITHOUT</t>
        </is>
      </c>
      <c r="G221" s="1525" t="n"/>
      <c r="H221" s="1525" t="n"/>
      <c r="I221" s="1525" t="n"/>
      <c r="J221" s="1522" t="inlineStr">
        <is>
          <t>WITH</t>
        </is>
      </c>
      <c r="K221" s="1526" t="n"/>
      <c r="L221" s="1526" t="n"/>
      <c r="M221" s="1526" t="n"/>
      <c r="N221" s="1498" t="n"/>
      <c r="O221" s="1256" t="n"/>
      <c r="P221" s="1256" t="inlineStr">
        <is>
          <t xml:space="preserve">ΔC </t>
        </is>
      </c>
      <c r="Q221" s="1540" t="inlineStr">
        <is>
          <t xml:space="preserve">MB </t>
        </is>
      </c>
      <c r="R221" s="1256" t="inlineStr">
        <is>
          <t>CH4</t>
        </is>
      </c>
      <c r="S221" s="1256" t="inlineStr">
        <is>
          <t>N2O</t>
        </is>
      </c>
      <c r="T221" s="1256" t="inlineStr">
        <is>
          <t>CH4</t>
        </is>
      </c>
      <c r="U221" s="1256" t="inlineStr">
        <is>
          <t>N2O</t>
        </is>
      </c>
      <c r="V221" s="1527" t="inlineStr">
        <is>
          <t>Without</t>
        </is>
      </c>
      <c r="W221" s="1528" t="inlineStr">
        <is>
          <t>With</t>
        </is>
      </c>
      <c r="AA221" s="1281" t="n"/>
      <c r="AC221" s="1281" t="n"/>
      <c r="AI221" s="1270" t="inlineStr">
        <is>
          <t>ALL PERIOD</t>
        </is>
      </c>
      <c r="AJ221" s="1104" t="n"/>
      <c r="AK221" s="1116" t="n"/>
      <c r="AX221" s="1503" t="inlineStr">
        <is>
          <t>CO2 Biomass</t>
        </is>
      </c>
      <c r="AY221" s="1502" t="n"/>
      <c r="AZ221" s="1502" t="inlineStr">
        <is>
          <t>CH4</t>
        </is>
      </c>
      <c r="BB221" s="1264" t="inlineStr">
        <is>
          <t>N2O</t>
        </is>
      </c>
      <c r="BD221" s="1450" t="n"/>
      <c r="BE221" s="1450" t="n"/>
      <c r="BF221" s="1450" t="n"/>
      <c r="BG221" s="1450" t="n"/>
      <c r="BJ221" s="1089" t="n"/>
      <c r="BK221" s="1262" t="inlineStr">
        <is>
          <t>GHG PER SCENARIO</t>
        </is>
      </c>
      <c r="BL221" s="3489" t="n"/>
      <c r="BM221" s="3489" t="n"/>
      <c r="BP221" s="1262" t="inlineStr">
        <is>
          <t>TOTAL BALANCE</t>
        </is>
      </c>
      <c r="BQ221" s="3489" t="n"/>
      <c r="BR221" s="3489" t="n"/>
      <c r="BS221" s="3489" t="n"/>
    </row>
    <row r="222" ht="16" customHeight="1">
      <c r="B222" s="1231" t="inlineStr">
        <is>
          <t>Initial land use</t>
        </is>
      </c>
      <c r="C222" s="1231" t="n"/>
      <c r="D222" s="1231">
        <f>B149</f>
        <v/>
      </c>
      <c r="E222" s="1536" t="n"/>
      <c r="F222" s="1525" t="inlineStr">
        <is>
          <t>Converted area</t>
        </is>
      </c>
      <c r="G222" s="1525" t="n"/>
      <c r="H222" s="1525" t="inlineStr">
        <is>
          <t>Periodicity</t>
        </is>
      </c>
      <c r="I222" s="1525" t="inlineStr">
        <is>
          <t>Impact</t>
        </is>
      </c>
      <c r="J222" s="1526">
        <f>F222</f>
        <v/>
      </c>
      <c r="K222" s="1526" t="n"/>
      <c r="L222" s="1526" t="inlineStr">
        <is>
          <t>Periodicity</t>
        </is>
      </c>
      <c r="M222" s="1526" t="inlineStr">
        <is>
          <t>Impact</t>
        </is>
      </c>
      <c r="N222" s="1529" t="inlineStr">
        <is>
          <t>Biomass (tC/ha)</t>
        </is>
      </c>
      <c r="O222" s="1256" t="n"/>
      <c r="P222" s="1256" t="inlineStr">
        <is>
          <t>Biomass</t>
        </is>
      </c>
      <c r="Q222" s="1540" t="inlineStr">
        <is>
          <t>Initial LU</t>
        </is>
      </c>
      <c r="R222" s="1256" t="n"/>
      <c r="S222" s="1256" t="n"/>
      <c r="T222" s="1498" t="n"/>
      <c r="U222" s="1498" t="n"/>
      <c r="V222" s="1530" t="n"/>
      <c r="W222" s="1531" t="n"/>
      <c r="AI222" s="1115" t="inlineStr">
        <is>
          <t>BIOMASS &amp; BIOMASS BURNING</t>
        </is>
      </c>
      <c r="AJ222" s="1116" t="n"/>
      <c r="AK222" s="1116" t="n"/>
    </row>
    <row r="223" ht="18" customHeight="1">
      <c r="B223" s="1231">
        <f>B150</f>
        <v/>
      </c>
      <c r="C223" s="1231" t="inlineStr">
        <is>
          <t>IPCC equivalent</t>
        </is>
      </c>
      <c r="D223" s="1231">
        <f>B223</f>
        <v/>
      </c>
      <c r="E223" s="1231" t="inlineStr">
        <is>
          <t>IPCC equivalent</t>
        </is>
      </c>
      <c r="F223" s="1532" t="inlineStr">
        <is>
          <t>ha</t>
        </is>
      </c>
      <c r="G223" s="1532" t="inlineStr">
        <is>
          <t>Rate</t>
        </is>
      </c>
      <c r="H223" s="1532" t="inlineStr">
        <is>
          <t>Year</t>
        </is>
      </c>
      <c r="I223" s="1533" t="inlineStr">
        <is>
          <t>%area burnt</t>
        </is>
      </c>
      <c r="J223" s="1534" t="inlineStr">
        <is>
          <t>ha</t>
        </is>
      </c>
      <c r="K223" s="1534" t="inlineStr">
        <is>
          <t>Rate</t>
        </is>
      </c>
      <c r="L223" s="1534" t="inlineStr">
        <is>
          <t>Year</t>
        </is>
      </c>
      <c r="M223" s="1535" t="inlineStr">
        <is>
          <t>%area burnt</t>
        </is>
      </c>
      <c r="N223" s="1256" t="inlineStr">
        <is>
          <t>Initial LU</t>
        </is>
      </c>
      <c r="O223" s="1256" t="inlineStr">
        <is>
          <t>Final LU</t>
        </is>
      </c>
      <c r="P223" s="1256" t="inlineStr">
        <is>
          <t>tCO2/ha</t>
        </is>
      </c>
      <c r="Q223" s="1541" t="inlineStr">
        <is>
          <t>t dm/ha</t>
        </is>
      </c>
      <c r="R223" s="1542" t="inlineStr">
        <is>
          <t>kg CH4/ha</t>
        </is>
      </c>
      <c r="S223" s="1542" t="inlineStr">
        <is>
          <t>kg N2O/ha</t>
        </is>
      </c>
      <c r="T223" s="1542" t="inlineStr">
        <is>
          <t>kgCO2eq/ha</t>
        </is>
      </c>
      <c r="U223" s="1542" t="inlineStr">
        <is>
          <t>kgCO2eq/ha</t>
        </is>
      </c>
      <c r="V223" s="1530" t="inlineStr">
        <is>
          <t>tCO2</t>
        </is>
      </c>
      <c r="W223" s="1531" t="inlineStr">
        <is>
          <t>tCO2</t>
        </is>
      </c>
      <c r="AA223" s="1688" t="n"/>
      <c r="AB223" s="1688" t="n"/>
      <c r="AC223" s="1688" t="n"/>
      <c r="AD223" s="1688" t="n"/>
      <c r="AI223" s="1102" t="inlineStr">
        <is>
          <t>WITHOUT</t>
        </is>
      </c>
      <c r="AJ223" s="1103" t="inlineStr">
        <is>
          <t>WITH</t>
        </is>
      </c>
      <c r="AK223" s="1104" t="inlineStr">
        <is>
          <t>BALANCE</t>
        </is>
      </c>
      <c r="AX223" s="1272" t="inlineStr">
        <is>
          <t>WITHOUT</t>
        </is>
      </c>
      <c r="AY223" s="1272" t="inlineStr">
        <is>
          <t>WITH</t>
        </is>
      </c>
      <c r="AZ223" s="1272" t="inlineStr">
        <is>
          <t>WITHOUT</t>
        </is>
      </c>
      <c r="BA223" s="1264" t="inlineStr">
        <is>
          <t>WITH</t>
        </is>
      </c>
      <c r="BB223" s="1264" t="inlineStr">
        <is>
          <t>WITHOUT</t>
        </is>
      </c>
      <c r="BC223" s="1264" t="inlineStr">
        <is>
          <t>WITH</t>
        </is>
      </c>
      <c r="BD223" s="1449" t="n"/>
      <c r="BE223" s="1272" t="n"/>
      <c r="BF223" s="1272" t="n"/>
      <c r="BG223" s="1272" t="n"/>
      <c r="BK223" s="1321" t="inlineStr">
        <is>
          <t>CATEGORIES</t>
        </is>
      </c>
      <c r="BL223" s="1317" t="inlineStr">
        <is>
          <t>WITHOUT</t>
        </is>
      </c>
      <c r="BM223" s="1317" t="inlineStr">
        <is>
          <t>WITH</t>
        </is>
      </c>
      <c r="BP223" s="1321" t="inlineStr">
        <is>
          <t>CATEGORIES</t>
        </is>
      </c>
      <c r="BQ223" s="1317" t="inlineStr">
        <is>
          <t>BALANCE</t>
        </is>
      </c>
      <c r="BR223" s="1317" t="inlineStr">
        <is>
          <t>IMPLEM.</t>
        </is>
      </c>
      <c r="BS223" s="1318" t="inlineStr">
        <is>
          <t>CAPITAL.</t>
        </is>
      </c>
      <c r="BT223" s="1454" t="n"/>
    </row>
    <row r="224">
      <c r="A224" s="973" t="inlineStr">
        <is>
          <t>S1</t>
        </is>
      </c>
      <c r="B224" s="973">
        <f>'6.Inland wetlands'!I80</f>
        <v/>
      </c>
      <c r="C224" s="1121">
        <f>IF($B224="Please select","",IF(ISNUMBER(SEARCH("Annual",$B224)),"Annual",IF(ISNUMBER(SEARCH("Other",$B224)),"Other land",IF(ISNUMBER(SEARCH("Flooded rice",$B224)),"Flooded rice",IF(ISNUMBER(SEARCH("Grassland",$B224)),"Grassland",IF(ISNUMBER(SEARCH("Degraded land",$B224)),"Degraded land","Perennial"))))))</f>
        <v/>
      </c>
      <c r="D224" s="973">
        <f>'6.Inland wetlands'!K80</f>
        <v/>
      </c>
      <c r="E224" s="1121">
        <f>IF($D224="Please select","",IF(ISNUMBER(SEARCH("Annual",$D224)),"Annual",IF(ISNUMBER(SEARCH("Other",$D224)),"Other land",IF(ISNUMBER(SEARCH("Flooded rice",$D224)),"Flooded rice",IF(ISNUMBER(SEARCH("Grassland",$D224)),"Grassland",IF(ISNUMBER(SEARCH("Degraded land",$D224)),"Degraded land","Perennial"))))))</f>
        <v/>
      </c>
      <c r="F224" s="3493">
        <f>'6.Inland wetlands'!N80</f>
        <v/>
      </c>
      <c r="G224" s="1154">
        <f>VLOOKUP('6.Inland wetlands'!O80, list!$I$48:$J$50,2,FALSE )</f>
        <v/>
      </c>
      <c r="H224" s="1154">
        <f>'6.Inland wetlands'!DB80</f>
        <v/>
      </c>
      <c r="I224" s="1155">
        <f>'6.Inland wetlands'!DC80</f>
        <v/>
      </c>
      <c r="J224" s="3493">
        <f>'6.Inland wetlands'!P80</f>
        <v/>
      </c>
      <c r="K224" s="1154">
        <f>VLOOKUP('6.Inland wetlands'!Q80, list!$I$48:$J$50,2,FALSE )</f>
        <v/>
      </c>
      <c r="L224" s="1154">
        <f>'6.Inland wetlands'!DE80</f>
        <v/>
      </c>
      <c r="M224" s="1155">
        <f>'6.Inland wetlands'!DF80</f>
        <v/>
      </c>
      <c r="N224" s="4737">
        <f>IF('6.Inland wetlands'!$AX80="",IF($B224&lt;&gt;"Please select",INDEX(IPCC!$D$1521:$Y$1680,MATCH(clim_moist_cont,IPCC!$C$1521:$C$1680,0),MATCH($B224,IPCC!$D$1520:$Y$1520,0)),0),'6.Inland wetlands'!$AX80)</f>
        <v/>
      </c>
      <c r="O224" s="4738">
        <f>IF('6.Inland wetlands'!$AX92="",IF($D224 &lt;&gt; "Please select", INDEX(IPCC!$D$686:$Y$845,MATCH(clim_moist_cont,IPCC!$C$686:$C$845,0),MATCH($D224,IPCC!$D$682:$Y$682,0)),0),'6.Inland wetlands'!$AX92)</f>
        <v/>
      </c>
      <c r="P224" s="1187">
        <f>($O224-$N224)*(-44/12)</f>
        <v/>
      </c>
      <c r="Q224" s="1543">
        <f>IF($C224="Annual",$N224*40%,$N224)</f>
        <v/>
      </c>
      <c r="R224" s="1145">
        <f>IFERROR($Q224 *VLOOKUP($B224,  IPCC!$A$1473:$E$1496, 2, FALSE) * VLOOKUP($B224,  IPCC!$A$1473:$E$1496, 4, FALSE),0)</f>
        <v/>
      </c>
      <c r="S224" s="1145">
        <f>IFERROR( Q224 *VLOOKUP($B224,  IPCC!$A$1473:$E$1496, 2, FALSE) * VLOOKUP($B224,  IPCC!$A$1473:$E$1496, 5, FALSE),0)</f>
        <v/>
      </c>
      <c r="T224" s="1544">
        <f>R224*methane</f>
        <v/>
      </c>
      <c r="U224" s="1544">
        <f>$S224*Nitrous</f>
        <v/>
      </c>
      <c r="V224" s="1154">
        <f>IF('6.Inland wetlands'!G80= "NO", 0,$F224*($T224+$U224)/1000)</f>
        <v/>
      </c>
      <c r="W224" s="1154">
        <f>IF('6.Inland wetlands'!G80="NO",0, $J224*($T224+$U224)/1000)</f>
        <v/>
      </c>
      <c r="AA224" s="1165" t="n"/>
      <c r="AB224" s="1001" t="n"/>
      <c r="AC224" s="1165" t="n"/>
      <c r="AD224" s="1001" t="n"/>
      <c r="AI224" s="1151">
        <f>$F224*$P224+V224+H236+I236</f>
        <v/>
      </c>
      <c r="AJ224" s="1151">
        <f>$J224*$P224+W224+J236+K236</f>
        <v/>
      </c>
      <c r="AK224" s="3498">
        <f>AJ224-AI224</f>
        <v/>
      </c>
      <c r="AX224" s="1449">
        <f>$AI224</f>
        <v/>
      </c>
      <c r="AY224" s="1449">
        <f>$AJ224</f>
        <v/>
      </c>
      <c r="AZ224" s="1449">
        <f>IF('6.Inland wetlands'!$G80= "yes", $F224*($T224)/1000,0)</f>
        <v/>
      </c>
      <c r="BA224" s="1264">
        <f>IF('6.Inland wetlands'!$G80= "yes",$J224*($T224)/1000,0)</f>
        <v/>
      </c>
      <c r="BB224" s="1264">
        <f>IF('6.Inland wetlands'!$G80= "yes",$F224*($U224)/1000,0)</f>
        <v/>
      </c>
      <c r="BC224" s="1264">
        <f>IF('6.Inland wetlands'!$G80= "yes",$J224*($U224)/1000,0)</f>
        <v/>
      </c>
      <c r="BD224" s="1449" t="n"/>
      <c r="BE224" s="1449" t="n"/>
      <c r="BF224" s="1449" t="n"/>
      <c r="BG224" s="1449" t="n"/>
      <c r="BK224" s="1084" t="inlineStr">
        <is>
          <t>CO2 biomass</t>
        </is>
      </c>
      <c r="BL224" s="1312">
        <f>SUMPRODUCT($P224:$P229,F224:F229)</f>
        <v/>
      </c>
      <c r="BM224" s="1312">
        <f>SUMPRODUCT(P224:P229,J224:J229)</f>
        <v/>
      </c>
      <c r="BN224" s="992">
        <f>BM224-BL224</f>
        <v/>
      </c>
      <c r="BP224" s="1084">
        <f>BK224</f>
        <v/>
      </c>
      <c r="BQ224" s="1312">
        <f>BM224-BL224</f>
        <v/>
      </c>
      <c r="BR224" s="1312">
        <f>IF(time=0,0,BQ224)</f>
        <v/>
      </c>
      <c r="BS224" s="1453">
        <f>BQ224-BR224</f>
        <v/>
      </c>
      <c r="BT224" s="1455">
        <f>SUM(BR224:BS224)</f>
        <v/>
      </c>
    </row>
    <row r="225">
      <c r="A225" s="973" t="inlineStr">
        <is>
          <t>S2</t>
        </is>
      </c>
      <c r="B225" s="973">
        <f>'6.Inland wetlands'!I81</f>
        <v/>
      </c>
      <c r="C225" s="1121">
        <f>IF($B225="Please select","",IF(ISNUMBER(SEARCH("Annual",$B225)),"Annual",IF(ISNUMBER(SEARCH("Other",$B225)),"Other land",IF(ISNUMBER(SEARCH("Flooded rice",$B225)),"Flooded rice",IF(ISNUMBER(SEARCH("Grassland",$B225)),"Grassland",IF(ISNUMBER(SEARCH("Degraded land",$B225)),"Degraded land","Perennial"))))))</f>
        <v/>
      </c>
      <c r="D225" s="973">
        <f>'6.Inland wetlands'!K81</f>
        <v/>
      </c>
      <c r="E225" s="1121">
        <f>IF($D225="Please select","",IF(ISNUMBER(SEARCH("Annual",$D225)),"Annual",IF(ISNUMBER(SEARCH("Other",$D225)),"Other land",IF(ISNUMBER(SEARCH("Flooded rice",$D225)),"Flooded rice",IF(ISNUMBER(SEARCH("Grassland",$D225)),"Grassland",IF(ISNUMBER(SEARCH("Degraded land",$D225)),"Degraded land","Perennial"))))))</f>
        <v/>
      </c>
      <c r="F225" s="3493">
        <f>'6.Inland wetlands'!N81</f>
        <v/>
      </c>
      <c r="G225" s="1154">
        <f>VLOOKUP('6.Inland wetlands'!O81, list!$I$48:$J$50,2,FALSE )</f>
        <v/>
      </c>
      <c r="H225" s="1154">
        <f>'6.Inland wetlands'!DB81</f>
        <v/>
      </c>
      <c r="I225" s="1155">
        <f>'6.Inland wetlands'!DC81</f>
        <v/>
      </c>
      <c r="J225" s="3493">
        <f>'6.Inland wetlands'!P81</f>
        <v/>
      </c>
      <c r="K225" s="1154">
        <f>VLOOKUP('6.Inland wetlands'!Q81, list!$I$48:$J$50,2,FALSE )</f>
        <v/>
      </c>
      <c r="L225" s="1154">
        <f>'6.Inland wetlands'!DE81</f>
        <v/>
      </c>
      <c r="M225" s="1155">
        <f>'6.Inland wetlands'!DF81</f>
        <v/>
      </c>
      <c r="N225" s="4737">
        <f>IF('6.Inland wetlands'!$AX81="",IF($B225&lt;&gt;"Please select",INDEX(IPCC!$D$1521:$Y$1680,MATCH(clim_moist_cont,IPCC!$C$1521:$C$1680,0),MATCH($B225,IPCC!$D$1520:$Y$1520,0)),0),'6.Inland wetlands'!$AX81)</f>
        <v/>
      </c>
      <c r="O225" s="4738">
        <f>IF('6.Inland wetlands'!AX93="",IF($D225 &lt;&gt; "Please select", INDEX(IPCC!$D$686:$Y$845,MATCH(clim_moist_cont,IPCC!$C$686:$C$845,0),MATCH($D225,IPCC!$D$682:$Y$682,0)),0),'6.Inland wetlands'!AX93)</f>
        <v/>
      </c>
      <c r="P225" s="1187">
        <f>($O225-$N225)*(-44/12)</f>
        <v/>
      </c>
      <c r="Q225" s="1543">
        <f>IF($C225="Annual",$N225*40%,$N225)</f>
        <v/>
      </c>
      <c r="R225" s="1145">
        <f>IFERROR(Q225 *VLOOKUP($B225,  IPCC!$A$1473:$E$1496, 2, FALSE) * VLOOKUP($B225,  IPCC!$A$1473:$E$1496, 4, FALSE),0)</f>
        <v/>
      </c>
      <c r="S225" s="1145">
        <f>IFERROR( Q225 *VLOOKUP($B225,  IPCC!$A$1473:$E$1496, 2, FALSE) * VLOOKUP($B225,  IPCC!$A$1473:$E$1496, 5, FALSE),0)</f>
        <v/>
      </c>
      <c r="T225" s="1544">
        <f>R225*methane</f>
        <v/>
      </c>
      <c r="U225" s="1544">
        <f>$S225*Nitrous</f>
        <v/>
      </c>
      <c r="V225" s="1154">
        <f>IF('6.Inland wetlands'!G81= "NO", 0,$F225*($T225+$U225)/1000)</f>
        <v/>
      </c>
      <c r="W225" s="1154">
        <f>IF('6.Inland wetlands'!G81="NO",0, $J225*($T225+$U225)/1000)</f>
        <v/>
      </c>
      <c r="AA225" s="1165" t="n"/>
      <c r="AB225" s="1001" t="n"/>
      <c r="AC225" s="1165" t="n"/>
      <c r="AD225" s="1001" t="n"/>
      <c r="AI225" s="1151">
        <f>$F225*$P225+V225+H237+I237</f>
        <v/>
      </c>
      <c r="AJ225" s="1151">
        <f>$J225*$P225+W225+J237+K237</f>
        <v/>
      </c>
      <c r="AK225" s="3498">
        <f>AJ225-AI225</f>
        <v/>
      </c>
      <c r="AX225" s="1449">
        <f>$AI225</f>
        <v/>
      </c>
      <c r="AY225" s="1449">
        <f>$AJ225</f>
        <v/>
      </c>
      <c r="AZ225" s="1449">
        <f>IF('6.Inland wetlands'!$G81= "yes", $F225*($T225)/1000,0)</f>
        <v/>
      </c>
      <c r="BA225" s="1264">
        <f>IF('6.Inland wetlands'!$G81= "yes",$J225*($T225)/1000,0)</f>
        <v/>
      </c>
      <c r="BB225" s="1264">
        <f>IF('6.Inland wetlands'!$G81= "yes",$F225*($U225)/1000,0)</f>
        <v/>
      </c>
      <c r="BC225" s="1264">
        <f>IF('6.Inland wetlands'!$G81= "yes",$J225*($U225)/1000,0)</f>
        <v/>
      </c>
      <c r="BD225" s="1449" t="n"/>
      <c r="BE225" s="1449" t="n"/>
      <c r="BF225" s="1449" t="n"/>
      <c r="BG225" s="1449" t="n"/>
      <c r="BK225" s="1084" t="inlineStr">
        <is>
          <t>CO2 soil drainage</t>
        </is>
      </c>
      <c r="BL225" s="1314">
        <f>SUM($AB269:$AB274)+SUM(AB280:AB285)</f>
        <v/>
      </c>
      <c r="BM225" s="1314">
        <f>SUM($AC269:$AC274)+SUM(AC280:AC285)</f>
        <v/>
      </c>
      <c r="BN225" s="992">
        <f>BM225-BL225</f>
        <v/>
      </c>
      <c r="BP225" s="1084">
        <f>BK225</f>
        <v/>
      </c>
      <c r="BQ225" s="1312">
        <f>BM225-BL225</f>
        <v/>
      </c>
      <c r="BR225" s="1312">
        <f>IF(time=0,0,SUM(AY269:AY274,BE269:BE274)-SUM(AX269:AX274,BD269:BD274))</f>
        <v/>
      </c>
      <c r="BS225" s="1453">
        <f>BQ225-BR225</f>
        <v/>
      </c>
      <c r="BT225" s="1455">
        <f>SUM(BR225:BS225)</f>
        <v/>
      </c>
    </row>
    <row r="226">
      <c r="A226" s="973" t="inlineStr">
        <is>
          <t>S3</t>
        </is>
      </c>
      <c r="B226" s="973">
        <f>'6.Inland wetlands'!I82</f>
        <v/>
      </c>
      <c r="C226" s="1121">
        <f>IF($B226="Please select","",IF(ISNUMBER(SEARCH("Annual",$B226)),"Annual",IF(ISNUMBER(SEARCH("Other",$B226)),"Other land",IF(ISNUMBER(SEARCH("Flooded rice",$B226)),"Flooded rice",IF(ISNUMBER(SEARCH("Grassland",$B226)),"Grassland",IF(ISNUMBER(SEARCH("Degraded land",$B226)),"Degraded land","Perennial"))))))</f>
        <v/>
      </c>
      <c r="D226" s="973">
        <f>'6.Inland wetlands'!K82</f>
        <v/>
      </c>
      <c r="E226" s="1121">
        <f>IF($D226="Please select","",IF(ISNUMBER(SEARCH("Annual",$D226)),"Annual",IF(ISNUMBER(SEARCH("Other",$D226)),"Other land",IF(ISNUMBER(SEARCH("Flooded rice",$D226)),"Flooded rice",IF(ISNUMBER(SEARCH("Grassland",$D226)),"Grassland",IF(ISNUMBER(SEARCH("Degraded land",$D226)),"Degraded land","Perennial"))))))</f>
        <v/>
      </c>
      <c r="F226" s="3493">
        <f>'6.Inland wetlands'!N82</f>
        <v/>
      </c>
      <c r="G226" s="1154">
        <f>VLOOKUP('6.Inland wetlands'!O82, list!$I$48:$J$50,2,FALSE )</f>
        <v/>
      </c>
      <c r="H226" s="1154">
        <f>'6.Inland wetlands'!DB82</f>
        <v/>
      </c>
      <c r="I226" s="1155">
        <f>'6.Inland wetlands'!DC82</f>
        <v/>
      </c>
      <c r="J226" s="3493">
        <f>'6.Inland wetlands'!P82</f>
        <v/>
      </c>
      <c r="K226" s="1154">
        <f>VLOOKUP('6.Inland wetlands'!Q82, list!$I$48:$J$50,2,FALSE )</f>
        <v/>
      </c>
      <c r="L226" s="1154">
        <f>'6.Inland wetlands'!DE82</f>
        <v/>
      </c>
      <c r="M226" s="1155">
        <f>'6.Inland wetlands'!DF82</f>
        <v/>
      </c>
      <c r="N226" s="4737">
        <f>IF('6.Inland wetlands'!$AX82="",IF($B226&lt;&gt;"Please select",INDEX(IPCC!$D$1521:$Y$1680,MATCH(clim_moist_cont,IPCC!$C$1521:$C$1680,0),MATCH($B226,IPCC!$D$1520:$Y$1520,0)),0),'6.Inland wetlands'!$AX82)</f>
        <v/>
      </c>
      <c r="O226" s="4738">
        <f>IF('6.Inland wetlands'!AX94="",IF($D226 &lt;&gt; "Please select", INDEX(IPCC!$D$686:$Y$845,MATCH(clim_moist_cont,IPCC!$C$686:$C$845,0),MATCH($D226,IPCC!$D$682:$Y$682,0)),0),'6.Inland wetlands'!AX94)</f>
        <v/>
      </c>
      <c r="P226" s="1187">
        <f>($O226-$N226)*(-44/12)</f>
        <v/>
      </c>
      <c r="Q226" s="1543">
        <f>IF($C226="Annual",$N226*40%,$N226)</f>
        <v/>
      </c>
      <c r="R226" s="1145">
        <f>IFERROR(Q226 *VLOOKUP($B226,  IPCC!$A$1473:$E$1496, 2, FALSE) * VLOOKUP($B226,  IPCC!$A$1473:$E$1496, 4, FALSE),0)</f>
        <v/>
      </c>
      <c r="S226" s="1145">
        <f>IFERROR( Q226 *VLOOKUP($B226,  IPCC!$A$1473:$E$1496, 2, FALSE) * VLOOKUP($B226,  IPCC!$A$1473:$E$1496, 5, FALSE),0)</f>
        <v/>
      </c>
      <c r="T226" s="1544">
        <f>R226*methane</f>
        <v/>
      </c>
      <c r="U226" s="1544">
        <f>$S226*Nitrous</f>
        <v/>
      </c>
      <c r="V226" s="1154">
        <f>IF('6.Inland wetlands'!G82= "NO", 0,$F226*($T226+$U226)/1000)</f>
        <v/>
      </c>
      <c r="W226" s="1154">
        <f>IF('6.Inland wetlands'!G82="NO",0, $J226*($T226+$U226)/1000)</f>
        <v/>
      </c>
      <c r="AA226" s="1165" t="n"/>
      <c r="AB226" s="1001" t="n"/>
      <c r="AC226" s="1165" t="n"/>
      <c r="AD226" s="1001" t="n"/>
      <c r="AI226" s="1151">
        <f>$F226*$P226+V226+H238+I238</f>
        <v/>
      </c>
      <c r="AJ226" s="1151">
        <f>$J226*$P226+W226+J238+K238</f>
        <v/>
      </c>
      <c r="AK226" s="3498">
        <f>AJ226-AI226</f>
        <v/>
      </c>
      <c r="AX226" s="1449">
        <f>$AI226</f>
        <v/>
      </c>
      <c r="AY226" s="1449">
        <f>$AJ226</f>
        <v/>
      </c>
      <c r="AZ226" s="1449">
        <f>IF('6.Inland wetlands'!$G82= "yes", $F226*($T226)/1000,0)</f>
        <v/>
      </c>
      <c r="BA226" s="1264">
        <f>IF('6.Inland wetlands'!$G82= "yes",$J226*($T226)/1000,0)</f>
        <v/>
      </c>
      <c r="BB226" s="1264">
        <f>IF('6.Inland wetlands'!$G82= "yes",$F226*($U226)/1000,0)</f>
        <v/>
      </c>
      <c r="BC226" s="1264">
        <f>IF('6.Inland wetlands'!$G82= "yes",$J226*($U226)/1000,0)</f>
        <v/>
      </c>
      <c r="BD226" s="1449" t="n"/>
      <c r="BE226" s="1449" t="n"/>
      <c r="BF226" s="1449" t="n"/>
      <c r="BG226" s="1449" t="n"/>
      <c r="BK226" s="1084" t="inlineStr">
        <is>
          <t>CH4 soil drainage</t>
        </is>
      </c>
      <c r="BL226" s="1314">
        <f>SUM($AD269:$AD274)+SUM(AD280:AD285)</f>
        <v/>
      </c>
      <c r="BM226" s="1314">
        <f>SUM($AE269:$AE274)+SUM(AE280:AE285)</f>
        <v/>
      </c>
      <c r="BN226" s="992">
        <f>BM226-BL226</f>
        <v/>
      </c>
      <c r="BP226" s="1084">
        <f>BK226</f>
        <v/>
      </c>
      <c r="BQ226" s="1312">
        <f>BM226-BL226</f>
        <v/>
      </c>
      <c r="BR226" s="1312">
        <f>IF(time=0,0,SUM(BA269:BA274,BG269:BG274)-SUM(AZ269:AZ274,BF269:BF274))</f>
        <v/>
      </c>
      <c r="BS226" s="1453">
        <f>BQ226-BR226</f>
        <v/>
      </c>
      <c r="BT226" s="1455">
        <f>SUM(BR226:BS226)</f>
        <v/>
      </c>
    </row>
    <row r="227" ht="18" customHeight="1">
      <c r="A227" s="973" t="inlineStr">
        <is>
          <t>S4</t>
        </is>
      </c>
      <c r="B227" s="973">
        <f>'6.Inland wetlands'!I83</f>
        <v/>
      </c>
      <c r="C227" s="1121">
        <f>IF($B227="Please select","",IF(ISNUMBER(SEARCH("Annual",$B227)),"Annual",IF(ISNUMBER(SEARCH("Other",$B227)),"Other land",IF(ISNUMBER(SEARCH("Flooded rice",$B227)),"Flooded rice",IF(ISNUMBER(SEARCH("Grassland",$B227)),"Grassland",IF(ISNUMBER(SEARCH("Degraded land",$B227)),"Degraded land","Perennial"))))))</f>
        <v/>
      </c>
      <c r="D227" s="973">
        <f>'6.Inland wetlands'!K83</f>
        <v/>
      </c>
      <c r="E227" s="1121">
        <f>IF($D227="Please select","",IF(ISNUMBER(SEARCH("Annual",$D227)),"Annual",IF(ISNUMBER(SEARCH("Other",$D227)),"Other land",IF(ISNUMBER(SEARCH("Flooded rice",$D227)),"Flooded rice",IF(ISNUMBER(SEARCH("Grassland",$D227)),"Grassland",IF(ISNUMBER(SEARCH("Degraded land",$D227)),"Degraded land","Perennial"))))))</f>
        <v/>
      </c>
      <c r="F227" s="3493">
        <f>'6.Inland wetlands'!N83</f>
        <v/>
      </c>
      <c r="G227" s="1154">
        <f>VLOOKUP('6.Inland wetlands'!O83, list!$I$48:$J$50,2,FALSE )</f>
        <v/>
      </c>
      <c r="H227" s="1154">
        <f>'6.Inland wetlands'!DB83</f>
        <v/>
      </c>
      <c r="I227" s="1155">
        <f>'6.Inland wetlands'!DC83</f>
        <v/>
      </c>
      <c r="J227" s="3493">
        <f>'6.Inland wetlands'!P83</f>
        <v/>
      </c>
      <c r="K227" s="1154">
        <f>VLOOKUP('6.Inland wetlands'!Q83, list!$I$48:$J$50,2,FALSE )</f>
        <v/>
      </c>
      <c r="L227" s="1154">
        <f>'6.Inland wetlands'!DE83</f>
        <v/>
      </c>
      <c r="M227" s="1155">
        <f>'6.Inland wetlands'!DF83</f>
        <v/>
      </c>
      <c r="N227" s="4737">
        <f>IF('6.Inland wetlands'!$AX83="",IF($B227&lt;&gt;"Please select",INDEX(IPCC!$D$1521:$Y$1680,MATCH(clim_moist_cont,IPCC!$C$1521:$C$1680,0),MATCH($B227,IPCC!$D$1520:$Y$1520,0)),0),'6.Inland wetlands'!$AX83)</f>
        <v/>
      </c>
      <c r="O227" s="4738">
        <f>IF('6.Inland wetlands'!AX95="",IF($D227 &lt;&gt; "Please select", INDEX(IPCC!$D$686:$Y$845,MATCH(clim_moist_cont,IPCC!$C$686:$C$845,0),MATCH($D227,IPCC!$D$682:$Y$682,0)),0),'6.Inland wetlands'!AX95)</f>
        <v/>
      </c>
      <c r="P227" s="1187">
        <f>($O227-$N227)*(-44/12)</f>
        <v/>
      </c>
      <c r="Q227" s="1543">
        <f>IF($C227="Annual",$N227*40%,$N227)</f>
        <v/>
      </c>
      <c r="R227" s="1145">
        <f>IFERROR(Q227 *VLOOKUP($B227,  IPCC!$A$1473:$E$1496, 2, FALSE) * VLOOKUP($B227,  IPCC!$A$1473:$E$1496, 4, FALSE),0)</f>
        <v/>
      </c>
      <c r="S227" s="1145">
        <f>IFERROR( Q227 *VLOOKUP($B227,  IPCC!$A$1473:$E$1496, 2, FALSE) * VLOOKUP($B227,  IPCC!$A$1473:$E$1496, 5, FALSE),0)</f>
        <v/>
      </c>
      <c r="T227" s="1544">
        <f>R227*methane</f>
        <v/>
      </c>
      <c r="U227" s="1544">
        <f>$S227*Nitrous</f>
        <v/>
      </c>
      <c r="V227" s="1154">
        <f>IF('6.Inland wetlands'!G83= "NO", 0,$F227*($T227+$U227)/1000)</f>
        <v/>
      </c>
      <c r="W227" s="1154">
        <f>IF('6.Inland wetlands'!G83="NO",0, $J227*($T227+$U227)/1000)</f>
        <v/>
      </c>
      <c r="AA227" s="1165" t="n"/>
      <c r="AB227" s="1001" t="n"/>
      <c r="AC227" s="1165" t="n"/>
      <c r="AD227" s="1001" t="n"/>
      <c r="AI227" s="1151">
        <f>$F227*$P227+V227+H239+I239</f>
        <v/>
      </c>
      <c r="AJ227" s="1151">
        <f>$J227*$P227+W227+J239+K239</f>
        <v/>
      </c>
      <c r="AK227" s="3498">
        <f>AJ227-AI227</f>
        <v/>
      </c>
      <c r="AW227" s="1089" t="n"/>
      <c r="AX227" s="1449">
        <f>$AI227</f>
        <v/>
      </c>
      <c r="AY227" s="1449">
        <f>$AJ227</f>
        <v/>
      </c>
      <c r="AZ227" s="1449">
        <f>IF('6.Inland wetlands'!$G83= "yes", $F227*($T227)/1000,0)</f>
        <v/>
      </c>
      <c r="BA227" s="1264">
        <f>IF('6.Inland wetlands'!$G83= "yes",$J227*($T227)/1000,0)</f>
        <v/>
      </c>
      <c r="BB227" s="1264">
        <f>IF('6.Inland wetlands'!$G83= "yes",$F227*($U227)/1000,0)</f>
        <v/>
      </c>
      <c r="BC227" s="1264">
        <f>IF('6.Inland wetlands'!$G83= "yes",$J227*($U227)/1000,0)</f>
        <v/>
      </c>
      <c r="BD227" s="1449" t="n"/>
      <c r="BE227" s="1449" t="n"/>
      <c r="BF227" s="1449" t="n"/>
      <c r="BG227" s="1449" t="n"/>
      <c r="BK227" s="1084" t="inlineStr">
        <is>
          <t>N2O soil drainage</t>
        </is>
      </c>
      <c r="BL227" s="1314">
        <f>SUM($AF269:$AF274)+SUM(AF280:AF285)</f>
        <v/>
      </c>
      <c r="BM227" s="1314">
        <f>SUM($AG269:$AG274)+SUM(AG280:AG285)</f>
        <v/>
      </c>
      <c r="BN227" s="992">
        <f>BM227-BL227</f>
        <v/>
      </c>
      <c r="BP227" s="1084">
        <f>BK227</f>
        <v/>
      </c>
      <c r="BQ227" s="1312">
        <f>BM227-BL227</f>
        <v/>
      </c>
      <c r="BR227" s="1312">
        <f>IF(time=0,0,SUM(BC269:BC274)-SUM(BB269:BB274))</f>
        <v/>
      </c>
      <c r="BS227" s="1453">
        <f>BQ227-BR227</f>
        <v/>
      </c>
      <c r="BT227" s="1455">
        <f>SUM(BR227:BS227)</f>
        <v/>
      </c>
    </row>
    <row r="228">
      <c r="A228" s="973" t="inlineStr">
        <is>
          <t>S5</t>
        </is>
      </c>
      <c r="B228" s="973">
        <f>'6.Inland wetlands'!I84</f>
        <v/>
      </c>
      <c r="C228" s="1121">
        <f>IF($B228="Please select","",IF(ISNUMBER(SEARCH("Annual",$B228)),"Annual",IF(ISNUMBER(SEARCH("Other",$B228)),"Other land",IF(ISNUMBER(SEARCH("Flooded rice",$B228)),"Flooded rice",IF(ISNUMBER(SEARCH("Grassland",$B228)),"Grassland",IF(ISNUMBER(SEARCH("Degraded land",$B228)),"Degraded land","Perennial"))))))</f>
        <v/>
      </c>
      <c r="D228" s="973">
        <f>'6.Inland wetlands'!K84</f>
        <v/>
      </c>
      <c r="E228" s="1121">
        <f>IF($D228="Please select","",IF(ISNUMBER(SEARCH("Annual",$D228)),"Annual",IF(ISNUMBER(SEARCH("Other",$D228)),"Other land",IF(ISNUMBER(SEARCH("Flooded rice",$D228)),"Flooded rice",IF(ISNUMBER(SEARCH("Grassland",$D228)),"Grassland",IF(ISNUMBER(SEARCH("Degraded land",$D228)),"Degraded land","Perennial"))))))</f>
        <v/>
      </c>
      <c r="F228" s="3493">
        <f>'6.Inland wetlands'!N84</f>
        <v/>
      </c>
      <c r="G228" s="1154">
        <f>VLOOKUP('6.Inland wetlands'!O84, list!$I$48:$J$50,2,FALSE )</f>
        <v/>
      </c>
      <c r="H228" s="1154">
        <f>'6.Inland wetlands'!DB84</f>
        <v/>
      </c>
      <c r="I228" s="1155">
        <f>'6.Inland wetlands'!DC84</f>
        <v/>
      </c>
      <c r="J228" s="3493">
        <f>'6.Inland wetlands'!P84</f>
        <v/>
      </c>
      <c r="K228" s="1154">
        <f>VLOOKUP('6.Inland wetlands'!Q84, list!$I$48:$J$50,2,FALSE )</f>
        <v/>
      </c>
      <c r="L228" s="1154">
        <f>'6.Inland wetlands'!DE84</f>
        <v/>
      </c>
      <c r="M228" s="1155">
        <f>'6.Inland wetlands'!DF84</f>
        <v/>
      </c>
      <c r="N228" s="4737">
        <f>IF('6.Inland wetlands'!$AX84="",IF($B228&lt;&gt;"Please select",INDEX(IPCC!$D$1521:$Y$1680,MATCH(clim_moist_cont,IPCC!$C$1521:$C$1680,0),MATCH($B228,IPCC!$D$1520:$Y$1520,0)),0),'6.Inland wetlands'!$AX84)</f>
        <v/>
      </c>
      <c r="O228" s="4738">
        <f>IF('6.Inland wetlands'!AX96="",IF($D228 &lt;&gt; "Please select", INDEX(IPCC!$D$686:$Y$845,MATCH(clim_moist_cont,IPCC!$C$686:$C$845,0),MATCH($D228,IPCC!$D$682:$Y$682,0)),0),'6.Inland wetlands'!AX96)</f>
        <v/>
      </c>
      <c r="P228" s="1187">
        <f>($O228-$N228)*(-44/12)</f>
        <v/>
      </c>
      <c r="Q228" s="1543">
        <f>IF($C228="Annual",$N228*40%,$N228)</f>
        <v/>
      </c>
      <c r="R228" s="1145">
        <f>IFERROR(Q228 *VLOOKUP($B228,  IPCC!$A$1473:$E$1496, 2, FALSE) * VLOOKUP($B228,  IPCC!$A$1473:$E$1496, 4, FALSE),0)</f>
        <v/>
      </c>
      <c r="S228" s="1145">
        <f>IFERROR( Q228 *VLOOKUP($B228,  IPCC!$A$1473:$E$1496, 2, FALSE) * VLOOKUP($B228,  IPCC!$A$1473:$E$1496, 5, FALSE),0)</f>
        <v/>
      </c>
      <c r="T228" s="1544">
        <f>R228*methane</f>
        <v/>
      </c>
      <c r="U228" s="1544">
        <f>$S228*Nitrous</f>
        <v/>
      </c>
      <c r="V228" s="1154">
        <f>IF('6.Inland wetlands'!G84= "NO", 0,$F228*($T228+$U228)/1000)</f>
        <v/>
      </c>
      <c r="W228" s="1154">
        <f>IF('6.Inland wetlands'!G84="NO",0, $J228*($T228+$U228)/1000)</f>
        <v/>
      </c>
      <c r="AA228" s="1165" t="n"/>
      <c r="AB228" s="1001" t="n"/>
      <c r="AC228" s="1165" t="n"/>
      <c r="AD228" s="1001" t="n"/>
      <c r="AI228" s="1151">
        <f>$F228*$P228+V228+H240+I240</f>
        <v/>
      </c>
      <c r="AJ228" s="1151">
        <f>$J228*$P228+W228+J240+K240</f>
        <v/>
      </c>
      <c r="AK228" s="3498">
        <f>AJ228-AI228</f>
        <v/>
      </c>
      <c r="AX228" s="1449">
        <f>$AI228</f>
        <v/>
      </c>
      <c r="AY228" s="1449">
        <f>$AJ228</f>
        <v/>
      </c>
      <c r="AZ228" s="1449">
        <f>IF('6.Inland wetlands'!$G84= "yes", $F228*($T228)/1000,0)</f>
        <v/>
      </c>
      <c r="BA228" s="1264">
        <f>IF('6.Inland wetlands'!$G84= "yes",$J228*($T228)/1000,0)</f>
        <v/>
      </c>
      <c r="BB228" s="1264">
        <f>IF('6.Inland wetlands'!$G84= "yes",$F228*($U228)/1000,0)</f>
        <v/>
      </c>
      <c r="BC228" s="1264">
        <f>IF('6.Inland wetlands'!$G84= "yes",$J228*($U228)/1000,0)</f>
        <v/>
      </c>
      <c r="BD228" s="1449" t="n"/>
      <c r="BE228" s="1449" t="n"/>
      <c r="BF228" s="1449" t="n"/>
      <c r="BG228" s="1449" t="n"/>
      <c r="BK228" s="1084" t="inlineStr">
        <is>
          <t>CO2 soil rewetting</t>
        </is>
      </c>
      <c r="BL228" s="1314">
        <f>SUM($AB296:$AB301)+SUM(AB307:AB312)</f>
        <v/>
      </c>
      <c r="BM228" s="1314">
        <f>SUM($AC296:$AC301)+SUM(AC307:AC312)</f>
        <v/>
      </c>
      <c r="BN228" s="992">
        <f>BM228-BL228</f>
        <v/>
      </c>
      <c r="BP228" s="1084">
        <f>BK228</f>
        <v/>
      </c>
      <c r="BQ228" s="1312">
        <f>BM228-BL228</f>
        <v/>
      </c>
      <c r="BR228" s="1312">
        <f>IF(time=0,0,SUM(AY296:AY301)-SUM(AX296:AX301))</f>
        <v/>
      </c>
      <c r="BS228" s="1453">
        <f>BQ228-BR228</f>
        <v/>
      </c>
      <c r="BT228" s="1455">
        <f>SUM(BR228:BS228)</f>
        <v/>
      </c>
    </row>
    <row r="229" ht="18" customHeight="1">
      <c r="A229" s="973" t="inlineStr">
        <is>
          <t>S6</t>
        </is>
      </c>
      <c r="B229" s="973">
        <f>'6.Inland wetlands'!I85</f>
        <v/>
      </c>
      <c r="C229" s="1121">
        <f>IF($B229="Please select","",IF(ISNUMBER(SEARCH("Annual",$B229)),"Annual",IF(ISNUMBER(SEARCH("Other",$B229)),"Other land",IF(ISNUMBER(SEARCH("Flooded rice",$B229)),"Flooded rice",IF(ISNUMBER(SEARCH("Grassland",$B229)),"Grassland",IF(ISNUMBER(SEARCH("Degraded land",$B229)),"Degraded land","Perennial"))))))</f>
        <v/>
      </c>
      <c r="D229" s="973">
        <f>'6.Inland wetlands'!K85</f>
        <v/>
      </c>
      <c r="E229" s="1121">
        <f>IF($D229="Please select","",IF(ISNUMBER(SEARCH("Annual",$D229)),"Annual",IF(ISNUMBER(SEARCH("Other",$D229)),"Other land",IF(ISNUMBER(SEARCH("Flooded rice",$D229)),"Flooded rice",IF(ISNUMBER(SEARCH("Grassland",$D229)),"Grassland",IF(ISNUMBER(SEARCH("Degraded land",$D229)),"Degraded land","Perennial"))))))</f>
        <v/>
      </c>
      <c r="F229" s="3493">
        <f>'6.Inland wetlands'!N85</f>
        <v/>
      </c>
      <c r="G229" s="1154">
        <f>VLOOKUP('6.Inland wetlands'!O85, list!$I$48:$J$50,2,FALSE )</f>
        <v/>
      </c>
      <c r="H229" s="1154">
        <f>'6.Inland wetlands'!DB85</f>
        <v/>
      </c>
      <c r="I229" s="1155">
        <f>'6.Inland wetlands'!DC85</f>
        <v/>
      </c>
      <c r="J229" s="3493">
        <f>'6.Inland wetlands'!P85</f>
        <v/>
      </c>
      <c r="K229" s="1154">
        <f>VLOOKUP('6.Inland wetlands'!Q85, list!$I$48:$J$50,2,FALSE )</f>
        <v/>
      </c>
      <c r="L229" s="1154">
        <f>'6.Inland wetlands'!DE85</f>
        <v/>
      </c>
      <c r="M229" s="1155">
        <f>'6.Inland wetlands'!DF85</f>
        <v/>
      </c>
      <c r="N229" s="4737">
        <f>IF('6.Inland wetlands'!$AX85="",IF($B229&lt;&gt;"Please select",INDEX(IPCC!$D$1521:$Y$1680,MATCH(clim_moist_cont,IPCC!$C$1521:$C$1680,0),MATCH($B229,IPCC!$D$1520:$Y$1520,0)),0),'6.Inland wetlands'!$AX85)</f>
        <v/>
      </c>
      <c r="O229" s="4738">
        <f>IF('6.Inland wetlands'!AX97="",IF($D229 &lt;&gt; "Please select", INDEX(IPCC!$D$686:$Y$845,MATCH(clim_moist_cont,IPCC!$C$686:$C$845,0),MATCH($D229,IPCC!$D$682:$Y$682,0)),0),'6.Inland wetlands'!AX97)</f>
        <v/>
      </c>
      <c r="P229" s="1187">
        <f>($O229-$N229)*(-44/12)</f>
        <v/>
      </c>
      <c r="Q229" s="1543">
        <f>IF($C229="Annual",$N229*40%,$N229)</f>
        <v/>
      </c>
      <c r="R229" s="1145">
        <f>IFERROR(Q229 *VLOOKUP($B229,  IPCC!$A$1473:$E$1496, 2, FALSE) * VLOOKUP($B229,  IPCC!$A$1473:$E$1496, 4, FALSE),0)</f>
        <v/>
      </c>
      <c r="S229" s="1145">
        <f>IFERROR( Q229 *VLOOKUP($B229,  IPCC!$A$1473:$E$1496, 2, FALSE) * VLOOKUP($B229,  IPCC!$A$1473:$E$1496, 5, FALSE),0)</f>
        <v/>
      </c>
      <c r="T229" s="1544">
        <f>R229*methane</f>
        <v/>
      </c>
      <c r="U229" s="1544">
        <f>$S229*Nitrous</f>
        <v/>
      </c>
      <c r="V229" s="1154">
        <f>IF('6.Inland wetlands'!G85= "NO", 0,$F229*($T229+$U229)/1000)</f>
        <v/>
      </c>
      <c r="W229" s="1154">
        <f>IF('6.Inland wetlands'!G85="NO",0, $J229*($T229+$U229)/1000)</f>
        <v/>
      </c>
      <c r="AA229" s="1165" t="n"/>
      <c r="AB229" s="1001" t="n"/>
      <c r="AC229" s="1165" t="n"/>
      <c r="AD229" s="1001" t="n"/>
      <c r="AI229" s="1151">
        <f>$F229*$P229+V229+H241+I241</f>
        <v/>
      </c>
      <c r="AJ229" s="1151">
        <f>$J229*$P229+W229+J241+K241</f>
        <v/>
      </c>
      <c r="AK229" s="3498">
        <f>AJ229-AI229</f>
        <v/>
      </c>
      <c r="AW229" s="1089" t="n"/>
      <c r="AX229" s="1449">
        <f>$AI229</f>
        <v/>
      </c>
      <c r="AY229" s="1449">
        <f>$AJ229</f>
        <v/>
      </c>
      <c r="AZ229" s="1449">
        <f>IF('6.Inland wetlands'!$G85= "yes", $F229*($T229)/1000,0)</f>
        <v/>
      </c>
      <c r="BA229" s="1264">
        <f>IF('6.Inland wetlands'!$G85= "yes",$J229*($T229)/1000,0)</f>
        <v/>
      </c>
      <c r="BB229" s="1264">
        <f>IF('6.Inland wetlands'!$G85= "yes",$F229*($U229)/1000,0)</f>
        <v/>
      </c>
      <c r="BC229" s="1264">
        <f>IF('6.Inland wetlands'!$G85= "yes",$J229*($U229)/1000,0)</f>
        <v/>
      </c>
      <c r="BD229" s="1449" t="n"/>
      <c r="BE229" s="1449" t="n"/>
      <c r="BF229" s="1449" t="n"/>
      <c r="BG229" s="1449" t="n"/>
      <c r="BK229" s="1084" t="inlineStr">
        <is>
          <t>CH4 soil rewetting</t>
        </is>
      </c>
      <c r="BL229" s="1314">
        <f>SUM($AD296:$AD301)+SUM(AD307:AD312)</f>
        <v/>
      </c>
      <c r="BM229" s="1314">
        <f>SUM($AE296:$AE301)+SUM(AE307:AE312)</f>
        <v/>
      </c>
      <c r="BN229" s="992">
        <f>BM229-BL229</f>
        <v/>
      </c>
      <c r="BP229" s="1084">
        <f>BK229</f>
        <v/>
      </c>
      <c r="BQ229" s="1312">
        <f>BM229-BL229</f>
        <v/>
      </c>
      <c r="BR229" s="1312">
        <f>IF(time=0,0,SUM(BA296:BA301)-SUM(AZ296:AZ301))</f>
        <v/>
      </c>
      <c r="BS229" s="1453">
        <f>BQ229-BR229</f>
        <v/>
      </c>
      <c r="BT229" s="1455">
        <f>SUM(BR229:BS229)</f>
        <v/>
      </c>
    </row>
    <row r="230" ht="18" customHeight="1">
      <c r="AW230" s="1089" t="n"/>
      <c r="BK230" s="1084" t="inlineStr">
        <is>
          <t>N2O soil rewetting</t>
        </is>
      </c>
      <c r="BL230" s="1314">
        <f>SUM($AF296:$AF301)+SUM(AF307:AF312)</f>
        <v/>
      </c>
      <c r="BM230" s="1314">
        <f>SUM($AG296:$AG301)+SUM(AG307:AG312)</f>
        <v/>
      </c>
      <c r="BN230" s="992">
        <f>BM230-BL230</f>
        <v/>
      </c>
      <c r="BP230" s="1084">
        <f>BK230</f>
        <v/>
      </c>
      <c r="BQ230" s="1312">
        <f>BM230-BL230</f>
        <v/>
      </c>
      <c r="BR230" s="1312">
        <f>IF(time=0,0,SUM(BC296:BC301)-SUM(BB296:BB301))</f>
        <v/>
      </c>
      <c r="BS230" s="1453">
        <f>BQ230-BR230</f>
        <v/>
      </c>
      <c r="BT230" s="1455">
        <f>SUM(BR230:BS230)</f>
        <v/>
      </c>
    </row>
    <row r="231">
      <c r="Q231" s="992" t="n"/>
      <c r="R231" s="992" t="n"/>
      <c r="T231" s="1494" t="n"/>
      <c r="U231" s="1469" t="n"/>
      <c r="V231" s="1494" t="n"/>
      <c r="W231" s="1494" t="n"/>
      <c r="X231" s="992" t="n"/>
      <c r="Y231" s="992" t="n"/>
      <c r="Z231" s="992" t="n"/>
      <c r="AX231" s="1461">
        <f>SUM(AX224:AX229)</f>
        <v/>
      </c>
      <c r="AY231" s="1461">
        <f>SUM(AY224:AY229)</f>
        <v/>
      </c>
      <c r="AZ231" s="1461">
        <f>SUM(AZ224:AZ229)</f>
        <v/>
      </c>
      <c r="BA231" s="1264">
        <f>SUM(BA224:BA229)</f>
        <v/>
      </c>
      <c r="BB231" s="1264">
        <f>SUM(BB224:BB229)</f>
        <v/>
      </c>
      <c r="BC231" s="1264">
        <f>SUM(BC224:BC229)</f>
        <v/>
      </c>
      <c r="BD231" s="1461" t="n"/>
      <c r="BE231" s="1461" t="n"/>
      <c r="BF231" s="1461" t="n"/>
      <c r="BG231" s="1461" t="n"/>
      <c r="BK231" s="1084" t="inlineStr">
        <is>
          <t>CO2 Fire</t>
        </is>
      </c>
      <c r="BL231" s="1314">
        <f>SUM($AD255:$AD260)</f>
        <v/>
      </c>
      <c r="BM231" s="1314">
        <f>SUM($AE255:$AE260)</f>
        <v/>
      </c>
      <c r="BN231" s="992">
        <f>BM231-BL231</f>
        <v/>
      </c>
      <c r="BP231" s="1084">
        <f>BK231</f>
        <v/>
      </c>
      <c r="BQ231" s="1312">
        <f>BM231-BL231</f>
        <v/>
      </c>
      <c r="BR231" s="1312">
        <f>IF(time=0,0,SUM(AY255:AY260)-SUM(AX255:AX260))</f>
        <v/>
      </c>
      <c r="BS231" s="1453">
        <f>BQ231-BR231</f>
        <v/>
      </c>
      <c r="BT231" s="1455">
        <f>SUM(BR231:BS231)</f>
        <v/>
      </c>
    </row>
    <row r="232">
      <c r="B232" s="973" t="inlineStr">
        <is>
          <t>Biomass fire after conversion</t>
        </is>
      </c>
      <c r="AY232" s="1451">
        <f>AY231-AX231</f>
        <v/>
      </c>
      <c r="AZ232" s="1451" t="n"/>
      <c r="BA232" s="1264">
        <f>BA231-AZ231</f>
        <v/>
      </c>
      <c r="BC232" s="1264">
        <f>BC231-BB231</f>
        <v/>
      </c>
      <c r="BD232" s="1451" t="n"/>
      <c r="BE232" s="1451" t="n"/>
      <c r="BF232" s="1451" t="n"/>
      <c r="BG232" s="1451" t="n"/>
      <c r="BK232" s="1084" t="inlineStr">
        <is>
          <t>CH4 Fire</t>
        </is>
      </c>
      <c r="BL232" s="1314">
        <f>SUM(AZ224:AZ229,BC255:BC260)+SUM(H236:H241)</f>
        <v/>
      </c>
      <c r="BM232" s="1314">
        <f>SUM(BA224:BA229,BD255:BD260)+SUM(J236:J241)</f>
        <v/>
      </c>
      <c r="BN232" s="992">
        <f>BM232-BL232</f>
        <v/>
      </c>
      <c r="BP232" s="1084">
        <f>BK232</f>
        <v/>
      </c>
      <c r="BQ232" s="1312">
        <f>BM232-BL232</f>
        <v/>
      </c>
      <c r="BR232" s="1312">
        <f>IF(time=0,0,SUM(BA255:BA260)-SUM(AZ255:AZ260)+SUM(BA224:BA229)-SUM(AZ224:AZ229))</f>
        <v/>
      </c>
      <c r="BS232" s="1453">
        <f>BQ232-BR232</f>
        <v/>
      </c>
      <c r="BT232" s="1455">
        <f>SUM(BR232:BS232)</f>
        <v/>
      </c>
    </row>
    <row r="233">
      <c r="B233" s="1138" t="n"/>
      <c r="C233" s="1138" t="n"/>
      <c r="D233" s="1138" t="inlineStr">
        <is>
          <t>Fire after conversion WOP</t>
        </is>
      </c>
      <c r="E233" s="1139" t="n"/>
      <c r="F233" s="1138" t="inlineStr">
        <is>
          <t>Fire after conversion WP</t>
        </is>
      </c>
      <c r="G233" s="1139" t="n"/>
      <c r="H233" s="1139" t="inlineStr">
        <is>
          <t>Total period WOP</t>
        </is>
      </c>
      <c r="I233" s="1139" t="n"/>
      <c r="J233" s="1139" t="inlineStr">
        <is>
          <t>Total period WP</t>
        </is>
      </c>
      <c r="K233" s="1139" t="n"/>
      <c r="N233" s="1296" t="inlineStr">
        <is>
          <t>FIRE</t>
        </is>
      </c>
      <c r="O233" s="1296" t="inlineStr">
        <is>
          <t>FIRE CH4</t>
        </is>
      </c>
      <c r="P233" s="1296" t="inlineStr">
        <is>
          <t>FIRE N2O</t>
        </is>
      </c>
      <c r="BK233" s="1459" t="inlineStr">
        <is>
          <t>N2O Fire</t>
        </is>
      </c>
      <c r="BL233" s="1319">
        <f>SUM(BB224:BB229)+SUM(I236:I241)</f>
        <v/>
      </c>
      <c r="BM233" s="1319">
        <f>SUM(BC224:BC229)+SUM(K236:K241)</f>
        <v/>
      </c>
      <c r="BN233" s="992">
        <f>BM233-BL233</f>
        <v/>
      </c>
      <c r="BP233" s="1459">
        <f>BK233</f>
        <v/>
      </c>
      <c r="BQ233" s="1312">
        <f>BM233-BL233</f>
        <v/>
      </c>
      <c r="BR233" s="1319">
        <f>IF(time=0,0,SUM(BC224:BC229)-SUM(BB224:BB229))</f>
        <v/>
      </c>
      <c r="BS233" s="1320">
        <f>BQ233-BR233</f>
        <v/>
      </c>
      <c r="BT233" s="1455">
        <f>SUM(BR233:BS233)</f>
        <v/>
      </c>
    </row>
    <row r="234">
      <c r="B234" s="1137" t="inlineStr">
        <is>
          <t>AGBiomass New LU</t>
        </is>
      </c>
      <c r="C234" s="1137" t="n"/>
      <c r="D234" s="1140" t="inlineStr">
        <is>
          <t>CH4</t>
        </is>
      </c>
      <c r="E234" s="1140" t="inlineStr">
        <is>
          <t>N2O</t>
        </is>
      </c>
      <c r="F234" s="1140" t="inlineStr">
        <is>
          <t>CH4</t>
        </is>
      </c>
      <c r="G234" s="1140" t="inlineStr">
        <is>
          <t>N2O</t>
        </is>
      </c>
      <c r="H234" s="1140">
        <f>D234</f>
        <v/>
      </c>
      <c r="I234" s="1140">
        <f>E234</f>
        <v/>
      </c>
      <c r="J234" s="1140">
        <f>F234</f>
        <v/>
      </c>
      <c r="K234" s="1140">
        <f>G234</f>
        <v/>
      </c>
      <c r="N234" s="1488" t="inlineStr">
        <is>
          <t>Cf</t>
        </is>
      </c>
      <c r="O234" s="1171" t="n"/>
      <c r="P234" s="1171" t="n"/>
      <c r="BN234" s="1688" t="n"/>
      <c r="BP234" s="1316" t="n"/>
      <c r="BQ234" s="1460">
        <f>SUM(BQ224:BQ233)</f>
        <v/>
      </c>
      <c r="BR234" s="1460">
        <f>SUM(BR224:BR233)</f>
        <v/>
      </c>
      <c r="BS234" s="1460">
        <f>SUM(BS224:BS233)</f>
        <v/>
      </c>
      <c r="BT234" s="992">
        <f>BR234+BS234</f>
        <v/>
      </c>
    </row>
    <row r="235">
      <c r="B235" s="1137" t="inlineStr">
        <is>
          <t>t C/ha</t>
        </is>
      </c>
      <c r="C235" s="1137" t="inlineStr">
        <is>
          <t>tdm/ha</t>
        </is>
      </c>
      <c r="D235" s="1137" t="inlineStr">
        <is>
          <t>kgCH4</t>
        </is>
      </c>
      <c r="E235" s="1137" t="inlineStr">
        <is>
          <t>kgN2O</t>
        </is>
      </c>
      <c r="F235" s="1137" t="inlineStr">
        <is>
          <t>kgCH4</t>
        </is>
      </c>
      <c r="G235" s="1137" t="inlineStr">
        <is>
          <t>kgN2O</t>
        </is>
      </c>
      <c r="H235" s="1137">
        <f>D235</f>
        <v/>
      </c>
      <c r="I235" s="1137">
        <f>E235</f>
        <v/>
      </c>
      <c r="J235" s="1137">
        <f>F235</f>
        <v/>
      </c>
      <c r="K235" s="1137">
        <f>G235</f>
        <v/>
      </c>
      <c r="N235" s="1489" t="n"/>
      <c r="O235" s="1305" t="inlineStr">
        <is>
          <t>gCH4/kg dry matter</t>
        </is>
      </c>
      <c r="P235" s="1305" t="inlineStr">
        <is>
          <t>gCH4/kg dry matter</t>
        </is>
      </c>
      <c r="BK235" s="973" t="inlineStr">
        <is>
          <t>TOTAL (tCO2-eq)</t>
        </is>
      </c>
      <c r="BL235" s="992">
        <f>SUM(BL224:BL233)</f>
        <v/>
      </c>
      <c r="BM235" s="992">
        <f>SUM(BM224:BM233)</f>
        <v/>
      </c>
      <c r="BN235" s="992">
        <f>BM235-BL235</f>
        <v/>
      </c>
      <c r="BO235" s="1246" t="n"/>
    </row>
    <row r="236">
      <c r="B236" s="1145">
        <f>O224</f>
        <v/>
      </c>
      <c r="C236" s="1145">
        <f>B236/0.47</f>
        <v/>
      </c>
      <c r="D236" s="1145">
        <f>IF(AND('6.Inland wetlands'!X80 &lt;&gt; "W/out project", '6.Inland wetlands'!X80 &lt;&gt;"W/out&amp;With"), 0, IF(F224&lt;&gt;0,C236*N236*O236, 0))</f>
        <v/>
      </c>
      <c r="E236" s="1145">
        <f>IF(AND('6.Inland wetlands'!X80 &lt;&gt; "W/out project",'6.Inland wetlands'!X80 &lt;&gt;"W/out&amp;With"), 0,IF(F224&lt;&gt;0,C236*N236*P236, 0))</f>
        <v/>
      </c>
      <c r="F236" s="1145">
        <f>IF(AND('6.Inland wetlands'!X80 &lt;&gt; "With project", '6.Inland wetlands'!X80 &lt;&gt;"W/out&amp;With"), 0,IF(J224&lt;&gt;0,C236*N236*O236, 0))</f>
        <v/>
      </c>
      <c r="G236" s="1145">
        <f>IF(AND('6.Inland wetlands'!X80 &lt;&gt; "With project", '6.Inland wetlands'!X80 &lt;&gt;"W/out&amp;With"), 0, IF(J224&lt;&gt;0,C236*N236*P236, 0))</f>
        <v/>
      </c>
      <c r="H236" s="1145">
        <f>D236*F224*(time_cap+time*(VLOOKUP(G224, list!$J$48:$K$50,2,)))*methane/1000</f>
        <v/>
      </c>
      <c r="I236" s="1145">
        <f>E236*F224*(time_cap+time*(VLOOKUP(G224, list!$J$48:$K$50,2,)))*Nitrous/1000</f>
        <v/>
      </c>
      <c r="J236" s="1145">
        <f>F236*J224*(time_cap+time*(VLOOKUP(K224, list!$J$48:$K$50,2,)))*methane/1000</f>
        <v/>
      </c>
      <c r="K236" s="1145">
        <f>G236*J224*(time_cap+time*(VLOOKUP(K224, list!$J$48:$K$50,2,)))*Nitrous/1000</f>
        <v/>
      </c>
      <c r="N236" s="4362">
        <f>IFERROR(VLOOKUP(D224,  IPCC!$A$1473:$E$1496, 2, FALSE),0)</f>
        <v/>
      </c>
      <c r="O236" s="1490">
        <f>IFERROR(VLOOKUP(D224,  IPCC!$A$1473:$E$1496, 4, FALSE),0)</f>
        <v/>
      </c>
      <c r="P236" s="1490">
        <f>IFERROR(VLOOKUP(D224,  IPCC!$A$1473:$E$1496, 5, FALSE),0)</f>
        <v/>
      </c>
      <c r="BK236" s="973" t="inlineStr">
        <is>
          <t>Total CO2eq activity</t>
        </is>
      </c>
      <c r="BL236" s="992">
        <f>SUM(AI224:AI229,AI255:AI260,AI277:AI282,AI304:AI309)</f>
        <v/>
      </c>
      <c r="BM236" s="992">
        <f>SUM(AJ224:AJ229,AJ255:AJ260,AJ277:AJ282,AJ304:AJ309)</f>
        <v/>
      </c>
      <c r="BN236" s="992">
        <f>SUM(AK224:AK229,AK255:AK260,AK277:AK282,AK304:AK309)</f>
        <v/>
      </c>
      <c r="BO236" s="1246" t="n"/>
    </row>
    <row r="237">
      <c r="B237" s="1145">
        <f>O225</f>
        <v/>
      </c>
      <c r="C237" s="1145">
        <f>B237/0.47</f>
        <v/>
      </c>
      <c r="D237" s="1145">
        <f>IF(AND('6.Inland wetlands'!X81 &lt;&gt; "W/out project", '6.Inland wetlands'!X81 &lt;&gt;"W/out&amp;With"), 0, IF(F225&lt;&gt;0,C237*N237*O237, 0))</f>
        <v/>
      </c>
      <c r="E237" s="1145">
        <f>IF(AND('6.Inland wetlands'!X81 &lt;&gt; "W/out project",'6.Inland wetlands'!X81 &lt;&gt;"W/out&amp;With"), 0,IF(F225&lt;&gt;0,C237*N237*P237, 0))</f>
        <v/>
      </c>
      <c r="F237" s="1145">
        <f>IF(AND('6.Inland wetlands'!X81 &lt;&gt; "With project", '6.Inland wetlands'!X81 &lt;&gt;"W/out&amp;With"), 0,IF(J225&lt;&gt;0,C237*N237*O237, 0))</f>
        <v/>
      </c>
      <c r="G237" s="1145">
        <f>IF(AND('6.Inland wetlands'!X81 &lt;&gt; "With project", '6.Inland wetlands'!X81 &lt;&gt;"W/out&amp;With"), 0, IF(J225&lt;&gt;0,C237*N237*P237, 0))</f>
        <v/>
      </c>
      <c r="H237" s="1145">
        <f>D237*F225*(time_cap+time*(VLOOKUP(G225, list!$J$48:$K$50,2,)))*methane/1000</f>
        <v/>
      </c>
      <c r="I237" s="1145">
        <f>E237*F225*(time_cap+time*(VLOOKUP(G225, list!$J$48:$K$50,2,)))*Nitrous/1000</f>
        <v/>
      </c>
      <c r="J237" s="1145">
        <f>F237*J225*(time_cap+time*(VLOOKUP(K225, list!$J$48:$K$50,2,)))*methane/1000</f>
        <v/>
      </c>
      <c r="K237" s="1145">
        <f>G237*J225*(time_cap+time*(VLOOKUP(K225, list!$J$48:$K$50,2,)))*Nitrous/1000</f>
        <v/>
      </c>
      <c r="N237" s="4362">
        <f>IFERROR(VLOOKUP(D225,  IPCC!$A$1473:$E$1496, 2, FALSE),0)</f>
        <v/>
      </c>
      <c r="O237" s="1490">
        <f>IFERROR(VLOOKUP(D225,  IPCC!$A$1473:$E$1496, 4, FALSE),0)</f>
        <v/>
      </c>
      <c r="P237" s="1490">
        <f>IFERROR(VLOOKUP(D225,  IPCC!$A$1473:$E$1496, 5, FALSE),0)</f>
        <v/>
      </c>
    </row>
    <row r="238">
      <c r="B238" s="1145">
        <f>O226</f>
        <v/>
      </c>
      <c r="C238" s="1145">
        <f>B238/0.47</f>
        <v/>
      </c>
      <c r="D238" s="1145">
        <f>IF(AND('6.Inland wetlands'!X82 &lt;&gt; "W/out project", '6.Inland wetlands'!X82 &lt;&gt;"W/out&amp;With"), 0, IF(F226&lt;&gt;0,C238*N238*O238, 0))</f>
        <v/>
      </c>
      <c r="E238" s="1145">
        <f>IF(AND('6.Inland wetlands'!X82 &lt;&gt; "W/out project",'6.Inland wetlands'!X82 &lt;&gt;"W/out&amp;With"), 0,IF(F226&lt;&gt;0,C238*N238*P238, 0))</f>
        <v/>
      </c>
      <c r="F238" s="1145">
        <f>IF(AND('6.Inland wetlands'!X82 &lt;&gt; "With project", '6.Inland wetlands'!X82 &lt;&gt;"W/out&amp;With"), 0,IF(J226&lt;&gt;0,C238*N238*O238, 0))</f>
        <v/>
      </c>
      <c r="G238" s="1145">
        <f>IF(AND('6.Inland wetlands'!X82 &lt;&gt; "With project", '6.Inland wetlands'!X82 &lt;&gt;"W/out&amp;With"), 0, IF(J226&lt;&gt;0,C238*N238*P238, 0))</f>
        <v/>
      </c>
      <c r="H238" s="1145">
        <f>D238*F226*(time_cap+time*(VLOOKUP(G226, list!$J$48:$K$50,2,)))*methane/1000</f>
        <v/>
      </c>
      <c r="I238" s="1145">
        <f>E238*F226*(time_cap+time*(VLOOKUP(G226, list!$J$48:$K$50,2,)))*Nitrous/1000</f>
        <v/>
      </c>
      <c r="J238" s="1145">
        <f>F238*J226*(time_cap+time*(VLOOKUP(K226, list!$J$48:$K$50,2,)))*methane/1000</f>
        <v/>
      </c>
      <c r="K238" s="1145">
        <f>G238*J226*(time_cap+time*(VLOOKUP(K226, list!$J$48:$K$50,2,)))*Nitrous/1000</f>
        <v/>
      </c>
      <c r="N238" s="4362">
        <f>IFERROR(VLOOKUP(D226,  IPCC!$A$1473:$E$1496, 2, FALSE),0)</f>
        <v/>
      </c>
      <c r="O238" s="1490">
        <f>IFERROR(VLOOKUP(D226,  IPCC!$A$1473:$E$1496, 4, FALSE),0)</f>
        <v/>
      </c>
      <c r="P238" s="1490">
        <f>IFERROR(VLOOKUP(D226,  IPCC!$A$1473:$E$1496, 5, FALSE),0)</f>
        <v/>
      </c>
    </row>
    <row r="239">
      <c r="B239" s="1145">
        <f>O227</f>
        <v/>
      </c>
      <c r="C239" s="1145">
        <f>B239/0.47</f>
        <v/>
      </c>
      <c r="D239" s="1145">
        <f>IF(AND('6.Inland wetlands'!X83 &lt;&gt; "W/out project", '6.Inland wetlands'!X83 &lt;&gt;"W/out&amp;With"), 0, IF(F227&lt;&gt;0,C239*N239*O239, 0))</f>
        <v/>
      </c>
      <c r="E239" s="1145">
        <f>IF(AND('6.Inland wetlands'!X83 &lt;&gt; "W/out project",'6.Inland wetlands'!X83 &lt;&gt;"W/out&amp;With"), 0,IF(F227&lt;&gt;0,C239*N239*P239, 0))</f>
        <v/>
      </c>
      <c r="F239" s="1145">
        <f>IF(AND('6.Inland wetlands'!X83 &lt;&gt; "With project", '6.Inland wetlands'!X83 &lt;&gt;"W/out&amp;With"), 0,IF(J227&lt;&gt;0,C239*N239*O239, 0))</f>
        <v/>
      </c>
      <c r="G239" s="1145">
        <f>IF(AND('6.Inland wetlands'!X83 &lt;&gt; "With project", '6.Inland wetlands'!X83 &lt;&gt;"W/out&amp;With"), 0, IF(J227&lt;&gt;0,C239*N239*P239, 0))</f>
        <v/>
      </c>
      <c r="H239" s="1145">
        <f>D239*F227*(time_cap+time*(VLOOKUP(G227, list!$J$48:$K$50,2,)))*methane/1000</f>
        <v/>
      </c>
      <c r="I239" s="1145">
        <f>E239*F227*(time_cap+time*(VLOOKUP(G227, list!$J$48:$K$50,2,)))*Nitrous/1000</f>
        <v/>
      </c>
      <c r="J239" s="1145">
        <f>F239*J227*(time_cap+time*(VLOOKUP(K227, list!$J$48:$K$50,2,)))*methane/1000</f>
        <v/>
      </c>
      <c r="K239" s="1145">
        <f>G239*J227*(time_cap+time*(VLOOKUP(K227, list!$J$48:$K$50,2,)))*Nitrous/1000</f>
        <v/>
      </c>
      <c r="N239" s="4362">
        <f>IFERROR(VLOOKUP(D227,  IPCC!$A$1473:$E$1496, 2, FALSE),0)</f>
        <v/>
      </c>
      <c r="O239" s="1490">
        <f>IFERROR(VLOOKUP(D227,  IPCC!$A$1473:$E$1496, 4, FALSE),0)</f>
        <v/>
      </c>
      <c r="P239" s="1490">
        <f>IFERROR(VLOOKUP(D227,  IPCC!$A$1473:$E$1496, 5, FALSE),0)</f>
        <v/>
      </c>
      <c r="BN239" s="1246">
        <f>BN235-BN236</f>
        <v/>
      </c>
    </row>
    <row r="240">
      <c r="B240" s="1145">
        <f>O228</f>
        <v/>
      </c>
      <c r="C240" s="1145">
        <f>B240/0.47</f>
        <v/>
      </c>
      <c r="D240" s="1145">
        <f>IF(AND('6.Inland wetlands'!X84 &lt;&gt; "W/out project", '6.Inland wetlands'!X84 &lt;&gt;"W/out&amp;With"), 0, IF(F228&lt;&gt;0,C240*N240*O240, 0))</f>
        <v/>
      </c>
      <c r="E240" s="1145">
        <f>IF(AND('6.Inland wetlands'!X84 &lt;&gt; "W/out project",'6.Inland wetlands'!X84 &lt;&gt;"W/out&amp;With"), 0,IF(F228&lt;&gt;0,C240*N240*P240, 0))</f>
        <v/>
      </c>
      <c r="F240" s="1145">
        <f>IF(AND('6.Inland wetlands'!X84 &lt;&gt; "With project", '6.Inland wetlands'!X84 &lt;&gt;"W/out&amp;With"), 0,IF(J228&lt;&gt;0,C240*N240*O240, 0))</f>
        <v/>
      </c>
      <c r="G240" s="1145">
        <f>IF(AND('6.Inland wetlands'!X84 &lt;&gt; "With project", '6.Inland wetlands'!X84 &lt;&gt;"W/out&amp;With"), 0, IF(J228&lt;&gt;0,C240*N240*P240, 0))</f>
        <v/>
      </c>
      <c r="H240" s="1145">
        <f>D240*F228*(time_cap+time*(VLOOKUP(G228, list!$J$48:$K$50,2,)))*methane/1000</f>
        <v/>
      </c>
      <c r="I240" s="1145">
        <f>E240*F228*(time_cap+time*(VLOOKUP(G228, list!$J$48:$K$50,2,)))*Nitrous/1000</f>
        <v/>
      </c>
      <c r="J240" s="1145">
        <f>F240*J228*(time_cap+time*(VLOOKUP(K228, list!$J$48:$K$50,2,)))*methane/1000</f>
        <v/>
      </c>
      <c r="K240" s="1145">
        <f>G240*J228*(time_cap+time*(VLOOKUP(K228, list!$J$48:$K$50,2,)))*Nitrous/1000</f>
        <v/>
      </c>
      <c r="N240" s="4362">
        <f>IFERROR(VLOOKUP(D228,  IPCC!$A$1473:$E$1496, 2, FALSE),0)</f>
        <v/>
      </c>
      <c r="O240" s="1490">
        <f>IFERROR(VLOOKUP(D228,  IPCC!$A$1473:$E$1496, 4, FALSE),0)</f>
        <v/>
      </c>
      <c r="P240" s="1490">
        <f>IFERROR(VLOOKUP(D228,  IPCC!$A$1473:$E$1496, 5, FALSE),0)</f>
        <v/>
      </c>
    </row>
    <row r="241">
      <c r="B241" s="1145">
        <f>O229</f>
        <v/>
      </c>
      <c r="C241" s="1145">
        <f>B241/0.47</f>
        <v/>
      </c>
      <c r="D241" s="1145">
        <f>IF(AND('6.Inland wetlands'!X85 &lt;&gt; "W/out project", '6.Inland wetlands'!X85 &lt;&gt;"W/out&amp;With"), 0, IF(F229&lt;&gt;0,C241*N241*O241, 0))</f>
        <v/>
      </c>
      <c r="E241" s="1145">
        <f>IF(AND('6.Inland wetlands'!X85 &lt;&gt; "W/out project",'6.Inland wetlands'!X85 &lt;&gt;"W/out&amp;With"), 0,IF(F229&lt;&gt;0,C241*N241*P241, 0))</f>
        <v/>
      </c>
      <c r="F241" s="1145">
        <f>IF(AND('6.Inland wetlands'!X85 &lt;&gt; "With project", '6.Inland wetlands'!X85 &lt;&gt;"W/out&amp;With"), 0,IF(J229&lt;&gt;0,C241*N241*O241, 0))</f>
        <v/>
      </c>
      <c r="G241" s="1145">
        <f>IF(AND('6.Inland wetlands'!X85 &lt;&gt; "With project", '6.Inland wetlands'!X85 &lt;&gt;"W/out&amp;With"), 0, IF(J229&lt;&gt;0,C241*N241*P241, 0))</f>
        <v/>
      </c>
      <c r="H241" s="1145">
        <f>D241*F229*(time_cap+time*(VLOOKUP(G229, list!$J$48:$K$50,2,)))*methane/1000</f>
        <v/>
      </c>
      <c r="I241" s="1145">
        <f>E241*F229*(time_cap+time*(VLOOKUP(G229, list!$J$48:$K$50,2,)))*Nitrous/1000</f>
        <v/>
      </c>
      <c r="J241" s="1145">
        <f>F241*J229*(time_cap+time*(VLOOKUP(K229, list!$J$48:$K$50,2,)))*methane/1000</f>
        <v/>
      </c>
      <c r="K241" s="1145">
        <f>G241*J229*(time_cap+time*(VLOOKUP(K229, list!$J$48:$K$50,2,)))*Nitrous/1000</f>
        <v/>
      </c>
      <c r="N241" s="4362">
        <f>IFERROR(VLOOKUP(D229,  IPCC!$A$1473:$E$1496, 2, FALSE),0)</f>
        <v/>
      </c>
      <c r="O241" s="1490">
        <f>IFERROR(VLOOKUP(D229,  IPCC!$A$1473:$E$1496, 4, FALSE),0)</f>
        <v/>
      </c>
      <c r="P241" s="1490">
        <f>IFERROR(VLOOKUP(D229,  IPCC!$A$1473:$E$1496, 5, FALSE),0)</f>
        <v/>
      </c>
    </row>
    <row r="247" ht="30.5" customFormat="1" customHeight="1" s="1089">
      <c r="B247" s="1112" t="inlineStr">
        <is>
          <t>Emissions from soil loss of on-site and off-site carbon (CO2, DOC), on-site and off-site methane (CH4), on-site nitrous oxide (N2O) associated with drainage and fire on organic soils</t>
        </is>
      </c>
      <c r="C247" s="1113" t="n"/>
      <c r="D247" s="1113" t="n"/>
      <c r="E247" s="1113" t="n"/>
      <c r="F247" s="1113" t="n"/>
      <c r="G247" s="1113" t="n"/>
      <c r="H247" s="1113" t="n"/>
      <c r="I247" s="1113" t="n"/>
      <c r="J247" s="1113" t="n"/>
      <c r="K247" s="1113" t="n"/>
      <c r="L247" s="1113" t="n"/>
      <c r="M247" s="1113" t="n"/>
      <c r="N247" s="1113" t="n"/>
      <c r="O247" s="1113" t="n"/>
      <c r="P247" s="1113" t="n"/>
      <c r="Q247" s="1113" t="n"/>
      <c r="R247" s="1113" t="n"/>
      <c r="S247" s="1113" t="n"/>
      <c r="T247" s="1113" t="n"/>
      <c r="U247" s="1113" t="n"/>
      <c r="V247" s="1113" t="n"/>
      <c r="W247" s="1113" t="n"/>
      <c r="X247" s="1113" t="n"/>
      <c r="Y247" s="1113" t="n"/>
      <c r="Z247" s="1113" t="n"/>
      <c r="AA247" s="1113" t="n"/>
      <c r="AB247" s="1113" t="n"/>
      <c r="AC247" s="1113" t="n"/>
      <c r="AD247" s="1113" t="n"/>
      <c r="AE247" s="1113" t="n"/>
      <c r="AF247" s="1113" t="n"/>
      <c r="AG247" s="1113" t="n"/>
      <c r="AH247" s="1113" t="n"/>
      <c r="AI247" s="1113" t="n"/>
      <c r="AJ247" s="1113" t="n"/>
      <c r="AK247" s="1113" t="n"/>
      <c r="AW247" s="973" t="n"/>
      <c r="AX247" s="1447" t="n"/>
      <c r="AY247" s="1447" t="n"/>
      <c r="AZ247" s="1447" t="n"/>
      <c r="BA247" s="1447" t="n"/>
      <c r="BB247" s="1447" t="n"/>
      <c r="BC247" s="1447" t="n"/>
      <c r="BD247" s="1447" t="n"/>
      <c r="BE247" s="1447" t="n"/>
      <c r="BF247" s="1447" t="n"/>
      <c r="BG247" s="1447" t="n"/>
      <c r="BJ247" s="973" t="n"/>
    </row>
    <row r="249" ht="19.5" customFormat="1" customHeight="1" s="1089">
      <c r="B249" s="1257" t="inlineStr">
        <is>
          <t>Dominant quality of peat for initial land use:</t>
        </is>
      </c>
      <c r="D249" s="1251">
        <f>'6.Inland wetlands'!CK87</f>
        <v/>
      </c>
      <c r="F249" s="1257" t="inlineStr">
        <is>
          <t>Dominant quality of peat for final land use:</t>
        </is>
      </c>
      <c r="G249" s="973" t="n"/>
      <c r="H249" s="973" t="n"/>
      <c r="I249" s="973" t="n"/>
      <c r="J249" s="1250">
        <f>'6.Inland wetlands'!CK100</f>
        <v/>
      </c>
      <c r="AX249" s="1271" t="n"/>
      <c r="AY249" s="1264" t="n"/>
      <c r="AZ249" s="1264" t="n"/>
      <c r="BA249" s="1264" t="n"/>
      <c r="BB249" s="1264" t="n"/>
      <c r="BC249" s="1264" t="n"/>
      <c r="BD249" s="1264" t="n"/>
      <c r="BE249" s="1264" t="n"/>
      <c r="BF249" s="1264" t="n"/>
      <c r="BG249" s="1264" t="n"/>
    </row>
    <row r="250" ht="18" customFormat="1" customHeight="1" s="1089">
      <c r="B250" s="1228" t="n"/>
      <c r="Q250" s="1120" t="inlineStr">
        <is>
          <t>GWP CO = 2</t>
        </is>
      </c>
      <c r="AX250" s="1447" t="n"/>
      <c r="AY250" s="1447" t="n"/>
      <c r="AZ250" s="1447" t="n"/>
      <c r="BA250" s="1447" t="n"/>
      <c r="BB250" s="1447" t="n"/>
      <c r="BC250" s="1447" t="n"/>
      <c r="BD250" s="1447" t="n"/>
      <c r="BE250" s="1447" t="n"/>
      <c r="BF250" s="1447" t="n"/>
      <c r="BG250" s="1447" t="n"/>
      <c r="BJ250" s="973" t="n"/>
    </row>
    <row r="251" ht="16" customHeight="1">
      <c r="B251" s="1231" t="inlineStr">
        <is>
          <t>Conversion details (initial and final land use and fire management)</t>
        </is>
      </c>
      <c r="F251" s="1262" t="inlineStr">
        <is>
          <t>Managed land and Fire severity and occurrence</t>
        </is>
      </c>
      <c r="G251" s="1262" t="n"/>
      <c r="H251" s="1262" t="n"/>
      <c r="I251" s="1262" t="n"/>
      <c r="J251" s="1262" t="n"/>
      <c r="K251" s="1262" t="n"/>
      <c r="L251" s="1262" t="n"/>
      <c r="M251" s="1262" t="n"/>
      <c r="O251" s="1497" t="inlineStr">
        <is>
          <t>Emission factors for fire on soil</t>
        </is>
      </c>
      <c r="P251" s="1497" t="n"/>
      <c r="Q251" s="1497" t="n"/>
      <c r="R251" s="1506" t="n"/>
      <c r="S251" s="1506" t="n"/>
      <c r="T251" s="1506" t="n"/>
      <c r="U251" s="1506" t="n"/>
      <c r="V251" s="1506" t="n"/>
      <c r="W251" s="1276" t="n"/>
      <c r="X251" s="1276" t="inlineStr">
        <is>
          <t>SOIL FIRE EMISSIONS</t>
        </is>
      </c>
      <c r="Y251" s="1276" t="n"/>
      <c r="Z251" s="1276" t="n"/>
      <c r="AD251" s="1275" t="inlineStr">
        <is>
          <t>SOIL FIRE EMISSIONS (also valid for rewetted soil)</t>
        </is>
      </c>
      <c r="AE251" s="1276" t="n"/>
      <c r="AF251" s="1276" t="n"/>
      <c r="AG251" s="1276" t="n"/>
      <c r="AI251" s="1270" t="inlineStr">
        <is>
          <t>Total emissions tCO2eq</t>
        </is>
      </c>
      <c r="AJ251" s="1116" t="n"/>
      <c r="AK251" s="1116" t="n"/>
      <c r="AX251" s="1287" t="inlineStr">
        <is>
          <t>FIRE ON SOIL</t>
        </is>
      </c>
      <c r="AY251" s="1501" t="n"/>
      <c r="AZ251" s="1501" t="n"/>
    </row>
    <row r="252" ht="17" customHeight="1">
      <c r="F252" s="1521" t="inlineStr">
        <is>
          <t>WITHOUT</t>
        </is>
      </c>
      <c r="G252" s="1525" t="n"/>
      <c r="H252" s="1525" t="inlineStr">
        <is>
          <t>Fire</t>
        </is>
      </c>
      <c r="I252" s="1525" t="n"/>
      <c r="J252" s="1522" t="inlineStr">
        <is>
          <t>WITH</t>
        </is>
      </c>
      <c r="K252" s="1526" t="n"/>
      <c r="L252" s="1526" t="inlineStr">
        <is>
          <t>Fire</t>
        </is>
      </c>
      <c r="M252" s="1526" t="n"/>
      <c r="O252" s="1497" t="inlineStr">
        <is>
          <t>CO2</t>
        </is>
      </c>
      <c r="P252" s="1506" t="n"/>
      <c r="Q252" s="1497" t="inlineStr">
        <is>
          <t>CO</t>
        </is>
      </c>
      <c r="R252" s="1506" t="n"/>
      <c r="S252" s="1497" t="inlineStr">
        <is>
          <t>CH4</t>
        </is>
      </c>
      <c r="T252" s="1506" t="n"/>
      <c r="U252" s="1497" t="inlineStr">
        <is>
          <t>Dry matter</t>
        </is>
      </c>
      <c r="V252" s="1506" t="n"/>
      <c r="W252" s="1276" t="n"/>
      <c r="X252" s="1276" t="n"/>
      <c r="Y252" s="1276" t="n"/>
      <c r="Z252" s="1276" t="n"/>
      <c r="AD252" s="1276" t="inlineStr">
        <is>
          <t>tCO2-eq all period</t>
        </is>
      </c>
      <c r="AE252" s="1276" t="n"/>
      <c r="AF252" s="1276" t="n"/>
      <c r="AG252" s="1276" t="n"/>
      <c r="AI252" s="1270" t="inlineStr">
        <is>
          <t>ALL PERIOD</t>
        </is>
      </c>
      <c r="AJ252" s="1116" t="n"/>
      <c r="AK252" s="1116" t="n"/>
      <c r="AX252" s="1502" t="inlineStr">
        <is>
          <t>CO2</t>
        </is>
      </c>
      <c r="AY252" s="1502" t="n"/>
      <c r="AZ252" s="1502" t="inlineStr">
        <is>
          <t>CH4</t>
        </is>
      </c>
      <c r="BA252" s="1450" t="n"/>
      <c r="BC252" s="1502" t="inlineStr">
        <is>
          <t>CH4</t>
        </is>
      </c>
      <c r="BD252" s="1450" t="n"/>
    </row>
    <row r="253" ht="16" customHeight="1">
      <c r="B253" s="1231" t="inlineStr">
        <is>
          <t>Initial land use</t>
        </is>
      </c>
      <c r="C253" s="1231" t="n"/>
      <c r="D253" s="1231">
        <f>D222</f>
        <v/>
      </c>
      <c r="E253" s="1536" t="n"/>
      <c r="F253" s="1525" t="inlineStr">
        <is>
          <t xml:space="preserve">Managed land </t>
        </is>
      </c>
      <c r="G253" s="1525" t="n"/>
      <c r="H253" s="1525" t="inlineStr">
        <is>
          <t>Periodicity</t>
        </is>
      </c>
      <c r="I253" s="1525" t="inlineStr">
        <is>
          <t>Impact</t>
        </is>
      </c>
      <c r="J253" s="1526">
        <f>F253</f>
        <v/>
      </c>
      <c r="K253" s="1526" t="n"/>
      <c r="L253" s="1526" t="inlineStr">
        <is>
          <t>Periodicity</t>
        </is>
      </c>
      <c r="M253" s="1526" t="inlineStr">
        <is>
          <t>Impact</t>
        </is>
      </c>
      <c r="O253" s="1506" t="inlineStr">
        <is>
          <t>gC/kg d.m.</t>
        </is>
      </c>
      <c r="P253" s="1506" t="n"/>
      <c r="Q253" s="1506" t="inlineStr">
        <is>
          <t>gCO/kg d.m.</t>
        </is>
      </c>
      <c r="R253" s="1506" t="n"/>
      <c r="S253" s="1506" t="inlineStr">
        <is>
          <t>gCH4/kg d.m.</t>
        </is>
      </c>
      <c r="T253" s="1506" t="n"/>
      <c r="U253" s="1506" t="inlineStr">
        <is>
          <t>t d.m./ha</t>
        </is>
      </c>
      <c r="V253" s="1506" t="n"/>
      <c r="W253" s="1276" t="n"/>
      <c r="X253" s="1309" t="inlineStr">
        <is>
          <t>Biomass burnt (tonne dry matter)</t>
        </is>
      </c>
      <c r="Y253" s="1276" t="n"/>
      <c r="Z253" s="1276" t="n"/>
      <c r="AD253" s="1276" t="inlineStr">
        <is>
          <t>CO2&amp;CO</t>
        </is>
      </c>
      <c r="AE253" s="1276" t="n"/>
      <c r="AF253" s="1276" t="inlineStr">
        <is>
          <t>CH4</t>
        </is>
      </c>
      <c r="AG253" s="1276" t="n"/>
      <c r="AI253" s="1270" t="inlineStr">
        <is>
          <t>SOIL FIRE</t>
        </is>
      </c>
      <c r="AJ253" s="1116" t="n"/>
      <c r="AK253" s="1116" t="n"/>
      <c r="AX253" s="1264" t="inlineStr">
        <is>
          <t>IMPLEMENTATION PHASE</t>
        </is>
      </c>
      <c r="AZ253" s="1264" t="inlineStr">
        <is>
          <t>IMPLEMENTATION PHASE</t>
        </is>
      </c>
      <c r="BC253" s="1264" t="inlineStr">
        <is>
          <t>full</t>
        </is>
      </c>
    </row>
    <row r="254" ht="17" customHeight="1">
      <c r="B254" s="1231">
        <f>B223</f>
        <v/>
      </c>
      <c r="C254" s="1231" t="inlineStr">
        <is>
          <t>IPCC equivalent</t>
        </is>
      </c>
      <c r="D254" s="1231">
        <f>B254</f>
        <v/>
      </c>
      <c r="E254" s="1231" t="inlineStr">
        <is>
          <t>IPCC equivalent</t>
        </is>
      </c>
      <c r="F254" s="1532" t="inlineStr">
        <is>
          <t>ha</t>
        </is>
      </c>
      <c r="G254" s="1532" t="inlineStr">
        <is>
          <t>Rate</t>
        </is>
      </c>
      <c r="H254" s="1532" t="inlineStr">
        <is>
          <t>Year</t>
        </is>
      </c>
      <c r="I254" s="1533" t="inlineStr">
        <is>
          <t>%area burnt</t>
        </is>
      </c>
      <c r="J254" s="1534" t="inlineStr">
        <is>
          <t>ha</t>
        </is>
      </c>
      <c r="K254" s="1534" t="inlineStr">
        <is>
          <t>Rate</t>
        </is>
      </c>
      <c r="L254" s="1534" t="inlineStr">
        <is>
          <t>Year</t>
        </is>
      </c>
      <c r="M254" s="1535" t="inlineStr">
        <is>
          <t>%area burnt</t>
        </is>
      </c>
      <c r="O254" s="1507" t="inlineStr">
        <is>
          <t>IPCC</t>
        </is>
      </c>
      <c r="P254" s="1507" t="inlineStr">
        <is>
          <t>Tier 2</t>
        </is>
      </c>
      <c r="Q254" s="1507" t="inlineStr">
        <is>
          <t>IPCC</t>
        </is>
      </c>
      <c r="R254" s="1507" t="inlineStr">
        <is>
          <t>Tier 2</t>
        </is>
      </c>
      <c r="S254" s="1507" t="inlineStr">
        <is>
          <t>IPCC</t>
        </is>
      </c>
      <c r="T254" s="1507" t="inlineStr">
        <is>
          <t>Tier 2</t>
        </is>
      </c>
      <c r="U254" s="1507" t="inlineStr">
        <is>
          <t>IPCC</t>
        </is>
      </c>
      <c r="V254" s="1507" t="inlineStr">
        <is>
          <t>Tier 2</t>
        </is>
      </c>
      <c r="W254" s="1276" t="n"/>
      <c r="X254" s="973" t="inlineStr">
        <is>
          <t>Start</t>
        </is>
      </c>
      <c r="Y254" s="1102" t="inlineStr">
        <is>
          <t>Without</t>
        </is>
      </c>
      <c r="Z254" s="1103" t="inlineStr">
        <is>
          <t>With</t>
        </is>
      </c>
      <c r="AA254" s="1688" t="n"/>
      <c r="AB254" s="1688" t="n"/>
      <c r="AC254" s="1688" t="n"/>
      <c r="AD254" s="1102" t="inlineStr">
        <is>
          <t>Without</t>
        </is>
      </c>
      <c r="AE254" s="1103" t="inlineStr">
        <is>
          <t>With</t>
        </is>
      </c>
      <c r="AF254" s="1102" t="inlineStr">
        <is>
          <t>Without</t>
        </is>
      </c>
      <c r="AG254" s="1103" t="inlineStr">
        <is>
          <t>With</t>
        </is>
      </c>
      <c r="AI254" s="1102" t="inlineStr">
        <is>
          <t>WITHOUT</t>
        </is>
      </c>
      <c r="AJ254" s="1103" t="inlineStr">
        <is>
          <t>WITH</t>
        </is>
      </c>
      <c r="AK254" s="1104" t="inlineStr">
        <is>
          <t>BALANCE</t>
        </is>
      </c>
      <c r="AX254" s="1272" t="inlineStr">
        <is>
          <t>WITHOUT</t>
        </is>
      </c>
      <c r="AY254" s="1272" t="inlineStr">
        <is>
          <t>WITH</t>
        </is>
      </c>
      <c r="AZ254" s="1272" t="inlineStr">
        <is>
          <t>WITHOUT</t>
        </is>
      </c>
      <c r="BA254" s="1272" t="inlineStr">
        <is>
          <t>WITH</t>
        </is>
      </c>
      <c r="BC254" s="1272" t="inlineStr">
        <is>
          <t>WITHOUT</t>
        </is>
      </c>
      <c r="BD254" s="1272" t="inlineStr">
        <is>
          <t>WITH</t>
        </is>
      </c>
    </row>
    <row r="255">
      <c r="A255" s="973" t="inlineStr">
        <is>
          <t>S1</t>
        </is>
      </c>
      <c r="B255" s="973">
        <f>B224</f>
        <v/>
      </c>
      <c r="C255" s="1121">
        <f>C224</f>
        <v/>
      </c>
      <c r="D255" s="973">
        <f>D224</f>
        <v/>
      </c>
      <c r="E255" s="1121">
        <f>E224</f>
        <v/>
      </c>
      <c r="F255" s="992">
        <f>F224</f>
        <v/>
      </c>
      <c r="G255" s="992">
        <f>G224</f>
        <v/>
      </c>
      <c r="H255" s="992">
        <f>H224</f>
        <v/>
      </c>
      <c r="I255" s="1580">
        <f>I224</f>
        <v/>
      </c>
      <c r="J255" s="992">
        <f>J224</f>
        <v/>
      </c>
      <c r="K255" s="992">
        <f>K224</f>
        <v/>
      </c>
      <c r="L255" s="992">
        <f>L224</f>
        <v/>
      </c>
      <c r="M255" s="1580">
        <f>M224</f>
        <v/>
      </c>
      <c r="O255" s="1111">
        <f>IFERROR(INDEX(IPCC!$A$2037:$D$2048,MATCH(clim_moist,IPCC!$A$2037:$A$2048,0),MATCH($O$252,IPCC!$A$2037:$D$2037,0)),0)</f>
        <v/>
      </c>
      <c r="P255" s="1161">
        <f>IF('6.Inland wetlands'!$DI80="",'6.Inland wetlands'!$DH80,'6.Inland wetlands'!$DI80)</f>
        <v/>
      </c>
      <c r="Q255" s="1111">
        <f>IFERROR(INDEX(IPCC!$A$2037:$D$2048,MATCH(clim_moist,IPCC!$A$2037:$A$2048,0),MATCH($Q$252,IPCC!$A$2037:$D$2037,0)),0)</f>
        <v/>
      </c>
      <c r="R255" s="1161">
        <f>IF('6.Inland wetlands'!$DK80="",'6.Inland wetlands'!$DJ80,'6.Inland wetlands'!$DK80)</f>
        <v/>
      </c>
      <c r="S255" s="1111">
        <f>IFERROR(INDEX(IPCC!$A$2037:$D$2048,MATCH(clim_moist,IPCC!$A$2037:$A$2048,0),MATCH($S$252,IPCC!$A$2037:$D$2037,0)),0)</f>
        <v/>
      </c>
      <c r="T255" s="1161">
        <f>IF('6.Inland wetlands'!$DM80="",'6.Inland wetlands'!$DL80,'6.Inland wetlands'!$DM80)</f>
        <v/>
      </c>
      <c r="U255" s="1111">
        <f>IFERROR(INDEX(IPCC!$A$2020:$D$2031,MATCH(clim_moist,IPCC!$A$2021:$A$2031,0),MATCH('6.Inland wetlands'!$CZ80,IPCC!$A$2020:$D$2020,0)),0)</f>
        <v/>
      </c>
      <c r="V255" s="1161">
        <f>IF('6.Inland wetlands'!$DO80="",'6.Inland wetlands'!$DN80,'6.Inland wetlands'!$DO80)</f>
        <v/>
      </c>
      <c r="W255" s="1276" t="n"/>
      <c r="X255" s="1151" t="n">
        <v>0</v>
      </c>
      <c r="Y255" s="1151">
        <f>IF('6.Inland wetlands'!$CZ80=list!$F$210,0,$V255*$F255)</f>
        <v/>
      </c>
      <c r="Z255" s="1151">
        <f>IF('6.Inland wetlands'!$CZ80=list!$F$210,0,$V255*$J255)</f>
        <v/>
      </c>
      <c r="AA255" s="1468" t="n"/>
      <c r="AD255" s="1151">
        <f>IF(OR('6.Inland wetlands'!$AA91=list!$E$210,'6.Inland wetlands'!$AA91=list!$E$212,'6.Inland wetlands'!$AA91=list!$E$214),0,IF($H255&gt;time_tot,0,MIN($X255,$Y255)*time_tot+ABS($Y255-$X255)*IF($Y255&gt;$X255,time_cap+time*VLOOKUP($G255,list!$J$48:$K$50,2,0),time*(1-VLOOKUP($G255,list!$J$48:$K$50,2,0))))*(1/$H255)*($I255)*($P255*44/12/1000)+IF($H255&gt;time_tot,0,MIN($X255,$Y255)*time_tot+ABS($Y255-$X255)*IF($Y255&gt;$X255,time_cap+time*VLOOKUP($G255,list!$J$48:$K$50,2,0),time*(1-VLOOKUP($G255,list!$J$48:$K$50,2,0))))*(1/$H255)*($I255)*($R255*2/1000))</f>
        <v/>
      </c>
      <c r="AE255" s="1151">
        <f>IF(OR('6.Inland wetlands'!$AA91=list!$E$210,'6.Inland wetlands'!$AA91=list!$E$211,'6.Inland wetlands'!$AA91=list!$E$214),0,IF($L255&gt;time_tot,0,MIN($X255,$Z255)*time_tot+ABS($Z255-$X255)*IF($Z255&gt;$X255,time_cap+time*VLOOKUP($K255,list!$J$48:$K$50,2,0),time*(1-VLOOKUP($K255,list!$J$48:$K$50,2,0))))*(1/$L255)*($M255)*($P255*44/12/1000)+IF($L255&gt;time_tot,0,MIN($X255,$Z255)*time_tot+ABS($Z255-$X255)*IF($Z255&gt;$X255,time_cap+time*VLOOKUP($K255,list!$J$48:$K$50,2,0),time*(1-VLOOKUP($K255,list!$J$48:$K$50,2,0))))*(1/$L255)*($M255)*($R255*2/1000))</f>
        <v/>
      </c>
      <c r="AF255" s="1151">
        <f>IF(OR('6.Inland wetlands'!$AA91=list!$E$210,'6.Inland wetlands'!$AA91=list!$E$212,'6.Inland wetlands'!$AA91=list!$E$214),0,IF($H255&gt;time_tot,0,MIN($X255,$Y255)*time_tot+ABS($Y255-$X255)*IF($Y255&gt;$X255,time_cap+time*VLOOKUP($G255,list!$J$48:$K$50,2,0),time*(1-VLOOKUP($G255,list!$J$48:$K$50,2,0))))*(1/$H255)*($I255)*($T255*methane/1000))</f>
        <v/>
      </c>
      <c r="AG255" s="1151">
        <f>IF(OR('6.Inland wetlands'!$AA91=list!$E$210,'6.Inland wetlands'!$AA91=list!$E$211,'6.Inland wetlands'!$AA91=list!$E$214),0,IF($L255&gt;time_tot,0,MIN($X255,$Z255)*time_tot+ABS($Z255-$X255)*IF($Z255&gt;$X255,time_cap+time*VLOOKUP($K255,list!$J$48:$K$50,2,0),time*(1-VLOOKUP($K255,list!$J$48:$K$50,2,0))))*(1/$L255)*($M255)*($T255*methane/1000))</f>
        <v/>
      </c>
      <c r="AI255" s="3497">
        <f>SUM(AD255,AF255)</f>
        <v/>
      </c>
      <c r="AJ255" s="3497">
        <f>SUM(AE255,AG255)</f>
        <v/>
      </c>
      <c r="AK255" s="1160">
        <f>AJ255-AI255</f>
        <v/>
      </c>
      <c r="AX255" s="1449">
        <f>IF($H255&gt;time_tot,0,$X255*time*(VLOOKUP($G255,list!$J$48:$K$50,2,0)))</f>
        <v/>
      </c>
      <c r="AY255" s="1449">
        <f>IF($L255&gt;time_tot,0,$Y255*time*(VLOOKUP($K255,list!$J$48:$K$50,2,0)))</f>
        <v/>
      </c>
      <c r="AZ255" s="1449">
        <f>IF($H255&gt;time_tot,0,$Z255*time*(VLOOKUP($G255,list!$J$48:$K$50,2,0)))</f>
        <v/>
      </c>
      <c r="BA255" s="1449">
        <f>IF($L255&gt;time_tot,0,$AA255*time*(VLOOKUP($K255,list!$J$48:$K$50,2,0)))</f>
        <v/>
      </c>
      <c r="BC255" s="1451">
        <f>AF255</f>
        <v/>
      </c>
      <c r="BD255" s="1451">
        <f>AG255</f>
        <v/>
      </c>
    </row>
    <row r="256">
      <c r="A256" s="973" t="inlineStr">
        <is>
          <t>S2</t>
        </is>
      </c>
      <c r="B256" s="973">
        <f>B225</f>
        <v/>
      </c>
      <c r="C256" s="1121">
        <f>C225</f>
        <v/>
      </c>
      <c r="D256" s="973">
        <f>D225</f>
        <v/>
      </c>
      <c r="E256" s="1121">
        <f>E225</f>
        <v/>
      </c>
      <c r="F256" s="992">
        <f>F225</f>
        <v/>
      </c>
      <c r="G256" s="992">
        <f>G225</f>
        <v/>
      </c>
      <c r="H256" s="992">
        <f>H225</f>
        <v/>
      </c>
      <c r="I256" s="1580">
        <f>I225</f>
        <v/>
      </c>
      <c r="J256" s="992">
        <f>J225</f>
        <v/>
      </c>
      <c r="K256" s="992">
        <f>K225</f>
        <v/>
      </c>
      <c r="L256" s="992">
        <f>L225</f>
        <v/>
      </c>
      <c r="M256" s="1580">
        <f>M225</f>
        <v/>
      </c>
      <c r="O256" s="1111">
        <f>IFERROR(INDEX(IPCC!$A$2037:$D$2048,MATCH(clim_moist,IPCC!$A$2037:$A$2048,0),MATCH($O$252,IPCC!$A$2037:$D$2037,0)),0)</f>
        <v/>
      </c>
      <c r="P256" s="1161">
        <f>IF('6.Inland wetlands'!$DI81="",'6.Inland wetlands'!$DH81,'6.Inland wetlands'!$DI81)</f>
        <v/>
      </c>
      <c r="Q256" s="1111">
        <f>IFERROR(INDEX(IPCC!$A$2037:$D$2048,MATCH(clim_moist,IPCC!$A$2037:$A$2048,0),MATCH($Q$252,IPCC!$A$2037:$D$2037,0)),0)</f>
        <v/>
      </c>
      <c r="R256" s="1161">
        <f>IF('6.Inland wetlands'!$DK81="",'6.Inland wetlands'!$DJ81,'6.Inland wetlands'!$DK81)</f>
        <v/>
      </c>
      <c r="S256" s="1111">
        <f>IFERROR(INDEX(IPCC!$A$2037:$D$2048,MATCH(clim_moist,IPCC!$A$2037:$A$2048,0),MATCH($S$252,IPCC!$A$2037:$D$2037,0)),0)</f>
        <v/>
      </c>
      <c r="T256" s="1161">
        <f>IF('6.Inland wetlands'!$DM81="",'6.Inland wetlands'!$DL81,'6.Inland wetlands'!$DM81)</f>
        <v/>
      </c>
      <c r="U256" s="1111">
        <f>IFERROR(INDEX(IPCC!$A$2020:$D$2031,MATCH(clim_moist,IPCC!$A$2021:$A$2031,0),MATCH('6.Inland wetlands'!$CZ81,IPCC!$A$2020:$D$2020,0)),0)</f>
        <v/>
      </c>
      <c r="V256" s="1161">
        <f>IF('6.Inland wetlands'!$DO81="",'6.Inland wetlands'!$DN81,'6.Inland wetlands'!$DO81)</f>
        <v/>
      </c>
      <c r="W256" s="1276" t="n"/>
      <c r="X256" s="1151" t="n">
        <v>0</v>
      </c>
      <c r="Y256" s="1151">
        <f>IF('6.Inland wetlands'!$CZ81=list!$F$210,0,$V256*$F256)</f>
        <v/>
      </c>
      <c r="Z256" s="1151">
        <f>IF('6.Inland wetlands'!$CZ81=list!$F$210,0,$V256*$J256)</f>
        <v/>
      </c>
      <c r="AA256" s="1468" t="n"/>
      <c r="AD256" s="1151">
        <f>IF(OR('6.Inland wetlands'!$AA92=list!$E$210,'6.Inland wetlands'!$AA92=list!$E$212,'6.Inland wetlands'!$AA92=list!$E$214),0,IF($H256&gt;time_tot,0,MIN($X256,$Y256)*time_tot+ABS($Y256-$X256)*IF($Y256&gt;$X256,time_cap+time*VLOOKUP($G256,list!$J$48:$K$50,2,0),time*(1-VLOOKUP($G256,list!$J$48:$K$50,2,0))))*(1/$H256)*($I256)*($P256*44/12/1000)+IF($H256&gt;time_tot,0,MIN($X256,$Y256)*time_tot+ABS($Y256-$X256)*IF($Y256&gt;$X256,time_cap+time*VLOOKUP($G256,list!$J$48:$K$50,2,0),time*(1-VLOOKUP($G256,list!$J$48:$K$50,2,0))))*(1/$H256)*($I256)*($R256*2/1000))</f>
        <v/>
      </c>
      <c r="AE256" s="1151">
        <f>IF(OR('6.Inland wetlands'!$AA92=list!$E$210,'6.Inland wetlands'!$AA92=list!$E$211,'6.Inland wetlands'!$AA92=list!$E$214),0,IF($L256&gt;time_tot,0,MIN($X256,$Z256)*time_tot+ABS($Z256-$X256)*IF($Z256&gt;$X256,time_cap+time*VLOOKUP($K256,list!$J$48:$K$50,2,0),time*(1-VLOOKUP($K256,list!$J$48:$K$50,2,0))))*(1/$L256)*($M256)*($P256*44/12/1000)+IF($L256&gt;time_tot,0,MIN($X256,$Z256)*time_tot+ABS($Z256-$X256)*IF($Z256&gt;$X256,time_cap+time*VLOOKUP($K256,list!$J$48:$K$50,2,0),time*(1-VLOOKUP($K256,list!$J$48:$K$50,2,0))))*(1/$L256)*($M256)*($R256*2/1000))</f>
        <v/>
      </c>
      <c r="AF256" s="1151">
        <f>IF(OR('6.Inland wetlands'!$AA92=list!$E$210,'6.Inland wetlands'!$AA92=list!$E$212,'6.Inland wetlands'!$AA92=list!$E$214),0,IF($H256&gt;time_tot,0,MIN($X256,$Y256)*time_tot+ABS($Y256-$X256)*IF($Y256&gt;$X256,time_cap+time*VLOOKUP($G256,list!$J$48:$K$50,2,0),time*(1-VLOOKUP($G256,list!$J$48:$K$50,2,0))))*(1/$H256)*($I256)*($T256*methane/1000))</f>
        <v/>
      </c>
      <c r="AG256" s="1151">
        <f>IF(OR('6.Inland wetlands'!$AA92=list!$E$210,'6.Inland wetlands'!$AA92=list!$E$211,'6.Inland wetlands'!$AA92=list!$E$214),0,IF($L256&gt;time_tot,0,MIN($X256,$Z256)*time_tot+ABS($Z256-$X256)*IF($Z256&gt;$X256,time_cap+time*VLOOKUP($K256,list!$J$48:$K$50,2,0),time*(1-VLOOKUP($K256,list!$J$48:$K$50,2,0))))*(1/$L256)*($M256)*($T256*methane/1000))</f>
        <v/>
      </c>
      <c r="AI256" s="3497">
        <f>SUM(AD256,AF256)</f>
        <v/>
      </c>
      <c r="AJ256" s="3497">
        <f>SUM(AE256,AG256)</f>
        <v/>
      </c>
      <c r="AK256" s="1160">
        <f>AJ256-AI256</f>
        <v/>
      </c>
      <c r="AX256" s="1449">
        <f>IF($H256&gt;time_tot,0,$X256*time*(VLOOKUP($G256,list!$J$48:$K$50,2,0)))</f>
        <v/>
      </c>
      <c r="AY256" s="1449">
        <f>IF($L256&gt;time_tot,0,$Y256*time*(VLOOKUP($K256,list!$J$48:$K$50,2,0)))</f>
        <v/>
      </c>
      <c r="AZ256" s="1449">
        <f>IF($H256&gt;time_tot,0,$Z256*time*(VLOOKUP($G256,list!$J$48:$K$50,2,0)))</f>
        <v/>
      </c>
      <c r="BA256" s="1449">
        <f>IF($L256&gt;time_tot,0,$AA256*time*(VLOOKUP($K256,list!$J$48:$K$50,2,0)))</f>
        <v/>
      </c>
      <c r="BC256" s="1451">
        <f>AF256</f>
        <v/>
      </c>
      <c r="BD256" s="1451">
        <f>AG256</f>
        <v/>
      </c>
    </row>
    <row r="257">
      <c r="A257" s="973" t="inlineStr">
        <is>
          <t>S3</t>
        </is>
      </c>
      <c r="B257" s="973">
        <f>B226</f>
        <v/>
      </c>
      <c r="C257" s="1121">
        <f>C226</f>
        <v/>
      </c>
      <c r="D257" s="973">
        <f>D226</f>
        <v/>
      </c>
      <c r="E257" s="1121">
        <f>E226</f>
        <v/>
      </c>
      <c r="F257" s="992">
        <f>F226</f>
        <v/>
      </c>
      <c r="G257" s="992">
        <f>G226</f>
        <v/>
      </c>
      <c r="H257" s="992">
        <f>H226</f>
        <v/>
      </c>
      <c r="I257" s="1580">
        <f>I226</f>
        <v/>
      </c>
      <c r="J257" s="992">
        <f>J226</f>
        <v/>
      </c>
      <c r="K257" s="992">
        <f>K226</f>
        <v/>
      </c>
      <c r="L257" s="992">
        <f>L226</f>
        <v/>
      </c>
      <c r="M257" s="1580">
        <f>M226</f>
        <v/>
      </c>
      <c r="O257" s="1111">
        <f>IFERROR(INDEX(IPCC!$A$2037:$D$2048,MATCH(clim_moist,IPCC!$A$2037:$A$2048,0),MATCH($O$252,IPCC!$A$2037:$D$2037,0)),0)</f>
        <v/>
      </c>
      <c r="P257" s="1161">
        <f>IF('6.Inland wetlands'!$DI82="",'6.Inland wetlands'!$DH82,'6.Inland wetlands'!$DI82)</f>
        <v/>
      </c>
      <c r="Q257" s="1111">
        <f>IFERROR(INDEX(IPCC!$A$2037:$D$2048,MATCH(clim_moist,IPCC!$A$2037:$A$2048,0),MATCH($Q$252,IPCC!$A$2037:$D$2037,0)),0)</f>
        <v/>
      </c>
      <c r="R257" s="1161">
        <f>IF('6.Inland wetlands'!$DK82="",'6.Inland wetlands'!$DJ82,'6.Inland wetlands'!$DK82)</f>
        <v/>
      </c>
      <c r="S257" s="1111">
        <f>IFERROR(INDEX(IPCC!$A$2037:$D$2048,MATCH(clim_moist,IPCC!$A$2037:$A$2048,0),MATCH($S$252,IPCC!$A$2037:$D$2037,0)),0)</f>
        <v/>
      </c>
      <c r="T257" s="1161">
        <f>IF('6.Inland wetlands'!$DM82="",'6.Inland wetlands'!$DL82,'6.Inland wetlands'!$DM82)</f>
        <v/>
      </c>
      <c r="U257" s="1111">
        <f>IFERROR(INDEX(IPCC!$A$2020:$D$2031,MATCH(clim_moist,IPCC!$A$2021:$A$2031,0),MATCH('6.Inland wetlands'!$CZ82,IPCC!$A$2020:$D$2020,0)),0)</f>
        <v/>
      </c>
      <c r="V257" s="1161">
        <f>IF('6.Inland wetlands'!$DO82="",'6.Inland wetlands'!$DN82,'6.Inland wetlands'!$DO82)</f>
        <v/>
      </c>
      <c r="W257" s="1276" t="n"/>
      <c r="X257" s="1151" t="n">
        <v>0</v>
      </c>
      <c r="Y257" s="1151">
        <f>IF('6.Inland wetlands'!$CZ82=list!$F$210,0,$V257*$F257)</f>
        <v/>
      </c>
      <c r="Z257" s="1151">
        <f>IF('6.Inland wetlands'!$CZ82=list!$F$210,0,$V257*$J257)</f>
        <v/>
      </c>
      <c r="AA257" s="1468" t="n"/>
      <c r="AD257" s="1151">
        <f>IF(OR('6.Inland wetlands'!$AA93=list!$E$210,'6.Inland wetlands'!$AA93=list!$E$212,'6.Inland wetlands'!$AA93=list!$E$214),0,IF($H257&gt;time_tot,0,MIN($X257,$Y257)*time_tot+ABS($Y257-$X257)*IF($Y257&gt;$X257,time_cap+time*VLOOKUP($G257,list!$J$48:$K$50,2,0),time*(1-VLOOKUP($G257,list!$J$48:$K$50,2,0))))*(1/$H257)*($I257)*($P257*44/12/1000)+IF($H257&gt;time_tot,0,MIN($X257,$Y257)*time_tot+ABS($Y257-$X257)*IF($Y257&gt;$X257,time_cap+time*VLOOKUP($G257,list!$J$48:$K$50,2,0),time*(1-VLOOKUP($G257,list!$J$48:$K$50,2,0))))*(1/$H257)*($I257)*($R257*2/1000))</f>
        <v/>
      </c>
      <c r="AE257" s="1151">
        <f>IF(OR('6.Inland wetlands'!$AA93=list!$E$210,'6.Inland wetlands'!$AA93=list!$E$211,'6.Inland wetlands'!$AA93=list!$E$214),0,IF($L257&gt;time_tot,0,MIN($X257,$Z257)*time_tot+ABS($Z257-$X257)*IF($Z257&gt;$X257,time_cap+time*VLOOKUP($K257,list!$J$48:$K$50,2,0),time*(1-VLOOKUP($K257,list!$J$48:$K$50,2,0))))*(1/$L257)*($M257)*($P257*44/12/1000)+IF($L257&gt;time_tot,0,MIN($X257,$Z257)*time_tot+ABS($Z257-$X257)*IF($Z257&gt;$X257,time_cap+time*VLOOKUP($K257,list!$J$48:$K$50,2,0),time*(1-VLOOKUP($K257,list!$J$48:$K$50,2,0))))*(1/$L257)*($M257)*($R257*2/1000))</f>
        <v/>
      </c>
      <c r="AF257" s="1151">
        <f>IF(OR('6.Inland wetlands'!$AA93=list!$E$210,'6.Inland wetlands'!$AA93=list!$E$212,'6.Inland wetlands'!$AA93=list!$E$214),0,IF($H257&gt;time_tot,0,MIN($X257,$Y257)*time_tot+ABS($Y257-$X257)*IF($Y257&gt;$X257,time_cap+time*VLOOKUP($G257,list!$J$48:$K$50,2,0),time*(1-VLOOKUP($G257,list!$J$48:$K$50,2,0))))*(1/$H257)*($I257)*($T257*methane/1000))</f>
        <v/>
      </c>
      <c r="AG257" s="1151">
        <f>IF(OR('6.Inland wetlands'!$AA93=list!$E$210,'6.Inland wetlands'!$AA93=list!$E$211,'6.Inland wetlands'!$AA93=list!$E$214),0,IF($L257&gt;time_tot,0,MIN($X257,$Z257)*time_tot+ABS($Z257-$X257)*IF($Z257&gt;$X257,time_cap+time*VLOOKUP($K257,list!$J$48:$K$50,2,0),time*(1-VLOOKUP($K257,list!$J$48:$K$50,2,0))))*(1/$L257)*($M257)*($T257*methane/1000))</f>
        <v/>
      </c>
      <c r="AI257" s="3497">
        <f>SUM(AD257,AF257)</f>
        <v/>
      </c>
      <c r="AJ257" s="3497">
        <f>SUM(AE257,AG257)</f>
        <v/>
      </c>
      <c r="AK257" s="1160">
        <f>AJ257-AI257</f>
        <v/>
      </c>
      <c r="AX257" s="1449">
        <f>IF($H257&gt;time_tot,0,$X257*time*(VLOOKUP($G257,list!$J$48:$K$50,2,0)))</f>
        <v/>
      </c>
      <c r="AY257" s="1449">
        <f>IF($L257&gt;time_tot,0,$Y257*time*(VLOOKUP($K257,list!$J$48:$K$50,2,0)))</f>
        <v/>
      </c>
      <c r="AZ257" s="1449">
        <f>IF($H257&gt;time_tot,0,$Z257*time*(VLOOKUP($G257,list!$J$48:$K$50,2,0)))</f>
        <v/>
      </c>
      <c r="BA257" s="1449">
        <f>IF($L257&gt;time_tot,0,$AA257*time*(VLOOKUP($K257,list!$J$48:$K$50,2,0)))</f>
        <v/>
      </c>
      <c r="BC257" s="1451">
        <f>AF257</f>
        <v/>
      </c>
      <c r="BD257" s="1451">
        <f>AG257</f>
        <v/>
      </c>
    </row>
    <row r="258">
      <c r="A258" s="973" t="inlineStr">
        <is>
          <t>S4</t>
        </is>
      </c>
      <c r="B258" s="973">
        <f>B227</f>
        <v/>
      </c>
      <c r="C258" s="1121">
        <f>C227</f>
        <v/>
      </c>
      <c r="D258" s="973">
        <f>D227</f>
        <v/>
      </c>
      <c r="E258" s="1121">
        <f>E227</f>
        <v/>
      </c>
      <c r="F258" s="992">
        <f>F227</f>
        <v/>
      </c>
      <c r="G258" s="992">
        <f>G227</f>
        <v/>
      </c>
      <c r="H258" s="992">
        <f>H227</f>
        <v/>
      </c>
      <c r="I258" s="1580">
        <f>I227</f>
        <v/>
      </c>
      <c r="J258" s="992">
        <f>J227</f>
        <v/>
      </c>
      <c r="K258" s="992">
        <f>K227</f>
        <v/>
      </c>
      <c r="L258" s="992">
        <f>L227</f>
        <v/>
      </c>
      <c r="M258" s="1580">
        <f>M227</f>
        <v/>
      </c>
      <c r="O258" s="1111">
        <f>IFERROR(INDEX(IPCC!$A$2037:$D$2048,MATCH(clim_moist,IPCC!$A$2037:$A$2048,0),MATCH($O$252,IPCC!$A$2037:$D$2037,0)),0)</f>
        <v/>
      </c>
      <c r="P258" s="1161">
        <f>IF('6.Inland wetlands'!$DI83="",'6.Inland wetlands'!$DH83,'6.Inland wetlands'!$DI83)</f>
        <v/>
      </c>
      <c r="Q258" s="1111">
        <f>IFERROR(INDEX(IPCC!$A$2037:$D$2048,MATCH(clim_moist,IPCC!$A$2037:$A$2048,0),MATCH($Q$252,IPCC!$A$2037:$D$2037,0)),0)</f>
        <v/>
      </c>
      <c r="R258" s="1161">
        <f>IF('6.Inland wetlands'!$DK83="",'6.Inland wetlands'!$DJ83,'6.Inland wetlands'!$DK83)</f>
        <v/>
      </c>
      <c r="S258" s="1111">
        <f>IFERROR(INDEX(IPCC!$A$2037:$D$2048,MATCH(clim_moist,IPCC!$A$2037:$A$2048,0),MATCH($S$252,IPCC!$A$2037:$D$2037,0)),0)</f>
        <v/>
      </c>
      <c r="T258" s="1161">
        <f>IF('6.Inland wetlands'!$DM83="",'6.Inland wetlands'!$DL83,'6.Inland wetlands'!$DM83)</f>
        <v/>
      </c>
      <c r="U258" s="1111">
        <f>IFERROR(INDEX(IPCC!$A$2020:$D$2031,MATCH(clim_moist,IPCC!$A$2021:$A$2031,0),MATCH('6.Inland wetlands'!$CZ83,IPCC!$A$2020:$D$2020,0)),0)</f>
        <v/>
      </c>
      <c r="V258" s="1161">
        <f>IF('6.Inland wetlands'!$DO83="",'6.Inland wetlands'!$DN83,'6.Inland wetlands'!$DO83)</f>
        <v/>
      </c>
      <c r="W258" s="1276" t="n"/>
      <c r="X258" s="1151" t="n">
        <v>0</v>
      </c>
      <c r="Y258" s="1151">
        <f>IF('6.Inland wetlands'!$CZ83=list!$F$210,0,$V258*$F258)</f>
        <v/>
      </c>
      <c r="Z258" s="1151">
        <f>IF('6.Inland wetlands'!$CZ83=list!$F$210,0,$V258*$J258)</f>
        <v/>
      </c>
      <c r="AA258" s="1468" t="n"/>
      <c r="AD258" s="1151">
        <f>IF(OR('6.Inland wetlands'!$AA94=list!$E$210,'6.Inland wetlands'!$AA94=list!$E$212,'6.Inland wetlands'!$AA94=list!$E$214),0,IF($H258&gt;time_tot,0,MIN($X258,$Y258)*time_tot+ABS($Y258-$X258)*IF($Y258&gt;$X258,time_cap+time*VLOOKUP($G258,list!$J$48:$K$50,2,0),time*(1-VLOOKUP($G258,list!$J$48:$K$50,2,0))))*(1/$H258)*($I258)*($P258*44/12/1000)+IF($H258&gt;time_tot,0,MIN($X258,$Y258)*time_tot+ABS($Y258-$X258)*IF($Y258&gt;$X258,time_cap+time*VLOOKUP($G258,list!$J$48:$K$50,2,0),time*(1-VLOOKUP($G258,list!$J$48:$K$50,2,0))))*(1/$H258)*($I258)*($R258*2/1000))</f>
        <v/>
      </c>
      <c r="AE258" s="1151">
        <f>IF(OR('6.Inland wetlands'!$AA94=list!$E$210,'6.Inland wetlands'!$AA94=list!$E$211,'6.Inland wetlands'!$AA94=list!$E$214),0,IF($L258&gt;time_tot,0,MIN($X258,$Z258)*time_tot+ABS($Z258-$X258)*IF($Z258&gt;$X258,time_cap+time*VLOOKUP($K258,list!$J$48:$K$50,2,0),time*(1-VLOOKUP($K258,list!$J$48:$K$50,2,0))))*(1/$L258)*($M258)*($P258*44/12/1000)+IF($L258&gt;time_tot,0,MIN($X258,$Z258)*time_tot+ABS($Z258-$X258)*IF($Z258&gt;$X258,time_cap+time*VLOOKUP($K258,list!$J$48:$K$50,2,0),time*(1-VLOOKUP($K258,list!$J$48:$K$50,2,0))))*(1/$L258)*($M258)*($R258*2/1000))</f>
        <v/>
      </c>
      <c r="AF258" s="1151">
        <f>IF(OR('6.Inland wetlands'!$AA94=list!$E$210,'6.Inland wetlands'!$AA94=list!$E$212,'6.Inland wetlands'!$AA94=list!$E$214),0,IF($H258&gt;time_tot,0,MIN($X258,$Y258)*time_tot+ABS($Y258-$X258)*IF($Y258&gt;$X258,time_cap+time*VLOOKUP($G258,list!$J$48:$K$50,2,0),time*(1-VLOOKUP($G258,list!$J$48:$K$50,2,0))))*(1/$H258)*($I258)*($T258*methane/1000))</f>
        <v/>
      </c>
      <c r="AG258" s="1151">
        <f>IF(OR('6.Inland wetlands'!$AA94=list!$E$210,'6.Inland wetlands'!$AA94=list!$E$211,'6.Inland wetlands'!$AA94=list!$E$214),0,IF($L258&gt;time_tot,0,MIN($X258,$Z258)*time_tot+ABS($Z258-$X258)*IF($Z258&gt;$X258,time_cap+time*VLOOKUP($K258,list!$J$48:$K$50,2,0),time*(1-VLOOKUP($K258,list!$J$48:$K$50,2,0))))*(1/$L258)*($M258)*($T258*methane/1000))</f>
        <v/>
      </c>
      <c r="AI258" s="3497">
        <f>SUM(AD258,AF258)</f>
        <v/>
      </c>
      <c r="AJ258" s="3497">
        <f>SUM(AE258,AG258)</f>
        <v/>
      </c>
      <c r="AK258" s="1160">
        <f>AJ258-AI258</f>
        <v/>
      </c>
      <c r="AX258" s="1449">
        <f>IF($H258&gt;time_tot,0,$X258*time*(VLOOKUP($G258,list!$J$48:$K$50,2,0)))</f>
        <v/>
      </c>
      <c r="AY258" s="1449">
        <f>IF($L258&gt;time_tot,0,$Y258*time*(VLOOKUP($K258,list!$J$48:$K$50,2,0)))</f>
        <v/>
      </c>
      <c r="AZ258" s="1449">
        <f>IF($H258&gt;time_tot,0,$Z258*time*(VLOOKUP($G258,list!$J$48:$K$50,2,0)))</f>
        <v/>
      </c>
      <c r="BA258" s="1449">
        <f>IF($L258&gt;time_tot,0,$AA258*time*(VLOOKUP($K258,list!$J$48:$K$50,2,0)))</f>
        <v/>
      </c>
      <c r="BC258" s="1451">
        <f>AF258</f>
        <v/>
      </c>
      <c r="BD258" s="1451">
        <f>AG258</f>
        <v/>
      </c>
    </row>
    <row r="259">
      <c r="A259" s="973" t="inlineStr">
        <is>
          <t>S5</t>
        </is>
      </c>
      <c r="B259" s="973">
        <f>B228</f>
        <v/>
      </c>
      <c r="C259" s="1121">
        <f>C228</f>
        <v/>
      </c>
      <c r="D259" s="973">
        <f>D228</f>
        <v/>
      </c>
      <c r="E259" s="1121">
        <f>E228</f>
        <v/>
      </c>
      <c r="F259" s="992">
        <f>F228</f>
        <v/>
      </c>
      <c r="G259" s="992">
        <f>G228</f>
        <v/>
      </c>
      <c r="H259" s="992">
        <f>H228</f>
        <v/>
      </c>
      <c r="I259" s="1580">
        <f>I228</f>
        <v/>
      </c>
      <c r="J259" s="992">
        <f>J228</f>
        <v/>
      </c>
      <c r="K259" s="992">
        <f>K228</f>
        <v/>
      </c>
      <c r="L259" s="992">
        <f>L228</f>
        <v/>
      </c>
      <c r="M259" s="1580">
        <f>M228</f>
        <v/>
      </c>
      <c r="O259" s="1111">
        <f>IFERROR(INDEX(IPCC!$A$2037:$D$2048,MATCH(clim_moist,IPCC!$A$2037:$A$2048,0),MATCH($O$252,IPCC!$A$2037:$D$2037,0)),0)</f>
        <v/>
      </c>
      <c r="P259" s="1161">
        <f>IF('6.Inland wetlands'!$DI84="",'6.Inland wetlands'!$DH84,'6.Inland wetlands'!$DI84)</f>
        <v/>
      </c>
      <c r="Q259" s="1111">
        <f>IFERROR(INDEX(IPCC!$A$2037:$D$2048,MATCH(clim_moist,IPCC!$A$2037:$A$2048,0),MATCH($Q$252,IPCC!$A$2037:$D$2037,0)),0)</f>
        <v/>
      </c>
      <c r="R259" s="1161">
        <f>IF('6.Inland wetlands'!$DK84="",'6.Inland wetlands'!$DJ84,'6.Inland wetlands'!$DK84)</f>
        <v/>
      </c>
      <c r="S259" s="1111">
        <f>IFERROR(INDEX(IPCC!$A$2037:$D$2048,MATCH(clim_moist,IPCC!$A$2037:$A$2048,0),MATCH($S$252,IPCC!$A$2037:$D$2037,0)),0)</f>
        <v/>
      </c>
      <c r="T259" s="1161">
        <f>IF('6.Inland wetlands'!$DM84="",'6.Inland wetlands'!$DL84,'6.Inland wetlands'!$DM84)</f>
        <v/>
      </c>
      <c r="U259" s="1111">
        <f>IFERROR(INDEX(IPCC!$A$2020:$D$2031,MATCH(clim_moist,IPCC!$A$2021:$A$2031,0),MATCH('6.Inland wetlands'!$CZ84,IPCC!$A$2020:$D$2020,0)),0)</f>
        <v/>
      </c>
      <c r="V259" s="1161">
        <f>IF('6.Inland wetlands'!$DO84="",'6.Inland wetlands'!$DN84,'6.Inland wetlands'!$DO84)</f>
        <v/>
      </c>
      <c r="W259" s="1276" t="n"/>
      <c r="X259" s="1151" t="n">
        <v>0</v>
      </c>
      <c r="Y259" s="1151">
        <f>IF('6.Inland wetlands'!$CZ84=list!$F$210,0,$V259*$F259)</f>
        <v/>
      </c>
      <c r="Z259" s="1151">
        <f>IF('6.Inland wetlands'!$CZ84=list!$F$210,0,$V259*$J259)</f>
        <v/>
      </c>
      <c r="AA259" s="1468" t="n"/>
      <c r="AD259" s="1151">
        <f>IF(OR('6.Inland wetlands'!$AA95=list!$E$210,'6.Inland wetlands'!$AA95=list!$E$212,'6.Inland wetlands'!$AA95=list!$E$214),0,IF($H259&gt;time_tot,0,MIN($X259,$Y259)*time_tot+ABS($Y259-$X259)*IF($Y259&gt;$X259,time_cap+time*VLOOKUP($G259,list!$J$48:$K$50,2,0),time*(1-VLOOKUP($G259,list!$J$48:$K$50,2,0))))*(1/$H259)*($I259)*($P259*44/12/1000)+IF($H259&gt;time_tot,0,MIN($X259,$Y259)*time_tot+ABS($Y259-$X259)*IF($Y259&gt;$X259,time_cap+time*VLOOKUP($G259,list!$J$48:$K$50,2,0),time*(1-VLOOKUP($G259,list!$J$48:$K$50,2,0))))*(1/$H259)*($I259)*($R259*2/1000))</f>
        <v/>
      </c>
      <c r="AE259" s="1151">
        <f>IF(OR('6.Inland wetlands'!$AA95=list!$E$210,'6.Inland wetlands'!$AA95=list!$E$211,'6.Inland wetlands'!$AA95=list!$E$214),0,IF($L259&gt;time_tot,0,MIN($X259,$Z259)*time_tot+ABS($Z259-$X259)*IF($Z259&gt;$X259,time_cap+time*VLOOKUP($K259,list!$J$48:$K$50,2,0),time*(1-VLOOKUP($K259,list!$J$48:$K$50,2,0))))*(1/$L259)*($M259)*($P259*44/12/1000)+IF($L259&gt;time_tot,0,MIN($X259,$Z259)*time_tot+ABS($Z259-$X259)*IF($Z259&gt;$X259,time_cap+time*VLOOKUP($K259,list!$J$48:$K$50,2,0),time*(1-VLOOKUP($K259,list!$J$48:$K$50,2,0))))*(1/$L259)*($M259)*($R259*2/1000))</f>
        <v/>
      </c>
      <c r="AF259" s="1151">
        <f>IF(OR('6.Inland wetlands'!$AA95=list!$E$210,'6.Inland wetlands'!$AA95=list!$E$212,'6.Inland wetlands'!$AA95=list!$E$214),0,IF($H259&gt;time_tot,0,MIN($X259,$Y259)*time_tot+ABS($Y259-$X259)*IF($Y259&gt;$X259,time_cap+time*VLOOKUP($G259,list!$J$48:$K$50,2,0),time*(1-VLOOKUP($G259,list!$J$48:$K$50,2,0))))*(1/$H259)*($I259)*($T259*methane/1000))</f>
        <v/>
      </c>
      <c r="AG259" s="1151">
        <f>IF(OR('6.Inland wetlands'!$AA95=list!$E$210,'6.Inland wetlands'!$AA95=list!$E$211,'6.Inland wetlands'!$AA95=list!$E$214),0,IF($L259&gt;time_tot,0,MIN($X259,$Z259)*time_tot+ABS($Z259-$X259)*IF($Z259&gt;$X259,time_cap+time*VLOOKUP($K259,list!$J$48:$K$50,2,0),time*(1-VLOOKUP($K259,list!$J$48:$K$50,2,0))))*(1/$L259)*($M259)*($T259*methane/1000))</f>
        <v/>
      </c>
      <c r="AI259" s="3497">
        <f>SUM(AD259,AF259)</f>
        <v/>
      </c>
      <c r="AJ259" s="3497">
        <f>SUM(AE259,AG259)</f>
        <v/>
      </c>
      <c r="AK259" s="1160">
        <f>AJ259-AI259</f>
        <v/>
      </c>
      <c r="AX259" s="1449">
        <f>IF($H259&gt;time_tot,0,$X259*time*(VLOOKUP($G259,list!$J$48:$K$50,2,0)))</f>
        <v/>
      </c>
      <c r="AY259" s="1449">
        <f>IF($L259&gt;time_tot,0,$Y259*time*(VLOOKUP($K259,list!$J$48:$K$50,2,0)))</f>
        <v/>
      </c>
      <c r="AZ259" s="1449">
        <f>IF($H259&gt;time_tot,0,$Z259*time*(VLOOKUP($G259,list!$J$48:$K$50,2,0)))</f>
        <v/>
      </c>
      <c r="BA259" s="1449">
        <f>IF($L259&gt;time_tot,0,$AA259*time*(VLOOKUP($K259,list!$J$48:$K$50,2,0)))</f>
        <v/>
      </c>
      <c r="BC259" s="1451">
        <f>AF259</f>
        <v/>
      </c>
      <c r="BD259" s="1451">
        <f>AG259</f>
        <v/>
      </c>
    </row>
    <row r="260">
      <c r="A260" s="973" t="inlineStr">
        <is>
          <t>S6</t>
        </is>
      </c>
      <c r="B260" s="973">
        <f>B229</f>
        <v/>
      </c>
      <c r="C260" s="1121">
        <f>C229</f>
        <v/>
      </c>
      <c r="D260" s="973">
        <f>D229</f>
        <v/>
      </c>
      <c r="E260" s="1121">
        <f>E229</f>
        <v/>
      </c>
      <c r="F260" s="992">
        <f>F229</f>
        <v/>
      </c>
      <c r="G260" s="992">
        <f>G229</f>
        <v/>
      </c>
      <c r="H260" s="992">
        <f>H229</f>
        <v/>
      </c>
      <c r="I260" s="1580">
        <f>I229</f>
        <v/>
      </c>
      <c r="J260" s="992">
        <f>J229</f>
        <v/>
      </c>
      <c r="K260" s="992">
        <f>K229</f>
        <v/>
      </c>
      <c r="L260" s="992">
        <f>L229</f>
        <v/>
      </c>
      <c r="M260" s="1580">
        <f>M229</f>
        <v/>
      </c>
      <c r="O260" s="1111">
        <f>IFERROR(INDEX(IPCC!$A$2037:$D$2048,MATCH(clim_moist,IPCC!$A$2037:$A$2048,0),MATCH($O$252,IPCC!$A$2037:$D$2037,0)),0)</f>
        <v/>
      </c>
      <c r="P260" s="1161">
        <f>IF('6.Inland wetlands'!$DI85="",'6.Inland wetlands'!$DH85,'6.Inland wetlands'!$DI85)</f>
        <v/>
      </c>
      <c r="Q260" s="1111">
        <f>IFERROR(INDEX(IPCC!$A$2037:$D$2048,MATCH(clim_moist,IPCC!$A$2037:$A$2048,0),MATCH($Q$252,IPCC!$A$2037:$D$2037,0)),0)</f>
        <v/>
      </c>
      <c r="R260" s="1161">
        <f>IF('6.Inland wetlands'!$DK85="",'6.Inland wetlands'!$DJ85,'6.Inland wetlands'!$DK85)</f>
        <v/>
      </c>
      <c r="S260" s="1111">
        <f>IFERROR(INDEX(IPCC!$A$2037:$D$2048,MATCH(clim_moist,IPCC!$A$2037:$A$2048,0),MATCH($S$252,IPCC!$A$2037:$D$2037,0)),0)</f>
        <v/>
      </c>
      <c r="T260" s="1161">
        <f>IF('6.Inland wetlands'!$DM85="",'6.Inland wetlands'!$DL85,'6.Inland wetlands'!$DM85)</f>
        <v/>
      </c>
      <c r="U260" s="1111">
        <f>IFERROR(INDEX(IPCC!$A$2020:$D$2031,MATCH(clim_moist,IPCC!$A$2021:$A$2031,0),MATCH('6.Inland wetlands'!$CZ85,IPCC!$A$2020:$D$2020,0)),0)</f>
        <v/>
      </c>
      <c r="V260" s="1161">
        <f>IF('6.Inland wetlands'!$DO85="",'6.Inland wetlands'!$DN85,'6.Inland wetlands'!$DO85)</f>
        <v/>
      </c>
      <c r="W260" s="1276" t="n"/>
      <c r="X260" s="1151" t="n">
        <v>0</v>
      </c>
      <c r="Y260" s="1151">
        <f>IF('6.Inland wetlands'!$CZ85=list!$F$210,0,$V260*$F260)</f>
        <v/>
      </c>
      <c r="Z260" s="1151">
        <f>IF('6.Inland wetlands'!$CZ85=list!$F$210,0,$V260*$J260)</f>
        <v/>
      </c>
      <c r="AA260" s="1468" t="n"/>
      <c r="AD260" s="1151">
        <f>IF(OR('6.Inland wetlands'!$AA96=list!$E$210,'6.Inland wetlands'!$AA96=list!$E$212,'6.Inland wetlands'!$AA96=list!$E$214),0,IF($H260&gt;time_tot,0,MIN($X260,$Y260)*time_tot+ABS($Y260-$X260)*IF($Y260&gt;$X260,time_cap+time*VLOOKUP($G260,list!$J$48:$K$50,2,0),time*(1-VLOOKUP($G260,list!$J$48:$K$50,2,0))))*(1/$H260)*($I260)*($P260*44/12/1000)+IF($H260&gt;time_tot,0,MIN($X260,$Y260)*time_tot+ABS($Y260-$X260)*IF($Y260&gt;$X260,time_cap+time*VLOOKUP($G260,list!$J$48:$K$50,2,0),time*(1-VLOOKUP($G260,list!$J$48:$K$50,2,0))))*(1/$H260)*($I260)*($R260*2/1000))</f>
        <v/>
      </c>
      <c r="AE260" s="1151">
        <f>IF(OR('6.Inland wetlands'!$AA96=list!$E$210,'6.Inland wetlands'!$AA96=list!$E$211,'6.Inland wetlands'!$AA96=list!$E$214),0,IF($L260&gt;time_tot,0,MIN($X260,$Z260)*time_tot+ABS($Z260-$X260)*IF($Z260&gt;$X260,time_cap+time*VLOOKUP($K260,list!$J$48:$K$50,2,0),time*(1-VLOOKUP($K260,list!$J$48:$K$50,2,0))))*(1/$L260)*($M260)*($P260*44/12/1000)+IF($L260&gt;time_tot,0,MIN($X260,$Z260)*time_tot+ABS($Z260-$X260)*IF($Z260&gt;$X260,time_cap+time*VLOOKUP($K260,list!$J$48:$K$50,2,0),time*(1-VLOOKUP($K260,list!$J$48:$K$50,2,0))))*(1/$L260)*($M260)*($R260*2/1000))</f>
        <v/>
      </c>
      <c r="AF260" s="1151">
        <f>IF(OR('6.Inland wetlands'!$AA96=list!$E$210,'6.Inland wetlands'!$AA96=list!$E$212,'6.Inland wetlands'!$AA96=list!$E$214),0,IF($H260&gt;time_tot,0,MIN($X260,$Y260)*time_tot+ABS($Y260-$X260)*IF($Y260&gt;$X260,time_cap+time*VLOOKUP($G260,list!$J$48:$K$50,2,0),time*(1-VLOOKUP($G260,list!$J$48:$K$50,2,0))))*(1/$H260)*($I260)*($T260*methane/1000))</f>
        <v/>
      </c>
      <c r="AG260" s="1151">
        <f>IF(OR('6.Inland wetlands'!$AA96=list!$E$210,'6.Inland wetlands'!$AA96=list!$E$211,'6.Inland wetlands'!$AA96=list!$E$214),0,IF($L260&gt;time_tot,0,MIN($X260,$Z260)*time_tot+ABS($Z260-$X260)*IF($Z260&gt;$X260,time_cap+time*VLOOKUP($K260,list!$J$48:$K$50,2,0),time*(1-VLOOKUP($K260,list!$J$48:$K$50,2,0))))*(1/$L260)*($M260)*($T260*methane/1000))</f>
        <v/>
      </c>
      <c r="AI260" s="3497">
        <f>SUM(AD260,AF260)</f>
        <v/>
      </c>
      <c r="AJ260" s="3497">
        <f>SUM(AE260,AG260)</f>
        <v/>
      </c>
      <c r="AK260" s="1160">
        <f>AJ260-AI260</f>
        <v/>
      </c>
      <c r="AX260" s="1449">
        <f>IF($H260&gt;time_tot,0,$X260*time*(VLOOKUP($G260,list!$J$48:$K$50,2,0)))</f>
        <v/>
      </c>
      <c r="AY260" s="1449">
        <f>IF($L260&gt;time_tot,0,$Y260*time*(VLOOKUP($K260,list!$J$48:$K$50,2,0)))</f>
        <v/>
      </c>
      <c r="AZ260" s="1449">
        <f>IF($H260&gt;time_tot,0,$Z260*time*(VLOOKUP($G260,list!$J$48:$K$50,2,0)))</f>
        <v/>
      </c>
      <c r="BA260" s="1449">
        <f>IF($L260&gt;time_tot,0,$AA260*time*(VLOOKUP($K260,list!$J$48:$K$50,2,0)))</f>
        <v/>
      </c>
      <c r="BC260" s="1451">
        <f>AF260</f>
        <v/>
      </c>
      <c r="BD260" s="1451">
        <f>AG260</f>
        <v/>
      </c>
    </row>
    <row r="261">
      <c r="AX261" s="1449" t="n"/>
      <c r="AY261" s="1449" t="n"/>
      <c r="AZ261" s="1449" t="n"/>
      <c r="BA261" s="1449" t="n"/>
    </row>
    <row r="262">
      <c r="AX262" s="1449">
        <f>SUM(AX255:AX260)</f>
        <v/>
      </c>
      <c r="AY262" s="1449">
        <f>SUM(AY255:AY260)</f>
        <v/>
      </c>
      <c r="AZ262" s="1449">
        <f>SUM(AZ255:AZ260)</f>
        <v/>
      </c>
      <c r="BA262" s="1449">
        <f>SUM(BA255:BA260)</f>
        <v/>
      </c>
      <c r="BD262" s="1449" t="n"/>
      <c r="BF262" s="1449" t="n"/>
    </row>
    <row r="263">
      <c r="AX263" s="1271" t="n"/>
      <c r="AY263" s="1271" t="n"/>
      <c r="AZ263" s="1271" t="n"/>
      <c r="BA263" s="1271" t="n"/>
      <c r="BB263" s="1271" t="n"/>
      <c r="BD263" s="1463" t="n"/>
      <c r="BF263" s="1271" t="n"/>
    </row>
    <row r="265" ht="16" customHeight="1">
      <c r="A265" s="1264" t="inlineStr">
        <is>
          <t>INITIAL</t>
        </is>
      </c>
      <c r="B265" s="1271" t="inlineStr">
        <is>
          <t>Drainage On-site emission factors</t>
        </is>
      </c>
      <c r="C265" s="1271" t="n"/>
      <c r="D265" s="1271" t="n"/>
      <c r="E265" s="1271" t="n"/>
      <c r="F265" s="1271" t="n"/>
      <c r="G265" s="1271" t="n"/>
      <c r="H265" s="1273" t="inlineStr">
        <is>
          <t>Drainage Off-site emission factors</t>
        </is>
      </c>
      <c r="I265" s="1273" t="n"/>
      <c r="J265" s="1273" t="n"/>
      <c r="K265" s="1273" t="n"/>
      <c r="L265" s="1271" t="inlineStr">
        <is>
          <t>Emissions from drainage in tCO2-e/yr</t>
        </is>
      </c>
      <c r="M265" s="1264" t="n"/>
      <c r="N265" s="1264" t="n"/>
      <c r="O265" s="1264" t="n"/>
      <c r="P265" s="1264" t="n"/>
      <c r="Q265" s="1264" t="n"/>
      <c r="R265" s="1264" t="n"/>
      <c r="S265" s="1264" t="n"/>
      <c r="T265" s="1264" t="n"/>
      <c r="U265" s="1273" t="n"/>
      <c r="V265" s="1273" t="n"/>
      <c r="W265" s="1273" t="n"/>
      <c r="X265" s="1261" t="n"/>
      <c r="Y265" s="1261" t="n"/>
      <c r="Z265" s="1261" t="n"/>
      <c r="AB265" s="1271" t="inlineStr">
        <is>
          <t>DRAINAGE EMISSIONS</t>
        </is>
      </c>
      <c r="AC265" s="1264" t="n"/>
      <c r="AD265" s="1264" t="n"/>
      <c r="AE265" s="1264" t="n"/>
      <c r="AF265" s="1264" t="n"/>
      <c r="AG265" s="1264" t="n"/>
      <c r="AX265" s="1287" t="inlineStr">
        <is>
          <t>ON SITE DRAINAGE</t>
        </is>
      </c>
      <c r="AY265" s="1501" t="n"/>
      <c r="AZ265" s="1501" t="n"/>
      <c r="BA265" s="1501" t="n"/>
      <c r="BB265" s="1501" t="n"/>
      <c r="BC265" s="1501" t="n"/>
      <c r="BD265" s="1287" t="inlineStr">
        <is>
          <t>OFF SITE DRAINAGE</t>
        </is>
      </c>
      <c r="BE265" s="1501" t="n"/>
      <c r="BF265" s="1501" t="n"/>
    </row>
    <row r="266" ht="17" customHeight="1">
      <c r="A266" s="1264" t="n"/>
      <c r="B266" s="1271" t="inlineStr">
        <is>
          <t>CO2</t>
        </is>
      </c>
      <c r="C266" s="1264" t="n"/>
      <c r="D266" s="1271" t="inlineStr">
        <is>
          <t>CH4</t>
        </is>
      </c>
      <c r="E266" s="1264" t="n"/>
      <c r="F266" s="1271" t="inlineStr">
        <is>
          <t>N2O</t>
        </is>
      </c>
      <c r="G266" s="1264" t="n"/>
      <c r="H266" s="1273" t="inlineStr">
        <is>
          <t>DOC</t>
        </is>
      </c>
      <c r="I266" s="1261" t="n"/>
      <c r="J266" s="1273" t="inlineStr">
        <is>
          <t>CH4</t>
        </is>
      </c>
      <c r="K266" s="1261" t="n"/>
      <c r="L266" s="1264" t="inlineStr">
        <is>
          <t>Emissions from drainage</t>
        </is>
      </c>
      <c r="M266" s="1264" t="n"/>
      <c r="N266" s="1264" t="n"/>
      <c r="O266" s="1264" t="n"/>
      <c r="P266" s="1264" t="n"/>
      <c r="Q266" s="1264" t="n"/>
      <c r="R266" s="1264" t="n"/>
      <c r="S266" s="1264" t="n"/>
      <c r="T266" s="1264" t="n"/>
      <c r="U266" s="1273" t="n"/>
      <c r="V266" s="1273" t="n"/>
      <c r="W266" s="1273" t="n"/>
      <c r="X266" s="1261" t="n"/>
      <c r="Y266" s="1261" t="n"/>
      <c r="Z266" s="1279" t="n"/>
      <c r="AB266" s="1271" t="inlineStr">
        <is>
          <t>Emissions in tCO2eq All period</t>
        </is>
      </c>
      <c r="AC266" s="1264" t="n"/>
      <c r="AD266" s="1264" t="n"/>
      <c r="AE266" s="1264" t="n"/>
      <c r="AF266" s="1264" t="n"/>
      <c r="AG266" s="1264" t="n"/>
      <c r="AX266" s="1502" t="inlineStr">
        <is>
          <t>CO2</t>
        </is>
      </c>
      <c r="AY266" s="1502" t="n"/>
      <c r="AZ266" s="1502" t="inlineStr">
        <is>
          <t>CH4</t>
        </is>
      </c>
      <c r="BA266" s="1502" t="n"/>
      <c r="BB266" s="1502" t="inlineStr">
        <is>
          <t>N2O</t>
        </is>
      </c>
      <c r="BC266" s="1502" t="n"/>
      <c r="BD266" s="1502" t="inlineStr">
        <is>
          <t>DOC</t>
        </is>
      </c>
      <c r="BE266" s="1502" t="n"/>
      <c r="BF266" s="1502" t="inlineStr">
        <is>
          <t>CH4</t>
        </is>
      </c>
      <c r="BG266" s="1450" t="n"/>
    </row>
    <row r="267">
      <c r="A267" s="1264" t="n"/>
      <c r="B267" s="1264" t="inlineStr">
        <is>
          <t>tC/ha/yr</t>
        </is>
      </c>
      <c r="C267" s="1264" t="n"/>
      <c r="D267" s="1264" t="inlineStr">
        <is>
          <t>kgCH4/ha/yr</t>
        </is>
      </c>
      <c r="E267" s="1264" t="n"/>
      <c r="F267" s="1264" t="inlineStr">
        <is>
          <t>kgN2O-N/ha/yr</t>
        </is>
      </c>
      <c r="G267" s="1264" t="n"/>
      <c r="H267" s="1261" t="inlineStr">
        <is>
          <t>tC/ha/yr</t>
        </is>
      </c>
      <c r="I267" s="1261" t="n"/>
      <c r="J267" s="1261" t="inlineStr">
        <is>
          <t>kgCH4/ha/yr</t>
        </is>
      </c>
      <c r="K267" s="1261" t="n"/>
      <c r="L267" s="1271" t="inlineStr">
        <is>
          <t>CO2</t>
        </is>
      </c>
      <c r="M267" s="1264" t="n"/>
      <c r="N267" s="1271" t="n"/>
      <c r="O267" s="1271" t="inlineStr">
        <is>
          <t>CH4</t>
        </is>
      </c>
      <c r="P267" s="1264" t="n"/>
      <c r="Q267" s="1271" t="n"/>
      <c r="R267" s="1271" t="inlineStr">
        <is>
          <t>N2O</t>
        </is>
      </c>
      <c r="S267" s="1264" t="n"/>
      <c r="T267" s="1271" t="n"/>
      <c r="U267" s="1273" t="inlineStr">
        <is>
          <t>DOC</t>
        </is>
      </c>
      <c r="V267" s="1273" t="n"/>
      <c r="W267" s="1273" t="n"/>
      <c r="X267" s="1273" t="inlineStr">
        <is>
          <t>CH4</t>
        </is>
      </c>
      <c r="Y267" s="1261" t="n"/>
      <c r="Z267" s="1273" t="n"/>
      <c r="AB267" s="1264" t="inlineStr">
        <is>
          <t>CO2&amp;DOC</t>
        </is>
      </c>
      <c r="AC267" s="1264" t="n"/>
      <c r="AD267" s="1264" t="inlineStr">
        <is>
          <t>CH4</t>
        </is>
      </c>
      <c r="AE267" s="1264" t="n"/>
      <c r="AF267" s="1264" t="inlineStr">
        <is>
          <t>N2O</t>
        </is>
      </c>
      <c r="AG267" s="1264" t="n"/>
      <c r="AX267" s="1264" t="inlineStr">
        <is>
          <t>IMPLEMENTATION PHASE</t>
        </is>
      </c>
      <c r="AZ267" s="1264" t="inlineStr">
        <is>
          <t>IMPLEMENTATION PHASE</t>
        </is>
      </c>
      <c r="BB267" s="1264" t="inlineStr">
        <is>
          <t>IMPLEMENTATION PHASE</t>
        </is>
      </c>
      <c r="BD267" s="1264" t="inlineStr">
        <is>
          <t>IMPLEMENTATION PHASE</t>
        </is>
      </c>
      <c r="BF267" s="1264" t="inlineStr">
        <is>
          <t>IMPLEMENTATION PHASE</t>
        </is>
      </c>
    </row>
    <row r="268">
      <c r="A268" s="1264" t="n"/>
      <c r="B268" s="1272" t="inlineStr">
        <is>
          <t>IPCC</t>
        </is>
      </c>
      <c r="C268" s="1272" t="inlineStr">
        <is>
          <t>Tier 2</t>
        </is>
      </c>
      <c r="D268" s="1272" t="inlineStr">
        <is>
          <t>IPCC</t>
        </is>
      </c>
      <c r="E268" s="1272" t="inlineStr">
        <is>
          <t>Tier 2</t>
        </is>
      </c>
      <c r="F268" s="1272" t="inlineStr">
        <is>
          <t>IPCC</t>
        </is>
      </c>
      <c r="G268" s="1272" t="inlineStr">
        <is>
          <t>Tier 2</t>
        </is>
      </c>
      <c r="H268" s="1274" t="inlineStr">
        <is>
          <t>IPCC</t>
        </is>
      </c>
      <c r="I268" s="1274" t="inlineStr">
        <is>
          <t>Tier 2</t>
        </is>
      </c>
      <c r="J268" s="1274" t="inlineStr">
        <is>
          <t>IPCC</t>
        </is>
      </c>
      <c r="K268" s="1274" t="inlineStr">
        <is>
          <t>Tier 2</t>
        </is>
      </c>
      <c r="L268" s="973" t="inlineStr">
        <is>
          <t>Start</t>
        </is>
      </c>
      <c r="M268" s="1102" t="inlineStr">
        <is>
          <t>Without</t>
        </is>
      </c>
      <c r="N268" s="1103" t="inlineStr">
        <is>
          <t>With</t>
        </is>
      </c>
      <c r="O268" s="973" t="inlineStr">
        <is>
          <t>Start</t>
        </is>
      </c>
      <c r="P268" s="1102" t="inlineStr">
        <is>
          <t>Without</t>
        </is>
      </c>
      <c r="Q268" s="1103" t="inlineStr">
        <is>
          <t>With</t>
        </is>
      </c>
      <c r="R268" s="973" t="inlineStr">
        <is>
          <t>Start</t>
        </is>
      </c>
      <c r="S268" s="1102" t="inlineStr">
        <is>
          <t>Without</t>
        </is>
      </c>
      <c r="T268" s="1103" t="inlineStr">
        <is>
          <t>With</t>
        </is>
      </c>
      <c r="U268" s="973" t="inlineStr">
        <is>
          <t>Start</t>
        </is>
      </c>
      <c r="V268" s="1102" t="inlineStr">
        <is>
          <t>Without</t>
        </is>
      </c>
      <c r="W268" s="1103" t="inlineStr">
        <is>
          <t>With</t>
        </is>
      </c>
      <c r="X268" s="973" t="inlineStr">
        <is>
          <t>Start</t>
        </is>
      </c>
      <c r="Y268" s="1102" t="inlineStr">
        <is>
          <t>Without</t>
        </is>
      </c>
      <c r="Z268" s="1103" t="inlineStr">
        <is>
          <t>With</t>
        </is>
      </c>
      <c r="AB268" s="1102" t="inlineStr">
        <is>
          <t>Without</t>
        </is>
      </c>
      <c r="AC268" s="1103" t="inlineStr">
        <is>
          <t>With</t>
        </is>
      </c>
      <c r="AD268" s="1102" t="inlineStr">
        <is>
          <t>Without</t>
        </is>
      </c>
      <c r="AE268" s="1103" t="inlineStr">
        <is>
          <t>With</t>
        </is>
      </c>
      <c r="AF268" s="1102" t="inlineStr">
        <is>
          <t>Without</t>
        </is>
      </c>
      <c r="AG268" s="1103" t="inlineStr">
        <is>
          <t>With</t>
        </is>
      </c>
      <c r="AX268" s="1272" t="inlineStr">
        <is>
          <t>WITHOUT</t>
        </is>
      </c>
      <c r="AY268" s="1272" t="inlineStr">
        <is>
          <t>WITH</t>
        </is>
      </c>
      <c r="AZ268" s="1272" t="inlineStr">
        <is>
          <t>WITHOUT</t>
        </is>
      </c>
      <c r="BA268" s="1272" t="inlineStr">
        <is>
          <t>WITH</t>
        </is>
      </c>
      <c r="BB268" s="1272" t="inlineStr">
        <is>
          <t>WITHOUT</t>
        </is>
      </c>
      <c r="BC268" s="1272" t="inlineStr">
        <is>
          <t>WITH</t>
        </is>
      </c>
      <c r="BD268" s="1272" t="inlineStr">
        <is>
          <t>WITHOUT</t>
        </is>
      </c>
      <c r="BE268" s="1272" t="inlineStr">
        <is>
          <t>WITH</t>
        </is>
      </c>
      <c r="BF268" s="1272" t="inlineStr">
        <is>
          <t>WITHOUT</t>
        </is>
      </c>
      <c r="BG268" s="1272" t="inlineStr">
        <is>
          <t>WITH</t>
        </is>
      </c>
    </row>
    <row r="269">
      <c r="A269" s="1264" t="inlineStr">
        <is>
          <t>S1</t>
        </is>
      </c>
      <c r="B269" s="4718">
        <f>IFERROR(IF(AND(OR($C255="Other land",$C255="Degraded land"),$D$249=list!$J$210),INDEX(IPCC!$A$1762:$J$1773,MATCH(clim_moist,IPCC!$A$1762:$A$1773,0),MATCH($C255,IPCC!$A$1762:$J$1762,0)),IF(AND(OR($C255="Other land",$C255="Degraded land"),$D$249=list!$J$211),INDEX(IPCC!$A$1781:$J$1792,MATCH(clim_moist,IPCC!$A$1781:$A$1792,0),MATCH($C255,IPCC!$A$1781:$J$1781,0)),IF($D$249=list!$J$210,INDEX(IPCC!$A$1762:$J$1773,MATCH(clim_moist,IPCC!$A$1781:$A$1792,0),MATCH($C255,IPCC!$A$1781:$J$1781,0)),IF($D$249=list!$J$211,INDEX(IPCC!$A$1781:$J$1792,MATCH(clim_moist,IPCC!$A$1781:$A$1792,0),MATCH($C255,IPCC!$A$1781:$J$1781,0)))))),0)</f>
        <v/>
      </c>
      <c r="C269" s="4642">
        <f>IF('6.Inland wetlands'!$CG80="",'6.Inland wetlands'!$CF80,'6.Inland wetlands'!$CG80)</f>
        <v/>
      </c>
      <c r="D269" s="4718">
        <f>IFERROR(IF(AND(OR($C255="Other land",$C255="Degraded land"),$D$249=list!$J$210),INDEX(IPCC!$A$1818:$J$1829,MATCH(clim_moist,IPCC!$A$1818:$A$1829,0),MATCH($C255,IPCC!$A$1818:$J$1818,0)),IF(AND(OR($C255="Other land",$C255="Degraded land"),$D$249=list!$J$211),INDEX(IPCC!$A$1836:$J$1847,MATCH(clim_moist,IPCC!$A$1836:$A$1847,0),MATCH($C255,IPCC!$A$1836:$J$1836,0)),IF($D$249=list!$J$210,INDEX(IPCC!$A$1818:$J$1829,MATCH(clim_moist,IPCC!$A$1818:$A$1829,0),MATCH($C255,IPCC!$A$1818:$J$1818,0)),IF($D$249=list!$J$211,INDEX(IPCC!$A$1836:$J$1847,MATCH(clim_moist,IPCC!$A$1836:$A$1847,0),MATCH($C255,IPCC!$A$1836:$J$1836,0)))))),0)</f>
        <v/>
      </c>
      <c r="E269" s="4642">
        <f>IF('6.Inland wetlands'!$CI80="",'6.Inland wetlands'!$CH80,'6.Inland wetlands'!$CI80)</f>
        <v/>
      </c>
      <c r="F269" s="4718">
        <f>IFERROR(IF(AND(OR($C255="Other land",$C255="Degraded land"),$D$249=list!$J$210),INDEX(IPCC!$A$1872:$J$1883,MATCH(clim_moist,IPCC!$A$1872:$A$1883,0),MATCH($C255,IPCC!$A$1872:$J$1872,0)),IF(AND(OR($C255="Other land",$C255="Degraded land"),$D$249=list!$J$211),INDEX(IPCC!$A$1890:$J$1901,MATCH(clim_moist,IPCC!$A$1890:$A$1901,0),MATCH($C255,IPCC!$A$1890:$J$1890,0)),IF($D$249=list!$J$210,INDEX(IPCC!$A$1872:$J$1883,MATCH(clim_moist,IPCC!$A$1872:$A$1883,0),MATCH($C255,IPCC!$A$1872:$J$1872,0)),IF($D$249=list!$J$211,INDEX(IPCC!$A$1890:$J$1901,MATCH(clim_moist,IPCC!$A$1890:$A$1901,0),MATCH($C255,IPCC!$A$1890:$J$1890,0)))))),0)</f>
        <v/>
      </c>
      <c r="G269" s="4642">
        <f>IF('6.Inland wetlands'!$CK80="",'6.Inland wetlands'!$CJ80,'6.Inland wetlands'!$CK80)</f>
        <v/>
      </c>
      <c r="H269" s="4718">
        <f>IFERROR(IF(AND(OR($C255="Other land",$C255="Degraded land"),$D$249=list!$J$210),INDEX(IPCC!$A$1800:$J$1811,MATCH(clim_moist,IPCC!$A$1800:$A$1811,0),MATCH($C255,IPCC!$A$1800:$J$1800,0)),IF(AND(OR($C255="Other land",$C255="Degraded land"),$D$249=list!$J$211),INDEX(IPCC!$A$1800:$J$1811,MATCH(clim_moist,IPCC!$A$1800:$A$1811,0),MATCH('Inl. wetlands'!$C255,IPCC!$A$1800:$J$1800,0)),IF($D$249=list!$J$210,INDEX(IPCC!$A$1800:$J$1811,MATCH(clim_moist,IPCC!$A$1800:$A$1811,0),MATCH($C255,IPCC!$A$1800:$J$1800,0)),IF($D$249=list!$J$211,INDEX(IPCC!$A$1800:$J$1811,MATCH(clim_moist,IPCC!$A$1800:$A$1811,0),MATCH($C255,IPCC!$A$1800:$J$1800,0)))))),0)</f>
        <v/>
      </c>
      <c r="I269" s="1162">
        <f>IF('6.Inland wetlands'!$CN80="",'6.Inland wetlands'!$CM80,'6.Inland wetlands'!$CN80)</f>
        <v/>
      </c>
      <c r="J269" s="1111">
        <f>IFERROR(IF(AND(OR($C255="Other land",$C255="Degraded land"),$D$249=list!$J$210),INDEX(IPCC!$A$1854:$J$1865,MATCH(clim_moist,IPCC!$A$1854:$A$1865,0),MATCH('Inl. wetlands'!$C255,IPCC!$A$1854:$J$1854,0)),IF(AND(OR($C255="Other land",$C255="Degraded land"),$D$249=list!$J$211),INDEX(IPCC!$A$1854:$J$1865,MATCH(clim_moist,IPCC!$A$1854:A$1865,0),MATCH('Inl. wetlands'!$C255,IPCC!$A$1854:$J$1854,0)),IF($D$249=list!$J$210,INDEX(IPCC!$A$1854:$J$1865,MATCH(clim_moist,IPCC!$A$1854:$A$1865,0),MATCH('Inl. wetlands'!$C255,IPCC!$A$1854:$J$1854,0)),IF($D$249=list!$J$211,INDEX(IPCC!$A$1854:$J$1865,MATCH(clim_moist,IPCC!$A$1854:$A$1865,0),MATCH('Inl. wetlands'!$C255,IPCC!$A$1854:$J$1854,0)))))),0)</f>
        <v/>
      </c>
      <c r="K269" s="1161">
        <f>IF('6.Inland wetlands'!$CP80="",'6.Inland wetlands'!$CO80,'6.Inland wetlands'!$CP80)</f>
        <v/>
      </c>
      <c r="L269" s="1543">
        <f>IF('6.Inland wetlands'!M91=0, 0,'Inl. wetlands'!C269*44/12*'6.Inland wetlands'!M91)</f>
        <v/>
      </c>
      <c r="M269" s="1543">
        <f>IF('6.Inland wetlands'!N80=0, 'Inl. wetlands'!C269*44/12*'6.Inland wetlands'!N91, IF('6.Inland wetlands'!N91&lt;'6.Inland wetlands'!N80,0, 'Inl. wetlands'!C269*44/12*('6.Inland wetlands'!N91-'6.Inland wetlands'!N80)))</f>
        <v/>
      </c>
      <c r="N269" s="4360">
        <f>IF('6.Inland wetlands'!P80=0, 'Inl. wetlands'!C269*44/12*'6.Inland wetlands'!P91, IF('6.Inland wetlands'!P91&lt;'6.Inland wetlands'!P80,0, 'Inl. wetlands'!C269*44/12*('6.Inland wetlands'!P91-'6.Inland wetlands'!P80)))</f>
        <v/>
      </c>
      <c r="O269" s="4360">
        <f>IF('6.Inland wetlands'!M91=0, 0,'Inl. wetlands'!$E269*methane/1000*'6.Inland wetlands'!M91*(1-'6.Inland wetlands'!W91))</f>
        <v/>
      </c>
      <c r="P269" s="4360">
        <f>IF('6.Inland wetlands'!N80=0,'Inl. wetlands'!$E269*methane/1000*'6.Inland wetlands'!N91*(1-'6.Inland wetlands'!X91),IF('6.Inland wetlands'!N91&lt;'6.Inland wetlands'!N80,0, 'Inl. wetlands'!$E269*methane/1000*('6.Inland wetlands'!N91-'6.Inland wetlands'!N80)*(1-'6.Inland wetlands'!X91)))</f>
        <v/>
      </c>
      <c r="Q269" s="4360">
        <f>IF('6.Inland wetlands'!P80=0,'Inl. wetlands'!$E269*methane/1000*'6.Inland wetlands'!P91*(1-'6.Inland wetlands'!Y91),IF('6.Inland wetlands'!P91&lt;'6.Inland wetlands'!P80,0, 'Inl. wetlands'!$E269*methane/1000*('6.Inland wetlands'!P91-'6.Inland wetlands'!P80)*(1-'6.Inland wetlands'!Y91)))</f>
        <v/>
      </c>
      <c r="R269" s="4360">
        <f>IF('6.Inland wetlands'!M91=0, 0, 'Inl. wetlands'!$G269*'6.Inland wetlands'!M91*44/28*Nitrous/1000)</f>
        <v/>
      </c>
      <c r="S269" s="4360">
        <f>IF('6.Inland wetlands'!N80=0, 'Inl. wetlands'!$G269*'6.Inland wetlands'!N91*44/28*Nitrous/1000, IF('6.Inland wetlands'!N91&lt;'6.Inland wetlands'!N80,0, 'Inl. wetlands'!$G269*('6.Inland wetlands'!N91-'6.Inland wetlands'!N80)*44/28*Nitrous/1000))</f>
        <v/>
      </c>
      <c r="T269" s="4360">
        <f>IF('6.Inland wetlands'!P80=0, 'Inl. wetlands'!$G269*'6.Inland wetlands'!P91*44/28*Nitrous/1000, IF('6.Inland wetlands'!P91&lt;'6.Inland wetlands'!P80,0,'Inl. wetlands'!$G269*44/28*Nitrous/1000*('6.Inland wetlands'!P91-'6.Inland wetlands'!P80)))</f>
        <v/>
      </c>
      <c r="U269" s="4360">
        <f>IF('6.Inland wetlands'!M91=0, 0, 'Inl. wetlands'!$I269*'6.Inland wetlands'!M91*44/12)</f>
        <v/>
      </c>
      <c r="V269" s="4360">
        <f>IF('6.Inland wetlands'!N80=0, 'Inl. wetlands'!I269*44/12*'6.Inland wetlands'!N91, IF('6.Inland wetlands'!N91&lt;'6.Inland wetlands'!N80,0, 'Inl. wetlands'!I269*44/12*('6.Inland wetlands'!N91-'6.Inland wetlands'!N80)))</f>
        <v/>
      </c>
      <c r="W269" s="4360">
        <f>IF('6.Inland wetlands'!P80=0, 'Inl. wetlands'!I269*44/12*'6.Inland wetlands'!P91, IF('6.Inland wetlands'!P91&lt;'6.Inland wetlands'!P80,0, 'Inl. wetlands'!I269*44/12*('6.Inland wetlands'!P91-'6.Inland wetlands'!P80)))</f>
        <v/>
      </c>
      <c r="X269" s="4360">
        <f>IF('6.Inland wetlands'!M91=0,0, 'Inl. wetlands'!$K269/1000*methane*'6.Inland wetlands'!M91*'6.Inland wetlands'!$W91)</f>
        <v/>
      </c>
      <c r="Y269" s="4360">
        <f>IF('6.Inland wetlands'!N80=0,'Inl. wetlands'!$K269*methane/1000*'6.Inland wetlands'!N91*('6.Inland wetlands'!X91),IF('6.Inland wetlands'!N91&lt;'6.Inland wetlands'!N80,0, 'Inl. wetlands'!$K269*methane/1000*('6.Inland wetlands'!N91-'6.Inland wetlands'!N80)*('6.Inland wetlands'!X91)))</f>
        <v/>
      </c>
      <c r="Z269" s="4360">
        <f>IF('6.Inland wetlands'!P80=0,'Inl. wetlands'!$K269*methane/1000*'6.Inland wetlands'!P91*('6.Inland wetlands'!Y91),IF('6.Inland wetlands'!P91&lt;'6.Inland wetlands'!P80,0, 'Inl. wetlands'!$K269*methane/1000*('6.Inland wetlands'!P91-'6.Inland wetlands'!P80)*('6.Inland wetlands'!Y91)))</f>
        <v/>
      </c>
      <c r="AB269" s="3493">
        <f>MIN('Inl. wetlands'!L269,'Inl. wetlands'!M269)*time_tot+ABS('Inl. wetlands'!M269-'Inl. wetlands'!L269)*IF('Inl. wetlands'!M269&gt;'Inl. wetlands'!L269,time_cap+time*(VLOOKUP('6.Inland wetlands'!O91,list!$I$48:$K$50,3,0)),time*(1-(VLOOKUP('6.Inland wetlands'!O91,list!$I$48:$K$50,3,0))))+MIN('Inl. wetlands'!U269,'Inl. wetlands'!V269)*time_tot+ABS('Inl. wetlands'!V269-'Inl. wetlands'!U269)*IF('Inl. wetlands'!V269&gt;'Inl. wetlands'!U269,time_cap+time*(VLOOKUP('6.Inland wetlands'!O91,list!$I$48:$K$50,3,0)),time*(1-(VLOOKUP('6.Inland wetlands'!O91,list!$I$48:$K$50,3,0))))</f>
        <v/>
      </c>
      <c r="AC269" s="3493">
        <f>MIN('Inl. wetlands'!L269,'Inl. wetlands'!N269)*time_tot+ABS('Inl. wetlands'!N269-'Inl. wetlands'!L269)*IF('Inl. wetlands'!N269&gt;'Inl. wetlands'!L269,time_cap+time*(VLOOKUP('6.Inland wetlands'!Q91,list!$I$48:$K$50,3,0)),time*(1-(VLOOKUP('6.Inland wetlands'!Q91,list!$I$48:$K$50,3,0))))+MIN('Inl. wetlands'!U269,'Inl. wetlands'!W269)*time_tot+ABS('Inl. wetlands'!W269-'Inl. wetlands'!U269)*IF('Inl. wetlands'!W269&gt;'Inl. wetlands'!U269,time_cap+time*(VLOOKUP('6.Inland wetlands'!Q91,list!$I$48:$K$50,3,0)),time*(1-(VLOOKUP('6.Inland wetlands'!Q91,list!$I$48:$K$50,3,0))))</f>
        <v/>
      </c>
      <c r="AD269" s="1151">
        <f>MIN('Inl. wetlands'!O269,'Inl. wetlands'!P269)*time_tot+ABS('Inl. wetlands'!P269-'Inl. wetlands'!O269)*IF('Inl. wetlands'!P269&gt;'Inl. wetlands'!O269,time_cap+time*(VLOOKUP('6.Inland wetlands'!O91,list!$I$48:$K$50,3,0)),time*(1-(VLOOKUP('6.Inland wetlands'!O91,list!$I$48:$K$50,3,0))))+MIN('Inl. wetlands'!X269,'Inl. wetlands'!Y269)*time_tot+ABS('Inl. wetlands'!Y269-'Inl. wetlands'!X269)*IF('Inl. wetlands'!Y269&gt;'Inl. wetlands'!X269,time_cap+time*(VLOOKUP('6.Inland wetlands'!O91,list!$I$48:$K$50,3,0)),time*(1-(VLOOKUP('6.Inland wetlands'!O91,list!$I$48:$K$50,3,0))))</f>
        <v/>
      </c>
      <c r="AE269" s="1151">
        <f>MIN('Inl. wetlands'!O269,'Inl. wetlands'!Q269)*time_tot+ABS('Inl. wetlands'!Q269-'Inl. wetlands'!O269)*IF('Inl. wetlands'!Q269&gt;'Inl. wetlands'!O269,time_cap+time*(VLOOKUP('6.Inland wetlands'!Q91,list!$I$48:$K$50,3,0)),time*(1-(VLOOKUP('6.Inland wetlands'!Q91,list!$I$48:$K$50,3,0))))+MIN('Inl. wetlands'!X269,'Inl. wetlands'!Z269)*time_tot+ABS('Inl. wetlands'!Z269-'Inl. wetlands'!X269)*IF('Inl. wetlands'!Z269&gt;'Inl. wetlands'!X269,time_cap+time*(VLOOKUP('6.Inland wetlands'!Q91,list!$I$48:$K$50,3,0)),time*(1-(VLOOKUP('6.Inland wetlands'!Q91,list!$I$48:$K$50,3,0))))</f>
        <v/>
      </c>
      <c r="AF269" s="1151">
        <f>MIN('Inl. wetlands'!R269,'Inl. wetlands'!S269)*time_tot+ABS('Inl. wetlands'!S269-'Inl. wetlands'!R269)*IF('Inl. wetlands'!S269&gt;'Inl. wetlands'!R269,time_cap+time*(VLOOKUP('6.Inland wetlands'!O91,list!$I$48:$K$50,3,0)),time*(1-(VLOOKUP('6.Inland wetlands'!O91,list!$I$48:$K$50,3,0))))</f>
        <v/>
      </c>
      <c r="AG269" s="1151">
        <f>MIN('Inl. wetlands'!R269,'Inl. wetlands'!T269)*time_tot+ABS('Inl. wetlands'!T269-'Inl. wetlands'!R269)*IF('Inl. wetlands'!T269&gt;'Inl. wetlands'!R269,time_cap+time*(VLOOKUP('6.Inland wetlands'!Q91,list!$I$48:$K$50,3,0)),time*(1-(VLOOKUP('6.Inland wetlands'!Q91,list!$I$48:$K$50,3,0))))</f>
        <v/>
      </c>
      <c r="AX269" s="1449">
        <f>'Inl. wetlands'!$M269*time*(VLOOKUP($G255,list!$J$48:$K$50,2,0))</f>
        <v/>
      </c>
      <c r="AY269" s="1449">
        <f>'Inl. wetlands'!$N269*time*(VLOOKUP($K255,list!$J$48:$K$50,2,0))</f>
        <v/>
      </c>
      <c r="AZ269" s="1449">
        <f>'Inl. wetlands'!$P269*time*(VLOOKUP($G255,list!$J$48:$K$50,2,0))</f>
        <v/>
      </c>
      <c r="BA269" s="1449">
        <f>'Inl. wetlands'!$Q269*time*(VLOOKUP($K255,list!$J$48:$K$50,2,0))</f>
        <v/>
      </c>
      <c r="BB269" s="1449">
        <f>'Inl. wetlands'!$S269*time*(VLOOKUP($G255,list!$J$48:$K$50,2,0))</f>
        <v/>
      </c>
      <c r="BC269" s="1449">
        <f>'Inl. wetlands'!$T269*time*(VLOOKUP($K255,list!$J$48:$K$50,2,0))</f>
        <v/>
      </c>
      <c r="BD269" s="1449">
        <f>'Inl. wetlands'!$V269*time*(VLOOKUP($G255,list!$J$48:$K$50,2,0))</f>
        <v/>
      </c>
      <c r="BE269" s="1449">
        <f>'Inl. wetlands'!$W269*time*(VLOOKUP($K255,list!$J$48:$K$50,2,0))</f>
        <v/>
      </c>
      <c r="BF269" s="1449">
        <f>'Inl. wetlands'!$Y269*time*(VLOOKUP($G255,list!$J$48:$K$50,2,0))</f>
        <v/>
      </c>
      <c r="BG269" s="1449">
        <f>'Inl. wetlands'!$Z269*time*(VLOOKUP($K255,list!$J$48:$K$50,2,0))</f>
        <v/>
      </c>
    </row>
    <row r="270">
      <c r="A270" s="1264" t="inlineStr">
        <is>
          <t>S2</t>
        </is>
      </c>
      <c r="B270" s="4718">
        <f>IFERROR(IF(AND(OR($C256="Other land",$C256="Degraded land"),$D$249=list!$J$210),INDEX(IPCC!$A$1762:$J$1773,MATCH(clim_moist,IPCC!$A$1762:$A$1773,0),MATCH($C256,IPCC!$A$1762:$J$1762,0)),IF(AND(OR($C256="Other land",$C256="Degraded land"),$D$249=list!$J$211),INDEX(IPCC!$A$1781:$J$1792,MATCH(clim_moist,IPCC!$A$1781:$A$1792,0),MATCH($C256,IPCC!$A$1781:$J$1781,0)),IF($D$249=list!$J$210,INDEX(IPCC!$A$1762:$J$1773,MATCH(clim_moist,IPCC!$A$1781:$A$1792,0),MATCH($C256,IPCC!$A$1781:$J$1781,0)),IF($D$249=list!$J$211,INDEX(IPCC!$A$1781:$J$1792,MATCH(clim_moist,IPCC!$A$1781:$A$1792,0),MATCH($C256,IPCC!$A$1781:$J$1781,0)))))),0)</f>
        <v/>
      </c>
      <c r="C270" s="4642">
        <f>IF('6.Inland wetlands'!$CG81="",'6.Inland wetlands'!$CF81,'6.Inland wetlands'!$CG81)</f>
        <v/>
      </c>
      <c r="D270" s="4718">
        <f>IFERROR(IF(AND(OR($C256="Other land",$C256="Degraded land"),$D$249=list!$J$210),INDEX(IPCC!$A$1818:$J$1829,MATCH(clim_moist,IPCC!$A$1818:$A$1829,0),MATCH($C256,IPCC!$A$1818:$J$1818,0)),IF(AND(OR($C256="Other land",$C256="Degraded land"),$D$249=list!$J$211),INDEX(IPCC!$A$1836:$J$1847,MATCH(clim_moist,IPCC!$A$1836:$A$1847,0),MATCH($C256,IPCC!$A$1836:$J$1836,0)),IF($D$249=list!$J$210,INDEX(IPCC!$A$1818:$J$1829,MATCH(clim_moist,IPCC!$A$1818:$A$1829,0),MATCH($C256,IPCC!$A$1818:$J$1818,0)),IF($D$249=list!$J$211,INDEX(IPCC!$A$1836:$J$1847,MATCH(clim_moist,IPCC!$A$1836:$A$1847,0),MATCH($C256,IPCC!$A$1836:$J$1836,0)))))),0)</f>
        <v/>
      </c>
      <c r="E270" s="4642">
        <f>IF('6.Inland wetlands'!$CI81="",'6.Inland wetlands'!$CH81,'6.Inland wetlands'!$CI81)</f>
        <v/>
      </c>
      <c r="F270" s="4718">
        <f>IFERROR(IF(AND(OR($C256="Other land",$C256="Degraded land"),$D$249=list!$J$210),INDEX(IPCC!$A$1872:$J$1883,MATCH(clim_moist,IPCC!$A$1872:$A$1883,0),MATCH($C256,IPCC!$A$1872:$J$1872,0)),IF(AND(OR($C256="Other land",$C256="Degraded land"),$D$249=list!$J$211),INDEX(IPCC!$A$1890:$J$1901,MATCH(clim_moist,IPCC!$A$1890:$A$1901,0),MATCH($C256,IPCC!$A$1890:$J$1890,0)),IF($D$249=list!$J$210,INDEX(IPCC!$A$1872:$J$1883,MATCH(clim_moist,IPCC!$A$1872:$A$1883,0),MATCH($C256,IPCC!$A$1872:$J$1872,0)),IF($D$249=list!$J$211,INDEX(IPCC!$A$1890:$J$1901,MATCH(clim_moist,IPCC!$A$1890:$A$1901,0),MATCH($C256,IPCC!$A$1890:$J$1890,0)))))),0)</f>
        <v/>
      </c>
      <c r="G270" s="4642">
        <f>IF('6.Inland wetlands'!$CK81="",'6.Inland wetlands'!$CJ81,'6.Inland wetlands'!$CK81)</f>
        <v/>
      </c>
      <c r="H270" s="4718">
        <f>IFERROR(IF(AND(OR($C256="Other land",$C256="Degraded land"),$D$249=list!$J$210),INDEX(IPCC!$A$1800:$J$1811,MATCH(clim_moist,IPCC!$A$1800:$A$1811,0),MATCH($C256,IPCC!$A$1800:$J$1800,0)),IF(AND(OR($C256="Other land",$C256="Degraded land"),$D$249=list!$J$211),INDEX(IPCC!$A$1800:$J$1811,MATCH(clim_moist,IPCC!$A$1800:$A$1811,0),MATCH('Inl. wetlands'!$C256,IPCC!$A$1800:$J$1800,0)),IF($D$249=list!$J$210,INDEX(IPCC!$A$1800:$J$1811,MATCH(clim_moist,IPCC!$A$1800:$A$1811,0),MATCH($C256,IPCC!$A$1800:$J$1800,0)),IF($D$249=list!$J$211,INDEX(IPCC!$A$1800:$J$1811,MATCH(clim_moist,IPCC!$A$1800:$A$1811,0),MATCH($C256,IPCC!$A$1800:$J$1800,0)))))),0)</f>
        <v/>
      </c>
      <c r="I270" s="1162">
        <f>IF('6.Inland wetlands'!$CN81="",'6.Inland wetlands'!$CM81,'6.Inland wetlands'!$CN81)</f>
        <v/>
      </c>
      <c r="J270" s="1111">
        <f>IFERROR(IF(AND(OR($C256="Other land",$C256="Degraded land"),$D$249=list!$J$210),INDEX(IPCC!$A$1854:$J$1865,MATCH(clim_moist,IPCC!$A$1854:$A$1865,0),MATCH('Inl. wetlands'!$C256,IPCC!$A$1854:$J$1854,0)),IF(AND(OR($C256="Other land",$C256="Degraded land"),$D$249=list!$J$211),INDEX(IPCC!$A$1854:$J$1865,MATCH(clim_moist,IPCC!$A$1854:A$1865,0),MATCH('Inl. wetlands'!$C256,IPCC!$A$1854:$J$1854,0)),IF($D$249=list!$J$210,INDEX(IPCC!$A$1854:$J$1865,MATCH(clim_moist,IPCC!$A$1854:$A$1865,0),MATCH('Inl. wetlands'!$C256,IPCC!$A$1854:$J$1854,0)),IF($D$249=list!$J$211,INDEX(IPCC!$A$1854:$J$1865,MATCH(clim_moist,IPCC!$A$1854:$A$1865,0),MATCH('Inl. wetlands'!$C256,IPCC!$A$1854:$J$1854,0)))))),0)</f>
        <v/>
      </c>
      <c r="K270" s="1161">
        <f>IF('6.Inland wetlands'!$CP81="",'6.Inland wetlands'!$CO81,'6.Inland wetlands'!$CP81)</f>
        <v/>
      </c>
      <c r="L270" s="1543">
        <f>IF('6.Inland wetlands'!M92=0, 0,'Inl. wetlands'!C270*44/12*'6.Inland wetlands'!M92)</f>
        <v/>
      </c>
      <c r="M270" s="1543">
        <f>IF('6.Inland wetlands'!N81=0, 'Inl. wetlands'!C270*44/12*'6.Inland wetlands'!N92, IF('6.Inland wetlands'!N92&lt;'6.Inland wetlands'!N81,0, 'Inl. wetlands'!C270*44/12*('6.Inland wetlands'!N92-'6.Inland wetlands'!N81)))</f>
        <v/>
      </c>
      <c r="N270" s="4360">
        <f>IF('6.Inland wetlands'!P81=0, 'Inl. wetlands'!C270*44/12*'6.Inland wetlands'!P92, IF('6.Inland wetlands'!P92&lt;'6.Inland wetlands'!P81,0, 'Inl. wetlands'!C270*44/12*('6.Inland wetlands'!P92-'6.Inland wetlands'!P81)))</f>
        <v/>
      </c>
      <c r="O270" s="4360">
        <f>IF('6.Inland wetlands'!M92=0, 0,'Inl. wetlands'!$E270*methane/1000*'6.Inland wetlands'!M92*(1-'6.Inland wetlands'!W92))</f>
        <v/>
      </c>
      <c r="P270" s="4360">
        <f>IF('6.Inland wetlands'!N81=0,'Inl. wetlands'!$E270*methane/1000*'6.Inland wetlands'!N92*(1-'6.Inland wetlands'!X92),IF('6.Inland wetlands'!N92&lt;'6.Inland wetlands'!N81,0, 'Inl. wetlands'!$E270*methane/1000*('6.Inland wetlands'!N92-'6.Inland wetlands'!N81)*(1-'6.Inland wetlands'!X92)))</f>
        <v/>
      </c>
      <c r="Q270" s="4360">
        <f>IF('6.Inland wetlands'!P81=0,'Inl. wetlands'!$E270*methane/1000*'6.Inland wetlands'!P92*(1-'6.Inland wetlands'!Y92),IF('6.Inland wetlands'!P92&lt;'6.Inland wetlands'!P81,0, 'Inl. wetlands'!$E270*methane/1000*('6.Inland wetlands'!P92-'6.Inland wetlands'!P81)*(1-'6.Inland wetlands'!Y92)))</f>
        <v/>
      </c>
      <c r="R270" s="4360">
        <f>IF('6.Inland wetlands'!M92=0, 0, 'Inl. wetlands'!$G270*'6.Inland wetlands'!M92*44/28*Nitrous/1000)</f>
        <v/>
      </c>
      <c r="S270" s="4360">
        <f>IF('6.Inland wetlands'!N81=0, 'Inl. wetlands'!$G270*'6.Inland wetlands'!N92*44/28*Nitrous/1000, IF('6.Inland wetlands'!N92&lt;'6.Inland wetlands'!N81,0, 'Inl. wetlands'!$G270*('6.Inland wetlands'!N92-'6.Inland wetlands'!N81)*44/28*Nitrous/1000))</f>
        <v/>
      </c>
      <c r="T270" s="4360">
        <f>IF('6.Inland wetlands'!P81=0, 'Inl. wetlands'!$G270*'6.Inland wetlands'!P92*44/28*Nitrous/1000, IF('6.Inland wetlands'!P92&lt;'6.Inland wetlands'!P81,0,'Inl. wetlands'!$G270*44/28*Nitrous/1000*('6.Inland wetlands'!P92-'6.Inland wetlands'!P81)))</f>
        <v/>
      </c>
      <c r="U270" s="4360">
        <f>IF('6.Inland wetlands'!M92=0, 0, 'Inl. wetlands'!$I270*'6.Inland wetlands'!M92*44/12)</f>
        <v/>
      </c>
      <c r="V270" s="4360">
        <f>IF('6.Inland wetlands'!N81=0, 'Inl. wetlands'!I270*44/12*'6.Inland wetlands'!N92, IF('6.Inland wetlands'!N92&lt;'6.Inland wetlands'!N81,0, 'Inl. wetlands'!I270*44/12*('6.Inland wetlands'!N92-'6.Inland wetlands'!N81)))</f>
        <v/>
      </c>
      <c r="W270" s="4360">
        <f>IF('6.Inland wetlands'!P81=0, 'Inl. wetlands'!I270*44/12*'6.Inland wetlands'!P92, IF('6.Inland wetlands'!P92&lt;'6.Inland wetlands'!P81,0, 'Inl. wetlands'!I270*44/12*('6.Inland wetlands'!P92-'6.Inland wetlands'!P81)))</f>
        <v/>
      </c>
      <c r="X270" s="4360">
        <f>IF('6.Inland wetlands'!M92=0,0, 'Inl. wetlands'!$K270/1000*methane*'6.Inland wetlands'!M92*'6.Inland wetlands'!$W92)</f>
        <v/>
      </c>
      <c r="Y270" s="4360">
        <f>IF('6.Inland wetlands'!N81=0,'Inl. wetlands'!$K270*methane/1000*'6.Inland wetlands'!N92*('6.Inland wetlands'!X92),IF('6.Inland wetlands'!N92&lt;'6.Inland wetlands'!N81,0, 'Inl. wetlands'!$K270*methane/1000*('6.Inland wetlands'!N92-'6.Inland wetlands'!N81)*('6.Inland wetlands'!X92)))</f>
        <v/>
      </c>
      <c r="Z270" s="4360">
        <f>IF('6.Inland wetlands'!P81=0,'Inl. wetlands'!$K270*methane/1000*'6.Inland wetlands'!P92*('6.Inland wetlands'!Y92),IF('6.Inland wetlands'!P92&lt;'6.Inland wetlands'!P81,0, 'Inl. wetlands'!$K270*methane/1000*('6.Inland wetlands'!P92-'6.Inland wetlands'!P81)*('6.Inland wetlands'!Y92)))</f>
        <v/>
      </c>
      <c r="AB270" s="3493">
        <f>MIN('Inl. wetlands'!L270,'Inl. wetlands'!M270)*time_tot+ABS('Inl. wetlands'!M270-'Inl. wetlands'!L270)*IF('Inl. wetlands'!M270&gt;'Inl. wetlands'!L270,time_cap+time*(VLOOKUP('6.Inland wetlands'!O92,list!$I$48:$K$50,3,0)),time*(1-(VLOOKUP('6.Inland wetlands'!O92,list!$I$48:$K$50,3,0))))+MIN('Inl. wetlands'!U270,'Inl. wetlands'!V270)*time_tot+ABS('Inl. wetlands'!V270-'Inl. wetlands'!U270)*IF('Inl. wetlands'!V270&gt;'Inl. wetlands'!U270,time_cap+time*(VLOOKUP('6.Inland wetlands'!O92,list!$I$48:$K$50,3,0)),time*(1-(VLOOKUP('6.Inland wetlands'!O92,list!$I$48:$K$50,3,0))))</f>
        <v/>
      </c>
      <c r="AC270" s="3493">
        <f>MIN('Inl. wetlands'!L270,'Inl. wetlands'!N270)*time_tot+ABS('Inl. wetlands'!N270-'Inl. wetlands'!L270)*IF('Inl. wetlands'!N270&gt;'Inl. wetlands'!L270,time_cap+time*(VLOOKUP('6.Inland wetlands'!Q92,list!$I$48:$K$50,3,0)),time*(1-(VLOOKUP('6.Inland wetlands'!Q92,list!$I$48:$K$50,3,0))))+MIN('Inl. wetlands'!U270,'Inl. wetlands'!W270)*time_tot+ABS('Inl. wetlands'!W270-'Inl. wetlands'!U270)*IF('Inl. wetlands'!W270&gt;'Inl. wetlands'!U270,time_cap+time*(VLOOKUP('6.Inland wetlands'!Q92,list!$I$48:$K$50,3,0)),time*(1-(VLOOKUP('6.Inland wetlands'!Q92,list!$I$48:$K$50,3,0))))</f>
        <v/>
      </c>
      <c r="AD270" s="1151">
        <f>MIN('Inl. wetlands'!O270,'Inl. wetlands'!P270)*time_tot+ABS('Inl. wetlands'!P270-'Inl. wetlands'!O270)*IF('Inl. wetlands'!P270&gt;'Inl. wetlands'!O270,time_cap+time*(VLOOKUP('6.Inland wetlands'!O92,list!$I$48:$K$50,3,0)),time*(1-(VLOOKUP('6.Inland wetlands'!O92,list!$I$48:$K$50,3,0))))+MIN('Inl. wetlands'!X270,'Inl. wetlands'!Y270)*time_tot+ABS('Inl. wetlands'!Y270-'Inl. wetlands'!X270)*IF('Inl. wetlands'!Y270&gt;'Inl. wetlands'!X270,time_cap+time*(VLOOKUP('6.Inland wetlands'!O92,list!$I$48:$K$50,3,0)),time*(1-(VLOOKUP('6.Inland wetlands'!O92,list!$I$48:$K$50,3,0))))</f>
        <v/>
      </c>
      <c r="AE270" s="1151">
        <f>MIN('Inl. wetlands'!O270,'Inl. wetlands'!Q270)*time_tot+ABS('Inl. wetlands'!Q270-'Inl. wetlands'!O270)*IF('Inl. wetlands'!Q270&gt;'Inl. wetlands'!O270,time_cap+time*(VLOOKUP('6.Inland wetlands'!Q92,list!$I$48:$K$50,3,0)),time*(1-(VLOOKUP('6.Inland wetlands'!Q92,list!$I$48:$K$50,3,0))))+MIN('Inl. wetlands'!X270,'Inl. wetlands'!Z270)*time_tot+ABS('Inl. wetlands'!Z270-'Inl. wetlands'!X270)*IF('Inl. wetlands'!Z270&gt;'Inl. wetlands'!X270,time_cap+time*(VLOOKUP('6.Inland wetlands'!Q92,list!$I$48:$K$50,3,0)),time*(1-(VLOOKUP('6.Inland wetlands'!Q92,list!$I$48:$K$50,3,0))))</f>
        <v/>
      </c>
      <c r="AF270" s="1151">
        <f>MIN('Inl. wetlands'!R270,'Inl. wetlands'!S270)*time_tot+ABS('Inl. wetlands'!S270-'Inl. wetlands'!R270)*IF('Inl. wetlands'!S270&gt;'Inl. wetlands'!R270,time_cap+time*(VLOOKUP('6.Inland wetlands'!O92,list!$I$48:$K$50,3,0)),time*(1-(VLOOKUP('6.Inland wetlands'!O92,list!$I$48:$K$50,3,0))))</f>
        <v/>
      </c>
      <c r="AG270" s="1151">
        <f>MIN('Inl. wetlands'!R270,'Inl. wetlands'!T270)*time_tot+ABS('Inl. wetlands'!T270-'Inl. wetlands'!R270)*IF('Inl. wetlands'!T270&gt;'Inl. wetlands'!R270,time_cap+time*(VLOOKUP('6.Inland wetlands'!Q92,list!$I$48:$K$50,3,0)),time*(1-(VLOOKUP('6.Inland wetlands'!Q92,list!$I$48:$K$50,3,0))))</f>
        <v/>
      </c>
      <c r="AX270" s="1449">
        <f>$M270*time*(VLOOKUP($G256,list!$J$48:$K$50,2,0))</f>
        <v/>
      </c>
      <c r="AY270" s="1449">
        <f>$N270*time*(VLOOKUP($K256,list!$J$48:$K$50,2,0))</f>
        <v/>
      </c>
      <c r="AZ270" s="1449">
        <f>$P270*time*(VLOOKUP($G256,list!$J$48:$K$50,2,0))</f>
        <v/>
      </c>
      <c r="BA270" s="1449">
        <f>$Q270*time*(VLOOKUP($K256,list!$J$48:$K$50,2,0))</f>
        <v/>
      </c>
      <c r="BB270" s="1449">
        <f>$S270*time*(VLOOKUP($G256,list!$J$48:$K$50,2,0))</f>
        <v/>
      </c>
      <c r="BC270" s="1449">
        <f>$T270*time*(VLOOKUP($K256,list!$J$48:$K$50,2,0))</f>
        <v/>
      </c>
      <c r="BD270" s="1449">
        <f>$V270*time*(VLOOKUP($G256,list!$J$48:$K$50,2,0))</f>
        <v/>
      </c>
      <c r="BE270" s="1449">
        <f>$W270*time*(VLOOKUP($K256,list!$J$48:$K$50,2,0))</f>
        <v/>
      </c>
      <c r="BF270" s="1449">
        <f>$Y270*time*(VLOOKUP($G256,list!$J$48:$K$50,2,0))</f>
        <v/>
      </c>
      <c r="BG270" s="1449">
        <f>$Z270*time*(VLOOKUP($K256,list!$J$48:$K$50,2,0))</f>
        <v/>
      </c>
    </row>
    <row r="271">
      <c r="A271" s="1264" t="inlineStr">
        <is>
          <t>S3</t>
        </is>
      </c>
      <c r="B271" s="4718">
        <f>IFERROR(IF(AND(OR($C257="Other land",$C257="Degraded land"),$D$249=list!$J$210),INDEX(IPCC!$A$1762:$J$1773,MATCH(clim_moist,IPCC!$A$1762:$A$1773,0),MATCH($C257,IPCC!$A$1762:$J$1762,0)),IF(AND(OR($C257="Other land",$C257="Degraded land"),$D$249=list!$J$211),INDEX(IPCC!$A$1781:$J$1792,MATCH(clim_moist,IPCC!$A$1781:$A$1792,0),MATCH($C257,IPCC!$A$1781:$J$1781,0)),IF($D$249=list!$J$210,INDEX(IPCC!$A$1762:$J$1773,MATCH(clim_moist,IPCC!$A$1781:$A$1792,0),MATCH($C257,IPCC!$A$1781:$J$1781,0)),IF($D$249=list!$J$211,INDEX(IPCC!$A$1781:$J$1792,MATCH(clim_moist,IPCC!$A$1781:$A$1792,0),MATCH($C257,IPCC!$A$1781:$J$1781,0)))))),0)</f>
        <v/>
      </c>
      <c r="C271" s="4642">
        <f>IF('6.Inland wetlands'!$CG82="",'6.Inland wetlands'!$CF82,'6.Inland wetlands'!$CG82)</f>
        <v/>
      </c>
      <c r="D271" s="4718">
        <f>IFERROR(IF(AND(OR($C257="Other land",$C257="Degraded land"),$D$249=list!$J$210),INDEX(IPCC!$A$1818:$J$1829,MATCH(clim_moist,IPCC!$A$1818:$A$1829,0),MATCH($C257,IPCC!$A$1818:$J$1818,0)),IF(AND(OR($C257="Other land",$C257="Degraded land"),$D$249=list!$J$211),INDEX(IPCC!$A$1836:$J$1847,MATCH(clim_moist,IPCC!$A$1836:$A$1847,0),MATCH($C257,IPCC!$A$1836:$J$1836,0)),IF($D$249=list!$J$210,INDEX(IPCC!$A$1818:$J$1829,MATCH(clim_moist,IPCC!$A$1818:$A$1829,0),MATCH($C257,IPCC!$A$1818:$J$1818,0)),IF($D$249=list!$J$211,INDEX(IPCC!$A$1836:$J$1847,MATCH(clim_moist,IPCC!$A$1836:$A$1847,0),MATCH($C257,IPCC!$A$1836:$J$1836,0)))))),0)</f>
        <v/>
      </c>
      <c r="E271" s="4642">
        <f>IF('6.Inland wetlands'!$CI82="",'6.Inland wetlands'!$CH82,'6.Inland wetlands'!$CI82)</f>
        <v/>
      </c>
      <c r="F271" s="4718">
        <f>IFERROR(IF(AND(OR($C257="Other land",$C257="Degraded land"),$D$249=list!$J$210),INDEX(IPCC!$A$1872:$J$1883,MATCH(clim_moist,IPCC!$A$1872:$A$1883,0),MATCH($C257,IPCC!$A$1872:$J$1872,0)),IF(AND(OR($C257="Other land",$C257="Degraded land"),$D$249=list!$J$211),INDEX(IPCC!$A$1890:$J$1901,MATCH(clim_moist,IPCC!$A$1890:$A$1901,0),MATCH($C257,IPCC!$A$1890:$J$1890,0)),IF($D$249=list!$J$210,INDEX(IPCC!$A$1872:$J$1883,MATCH(clim_moist,IPCC!$A$1872:$A$1883,0),MATCH($C257,IPCC!$A$1872:$J$1872,0)),IF($D$249=list!$J$211,INDEX(IPCC!$A$1890:$J$1901,MATCH(clim_moist,IPCC!$A$1890:$A$1901,0),MATCH($C257,IPCC!$A$1890:$J$1890,0)))))),0)</f>
        <v/>
      </c>
      <c r="G271" s="4642">
        <f>IF('6.Inland wetlands'!$CK82="",'6.Inland wetlands'!$CJ82,'6.Inland wetlands'!$CK82)</f>
        <v/>
      </c>
      <c r="H271" s="4718">
        <f>IFERROR(IF(AND(OR($C257="Other land",$C257="Degraded land"),$D$249=list!$J$210),INDEX(IPCC!$A$1800:$J$1811,MATCH(clim_moist,IPCC!$A$1800:$A$1811,0),MATCH($C257,IPCC!$A$1800:$J$1800,0)),IF(AND(OR($C257="Other land",$C257="Degraded land"),$D$249=list!$J$211),INDEX(IPCC!$A$1800:$J$1811,MATCH(clim_moist,IPCC!$A$1800:$A$1811,0),MATCH('Inl. wetlands'!$C257,IPCC!$A$1800:$J$1800,0)),IF($D$249=list!$J$210,INDEX(IPCC!$A$1800:$J$1811,MATCH(clim_moist,IPCC!$A$1800:$A$1811,0),MATCH($C257,IPCC!$A$1800:$J$1800,0)),IF($D$249=list!$J$211,INDEX(IPCC!$A$1800:$J$1811,MATCH(clim_moist,IPCC!$A$1800:$A$1811,0),MATCH($C257,IPCC!$A$1800:$J$1800,0)))))),0)</f>
        <v/>
      </c>
      <c r="I271" s="1162">
        <f>IF('6.Inland wetlands'!$CN82="",'6.Inland wetlands'!$CM82,'6.Inland wetlands'!$CN82)</f>
        <v/>
      </c>
      <c r="J271" s="1111">
        <f>IFERROR(IF(AND(OR($C257="Other land",$C257="Degraded land"),$D$249=list!$J$210),INDEX(IPCC!$A$1854:$J$1865,MATCH(clim_moist,IPCC!$A$1854:$A$1865,0),MATCH('Inl. wetlands'!$C257,IPCC!$A$1854:$J$1854,0)),IF(AND(OR($C257="Other land",$C257="Degraded land"),$D$249=list!$J$211),INDEX(IPCC!$A$1854:$J$1865,MATCH(clim_moist,IPCC!$A$1854:A$1865,0),MATCH('Inl. wetlands'!$C257,IPCC!$A$1854:$J$1854,0)),IF($D$249=list!$J$210,INDEX(IPCC!$A$1854:$J$1865,MATCH(clim_moist,IPCC!$A$1854:$A$1865,0),MATCH('Inl. wetlands'!$C257,IPCC!$A$1854:$J$1854,0)),IF($D$249=list!$J$211,INDEX(IPCC!$A$1854:$J$1865,MATCH(clim_moist,IPCC!$A$1854:$A$1865,0),MATCH('Inl. wetlands'!$C257,IPCC!$A$1854:$J$1854,0)))))),0)</f>
        <v/>
      </c>
      <c r="K271" s="1161">
        <f>IF('6.Inland wetlands'!$CP82="",'6.Inland wetlands'!$CO82,'6.Inland wetlands'!$CP82)</f>
        <v/>
      </c>
      <c r="L271" s="1543">
        <f>IF('6.Inland wetlands'!M93=0, 0,'Inl. wetlands'!C271*44/12*'6.Inland wetlands'!M93)</f>
        <v/>
      </c>
      <c r="M271" s="1543">
        <f>IF('6.Inland wetlands'!N82=0, 'Inl. wetlands'!C271*44/12*'6.Inland wetlands'!N93, IF('6.Inland wetlands'!N93&lt;'6.Inland wetlands'!N82,0, 'Inl. wetlands'!C271*44/12*('6.Inland wetlands'!N93-'6.Inland wetlands'!N82)))</f>
        <v/>
      </c>
      <c r="N271" s="4360">
        <f>IF('6.Inland wetlands'!P82=0, 'Inl. wetlands'!C271*44/12*'6.Inland wetlands'!P93, IF('6.Inland wetlands'!P93&lt;'6.Inland wetlands'!P82,0, 'Inl. wetlands'!C271*44/12*('6.Inland wetlands'!P93-'6.Inland wetlands'!P82)))</f>
        <v/>
      </c>
      <c r="O271" s="4360">
        <f>IF('6.Inland wetlands'!M93=0, 0,'Inl. wetlands'!$E271*methane/1000*'6.Inland wetlands'!M93*(1-'6.Inland wetlands'!W93))</f>
        <v/>
      </c>
      <c r="P271" s="4360">
        <f>IF('6.Inland wetlands'!N82=0,'Inl. wetlands'!$E271*methane/1000*'6.Inland wetlands'!N93*(1-'6.Inland wetlands'!X93),IF('6.Inland wetlands'!N93&lt;'6.Inland wetlands'!N82,0, 'Inl. wetlands'!$E271*methane/1000*('6.Inland wetlands'!N93-'6.Inland wetlands'!N82)*(1-'6.Inland wetlands'!X93)))</f>
        <v/>
      </c>
      <c r="Q271" s="4360">
        <f>IF('6.Inland wetlands'!P82=0,'Inl. wetlands'!$E271*methane/1000*'6.Inland wetlands'!P93*(1-'6.Inland wetlands'!Y93),IF('6.Inland wetlands'!P93&lt;'6.Inland wetlands'!P82,0, 'Inl. wetlands'!$E271*methane/1000*('6.Inland wetlands'!P93-'6.Inland wetlands'!P82)*(1-'6.Inland wetlands'!Y93)))</f>
        <v/>
      </c>
      <c r="R271" s="4360">
        <f>IF('6.Inland wetlands'!M93=0, 0, 'Inl. wetlands'!$G271*'6.Inland wetlands'!M93*44/28*Nitrous/1000)</f>
        <v/>
      </c>
      <c r="S271" s="4360">
        <f>IF('6.Inland wetlands'!N82=0, 'Inl. wetlands'!$G271*'6.Inland wetlands'!N93*44/28*Nitrous/1000, IF('6.Inland wetlands'!N93&lt;'6.Inland wetlands'!N82,0, 'Inl. wetlands'!$G271*('6.Inland wetlands'!N93-'6.Inland wetlands'!N82)*44/28*Nitrous/1000))</f>
        <v/>
      </c>
      <c r="T271" s="4360">
        <f>IF('6.Inland wetlands'!P82=0, 'Inl. wetlands'!$G271*'6.Inland wetlands'!P93*44/28*Nitrous/1000, IF('6.Inland wetlands'!P93&lt;'6.Inland wetlands'!P82,0,'Inl. wetlands'!$G271*44/28*Nitrous/1000*('6.Inland wetlands'!P93-'6.Inland wetlands'!P82)))</f>
        <v/>
      </c>
      <c r="U271" s="4360">
        <f>IF('6.Inland wetlands'!M93=0, 0, 'Inl. wetlands'!$I271*'6.Inland wetlands'!M93*44/12)</f>
        <v/>
      </c>
      <c r="V271" s="4360">
        <f>IF('6.Inland wetlands'!N82=0, 'Inl. wetlands'!I271*44/12*'6.Inland wetlands'!N93, IF('6.Inland wetlands'!N93&lt;'6.Inland wetlands'!N82,0, 'Inl. wetlands'!I271*44/12*('6.Inland wetlands'!N93-'6.Inland wetlands'!N82)))</f>
        <v/>
      </c>
      <c r="W271" s="4360">
        <f>IF('6.Inland wetlands'!P82=0, 'Inl. wetlands'!I271*44/12*'6.Inland wetlands'!P93, IF('6.Inland wetlands'!P93&lt;'6.Inland wetlands'!P82,0, 'Inl. wetlands'!I271*44/12*('6.Inland wetlands'!P93-'6.Inland wetlands'!P82)))</f>
        <v/>
      </c>
      <c r="X271" s="4360">
        <f>IF('6.Inland wetlands'!M93=0,0, 'Inl. wetlands'!$K271/1000*methane*'6.Inland wetlands'!M93*'6.Inland wetlands'!$W93)</f>
        <v/>
      </c>
      <c r="Y271" s="4360">
        <f>IF('6.Inland wetlands'!N82=0,'Inl. wetlands'!$K271*methane/1000*'6.Inland wetlands'!N93*('6.Inland wetlands'!X93),IF('6.Inland wetlands'!N93&lt;'6.Inland wetlands'!N82,0, 'Inl. wetlands'!$K271*methane/1000*('6.Inland wetlands'!N93-'6.Inland wetlands'!N82)*('6.Inland wetlands'!X93)))</f>
        <v/>
      </c>
      <c r="Z271" s="4360">
        <f>IF('6.Inland wetlands'!P82=0,'Inl. wetlands'!$K271*methane/1000*'6.Inland wetlands'!P93*('6.Inland wetlands'!Y93),IF('6.Inland wetlands'!P93&lt;'6.Inland wetlands'!P82,0, 'Inl. wetlands'!$K271*methane/1000*('6.Inland wetlands'!P93-'6.Inland wetlands'!P82)*('6.Inland wetlands'!Y93)))</f>
        <v/>
      </c>
      <c r="AB271" s="3493">
        <f>MIN('Inl. wetlands'!L271,'Inl. wetlands'!M271)*time_tot+ABS('Inl. wetlands'!M271-'Inl. wetlands'!L271)*IF('Inl. wetlands'!M271&gt;'Inl. wetlands'!L271,time_cap+time*(VLOOKUP('6.Inland wetlands'!O93,list!$I$48:$K$50,3,0)),time*(1-(VLOOKUP('6.Inland wetlands'!O93,list!$I$48:$K$50,3,0))))+MIN('Inl. wetlands'!U271,'Inl. wetlands'!V271)*time_tot+ABS('Inl. wetlands'!V271-'Inl. wetlands'!U271)*IF('Inl. wetlands'!V271&gt;'Inl. wetlands'!U271,time_cap+time*(VLOOKUP('6.Inland wetlands'!O93,list!$I$48:$K$50,3,0)),time*(1-(VLOOKUP('6.Inland wetlands'!O93,list!$I$48:$K$50,3,0))))</f>
        <v/>
      </c>
      <c r="AC271" s="3493">
        <f>MIN('Inl. wetlands'!L271,'Inl. wetlands'!N271)*time_tot+ABS('Inl. wetlands'!N271-'Inl. wetlands'!L271)*IF('Inl. wetlands'!N271&gt;'Inl. wetlands'!L271,time_cap+time*(VLOOKUP('6.Inland wetlands'!Q93,list!$I$48:$K$50,3,0)),time*(1-(VLOOKUP('6.Inland wetlands'!Q93,list!$I$48:$K$50,3,0))))+MIN('Inl. wetlands'!U271,'Inl. wetlands'!W271)*time_tot+ABS('Inl. wetlands'!W271-'Inl. wetlands'!U271)*IF('Inl. wetlands'!W271&gt;'Inl. wetlands'!U271,time_cap+time*(VLOOKUP('6.Inland wetlands'!Q93,list!$I$48:$K$50,3,0)),time*(1-(VLOOKUP('6.Inland wetlands'!Q93,list!$I$48:$K$50,3,0))))</f>
        <v/>
      </c>
      <c r="AD271" s="1151">
        <f>MIN('Inl. wetlands'!O271,'Inl. wetlands'!P271)*time_tot+ABS('Inl. wetlands'!P271-'Inl. wetlands'!O271)*IF('Inl. wetlands'!P271&gt;'Inl. wetlands'!O271,time_cap+time*(VLOOKUP('6.Inland wetlands'!O93,list!$I$48:$K$50,3,0)),time*(1-(VLOOKUP('6.Inland wetlands'!O93,list!$I$48:$K$50,3,0))))+MIN('Inl. wetlands'!X271,'Inl. wetlands'!Y271)*time_tot+ABS('Inl. wetlands'!Y271-'Inl. wetlands'!X271)*IF('Inl. wetlands'!Y271&gt;'Inl. wetlands'!X271,time_cap+time*(VLOOKUP('6.Inland wetlands'!O93,list!$I$48:$K$50,3,0)),time*(1-(VLOOKUP('6.Inland wetlands'!O93,list!$I$48:$K$50,3,0))))</f>
        <v/>
      </c>
      <c r="AE271" s="1151">
        <f>MIN('Inl. wetlands'!O271,'Inl. wetlands'!Q271)*time_tot+ABS('Inl. wetlands'!Q271-'Inl. wetlands'!O271)*IF('Inl. wetlands'!Q271&gt;'Inl. wetlands'!O271,time_cap+time*(VLOOKUP('6.Inland wetlands'!Q93,list!$I$48:$K$50,3,0)),time*(1-(VLOOKUP('6.Inland wetlands'!Q93,list!$I$48:$K$50,3,0))))+MIN('Inl. wetlands'!X271,'Inl. wetlands'!Z271)*time_tot+ABS('Inl. wetlands'!Z271-'Inl. wetlands'!X271)*IF('Inl. wetlands'!Z271&gt;'Inl. wetlands'!X271,time_cap+time*(VLOOKUP('6.Inland wetlands'!Q93,list!$I$48:$K$50,3,0)),time*(1-(VLOOKUP('6.Inland wetlands'!Q93,list!$I$48:$K$50,3,0))))</f>
        <v/>
      </c>
      <c r="AF271" s="1151">
        <f>MIN('Inl. wetlands'!R271,'Inl. wetlands'!S271)*time_tot+ABS('Inl. wetlands'!S271-'Inl. wetlands'!R271)*IF('Inl. wetlands'!S271&gt;'Inl. wetlands'!R271,time_cap+time*(VLOOKUP('6.Inland wetlands'!O93,list!$I$48:$K$50,3,0)),time*(1-(VLOOKUP('6.Inland wetlands'!O93,list!$I$48:$K$50,3,0))))</f>
        <v/>
      </c>
      <c r="AG271" s="1151">
        <f>MIN('Inl. wetlands'!R271,'Inl. wetlands'!T271)*time_tot+ABS('Inl. wetlands'!T271-'Inl. wetlands'!R271)*IF('Inl. wetlands'!T271&gt;'Inl. wetlands'!R271,time_cap+time*(VLOOKUP('6.Inland wetlands'!Q93,list!$I$48:$K$50,3,0)),time*(1-(VLOOKUP('6.Inland wetlands'!Q93,list!$I$48:$K$50,3,0))))</f>
        <v/>
      </c>
      <c r="AX271" s="1449">
        <f>$M271*time*(VLOOKUP($G257,list!$J$48:$K$50,2,0))</f>
        <v/>
      </c>
      <c r="AY271" s="1449">
        <f>$N271*time*(VLOOKUP($K257,list!$J$48:$K$50,2,0))</f>
        <v/>
      </c>
      <c r="AZ271" s="1449">
        <f>$P271*time*(VLOOKUP($G257,list!$J$48:$K$50,2,0))</f>
        <v/>
      </c>
      <c r="BA271" s="1449">
        <f>$Q271*time*(VLOOKUP($K257,list!$J$48:$K$50,2,0))</f>
        <v/>
      </c>
      <c r="BB271" s="1449">
        <f>$S271*time*(VLOOKUP($G257,list!$J$48:$K$50,2,0))</f>
        <v/>
      </c>
      <c r="BC271" s="1449">
        <f>$T271*time*(VLOOKUP($K257,list!$J$48:$K$50,2,0))</f>
        <v/>
      </c>
      <c r="BD271" s="1449">
        <f>$V271*time*(VLOOKUP($G257,list!$J$48:$K$50,2,0))</f>
        <v/>
      </c>
      <c r="BE271" s="1449">
        <f>$W271*time*(VLOOKUP($K257,list!$J$48:$K$50,2,0))</f>
        <v/>
      </c>
      <c r="BF271" s="1449">
        <f>$Y271*time*(VLOOKUP($G257,list!$J$48:$K$50,2,0))</f>
        <v/>
      </c>
      <c r="BG271" s="1449">
        <f>$Z271*time*(VLOOKUP($K257,list!$J$48:$K$50,2,0))</f>
        <v/>
      </c>
    </row>
    <row r="272">
      <c r="A272" s="1264" t="inlineStr">
        <is>
          <t>S4</t>
        </is>
      </c>
      <c r="B272" s="4718">
        <f>IFERROR(IF(AND(OR($C258="Other land",$C258="Degraded land"),$D$249=list!$J$210),INDEX(IPCC!$A$1762:$J$1773,MATCH(clim_moist,IPCC!$A$1762:$A$1773,0),MATCH($C258,IPCC!$A$1762:$J$1762,0)),IF(AND(OR($C258="Other land",$C258="Degraded land"),$D$249=list!$J$211),INDEX(IPCC!$A$1781:$J$1792,MATCH(clim_moist,IPCC!$A$1781:$A$1792,0),MATCH($C258,IPCC!$A$1781:$J$1781,0)),IF($D$249=list!$J$210,INDEX(IPCC!$A$1762:$J$1773,MATCH(clim_moist,IPCC!$A$1781:$A$1792,0),MATCH($C258,IPCC!$A$1781:$J$1781,0)),IF($D$249=list!$J$211,INDEX(IPCC!$A$1781:$J$1792,MATCH(clim_moist,IPCC!$A$1781:$A$1792,0),MATCH($C258,IPCC!$A$1781:$J$1781,0)))))),0)</f>
        <v/>
      </c>
      <c r="C272" s="4642">
        <f>IF('6.Inland wetlands'!$CG83="",'6.Inland wetlands'!$CF83,'6.Inland wetlands'!$CG83)</f>
        <v/>
      </c>
      <c r="D272" s="4718">
        <f>IFERROR(IF(AND(OR($C258="Other land",$C258="Degraded land"),$D$249=list!$J$210),INDEX(IPCC!$A$1818:$J$1829,MATCH(clim_moist,IPCC!$A$1818:$A$1829,0),MATCH($C258,IPCC!$A$1818:$J$1818,0)),IF(AND(OR($C258="Other land",$C258="Degraded land"),$D$249=list!$J$211),INDEX(IPCC!$A$1836:$J$1847,MATCH(clim_moist,IPCC!$A$1836:$A$1847,0),MATCH($C258,IPCC!$A$1836:$J$1836,0)),IF($D$249=list!$J$210,INDEX(IPCC!$A$1818:$J$1829,MATCH(clim_moist,IPCC!$A$1818:$A$1829,0),MATCH($C258,IPCC!$A$1818:$J$1818,0)),IF($D$249=list!$J$211,INDEX(IPCC!$A$1836:$J$1847,MATCH(clim_moist,IPCC!$A$1836:$A$1847,0),MATCH($C258,IPCC!$A$1836:$J$1836,0)))))),0)</f>
        <v/>
      </c>
      <c r="E272" s="4642">
        <f>IF('6.Inland wetlands'!$CI83="",'6.Inland wetlands'!$CH83,'6.Inland wetlands'!$CI83)</f>
        <v/>
      </c>
      <c r="F272" s="4718">
        <f>IFERROR(IF(AND(OR($C258="Other land",$C258="Degraded land"),$D$249=list!$J$210),INDEX(IPCC!$A$1872:$J$1883,MATCH(clim_moist,IPCC!$A$1872:$A$1883,0),MATCH($C258,IPCC!$A$1872:$J$1872,0)),IF(AND(OR($C258="Other land",$C258="Degraded land"),$D$249=list!$J$211),INDEX(IPCC!$A$1890:$J$1901,MATCH(clim_moist,IPCC!$A$1890:$A$1901,0),MATCH($C258,IPCC!$A$1890:$J$1890,0)),IF($D$249=list!$J$210,INDEX(IPCC!$A$1872:$J$1883,MATCH(clim_moist,IPCC!$A$1872:$A$1883,0),MATCH($C258,IPCC!$A$1872:$J$1872,0)),IF($D$249=list!$J$211,INDEX(IPCC!$A$1890:$J$1901,MATCH(clim_moist,IPCC!$A$1890:$A$1901,0),MATCH($C258,IPCC!$A$1890:$J$1890,0)))))),0)</f>
        <v/>
      </c>
      <c r="G272" s="4642">
        <f>IF('6.Inland wetlands'!$CK83="",'6.Inland wetlands'!$CJ83,'6.Inland wetlands'!$CK83)</f>
        <v/>
      </c>
      <c r="H272" s="4718">
        <f>IFERROR(IF(AND(OR($C258="Other land",$C258="Degraded land"),$D$249=list!$J$210),INDEX(IPCC!$A$1800:$J$1811,MATCH(clim_moist,IPCC!$A$1800:$A$1811,0),MATCH($C258,IPCC!$A$1800:$J$1800,0)),IF(AND(OR($C258="Other land",$C258="Degraded land"),$D$249=list!$J$211),INDEX(IPCC!$A$1800:$J$1811,MATCH(clim_moist,IPCC!$A$1800:$A$1811,0),MATCH('Inl. wetlands'!$C258,IPCC!$A$1800:$J$1800,0)),IF($D$249=list!$J$210,INDEX(IPCC!$A$1800:$J$1811,MATCH(clim_moist,IPCC!$A$1800:$A$1811,0),MATCH($C258,IPCC!$A$1800:$J$1800,0)),IF($D$249=list!$J$211,INDEX(IPCC!$A$1800:$J$1811,MATCH(clim_moist,IPCC!$A$1800:$A$1811,0),MATCH($C258,IPCC!$A$1800:$J$1800,0)))))),0)</f>
        <v/>
      </c>
      <c r="I272" s="1162">
        <f>IF('6.Inland wetlands'!$CN83="",'6.Inland wetlands'!$CM83,'6.Inland wetlands'!$CN83)</f>
        <v/>
      </c>
      <c r="J272" s="1111">
        <f>IFERROR(IF(AND(OR($C258="Other land",$C258="Degraded land"),$D$249=list!$J$210),INDEX(IPCC!$A$1854:$J$1865,MATCH(clim_moist,IPCC!$A$1854:$A$1865,0),MATCH('Inl. wetlands'!$C258,IPCC!$A$1854:$J$1854,0)),IF(AND(OR($C258="Other land",$C258="Degraded land"),$D$249=list!$J$211),INDEX(IPCC!$A$1854:$J$1865,MATCH(clim_moist,IPCC!$A$1854:A$1865,0),MATCH('Inl. wetlands'!$C258,IPCC!$A$1854:$J$1854,0)),IF($D$249=list!$J$210,INDEX(IPCC!$A$1854:$J$1865,MATCH(clim_moist,IPCC!$A$1854:$A$1865,0),MATCH('Inl. wetlands'!$C258,IPCC!$A$1854:$J$1854,0)),IF($D$249=list!$J$211,INDEX(IPCC!$A$1854:$J$1865,MATCH(clim_moist,IPCC!$A$1854:$A$1865,0),MATCH('Inl. wetlands'!$C258,IPCC!$A$1854:$J$1854,0)))))),0)</f>
        <v/>
      </c>
      <c r="K272" s="1161">
        <f>IF('6.Inland wetlands'!$CP83="",'6.Inland wetlands'!$CO83,'6.Inland wetlands'!$CP83)</f>
        <v/>
      </c>
      <c r="L272" s="1543">
        <f>IF('6.Inland wetlands'!M94=0, 0,'Inl. wetlands'!C272*44/12*'6.Inland wetlands'!M94)</f>
        <v/>
      </c>
      <c r="M272" s="1543">
        <f>IF('6.Inland wetlands'!N83=0, 'Inl. wetlands'!C272*44/12*'6.Inland wetlands'!N94, IF('6.Inland wetlands'!N94&lt;'6.Inland wetlands'!N83,0, 'Inl. wetlands'!C272*44/12*('6.Inland wetlands'!N94-'6.Inland wetlands'!N83)))</f>
        <v/>
      </c>
      <c r="N272" s="4360">
        <f>IF('6.Inland wetlands'!P83=0, 'Inl. wetlands'!C272*44/12*'6.Inland wetlands'!P94, IF('6.Inland wetlands'!P94&lt;'6.Inland wetlands'!P83,0, 'Inl. wetlands'!C272*44/12*('6.Inland wetlands'!P94-'6.Inland wetlands'!P83)))</f>
        <v/>
      </c>
      <c r="O272" s="4360">
        <f>IF('6.Inland wetlands'!M94=0, 0,'Inl. wetlands'!$E272*methane/1000*'6.Inland wetlands'!M94*(1-'6.Inland wetlands'!W94))</f>
        <v/>
      </c>
      <c r="P272" s="4360">
        <f>IF('6.Inland wetlands'!N83=0,'Inl. wetlands'!$E272*methane/1000*'6.Inland wetlands'!N94*(1-'6.Inland wetlands'!X94),IF('6.Inland wetlands'!N94&lt;'6.Inland wetlands'!N83,0, 'Inl. wetlands'!$E272*methane/1000*('6.Inland wetlands'!N94-'6.Inland wetlands'!N83)*(1-'6.Inland wetlands'!X94)))</f>
        <v/>
      </c>
      <c r="Q272" s="4360">
        <f>IF('6.Inland wetlands'!P83=0,'Inl. wetlands'!$E272*methane/1000*'6.Inland wetlands'!P94*(1-'6.Inland wetlands'!Y94),IF('6.Inland wetlands'!P94&lt;'6.Inland wetlands'!P83,0, 'Inl. wetlands'!$E272*methane/1000*('6.Inland wetlands'!P94-'6.Inland wetlands'!P83)*(1-'6.Inland wetlands'!Y94)))</f>
        <v/>
      </c>
      <c r="R272" s="4360">
        <f>IF('6.Inland wetlands'!M94=0, 0, 'Inl. wetlands'!$G272*'6.Inland wetlands'!M94*44/28*Nitrous/1000)</f>
        <v/>
      </c>
      <c r="S272" s="4360">
        <f>IF('6.Inland wetlands'!N83=0, 'Inl. wetlands'!$G272*'6.Inland wetlands'!N94*44/28*Nitrous/1000, IF('6.Inland wetlands'!N94&lt;'6.Inland wetlands'!N83,0, 'Inl. wetlands'!$G272*('6.Inland wetlands'!N94-'6.Inland wetlands'!N83)*44/28*Nitrous/1000))</f>
        <v/>
      </c>
      <c r="T272" s="4360">
        <f>IF('6.Inland wetlands'!P83=0, 'Inl. wetlands'!$G272*'6.Inland wetlands'!P94*44/28*Nitrous/1000, IF('6.Inland wetlands'!P94&lt;'6.Inland wetlands'!P83,0,'Inl. wetlands'!$G272*44/28*Nitrous/1000*('6.Inland wetlands'!P94-'6.Inland wetlands'!P83)))</f>
        <v/>
      </c>
      <c r="U272" s="4360">
        <f>IF('6.Inland wetlands'!M94=0, 0, 'Inl. wetlands'!$I272*'6.Inland wetlands'!M94*44/12)</f>
        <v/>
      </c>
      <c r="V272" s="4360">
        <f>IF('6.Inland wetlands'!N83=0, 'Inl. wetlands'!I272*44/12*'6.Inland wetlands'!N94, IF('6.Inland wetlands'!N94&lt;'6.Inland wetlands'!N83,0, 'Inl. wetlands'!I272*44/12*('6.Inland wetlands'!N94-'6.Inland wetlands'!N83)))</f>
        <v/>
      </c>
      <c r="W272" s="4360">
        <f>IF('6.Inland wetlands'!P83=0, 'Inl. wetlands'!I272*44/12*'6.Inland wetlands'!P94, IF('6.Inland wetlands'!P94&lt;'6.Inland wetlands'!P83,0, 'Inl. wetlands'!I272*44/12*('6.Inland wetlands'!P94-'6.Inland wetlands'!P83)))</f>
        <v/>
      </c>
      <c r="X272" s="4360">
        <f>IF('6.Inland wetlands'!M94=0,0, 'Inl. wetlands'!$K272/1000*methane*'6.Inland wetlands'!M94*'6.Inland wetlands'!$W94)</f>
        <v/>
      </c>
      <c r="Y272" s="4360">
        <f>IF('6.Inland wetlands'!N83=0,'Inl. wetlands'!$K272*methane/1000*'6.Inland wetlands'!N94*('6.Inland wetlands'!X94),IF('6.Inland wetlands'!N94&lt;'6.Inland wetlands'!N83,0, 'Inl. wetlands'!$K272*methane/1000*('6.Inland wetlands'!N94-'6.Inland wetlands'!N83)*('6.Inland wetlands'!X94)))</f>
        <v/>
      </c>
      <c r="Z272" s="4360">
        <f>IF('6.Inland wetlands'!P83=0,'Inl. wetlands'!$K272*methane/1000*'6.Inland wetlands'!P94*('6.Inland wetlands'!Y94),IF('6.Inland wetlands'!P94&lt;'6.Inland wetlands'!P83,0, 'Inl. wetlands'!$K272*methane/1000*('6.Inland wetlands'!P94-'6.Inland wetlands'!P83)*('6.Inland wetlands'!Y94)))</f>
        <v/>
      </c>
      <c r="AB272" s="3493">
        <f>MIN('Inl. wetlands'!L272,'Inl. wetlands'!M272)*time_tot+ABS('Inl. wetlands'!M272-'Inl. wetlands'!L272)*IF('Inl. wetlands'!M272&gt;'Inl. wetlands'!L272,time_cap+time*(VLOOKUP('6.Inland wetlands'!O94,list!$I$48:$K$50,3,0)),time*(1-(VLOOKUP('6.Inland wetlands'!O94,list!$I$48:$K$50,3,0))))+MIN('Inl. wetlands'!U272,'Inl. wetlands'!V272)*time_tot+ABS('Inl. wetlands'!V272-'Inl. wetlands'!U272)*IF('Inl. wetlands'!V272&gt;'Inl. wetlands'!U272,time_cap+time*(VLOOKUP('6.Inland wetlands'!O94,list!$I$48:$K$50,3,0)),time*(1-(VLOOKUP('6.Inland wetlands'!O94,list!$I$48:$K$50,3,0))))</f>
        <v/>
      </c>
      <c r="AC272" s="3493">
        <f>MIN('Inl. wetlands'!L272,'Inl. wetlands'!N272)*time_tot+ABS('Inl. wetlands'!N272-'Inl. wetlands'!L272)*IF('Inl. wetlands'!N272&gt;'Inl. wetlands'!L272,time_cap+time*(VLOOKUP('6.Inland wetlands'!Q94,list!$I$48:$K$50,3,0)),time*(1-(VLOOKUP('6.Inland wetlands'!Q94,list!$I$48:$K$50,3,0))))+MIN('Inl. wetlands'!U272,'Inl. wetlands'!W272)*time_tot+ABS('Inl. wetlands'!W272-'Inl. wetlands'!U272)*IF('Inl. wetlands'!W272&gt;'Inl. wetlands'!U272,time_cap+time*(VLOOKUP('6.Inland wetlands'!Q94,list!$I$48:$K$50,3,0)),time*(1-(VLOOKUP('6.Inland wetlands'!Q94,list!$I$48:$K$50,3,0))))</f>
        <v/>
      </c>
      <c r="AD272" s="1151">
        <f>MIN('Inl. wetlands'!O272,'Inl. wetlands'!P272)*time_tot+ABS('Inl. wetlands'!P272-'Inl. wetlands'!O272)*IF('Inl. wetlands'!P272&gt;'Inl. wetlands'!O272,time_cap+time*(VLOOKUP('6.Inland wetlands'!O94,list!$I$48:$K$50,3,0)),time*(1-(VLOOKUP('6.Inland wetlands'!O94,list!$I$48:$K$50,3,0))))+MIN('Inl. wetlands'!X272,'Inl. wetlands'!Y272)*time_tot+ABS('Inl. wetlands'!Y272-'Inl. wetlands'!X272)*IF('Inl. wetlands'!Y272&gt;'Inl. wetlands'!X272,time_cap+time*(VLOOKUP('6.Inland wetlands'!O94,list!$I$48:$K$50,3,0)),time*(1-(VLOOKUP('6.Inland wetlands'!O94,list!$I$48:$K$50,3,0))))</f>
        <v/>
      </c>
      <c r="AE272" s="1151">
        <f>MIN('Inl. wetlands'!O272,'Inl. wetlands'!Q272)*time_tot+ABS('Inl. wetlands'!Q272-'Inl. wetlands'!O272)*IF('Inl. wetlands'!Q272&gt;'Inl. wetlands'!O272,time_cap+time*(VLOOKUP('6.Inland wetlands'!Q94,list!$I$48:$K$50,3,0)),time*(1-(VLOOKUP('6.Inland wetlands'!Q94,list!$I$48:$K$50,3,0))))+MIN('Inl. wetlands'!X272,'Inl. wetlands'!Z272)*time_tot+ABS('Inl. wetlands'!Z272-'Inl. wetlands'!X272)*IF('Inl. wetlands'!Z272&gt;'Inl. wetlands'!X272,time_cap+time*(VLOOKUP('6.Inland wetlands'!Q94,list!$I$48:$K$50,3,0)),time*(1-(VLOOKUP('6.Inland wetlands'!Q94,list!$I$48:$K$50,3,0))))</f>
        <v/>
      </c>
      <c r="AF272" s="1151">
        <f>MIN('Inl. wetlands'!R272,'Inl. wetlands'!S272)*time_tot+ABS('Inl. wetlands'!S272-'Inl. wetlands'!R272)*IF('Inl. wetlands'!S272&gt;'Inl. wetlands'!R272,time_cap+time*(VLOOKUP('6.Inland wetlands'!O94,list!$I$48:$K$50,3,0)),time*(1-(VLOOKUP('6.Inland wetlands'!O94,list!$I$48:$K$50,3,0))))</f>
        <v/>
      </c>
      <c r="AG272" s="1151">
        <f>MIN('Inl. wetlands'!R272,'Inl. wetlands'!T272)*time_tot+ABS('Inl. wetlands'!T272-'Inl. wetlands'!R272)*IF('Inl. wetlands'!T272&gt;'Inl. wetlands'!R272,time_cap+time*(VLOOKUP('6.Inland wetlands'!Q94,list!$I$48:$K$50,3,0)),time*(1-(VLOOKUP('6.Inland wetlands'!Q94,list!$I$48:$K$50,3,0))))</f>
        <v/>
      </c>
      <c r="AX272" s="1449">
        <f>$M272*time*(VLOOKUP($G258,list!$J$48:$K$50,2,0))</f>
        <v/>
      </c>
      <c r="AY272" s="1449">
        <f>$N272*time*(VLOOKUP($K258,list!$J$48:$K$50,2,0))</f>
        <v/>
      </c>
      <c r="AZ272" s="1449">
        <f>$P272*time*(VLOOKUP($G258,list!$J$48:$K$50,2,0))</f>
        <v/>
      </c>
      <c r="BA272" s="1449">
        <f>$Q272*time*(VLOOKUP($K258,list!$J$48:$K$50,2,0))</f>
        <v/>
      </c>
      <c r="BB272" s="1449">
        <f>$S272*time*(VLOOKUP($G258,list!$J$48:$K$50,2,0))</f>
        <v/>
      </c>
      <c r="BC272" s="1449">
        <f>$T272*time*(VLOOKUP($K258,list!$J$48:$K$50,2,0))</f>
        <v/>
      </c>
      <c r="BD272" s="1449">
        <f>$V272*time*(VLOOKUP($G258,list!$J$48:$K$50,2,0))</f>
        <v/>
      </c>
      <c r="BE272" s="1449">
        <f>$W272*time*(VLOOKUP($K258,list!$J$48:$K$50,2,0))</f>
        <v/>
      </c>
      <c r="BF272" s="1449">
        <f>$Y272*time*(VLOOKUP($G258,list!$J$48:$K$50,2,0))</f>
        <v/>
      </c>
      <c r="BG272" s="1449">
        <f>$Z272*time*(VLOOKUP($K258,list!$J$48:$K$50,2,0))</f>
        <v/>
      </c>
    </row>
    <row r="273" ht="16" customHeight="1">
      <c r="A273" s="1264" t="inlineStr">
        <is>
          <t>S5</t>
        </is>
      </c>
      <c r="B273" s="4718">
        <f>IFERROR(IF(AND(OR($C259="Other land",$C259="Degraded land"),$D$249=list!$J$210),INDEX(IPCC!$A$1762:$J$1773,MATCH(clim_moist,IPCC!$A$1762:$A$1773,0),MATCH($C259,IPCC!$A$1762:$J$1762,0)),IF(AND(OR($C259="Other land",$C259="Degraded land"),$D$249=list!$J$211),INDEX(IPCC!$A$1781:$J$1792,MATCH(clim_moist,IPCC!$A$1781:$A$1792,0),MATCH($C259,IPCC!$A$1781:$J$1781,0)),IF($D$249=list!$J$210,INDEX(IPCC!$A$1762:$J$1773,MATCH(clim_moist,IPCC!$A$1781:$A$1792,0),MATCH($C259,IPCC!$A$1781:$J$1781,0)),IF($D$249=list!$J$211,INDEX(IPCC!$A$1781:$J$1792,MATCH(clim_moist,IPCC!$A$1781:$A$1792,0),MATCH($C259,IPCC!$A$1781:$J$1781,0)))))),0)</f>
        <v/>
      </c>
      <c r="C273" s="4642">
        <f>IF('6.Inland wetlands'!$CG84="",'6.Inland wetlands'!$CF84,'6.Inland wetlands'!$CG84)</f>
        <v/>
      </c>
      <c r="D273" s="4718">
        <f>IFERROR(IF(AND(OR($C259="Other land",$C259="Degraded land"),$D$249=list!$J$210),INDEX(IPCC!$A$1818:$J$1829,MATCH(clim_moist,IPCC!$A$1818:$A$1829,0),MATCH($C259,IPCC!$A$1818:$J$1818,0)),IF(AND(OR($C259="Other land",$C259="Degraded land"),$D$249=list!$J$211),INDEX(IPCC!$A$1836:$J$1847,MATCH(clim_moist,IPCC!$A$1836:$A$1847,0),MATCH($C259,IPCC!$A$1836:$J$1836,0)),IF($D$249=list!$J$210,INDEX(IPCC!$A$1818:$J$1829,MATCH(clim_moist,IPCC!$A$1818:$A$1829,0),MATCH($C259,IPCC!$A$1818:$J$1818,0)),IF($D$249=list!$J$211,INDEX(IPCC!$A$1836:$J$1847,MATCH(clim_moist,IPCC!$A$1836:$A$1847,0),MATCH($C259,IPCC!$A$1836:$J$1836,0)))))),0)</f>
        <v/>
      </c>
      <c r="E273" s="4642">
        <f>IF('6.Inland wetlands'!$CI84="",'6.Inland wetlands'!$CH84,'6.Inland wetlands'!$CI84)</f>
        <v/>
      </c>
      <c r="F273" s="4718">
        <f>IFERROR(IF(AND(OR($C259="Other land",$C259="Degraded land"),$D$249=list!$J$210),INDEX(IPCC!$A$1872:$J$1883,MATCH(clim_moist,IPCC!$A$1872:$A$1883,0),MATCH($C259,IPCC!$A$1872:$J$1872,0)),IF(AND(OR($C259="Other land",$C259="Degraded land"),$D$249=list!$J$211),INDEX(IPCC!$A$1890:$J$1901,MATCH(clim_moist,IPCC!$A$1890:$A$1901,0),MATCH($C259,IPCC!$A$1890:$J$1890,0)),IF($D$249=list!$J$210,INDEX(IPCC!$A$1872:$J$1883,MATCH(clim_moist,IPCC!$A$1872:$A$1883,0),MATCH($C259,IPCC!$A$1872:$J$1872,0)),IF($D$249=list!$J$211,INDEX(IPCC!$A$1890:$J$1901,MATCH(clim_moist,IPCC!$A$1890:$A$1901,0),MATCH($C259,IPCC!$A$1890:$J$1890,0)))))),0)</f>
        <v/>
      </c>
      <c r="G273" s="4642">
        <f>IF('6.Inland wetlands'!$CK84="",'6.Inland wetlands'!$CJ84,'6.Inland wetlands'!$CK84)</f>
        <v/>
      </c>
      <c r="H273" s="4718">
        <f>IFERROR(IF(AND(OR($C259="Other land",$C259="Degraded land"),$D$249=list!$J$210),INDEX(IPCC!$A$1800:$J$1811,MATCH(clim_moist,IPCC!$A$1800:$A$1811,0),MATCH($C259,IPCC!$A$1800:$J$1800,0)),IF(AND(OR($C259="Other land",$C259="Degraded land"),$D$249=list!$J$211),INDEX(IPCC!$A$1800:$J$1811,MATCH(clim_moist,IPCC!$A$1800:$A$1811,0),MATCH('Inl. wetlands'!$C259,IPCC!$A$1800:$J$1800,0)),IF($D$249=list!$J$210,INDEX(IPCC!$A$1800:$J$1811,MATCH(clim_moist,IPCC!$A$1800:$A$1811,0),MATCH($C259,IPCC!$A$1800:$J$1800,0)),IF($D$249=list!$J$211,INDEX(IPCC!$A$1800:$J$1811,MATCH(clim_moist,IPCC!$A$1800:$A$1811,0),MATCH($C259,IPCC!$A$1800:$J$1800,0)))))),0)</f>
        <v/>
      </c>
      <c r="I273" s="1162">
        <f>IF('6.Inland wetlands'!$CN84="",'6.Inland wetlands'!$CM84,'6.Inland wetlands'!$CN84)</f>
        <v/>
      </c>
      <c r="J273" s="1111">
        <f>IFERROR(IF(AND(OR($C259="Other land",$C259="Degraded land"),$D$249=list!$J$210),INDEX(IPCC!$A$1854:$J$1865,MATCH(clim_moist,IPCC!$A$1854:$A$1865,0),MATCH('Inl. wetlands'!$C259,IPCC!$A$1854:$J$1854,0)),IF(AND(OR($C259="Other land",$C259="Degraded land"),$D$249=list!$J$211),INDEX(IPCC!$A$1854:$J$1865,MATCH(clim_moist,IPCC!$A$1854:A$1865,0),MATCH('Inl. wetlands'!$C259,IPCC!$A$1854:$J$1854,0)),IF($D$249=list!$J$210,INDEX(IPCC!$A$1854:$J$1865,MATCH(clim_moist,IPCC!$A$1854:$A$1865,0),MATCH('Inl. wetlands'!$C259,IPCC!$A$1854:$J$1854,0)),IF($D$249=list!$J$211,INDEX(IPCC!$A$1854:$J$1865,MATCH(clim_moist,IPCC!$A$1854:$A$1865,0),MATCH('Inl. wetlands'!$C259,IPCC!$A$1854:$J$1854,0)))))),0)</f>
        <v/>
      </c>
      <c r="K273" s="1161">
        <f>IF('6.Inland wetlands'!$CP84="",'6.Inland wetlands'!$CO84,'6.Inland wetlands'!$CP84)</f>
        <v/>
      </c>
      <c r="L273" s="1543">
        <f>IF('6.Inland wetlands'!M95=0, 0,'Inl. wetlands'!C273*44/12*'6.Inland wetlands'!M95)</f>
        <v/>
      </c>
      <c r="M273" s="1543">
        <f>IF('6.Inland wetlands'!N84=0, 'Inl. wetlands'!C273*44/12*'6.Inland wetlands'!N95, IF('6.Inland wetlands'!N95&lt;'6.Inland wetlands'!N84,0, 'Inl. wetlands'!C273*44/12*('6.Inland wetlands'!N95-'6.Inland wetlands'!N84)))</f>
        <v/>
      </c>
      <c r="N273" s="4360">
        <f>IF('6.Inland wetlands'!P84=0, 'Inl. wetlands'!C273*44/12*'6.Inland wetlands'!P95, IF('6.Inland wetlands'!P95&lt;'6.Inland wetlands'!P84,0, 'Inl. wetlands'!C273*44/12*('6.Inland wetlands'!P95-'6.Inland wetlands'!P84)))</f>
        <v/>
      </c>
      <c r="O273" s="4360">
        <f>IF('6.Inland wetlands'!M95=0, 0,'Inl. wetlands'!$E273*methane/1000*'6.Inland wetlands'!M95*(1-'6.Inland wetlands'!W95))</f>
        <v/>
      </c>
      <c r="P273" s="4360">
        <f>IF('6.Inland wetlands'!N84=0,'Inl. wetlands'!$E273*methane/1000*'6.Inland wetlands'!N95*(1-'6.Inland wetlands'!X95),IF('6.Inland wetlands'!N95&lt;'6.Inland wetlands'!N84,0, 'Inl. wetlands'!$E273*methane/1000*('6.Inland wetlands'!N95-'6.Inland wetlands'!N84)*(1-'6.Inland wetlands'!X95)))</f>
        <v/>
      </c>
      <c r="Q273" s="4360">
        <f>IF('6.Inland wetlands'!P84=0,'Inl. wetlands'!$E273*methane/1000*'6.Inland wetlands'!P95*(1-'6.Inland wetlands'!Y95),IF('6.Inland wetlands'!P95&lt;'6.Inland wetlands'!P84,0, 'Inl. wetlands'!$E273*methane/1000*('6.Inland wetlands'!P95-'6.Inland wetlands'!P84)*(1-'6.Inland wetlands'!Y95)))</f>
        <v/>
      </c>
      <c r="R273" s="4360">
        <f>IF('6.Inland wetlands'!M95=0, 0, 'Inl. wetlands'!$G273*'6.Inland wetlands'!M95*44/28*Nitrous/1000)</f>
        <v/>
      </c>
      <c r="S273" s="4360">
        <f>IF('6.Inland wetlands'!N84=0, 'Inl. wetlands'!$G273*'6.Inland wetlands'!N95*44/28*Nitrous/1000, IF('6.Inland wetlands'!N95&lt;'6.Inland wetlands'!N84,0, 'Inl. wetlands'!$G273*('6.Inland wetlands'!N95-'6.Inland wetlands'!N84)*44/28*Nitrous/1000))</f>
        <v/>
      </c>
      <c r="T273" s="4360">
        <f>IF('6.Inland wetlands'!P84=0, 'Inl. wetlands'!$G273*'6.Inland wetlands'!P95*44/28*Nitrous/1000, IF('6.Inland wetlands'!P95&lt;'6.Inland wetlands'!P84,0,'Inl. wetlands'!$G273*44/28*Nitrous/1000*('6.Inland wetlands'!P95-'6.Inland wetlands'!P84)))</f>
        <v/>
      </c>
      <c r="U273" s="4360">
        <f>IF('6.Inland wetlands'!M95=0, 0, 'Inl. wetlands'!$I273*'6.Inland wetlands'!M95*44/12)</f>
        <v/>
      </c>
      <c r="V273" s="4360">
        <f>IF('6.Inland wetlands'!N84=0, 'Inl. wetlands'!I273*44/12*'6.Inland wetlands'!N95, IF('6.Inland wetlands'!N95&lt;'6.Inland wetlands'!N84,0, 'Inl. wetlands'!I273*44/12*('6.Inland wetlands'!N95-'6.Inland wetlands'!N84)))</f>
        <v/>
      </c>
      <c r="W273" s="4360">
        <f>IF('6.Inland wetlands'!P84=0, 'Inl. wetlands'!I273*44/12*'6.Inland wetlands'!P95, IF('6.Inland wetlands'!P95&lt;'6.Inland wetlands'!P84,0, 'Inl. wetlands'!I273*44/12*('6.Inland wetlands'!P95-'6.Inland wetlands'!P84)))</f>
        <v/>
      </c>
      <c r="X273" s="4360">
        <f>IF('6.Inland wetlands'!M95=0,0, 'Inl. wetlands'!$K273/1000*methane*'6.Inland wetlands'!M95*'6.Inland wetlands'!$W95)</f>
        <v/>
      </c>
      <c r="Y273" s="4360">
        <f>IF('6.Inland wetlands'!N84=0,'Inl. wetlands'!$K273*methane/1000*'6.Inland wetlands'!N95*('6.Inland wetlands'!X95),IF('6.Inland wetlands'!N95&lt;'6.Inland wetlands'!N84,0, 'Inl. wetlands'!$K273*methane/1000*('6.Inland wetlands'!N95-'6.Inland wetlands'!N84)*('6.Inland wetlands'!X95)))</f>
        <v/>
      </c>
      <c r="Z273" s="4360">
        <f>IF('6.Inland wetlands'!P84=0,'Inl. wetlands'!$K273*methane/1000*'6.Inland wetlands'!P95*('6.Inland wetlands'!Y95),IF('6.Inland wetlands'!P95&lt;'6.Inland wetlands'!P84,0, 'Inl. wetlands'!$K273*methane/1000*('6.Inland wetlands'!P95-'6.Inland wetlands'!P84)*('6.Inland wetlands'!Y95)))</f>
        <v/>
      </c>
      <c r="AB273" s="3493">
        <f>MIN('Inl. wetlands'!L273,'Inl. wetlands'!M273)*time_tot+ABS('Inl. wetlands'!M273-'Inl. wetlands'!L273)*IF('Inl. wetlands'!M273&gt;'Inl. wetlands'!L273,time_cap+time*(VLOOKUP('6.Inland wetlands'!O95,list!$I$48:$K$50,3,0)),time*(1-(VLOOKUP('6.Inland wetlands'!O95,list!$I$48:$K$50,3,0))))+MIN('Inl. wetlands'!U273,'Inl. wetlands'!V273)*time_tot+ABS('Inl. wetlands'!V273-'Inl. wetlands'!U273)*IF('Inl. wetlands'!V273&gt;'Inl. wetlands'!U273,time_cap+time*(VLOOKUP('6.Inland wetlands'!O95,list!$I$48:$K$50,3,0)),time*(1-(VLOOKUP('6.Inland wetlands'!O95,list!$I$48:$K$50,3,0))))</f>
        <v/>
      </c>
      <c r="AC273" s="3493">
        <f>MIN('Inl. wetlands'!L273,'Inl. wetlands'!N273)*time_tot+ABS('Inl. wetlands'!N273-'Inl. wetlands'!L273)*IF('Inl. wetlands'!N273&gt;'Inl. wetlands'!L273,time_cap+time*(VLOOKUP('6.Inland wetlands'!Q95,list!$I$48:$K$50,3,0)),time*(1-(VLOOKUP('6.Inland wetlands'!Q95,list!$I$48:$K$50,3,0))))+MIN('Inl. wetlands'!U273,'Inl. wetlands'!W273)*time_tot+ABS('Inl. wetlands'!W273-'Inl. wetlands'!U273)*IF('Inl. wetlands'!W273&gt;'Inl. wetlands'!U273,time_cap+time*(VLOOKUP('6.Inland wetlands'!Q95,list!$I$48:$K$50,3,0)),time*(1-(VLOOKUP('6.Inland wetlands'!Q95,list!$I$48:$K$50,3,0))))</f>
        <v/>
      </c>
      <c r="AD273" s="1151">
        <f>MIN('Inl. wetlands'!O273,'Inl. wetlands'!P273)*time_tot+ABS('Inl. wetlands'!P273-'Inl. wetlands'!O273)*IF('Inl. wetlands'!P273&gt;'Inl. wetlands'!O273,time_cap+time*(VLOOKUP('6.Inland wetlands'!O95,list!$I$48:$K$50,3,0)),time*(1-(VLOOKUP('6.Inland wetlands'!O95,list!$I$48:$K$50,3,0))))+MIN('Inl. wetlands'!X273,'Inl. wetlands'!Y273)*time_tot+ABS('Inl. wetlands'!Y273-'Inl. wetlands'!X273)*IF('Inl. wetlands'!Y273&gt;'Inl. wetlands'!X273,time_cap+time*(VLOOKUP('6.Inland wetlands'!O95,list!$I$48:$K$50,3,0)),time*(1-(VLOOKUP('6.Inland wetlands'!O95,list!$I$48:$K$50,3,0))))</f>
        <v/>
      </c>
      <c r="AE273" s="1151">
        <f>MIN('Inl. wetlands'!O273,'Inl. wetlands'!Q273)*time_tot+ABS('Inl. wetlands'!Q273-'Inl. wetlands'!O273)*IF('Inl. wetlands'!Q273&gt;'Inl. wetlands'!O273,time_cap+time*(VLOOKUP('6.Inland wetlands'!Q95,list!$I$48:$K$50,3,0)),time*(1-(VLOOKUP('6.Inland wetlands'!Q95,list!$I$48:$K$50,3,0))))+MIN('Inl. wetlands'!X273,'Inl. wetlands'!Z273)*time_tot+ABS('Inl. wetlands'!Z273-'Inl. wetlands'!X273)*IF('Inl. wetlands'!Z273&gt;'Inl. wetlands'!X273,time_cap+time*(VLOOKUP('6.Inland wetlands'!Q95,list!$I$48:$K$50,3,0)),time*(1-(VLOOKUP('6.Inland wetlands'!Q95,list!$I$48:$K$50,3,0))))</f>
        <v/>
      </c>
      <c r="AF273" s="1151">
        <f>MIN('Inl. wetlands'!R273,'Inl. wetlands'!S273)*time_tot+ABS('Inl. wetlands'!S273-'Inl. wetlands'!R273)*IF('Inl. wetlands'!S273&gt;'Inl. wetlands'!R273,time_cap+time*(VLOOKUP('6.Inland wetlands'!O95,list!$I$48:$K$50,3,0)),time*(1-(VLOOKUP('6.Inland wetlands'!O95,list!$I$48:$K$50,3,0))))</f>
        <v/>
      </c>
      <c r="AG273" s="1151">
        <f>MIN('Inl. wetlands'!R273,'Inl. wetlands'!T273)*time_tot+ABS('Inl. wetlands'!T273-'Inl. wetlands'!R273)*IF('Inl. wetlands'!T273&gt;'Inl. wetlands'!R273,time_cap+time*(VLOOKUP('6.Inland wetlands'!Q95,list!$I$48:$K$50,3,0)),time*(1-(VLOOKUP('6.Inland wetlands'!Q95,list!$I$48:$K$50,3,0))))</f>
        <v/>
      </c>
      <c r="AI273" s="1270" t="inlineStr">
        <is>
          <t>Total emissions tCO2eq</t>
        </is>
      </c>
      <c r="AJ273" s="1116" t="n"/>
      <c r="AK273" s="1116" t="n"/>
      <c r="AX273" s="1449">
        <f>$M273*time*(VLOOKUP($G259,list!$J$48:$K$50,2,0))</f>
        <v/>
      </c>
      <c r="AY273" s="1449">
        <f>$N273*time*(VLOOKUP($K259,list!$J$48:$K$50,2,0))</f>
        <v/>
      </c>
      <c r="AZ273" s="1449">
        <f>$P273*time*(VLOOKUP($G259,list!$J$48:$K$50,2,0))</f>
        <v/>
      </c>
      <c r="BA273" s="1449">
        <f>$Q273*time*(VLOOKUP($K259,list!$J$48:$K$50,2,0))</f>
        <v/>
      </c>
      <c r="BB273" s="1449">
        <f>$S273*time*(VLOOKUP($G259,list!$J$48:$K$50,2,0))</f>
        <v/>
      </c>
      <c r="BC273" s="1449">
        <f>$T273*time*(VLOOKUP($K259,list!$J$48:$K$50,2,0))</f>
        <v/>
      </c>
      <c r="BD273" s="1449">
        <f>$V273*time*(VLOOKUP($G259,list!$J$48:$K$50,2,0))</f>
        <v/>
      </c>
      <c r="BE273" s="1449">
        <f>$W273*time*(VLOOKUP($K259,list!$J$48:$K$50,2,0))</f>
        <v/>
      </c>
      <c r="BF273" s="1449">
        <f>$Y273*time*(VLOOKUP($G259,list!$J$48:$K$50,2,0))</f>
        <v/>
      </c>
      <c r="BG273" s="1449">
        <f>$Z273*time*(VLOOKUP($K259,list!$J$48:$K$50,2,0))</f>
        <v/>
      </c>
    </row>
    <row r="274" ht="16" customHeight="1">
      <c r="A274" s="1264" t="inlineStr">
        <is>
          <t>S6</t>
        </is>
      </c>
      <c r="B274" s="4718">
        <f>IFERROR(IF(AND(OR($C260="Other land",$C260="Degraded land"),$D$249=list!$J$210),INDEX(IPCC!$A$1762:$J$1773,MATCH(clim_moist,IPCC!$A$1762:$A$1773,0),MATCH($C260,IPCC!$A$1762:$J$1762,0)),IF(AND(OR($C260="Other land",$C260="Degraded land"),$D$249=list!$J$211),INDEX(IPCC!$A$1781:$J$1792,MATCH(clim_moist,IPCC!$A$1781:$A$1792,0),MATCH($C260,IPCC!$A$1781:$J$1781,0)),IF($D$249=list!$J$210,INDEX(IPCC!$A$1762:$J$1773,MATCH(clim_moist,IPCC!$A$1781:$A$1792,0),MATCH($C260,IPCC!$A$1781:$J$1781,0)),IF($D$249=list!$J$211,INDEX(IPCC!$A$1781:$J$1792,MATCH(clim_moist,IPCC!$A$1781:$A$1792,0),MATCH($C260,IPCC!$A$1781:$J$1781,0)))))),0)</f>
        <v/>
      </c>
      <c r="C274" s="4642">
        <f>IF('6.Inland wetlands'!$CG85="",'6.Inland wetlands'!$CF85,'6.Inland wetlands'!$CG85)</f>
        <v/>
      </c>
      <c r="D274" s="4718">
        <f>IFERROR(IF(AND(OR($C260="Other land",$C260="Degraded land"),$D$249=list!$J$210),INDEX(IPCC!$A$1818:$J$1829,MATCH(clim_moist,IPCC!$A$1818:$A$1829,0),MATCH($C260,IPCC!$A$1818:$J$1818,0)),IF(AND(OR($C260="Other land",$C260="Degraded land"),$D$249=list!$J$211),INDEX(IPCC!$A$1836:$J$1847,MATCH(clim_moist,IPCC!$A$1836:$A$1847,0),MATCH($C260,IPCC!$A$1836:$J$1836,0)),IF($D$249=list!$J$210,INDEX(IPCC!$A$1818:$J$1829,MATCH(clim_moist,IPCC!$A$1818:$A$1829,0),MATCH($C260,IPCC!$A$1818:$J$1818,0)),IF($D$249=list!$J$211,INDEX(IPCC!$A$1836:$J$1847,MATCH(clim_moist,IPCC!$A$1836:$A$1847,0),MATCH($C260,IPCC!$A$1836:$J$1836,0)))))),0)</f>
        <v/>
      </c>
      <c r="E274" s="4642">
        <f>IF('6.Inland wetlands'!$CI85="",'6.Inland wetlands'!$CH85,'6.Inland wetlands'!$CI85)</f>
        <v/>
      </c>
      <c r="F274" s="4718">
        <f>IFERROR(IF(AND(OR($C260="Other land",$C260="Degraded land"),$D$249=list!$J$210),INDEX(IPCC!$A$1872:$J$1883,MATCH(clim_moist,IPCC!$A$1872:$A$1883,0),MATCH($C260,IPCC!$A$1872:$J$1872,0)),IF(AND(OR($C260="Other land",$C260="Degraded land"),$D$249=list!$J$211),INDEX(IPCC!$A$1890:$J$1901,MATCH(clim_moist,IPCC!$A$1890:$A$1901,0),MATCH($C260,IPCC!$A$1890:$J$1890,0)),IF($D$249=list!$J$210,INDEX(IPCC!$A$1872:$J$1883,MATCH(clim_moist,IPCC!$A$1872:$A$1883,0),MATCH($C260,IPCC!$A$1872:$J$1872,0)),IF($D$249=list!$J$211,INDEX(IPCC!$A$1890:$J$1901,MATCH(clim_moist,IPCC!$A$1890:$A$1901,0),MATCH($C260,IPCC!$A$1890:$J$1890,0)))))),0)</f>
        <v/>
      </c>
      <c r="G274" s="4642">
        <f>IF('6.Inland wetlands'!$CK85="",'6.Inland wetlands'!$CJ85,'6.Inland wetlands'!$CK85)</f>
        <v/>
      </c>
      <c r="H274" s="4718">
        <f>IFERROR(IF(AND(OR($C260="Other land",$C260="Degraded land"),$D$249=list!$J$210),INDEX(IPCC!$A$1800:$J$1811,MATCH(clim_moist,IPCC!$A$1800:$A$1811,0),MATCH($C260,IPCC!$A$1800:$J$1800,0)),IF(AND(OR($C260="Other land",$C260="Degraded land"),$D$249=list!$J$211),INDEX(IPCC!$A$1800:$J$1811,MATCH(clim_moist,IPCC!$A$1800:$A$1811,0),MATCH('Inl. wetlands'!$C260,IPCC!$A$1800:$J$1800,0)),IF($D$249=list!$J$210,INDEX(IPCC!$A$1800:$J$1811,MATCH(clim_moist,IPCC!$A$1800:$A$1811,0),MATCH($C260,IPCC!$A$1800:$J$1800,0)),IF($D$249=list!$J$211,INDEX(IPCC!$A$1800:$J$1811,MATCH(clim_moist,IPCC!$A$1800:$A$1811,0),MATCH($C260,IPCC!$A$1800:$J$1800,0)))))),0)</f>
        <v/>
      </c>
      <c r="I274" s="1162">
        <f>IF('6.Inland wetlands'!$CN85="",'6.Inland wetlands'!$CM85,'6.Inland wetlands'!$CN85)</f>
        <v/>
      </c>
      <c r="J274" s="1111">
        <f>IFERROR(IF(AND(OR($C260="Other land",$C260="Degraded land"),$D$249=list!$J$210),INDEX(IPCC!$A$1854:$J$1865,MATCH(clim_moist,IPCC!$A$1854:$A$1865,0),MATCH('Inl. wetlands'!$C260,IPCC!$A$1854:$J$1854,0)),IF(AND(OR($C260="Other land",$C260="Degraded land"),$D$249=list!$J$211),INDEX(IPCC!$A$1854:$J$1865,MATCH(clim_moist,IPCC!$A$1854:A$1865,0),MATCH('Inl. wetlands'!$C260,IPCC!$A$1854:$J$1854,0)),IF($D$249=list!$J$210,INDEX(IPCC!$A$1854:$J$1865,MATCH(clim_moist,IPCC!$A$1854:$A$1865,0),MATCH('Inl. wetlands'!$C260,IPCC!$A$1854:$J$1854,0)),IF($D$249=list!$J$211,INDEX(IPCC!$A$1854:$J$1865,MATCH(clim_moist,IPCC!$A$1854:$A$1865,0),MATCH('Inl. wetlands'!$C260,IPCC!$A$1854:$J$1854,0)))))),0)</f>
        <v/>
      </c>
      <c r="K274" s="1161">
        <f>IF('6.Inland wetlands'!$CP85="",'6.Inland wetlands'!$CO85,'6.Inland wetlands'!$CP85)</f>
        <v/>
      </c>
      <c r="L274" s="1543">
        <f>IF('6.Inland wetlands'!M96=0, 0,'Inl. wetlands'!C274*44/12*'6.Inland wetlands'!M96)</f>
        <v/>
      </c>
      <c r="M274" s="1543">
        <f>IF('6.Inland wetlands'!N85=0, 'Inl. wetlands'!C274*44/12*'6.Inland wetlands'!N96, IF('6.Inland wetlands'!N96&lt;'6.Inland wetlands'!N85,0, 'Inl. wetlands'!C274*44/12*('6.Inland wetlands'!N96-'6.Inland wetlands'!N85)))</f>
        <v/>
      </c>
      <c r="N274" s="4360">
        <f>IF('6.Inland wetlands'!P85=0, 'Inl. wetlands'!C274*44/12*'6.Inland wetlands'!P96, IF('6.Inland wetlands'!P96&lt;'6.Inland wetlands'!P85,0, 'Inl. wetlands'!C274*44/12*('6.Inland wetlands'!P96-'6.Inland wetlands'!P85)))</f>
        <v/>
      </c>
      <c r="O274" s="4360">
        <f>IF('6.Inland wetlands'!M96=0, 0,'Inl. wetlands'!$E274*methane/1000*'6.Inland wetlands'!M96*(1-'6.Inland wetlands'!W96))</f>
        <v/>
      </c>
      <c r="P274" s="4360">
        <f>IF('6.Inland wetlands'!N85=0,'Inl. wetlands'!$E274*methane/1000*'6.Inland wetlands'!N96*(1-'6.Inland wetlands'!X96),IF('6.Inland wetlands'!N96&lt;'6.Inland wetlands'!N85,0, 'Inl. wetlands'!$E274*methane/1000*('6.Inland wetlands'!N96-'6.Inland wetlands'!N85)*(1-'6.Inland wetlands'!X96)))</f>
        <v/>
      </c>
      <c r="Q274" s="4360">
        <f>IF('6.Inland wetlands'!P85=0,'Inl. wetlands'!$E274*methane/1000*'6.Inland wetlands'!P96*(1-'6.Inland wetlands'!Y96),IF('6.Inland wetlands'!P96&lt;'6.Inland wetlands'!P85,0, 'Inl. wetlands'!$E274*methane/1000*('6.Inland wetlands'!P96-'6.Inland wetlands'!P85)*(1-'6.Inland wetlands'!Y96)))</f>
        <v/>
      </c>
      <c r="R274" s="4360">
        <f>IF('6.Inland wetlands'!M96=0, 0, 'Inl. wetlands'!$G274*'6.Inland wetlands'!M96*44/28*Nitrous/1000)</f>
        <v/>
      </c>
      <c r="S274" s="4360">
        <f>IF('6.Inland wetlands'!N85=0, 'Inl. wetlands'!$G274*'6.Inland wetlands'!N96*44/28*Nitrous/1000, IF('6.Inland wetlands'!N96&lt;'6.Inland wetlands'!N85,0, 'Inl. wetlands'!$G274*('6.Inland wetlands'!N96-'6.Inland wetlands'!N85)*44/28*Nitrous/1000))</f>
        <v/>
      </c>
      <c r="T274" s="4360">
        <f>IF('6.Inland wetlands'!P85=0, 'Inl. wetlands'!$G274*'6.Inland wetlands'!P96*44/28*Nitrous/1000, IF('6.Inland wetlands'!P96&lt;'6.Inland wetlands'!P85,0,'Inl. wetlands'!$G274*44/28*Nitrous/1000*('6.Inland wetlands'!P96-'6.Inland wetlands'!P85)))</f>
        <v/>
      </c>
      <c r="U274" s="4360">
        <f>IF('6.Inland wetlands'!M96=0, 0, 'Inl. wetlands'!$I274*'6.Inland wetlands'!M96*44/12)</f>
        <v/>
      </c>
      <c r="V274" s="4360">
        <f>IF('6.Inland wetlands'!N85=0, 'Inl. wetlands'!I274*44/12*'6.Inland wetlands'!N96, IF('6.Inland wetlands'!N96&lt;'6.Inland wetlands'!N85,0, 'Inl. wetlands'!I274*44/12*('6.Inland wetlands'!N96-'6.Inland wetlands'!N85)))</f>
        <v/>
      </c>
      <c r="W274" s="4360">
        <f>IF('6.Inland wetlands'!P85=0, 'Inl. wetlands'!I274*44/12*'6.Inland wetlands'!P96, IF('6.Inland wetlands'!P96&lt;'6.Inland wetlands'!P85,0, 'Inl. wetlands'!I274*44/12*('6.Inland wetlands'!P96-'6.Inland wetlands'!P85)))</f>
        <v/>
      </c>
      <c r="X274" s="4360">
        <f>IF('6.Inland wetlands'!M96=0,0, 'Inl. wetlands'!$K274/1000*methane*'6.Inland wetlands'!M96*'6.Inland wetlands'!$W96)</f>
        <v/>
      </c>
      <c r="Y274" s="4360">
        <f>IF('6.Inland wetlands'!N85=0,'Inl. wetlands'!$K274*methane/1000*'6.Inland wetlands'!N96*('6.Inland wetlands'!X96),IF('6.Inland wetlands'!N96&lt;'6.Inland wetlands'!N85,0, 'Inl. wetlands'!$K274*methane/1000*('6.Inland wetlands'!N96-'6.Inland wetlands'!N85)*('6.Inland wetlands'!X96)))</f>
        <v/>
      </c>
      <c r="Z274" s="4360">
        <f>IF('6.Inland wetlands'!P85=0,'Inl. wetlands'!$K274*methane/1000*'6.Inland wetlands'!P96*('6.Inland wetlands'!Y96),IF('6.Inland wetlands'!P96&lt;'6.Inland wetlands'!P85,0, 'Inl. wetlands'!$K274*methane/1000*('6.Inland wetlands'!P96-'6.Inland wetlands'!P85)*('6.Inland wetlands'!Y96)))</f>
        <v/>
      </c>
      <c r="AB274" s="3493">
        <f>MIN('Inl. wetlands'!L274,'Inl. wetlands'!M274)*time_tot+ABS('Inl. wetlands'!M274-'Inl. wetlands'!L274)*IF('Inl. wetlands'!M274&gt;'Inl. wetlands'!L274,time_cap+time*(VLOOKUP('6.Inland wetlands'!O96,list!$I$48:$K$50,3,0)),time*(1-(VLOOKUP('6.Inland wetlands'!O96,list!$I$48:$K$50,3,0))))+MIN('Inl. wetlands'!U274,'Inl. wetlands'!V274)*time_tot+ABS('Inl. wetlands'!V274-'Inl. wetlands'!U274)*IF('Inl. wetlands'!V274&gt;'Inl. wetlands'!U274,time_cap+time*(VLOOKUP('6.Inland wetlands'!O96,list!$I$48:$K$50,3,0)),time*(1-(VLOOKUP('6.Inland wetlands'!O96,list!$I$48:$K$50,3,0))))</f>
        <v/>
      </c>
      <c r="AC274" s="3493">
        <f>MIN('Inl. wetlands'!L274,'Inl. wetlands'!N274)*time_tot+ABS('Inl. wetlands'!N274-'Inl. wetlands'!L274)*IF('Inl. wetlands'!N274&gt;'Inl. wetlands'!L274,time_cap+time*(VLOOKUP('6.Inland wetlands'!Q96,list!$I$48:$K$50,3,0)),time*(1-(VLOOKUP('6.Inland wetlands'!Q96,list!$I$48:$K$50,3,0))))+MIN('Inl. wetlands'!U274,'Inl. wetlands'!W274)*time_tot+ABS('Inl. wetlands'!W274-'Inl. wetlands'!U274)*IF('Inl. wetlands'!W274&gt;'Inl. wetlands'!U274,time_cap+time*(VLOOKUP('6.Inland wetlands'!Q96,list!$I$48:$K$50,3,0)),time*(1-(VLOOKUP('6.Inland wetlands'!Q96,list!$I$48:$K$50,3,0))))</f>
        <v/>
      </c>
      <c r="AD274" s="1151">
        <f>MIN('Inl. wetlands'!O274,'Inl. wetlands'!P274)*time_tot+ABS('Inl. wetlands'!P274-'Inl. wetlands'!O274)*IF('Inl. wetlands'!P274&gt;'Inl. wetlands'!O274,time_cap+time*(VLOOKUP('6.Inland wetlands'!O96,list!$I$48:$K$50,3,0)),time*(1-(VLOOKUP('6.Inland wetlands'!O96,list!$I$48:$K$50,3,0))))+MIN('Inl. wetlands'!X274,'Inl. wetlands'!Y274)*time_tot+ABS('Inl. wetlands'!Y274-'Inl. wetlands'!X274)*IF('Inl. wetlands'!Y274&gt;'Inl. wetlands'!X274,time_cap+time*(VLOOKUP('6.Inland wetlands'!O96,list!$I$48:$K$50,3,0)),time*(1-(VLOOKUP('6.Inland wetlands'!O96,list!$I$48:$K$50,3,0))))</f>
        <v/>
      </c>
      <c r="AE274" s="1151">
        <f>MIN('Inl. wetlands'!O274,'Inl. wetlands'!Q274)*time_tot+ABS('Inl. wetlands'!Q274-'Inl. wetlands'!O274)*IF('Inl. wetlands'!Q274&gt;'Inl. wetlands'!O274,time_cap+time*(VLOOKUP('6.Inland wetlands'!Q96,list!$I$48:$K$50,3,0)),time*(1-(VLOOKUP('6.Inland wetlands'!Q96,list!$I$48:$K$50,3,0))))+MIN('Inl. wetlands'!X274,'Inl. wetlands'!Z274)*time_tot+ABS('Inl. wetlands'!Z274-'Inl. wetlands'!X274)*IF('Inl. wetlands'!Z274&gt;'Inl. wetlands'!X274,time_cap+time*(VLOOKUP('6.Inland wetlands'!Q96,list!$I$48:$K$50,3,0)),time*(1-(VLOOKUP('6.Inland wetlands'!Q96,list!$I$48:$K$50,3,0))))</f>
        <v/>
      </c>
      <c r="AF274" s="1151">
        <f>MIN('Inl. wetlands'!R274,'Inl. wetlands'!S274)*time_tot+ABS('Inl. wetlands'!S274-'Inl. wetlands'!R274)*IF('Inl. wetlands'!S274&gt;'Inl. wetlands'!R274,time_cap+time*(VLOOKUP('6.Inland wetlands'!O96,list!$I$48:$K$50,3,0)),time*(1-(VLOOKUP('6.Inland wetlands'!O96,list!$I$48:$K$50,3,0))))</f>
        <v/>
      </c>
      <c r="AG274" s="1151">
        <f>MIN('Inl. wetlands'!R274,'Inl. wetlands'!T274)*time_tot+ABS('Inl. wetlands'!T274-'Inl. wetlands'!R274)*IF('Inl. wetlands'!T274&gt;'Inl. wetlands'!R274,time_cap+time*(VLOOKUP('6.Inland wetlands'!Q96,list!$I$48:$K$50,3,0)),time*(1-(VLOOKUP('6.Inland wetlands'!Q96,list!$I$48:$K$50,3,0))))</f>
        <v/>
      </c>
      <c r="AI274" s="1270" t="inlineStr">
        <is>
          <t>ALL PERIOD</t>
        </is>
      </c>
      <c r="AJ274" s="1116" t="n"/>
      <c r="AK274" s="1116" t="n"/>
      <c r="AX274" s="1449">
        <f>$M274*time*(VLOOKUP($G260,list!$J$48:$K$50,2,0))</f>
        <v/>
      </c>
      <c r="AY274" s="1449">
        <f>$N274*time*(VLOOKUP($K260,list!$J$48:$K$50,2,0))</f>
        <v/>
      </c>
      <c r="AZ274" s="1449">
        <f>$P274*time*(VLOOKUP($G260,list!$J$48:$K$50,2,0))</f>
        <v/>
      </c>
      <c r="BA274" s="1449">
        <f>$Q274*time*(VLOOKUP($K260,list!$J$48:$K$50,2,0))</f>
        <v/>
      </c>
      <c r="BB274" s="1449">
        <f>$S274*time*(VLOOKUP($G260,list!$J$48:$K$50,2,0))</f>
        <v/>
      </c>
      <c r="BC274" s="1449">
        <f>$T274*time*(VLOOKUP($K260,list!$J$48:$K$50,2,0))</f>
        <v/>
      </c>
      <c r="BD274" s="1449">
        <f>$V274*time*(VLOOKUP($G260,list!$J$48:$K$50,2,0))</f>
        <v/>
      </c>
      <c r="BE274" s="1449">
        <f>$W274*time*(VLOOKUP($K260,list!$J$48:$K$50,2,0))</f>
        <v/>
      </c>
      <c r="BF274" s="1449">
        <f>$Y274*time*(VLOOKUP($G260,list!$J$48:$K$50,2,0))</f>
        <v/>
      </c>
      <c r="BG274" s="1449">
        <f>$Z274*time*(VLOOKUP($K260,list!$J$48:$K$50,2,0))</f>
        <v/>
      </c>
    </row>
    <row r="275" ht="16" customHeight="1">
      <c r="N275" s="1057" t="n"/>
      <c r="O275" s="1230" t="n"/>
      <c r="AI275" s="1270" t="inlineStr">
        <is>
          <t>DRAINAGE</t>
        </is>
      </c>
      <c r="AJ275" s="1116" t="n"/>
      <c r="AK275" s="1116" t="n"/>
    </row>
    <row r="276">
      <c r="A276" s="1264" t="inlineStr">
        <is>
          <t>FINAL</t>
        </is>
      </c>
      <c r="B276" s="1271" t="inlineStr">
        <is>
          <t>Drainage On-site emission factors</t>
        </is>
      </c>
      <c r="C276" s="1271" t="n"/>
      <c r="D276" s="1271" t="n"/>
      <c r="E276" s="1271" t="n"/>
      <c r="F276" s="1271" t="n"/>
      <c r="G276" s="1271" t="n"/>
      <c r="H276" s="1273" t="inlineStr">
        <is>
          <t>Drainage Off-site emission factors</t>
        </is>
      </c>
      <c r="I276" s="1273" t="n"/>
      <c r="J276" s="1273" t="n"/>
      <c r="K276" s="1273" t="n"/>
      <c r="L276" s="1271" t="inlineStr">
        <is>
          <t>Emissions from drainage in tCO2-e/yr</t>
        </is>
      </c>
      <c r="M276" s="1264" t="n"/>
      <c r="N276" s="1264" t="n"/>
      <c r="O276" s="1264" t="n"/>
      <c r="P276" s="1264" t="n"/>
      <c r="Q276" s="1264" t="n"/>
      <c r="R276" s="1264" t="n"/>
      <c r="S276" s="1264" t="n"/>
      <c r="T276" s="1264" t="n"/>
      <c r="U276" s="1273" t="n"/>
      <c r="V276" s="1273" t="n"/>
      <c r="W276" s="1273" t="n"/>
      <c r="X276" s="1261" t="n"/>
      <c r="Y276" s="1261" t="n"/>
      <c r="Z276" s="1261" t="n"/>
      <c r="AB276" s="1271" t="inlineStr">
        <is>
          <t>DRAINAGE EMISSIONS</t>
        </is>
      </c>
      <c r="AC276" s="1264" t="n"/>
      <c r="AD276" s="1264" t="n"/>
      <c r="AE276" s="1264" t="n"/>
      <c r="AF276" s="1264" t="n"/>
      <c r="AG276" s="1264" t="n"/>
      <c r="AI276" s="1102" t="inlineStr">
        <is>
          <t>WITHOUT</t>
        </is>
      </c>
      <c r="AJ276" s="1103" t="inlineStr">
        <is>
          <t>WITH</t>
        </is>
      </c>
      <c r="AK276" s="1104" t="inlineStr">
        <is>
          <t>BALANCE</t>
        </is>
      </c>
      <c r="AX276" s="1461">
        <f>SUM(AX269:AX274)</f>
        <v/>
      </c>
      <c r="AY276" s="1461">
        <f>SUM(AY269:AY274)</f>
        <v/>
      </c>
      <c r="AZ276" s="1461">
        <f>SUM(AZ269:AZ274)</f>
        <v/>
      </c>
      <c r="BA276" s="1461">
        <f>SUM(BA269:BA274)</f>
        <v/>
      </c>
      <c r="BB276" s="1461">
        <f>SUM(BB269:BB274)</f>
        <v/>
      </c>
      <c r="BC276" s="1461">
        <f>SUM(BC269:BC274)</f>
        <v/>
      </c>
      <c r="BD276" s="1461">
        <f>SUM(BD269:BD274)</f>
        <v/>
      </c>
      <c r="BE276" s="1461">
        <f>SUM(BE269:BE274)</f>
        <v/>
      </c>
      <c r="BF276" s="1461">
        <f>SUM(BF269:BF274)</f>
        <v/>
      </c>
      <c r="BG276" s="1461">
        <f>SUM(BG269:BG274)</f>
        <v/>
      </c>
    </row>
    <row r="277">
      <c r="A277" s="1264" t="n"/>
      <c r="B277" s="1271" t="inlineStr">
        <is>
          <t>CO2</t>
        </is>
      </c>
      <c r="C277" s="1264" t="n"/>
      <c r="D277" s="1271" t="inlineStr">
        <is>
          <t>CH4</t>
        </is>
      </c>
      <c r="E277" s="1264" t="n"/>
      <c r="F277" s="1271" t="inlineStr">
        <is>
          <t>N2O</t>
        </is>
      </c>
      <c r="G277" s="1264" t="n"/>
      <c r="H277" s="1273" t="inlineStr">
        <is>
          <t>DOC</t>
        </is>
      </c>
      <c r="I277" s="1261" t="n"/>
      <c r="J277" s="1273" t="inlineStr">
        <is>
          <t>CH4</t>
        </is>
      </c>
      <c r="K277" s="1261" t="n"/>
      <c r="L277" s="1264" t="inlineStr">
        <is>
          <t>Emissions from drainage</t>
        </is>
      </c>
      <c r="M277" s="1264" t="n"/>
      <c r="N277" s="1264" t="n"/>
      <c r="O277" s="1264" t="n"/>
      <c r="P277" s="1264" t="n"/>
      <c r="Q277" s="1264" t="n"/>
      <c r="R277" s="1264" t="n"/>
      <c r="S277" s="1264" t="n"/>
      <c r="T277" s="1264" t="n"/>
      <c r="U277" s="1273" t="n"/>
      <c r="V277" s="1273" t="n"/>
      <c r="W277" s="1273" t="n"/>
      <c r="X277" s="1261" t="n"/>
      <c r="Y277" s="1261" t="n"/>
      <c r="Z277" s="1279" t="n"/>
      <c r="AB277" s="1271" t="inlineStr">
        <is>
          <t>Emissions in tCO2eq All period</t>
        </is>
      </c>
      <c r="AC277" s="1264" t="n"/>
      <c r="AD277" s="1264" t="n"/>
      <c r="AE277" s="1264" t="n"/>
      <c r="AF277" s="1264" t="n"/>
      <c r="AG277" s="1264" t="n"/>
      <c r="AI277" s="1151">
        <f>SUM('Inl. wetlands'!AB269,'Inl. wetlands'!AD269,'Inl. wetlands'!AF269)+AB280+AD280+AF280</f>
        <v/>
      </c>
      <c r="AJ277" s="1151">
        <f>SUM('Inl. wetlands'!AC269,'Inl. wetlands'!AE269,'Inl. wetlands'!AG269)+AC280+AE280+AG280</f>
        <v/>
      </c>
      <c r="AK277" s="3503">
        <f>AJ277-AI277</f>
        <v/>
      </c>
      <c r="AX277" s="1461" t="n"/>
      <c r="AY277" s="1461" t="n"/>
      <c r="AZ277" s="1461" t="n"/>
      <c r="BA277" s="1461" t="n"/>
      <c r="BB277" s="1461" t="n"/>
      <c r="BC277" s="1461" t="n"/>
      <c r="BD277" s="1461" t="n"/>
      <c r="BE277" s="1461" t="n"/>
      <c r="BF277" s="1461" t="n"/>
      <c r="BG277" s="1461" t="n"/>
    </row>
    <row r="278">
      <c r="A278" s="1264" t="n"/>
      <c r="B278" s="1264" t="inlineStr">
        <is>
          <t>tC/ha/yr</t>
        </is>
      </c>
      <c r="C278" s="1264" t="n"/>
      <c r="D278" s="1264" t="inlineStr">
        <is>
          <t>kgCH4/ha/yr</t>
        </is>
      </c>
      <c r="E278" s="1264" t="n"/>
      <c r="F278" s="1264" t="inlineStr">
        <is>
          <t>kgN2O-N/ha/yr</t>
        </is>
      </c>
      <c r="G278" s="1264" t="n"/>
      <c r="H278" s="1261" t="inlineStr">
        <is>
          <t>tC/ha/yr</t>
        </is>
      </c>
      <c r="I278" s="1261" t="n"/>
      <c r="J278" s="1261" t="inlineStr">
        <is>
          <t>kgCH4/ha/yr</t>
        </is>
      </c>
      <c r="K278" s="1261" t="n"/>
      <c r="L278" s="1271" t="inlineStr">
        <is>
          <t>CO2</t>
        </is>
      </c>
      <c r="M278" s="1264" t="n"/>
      <c r="N278" s="1271" t="n"/>
      <c r="O278" s="1271" t="inlineStr">
        <is>
          <t>CH4</t>
        </is>
      </c>
      <c r="P278" s="1264" t="n"/>
      <c r="Q278" s="1271" t="n"/>
      <c r="R278" s="1271" t="inlineStr">
        <is>
          <t>N2O</t>
        </is>
      </c>
      <c r="S278" s="1264" t="n"/>
      <c r="T278" s="1271" t="n"/>
      <c r="U278" s="1273" t="inlineStr">
        <is>
          <t>DOC</t>
        </is>
      </c>
      <c r="V278" s="1273" t="n"/>
      <c r="W278" s="1273" t="n"/>
      <c r="X278" s="1273" t="inlineStr">
        <is>
          <t>CH4</t>
        </is>
      </c>
      <c r="Y278" s="1261" t="n"/>
      <c r="Z278" s="1273" t="n"/>
      <c r="AB278" s="1264" t="inlineStr">
        <is>
          <t>CO2&amp;DOC</t>
        </is>
      </c>
      <c r="AC278" s="1264" t="n"/>
      <c r="AD278" s="1264" t="inlineStr">
        <is>
          <t>CH4</t>
        </is>
      </c>
      <c r="AE278" s="1264" t="n"/>
      <c r="AF278" s="1264" t="inlineStr">
        <is>
          <t>N2O</t>
        </is>
      </c>
      <c r="AG278" s="1264" t="n"/>
      <c r="AI278" s="1151">
        <f>SUM('Inl. wetlands'!AB270,'Inl. wetlands'!AD270,'Inl. wetlands'!AF270)+AB281+AD281+AF281</f>
        <v/>
      </c>
      <c r="AJ278" s="1151">
        <f>SUM('Inl. wetlands'!AC270,'Inl. wetlands'!AE270,'Inl. wetlands'!AG270)+AC281+AE281+AG281</f>
        <v/>
      </c>
      <c r="AK278" s="3503">
        <f>AJ278-AI278</f>
        <v/>
      </c>
      <c r="AX278" s="1461" t="n"/>
      <c r="AY278" s="1461" t="n"/>
      <c r="AZ278" s="1461" t="n"/>
      <c r="BA278" s="1461" t="n"/>
      <c r="BB278" s="1461" t="n"/>
      <c r="BC278" s="1461" t="n"/>
      <c r="BD278" s="1461" t="n"/>
      <c r="BE278" s="1461" t="n"/>
      <c r="BF278" s="1461" t="n"/>
      <c r="BG278" s="1461" t="n"/>
    </row>
    <row r="279">
      <c r="A279" s="1264" t="n"/>
      <c r="B279" s="1272" t="inlineStr">
        <is>
          <t>IPCC</t>
        </is>
      </c>
      <c r="C279" s="1272" t="inlineStr">
        <is>
          <t>Tier 2</t>
        </is>
      </c>
      <c r="D279" s="1272" t="inlineStr">
        <is>
          <t>IPCC</t>
        </is>
      </c>
      <c r="E279" s="1272" t="inlineStr">
        <is>
          <t>Tier 2</t>
        </is>
      </c>
      <c r="F279" s="1272" t="inlineStr">
        <is>
          <t>IPCC</t>
        </is>
      </c>
      <c r="G279" s="1272" t="inlineStr">
        <is>
          <t>Tier 2</t>
        </is>
      </c>
      <c r="H279" s="1274" t="inlineStr">
        <is>
          <t>IPCC</t>
        </is>
      </c>
      <c r="I279" s="1274" t="inlineStr">
        <is>
          <t>Tier 2</t>
        </is>
      </c>
      <c r="J279" s="1274" t="inlineStr">
        <is>
          <t>IPCC</t>
        </is>
      </c>
      <c r="K279" s="1274" t="inlineStr">
        <is>
          <t>Tier 2</t>
        </is>
      </c>
      <c r="L279" s="973" t="inlineStr">
        <is>
          <t>Start</t>
        </is>
      </c>
      <c r="M279" s="1102" t="inlineStr">
        <is>
          <t>Without</t>
        </is>
      </c>
      <c r="N279" s="1103" t="inlineStr">
        <is>
          <t>With</t>
        </is>
      </c>
      <c r="O279" s="973" t="inlineStr">
        <is>
          <t>Start</t>
        </is>
      </c>
      <c r="P279" s="1102" t="inlineStr">
        <is>
          <t>Without</t>
        </is>
      </c>
      <c r="Q279" s="1103" t="inlineStr">
        <is>
          <t>With</t>
        </is>
      </c>
      <c r="R279" s="973" t="inlineStr">
        <is>
          <t>Start</t>
        </is>
      </c>
      <c r="S279" s="1102" t="inlineStr">
        <is>
          <t>Without</t>
        </is>
      </c>
      <c r="T279" s="1103" t="inlineStr">
        <is>
          <t>With</t>
        </is>
      </c>
      <c r="U279" s="973" t="inlineStr">
        <is>
          <t>Start</t>
        </is>
      </c>
      <c r="V279" s="1102" t="inlineStr">
        <is>
          <t>Without</t>
        </is>
      </c>
      <c r="W279" s="1103" t="inlineStr">
        <is>
          <t>With</t>
        </is>
      </c>
      <c r="X279" s="973" t="inlineStr">
        <is>
          <t>Start</t>
        </is>
      </c>
      <c r="Y279" s="1102" t="inlineStr">
        <is>
          <t>Without</t>
        </is>
      </c>
      <c r="Z279" s="1103" t="inlineStr">
        <is>
          <t>With</t>
        </is>
      </c>
      <c r="AB279" s="1102" t="inlineStr">
        <is>
          <t>Without</t>
        </is>
      </c>
      <c r="AC279" s="1103" t="inlineStr">
        <is>
          <t>With</t>
        </is>
      </c>
      <c r="AD279" s="1102" t="inlineStr">
        <is>
          <t>Without</t>
        </is>
      </c>
      <c r="AE279" s="1103" t="inlineStr">
        <is>
          <t>With</t>
        </is>
      </c>
      <c r="AF279" s="1102" t="inlineStr">
        <is>
          <t>Without</t>
        </is>
      </c>
      <c r="AG279" s="1103" t="inlineStr">
        <is>
          <t>With</t>
        </is>
      </c>
      <c r="AI279" s="1151">
        <f>SUM('Inl. wetlands'!AB271,'Inl. wetlands'!AD271,'Inl. wetlands'!AF271)+AB282+AD282+AF282</f>
        <v/>
      </c>
      <c r="AJ279" s="1151">
        <f>SUM('Inl. wetlands'!AC271,'Inl. wetlands'!AE271,'Inl. wetlands'!AG271)+AC282+AE282+AG282</f>
        <v/>
      </c>
      <c r="AK279" s="3503">
        <f>AJ279-AI279</f>
        <v/>
      </c>
      <c r="AX279" s="1461" t="n"/>
      <c r="AY279" s="1461" t="n"/>
      <c r="AZ279" s="1461" t="n"/>
      <c r="BA279" s="1461" t="n"/>
      <c r="BB279" s="1461" t="n"/>
      <c r="BC279" s="1461" t="n"/>
      <c r="BD279" s="1461" t="n"/>
      <c r="BE279" s="1461" t="n"/>
      <c r="BF279" s="1461" t="n"/>
      <c r="BG279" s="1461" t="n"/>
    </row>
    <row r="280">
      <c r="A280" s="1264" t="inlineStr">
        <is>
          <t>S1</t>
        </is>
      </c>
      <c r="B280" s="4718">
        <f>IFERROR(IF(AND(OR('Inl. wetlands'!$E255="Other land",'Inl. wetlands'!$E255="Degraded land"),'Inl. wetlands'!$J$249=list!$J$210),INDEX(IPCC!$A$1762:$J$1773,MATCH(clim_moist,IPCC!$A$1762:$A$1773,0),MATCH('Inl. wetlands'!$E255,IPCC!$A$1762:$J$1762,0)),IF(AND(OR('Inl. wetlands'!$E255="Other land",'Inl. wetlands'!$E255="Degraded land"),'Inl. wetlands'!$J$249=list!$J$211),INDEX(IPCC!$A$1781:$J$1792,MATCH(clim_moist,IPCC!$A$1781:$A$1792,0),MATCH('Inl. wetlands'!$E255,IPCC!$A$1781:$J$1781,0)),IF('Inl. wetlands'!$J$249=list!$J$210,INDEX(IPCC!$A$1762:$J$1773,MATCH(clim_moist,IPCC!$A$1781:$A$1792,0),MATCH('Inl. wetlands'!$E255,IPCC!$A$1781:$J$1781,0)),IF('Inl. wetlands'!$J$249=list!$J$211,INDEX(IPCC!$A$1781:$J$1792,MATCH(clim_moist,IPCC!$A$1781:$A$1792,0),MATCH('Inl. wetlands'!$E255,IPCC!$A$1781:$J$1781,0)))))),0)</f>
        <v/>
      </c>
      <c r="C280" s="4642">
        <f>IF('6.Inland wetlands'!$CG93="",'6.Inland wetlands'!$CF93,'6.Inland wetlands'!$CG93)</f>
        <v/>
      </c>
      <c r="D280" s="4718">
        <f>IFERROR(IF(AND(OR('Inl. wetlands'!$E255="Other land",'Inl. wetlands'!$E255="Degraded land"),'Inl. wetlands'!$J$249=list!$J$210),INDEX(IPCC!$A$1818:$J$1829,MATCH(clim_moist,IPCC!$A$1818:$A$1829,0),MATCH('Inl. wetlands'!$E255,IPCC!$A$1818:$J$1818,0)),IF(AND(OR('Inl. wetlands'!$E255="Other land",'Inl. wetlands'!$E255="Degraded land"),'Inl. wetlands'!$J$249=list!$J$211),INDEX(IPCC!$A$1836:$J$1847,MATCH(clim_moist,IPCC!$A$1836:$A$1847,0),MATCH('Inl. wetlands'!$E255,IPCC!$A$1836:$J$1836,0)),IF('Inl. wetlands'!$J$249=list!$J$210,INDEX(IPCC!$A$1818:$J$1829,MATCH(clim_moist,IPCC!$A$1818:$A$1829,0),MATCH('Inl. wetlands'!$E255,IPCC!$A$1818:$J$1818,0)),IF('Inl. wetlands'!$J$249=list!$J$211,INDEX(IPCC!$A$1836:$J$1847,MATCH(clim_moist,IPCC!$A$1836:$A$1847,0),MATCH('Inl. wetlands'!$E255,IPCC!$A$1836:$J$1836,0)))))),0)</f>
        <v/>
      </c>
      <c r="E280" s="4642">
        <f>IF('6.Inland wetlands'!$CI93="",'6.Inland wetlands'!$CH93,'6.Inland wetlands'!$CI93)</f>
        <v/>
      </c>
      <c r="F280" s="4718">
        <f>IFERROR(IF(AND(OR('Inl. wetlands'!$E255="Other land",'Inl. wetlands'!$E255="Degraded land"),'Inl. wetlands'!$J$249=list!$J$210),INDEX(IPCC!$A$1872:$J$1883,MATCH(clim_moist,IPCC!$A$1872:$A$1883,0),MATCH('Inl. wetlands'!$E255,IPCC!$A$1872:$J$1872,0)),IF(AND(OR('Inl. wetlands'!$E255="Other land",'Inl. wetlands'!$E255="Degraded land"),'Inl. wetlands'!$J$249=list!$J$211),INDEX(IPCC!$A$1890:$J$1901,MATCH(clim_moist,IPCC!$A$1890:$A$1901,0),MATCH('Inl. wetlands'!$E255,IPCC!$A$1890:$J$1890,0)),IF('Inl. wetlands'!$J$249=list!$J$210,INDEX(IPCC!$A$1872:$J$1883,MATCH(clim_moist,IPCC!$A$1872:$A$1883,0),MATCH('Inl. wetlands'!$E255,IPCC!$A$1872:$J$1872,0)),IF('Inl. wetlands'!$J$249=list!$J$211,INDEX(IPCC!$A$1890:$J$1901,MATCH(clim_moist,IPCC!$A$1890:$A$1901,0),MATCH('Inl. wetlands'!$E255,IPCC!$A$1890:$J$1890,0)))))),0)</f>
        <v/>
      </c>
      <c r="G280" s="4642">
        <f>IF('6.Inland wetlands'!$CK93="",'6.Inland wetlands'!$CJ93,'6.Inland wetlands'!$CK93)</f>
        <v/>
      </c>
      <c r="H280" s="4718">
        <f>IFERROR(IF(AND(OR('Inl. wetlands'!$E255="Other land",'Inl. wetlands'!$E255="Degraded land"),'Inl. wetlands'!$J$249=list!$J$210),INDEX(IPCC!$A$1800:$J$1811,MATCH(clim_moist,IPCC!$A$1800:$A$1811,0),MATCH('Inl. wetlands'!$E255,IPCC!$A$1800:$J$1800,0)),IF(AND(OR('Inl. wetlands'!$E255="Other land",'Inl. wetlands'!$E255="Degraded land"),'Inl. wetlands'!$J$249=list!$J$211),INDEX(IPCC!$A$1800:$J$1811,MATCH(clim_moist,IPCC!$A$1800:$A$1811,0),MATCH('Inl. wetlands'!$E255,IPCC!$A$1800:$J$1800,0)),IF('Inl. wetlands'!$J$249=list!$J$210,INDEX(IPCC!$A$1800:$J$1811,MATCH(clim_moist,IPCC!$A$1800:$A$1811,0),MATCH('Inl. wetlands'!$E255,IPCC!$A$1800:$J$1800,0)),IF('Inl. wetlands'!$J$249=list!$J$211,INDEX(IPCC!$A$1800:$J$1811,MATCH(clim_moist,IPCC!$A$1800:$A$1811,0),MATCH('Inl. wetlands'!$E255,IPCC!$A$1800:$J$1800,0)))))),0)</f>
        <v/>
      </c>
      <c r="I280" s="1162">
        <f>IF('6.Inland wetlands'!$CN93="",'6.Inland wetlands'!$CM93,'6.Inland wetlands'!$CN93)</f>
        <v/>
      </c>
      <c r="J280" s="1111">
        <f>IFERROR(IF(AND(OR('Inl. wetlands'!$E255="Other land",'Inl. wetlands'!$E255="Degraded land"),'Inl. wetlands'!$J$249=list!$J$210),INDEX(IPCC!$A$1854:$J$1865,MATCH(clim_moist,IPCC!$A$1854:$A$1865,0),MATCH('Inl. wetlands'!$E255,IPCC!$A$1854:$J$1854,0)),IF(AND(OR('Inl. wetlands'!$E255="Other land",'Inl. wetlands'!$E255="Degraded land"),'Inl. wetlands'!$J$249=list!$J$211),INDEX(IPCC!$A$1854:$J$1865,MATCH(clim_moist,IPCC!$A$1854:A$1865,0),MATCH('Inl. wetlands'!$E255,IPCC!$A$1854:$J$1854,0)),IF('Inl. wetlands'!$J$249=list!$J$210,INDEX(IPCC!$A$1854:$J$1865,MATCH(clim_moist,IPCC!$A$1854:$A$1865,0),MATCH('Inl. wetlands'!$E255,IPCC!$A$1854:$J$1854,0)),IF('Inl. wetlands'!$J$249=list!$J$211,INDEX(IPCC!$A$1854:$J$1865,MATCH(clim_moist,IPCC!$A$1854:$A$1865,0),MATCH('Inl. wetlands'!$E255,IPCC!$A$1854:$J$1854,0)))))),0)</f>
        <v/>
      </c>
      <c r="K280" s="1161">
        <f>IF('6.Inland wetlands'!$CP93="",'6.Inland wetlands'!$CO93,'6.Inland wetlands'!$CP93)</f>
        <v/>
      </c>
      <c r="L280" s="1543" t="n">
        <v>0</v>
      </c>
      <c r="M280" s="1543">
        <f>IF('6.Inland wetlands'!N80=0, 0, IF('6.Inland wetlands'!N91&lt;'6.Inland wetlands'!N80, 'Inl. wetlands'!C280*44/12*'6.Inland wetlands'!N91, 'Inl. wetlands'!C280*44/12*('6.Inland wetlands'!N80)))</f>
        <v/>
      </c>
      <c r="N280" s="4360">
        <f>IF('6.Inland wetlands'!P80=0, 0, IF('6.Inland wetlands'!P91&lt;'6.Inland wetlands'!P80, 'Inl. wetlands'!C280*44/12*'6.Inland wetlands'!P91, 'Inl. wetlands'!C280*44/12*('6.Inland wetlands'!P80)))</f>
        <v/>
      </c>
      <c r="O280" s="1543" t="n">
        <v>0</v>
      </c>
      <c r="P280" s="4360">
        <f>IF('6.Inland wetlands'!N80=0, 0, IF('6.Inland wetlands'!N91&lt;'6.Inland wetlands'!N80, 'Inl. wetlands'!E280*methane/1000*'6.Inland wetlands'!N91*(1-'6.Inland wetlands'!X91), 'Inl. wetlands'!E280*methane/1000*('6.Inland wetlands'!N80*(1-'6.Inland wetlands'!X91))))</f>
        <v/>
      </c>
      <c r="Q280" s="4360">
        <f>IF('6.Inland wetlands'!P80=0, 0, IF('6.Inland wetlands'!P91&lt;'6.Inland wetlands'!P80, 'Inl. wetlands'!E280*methane/1000*'6.Inland wetlands'!P91*(1-'6.Inland wetlands'!Y91), 'Inl. wetlands'!E280*methane/1000*('6.Inland wetlands'!P80*(1-'6.Inland wetlands'!Y91))))</f>
        <v/>
      </c>
      <c r="R280" s="1543" t="n">
        <v>0</v>
      </c>
      <c r="S280" s="4360">
        <f>IF('6.Inland wetlands'!N80=0, 0, IF('6.Inland wetlands'!N91&lt;'6.Inland wetlands'!N80, 'Inl. wetlands'!G280*44/28*Nitrous/1000*'6.Inland wetlands'!N91, 'Inl. wetlands'!G280*44/28*Nitrous/1000*('6.Inland wetlands'!N80)))</f>
        <v/>
      </c>
      <c r="T280" s="4360">
        <f>IF('6.Inland wetlands'!P80=0, 0, IF('6.Inland wetlands'!P91&lt;'6.Inland wetlands'!P80, 'Inl. wetlands'!G280*44/28*Nitrous/1000*'6.Inland wetlands'!P91, 'Inl. wetlands'!G280*44/28*Nitrous/1000*('6.Inland wetlands'!P80)))</f>
        <v/>
      </c>
      <c r="U280" s="1543" t="n">
        <v>0</v>
      </c>
      <c r="V280" s="4360">
        <f>IF('6.Inland wetlands'!N80=0, 0, IF('6.Inland wetlands'!N91&lt;'6.Inland wetlands'!N80, 'Inl. wetlands'!I280*44/12*'6.Inland wetlands'!N91, 'Inl. wetlands'!I280*44/12*('6.Inland wetlands'!N80)))</f>
        <v/>
      </c>
      <c r="W280" s="4360">
        <f>IF('6.Inland wetlands'!P80=0, 0, IF('6.Inland wetlands'!P91&lt;'6.Inland wetlands'!P80, 'Inl. wetlands'!I280*44/12*'6.Inland wetlands'!P91, 'Inl. wetlands'!I280*44/12*('6.Inland wetlands'!P80)))</f>
        <v/>
      </c>
      <c r="X280" s="1543" t="n">
        <v>0</v>
      </c>
      <c r="Y280" s="4734">
        <f>IF('6.Inland wetlands'!N80=0, 0, IF('6.Inland wetlands'!N91&lt;'6.Inland wetlands'!N80, 'Inl. wetlands'!K280*methane/1000*'6.Inland wetlands'!N91*('6.Inland wetlands'!X91), 'Inl. wetlands'!K280*methane/1000*('6.Inland wetlands'!N80*('6.Inland wetlands'!X91))))</f>
        <v/>
      </c>
      <c r="Z280" s="4734">
        <f>IF('6.Inland wetlands'!P80=0, 0, IF('6.Inland wetlands'!P91&lt;'6.Inland wetlands'!P80, 'Inl. wetlands'!K280*methane/1000*'6.Inland wetlands'!P91*('6.Inland wetlands'!Y91), 'Inl. wetlands'!K280*methane/1000*('6.Inland wetlands'!P80*('6.Inland wetlands'!Y91))))</f>
        <v/>
      </c>
      <c r="AB280" s="3493">
        <f>MIN('Inl. wetlands'!L280,'Inl. wetlands'!M280)*time_tot+ABS('Inl. wetlands'!M280-'Inl. wetlands'!L280)*IF('Inl. wetlands'!M280&gt;'Inl. wetlands'!L280,time_cap+time*(VLOOKUP('6.Inland wetlands'!O91,list!$I$48:$K$50,3,0)),time*(1-(VLOOKUP('6.Inland wetlands'!O91,list!$I$48:$K$50,3,0))))+MIN('Inl. wetlands'!U280,'Inl. wetlands'!V280)*time_tot+ABS('Inl. wetlands'!V280-'Inl. wetlands'!U280)*IF('Inl. wetlands'!V280&gt;'Inl. wetlands'!U280,time_cap+time*(VLOOKUP('6.Inland wetlands'!O91,list!$I$48:$K$50,3,0)),time*(1-(VLOOKUP('6.Inland wetlands'!O91,list!$I$48:$K$50,3,0))))</f>
        <v/>
      </c>
      <c r="AC280" s="3493">
        <f>MIN('Inl. wetlands'!L280,'Inl. wetlands'!N280)*time_tot+ABS('Inl. wetlands'!N280-'Inl. wetlands'!L280)*IF('Inl. wetlands'!N280&gt;'Inl. wetlands'!L280,time_cap+time*(VLOOKUP('6.Inland wetlands'!Q91,list!$I$48:$K$50,3,0)),time*(1-(VLOOKUP('6.Inland wetlands'!Q91,list!$I$48:$K$50,3,0))))+MIN('Inl. wetlands'!U280,'Inl. wetlands'!W280)*time_tot+ABS('Inl. wetlands'!W280-'Inl. wetlands'!U280)*IF('Inl. wetlands'!W280&gt;'Inl. wetlands'!U280,time_cap+time*(VLOOKUP('6.Inland wetlands'!Q91,list!$I$48:$K$50,3,0)),time*(1-(VLOOKUP('6.Inland wetlands'!Q91,list!$I$48:$K$50,3,0))))</f>
        <v/>
      </c>
      <c r="AD280" s="1151">
        <f>MIN('Inl. wetlands'!O280,'Inl. wetlands'!P280)*time_tot+ABS('Inl. wetlands'!P280-'Inl. wetlands'!O280)*IF('Inl. wetlands'!P280&gt;'Inl. wetlands'!O280,time_cap+time*(VLOOKUP('6.Inland wetlands'!O91,list!$I$48:$K$50,3,0)),time*(1-(VLOOKUP('6.Inland wetlands'!O91,list!$I$48:$K$50,3,0))))+MIN('Inl. wetlands'!X280,'Inl. wetlands'!Y280)*time_tot+ABS('Inl. wetlands'!Y280-'Inl. wetlands'!X280)*IF('Inl. wetlands'!Y280&gt;'Inl. wetlands'!X280,time_cap+time*(VLOOKUP('6.Inland wetlands'!O91,list!$I$48:$K$50,3,0)),time*(1-(VLOOKUP('6.Inland wetlands'!O91,list!$I$48:$K$50,3,0))))</f>
        <v/>
      </c>
      <c r="AE280" s="1151">
        <f>MIN('Inl. wetlands'!O280,'Inl. wetlands'!Q280)*time_tot+ABS('Inl. wetlands'!Q280-'Inl. wetlands'!O280)*IF('Inl. wetlands'!Q280&gt;'Inl. wetlands'!O280,time_cap+time*(VLOOKUP('6.Inland wetlands'!Q91,list!$I$48:$K$50,3,0)),time*(1-(VLOOKUP('6.Inland wetlands'!Q91,list!$I$48:$K$50,3,0))))+MIN('Inl. wetlands'!X280,'Inl. wetlands'!Z280)*time_tot+ABS('Inl. wetlands'!Z280-'Inl. wetlands'!X280)*IF('Inl. wetlands'!Z280&gt;'Inl. wetlands'!X280,time_cap+time*(VLOOKUP('6.Inland wetlands'!Q91,list!$I$48:$K$50,3,0)),time*(1-(VLOOKUP('6.Inland wetlands'!Q91,list!$I$48:$K$50,3,0))))</f>
        <v/>
      </c>
      <c r="AF280" s="1151">
        <f>MIN('Inl. wetlands'!R280,'Inl. wetlands'!S280)*time_tot+ABS('Inl. wetlands'!S280-'Inl. wetlands'!R280)*IF('Inl. wetlands'!S280&gt;'Inl. wetlands'!R280,time_cap+time*(VLOOKUP('6.Inland wetlands'!O91,list!$I$48:$K$50,3,0)),time*(1-(VLOOKUP('6.Inland wetlands'!O91,list!$I$48:$K$50,3,0))))</f>
        <v/>
      </c>
      <c r="AG280" s="1151">
        <f>MIN('Inl. wetlands'!R280,'Inl. wetlands'!T280)*time_tot+ABS('Inl. wetlands'!T280-'Inl. wetlands'!R280)*IF('Inl. wetlands'!T280&gt;'Inl. wetlands'!R280,time_cap+time*(VLOOKUP('6.Inland wetlands'!Q91,list!$I$48:$K$50,3,0)),time*(1-(VLOOKUP('6.Inland wetlands'!Q91,list!$I$48:$K$50,3,0))))</f>
        <v/>
      </c>
      <c r="AI280" s="1151">
        <f>SUM('Inl. wetlands'!AB272,'Inl. wetlands'!AD272,'Inl. wetlands'!AF272)+AB283+AD283+AF283</f>
        <v/>
      </c>
      <c r="AJ280" s="1151">
        <f>SUM('Inl. wetlands'!AC272,'Inl. wetlands'!AE272,'Inl. wetlands'!AG272)+AC283+AE283+AG283</f>
        <v/>
      </c>
      <c r="AK280" s="3503">
        <f>AJ280-AI280</f>
        <v/>
      </c>
      <c r="AX280" s="1461" t="n"/>
      <c r="AY280" s="1461" t="n"/>
      <c r="AZ280" s="1461" t="n"/>
      <c r="BA280" s="1461" t="n"/>
      <c r="BB280" s="1461" t="n"/>
      <c r="BC280" s="1461" t="n"/>
      <c r="BD280" s="1461" t="n"/>
      <c r="BE280" s="1461" t="n"/>
      <c r="BF280" s="1461" t="n"/>
      <c r="BG280" s="1461" t="n"/>
    </row>
    <row r="281">
      <c r="A281" s="1264" t="inlineStr">
        <is>
          <t>S2</t>
        </is>
      </c>
      <c r="B281" s="4718">
        <f>IFERROR(IF(AND(OR('Inl. wetlands'!$E256="Other land",'Inl. wetlands'!$E256="Degraded land"),'Inl. wetlands'!$J$249=list!$J$210),INDEX(IPCC!$A$1762:$J$1773,MATCH(clim_moist,IPCC!$A$1762:$A$1773,0),MATCH('Inl. wetlands'!$E256,IPCC!$A$1762:$J$1762,0)),IF(AND(OR('Inl. wetlands'!$E256="Other land",'Inl. wetlands'!$E256="Degraded land"),'Inl. wetlands'!$J$249=list!$J$211),INDEX(IPCC!$A$1781:$J$1792,MATCH(clim_moist,IPCC!$A$1781:$A$1792,0),MATCH('Inl. wetlands'!$E256,IPCC!$A$1781:$J$1781,0)),IF('Inl. wetlands'!$J$249=list!$J$210,INDEX(IPCC!$A$1762:$J$1773,MATCH(clim_moist,IPCC!$A$1781:$A$1792,0),MATCH('Inl. wetlands'!$E256,IPCC!$A$1781:$J$1781,0)),IF('Inl. wetlands'!$J$249=list!$J$211,INDEX(IPCC!$A$1781:$J$1792,MATCH(clim_moist,IPCC!$A$1781:$A$1792,0),MATCH('Inl. wetlands'!$E256,IPCC!$A$1781:$J$1781,0)))))),0)</f>
        <v/>
      </c>
      <c r="C281" s="4642">
        <f>IF('6.Inland wetlands'!$CG94="",'6.Inland wetlands'!$CF94,'6.Inland wetlands'!$CG94)</f>
        <v/>
      </c>
      <c r="D281" s="4718">
        <f>IFERROR(IF(AND(OR('Inl. wetlands'!$E256="Other land",'Inl. wetlands'!$E256="Degraded land"),'Inl. wetlands'!$J$249=list!$J$210),INDEX(IPCC!$A$1818:$J$1829,MATCH(clim_moist,IPCC!$A$1818:$A$1829,0),MATCH('Inl. wetlands'!$E256,IPCC!$A$1818:$J$1818,0)),IF(AND(OR('Inl. wetlands'!$E256="Other land",'Inl. wetlands'!$E256="Degraded land"),'Inl. wetlands'!$J$249=list!$J$211),INDEX(IPCC!$A$1836:$J$1847,MATCH(clim_moist,IPCC!$A$1836:$A$1847,0),MATCH('Inl. wetlands'!$E256,IPCC!$A$1836:$J$1836,0)),IF('Inl. wetlands'!$J$249=list!$J$210,INDEX(IPCC!$A$1818:$J$1829,MATCH(clim_moist,IPCC!$A$1818:$A$1829,0),MATCH('Inl. wetlands'!$E256,IPCC!$A$1818:$J$1818,0)),IF('Inl. wetlands'!$J$249=list!$J$211,INDEX(IPCC!$A$1836:$J$1847,MATCH(clim_moist,IPCC!$A$1836:$A$1847,0),MATCH('Inl. wetlands'!$E256,IPCC!$A$1836:$J$1836,0)))))),0)</f>
        <v/>
      </c>
      <c r="E281" s="4642">
        <f>IF('6.Inland wetlands'!$CI94="",'6.Inland wetlands'!$CH94,'6.Inland wetlands'!$CI94)</f>
        <v/>
      </c>
      <c r="F281" s="4718">
        <f>IFERROR(IF(AND(OR('Inl. wetlands'!$E256="Other land",'Inl. wetlands'!$E256="Degraded land"),'Inl. wetlands'!$J$249=list!$J$210),INDEX(IPCC!$A$1872:$J$1883,MATCH(clim_moist,IPCC!$A$1872:$A$1883,0),MATCH('Inl. wetlands'!$E256,IPCC!$A$1872:$J$1872,0)),IF(AND(OR('Inl. wetlands'!$E256="Other land",'Inl. wetlands'!$E256="Degraded land"),'Inl. wetlands'!$J$249=list!$J$211),INDEX(IPCC!$A$1890:$J$1901,MATCH(clim_moist,IPCC!$A$1890:$A$1901,0),MATCH('Inl. wetlands'!$E256,IPCC!$A$1890:$J$1890,0)),IF('Inl. wetlands'!$J$249=list!$J$210,INDEX(IPCC!$A$1872:$J$1883,MATCH(clim_moist,IPCC!$A$1872:$A$1883,0),MATCH('Inl. wetlands'!$E256,IPCC!$A$1872:$J$1872,0)),IF('Inl. wetlands'!$J$249=list!$J$211,INDEX(IPCC!$A$1890:$J$1901,MATCH(clim_moist,IPCC!$A$1890:$A$1901,0),MATCH('Inl. wetlands'!$E256,IPCC!$A$1890:$J$1890,0)))))),0)</f>
        <v/>
      </c>
      <c r="G281" s="4642">
        <f>IF('6.Inland wetlands'!$CK94="",'6.Inland wetlands'!$CJ94,'6.Inland wetlands'!$CK94)</f>
        <v/>
      </c>
      <c r="H281" s="4718">
        <f>IFERROR(IF(AND(OR('Inl. wetlands'!$E256="Other land",'Inl. wetlands'!$E256="Degraded land"),'Inl. wetlands'!$J$249=list!$J$210),INDEX(IPCC!$A$1800:$J$1811,MATCH(clim_moist,IPCC!$A$1800:$A$1811,0),MATCH('Inl. wetlands'!$E256,IPCC!$A$1800:$J$1800,0)),IF(AND(OR('Inl. wetlands'!$E256="Other land",'Inl. wetlands'!$E256="Degraded land"),'Inl. wetlands'!$J$249=list!$J$211),INDEX(IPCC!$A$1800:$J$1811,MATCH(clim_moist,IPCC!$A$1800:$A$1811,0),MATCH('Inl. wetlands'!$E256,IPCC!$A$1800:$J$1800,0)),IF('Inl. wetlands'!$J$249=list!$J$210,INDEX(IPCC!$A$1800:$J$1811,MATCH(clim_moist,IPCC!$A$1800:$A$1811,0),MATCH('Inl. wetlands'!$E256,IPCC!$A$1800:$J$1800,0)),IF('Inl. wetlands'!$J$249=list!$J$211,INDEX(IPCC!$A$1800:$J$1811,MATCH(clim_moist,IPCC!$A$1800:$A$1811,0),MATCH('Inl. wetlands'!$E256,IPCC!$A$1800:$J$1800,0)))))),0)</f>
        <v/>
      </c>
      <c r="I281" s="1162">
        <f>IF('6.Inland wetlands'!$CN94="",'6.Inland wetlands'!$CM94,'6.Inland wetlands'!$CN94)</f>
        <v/>
      </c>
      <c r="J281" s="1111">
        <f>IFERROR(IF(AND(OR('Inl. wetlands'!$E256="Other land",'Inl. wetlands'!$E256="Degraded land"),'Inl. wetlands'!$J$249=list!$J$210),INDEX(IPCC!$A$1854:$J$1865,MATCH(clim_moist,IPCC!$A$1854:$A$1865,0),MATCH('Inl. wetlands'!$E256,IPCC!$A$1854:$J$1854,0)),IF(AND(OR('Inl. wetlands'!$E256="Other land",'Inl. wetlands'!$E256="Degraded land"),'Inl. wetlands'!$J$249=list!$J$211),INDEX(IPCC!$A$1854:$J$1865,MATCH(clim_moist,IPCC!$A$1854:A$1865,0),MATCH('Inl. wetlands'!$E256,IPCC!$A$1854:$J$1854,0)),IF('Inl. wetlands'!$J$249=list!$J$210,INDEX(IPCC!$A$1854:$J$1865,MATCH(clim_moist,IPCC!$A$1854:$A$1865,0),MATCH('Inl. wetlands'!$E256,IPCC!$A$1854:$J$1854,0)),IF('Inl. wetlands'!$J$249=list!$J$211,INDEX(IPCC!$A$1854:$J$1865,MATCH(clim_moist,IPCC!$A$1854:$A$1865,0),MATCH('Inl. wetlands'!$E256,IPCC!$A$1854:$J$1854,0)))))),0)</f>
        <v/>
      </c>
      <c r="K281" s="1161">
        <f>IF('6.Inland wetlands'!$CP94="",'6.Inland wetlands'!$CO94,'6.Inland wetlands'!$CP94)</f>
        <v/>
      </c>
      <c r="L281" s="1543" t="n">
        <v>0</v>
      </c>
      <c r="M281" s="1543">
        <f>IF('6.Inland wetlands'!N81=0, 0, IF('6.Inland wetlands'!N92&lt;'6.Inland wetlands'!N81, 'Inl. wetlands'!C281*44/12*'6.Inland wetlands'!N92, 'Inl. wetlands'!C281*44/12*('6.Inland wetlands'!N81)))</f>
        <v/>
      </c>
      <c r="N281" s="4360">
        <f>IF('6.Inland wetlands'!P81=0, 0, IF('6.Inland wetlands'!P92&lt;'6.Inland wetlands'!P81, 'Inl. wetlands'!C281*44/12*'6.Inland wetlands'!P92, 'Inl. wetlands'!C281*44/12*('6.Inland wetlands'!P81)))</f>
        <v/>
      </c>
      <c r="O281" s="1543" t="n">
        <v>0</v>
      </c>
      <c r="P281" s="4360">
        <f>IF('6.Inland wetlands'!N81=0, 0, IF('6.Inland wetlands'!N92&lt;'6.Inland wetlands'!N81, 'Inl. wetlands'!E281*methane/1000*'6.Inland wetlands'!N92*(1-'6.Inland wetlands'!X92), 'Inl. wetlands'!E281*methane/1000*('6.Inland wetlands'!N81*(1-'6.Inland wetlands'!X92))))</f>
        <v/>
      </c>
      <c r="Q281" s="4360">
        <f>IF('6.Inland wetlands'!P81=0, 0, IF('6.Inland wetlands'!P92&lt;'6.Inland wetlands'!P81, 'Inl. wetlands'!E281*methane/1000*'6.Inland wetlands'!P92*(1-'6.Inland wetlands'!Y92), 'Inl. wetlands'!E281*methane/1000*('6.Inland wetlands'!P81*(1-'6.Inland wetlands'!Y92))))</f>
        <v/>
      </c>
      <c r="R281" s="1543" t="n">
        <v>0</v>
      </c>
      <c r="S281" s="4360">
        <f>IF('6.Inland wetlands'!N81=0, 0, IF('6.Inland wetlands'!N92&lt;'6.Inland wetlands'!N81, 'Inl. wetlands'!G281*44/28*Nitrous/1000*'6.Inland wetlands'!N92, 'Inl. wetlands'!G281*44/28*Nitrous/1000*('6.Inland wetlands'!N81)))</f>
        <v/>
      </c>
      <c r="T281" s="4360">
        <f>IF('6.Inland wetlands'!P81=0, 0, IF('6.Inland wetlands'!P92&lt;'6.Inland wetlands'!P81, 'Inl. wetlands'!G281*44/28*Nitrous/1000*'6.Inland wetlands'!P92, 'Inl. wetlands'!G281*44/28*Nitrous/1000*('6.Inland wetlands'!P81)))</f>
        <v/>
      </c>
      <c r="U281" s="1543" t="n">
        <v>0</v>
      </c>
      <c r="V281" s="4360">
        <f>IF('6.Inland wetlands'!N81=0, 0, IF('6.Inland wetlands'!N92&lt;'6.Inland wetlands'!N81, 'Inl. wetlands'!I281*44/12*'6.Inland wetlands'!N92, 'Inl. wetlands'!I281*44/12*('6.Inland wetlands'!N81)))</f>
        <v/>
      </c>
      <c r="W281" s="4360">
        <f>IF('6.Inland wetlands'!P81=0, 0, IF('6.Inland wetlands'!P92&lt;'6.Inland wetlands'!P81, 'Inl. wetlands'!I281*44/12*'6.Inland wetlands'!P92, 'Inl. wetlands'!I281*44/12*('6.Inland wetlands'!P81)))</f>
        <v/>
      </c>
      <c r="X281" s="1543" t="n">
        <v>0</v>
      </c>
      <c r="Y281" s="4734">
        <f>IF('6.Inland wetlands'!N81=0, 0, IF('6.Inland wetlands'!N92&lt;'6.Inland wetlands'!N81, 'Inl. wetlands'!K281*methane/1000*'6.Inland wetlands'!N92*('6.Inland wetlands'!X92), 'Inl. wetlands'!K281*methane/1000*('6.Inland wetlands'!N81*('6.Inland wetlands'!X92))))</f>
        <v/>
      </c>
      <c r="Z281" s="4734">
        <f>IF('6.Inland wetlands'!P81=0, 0, IF('6.Inland wetlands'!P92&lt;'6.Inland wetlands'!P81, 'Inl. wetlands'!K281*methane/1000*'6.Inland wetlands'!P92*('6.Inland wetlands'!Y92), 'Inl. wetlands'!K281*methane/1000*('6.Inland wetlands'!P81*('6.Inland wetlands'!Y92))))</f>
        <v/>
      </c>
      <c r="AB281" s="3493">
        <f>MIN('Inl. wetlands'!L281,'Inl. wetlands'!M281)*time_tot+ABS('Inl. wetlands'!M281-'Inl. wetlands'!L281)*IF('Inl. wetlands'!M281&gt;'Inl. wetlands'!L281,time_cap+time*(VLOOKUP('6.Inland wetlands'!O92,list!$I$48:$K$50,3,0)),time*(1-(VLOOKUP('6.Inland wetlands'!O92,list!$I$48:$K$50,3,0))))+MIN('Inl. wetlands'!U281,'Inl. wetlands'!V281)*time_tot+ABS('Inl. wetlands'!V281-'Inl. wetlands'!U281)*IF('Inl. wetlands'!V281&gt;'Inl. wetlands'!U281,time_cap+time*(VLOOKUP('6.Inland wetlands'!O92,list!$I$48:$K$50,3,0)),time*(1-(VLOOKUP('6.Inland wetlands'!O92,list!$I$48:$K$50,3,0))))</f>
        <v/>
      </c>
      <c r="AC281" s="3493">
        <f>MIN('Inl. wetlands'!L281,'Inl. wetlands'!N281)*time_tot+ABS('Inl. wetlands'!N281-'Inl. wetlands'!L281)*IF('Inl. wetlands'!N281&gt;'Inl. wetlands'!L281,time_cap+time*(VLOOKUP('6.Inland wetlands'!Q92,list!$I$48:$K$50,3,0)),time*(1-(VLOOKUP('6.Inland wetlands'!Q92,list!$I$48:$K$50,3,0))))+MIN('Inl. wetlands'!U281,'Inl. wetlands'!W281)*time_tot+ABS('Inl. wetlands'!W281-'Inl. wetlands'!U281)*IF('Inl. wetlands'!W281&gt;'Inl. wetlands'!U281,time_cap+time*(VLOOKUP('6.Inland wetlands'!Q92,list!$I$48:$K$50,3,0)),time*(1-(VLOOKUP('6.Inland wetlands'!Q92,list!$I$48:$K$50,3,0))))</f>
        <v/>
      </c>
      <c r="AD281" s="1151">
        <f>MIN('Inl. wetlands'!O281,'Inl. wetlands'!P281)*time_tot+ABS('Inl. wetlands'!P281-'Inl. wetlands'!O281)*IF('Inl. wetlands'!P281&gt;'Inl. wetlands'!O281,time_cap+time*(VLOOKUP('6.Inland wetlands'!O92,list!$I$48:$K$50,3,0)),time*(1-(VLOOKUP('6.Inland wetlands'!O92,list!$I$48:$K$50,3,0))))+MIN('Inl. wetlands'!X281,'Inl. wetlands'!Y281)*time_tot+ABS('Inl. wetlands'!Y281-'Inl. wetlands'!X281)*IF('Inl. wetlands'!Y281&gt;'Inl. wetlands'!X281,time_cap+time*(VLOOKUP('6.Inland wetlands'!O92,list!$I$48:$K$50,3,0)),time*(1-(VLOOKUP('6.Inland wetlands'!O92,list!$I$48:$K$50,3,0))))</f>
        <v/>
      </c>
      <c r="AE281" s="1151">
        <f>MIN('Inl. wetlands'!O281,'Inl. wetlands'!Q281)*time_tot+ABS('Inl. wetlands'!Q281-'Inl. wetlands'!O281)*IF('Inl. wetlands'!Q281&gt;'Inl. wetlands'!O281,time_cap+time*(VLOOKUP('6.Inland wetlands'!Q92,list!$I$48:$K$50,3,0)),time*(1-(VLOOKUP('6.Inland wetlands'!Q92,list!$I$48:$K$50,3,0))))+MIN('Inl. wetlands'!X281,'Inl. wetlands'!Z281)*time_tot+ABS('Inl. wetlands'!Z281-'Inl. wetlands'!X281)*IF('Inl. wetlands'!Z281&gt;'Inl. wetlands'!X281,time_cap+time*(VLOOKUP('6.Inland wetlands'!Q92,list!$I$48:$K$50,3,0)),time*(1-(VLOOKUP('6.Inland wetlands'!Q92,list!$I$48:$K$50,3,0))))</f>
        <v/>
      </c>
      <c r="AF281" s="1151">
        <f>MIN('Inl. wetlands'!R281,'Inl. wetlands'!S281)*time_tot+ABS('Inl. wetlands'!S281-'Inl. wetlands'!R281)*IF('Inl. wetlands'!S281&gt;'Inl. wetlands'!R281,time_cap+time*(VLOOKUP('6.Inland wetlands'!O92,list!$I$48:$K$50,3,0)),time*(1-(VLOOKUP('6.Inland wetlands'!O92,list!$I$48:$K$50,3,0))))</f>
        <v/>
      </c>
      <c r="AG281" s="1151">
        <f>MIN('Inl. wetlands'!R281,'Inl. wetlands'!T281)*time_tot+ABS('Inl. wetlands'!T281-'Inl. wetlands'!R281)*IF('Inl. wetlands'!T281&gt;'Inl. wetlands'!R281,time_cap+time*(VLOOKUP('6.Inland wetlands'!Q92,list!$I$48:$K$50,3,0)),time*(1-(VLOOKUP('6.Inland wetlands'!Q92,list!$I$48:$K$50,3,0))))</f>
        <v/>
      </c>
      <c r="AI281" s="1151">
        <f>SUM('Inl. wetlands'!AB273,'Inl. wetlands'!AD273,'Inl. wetlands'!AF273)+AB284+AD284+AF284</f>
        <v/>
      </c>
      <c r="AJ281" s="1151">
        <f>SUM('Inl. wetlands'!AC273,'Inl. wetlands'!AE273,'Inl. wetlands'!AG273)+AC284+AE284+AG284</f>
        <v/>
      </c>
      <c r="AK281" s="3503">
        <f>AJ281-AI281</f>
        <v/>
      </c>
      <c r="AX281" s="1461" t="n"/>
      <c r="AY281" s="1461" t="n"/>
      <c r="AZ281" s="1461" t="n"/>
      <c r="BA281" s="1461" t="n"/>
      <c r="BB281" s="1461" t="n"/>
      <c r="BC281" s="1461" t="n"/>
      <c r="BD281" s="1461" t="n"/>
      <c r="BE281" s="1461" t="n"/>
      <c r="BF281" s="1461" t="n"/>
      <c r="BG281" s="1461" t="n"/>
    </row>
    <row r="282">
      <c r="A282" s="1264" t="inlineStr">
        <is>
          <t>S3</t>
        </is>
      </c>
      <c r="B282" s="4718">
        <f>IFERROR(IF(AND(OR('Inl. wetlands'!$E257="Other land",'Inl. wetlands'!$E257="Degraded land"),'Inl. wetlands'!$J$249=list!$J$210),INDEX(IPCC!$A$1762:$J$1773,MATCH(clim_moist,IPCC!$A$1762:$A$1773,0),MATCH('Inl. wetlands'!$E257,IPCC!$A$1762:$J$1762,0)),IF(AND(OR('Inl. wetlands'!$E257="Other land",'Inl. wetlands'!$E257="Degraded land"),'Inl. wetlands'!$J$249=list!$J$211),INDEX(IPCC!$A$1781:$J$1792,MATCH(clim_moist,IPCC!$A$1781:$A$1792,0),MATCH('Inl. wetlands'!$E257,IPCC!$A$1781:$J$1781,0)),IF('Inl. wetlands'!$J$249=list!$J$210,INDEX(IPCC!$A$1762:$J$1773,MATCH(clim_moist,IPCC!$A$1781:$A$1792,0),MATCH('Inl. wetlands'!$E257,IPCC!$A$1781:$J$1781,0)),IF('Inl. wetlands'!$J$249=list!$J$211,INDEX(IPCC!$A$1781:$J$1792,MATCH(clim_moist,IPCC!$A$1781:$A$1792,0),MATCH('Inl. wetlands'!$E257,IPCC!$A$1781:$J$1781,0)))))),0)</f>
        <v/>
      </c>
      <c r="C282" s="4642">
        <f>IF('6.Inland wetlands'!$CG95="",'6.Inland wetlands'!$CF95,'6.Inland wetlands'!$CG95)</f>
        <v/>
      </c>
      <c r="D282" s="4718">
        <f>IFERROR(IF(AND(OR('Inl. wetlands'!$E257="Other land",'Inl. wetlands'!$E257="Degraded land"),'Inl. wetlands'!$J$249=list!$J$210),INDEX(IPCC!$A$1818:$J$1829,MATCH(clim_moist,IPCC!$A$1818:$A$1829,0),MATCH('Inl. wetlands'!$E257,IPCC!$A$1818:$J$1818,0)),IF(AND(OR('Inl. wetlands'!$E257="Other land",'Inl. wetlands'!$E257="Degraded land"),'Inl. wetlands'!$J$249=list!$J$211),INDEX(IPCC!$A$1836:$J$1847,MATCH(clim_moist,IPCC!$A$1836:$A$1847,0),MATCH('Inl. wetlands'!$E257,IPCC!$A$1836:$J$1836,0)),IF('Inl. wetlands'!$J$249=list!$J$210,INDEX(IPCC!$A$1818:$J$1829,MATCH(clim_moist,IPCC!$A$1818:$A$1829,0),MATCH('Inl. wetlands'!$E257,IPCC!$A$1818:$J$1818,0)),IF('Inl. wetlands'!$J$249=list!$J$211,INDEX(IPCC!$A$1836:$J$1847,MATCH(clim_moist,IPCC!$A$1836:$A$1847,0),MATCH('Inl. wetlands'!$E257,IPCC!$A$1836:$J$1836,0)))))),0)</f>
        <v/>
      </c>
      <c r="E282" s="4642">
        <f>IF('6.Inland wetlands'!$CI95="",'6.Inland wetlands'!$CH95,'6.Inland wetlands'!$CI95)</f>
        <v/>
      </c>
      <c r="F282" s="4718">
        <f>IFERROR(IF(AND(OR('Inl. wetlands'!$E257="Other land",'Inl. wetlands'!$E257="Degraded land"),'Inl. wetlands'!$J$249=list!$J$210),INDEX(IPCC!$A$1872:$J$1883,MATCH(clim_moist,IPCC!$A$1872:$A$1883,0),MATCH('Inl. wetlands'!$E257,IPCC!$A$1872:$J$1872,0)),IF(AND(OR('Inl. wetlands'!$E257="Other land",'Inl. wetlands'!$E257="Degraded land"),'Inl. wetlands'!$J$249=list!$J$211),INDEX(IPCC!$A$1890:$J$1901,MATCH(clim_moist,IPCC!$A$1890:$A$1901,0),MATCH('Inl. wetlands'!$E257,IPCC!$A$1890:$J$1890,0)),IF('Inl. wetlands'!$J$249=list!$J$210,INDEX(IPCC!$A$1872:$J$1883,MATCH(clim_moist,IPCC!$A$1872:$A$1883,0),MATCH('Inl. wetlands'!$E257,IPCC!$A$1872:$J$1872,0)),IF('Inl. wetlands'!$J$249=list!$J$211,INDEX(IPCC!$A$1890:$J$1901,MATCH(clim_moist,IPCC!$A$1890:$A$1901,0),MATCH('Inl. wetlands'!$E257,IPCC!$A$1890:$J$1890,0)))))),0)</f>
        <v/>
      </c>
      <c r="G282" s="4642">
        <f>IF('6.Inland wetlands'!$CK95="",'6.Inland wetlands'!$CJ95,'6.Inland wetlands'!$CK95)</f>
        <v/>
      </c>
      <c r="H282" s="4718">
        <f>IFERROR(IF(AND(OR('Inl. wetlands'!$E257="Other land",'Inl. wetlands'!$E257="Degraded land"),'Inl. wetlands'!$J$249=list!$J$210),INDEX(IPCC!$A$1800:$J$1811,MATCH(clim_moist,IPCC!$A$1800:$A$1811,0),MATCH('Inl. wetlands'!$E257,IPCC!$A$1800:$J$1800,0)),IF(AND(OR('Inl. wetlands'!$E257="Other land",'Inl. wetlands'!$E257="Degraded land"),'Inl. wetlands'!$J$249=list!$J$211),INDEX(IPCC!$A$1800:$J$1811,MATCH(clim_moist,IPCC!$A$1800:$A$1811,0),MATCH('Inl. wetlands'!$E257,IPCC!$A$1800:$J$1800,0)),IF('Inl. wetlands'!$J$249=list!$J$210,INDEX(IPCC!$A$1800:$J$1811,MATCH(clim_moist,IPCC!$A$1800:$A$1811,0),MATCH('Inl. wetlands'!$E257,IPCC!$A$1800:$J$1800,0)),IF('Inl. wetlands'!$J$249=list!$J$211,INDEX(IPCC!$A$1800:$J$1811,MATCH(clim_moist,IPCC!$A$1800:$A$1811,0),MATCH('Inl. wetlands'!$E257,IPCC!$A$1800:$J$1800,0)))))),0)</f>
        <v/>
      </c>
      <c r="I282" s="1162">
        <f>IF('6.Inland wetlands'!$CN95="",'6.Inland wetlands'!$CM95,'6.Inland wetlands'!$CN95)</f>
        <v/>
      </c>
      <c r="J282" s="1111">
        <f>IFERROR(IF(AND(OR('Inl. wetlands'!$E257="Other land",'Inl. wetlands'!$E257="Degraded land"),'Inl. wetlands'!$J$249=list!$J$210),INDEX(IPCC!$A$1854:$J$1865,MATCH(clim_moist,IPCC!$A$1854:$A$1865,0),MATCH('Inl. wetlands'!$E257,IPCC!$A$1854:$J$1854,0)),IF(AND(OR('Inl. wetlands'!$E257="Other land",'Inl. wetlands'!$E257="Degraded land"),'Inl. wetlands'!$J$249=list!$J$211),INDEX(IPCC!$A$1854:$J$1865,MATCH(clim_moist,IPCC!$A$1854:A$1865,0),MATCH('Inl. wetlands'!$E257,IPCC!$A$1854:$J$1854,0)),IF('Inl. wetlands'!$J$249=list!$J$210,INDEX(IPCC!$A$1854:$J$1865,MATCH(clim_moist,IPCC!$A$1854:$A$1865,0),MATCH('Inl. wetlands'!$E257,IPCC!$A$1854:$J$1854,0)),IF('Inl. wetlands'!$J$249=list!$J$211,INDEX(IPCC!$A$1854:$J$1865,MATCH(clim_moist,IPCC!$A$1854:$A$1865,0),MATCH('Inl. wetlands'!$E257,IPCC!$A$1854:$J$1854,0)))))),0)</f>
        <v/>
      </c>
      <c r="K282" s="1161">
        <f>IF('6.Inland wetlands'!$CP95="",'6.Inland wetlands'!$CO95,'6.Inland wetlands'!$CP95)</f>
        <v/>
      </c>
      <c r="L282" s="1543" t="n">
        <v>0</v>
      </c>
      <c r="M282" s="1543">
        <f>IF('6.Inland wetlands'!N82=0, 0, IF('6.Inland wetlands'!N93&lt;'6.Inland wetlands'!N82, 'Inl. wetlands'!C282*44/12*'6.Inland wetlands'!N93, 'Inl. wetlands'!C282*44/12*('6.Inland wetlands'!N82)))</f>
        <v/>
      </c>
      <c r="N282" s="4360">
        <f>IF('6.Inland wetlands'!P82=0, 0, IF('6.Inland wetlands'!P93&lt;'6.Inland wetlands'!P82, 'Inl. wetlands'!C282*44/12*'6.Inland wetlands'!P93, 'Inl. wetlands'!C282*44/12*('6.Inland wetlands'!P82)))</f>
        <v/>
      </c>
      <c r="O282" s="1543" t="n">
        <v>0</v>
      </c>
      <c r="P282" s="4360">
        <f>IF('6.Inland wetlands'!N82=0, 0, IF('6.Inland wetlands'!N93&lt;'6.Inland wetlands'!N82, 'Inl. wetlands'!E282*methane/1000*'6.Inland wetlands'!N93*(1-'6.Inland wetlands'!X93), 'Inl. wetlands'!E282*methane/1000*('6.Inland wetlands'!N82*(1-'6.Inland wetlands'!X93))))</f>
        <v/>
      </c>
      <c r="Q282" s="4360">
        <f>IF('6.Inland wetlands'!P82=0, 0, IF('6.Inland wetlands'!P93&lt;'6.Inland wetlands'!P82, 'Inl. wetlands'!E282*methane/1000*'6.Inland wetlands'!P93*(1-'6.Inland wetlands'!Y93), 'Inl. wetlands'!E282*methane/1000*('6.Inland wetlands'!P82*(1-'6.Inland wetlands'!Y93))))</f>
        <v/>
      </c>
      <c r="R282" s="1543" t="n">
        <v>0</v>
      </c>
      <c r="S282" s="4360">
        <f>IF('6.Inland wetlands'!N82=0, 0, IF('6.Inland wetlands'!N93&lt;'6.Inland wetlands'!N82, 'Inl. wetlands'!G282*44/28*Nitrous/1000*'6.Inland wetlands'!N93, 'Inl. wetlands'!G282*44/28*Nitrous/1000*('6.Inland wetlands'!N82)))</f>
        <v/>
      </c>
      <c r="T282" s="4360">
        <f>IF('6.Inland wetlands'!P82=0, 0, IF('6.Inland wetlands'!P93&lt;'6.Inland wetlands'!P82, 'Inl. wetlands'!G282*44/28*Nitrous/1000*'6.Inland wetlands'!P93, 'Inl. wetlands'!G282*44/28*Nitrous/1000*('6.Inland wetlands'!P82)))</f>
        <v/>
      </c>
      <c r="U282" s="1543" t="n">
        <v>0</v>
      </c>
      <c r="V282" s="4360">
        <f>IF('6.Inland wetlands'!N82=0, 0, IF('6.Inland wetlands'!N93&lt;'6.Inland wetlands'!N82, 'Inl. wetlands'!I282*44/12*'6.Inland wetlands'!N93, 'Inl. wetlands'!I282*44/12*('6.Inland wetlands'!N82)))</f>
        <v/>
      </c>
      <c r="W282" s="4360">
        <f>IF('6.Inland wetlands'!P82=0, 0, IF('6.Inland wetlands'!P93&lt;'6.Inland wetlands'!P82, 'Inl. wetlands'!I282*44/12*'6.Inland wetlands'!P93, 'Inl. wetlands'!I282*44/12*('6.Inland wetlands'!P82)))</f>
        <v/>
      </c>
      <c r="X282" s="1543" t="n">
        <v>0</v>
      </c>
      <c r="Y282" s="4734">
        <f>IF('6.Inland wetlands'!N82=0, 0, IF('6.Inland wetlands'!N93&lt;'6.Inland wetlands'!N82, 'Inl. wetlands'!K282*methane/1000*'6.Inland wetlands'!N93*('6.Inland wetlands'!X93), 'Inl. wetlands'!K282*methane/1000*('6.Inland wetlands'!N82*('6.Inland wetlands'!X93))))</f>
        <v/>
      </c>
      <c r="Z282" s="4734">
        <f>IF('6.Inland wetlands'!P82=0, 0, IF('6.Inland wetlands'!P93&lt;'6.Inland wetlands'!P82, 'Inl. wetlands'!K282*methane/1000*'6.Inland wetlands'!P93*('6.Inland wetlands'!Y93), 'Inl. wetlands'!K282*methane/1000*('6.Inland wetlands'!P82*('6.Inland wetlands'!Y93))))</f>
        <v/>
      </c>
      <c r="AB282" s="3493">
        <f>MIN('Inl. wetlands'!L282,'Inl. wetlands'!M282)*time_tot+ABS('Inl. wetlands'!M282-'Inl. wetlands'!L282)*IF('Inl. wetlands'!M282&gt;'Inl. wetlands'!L282,time_cap+time*(VLOOKUP('6.Inland wetlands'!O93,list!$I$48:$K$50,3,0)),time*(1-(VLOOKUP('6.Inland wetlands'!O93,list!$I$48:$K$50,3,0))))+MIN('Inl. wetlands'!U282,'Inl. wetlands'!V282)*time_tot+ABS('Inl. wetlands'!V282-'Inl. wetlands'!U282)*IF('Inl. wetlands'!V282&gt;'Inl. wetlands'!U282,time_cap+time*(VLOOKUP('6.Inland wetlands'!O93,list!$I$48:$K$50,3,0)),time*(1-(VLOOKUP('6.Inland wetlands'!O93,list!$I$48:$K$50,3,0))))</f>
        <v/>
      </c>
      <c r="AC282" s="3493">
        <f>MIN('Inl. wetlands'!L282,'Inl. wetlands'!N282)*time_tot+ABS('Inl. wetlands'!N282-'Inl. wetlands'!L282)*IF('Inl. wetlands'!N282&gt;'Inl. wetlands'!L282,time_cap+time*(VLOOKUP('6.Inland wetlands'!Q93,list!$I$48:$K$50,3,0)),time*(1-(VLOOKUP('6.Inland wetlands'!Q93,list!$I$48:$K$50,3,0))))+MIN('Inl. wetlands'!U282,'Inl. wetlands'!W282)*time_tot+ABS('Inl. wetlands'!W282-'Inl. wetlands'!U282)*IF('Inl. wetlands'!W282&gt;'Inl. wetlands'!U282,time_cap+time*(VLOOKUP('6.Inland wetlands'!Q93,list!$I$48:$K$50,3,0)),time*(1-(VLOOKUP('6.Inland wetlands'!Q93,list!$I$48:$K$50,3,0))))</f>
        <v/>
      </c>
      <c r="AD282" s="1151">
        <f>MIN('Inl. wetlands'!O282,'Inl. wetlands'!P282)*time_tot+ABS('Inl. wetlands'!P282-'Inl. wetlands'!O282)*IF('Inl. wetlands'!P282&gt;'Inl. wetlands'!O282,time_cap+time*(VLOOKUP('6.Inland wetlands'!O93,list!$I$48:$K$50,3,0)),time*(1-(VLOOKUP('6.Inland wetlands'!O93,list!$I$48:$K$50,3,0))))+MIN('Inl. wetlands'!X282,'Inl. wetlands'!Y282)*time_tot+ABS('Inl. wetlands'!Y282-'Inl. wetlands'!X282)*IF('Inl. wetlands'!Y282&gt;'Inl. wetlands'!X282,time_cap+time*(VLOOKUP('6.Inland wetlands'!O93,list!$I$48:$K$50,3,0)),time*(1-(VLOOKUP('6.Inland wetlands'!O93,list!$I$48:$K$50,3,0))))</f>
        <v/>
      </c>
      <c r="AE282" s="1151">
        <f>MIN('Inl. wetlands'!O282,'Inl. wetlands'!Q282)*time_tot+ABS('Inl. wetlands'!Q282-'Inl. wetlands'!O282)*IF('Inl. wetlands'!Q282&gt;'Inl. wetlands'!O282,time_cap+time*(VLOOKUP('6.Inland wetlands'!Q93,list!$I$48:$K$50,3,0)),time*(1-(VLOOKUP('6.Inland wetlands'!Q93,list!$I$48:$K$50,3,0))))+MIN('Inl. wetlands'!X282,'Inl. wetlands'!Z282)*time_tot+ABS('Inl. wetlands'!Z282-'Inl. wetlands'!X282)*IF('Inl. wetlands'!Z282&gt;'Inl. wetlands'!X282,time_cap+time*(VLOOKUP('6.Inland wetlands'!Q93,list!$I$48:$K$50,3,0)),time*(1-(VLOOKUP('6.Inland wetlands'!Q93,list!$I$48:$K$50,3,0))))</f>
        <v/>
      </c>
      <c r="AF282" s="1151">
        <f>MIN('Inl. wetlands'!R282,'Inl. wetlands'!S282)*time_tot+ABS('Inl. wetlands'!S282-'Inl. wetlands'!R282)*IF('Inl. wetlands'!S282&gt;'Inl. wetlands'!R282,time_cap+time*(VLOOKUP('6.Inland wetlands'!O93,list!$I$48:$K$50,3,0)),time*(1-(VLOOKUP('6.Inland wetlands'!O93,list!$I$48:$K$50,3,0))))</f>
        <v/>
      </c>
      <c r="AG282" s="1151">
        <f>MIN('Inl. wetlands'!R282,'Inl. wetlands'!T282)*time_tot+ABS('Inl. wetlands'!T282-'Inl. wetlands'!R282)*IF('Inl. wetlands'!T282&gt;'Inl. wetlands'!R282,time_cap+time*(VLOOKUP('6.Inland wetlands'!Q93,list!$I$48:$K$50,3,0)),time*(1-(VLOOKUP('6.Inland wetlands'!Q93,list!$I$48:$K$50,3,0))))</f>
        <v/>
      </c>
      <c r="AI282" s="1151">
        <f>SUM('Inl. wetlands'!AB274,'Inl. wetlands'!AD274,'Inl. wetlands'!AF274)+AB285+AD285+AF285</f>
        <v/>
      </c>
      <c r="AJ282" s="1151">
        <f>SUM('Inl. wetlands'!AC274,'Inl. wetlands'!AE274,'Inl. wetlands'!AG274)+AC285+AE285+AG285</f>
        <v/>
      </c>
      <c r="AK282" s="3503">
        <f>AJ282-AI282</f>
        <v/>
      </c>
      <c r="AX282" s="1461" t="n"/>
      <c r="AY282" s="1461" t="n"/>
      <c r="AZ282" s="1461" t="n"/>
      <c r="BA282" s="1461" t="n"/>
      <c r="BB282" s="1461" t="n"/>
      <c r="BC282" s="1461" t="n"/>
      <c r="BD282" s="1461" t="n"/>
      <c r="BE282" s="1461" t="n"/>
      <c r="BF282" s="1461" t="n"/>
      <c r="BG282" s="1461" t="n"/>
    </row>
    <row r="283">
      <c r="A283" s="1264" t="inlineStr">
        <is>
          <t>S4</t>
        </is>
      </c>
      <c r="B283" s="4718">
        <f>IFERROR(IF(AND(OR('Inl. wetlands'!$E258="Other land",'Inl. wetlands'!$E258="Degraded land"),'Inl. wetlands'!$J$249=list!$J$210),INDEX(IPCC!$A$1762:$J$1773,MATCH(clim_moist,IPCC!$A$1762:$A$1773,0),MATCH('Inl. wetlands'!$E258,IPCC!$A$1762:$J$1762,0)),IF(AND(OR('Inl. wetlands'!$E258="Other land",'Inl. wetlands'!$E258="Degraded land"),'Inl. wetlands'!$J$249=list!$J$211),INDEX(IPCC!$A$1781:$J$1792,MATCH(clim_moist,IPCC!$A$1781:$A$1792,0),MATCH('Inl. wetlands'!$E258,IPCC!$A$1781:$J$1781,0)),IF('Inl. wetlands'!$J$249=list!$J$210,INDEX(IPCC!$A$1762:$J$1773,MATCH(clim_moist,IPCC!$A$1781:$A$1792,0),MATCH('Inl. wetlands'!$E258,IPCC!$A$1781:$J$1781,0)),IF('Inl. wetlands'!$J$249=list!$J$211,INDEX(IPCC!$A$1781:$J$1792,MATCH(clim_moist,IPCC!$A$1781:$A$1792,0),MATCH('Inl. wetlands'!$E258,IPCC!$A$1781:$J$1781,0)))))),0)</f>
        <v/>
      </c>
      <c r="C283" s="4642">
        <f>IF('6.Inland wetlands'!$CG96="",'6.Inland wetlands'!$CF96,'6.Inland wetlands'!$CG96)</f>
        <v/>
      </c>
      <c r="D283" s="4718">
        <f>IFERROR(IF(AND(OR('Inl. wetlands'!$E258="Other land",'Inl. wetlands'!$E258="Degraded land"),'Inl. wetlands'!$J$249=list!$J$210),INDEX(IPCC!$A$1818:$J$1829,MATCH(clim_moist,IPCC!$A$1818:$A$1829,0),MATCH('Inl. wetlands'!$E258,IPCC!$A$1818:$J$1818,0)),IF(AND(OR('Inl. wetlands'!$E258="Other land",'Inl. wetlands'!$E258="Degraded land"),'Inl. wetlands'!$J$249=list!$J$211),INDEX(IPCC!$A$1836:$J$1847,MATCH(clim_moist,IPCC!$A$1836:$A$1847,0),MATCH('Inl. wetlands'!$E258,IPCC!$A$1836:$J$1836,0)),IF('Inl. wetlands'!$J$249=list!$J$210,INDEX(IPCC!$A$1818:$J$1829,MATCH(clim_moist,IPCC!$A$1818:$A$1829,0),MATCH('Inl. wetlands'!$E258,IPCC!$A$1818:$J$1818,0)),IF('Inl. wetlands'!$J$249=list!$J$211,INDEX(IPCC!$A$1836:$J$1847,MATCH(clim_moist,IPCC!$A$1836:$A$1847,0),MATCH('Inl. wetlands'!$E258,IPCC!$A$1836:$J$1836,0)))))),0)</f>
        <v/>
      </c>
      <c r="E283" s="4642">
        <f>IF('6.Inland wetlands'!$CI96="",'6.Inland wetlands'!$CH96,'6.Inland wetlands'!$CI96)</f>
        <v/>
      </c>
      <c r="F283" s="4718">
        <f>IFERROR(IF(AND(OR('Inl. wetlands'!$E258="Other land",'Inl. wetlands'!$E258="Degraded land"),'Inl. wetlands'!$J$249=list!$J$210),INDEX(IPCC!$A$1872:$J$1883,MATCH(clim_moist,IPCC!$A$1872:$A$1883,0),MATCH('Inl. wetlands'!$E258,IPCC!$A$1872:$J$1872,0)),IF(AND(OR('Inl. wetlands'!$E258="Other land",'Inl. wetlands'!$E258="Degraded land"),'Inl. wetlands'!$J$249=list!$J$211),INDEX(IPCC!$A$1890:$J$1901,MATCH(clim_moist,IPCC!$A$1890:$A$1901,0),MATCH('Inl. wetlands'!$E258,IPCC!$A$1890:$J$1890,0)),IF('Inl. wetlands'!$J$249=list!$J$210,INDEX(IPCC!$A$1872:$J$1883,MATCH(clim_moist,IPCC!$A$1872:$A$1883,0),MATCH('Inl. wetlands'!$E258,IPCC!$A$1872:$J$1872,0)),IF('Inl. wetlands'!$J$249=list!$J$211,INDEX(IPCC!$A$1890:$J$1901,MATCH(clim_moist,IPCC!$A$1890:$A$1901,0),MATCH('Inl. wetlands'!$E258,IPCC!$A$1890:$J$1890,0)))))),0)</f>
        <v/>
      </c>
      <c r="G283" s="4642">
        <f>IF('6.Inland wetlands'!$CK96="",'6.Inland wetlands'!$CJ96,'6.Inland wetlands'!$CK96)</f>
        <v/>
      </c>
      <c r="H283" s="4718">
        <f>IFERROR(IF(AND(OR('Inl. wetlands'!$E258="Other land",'Inl. wetlands'!$E258="Degraded land"),'Inl. wetlands'!$J$249=list!$J$210),INDEX(IPCC!$A$1800:$J$1811,MATCH(clim_moist,IPCC!$A$1800:$A$1811,0),MATCH('Inl. wetlands'!$E258,IPCC!$A$1800:$J$1800,0)),IF(AND(OR('Inl. wetlands'!$E258="Other land",'Inl. wetlands'!$E258="Degraded land"),'Inl. wetlands'!$J$249=list!$J$211),INDEX(IPCC!$A$1800:$J$1811,MATCH(clim_moist,IPCC!$A$1800:$A$1811,0),MATCH('Inl. wetlands'!$E258,IPCC!$A$1800:$J$1800,0)),IF('Inl. wetlands'!$J$249=list!$J$210,INDEX(IPCC!$A$1800:$J$1811,MATCH(clim_moist,IPCC!$A$1800:$A$1811,0),MATCH('Inl. wetlands'!$E258,IPCC!$A$1800:$J$1800,0)),IF('Inl. wetlands'!$J$249=list!$J$211,INDEX(IPCC!$A$1800:$J$1811,MATCH(clim_moist,IPCC!$A$1800:$A$1811,0),MATCH('Inl. wetlands'!$E258,IPCC!$A$1800:$J$1800,0)))))),0)</f>
        <v/>
      </c>
      <c r="I283" s="1162">
        <f>IF('6.Inland wetlands'!$CN96="",'6.Inland wetlands'!$CM96,'6.Inland wetlands'!$CN96)</f>
        <v/>
      </c>
      <c r="J283" s="1111">
        <f>IFERROR(IF(AND(OR('Inl. wetlands'!$E258="Other land",'Inl. wetlands'!$E258="Degraded land"),'Inl. wetlands'!$J$249=list!$J$210),INDEX(IPCC!$A$1854:$J$1865,MATCH(clim_moist,IPCC!$A$1854:$A$1865,0),MATCH('Inl. wetlands'!$E258,IPCC!$A$1854:$J$1854,0)),IF(AND(OR('Inl. wetlands'!$E258="Other land",'Inl. wetlands'!$E258="Degraded land"),'Inl. wetlands'!$J$249=list!$J$211),INDEX(IPCC!$A$1854:$J$1865,MATCH(clim_moist,IPCC!$A$1854:A$1865,0),MATCH('Inl. wetlands'!$E258,IPCC!$A$1854:$J$1854,0)),IF('Inl. wetlands'!$J$249=list!$J$210,INDEX(IPCC!$A$1854:$J$1865,MATCH(clim_moist,IPCC!$A$1854:$A$1865,0),MATCH('Inl. wetlands'!$E258,IPCC!$A$1854:$J$1854,0)),IF('Inl. wetlands'!$J$249=list!$J$211,INDEX(IPCC!$A$1854:$J$1865,MATCH(clim_moist,IPCC!$A$1854:$A$1865,0),MATCH('Inl. wetlands'!$E258,IPCC!$A$1854:$J$1854,0)))))),0)</f>
        <v/>
      </c>
      <c r="K283" s="1161">
        <f>IF('6.Inland wetlands'!$CP96="",'6.Inland wetlands'!$CO96,'6.Inland wetlands'!$CP96)</f>
        <v/>
      </c>
      <c r="L283" s="1543" t="n">
        <v>0</v>
      </c>
      <c r="M283" s="1543">
        <f>IF('6.Inland wetlands'!N83=0, 0, IF('6.Inland wetlands'!N94&lt;'6.Inland wetlands'!N83, 'Inl. wetlands'!C283*44/12*'6.Inland wetlands'!N94, 'Inl. wetlands'!C283*44/12*('6.Inland wetlands'!N83)))</f>
        <v/>
      </c>
      <c r="N283" s="4360">
        <f>IF('6.Inland wetlands'!P83=0, 0, IF('6.Inland wetlands'!P94&lt;'6.Inland wetlands'!P83, 'Inl. wetlands'!C283*44/12*'6.Inland wetlands'!P94, 'Inl. wetlands'!C283*44/12*('6.Inland wetlands'!P83)))</f>
        <v/>
      </c>
      <c r="O283" s="1543" t="n">
        <v>0</v>
      </c>
      <c r="P283" s="4360">
        <f>IF('6.Inland wetlands'!N83=0, 0, IF('6.Inland wetlands'!N94&lt;'6.Inland wetlands'!N83, 'Inl. wetlands'!E283*methane/1000*'6.Inland wetlands'!N94*(1-'6.Inland wetlands'!X94), 'Inl. wetlands'!E283*methane/1000*('6.Inland wetlands'!N83*(1-'6.Inland wetlands'!X94))))</f>
        <v/>
      </c>
      <c r="Q283" s="4360">
        <f>IF('6.Inland wetlands'!P83=0, 0, IF('6.Inland wetlands'!P94&lt;'6.Inland wetlands'!P83, 'Inl. wetlands'!E283*methane/1000*'6.Inland wetlands'!P94*(1-'6.Inland wetlands'!Y94), 'Inl. wetlands'!E283*methane/1000*('6.Inland wetlands'!P83*(1-'6.Inland wetlands'!Y94))))</f>
        <v/>
      </c>
      <c r="R283" s="1543" t="n">
        <v>0</v>
      </c>
      <c r="S283" s="4360">
        <f>IF('6.Inland wetlands'!N83=0, 0, IF('6.Inland wetlands'!N94&lt;'6.Inland wetlands'!N83, 'Inl. wetlands'!G283*44/28*Nitrous/1000*'6.Inland wetlands'!N94, 'Inl. wetlands'!G283*44/28*Nitrous/1000*('6.Inland wetlands'!N83)))</f>
        <v/>
      </c>
      <c r="T283" s="4360">
        <f>IF('6.Inland wetlands'!P83=0, 0, IF('6.Inland wetlands'!P94&lt;'6.Inland wetlands'!P83, 'Inl. wetlands'!G283*44/28*Nitrous/1000*'6.Inland wetlands'!P94, 'Inl. wetlands'!G283*44/28*Nitrous/1000*('6.Inland wetlands'!P83)))</f>
        <v/>
      </c>
      <c r="U283" s="1543" t="n">
        <v>0</v>
      </c>
      <c r="V283" s="4360">
        <f>IF('6.Inland wetlands'!N83=0, 0, IF('6.Inland wetlands'!N94&lt;'6.Inland wetlands'!N83, 'Inl. wetlands'!I283*44/12*'6.Inland wetlands'!N94, 'Inl. wetlands'!I283*44/12*('6.Inland wetlands'!N83)))</f>
        <v/>
      </c>
      <c r="W283" s="4360">
        <f>IF('6.Inland wetlands'!P83=0, 0, IF('6.Inland wetlands'!P94&lt;'6.Inland wetlands'!P83, 'Inl. wetlands'!I283*44/12*'6.Inland wetlands'!P94, 'Inl. wetlands'!I283*44/12*('6.Inland wetlands'!P83)))</f>
        <v/>
      </c>
      <c r="X283" s="1543" t="n">
        <v>0</v>
      </c>
      <c r="Y283" s="4734">
        <f>IF('6.Inland wetlands'!N83=0, 0, IF('6.Inland wetlands'!N94&lt;'6.Inland wetlands'!N83, 'Inl. wetlands'!K283*methane/1000*'6.Inland wetlands'!N94*('6.Inland wetlands'!X94), 'Inl. wetlands'!K283*methane/1000*('6.Inland wetlands'!N83*('6.Inland wetlands'!X94))))</f>
        <v/>
      </c>
      <c r="Z283" s="4734">
        <f>IF('6.Inland wetlands'!P83=0, 0, IF('6.Inland wetlands'!P94&lt;'6.Inland wetlands'!P83, 'Inl. wetlands'!K283*methane/1000*'6.Inland wetlands'!P94*('6.Inland wetlands'!Y94), 'Inl. wetlands'!K283*methane/1000*('6.Inland wetlands'!P83*('6.Inland wetlands'!Y94))))</f>
        <v/>
      </c>
      <c r="AB283" s="3493">
        <f>MIN('Inl. wetlands'!L283,'Inl. wetlands'!M283)*time_tot+ABS('Inl. wetlands'!M283-'Inl. wetlands'!L283)*IF('Inl. wetlands'!M283&gt;'Inl. wetlands'!L283,time_cap+time*(VLOOKUP('6.Inland wetlands'!O94,list!$I$48:$K$50,3,0)),time*(1-(VLOOKUP('6.Inland wetlands'!O94,list!$I$48:$K$50,3,0))))+MIN('Inl. wetlands'!U283,'Inl. wetlands'!V283)*time_tot+ABS('Inl. wetlands'!V283-'Inl. wetlands'!U283)*IF('Inl. wetlands'!V283&gt;'Inl. wetlands'!U283,time_cap+time*(VLOOKUP('6.Inland wetlands'!O94,list!$I$48:$K$50,3,0)),time*(1-(VLOOKUP('6.Inland wetlands'!O94,list!$I$48:$K$50,3,0))))</f>
        <v/>
      </c>
      <c r="AC283" s="3493">
        <f>MIN('Inl. wetlands'!L283,'Inl. wetlands'!N283)*time_tot+ABS('Inl. wetlands'!N283-'Inl. wetlands'!L283)*IF('Inl. wetlands'!N283&gt;'Inl. wetlands'!L283,time_cap+time*(VLOOKUP('6.Inland wetlands'!Q94,list!$I$48:$K$50,3,0)),time*(1-(VLOOKUP('6.Inland wetlands'!Q94,list!$I$48:$K$50,3,0))))+MIN('Inl. wetlands'!U283,'Inl. wetlands'!W283)*time_tot+ABS('Inl. wetlands'!W283-'Inl. wetlands'!U283)*IF('Inl. wetlands'!W283&gt;'Inl. wetlands'!U283,time_cap+time*(VLOOKUP('6.Inland wetlands'!Q94,list!$I$48:$K$50,3,0)),time*(1-(VLOOKUP('6.Inland wetlands'!Q94,list!$I$48:$K$50,3,0))))</f>
        <v/>
      </c>
      <c r="AD283" s="1151">
        <f>MIN('Inl. wetlands'!O283,'Inl. wetlands'!P283)*time_tot+ABS('Inl. wetlands'!P283-'Inl. wetlands'!O283)*IF('Inl. wetlands'!P283&gt;'Inl. wetlands'!O283,time_cap+time*(VLOOKUP('6.Inland wetlands'!O94,list!$I$48:$K$50,3,0)),time*(1-(VLOOKUP('6.Inland wetlands'!O94,list!$I$48:$K$50,3,0))))+MIN('Inl. wetlands'!X283,'Inl. wetlands'!Y283)*time_tot+ABS('Inl. wetlands'!Y283-'Inl. wetlands'!X283)*IF('Inl. wetlands'!Y283&gt;'Inl. wetlands'!X283,time_cap+time*(VLOOKUP('6.Inland wetlands'!O94,list!$I$48:$K$50,3,0)),time*(1-(VLOOKUP('6.Inland wetlands'!O94,list!$I$48:$K$50,3,0))))</f>
        <v/>
      </c>
      <c r="AE283" s="1151">
        <f>MIN('Inl. wetlands'!O283,'Inl. wetlands'!Q283)*time_tot+ABS('Inl. wetlands'!Q283-'Inl. wetlands'!O283)*IF('Inl. wetlands'!Q283&gt;'Inl. wetlands'!O283,time_cap+time*(VLOOKUP('6.Inland wetlands'!Q94,list!$I$48:$K$50,3,0)),time*(1-(VLOOKUP('6.Inland wetlands'!Q94,list!$I$48:$K$50,3,0))))+MIN('Inl. wetlands'!X283,'Inl. wetlands'!Z283)*time_tot+ABS('Inl. wetlands'!Z283-'Inl. wetlands'!X283)*IF('Inl. wetlands'!Z283&gt;'Inl. wetlands'!X283,time_cap+time*(VLOOKUP('6.Inland wetlands'!Q94,list!$I$48:$K$50,3,0)),time*(1-(VLOOKUP('6.Inland wetlands'!Q94,list!$I$48:$K$50,3,0))))</f>
        <v/>
      </c>
      <c r="AF283" s="1151">
        <f>MIN('Inl. wetlands'!R283,'Inl. wetlands'!S283)*time_tot+ABS('Inl. wetlands'!S283-'Inl. wetlands'!R283)*IF('Inl. wetlands'!S283&gt;'Inl. wetlands'!R283,time_cap+time*(VLOOKUP('6.Inland wetlands'!O94,list!$I$48:$K$50,3,0)),time*(1-(VLOOKUP('6.Inland wetlands'!O94,list!$I$48:$K$50,3,0))))</f>
        <v/>
      </c>
      <c r="AG283" s="1151">
        <f>MIN('Inl. wetlands'!R283,'Inl. wetlands'!T283)*time_tot+ABS('Inl. wetlands'!T283-'Inl. wetlands'!R283)*IF('Inl. wetlands'!T283&gt;'Inl. wetlands'!R283,time_cap+time*(VLOOKUP('6.Inland wetlands'!Q94,list!$I$48:$K$50,3,0)),time*(1-(VLOOKUP('6.Inland wetlands'!Q94,list!$I$48:$K$50,3,0))))</f>
        <v/>
      </c>
      <c r="AX283" s="1461" t="n"/>
      <c r="AY283" s="1461" t="n"/>
      <c r="AZ283" s="1461" t="n"/>
      <c r="BA283" s="1461" t="n"/>
      <c r="BB283" s="1461" t="n"/>
      <c r="BC283" s="1461" t="n"/>
      <c r="BD283" s="1461" t="n"/>
      <c r="BE283" s="1461" t="n"/>
      <c r="BF283" s="1461" t="n"/>
      <c r="BG283" s="1461" t="n"/>
    </row>
    <row r="284">
      <c r="A284" s="1264" t="inlineStr">
        <is>
          <t>S5</t>
        </is>
      </c>
      <c r="B284" s="4718">
        <f>IFERROR(IF(AND(OR('Inl. wetlands'!$E259="Other land",'Inl. wetlands'!$E259="Degraded land"),'Inl. wetlands'!$J$249=list!$J$210),INDEX(IPCC!$A$1762:$J$1773,MATCH(clim_moist,IPCC!$A$1762:$A$1773,0),MATCH('Inl. wetlands'!$E259,IPCC!$A$1762:$J$1762,0)),IF(AND(OR('Inl. wetlands'!$E259="Other land",'Inl. wetlands'!$E259="Degraded land"),'Inl. wetlands'!$J$249=list!$J$211),INDEX(IPCC!$A$1781:$J$1792,MATCH(clim_moist,IPCC!$A$1781:$A$1792,0),MATCH('Inl. wetlands'!$E259,IPCC!$A$1781:$J$1781,0)),IF('Inl. wetlands'!$J$249=list!$J$210,INDEX(IPCC!$A$1762:$J$1773,MATCH(clim_moist,IPCC!$A$1781:$A$1792,0),MATCH('Inl. wetlands'!$E259,IPCC!$A$1781:$J$1781,0)),IF('Inl. wetlands'!$J$249=list!$J$211,INDEX(IPCC!$A$1781:$J$1792,MATCH(clim_moist,IPCC!$A$1781:$A$1792,0),MATCH('Inl. wetlands'!$E259,IPCC!$A$1781:$J$1781,0)))))),0)</f>
        <v/>
      </c>
      <c r="C284" s="4642">
        <f>IF('6.Inland wetlands'!$CG97="",'6.Inland wetlands'!$CF97,'6.Inland wetlands'!$CG97)</f>
        <v/>
      </c>
      <c r="D284" s="4718">
        <f>IFERROR(IF(AND(OR('Inl. wetlands'!$E259="Other land",'Inl. wetlands'!$E259="Degraded land"),'Inl. wetlands'!$J$249=list!$J$210),INDEX(IPCC!$A$1818:$J$1829,MATCH(clim_moist,IPCC!$A$1818:$A$1829,0),MATCH('Inl. wetlands'!$E259,IPCC!$A$1818:$J$1818,0)),IF(AND(OR('Inl. wetlands'!$E259="Other land",'Inl. wetlands'!$E259="Degraded land"),'Inl. wetlands'!$J$249=list!$J$211),INDEX(IPCC!$A$1836:$J$1847,MATCH(clim_moist,IPCC!$A$1836:$A$1847,0),MATCH('Inl. wetlands'!$E259,IPCC!$A$1836:$J$1836,0)),IF('Inl. wetlands'!$J$249=list!$J$210,INDEX(IPCC!$A$1818:$J$1829,MATCH(clim_moist,IPCC!$A$1818:$A$1829,0),MATCH('Inl. wetlands'!$E259,IPCC!$A$1818:$J$1818,0)),IF('Inl. wetlands'!$J$249=list!$J$211,INDEX(IPCC!$A$1836:$J$1847,MATCH(clim_moist,IPCC!$A$1836:$A$1847,0),MATCH('Inl. wetlands'!$E259,IPCC!$A$1836:$J$1836,0)))))),0)</f>
        <v/>
      </c>
      <c r="E284" s="4642">
        <f>IF('6.Inland wetlands'!$CI97="",'6.Inland wetlands'!$CH97,'6.Inland wetlands'!$CI97)</f>
        <v/>
      </c>
      <c r="F284" s="4718">
        <f>IFERROR(IF(AND(OR('Inl. wetlands'!$E259="Other land",'Inl. wetlands'!$E259="Degraded land"),'Inl. wetlands'!$J$249=list!$J$210),INDEX(IPCC!$A$1872:$J$1883,MATCH(clim_moist,IPCC!$A$1872:$A$1883,0),MATCH('Inl. wetlands'!$E259,IPCC!$A$1872:$J$1872,0)),IF(AND(OR('Inl. wetlands'!$E259="Other land",'Inl. wetlands'!$E259="Degraded land"),'Inl. wetlands'!$J$249=list!$J$211),INDEX(IPCC!$A$1890:$J$1901,MATCH(clim_moist,IPCC!$A$1890:$A$1901,0),MATCH('Inl. wetlands'!$E259,IPCC!$A$1890:$J$1890,0)),IF('Inl. wetlands'!$J$249=list!$J$210,INDEX(IPCC!$A$1872:$J$1883,MATCH(clim_moist,IPCC!$A$1872:$A$1883,0),MATCH('Inl. wetlands'!$E259,IPCC!$A$1872:$J$1872,0)),IF('Inl. wetlands'!$J$249=list!$J$211,INDEX(IPCC!$A$1890:$J$1901,MATCH(clim_moist,IPCC!$A$1890:$A$1901,0),MATCH('Inl. wetlands'!$E259,IPCC!$A$1890:$J$1890,0)))))),0)</f>
        <v/>
      </c>
      <c r="G284" s="4642">
        <f>IF('6.Inland wetlands'!$CK97="",'6.Inland wetlands'!$CJ97,'6.Inland wetlands'!$CK97)</f>
        <v/>
      </c>
      <c r="H284" s="4718">
        <f>IFERROR(IF(AND(OR('Inl. wetlands'!$E259="Other land",'Inl. wetlands'!$E259="Degraded land"),'Inl. wetlands'!$J$249=list!$J$210),INDEX(IPCC!$A$1800:$J$1811,MATCH(clim_moist,IPCC!$A$1800:$A$1811,0),MATCH('Inl. wetlands'!$E259,IPCC!$A$1800:$J$1800,0)),IF(AND(OR('Inl. wetlands'!$E259="Other land",'Inl. wetlands'!$E259="Degraded land"),'Inl. wetlands'!$J$249=list!$J$211),INDEX(IPCC!$A$1800:$J$1811,MATCH(clim_moist,IPCC!$A$1800:$A$1811,0),MATCH('Inl. wetlands'!$E259,IPCC!$A$1800:$J$1800,0)),IF('Inl. wetlands'!$J$249=list!$J$210,INDEX(IPCC!$A$1800:$J$1811,MATCH(clim_moist,IPCC!$A$1800:$A$1811,0),MATCH('Inl. wetlands'!$E259,IPCC!$A$1800:$J$1800,0)),IF('Inl. wetlands'!$J$249=list!$J$211,INDEX(IPCC!$A$1800:$J$1811,MATCH(clim_moist,IPCC!$A$1800:$A$1811,0),MATCH('Inl. wetlands'!$E259,IPCC!$A$1800:$J$1800,0)))))),0)</f>
        <v/>
      </c>
      <c r="I284" s="1162">
        <f>IF('6.Inland wetlands'!$CN97="",'6.Inland wetlands'!$CM97,'6.Inland wetlands'!$CN97)</f>
        <v/>
      </c>
      <c r="J284" s="1111">
        <f>IFERROR(IF(AND(OR('Inl. wetlands'!$E259="Other land",'Inl. wetlands'!$E259="Degraded land"),'Inl. wetlands'!$J$249=list!$J$210),INDEX(IPCC!$A$1854:$J$1865,MATCH(clim_moist,IPCC!$A$1854:$A$1865,0),MATCH('Inl. wetlands'!$E259,IPCC!$A$1854:$J$1854,0)),IF(AND(OR('Inl. wetlands'!$E259="Other land",'Inl. wetlands'!$E259="Degraded land"),'Inl. wetlands'!$J$249=list!$J$211),INDEX(IPCC!$A$1854:$J$1865,MATCH(clim_moist,IPCC!$A$1854:A$1865,0),MATCH('Inl. wetlands'!$E259,IPCC!$A$1854:$J$1854,0)),IF('Inl. wetlands'!$J$249=list!$J$210,INDEX(IPCC!$A$1854:$J$1865,MATCH(clim_moist,IPCC!$A$1854:$A$1865,0),MATCH('Inl. wetlands'!$E259,IPCC!$A$1854:$J$1854,0)),IF('Inl. wetlands'!$J$249=list!$J$211,INDEX(IPCC!$A$1854:$J$1865,MATCH(clim_moist,IPCC!$A$1854:$A$1865,0),MATCH('Inl. wetlands'!$E259,IPCC!$A$1854:$J$1854,0)))))),0)</f>
        <v/>
      </c>
      <c r="K284" s="1161">
        <f>IF('6.Inland wetlands'!$CP97="",'6.Inland wetlands'!$CO97,'6.Inland wetlands'!$CP97)</f>
        <v/>
      </c>
      <c r="L284" s="1543" t="n">
        <v>0</v>
      </c>
      <c r="M284" s="1543">
        <f>IF('6.Inland wetlands'!N84=0, 0, IF('6.Inland wetlands'!N95&lt;'6.Inland wetlands'!N84, 'Inl. wetlands'!C284*44/12*'6.Inland wetlands'!N95, 'Inl. wetlands'!C284*44/12*('6.Inland wetlands'!N84)))</f>
        <v/>
      </c>
      <c r="N284" s="4360">
        <f>IF('6.Inland wetlands'!P84=0, 0, IF('6.Inland wetlands'!P95&lt;'6.Inland wetlands'!P84, 'Inl. wetlands'!C284*44/12*'6.Inland wetlands'!P95, 'Inl. wetlands'!C284*44/12*('6.Inland wetlands'!P84)))</f>
        <v/>
      </c>
      <c r="O284" s="1543" t="n">
        <v>0</v>
      </c>
      <c r="P284" s="4360">
        <f>IF('6.Inland wetlands'!N84=0, 0, IF('6.Inland wetlands'!N95&lt;'6.Inland wetlands'!N84, 'Inl. wetlands'!E284*methane/1000*'6.Inland wetlands'!N95*(1-'6.Inland wetlands'!X95), 'Inl. wetlands'!E284*methane/1000*('6.Inland wetlands'!N84*(1-'6.Inland wetlands'!X95))))</f>
        <v/>
      </c>
      <c r="Q284" s="4360">
        <f>IF('6.Inland wetlands'!P84=0, 0, IF('6.Inland wetlands'!P95&lt;'6.Inland wetlands'!P84, 'Inl. wetlands'!E284*methane/1000*'6.Inland wetlands'!P95*(1-'6.Inland wetlands'!Y95), 'Inl. wetlands'!E284*methane/1000*('6.Inland wetlands'!P84*(1-'6.Inland wetlands'!Y95))))</f>
        <v/>
      </c>
      <c r="R284" s="1543" t="n">
        <v>0</v>
      </c>
      <c r="S284" s="4360">
        <f>IF('6.Inland wetlands'!N84=0, 0, IF('6.Inland wetlands'!N95&lt;'6.Inland wetlands'!N84, 'Inl. wetlands'!G284*44/28*Nitrous/1000*'6.Inland wetlands'!N95, 'Inl. wetlands'!G284*44/28*Nitrous/1000*('6.Inland wetlands'!N84)))</f>
        <v/>
      </c>
      <c r="T284" s="4360">
        <f>IF('6.Inland wetlands'!P84=0, 0, IF('6.Inland wetlands'!P95&lt;'6.Inland wetlands'!P84, 'Inl. wetlands'!G284*44/28*Nitrous/1000*'6.Inland wetlands'!P95, 'Inl. wetlands'!G284*44/28*Nitrous/1000*('6.Inland wetlands'!P84)))</f>
        <v/>
      </c>
      <c r="U284" s="1543" t="n">
        <v>0</v>
      </c>
      <c r="V284" s="4360">
        <f>IF('6.Inland wetlands'!N84=0, 0, IF('6.Inland wetlands'!N95&lt;'6.Inland wetlands'!N84, 'Inl. wetlands'!I284*44/12*'6.Inland wetlands'!N95, 'Inl. wetlands'!I284*44/12*('6.Inland wetlands'!N84)))</f>
        <v/>
      </c>
      <c r="W284" s="4360">
        <f>IF('6.Inland wetlands'!P84=0, 0, IF('6.Inland wetlands'!P95&lt;'6.Inland wetlands'!P84, 'Inl. wetlands'!I284*44/12*'6.Inland wetlands'!P95, 'Inl. wetlands'!I284*44/12*('6.Inland wetlands'!P84)))</f>
        <v/>
      </c>
      <c r="X284" s="1543" t="n">
        <v>0</v>
      </c>
      <c r="Y284" s="4734">
        <f>IF('6.Inland wetlands'!N84=0, 0, IF('6.Inland wetlands'!N95&lt;'6.Inland wetlands'!N84, 'Inl. wetlands'!K284*methane/1000*'6.Inland wetlands'!N95*('6.Inland wetlands'!X95), 'Inl. wetlands'!K284*methane/1000*('6.Inland wetlands'!N84*('6.Inland wetlands'!X95))))</f>
        <v/>
      </c>
      <c r="Z284" s="4734">
        <f>IF('6.Inland wetlands'!P84=0, 0, IF('6.Inland wetlands'!P95&lt;'6.Inland wetlands'!P84, 'Inl. wetlands'!K284*methane/1000*'6.Inland wetlands'!P95*('6.Inland wetlands'!Y95), 'Inl. wetlands'!K284*methane/1000*('6.Inland wetlands'!P84*('6.Inland wetlands'!Y95))))</f>
        <v/>
      </c>
      <c r="AB284" s="3493">
        <f>MIN('Inl. wetlands'!L284,'Inl. wetlands'!M284)*time_tot+ABS('Inl. wetlands'!M284-'Inl. wetlands'!L284)*IF('Inl. wetlands'!M284&gt;'Inl. wetlands'!L284,time_cap+time*(VLOOKUP('6.Inland wetlands'!O95,list!$I$48:$K$50,3,0)),time*(1-(VLOOKUP('6.Inland wetlands'!O95,list!$I$48:$K$50,3,0))))+MIN('Inl. wetlands'!U284,'Inl. wetlands'!V284)*time_tot+ABS('Inl. wetlands'!V284-'Inl. wetlands'!U284)*IF('Inl. wetlands'!V284&gt;'Inl. wetlands'!U284,time_cap+time*(VLOOKUP('6.Inland wetlands'!O95,list!$I$48:$K$50,3,0)),time*(1-(VLOOKUP('6.Inland wetlands'!O95,list!$I$48:$K$50,3,0))))</f>
        <v/>
      </c>
      <c r="AC284" s="3493">
        <f>MIN('Inl. wetlands'!L284,'Inl. wetlands'!N284)*time_tot+ABS('Inl. wetlands'!N284-'Inl. wetlands'!L284)*IF('Inl. wetlands'!N284&gt;'Inl. wetlands'!L284,time_cap+time*(VLOOKUP('6.Inland wetlands'!Q95,list!$I$48:$K$50,3,0)),time*(1-(VLOOKUP('6.Inland wetlands'!Q95,list!$I$48:$K$50,3,0))))+MIN('Inl. wetlands'!U284,'Inl. wetlands'!W284)*time_tot+ABS('Inl. wetlands'!W284-'Inl. wetlands'!U284)*IF('Inl. wetlands'!W284&gt;'Inl. wetlands'!U284,time_cap+time*(VLOOKUP('6.Inland wetlands'!Q95,list!$I$48:$K$50,3,0)),time*(1-(VLOOKUP('6.Inland wetlands'!Q95,list!$I$48:$K$50,3,0))))</f>
        <v/>
      </c>
      <c r="AD284" s="1151">
        <f>MIN('Inl. wetlands'!O284,'Inl. wetlands'!P284)*time_tot+ABS('Inl. wetlands'!P284-'Inl. wetlands'!O284)*IF('Inl. wetlands'!P284&gt;'Inl. wetlands'!O284,time_cap+time*(VLOOKUP('6.Inland wetlands'!O95,list!$I$48:$K$50,3,0)),time*(1-(VLOOKUP('6.Inland wetlands'!O95,list!$I$48:$K$50,3,0))))+MIN('Inl. wetlands'!X284,'Inl. wetlands'!Y284)*time_tot+ABS('Inl. wetlands'!Y284-'Inl. wetlands'!X284)*IF('Inl. wetlands'!Y284&gt;'Inl. wetlands'!X284,time_cap+time*(VLOOKUP('6.Inland wetlands'!O95,list!$I$48:$K$50,3,0)),time*(1-(VLOOKUP('6.Inland wetlands'!O95,list!$I$48:$K$50,3,0))))</f>
        <v/>
      </c>
      <c r="AE284" s="1151">
        <f>MIN('Inl. wetlands'!O284,'Inl. wetlands'!Q284)*time_tot+ABS('Inl. wetlands'!Q284-'Inl. wetlands'!O284)*IF('Inl. wetlands'!Q284&gt;'Inl. wetlands'!O284,time_cap+time*(VLOOKUP('6.Inland wetlands'!Q95,list!$I$48:$K$50,3,0)),time*(1-(VLOOKUP('6.Inland wetlands'!Q95,list!$I$48:$K$50,3,0))))+MIN('Inl. wetlands'!X284,'Inl. wetlands'!Z284)*time_tot+ABS('Inl. wetlands'!Z284-'Inl. wetlands'!X284)*IF('Inl. wetlands'!Z284&gt;'Inl. wetlands'!X284,time_cap+time*(VLOOKUP('6.Inland wetlands'!Q95,list!$I$48:$K$50,3,0)),time*(1-(VLOOKUP('6.Inland wetlands'!Q95,list!$I$48:$K$50,3,0))))</f>
        <v/>
      </c>
      <c r="AF284" s="1151">
        <f>MIN('Inl. wetlands'!R284,'Inl. wetlands'!S284)*time_tot+ABS('Inl. wetlands'!S284-'Inl. wetlands'!R284)*IF('Inl. wetlands'!S284&gt;'Inl. wetlands'!R284,time_cap+time*(VLOOKUP('6.Inland wetlands'!O95,list!$I$48:$K$50,3,0)),time*(1-(VLOOKUP('6.Inland wetlands'!O95,list!$I$48:$K$50,3,0))))</f>
        <v/>
      </c>
      <c r="AG284" s="1151">
        <f>MIN('Inl. wetlands'!R284,'Inl. wetlands'!T284)*time_tot+ABS('Inl. wetlands'!T284-'Inl. wetlands'!R284)*IF('Inl. wetlands'!T284&gt;'Inl. wetlands'!R284,time_cap+time*(VLOOKUP('6.Inland wetlands'!Q95,list!$I$48:$K$50,3,0)),time*(1-(VLOOKUP('6.Inland wetlands'!Q95,list!$I$48:$K$50,3,0))))</f>
        <v/>
      </c>
      <c r="AX284" s="1461" t="n"/>
      <c r="AY284" s="1461" t="n"/>
      <c r="AZ284" s="1461" t="n"/>
      <c r="BA284" s="1461" t="n"/>
      <c r="BB284" s="1461" t="n"/>
      <c r="BC284" s="1461" t="n"/>
      <c r="BD284" s="1461" t="n"/>
      <c r="BE284" s="1461" t="n"/>
      <c r="BF284" s="1461" t="n"/>
      <c r="BG284" s="1461" t="n"/>
    </row>
    <row r="285">
      <c r="A285" s="1264" t="inlineStr">
        <is>
          <t>S6</t>
        </is>
      </c>
      <c r="B285" s="4718">
        <f>IFERROR(IF(AND(OR('Inl. wetlands'!$E260="Other land",'Inl. wetlands'!$E260="Degraded land"),'Inl. wetlands'!$J$249=list!$J$210),INDEX(IPCC!$A$1762:$J$1773,MATCH(clim_moist,IPCC!$A$1762:$A$1773,0),MATCH('Inl. wetlands'!$E260,IPCC!$A$1762:$J$1762,0)),IF(AND(OR('Inl. wetlands'!$E260="Other land",'Inl. wetlands'!$E260="Degraded land"),'Inl. wetlands'!$J$249=list!$J$211),INDEX(IPCC!$A$1781:$J$1792,MATCH(clim_moist,IPCC!$A$1781:$A$1792,0),MATCH('Inl. wetlands'!$E260,IPCC!$A$1781:$J$1781,0)),IF('Inl. wetlands'!$J$249=list!$J$210,INDEX(IPCC!$A$1762:$J$1773,MATCH(clim_moist,IPCC!$A$1781:$A$1792,0),MATCH('Inl. wetlands'!$E260,IPCC!$A$1781:$J$1781,0)),IF('Inl. wetlands'!$J$249=list!$J$211,INDEX(IPCC!$A$1781:$J$1792,MATCH(clim_moist,IPCC!$A$1781:$A$1792,0),MATCH('Inl. wetlands'!$E260,IPCC!$A$1781:$J$1781,0)))))),0)</f>
        <v/>
      </c>
      <c r="C285" s="4642">
        <f>IF('6.Inland wetlands'!$CG98="",'6.Inland wetlands'!$CF98,'6.Inland wetlands'!$CG98)</f>
        <v/>
      </c>
      <c r="D285" s="4718">
        <f>IFERROR(IF(AND(OR('Inl. wetlands'!$E260="Other land",'Inl. wetlands'!$E260="Degraded land"),'Inl. wetlands'!$J$249=list!$J$210),INDEX(IPCC!$A$1818:$J$1829,MATCH(clim_moist,IPCC!$A$1818:$A$1829,0),MATCH('Inl. wetlands'!$E260,IPCC!$A$1818:$J$1818,0)),IF(AND(OR('Inl. wetlands'!$E260="Other land",'Inl. wetlands'!$E260="Degraded land"),'Inl. wetlands'!$J$249=list!$J$211),INDEX(IPCC!$A$1836:$J$1847,MATCH(clim_moist,IPCC!$A$1836:$A$1847,0),MATCH('Inl. wetlands'!$E260,IPCC!$A$1836:$J$1836,0)),IF('Inl. wetlands'!$J$249=list!$J$210,INDEX(IPCC!$A$1818:$J$1829,MATCH(clim_moist,IPCC!$A$1818:$A$1829,0),MATCH('Inl. wetlands'!$E260,IPCC!$A$1818:$J$1818,0)),IF('Inl. wetlands'!$J$249=list!$J$211,INDEX(IPCC!$A$1836:$J$1847,MATCH(clim_moist,IPCC!$A$1836:$A$1847,0),MATCH('Inl. wetlands'!$E260,IPCC!$A$1836:$J$1836,0)))))),0)</f>
        <v/>
      </c>
      <c r="E285" s="4642">
        <f>IF('6.Inland wetlands'!$CI98="",'6.Inland wetlands'!$CH98,'6.Inland wetlands'!$CI98)</f>
        <v/>
      </c>
      <c r="F285" s="4718">
        <f>IFERROR(IF(AND(OR('Inl. wetlands'!$E260="Other land",'Inl. wetlands'!$E260="Degraded land"),'Inl. wetlands'!$J$249=list!$J$210),INDEX(IPCC!$A$1872:$J$1883,MATCH(clim_moist,IPCC!$A$1872:$A$1883,0),MATCH('Inl. wetlands'!$E260,IPCC!$A$1872:$J$1872,0)),IF(AND(OR('Inl. wetlands'!$E260="Other land",'Inl. wetlands'!$E260="Degraded land"),'Inl. wetlands'!$J$249=list!$J$211),INDEX(IPCC!$A$1890:$J$1901,MATCH(clim_moist,IPCC!$A$1890:$A$1901,0),MATCH('Inl. wetlands'!$E260,IPCC!$A$1890:$J$1890,0)),IF('Inl. wetlands'!$J$249=list!$J$210,INDEX(IPCC!$A$1872:$J$1883,MATCH(clim_moist,IPCC!$A$1872:$A$1883,0),MATCH('Inl. wetlands'!$E260,IPCC!$A$1872:$J$1872,0)),IF('Inl. wetlands'!$J$249=list!$J$211,INDEX(IPCC!$A$1890:$J$1901,MATCH(clim_moist,IPCC!$A$1890:$A$1901,0),MATCH('Inl. wetlands'!$E260,IPCC!$A$1890:$J$1890,0)))))),0)</f>
        <v/>
      </c>
      <c r="G285" s="4642">
        <f>IF('6.Inland wetlands'!$CK98="",'6.Inland wetlands'!$CJ98,'6.Inland wetlands'!$CK98)</f>
        <v/>
      </c>
      <c r="H285" s="4718">
        <f>IFERROR(IF(AND(OR('Inl. wetlands'!$E260="Other land",'Inl. wetlands'!$E260="Degraded land"),'Inl. wetlands'!$J$249=list!$J$210),INDEX(IPCC!$A$1800:$J$1811,MATCH(clim_moist,IPCC!$A$1800:$A$1811,0),MATCH('Inl. wetlands'!$E260,IPCC!$A$1800:$J$1800,0)),IF(AND(OR('Inl. wetlands'!$E260="Other land",'Inl. wetlands'!$E260="Degraded land"),'Inl. wetlands'!$J$249=list!$J$211),INDEX(IPCC!$A$1800:$J$1811,MATCH(clim_moist,IPCC!$A$1800:$A$1811,0),MATCH('Inl. wetlands'!$E260,IPCC!$A$1800:$J$1800,0)),IF('Inl. wetlands'!$J$249=list!$J$210,INDEX(IPCC!$A$1800:$J$1811,MATCH(clim_moist,IPCC!$A$1800:$A$1811,0),MATCH('Inl. wetlands'!$E260,IPCC!$A$1800:$J$1800,0)),IF('Inl. wetlands'!$J$249=list!$J$211,INDEX(IPCC!$A$1800:$J$1811,MATCH(clim_moist,IPCC!$A$1800:$A$1811,0),MATCH('Inl. wetlands'!$E260,IPCC!$A$1800:$J$1800,0)))))),0)</f>
        <v/>
      </c>
      <c r="I285" s="1162">
        <f>IF('6.Inland wetlands'!$CN98="",'6.Inland wetlands'!$CM98,'6.Inland wetlands'!$CN98)</f>
        <v/>
      </c>
      <c r="J285" s="1111">
        <f>IFERROR(IF(AND(OR('Inl. wetlands'!$E260="Other land",'Inl. wetlands'!$E260="Degraded land"),'Inl. wetlands'!$J$249=list!$J$210),INDEX(IPCC!$A$1854:$J$1865,MATCH(clim_moist,IPCC!$A$1854:$A$1865,0),MATCH('Inl. wetlands'!$E260,IPCC!$A$1854:$J$1854,0)),IF(AND(OR('Inl. wetlands'!$E260="Other land",'Inl. wetlands'!$E260="Degraded land"),'Inl. wetlands'!$J$249=list!$J$211),INDEX(IPCC!$A$1854:$J$1865,MATCH(clim_moist,IPCC!$A$1854:A$1865,0),MATCH('Inl. wetlands'!$E260,IPCC!$A$1854:$J$1854,0)),IF('Inl. wetlands'!$J$249=list!$J$210,INDEX(IPCC!$A$1854:$J$1865,MATCH(clim_moist,IPCC!$A$1854:$A$1865,0),MATCH('Inl. wetlands'!$E260,IPCC!$A$1854:$J$1854,0)),IF('Inl. wetlands'!$J$249=list!$J$211,INDEX(IPCC!$A$1854:$J$1865,MATCH(clim_moist,IPCC!$A$1854:$A$1865,0),MATCH('Inl. wetlands'!$E260,IPCC!$A$1854:$J$1854,0)))))),0)</f>
        <v/>
      </c>
      <c r="K285" s="1161">
        <f>IF('6.Inland wetlands'!$CP98="",'6.Inland wetlands'!$CO98,'6.Inland wetlands'!$CP98)</f>
        <v/>
      </c>
      <c r="L285" s="1543" t="n">
        <v>0</v>
      </c>
      <c r="M285" s="1543">
        <f>IF('6.Inland wetlands'!N85=0, 0, IF('6.Inland wetlands'!N96&lt;'6.Inland wetlands'!N85, 'Inl. wetlands'!C285*44/12*'6.Inland wetlands'!N96, 'Inl. wetlands'!C285*44/12*('6.Inland wetlands'!N85)))</f>
        <v/>
      </c>
      <c r="N285" s="4360">
        <f>IF('6.Inland wetlands'!P85=0, 0, IF('6.Inland wetlands'!P96&lt;'6.Inland wetlands'!P85, 'Inl. wetlands'!C285*44/12*'6.Inland wetlands'!P96, 'Inl. wetlands'!C285*44/12*('6.Inland wetlands'!P85)))</f>
        <v/>
      </c>
      <c r="O285" s="1543" t="n">
        <v>0</v>
      </c>
      <c r="P285" s="4360">
        <f>IF('6.Inland wetlands'!N85=0, 0, IF('6.Inland wetlands'!N96&lt;'6.Inland wetlands'!N85, 'Inl. wetlands'!E285*methane/1000*'6.Inland wetlands'!N96*(1-'6.Inland wetlands'!X96), 'Inl. wetlands'!E285*methane/1000*('6.Inland wetlands'!N85*(1-'6.Inland wetlands'!X96))))</f>
        <v/>
      </c>
      <c r="Q285" s="4360">
        <f>IF('6.Inland wetlands'!P85=0, 0, IF('6.Inland wetlands'!P96&lt;'6.Inland wetlands'!P85, 'Inl. wetlands'!E285*methane/1000*'6.Inland wetlands'!P96*(1-'6.Inland wetlands'!Y96), 'Inl. wetlands'!E285*methane/1000*('6.Inland wetlands'!P85*(1-'6.Inland wetlands'!Y96))))</f>
        <v/>
      </c>
      <c r="R285" s="1543" t="n">
        <v>0</v>
      </c>
      <c r="S285" s="4360">
        <f>IF('6.Inland wetlands'!N85=0, 0, IF('6.Inland wetlands'!N96&lt;'6.Inland wetlands'!N85, 'Inl. wetlands'!G285*44/28*Nitrous/1000*'6.Inland wetlands'!N96, 'Inl. wetlands'!G285*44/28*Nitrous/1000*('6.Inland wetlands'!N85)))</f>
        <v/>
      </c>
      <c r="T285" s="4360">
        <f>IF('6.Inland wetlands'!P85=0, 0, IF('6.Inland wetlands'!P96&lt;'6.Inland wetlands'!P85, 'Inl. wetlands'!G285*44/28*Nitrous/1000*'6.Inland wetlands'!P96, 'Inl. wetlands'!G285*44/28*Nitrous/1000*('6.Inland wetlands'!P85)))</f>
        <v/>
      </c>
      <c r="U285" s="1543" t="n">
        <v>0</v>
      </c>
      <c r="V285" s="4360">
        <f>IF('6.Inland wetlands'!N85=0, 0, IF('6.Inland wetlands'!N96&lt;'6.Inland wetlands'!N85, 'Inl. wetlands'!I285*44/12*'6.Inland wetlands'!N96, 'Inl. wetlands'!I285*44/12*('6.Inland wetlands'!N85)))</f>
        <v/>
      </c>
      <c r="W285" s="4360">
        <f>IF('6.Inland wetlands'!P85=0, 0, IF('6.Inland wetlands'!P96&lt;'6.Inland wetlands'!P85, 'Inl. wetlands'!I285*44/12*'6.Inland wetlands'!P96, 'Inl. wetlands'!I285*44/12*('6.Inland wetlands'!P85)))</f>
        <v/>
      </c>
      <c r="X285" s="1543" t="n">
        <v>0</v>
      </c>
      <c r="Y285" s="4734">
        <f>IF('6.Inland wetlands'!N85=0, 0, IF('6.Inland wetlands'!N96&lt;'6.Inland wetlands'!N85, 'Inl. wetlands'!K285*methane/1000*'6.Inland wetlands'!N96*('6.Inland wetlands'!X96), 'Inl. wetlands'!K285*methane/1000*('6.Inland wetlands'!N85*('6.Inland wetlands'!X96))))</f>
        <v/>
      </c>
      <c r="Z285" s="4734">
        <f>IF('6.Inland wetlands'!P85=0, 0, IF('6.Inland wetlands'!P96&lt;'6.Inland wetlands'!P85, 'Inl. wetlands'!K285*methane/1000*'6.Inland wetlands'!P96*('6.Inland wetlands'!Y96), 'Inl. wetlands'!K285*methane/1000*('6.Inland wetlands'!P85*('6.Inland wetlands'!Y96))))</f>
        <v/>
      </c>
      <c r="AB285" s="3493">
        <f>MIN('Inl. wetlands'!L285,'Inl. wetlands'!M285)*time_tot+ABS('Inl. wetlands'!M285-'Inl. wetlands'!L285)*IF('Inl. wetlands'!M285&gt;'Inl. wetlands'!L285,time_cap+time*(VLOOKUP('6.Inland wetlands'!O96,list!$I$48:$K$50,3,0)),time*(1-(VLOOKUP('6.Inland wetlands'!O96,list!$I$48:$K$50,3,0))))+MIN('Inl. wetlands'!U285,'Inl. wetlands'!V285)*time_tot+ABS('Inl. wetlands'!V285-'Inl. wetlands'!U285)*IF('Inl. wetlands'!V285&gt;'Inl. wetlands'!U285,time_cap+time*(VLOOKUP('6.Inland wetlands'!O96,list!$I$48:$K$50,3,0)),time*(1-(VLOOKUP('6.Inland wetlands'!O96,list!$I$48:$K$50,3,0))))</f>
        <v/>
      </c>
      <c r="AC285" s="3493">
        <f>MIN('Inl. wetlands'!L285,'Inl. wetlands'!N285)*time_tot+ABS('Inl. wetlands'!N285-'Inl. wetlands'!L285)*IF('Inl. wetlands'!N285&gt;'Inl. wetlands'!L285,time_cap+time*(VLOOKUP('6.Inland wetlands'!Q96,list!$I$48:$K$50,3,0)),time*(1-(VLOOKUP('6.Inland wetlands'!Q96,list!$I$48:$K$50,3,0))))+MIN('Inl. wetlands'!U285,'Inl. wetlands'!W285)*time_tot+ABS('Inl. wetlands'!W285-'Inl. wetlands'!U285)*IF('Inl. wetlands'!W285&gt;'Inl. wetlands'!U285,time_cap+time*(VLOOKUP('6.Inland wetlands'!Q96,list!$I$48:$K$50,3,0)),time*(1-(VLOOKUP('6.Inland wetlands'!Q96,list!$I$48:$K$50,3,0))))</f>
        <v/>
      </c>
      <c r="AD285" s="1151">
        <f>MIN('Inl. wetlands'!O285,'Inl. wetlands'!P285)*time_tot+ABS('Inl. wetlands'!P285-'Inl. wetlands'!O285)*IF('Inl. wetlands'!P285&gt;'Inl. wetlands'!O285,time_cap+time*(VLOOKUP('6.Inland wetlands'!O96,list!$I$48:$K$50,3,0)),time*(1-(VLOOKUP('6.Inland wetlands'!O96,list!$I$48:$K$50,3,0))))+MIN('Inl. wetlands'!X285,'Inl. wetlands'!Y285)*time_tot+ABS('Inl. wetlands'!Y285-'Inl. wetlands'!X285)*IF('Inl. wetlands'!Y285&gt;'Inl. wetlands'!X285,time_cap+time*(VLOOKUP('6.Inland wetlands'!O96,list!$I$48:$K$50,3,0)),time*(1-(VLOOKUP('6.Inland wetlands'!O96,list!$I$48:$K$50,3,0))))</f>
        <v/>
      </c>
      <c r="AE285" s="1151">
        <f>MIN('Inl. wetlands'!O285,'Inl. wetlands'!Q285)*time_tot+ABS('Inl. wetlands'!Q285-'Inl. wetlands'!O285)*IF('Inl. wetlands'!Q285&gt;'Inl. wetlands'!O285,time_cap+time*(VLOOKUP('6.Inland wetlands'!Q96,list!$I$48:$K$50,3,0)),time*(1-(VLOOKUP('6.Inland wetlands'!Q96,list!$I$48:$K$50,3,0))))+MIN('Inl. wetlands'!X285,'Inl. wetlands'!Z285)*time_tot+ABS('Inl. wetlands'!Z285-'Inl. wetlands'!X285)*IF('Inl. wetlands'!Z285&gt;'Inl. wetlands'!X285,time_cap+time*(VLOOKUP('6.Inland wetlands'!Q96,list!$I$48:$K$50,3,0)),time*(1-(VLOOKUP('6.Inland wetlands'!Q96,list!$I$48:$K$50,3,0))))</f>
        <v/>
      </c>
      <c r="AF285" s="1151">
        <f>MIN('Inl. wetlands'!R285,'Inl. wetlands'!S285)*time_tot+ABS('Inl. wetlands'!S285-'Inl. wetlands'!R285)*IF('Inl. wetlands'!S285&gt;'Inl. wetlands'!R285,time_cap+time*(VLOOKUP('6.Inland wetlands'!O96,list!$I$48:$K$50,3,0)),time*(1-(VLOOKUP('6.Inland wetlands'!O96,list!$I$48:$K$50,3,0))))</f>
        <v/>
      </c>
      <c r="AG285" s="1151">
        <f>MIN('Inl. wetlands'!R285,'Inl. wetlands'!T285)*time_tot+ABS('Inl. wetlands'!T285-'Inl. wetlands'!R285)*IF('Inl. wetlands'!T285&gt;'Inl. wetlands'!R285,time_cap+time*(VLOOKUP('6.Inland wetlands'!Q96,list!$I$48:$K$50,3,0)),time*(1-(VLOOKUP('6.Inland wetlands'!Q96,list!$I$48:$K$50,3,0))))</f>
        <v/>
      </c>
      <c r="AX285" s="1461" t="n"/>
      <c r="AY285" s="1461" t="n"/>
      <c r="AZ285" s="1461" t="n"/>
      <c r="BA285" s="1461" t="n"/>
      <c r="BB285" s="1461" t="n"/>
      <c r="BC285" s="1461" t="n"/>
      <c r="BD285" s="1461" t="n"/>
      <c r="BE285" s="1461" t="n"/>
      <c r="BF285" s="1461" t="n"/>
      <c r="BG285" s="1461" t="n"/>
    </row>
    <row r="286">
      <c r="R286" s="1057" t="n"/>
      <c r="S286" s="1230" t="n"/>
      <c r="V286" s="992" t="n"/>
      <c r="W286" s="992" t="n"/>
      <c r="X286" s="992" t="n"/>
      <c r="Y286" s="992" t="n"/>
      <c r="Z286" s="992" t="n"/>
      <c r="AD286" s="1469" t="n"/>
      <c r="AE286" s="992" t="n"/>
      <c r="AF286" s="992" t="n"/>
      <c r="AG286" s="992" t="n"/>
      <c r="AX286" s="1461" t="n"/>
      <c r="AY286" s="1461" t="n"/>
      <c r="AZ286" s="1461" t="n"/>
      <c r="BA286" s="1461" t="n"/>
      <c r="BB286" s="1461" t="n"/>
      <c r="BC286" s="1461" t="n"/>
      <c r="BD286" s="1461" t="n"/>
      <c r="BE286" s="1461" t="n"/>
      <c r="BF286" s="1461" t="n"/>
      <c r="BG286" s="1461" t="n"/>
    </row>
    <row r="287">
      <c r="R287" s="1057" t="n"/>
      <c r="S287" s="1230" t="n"/>
      <c r="V287" s="992" t="n"/>
      <c r="W287" s="992" t="n"/>
      <c r="X287" s="992" t="n"/>
      <c r="Y287" s="992" t="n"/>
      <c r="Z287" s="992" t="n"/>
      <c r="AD287" s="1469" t="n"/>
      <c r="AE287" s="992" t="n"/>
      <c r="AF287" s="992" t="n"/>
      <c r="AG287" s="992" t="n"/>
      <c r="AX287" s="1461" t="n"/>
      <c r="AY287" s="1461" t="n"/>
      <c r="AZ287" s="1461" t="n"/>
      <c r="BA287" s="1461" t="n"/>
      <c r="BB287" s="1461" t="n"/>
      <c r="BC287" s="1461" t="n"/>
      <c r="BD287" s="1461" t="n"/>
      <c r="BE287" s="1461" t="n"/>
      <c r="BF287" s="1461" t="n"/>
      <c r="BG287" s="1461" t="n"/>
    </row>
    <row r="288">
      <c r="E288" s="4026" t="inlineStr">
        <is>
          <t>drained areas</t>
        </is>
      </c>
      <c r="F288" s="4026">
        <f>MAX(G288:H288)</f>
        <v/>
      </c>
      <c r="G288" s="4026">
        <f>SUMIF(M270:M274,"&gt;0",F255:F260)</f>
        <v/>
      </c>
      <c r="H288" s="4026">
        <f>SUMIF(N270:N274,"&gt;0",J255:J260)</f>
        <v/>
      </c>
      <c r="R288" s="1057" t="n"/>
      <c r="S288" s="1230" t="n"/>
      <c r="V288" s="992" t="n"/>
      <c r="W288" s="992" t="n"/>
      <c r="X288" s="992" t="n"/>
      <c r="Y288" s="992" t="n"/>
      <c r="Z288" s="992" t="n"/>
      <c r="AD288" s="1469" t="n"/>
      <c r="AE288" s="992" t="n"/>
      <c r="AF288" s="992" t="n"/>
      <c r="AG288" s="992" t="n"/>
      <c r="AX288" s="1461" t="n"/>
      <c r="AY288" s="1461" t="n"/>
      <c r="AZ288" s="1461" t="n"/>
      <c r="BA288" s="1461" t="n"/>
      <c r="BB288" s="1461" t="n"/>
      <c r="BC288" s="1461" t="n"/>
      <c r="BD288" s="1461" t="n"/>
      <c r="BE288" s="1461" t="n"/>
      <c r="BF288" s="1461" t="n"/>
      <c r="BG288" s="1461" t="n"/>
    </row>
    <row r="289">
      <c r="AY289" s="1451">
        <f>AY276-AX276</f>
        <v/>
      </c>
      <c r="AZ289" s="1451" t="n"/>
      <c r="BA289" s="1451">
        <f>BA276-AZ276</f>
        <v/>
      </c>
      <c r="BB289" s="1451" t="n"/>
      <c r="BC289" s="1451">
        <f>BC276-BB276</f>
        <v/>
      </c>
      <c r="BE289" s="1451">
        <f>BE276-BD276</f>
        <v/>
      </c>
      <c r="BF289" s="1451" t="n"/>
      <c r="BG289" s="1451">
        <f>BG276-BF276</f>
        <v/>
      </c>
    </row>
    <row r="290" ht="30.5" customFormat="1" customHeight="1" s="1089">
      <c r="B290" s="1112" t="inlineStr">
        <is>
          <t>Emissions associated with rewetting</t>
        </is>
      </c>
      <c r="C290" s="1113" t="n"/>
      <c r="D290" s="1113" t="n"/>
      <c r="E290" s="1113" t="n"/>
      <c r="F290" s="1113" t="n"/>
      <c r="G290" s="1113" t="n"/>
      <c r="H290" s="1113" t="n"/>
      <c r="I290" s="1113" t="n"/>
      <c r="J290" s="1113" t="n"/>
      <c r="K290" s="1113" t="n"/>
      <c r="L290" s="1113" t="n"/>
      <c r="M290" s="1113" t="n"/>
      <c r="N290" s="1113" t="n"/>
      <c r="O290" s="1113" t="n"/>
      <c r="P290" s="1113" t="n"/>
      <c r="Q290" s="1113" t="n"/>
      <c r="R290" s="1113" t="n"/>
      <c r="S290" s="1113" t="n"/>
      <c r="T290" s="1113" t="n"/>
      <c r="U290" s="1113" t="n"/>
      <c r="V290" s="1113" t="n"/>
      <c r="W290" s="1113" t="n"/>
      <c r="X290" s="1113" t="n"/>
      <c r="Y290" s="1113" t="n"/>
      <c r="Z290" s="1113" t="n"/>
      <c r="AA290" s="1113" t="n"/>
      <c r="AB290" s="1113" t="n"/>
      <c r="AC290" s="1113" t="n"/>
      <c r="AD290" s="1113" t="n"/>
      <c r="AE290" s="1113" t="n"/>
      <c r="AF290" s="1113" t="n"/>
      <c r="AG290" s="1113" t="n"/>
      <c r="AH290" s="1113" t="n"/>
      <c r="AI290" s="1113" t="n"/>
      <c r="AJ290" s="1113" t="n"/>
      <c r="AK290" s="1113" t="n"/>
      <c r="AX290" s="1447" t="n"/>
      <c r="AY290" s="1447" t="n"/>
      <c r="AZ290" s="1447" t="n"/>
      <c r="BA290" s="1447" t="n"/>
      <c r="BB290" s="1447" t="n"/>
      <c r="BC290" s="1447" t="n"/>
      <c r="BD290" s="1447" t="n"/>
      <c r="BE290" s="1447" t="n"/>
      <c r="BF290" s="1447" t="n"/>
      <c r="BG290" s="1447" t="n"/>
    </row>
    <row r="292" ht="16.5" customHeight="1">
      <c r="D292" s="1262" t="inlineStr">
        <is>
          <t>Rewetted area</t>
        </is>
      </c>
      <c r="E292" s="3489" t="n"/>
      <c r="F292" s="3489" t="n"/>
      <c r="G292" s="3489" t="n"/>
      <c r="H292" s="1473" t="inlineStr">
        <is>
          <t>On site emissions</t>
        </is>
      </c>
      <c r="I292" s="1474" t="n"/>
      <c r="J292" s="1474" t="n"/>
      <c r="K292" s="1475" t="n"/>
      <c r="L292" s="1474" t="n"/>
      <c r="M292" s="1476" t="n"/>
      <c r="N292" s="1476" t="n"/>
      <c r="O292" s="1476" t="n"/>
      <c r="P292" s="1481" t="inlineStr">
        <is>
          <t>Total emissions in tCO2-eq per year</t>
        </is>
      </c>
      <c r="Q292" s="1482" t="n"/>
      <c r="R292" s="1482" t="n"/>
      <c r="S292" s="1482" t="n"/>
      <c r="T292" s="1482" t="n"/>
      <c r="U292" s="1482" t="n"/>
      <c r="V292" s="1482" t="n"/>
      <c r="W292" s="1482" t="n"/>
      <c r="X292" s="1482" t="n"/>
      <c r="AB292" s="1471" t="inlineStr">
        <is>
          <t>REWETTING EMISSIONS</t>
        </is>
      </c>
      <c r="AC292" s="1470" t="n"/>
      <c r="AD292" s="1470" t="n"/>
      <c r="AE292" s="1470" t="n"/>
      <c r="AF292" s="1470" t="n"/>
      <c r="AG292" s="1470" t="n"/>
      <c r="AX292" s="1287" t="inlineStr">
        <is>
          <t>REWETTING</t>
        </is>
      </c>
      <c r="AY292" s="1501" t="n"/>
      <c r="AZ292" s="1501" t="n"/>
      <c r="BA292" s="1501" t="n"/>
      <c r="BB292" s="1501" t="n"/>
      <c r="BC292" s="1501" t="n"/>
      <c r="BD292" s="1271" t="n"/>
    </row>
    <row r="293" ht="17" customHeight="1">
      <c r="A293" s="1462" t="n"/>
      <c r="B293" s="1462" t="n"/>
      <c r="C293" s="1462" t="n"/>
      <c r="D293" s="1105" t="inlineStr">
        <is>
          <t>WITHOUT</t>
        </is>
      </c>
      <c r="E293" s="1105" t="n"/>
      <c r="F293" s="1106" t="inlineStr">
        <is>
          <t>WITH</t>
        </is>
      </c>
      <c r="G293" s="1101" t="n"/>
      <c r="H293" s="1495" t="inlineStr">
        <is>
          <t>CO2 (IPCC 2013)</t>
        </is>
      </c>
      <c r="I293" s="1478" t="n"/>
      <c r="J293" s="1477" t="inlineStr">
        <is>
          <t>CH4 (IPCC 2013)</t>
        </is>
      </c>
      <c r="K293" s="1478" t="n"/>
      <c r="L293" s="1477" t="inlineStr">
        <is>
          <t>N2O (IPCC 2013)</t>
        </is>
      </c>
      <c r="M293" s="1478" t="n"/>
      <c r="N293" s="1477" t="inlineStr">
        <is>
          <t>DOC (IPCC 2013)</t>
        </is>
      </c>
      <c r="O293" s="1478" t="n"/>
      <c r="P293" s="1482" t="n"/>
      <c r="Q293" s="1482" t="n"/>
      <c r="R293" s="1482" t="n"/>
      <c r="S293" s="1482" t="n"/>
      <c r="T293" s="1482" t="n"/>
      <c r="U293" s="1482" t="n"/>
      <c r="V293" s="1482" t="n"/>
      <c r="W293" s="1482" t="n"/>
      <c r="X293" s="1482" t="n"/>
      <c r="AB293" s="1471" t="inlineStr">
        <is>
          <t>Emissions in tCO2-eq all period</t>
        </is>
      </c>
      <c r="AC293" s="1471" t="n"/>
      <c r="AD293" s="1471" t="n"/>
      <c r="AE293" s="1470" t="n"/>
      <c r="AF293" s="1471" t="n"/>
      <c r="AG293" s="1470" t="n"/>
      <c r="AX293" s="1502" t="inlineStr">
        <is>
          <t>CO2</t>
        </is>
      </c>
      <c r="AY293" s="1502" t="n"/>
      <c r="AZ293" s="1502" t="inlineStr">
        <is>
          <t>CH4</t>
        </is>
      </c>
      <c r="BA293" s="1502" t="n"/>
      <c r="BB293" s="1502" t="inlineStr">
        <is>
          <t>N2O</t>
        </is>
      </c>
      <c r="BC293" s="1502" t="n"/>
      <c r="BD293" s="1448" t="n"/>
      <c r="BE293" s="1448" t="n"/>
      <c r="BF293" s="1448" t="n"/>
      <c r="BG293" s="1448" t="n"/>
    </row>
    <row r="294">
      <c r="A294" s="1462" t="n"/>
      <c r="B294" s="1482">
        <f>B191</f>
        <v/>
      </c>
      <c r="C294" s="1482">
        <f>B253</f>
        <v/>
      </c>
      <c r="D294" s="1105" t="n"/>
      <c r="E294" s="1105" t="n"/>
      <c r="F294" s="1106" t="n"/>
      <c r="G294" s="1106" t="n"/>
      <c r="H294" s="1479" t="inlineStr">
        <is>
          <t>tC/ha/yr</t>
        </is>
      </c>
      <c r="I294" s="1479" t="n"/>
      <c r="J294" s="1479" t="inlineStr">
        <is>
          <t>kgCH4/ha/yr</t>
        </is>
      </c>
      <c r="K294" s="1479" t="n"/>
      <c r="L294" s="1479" t="inlineStr">
        <is>
          <t>kgN2O-N/ha/yr</t>
        </is>
      </c>
      <c r="M294" s="1479" t="n"/>
      <c r="N294" s="1479" t="inlineStr">
        <is>
          <t>tC/ha/yr</t>
        </is>
      </c>
      <c r="O294" s="1479" t="n"/>
      <c r="P294" s="1482" t="inlineStr">
        <is>
          <t>CO2&amp;DOC</t>
        </is>
      </c>
      <c r="Q294" s="1482" t="n"/>
      <c r="R294" s="1482" t="n"/>
      <c r="S294" s="1482" t="inlineStr">
        <is>
          <t>CH4</t>
        </is>
      </c>
      <c r="T294" s="1482" t="n"/>
      <c r="U294" s="1482" t="n"/>
      <c r="V294" s="1482" t="inlineStr">
        <is>
          <t>N2O-N</t>
        </is>
      </c>
      <c r="W294" s="1482" t="n"/>
      <c r="X294" s="1482" t="n"/>
      <c r="AB294" s="1472" t="inlineStr">
        <is>
          <t>CO2&amp;DOC</t>
        </is>
      </c>
      <c r="AC294" s="1472" t="n"/>
      <c r="AD294" s="1472" t="inlineStr">
        <is>
          <t>CH4</t>
        </is>
      </c>
      <c r="AE294" s="1472" t="n"/>
      <c r="AF294" s="1472" t="inlineStr">
        <is>
          <t>N2O-N</t>
        </is>
      </c>
      <c r="AG294" s="1472" t="n"/>
      <c r="AX294" s="1264" t="inlineStr">
        <is>
          <t>IMPLEMENTATION PHASE</t>
        </is>
      </c>
      <c r="AZ294" s="1264" t="inlineStr">
        <is>
          <t>IMPLEMENTATION PHASE</t>
        </is>
      </c>
      <c r="BB294" s="1264" t="inlineStr">
        <is>
          <t>IMPLEMENTATION PHASE</t>
        </is>
      </c>
    </row>
    <row r="295">
      <c r="A295" s="1462" t="n"/>
      <c r="B295" s="1482">
        <f>B192</f>
        <v/>
      </c>
      <c r="C295" s="1462">
        <f>C254</f>
        <v/>
      </c>
      <c r="D295" s="1105">
        <f>F254</f>
        <v/>
      </c>
      <c r="E295" s="1105">
        <f>G254</f>
        <v/>
      </c>
      <c r="F295" s="1106">
        <f>J254</f>
        <v/>
      </c>
      <c r="G295" s="1106">
        <f>K254</f>
        <v/>
      </c>
      <c r="H295" s="1480" t="inlineStr">
        <is>
          <t>IPCC</t>
        </is>
      </c>
      <c r="I295" s="1480" t="inlineStr">
        <is>
          <t>Tier 2</t>
        </is>
      </c>
      <c r="J295" s="1480">
        <f>H295</f>
        <v/>
      </c>
      <c r="K295" s="1480" t="inlineStr">
        <is>
          <t>Tier 2</t>
        </is>
      </c>
      <c r="L295" s="1480">
        <f>J295</f>
        <v/>
      </c>
      <c r="M295" s="1480" t="inlineStr">
        <is>
          <t>Tier 2</t>
        </is>
      </c>
      <c r="N295" s="1480">
        <f>L295</f>
        <v/>
      </c>
      <c r="O295" s="1480" t="inlineStr">
        <is>
          <t>Tier 2</t>
        </is>
      </c>
      <c r="P295" s="973" t="inlineStr">
        <is>
          <t>Start</t>
        </is>
      </c>
      <c r="Q295" s="1100" t="inlineStr">
        <is>
          <t>Without</t>
        </is>
      </c>
      <c r="R295" s="1101" t="inlineStr">
        <is>
          <t>With</t>
        </is>
      </c>
      <c r="S295" s="973" t="inlineStr">
        <is>
          <t>Start</t>
        </is>
      </c>
      <c r="T295" s="1100" t="inlineStr">
        <is>
          <t>Without</t>
        </is>
      </c>
      <c r="U295" s="1101" t="inlineStr">
        <is>
          <t>With</t>
        </is>
      </c>
      <c r="V295" s="973" t="inlineStr">
        <is>
          <t>Start</t>
        </is>
      </c>
      <c r="W295" s="1100" t="inlineStr">
        <is>
          <t>Without</t>
        </is>
      </c>
      <c r="X295" s="1101" t="inlineStr">
        <is>
          <t>With</t>
        </is>
      </c>
      <c r="AB295" s="1102" t="inlineStr">
        <is>
          <t>Without</t>
        </is>
      </c>
      <c r="AC295" s="1103" t="inlineStr">
        <is>
          <t>With</t>
        </is>
      </c>
      <c r="AD295" s="1102" t="inlineStr">
        <is>
          <t>Without</t>
        </is>
      </c>
      <c r="AE295" s="1103" t="inlineStr">
        <is>
          <t>With</t>
        </is>
      </c>
      <c r="AF295" s="1102" t="inlineStr">
        <is>
          <t>Without</t>
        </is>
      </c>
      <c r="AG295" s="1103" t="inlineStr">
        <is>
          <t>With</t>
        </is>
      </c>
      <c r="AX295" s="1272" t="inlineStr">
        <is>
          <t>WITHOUT</t>
        </is>
      </c>
      <c r="AY295" s="1272" t="inlineStr">
        <is>
          <t>WITH</t>
        </is>
      </c>
      <c r="AZ295" s="1272" t="inlineStr">
        <is>
          <t>WITHOUT</t>
        </is>
      </c>
      <c r="BA295" s="1272" t="inlineStr">
        <is>
          <t>WITH</t>
        </is>
      </c>
      <c r="BB295" s="1272" t="inlineStr">
        <is>
          <t>WITHOUT</t>
        </is>
      </c>
      <c r="BC295" s="1272" t="inlineStr">
        <is>
          <t>WITH</t>
        </is>
      </c>
      <c r="BD295" s="1272" t="n"/>
      <c r="BE295" s="1272" t="n"/>
      <c r="BF295" s="1272" t="n"/>
      <c r="BG295" s="1272" t="n"/>
    </row>
    <row r="296">
      <c r="A296" s="1493" t="inlineStr">
        <is>
          <t>S1</t>
        </is>
      </c>
      <c r="B296" s="1121">
        <f>B255</f>
        <v/>
      </c>
      <c r="C296" s="1121">
        <f>C255</f>
        <v/>
      </c>
      <c r="D296" s="992">
        <f>IF('6.Inland wetlands'!S91='6.Inland wetlands'!K91, 0, IF(('6.Inland wetlands'!T91-'6.Inland wetlands'!S91)-'6.Inland wetlands'!N80&gt;0,('6.Inland wetlands'!T91-'6.Inland wetlands'!S91)-'6.Inland wetlands'!N80,0))</f>
        <v/>
      </c>
      <c r="E296" s="992">
        <f>G255</f>
        <v/>
      </c>
      <c r="F296" s="992">
        <f>IF(('6.Inland wetlands'!U91-'6.Inland wetlands'!S91)-'6.Inland wetlands'!P80&gt;0,('6.Inland wetlands'!U91-'6.Inland wetlands'!S91)-'6.Inland wetlands'!P80,0)</f>
        <v/>
      </c>
      <c r="G296" s="992">
        <f>K255</f>
        <v/>
      </c>
      <c r="H296" s="1004">
        <f>IFERROR(IF($E255=" ",0,IF($D$249="Nutrient poor",INDEX(IPCC!$A$1910:$J$1921,MATCH(clim_moist,IPCC!$A$1910:$A$1921,0),MATCH($C296,IPCC!$A$1910:$J$1910,0)),INDEX(IPCC!$A$1928:$J$1939,MATCH(clim_moist,IPCC!$A$1928:$A$1939,0),MATCH($C296,IPCC!$A$1928:$J$1928,0)))),0)</f>
        <v/>
      </c>
      <c r="I296" s="1259">
        <f>IF('6.Inland wetlands'!$DY80="",'6.Inland wetlands'!$DX80,'6.Inland wetlands'!$DY80)</f>
        <v/>
      </c>
      <c r="J296" s="1004">
        <f>IFERROR(IF(C296="Please select",0,IF($D$249="Nutrient poor",INDEX(IPCC!$A$1964:$J$1975,MATCH(clim_moist,IPCC!$A$1964:$A$1975,0),MATCH($C296,IPCC!$A$1964:$J$1964,0)),INDEX(IPCC!$A$1982:$J$1993,MATCH(clim_moist,IPCC!$A$1982:$A$1993,0),MATCH($C307,IPCC!$A$1982:$J$1982,0)))),0)</f>
        <v/>
      </c>
      <c r="K296" s="1259">
        <f>IF('6.Inland wetlands'!$EA80="",'6.Inland wetlands'!$DZ80,'6.Inland wetlands'!$EA80)</f>
        <v/>
      </c>
      <c r="L296" s="1004">
        <f>IFERROR(IF(C296="Please select",0,INDEX(IPCC!$A$2000:$J$2011,MATCH(clim_moist,IPCC!$A$2000:$A$2011,0),MATCH($C296,IPCC!$A$2000:$J$2000,0))),0)</f>
        <v/>
      </c>
      <c r="M296" s="1259">
        <f>IF('6.Inland wetlands'!$EC80="",'6.Inland wetlands'!$EB80,'6.Inland wetlands'!$EC80)</f>
        <v/>
      </c>
      <c r="N296" s="1260">
        <f>IFERROR(IF(C296="Please select",0,INDEX(IPCC!$A$1946:$J$1957,MATCH(clim_moist,IPCC!$A$1946:$A$1957,0),MATCH($C296,IPCC!$A$1946:$J$1946,0))),0)</f>
        <v/>
      </c>
      <c r="O296" s="1259">
        <f>IF('6.Inland wetlands'!$EF80="",'6.Inland wetlands'!$EE80,'6.Inland wetlands'!$EF80)</f>
        <v/>
      </c>
      <c r="P296" s="3493" t="n">
        <v>0</v>
      </c>
      <c r="Q296" s="3493">
        <f>SUM('Inl. wetlands'!$I296,$O296)*44/12*'Inl. wetlands'!D296</f>
        <v/>
      </c>
      <c r="R296" s="1151">
        <f>SUM('Inl. wetlands'!$I296,$O296)*44/12*'Inl. wetlands'!F296</f>
        <v/>
      </c>
      <c r="S296" s="3493" t="n">
        <v>0</v>
      </c>
      <c r="T296" s="1151">
        <f>'Inl. wetlands'!$K296/1000*16/12*methane*'Inl. wetlands'!D296</f>
        <v/>
      </c>
      <c r="U296" s="1151">
        <f>'Inl. wetlands'!$K296/1000*16/12*methane*'Inl. wetlands'!F296</f>
        <v/>
      </c>
      <c r="V296" s="3493" t="n">
        <v>0</v>
      </c>
      <c r="W296" s="1151">
        <f>'Inl. wetlands'!$M296/1000*44/28*Nitrous*'Inl. wetlands'!D296</f>
        <v/>
      </c>
      <c r="X296" s="3494">
        <f>'Inl. wetlands'!$M296/1000*44/28*Nitrous*'Inl. wetlands'!F296</f>
        <v/>
      </c>
      <c r="AB296" s="3493">
        <f>MIN('Inl. wetlands'!P296,'Inl. wetlands'!Q296)*time_tot+ABS('Inl. wetlands'!Q296-'Inl. wetlands'!P296)*IF('Inl. wetlands'!Q296&gt;'Inl. wetlands'!P296,time_cap+time*(VLOOKUP('6.Inland wetlands'!O91,list!$I$48:$K$50,3,0)),time*(1-(VLOOKUP('6.Inland wetlands'!O91,list!$I$48:$K$50,3,0))))</f>
        <v/>
      </c>
      <c r="AC296" s="3493">
        <f>MIN('Inl. wetlands'!P296,'Inl. wetlands'!R296)*time_tot+ABS('Inl. wetlands'!R296-'Inl. wetlands'!P296)*IF('Inl. wetlands'!R296&gt;'Inl. wetlands'!P296,time_cap+time*(VLOOKUP('6.Inland wetlands'!Q91,list!$I$48:$K$50,3,0)),time*(1-(VLOOKUP('6.Inland wetlands'!Q91,list!$I$48:$K$50,3,0))))</f>
        <v/>
      </c>
      <c r="AD296" s="3493">
        <f>MIN('Inl. wetlands'!S296,'Inl. wetlands'!T296)*time_tot+ABS('Inl. wetlands'!T296-'Inl. wetlands'!S296)*IF('Inl. wetlands'!T296&gt;'Inl. wetlands'!S296,time_cap+time*(VLOOKUP('6.Inland wetlands'!O91,list!$I$48:$K$50,3,0)),time*(1-(VLOOKUP('6.Inland wetlands'!O91,list!$I$48:$K$50,3,0))))</f>
        <v/>
      </c>
      <c r="AE296" s="3493">
        <f>MIN('Inl. wetlands'!S296,'Inl. wetlands'!U296)*time_tot+ABS('Inl. wetlands'!U296-'Inl. wetlands'!S296)*IF('Inl. wetlands'!U296&gt;'Inl. wetlands'!S296,time_cap+time*(VLOOKUP('6.Inland wetlands'!Q91,list!$I$48:$K$50,3,0)),time*(1-(VLOOKUP('6.Inland wetlands'!Q91,list!$I$48:$K$50,3,0))))</f>
        <v/>
      </c>
      <c r="AF296" s="3493">
        <f>MIN('Inl. wetlands'!V296,'Inl. wetlands'!W296)*time_tot+ABS('Inl. wetlands'!W296-'Inl. wetlands'!V296)*IF('Inl. wetlands'!W296&gt;'Inl. wetlands'!V296,time_cap+time*(VLOOKUP('6.Inland wetlands'!O91,list!$I$48:$K$50,3,0)),time*(1-(VLOOKUP('6.Inland wetlands'!O91,list!$I$48:$K$50,3,0))))</f>
        <v/>
      </c>
      <c r="AG296" s="3493">
        <f>MIN('Inl. wetlands'!V296,'Inl. wetlands'!X296)*time_tot+ABS('Inl. wetlands'!X296-'Inl. wetlands'!V296)*IF('Inl. wetlands'!X296&gt;'Inl. wetlands'!V296,time_cap+time*(VLOOKUP('6.Inland wetlands'!Q91,list!$I$48:$K$50,3,0)),time*(1-(VLOOKUP('6.Inland wetlands'!Q91,list!$I$48:$K$50,3,0))))</f>
        <v/>
      </c>
      <c r="AX296" s="1449">
        <f>$Q296*time*(VLOOKUP($E296,list!$J$48:$K$50,2,0))</f>
        <v/>
      </c>
      <c r="AY296" s="1449">
        <f>$R296*time*(VLOOKUP($G296,list!$J$48:$K$50,2,0))</f>
        <v/>
      </c>
      <c r="AZ296" s="1449">
        <f>$T296*time*(VLOOKUP($E296,list!$J$48:$K$50,2,0))</f>
        <v/>
      </c>
      <c r="BA296" s="1449">
        <f>$U296*time*(VLOOKUP($G296,list!$J$48:$K$50,2,0))</f>
        <v/>
      </c>
      <c r="BB296" s="1449">
        <f>$W296*time*(VLOOKUP($E296,list!$J$48:$K$50,2,0))</f>
        <v/>
      </c>
      <c r="BC296" s="1449">
        <f>$X296*time*(VLOOKUP($G296,list!$J$48:$K$50,2,0))</f>
        <v/>
      </c>
      <c r="BD296" s="1449" t="n"/>
      <c r="BE296" s="1449" t="n"/>
      <c r="BF296" s="1449" t="n"/>
      <c r="BG296" s="1449" t="n"/>
    </row>
    <row r="297">
      <c r="A297" s="1493" t="inlineStr">
        <is>
          <t>S2</t>
        </is>
      </c>
      <c r="B297" s="1121">
        <f>B256</f>
        <v/>
      </c>
      <c r="C297" s="1121">
        <f>C256</f>
        <v/>
      </c>
      <c r="D297" s="992">
        <f>IF('6.Inland wetlands'!S92='6.Inland wetlands'!K92, 0, IF(('6.Inland wetlands'!T92-'6.Inland wetlands'!S92)-'6.Inland wetlands'!N81&gt;0,('6.Inland wetlands'!T92-'6.Inland wetlands'!S92)-'6.Inland wetlands'!N81,0))</f>
        <v/>
      </c>
      <c r="E297" s="992">
        <f>G256</f>
        <v/>
      </c>
      <c r="F297" s="992">
        <f>IF(('6.Inland wetlands'!U92-'6.Inland wetlands'!S92)-'6.Inland wetlands'!P81&gt;0,('6.Inland wetlands'!U92-'6.Inland wetlands'!S92)-'6.Inland wetlands'!P81,0)</f>
        <v/>
      </c>
      <c r="G297" s="992">
        <f>K256</f>
        <v/>
      </c>
      <c r="H297" s="1004">
        <f>IFERROR(IF($E256=" ",0,IF($D$249="Nutrient poor",INDEX(IPCC!$A$1910:$J$1921,MATCH(clim_moist,IPCC!$A$1910:$A$1921,0),MATCH($C297,IPCC!$A$1910:$J$1910,0)),INDEX(IPCC!$A$1928:$J$1939,MATCH(clim_moist,IPCC!$A$1928:$A$1939,0),MATCH($C297,IPCC!$A$1928:$J$1928,0)))),0)</f>
        <v/>
      </c>
      <c r="I297" s="1259">
        <f>IF('6.Inland wetlands'!$DY81="",'6.Inland wetlands'!$DX81,'6.Inland wetlands'!$DY81)</f>
        <v/>
      </c>
      <c r="J297" s="1004">
        <f>IFERROR(IF(C297="Please select",0,IF($D$249="Nutrient poor",INDEX(IPCC!$A$1964:$J$1975,MATCH(clim_moist,IPCC!$A$1964:$A$1975,0),MATCH($C297,IPCC!$A$1964:$J$1964,0)),INDEX(IPCC!$A$1982:$J$1993,MATCH(clim_moist,IPCC!$A$1982:$A$1993,0),MATCH($C308,IPCC!$A$1982:$J$1982,0)))),0)</f>
        <v/>
      </c>
      <c r="K297" s="1259">
        <f>IF('6.Inland wetlands'!$EA81="",'6.Inland wetlands'!$DZ81,'6.Inland wetlands'!$EA81)</f>
        <v/>
      </c>
      <c r="L297" s="1004">
        <f>IFERROR(IF(C297="Please select",0,INDEX(IPCC!$A$2000:$J$2011,MATCH(clim_moist,IPCC!$A$2000:$A$2011,0),MATCH($C297,IPCC!$A$2000:$J$2000,0))),0)</f>
        <v/>
      </c>
      <c r="M297" s="1259">
        <f>IF('6.Inland wetlands'!$EC81="",'6.Inland wetlands'!$EB81,'6.Inland wetlands'!$EC81)</f>
        <v/>
      </c>
      <c r="N297" s="1260">
        <f>IFERROR(IF(C297="Please select",0,INDEX(IPCC!$A$1946:$J$1957,MATCH(clim_moist,IPCC!$A$1946:$A$1957,0),MATCH($C297,IPCC!$A$1946:$J$1946,0))),0)</f>
        <v/>
      </c>
      <c r="O297" s="1259">
        <f>IF('6.Inland wetlands'!$EF81="",'6.Inland wetlands'!$EE81,'6.Inland wetlands'!$EF81)</f>
        <v/>
      </c>
      <c r="P297" s="3493" t="n">
        <v>0</v>
      </c>
      <c r="Q297" s="3493">
        <f>SUM('Inl. wetlands'!$I297,$O297)*44/12*'Inl. wetlands'!D297</f>
        <v/>
      </c>
      <c r="R297" s="1151">
        <f>SUM('Inl. wetlands'!$I297,$O297)*44/12*'Inl. wetlands'!F297</f>
        <v/>
      </c>
      <c r="S297" s="3493" t="n">
        <v>0</v>
      </c>
      <c r="T297" s="1151">
        <f>'Inl. wetlands'!$K297/1000*16/12*methane*'Inl. wetlands'!D297</f>
        <v/>
      </c>
      <c r="U297" s="1151">
        <f>'Inl. wetlands'!$K297/1000*16/12*methane*'Inl. wetlands'!F297</f>
        <v/>
      </c>
      <c r="V297" s="3493" t="n">
        <v>0</v>
      </c>
      <c r="W297" s="1151">
        <f>'Inl. wetlands'!$M297/1000*44/28*Nitrous*'Inl. wetlands'!D297</f>
        <v/>
      </c>
      <c r="X297" s="3494">
        <f>'Inl. wetlands'!$M297/1000*44/28*Nitrous*'Inl. wetlands'!F297</f>
        <v/>
      </c>
      <c r="AB297" s="3493">
        <f>MIN('Inl. wetlands'!P297,'Inl. wetlands'!Q297)*time_tot+ABS('Inl. wetlands'!Q297-'Inl. wetlands'!P297)*IF('Inl. wetlands'!Q297&gt;'Inl. wetlands'!P297,time_cap+time*(VLOOKUP('6.Inland wetlands'!O92,list!$I$48:$K$50,3,0)),time*(1-(VLOOKUP('6.Inland wetlands'!O92,list!$I$48:$K$50,3,0))))</f>
        <v/>
      </c>
      <c r="AC297" s="3493">
        <f>MIN('Inl. wetlands'!P297,'Inl. wetlands'!R297)*time_tot+ABS('Inl. wetlands'!R297-'Inl. wetlands'!P297)*IF('Inl. wetlands'!R297&gt;'Inl. wetlands'!P297,time_cap+time*(VLOOKUP('6.Inland wetlands'!Q92,list!$I$48:$K$50,3,0)),time*(1-(VLOOKUP('6.Inland wetlands'!Q92,list!$I$48:$K$50,3,0))))</f>
        <v/>
      </c>
      <c r="AD297" s="3493">
        <f>MIN('Inl. wetlands'!S297,'Inl. wetlands'!T297)*time_tot+ABS('Inl. wetlands'!T297-'Inl. wetlands'!S297)*IF('Inl. wetlands'!T297&gt;'Inl. wetlands'!S297,time_cap+time*(VLOOKUP('6.Inland wetlands'!O92,list!$I$48:$K$50,3,0)),time*(1-(VLOOKUP('6.Inland wetlands'!O92,list!$I$48:$K$50,3,0))))</f>
        <v/>
      </c>
      <c r="AE297" s="3493">
        <f>MIN('Inl. wetlands'!S297,'Inl. wetlands'!U297)*time_tot+ABS('Inl. wetlands'!U297-'Inl. wetlands'!S297)*IF('Inl. wetlands'!U297&gt;'Inl. wetlands'!S297,time_cap+time*(VLOOKUP('6.Inland wetlands'!Q92,list!$I$48:$K$50,3,0)),time*(1-(VLOOKUP('6.Inland wetlands'!Q92,list!$I$48:$K$50,3,0))))</f>
        <v/>
      </c>
      <c r="AF297" s="3493">
        <f>MIN('Inl. wetlands'!V297,'Inl. wetlands'!W297)*time_tot+ABS('Inl. wetlands'!W297-'Inl. wetlands'!V297)*IF('Inl. wetlands'!W297&gt;'Inl. wetlands'!V297,time_cap+time*(VLOOKUP('6.Inland wetlands'!O92,list!$I$48:$K$50,3,0)),time*(1-(VLOOKUP('6.Inland wetlands'!O92,list!$I$48:$K$50,3,0))))</f>
        <v/>
      </c>
      <c r="AG297" s="3493">
        <f>MIN('Inl. wetlands'!V297,'Inl. wetlands'!X297)*time_tot+ABS('Inl. wetlands'!X297-'Inl. wetlands'!V297)*IF('Inl. wetlands'!X297&gt;'Inl. wetlands'!V297,time_cap+time*(VLOOKUP('6.Inland wetlands'!Q92,list!$I$48:$K$50,3,0)),time*(1-(VLOOKUP('6.Inland wetlands'!Q92,list!$I$48:$K$50,3,0))))</f>
        <v/>
      </c>
      <c r="AX297" s="1449">
        <f>$Q297*time*(VLOOKUP($E297,list!$J$48:$K$50,2,0))</f>
        <v/>
      </c>
      <c r="AY297" s="1449">
        <f>$R297*time*(VLOOKUP($G297,list!$J$48:$K$50,2,0))</f>
        <v/>
      </c>
      <c r="AZ297" s="1449">
        <f>$T297*time*(VLOOKUP($E297,list!$J$48:$K$50,2,0))</f>
        <v/>
      </c>
      <c r="BA297" s="1449">
        <f>$U297*time*(VLOOKUP($G297,list!$J$48:$K$50,2,0))</f>
        <v/>
      </c>
      <c r="BB297" s="1449">
        <f>$W297*time*(VLOOKUP($E297,list!$J$48:$K$50,2,0))</f>
        <v/>
      </c>
      <c r="BC297" s="1449">
        <f>$X297*time*(VLOOKUP($G297,list!$J$48:$K$50,2,0))</f>
        <v/>
      </c>
      <c r="BD297" s="1449" t="n"/>
      <c r="BE297" s="1449" t="n"/>
      <c r="BF297" s="1449" t="n"/>
      <c r="BG297" s="1449" t="n"/>
    </row>
    <row r="298">
      <c r="A298" s="1493" t="inlineStr">
        <is>
          <t>S3</t>
        </is>
      </c>
      <c r="B298" s="1121">
        <f>B257</f>
        <v/>
      </c>
      <c r="C298" s="1121">
        <f>C257</f>
        <v/>
      </c>
      <c r="D298" s="992">
        <f>IF('6.Inland wetlands'!S93='6.Inland wetlands'!K93, 0, IF(('6.Inland wetlands'!T93-'6.Inland wetlands'!S93)-'6.Inland wetlands'!N82&gt;0,('6.Inland wetlands'!T93-'6.Inland wetlands'!S93)-'6.Inland wetlands'!N82,0))</f>
        <v/>
      </c>
      <c r="E298" s="992">
        <f>G257</f>
        <v/>
      </c>
      <c r="F298" s="992">
        <f>IF(('6.Inland wetlands'!U93-'6.Inland wetlands'!S93)-'6.Inland wetlands'!P82&gt;0,('6.Inland wetlands'!U93-'6.Inland wetlands'!S93)-'6.Inland wetlands'!P82,0)</f>
        <v/>
      </c>
      <c r="G298" s="992">
        <f>K257</f>
        <v/>
      </c>
      <c r="H298" s="1004">
        <f>IFERROR(IF($E257=" ",0,IF($D$249="Nutrient poor",INDEX(IPCC!$A$1910:$J$1921,MATCH(clim_moist,IPCC!$A$1910:$A$1921,0),MATCH($C298,IPCC!$A$1910:$J$1910,0)),INDEX(IPCC!$A$1928:$J$1939,MATCH(clim_moist,IPCC!$A$1928:$A$1939,0),MATCH($C298,IPCC!$A$1928:$J$1928,0)))),0)</f>
        <v/>
      </c>
      <c r="I298" s="1259">
        <f>IF('6.Inland wetlands'!$DY82="",'6.Inland wetlands'!$DX82,'6.Inland wetlands'!$DY82)</f>
        <v/>
      </c>
      <c r="J298" s="1004">
        <f>IFERROR(IF(C298="Please select",0,IF($D$249="Nutrient poor",INDEX(IPCC!$A$1964:$J$1975,MATCH(clim_moist,IPCC!$A$1964:$A$1975,0),MATCH($C298,IPCC!$A$1964:$J$1964,0)),INDEX(IPCC!$A$1982:$J$1993,MATCH(clim_moist,IPCC!$A$1982:$A$1993,0),MATCH($C309,IPCC!$A$1982:$J$1982,0)))),0)</f>
        <v/>
      </c>
      <c r="K298" s="1259">
        <f>IF('6.Inland wetlands'!$EA82="",'6.Inland wetlands'!$DZ82,'6.Inland wetlands'!$EA82)</f>
        <v/>
      </c>
      <c r="L298" s="1004">
        <f>IFERROR(IF(C298="Please select",0,INDEX(IPCC!$A$2000:$J$2011,MATCH(clim_moist,IPCC!$A$2000:$A$2011,0),MATCH($C298,IPCC!$A$2000:$J$2000,0))),0)</f>
        <v/>
      </c>
      <c r="M298" s="1259">
        <f>IF('6.Inland wetlands'!$EC82="",'6.Inland wetlands'!$EB82,'6.Inland wetlands'!$EC82)</f>
        <v/>
      </c>
      <c r="N298" s="1260">
        <f>IFERROR(IF(C298="Please select",0,INDEX(IPCC!$A$1946:$J$1957,MATCH(clim_moist,IPCC!$A$1946:$A$1957,0),MATCH($C298,IPCC!$A$1946:$J$1946,0))),0)</f>
        <v/>
      </c>
      <c r="O298" s="1259">
        <f>IF('6.Inland wetlands'!$EF82="",'6.Inland wetlands'!$EE82,'6.Inland wetlands'!$EF82)</f>
        <v/>
      </c>
      <c r="P298" s="3493" t="n">
        <v>0</v>
      </c>
      <c r="Q298" s="3493">
        <f>SUM('Inl. wetlands'!$I298,$O298)*44/12*'Inl. wetlands'!D298</f>
        <v/>
      </c>
      <c r="R298" s="1151">
        <f>SUM('Inl. wetlands'!$I298,$O298)*44/12*'Inl. wetlands'!F298</f>
        <v/>
      </c>
      <c r="S298" s="3493" t="n">
        <v>0</v>
      </c>
      <c r="T298" s="1151">
        <f>'Inl. wetlands'!$K298/1000*16/12*methane*'Inl. wetlands'!D298</f>
        <v/>
      </c>
      <c r="U298" s="1151">
        <f>'Inl. wetlands'!$K298/1000*16/12*methane*'Inl. wetlands'!F298</f>
        <v/>
      </c>
      <c r="V298" s="3493" t="n">
        <v>0</v>
      </c>
      <c r="W298" s="1151">
        <f>'Inl. wetlands'!$M298/1000*44/28*Nitrous*'Inl. wetlands'!D298</f>
        <v/>
      </c>
      <c r="X298" s="3494">
        <f>'Inl. wetlands'!$M298/1000*44/28*Nitrous*'Inl. wetlands'!F298</f>
        <v/>
      </c>
      <c r="AB298" s="3493">
        <f>MIN('Inl. wetlands'!P298,'Inl. wetlands'!Q298)*time_tot+ABS('Inl. wetlands'!Q298-'Inl. wetlands'!P298)*IF('Inl. wetlands'!Q298&gt;'Inl. wetlands'!P298,time_cap+time*(VLOOKUP('6.Inland wetlands'!O93,list!$I$48:$K$50,3,0)),time*(1-(VLOOKUP('6.Inland wetlands'!O93,list!$I$48:$K$50,3,0))))</f>
        <v/>
      </c>
      <c r="AC298" s="3493">
        <f>MIN('Inl. wetlands'!P298,'Inl. wetlands'!R298)*time_tot+ABS('Inl. wetlands'!R298-'Inl. wetlands'!P298)*IF('Inl. wetlands'!R298&gt;'Inl. wetlands'!P298,time_cap+time*(VLOOKUP('6.Inland wetlands'!Q93,list!$I$48:$K$50,3,0)),time*(1-(VLOOKUP('6.Inland wetlands'!Q93,list!$I$48:$K$50,3,0))))</f>
        <v/>
      </c>
      <c r="AD298" s="3493">
        <f>MIN('Inl. wetlands'!S298,'Inl. wetlands'!T298)*time_tot+ABS('Inl. wetlands'!T298-'Inl. wetlands'!S298)*IF('Inl. wetlands'!T298&gt;'Inl. wetlands'!S298,time_cap+time*(VLOOKUP('6.Inland wetlands'!O93,list!$I$48:$K$50,3,0)),time*(1-(VLOOKUP('6.Inland wetlands'!O93,list!$I$48:$K$50,3,0))))</f>
        <v/>
      </c>
      <c r="AE298" s="3493">
        <f>MIN('Inl. wetlands'!S298,'Inl. wetlands'!U298)*time_tot+ABS('Inl. wetlands'!U298-'Inl. wetlands'!S298)*IF('Inl. wetlands'!U298&gt;'Inl. wetlands'!S298,time_cap+time*(VLOOKUP('6.Inland wetlands'!Q93,list!$I$48:$K$50,3,0)),time*(1-(VLOOKUP('6.Inland wetlands'!Q93,list!$I$48:$K$50,3,0))))</f>
        <v/>
      </c>
      <c r="AF298" s="3493">
        <f>MIN('Inl. wetlands'!V298,'Inl. wetlands'!W298)*time_tot+ABS('Inl. wetlands'!W298-'Inl. wetlands'!V298)*IF('Inl. wetlands'!W298&gt;'Inl. wetlands'!V298,time_cap+time*(VLOOKUP('6.Inland wetlands'!O93,list!$I$48:$K$50,3,0)),time*(1-(VLOOKUP('6.Inland wetlands'!O93,list!$I$48:$K$50,3,0))))</f>
        <v/>
      </c>
      <c r="AG298" s="3493">
        <f>MIN('Inl. wetlands'!V298,'Inl. wetlands'!X298)*time_tot+ABS('Inl. wetlands'!X298-'Inl. wetlands'!V298)*IF('Inl. wetlands'!X298&gt;'Inl. wetlands'!V298,time_cap+time*(VLOOKUP('6.Inland wetlands'!Q93,list!$I$48:$K$50,3,0)),time*(1-(VLOOKUP('6.Inland wetlands'!Q93,list!$I$48:$K$50,3,0))))</f>
        <v/>
      </c>
      <c r="AX298" s="1449">
        <f>$Q298*time*(VLOOKUP($E298,list!$J$48:$K$50,2,0))</f>
        <v/>
      </c>
      <c r="AY298" s="1449">
        <f>$R298*time*(VLOOKUP($G298,list!$J$48:$K$50,2,0))</f>
        <v/>
      </c>
      <c r="AZ298" s="1449">
        <f>$T298*time*(VLOOKUP($E298,list!$J$48:$K$50,2,0))</f>
        <v/>
      </c>
      <c r="BA298" s="1449">
        <f>$U298*time*(VLOOKUP($G298,list!$J$48:$K$50,2,0))</f>
        <v/>
      </c>
      <c r="BB298" s="1449">
        <f>$W298*time*(VLOOKUP($E298,list!$J$48:$K$50,2,0))</f>
        <v/>
      </c>
      <c r="BC298" s="1449">
        <f>$X298*time*(VLOOKUP($G298,list!$J$48:$K$50,2,0))</f>
        <v/>
      </c>
      <c r="BD298" s="1449" t="n"/>
      <c r="BE298" s="1449" t="n"/>
      <c r="BF298" s="1449" t="n"/>
      <c r="BG298" s="1449" t="n"/>
    </row>
    <row r="299">
      <c r="A299" s="1493" t="inlineStr">
        <is>
          <t>S4</t>
        </is>
      </c>
      <c r="B299" s="1121">
        <f>B258</f>
        <v/>
      </c>
      <c r="C299" s="1121">
        <f>C258</f>
        <v/>
      </c>
      <c r="D299" s="992">
        <f>IF('6.Inland wetlands'!S94='6.Inland wetlands'!K94, 0, IF(('6.Inland wetlands'!T94-'6.Inland wetlands'!S94)-'6.Inland wetlands'!N83&gt;0,('6.Inland wetlands'!T94-'6.Inland wetlands'!S94)-'6.Inland wetlands'!N83,0))</f>
        <v/>
      </c>
      <c r="E299" s="992">
        <f>G258</f>
        <v/>
      </c>
      <c r="F299" s="992">
        <f>IF(('6.Inland wetlands'!U94-'6.Inland wetlands'!S94)-'6.Inland wetlands'!P83&gt;0,('6.Inland wetlands'!U94-'6.Inland wetlands'!S94)-'6.Inland wetlands'!P83,0)</f>
        <v/>
      </c>
      <c r="G299" s="992">
        <f>K258</f>
        <v/>
      </c>
      <c r="H299" s="1004">
        <f>IFERROR(IF($E258=" ",0,IF($D$249="Nutrient poor",INDEX(IPCC!$A$1910:$J$1921,MATCH(clim_moist,IPCC!$A$1910:$A$1921,0),MATCH($C299,IPCC!$A$1910:$J$1910,0)),INDEX(IPCC!$A$1928:$J$1939,MATCH(clim_moist,IPCC!$A$1928:$A$1939,0),MATCH($C299,IPCC!$A$1928:$J$1928,0)))),0)</f>
        <v/>
      </c>
      <c r="I299" s="1259">
        <f>IF('6.Inland wetlands'!$DY83="",'6.Inland wetlands'!$DX83,'6.Inland wetlands'!$DY83)</f>
        <v/>
      </c>
      <c r="J299" s="1004">
        <f>IFERROR(IF(C299="Please select",0,IF($D$249="Nutrient poor",INDEX(IPCC!$A$1964:$J$1975,MATCH(clim_moist,IPCC!$A$1964:$A$1975,0),MATCH($C299,IPCC!$A$1964:$J$1964,0)),INDEX(IPCC!$A$1982:$J$1993,MATCH(clim_moist,IPCC!$A$1982:$A$1993,0),MATCH($C310,IPCC!$A$1982:$J$1982,0)))),0)</f>
        <v/>
      </c>
      <c r="K299" s="1259">
        <f>IF('6.Inland wetlands'!$EA83="",'6.Inland wetlands'!$DZ83,'6.Inland wetlands'!$EA83)</f>
        <v/>
      </c>
      <c r="L299" s="1004">
        <f>IFERROR(IF(C299="Please select",0,INDEX(IPCC!$A$2000:$J$2011,MATCH(clim_moist,IPCC!$A$2000:$A$2011,0),MATCH($C299,IPCC!$A$2000:$J$2000,0))),0)</f>
        <v/>
      </c>
      <c r="M299" s="1259">
        <f>IF('6.Inland wetlands'!$EC83="",'6.Inland wetlands'!$EB83,'6.Inland wetlands'!$EC83)</f>
        <v/>
      </c>
      <c r="N299" s="1260">
        <f>IFERROR(IF(C299="Please select",0,INDEX(IPCC!$A$1946:$J$1957,MATCH(clim_moist,IPCC!$A$1946:$A$1957,0),MATCH($C299,IPCC!$A$1946:$J$1946,0))),0)</f>
        <v/>
      </c>
      <c r="O299" s="1259">
        <f>IF('6.Inland wetlands'!$EF83="",'6.Inland wetlands'!$EE83,'6.Inland wetlands'!$EF83)</f>
        <v/>
      </c>
      <c r="P299" s="3493" t="n">
        <v>0</v>
      </c>
      <c r="Q299" s="3493">
        <f>SUM('Inl. wetlands'!$I299,$O299)*44/12*'Inl. wetlands'!D299</f>
        <v/>
      </c>
      <c r="R299" s="1151">
        <f>SUM('Inl. wetlands'!$I299,$O299)*44/12*'Inl. wetlands'!F299</f>
        <v/>
      </c>
      <c r="S299" s="3493" t="n">
        <v>0</v>
      </c>
      <c r="T299" s="1151">
        <f>'Inl. wetlands'!$K299/1000*16/12*methane*'Inl. wetlands'!D299</f>
        <v/>
      </c>
      <c r="U299" s="1151">
        <f>'Inl. wetlands'!$K299/1000*16/12*methane*'Inl. wetlands'!F299</f>
        <v/>
      </c>
      <c r="V299" s="3493" t="n">
        <v>0</v>
      </c>
      <c r="W299" s="1151">
        <f>'Inl. wetlands'!$M299/1000*44/28*Nitrous*'Inl. wetlands'!D299</f>
        <v/>
      </c>
      <c r="X299" s="3494">
        <f>'Inl. wetlands'!$M299/1000*44/28*Nitrous*'Inl. wetlands'!F299</f>
        <v/>
      </c>
      <c r="AB299" s="3493">
        <f>MIN('Inl. wetlands'!P299,'Inl. wetlands'!Q299)*time_tot+ABS('Inl. wetlands'!Q299-'Inl. wetlands'!P299)*IF('Inl. wetlands'!Q299&gt;'Inl. wetlands'!P299,time_cap+time*(VLOOKUP('6.Inland wetlands'!O94,list!$I$48:$K$50,3,0)),time*(1-(VLOOKUP('6.Inland wetlands'!O94,list!$I$48:$K$50,3,0))))</f>
        <v/>
      </c>
      <c r="AC299" s="3493">
        <f>MIN('Inl. wetlands'!P299,'Inl. wetlands'!R299)*time_tot+ABS('Inl. wetlands'!R299-'Inl. wetlands'!P299)*IF('Inl. wetlands'!R299&gt;'Inl. wetlands'!P299,time_cap+time*(VLOOKUP('6.Inland wetlands'!Q94,list!$I$48:$K$50,3,0)),time*(1-(VLOOKUP('6.Inland wetlands'!Q94,list!$I$48:$K$50,3,0))))</f>
        <v/>
      </c>
      <c r="AD299" s="3493">
        <f>MIN('Inl. wetlands'!S299,'Inl. wetlands'!T299)*time_tot+ABS('Inl. wetlands'!T299-'Inl. wetlands'!S299)*IF('Inl. wetlands'!T299&gt;'Inl. wetlands'!S299,time_cap+time*(VLOOKUP('6.Inland wetlands'!O94,list!$I$48:$K$50,3,0)),time*(1-(VLOOKUP('6.Inland wetlands'!O94,list!$I$48:$K$50,3,0))))</f>
        <v/>
      </c>
      <c r="AE299" s="3493">
        <f>MIN('Inl. wetlands'!S299,'Inl. wetlands'!U299)*time_tot+ABS('Inl. wetlands'!U299-'Inl. wetlands'!S299)*IF('Inl. wetlands'!U299&gt;'Inl. wetlands'!S299,time_cap+time*(VLOOKUP('6.Inland wetlands'!Q94,list!$I$48:$K$50,3,0)),time*(1-(VLOOKUP('6.Inland wetlands'!Q94,list!$I$48:$K$50,3,0))))</f>
        <v/>
      </c>
      <c r="AF299" s="3493">
        <f>MIN('Inl. wetlands'!V299,'Inl. wetlands'!W299)*time_tot+ABS('Inl. wetlands'!W299-'Inl. wetlands'!V299)*IF('Inl. wetlands'!W299&gt;'Inl. wetlands'!V299,time_cap+time*(VLOOKUP('6.Inland wetlands'!O94,list!$I$48:$K$50,3,0)),time*(1-(VLOOKUP('6.Inland wetlands'!O94,list!$I$48:$K$50,3,0))))</f>
        <v/>
      </c>
      <c r="AG299" s="3493">
        <f>MIN('Inl. wetlands'!V299,'Inl. wetlands'!X299)*time_tot+ABS('Inl. wetlands'!X299-'Inl. wetlands'!V299)*IF('Inl. wetlands'!X299&gt;'Inl. wetlands'!V299,time_cap+time*(VLOOKUP('6.Inland wetlands'!Q94,list!$I$48:$K$50,3,0)),time*(1-(VLOOKUP('6.Inland wetlands'!Q94,list!$I$48:$K$50,3,0))))</f>
        <v/>
      </c>
      <c r="AX299" s="1449">
        <f>$Q299*time*(VLOOKUP($E299,list!$J$48:$K$50,2,0))</f>
        <v/>
      </c>
      <c r="AY299" s="1449">
        <f>$R299*time*(VLOOKUP($G299,list!$J$48:$K$50,2,0))</f>
        <v/>
      </c>
      <c r="AZ299" s="1449">
        <f>$T299*time*(VLOOKUP($E299,list!$J$48:$K$50,2,0))</f>
        <v/>
      </c>
      <c r="BA299" s="1449">
        <f>$U299*time*(VLOOKUP($G299,list!$J$48:$K$50,2,0))</f>
        <v/>
      </c>
      <c r="BB299" s="1449">
        <f>$W299*time*(VLOOKUP($E299,list!$J$48:$K$50,2,0))</f>
        <v/>
      </c>
      <c r="BC299" s="1449">
        <f>$X299*time*(VLOOKUP($G299,list!$J$48:$K$50,2,0))</f>
        <v/>
      </c>
      <c r="BD299" s="1449" t="n"/>
      <c r="BE299" s="1449" t="n"/>
      <c r="BF299" s="1449" t="n"/>
      <c r="BG299" s="1449" t="n"/>
    </row>
    <row r="300" ht="16" customHeight="1">
      <c r="A300" s="1493" t="inlineStr">
        <is>
          <t>S5</t>
        </is>
      </c>
      <c r="B300" s="1121">
        <f>B259</f>
        <v/>
      </c>
      <c r="C300" s="1121">
        <f>C259</f>
        <v/>
      </c>
      <c r="D300" s="992">
        <f>IF('6.Inland wetlands'!S95='6.Inland wetlands'!K95, 0, IF(('6.Inland wetlands'!T95-'6.Inland wetlands'!S95)-'6.Inland wetlands'!N84&gt;0,('6.Inland wetlands'!T95-'6.Inland wetlands'!S95)-'6.Inland wetlands'!N84,0))</f>
        <v/>
      </c>
      <c r="E300" s="992">
        <f>G259</f>
        <v/>
      </c>
      <c r="F300" s="992">
        <f>IF(('6.Inland wetlands'!U95-'6.Inland wetlands'!S95)-'6.Inland wetlands'!P84&gt;0,('6.Inland wetlands'!U95-'6.Inland wetlands'!S95)-'6.Inland wetlands'!P84,0)</f>
        <v/>
      </c>
      <c r="G300" s="992">
        <f>K259</f>
        <v/>
      </c>
      <c r="H300" s="1004">
        <f>IFERROR(IF($E259=" ",0,IF($D$249="Nutrient poor",INDEX(IPCC!$A$1910:$J$1921,MATCH(clim_moist,IPCC!$A$1910:$A$1921,0),MATCH($C300,IPCC!$A$1910:$J$1910,0)),INDEX(IPCC!$A$1928:$J$1939,MATCH(clim_moist,IPCC!$A$1928:$A$1939,0),MATCH($C300,IPCC!$A$1928:$J$1928,0)))),0)</f>
        <v/>
      </c>
      <c r="I300" s="1259">
        <f>IF('6.Inland wetlands'!$DY84="",'6.Inland wetlands'!$DX84,'6.Inland wetlands'!$DY84)</f>
        <v/>
      </c>
      <c r="J300" s="1004">
        <f>IFERROR(IF(C300="Please select",0,IF($D$249="Nutrient poor",INDEX(IPCC!$A$1964:$J$1975,MATCH(clim_moist,IPCC!$A$1964:$A$1975,0),MATCH($C300,IPCC!$A$1964:$J$1964,0)),INDEX(IPCC!$A$1982:$J$1993,MATCH(clim_moist,IPCC!$A$1982:$A$1993,0),MATCH($C311,IPCC!$A$1982:$J$1982,0)))),0)</f>
        <v/>
      </c>
      <c r="K300" s="1259">
        <f>IF('6.Inland wetlands'!$EA84="",'6.Inland wetlands'!$DZ84,'6.Inland wetlands'!$EA84)</f>
        <v/>
      </c>
      <c r="L300" s="1004">
        <f>IFERROR(IF(C300="Please select",0,INDEX(IPCC!$A$2000:$J$2011,MATCH(clim_moist,IPCC!$A$2000:$A$2011,0),MATCH($C300,IPCC!$A$2000:$J$2000,0))),0)</f>
        <v/>
      </c>
      <c r="M300" s="1259">
        <f>IF('6.Inland wetlands'!$EC84="",'6.Inland wetlands'!$EB84,'6.Inland wetlands'!$EC84)</f>
        <v/>
      </c>
      <c r="N300" s="1260">
        <f>IFERROR(IF(C300="Please select",0,INDEX(IPCC!$A$1946:$J$1957,MATCH(clim_moist,IPCC!$A$1946:$A$1957,0),MATCH($C300,IPCC!$A$1946:$J$1946,0))),0)</f>
        <v/>
      </c>
      <c r="O300" s="1259">
        <f>IF('6.Inland wetlands'!$EF84="",'6.Inland wetlands'!$EE84,'6.Inland wetlands'!$EF84)</f>
        <v/>
      </c>
      <c r="P300" s="3493" t="n">
        <v>0</v>
      </c>
      <c r="Q300" s="3493">
        <f>SUM('Inl. wetlands'!$I300,$O300)*44/12*'Inl. wetlands'!D300</f>
        <v/>
      </c>
      <c r="R300" s="1151">
        <f>SUM('Inl. wetlands'!$I300,$O300)*44/12*'Inl. wetlands'!F300</f>
        <v/>
      </c>
      <c r="S300" s="3493" t="n">
        <v>0</v>
      </c>
      <c r="T300" s="1151">
        <f>'Inl. wetlands'!$K300/1000*16/12*methane*'Inl. wetlands'!D300</f>
        <v/>
      </c>
      <c r="U300" s="1151">
        <f>'Inl. wetlands'!$K300/1000*16/12*methane*'Inl. wetlands'!F300</f>
        <v/>
      </c>
      <c r="V300" s="3493" t="n">
        <v>0</v>
      </c>
      <c r="W300" s="1151">
        <f>'Inl. wetlands'!$M300/1000*44/28*Nitrous*'Inl. wetlands'!D300</f>
        <v/>
      </c>
      <c r="X300" s="3494">
        <f>'Inl. wetlands'!$M300/1000*44/28*Nitrous*'Inl. wetlands'!F300</f>
        <v/>
      </c>
      <c r="AB300" s="3493">
        <f>MIN('Inl. wetlands'!P300,'Inl. wetlands'!Q300)*time_tot+ABS('Inl. wetlands'!Q300-'Inl. wetlands'!P300)*IF('Inl. wetlands'!Q300&gt;'Inl. wetlands'!P300,time_cap+time*(VLOOKUP('6.Inland wetlands'!O95,list!$I$48:$K$50,3,0)),time*(1-(VLOOKUP('6.Inland wetlands'!O95,list!$I$48:$K$50,3,0))))</f>
        <v/>
      </c>
      <c r="AC300" s="3493">
        <f>MIN('Inl. wetlands'!P300,'Inl. wetlands'!R300)*time_tot+ABS('Inl. wetlands'!R300-'Inl. wetlands'!P300)*IF('Inl. wetlands'!R300&gt;'Inl. wetlands'!P300,time_cap+time*(VLOOKUP('6.Inland wetlands'!Q95,list!$I$48:$K$50,3,0)),time*(1-(VLOOKUP('6.Inland wetlands'!Q95,list!$I$48:$K$50,3,0))))</f>
        <v/>
      </c>
      <c r="AD300" s="3493">
        <f>MIN('Inl. wetlands'!S300,'Inl. wetlands'!T300)*time_tot+ABS('Inl. wetlands'!T300-'Inl. wetlands'!S300)*IF('Inl. wetlands'!T300&gt;'Inl. wetlands'!S300,time_cap+time*(VLOOKUP('6.Inland wetlands'!O95,list!$I$48:$K$50,3,0)),time*(1-(VLOOKUP('6.Inland wetlands'!O95,list!$I$48:$K$50,3,0))))</f>
        <v/>
      </c>
      <c r="AE300" s="3493">
        <f>MIN('Inl. wetlands'!S300,'Inl. wetlands'!U300)*time_tot+ABS('Inl. wetlands'!U300-'Inl. wetlands'!S300)*IF('Inl. wetlands'!U300&gt;'Inl. wetlands'!S300,time_cap+time*(VLOOKUP('6.Inland wetlands'!Q95,list!$I$48:$K$50,3,0)),time*(1-(VLOOKUP('6.Inland wetlands'!Q95,list!$I$48:$K$50,3,0))))</f>
        <v/>
      </c>
      <c r="AF300" s="3493">
        <f>MIN('Inl. wetlands'!V300,'Inl. wetlands'!W300)*time_tot+ABS('Inl. wetlands'!W300-'Inl. wetlands'!V300)*IF('Inl. wetlands'!W300&gt;'Inl. wetlands'!V300,time_cap+time*(VLOOKUP('6.Inland wetlands'!O95,list!$I$48:$K$50,3,0)),time*(1-(VLOOKUP('6.Inland wetlands'!O95,list!$I$48:$K$50,3,0))))</f>
        <v/>
      </c>
      <c r="AG300" s="3493">
        <f>MIN('Inl. wetlands'!V300,'Inl. wetlands'!X300)*time_tot+ABS('Inl. wetlands'!X300-'Inl. wetlands'!V300)*IF('Inl. wetlands'!X300&gt;'Inl. wetlands'!V300,time_cap+time*(VLOOKUP('6.Inland wetlands'!Q95,list!$I$48:$K$50,3,0)),time*(1-(VLOOKUP('6.Inland wetlands'!Q95,list!$I$48:$K$50,3,0))))</f>
        <v/>
      </c>
      <c r="AI300" s="1270" t="inlineStr">
        <is>
          <t>Total emissions tCO2eq</t>
        </is>
      </c>
      <c r="AJ300" s="1116" t="n"/>
      <c r="AK300" s="1116" t="n"/>
      <c r="AX300" s="1449">
        <f>$Q300*time*(VLOOKUP($E300,list!$J$48:$K$50,2,0))</f>
        <v/>
      </c>
      <c r="AY300" s="1449">
        <f>$R300*time*(VLOOKUP($G300,list!$J$48:$K$50,2,0))</f>
        <v/>
      </c>
      <c r="AZ300" s="1449">
        <f>$T300*time*(VLOOKUP($E300,list!$J$48:$K$50,2,0))</f>
        <v/>
      </c>
      <c r="BA300" s="1449">
        <f>$U300*time*(VLOOKUP($G300,list!$J$48:$K$50,2,0))</f>
        <v/>
      </c>
      <c r="BB300" s="1449">
        <f>$W300*time*(VLOOKUP($E300,list!$J$48:$K$50,2,0))</f>
        <v/>
      </c>
      <c r="BC300" s="1449">
        <f>$X300*time*(VLOOKUP($G300,list!$J$48:$K$50,2,0))</f>
        <v/>
      </c>
      <c r="BD300" s="1449" t="n"/>
      <c r="BE300" s="1449" t="n"/>
      <c r="BF300" s="1449" t="n"/>
      <c r="BG300" s="1449" t="n"/>
    </row>
    <row r="301" ht="16" customHeight="1">
      <c r="A301" s="1493" t="inlineStr">
        <is>
          <t>S6</t>
        </is>
      </c>
      <c r="B301" s="1121">
        <f>B260</f>
        <v/>
      </c>
      <c r="C301" s="1121">
        <f>C260</f>
        <v/>
      </c>
      <c r="D301" s="992">
        <f>IF('6.Inland wetlands'!S96='6.Inland wetlands'!K96, 0, IF(('6.Inland wetlands'!T96-'6.Inland wetlands'!S96)-'6.Inland wetlands'!N85&gt;0,('6.Inland wetlands'!T96-'6.Inland wetlands'!S96)-'6.Inland wetlands'!N85,0))</f>
        <v/>
      </c>
      <c r="E301" s="992">
        <f>G260</f>
        <v/>
      </c>
      <c r="F301" s="992">
        <f>IF(('6.Inland wetlands'!U96-'6.Inland wetlands'!S96)-'6.Inland wetlands'!P85&gt;0,('6.Inland wetlands'!U96-'6.Inland wetlands'!S96)-'6.Inland wetlands'!P85,0)</f>
        <v/>
      </c>
      <c r="G301" s="992">
        <f>K260</f>
        <v/>
      </c>
      <c r="H301" s="1004">
        <f>IFERROR(IF($E260=" ",0,IF($D$249="Nutrient poor",INDEX(IPCC!$A$1910:$J$1921,MATCH(clim_moist,IPCC!$A$1910:$A$1921,0),MATCH($C301,IPCC!$A$1910:$J$1910,0)),INDEX(IPCC!$A$1928:$J$1939,MATCH(clim_moist,IPCC!$A$1928:$A$1939,0),MATCH($C301,IPCC!$A$1928:$J$1928,0)))),0)</f>
        <v/>
      </c>
      <c r="I301" s="1259">
        <f>IF('6.Inland wetlands'!$DY85="",'6.Inland wetlands'!$DX85,'6.Inland wetlands'!$DY85)</f>
        <v/>
      </c>
      <c r="J301" s="1004">
        <f>IFERROR(IF(C301="Please select",0,IF($D$249="Nutrient poor",INDEX(IPCC!$A$1964:$J$1975,MATCH(clim_moist,IPCC!$A$1964:$A$1975,0),MATCH($C301,IPCC!$A$1964:$J$1964,0)),INDEX(IPCC!$A$1982:$J$1993,MATCH(clim_moist,IPCC!$A$1982:$A$1993,0),MATCH($C312,IPCC!$A$1982:$J$1982,0)))),0)</f>
        <v/>
      </c>
      <c r="K301" s="1259">
        <f>IF('6.Inland wetlands'!$EA85="",'6.Inland wetlands'!$DZ85,'6.Inland wetlands'!$EA85)</f>
        <v/>
      </c>
      <c r="L301" s="1004">
        <f>IFERROR(IF(C301="Please select",0,INDEX(IPCC!$A$2000:$J$2011,MATCH(clim_moist,IPCC!$A$2000:$A$2011,0),MATCH($C301,IPCC!$A$2000:$J$2000,0))),0)</f>
        <v/>
      </c>
      <c r="M301" s="1259">
        <f>IF('6.Inland wetlands'!$EC85="",'6.Inland wetlands'!$EB85,'6.Inland wetlands'!$EC85)</f>
        <v/>
      </c>
      <c r="N301" s="1260">
        <f>IFERROR(IF(C301="Please select",0,INDEX(IPCC!$A$1946:$J$1957,MATCH(clim_moist,IPCC!$A$1946:$A$1957,0),MATCH($C301,IPCC!$A$1946:$J$1946,0))),0)</f>
        <v/>
      </c>
      <c r="O301" s="1259">
        <f>IF('6.Inland wetlands'!$EF85="",'6.Inland wetlands'!$EE85,'6.Inland wetlands'!$EF85)</f>
        <v/>
      </c>
      <c r="P301" s="3493" t="n">
        <v>0</v>
      </c>
      <c r="Q301" s="3493">
        <f>SUM('Inl. wetlands'!$I301,$O301)*44/12*'Inl. wetlands'!D301</f>
        <v/>
      </c>
      <c r="R301" s="1151">
        <f>SUM('Inl. wetlands'!$I301,$O301)*44/12*'Inl. wetlands'!F301</f>
        <v/>
      </c>
      <c r="S301" s="3493" t="n">
        <v>0</v>
      </c>
      <c r="T301" s="1151">
        <f>'Inl. wetlands'!$K301/1000*16/12*methane*'Inl. wetlands'!D301</f>
        <v/>
      </c>
      <c r="U301" s="1151">
        <f>'Inl. wetlands'!$K301/1000*16/12*methane*'Inl. wetlands'!F301</f>
        <v/>
      </c>
      <c r="V301" s="3493" t="n">
        <v>0</v>
      </c>
      <c r="W301" s="1151">
        <f>'Inl. wetlands'!$M301/1000*44/28*Nitrous*'Inl. wetlands'!D301</f>
        <v/>
      </c>
      <c r="X301" s="3494">
        <f>'Inl. wetlands'!$M301/1000*44/28*Nitrous*'Inl. wetlands'!F301</f>
        <v/>
      </c>
      <c r="AB301" s="3493">
        <f>MIN('Inl. wetlands'!P301,'Inl. wetlands'!Q301)*time_tot+ABS('Inl. wetlands'!Q301-'Inl. wetlands'!P301)*IF('Inl. wetlands'!Q301&gt;'Inl. wetlands'!P301,time_cap+time*(VLOOKUP('6.Inland wetlands'!O96,list!$I$48:$K$50,3,0)),time*(1-(VLOOKUP('6.Inland wetlands'!O96,list!$I$48:$K$50,3,0))))</f>
        <v/>
      </c>
      <c r="AC301" s="3493">
        <f>MIN('Inl. wetlands'!P301,'Inl. wetlands'!R301)*time_tot+ABS('Inl. wetlands'!R301-'Inl. wetlands'!P301)*IF('Inl. wetlands'!R301&gt;'Inl. wetlands'!P301,time_cap+time*(VLOOKUP('6.Inland wetlands'!Q96,list!$I$48:$K$50,3,0)),time*(1-(VLOOKUP('6.Inland wetlands'!Q96,list!$I$48:$K$50,3,0))))</f>
        <v/>
      </c>
      <c r="AD301" s="3493">
        <f>MIN('Inl. wetlands'!S301,'Inl. wetlands'!T301)*time_tot+ABS('Inl. wetlands'!T301-'Inl. wetlands'!S301)*IF('Inl. wetlands'!T301&gt;'Inl. wetlands'!S301,time_cap+time*(VLOOKUP('6.Inland wetlands'!O96,list!$I$48:$K$50,3,0)),time*(1-(VLOOKUP('6.Inland wetlands'!O96,list!$I$48:$K$50,3,0))))</f>
        <v/>
      </c>
      <c r="AE301" s="3493">
        <f>MIN('Inl. wetlands'!S301,'Inl. wetlands'!U301)*time_tot+ABS('Inl. wetlands'!U301-'Inl. wetlands'!S301)*IF('Inl. wetlands'!U301&gt;'Inl. wetlands'!S301,time_cap+time*(VLOOKUP('6.Inland wetlands'!Q96,list!$I$48:$K$50,3,0)),time*(1-(VLOOKUP('6.Inland wetlands'!Q96,list!$I$48:$K$50,3,0))))</f>
        <v/>
      </c>
      <c r="AF301" s="3493">
        <f>MIN('Inl. wetlands'!V301,'Inl. wetlands'!W301)*time_tot+ABS('Inl. wetlands'!W301-'Inl. wetlands'!V301)*IF('Inl. wetlands'!W301&gt;'Inl. wetlands'!V301,time_cap+time*(VLOOKUP('6.Inland wetlands'!O96,list!$I$48:$K$50,3,0)),time*(1-(VLOOKUP('6.Inland wetlands'!O96,list!$I$48:$K$50,3,0))))</f>
        <v/>
      </c>
      <c r="AG301" s="3493">
        <f>MIN('Inl. wetlands'!V301,'Inl. wetlands'!X301)*time_tot+ABS('Inl. wetlands'!X301-'Inl. wetlands'!V301)*IF('Inl. wetlands'!X301&gt;'Inl. wetlands'!V301,time_cap+time*(VLOOKUP('6.Inland wetlands'!Q96,list!$I$48:$K$50,3,0)),time*(1-(VLOOKUP('6.Inland wetlands'!Q96,list!$I$48:$K$50,3,0))))</f>
        <v/>
      </c>
      <c r="AI301" s="1270" t="inlineStr">
        <is>
          <t>ALL PERIOD</t>
        </is>
      </c>
      <c r="AJ301" s="1116" t="n"/>
      <c r="AK301" s="1116" t="n"/>
      <c r="AX301" s="1449">
        <f>$Q301*time*(VLOOKUP($E301,list!$J$48:$K$50,2,0))</f>
        <v/>
      </c>
      <c r="AY301" s="1449">
        <f>$R301*time*(VLOOKUP($G301,list!$J$48:$K$50,2,0))</f>
        <v/>
      </c>
      <c r="AZ301" s="1449">
        <f>$T301*time*(VLOOKUP($E301,list!$J$48:$K$50,2,0))</f>
        <v/>
      </c>
      <c r="BA301" s="1449">
        <f>$U301*time*(VLOOKUP($G301,list!$J$48:$K$50,2,0))</f>
        <v/>
      </c>
      <c r="BB301" s="1449">
        <f>$W301*time*(VLOOKUP($E301,list!$J$48:$K$50,2,0))</f>
        <v/>
      </c>
      <c r="BC301" s="1449">
        <f>$X301*time*(VLOOKUP($G301,list!$J$48:$K$50,2,0))</f>
        <v/>
      </c>
      <c r="BD301" s="1449" t="n"/>
      <c r="BE301" s="1449" t="n"/>
      <c r="BF301" s="1449" t="n"/>
      <c r="BG301" s="1449" t="n"/>
    </row>
    <row r="302" ht="16" customHeight="1">
      <c r="F302" s="992" t="n"/>
      <c r="G302" s="1688" t="n"/>
      <c r="H302" s="992" t="n"/>
      <c r="I302" s="1688" t="n"/>
      <c r="J302" s="1200" t="n"/>
      <c r="K302" s="1200" t="n"/>
      <c r="AI302" s="1270" t="inlineStr">
        <is>
          <t>REWETTING</t>
        </is>
      </c>
      <c r="AJ302" s="1116" t="n"/>
      <c r="AK302" s="1116" t="n"/>
    </row>
    <row r="303" ht="16" customHeight="1">
      <c r="D303" s="1262">
        <f>D292</f>
        <v/>
      </c>
      <c r="E303" s="3489" t="n"/>
      <c r="F303" s="3489" t="n"/>
      <c r="G303" s="3489" t="n"/>
      <c r="H303" s="1473" t="inlineStr">
        <is>
          <t>On site emissions</t>
        </is>
      </c>
      <c r="I303" s="1474" t="n"/>
      <c r="J303" s="1474" t="n"/>
      <c r="K303" s="1475" t="n"/>
      <c r="L303" s="1474" t="n"/>
      <c r="M303" s="1476" t="n"/>
      <c r="N303" s="1476" t="n"/>
      <c r="O303" s="1476" t="n"/>
      <c r="P303" s="1481" t="inlineStr">
        <is>
          <t>Total emissions in tCO2-eq per year</t>
        </is>
      </c>
      <c r="Q303" s="1482" t="n"/>
      <c r="R303" s="1482" t="n"/>
      <c r="S303" s="1482" t="n"/>
      <c r="T303" s="1482" t="n"/>
      <c r="U303" s="1482" t="n"/>
      <c r="V303" s="1482" t="n"/>
      <c r="W303" s="1482" t="n"/>
      <c r="X303" s="1482" t="n"/>
      <c r="AB303" s="1471" t="inlineStr">
        <is>
          <t>REWETTING EMISSIONS</t>
        </is>
      </c>
      <c r="AC303" s="1470" t="n"/>
      <c r="AD303" s="1470" t="n"/>
      <c r="AE303" s="1470" t="n"/>
      <c r="AF303" s="1470" t="n"/>
      <c r="AG303" s="1470" t="n"/>
      <c r="AI303" s="1102" t="inlineStr">
        <is>
          <t>WITHOUT</t>
        </is>
      </c>
      <c r="AJ303" s="1103" t="inlineStr">
        <is>
          <t>WITH</t>
        </is>
      </c>
      <c r="AK303" s="1104" t="inlineStr">
        <is>
          <t>BALANCE</t>
        </is>
      </c>
    </row>
    <row r="304">
      <c r="A304" s="1462" t="n"/>
      <c r="B304" s="1462" t="n"/>
      <c r="C304" s="1462" t="n"/>
      <c r="D304" s="1105" t="inlineStr">
        <is>
          <t>WITHOUT</t>
        </is>
      </c>
      <c r="E304" s="1105" t="n"/>
      <c r="F304" s="1106" t="inlineStr">
        <is>
          <t>WITH</t>
        </is>
      </c>
      <c r="G304" s="1101" t="n"/>
      <c r="H304" s="1495" t="inlineStr">
        <is>
          <t>CO2 (IPCC 2013)</t>
        </is>
      </c>
      <c r="I304" s="1478" t="n"/>
      <c r="J304" s="1477" t="inlineStr">
        <is>
          <t>CH4 (IPCC 2013)</t>
        </is>
      </c>
      <c r="K304" s="1478" t="n"/>
      <c r="L304" s="1477" t="inlineStr">
        <is>
          <t>N2O (IPCC 2013)</t>
        </is>
      </c>
      <c r="M304" s="1478" t="n"/>
      <c r="N304" s="1477" t="inlineStr">
        <is>
          <t>DOC (IPCC 2013)</t>
        </is>
      </c>
      <c r="O304" s="1478" t="n"/>
      <c r="P304" s="1482" t="n"/>
      <c r="Q304" s="1482" t="n"/>
      <c r="R304" s="1482" t="n"/>
      <c r="S304" s="1482" t="n"/>
      <c r="T304" s="1482" t="n"/>
      <c r="U304" s="1482" t="n"/>
      <c r="V304" s="1482" t="n"/>
      <c r="W304" s="1482" t="n"/>
      <c r="X304" s="1482" t="n"/>
      <c r="AB304" s="1471" t="inlineStr">
        <is>
          <t>Emissions in tCO2-eq all period</t>
        </is>
      </c>
      <c r="AC304" s="1471" t="n"/>
      <c r="AD304" s="1471" t="n"/>
      <c r="AE304" s="1470" t="n"/>
      <c r="AF304" s="1471" t="n"/>
      <c r="AG304" s="1470" t="n"/>
      <c r="AI304" s="1282">
        <f>SUM('Inl. wetlands'!AB296,'Inl. wetlands'!AD296,'Inl. wetlands'!AF296)+AB307+AD307+AF307</f>
        <v/>
      </c>
      <c r="AJ304" s="1283">
        <f>SUM('Inl. wetlands'!AC296,'Inl. wetlands'!AE296,'Inl. wetlands'!AG296)+AC307+AE307+AG307</f>
        <v/>
      </c>
      <c r="AK304" s="1284">
        <f>AJ304-AI304</f>
        <v/>
      </c>
    </row>
    <row r="305">
      <c r="A305" s="1462" t="n"/>
      <c r="B305" s="1482">
        <f>B202</f>
        <v/>
      </c>
      <c r="C305" s="1482">
        <f>D253</f>
        <v/>
      </c>
      <c r="D305" s="1105" t="n"/>
      <c r="E305" s="1105" t="n"/>
      <c r="F305" s="1106" t="n"/>
      <c r="G305" s="1106" t="n"/>
      <c r="H305" s="1479" t="inlineStr">
        <is>
          <t>tC/ha/yr</t>
        </is>
      </c>
      <c r="I305" s="1479" t="n"/>
      <c r="J305" s="1479" t="inlineStr">
        <is>
          <t>kgCH4/ha/yr</t>
        </is>
      </c>
      <c r="K305" s="1479" t="n"/>
      <c r="L305" s="1479" t="inlineStr">
        <is>
          <t>kgN2O-N/ha/yr</t>
        </is>
      </c>
      <c r="M305" s="1479" t="n"/>
      <c r="N305" s="1479" t="inlineStr">
        <is>
          <t>tC/ha/yr</t>
        </is>
      </c>
      <c r="O305" s="1479" t="n"/>
      <c r="P305" s="1482" t="inlineStr">
        <is>
          <t>CO2&amp;DOC</t>
        </is>
      </c>
      <c r="Q305" s="1482" t="n"/>
      <c r="R305" s="1482" t="n"/>
      <c r="S305" s="1482" t="inlineStr">
        <is>
          <t>CH4</t>
        </is>
      </c>
      <c r="T305" s="1482" t="n"/>
      <c r="U305" s="1482" t="n"/>
      <c r="V305" s="1482" t="inlineStr">
        <is>
          <t>N2O-N</t>
        </is>
      </c>
      <c r="W305" s="1482" t="n"/>
      <c r="X305" s="1482" t="n"/>
      <c r="AB305" s="1472" t="inlineStr">
        <is>
          <t>CO2&amp;DOC</t>
        </is>
      </c>
      <c r="AC305" s="1472" t="n"/>
      <c r="AD305" s="1472" t="inlineStr">
        <is>
          <t>CH4</t>
        </is>
      </c>
      <c r="AE305" s="1472" t="n"/>
      <c r="AF305" s="1472" t="inlineStr">
        <is>
          <t>N2O-N</t>
        </is>
      </c>
      <c r="AG305" s="1472" t="n"/>
      <c r="AI305" s="1282">
        <f>SUM('Inl. wetlands'!AB297,'Inl. wetlands'!AD297,'Inl. wetlands'!AF297)+AB308+AD308+AF308</f>
        <v/>
      </c>
      <c r="AJ305" s="1283">
        <f>SUM('Inl. wetlands'!AC297,'Inl. wetlands'!AE297,'Inl. wetlands'!AG297)+AC308+AE308+AG308</f>
        <v/>
      </c>
      <c r="AK305" s="1284">
        <f>AJ305-AI305</f>
        <v/>
      </c>
    </row>
    <row r="306">
      <c r="A306" s="1462" t="n"/>
      <c r="B306" s="1482">
        <f>B203</f>
        <v/>
      </c>
      <c r="C306" s="1462">
        <f>E254</f>
        <v/>
      </c>
      <c r="D306" s="1105">
        <f>D295</f>
        <v/>
      </c>
      <c r="E306" s="1105">
        <f>E295</f>
        <v/>
      </c>
      <c r="F306" s="1106">
        <f>F295</f>
        <v/>
      </c>
      <c r="G306" s="1106">
        <f>G295</f>
        <v/>
      </c>
      <c r="H306" s="1480" t="inlineStr">
        <is>
          <t>IPCC</t>
        </is>
      </c>
      <c r="I306" s="1480" t="inlineStr">
        <is>
          <t>Tier 2</t>
        </is>
      </c>
      <c r="J306" s="1480">
        <f>H306</f>
        <v/>
      </c>
      <c r="K306" s="1480" t="inlineStr">
        <is>
          <t>Tier 2</t>
        </is>
      </c>
      <c r="L306" s="1480">
        <f>J306</f>
        <v/>
      </c>
      <c r="M306" s="1480" t="inlineStr">
        <is>
          <t>Tier 2</t>
        </is>
      </c>
      <c r="N306" s="1480">
        <f>L306</f>
        <v/>
      </c>
      <c r="O306" s="1480" t="inlineStr">
        <is>
          <t>Tier 2</t>
        </is>
      </c>
      <c r="P306" s="973" t="inlineStr">
        <is>
          <t>Start</t>
        </is>
      </c>
      <c r="Q306" s="1100" t="inlineStr">
        <is>
          <t>Without</t>
        </is>
      </c>
      <c r="R306" s="1101" t="inlineStr">
        <is>
          <t>With</t>
        </is>
      </c>
      <c r="S306" s="973" t="inlineStr">
        <is>
          <t>Start</t>
        </is>
      </c>
      <c r="T306" s="1100" t="inlineStr">
        <is>
          <t>Without</t>
        </is>
      </c>
      <c r="U306" s="1101" t="inlineStr">
        <is>
          <t>With</t>
        </is>
      </c>
      <c r="V306" s="973" t="inlineStr">
        <is>
          <t>Start</t>
        </is>
      </c>
      <c r="W306" s="1100" t="inlineStr">
        <is>
          <t>Without</t>
        </is>
      </c>
      <c r="X306" s="1101" t="inlineStr">
        <is>
          <t>With</t>
        </is>
      </c>
      <c r="AB306" s="1102" t="inlineStr">
        <is>
          <t>Without</t>
        </is>
      </c>
      <c r="AC306" s="1103" t="inlineStr">
        <is>
          <t>With</t>
        </is>
      </c>
      <c r="AD306" s="1102" t="inlineStr">
        <is>
          <t>Without</t>
        </is>
      </c>
      <c r="AE306" s="1103" t="inlineStr">
        <is>
          <t>With</t>
        </is>
      </c>
      <c r="AF306" s="1102" t="inlineStr">
        <is>
          <t>Without</t>
        </is>
      </c>
      <c r="AG306" s="1103" t="inlineStr">
        <is>
          <t>With</t>
        </is>
      </c>
      <c r="AI306" s="1282">
        <f>SUM('Inl. wetlands'!AB298,'Inl. wetlands'!AD298,'Inl. wetlands'!AF298)+AB309+AD309+AF309</f>
        <v/>
      </c>
      <c r="AJ306" s="1283">
        <f>SUM('Inl. wetlands'!AC298,'Inl. wetlands'!AE298,'Inl. wetlands'!AG298)+AC309+AE309+AG309</f>
        <v/>
      </c>
      <c r="AK306" s="1284">
        <f>AJ306-AI306</f>
        <v/>
      </c>
    </row>
    <row r="307">
      <c r="A307" s="1493" t="inlineStr">
        <is>
          <t>S1</t>
        </is>
      </c>
      <c r="B307" s="1121">
        <f>D255</f>
        <v/>
      </c>
      <c r="C307" s="1121">
        <f>E255</f>
        <v/>
      </c>
      <c r="D307" s="992">
        <f>IF('6.Inland wetlands'!S91='6.Inland wetlands'!K91, 0, '6.Inland wetlands'!T91-'Inl. wetlands'!D193)</f>
        <v/>
      </c>
      <c r="E307" s="992">
        <f>E296</f>
        <v/>
      </c>
      <c r="F307" s="992">
        <f>IF('6.Inland wetlands'!S91='6.Inland wetlands'!K91, 0, '6.Inland wetlands'!U91-'Inl. wetlands'!F193)</f>
        <v/>
      </c>
      <c r="G307" s="992">
        <f>G296</f>
        <v/>
      </c>
      <c r="H307" s="1004">
        <f>IFERROR(IF($E255=" ",0,IF($D$249="Nutrient poor",INDEX(IPCC!$A$1910:$J$1921,MATCH(clim_moist,IPCC!$A$1910:$A$1921,0),MATCH($C307,IPCC!$A$1910:$J$1910,0)),INDEX(IPCC!$A$1928:$J$1939,MATCH(clim_moist,IPCC!$A$1928:$A$1939,0),MATCH($C307,IPCC!$A$1928:$J$1928,0)))),0)</f>
        <v/>
      </c>
      <c r="I307" s="1259">
        <f>IF('6.Inland wetlands'!$DY91="",'6.Inland wetlands'!$DX91,'6.Inland wetlands'!$DY91)</f>
        <v/>
      </c>
      <c r="J307" s="1004">
        <f>IFERROR(IF(C307="Please select",0,IF($D$249="Nutrient poor",INDEX(IPCC!$A$1964:$J$1975,MATCH(clim_moist,IPCC!$A$1964:$A$1975,0),MATCH($C307,IPCC!$A$1964:$J$1964,0)),INDEX(IPCC!$A$1982:$J$1993,MATCH(clim_moist,IPCC!$A$1982:$A$1993,0),MATCH($C307,IPCC!$A$1982:$J$1982,0)))),0)</f>
        <v/>
      </c>
      <c r="K307" s="1259">
        <f>IF('6.Inland wetlands'!$EA91="",'6.Inland wetlands'!$DZ91,'6.Inland wetlands'!$EA91)</f>
        <v/>
      </c>
      <c r="L307" s="1004">
        <f>IFERROR(IF(C307="Please select",0,INDEX(IPCC!$A$2000:$J$2011,MATCH(clim_moist,IPCC!$A$2000:$A$2011,0),MATCH($C307,IPCC!$A$2000:$J$2000,0))),0)</f>
        <v/>
      </c>
      <c r="M307" s="1259">
        <f>IF('6.Inland wetlands'!$EC91="",'6.Inland wetlands'!$EB91,'6.Inland wetlands'!$EC91)</f>
        <v/>
      </c>
      <c r="N307" s="1260">
        <f>IFERROR(IF(C307="Please select",0,INDEX(IPCC!$A$1946:$J$1957,MATCH(clim_moist,IPCC!$A$1946:$A$1957,0),MATCH($C307,IPCC!$A$1946:$J$1946,0))),0)</f>
        <v/>
      </c>
      <c r="O307" s="1259">
        <f>IF('6.Inland wetlands'!$EF91="",'6.Inland wetlands'!$EE91,'6.Inland wetlands'!$EF91)</f>
        <v/>
      </c>
      <c r="P307" s="3493" t="n">
        <v>0</v>
      </c>
      <c r="Q307" s="3493">
        <f>SUM('Inl. wetlands'!$I307,'Inl. wetlands'!$O307)*44/12*D307</f>
        <v/>
      </c>
      <c r="R307" s="1151">
        <f>SUM('Inl. wetlands'!$I307,'Inl. wetlands'!$O307)*44/12*F307</f>
        <v/>
      </c>
      <c r="S307" s="3493" t="n">
        <v>0</v>
      </c>
      <c r="T307" s="1151">
        <f>'Inl. wetlands'!$K307/1000*16/12*methane*D307</f>
        <v/>
      </c>
      <c r="U307" s="1151">
        <f>'Inl. wetlands'!$K307/1000*16/12*methane*F307</f>
        <v/>
      </c>
      <c r="V307" s="3493" t="n">
        <v>0</v>
      </c>
      <c r="W307" s="1151">
        <f>'Inl. wetlands'!$M307/1000*44/28*Nitrous*D307</f>
        <v/>
      </c>
      <c r="X307" s="3494">
        <f>'Inl. wetlands'!$M307/1000*44/28*Nitrous*F307</f>
        <v/>
      </c>
      <c r="AB307" s="3493">
        <f>MIN('Inl. wetlands'!P307,'Inl. wetlands'!Q307)*time_tot+ABS('Inl. wetlands'!Q307-'Inl. wetlands'!P307)*IF('Inl. wetlands'!Q307&gt;'Inl. wetlands'!P307,time_cap+time*(VLOOKUP('6.Inland wetlands'!O91,list!$I$48:$K$50,3,0)),time*(1-(VLOOKUP('6.Inland wetlands'!O91,list!$I$48:$K$50,3,0))))</f>
        <v/>
      </c>
      <c r="AC307" s="3493">
        <f>MIN('Inl. wetlands'!P307,'Inl. wetlands'!R307)*time_tot+ABS('Inl. wetlands'!R307-'Inl. wetlands'!P307)*IF('Inl. wetlands'!R307&gt;'Inl. wetlands'!P307,time_cap+time*(VLOOKUP('6.Inland wetlands'!Q91,list!$I$48:$K$50,3,0)),time*(1-(VLOOKUP('6.Inland wetlands'!Q91,list!$I$48:$K$50,3,0))))</f>
        <v/>
      </c>
      <c r="AD307" s="3493">
        <f>MIN('Inl. wetlands'!S307,'Inl. wetlands'!T307)*time_tot+ABS('Inl. wetlands'!T307-'Inl. wetlands'!S307)*IF('Inl. wetlands'!T307&gt;'Inl. wetlands'!S307,time_cap+time*(VLOOKUP('6.Inland wetlands'!O91,list!$I$48:$K$50,3,0)),time*(1-(VLOOKUP('6.Inland wetlands'!O91,list!$I$48:$K$50,3,0))))</f>
        <v/>
      </c>
      <c r="AE307" s="3493">
        <f>MIN('Inl. wetlands'!S307,'Inl. wetlands'!U307)*time_tot+ABS('Inl. wetlands'!U307-'Inl. wetlands'!S307)*IF('Inl. wetlands'!U307&gt;'Inl. wetlands'!S307,time_cap+time*(VLOOKUP('6.Inland wetlands'!Q91,list!$I$48:$K$50,3,0)),time*(1-(VLOOKUP('6.Inland wetlands'!Q91,list!$I$48:$K$50,3,0))))</f>
        <v/>
      </c>
      <c r="AF307" s="3493">
        <f>MIN('Inl. wetlands'!V307,'Inl. wetlands'!W307)*time_tot+ABS('Inl. wetlands'!W307-'Inl. wetlands'!V307)*IF('Inl. wetlands'!W307&gt;'Inl. wetlands'!V307,time_cap+time*(VLOOKUP('6.Inland wetlands'!O91,list!$I$48:$K$50,3,0)),time*(1-(VLOOKUP('6.Inland wetlands'!O91,list!$I$48:$K$50,3,0))))</f>
        <v/>
      </c>
      <c r="AG307" s="3493">
        <f>MIN('Inl. wetlands'!V307,'Inl. wetlands'!X307)*time_tot+ABS('Inl. wetlands'!X307-'Inl. wetlands'!V307)*IF('Inl. wetlands'!X307&gt;'Inl. wetlands'!V307,time_cap+time*(VLOOKUP('6.Inland wetlands'!Q91,list!$I$48:$K$50,3,0)),time*(1-(VLOOKUP('6.Inland wetlands'!Q91,list!$I$48:$K$50,3,0))))</f>
        <v/>
      </c>
      <c r="AI307" s="1282">
        <f>SUM('Inl. wetlands'!AB299,'Inl. wetlands'!AD299,'Inl. wetlands'!AF299)+AB310+AD310+AF310</f>
        <v/>
      </c>
      <c r="AJ307" s="1283">
        <f>SUM('Inl. wetlands'!AC299,'Inl. wetlands'!AE299,'Inl. wetlands'!AG299)+AC310+AE310+AG310</f>
        <v/>
      </c>
      <c r="AK307" s="1284">
        <f>AJ307-AI307</f>
        <v/>
      </c>
    </row>
    <row r="308">
      <c r="A308" s="1493" t="inlineStr">
        <is>
          <t>S2</t>
        </is>
      </c>
      <c r="B308" s="1121">
        <f>D256</f>
        <v/>
      </c>
      <c r="C308" s="1121">
        <f>E256</f>
        <v/>
      </c>
      <c r="D308" s="992">
        <f>IF('6.Inland wetlands'!S92='6.Inland wetlands'!K92, 0, '6.Inland wetlands'!T92-'Inl. wetlands'!D194)</f>
        <v/>
      </c>
      <c r="E308" s="992">
        <f>E297</f>
        <v/>
      </c>
      <c r="F308" s="992">
        <f>IF('6.Inland wetlands'!S92='6.Inland wetlands'!K92, 0, '6.Inland wetlands'!U92-'Inl. wetlands'!F194)</f>
        <v/>
      </c>
      <c r="G308" s="992">
        <f>G297</f>
        <v/>
      </c>
      <c r="H308" s="1004">
        <f>IFERROR(IF($E256=" ",0,IF($D$249="Nutrient poor",INDEX(IPCC!$A$1910:$J$1921,MATCH(clim_moist,IPCC!$A$1910:$A$1921,0),MATCH($C308,IPCC!$A$1910:$J$1910,0)),INDEX(IPCC!$A$1928:$J$1939,MATCH(clim_moist,IPCC!$A$1928:$A$1939,0),MATCH($C308,IPCC!$A$1928:$J$1928,0)))),0)</f>
        <v/>
      </c>
      <c r="I308" s="1259">
        <f>IF('6.Inland wetlands'!$DY92="",'6.Inland wetlands'!$DX92,'6.Inland wetlands'!$DY92)</f>
        <v/>
      </c>
      <c r="J308" s="1004">
        <f>IFERROR(IF(C308="Please select",0,IF($D$249="Nutrient poor",INDEX(IPCC!$A$1964:$J$1975,MATCH(clim_moist,IPCC!$A$1964:$A$1975,0),MATCH($C308,IPCC!$A$1964:$J$1964,0)),INDEX(IPCC!$A$1982:$J$1993,MATCH(clim_moist,IPCC!$A$1982:$A$1993,0),MATCH($C308,IPCC!$A$1982:$J$1982,0)))),0)</f>
        <v/>
      </c>
      <c r="K308" s="1259">
        <f>IF('6.Inland wetlands'!$EA92="",'6.Inland wetlands'!$DZ92,'6.Inland wetlands'!$EA92)</f>
        <v/>
      </c>
      <c r="L308" s="1004">
        <f>IFERROR(IF(C308="Please select",0,INDEX(IPCC!$A$2000:$J$2011,MATCH(clim_moist,IPCC!$A$2000:$A$2011,0),MATCH($C308,IPCC!$A$2000:$J$2000,0))),0)</f>
        <v/>
      </c>
      <c r="M308" s="1259">
        <f>IF('6.Inland wetlands'!$EC92="",'6.Inland wetlands'!$EB92,'6.Inland wetlands'!$EC92)</f>
        <v/>
      </c>
      <c r="N308" s="1260">
        <f>IFERROR(IF(C308="Please select",0,INDEX(IPCC!$A$1946:$J$1957,MATCH(clim_moist,IPCC!$A$1946:$A$1957,0),MATCH($C308,IPCC!$A$1946:$J$1946,0))),0)</f>
        <v/>
      </c>
      <c r="O308" s="1259">
        <f>IF('6.Inland wetlands'!$EF92="",'6.Inland wetlands'!$EE92,'6.Inland wetlands'!$EF92)</f>
        <v/>
      </c>
      <c r="P308" s="3493" t="n">
        <v>0</v>
      </c>
      <c r="Q308" s="3493">
        <f>SUM('Inl. wetlands'!$I308,'Inl. wetlands'!$O308)*44/12*D308</f>
        <v/>
      </c>
      <c r="R308" s="1151">
        <f>SUM('Inl. wetlands'!$I308,'Inl. wetlands'!$O308)*44/12*F308</f>
        <v/>
      </c>
      <c r="S308" s="3493" t="n">
        <v>0</v>
      </c>
      <c r="T308" s="1151">
        <f>'Inl. wetlands'!$K308/1000*16/12*methane*D308</f>
        <v/>
      </c>
      <c r="U308" s="1151">
        <f>'Inl. wetlands'!$K308/1000*16/12*methane*F308</f>
        <v/>
      </c>
      <c r="V308" s="3493" t="n">
        <v>0</v>
      </c>
      <c r="W308" s="1151">
        <f>'Inl. wetlands'!$M308/1000*44/28*Nitrous*D308</f>
        <v/>
      </c>
      <c r="X308" s="3494">
        <f>'Inl. wetlands'!$M308/1000*44/28*Nitrous*F308</f>
        <v/>
      </c>
      <c r="AB308" s="3493">
        <f>MIN('Inl. wetlands'!P308,'Inl. wetlands'!Q308)*time_tot+ABS('Inl. wetlands'!Q308-'Inl. wetlands'!P308)*IF('Inl. wetlands'!Q308&gt;'Inl. wetlands'!P308,time_cap+time*(VLOOKUP('6.Inland wetlands'!O92,list!$I$48:$K$50,3,0)),time*(1-(VLOOKUP('6.Inland wetlands'!O92,list!$I$48:$K$50,3,0))))</f>
        <v/>
      </c>
      <c r="AC308" s="3493">
        <f>MIN('Inl. wetlands'!P308,'Inl. wetlands'!R308)*time_tot+ABS('Inl. wetlands'!R308-'Inl. wetlands'!P308)*IF('Inl. wetlands'!R308&gt;'Inl. wetlands'!P308,time_cap+time*(VLOOKUP('6.Inland wetlands'!Q92,list!$I$48:$K$50,3,0)),time*(1-(VLOOKUP('6.Inland wetlands'!Q92,list!$I$48:$K$50,3,0))))</f>
        <v/>
      </c>
      <c r="AD308" s="3493">
        <f>MIN('Inl. wetlands'!S308,'Inl. wetlands'!T308)*time_tot+ABS('Inl. wetlands'!T308-'Inl. wetlands'!S308)*IF('Inl. wetlands'!T308&gt;'Inl. wetlands'!S308,time_cap+time*(VLOOKUP('6.Inland wetlands'!O92,list!$I$48:$K$50,3,0)),time*(1-(VLOOKUP('6.Inland wetlands'!O92,list!$I$48:$K$50,3,0))))</f>
        <v/>
      </c>
      <c r="AE308" s="3493">
        <f>MIN('Inl. wetlands'!S308,'Inl. wetlands'!U308)*time_tot+ABS('Inl. wetlands'!U308-'Inl. wetlands'!S308)*IF('Inl. wetlands'!U308&gt;'Inl. wetlands'!S308,time_cap+time*(VLOOKUP('6.Inland wetlands'!Q92,list!$I$48:$K$50,3,0)),time*(1-(VLOOKUP('6.Inland wetlands'!Q92,list!$I$48:$K$50,3,0))))</f>
        <v/>
      </c>
      <c r="AF308" s="3493">
        <f>MIN('Inl. wetlands'!V308,'Inl. wetlands'!W308)*time_tot+ABS('Inl. wetlands'!W308-'Inl. wetlands'!V308)*IF('Inl. wetlands'!W308&gt;'Inl. wetlands'!V308,time_cap+time*(VLOOKUP('6.Inland wetlands'!O92,list!$I$48:$K$50,3,0)),time*(1-(VLOOKUP('6.Inland wetlands'!O92,list!$I$48:$K$50,3,0))))</f>
        <v/>
      </c>
      <c r="AG308" s="3493">
        <f>MIN('Inl. wetlands'!V308,'Inl. wetlands'!X308)*time_tot+ABS('Inl. wetlands'!X308-'Inl. wetlands'!V308)*IF('Inl. wetlands'!X308&gt;'Inl. wetlands'!V308,time_cap+time*(VLOOKUP('6.Inland wetlands'!Q92,list!$I$48:$K$50,3,0)),time*(1-(VLOOKUP('6.Inland wetlands'!Q92,list!$I$48:$K$50,3,0))))</f>
        <v/>
      </c>
      <c r="AI308" s="1282">
        <f>SUM('Inl. wetlands'!AB300,'Inl. wetlands'!AD300,'Inl. wetlands'!AF300)+AB311+AD311+AF311</f>
        <v/>
      </c>
      <c r="AJ308" s="1283">
        <f>SUM('Inl. wetlands'!AC300,'Inl. wetlands'!AE300,'Inl. wetlands'!AG300)+AC311+AE311+AG311</f>
        <v/>
      </c>
      <c r="AK308" s="1284">
        <f>AJ308-AI308</f>
        <v/>
      </c>
    </row>
    <row r="309">
      <c r="A309" s="1493" t="inlineStr">
        <is>
          <t>S3</t>
        </is>
      </c>
      <c r="B309" s="1121">
        <f>D257</f>
        <v/>
      </c>
      <c r="C309" s="1121">
        <f>E257</f>
        <v/>
      </c>
      <c r="D309" s="992">
        <f>IF('6.Inland wetlands'!S93='6.Inland wetlands'!K93, 0, '6.Inland wetlands'!T93-'Inl. wetlands'!D195)</f>
        <v/>
      </c>
      <c r="E309" s="992">
        <f>E298</f>
        <v/>
      </c>
      <c r="F309" s="992">
        <f>IF('6.Inland wetlands'!S93='6.Inland wetlands'!K93, 0, '6.Inland wetlands'!U93-'Inl. wetlands'!F195)</f>
        <v/>
      </c>
      <c r="G309" s="992">
        <f>G298</f>
        <v/>
      </c>
      <c r="H309" s="1004">
        <f>IFERROR(IF($E257=" ",0,IF($D$249="Nutrient poor",INDEX(IPCC!$A$1910:$J$1921,MATCH(clim_moist,IPCC!$A$1910:$A$1921,0),MATCH($C309,IPCC!$A$1910:$J$1910,0)),INDEX(IPCC!$A$1928:$J$1939,MATCH(clim_moist,IPCC!$A$1928:$A$1939,0),MATCH($C309,IPCC!$A$1928:$J$1928,0)))),0)</f>
        <v/>
      </c>
      <c r="I309" s="1259">
        <f>IF('6.Inland wetlands'!$DY93="",'6.Inland wetlands'!$DX93,'6.Inland wetlands'!$DY93)</f>
        <v/>
      </c>
      <c r="J309" s="1004">
        <f>IFERROR(IF(C309="Please select",0,IF($D$249="Nutrient poor",INDEX(IPCC!$A$1964:$J$1975,MATCH(clim_moist,IPCC!$A$1964:$A$1975,0),MATCH($C309,IPCC!$A$1964:$J$1964,0)),INDEX(IPCC!$A$1982:$J$1993,MATCH(clim_moist,IPCC!$A$1982:$A$1993,0),MATCH($C309,IPCC!$A$1982:$J$1982,0)))),0)</f>
        <v/>
      </c>
      <c r="K309" s="1259">
        <f>IF('6.Inland wetlands'!$EA93="",'6.Inland wetlands'!$DZ93,'6.Inland wetlands'!$EA93)</f>
        <v/>
      </c>
      <c r="L309" s="1004">
        <f>IFERROR(IF(C309="Please select",0,INDEX(IPCC!$A$2000:$J$2011,MATCH(clim_moist,IPCC!$A$2000:$A$2011,0),MATCH($C309,IPCC!$A$2000:$J$2000,0))),0)</f>
        <v/>
      </c>
      <c r="M309" s="1259">
        <f>IF('6.Inland wetlands'!$EC93="",'6.Inland wetlands'!$EB93,'6.Inland wetlands'!$EC93)</f>
        <v/>
      </c>
      <c r="N309" s="1260">
        <f>IFERROR(IF(C309="Please select",0,INDEX(IPCC!$A$1946:$J$1957,MATCH(clim_moist,IPCC!$A$1946:$A$1957,0),MATCH($C309,IPCC!$A$1946:$J$1946,0))),0)</f>
        <v/>
      </c>
      <c r="O309" s="1259">
        <f>IF('6.Inland wetlands'!$EF93="",'6.Inland wetlands'!$EE93,'6.Inland wetlands'!$EF93)</f>
        <v/>
      </c>
      <c r="P309" s="3493" t="n">
        <v>0</v>
      </c>
      <c r="Q309" s="3493">
        <f>SUM('Inl. wetlands'!$I309,'Inl. wetlands'!$O309)*44/12*D309</f>
        <v/>
      </c>
      <c r="R309" s="1151">
        <f>SUM('Inl. wetlands'!$I309,'Inl. wetlands'!$O309)*44/12*F309</f>
        <v/>
      </c>
      <c r="S309" s="3493" t="n">
        <v>0</v>
      </c>
      <c r="T309" s="1151">
        <f>'Inl. wetlands'!$K309/1000*16/12*methane*D309</f>
        <v/>
      </c>
      <c r="U309" s="1151">
        <f>'Inl. wetlands'!$K309/1000*16/12*methane*F309</f>
        <v/>
      </c>
      <c r="V309" s="3493" t="n">
        <v>0</v>
      </c>
      <c r="W309" s="1151">
        <f>'Inl. wetlands'!$M309/1000*44/28*Nitrous*D309</f>
        <v/>
      </c>
      <c r="X309" s="3494">
        <f>'Inl. wetlands'!$M309/1000*44/28*Nitrous*F309</f>
        <v/>
      </c>
      <c r="AB309" s="3493">
        <f>MIN('Inl. wetlands'!P309,'Inl. wetlands'!Q309)*time_tot+ABS('Inl. wetlands'!Q309-'Inl. wetlands'!P309)*IF('Inl. wetlands'!Q309&gt;'Inl. wetlands'!P309,time_cap+time*(VLOOKUP('6.Inland wetlands'!O93,list!$I$48:$K$50,3,0)),time*(1-(VLOOKUP('6.Inland wetlands'!O93,list!$I$48:$K$50,3,0))))</f>
        <v/>
      </c>
      <c r="AC309" s="3493">
        <f>MIN('Inl. wetlands'!P309,'Inl. wetlands'!R309)*time_tot+ABS('Inl. wetlands'!R309-'Inl. wetlands'!P309)*IF('Inl. wetlands'!R309&gt;'Inl. wetlands'!P309,time_cap+time*(VLOOKUP('6.Inland wetlands'!Q93,list!$I$48:$K$50,3,0)),time*(1-(VLOOKUP('6.Inland wetlands'!Q93,list!$I$48:$K$50,3,0))))</f>
        <v/>
      </c>
      <c r="AD309" s="3493">
        <f>MIN('Inl. wetlands'!S309,'Inl. wetlands'!T309)*time_tot+ABS('Inl. wetlands'!T309-'Inl. wetlands'!S309)*IF('Inl. wetlands'!T309&gt;'Inl. wetlands'!S309,time_cap+time*(VLOOKUP('6.Inland wetlands'!O93,list!$I$48:$K$50,3,0)),time*(1-(VLOOKUP('6.Inland wetlands'!O93,list!$I$48:$K$50,3,0))))</f>
        <v/>
      </c>
      <c r="AE309" s="3493">
        <f>MIN('Inl. wetlands'!S309,'Inl. wetlands'!U309)*time_tot+ABS('Inl. wetlands'!U309-'Inl. wetlands'!S309)*IF('Inl. wetlands'!U309&gt;'Inl. wetlands'!S309,time_cap+time*(VLOOKUP('6.Inland wetlands'!Q93,list!$I$48:$K$50,3,0)),time*(1-(VLOOKUP('6.Inland wetlands'!Q93,list!$I$48:$K$50,3,0))))</f>
        <v/>
      </c>
      <c r="AF309" s="3493">
        <f>MIN('Inl. wetlands'!V309,'Inl. wetlands'!W309)*time_tot+ABS('Inl. wetlands'!W309-'Inl. wetlands'!V309)*IF('Inl. wetlands'!W309&gt;'Inl. wetlands'!V309,time_cap+time*(VLOOKUP('6.Inland wetlands'!O93,list!$I$48:$K$50,3,0)),time*(1-(VLOOKUP('6.Inland wetlands'!O93,list!$I$48:$K$50,3,0))))</f>
        <v/>
      </c>
      <c r="AG309" s="3493">
        <f>MIN('Inl. wetlands'!V309,'Inl. wetlands'!X309)*time_tot+ABS('Inl. wetlands'!X309-'Inl. wetlands'!V309)*IF('Inl. wetlands'!X309&gt;'Inl. wetlands'!V309,time_cap+time*(VLOOKUP('6.Inland wetlands'!Q93,list!$I$48:$K$50,3,0)),time*(1-(VLOOKUP('6.Inland wetlands'!Q93,list!$I$48:$K$50,3,0))))</f>
        <v/>
      </c>
      <c r="AI309" s="1282">
        <f>SUM('Inl. wetlands'!AB301,'Inl. wetlands'!AD301,'Inl. wetlands'!AF301)+AB312+AD312+AF312</f>
        <v/>
      </c>
      <c r="AJ309" s="1283">
        <f>SUM('Inl. wetlands'!AC301,'Inl. wetlands'!AE301,'Inl. wetlands'!AG301)+AC312+AE312+AG312</f>
        <v/>
      </c>
      <c r="AK309" s="1284">
        <f>AJ309-AI309</f>
        <v/>
      </c>
    </row>
    <row r="310">
      <c r="A310" s="1493" t="inlineStr">
        <is>
          <t>S4</t>
        </is>
      </c>
      <c r="B310" s="1121">
        <f>D258</f>
        <v/>
      </c>
      <c r="C310" s="1121">
        <f>E258</f>
        <v/>
      </c>
      <c r="D310" s="992">
        <f>IF('6.Inland wetlands'!S94='6.Inland wetlands'!K94, 0, '6.Inland wetlands'!T94-'Inl. wetlands'!D196)</f>
        <v/>
      </c>
      <c r="E310" s="992">
        <f>E299</f>
        <v/>
      </c>
      <c r="F310" s="992">
        <f>IF('6.Inland wetlands'!S94='6.Inland wetlands'!K94, 0, '6.Inland wetlands'!U94-'Inl. wetlands'!F196)</f>
        <v/>
      </c>
      <c r="G310" s="992">
        <f>G299</f>
        <v/>
      </c>
      <c r="H310" s="1004">
        <f>IFERROR(IF($E258=" ",0,IF($D$249="Nutrient poor",INDEX(IPCC!$A$1910:$J$1921,MATCH(clim_moist,IPCC!$A$1910:$A$1921,0),MATCH($C310,IPCC!$A$1910:$J$1910,0)),INDEX(IPCC!$A$1928:$J$1939,MATCH(clim_moist,IPCC!$A$1928:$A$1939,0),MATCH($C310,IPCC!$A$1928:$J$1928,0)))),0)</f>
        <v/>
      </c>
      <c r="I310" s="1259">
        <f>IF('6.Inland wetlands'!$DY94="",'6.Inland wetlands'!$DX94,'6.Inland wetlands'!$DY94)</f>
        <v/>
      </c>
      <c r="J310" s="1004">
        <f>IFERROR(IF(C310="Please select",0,IF($D$249="Nutrient poor",INDEX(IPCC!$A$1964:$J$1975,MATCH(clim_moist,IPCC!$A$1964:$A$1975,0),MATCH($C310,IPCC!$A$1964:$J$1964,0)),INDEX(IPCC!$A$1982:$J$1993,MATCH(clim_moist,IPCC!$A$1982:$A$1993,0),MATCH($C310,IPCC!$A$1982:$J$1982,0)))),0)</f>
        <v/>
      </c>
      <c r="K310" s="1259">
        <f>IF('6.Inland wetlands'!$EA94="",'6.Inland wetlands'!$DZ94,'6.Inland wetlands'!$EA94)</f>
        <v/>
      </c>
      <c r="L310" s="1004">
        <f>IFERROR(IF(C310="Please select",0,INDEX(IPCC!$A$2000:$J$2011,MATCH(clim_moist,IPCC!$A$2000:$A$2011,0),MATCH($C310,IPCC!$A$2000:$J$2000,0))),0)</f>
        <v/>
      </c>
      <c r="M310" s="1259">
        <f>IF('6.Inland wetlands'!$EC94="",'6.Inland wetlands'!$EB94,'6.Inland wetlands'!$EC94)</f>
        <v/>
      </c>
      <c r="N310" s="1260">
        <f>IFERROR(IF(C310="Please select",0,INDEX(IPCC!$A$1946:$J$1957,MATCH(clim_moist,IPCC!$A$1946:$A$1957,0),MATCH($C310,IPCC!$A$1946:$J$1946,0))),0)</f>
        <v/>
      </c>
      <c r="O310" s="1259">
        <f>IF('6.Inland wetlands'!$EF94="",'6.Inland wetlands'!$EE94,'6.Inland wetlands'!$EF94)</f>
        <v/>
      </c>
      <c r="P310" s="3493" t="n">
        <v>0</v>
      </c>
      <c r="Q310" s="3493">
        <f>SUM('Inl. wetlands'!$I310,'Inl. wetlands'!$O310)*44/12*D310</f>
        <v/>
      </c>
      <c r="R310" s="1151">
        <f>SUM('Inl. wetlands'!$I310,'Inl. wetlands'!$O310)*44/12*F310</f>
        <v/>
      </c>
      <c r="S310" s="3493" t="n">
        <v>0</v>
      </c>
      <c r="T310" s="1151">
        <f>'Inl. wetlands'!$K310/1000*16/12*methane*D310</f>
        <v/>
      </c>
      <c r="U310" s="1151">
        <f>'Inl. wetlands'!$K310/1000*16/12*methane*F310</f>
        <v/>
      </c>
      <c r="V310" s="3493" t="n">
        <v>0</v>
      </c>
      <c r="W310" s="1151">
        <f>'Inl. wetlands'!$M310/1000*44/28*Nitrous*D310</f>
        <v/>
      </c>
      <c r="X310" s="3494">
        <f>'Inl. wetlands'!$M310/1000*44/28*Nitrous*F310</f>
        <v/>
      </c>
      <c r="AB310" s="3493">
        <f>MIN('Inl. wetlands'!P310,'Inl. wetlands'!Q310)*time_tot+ABS('Inl. wetlands'!Q310-'Inl. wetlands'!P310)*IF('Inl. wetlands'!Q310&gt;'Inl. wetlands'!P310,time_cap+time*(VLOOKUP('6.Inland wetlands'!O94,list!$I$48:$K$50,3,0)),time*(1-(VLOOKUP('6.Inland wetlands'!O94,list!$I$48:$K$50,3,0))))</f>
        <v/>
      </c>
      <c r="AC310" s="3493">
        <f>MIN('Inl. wetlands'!P310,'Inl. wetlands'!R310)*time_tot+ABS('Inl. wetlands'!R310-'Inl. wetlands'!P310)*IF('Inl. wetlands'!R310&gt;'Inl. wetlands'!P310,time_cap+time*(VLOOKUP('6.Inland wetlands'!Q94,list!$I$48:$K$50,3,0)),time*(1-(VLOOKUP('6.Inland wetlands'!Q94,list!$I$48:$K$50,3,0))))</f>
        <v/>
      </c>
      <c r="AD310" s="3493">
        <f>MIN('Inl. wetlands'!S310,'Inl. wetlands'!T310)*time_tot+ABS('Inl. wetlands'!T310-'Inl. wetlands'!S310)*IF('Inl. wetlands'!T310&gt;'Inl. wetlands'!S310,time_cap+time*(VLOOKUP('6.Inland wetlands'!O94,list!$I$48:$K$50,3,0)),time*(1-(VLOOKUP('6.Inland wetlands'!O94,list!$I$48:$K$50,3,0))))</f>
        <v/>
      </c>
      <c r="AE310" s="3493">
        <f>MIN('Inl. wetlands'!S310,'Inl. wetlands'!U310)*time_tot+ABS('Inl. wetlands'!U310-'Inl. wetlands'!S310)*IF('Inl. wetlands'!U310&gt;'Inl. wetlands'!S310,time_cap+time*(VLOOKUP('6.Inland wetlands'!Q94,list!$I$48:$K$50,3,0)),time*(1-(VLOOKUP('6.Inland wetlands'!Q94,list!$I$48:$K$50,3,0))))</f>
        <v/>
      </c>
      <c r="AF310" s="3493">
        <f>MIN('Inl. wetlands'!V310,'Inl. wetlands'!W310)*time_tot+ABS('Inl. wetlands'!W310-'Inl. wetlands'!V310)*IF('Inl. wetlands'!W310&gt;'Inl. wetlands'!V310,time_cap+time*(VLOOKUP('6.Inland wetlands'!O94,list!$I$48:$K$50,3,0)),time*(1-(VLOOKUP('6.Inland wetlands'!O94,list!$I$48:$K$50,3,0))))</f>
        <v/>
      </c>
      <c r="AG310" s="3493">
        <f>MIN('Inl. wetlands'!V310,'Inl. wetlands'!X310)*time_tot+ABS('Inl. wetlands'!X310-'Inl. wetlands'!V310)*IF('Inl. wetlands'!X310&gt;'Inl. wetlands'!V310,time_cap+time*(VLOOKUP('6.Inland wetlands'!Q94,list!$I$48:$K$50,3,0)),time*(1-(VLOOKUP('6.Inland wetlands'!Q94,list!$I$48:$K$50,3,0))))</f>
        <v/>
      </c>
    </row>
    <row r="311">
      <c r="A311" s="1493" t="inlineStr">
        <is>
          <t>S5</t>
        </is>
      </c>
      <c r="B311" s="1121">
        <f>D259</f>
        <v/>
      </c>
      <c r="C311" s="1121">
        <f>E259</f>
        <v/>
      </c>
      <c r="D311" s="992">
        <f>IF('6.Inland wetlands'!S95='6.Inland wetlands'!K95, 0, '6.Inland wetlands'!T95-'Inl. wetlands'!D197)</f>
        <v/>
      </c>
      <c r="E311" s="992">
        <f>E300</f>
        <v/>
      </c>
      <c r="F311" s="992">
        <f>IF('6.Inland wetlands'!S95='6.Inland wetlands'!K95, 0, '6.Inland wetlands'!U95-'Inl. wetlands'!F197)</f>
        <v/>
      </c>
      <c r="G311" s="992">
        <f>G300</f>
        <v/>
      </c>
      <c r="H311" s="1004">
        <f>IFERROR(IF($E259=" ",0,IF($D$249="Nutrient poor",INDEX(IPCC!$A$1910:$J$1921,MATCH(clim_moist,IPCC!$A$1910:$A$1921,0),MATCH($C311,IPCC!$A$1910:$J$1910,0)),INDEX(IPCC!$A$1928:$J$1939,MATCH(clim_moist,IPCC!$A$1928:$A$1939,0),MATCH($C311,IPCC!$A$1928:$J$1928,0)))),0)</f>
        <v/>
      </c>
      <c r="I311" s="1259">
        <f>IF('6.Inland wetlands'!$DY95="",'6.Inland wetlands'!$DX95,'6.Inland wetlands'!$DY95)</f>
        <v/>
      </c>
      <c r="J311" s="1004">
        <f>IFERROR(IF(C311="Please select",0,IF($D$249="Nutrient poor",INDEX(IPCC!$A$1964:$J$1975,MATCH(clim_moist,IPCC!$A$1964:$A$1975,0),MATCH($C311,IPCC!$A$1964:$J$1964,0)),INDEX(IPCC!$A$1982:$J$1993,MATCH(clim_moist,IPCC!$A$1982:$A$1993,0),MATCH($C311,IPCC!$A$1982:$J$1982,0)))),0)</f>
        <v/>
      </c>
      <c r="K311" s="1259">
        <f>IF('6.Inland wetlands'!$EA95="",'6.Inland wetlands'!$DZ95,'6.Inland wetlands'!$EA95)</f>
        <v/>
      </c>
      <c r="L311" s="1004">
        <f>IFERROR(IF(C311="Please select",0,INDEX(IPCC!$A$2000:$J$2011,MATCH(clim_moist,IPCC!$A$2000:$A$2011,0),MATCH($C311,IPCC!$A$2000:$J$2000,0))),0)</f>
        <v/>
      </c>
      <c r="M311" s="1259">
        <f>IF('6.Inland wetlands'!$EC95="",'6.Inland wetlands'!$EB95,'6.Inland wetlands'!$EC95)</f>
        <v/>
      </c>
      <c r="N311" s="1260">
        <f>IFERROR(IF(C311="Please select",0,INDEX(IPCC!$A$1946:$J$1957,MATCH(clim_moist,IPCC!$A$1946:$A$1957,0),MATCH($C311,IPCC!$A$1946:$J$1946,0))),0)</f>
        <v/>
      </c>
      <c r="O311" s="1259">
        <f>IF('6.Inland wetlands'!$EF95="",'6.Inland wetlands'!$EE95,'6.Inland wetlands'!$EF95)</f>
        <v/>
      </c>
      <c r="P311" s="3493" t="n">
        <v>0</v>
      </c>
      <c r="Q311" s="3493">
        <f>SUM('Inl. wetlands'!$I311,'Inl. wetlands'!$O311)*44/12*D311</f>
        <v/>
      </c>
      <c r="R311" s="1151">
        <f>SUM('Inl. wetlands'!$I311,'Inl. wetlands'!$O311)*44/12*F311</f>
        <v/>
      </c>
      <c r="S311" s="3493" t="n">
        <v>0</v>
      </c>
      <c r="T311" s="1151">
        <f>'Inl. wetlands'!$K311/1000*16/12*methane*D311</f>
        <v/>
      </c>
      <c r="U311" s="1151">
        <f>'Inl. wetlands'!$K311/1000*16/12*methane*F311</f>
        <v/>
      </c>
      <c r="V311" s="3493" t="n">
        <v>0</v>
      </c>
      <c r="W311" s="1151">
        <f>'Inl. wetlands'!$M311/1000*44/28*Nitrous*D311</f>
        <v/>
      </c>
      <c r="X311" s="3494">
        <f>'Inl. wetlands'!$M311/1000*44/28*Nitrous*F311</f>
        <v/>
      </c>
      <c r="AB311" s="3493">
        <f>MIN('Inl. wetlands'!P311,'Inl. wetlands'!Q311)*time_tot+ABS('Inl. wetlands'!Q311-'Inl. wetlands'!P311)*IF('Inl. wetlands'!Q311&gt;'Inl. wetlands'!P311,time_cap+time*(VLOOKUP('6.Inland wetlands'!O95,list!$I$48:$K$50,3,0)),time*(1-(VLOOKUP('6.Inland wetlands'!O95,list!$I$48:$K$50,3,0))))</f>
        <v/>
      </c>
      <c r="AC311" s="3493">
        <f>MIN('Inl. wetlands'!P311,'Inl. wetlands'!R311)*time_tot+ABS('Inl. wetlands'!R311-'Inl. wetlands'!P311)*IF('Inl. wetlands'!R311&gt;'Inl. wetlands'!P311,time_cap+time*(VLOOKUP('6.Inland wetlands'!Q95,list!$I$48:$K$50,3,0)),time*(1-(VLOOKUP('6.Inland wetlands'!Q95,list!$I$48:$K$50,3,0))))</f>
        <v/>
      </c>
      <c r="AD311" s="3493">
        <f>MIN('Inl. wetlands'!S311,'Inl. wetlands'!T311)*time_tot+ABS('Inl. wetlands'!T311-'Inl. wetlands'!S311)*IF('Inl. wetlands'!T311&gt;'Inl. wetlands'!S311,time_cap+time*(VLOOKUP('6.Inland wetlands'!O95,list!$I$48:$K$50,3,0)),time*(1-(VLOOKUP('6.Inland wetlands'!O95,list!$I$48:$K$50,3,0))))</f>
        <v/>
      </c>
      <c r="AE311" s="3493">
        <f>MIN('Inl. wetlands'!S311,'Inl. wetlands'!U311)*time_tot+ABS('Inl. wetlands'!U311-'Inl. wetlands'!S311)*IF('Inl. wetlands'!U311&gt;'Inl. wetlands'!S311,time_cap+time*(VLOOKUP('6.Inland wetlands'!Q95,list!$I$48:$K$50,3,0)),time*(1-(VLOOKUP('6.Inland wetlands'!Q95,list!$I$48:$K$50,3,0))))</f>
        <v/>
      </c>
      <c r="AF311" s="3493">
        <f>MIN('Inl. wetlands'!V311,'Inl. wetlands'!W311)*time_tot+ABS('Inl. wetlands'!W311-'Inl. wetlands'!V311)*IF('Inl. wetlands'!W311&gt;'Inl. wetlands'!V311,time_cap+time*(VLOOKUP('6.Inland wetlands'!O95,list!$I$48:$K$50,3,0)),time*(1-(VLOOKUP('6.Inland wetlands'!O95,list!$I$48:$K$50,3,0))))</f>
        <v/>
      </c>
      <c r="AG311" s="3493">
        <f>MIN('Inl. wetlands'!V311,'Inl. wetlands'!X311)*time_tot+ABS('Inl. wetlands'!X311-'Inl. wetlands'!V311)*IF('Inl. wetlands'!X311&gt;'Inl. wetlands'!V311,time_cap+time*(VLOOKUP('6.Inland wetlands'!Q95,list!$I$48:$K$50,3,0)),time*(1-(VLOOKUP('6.Inland wetlands'!Q95,list!$I$48:$K$50,3,0))))</f>
        <v/>
      </c>
    </row>
    <row r="312">
      <c r="A312" s="1493" t="inlineStr">
        <is>
          <t>S6</t>
        </is>
      </c>
      <c r="B312" s="1121">
        <f>D260</f>
        <v/>
      </c>
      <c r="C312" s="1121">
        <f>E260</f>
        <v/>
      </c>
      <c r="D312" s="992">
        <f>IF('6.Inland wetlands'!S96='6.Inland wetlands'!K96, 0, '6.Inland wetlands'!T96-'Inl. wetlands'!D198)</f>
        <v/>
      </c>
      <c r="E312" s="992">
        <f>E301</f>
        <v/>
      </c>
      <c r="F312" s="992">
        <f>IF('6.Inland wetlands'!S96='6.Inland wetlands'!K96, 0, '6.Inland wetlands'!U96-'Inl. wetlands'!F198)</f>
        <v/>
      </c>
      <c r="G312" s="992">
        <f>G301</f>
        <v/>
      </c>
      <c r="H312" s="1004">
        <f>IFERROR(IF($E260=" ",0,IF($D$249="Nutrient poor",INDEX(IPCC!$A$1910:$J$1921,MATCH(clim_moist,IPCC!$A$1910:$A$1921,0),MATCH($C312,IPCC!$A$1910:$J$1910,0)),INDEX(IPCC!$A$1928:$J$1939,MATCH(clim_moist,IPCC!$A$1928:$A$1939,0),MATCH($C312,IPCC!$A$1928:$J$1928,0)))),0)</f>
        <v/>
      </c>
      <c r="I312" s="1259">
        <f>IF('6.Inland wetlands'!$DY96="",'6.Inland wetlands'!$DX96,'6.Inland wetlands'!$DY96)</f>
        <v/>
      </c>
      <c r="J312" s="1004">
        <f>IFERROR(IF(C312="Please select",0,IF($D$249="Nutrient poor",INDEX(IPCC!$A$1964:$J$1975,MATCH(clim_moist,IPCC!$A$1964:$A$1975,0),MATCH($C312,IPCC!$A$1964:$J$1964,0)),INDEX(IPCC!$A$1982:$J$1993,MATCH(clim_moist,IPCC!$A$1982:$A$1993,0),MATCH($C312,IPCC!$A$1982:$J$1982,0)))),0)</f>
        <v/>
      </c>
      <c r="K312" s="1259">
        <f>IF('6.Inland wetlands'!$EA96="",'6.Inland wetlands'!$DZ96,'6.Inland wetlands'!$EA96)</f>
        <v/>
      </c>
      <c r="L312" s="1004">
        <f>IFERROR(IF(C312="Please select",0,INDEX(IPCC!$A$2000:$J$2011,MATCH(clim_moist,IPCC!$A$2000:$A$2011,0),MATCH($C312,IPCC!$A$2000:$J$2000,0))),0)</f>
        <v/>
      </c>
      <c r="M312" s="1259">
        <f>IF('6.Inland wetlands'!$EC96="",'6.Inland wetlands'!$EB96,'6.Inland wetlands'!$EC96)</f>
        <v/>
      </c>
      <c r="N312" s="1260">
        <f>IFERROR(IF(C312="Please select",0,INDEX(IPCC!$A$1946:$J$1957,MATCH(clim_moist,IPCC!$A$1946:$A$1957,0),MATCH($C312,IPCC!$A$1946:$J$1946,0))),0)</f>
        <v/>
      </c>
      <c r="O312" s="1259">
        <f>IF('6.Inland wetlands'!$EF96="",'6.Inland wetlands'!$EE96,'6.Inland wetlands'!$EF96)</f>
        <v/>
      </c>
      <c r="P312" s="3493" t="n">
        <v>0</v>
      </c>
      <c r="Q312" s="3493">
        <f>SUM('Inl. wetlands'!$I312,'Inl. wetlands'!$O312)*44/12*D312</f>
        <v/>
      </c>
      <c r="R312" s="1151">
        <f>SUM('Inl. wetlands'!$I312,'Inl. wetlands'!$O312)*44/12*F312</f>
        <v/>
      </c>
      <c r="S312" s="3493" t="n">
        <v>0</v>
      </c>
      <c r="T312" s="1151">
        <f>'Inl. wetlands'!$K312/1000*16/12*methane*D312</f>
        <v/>
      </c>
      <c r="U312" s="1151">
        <f>'Inl. wetlands'!$K312/1000*16/12*methane*F312</f>
        <v/>
      </c>
      <c r="V312" s="3493" t="n">
        <v>0</v>
      </c>
      <c r="W312" s="1151">
        <f>'Inl. wetlands'!$M312/1000*44/28*Nitrous*D312</f>
        <v/>
      </c>
      <c r="X312" s="3494">
        <f>'Inl. wetlands'!$M312/1000*44/28*Nitrous*F312</f>
        <v/>
      </c>
      <c r="AB312" s="3493">
        <f>MIN('Inl. wetlands'!P312,'Inl. wetlands'!Q312)*time_tot+ABS('Inl. wetlands'!Q312-'Inl. wetlands'!P312)*IF('Inl. wetlands'!Q312&gt;'Inl. wetlands'!P312,time_cap+time*(VLOOKUP('6.Inland wetlands'!O96,list!$I$48:$K$50,3,0)),time*(1-(VLOOKUP('6.Inland wetlands'!O96,list!$I$48:$K$50,3,0))))</f>
        <v/>
      </c>
      <c r="AC312" s="3493">
        <f>MIN('Inl. wetlands'!P312,'Inl. wetlands'!R312)*time_tot+ABS('Inl. wetlands'!R312-'Inl. wetlands'!P312)*IF('Inl. wetlands'!R312&gt;'Inl. wetlands'!P312,time_cap+time*(VLOOKUP('6.Inland wetlands'!Q96,list!$I$48:$K$50,3,0)),time*(1-(VLOOKUP('6.Inland wetlands'!Q96,list!$I$48:$K$50,3,0))))</f>
        <v/>
      </c>
      <c r="AD312" s="3493">
        <f>MIN('Inl. wetlands'!S312,'Inl. wetlands'!T312)*time_tot+ABS('Inl. wetlands'!T312-'Inl. wetlands'!S312)*IF('Inl. wetlands'!T312&gt;'Inl. wetlands'!S312,time_cap+time*(VLOOKUP('6.Inland wetlands'!O96,list!$I$48:$K$50,3,0)),time*(1-(VLOOKUP('6.Inland wetlands'!O96,list!$I$48:$K$50,3,0))))</f>
        <v/>
      </c>
      <c r="AE312" s="3493">
        <f>MIN('Inl. wetlands'!S312,'Inl. wetlands'!U312)*time_tot+ABS('Inl. wetlands'!U312-'Inl. wetlands'!S312)*IF('Inl. wetlands'!U312&gt;'Inl. wetlands'!S312,time_cap+time*(VLOOKUP('6.Inland wetlands'!Q96,list!$I$48:$K$50,3,0)),time*(1-(VLOOKUP('6.Inland wetlands'!Q96,list!$I$48:$K$50,3,0))))</f>
        <v/>
      </c>
      <c r="AF312" s="3493">
        <f>MIN('Inl. wetlands'!V312,'Inl. wetlands'!W312)*time_tot+ABS('Inl. wetlands'!W312-'Inl. wetlands'!V312)*IF('Inl. wetlands'!W312&gt;'Inl. wetlands'!V312,time_cap+time*(VLOOKUP('6.Inland wetlands'!O96,list!$I$48:$K$50,3,0)),time*(1-(VLOOKUP('6.Inland wetlands'!O96,list!$I$48:$K$50,3,0))))</f>
        <v/>
      </c>
      <c r="AG312" s="3493">
        <f>MIN('Inl. wetlands'!V312,'Inl. wetlands'!X312)*time_tot+ABS('Inl. wetlands'!X312-'Inl. wetlands'!V312)*IF('Inl. wetlands'!X312&gt;'Inl. wetlands'!V312,time_cap+time*(VLOOKUP('6.Inland wetlands'!Q96,list!$I$48:$K$50,3,0)),time*(1-(VLOOKUP('6.Inland wetlands'!Q96,list!$I$48:$K$50,3,0))))</f>
        <v/>
      </c>
      <c r="AX312" s="1461">
        <f>SUM(AX297:AX302)</f>
        <v/>
      </c>
      <c r="AY312" s="1461">
        <f>SUM(AY297:AY302)</f>
        <v/>
      </c>
      <c r="AZ312" s="1461">
        <f>SUM(AZ297:AZ302)</f>
        <v/>
      </c>
      <c r="BA312" s="1461">
        <f>SUM(BA297:BA302)</f>
        <v/>
      </c>
      <c r="BB312" s="1461">
        <f>SUM(BB297:BB302)</f>
        <v/>
      </c>
      <c r="BC312" s="1461">
        <f>SUM(BC297:BC302)</f>
        <v/>
      </c>
      <c r="BD312" s="1461" t="n"/>
      <c r="BE312" s="1461" t="n"/>
      <c r="BF312" s="1461" t="n"/>
      <c r="BG312" s="1461" t="n"/>
    </row>
    <row r="313">
      <c r="AY313" s="1451">
        <f>AY312-AX312</f>
        <v/>
      </c>
      <c r="AZ313" s="1451" t="n"/>
      <c r="BA313" s="1451">
        <f>BA312-AZ312</f>
        <v/>
      </c>
      <c r="BB313" s="1451" t="n"/>
      <c r="BC313" s="1451">
        <f>BC312-BB312</f>
        <v/>
      </c>
      <c r="BE313" s="1451" t="n"/>
      <c r="BF313" s="1451" t="n"/>
      <c r="BG313" s="1451" t="n"/>
    </row>
    <row r="314" ht="16" customHeight="1">
      <c r="AH314" s="1143" t="inlineStr">
        <is>
          <t>Total non forest land use change (tCO2 eq)</t>
        </is>
      </c>
      <c r="AI314" s="1192">
        <f>SUM(AI304:AI309,AI277:AI282,AI255:AI260,AI224:AI229)</f>
        <v/>
      </c>
      <c r="AJ314" s="1192">
        <f>SUM(AJ304:AJ309,AJ277:AJ282,AJ255:AJ260,AJ224:AJ229)</f>
        <v/>
      </c>
      <c r="AK314" s="1192">
        <f>SUM(AK304:AK309,AK277:AK282,AK255:AK260,AK224:AK229)</f>
        <v/>
      </c>
      <c r="AX314" s="1445" t="inlineStr">
        <is>
          <t>TEST TIER 2</t>
        </is>
      </c>
      <c r="AY314" s="1445">
        <f>SUM('6.Inland wetlands'!CG80:CG85,'6.Inland wetlands'!CI80:CI85,'6.Inland wetlands'!CK80:CK85,'6.Inland wetlands'!CN80:CN85,'6.Inland wetlands'!CP80:CP85)</f>
        <v/>
      </c>
      <c r="AZ314" s="973" t="inlineStr">
        <is>
          <t>Drainage</t>
        </is>
      </c>
    </row>
    <row r="315" ht="16" customHeight="1">
      <c r="E315" s="4027" t="inlineStr">
        <is>
          <t>Rewetted areas</t>
        </is>
      </c>
      <c r="F315" s="4361">
        <f>MAX(G315:H315)</f>
        <v/>
      </c>
      <c r="G315" s="4361">
        <f>SUM(D296:D301)+SUM(D307:D312)</f>
        <v/>
      </c>
      <c r="H315" s="4361">
        <f>SUM(F296:F301)+SUM(F307:F312)</f>
        <v/>
      </c>
      <c r="S315" s="1231" t="n"/>
      <c r="T315" s="1231" t="n"/>
      <c r="U315" s="1231" t="n"/>
      <c r="V315" s="1231" t="n"/>
      <c r="X315" s="1231" t="n"/>
      <c r="AX315" s="1445" t="inlineStr">
        <is>
          <t>TEST TIER 2</t>
        </is>
      </c>
      <c r="AY315" s="1445">
        <f>+SUM('6.Inland wetlands'!DY91:DY96,'6.Inland wetlands'!EA91:EA96,'6.Inland wetlands'!EC91:EC96,'6.Inland wetlands'!EF91:EF96)</f>
        <v/>
      </c>
      <c r="AZ315" s="973" t="inlineStr">
        <is>
          <t>Rewetting</t>
        </is>
      </c>
    </row>
    <row r="317" ht="65.25" customFormat="1" customHeight="1" s="975">
      <c r="B317" s="975" t="inlineStr">
        <is>
          <t>6.2 Land management</t>
        </is>
      </c>
      <c r="J317" s="1123" t="n"/>
      <c r="K317" s="1123" t="n"/>
      <c r="L317" s="1123" t="n"/>
      <c r="M317" s="1123" t="n"/>
      <c r="N317" s="1123" t="n"/>
    </row>
    <row r="319" ht="42.75" customFormat="1" customHeight="1" s="975">
      <c r="B319" s="975" t="inlineStr">
        <is>
          <t>6.2.1 Forest management</t>
        </is>
      </c>
      <c r="J319" s="1123" t="n"/>
      <c r="K319" s="1123" t="n"/>
      <c r="L319" s="1123" t="n"/>
      <c r="M319" s="1123" t="n"/>
      <c r="N319" s="1123" t="n"/>
    </row>
    <row r="321" ht="30.75" customFormat="1" customHeight="1" s="1089">
      <c r="B321" s="1112" t="inlineStr">
        <is>
          <t>Emissions from biomass loss and gain and biomass burning</t>
        </is>
      </c>
      <c r="C321" s="1113" t="n"/>
      <c r="D321" s="1113" t="n"/>
      <c r="E321" s="1113" t="n"/>
      <c r="F321" s="1113" t="n"/>
      <c r="G321" s="1113" t="n"/>
      <c r="H321" s="1113" t="n"/>
      <c r="I321" s="1113" t="n"/>
      <c r="J321" s="1113" t="n"/>
      <c r="K321" s="1113" t="n"/>
      <c r="L321" s="1113" t="n"/>
      <c r="M321" s="1113" t="n"/>
      <c r="N321" s="1113" t="n"/>
      <c r="O321" s="1113" t="n"/>
      <c r="P321" s="1113" t="n"/>
      <c r="Q321" s="1113" t="n"/>
      <c r="R321" s="1113" t="n"/>
      <c r="S321" s="1113" t="n"/>
      <c r="T321" s="1113" t="n"/>
      <c r="U321" s="1113" t="n"/>
      <c r="V321" s="1113" t="n"/>
      <c r="W321" s="1113" t="n"/>
      <c r="X321" s="1113" t="n"/>
      <c r="Y321" s="1113" t="n"/>
      <c r="Z321" s="1113" t="n"/>
      <c r="AA321" s="1113" t="n"/>
      <c r="AB321" s="1113" t="n"/>
      <c r="AC321" s="1113" t="n"/>
      <c r="AD321" s="1113" t="n"/>
      <c r="AE321" s="1113" t="n"/>
      <c r="AF321" s="1113" t="n"/>
      <c r="AG321" s="1113" t="n"/>
      <c r="AH321" s="1113" t="n"/>
      <c r="AI321" s="1113" t="n"/>
      <c r="AJ321" s="1113" t="n"/>
      <c r="AK321" s="1113" t="n"/>
      <c r="AX321" s="1264" t="n"/>
      <c r="AY321" s="1264" t="n"/>
      <c r="AZ321" s="1264" t="n"/>
      <c r="BA321" s="1264" t="n"/>
      <c r="BB321" s="1264" t="n"/>
      <c r="BC321" s="1264" t="n"/>
      <c r="BD321" s="1264" t="n"/>
      <c r="BE321" s="1264" t="n"/>
      <c r="BF321" s="1264" t="n"/>
      <c r="BG321" s="1264" t="n"/>
    </row>
    <row r="323">
      <c r="K323" s="1115" t="inlineStr">
        <is>
          <t xml:space="preserve">Degradation level </t>
        </is>
      </c>
      <c r="L323" s="1115" t="n"/>
      <c r="M323" s="1115" t="inlineStr">
        <is>
          <t xml:space="preserve">Degradation level </t>
        </is>
      </c>
      <c r="N323" s="1116" t="n"/>
      <c r="O323" s="1115" t="inlineStr">
        <is>
          <t xml:space="preserve">Degradation level </t>
        </is>
      </c>
      <c r="P323" s="1116" t="n"/>
      <c r="Q323" s="1115" t="inlineStr">
        <is>
          <t>Fire periodicity</t>
        </is>
      </c>
      <c r="R323" s="1116" t="n"/>
      <c r="S323" s="1115" t="inlineStr">
        <is>
          <t xml:space="preserve">Biomass burnt </t>
        </is>
      </c>
      <c r="T323" s="1116" t="n"/>
      <c r="U323" s="1545" t="inlineStr">
        <is>
          <t>Total biomass (AGB + BGB)</t>
        </is>
      </c>
      <c r="V323" s="1116" t="n"/>
      <c r="W323" s="1116" t="n"/>
      <c r="X323" s="1115" t="inlineStr">
        <is>
          <t>DOM (Dead wood + litter)</t>
        </is>
      </c>
      <c r="Y323" s="1116" t="n"/>
      <c r="Z323" s="1116" t="n"/>
      <c r="AA323" s="1546" t="inlineStr">
        <is>
          <t>MB</t>
        </is>
      </c>
      <c r="AB323" s="1547" t="inlineStr">
        <is>
          <t>MB</t>
        </is>
      </c>
      <c r="AC323" s="1548" t="inlineStr">
        <is>
          <t>MB</t>
        </is>
      </c>
      <c r="AD323" s="1549" t="inlineStr">
        <is>
          <t>non-CO2 gases from Fire</t>
        </is>
      </c>
      <c r="AE323" s="1549" t="n"/>
      <c r="AF323" s="1549" t="n"/>
      <c r="AG323" s="1549" t="n"/>
      <c r="AH323" s="1549" t="n"/>
      <c r="AI323" s="1549" t="n"/>
    </row>
    <row r="324">
      <c r="B324" s="973" t="inlineStr">
        <is>
          <t>Type of forest</t>
        </is>
      </c>
      <c r="C324" s="1236" t="inlineStr">
        <is>
          <t xml:space="preserve">Above-ground </t>
        </is>
      </c>
      <c r="D324" s="1237" t="n"/>
      <c r="E324" s="1236" t="inlineStr">
        <is>
          <t xml:space="preserve">Below-ground </t>
        </is>
      </c>
      <c r="F324" s="1237" t="n"/>
      <c r="G324" s="1238" t="inlineStr">
        <is>
          <t>Litter</t>
        </is>
      </c>
      <c r="H324" s="1237" t="n"/>
      <c r="I324" s="1236" t="inlineStr">
        <is>
          <t>Dead wood</t>
        </is>
      </c>
      <c r="J324" s="1237" t="n"/>
      <c r="K324" s="1550" t="n"/>
      <c r="L324" s="1116" t="n"/>
      <c r="M324" s="1550" t="n"/>
      <c r="N324" s="1116" t="n"/>
      <c r="O324" s="1550" t="n"/>
      <c r="P324" s="1116" t="n"/>
      <c r="Q324" s="1115" t="n"/>
      <c r="R324" s="1115" t="n"/>
      <c r="S324" s="1115" t="n"/>
      <c r="T324" s="1115" t="n"/>
      <c r="U324" s="1234" t="inlineStr">
        <is>
          <t>of degraded forest</t>
        </is>
      </c>
      <c r="V324" s="1116" t="n"/>
      <c r="W324" s="1116" t="n"/>
      <c r="X324" s="1545" t="inlineStr">
        <is>
          <t>of degraded forest</t>
        </is>
      </c>
      <c r="Y324" s="1116" t="n"/>
      <c r="Z324" s="1116" t="n"/>
      <c r="AA324" s="1546" t="n"/>
      <c r="AB324" s="1551" t="n"/>
      <c r="AC324" s="1548" t="n"/>
      <c r="AD324" s="1547" t="inlineStr">
        <is>
          <t>Without</t>
        </is>
      </c>
      <c r="AE324" s="1547" t="n"/>
      <c r="AF324" s="1547" t="n"/>
      <c r="AG324" s="1552" t="inlineStr">
        <is>
          <t>With</t>
        </is>
      </c>
      <c r="AH324" s="1552" t="n"/>
      <c r="AI324" s="1552" t="n"/>
    </row>
    <row r="325" ht="18" customHeight="1">
      <c r="C325" s="1116" t="inlineStr">
        <is>
          <t>tC/ha</t>
        </is>
      </c>
      <c r="D325" s="1116" t="n"/>
      <c r="E325" s="1116" t="inlineStr">
        <is>
          <t>tC/ha</t>
        </is>
      </c>
      <c r="F325" s="1116" t="n"/>
      <c r="G325" s="1116" t="inlineStr">
        <is>
          <t>tC/ha</t>
        </is>
      </c>
      <c r="H325" s="1116" t="n"/>
      <c r="I325" s="1116" t="inlineStr">
        <is>
          <t>tC/ha</t>
        </is>
      </c>
      <c r="J325" s="1116" t="n"/>
      <c r="K325" s="1546" t="inlineStr">
        <is>
          <t>START</t>
        </is>
      </c>
      <c r="L325" s="1546" t="inlineStr">
        <is>
          <t>biomass lost</t>
        </is>
      </c>
      <c r="M325" s="1547" t="inlineStr">
        <is>
          <t>Without</t>
        </is>
      </c>
      <c r="N325" s="1547" t="inlineStr">
        <is>
          <t>biomass lost</t>
        </is>
      </c>
      <c r="O325" s="1548" t="inlineStr">
        <is>
          <t>With</t>
        </is>
      </c>
      <c r="P325" s="1548" t="inlineStr">
        <is>
          <t>biomass lost</t>
        </is>
      </c>
      <c r="Q325" s="1547" t="inlineStr">
        <is>
          <t>Without</t>
        </is>
      </c>
      <c r="R325" s="1548" t="inlineStr">
        <is>
          <t>With</t>
        </is>
      </c>
      <c r="S325" s="1547" t="inlineStr">
        <is>
          <t>Without</t>
        </is>
      </c>
      <c r="T325" s="1548" t="inlineStr">
        <is>
          <t>With</t>
        </is>
      </c>
      <c r="U325" s="1546" t="inlineStr">
        <is>
          <t>START</t>
        </is>
      </c>
      <c r="V325" s="1547" t="inlineStr">
        <is>
          <t>Without</t>
        </is>
      </c>
      <c r="W325" s="1548" t="inlineStr">
        <is>
          <t>With</t>
        </is>
      </c>
      <c r="X325" s="1546" t="inlineStr">
        <is>
          <t>START</t>
        </is>
      </c>
      <c r="Y325" s="1551" t="inlineStr">
        <is>
          <t>Without</t>
        </is>
      </c>
      <c r="Z325" s="1548" t="inlineStr">
        <is>
          <t>With</t>
        </is>
      </c>
      <c r="AA325" s="1546" t="inlineStr">
        <is>
          <t>START</t>
        </is>
      </c>
      <c r="AB325" s="1547" t="inlineStr">
        <is>
          <t>Without</t>
        </is>
      </c>
      <c r="AC325" s="1548" t="inlineStr">
        <is>
          <t>With</t>
        </is>
      </c>
      <c r="AD325" s="1553" t="inlineStr">
        <is>
          <t>CH4</t>
        </is>
      </c>
      <c r="AE325" s="1553" t="inlineStr">
        <is>
          <t>N2O</t>
        </is>
      </c>
      <c r="AF325" s="1553" t="inlineStr">
        <is>
          <t>Total</t>
        </is>
      </c>
      <c r="AG325" s="1552" t="inlineStr">
        <is>
          <t>CH4</t>
        </is>
      </c>
      <c r="AH325" s="1552" t="inlineStr">
        <is>
          <t>N2O</t>
        </is>
      </c>
      <c r="AI325" s="1552" t="inlineStr">
        <is>
          <t>Total</t>
        </is>
      </c>
    </row>
    <row r="326">
      <c r="C326" s="1239" t="inlineStr">
        <is>
          <t>IPCC</t>
        </is>
      </c>
      <c r="D326" s="1240">
        <f>I295</f>
        <v/>
      </c>
      <c r="E326" s="1239">
        <f>C326</f>
        <v/>
      </c>
      <c r="F326" s="1240">
        <f>D326</f>
        <v/>
      </c>
      <c r="G326" s="1239">
        <f>E326</f>
        <v/>
      </c>
      <c r="H326" s="1240">
        <f>F326</f>
        <v/>
      </c>
      <c r="I326" s="1239">
        <f>G326</f>
        <v/>
      </c>
      <c r="J326" s="1240">
        <f>H326</f>
        <v/>
      </c>
      <c r="K326" s="1546" t="inlineStr">
        <is>
          <t>Description</t>
        </is>
      </c>
      <c r="L326" s="1546" t="inlineStr">
        <is>
          <t xml:space="preserve">% </t>
        </is>
      </c>
      <c r="M326" s="1547" t="inlineStr">
        <is>
          <t>Description</t>
        </is>
      </c>
      <c r="N326" s="1547" t="inlineStr">
        <is>
          <t xml:space="preserve">% </t>
        </is>
      </c>
      <c r="O326" s="1548" t="inlineStr">
        <is>
          <t>Description</t>
        </is>
      </c>
      <c r="P326" s="1548" t="inlineStr">
        <is>
          <t xml:space="preserve">% </t>
        </is>
      </c>
      <c r="Q326" s="1554" t="inlineStr">
        <is>
          <t>(in years)</t>
        </is>
      </c>
      <c r="R326" s="1555" t="inlineStr">
        <is>
          <t>(in years)</t>
        </is>
      </c>
      <c r="S326" s="1554" t="inlineStr">
        <is>
          <t>(in %)</t>
        </is>
      </c>
      <c r="T326" s="1556" t="inlineStr">
        <is>
          <t>(in %)</t>
        </is>
      </c>
      <c r="U326" s="1546" t="inlineStr">
        <is>
          <t>t C/ha</t>
        </is>
      </c>
      <c r="V326" s="1547" t="inlineStr">
        <is>
          <t>t C/ha</t>
        </is>
      </c>
      <c r="W326" s="1548" t="inlineStr">
        <is>
          <t>t C/ha</t>
        </is>
      </c>
      <c r="X326" s="1546" t="inlineStr">
        <is>
          <t>t C/ha</t>
        </is>
      </c>
      <c r="Y326" s="1551" t="inlineStr">
        <is>
          <t>t C/ha</t>
        </is>
      </c>
      <c r="Z326" s="1548" t="inlineStr">
        <is>
          <t>t C/ha</t>
        </is>
      </c>
      <c r="AA326" s="1546" t="inlineStr">
        <is>
          <t>t C/ha</t>
        </is>
      </c>
      <c r="AB326" s="1547" t="inlineStr">
        <is>
          <t>t C/ha</t>
        </is>
      </c>
      <c r="AC326" s="1548" t="inlineStr">
        <is>
          <t>t C/ha</t>
        </is>
      </c>
      <c r="AD326" s="1557" t="inlineStr">
        <is>
          <t>kgCH4/ha</t>
        </is>
      </c>
      <c r="AE326" s="1557" t="inlineStr">
        <is>
          <t>kgN2O/ha</t>
        </is>
      </c>
      <c r="AF326" s="1557" t="inlineStr">
        <is>
          <t>tCO2 eq/ha</t>
        </is>
      </c>
      <c r="AG326" s="1558" t="inlineStr">
        <is>
          <t>kgCH4/ha</t>
        </is>
      </c>
      <c r="AH326" s="1558" t="inlineStr">
        <is>
          <t>kgN2O/ha</t>
        </is>
      </c>
      <c r="AI326" s="1558" t="inlineStr">
        <is>
          <t>tCO2 eq/ha</t>
        </is>
      </c>
    </row>
    <row r="327">
      <c r="B327" s="973">
        <f>'6.Inland wetlands'!C118</f>
        <v/>
      </c>
      <c r="C327" s="4718">
        <f>IF($B327= "Please select", 0, IF($B327="Mangrove Forest",VLOOKUP(clim_moist,IPCC!$A$1502:$G$1510,4,FALSE),INDEX(IPCC!$B$591:$AK$606,MATCH(continent_selected,IPCC!$A$591:$A$606,0),MATCH($B327,IPCC!$B$590:$AK$590,0))*0.47))</f>
        <v/>
      </c>
      <c r="D327" s="4736">
        <f>IF('6.Inland wetlands'!$BD118="",'6.Inland wetlands'!$BC118,'6.Inland wetlands'!$BD118)</f>
        <v/>
      </c>
      <c r="E327" s="4718">
        <f>IF($B327 = "Please select", 0, IF($B327="Mangrove Forest",VLOOKUP(clim_moist,IPCC!$A$1502:$G$1510,7,FALSE),IF(OR($D327/0.47&lt;=125,$D327/0.47&lt;=75),INDEX(IPCC!$B$618:$AI$633,MATCH(continent_selected,IPCC!$A$618:$A$633,0),MATCH($B327,IPCC!$B$616:$AI$616,0)),(IF(OR($D327/0.47&gt;125,$D327/0.47&gt;75),INDEX(IPCC!$AJ$618:$BS$633,MATCH(continent_selected,IPCC!$A$618:$A$633,0),MATCH($B327,IPCC!$AJ$616:$BS$616,0)),"")))*$D327))</f>
        <v/>
      </c>
      <c r="F327" s="1187">
        <f>IF('6.Inland wetlands'!$BF118="",'6.Inland wetlands'!$BE118,'6.Inland wetlands'!$BF118)</f>
        <v/>
      </c>
      <c r="G327" s="4718">
        <f>IF($B327= "Please select", 0, IF($B327= "Mangrove Forest", VLOOKUP(clim_moist, IPCC!$A$1502:$J$1511, 8, FALSE),   VLOOKUP($B327, IPCC!$A$643:$B$677, 2, FALSE)))</f>
        <v/>
      </c>
      <c r="H327" s="1187">
        <f>IF('6.Inland wetlands'!$BH118="",'6.Inland wetlands'!$BG118,'6.Inland wetlands'!$BH118)</f>
        <v/>
      </c>
      <c r="I327" s="4718">
        <f>IF($B327= "Please select", 0, IF($B327= "Mangrove Forest", VLOOKUP(clim_moist, IPCC!$A$1502:$J$1511, 9, FALSE),  VLOOKUP($B327, IPCC!$A$643:$C$677, 3, FALSE)))</f>
        <v/>
      </c>
      <c r="J327" s="4736">
        <f>IF('6.Inland wetlands'!$BJ118="",'6.Inland wetlands'!$BI118,'6.Inland wetlands'!$BJ118)</f>
        <v/>
      </c>
      <c r="K327" s="992">
        <f>'6.Inland wetlands'!$G118</f>
        <v/>
      </c>
      <c r="L327" s="1580">
        <f>IF('6.Inland wetlands'!$AW118="",'6.Inland wetlands'!$AV118,'6.Inland wetlands'!$AW118)</f>
        <v/>
      </c>
      <c r="M327" s="1688">
        <f>'6.Inland wetlands'!$I118</f>
        <v/>
      </c>
      <c r="N327" s="1580">
        <f>IF('6.Inland wetlands'!$AY118="",'6.Inland wetlands'!$AX118,'6.Inland wetlands'!$AY118)</f>
        <v/>
      </c>
      <c r="O327" s="1688">
        <f>'6.Inland wetlands'!$K118</f>
        <v/>
      </c>
      <c r="P327" s="1580">
        <f>IF('6.Inland wetlands'!$BA118="",'6.Inland wetlands'!$AZ118,'6.Inland wetlands'!$BA118)</f>
        <v/>
      </c>
      <c r="Q327" s="1688">
        <f>'6.Inland wetlands'!$BN118</f>
        <v/>
      </c>
      <c r="R327" s="1688">
        <f>'6.Inland wetlands'!$BQ118</f>
        <v/>
      </c>
      <c r="S327" s="1241">
        <f>'6.Inland wetlands'!$BO118</f>
        <v/>
      </c>
      <c r="T327" s="1241">
        <f>'6.Inland wetlands'!$BR118</f>
        <v/>
      </c>
      <c r="U327" s="1559">
        <f>IFERROR(IF($B327 = "Please select", 0, SUM($D327,$F327)*(1-$L327)),0)</f>
        <v/>
      </c>
      <c r="V327" s="1560">
        <f>IFERROR(IF($B327 = "Please select",0,SUM($D327,$F327)*(1-$N327)),0)</f>
        <v/>
      </c>
      <c r="W327" s="1561">
        <f>IFERROR(IF($B327 = "Please select",0,SUM($D327,$F327)*(1-$P327)),0)</f>
        <v/>
      </c>
      <c r="X327" s="1144">
        <f>IFERROR(IF($B327="Please select",0,SUM($H327,$J327)*(1-$L327)),0)</f>
        <v/>
      </c>
      <c r="Y327" s="1145">
        <f>IFERROR(IF($B327="Please select",0,SUM($H327,$J327)*(1-$N327)),0)</f>
        <v/>
      </c>
      <c r="Z327" s="1562">
        <f>IFERROR(IF($B327="Please select",0,SUM($H327,$J327)*(1-$P327)),0)</f>
        <v/>
      </c>
      <c r="AA327" s="1563">
        <f>U327+X327</f>
        <v/>
      </c>
      <c r="AB327" s="1544">
        <f>V327+Y327</f>
        <v/>
      </c>
      <c r="AC327" s="1564">
        <f>W327+Z327</f>
        <v/>
      </c>
      <c r="AD327" s="1564">
        <f>IF($B327 = "Please select",0,IF($Q327&gt;time_tot,0,1)*2*IF(OR('6.Inland wetlands'!$T118=list!$E$211,'6.Inland wetlands'!$T118=list!$E$213),(MIN($AB327,$AA327)*time_tot+ABS($AB327-$AA327)*IF($AB327&gt;$AA327,time_cap+time*VLOOKUP($N339,list!$J$48:$K$50,2,FALSE),time*(1-VLOOKUP($N339,list!$J$48:$K$50,2,FALSE)))),0)*VLOOKUP($B327,IPCC!$A$871:$E$906,2,FALSE)*VLOOKUP($B327,IPCC!$A$871:$E$906,4,FALSE)*$S327*(1/$Q327))</f>
        <v/>
      </c>
      <c r="AE327" s="1564">
        <f>IF($B327 = "Please select",0,IF($Q327&gt;time_tot,0,1)*2*IF(OR('6.Inland wetlands'!$T118=list!$E$211,'6.Inland wetlands'!$T118=list!$E$213),(MIN($AB327,$AA327)*time_tot+ABS($AB327-$AA327)*IF($AB327&gt;$AA327,time_cap+time*VLOOKUP($N339,list!$J$48:$K$50,2,FALSE),time*(1-VLOOKUP($N339,list!$J$48:$K$50,2,FALSE)))),0)*VLOOKUP($B327,IPCC!$A$871:$E$906,2,FALSE)*VLOOKUP($B327,IPCC!$A$871:$E$906,5,FALSE)*$S327*(1/$Q327))</f>
        <v/>
      </c>
      <c r="AF327" s="1565">
        <f>(AD327*methane+AE327*Nitrous)/1000</f>
        <v/>
      </c>
      <c r="AG327" s="1566">
        <f>IF($B327 = "Please select",0,IF($R327&gt;time_tot,0,1)*2*IF(OR('6.Inland wetlands'!$T118=list!$E$212,'6.Inland wetlands'!$T118=list!$E$213),(MIN($AC327,$AA327)*time_tot+ABS($AC327-$AA327)*IF($AC327&gt;$AA327,time_cap+time*VLOOKUP($P339,list!$J$48:$K$50,2,FALSE),time*(1-VLOOKUP($P339,list!$J$48:$K$50,2,FALSE)))),0)*VLOOKUP($B327,IPCC!$A$871:$E$906,2,FALSE)*VLOOKUP($B327,IPCC!$A$871:$E$906,4,FALSE)*$T327*(1/$R327))</f>
        <v/>
      </c>
      <c r="AH327" s="1565">
        <f>IF($B327 = "Please select",0,IF($R327&gt;time_tot,0,1)*2*IF(OR('6.Inland wetlands'!$T118=list!$E$212,'6.Inland wetlands'!$T118=list!$E$213),(MIN($AC327,$AA327)*time_tot+ABS($AC327-$AA327)*IF($AC327&gt;$AA327,time_cap+time*VLOOKUP($P339,list!$J$48:$K$50,2,FALSE),time*(1-VLOOKUP($P339,list!$J$48:$K$50,2,FALSE)))),0)*VLOOKUP($B327,IPCC!$A$871:$E$906,2,FALSE)*VLOOKUP($B327,IPCC!$A$871:$E$906,5,FALSE)*$T327*(1/$R327))</f>
        <v/>
      </c>
      <c r="AI327" s="1567">
        <f>(AG327*methane+AH327*Nitrous)/1000</f>
        <v/>
      </c>
    </row>
    <row r="328">
      <c r="B328" s="973">
        <f>'6.Inland wetlands'!C119</f>
        <v/>
      </c>
      <c r="C328" s="4718">
        <f>IF($B328= "Please select", 0, IF($B328="Mangrove Forest",VLOOKUP(clim_moist,IPCC!$A$1502:$G$1510,4,FALSE),INDEX(IPCC!$B$591:$AK$606,MATCH(continent_selected,IPCC!$A$591:$A$606,0),MATCH($B328,IPCC!$B$590:$AK$590,0))*0.47))</f>
        <v/>
      </c>
      <c r="D328" s="4736">
        <f>IF('6.Inland wetlands'!$BD119="",'6.Inland wetlands'!$BC119,'6.Inland wetlands'!$BD119)</f>
        <v/>
      </c>
      <c r="E328" s="4718">
        <f>IF($B328 = "Please select", 0, IF($B328="Mangrove Forest",VLOOKUP(clim_moist,IPCC!$A$1502:$G$1510,7,FALSE),IF(OR($D328/0.47&lt;=125,$D328/0.47&lt;=75),INDEX(IPCC!$B$618:$AI$633,MATCH(continent_selected,IPCC!$A$618:$A$633,0),MATCH($B328,IPCC!$B$616:$AI$616,0)),(IF(OR($D328/0.47&gt;125,$D328/0.47&gt;75),INDEX(IPCC!$AJ$618:$BS$633,MATCH(continent_selected,IPCC!$A$618:$A$633,0),MATCH($B328,IPCC!$AJ$616:$BS$616,0)),"")))*$D328))</f>
        <v/>
      </c>
      <c r="F328" s="1187">
        <f>IF('6.Inland wetlands'!$BF119="",'6.Inland wetlands'!$BE119,'6.Inland wetlands'!$BF119)</f>
        <v/>
      </c>
      <c r="G328" s="4718">
        <f>IF($B328= "Please select", 0, IF($B328= "Mangrove Forest", VLOOKUP(clim_moist, IPCC!$A$1502:$J$1511, 8, FALSE),   VLOOKUP($B328, IPCC!$A$643:$B$677, 2, FALSE)))</f>
        <v/>
      </c>
      <c r="H328" s="1187">
        <f>IF('6.Inland wetlands'!$BH119="",'6.Inland wetlands'!$BG119,'6.Inland wetlands'!$BH119)</f>
        <v/>
      </c>
      <c r="I328" s="4718">
        <f>IF($B328= "Please select", 0, IF($B328= "Mangrove Forest", VLOOKUP(clim_moist, IPCC!$A$1502:$J$1511, 9, FALSE),  VLOOKUP($B328, IPCC!$A$643:$C$677, 3, FALSE)))</f>
        <v/>
      </c>
      <c r="J328" s="4736">
        <f>IF('6.Inland wetlands'!$BJ119="",'6.Inland wetlands'!$BI119,'6.Inland wetlands'!$BJ119)</f>
        <v/>
      </c>
      <c r="K328" s="992">
        <f>'6.Inland wetlands'!$G119</f>
        <v/>
      </c>
      <c r="L328" s="1580">
        <f>IF('6.Inland wetlands'!$AW119="",'6.Inland wetlands'!$AV119,'6.Inland wetlands'!$AW119)</f>
        <v/>
      </c>
      <c r="M328" s="1688">
        <f>'6.Inland wetlands'!$I119</f>
        <v/>
      </c>
      <c r="N328" s="1580">
        <f>IF('6.Inland wetlands'!$AY119="",'6.Inland wetlands'!$AX119,'6.Inland wetlands'!$AY119)</f>
        <v/>
      </c>
      <c r="O328" s="1688">
        <f>'6.Inland wetlands'!$K119</f>
        <v/>
      </c>
      <c r="P328" s="1580">
        <f>IF('6.Inland wetlands'!$BA119="",'6.Inland wetlands'!$AZ119,'6.Inland wetlands'!$BA119)</f>
        <v/>
      </c>
      <c r="Q328" s="1688">
        <f>'6.Inland wetlands'!$BN119</f>
        <v/>
      </c>
      <c r="R328" s="1688">
        <f>'6.Inland wetlands'!$BQ119</f>
        <v/>
      </c>
      <c r="S328" s="1241">
        <f>'6.Inland wetlands'!$BO119</f>
        <v/>
      </c>
      <c r="T328" s="1241">
        <f>'6.Inland wetlands'!$BR119</f>
        <v/>
      </c>
      <c r="U328" s="1559">
        <f>IFERROR(IF($B328 = "Please select", 0, SUM($D328,$F328)*(1-$L328)),0)</f>
        <v/>
      </c>
      <c r="V328" s="1560">
        <f>IFERROR(IF($B328 = "Please select",0,SUM($D328,$F328)*(1-$N328)),0)</f>
        <v/>
      </c>
      <c r="W328" s="1561">
        <f>IFERROR(IF($B328 = "Please select",0,SUM($D328,$F328)*(1-$P328)),0)</f>
        <v/>
      </c>
      <c r="X328" s="1144">
        <f>IFERROR(IF($B328="Please select",0,SUM($H328,$J328)*(1-$L328)),0)</f>
        <v/>
      </c>
      <c r="Y328" s="1145">
        <f>IFERROR(IF($B328="Please select",0,SUM($H328,$J328)*(1-$N328)),0)</f>
        <v/>
      </c>
      <c r="Z328" s="1562">
        <f>IFERROR(IF($B328="Please select",0,SUM($H328,$J328)*(1-$P328)),0)</f>
        <v/>
      </c>
      <c r="AA328" s="1568">
        <f>U328+X328</f>
        <v/>
      </c>
      <c r="AB328" s="1565">
        <f>V328+Y328</f>
        <v/>
      </c>
      <c r="AC328" s="1566">
        <f>W328+Z328</f>
        <v/>
      </c>
      <c r="AD328" s="1564">
        <f>IF($B328 = "Please select",0,IF($Q328&gt;time_tot,0,1)*2*IF(OR('6.Inland wetlands'!$T119=list!$E$211,'6.Inland wetlands'!$T119=list!$E$213),(MIN($AB328,$AA328)*time_tot+ABS($AB328-$AA328)*IF($AB328&gt;$AA328,time_cap+time*VLOOKUP($N340,list!$J$48:$K$50,2,FALSE),time*(1-VLOOKUP($N340,list!$J$48:$K$50,2,FALSE)))),0)*VLOOKUP($B328,IPCC!$A$871:$E$906,2,FALSE)*VLOOKUP($B328,IPCC!$A$871:$E$906,4,FALSE)*$S328*(1/$Q328))</f>
        <v/>
      </c>
      <c r="AE328" s="1564">
        <f>IF($B328 = "Please select",0,IF($Q328&gt;time_tot,0,1)*2*IF(OR('6.Inland wetlands'!$T119=list!$E$211,'6.Inland wetlands'!$T119=list!$E$213),(MIN($AB328,$AA328)*time_tot+ABS($AB328-$AA328)*IF($AB328&gt;$AA328,time_cap+time*VLOOKUP($N340,list!$J$48:$K$50,2,FALSE),time*(1-VLOOKUP($N340,list!$J$48:$K$50,2,FALSE)))),0)*VLOOKUP($B328,IPCC!$A$871:$E$906,2,FALSE)*VLOOKUP($B328,IPCC!$A$871:$E$906,5,FALSE)*$S328*(1/$Q328))</f>
        <v/>
      </c>
      <c r="AF328" s="1565">
        <f>(AD328*methane+AE328*Nitrous)/1000</f>
        <v/>
      </c>
      <c r="AG328" s="1566">
        <f>IF($B328 = "Please select",0,IF($R328&gt;time_tot,0,1)*2*IF(OR('6.Inland wetlands'!$T119=list!$E$212,'6.Inland wetlands'!$T119=list!$E$213),(MIN($AC328,$AA328)*time_tot+ABS($AC328-$AA328)*IF($AC328&gt;$AA328,time_cap+time*VLOOKUP($P340,list!$J$48:$K$50,2,FALSE),time*(1-VLOOKUP($P340,list!$J$48:$K$50,2,FALSE)))),0)*VLOOKUP($B328,IPCC!$A$871:$E$906,2,FALSE)*VLOOKUP($B328,IPCC!$A$871:$E$906,4,FALSE)*$T328*(1/$R328))</f>
        <v/>
      </c>
      <c r="AH328" s="1565">
        <f>IF($B328 = "Please select",0,IF($R328&gt;time_tot,0,1)*2*IF(OR('6.Inland wetlands'!$T119=list!$E$212,'6.Inland wetlands'!$T119=list!$E$213),(MIN($AC328,$AA328)*time_tot+ABS($AC328-$AA328)*IF($AC328&gt;$AA328,time_cap+time*VLOOKUP($P340,list!$J$48:$K$50,2,FALSE),time*(1-VLOOKUP($P340,list!$J$48:$K$50,2,FALSE)))),0)*VLOOKUP($B328,IPCC!$A$871:$E$906,2,FALSE)*VLOOKUP($B328,IPCC!$A$871:$E$906,5,FALSE)*$T328*(1/$R328))</f>
        <v/>
      </c>
      <c r="AI328" s="1567">
        <f>(AG328*methane+AH328*Nitrous)/1000</f>
        <v/>
      </c>
    </row>
    <row r="329">
      <c r="B329" s="973">
        <f>'6.Inland wetlands'!C120</f>
        <v/>
      </c>
      <c r="C329" s="4718">
        <f>IF($B329= "Please select", 0, IF($B329="Mangrove Forest",VLOOKUP(clim_moist,IPCC!$A$1502:$G$1510,4,FALSE),INDEX(IPCC!$B$591:$AK$606,MATCH(continent_selected,IPCC!$A$591:$A$606,0),MATCH($B329,IPCC!$B$590:$AK$590,0))*0.47))</f>
        <v/>
      </c>
      <c r="D329" s="4736">
        <f>IF('6.Inland wetlands'!$BD120="",'6.Inland wetlands'!$BC120,'6.Inland wetlands'!$BD120)</f>
        <v/>
      </c>
      <c r="E329" s="4718">
        <f>IF($B329 = "Please select", 0, IF($B329="Mangrove Forest",VLOOKUP(clim_moist,IPCC!$A$1502:$G$1510,7,FALSE),IF(OR($D329/0.47&lt;=125,$D329/0.47&lt;=75),INDEX(IPCC!$B$618:$AI$633,MATCH(continent_selected,IPCC!$A$618:$A$633,0),MATCH($B329,IPCC!$B$616:$AI$616,0)),(IF(OR($D329/0.47&gt;125,$D329/0.47&gt;75),INDEX(IPCC!$AJ$618:$BS$633,MATCH(continent_selected,IPCC!$A$618:$A$633,0),MATCH($B329,IPCC!$AJ$616:$BS$616,0)),"")))*$D329))</f>
        <v/>
      </c>
      <c r="F329" s="1187">
        <f>IF('6.Inland wetlands'!$BF120="",'6.Inland wetlands'!$BE120,'6.Inland wetlands'!$BF120)</f>
        <v/>
      </c>
      <c r="G329" s="4718">
        <f>IF($B329= "Please select", 0, IF($B329= "Mangrove Forest", VLOOKUP(clim_moist, IPCC!$A$1502:$J$1511, 8, FALSE),   VLOOKUP($B329, IPCC!$A$643:$B$677, 2, FALSE)))</f>
        <v/>
      </c>
      <c r="H329" s="1187">
        <f>IF('6.Inland wetlands'!$BH120="",'6.Inland wetlands'!$BG120,'6.Inland wetlands'!$BH120)</f>
        <v/>
      </c>
      <c r="I329" s="4718">
        <f>IF($B329= "Please select", 0, IF($B329= "Mangrove Forest", VLOOKUP(clim_moist, IPCC!$A$1502:$J$1511, 9, FALSE),  VLOOKUP($B329, IPCC!$A$643:$C$677, 3, FALSE)))</f>
        <v/>
      </c>
      <c r="J329" s="4736">
        <f>IF('6.Inland wetlands'!$BJ120="",'6.Inland wetlands'!$BI120,'6.Inland wetlands'!$BJ120)</f>
        <v/>
      </c>
      <c r="K329" s="992">
        <f>'6.Inland wetlands'!$G120</f>
        <v/>
      </c>
      <c r="L329" s="1580">
        <f>IF('6.Inland wetlands'!$AW120="",'6.Inland wetlands'!$AV120,'6.Inland wetlands'!$AW120)</f>
        <v/>
      </c>
      <c r="M329" s="1688">
        <f>'6.Inland wetlands'!$I120</f>
        <v/>
      </c>
      <c r="N329" s="1580">
        <f>IF('6.Inland wetlands'!$AY120="",'6.Inland wetlands'!$AX120,'6.Inland wetlands'!$AY120)</f>
        <v/>
      </c>
      <c r="O329" s="1688">
        <f>'6.Inland wetlands'!$K120</f>
        <v/>
      </c>
      <c r="P329" s="1580">
        <f>IF('6.Inland wetlands'!$BA120="",'6.Inland wetlands'!$AZ120,'6.Inland wetlands'!$BA120)</f>
        <v/>
      </c>
      <c r="Q329" s="1688">
        <f>'6.Inland wetlands'!$BN120</f>
        <v/>
      </c>
      <c r="R329" s="1688">
        <f>'6.Inland wetlands'!$BQ120</f>
        <v/>
      </c>
      <c r="S329" s="1241">
        <f>'6.Inland wetlands'!$BO120</f>
        <v/>
      </c>
      <c r="T329" s="1241">
        <f>'6.Inland wetlands'!$BR120</f>
        <v/>
      </c>
      <c r="U329" s="1559">
        <f>IFERROR(IF($B329 = "Please select", 0, SUM($D329,$F329)*(1-$L329)),0)</f>
        <v/>
      </c>
      <c r="V329" s="1560">
        <f>IFERROR(IF($B329 = "Please select",0,SUM($D329,$F329)*(1-$N329)),0)</f>
        <v/>
      </c>
      <c r="W329" s="1561">
        <f>IFERROR(IF($B329 = "Please select",0,SUM($D329,$F329)*(1-$P329)),0)</f>
        <v/>
      </c>
      <c r="X329" s="1144">
        <f>IFERROR(IF($B329="Please select",0,SUM($H329,$J329)*(1-$L329)),0)</f>
        <v/>
      </c>
      <c r="Y329" s="1145">
        <f>IFERROR(IF($B329="Please select",0,SUM($H329,$J329)*(1-$N329)),0)</f>
        <v/>
      </c>
      <c r="Z329" s="1562">
        <f>IFERROR(IF($B329="Please select",0,SUM($H329,$J329)*(1-$P329)),0)</f>
        <v/>
      </c>
      <c r="AA329" s="1568">
        <f>U329+X329</f>
        <v/>
      </c>
      <c r="AB329" s="1565">
        <f>V329+Y329</f>
        <v/>
      </c>
      <c r="AC329" s="1566">
        <f>W329+Z329</f>
        <v/>
      </c>
      <c r="AD329" s="1564">
        <f>IF($B329 = "Please select",0,IF($Q329&gt;time_tot,0,1)*2*IF(OR('6.Inland wetlands'!$T120=list!$E$211,'6.Inland wetlands'!$T120=list!$E$213),(MIN($AB329,$AA329)*time_tot+ABS($AB329-$AA329)*IF($AB329&gt;$AA329,time_cap+time*VLOOKUP($N341,list!$J$48:$K$50,2,FALSE),time*(1-VLOOKUP($N341,list!$J$48:$K$50,2,FALSE)))),0)*VLOOKUP($B329,IPCC!$A$871:$E$906,2,FALSE)*VLOOKUP($B329,IPCC!$A$871:$E$906,4,FALSE)*$S329*(1/$Q329))</f>
        <v/>
      </c>
      <c r="AE329" s="1564">
        <f>IF($B329 = "Please select",0,IF($Q329&gt;time_tot,0,1)*2*IF(OR('6.Inland wetlands'!$T120=list!$E$211,'6.Inland wetlands'!$T120=list!$E$213),(MIN($AB329,$AA329)*time_tot+ABS($AB329-$AA329)*IF($AB329&gt;$AA329,time_cap+time*VLOOKUP($N341,list!$J$48:$K$50,2,FALSE),time*(1-VLOOKUP($N341,list!$J$48:$K$50,2,FALSE)))),0)*VLOOKUP($B329,IPCC!$A$871:$E$906,2,FALSE)*VLOOKUP($B329,IPCC!$A$871:$E$906,5,FALSE)*$S329*(1/$Q329))</f>
        <v/>
      </c>
      <c r="AF329" s="1565">
        <f>(AD329*methane+AE329*Nitrous)/1000</f>
        <v/>
      </c>
      <c r="AG329" s="1566">
        <f>IF($B329 = "Please select",0,IF($R329&gt;time_tot,0,1)*2*IF(OR('6.Inland wetlands'!$T120=list!$E$212,'6.Inland wetlands'!$T120=list!$E$213),(MIN($AC329,$AA329)*time_tot+ABS($AC329-$AA329)*IF($AC329&gt;$AA329,time_cap+time*VLOOKUP($P341,list!$J$48:$K$50,2,FALSE),time*(1-VLOOKUP($P341,list!$J$48:$K$50,2,FALSE)))),0)*VLOOKUP($B329,IPCC!$A$871:$E$906,2,FALSE)*VLOOKUP($B329,IPCC!$A$871:$E$906,4,FALSE)*$T329*(1/$R329))</f>
        <v/>
      </c>
      <c r="AH329" s="1565">
        <f>IF($B329 = "Please select",0,IF($R329&gt;time_tot,0,1)*2*IF(OR('6.Inland wetlands'!$T120=list!$E$212,'6.Inland wetlands'!$T120=list!$E$213),(MIN($AC329,$AA329)*time_tot+ABS($AC329-$AA329)*IF($AC329&gt;$AA329,time_cap+time*VLOOKUP($P341,list!$J$48:$K$50,2,FALSE),time*(1-VLOOKUP($P341,list!$J$48:$K$50,2,FALSE)))),0)*VLOOKUP($B329,IPCC!$A$871:$E$906,2,FALSE)*VLOOKUP($B329,IPCC!$A$871:$E$906,5,FALSE)*$T329*(1/$R329))</f>
        <v/>
      </c>
      <c r="AI329" s="1567">
        <f>(AG329*methane+AH329*Nitrous)/1000</f>
        <v/>
      </c>
    </row>
    <row r="330">
      <c r="B330" s="973">
        <f>'6.Inland wetlands'!C121</f>
        <v/>
      </c>
      <c r="C330" s="4718">
        <f>IF($B330= "Please select", 0, IF($B330="Mangrove Forest",VLOOKUP(clim_moist,IPCC!$A$1502:$G$1510,4,FALSE),INDEX(IPCC!$B$591:$AK$606,MATCH(continent_selected,IPCC!$A$591:$A$606,0),MATCH($B330,IPCC!$B$590:$AK$590,0))*0.47))</f>
        <v/>
      </c>
      <c r="D330" s="4736">
        <f>IF('6.Inland wetlands'!$BD121="",'6.Inland wetlands'!$BC121,'6.Inland wetlands'!$BD121)</f>
        <v/>
      </c>
      <c r="E330" s="4718">
        <f>IF($B330 = "Please select", 0, IF($B330="Mangrove Forest",VLOOKUP(clim_moist,IPCC!$A$1502:$G$1510,7,FALSE),IF(OR($D330/0.47&lt;=125,$D330/0.47&lt;=75),INDEX(IPCC!$B$618:$AI$633,MATCH(continent_selected,IPCC!$A$618:$A$633,0),MATCH($B330,IPCC!$B$616:$AI$616,0)),(IF(OR($D330/0.47&gt;125,$D330/0.47&gt;75),INDEX(IPCC!$AJ$618:$BS$633,MATCH(continent_selected,IPCC!$A$618:$A$633,0),MATCH($B330,IPCC!$AJ$616:$BS$616,0)),"")))*$D330))</f>
        <v/>
      </c>
      <c r="F330" s="1187">
        <f>IF('6.Inland wetlands'!$BF121="",'6.Inland wetlands'!$BE121,'6.Inland wetlands'!$BF121)</f>
        <v/>
      </c>
      <c r="G330" s="4718">
        <f>IF($B330= "Please select", 0, IF($B330= "Mangrove Forest", VLOOKUP(clim_moist, IPCC!$A$1502:$J$1511, 8, FALSE),   VLOOKUP($B330, IPCC!$A$643:$B$677, 2, FALSE)))</f>
        <v/>
      </c>
      <c r="H330" s="1187">
        <f>IF('6.Inland wetlands'!$BH121="",'6.Inland wetlands'!$BG121,'6.Inland wetlands'!$BH121)</f>
        <v/>
      </c>
      <c r="I330" s="4718">
        <f>IF($B330= "Please select", 0, IF($B330= "Mangrove Forest", VLOOKUP(clim_moist, IPCC!$A$1502:$J$1511, 9, FALSE),  VLOOKUP($B330, IPCC!$A$643:$C$677, 3, FALSE)))</f>
        <v/>
      </c>
      <c r="J330" s="4736">
        <f>IF('6.Inland wetlands'!$BJ121="",'6.Inland wetlands'!$BI121,'6.Inland wetlands'!$BJ121)</f>
        <v/>
      </c>
      <c r="K330" s="992">
        <f>'6.Inland wetlands'!$G121</f>
        <v/>
      </c>
      <c r="L330" s="1580">
        <f>IF('6.Inland wetlands'!$AW121="",'6.Inland wetlands'!$AV121,'6.Inland wetlands'!$AW121)</f>
        <v/>
      </c>
      <c r="M330" s="1688">
        <f>'6.Inland wetlands'!$I121</f>
        <v/>
      </c>
      <c r="N330" s="1580">
        <f>IF('6.Inland wetlands'!$AY121="",'6.Inland wetlands'!$AX121,'6.Inland wetlands'!$AY121)</f>
        <v/>
      </c>
      <c r="O330" s="1688">
        <f>'6.Inland wetlands'!$K121</f>
        <v/>
      </c>
      <c r="P330" s="1580">
        <f>IF('6.Inland wetlands'!$BA121="",'6.Inland wetlands'!$AZ121,'6.Inland wetlands'!$BA121)</f>
        <v/>
      </c>
      <c r="Q330" s="1688">
        <f>'6.Inland wetlands'!$BN121</f>
        <v/>
      </c>
      <c r="R330" s="1688">
        <f>'6.Inland wetlands'!$BQ121</f>
        <v/>
      </c>
      <c r="S330" s="1241">
        <f>'6.Inland wetlands'!$BO121</f>
        <v/>
      </c>
      <c r="T330" s="1241">
        <f>'6.Inland wetlands'!$BR121</f>
        <v/>
      </c>
      <c r="U330" s="1559">
        <f>IFERROR(IF($B330 = "Please select", 0, SUM($D330,$F330)*(1-$L330)),0)</f>
        <v/>
      </c>
      <c r="V330" s="1560">
        <f>IFERROR(IF($B330 = "Please select",0,SUM($D330,$F330)*(1-$N330)),0)</f>
        <v/>
      </c>
      <c r="W330" s="1561">
        <f>IFERROR(IF($B330 = "Please select",0,SUM($D330,$F330)*(1-$P330)),0)</f>
        <v/>
      </c>
      <c r="X330" s="1144">
        <f>IFERROR(IF($B330="Please select",0,SUM($H330,$J330)*(1-$L330)),0)</f>
        <v/>
      </c>
      <c r="Y330" s="1145">
        <f>IFERROR(IF($B330="Please select",0,SUM($H330,$J330)*(1-$N330)),0)</f>
        <v/>
      </c>
      <c r="Z330" s="1562">
        <f>IFERROR(IF($B330="Please select",0,SUM($H330,$J330)*(1-$P330)),0)</f>
        <v/>
      </c>
      <c r="AA330" s="1568">
        <f>U330+X330</f>
        <v/>
      </c>
      <c r="AB330" s="1565">
        <f>V330+Y330</f>
        <v/>
      </c>
      <c r="AC330" s="1566">
        <f>W330+Z330</f>
        <v/>
      </c>
      <c r="AD330" s="1564">
        <f>IF($B330 = "Please select",0,IF($Q330&gt;time_tot,0,1)*2*IF(OR('6.Inland wetlands'!$T121=list!$E$211,'6.Inland wetlands'!$T121=list!$E$213),(MIN($AB330,$AA330)*time_tot+ABS($AB330-$AA330)*IF($AB330&gt;$AA330,time_cap+time*VLOOKUP($N342,list!$J$48:$K$50,2,FALSE),time*(1-VLOOKUP($N342,list!$J$48:$K$50,2,FALSE)))),0)*VLOOKUP($B330,IPCC!$A$871:$E$906,2,FALSE)*VLOOKUP($B330,IPCC!$A$871:$E$906,4,FALSE)*$S330*(1/$Q330))</f>
        <v/>
      </c>
      <c r="AE330" s="1564">
        <f>IF($B330 = "Please select",0,IF($Q330&gt;time_tot,0,1)*2*IF(OR('6.Inland wetlands'!$T121=list!$E$211,'6.Inland wetlands'!$T121=list!$E$213),(MIN($AB330,$AA330)*time_tot+ABS($AB330-$AA330)*IF($AB330&gt;$AA330,time_cap+time*VLOOKUP($N342,list!$J$48:$K$50,2,FALSE),time*(1-VLOOKUP($N342,list!$J$48:$K$50,2,FALSE)))),0)*VLOOKUP($B330,IPCC!$A$871:$E$906,2,FALSE)*VLOOKUP($B330,IPCC!$A$871:$E$906,5,FALSE)*$S330*(1/$Q330))</f>
        <v/>
      </c>
      <c r="AF330" s="1565">
        <f>(AD330*methane+AE330*Nitrous)/1000</f>
        <v/>
      </c>
      <c r="AG330" s="1566">
        <f>IF($B330 = "Please select",0,IF($R330&gt;time_tot,0,1)*2*IF(OR('6.Inland wetlands'!$T121=list!$E$212,'6.Inland wetlands'!$T121=list!$E$213),(MIN($AC330,$AA330)*time_tot+ABS($AC330-$AA330)*IF($AC330&gt;$AA330,time_cap+time*VLOOKUP($P342,list!$J$48:$K$50,2,FALSE),time*(1-VLOOKUP($P342,list!$J$48:$K$50,2,FALSE)))),0)*VLOOKUP($B330,IPCC!$A$871:$E$906,2,FALSE)*VLOOKUP($B330,IPCC!$A$871:$E$906,4,FALSE)*$T330*(1/$R330))</f>
        <v/>
      </c>
      <c r="AH330" s="1565">
        <f>IF($B330 = "Please select",0,IF($R330&gt;time_tot,0,1)*2*IF(OR('6.Inland wetlands'!$T121=list!$E$212,'6.Inland wetlands'!$T121=list!$E$213),(MIN($AC330,$AA330)*time_tot+ABS($AC330-$AA330)*IF($AC330&gt;$AA330,time_cap+time*VLOOKUP($P342,list!$J$48:$K$50,2,FALSE),time*(1-VLOOKUP($P342,list!$J$48:$K$50,2,FALSE)))),0)*VLOOKUP($B330,IPCC!$A$871:$E$906,2,FALSE)*VLOOKUP($B330,IPCC!$A$871:$E$906,5,FALSE)*$T330*(1/$R330))</f>
        <v/>
      </c>
      <c r="AI330" s="1567">
        <f>(AG330*methane+AH330*Nitrous)/1000</f>
        <v/>
      </c>
    </row>
    <row r="331">
      <c r="B331" s="973">
        <f>'6.Inland wetlands'!C122</f>
        <v/>
      </c>
      <c r="C331" s="4718">
        <f>IF($B331= "Please select", 0, IF($B331="Mangrove Forest",VLOOKUP(clim_moist,IPCC!$A$1502:$G$1510,4,FALSE),INDEX(IPCC!$B$591:$AK$606,MATCH(continent_selected,IPCC!$A$591:$A$606,0),MATCH($B331,IPCC!$B$590:$AK$590,0))*0.47))</f>
        <v/>
      </c>
      <c r="D331" s="4736">
        <f>IF('6.Inland wetlands'!$BD122="",'6.Inland wetlands'!$BC122,'6.Inland wetlands'!$BD122)</f>
        <v/>
      </c>
      <c r="E331" s="4718">
        <f>IF($B331 = "Please select", 0, IF($B331="Mangrove Forest",VLOOKUP(clim_moist,IPCC!$A$1502:$G$1510,7,FALSE),IF(OR($D331/0.47&lt;=125,$D331/0.47&lt;=75),INDEX(IPCC!$B$618:$AI$633,MATCH(continent_selected,IPCC!$A$618:$A$633,0),MATCH($B331,IPCC!$B$616:$AI$616,0)),(IF(OR($D331/0.47&gt;125,$D331/0.47&gt;75),INDEX(IPCC!$AJ$618:$BS$633,MATCH(continent_selected,IPCC!$A$618:$A$633,0),MATCH($B331,IPCC!$AJ$616:$BS$616,0)),"")))*$D331))</f>
        <v/>
      </c>
      <c r="F331" s="1187">
        <f>IF('6.Inland wetlands'!$BF122="",'6.Inland wetlands'!$BE122,'6.Inland wetlands'!$BF122)</f>
        <v/>
      </c>
      <c r="G331" s="4718">
        <f>IF($B331= "Please select", 0, IF($B331= "Mangrove Forest", VLOOKUP(clim_moist, IPCC!$A$1502:$J$1511, 8, FALSE),   VLOOKUP($B331, IPCC!$A$643:$B$677, 2, FALSE)))</f>
        <v/>
      </c>
      <c r="H331" s="1187">
        <f>IF('6.Inland wetlands'!$BH122="",'6.Inland wetlands'!$BG122,'6.Inland wetlands'!$BH122)</f>
        <v/>
      </c>
      <c r="I331" s="4718">
        <f>IF($B331= "Please select", 0, IF($B331= "Mangrove Forest", VLOOKUP(clim_moist, IPCC!$A$1502:$J$1511, 9, FALSE),  VLOOKUP($B331, IPCC!$A$643:$C$677, 3, FALSE)))</f>
        <v/>
      </c>
      <c r="J331" s="4736">
        <f>IF('6.Inland wetlands'!$BJ122="",'6.Inland wetlands'!$BI122,'6.Inland wetlands'!$BJ122)</f>
        <v/>
      </c>
      <c r="K331" s="992">
        <f>'6.Inland wetlands'!$G122</f>
        <v/>
      </c>
      <c r="L331" s="1580">
        <f>IF('6.Inland wetlands'!$AW122="",'6.Inland wetlands'!$AV122,'6.Inland wetlands'!$AW122)</f>
        <v/>
      </c>
      <c r="M331" s="1688">
        <f>'6.Inland wetlands'!$I122</f>
        <v/>
      </c>
      <c r="N331" s="1580">
        <f>IF('6.Inland wetlands'!$AY122="",'6.Inland wetlands'!$AX122,'6.Inland wetlands'!$AY122)</f>
        <v/>
      </c>
      <c r="O331" s="1688">
        <f>'6.Inland wetlands'!$K122</f>
        <v/>
      </c>
      <c r="P331" s="1580">
        <f>IF('6.Inland wetlands'!$BA122="",'6.Inland wetlands'!$AZ122,'6.Inland wetlands'!$BA122)</f>
        <v/>
      </c>
      <c r="Q331" s="1688">
        <f>'6.Inland wetlands'!$BN122</f>
        <v/>
      </c>
      <c r="R331" s="1688">
        <f>'6.Inland wetlands'!$BQ122</f>
        <v/>
      </c>
      <c r="S331" s="1241">
        <f>'6.Inland wetlands'!$BO122</f>
        <v/>
      </c>
      <c r="T331" s="1241">
        <f>'6.Inland wetlands'!$BR122</f>
        <v/>
      </c>
      <c r="U331" s="1559">
        <f>IFERROR(IF($B331 = "Please select", 0, SUM($D331,$F331)*(1-$L331)),0)</f>
        <v/>
      </c>
      <c r="V331" s="1560">
        <f>IFERROR(IF($B331 = "Please select",0,SUM($D331,$F331)*(1-$N331)),0)</f>
        <v/>
      </c>
      <c r="W331" s="1561">
        <f>IFERROR(IF($B331 = "Please select",0,SUM($D331,$F331)*(1-$P331)),0)</f>
        <v/>
      </c>
      <c r="X331" s="1144">
        <f>IFERROR(IF($B331="Please select",0,SUM($H331,$J331)*(1-$L331)),0)</f>
        <v/>
      </c>
      <c r="Y331" s="1145">
        <f>IFERROR(IF($B331="Please select",0,SUM($H331,$J331)*(1-$N331)),0)</f>
        <v/>
      </c>
      <c r="Z331" s="1562">
        <f>IFERROR(IF($B331="Please select",0,SUM($H331,$J331)*(1-$P331)),0)</f>
        <v/>
      </c>
      <c r="AA331" s="1568">
        <f>U331+X331</f>
        <v/>
      </c>
      <c r="AB331" s="1565">
        <f>V331+Y331</f>
        <v/>
      </c>
      <c r="AC331" s="1566">
        <f>W331+Z331</f>
        <v/>
      </c>
      <c r="AD331" s="1564">
        <f>IF($B331 = "Please select",0,IF($Q331&gt;time_tot,0,1)*2*IF(OR('6.Inland wetlands'!$T122=list!$E$211,'6.Inland wetlands'!$T122=list!$E$213),(MIN($AB331,$AA331)*time_tot+ABS($AB331-$AA331)*IF($AB331&gt;$AA331,time_cap+time*VLOOKUP($N343,list!$J$48:$K$50,2,FALSE),time*(1-VLOOKUP($N343,list!$J$48:$K$50,2,FALSE)))),0)*VLOOKUP($B331,IPCC!$A$871:$E$906,2,FALSE)*VLOOKUP($B331,IPCC!$A$871:$E$906,4,FALSE)*$S331*(1/$Q331))</f>
        <v/>
      </c>
      <c r="AE331" s="1564">
        <f>IF($B331 = "Please select",0,IF($Q331&gt;time_tot,0,1)*2*IF(OR('6.Inland wetlands'!$T122=list!$E$211,'6.Inland wetlands'!$T122=list!$E$213),(MIN($AB331,$AA331)*time_tot+ABS($AB331-$AA331)*IF($AB331&gt;$AA331,time_cap+time*VLOOKUP($N343,list!$J$48:$K$50,2,FALSE),time*(1-VLOOKUP($N343,list!$J$48:$K$50,2,FALSE)))),0)*VLOOKUP($B331,IPCC!$A$871:$E$906,2,FALSE)*VLOOKUP($B331,IPCC!$A$871:$E$906,5,FALSE)*$S331*(1/$Q331))</f>
        <v/>
      </c>
      <c r="AF331" s="1565">
        <f>(AD331*methane+AE331*Nitrous)/1000</f>
        <v/>
      </c>
      <c r="AG331" s="1566">
        <f>IF($B331 = "Please select",0,IF($R331&gt;time_tot,0,1)*2*IF(OR('6.Inland wetlands'!$T122=list!$E$212,'6.Inland wetlands'!$T122=list!$E$213),(MIN($AC331,$AA331)*time_tot+ABS($AC331-$AA331)*IF($AC331&gt;$AA331,time_cap+time*VLOOKUP($P343,list!$J$48:$K$50,2,FALSE),time*(1-VLOOKUP($P343,list!$J$48:$K$50,2,FALSE)))),0)*VLOOKUP($B331,IPCC!$A$871:$E$906,2,FALSE)*VLOOKUP($B331,IPCC!$A$871:$E$906,4,FALSE)*$T331*(1/$R331))</f>
        <v/>
      </c>
      <c r="AH331" s="1565">
        <f>IF($B331 = "Please select",0,IF($R331&gt;time_tot,0,1)*2*IF(OR('6.Inland wetlands'!$T122=list!$E$212,'6.Inland wetlands'!$T122=list!$E$213),(MIN($AC331,$AA331)*time_tot+ABS($AC331-$AA331)*IF($AC331&gt;$AA331,time_cap+time*VLOOKUP($P343,list!$J$48:$K$50,2,FALSE),time*(1-VLOOKUP($P343,list!$J$48:$K$50,2,FALSE)))),0)*VLOOKUP($B331,IPCC!$A$871:$E$906,2,FALSE)*VLOOKUP($B331,IPCC!$A$871:$E$906,5,FALSE)*$T331*(1/$R331))</f>
        <v/>
      </c>
      <c r="AI331" s="1567">
        <f>(AG331*methane+AH331*Nitrous)/1000</f>
        <v/>
      </c>
    </row>
    <row r="332">
      <c r="B332" s="973">
        <f>'6.Inland wetlands'!C123</f>
        <v/>
      </c>
      <c r="C332" s="4718">
        <f>IF($B332= "Please select", 0, IF($B332="Mangrove Forest",VLOOKUP(clim_moist,IPCC!$A$1502:$G$1510,4,FALSE),INDEX(IPCC!$B$591:$AK$606,MATCH(continent_selected,IPCC!$A$591:$A$606,0),MATCH($B332,IPCC!$B$590:$AK$590,0))*0.47))</f>
        <v/>
      </c>
      <c r="D332" s="4736">
        <f>IF('6.Inland wetlands'!$BD123="",'6.Inland wetlands'!$BC123,'6.Inland wetlands'!$BD123)</f>
        <v/>
      </c>
      <c r="E332" s="4718">
        <f>IF($B332 = "Please select", 0, IF($B332="Mangrove Forest",VLOOKUP(clim_moist,IPCC!$A$1502:$G$1510,7,FALSE),IF(OR($D332/0.47&lt;=125,$D332/0.47&lt;=75),INDEX(IPCC!$B$618:$AI$633,MATCH(continent_selected,IPCC!$A$618:$A$633,0),MATCH($B332,IPCC!$B$616:$AI$616,0)),(IF(OR($D332/0.47&gt;125,$D332/0.47&gt;75),INDEX(IPCC!$AJ$618:$BS$633,MATCH(continent_selected,IPCC!$A$618:$A$633,0),MATCH($B332,IPCC!$AJ$616:$BS$616,0)),"")))*$D332))</f>
        <v/>
      </c>
      <c r="F332" s="1187">
        <f>IF('6.Inland wetlands'!$BF123="",'6.Inland wetlands'!$BE123,'6.Inland wetlands'!$BF123)</f>
        <v/>
      </c>
      <c r="G332" s="4718">
        <f>IF($B332= "Please select", 0, IF($B332= "Mangrove Forest", VLOOKUP(clim_moist, IPCC!$A$1502:$J$1511, 8, FALSE),   VLOOKUP($B332, IPCC!$A$643:$B$677, 2, FALSE)))</f>
        <v/>
      </c>
      <c r="H332" s="1187">
        <f>IF('6.Inland wetlands'!$BH123="",'6.Inland wetlands'!$BG123,'6.Inland wetlands'!$BH123)</f>
        <v/>
      </c>
      <c r="I332" s="4718">
        <f>IF($B332= "Please select", 0, IF($B332= "Mangrove Forest", VLOOKUP(clim_moist, IPCC!$A$1502:$J$1511, 9, FALSE),  VLOOKUP($B332, IPCC!$A$643:$C$677, 3, FALSE)))</f>
        <v/>
      </c>
      <c r="J332" s="4736">
        <f>IF('6.Inland wetlands'!$BJ123="",'6.Inland wetlands'!$BI123,'6.Inland wetlands'!$BJ123)</f>
        <v/>
      </c>
      <c r="K332" s="992">
        <f>'6.Inland wetlands'!$G123</f>
        <v/>
      </c>
      <c r="L332" s="1580">
        <f>IF('6.Inland wetlands'!$AW123="",'6.Inland wetlands'!$AV123,'6.Inland wetlands'!$AW123)</f>
        <v/>
      </c>
      <c r="M332" s="1688">
        <f>'6.Inland wetlands'!$I123</f>
        <v/>
      </c>
      <c r="N332" s="1580">
        <f>IF('6.Inland wetlands'!$AY123="",'6.Inland wetlands'!$AX123,'6.Inland wetlands'!$AY123)</f>
        <v/>
      </c>
      <c r="O332" s="1688">
        <f>'6.Inland wetlands'!$K123</f>
        <v/>
      </c>
      <c r="P332" s="1580">
        <f>IF('6.Inland wetlands'!$BA123="",'6.Inland wetlands'!$AZ123,'6.Inland wetlands'!$BA123)</f>
        <v/>
      </c>
      <c r="Q332" s="1688">
        <f>'6.Inland wetlands'!$BN123</f>
        <v/>
      </c>
      <c r="R332" s="1688">
        <f>'6.Inland wetlands'!$BQ123</f>
        <v/>
      </c>
      <c r="S332" s="1241">
        <f>'6.Inland wetlands'!$BO123</f>
        <v/>
      </c>
      <c r="T332" s="1241">
        <f>'6.Inland wetlands'!$BR123</f>
        <v/>
      </c>
      <c r="U332" s="1559">
        <f>IFERROR(IF($B332 = "Please select", 0, SUM($D332,$F332)*(1-$L332)),0)</f>
        <v/>
      </c>
      <c r="V332" s="1560">
        <f>IFERROR(IF($B332 = "Please select",0,SUM($D332,$F332)*(1-$N332)),0)</f>
        <v/>
      </c>
      <c r="W332" s="1561">
        <f>IFERROR(IF($B332 = "Please select",0,SUM($D332,$F332)*(1-$P332)),0)</f>
        <v/>
      </c>
      <c r="X332" s="1144">
        <f>IFERROR(IF($B332="Please select",0,SUM($H332,$J332)*(1-$L332)),0)</f>
        <v/>
      </c>
      <c r="Y332" s="1145">
        <f>IFERROR(IF($B332="Please select",0,SUM($H332,$J332)*(1-$N332)),0)</f>
        <v/>
      </c>
      <c r="Z332" s="1562">
        <f>IFERROR(IF($B332="Please select",0,SUM($H332,$J332)*(1-$P332)),0)</f>
        <v/>
      </c>
      <c r="AA332" s="1569">
        <f>U332+X332</f>
        <v/>
      </c>
      <c r="AB332" s="1570">
        <f>V332+Y332</f>
        <v/>
      </c>
      <c r="AC332" s="1571">
        <f>W332+Z332</f>
        <v/>
      </c>
      <c r="AD332" s="1564">
        <f>IF($B332 = "Please select",0,IF($Q332&gt;time_tot,0,1)*2*IF(OR('6.Inland wetlands'!$T123=list!$E$211,'6.Inland wetlands'!$T123=list!$E$213),(MIN($AB332,$AA332)*time_tot+ABS($AB332-$AA332)*IF($AB332&gt;$AA332,time_cap+time*VLOOKUP($N344,list!$J$48:$K$50,2,FALSE),time*(1-VLOOKUP($N344,list!$J$48:$K$50,2,FALSE)))),0)*VLOOKUP($B332,IPCC!$A$871:$E$906,2,FALSE)*VLOOKUP($B332,IPCC!$A$871:$E$906,4,FALSE)*$S332*(1/$Q332))</f>
        <v/>
      </c>
      <c r="AE332" s="1564">
        <f>IF($B332 = "Please select",0,IF($Q332&gt;time_tot,0,1)*2*IF(OR('6.Inland wetlands'!$T123=list!$E$211,'6.Inland wetlands'!$T123=list!$E$213),(MIN($AB332,$AA332)*time_tot+ABS($AB332-$AA332)*IF($AB332&gt;$AA332,time_cap+time*VLOOKUP($N344,list!$J$48:$K$50,2,FALSE),time*(1-VLOOKUP($N344,list!$J$48:$K$50,2,FALSE)))),0)*VLOOKUP($B332,IPCC!$A$871:$E$906,2,FALSE)*VLOOKUP($B332,IPCC!$A$871:$E$906,5,FALSE)*$S332*(1/$Q332))</f>
        <v/>
      </c>
      <c r="AF332" s="1565">
        <f>(AD332*methane+AE332*Nitrous)/1000</f>
        <v/>
      </c>
      <c r="AG332" s="1566">
        <f>IF($B332 = "Please select",0,IF($R332&gt;time_tot,0,1)*2*IF(OR('6.Inland wetlands'!$T123=list!$E$212,'6.Inland wetlands'!$T123=list!$E$213),(MIN($AC332,$AA332)*time_tot+ABS($AC332-$AA332)*IF($AC332&gt;$AA332,time_cap+time*VLOOKUP($P344,list!$J$48:$K$50,2,FALSE),time*(1-VLOOKUP($P344,list!$J$48:$K$50,2,FALSE)))),0)*VLOOKUP($B332,IPCC!$A$871:$E$906,2,FALSE)*VLOOKUP($B332,IPCC!$A$871:$E$906,4,FALSE)*$T332*(1/$R332))</f>
        <v/>
      </c>
      <c r="AH332" s="1565">
        <f>IF($B332 = "Please select",0,IF($R332&gt;time_tot,0,1)*2*IF(OR('6.Inland wetlands'!$T123=list!$E$212,'6.Inland wetlands'!$T123=list!$E$213),(MIN($AC332,$AA332)*time_tot+ABS($AC332-$AA332)*IF($AC332&gt;$AA332,time_cap+time*VLOOKUP($P344,list!$J$48:$K$50,2,FALSE),time*(1-VLOOKUP($P344,list!$J$48:$K$50,2,FALSE)))),0)*VLOOKUP($B332,IPCC!$A$871:$E$906,2,FALSE)*VLOOKUP($B332,IPCC!$A$871:$E$906,5,FALSE)*$T332*(1/$R332))</f>
        <v/>
      </c>
      <c r="AI332" s="1567">
        <f>(AG332*methane+AH332*Nitrous)/1000</f>
        <v/>
      </c>
    </row>
    <row r="334" ht="18" customHeight="1">
      <c r="AW334" s="1089" t="n"/>
    </row>
    <row r="335" ht="18" customHeight="1">
      <c r="AI335" s="1270" t="inlineStr">
        <is>
          <t>Total emissions tCO2eq</t>
        </is>
      </c>
      <c r="AJ335" s="1115" t="n"/>
      <c r="AK335" s="1116" t="n"/>
      <c r="AW335" s="1089" t="n"/>
      <c r="AX335" s="1287" t="inlineStr">
        <is>
          <t>FIRE BIOMASS &amp; BIOMASS GAIN AND LOSS</t>
        </is>
      </c>
      <c r="AY335" s="1501" t="n"/>
      <c r="AZ335" s="1501" t="n"/>
      <c r="BA335" s="1501" t="n"/>
      <c r="BB335" s="1501" t="n"/>
      <c r="BD335" s="1271" t="n"/>
    </row>
    <row r="336" ht="17" customHeight="1">
      <c r="K336" s="1081" t="n"/>
      <c r="L336" s="1081" t="n"/>
      <c r="M336" s="1081" t="n"/>
      <c r="N336" s="1081" t="n"/>
      <c r="O336" s="1081" t="n"/>
      <c r="P336" s="1081" t="n"/>
      <c r="Q336" s="1085" t="inlineStr">
        <is>
          <t>Total biomass (AGB + BGB)</t>
        </is>
      </c>
      <c r="R336" s="1069" t="n"/>
      <c r="S336" s="1186" t="inlineStr">
        <is>
          <t>DOM (Dead wood + litter)</t>
        </is>
      </c>
      <c r="T336" s="1069" t="n"/>
      <c r="U336" s="1082" t="inlineStr">
        <is>
          <t>SOC</t>
        </is>
      </c>
      <c r="V336" s="1069" t="n"/>
      <c r="W336" s="1082" t="inlineStr">
        <is>
          <t>Fire</t>
        </is>
      </c>
      <c r="X336" s="1069" t="n"/>
      <c r="AI336" s="1270" t="inlineStr">
        <is>
          <t>ALL PERIOD</t>
        </is>
      </c>
      <c r="AJ336" s="1104" t="n"/>
      <c r="AK336" s="1116" t="n"/>
      <c r="AX336" s="1572" t="inlineStr">
        <is>
          <t>CO2 BIOMASS</t>
        </is>
      </c>
      <c r="AY336" s="1502" t="n"/>
      <c r="AZ336" s="1502" t="inlineStr">
        <is>
          <t>CH4</t>
        </is>
      </c>
      <c r="BA336" s="1502" t="n"/>
      <c r="BB336" s="1502" t="inlineStr">
        <is>
          <t>N2O</t>
        </is>
      </c>
      <c r="BC336" s="1450" t="n"/>
      <c r="BD336" s="1450" t="n"/>
      <c r="BE336" s="1502" t="inlineStr">
        <is>
          <t>CH4</t>
        </is>
      </c>
      <c r="BF336" s="1502" t="n"/>
      <c r="BG336" s="1502" t="inlineStr">
        <is>
          <t>N2O</t>
        </is>
      </c>
      <c r="BK336" s="1262" t="inlineStr">
        <is>
          <t>GHG PER SCENARIO</t>
        </is>
      </c>
      <c r="BL336" s="3489" t="n"/>
      <c r="BM336" s="3489" t="n"/>
      <c r="BP336" s="1262" t="inlineStr">
        <is>
          <t>TOTAL BALANCE</t>
        </is>
      </c>
      <c r="BQ336" s="3489" t="n"/>
      <c r="BR336" s="3489" t="n"/>
      <c r="BS336" s="3489" t="n"/>
    </row>
    <row r="337" ht="16" customHeight="1">
      <c r="K337" s="1573" t="inlineStr">
        <is>
          <t>GHG emissions/removals</t>
        </is>
      </c>
      <c r="L337" s="1546" t="inlineStr">
        <is>
          <t xml:space="preserve">START area </t>
        </is>
      </c>
      <c r="M337" s="1551" t="inlineStr">
        <is>
          <t>Without</t>
        </is>
      </c>
      <c r="N337" s="1551" t="n"/>
      <c r="O337" s="1548" t="inlineStr">
        <is>
          <t>With</t>
        </is>
      </c>
      <c r="P337" s="1548" t="n"/>
      <c r="Q337" s="1547" t="inlineStr">
        <is>
          <t>Without</t>
        </is>
      </c>
      <c r="R337" s="1548" t="inlineStr">
        <is>
          <t>With</t>
        </is>
      </c>
      <c r="S337" s="1547" t="inlineStr">
        <is>
          <t>Without</t>
        </is>
      </c>
      <c r="T337" s="1548" t="inlineStr">
        <is>
          <t>With</t>
        </is>
      </c>
      <c r="U337" s="1547" t="inlineStr">
        <is>
          <t>Without</t>
        </is>
      </c>
      <c r="V337" s="1548" t="inlineStr">
        <is>
          <t>With</t>
        </is>
      </c>
      <c r="W337" s="1547" t="inlineStr">
        <is>
          <t>Without</t>
        </is>
      </c>
      <c r="X337" s="1548" t="inlineStr">
        <is>
          <t>With</t>
        </is>
      </c>
      <c r="AI337" s="1270" t="inlineStr">
        <is>
          <t>BIOMASS GAIN &amp; LOSS &amp; BIOMASS BURNING</t>
        </is>
      </c>
      <c r="AJ337" s="1116" t="n"/>
      <c r="AK337" s="1116" t="n"/>
      <c r="AZ337" s="1264" t="inlineStr">
        <is>
          <t>IMPLMENTATION ALONE</t>
        </is>
      </c>
      <c r="BB337" s="1264" t="inlineStr">
        <is>
          <t>IMPLMENTATION ALONE</t>
        </is>
      </c>
      <c r="BE337" s="1264" t="inlineStr">
        <is>
          <t>full</t>
        </is>
      </c>
      <c r="BG337" s="1264" t="inlineStr">
        <is>
          <t>full</t>
        </is>
      </c>
    </row>
    <row r="338">
      <c r="K338" s="1115" t="inlineStr">
        <is>
          <t>Vegetation type</t>
        </is>
      </c>
      <c r="L338" s="1546" t="inlineStr">
        <is>
          <t>(ha)</t>
        </is>
      </c>
      <c r="M338" s="1551" t="inlineStr">
        <is>
          <t>area (ha)</t>
        </is>
      </c>
      <c r="N338" s="1551" t="inlineStr">
        <is>
          <t xml:space="preserve">rate </t>
        </is>
      </c>
      <c r="O338" s="1548" t="inlineStr">
        <is>
          <t>area (ha)</t>
        </is>
      </c>
      <c r="P338" s="1548" t="inlineStr">
        <is>
          <t xml:space="preserve">rate </t>
        </is>
      </c>
      <c r="Q338" s="1547" t="inlineStr">
        <is>
          <t>tCO2</t>
        </is>
      </c>
      <c r="R338" s="1548" t="inlineStr">
        <is>
          <t>tCO2</t>
        </is>
      </c>
      <c r="S338" s="1547" t="inlineStr">
        <is>
          <t>tCO2</t>
        </is>
      </c>
      <c r="T338" s="1548" t="inlineStr">
        <is>
          <t>tCO2</t>
        </is>
      </c>
      <c r="U338" s="1547" t="inlineStr">
        <is>
          <t>tCO2</t>
        </is>
      </c>
      <c r="V338" s="1548" t="inlineStr">
        <is>
          <t>tCO2</t>
        </is>
      </c>
      <c r="W338" s="1547" t="inlineStr">
        <is>
          <t>tCO2</t>
        </is>
      </c>
      <c r="X338" s="1548" t="inlineStr">
        <is>
          <t>tCO2</t>
        </is>
      </c>
      <c r="AI338" s="1102" t="inlineStr">
        <is>
          <t>WITHOUT</t>
        </is>
      </c>
      <c r="AJ338" s="1103" t="inlineStr">
        <is>
          <t>WITH</t>
        </is>
      </c>
      <c r="AK338" s="1104" t="inlineStr">
        <is>
          <t>BALANCE</t>
        </is>
      </c>
      <c r="AX338" s="1272" t="inlineStr">
        <is>
          <t>WITHOUT</t>
        </is>
      </c>
      <c r="AY338" s="1272" t="inlineStr">
        <is>
          <t>WITH</t>
        </is>
      </c>
      <c r="AZ338" s="1272" t="inlineStr">
        <is>
          <t>WITHOUT</t>
        </is>
      </c>
      <c r="BA338" s="1272" t="inlineStr">
        <is>
          <t>WITH</t>
        </is>
      </c>
      <c r="BB338" s="1272" t="inlineStr">
        <is>
          <t>WITHOUT</t>
        </is>
      </c>
      <c r="BC338" s="1272" t="inlineStr">
        <is>
          <t>WITH</t>
        </is>
      </c>
      <c r="BD338" s="1272" t="n"/>
      <c r="BE338" s="1272" t="inlineStr">
        <is>
          <t>WITHOUT</t>
        </is>
      </c>
      <c r="BF338" s="1272" t="inlineStr">
        <is>
          <t>WITH</t>
        </is>
      </c>
      <c r="BG338" s="1272" t="inlineStr">
        <is>
          <t>WITHOUT</t>
        </is>
      </c>
      <c r="BH338" s="1272" t="inlineStr">
        <is>
          <t>WITH</t>
        </is>
      </c>
      <c r="BK338" s="1321" t="inlineStr">
        <is>
          <t>CATEGORIES</t>
        </is>
      </c>
      <c r="BL338" s="1317" t="inlineStr">
        <is>
          <t>WITHOUT</t>
        </is>
      </c>
      <c r="BM338" s="1317" t="inlineStr">
        <is>
          <t>WITH</t>
        </is>
      </c>
      <c r="BP338" s="1321" t="inlineStr">
        <is>
          <t>CATEGORIES</t>
        </is>
      </c>
      <c r="BQ338" s="1317" t="inlineStr">
        <is>
          <t>BALANCE</t>
        </is>
      </c>
      <c r="BR338" s="1317" t="inlineStr">
        <is>
          <t>IMPLEM.</t>
        </is>
      </c>
      <c r="BS338" s="1318" t="inlineStr">
        <is>
          <t>CAPITAL.</t>
        </is>
      </c>
      <c r="BT338" s="1454" t="n"/>
    </row>
    <row r="339">
      <c r="K339" s="1469">
        <f>B327</f>
        <v/>
      </c>
      <c r="L339" s="992">
        <f>'6.Inland wetlands'!$M118</f>
        <v/>
      </c>
      <c r="M339" s="992">
        <f>$L339</f>
        <v/>
      </c>
      <c r="N339" s="1688">
        <f>VLOOKUP('6.Inland wetlands'!$O118, list!$I$48:$J$50, 2, FALSE)</f>
        <v/>
      </c>
      <c r="O339" s="992">
        <f>$L339</f>
        <v/>
      </c>
      <c r="P339" s="1688">
        <f>VLOOKUP('6.Inland wetlands'!$Q118, list!$I$48:$J$50, 2, FALSE)</f>
        <v/>
      </c>
      <c r="Q339" s="3493">
        <f>(($V327-$U327)*(-44/12))*$M339</f>
        <v/>
      </c>
      <c r="R339" s="1151">
        <f>(($W327-$U327)*(-44/12))*$O339</f>
        <v/>
      </c>
      <c r="S339" s="1151">
        <f>(($Y327-$X327)*(-44/12))*$M339</f>
        <v/>
      </c>
      <c r="T339" s="3494">
        <f>(($Z327-$X327)*(-44/12))*$O339</f>
        <v/>
      </c>
      <c r="U339" s="1151" t="n"/>
      <c r="V339" s="1151" t="n"/>
      <c r="W339" s="1151">
        <f>$AF327*$M339</f>
        <v/>
      </c>
      <c r="X339" s="1151">
        <f>$AI327*$O339</f>
        <v/>
      </c>
      <c r="AI339" s="1151">
        <f>W339+U339+S339+Q339</f>
        <v/>
      </c>
      <c r="AJ339" s="1151">
        <f>R339+T339+V339+X339</f>
        <v/>
      </c>
      <c r="AK339" s="3498">
        <f>AJ339-AI339</f>
        <v/>
      </c>
      <c r="AX339" s="1449">
        <f>SUM(Q339,S339)</f>
        <v/>
      </c>
      <c r="AY339" s="1449">
        <f>SUM(R339,T339)</f>
        <v/>
      </c>
      <c r="AZ339" s="1449">
        <f>IF($B327 = "Please select",0,IF($Q327&gt;time,0,1)*2*IF(OR('6.Inland wetlands'!$T118=list!$E$211,'6.Inland wetlands'!$T118=list!$E$213),(MIN($AB327*$M339,$AA327*$L339)*time+ABS($AB327*$M339-$AA327*$L339)*IF($AB327*$M339&gt;$AA327*$L339,time*VLOOKUP($N339,list!$J$48:$K$50,2,FALSE),time*(1-VLOOKUP($N339,list!$J$48:$K$50,2,FALSE)))),0)*VLOOKUP($B327,IPCC!$A$871:$E$906,2,FALSE)*VLOOKUP($B327,IPCC!$A$871:$E$906,4,FALSE)*$S327*(1/$Q327))</f>
        <v/>
      </c>
      <c r="BA339" s="1449">
        <f>IF($B327 = "Please select",0,IF($R327&gt;time,0,1)*2*IF(OR('6.Inland wetlands'!$T118=list!$E$211,'6.Inland wetlands'!$T118=list!$E$213),(MIN($AC327,$AA327)*time+ABS($AC327-$AA327)*IF($AC327&gt;$AA327,time*VLOOKUP($P339,list!$J$48:$K$50,2,FALSE),time*(1-VLOOKUP($P339,list!$J$48:$K$50,2,FALSE)))),0)*VLOOKUP($B327,IPCC!$A$871:$E$906,2,FALSE)*VLOOKUP($B327,IPCC!$A$871:$E$906,4,FALSE)*$T327*(1/$R327)*L339)</f>
        <v/>
      </c>
      <c r="BB339" s="1449">
        <f>IF($B327 = "Please select",0,IF($Q327&gt;time,0,1)*2*IF(OR('6.Inland wetlands'!$T118=list!$E$211,'6.Inland wetlands'!$T118=list!$E$213),(MIN($AB327,$AA327)*time+ABS($AB327-$AA327)*IF($AB327&gt;$AA327,time*VLOOKUP($P339,list!$J$48:$K$50,2,FALSE),time*(1-VLOOKUP($P339,list!$J$48:$K$50,2,FALSE)))),0)*VLOOKUP($B327,IPCC!$A$871:$E$906,2,FALSE)*VLOOKUP($B327,IPCC!$A$871:$E$906,5,FALSE)*$S327*(1/$Q327)*$L339)</f>
        <v/>
      </c>
      <c r="BC339" s="1449">
        <f>IF($B327 = "Please select",0,IF($R327&gt;time,0,1)*2*IF(OR('6.Inland wetlands'!$T118=list!$E$211,'6.Inland wetlands'!$T118=list!$E$213),(MIN($AC327,$AA327)*time+ABS($AC327-$AA327)*IF($AC327&gt;$AA327,time*VLOOKUP($P339,list!$J$48:$K$50,2,FALSE),time*(1-VLOOKUP($P339,list!$J$48:$K$50,2,FALSE)))),0)*VLOOKUP($B327,IPCC!$A$871:$E$906,2,FALSE)*VLOOKUP($B327,IPCC!$A$871:$E$906,5,FALSE)*$T327*(1/$R327)*$L339)</f>
        <v/>
      </c>
      <c r="BD339" s="1449" t="n"/>
      <c r="BE339" s="1449">
        <f>AD327*methane/1000*M339</f>
        <v/>
      </c>
      <c r="BF339" s="1449">
        <f>AG327*methane/1000*O339</f>
        <v/>
      </c>
      <c r="BG339" s="1449">
        <f>AE327*Nitrous/1000*M339</f>
        <v/>
      </c>
      <c r="BH339" s="973">
        <f>AH327*Nitrous/1000*O339</f>
        <v/>
      </c>
      <c r="BK339" s="1084" t="inlineStr">
        <is>
          <t>CO2 biomass</t>
        </is>
      </c>
      <c r="BL339" s="1312">
        <f>SUM($Q339:$Q344,$S339:$S344)</f>
        <v/>
      </c>
      <c r="BM339" s="1312">
        <f>SUM($R339:$R344,$T339:$T344)</f>
        <v/>
      </c>
      <c r="BN339" s="992">
        <f>BM339-BL339</f>
        <v/>
      </c>
      <c r="BP339" s="1084">
        <f>BK339</f>
        <v/>
      </c>
      <c r="BQ339" s="1453">
        <f>BM339-BL339</f>
        <v/>
      </c>
      <c r="BR339" s="1312">
        <f>IF(time=0,0,BQ339)</f>
        <v/>
      </c>
      <c r="BS339" s="1453">
        <f>BQ339-BR339</f>
        <v/>
      </c>
      <c r="BT339" s="1455">
        <f>SUM(BR339:BS339)</f>
        <v/>
      </c>
    </row>
    <row r="340">
      <c r="K340" s="1469">
        <f>B328</f>
        <v/>
      </c>
      <c r="L340" s="992">
        <f>'6.Inland wetlands'!$M119</f>
        <v/>
      </c>
      <c r="M340" s="992">
        <f>$L340</f>
        <v/>
      </c>
      <c r="N340" s="1688">
        <f>VLOOKUP('6.Inland wetlands'!$O119, list!$I$48:$J$50, 2, FALSE)</f>
        <v/>
      </c>
      <c r="O340" s="992">
        <f>$L340</f>
        <v/>
      </c>
      <c r="P340" s="1688">
        <f>VLOOKUP('6.Inland wetlands'!$Q119, list!$I$48:$J$50, 2, FALSE)</f>
        <v/>
      </c>
      <c r="Q340" s="3495">
        <f>(($V328-$U328)*(-44/12))*$M340</f>
        <v/>
      </c>
      <c r="R340" s="1152">
        <f>(($W328-$U328)*(-44/12))*$O340</f>
        <v/>
      </c>
      <c r="S340" s="1152">
        <f>(($Y328-$X328)*(-44/12))*$M340</f>
        <v/>
      </c>
      <c r="T340" s="3504">
        <f>(($Z328-$X328)*(-44/12))*$O340</f>
        <v/>
      </c>
      <c r="U340" s="1152" t="n"/>
      <c r="V340" s="1152" t="n"/>
      <c r="W340" s="1152">
        <f>$AF328*$M340</f>
        <v/>
      </c>
      <c r="X340" s="1152">
        <f>$AI328*$O340</f>
        <v/>
      </c>
      <c r="AI340" s="1152">
        <f>W340+U340+S340+Q340</f>
        <v/>
      </c>
      <c r="AJ340" s="1152">
        <f>R340+T340+V340+X340</f>
        <v/>
      </c>
      <c r="AK340" s="1159">
        <f>AJ340-AI340</f>
        <v/>
      </c>
      <c r="AX340" s="1449">
        <f>SUM(Q340,S340)</f>
        <v/>
      </c>
      <c r="AY340" s="1449">
        <f>SUM(R340,T340)</f>
        <v/>
      </c>
      <c r="AZ340" s="1449">
        <f>IF($B328 = "Please select",0,IF($Q328&gt;time,0,1)*2*IF(OR('6.Inland wetlands'!$T119=list!$E$211,'6.Inland wetlands'!$T119=list!$E$213),(MIN($AB328*$M340,$AA328*$L340)*time+ABS($AB328*$M340-$AA328*$L340)*IF($AB328*$M340&gt;$AA328*$L340,time*VLOOKUP($N340,list!$J$48:$K$50,2,FALSE),time*(1-VLOOKUP($N340,list!$J$48:$K$50,2,FALSE)))),0)*VLOOKUP($B328,IPCC!$A$871:$E$906,2,FALSE)*VLOOKUP($B328,IPCC!$A$871:$E$906,4,FALSE)*$S328*(1/$Q328))</f>
        <v/>
      </c>
      <c r="BA340" s="1449">
        <f>IF($B328 = "Please select",0,IF($R328&gt;time,0,1)*2*IF(OR('6.Inland wetlands'!$T119=list!$E$211,'6.Inland wetlands'!$T119=list!$E$213),(MIN($AC328,$AA328)*time+ABS($AC328-$AA328)*IF($AC328&gt;$AA328,time*VLOOKUP($P340,list!$J$48:$K$50,2,FALSE),time*(1-VLOOKUP($P340,list!$J$48:$K$50,2,FALSE)))),0)*VLOOKUP($B328,IPCC!$A$871:$E$906,2,FALSE)*VLOOKUP($B328,IPCC!$A$871:$E$906,4,FALSE)*$T328*(1/$R328)*L340)</f>
        <v/>
      </c>
      <c r="BB340" s="1449">
        <f>IF($B328 = "Please select",0,IF($Q328&gt;time,0,1)*2*IF(OR('6.Inland wetlands'!$T119=list!$E$211,'6.Inland wetlands'!$T119=list!$E$213),(MIN($AB328,$AA328)*time+ABS($AB328-$AA328)*IF($AB328&gt;$AA328,time*VLOOKUP($P340,list!$J$48:$K$50,2,FALSE),time*(1-VLOOKUP($P340,list!$J$48:$K$50,2,FALSE)))),0)*VLOOKUP($B328,IPCC!$A$871:$E$906,2,FALSE)*VLOOKUP($B328,IPCC!$A$871:$E$906,5,FALSE)*$S328*(1/$Q328)*$L340)</f>
        <v/>
      </c>
      <c r="BC340" s="1449">
        <f>IF($B328 = "Please select",0,IF($R328&gt;time,0,1)*2*IF(OR('6.Inland wetlands'!$T119=list!$E$211,'6.Inland wetlands'!$T119=list!$E$213),(MIN($AC328,$AA328)*time+ABS($AC328-$AA328)*IF($AC328&gt;$AA328,time*VLOOKUP($P340,list!$J$48:$K$50,2,FALSE),time*(1-VLOOKUP($P340,list!$J$48:$K$50,2,FALSE)))),0)*VLOOKUP($B328,IPCC!$A$871:$E$906,2,FALSE)*VLOOKUP($B328,IPCC!$A$871:$E$906,5,FALSE)*$T328*(1/$R328)*$L340)</f>
        <v/>
      </c>
      <c r="BD340" s="1449" t="n"/>
      <c r="BE340" s="1449">
        <f>AD328*methane/1000*M340</f>
        <v/>
      </c>
      <c r="BF340" s="1449">
        <f>AG328*methane/1000*O340</f>
        <v/>
      </c>
      <c r="BG340" s="1449">
        <f>AE328*Nitrous/1000*M340</f>
        <v/>
      </c>
      <c r="BH340" s="973">
        <f>AH328*Nitrous/1000*O340</f>
        <v/>
      </c>
      <c r="BK340" s="1084" t="inlineStr">
        <is>
          <t>CO2 soil drainage</t>
        </is>
      </c>
      <c r="BL340" s="1314">
        <f>SUM($AB373:$AB378)</f>
        <v/>
      </c>
      <c r="BM340" s="1314">
        <f>SUM($AC373:$AC378)</f>
        <v/>
      </c>
      <c r="BN340" s="992">
        <f>BM340-BL340</f>
        <v/>
      </c>
      <c r="BP340" s="1084">
        <f>BK340</f>
        <v/>
      </c>
      <c r="BQ340" s="1453">
        <f>BM340-BL340</f>
        <v/>
      </c>
      <c r="BR340" s="1312">
        <f>IF(time=0,0,SUM(AY373:AY378,BE373:BE378)-SUM(BD373:BD378,AX373:AX378))</f>
        <v/>
      </c>
      <c r="BS340" s="1453">
        <f>BQ340-BR340</f>
        <v/>
      </c>
      <c r="BT340" s="1455">
        <f>SUM(BR340:BS340)</f>
        <v/>
      </c>
    </row>
    <row r="341">
      <c r="K341" s="1469">
        <f>B329</f>
        <v/>
      </c>
      <c r="L341" s="992">
        <f>'6.Inland wetlands'!$M120</f>
        <v/>
      </c>
      <c r="M341" s="992">
        <f>$L341</f>
        <v/>
      </c>
      <c r="N341" s="1688">
        <f>VLOOKUP('6.Inland wetlands'!$O120, list!$I$48:$J$50, 2, FALSE)</f>
        <v/>
      </c>
      <c r="O341" s="992">
        <f>$L341</f>
        <v/>
      </c>
      <c r="P341" s="1688">
        <f>VLOOKUP('6.Inland wetlands'!$Q120, list!$I$48:$J$50, 2, FALSE)</f>
        <v/>
      </c>
      <c r="Q341" s="3495">
        <f>(($V329-$U329)*(-44/12))*$M341</f>
        <v/>
      </c>
      <c r="R341" s="1152">
        <f>(($W329-$U329)*(-44/12))*$O341</f>
        <v/>
      </c>
      <c r="S341" s="1152">
        <f>(($Y329-$X329)*(-44/12))*$M341</f>
        <v/>
      </c>
      <c r="T341" s="3504">
        <f>(($Z329-$X329)*(-44/12))*$O341</f>
        <v/>
      </c>
      <c r="U341" s="1152" t="n"/>
      <c r="V341" s="1152" t="n"/>
      <c r="W341" s="1152">
        <f>$AF329*$M341</f>
        <v/>
      </c>
      <c r="X341" s="1152">
        <f>$AI329*$O341</f>
        <v/>
      </c>
      <c r="AI341" s="1152">
        <f>W341+U341+S341+Q341</f>
        <v/>
      </c>
      <c r="AJ341" s="1152">
        <f>R341+T341+V341+X341</f>
        <v/>
      </c>
      <c r="AK341" s="1159">
        <f>AJ341-AI341</f>
        <v/>
      </c>
      <c r="AX341" s="1449">
        <f>SUM(Q341,S341)</f>
        <v/>
      </c>
      <c r="AY341" s="1449">
        <f>SUM(R341,T341)</f>
        <v/>
      </c>
      <c r="AZ341" s="1449">
        <f>IF($B329 = "Please select",0,IF($Q329&gt;time,0,1)*2*IF(OR('6.Inland wetlands'!$T120=list!$E$211,'6.Inland wetlands'!$T120=list!$E$213),(MIN($AB329*$M341,$AA329*$L341)*time+ABS($AB329*$M341-$AA329*$L341)*IF($AB329*$M341&gt;$AA329*$L341,time*VLOOKUP($N341,list!$J$48:$K$50,2,FALSE),time*(1-VLOOKUP($N341,list!$J$48:$K$50,2,FALSE)))),0)*VLOOKUP($B329,IPCC!$A$871:$E$906,2,FALSE)*VLOOKUP($B329,IPCC!$A$871:$E$906,4,FALSE)*$S329*(1/$Q329))</f>
        <v/>
      </c>
      <c r="BA341" s="1449">
        <f>IF($B329 = "Please select",0,IF($R329&gt;time,0,1)*2*IF(OR('6.Inland wetlands'!$T120=list!$E$211,'6.Inland wetlands'!$T120=list!$E$213),(MIN($AC329,$AA329)*time+ABS($AC329-$AA329)*IF($AC329&gt;$AA329,time*VLOOKUP($P341,list!$J$48:$K$50,2,FALSE),time*(1-VLOOKUP($P341,list!$J$48:$K$50,2,FALSE)))),0)*VLOOKUP($B329,IPCC!$A$871:$E$906,2,FALSE)*VLOOKUP($B329,IPCC!$A$871:$E$906,4,FALSE)*$T329*(1/$R329)*L341)</f>
        <v/>
      </c>
      <c r="BB341" s="1449">
        <f>IF($B329 = "Please select",0,IF($Q329&gt;time,0,1)*2*IF(OR('6.Inland wetlands'!$T120=list!$E$211,'6.Inland wetlands'!$T120=list!$E$213),(MIN($AB329,$AA329)*time+ABS($AB329-$AA329)*IF($AB329&gt;$AA329,time*VLOOKUP($P341,list!$J$48:$K$50,2,FALSE),time*(1-VLOOKUP($P341,list!$J$48:$K$50,2,FALSE)))),0)*VLOOKUP($B329,IPCC!$A$871:$E$906,2,FALSE)*VLOOKUP($B329,IPCC!$A$871:$E$906,5,FALSE)*$S329*(1/$Q329)*$L341)</f>
        <v/>
      </c>
      <c r="BC341" s="1449">
        <f>IF($B329 = "Please select",0,IF($R329&gt;time,0,1)*2*IF(OR('6.Inland wetlands'!$T120=list!$E$211,'6.Inland wetlands'!$T120=list!$E$213),(MIN($AC329,$AA329)*time+ABS($AC329-$AA329)*IF($AC329&gt;$AA329,time*VLOOKUP($P341,list!$J$48:$K$50,2,FALSE),time*(1-VLOOKUP($P341,list!$J$48:$K$50,2,FALSE)))),0)*VLOOKUP($B329,IPCC!$A$871:$E$906,2,FALSE)*VLOOKUP($B329,IPCC!$A$871:$E$906,5,FALSE)*$T329*(1/$R329)*$L341)</f>
        <v/>
      </c>
      <c r="BD341" s="1449" t="n"/>
      <c r="BE341" s="1449">
        <f>AD329*methane/1000*M341</f>
        <v/>
      </c>
      <c r="BF341" s="1449">
        <f>AG329*methane/1000*O341</f>
        <v/>
      </c>
      <c r="BG341" s="1449">
        <f>AE329*Nitrous/1000*M341</f>
        <v/>
      </c>
      <c r="BH341" s="973">
        <f>AH329*Nitrous/1000*O341</f>
        <v/>
      </c>
      <c r="BK341" s="1084" t="inlineStr">
        <is>
          <t>CH4 soil drainage</t>
        </is>
      </c>
      <c r="BL341" s="1314">
        <f>SUM($AD373:$AD378)</f>
        <v/>
      </c>
      <c r="BM341" s="1314">
        <f>SUM($AE373:$AE378)</f>
        <v/>
      </c>
      <c r="BN341" s="992">
        <f>BM341-BL341</f>
        <v/>
      </c>
      <c r="BP341" s="1084">
        <f>BK341</f>
        <v/>
      </c>
      <c r="BQ341" s="1453">
        <f>BM341-BL341</f>
        <v/>
      </c>
      <c r="BR341" s="1312">
        <f>IF(time=0,0,SUM(BA373:BA378,BG373:BG378)-SUM(BF373:BF378,AZ373:AZ378))</f>
        <v/>
      </c>
      <c r="BS341" s="1453">
        <f>BQ341-BR341</f>
        <v/>
      </c>
      <c r="BT341" s="1455">
        <f>SUM(BR341:BS341)</f>
        <v/>
      </c>
    </row>
    <row r="342">
      <c r="K342" s="1469">
        <f>B330</f>
        <v/>
      </c>
      <c r="L342" s="992">
        <f>'6.Inland wetlands'!$M121</f>
        <v/>
      </c>
      <c r="M342" s="992">
        <f>$L342</f>
        <v/>
      </c>
      <c r="N342" s="1688">
        <f>VLOOKUP('6.Inland wetlands'!$O121, list!$I$48:$J$50, 2, FALSE)</f>
        <v/>
      </c>
      <c r="O342" s="992">
        <f>$L342</f>
        <v/>
      </c>
      <c r="P342" s="1688">
        <f>VLOOKUP('6.Inland wetlands'!$Q121, list!$I$48:$J$50, 2, FALSE)</f>
        <v/>
      </c>
      <c r="Q342" s="3495">
        <f>(($V330-$U330)*(-44/12))*$M342</f>
        <v/>
      </c>
      <c r="R342" s="1152">
        <f>(($W330-$U330)*(-44/12))*$O342</f>
        <v/>
      </c>
      <c r="S342" s="1152">
        <f>(($Y330-$X330)*(-44/12))*$M342</f>
        <v/>
      </c>
      <c r="T342" s="3504">
        <f>(($Z330-$X330)*(-44/12))*$O342</f>
        <v/>
      </c>
      <c r="U342" s="1152" t="n"/>
      <c r="V342" s="1152" t="n"/>
      <c r="W342" s="1152">
        <f>$AF330*$M342</f>
        <v/>
      </c>
      <c r="X342" s="1152">
        <f>$AI330*$O342</f>
        <v/>
      </c>
      <c r="AI342" s="1152">
        <f>W342+U342+S342+Q342</f>
        <v/>
      </c>
      <c r="AJ342" s="1152">
        <f>R342+T342+V342+X342</f>
        <v/>
      </c>
      <c r="AK342" s="1159">
        <f>AJ342-AI342</f>
        <v/>
      </c>
      <c r="AX342" s="1449">
        <f>SUM(Q342,S342)</f>
        <v/>
      </c>
      <c r="AY342" s="1449">
        <f>SUM(R342,T342)</f>
        <v/>
      </c>
      <c r="AZ342" s="1449">
        <f>IF($B330 = "Please select",0,IF($Q330&gt;time,0,1)*2*IF(OR('6.Inland wetlands'!$T121=list!$E$211,'6.Inland wetlands'!$T121=list!$E$213),(MIN($AB330*$M342,$AA330*$L342)*time+ABS($AB330*$M342-$AA330*$L342)*IF($AB330*$M342&gt;$AA330*$L342,time*VLOOKUP($N342,list!$J$48:$K$50,2,FALSE),time*(1-VLOOKUP($N342,list!$J$48:$K$50,2,FALSE)))),0)*VLOOKUP($B330,IPCC!$A$871:$E$906,2,FALSE)*VLOOKUP($B330,IPCC!$A$871:$E$906,4,FALSE)*$S330*(1/$Q330))</f>
        <v/>
      </c>
      <c r="BA342" s="1449">
        <f>IF($B330 = "Please select",0,IF($R330&gt;time,0,1)*2*IF(OR('6.Inland wetlands'!$T121=list!$E$211,'6.Inland wetlands'!$T121=list!$E$213),(MIN($AC330,$AA330)*time+ABS($AC330-$AA330)*IF($AC330&gt;$AA330,time*VLOOKUP($P342,list!$J$48:$K$50,2,FALSE),time*(1-VLOOKUP($P342,list!$J$48:$K$50,2,FALSE)))),0)*VLOOKUP($B330,IPCC!$A$871:$E$906,2,FALSE)*VLOOKUP($B330,IPCC!$A$871:$E$906,4,FALSE)*$T330*(1/$R330)*L342)</f>
        <v/>
      </c>
      <c r="BB342" s="1449">
        <f>IF($B330 = "Please select",0,IF($Q330&gt;time,0,1)*2*IF(OR('6.Inland wetlands'!$T121=list!$E$211,'6.Inland wetlands'!$T121=list!$E$213),(MIN($AB330,$AA330)*time+ABS($AB330-$AA330)*IF($AB330&gt;$AA330,time*VLOOKUP($P342,list!$J$48:$K$50,2,FALSE),time*(1-VLOOKUP($P342,list!$J$48:$K$50,2,FALSE)))),0)*VLOOKUP($B330,IPCC!$A$871:$E$906,2,FALSE)*VLOOKUP($B330,IPCC!$A$871:$E$906,5,FALSE)*$S330*(1/$Q330)*$L342)</f>
        <v/>
      </c>
      <c r="BC342" s="1449">
        <f>IF($B330 = "Please select",0,IF($R330&gt;time,0,1)*2*IF(OR('6.Inland wetlands'!$T121=list!$E$211,'6.Inland wetlands'!$T121=list!$E$213),(MIN($AC330,$AA330)*time+ABS($AC330-$AA330)*IF($AC330&gt;$AA330,time*VLOOKUP($P342,list!$J$48:$K$50,2,FALSE),time*(1-VLOOKUP($P342,list!$J$48:$K$50,2,FALSE)))),0)*VLOOKUP($B330,IPCC!$A$871:$E$906,2,FALSE)*VLOOKUP($B330,IPCC!$A$871:$E$906,5,FALSE)*$T330*(1/$R330)*$L342)</f>
        <v/>
      </c>
      <c r="BD342" s="1449" t="n"/>
      <c r="BE342" s="1449">
        <f>AD330*methane/1000*M342</f>
        <v/>
      </c>
      <c r="BF342" s="1449">
        <f>AG330*methane/1000*O342</f>
        <v/>
      </c>
      <c r="BG342" s="1449">
        <f>AE330*Nitrous/1000*M342</f>
        <v/>
      </c>
      <c r="BH342" s="973">
        <f>AH330*Nitrous/1000*O342</f>
        <v/>
      </c>
      <c r="BK342" s="1084" t="inlineStr">
        <is>
          <t>N2O soil drainage</t>
        </is>
      </c>
      <c r="BL342" s="1314">
        <f>SUM($AF373:$AF378)</f>
        <v/>
      </c>
      <c r="BM342" s="1314">
        <f>SUM($AG373:$AG378)</f>
        <v/>
      </c>
      <c r="BN342" s="992">
        <f>BM342-BL342</f>
        <v/>
      </c>
      <c r="BP342" s="1084">
        <f>BK342</f>
        <v/>
      </c>
      <c r="BQ342" s="1453">
        <f>BM342-BL342</f>
        <v/>
      </c>
      <c r="BR342" s="1312">
        <f>IF(time=0,0,SUM(BC373:BC378)-SUM(BB373:BB378))</f>
        <v/>
      </c>
      <c r="BS342" s="1453">
        <f>BQ342-BR342</f>
        <v/>
      </c>
      <c r="BT342" s="1455">
        <f>SUM(BR342:BS342)</f>
        <v/>
      </c>
    </row>
    <row r="343">
      <c r="K343" s="1469">
        <f>B331</f>
        <v/>
      </c>
      <c r="L343" s="992">
        <f>'6.Inland wetlands'!$M122</f>
        <v/>
      </c>
      <c r="M343" s="992">
        <f>$L343</f>
        <v/>
      </c>
      <c r="N343" s="1688">
        <f>VLOOKUP('6.Inland wetlands'!$O122, list!$I$48:$J$50, 2, FALSE)</f>
        <v/>
      </c>
      <c r="O343" s="992">
        <f>$L343</f>
        <v/>
      </c>
      <c r="P343" s="1688">
        <f>VLOOKUP('6.Inland wetlands'!$Q122, list!$I$48:$J$50, 2, FALSE)</f>
        <v/>
      </c>
      <c r="Q343" s="3495">
        <f>(($V331-$U331)*(-44/12))*$M343</f>
        <v/>
      </c>
      <c r="R343" s="1152">
        <f>(($W331-$U331)*(-44/12))*$O343</f>
        <v/>
      </c>
      <c r="S343" s="1152">
        <f>(($Y331-$X331)*(-44/12))*$M343</f>
        <v/>
      </c>
      <c r="T343" s="3504">
        <f>(($Z331-$X331)*(-44/12))*$O343</f>
        <v/>
      </c>
      <c r="U343" s="1152" t="n"/>
      <c r="V343" s="1152" t="n"/>
      <c r="W343" s="1152">
        <f>$AF331*$M343</f>
        <v/>
      </c>
      <c r="X343" s="1152">
        <f>$AI331*$O343</f>
        <v/>
      </c>
      <c r="AI343" s="1152">
        <f>W343+U343+S343+Q343</f>
        <v/>
      </c>
      <c r="AJ343" s="1152">
        <f>R343+T343+V343+X343</f>
        <v/>
      </c>
      <c r="AK343" s="1159">
        <f>AJ343-AI343</f>
        <v/>
      </c>
      <c r="AX343" s="1449">
        <f>SUM(Q343,S343)</f>
        <v/>
      </c>
      <c r="AY343" s="1449">
        <f>SUM(R343,T343)</f>
        <v/>
      </c>
      <c r="AZ343" s="1449">
        <f>IF($B331 = "Please select",0,IF($Q331&gt;time,0,1)*2*IF(OR('6.Inland wetlands'!$T122=list!$E$211,'6.Inland wetlands'!$T122=list!$E$213),(MIN($AB331*$M343,$AA331*$L343)*time+ABS($AB331*$M343-$AA331*$L343)*IF($AB331*$M343&gt;$AA331*$L343,time*VLOOKUP($N343,list!$J$48:$K$50,2,FALSE),time*(1-VLOOKUP($N343,list!$J$48:$K$50,2,FALSE)))),0)*VLOOKUP($B331,IPCC!$A$871:$E$906,2,FALSE)*VLOOKUP($B331,IPCC!$A$871:$E$906,4,FALSE)*$S331*(1/$Q331))</f>
        <v/>
      </c>
      <c r="BA343" s="1449">
        <f>IF($B331 = "Please select",0,IF($R331&gt;time,0,1)*2*IF(OR('6.Inland wetlands'!$T122=list!$E$211,'6.Inland wetlands'!$T122=list!$E$213),(MIN($AC331,$AA331)*time+ABS($AC331-$AA331)*IF($AC331&gt;$AA331,time*VLOOKUP($P343,list!$J$48:$K$50,2,FALSE),time*(1-VLOOKUP($P343,list!$J$48:$K$50,2,FALSE)))),0)*VLOOKUP($B331,IPCC!$A$871:$E$906,2,FALSE)*VLOOKUP($B331,IPCC!$A$871:$E$906,4,FALSE)*$T331*(1/$R331)*L343)</f>
        <v/>
      </c>
      <c r="BB343" s="1449">
        <f>IF($B331 = "Please select",0,IF($Q331&gt;time,0,1)*2*IF(OR('6.Inland wetlands'!$T122=list!$E$211,'6.Inland wetlands'!$T122=list!$E$213),(MIN($AB331,$AA331)*time+ABS($AB331-$AA331)*IF($AB331&gt;$AA331,time*VLOOKUP($P343,list!$J$48:$K$50,2,FALSE),time*(1-VLOOKUP($P343,list!$J$48:$K$50,2,FALSE)))),0)*VLOOKUP($B331,IPCC!$A$871:$E$906,2,FALSE)*VLOOKUP($B331,IPCC!$A$871:$E$906,5,FALSE)*$S331*(1/$Q331)*$L343)</f>
        <v/>
      </c>
      <c r="BC343" s="1449">
        <f>IF($B331 = "Please select",0,IF($R331&gt;time,0,1)*2*IF(OR('6.Inland wetlands'!$T122=list!$E$211,'6.Inland wetlands'!$T122=list!$E$213),(MIN($AC331,$AA331)*time+ABS($AC331-$AA331)*IF($AC331&gt;$AA331,time*VLOOKUP($P343,list!$J$48:$K$50,2,FALSE),time*(1-VLOOKUP($P343,list!$J$48:$K$50,2,FALSE)))),0)*VLOOKUP($B331,IPCC!$A$871:$E$906,2,FALSE)*VLOOKUP($B331,IPCC!$A$871:$E$906,5,FALSE)*$T331*(1/$R331)*$L343)</f>
        <v/>
      </c>
      <c r="BD343" s="1449" t="n"/>
      <c r="BE343" s="1449">
        <f>AD331*methane/1000*M343</f>
        <v/>
      </c>
      <c r="BF343" s="1449">
        <f>AG331*methane/1000*O343</f>
        <v/>
      </c>
      <c r="BG343" s="1449">
        <f>AE331*Nitrous/1000*M343</f>
        <v/>
      </c>
      <c r="BH343" s="973">
        <f>AH331*Nitrous/1000*O343</f>
        <v/>
      </c>
      <c r="BK343" s="1084" t="inlineStr">
        <is>
          <t>CO2 soil rewetting</t>
        </is>
      </c>
      <c r="BL343" s="1314">
        <f>SUM($AB388:$AB393)</f>
        <v/>
      </c>
      <c r="BM343" s="1314">
        <f>SUM($AC388:$AC393)</f>
        <v/>
      </c>
      <c r="BN343" s="992">
        <f>BM343-BL343</f>
        <v/>
      </c>
      <c r="BP343" s="1084">
        <f>BK343</f>
        <v/>
      </c>
      <c r="BQ343" s="1453">
        <f>BM343-BL343</f>
        <v/>
      </c>
      <c r="BR343" s="1312">
        <f>IF(time=0,0,SUM(AY388:AY393)-SUM(AX388:AX393))</f>
        <v/>
      </c>
      <c r="BS343" s="1453">
        <f>BQ343-BR343</f>
        <v/>
      </c>
      <c r="BT343" s="1455">
        <f>SUM(BR343:BS343)</f>
        <v/>
      </c>
    </row>
    <row r="344">
      <c r="K344" s="1469">
        <f>B332</f>
        <v/>
      </c>
      <c r="L344" s="992">
        <f>'6.Inland wetlands'!$M123</f>
        <v/>
      </c>
      <c r="M344" s="992">
        <f>$L344</f>
        <v/>
      </c>
      <c r="N344" s="1688">
        <f>VLOOKUP('6.Inland wetlands'!$O123, list!$I$48:$J$50, 2, FALSE)</f>
        <v/>
      </c>
      <c r="O344" s="992">
        <f>$L344</f>
        <v/>
      </c>
      <c r="P344" s="1688">
        <f>VLOOKUP('6.Inland wetlands'!$Q123, list!$I$48:$J$50, 2, FALSE)</f>
        <v/>
      </c>
      <c r="Q344" s="3496">
        <f>(($V332-$U332)*(-44/12))*$M344</f>
        <v/>
      </c>
      <c r="R344" s="1153">
        <f>(($W332-$U332)*(-44/12))*$O344</f>
        <v/>
      </c>
      <c r="S344" s="1153">
        <f>(($Y332-$X332)*(-44/12))*$M344</f>
        <v/>
      </c>
      <c r="T344" s="3505">
        <f>(($Z332-$X332)*(-44/12))*$O344</f>
        <v/>
      </c>
      <c r="U344" s="1153" t="n"/>
      <c r="V344" s="1153" t="n"/>
      <c r="W344" s="1153">
        <f>$AF332*$M344</f>
        <v/>
      </c>
      <c r="X344" s="1153">
        <f>$AI332*$O344</f>
        <v/>
      </c>
      <c r="AI344" s="1153">
        <f>W344+U344+S344+Q344</f>
        <v/>
      </c>
      <c r="AJ344" s="1153">
        <f>R344+T344+V344+X344</f>
        <v/>
      </c>
      <c r="AK344" s="3499">
        <f>AJ344-AI344</f>
        <v/>
      </c>
      <c r="AX344" s="1449">
        <f>SUM(Q344,S344)</f>
        <v/>
      </c>
      <c r="AY344" s="1449">
        <f>SUM(R344,T344)</f>
        <v/>
      </c>
      <c r="AZ344" s="1449">
        <f>IF($B332 = "Please select",0,IF($Q332&gt;time,0,1)*2*IF(OR('6.Inland wetlands'!$T123=list!$E$211,'6.Inland wetlands'!$T123=list!$E$213),(MIN($AB332*$M344,$AA332*$L344)*time+ABS($AB332*$M344-$AA332*$L344)*IF($AB332*$M344&gt;$AA332*$L344,time*VLOOKUP($N344,list!$J$48:$K$50,2,FALSE),time*(1-VLOOKUP($N344,list!$J$48:$K$50,2,FALSE)))),0)*VLOOKUP($B332,IPCC!$A$871:$E$906,2,FALSE)*VLOOKUP($B332,IPCC!$A$871:$E$906,4,FALSE)*$S332*(1/$Q332))</f>
        <v/>
      </c>
      <c r="BA344" s="1449">
        <f>IF($B332 = "Please select",0,IF($R332&gt;time,0,1)*2*IF(OR('6.Inland wetlands'!$T123=list!$E$211,'6.Inland wetlands'!$T123=list!$E$213),(MIN($AC332,$AA332)*time+ABS($AC332-$AA332)*IF($AC332&gt;$AA332,time*VLOOKUP($P344,list!$J$48:$K$50,2,FALSE),time*(1-VLOOKUP($P344,list!$J$48:$K$50,2,FALSE)))),0)*VLOOKUP($B332,IPCC!$A$871:$E$906,2,FALSE)*VLOOKUP($B332,IPCC!$A$871:$E$906,4,FALSE)*$T332*(1/$R332)*L344)</f>
        <v/>
      </c>
      <c r="BB344" s="1449">
        <f>IF($B332 = "Please select",0,IF($Q332&gt;time,0,1)*2*IF(OR('6.Inland wetlands'!$T123=list!$E$211,'6.Inland wetlands'!$T123=list!$E$213),(MIN($AB332,$AA332)*time+ABS($AB332-$AA332)*IF($AB332&gt;$AA332,time*VLOOKUP($P344,list!$J$48:$K$50,2,FALSE),time*(1-VLOOKUP($P344,list!$J$48:$K$50,2,FALSE)))),0)*VLOOKUP($B332,IPCC!$A$871:$E$906,2,FALSE)*VLOOKUP($B332,IPCC!$A$871:$E$906,5,FALSE)*$S332*(1/$Q332)*$L344)</f>
        <v/>
      </c>
      <c r="BC344" s="1449">
        <f>IF($B332 = "Please select",0,IF($R332&gt;time,0,1)*2*IF(OR('6.Inland wetlands'!$T123=list!$E$211,'6.Inland wetlands'!$T123=list!$E$213),(MIN($AC332,$AA332)*time+ABS($AC332-$AA332)*IF($AC332&gt;$AA332,time*VLOOKUP($P344,list!$J$48:$K$50,2,FALSE),time*(1-VLOOKUP($P344,list!$J$48:$K$50,2,FALSE)))),0)*VLOOKUP($B332,IPCC!$A$871:$E$906,2,FALSE)*VLOOKUP($B332,IPCC!$A$871:$E$906,5,FALSE)*$T332*(1/$R332)*$L344)</f>
        <v/>
      </c>
      <c r="BD344" s="1449" t="n"/>
      <c r="BE344" s="1449">
        <f>AD332*methane/1000*M344</f>
        <v/>
      </c>
      <c r="BF344" s="1449">
        <f>AG332*methane/1000*O344</f>
        <v/>
      </c>
      <c r="BG344" s="1449">
        <f>AE332*Nitrous/1000*M344</f>
        <v/>
      </c>
      <c r="BH344" s="973">
        <f>AH332*Nitrous/1000*O344</f>
        <v/>
      </c>
      <c r="BK344" s="1084" t="inlineStr">
        <is>
          <t>CH4 soil rewetting</t>
        </is>
      </c>
      <c r="BL344" s="1314">
        <f>SUM($AD388:$AD393)</f>
        <v/>
      </c>
      <c r="BM344" s="1314">
        <f>SUM($AE388:$AE393)</f>
        <v/>
      </c>
      <c r="BN344" s="992">
        <f>BM344-BL344</f>
        <v/>
      </c>
      <c r="BP344" s="1084">
        <f>BK344</f>
        <v/>
      </c>
      <c r="BQ344" s="1453">
        <f>BM344-BL344</f>
        <v/>
      </c>
      <c r="BR344" s="1312">
        <f>IF(time=0,0,SUM(BA388:BA393)-SUM(AZ388:AZ393))</f>
        <v/>
      </c>
      <c r="BS344" s="1453">
        <f>BQ344-BR344</f>
        <v/>
      </c>
      <c r="BT344" s="1455">
        <f>SUM(BR344:BS344)</f>
        <v/>
      </c>
    </row>
    <row r="345">
      <c r="P345" s="1469" t="n"/>
      <c r="Q345" s="992" t="n"/>
      <c r="R345" s="992" t="n"/>
      <c r="S345" s="992" t="n"/>
      <c r="T345" s="992" t="n"/>
      <c r="U345" s="992" t="n"/>
      <c r="V345" s="992" t="n"/>
      <c r="W345" s="992" t="n"/>
      <c r="X345" s="992" t="n"/>
      <c r="AI345" s="992" t="n"/>
      <c r="AJ345" s="992" t="n"/>
      <c r="AK345" s="992" t="n"/>
      <c r="BE345" s="1449" t="n"/>
      <c r="BF345" s="1449" t="n"/>
      <c r="BG345" s="1449" t="n"/>
      <c r="BK345" s="1084" t="inlineStr">
        <is>
          <t>N2O soil rewetting</t>
        </is>
      </c>
      <c r="BL345" s="1314">
        <f>SUM($AF388:$AF393)</f>
        <v/>
      </c>
      <c r="BM345" s="1314">
        <f>SUM($AG388:$AG393)</f>
        <v/>
      </c>
      <c r="BN345" s="992">
        <f>BM345-BL345</f>
        <v/>
      </c>
      <c r="BP345" s="1084">
        <f>BK345</f>
        <v/>
      </c>
      <c r="BQ345" s="1453">
        <f>BM345-BL345</f>
        <v/>
      </c>
      <c r="BR345" s="1312">
        <f>IF(time=0,0,SUM(BC388:BC393)-SUM(BB388:BB393))</f>
        <v/>
      </c>
      <c r="BS345" s="1453">
        <f>BQ345-BR345</f>
        <v/>
      </c>
      <c r="BT345" s="1455">
        <f>SUM(BR345:BS345)</f>
        <v/>
      </c>
    </row>
    <row r="346">
      <c r="AX346" s="1461">
        <f>SUM(AX339:AX344)</f>
        <v/>
      </c>
      <c r="AY346" s="1461">
        <f>SUM(AY339:AY344)</f>
        <v/>
      </c>
      <c r="AZ346" s="1461">
        <f>SUM(AZ339:AZ344)</f>
        <v/>
      </c>
      <c r="BA346" s="1461">
        <f>SUM(BA339:BA344)</f>
        <v/>
      </c>
      <c r="BB346" s="1461">
        <f>SUM(BB339:BB344)</f>
        <v/>
      </c>
      <c r="BC346" s="1461">
        <f>SUM(BC339:BC344)</f>
        <v/>
      </c>
      <c r="BD346" s="1461" t="n"/>
      <c r="BE346" s="1449" t="n"/>
      <c r="BF346" s="1449" t="n"/>
      <c r="BG346" s="1449" t="n"/>
      <c r="BK346" s="1084" t="inlineStr">
        <is>
          <t>CO2 Fire</t>
        </is>
      </c>
      <c r="BL346" s="1314">
        <f>SUM($AD357:$AD362)</f>
        <v/>
      </c>
      <c r="BM346" s="1314">
        <f>SUM($AE357:$AE362)</f>
        <v/>
      </c>
      <c r="BN346" s="992">
        <f>BM346-BL346</f>
        <v/>
      </c>
      <c r="BP346" s="1084">
        <f>BK346</f>
        <v/>
      </c>
      <c r="BQ346" s="1453">
        <f>BM346-BL346</f>
        <v/>
      </c>
      <c r="BR346" s="1312">
        <f>IF(time=0,0,SUM(AY357:AY362)-SUM(AX357:AX362))</f>
        <v/>
      </c>
      <c r="BS346" s="1453">
        <f>BQ346-BR346</f>
        <v/>
      </c>
      <c r="BT346" s="1455">
        <f>SUM(BR346:BS346)</f>
        <v/>
      </c>
    </row>
    <row r="347">
      <c r="AY347" s="1451">
        <f>AY346-AX346</f>
        <v/>
      </c>
      <c r="AZ347" s="1451" t="n"/>
      <c r="BA347" s="1451">
        <f>BA346-AZ346</f>
        <v/>
      </c>
      <c r="BB347" s="1451" t="n"/>
      <c r="BC347" s="1451">
        <f>BC346-BB346</f>
        <v/>
      </c>
      <c r="BD347" s="1451" t="n"/>
      <c r="BE347" s="1451" t="n"/>
      <c r="BF347" s="1451" t="n"/>
      <c r="BG347" s="1451" t="n"/>
      <c r="BK347" s="1084" t="inlineStr">
        <is>
          <t>CH4 Fire</t>
        </is>
      </c>
      <c r="BL347" s="1314">
        <f>SUM(BE339:BE344,BE357:BE362)</f>
        <v/>
      </c>
      <c r="BM347" s="1314">
        <f>SUM(BF339:BF344,BF357:BF362)</f>
        <v/>
      </c>
      <c r="BN347" s="992">
        <f>BM347-BL347</f>
        <v/>
      </c>
      <c r="BP347" s="1084">
        <f>BK347</f>
        <v/>
      </c>
      <c r="BQ347" s="1453">
        <f>BM347-BL347</f>
        <v/>
      </c>
      <c r="BR347" s="1312">
        <f>IF(time=0,0,SUM(BA357:BA362)-SUM(AZ357:AZ362)+SUM(BA339:BA344)-SUM(AZ339:AZ344))</f>
        <v/>
      </c>
      <c r="BS347" s="1453">
        <f>BQ347-BR347</f>
        <v/>
      </c>
      <c r="BT347" s="1455">
        <f>SUM(BR347:BS347)</f>
        <v/>
      </c>
    </row>
    <row r="348">
      <c r="BK348" s="1459" t="inlineStr">
        <is>
          <t>N2O Fire</t>
        </is>
      </c>
      <c r="BL348" s="1319">
        <f>SUM(BG339:BG344)</f>
        <v/>
      </c>
      <c r="BM348" s="1319">
        <f>SUM(BH339:BH344)</f>
        <v/>
      </c>
      <c r="BN348" s="992">
        <f>BM348-BL348</f>
        <v/>
      </c>
      <c r="BP348" s="1459">
        <f>BK348</f>
        <v/>
      </c>
      <c r="BQ348" s="1453">
        <f>BM348-BL348</f>
        <v/>
      </c>
      <c r="BR348" s="1499">
        <f>IF(time=0,0,SUM(BC339:BC344)-SUM(BB339:BB344))</f>
        <v/>
      </c>
      <c r="BS348" s="1320">
        <f>BQ348-BR348</f>
        <v/>
      </c>
      <c r="BT348" s="1455">
        <f>SUM(BR348:BS348)</f>
        <v/>
      </c>
    </row>
    <row r="349" ht="30.5" customFormat="1" customHeight="1" s="1089">
      <c r="B349" s="1112" t="inlineStr">
        <is>
          <t>Emissions from soil loss of on-site and off-site carbon (CO2, DOC), on-site and off-site methane (CH4), on-site nitrous oxide (N2O) associated with drainage and fire on organic soils</t>
        </is>
      </c>
      <c r="C349" s="1113" t="n"/>
      <c r="D349" s="1113" t="n"/>
      <c r="E349" s="1113" t="n"/>
      <c r="F349" s="1113" t="n"/>
      <c r="G349" s="1113" t="n"/>
      <c r="H349" s="1113" t="n"/>
      <c r="I349" s="1113" t="n"/>
      <c r="J349" s="1113" t="n"/>
      <c r="K349" s="1113" t="n"/>
      <c r="L349" s="1113" t="n"/>
      <c r="M349" s="1113" t="n"/>
      <c r="N349" s="1113" t="n"/>
      <c r="O349" s="1113" t="n"/>
      <c r="P349" s="1113" t="n"/>
      <c r="Q349" s="1113" t="n"/>
      <c r="R349" s="1113" t="n"/>
      <c r="S349" s="1113" t="n"/>
      <c r="T349" s="1113" t="n"/>
      <c r="U349" s="1113" t="n"/>
      <c r="V349" s="1113" t="n"/>
      <c r="W349" s="1113" t="n"/>
      <c r="X349" s="1113" t="n"/>
      <c r="Y349" s="1113" t="n"/>
      <c r="Z349" s="1113" t="n"/>
      <c r="AA349" s="1113" t="n"/>
      <c r="AB349" s="1113" t="n"/>
      <c r="AC349" s="1113" t="n"/>
      <c r="AD349" s="1113" t="n"/>
      <c r="AE349" s="1113" t="n"/>
      <c r="AF349" s="1113" t="n"/>
      <c r="AG349" s="1113" t="n"/>
      <c r="AH349" s="1113" t="n"/>
      <c r="AI349" s="1113" t="n"/>
      <c r="AJ349" s="1113" t="n"/>
      <c r="AK349" s="1113" t="n"/>
      <c r="AO349" s="973" t="n"/>
      <c r="AP349" s="973" t="n"/>
      <c r="AQ349" s="973" t="n"/>
      <c r="AR349" s="973" t="n"/>
      <c r="AS349" s="973" t="n"/>
      <c r="AT349" s="973" t="n"/>
      <c r="AU349" s="973" t="n"/>
      <c r="AV349" s="973" t="n"/>
      <c r="AW349" s="973" t="n"/>
      <c r="AX349" s="1447" t="n"/>
      <c r="AY349" s="1447" t="n"/>
      <c r="AZ349" s="1447" t="n"/>
      <c r="BA349" s="1447" t="n"/>
      <c r="BB349" s="1447" t="n"/>
      <c r="BC349" s="1447" t="n"/>
      <c r="BD349" s="1447" t="n"/>
      <c r="BE349" s="1447" t="n"/>
      <c r="BF349" s="1447" t="n"/>
      <c r="BG349" s="1447" t="n"/>
      <c r="BK349" s="973" t="n"/>
      <c r="BL349" s="973" t="n"/>
      <c r="BM349" s="973" t="n"/>
      <c r="BN349" s="1688" t="n"/>
      <c r="BO349" s="973" t="n"/>
      <c r="BP349" s="1316" t="n"/>
      <c r="BQ349" s="1460">
        <f>SUM(BQ339:BQ348)</f>
        <v/>
      </c>
      <c r="BR349" s="1460">
        <f>SUM(BR339:BR348)</f>
        <v/>
      </c>
      <c r="BS349" s="1460">
        <f>SUM(BS339:BS348)</f>
        <v/>
      </c>
      <c r="BT349" s="992">
        <f>BR349+BS349</f>
        <v/>
      </c>
    </row>
    <row r="350" ht="20.25" customFormat="1" customHeight="1" s="1089">
      <c r="B350" s="1228" t="n"/>
      <c r="AX350" s="1447" t="n"/>
      <c r="AY350" s="1447" t="n"/>
      <c r="AZ350" s="1447" t="n"/>
      <c r="BA350" s="1447" t="n"/>
      <c r="BB350" s="1447" t="n"/>
      <c r="BC350" s="1447" t="n"/>
      <c r="BD350" s="1447" t="n"/>
      <c r="BE350" s="1447" t="n"/>
      <c r="BF350" s="1447" t="n"/>
      <c r="BG350" s="1447" t="n"/>
      <c r="BK350" s="973" t="inlineStr">
        <is>
          <t>TOTAL (tCO2-eq)</t>
        </is>
      </c>
      <c r="BL350" s="992">
        <f>SUM(BL339:BL348)</f>
        <v/>
      </c>
      <c r="BM350" s="992">
        <f>SUM(BM339:BM348)</f>
        <v/>
      </c>
      <c r="BN350" s="992">
        <f>BM350-BL350</f>
        <v/>
      </c>
      <c r="BO350" s="1246" t="n"/>
      <c r="BP350" s="973" t="n"/>
      <c r="BQ350" s="973" t="n"/>
      <c r="BR350" s="973" t="n"/>
      <c r="BS350" s="973" t="n"/>
      <c r="BT350" s="973" t="n"/>
    </row>
    <row r="351" ht="20.25" customFormat="1" customHeight="1" s="1089">
      <c r="B351" s="1231" t="inlineStr">
        <is>
          <t>Dominant quality of the peat:</t>
        </is>
      </c>
      <c r="C351" s="1263">
        <f>'6.Inland wetlands'!CK126</f>
        <v/>
      </c>
      <c r="D351" s="973" t="n"/>
      <c r="E351" s="973" t="n"/>
      <c r="AX351" s="1447" t="n"/>
      <c r="AY351" s="1447" t="n"/>
      <c r="AZ351" s="1447" t="n"/>
      <c r="BA351" s="1447" t="n"/>
      <c r="BB351" s="1447" t="n"/>
      <c r="BC351" s="1447" t="n"/>
      <c r="BD351" s="1447" t="n"/>
      <c r="BE351" s="1447" t="n"/>
      <c r="BF351" s="1447" t="n"/>
      <c r="BG351" s="1447" t="n"/>
      <c r="BK351" s="973" t="inlineStr">
        <is>
          <t>Total CO2eq activity</t>
        </is>
      </c>
      <c r="BL351" s="992">
        <f>SUM(AI339:AI344,AI357:AI362,AI373:AI378,AI388:AI393)</f>
        <v/>
      </c>
      <c r="BM351" s="992">
        <f>SUM(AJ339:AJ344,AJ357:AJ362,AJ373:AJ378,AJ388:AJ393)</f>
        <v/>
      </c>
      <c r="BN351" s="992">
        <f>SUM(AK339:AK344,AK357:AK362,AK373:AK378,AK388:AK393)</f>
        <v/>
      </c>
      <c r="BO351" s="1246" t="n"/>
      <c r="BP351" s="973" t="n"/>
      <c r="BQ351" s="973" t="n"/>
      <c r="BR351" s="973" t="n"/>
      <c r="BS351" s="973" t="n"/>
      <c r="BT351" s="973" t="n"/>
    </row>
    <row r="352">
      <c r="Q352" s="1120" t="inlineStr">
        <is>
          <t>GWP CO = 2</t>
        </is>
      </c>
    </row>
    <row r="353" ht="16" customHeight="1">
      <c r="A353" s="1276" t="n"/>
      <c r="E353" s="1231" t="n"/>
      <c r="F353" s="1262" t="inlineStr">
        <is>
          <t>Managed land and Fire severity and occurrence</t>
        </is>
      </c>
      <c r="G353" s="1262" t="n"/>
      <c r="H353" s="1262" t="n"/>
      <c r="I353" s="1262" t="n"/>
      <c r="J353" s="1262" t="n"/>
      <c r="K353" s="1262" t="n"/>
      <c r="L353" s="1262" t="n"/>
      <c r="M353" s="1262" t="n"/>
      <c r="O353" s="1497" t="inlineStr">
        <is>
          <t>Emission factors for fire on soil</t>
        </is>
      </c>
      <c r="P353" s="1275" t="n"/>
      <c r="Q353" s="1275" t="n"/>
      <c r="R353" s="1276" t="n"/>
      <c r="S353" s="1276" t="n"/>
      <c r="T353" s="1276" t="n"/>
      <c r="U353" s="1276" t="n"/>
      <c r="V353" s="1276" t="n"/>
      <c r="W353" s="1276" t="n"/>
      <c r="X353" s="1276" t="inlineStr">
        <is>
          <t>SOIL FIRE EMISSIONS</t>
        </is>
      </c>
      <c r="Y353" s="1276" t="n"/>
      <c r="Z353" s="1276" t="n"/>
      <c r="AD353" s="1275" t="inlineStr">
        <is>
          <t>SOIL FIRE EMISSIONS (also valid for rewetted soil)</t>
        </is>
      </c>
      <c r="AE353" s="1276" t="n"/>
      <c r="AF353" s="1276" t="n"/>
      <c r="AG353" s="1276" t="n"/>
      <c r="AI353" s="1270" t="inlineStr">
        <is>
          <t>Total emissions tCO2eq</t>
        </is>
      </c>
      <c r="AJ353" s="1116" t="n"/>
      <c r="AK353" s="1116" t="n"/>
      <c r="AX353" s="1287" t="inlineStr">
        <is>
          <t>FIRE ON SOIL</t>
        </is>
      </c>
      <c r="AY353" s="1501" t="n"/>
      <c r="AZ353" s="1501" t="n"/>
    </row>
    <row r="354" ht="17" customHeight="1">
      <c r="A354" s="1276" t="n"/>
      <c r="F354" s="1105" t="inlineStr">
        <is>
          <t>WITHOUT</t>
        </is>
      </c>
      <c r="G354" s="1100" t="n"/>
      <c r="H354" s="1100" t="inlineStr">
        <is>
          <t>Fire</t>
        </is>
      </c>
      <c r="I354" s="1100" t="n"/>
      <c r="J354" s="1106" t="inlineStr">
        <is>
          <t>WITH</t>
        </is>
      </c>
      <c r="K354" s="1101" t="n"/>
      <c r="L354" s="1101" t="inlineStr">
        <is>
          <t>Fire</t>
        </is>
      </c>
      <c r="M354" s="1101" t="n"/>
      <c r="O354" s="1275" t="inlineStr">
        <is>
          <t>CO2</t>
        </is>
      </c>
      <c r="P354" s="1276" t="n"/>
      <c r="Q354" s="1275" t="inlineStr">
        <is>
          <t>CO</t>
        </is>
      </c>
      <c r="R354" s="1276" t="n"/>
      <c r="S354" s="1275" t="inlineStr">
        <is>
          <t>CH4</t>
        </is>
      </c>
      <c r="T354" s="1276" t="n"/>
      <c r="U354" s="1275" t="inlineStr">
        <is>
          <t>Dry matter</t>
        </is>
      </c>
      <c r="V354" s="1276" t="n"/>
      <c r="W354" s="1276" t="n"/>
      <c r="X354" s="1276" t="n"/>
      <c r="Y354" s="1276" t="n"/>
      <c r="Z354" s="1276" t="n"/>
      <c r="AD354" s="1497" t="inlineStr">
        <is>
          <t>tCO2-eq all period</t>
        </is>
      </c>
      <c r="AE354" s="1276" t="n"/>
      <c r="AF354" s="1276" t="n"/>
      <c r="AG354" s="1276" t="n"/>
      <c r="AI354" s="1270" t="inlineStr">
        <is>
          <t>ALL PERIOD</t>
        </is>
      </c>
      <c r="AJ354" s="1116" t="n"/>
      <c r="AK354" s="1116" t="n"/>
      <c r="AX354" s="1502" t="inlineStr">
        <is>
          <t>CO2</t>
        </is>
      </c>
      <c r="AY354" s="1502" t="n"/>
      <c r="AZ354" s="1502" t="inlineStr">
        <is>
          <t>CH4</t>
        </is>
      </c>
      <c r="BA354" s="1450" t="n"/>
      <c r="BB354" s="1452" t="n"/>
      <c r="BC354" s="1452" t="n"/>
      <c r="BD354" s="1452" t="n"/>
      <c r="BE354" s="1502" t="inlineStr">
        <is>
          <t>CH4</t>
        </is>
      </c>
      <c r="BF354" s="1452" t="n"/>
      <c r="BG354" s="1452" t="n"/>
    </row>
    <row r="355" ht="16" customHeight="1">
      <c r="A355" s="1276" t="n"/>
      <c r="F355" s="1100" t="inlineStr">
        <is>
          <t xml:space="preserve">Managed land </t>
        </is>
      </c>
      <c r="G355" s="1100" t="n"/>
      <c r="H355" s="1100" t="inlineStr">
        <is>
          <t>Periodicity</t>
        </is>
      </c>
      <c r="I355" s="1100" t="inlineStr">
        <is>
          <t>Impact</t>
        </is>
      </c>
      <c r="J355" s="1101">
        <f>F355</f>
        <v/>
      </c>
      <c r="K355" s="1101" t="n"/>
      <c r="L355" s="1101" t="inlineStr">
        <is>
          <t>Periodicity</t>
        </is>
      </c>
      <c r="M355" s="1101" t="inlineStr">
        <is>
          <t>Impact</t>
        </is>
      </c>
      <c r="O355" s="1276" t="inlineStr">
        <is>
          <t>gC/kg d.m.</t>
        </is>
      </c>
      <c r="P355" s="1276" t="n"/>
      <c r="Q355" s="1276" t="inlineStr">
        <is>
          <t>gCO/kg d.m.</t>
        </is>
      </c>
      <c r="R355" s="1276" t="n"/>
      <c r="S355" s="1276" t="inlineStr">
        <is>
          <t>gCH4/kg d.m.</t>
        </is>
      </c>
      <c r="T355" s="1276" t="n"/>
      <c r="U355" s="1276" t="inlineStr">
        <is>
          <t>t d.m./ha</t>
        </is>
      </c>
      <c r="V355" s="1276" t="n"/>
      <c r="W355" s="1276" t="n"/>
      <c r="X355" s="1309" t="inlineStr">
        <is>
          <t>Biomass burnt (tonne dry matter)</t>
        </is>
      </c>
      <c r="Y355" s="1276" t="n"/>
      <c r="Z355" s="1276" t="n"/>
      <c r="AA355" s="1281" t="n"/>
      <c r="AB355" s="1281" t="n"/>
      <c r="AD355" s="1276" t="inlineStr">
        <is>
          <t>CO2&amp;CO</t>
        </is>
      </c>
      <c r="AE355" s="1276" t="n"/>
      <c r="AF355" s="1276" t="inlineStr">
        <is>
          <t>CH4</t>
        </is>
      </c>
      <c r="AG355" s="1276" t="n"/>
      <c r="AI355" s="1270" t="inlineStr">
        <is>
          <t>SOIL FIRE</t>
        </is>
      </c>
      <c r="AJ355" s="1116" t="n"/>
      <c r="AK355" s="1116" t="n"/>
      <c r="AX355" s="1264" t="inlineStr">
        <is>
          <t>IMPLEMENTATION PHASE</t>
        </is>
      </c>
      <c r="AZ355" s="1264" t="inlineStr">
        <is>
          <t>IMPLEMENTATION PHASE</t>
        </is>
      </c>
      <c r="BE355" s="1264" t="inlineStr">
        <is>
          <t>full</t>
        </is>
      </c>
    </row>
    <row r="356" ht="15" customHeight="1">
      <c r="A356" s="1276" t="n"/>
      <c r="B356" s="1281" t="inlineStr">
        <is>
          <t>User selection</t>
        </is>
      </c>
      <c r="C356" s="973" t="inlineStr">
        <is>
          <t>IPCC equivalence</t>
        </is>
      </c>
      <c r="D356" s="973" t="inlineStr">
        <is>
          <t>Area (ha)</t>
        </is>
      </c>
      <c r="E356" s="973" t="inlineStr">
        <is>
          <t>Start</t>
        </is>
      </c>
      <c r="F356" s="1102" t="inlineStr">
        <is>
          <t>ha</t>
        </is>
      </c>
      <c r="G356" s="1102" t="inlineStr">
        <is>
          <t>Rate</t>
        </is>
      </c>
      <c r="H356" s="1102" t="inlineStr">
        <is>
          <t>Year</t>
        </is>
      </c>
      <c r="I356" s="1107" t="inlineStr">
        <is>
          <t>%area burnt</t>
        </is>
      </c>
      <c r="J356" s="1103" t="inlineStr">
        <is>
          <t>ha</t>
        </is>
      </c>
      <c r="K356" s="1103" t="inlineStr">
        <is>
          <t>Rate</t>
        </is>
      </c>
      <c r="L356" s="1103" t="inlineStr">
        <is>
          <t>Year</t>
        </is>
      </c>
      <c r="M356" s="1108" t="inlineStr">
        <is>
          <t>%area burnt</t>
        </is>
      </c>
      <c r="O356" s="1277" t="inlineStr">
        <is>
          <t>IPCC</t>
        </is>
      </c>
      <c r="P356" s="1277" t="inlineStr">
        <is>
          <t>Tier 2</t>
        </is>
      </c>
      <c r="Q356" s="1277" t="inlineStr">
        <is>
          <t>IPCC</t>
        </is>
      </c>
      <c r="R356" s="1277" t="inlineStr">
        <is>
          <t>Tier 2</t>
        </is>
      </c>
      <c r="S356" s="1277" t="inlineStr">
        <is>
          <t>IPCC</t>
        </is>
      </c>
      <c r="T356" s="1277" t="inlineStr">
        <is>
          <t>Tier 2</t>
        </is>
      </c>
      <c r="U356" s="1277" t="inlineStr">
        <is>
          <t>IPCC</t>
        </is>
      </c>
      <c r="V356" s="1277" t="inlineStr">
        <is>
          <t>Tier 2</t>
        </is>
      </c>
      <c r="W356" s="1276" t="n"/>
      <c r="X356" s="973" t="inlineStr">
        <is>
          <t>Start</t>
        </is>
      </c>
      <c r="Y356" s="1102" t="inlineStr">
        <is>
          <t>Without</t>
        </is>
      </c>
      <c r="Z356" s="1103" t="inlineStr">
        <is>
          <t>With</t>
        </is>
      </c>
      <c r="AA356" s="1688" t="n"/>
      <c r="AB356" s="1688" t="n"/>
      <c r="AC356" s="1688" t="n"/>
      <c r="AD356" s="1102" t="inlineStr">
        <is>
          <t>Without</t>
        </is>
      </c>
      <c r="AE356" s="1103" t="inlineStr">
        <is>
          <t>With</t>
        </is>
      </c>
      <c r="AF356" s="1102" t="inlineStr">
        <is>
          <t>Without</t>
        </is>
      </c>
      <c r="AG356" s="1103" t="inlineStr">
        <is>
          <t>With</t>
        </is>
      </c>
      <c r="AI356" s="1102" t="inlineStr">
        <is>
          <t>WITHOUT</t>
        </is>
      </c>
      <c r="AJ356" s="1103" t="inlineStr">
        <is>
          <t>WITH</t>
        </is>
      </c>
      <c r="AK356" s="1104" t="inlineStr">
        <is>
          <t>BALANCE</t>
        </is>
      </c>
      <c r="AX356" s="1272" t="inlineStr">
        <is>
          <t>WITHOUT</t>
        </is>
      </c>
      <c r="AY356" s="1272" t="inlineStr">
        <is>
          <t>WITH</t>
        </is>
      </c>
      <c r="AZ356" s="1272" t="inlineStr">
        <is>
          <t>WITHOUT</t>
        </is>
      </c>
      <c r="BA356" s="1272" t="inlineStr">
        <is>
          <t>WITH</t>
        </is>
      </c>
      <c r="BE356" s="1272" t="inlineStr">
        <is>
          <t>WITHOUT</t>
        </is>
      </c>
      <c r="BF356" s="1272" t="inlineStr">
        <is>
          <t>WITH</t>
        </is>
      </c>
    </row>
    <row r="357">
      <c r="A357" s="1496" t="inlineStr">
        <is>
          <t>S1</t>
        </is>
      </c>
      <c r="B357" s="973">
        <f>K339</f>
        <v/>
      </c>
      <c r="C357" s="1121">
        <f>IF($B357="Please select","",IF(ISNUMBER(SEARCH("Planted",$B357)),"Plantation","Forest"))</f>
        <v/>
      </c>
      <c r="D357" s="992">
        <f>'6.Inland wetlands'!K129</f>
        <v/>
      </c>
      <c r="E357" s="1246">
        <f>'6.Inland wetlands'!M129</f>
        <v/>
      </c>
      <c r="F357" s="992">
        <f>'6.Inland wetlands'!N129</f>
        <v/>
      </c>
      <c r="G357" s="1688">
        <f>N339</f>
        <v/>
      </c>
      <c r="H357" s="1688">
        <f>'6.Inland wetlands'!DB118</f>
        <v/>
      </c>
      <c r="I357" s="1241">
        <f>'6.Inland wetlands'!DC118</f>
        <v/>
      </c>
      <c r="J357" s="992">
        <f>'6.Inland wetlands'!P129</f>
        <v/>
      </c>
      <c r="K357" s="1688">
        <f>P339</f>
        <v/>
      </c>
      <c r="L357" s="1688">
        <f>'6.Inland wetlands'!DE118</f>
        <v/>
      </c>
      <c r="M357" s="1241">
        <f>'6.Inland wetlands'!DF118</f>
        <v/>
      </c>
      <c r="O357" s="1111">
        <f>IFERROR(INDEX(IPCC!$A$2037:$D$2048,MATCH(clim_moist,IPCC!$A$2037:$A$2048,0),MATCH($O$354,IPCC!$A$2037:$D$2037,0)),0)</f>
        <v/>
      </c>
      <c r="P357" s="1161">
        <f>IF('6.Inland wetlands'!$DI118="",'6.Inland wetlands'!$DH118,'6.Inland wetlands'!$DI118)</f>
        <v/>
      </c>
      <c r="Q357" s="1111">
        <f>IFERROR(INDEX(IPCC!$A$2037:$D$2048,MATCH(clim_moist,IPCC!$A$2037:$A$2048,0),MATCH($Q$354,IPCC!$A$2037:$D$2037,0)),0)</f>
        <v/>
      </c>
      <c r="R357" s="1161">
        <f>IF('6.Inland wetlands'!$DK118="",'6.Inland wetlands'!$DJ118,'6.Inland wetlands'!$DK118)</f>
        <v/>
      </c>
      <c r="S357" s="1111">
        <f>IFERROR(INDEX(IPCC!$A$2037:$D$2048,MATCH(clim_moist,IPCC!$A$2037:$A$2048,0),MATCH($S$354,IPCC!$A$2037:$D$2037,0)),0)</f>
        <v/>
      </c>
      <c r="T357" s="1161">
        <f>IF('6.Inland wetlands'!$DM118="",'6.Inland wetlands'!$DL118,'6.Inland wetlands'!$DM118)</f>
        <v/>
      </c>
      <c r="U357" s="1111">
        <f>IFERROR(INDEX(IPCC!$A$2020:$D$2031,MATCH(clim_moist,IPCC!$A$2021:$A$2031,0),MATCH('6.Inland wetlands'!$CZ118,IPCC!$A$2020:$D$2020,0)),0)</f>
        <v/>
      </c>
      <c r="V357" s="1161">
        <f>IF('6.Inland wetlands'!$DO118="",'6.Inland wetlands'!$DN118,'6.Inland wetlands'!$DO118)</f>
        <v/>
      </c>
      <c r="W357" s="1276" t="n"/>
      <c r="X357" s="1151">
        <f>IF('6.Inland wetlands'!$CZ118=list!$F$210,0,$V357*$E357)</f>
        <v/>
      </c>
      <c r="Y357" s="1151">
        <f>IF('6.Inland wetlands'!$CZ118=list!$F$210,0,$V357*$F357)</f>
        <v/>
      </c>
      <c r="Z357" s="1151">
        <f>IF('6.Inland wetlands'!$CZ118=list!$F$210,0,$V357*$J357)</f>
        <v/>
      </c>
      <c r="AA357" s="3501" t="n"/>
      <c r="AB357" s="1468" t="n"/>
      <c r="AC357" s="1468" t="n"/>
      <c r="AD357" s="1151">
        <f>IF(OR('6.Inland wetlands'!$AB129=list!$E$211, '6.Inland wetlands'!$AB129=list!$E$213), IF($H357&gt;time_tot,0,MIN($X357,$Y357)*time_tot+ABS($Y357-$X357)*IF($Y357&gt;$X357,time_cap+time*VLOOKUP($G357,list!$J$48:$K$50,2,0),time*(1-VLOOKUP($G357,list!$J$48:$K$50,2,0))))*(1/$H357)*($I357)*($P357*44/12/1000)+IF($H357&gt;time_tot,0,MIN($X357,$Y357)*time_tot+ABS($Y357-$X357)*IF($Y357&gt;$X357,time_cap+time*VLOOKUP($G357,list!$J$48:$K$50,2,0),time*(1-VLOOKUP($G357,list!$J$48:$K$50,2,0))))*(1/$H357)*($I357)*($R357*2/1000), 0)</f>
        <v/>
      </c>
      <c r="AE357" s="1151">
        <f>IF(OR('6.Inland wetlands'!$AB129=list!$E$212,'6.Inland wetlands'!$AB129=list!$E$213),IF($L357&gt;time_tot,0,MIN($X357,$Z357)*time_tot+ABS($Z357-$X357)*IF($Z357&gt;$X357,time_cap+time*VLOOKUP($K357,list!$J$48:$K$50,2,0),time*(1-VLOOKUP($K357,list!$J$48:$K$50,2,0))))*(1/$L357)*($M357)*($P357*44/12/1000)+IF($L357&gt;time_tot,0,MIN($X357,$Z357)*time_tot+ABS($Z357-$X357)*IF($Z357&gt;$X357,time_cap+time*VLOOKUP($K357,list!$J$48:$K$50,2,0),time*(1-VLOOKUP($K357,list!$J$48:$K$50,2,0))))*(1/$L357)*($M357)*($R357*2/1000), 0)</f>
        <v/>
      </c>
      <c r="AF357" s="1151">
        <f>IF(OR('6.Inland wetlands'!$AB129=list!$E$211,'6.Inland wetlands'!$AB129=list!$E$213), IF($H357&gt;time_tot,0,MIN($X357,$Y357)*time_tot+ABS($Y357-$X357)*IF($Y357&gt;$X357,time_cap+time*VLOOKUP($G357,list!$J$48:$K$50,2,0),time*(1-VLOOKUP($G357,list!$J$48:$K$50,2,0))))*(1/$H357)*($I357)*($T357*methane/1000), 0)</f>
        <v/>
      </c>
      <c r="AG357" s="1151">
        <f>IF(OR('6.Inland wetlands'!$AB129=list!$E$212,'6.Inland wetlands'!$AB129=list!$E$213), IF($L357&gt;time_tot,0,MIN($X357,$Z357)*time_tot+ABS($Z357-$X357)*IF($Z357&gt;$X357,time_cap+time*VLOOKUP($K357,list!$J$48:$K$50,2,0),time*(1-VLOOKUP($K357,list!$J$48:$K$50,2,0))))*(1/$L357)*($M357)*($T357*methane/1000), 0)</f>
        <v/>
      </c>
      <c r="AI357" s="3495">
        <f>SUM(AD357,AF357)</f>
        <v/>
      </c>
      <c r="AJ357" s="1152">
        <f>SUM(AE357,AG357)</f>
        <v/>
      </c>
      <c r="AK357" s="1160">
        <f>AJ357-AI357</f>
        <v/>
      </c>
      <c r="AX357" s="1449">
        <f>IF('6.Inland wetlands'!$CZ118=list!$F$210,0,IF($H357&gt;time,0,MIN($X357,$Y357)*time+ABS($Y357-$X357)*IF($Y357&gt;$X357,time*VLOOKUP($G357,list!$J$48:$K$50,2,0),time*(1-VLOOKUP($G357,list!$J$48:$K$50,2,0))))*(1/$H357)*($I357)*($P357/1000)+IF($H357&gt;time,0,MIN($X357,$Y357)*time+ABS($Y357-$X357)*IF($Y357&gt;$X357,time*VLOOKUP($G357,list!$J$48:$K$50,2,0),time*(1-VLOOKUP($G357,list!$J$48:$K$50,2,0))))*(1/$H357)*($I357)*($R357*2/1000))</f>
        <v/>
      </c>
      <c r="AY357" s="1449">
        <f>IF('6.Inland wetlands'!$CZ118=list!$F$210,0,IF($L357&gt;time,0,MIN($X357,$Z357)*time+ABS($Z357-$X357)*IF($Z357&gt;$X357,time*VLOOKUP($K357,list!$J$48:$K$50,2,0),time*(1-VLOOKUP($K357,list!$J$48:$K$50,2,0))))*(1/$L357)*($M357)*($P357/1000)+IF($L357&gt;time,0,MIN($X357,$Z357)*time+ABS($Z357-$X357)*IF($Z357&gt;$X357,time*VLOOKUP($K357,list!$J$48:$K$50,2,0),time*(1-VLOOKUP($K357,list!$J$48:$K$50,2,0))))*(1/$L357)*($M357)*($R357*2/1000))</f>
        <v/>
      </c>
      <c r="AZ357" s="1449">
        <f>IF('6.Inland wetlands'!$CZ118=list!$F$210,0,IF($H357&gt;time,0,MIN($X357,$Y357)*time+ABS($Y357-$X357)*IF($Y357&gt;$X357,time*VLOOKUP($G357,list!$J$48:$K$50,2,0),time*(1-VLOOKUP($G357,list!$J$48:$K$50,2,0))))*(1/$H357)*($I357)*($T357*methane/1000))</f>
        <v/>
      </c>
      <c r="BA357" s="1449">
        <f>IF('6.Inland wetlands'!$CZ118=list!$F$210,0,IF($L357&gt;time,0,MIN($X357,$Z357)*time+ABS($Z357-$X357)*IF($Z357&gt;$X357,time*VLOOKUP($K357,list!$J$48:$K$50,2,0),time*(1-VLOOKUP($K357,list!$J$48:$K$50,2,0))))*(1/$L357)*($M357)*($T357*methane/1000))</f>
        <v/>
      </c>
      <c r="BE357" s="1451">
        <f>AF357</f>
        <v/>
      </c>
      <c r="BF357" s="1451">
        <f>AG357</f>
        <v/>
      </c>
    </row>
    <row r="358">
      <c r="A358" s="1496" t="inlineStr">
        <is>
          <t>S2</t>
        </is>
      </c>
      <c r="B358" s="973">
        <f>K340</f>
        <v/>
      </c>
      <c r="C358" s="1121">
        <f>IF($B358="Please select","",IF(ISNUMBER(SEARCH("Planted",$B358)),"Plantation","Forest"))</f>
        <v/>
      </c>
      <c r="D358" s="992">
        <f>'6.Inland wetlands'!K130</f>
        <v/>
      </c>
      <c r="E358" s="1246">
        <f>'6.Inland wetlands'!M130</f>
        <v/>
      </c>
      <c r="F358" s="992">
        <f>'6.Inland wetlands'!N130</f>
        <v/>
      </c>
      <c r="G358" s="1688">
        <f>N340</f>
        <v/>
      </c>
      <c r="H358" s="1688">
        <f>'6.Inland wetlands'!DB119</f>
        <v/>
      </c>
      <c r="I358" s="1241">
        <f>'6.Inland wetlands'!DC119</f>
        <v/>
      </c>
      <c r="J358" s="992">
        <f>'6.Inland wetlands'!P130</f>
        <v/>
      </c>
      <c r="K358" s="1688">
        <f>P340</f>
        <v/>
      </c>
      <c r="L358" s="1688">
        <f>'6.Inland wetlands'!DE119</f>
        <v/>
      </c>
      <c r="M358" s="1241">
        <f>'6.Inland wetlands'!DF119</f>
        <v/>
      </c>
      <c r="O358" s="1111">
        <f>IFERROR(INDEX(IPCC!$A$2037:$D$2048,MATCH(clim_moist,IPCC!$A$2037:$A$2048,0),MATCH($O$354,IPCC!$A$2037:$D$2037,0)),0)</f>
        <v/>
      </c>
      <c r="P358" s="1161">
        <f>IF('6.Inland wetlands'!$DI119="",'6.Inland wetlands'!$DH119,'6.Inland wetlands'!$DI119)</f>
        <v/>
      </c>
      <c r="Q358" s="1111">
        <f>IFERROR(INDEX(IPCC!$A$2037:$D$2048,MATCH(clim_moist,IPCC!$A$2037:$A$2048,0),MATCH($Q$354,IPCC!$A$2037:$D$2037,0)),0)</f>
        <v/>
      </c>
      <c r="R358" s="1161">
        <f>IF('6.Inland wetlands'!$DK119="",'6.Inland wetlands'!$DJ119,'6.Inland wetlands'!$DK119)</f>
        <v/>
      </c>
      <c r="S358" s="1111">
        <f>IFERROR(INDEX(IPCC!$A$2037:$D$2048,MATCH(clim_moist,IPCC!$A$2037:$A$2048,0),MATCH($S$354,IPCC!$A$2037:$D$2037,0)),0)</f>
        <v/>
      </c>
      <c r="T358" s="1161">
        <f>IF('6.Inland wetlands'!$DM119="",'6.Inland wetlands'!$DL119,'6.Inland wetlands'!$DM119)</f>
        <v/>
      </c>
      <c r="U358" s="1111">
        <f>IFERROR(INDEX(IPCC!$A$2020:$D$2031,MATCH(clim_moist,IPCC!$A$2021:$A$2031,0),MATCH('6.Inland wetlands'!$CZ119,IPCC!$A$2020:$D$2020,0)),0)</f>
        <v/>
      </c>
      <c r="V358" s="1161">
        <f>IF('6.Inland wetlands'!$DO119="",'6.Inland wetlands'!$DN119,'6.Inland wetlands'!$DO119)</f>
        <v/>
      </c>
      <c r="W358" s="1276" t="n"/>
      <c r="X358" s="1151">
        <f>IF('6.Inland wetlands'!$CZ119=list!$F$210,0,$V358*$E358)</f>
        <v/>
      </c>
      <c r="Y358" s="1151">
        <f>IF('6.Inland wetlands'!$CZ119=list!$F$210,0,$V358*$F358)</f>
        <v/>
      </c>
      <c r="Z358" s="1151">
        <f>IF('6.Inland wetlands'!$CZ119=list!$F$210,0,$V358*$J358)</f>
        <v/>
      </c>
      <c r="AA358" s="3501" t="n"/>
      <c r="AB358" s="1468" t="n"/>
      <c r="AC358" s="1468" t="n"/>
      <c r="AD358" s="1151">
        <f>IF(OR('6.Inland wetlands'!$AB130=list!$E$211, '6.Inland wetlands'!$AB130=list!$E$213), IF($H358&gt;time_tot,0,MIN($X358,$Y358)*time_tot+ABS($Y358-$X358)*IF($Y358&gt;$X358,time_cap+time*VLOOKUP($G358,list!$J$48:$K$50,2,0),time*(1-VLOOKUP($G358,list!$J$48:$K$50,2,0))))*(1/$H358)*($I358)*($P358*44/12/1000)+IF($H358&gt;time_tot,0,MIN($X358,$Y358)*time_tot+ABS($Y358-$X358)*IF($Y358&gt;$X358,time_cap+time*VLOOKUP($G358,list!$J$48:$K$50,2,0),time*(1-VLOOKUP($G358,list!$J$48:$K$50,2,0))))*(1/$H358)*($I358)*($R358*2/1000), 0)</f>
        <v/>
      </c>
      <c r="AE358" s="1151">
        <f>IF(OR('6.Inland wetlands'!$AB130=list!$E$212,'6.Inland wetlands'!$AB130=list!$E$213),IF($L358&gt;time_tot,0,MIN($X358,$Z358)*time_tot+ABS($Z358-$X358)*IF($Z358&gt;$X358,time_cap+time*VLOOKUP($K358,list!$J$48:$K$50,2,0),time*(1-VLOOKUP($K358,list!$J$48:$K$50,2,0))))*(1/$L358)*($M358)*($P358*44/12/1000)+IF($L358&gt;time_tot,0,MIN($X358,$Z358)*time_tot+ABS($Z358-$X358)*IF($Z358&gt;$X358,time_cap+time*VLOOKUP($K358,list!$J$48:$K$50,2,0),time*(1-VLOOKUP($K358,list!$J$48:$K$50,2,0))))*(1/$L358)*($M358)*($R358*2/1000), 0)</f>
        <v/>
      </c>
      <c r="AF358" s="1151">
        <f>IF(OR('6.Inland wetlands'!$AB130=list!$E$211,'6.Inland wetlands'!$AB130=list!$E$213), IF($H358&gt;time_tot,0,MIN($X358,$Y358)*time_tot+ABS($Y358-$X358)*IF($Y358&gt;$X358,time_cap+time*VLOOKUP($G358,list!$J$48:$K$50,2,0),time*(1-VLOOKUP($G358,list!$J$48:$K$50,2,0))))*(1/$H358)*($I358)*($T358*methane/1000), 0)</f>
        <v/>
      </c>
      <c r="AG358" s="1151">
        <f>IF(OR('6.Inland wetlands'!$AB130=list!$E$212,'6.Inland wetlands'!$AB130=list!$E$213), IF($L358&gt;time_tot,0,MIN($X358,$Z358)*time_tot+ABS($Z358-$X358)*IF($Z358&gt;$X358,time_cap+time*VLOOKUP($K358,list!$J$48:$K$50,2,0),time*(1-VLOOKUP($K358,list!$J$48:$K$50,2,0))))*(1/$L358)*($M358)*($T358*methane/1000), 0)</f>
        <v/>
      </c>
      <c r="AI358" s="3495">
        <f>SUM(AD358,AF358)</f>
        <v/>
      </c>
      <c r="AJ358" s="1152">
        <f>SUM(AE358,AG358)</f>
        <v/>
      </c>
      <c r="AK358" s="1160">
        <f>AJ358-AI358</f>
        <v/>
      </c>
      <c r="AX358" s="1449">
        <f>IF('6.Inland wetlands'!$CZ119=list!$F$210,0,IF($H358&gt;time,0,MIN($X358,$Y358)*time+ABS($Y358-$X358)*IF($Y358&gt;$X358,time*VLOOKUP($G358,list!$J$48:$K$50,2,0),time*(1-VLOOKUP($G358,list!$J$48:$K$50,2,0))))*(1/$H358)*($I358)*($P358/1000)+IF($H358&gt;time,0,MIN($X358,$Y358)*time+ABS($Y358-$X358)*IF($Y358&gt;$X358,time*VLOOKUP($G358,list!$J$48:$K$50,2,0),time*(1-VLOOKUP($G358,list!$J$48:$K$50,2,0))))*(1/$H358)*($I358)*($R358*2/1000))</f>
        <v/>
      </c>
      <c r="AY358" s="1449">
        <f>IF('6.Inland wetlands'!$CZ119=list!$F$210,0,IF($L358&gt;time,0,MIN($X358,$Z358)*time+ABS($Z358-$X358)*IF($Z358&gt;$X358,time*VLOOKUP($K358,list!$J$48:$K$50,2,0),time*(1-VLOOKUP($K358,list!$J$48:$K$50,2,0))))*(1/$L358)*($M358)*($P358/1000)+IF($L358&gt;time,0,MIN($X358,$Z358)*time+ABS($Z358-$X358)*IF($Z358&gt;$X358,time*VLOOKUP($K358,list!$J$48:$K$50,2,0),time*(1-VLOOKUP($K358,list!$J$48:$K$50,2,0))))*(1/$L358)*($M358)*($R358*2/1000))</f>
        <v/>
      </c>
      <c r="AZ358" s="1449">
        <f>IF('6.Inland wetlands'!$CZ119=list!$F$210,0,IF($H358&gt;time,0,MIN($X358,$Y358)*time+ABS($Y358-$X358)*IF($Y358&gt;$X358,time*VLOOKUP($G358,list!$J$48:$K$50,2,0),time*(1-VLOOKUP($G358,list!$J$48:$K$50,2,0))))*(1/$H358)*($I358)*($T358*methane/1000))</f>
        <v/>
      </c>
      <c r="BA358" s="1449">
        <f>IF('6.Inland wetlands'!$CZ119=list!$F$210,0,IF($L358&gt;time,0,MIN($X358,$Z358)*time+ABS($Z358-$X358)*IF($Z358&gt;$X358,time*VLOOKUP($K358,list!$J$48:$K$50,2,0),time*(1-VLOOKUP($K358,list!$J$48:$K$50,2,0))))*(1/$L358)*($M358)*($T358*methane/1000))</f>
        <v/>
      </c>
      <c r="BE358" s="1451">
        <f>AF358</f>
        <v/>
      </c>
      <c r="BF358" s="1451">
        <f>AG358</f>
        <v/>
      </c>
    </row>
    <row r="359">
      <c r="A359" s="1496" t="inlineStr">
        <is>
          <t>S3</t>
        </is>
      </c>
      <c r="B359" s="973">
        <f>K341</f>
        <v/>
      </c>
      <c r="C359" s="1121">
        <f>IF($B359="Please select","",IF(ISNUMBER(SEARCH("Planted",$B359)),"Plantation","Forest"))</f>
        <v/>
      </c>
      <c r="D359" s="992">
        <f>'6.Inland wetlands'!K131</f>
        <v/>
      </c>
      <c r="E359" s="1246">
        <f>'6.Inland wetlands'!M131</f>
        <v/>
      </c>
      <c r="F359" s="992">
        <f>'6.Inland wetlands'!N131</f>
        <v/>
      </c>
      <c r="G359" s="1688">
        <f>N341</f>
        <v/>
      </c>
      <c r="H359" s="1688">
        <f>'6.Inland wetlands'!DB120</f>
        <v/>
      </c>
      <c r="I359" s="1241">
        <f>'6.Inland wetlands'!DC120</f>
        <v/>
      </c>
      <c r="J359" s="992">
        <f>'6.Inland wetlands'!P131</f>
        <v/>
      </c>
      <c r="K359" s="1688">
        <f>P341</f>
        <v/>
      </c>
      <c r="L359" s="1688">
        <f>'6.Inland wetlands'!DE120</f>
        <v/>
      </c>
      <c r="M359" s="1241">
        <f>'6.Inland wetlands'!DF120</f>
        <v/>
      </c>
      <c r="O359" s="1111">
        <f>IFERROR(INDEX(IPCC!$A$2037:$D$2048,MATCH(clim_moist,IPCC!$A$2037:$A$2048,0),MATCH($O$354,IPCC!$A$2037:$D$2037,0)),0)</f>
        <v/>
      </c>
      <c r="P359" s="1161">
        <f>IF('6.Inland wetlands'!$DI120="",'6.Inland wetlands'!$DH120,'6.Inland wetlands'!$DI120)</f>
        <v/>
      </c>
      <c r="Q359" s="1111">
        <f>IFERROR(INDEX(IPCC!$A$2037:$D$2048,MATCH(clim_moist,IPCC!$A$2037:$A$2048,0),MATCH($Q$354,IPCC!$A$2037:$D$2037,0)),0)</f>
        <v/>
      </c>
      <c r="R359" s="1161">
        <f>IF('6.Inland wetlands'!$DK120="",'6.Inland wetlands'!$DJ120,'6.Inland wetlands'!$DK120)</f>
        <v/>
      </c>
      <c r="S359" s="1111">
        <f>IFERROR(INDEX(IPCC!$A$2037:$D$2048,MATCH(clim_moist,IPCC!$A$2037:$A$2048,0),MATCH($S$354,IPCC!$A$2037:$D$2037,0)),0)</f>
        <v/>
      </c>
      <c r="T359" s="1161">
        <f>IF('6.Inland wetlands'!$DM120="",'6.Inland wetlands'!$DL120,'6.Inland wetlands'!$DM120)</f>
        <v/>
      </c>
      <c r="U359" s="1111">
        <f>IFERROR(INDEX(IPCC!$A$2020:$D$2031,MATCH(clim_moist,IPCC!$A$2021:$A$2031,0),MATCH('6.Inland wetlands'!$CZ120,IPCC!$A$2020:$D$2020,0)),0)</f>
        <v/>
      </c>
      <c r="V359" s="1161">
        <f>IF('6.Inland wetlands'!$DO120="",'6.Inland wetlands'!$DN120,'6.Inland wetlands'!$DO120)</f>
        <v/>
      </c>
      <c r="W359" s="1276" t="n"/>
      <c r="X359" s="1151">
        <f>IF('6.Inland wetlands'!$CZ120=list!$F$210,0,$V359*$E359)</f>
        <v/>
      </c>
      <c r="Y359" s="1151">
        <f>IF('6.Inland wetlands'!$CZ120=list!$F$210,0,$V359*$F359)</f>
        <v/>
      </c>
      <c r="Z359" s="1151">
        <f>IF('6.Inland wetlands'!$CZ120=list!$F$210,0,$V359*$J359)</f>
        <v/>
      </c>
      <c r="AA359" s="3501" t="n"/>
      <c r="AB359" s="1468" t="n"/>
      <c r="AC359" s="1468" t="n"/>
      <c r="AD359" s="1151">
        <f>IF(OR('6.Inland wetlands'!$AB131=list!$E$211, '6.Inland wetlands'!$AB131=list!$E$213), IF($H359&gt;time_tot,0,MIN($X359,$Y359)*time_tot+ABS($Y359-$X359)*IF($Y359&gt;$X359,time_cap+time*VLOOKUP($G359,list!$J$48:$K$50,2,0),time*(1-VLOOKUP($G359,list!$J$48:$K$50,2,0))))*(1/$H359)*($I359)*($P359*44/12/1000)+IF($H359&gt;time_tot,0,MIN($X359,$Y359)*time_tot+ABS($Y359-$X359)*IF($Y359&gt;$X359,time_cap+time*VLOOKUP($G359,list!$J$48:$K$50,2,0),time*(1-VLOOKUP($G359,list!$J$48:$K$50,2,0))))*(1/$H359)*($I359)*($R359*2/1000), 0)</f>
        <v/>
      </c>
      <c r="AE359" s="1151">
        <f>IF(OR('6.Inland wetlands'!$AB131=list!$E$212,'6.Inland wetlands'!$AB131=list!$E$213),IF($L359&gt;time_tot,0,MIN($X359,$Z359)*time_tot+ABS($Z359-$X359)*IF($Z359&gt;$X359,time_cap+time*VLOOKUP($K359,list!$J$48:$K$50,2,0),time*(1-VLOOKUP($K359,list!$J$48:$K$50,2,0))))*(1/$L359)*($M359)*($P359*44/12/1000)+IF($L359&gt;time_tot,0,MIN($X359,$Z359)*time_tot+ABS($Z359-$X359)*IF($Z359&gt;$X359,time_cap+time*VLOOKUP($K359,list!$J$48:$K$50,2,0),time*(1-VLOOKUP($K359,list!$J$48:$K$50,2,0))))*(1/$L359)*($M359)*($R359*2/1000), 0)</f>
        <v/>
      </c>
      <c r="AF359" s="1151">
        <f>IF(OR('6.Inland wetlands'!$AB131=list!$E$211,'6.Inland wetlands'!$AB131=list!$E$213), IF($H359&gt;time_tot,0,MIN($X359,$Y359)*time_tot+ABS($Y359-$X359)*IF($Y359&gt;$X359,time_cap+time*VLOOKUP($G359,list!$J$48:$K$50,2,0),time*(1-VLOOKUP($G359,list!$J$48:$K$50,2,0))))*(1/$H359)*($I359)*($T359*methane/1000), 0)</f>
        <v/>
      </c>
      <c r="AG359" s="1151">
        <f>IF(OR('6.Inland wetlands'!$AB131=list!$E$212,'6.Inland wetlands'!$AB131=list!$E$213), IF($L359&gt;time_tot,0,MIN($X359,$Z359)*time_tot+ABS($Z359-$X359)*IF($Z359&gt;$X359,time_cap+time*VLOOKUP($K359,list!$J$48:$K$50,2,0),time*(1-VLOOKUP($K359,list!$J$48:$K$50,2,0))))*(1/$L359)*($M359)*($T359*methane/1000), 0)</f>
        <v/>
      </c>
      <c r="AI359" s="3495">
        <f>SUM(AD359,AF359)</f>
        <v/>
      </c>
      <c r="AJ359" s="1152">
        <f>SUM(AE359,AG359)</f>
        <v/>
      </c>
      <c r="AK359" s="1160">
        <f>AJ359-AI359</f>
        <v/>
      </c>
      <c r="AX359" s="1449">
        <f>IF('6.Inland wetlands'!$CZ120=list!$F$210,0,IF($H359&gt;time,0,MIN($X359,$Y359)*time+ABS($Y359-$X359)*IF($Y359&gt;$X359,time*VLOOKUP($G359,list!$J$48:$K$50,2,0),time*(1-VLOOKUP($G359,list!$J$48:$K$50,2,0))))*(1/$H359)*($I359)*($P359/1000)+IF($H359&gt;time,0,MIN($X359,$Y359)*time+ABS($Y359-$X359)*IF($Y359&gt;$X359,time*VLOOKUP($G359,list!$J$48:$K$50,2,0),time*(1-VLOOKUP($G359,list!$J$48:$K$50,2,0))))*(1/$H359)*($I359)*($R359*2/1000))</f>
        <v/>
      </c>
      <c r="AY359" s="1449">
        <f>IF('6.Inland wetlands'!$CZ120=list!$F$210,0,IF($L359&gt;time,0,MIN($X359,$Z359)*time+ABS($Z359-$X359)*IF($Z359&gt;$X359,time*VLOOKUP($K359,list!$J$48:$K$50,2,0),time*(1-VLOOKUP($K359,list!$J$48:$K$50,2,0))))*(1/$L359)*($M359)*($P359/1000)+IF($L359&gt;time,0,MIN($X359,$Z359)*time+ABS($Z359-$X359)*IF($Z359&gt;$X359,time*VLOOKUP($K359,list!$J$48:$K$50,2,0),time*(1-VLOOKUP($K359,list!$J$48:$K$50,2,0))))*(1/$L359)*($M359)*($R359*2/1000))</f>
        <v/>
      </c>
      <c r="AZ359" s="1449">
        <f>IF('6.Inland wetlands'!$CZ120=list!$F$210,0,IF($H359&gt;time,0,MIN($X359,$Y359)*time+ABS($Y359-$X359)*IF($Y359&gt;$X359,time*VLOOKUP($G359,list!$J$48:$K$50,2,0),time*(1-VLOOKUP($G359,list!$J$48:$K$50,2,0))))*(1/$H359)*($I359)*($T359*methane/1000))</f>
        <v/>
      </c>
      <c r="BA359" s="1449">
        <f>IF('6.Inland wetlands'!$CZ120=list!$F$210,0,IF($L359&gt;time,0,MIN($X359,$Z359)*time+ABS($Z359-$X359)*IF($Z359&gt;$X359,time*VLOOKUP($K359,list!$J$48:$K$50,2,0),time*(1-VLOOKUP($K359,list!$J$48:$K$50,2,0))))*(1/$L359)*($M359)*($T359*methane/1000))</f>
        <v/>
      </c>
      <c r="BE359" s="1451">
        <f>AF359</f>
        <v/>
      </c>
      <c r="BF359" s="1451">
        <f>AG359</f>
        <v/>
      </c>
    </row>
    <row r="360">
      <c r="A360" s="1496" t="inlineStr">
        <is>
          <t>S4</t>
        </is>
      </c>
      <c r="B360" s="973">
        <f>K342</f>
        <v/>
      </c>
      <c r="C360" s="1121">
        <f>IF($B360="Please select","",IF(ISNUMBER(SEARCH("Planted",$B360)),"Plantation","Forest"))</f>
        <v/>
      </c>
      <c r="D360" s="992">
        <f>'6.Inland wetlands'!K132</f>
        <v/>
      </c>
      <c r="E360" s="1246">
        <f>'6.Inland wetlands'!M132</f>
        <v/>
      </c>
      <c r="F360" s="992">
        <f>'6.Inland wetlands'!N132</f>
        <v/>
      </c>
      <c r="G360" s="1688">
        <f>N342</f>
        <v/>
      </c>
      <c r="H360" s="1688">
        <f>'6.Inland wetlands'!DB121</f>
        <v/>
      </c>
      <c r="I360" s="1241">
        <f>'6.Inland wetlands'!DC121</f>
        <v/>
      </c>
      <c r="J360" s="992">
        <f>'6.Inland wetlands'!P132</f>
        <v/>
      </c>
      <c r="K360" s="1688">
        <f>P342</f>
        <v/>
      </c>
      <c r="L360" s="1688">
        <f>'6.Inland wetlands'!DE121</f>
        <v/>
      </c>
      <c r="M360" s="1241">
        <f>'6.Inland wetlands'!DF121</f>
        <v/>
      </c>
      <c r="O360" s="1111">
        <f>IFERROR(INDEX(IPCC!$A$2037:$D$2048,MATCH(clim_moist,IPCC!$A$2037:$A$2048,0),MATCH($O$354,IPCC!$A$2037:$D$2037,0)),0)</f>
        <v/>
      </c>
      <c r="P360" s="1161">
        <f>IF('6.Inland wetlands'!$DI121="",'6.Inland wetlands'!$DH121,'6.Inland wetlands'!$DI121)</f>
        <v/>
      </c>
      <c r="Q360" s="1111">
        <f>IFERROR(INDEX(IPCC!$A$2037:$D$2048,MATCH(clim_moist,IPCC!$A$2037:$A$2048,0),MATCH($Q$354,IPCC!$A$2037:$D$2037,0)),0)</f>
        <v/>
      </c>
      <c r="R360" s="1161">
        <f>IF('6.Inland wetlands'!$DK121="",'6.Inland wetlands'!$DJ121,'6.Inland wetlands'!$DK121)</f>
        <v/>
      </c>
      <c r="S360" s="1111">
        <f>IFERROR(INDEX(IPCC!$A$2037:$D$2048,MATCH(clim_moist,IPCC!$A$2037:$A$2048,0),MATCH($S$354,IPCC!$A$2037:$D$2037,0)),0)</f>
        <v/>
      </c>
      <c r="T360" s="1161">
        <f>IF('6.Inland wetlands'!$DM121="",'6.Inland wetlands'!$DL121,'6.Inland wetlands'!$DM121)</f>
        <v/>
      </c>
      <c r="U360" s="1111">
        <f>IFERROR(INDEX(IPCC!$A$2020:$D$2031,MATCH(clim_moist,IPCC!$A$2021:$A$2031,0),MATCH('6.Inland wetlands'!$CZ121,IPCC!$A$2020:$D$2020,0)),0)</f>
        <v/>
      </c>
      <c r="V360" s="1161">
        <f>IF('6.Inland wetlands'!$DO121="",'6.Inland wetlands'!$DN121,'6.Inland wetlands'!$DO121)</f>
        <v/>
      </c>
      <c r="W360" s="1276" t="n"/>
      <c r="X360" s="1151">
        <f>IF('6.Inland wetlands'!$CZ121=list!$F$210,0,$V360*$E360)</f>
        <v/>
      </c>
      <c r="Y360" s="1151">
        <f>IF('6.Inland wetlands'!$CZ121=list!$F$210,0,$V360*$F360)</f>
        <v/>
      </c>
      <c r="Z360" s="1151">
        <f>IF('6.Inland wetlands'!$CZ121=list!$F$210,0,$V360*$J360)</f>
        <v/>
      </c>
      <c r="AA360" s="3501" t="n"/>
      <c r="AB360" s="1468" t="n"/>
      <c r="AC360" s="1468" t="n"/>
      <c r="AD360" s="1151">
        <f>IF(OR('6.Inland wetlands'!$AB132=list!$E$211, '6.Inland wetlands'!$AB132=list!$E$213), IF($H360&gt;time_tot,0,MIN($X360,$Y360)*time_tot+ABS($Y360-$X360)*IF($Y360&gt;$X360,time_cap+time*VLOOKUP($G360,list!$J$48:$K$50,2,0),time*(1-VLOOKUP($G360,list!$J$48:$K$50,2,0))))*(1/$H360)*($I360)*($P360*44/12/1000)+IF($H360&gt;time_tot,0,MIN($X360,$Y360)*time_tot+ABS($Y360-$X360)*IF($Y360&gt;$X360,time_cap+time*VLOOKUP($G360,list!$J$48:$K$50,2,0),time*(1-VLOOKUP($G360,list!$J$48:$K$50,2,0))))*(1/$H360)*($I360)*($R360*2/1000), 0)</f>
        <v/>
      </c>
      <c r="AE360" s="1151">
        <f>IF(OR('6.Inland wetlands'!$AB132=list!$E$212,'6.Inland wetlands'!$AB132=list!$E$213),IF($L360&gt;time_tot,0,MIN($X360,$Z360)*time_tot+ABS($Z360-$X360)*IF($Z360&gt;$X360,time_cap+time*VLOOKUP($K360,list!$J$48:$K$50,2,0),time*(1-VLOOKUP($K360,list!$J$48:$K$50,2,0))))*(1/$L360)*($M360)*($P360*44/12/1000)+IF($L360&gt;time_tot,0,MIN($X360,$Z360)*time_tot+ABS($Z360-$X360)*IF($Z360&gt;$X360,time_cap+time*VLOOKUP($K360,list!$J$48:$K$50,2,0),time*(1-VLOOKUP($K360,list!$J$48:$K$50,2,0))))*(1/$L360)*($M360)*($R360*2/1000), 0)</f>
        <v/>
      </c>
      <c r="AF360" s="1151">
        <f>IF(OR('6.Inland wetlands'!$AB132=list!$E$211,'6.Inland wetlands'!$AB132=list!$E$213), IF($H360&gt;time_tot,0,MIN($X360,$Y360)*time_tot+ABS($Y360-$X360)*IF($Y360&gt;$X360,time_cap+time*VLOOKUP($G360,list!$J$48:$K$50,2,0),time*(1-VLOOKUP($G360,list!$J$48:$K$50,2,0))))*(1/$H360)*($I360)*($T360*methane/1000), 0)</f>
        <v/>
      </c>
      <c r="AG360" s="1151">
        <f>IF(OR('6.Inland wetlands'!$AB132=list!$E$212,'6.Inland wetlands'!$AB132=list!$E$213), IF($L360&gt;time_tot,0,MIN($X360,$Z360)*time_tot+ABS($Z360-$X360)*IF($Z360&gt;$X360,time_cap+time*VLOOKUP($K360,list!$J$48:$K$50,2,0),time*(1-VLOOKUP($K360,list!$J$48:$K$50,2,0))))*(1/$L360)*($M360)*($T360*methane/1000), 0)</f>
        <v/>
      </c>
      <c r="AI360" s="3495">
        <f>SUM(AD360,AF360)</f>
        <v/>
      </c>
      <c r="AJ360" s="1152">
        <f>SUM(AE360,AG360)</f>
        <v/>
      </c>
      <c r="AK360" s="1160">
        <f>AJ360-AI360</f>
        <v/>
      </c>
      <c r="AX360" s="1449">
        <f>IF('6.Inland wetlands'!$CZ121=list!$F$210,0,IF($H360&gt;time,0,MIN($X360,$Y360)*time+ABS($Y360-$X360)*IF($Y360&gt;$X360,time*VLOOKUP($G360,list!$J$48:$K$50,2,0),time*(1-VLOOKUP($G360,list!$J$48:$K$50,2,0))))*(1/$H360)*($I360)*($P360/1000)+IF($H360&gt;time,0,MIN($X360,$Y360)*time+ABS($Y360-$X360)*IF($Y360&gt;$X360,time*VLOOKUP($G360,list!$J$48:$K$50,2,0),time*(1-VLOOKUP($G360,list!$J$48:$K$50,2,0))))*(1/$H360)*($I360)*($R360*2/1000))</f>
        <v/>
      </c>
      <c r="AY360" s="1449">
        <f>IF('6.Inland wetlands'!$CZ121=list!$F$210,0,IF($L360&gt;time,0,MIN($X360,$Z360)*time+ABS($Z360-$X360)*IF($Z360&gt;$X360,time*VLOOKUP($K360,list!$J$48:$K$50,2,0),time*(1-VLOOKUP($K360,list!$J$48:$K$50,2,0))))*(1/$L360)*($M360)*($P360/1000)+IF($L360&gt;time,0,MIN($X360,$Z360)*time+ABS($Z360-$X360)*IF($Z360&gt;$X360,time*VLOOKUP($K360,list!$J$48:$K$50,2,0),time*(1-VLOOKUP($K360,list!$J$48:$K$50,2,0))))*(1/$L360)*($M360)*($R360*2/1000))</f>
        <v/>
      </c>
      <c r="AZ360" s="1449">
        <f>IF('6.Inland wetlands'!$CZ121=list!$F$210,0,IF($H360&gt;time,0,MIN($X360,$Y360)*time+ABS($Y360-$X360)*IF($Y360&gt;$X360,time*VLOOKUP($G360,list!$J$48:$K$50,2,0),time*(1-VLOOKUP($G360,list!$J$48:$K$50,2,0))))*(1/$H360)*($I360)*($T360*methane/1000))</f>
        <v/>
      </c>
      <c r="BA360" s="1449">
        <f>IF('6.Inland wetlands'!$CZ121=list!$F$210,0,IF($L360&gt;time,0,MIN($X360,$Z360)*time+ABS($Z360-$X360)*IF($Z360&gt;$X360,time*VLOOKUP($K360,list!$J$48:$K$50,2,0),time*(1-VLOOKUP($K360,list!$J$48:$K$50,2,0))))*(1/$L360)*($M360)*($T360*methane/1000))</f>
        <v/>
      </c>
      <c r="BE360" s="1451">
        <f>AF360</f>
        <v/>
      </c>
      <c r="BF360" s="1451">
        <f>AG360</f>
        <v/>
      </c>
    </row>
    <row r="361">
      <c r="A361" s="1496" t="inlineStr">
        <is>
          <t>S5</t>
        </is>
      </c>
      <c r="B361" s="973">
        <f>K343</f>
        <v/>
      </c>
      <c r="C361" s="1121">
        <f>IF($B361="Please select","",IF(ISNUMBER(SEARCH("Planted",$B361)),"Plantation","Forest"))</f>
        <v/>
      </c>
      <c r="D361" s="992">
        <f>'6.Inland wetlands'!K133</f>
        <v/>
      </c>
      <c r="E361" s="1246">
        <f>'6.Inland wetlands'!M133</f>
        <v/>
      </c>
      <c r="F361" s="992">
        <f>'6.Inland wetlands'!N133</f>
        <v/>
      </c>
      <c r="G361" s="1688">
        <f>N343</f>
        <v/>
      </c>
      <c r="H361" s="1688">
        <f>'6.Inland wetlands'!DB122</f>
        <v/>
      </c>
      <c r="I361" s="1241">
        <f>'6.Inland wetlands'!DC122</f>
        <v/>
      </c>
      <c r="J361" s="992">
        <f>'6.Inland wetlands'!P133</f>
        <v/>
      </c>
      <c r="K361" s="1688">
        <f>P343</f>
        <v/>
      </c>
      <c r="L361" s="1688">
        <f>'6.Inland wetlands'!DE122</f>
        <v/>
      </c>
      <c r="M361" s="1241">
        <f>'6.Inland wetlands'!DF122</f>
        <v/>
      </c>
      <c r="O361" s="1111">
        <f>IFERROR(INDEX(IPCC!$A$2037:$D$2048,MATCH(clim_moist,IPCC!$A$2037:$A$2048,0),MATCH($O$354,IPCC!$A$2037:$D$2037,0)),0)</f>
        <v/>
      </c>
      <c r="P361" s="1161">
        <f>IF('6.Inland wetlands'!$DI122="",'6.Inland wetlands'!$DH122,'6.Inland wetlands'!$DI122)</f>
        <v/>
      </c>
      <c r="Q361" s="1111">
        <f>IFERROR(INDEX(IPCC!$A$2037:$D$2048,MATCH(clim_moist,IPCC!$A$2037:$A$2048,0),MATCH($Q$354,IPCC!$A$2037:$D$2037,0)),0)</f>
        <v/>
      </c>
      <c r="R361" s="1161">
        <f>IF('6.Inland wetlands'!$DK122="",'6.Inland wetlands'!$DJ122,'6.Inland wetlands'!$DK122)</f>
        <v/>
      </c>
      <c r="S361" s="1111">
        <f>IFERROR(INDEX(IPCC!$A$2037:$D$2048,MATCH(clim_moist,IPCC!$A$2037:$A$2048,0),MATCH($S$354,IPCC!$A$2037:$D$2037,0)),0)</f>
        <v/>
      </c>
      <c r="T361" s="1161">
        <f>IF('6.Inland wetlands'!$DM122="",'6.Inland wetlands'!$DL122,'6.Inland wetlands'!$DM122)</f>
        <v/>
      </c>
      <c r="U361" s="1111">
        <f>IFERROR(INDEX(IPCC!$A$2020:$D$2031,MATCH(clim_moist,IPCC!$A$2021:$A$2031,0),MATCH('6.Inland wetlands'!$CZ122,IPCC!$A$2020:$D$2020,0)),0)</f>
        <v/>
      </c>
      <c r="V361" s="1161">
        <f>IF('6.Inland wetlands'!$DO122="",'6.Inland wetlands'!$DN122,'6.Inland wetlands'!$DO122)</f>
        <v/>
      </c>
      <c r="W361" s="1276" t="n"/>
      <c r="X361" s="1151">
        <f>IF('6.Inland wetlands'!$CZ122=list!$F$210,0,$V361*$E361)</f>
        <v/>
      </c>
      <c r="Y361" s="1151">
        <f>IF('6.Inland wetlands'!$CZ122=list!$F$210,0,$V361*$F361)</f>
        <v/>
      </c>
      <c r="Z361" s="1151">
        <f>IF('6.Inland wetlands'!$CZ122=list!$F$210,0,$V361*$J361)</f>
        <v/>
      </c>
      <c r="AA361" s="3501" t="n"/>
      <c r="AB361" s="1468" t="n"/>
      <c r="AC361" s="1468" t="n"/>
      <c r="AD361" s="1151">
        <f>IF(OR('6.Inland wetlands'!$AB133=list!$E$211, '6.Inland wetlands'!$AB133=list!$E$213), IF($H361&gt;time_tot,0,MIN($X361,$Y361)*time_tot+ABS($Y361-$X361)*IF($Y361&gt;$X361,time_cap+time*VLOOKUP($G361,list!$J$48:$K$50,2,0),time*(1-VLOOKUP($G361,list!$J$48:$K$50,2,0))))*(1/$H361)*($I361)*($P361*44/12/1000)+IF($H361&gt;time_tot,0,MIN($X361,$Y361)*time_tot+ABS($Y361-$X361)*IF($Y361&gt;$X361,time_cap+time*VLOOKUP($G361,list!$J$48:$K$50,2,0),time*(1-VLOOKUP($G361,list!$J$48:$K$50,2,0))))*(1/$H361)*($I361)*($R361*2/1000), 0)</f>
        <v/>
      </c>
      <c r="AE361" s="1151">
        <f>IF(OR('6.Inland wetlands'!$AB133=list!$E$212,'6.Inland wetlands'!$AB133=list!$E$213),IF($L361&gt;time_tot,0,MIN($X361,$Z361)*time_tot+ABS($Z361-$X361)*IF($Z361&gt;$X361,time_cap+time*VLOOKUP($K361,list!$J$48:$K$50,2,0),time*(1-VLOOKUP($K361,list!$J$48:$K$50,2,0))))*(1/$L361)*($M361)*($P361*44/12/1000)+IF($L361&gt;time_tot,0,MIN($X361,$Z361)*time_tot+ABS($Z361-$X361)*IF($Z361&gt;$X361,time_cap+time*VLOOKUP($K361,list!$J$48:$K$50,2,0),time*(1-VLOOKUP($K361,list!$J$48:$K$50,2,0))))*(1/$L361)*($M361)*($R361*2/1000), 0)</f>
        <v/>
      </c>
      <c r="AF361" s="1151">
        <f>IF(OR('6.Inland wetlands'!$AB133=list!$E$211,'6.Inland wetlands'!$AB133=list!$E$213), IF($H361&gt;time_tot,0,MIN($X361,$Y361)*time_tot+ABS($Y361-$X361)*IF($Y361&gt;$X361,time_cap+time*VLOOKUP($G361,list!$J$48:$K$50,2,0),time*(1-VLOOKUP($G361,list!$J$48:$K$50,2,0))))*(1/$H361)*($I361)*($T361*methane/1000), 0)</f>
        <v/>
      </c>
      <c r="AG361" s="1151">
        <f>IF(OR('6.Inland wetlands'!$AB133=list!$E$212,'6.Inland wetlands'!$AB133=list!$E$213), IF($L361&gt;time_tot,0,MIN($X361,$Z361)*time_tot+ABS($Z361-$X361)*IF($Z361&gt;$X361,time_cap+time*VLOOKUP($K361,list!$J$48:$K$50,2,0),time*(1-VLOOKUP($K361,list!$J$48:$K$50,2,0))))*(1/$L361)*($M361)*($T361*methane/1000), 0)</f>
        <v/>
      </c>
      <c r="AI361" s="3495">
        <f>SUM(AD361,AF361)</f>
        <v/>
      </c>
      <c r="AJ361" s="1152">
        <f>SUM(AE361,AG361)</f>
        <v/>
      </c>
      <c r="AK361" s="1160">
        <f>AJ361-AI361</f>
        <v/>
      </c>
      <c r="AX361" s="1449">
        <f>IF('6.Inland wetlands'!$CZ122=list!$F$210,0,IF($H361&gt;time,0,MIN($X361,$Y361)*time+ABS($Y361-$X361)*IF($Y361&gt;$X361,time*VLOOKUP($G361,list!$J$48:$K$50,2,0),time*(1-VLOOKUP($G361,list!$J$48:$K$50,2,0))))*(1/$H361)*($I361)*($P361/1000)+IF($H361&gt;time,0,MIN($X361,$Y361)*time+ABS($Y361-$X361)*IF($Y361&gt;$X361,time*VLOOKUP($G361,list!$J$48:$K$50,2,0),time*(1-VLOOKUP($G361,list!$J$48:$K$50,2,0))))*(1/$H361)*($I361)*($R361*2/1000))</f>
        <v/>
      </c>
      <c r="AY361" s="1449">
        <f>IF('6.Inland wetlands'!$CZ122=list!$F$210,0,IF($L361&gt;time,0,MIN($X361,$Z361)*time+ABS($Z361-$X361)*IF($Z361&gt;$X361,time*VLOOKUP($K361,list!$J$48:$K$50,2,0),time*(1-VLOOKUP($K361,list!$J$48:$K$50,2,0))))*(1/$L361)*($M361)*($P361/1000)+IF($L361&gt;time,0,MIN($X361,$Z361)*time+ABS($Z361-$X361)*IF($Z361&gt;$X361,time*VLOOKUP($K361,list!$J$48:$K$50,2,0),time*(1-VLOOKUP($K361,list!$J$48:$K$50,2,0))))*(1/$L361)*($M361)*($R361*2/1000))</f>
        <v/>
      </c>
      <c r="AZ361" s="1449">
        <f>IF('6.Inland wetlands'!$CZ122=list!$F$210,0,IF($H361&gt;time,0,MIN($X361,$Y361)*time+ABS($Y361-$X361)*IF($Y361&gt;$X361,time*VLOOKUP($G361,list!$J$48:$K$50,2,0),time*(1-VLOOKUP($G361,list!$J$48:$K$50,2,0))))*(1/$H361)*($I361)*($T361*methane/1000))</f>
        <v/>
      </c>
      <c r="BA361" s="1449">
        <f>IF('6.Inland wetlands'!$CZ122=list!$F$210,0,IF($L361&gt;time,0,MIN($X361,$Z361)*time+ABS($Z361-$X361)*IF($Z361&gt;$X361,time*VLOOKUP($K361,list!$J$48:$K$50,2,0),time*(1-VLOOKUP($K361,list!$J$48:$K$50,2,0))))*(1/$L361)*($M361)*($T361*methane/1000))</f>
        <v/>
      </c>
      <c r="BE361" s="1451">
        <f>AF361</f>
        <v/>
      </c>
      <c r="BF361" s="1451">
        <f>AG361</f>
        <v/>
      </c>
    </row>
    <row r="362">
      <c r="A362" s="1496" t="inlineStr">
        <is>
          <t>S6</t>
        </is>
      </c>
      <c r="B362" s="973">
        <f>K344</f>
        <v/>
      </c>
      <c r="C362" s="1121">
        <f>IF($B362="Please select","",IF(ISNUMBER(SEARCH("Planted",$B362)),"Plantation","Forest"))</f>
        <v/>
      </c>
      <c r="D362" s="992">
        <f>'6.Inland wetlands'!K134</f>
        <v/>
      </c>
      <c r="E362" s="1246">
        <f>'6.Inland wetlands'!M134</f>
        <v/>
      </c>
      <c r="F362" s="992">
        <f>'6.Inland wetlands'!N134</f>
        <v/>
      </c>
      <c r="G362" s="1688">
        <f>N344</f>
        <v/>
      </c>
      <c r="H362" s="1688">
        <f>'6.Inland wetlands'!DB123</f>
        <v/>
      </c>
      <c r="I362" s="1241">
        <f>'6.Inland wetlands'!DC123</f>
        <v/>
      </c>
      <c r="J362" s="992">
        <f>'6.Inland wetlands'!P134</f>
        <v/>
      </c>
      <c r="K362" s="1688">
        <f>P344</f>
        <v/>
      </c>
      <c r="L362" s="1688">
        <f>'6.Inland wetlands'!DE123</f>
        <v/>
      </c>
      <c r="M362" s="1241">
        <f>'6.Inland wetlands'!DF123</f>
        <v/>
      </c>
      <c r="O362" s="1111">
        <f>IFERROR(INDEX(IPCC!$A$2037:$D$2048,MATCH(clim_moist,IPCC!$A$2037:$A$2048,0),MATCH($O$354,IPCC!$A$2037:$D$2037,0)),0)</f>
        <v/>
      </c>
      <c r="P362" s="1161">
        <f>IF('6.Inland wetlands'!$DI123="",'6.Inland wetlands'!$DH123,'6.Inland wetlands'!$DI123)</f>
        <v/>
      </c>
      <c r="Q362" s="1111">
        <f>IFERROR(INDEX(IPCC!$A$2037:$D$2048,MATCH(clim_moist,IPCC!$A$2037:$A$2048,0),MATCH($Q$354,IPCC!$A$2037:$D$2037,0)),0)</f>
        <v/>
      </c>
      <c r="R362" s="1161">
        <f>IF('6.Inland wetlands'!$DK123="",'6.Inland wetlands'!$DJ123,'6.Inland wetlands'!$DK123)</f>
        <v/>
      </c>
      <c r="S362" s="1111">
        <f>IFERROR(INDEX(IPCC!$A$2037:$D$2048,MATCH(clim_moist,IPCC!$A$2037:$A$2048,0),MATCH($S$354,IPCC!$A$2037:$D$2037,0)),0)</f>
        <v/>
      </c>
      <c r="T362" s="1161">
        <f>IF('6.Inland wetlands'!$DM123="",'6.Inland wetlands'!$DL123,'6.Inland wetlands'!$DM123)</f>
        <v/>
      </c>
      <c r="U362" s="1111">
        <f>IFERROR(INDEX(IPCC!$A$2020:$D$2031,MATCH(clim_moist,IPCC!$A$2021:$A$2031,0),MATCH('6.Inland wetlands'!$CZ123,IPCC!$A$2020:$D$2020,0)),0)</f>
        <v/>
      </c>
      <c r="V362" s="1161">
        <f>IF('6.Inland wetlands'!$DO123="",'6.Inland wetlands'!$DN123,'6.Inland wetlands'!$DO123)</f>
        <v/>
      </c>
      <c r="W362" s="1276" t="n"/>
      <c r="X362" s="1151">
        <f>IF('6.Inland wetlands'!$CZ123=list!$F$210,0,$V362*$E362)</f>
        <v/>
      </c>
      <c r="Y362" s="1151">
        <f>IF('6.Inland wetlands'!$CZ123=list!$F$210,0,$V362*$F362)</f>
        <v/>
      </c>
      <c r="Z362" s="1151">
        <f>IF('6.Inland wetlands'!$CZ123=list!$F$210,0,$V362*$J362)</f>
        <v/>
      </c>
      <c r="AA362" s="3501" t="n"/>
      <c r="AB362" s="1468" t="n"/>
      <c r="AC362" s="1468" t="n"/>
      <c r="AD362" s="1151">
        <f>IF(OR('6.Inland wetlands'!$AB134=list!$E$211, '6.Inland wetlands'!$AB134=list!$E$213), IF($H362&gt;time_tot,0,MIN($X362,$Y362)*time_tot+ABS($Y362-$X362)*IF($Y362&gt;$X362,time_cap+time*VLOOKUP($G362,list!$J$48:$K$50,2,0),time*(1-VLOOKUP($G362,list!$J$48:$K$50,2,0))))*(1/$H362)*($I362)*($P362*44/12/1000)+IF($H362&gt;time_tot,0,MIN($X362,$Y362)*time_tot+ABS($Y362-$X362)*IF($Y362&gt;$X362,time_cap+time*VLOOKUP($G362,list!$J$48:$K$50,2,0),time*(1-VLOOKUP($G362,list!$J$48:$K$50,2,0))))*(1/$H362)*($I362)*($R362*2/1000), 0)</f>
        <v/>
      </c>
      <c r="AE362" s="1151">
        <f>IF(OR('6.Inland wetlands'!$AB134=list!$E$212,'6.Inland wetlands'!$AB134=list!$E$213),IF($L362&gt;time_tot,0,MIN($X362,$Z362)*time_tot+ABS($Z362-$X362)*IF($Z362&gt;$X362,time_cap+time*VLOOKUP($K362,list!$J$48:$K$50,2,0),time*(1-VLOOKUP($K362,list!$J$48:$K$50,2,0))))*(1/$L362)*($M362)*($P362*44/12/1000)+IF($L362&gt;time_tot,0,MIN($X362,$Z362)*time_tot+ABS($Z362-$X362)*IF($Z362&gt;$X362,time_cap+time*VLOOKUP($K362,list!$J$48:$K$50,2,0),time*(1-VLOOKUP($K362,list!$J$48:$K$50,2,0))))*(1/$L362)*($M362)*($R362*2/1000), 0)</f>
        <v/>
      </c>
      <c r="AF362" s="1151">
        <f>IF(OR('6.Inland wetlands'!$AB134=list!$E$211,'6.Inland wetlands'!$AB134=list!$E$213), IF($H362&gt;time_tot,0,MIN($X362,$Y362)*time_tot+ABS($Y362-$X362)*IF($Y362&gt;$X362,time_cap+time*VLOOKUP($G362,list!$J$48:$K$50,2,0),time*(1-VLOOKUP($G362,list!$J$48:$K$50,2,0))))*(1/$H362)*($I362)*($T362*methane/1000), 0)</f>
        <v/>
      </c>
      <c r="AG362" s="1151">
        <f>IF(OR('6.Inland wetlands'!$AB134=list!$E$212,'6.Inland wetlands'!$AB134=list!$E$213), IF($L362&gt;time_tot,0,MIN($X362,$Z362)*time_tot+ABS($Z362-$X362)*IF($Z362&gt;$X362,time_cap+time*VLOOKUP($K362,list!$J$48:$K$50,2,0),time*(1-VLOOKUP($K362,list!$J$48:$K$50,2,0))))*(1/$L362)*($M362)*($T362*methane/1000), 0)</f>
        <v/>
      </c>
      <c r="AI362" s="3495">
        <f>SUM(AD362,AF362)</f>
        <v/>
      </c>
      <c r="AJ362" s="1152">
        <f>SUM(AE362,AG362)</f>
        <v/>
      </c>
      <c r="AK362" s="1160">
        <f>AJ362-AI362</f>
        <v/>
      </c>
      <c r="AX362" s="1449">
        <f>IF('6.Inland wetlands'!$CZ123=list!$F$210,0,IF($H362&gt;time,0,MIN($X362,$Y362)*time+ABS($Y362-$X362)*IF($Y362&gt;$X362,time*VLOOKUP($G362,list!$J$48:$K$50,2,0),time*(1-VLOOKUP($G362,list!$J$48:$K$50,2,0))))*(1/$H362)*($I362)*($P362/1000)+IF($H362&gt;time,0,MIN($X362,$Y362)*time+ABS($Y362-$X362)*IF($Y362&gt;$X362,time*VLOOKUP($G362,list!$J$48:$K$50,2,0),time*(1-VLOOKUP($G362,list!$J$48:$K$50,2,0))))*(1/$H362)*($I362)*($R362*2/1000))</f>
        <v/>
      </c>
      <c r="AY362" s="1449">
        <f>IF('6.Inland wetlands'!$CZ123=list!$F$210,0,IF($L362&gt;time,0,MIN($X362,$Z362)*time+ABS($Z362-$X362)*IF($Z362&gt;$X362,time*VLOOKUP($K362,list!$J$48:$K$50,2,0),time*(1-VLOOKUP($K362,list!$J$48:$K$50,2,0))))*(1/$L362)*($M362)*($P362/1000)+IF($L362&gt;time,0,MIN($X362,$Z362)*time+ABS($Z362-$X362)*IF($Z362&gt;$X362,time*VLOOKUP($K362,list!$J$48:$K$50,2,0),time*(1-VLOOKUP($K362,list!$J$48:$K$50,2,0))))*(1/$L362)*($M362)*($R362*2/1000))</f>
        <v/>
      </c>
      <c r="AZ362" s="1449">
        <f>IF('6.Inland wetlands'!$CZ123=list!$F$210,0,IF($H362&gt;time,0,MIN($X362,$Y362)*time+ABS($Y362-$X362)*IF($Y362&gt;$X362,time*VLOOKUP($G362,list!$J$48:$K$50,2,0),time*(1-VLOOKUP($G362,list!$J$48:$K$50,2,0))))*(1/$H362)*($I362)*($T362*methane/1000))</f>
        <v/>
      </c>
      <c r="BA362" s="1449">
        <f>IF('6.Inland wetlands'!$CZ123=list!$F$210,0,IF($L362&gt;time,0,MIN($X362,$Z362)*time+ABS($Z362-$X362)*IF($Z362&gt;$X362,time*VLOOKUP($K362,list!$J$48:$K$50,2,0),time*(1-VLOOKUP($K362,list!$J$48:$K$50,2,0))))*(1/$L362)*($M362)*($T362*methane/1000))</f>
        <v/>
      </c>
      <c r="BE362" s="1451">
        <f>AF362</f>
        <v/>
      </c>
      <c r="BF362" s="1451">
        <f>AG362</f>
        <v/>
      </c>
    </row>
    <row r="364">
      <c r="AX364" s="1461">
        <f>SUM(AX357:AX362)</f>
        <v/>
      </c>
      <c r="AY364" s="1461">
        <f>SUM(AY357:AY362)</f>
        <v/>
      </c>
      <c r="AZ364" s="1461">
        <f>SUM(AZ357:AZ362)</f>
        <v/>
      </c>
      <c r="BA364" s="1461">
        <f>SUM(BA357:BA362)</f>
        <v/>
      </c>
      <c r="BB364" s="1461" t="n"/>
      <c r="BC364" s="1461" t="n"/>
    </row>
    <row r="365">
      <c r="AY365" s="1451">
        <f>AY364-AX364</f>
        <v/>
      </c>
      <c r="AZ365" s="1451" t="n"/>
      <c r="BA365" s="1451">
        <f>BA364-AZ364</f>
        <v/>
      </c>
      <c r="BB365" s="1451" t="n"/>
      <c r="BC365" s="1451" t="n"/>
    </row>
    <row r="369" ht="16" customHeight="1">
      <c r="A369" s="1264" t="n"/>
      <c r="B369" s="1271" t="inlineStr">
        <is>
          <t>Drainage On-site Efs</t>
        </is>
      </c>
      <c r="C369" s="1271" t="n"/>
      <c r="D369" s="1271" t="n"/>
      <c r="E369" s="1271" t="n"/>
      <c r="F369" s="1271" t="n"/>
      <c r="G369" s="1271" t="n"/>
      <c r="H369" s="1273" t="inlineStr">
        <is>
          <t>Drainage Off-site Efs</t>
        </is>
      </c>
      <c r="I369" s="1273" t="n"/>
      <c r="J369" s="1273" t="n"/>
      <c r="K369" s="1273" t="n"/>
      <c r="L369" s="1271" t="inlineStr">
        <is>
          <t>Emissions from drainage in tCO2-e/yr</t>
        </is>
      </c>
      <c r="M369" s="1264" t="n"/>
      <c r="N369" s="1264" t="n"/>
      <c r="O369" s="1264" t="n"/>
      <c r="P369" s="1264" t="n"/>
      <c r="Q369" s="1264" t="n"/>
      <c r="R369" s="1264" t="n"/>
      <c r="S369" s="1264" t="n"/>
      <c r="T369" s="1264" t="n"/>
      <c r="U369" s="1261" t="n"/>
      <c r="V369" s="1261" t="n"/>
      <c r="W369" s="1261" t="n"/>
      <c r="X369" s="1261" t="n"/>
      <c r="Y369" s="1261" t="n"/>
      <c r="Z369" s="1261" t="n"/>
      <c r="AB369" s="1271" t="inlineStr">
        <is>
          <t>DRAINAGE EMISSIONS</t>
        </is>
      </c>
      <c r="AC369" s="1264" t="n"/>
      <c r="AD369" s="1264" t="n"/>
      <c r="AE369" s="1264" t="n"/>
      <c r="AF369" s="1264" t="n"/>
      <c r="AG369" s="1264" t="n"/>
      <c r="AI369" s="1270" t="inlineStr">
        <is>
          <t>Total emissions tCO2eq</t>
        </is>
      </c>
      <c r="AJ369" s="1116" t="n"/>
      <c r="AK369" s="1116" t="n"/>
      <c r="AX369" s="1287" t="inlineStr">
        <is>
          <t>ON SITE DRAINAGE</t>
        </is>
      </c>
      <c r="AY369" s="1501" t="n"/>
      <c r="AZ369" s="1501" t="n"/>
      <c r="BA369" s="1501" t="n"/>
      <c r="BB369" s="1501" t="n"/>
      <c r="BC369" s="1501" t="n"/>
      <c r="BD369" s="1287" t="inlineStr">
        <is>
          <t>OFF SITE DRAINAGE</t>
        </is>
      </c>
      <c r="BE369" s="1501" t="n"/>
      <c r="BF369" s="1501" t="n"/>
      <c r="BG369" s="1501" t="n"/>
    </row>
    <row r="370" ht="17" customHeight="1">
      <c r="A370" s="1264" t="n"/>
      <c r="B370" s="1271" t="inlineStr">
        <is>
          <t>CO2</t>
        </is>
      </c>
      <c r="C370" s="1264" t="n"/>
      <c r="D370" s="1271" t="inlineStr">
        <is>
          <t>CH4</t>
        </is>
      </c>
      <c r="E370" s="1264" t="n"/>
      <c r="F370" s="1271" t="inlineStr">
        <is>
          <t>N2O</t>
        </is>
      </c>
      <c r="G370" s="1264" t="n"/>
      <c r="H370" s="1273" t="inlineStr">
        <is>
          <t>DOC</t>
        </is>
      </c>
      <c r="I370" s="1261" t="n"/>
      <c r="J370" s="1273" t="inlineStr">
        <is>
          <t>CH4</t>
        </is>
      </c>
      <c r="K370" s="1261" t="n"/>
      <c r="L370" s="1264" t="inlineStr">
        <is>
          <t>On-site emissions from drainage</t>
        </is>
      </c>
      <c r="M370" s="1264" t="n"/>
      <c r="N370" s="1264" t="n"/>
      <c r="O370" s="1264" t="n"/>
      <c r="P370" s="1264" t="n"/>
      <c r="Q370" s="1264" t="n"/>
      <c r="R370" s="1264" t="n"/>
      <c r="S370" s="1264" t="n"/>
      <c r="T370" s="1264" t="n"/>
      <c r="U370" s="1261" t="inlineStr">
        <is>
          <t>Off-site emissions from drainage</t>
        </is>
      </c>
      <c r="V370" s="1279" t="n"/>
      <c r="W370" s="1279" t="n"/>
      <c r="X370" s="1279" t="n"/>
      <c r="Y370" s="1279" t="n"/>
      <c r="Z370" s="1279" t="n"/>
      <c r="AB370" s="1271" t="inlineStr">
        <is>
          <t>Emissions in tCO2eq All period</t>
        </is>
      </c>
      <c r="AC370" s="1264" t="n"/>
      <c r="AD370" s="1264" t="n"/>
      <c r="AE370" s="1264" t="n"/>
      <c r="AF370" s="1264" t="n"/>
      <c r="AG370" s="1264" t="n"/>
      <c r="AI370" s="1270" t="inlineStr">
        <is>
          <t>ALL PERIOD</t>
        </is>
      </c>
      <c r="AJ370" s="1116" t="n"/>
      <c r="AK370" s="1116" t="n"/>
      <c r="AX370" s="1502" t="inlineStr">
        <is>
          <t>CO2</t>
        </is>
      </c>
      <c r="AY370" s="1502" t="n"/>
      <c r="AZ370" s="1502" t="inlineStr">
        <is>
          <t>CH4</t>
        </is>
      </c>
      <c r="BA370" s="1502" t="n"/>
      <c r="BB370" s="1502" t="inlineStr">
        <is>
          <t>N2O</t>
        </is>
      </c>
      <c r="BC370" s="1502" t="n"/>
      <c r="BD370" s="1502" t="inlineStr">
        <is>
          <t>DOC</t>
        </is>
      </c>
      <c r="BE370" s="1502" t="n"/>
      <c r="BF370" s="1502" t="inlineStr">
        <is>
          <t>CH4</t>
        </is>
      </c>
      <c r="BG370" s="1502" t="n"/>
    </row>
    <row r="371" ht="16" customHeight="1">
      <c r="A371" s="1264" t="n"/>
      <c r="B371" s="1264" t="inlineStr">
        <is>
          <t>tC/ha/yr</t>
        </is>
      </c>
      <c r="C371" s="1264" t="n"/>
      <c r="D371" s="1264" t="inlineStr">
        <is>
          <t>kgCH4/ha/yr</t>
        </is>
      </c>
      <c r="E371" s="1264" t="n"/>
      <c r="F371" s="1264" t="inlineStr">
        <is>
          <t>kgN2O-N/ha/yr</t>
        </is>
      </c>
      <c r="G371" s="1264" t="n"/>
      <c r="H371" s="1261" t="inlineStr">
        <is>
          <t>tC/ha/yr</t>
        </is>
      </c>
      <c r="I371" s="1261" t="n"/>
      <c r="J371" s="1261" t="inlineStr">
        <is>
          <t>kgCH4/ha/yr</t>
        </is>
      </c>
      <c r="K371" s="1261" t="n"/>
      <c r="L371" s="1271" t="inlineStr">
        <is>
          <t>CO2</t>
        </is>
      </c>
      <c r="M371" s="1264" t="n"/>
      <c r="N371" s="1271" t="n"/>
      <c r="O371" s="1271" t="inlineStr">
        <is>
          <t>CH4</t>
        </is>
      </c>
      <c r="P371" s="1264" t="n"/>
      <c r="Q371" s="1271" t="n"/>
      <c r="R371" s="1271" t="inlineStr">
        <is>
          <t>N2O</t>
        </is>
      </c>
      <c r="S371" s="1264" t="n"/>
      <c r="T371" s="1271" t="n"/>
      <c r="U371" s="1273" t="inlineStr">
        <is>
          <t>DOC</t>
        </is>
      </c>
      <c r="V371" s="1261" t="n"/>
      <c r="W371" s="1273" t="n"/>
      <c r="X371" s="1273" t="inlineStr">
        <is>
          <t>CH4</t>
        </is>
      </c>
      <c r="Y371" s="1261" t="n"/>
      <c r="Z371" s="1273" t="n"/>
      <c r="AB371" s="1264" t="inlineStr">
        <is>
          <t>CO2&amp;DOC</t>
        </is>
      </c>
      <c r="AC371" s="1264" t="n"/>
      <c r="AD371" s="1264" t="inlineStr">
        <is>
          <t>CH4</t>
        </is>
      </c>
      <c r="AE371" s="1264" t="n"/>
      <c r="AF371" s="1264" t="inlineStr">
        <is>
          <t>N2O</t>
        </is>
      </c>
      <c r="AG371" s="1264" t="n"/>
      <c r="AI371" s="1270" t="inlineStr">
        <is>
          <t>DRAINAGE</t>
        </is>
      </c>
      <c r="AJ371" s="1116" t="n"/>
      <c r="AK371" s="1116" t="n"/>
      <c r="AX371" s="1264" t="inlineStr">
        <is>
          <t>IMPLEMENTATION PHASE</t>
        </is>
      </c>
      <c r="AZ371" s="1264" t="inlineStr">
        <is>
          <t>IMPLEMENTATION PHASE</t>
        </is>
      </c>
      <c r="BB371" s="1264" t="inlineStr">
        <is>
          <t>IMPLEMENTATION PHASE</t>
        </is>
      </c>
      <c r="BD371" s="1264" t="inlineStr">
        <is>
          <t>IMPLEMENTATION PHASE</t>
        </is>
      </c>
      <c r="BF371" s="1264" t="inlineStr">
        <is>
          <t>IMPLEMENTATION PHASE</t>
        </is>
      </c>
    </row>
    <row r="372">
      <c r="A372" s="1264" t="n"/>
      <c r="B372" s="1272" t="inlineStr">
        <is>
          <t>IPCC</t>
        </is>
      </c>
      <c r="C372" s="1272" t="inlineStr">
        <is>
          <t>Tier 2</t>
        </is>
      </c>
      <c r="D372" s="1272" t="inlineStr">
        <is>
          <t>IPCC</t>
        </is>
      </c>
      <c r="E372" s="1272" t="inlineStr">
        <is>
          <t>Tier 2</t>
        </is>
      </c>
      <c r="F372" s="1272" t="inlineStr">
        <is>
          <t>IPCC</t>
        </is>
      </c>
      <c r="G372" s="1272" t="inlineStr">
        <is>
          <t>Tier 2</t>
        </is>
      </c>
      <c r="H372" s="1274" t="inlineStr">
        <is>
          <t>IPCC</t>
        </is>
      </c>
      <c r="I372" s="1274" t="inlineStr">
        <is>
          <t>Tier 2</t>
        </is>
      </c>
      <c r="J372" s="1274" t="inlineStr">
        <is>
          <t>IPCC</t>
        </is>
      </c>
      <c r="K372" s="1274" t="inlineStr">
        <is>
          <t>Tier 2</t>
        </is>
      </c>
      <c r="L372" s="1688" t="inlineStr">
        <is>
          <t>Start</t>
        </is>
      </c>
      <c r="M372" s="1102" t="inlineStr">
        <is>
          <t>Without</t>
        </is>
      </c>
      <c r="N372" s="1103" t="inlineStr">
        <is>
          <t>With</t>
        </is>
      </c>
      <c r="O372" s="1688" t="inlineStr">
        <is>
          <t>Start</t>
        </is>
      </c>
      <c r="P372" s="1102" t="inlineStr">
        <is>
          <t>Without</t>
        </is>
      </c>
      <c r="Q372" s="1103" t="inlineStr">
        <is>
          <t>With</t>
        </is>
      </c>
      <c r="R372" s="1688" t="inlineStr">
        <is>
          <t>Start</t>
        </is>
      </c>
      <c r="S372" s="1102" t="inlineStr">
        <is>
          <t>Without</t>
        </is>
      </c>
      <c r="T372" s="1103" t="inlineStr">
        <is>
          <t>With</t>
        </is>
      </c>
      <c r="U372" s="1688" t="inlineStr">
        <is>
          <t>Start</t>
        </is>
      </c>
      <c r="V372" s="1102" t="inlineStr">
        <is>
          <t>Without</t>
        </is>
      </c>
      <c r="W372" s="1103" t="inlineStr">
        <is>
          <t>With</t>
        </is>
      </c>
      <c r="X372" s="1688" t="inlineStr">
        <is>
          <t>Start</t>
        </is>
      </c>
      <c r="Y372" s="1102" t="inlineStr">
        <is>
          <t>Without</t>
        </is>
      </c>
      <c r="Z372" s="1103" t="inlineStr">
        <is>
          <t>With</t>
        </is>
      </c>
      <c r="AB372" s="1102" t="inlineStr">
        <is>
          <t>Without</t>
        </is>
      </c>
      <c r="AC372" s="1103" t="inlineStr">
        <is>
          <t>With</t>
        </is>
      </c>
      <c r="AD372" s="1102" t="inlineStr">
        <is>
          <t>Without</t>
        </is>
      </c>
      <c r="AE372" s="1103" t="inlineStr">
        <is>
          <t>With</t>
        </is>
      </c>
      <c r="AF372" s="1102" t="inlineStr">
        <is>
          <t>Without</t>
        </is>
      </c>
      <c r="AG372" s="1103" t="inlineStr">
        <is>
          <t>With</t>
        </is>
      </c>
      <c r="AI372" s="1102" t="inlineStr">
        <is>
          <t>WITHOUT</t>
        </is>
      </c>
      <c r="AJ372" s="1103" t="inlineStr">
        <is>
          <t>WITH</t>
        </is>
      </c>
      <c r="AK372" s="1104" t="inlineStr">
        <is>
          <t>BALANCE</t>
        </is>
      </c>
      <c r="AX372" s="1272" t="inlineStr">
        <is>
          <t>WITHOUT</t>
        </is>
      </c>
      <c r="AY372" s="1272" t="inlineStr">
        <is>
          <t>WITH</t>
        </is>
      </c>
      <c r="AZ372" s="1272" t="inlineStr">
        <is>
          <t>WITHOUT</t>
        </is>
      </c>
      <c r="BA372" s="1272" t="inlineStr">
        <is>
          <t>WITH</t>
        </is>
      </c>
      <c r="BB372" s="1272" t="inlineStr">
        <is>
          <t>WITHOUT</t>
        </is>
      </c>
      <c r="BC372" s="1272" t="inlineStr">
        <is>
          <t>WITH</t>
        </is>
      </c>
      <c r="BD372" s="1272" t="inlineStr">
        <is>
          <t>WITHOUT</t>
        </is>
      </c>
      <c r="BE372" s="1272" t="inlineStr">
        <is>
          <t>WITH</t>
        </is>
      </c>
      <c r="BF372" s="1272" t="inlineStr">
        <is>
          <t>WITHOUT</t>
        </is>
      </c>
      <c r="BG372" s="1272" t="inlineStr">
        <is>
          <t>WITH</t>
        </is>
      </c>
    </row>
    <row r="373">
      <c r="A373" s="1467" t="inlineStr">
        <is>
          <t>S1</t>
        </is>
      </c>
      <c r="B373" s="1044">
        <f>IFERROR(IF($C$351=list!$J$210,INDEX(IPCC!$A$1762:$J$1773,MATCH(clim_moist,IPCC!$A$1781:$A$1792,0),MATCH($C357,IPCC!$A$1781:$J$1781,0)),IF($C$351=list!$J$211,INDEX(IPCC!$A$1781:$J$1792,MATCH(clim_moist,IPCC!$A$1781:$A$1792,0),MATCH($C357,IPCC!$A$1781:$J$1781,0)))),0)</f>
        <v/>
      </c>
      <c r="C373" s="1162">
        <f>IF('6.Inland wetlands'!$CG118="",'6.Inland wetlands'!$CF118,'6.Inland wetlands'!$CG118)</f>
        <v/>
      </c>
      <c r="D373" s="1044">
        <f>IFERROR(IF($C$351=list!$J$210,INDEX(IPCC!$A$1818:$J$1829,MATCH(clim_moist,IPCC!$A$1818:$A$1829,0),MATCH($C357,IPCC!$A$1818:$J$1818,0)),IF($C351=list!$J$211,INDEX(IPCC!$A$1836:$J$1847,MATCH(clim_moist,IPCC!$A$1836:$A$1847,0),MATCH($C357,IPCC!$A$1836:$J$1836,0)))),0)</f>
        <v/>
      </c>
      <c r="E373" s="1162">
        <f>IF('6.Inland wetlands'!$CI118="",'6.Inland wetlands'!$CH118,'6.Inland wetlands'!$CI118)</f>
        <v/>
      </c>
      <c r="F373" s="1044">
        <f>IFERROR(IF($C$351=list!$J$210,INDEX(IPCC!$A$1872:$J$1883,MATCH(clim_moist,IPCC!$A$1872:$A$1883,0),MATCH($C357,IPCC!$A$1872:$J$1872,0)),IF($C$351=list!$J$211,INDEX(IPCC!$A$1890:$J$1901,MATCH(clim_moist,IPCC!$A$1890:$A$1901,0),MATCH($C357,IPCC!$A$1890:$J$1890,0)))),0)</f>
        <v/>
      </c>
      <c r="G373" s="1162">
        <f>IF('6.Inland wetlands'!$CK118="",'6.Inland wetlands'!$CJ118,'6.Inland wetlands'!$CK118)</f>
        <v/>
      </c>
      <c r="H373" s="1044">
        <f>IFERROR(IF($C$351=list!$J$210,INDEX(IPCC!$A$1800:$J$1811,MATCH(clim_moist,IPCC!$A$1800:$A$1811,0),MATCH($C357,IPCC!$A$1800:$J$1800,0)),IF($C$351=list!$J$211,INDEX(IPCC!$A$1800:$J$1811,MATCH(clim_moist,IPCC!$A$1800:$A$1811,0),MATCH($C357,IPCC!$A$1800:$J$1800,0)))),0)</f>
        <v/>
      </c>
      <c r="I373" s="1162">
        <f>IF('6.Inland wetlands'!$CN118="",'6.Inland wetlands'!$CM118,'6.Inland wetlands'!$CN118)</f>
        <v/>
      </c>
      <c r="J373" s="1111">
        <f>IFERROR(IF($C$351=list!$J$210,INDEX(IPCC!$A$1854:$J$1865,MATCH(clim_moist,IPCC!$A$1854:$A$1865,0),MATCH($C357,IPCC!$A$1854:$J$1854,0)),IF($C$351=list!$J$211,INDEX(IPCC!$A$1854:$J$1865,MATCH(clim_moist,IPCC!$A$1854:$A$1865,0),MATCH($C357,IPCC!$A$1854:$J$1854,0)))),0)</f>
        <v/>
      </c>
      <c r="K373" s="1161">
        <f>IF('6.Inland wetlands'!$CP118="",'6.Inland wetlands'!$CO118,'6.Inland wetlands'!$CP118)</f>
        <v/>
      </c>
      <c r="L373" s="3493">
        <f>IF('6.Inland wetlands'!M129&gt;0,$C373*44/12*E357,0)</f>
        <v/>
      </c>
      <c r="M373" s="3493">
        <f>IF('6.Inland wetlands'!N129&gt;0,$C373*44/12*F357,0)</f>
        <v/>
      </c>
      <c r="N373" s="3493">
        <f>IF('6.Inland wetlands'!P129&gt;0,$C373*44/12*J357,0)</f>
        <v/>
      </c>
      <c r="O373" s="3493">
        <f>IF('6.Inland wetlands'!M129&gt;0,'Inl. wetlands'!$E373*methane/1000*E357*(1-'6.Inland wetlands'!W129),0)</f>
        <v/>
      </c>
      <c r="P373" s="3493">
        <f>IF('6.Inland wetlands'!N129&gt;0,'Inl. wetlands'!$E373*methane/1000*F357*(1-'6.Inland wetlands'!X129),0)</f>
        <v/>
      </c>
      <c r="Q373" s="3493">
        <f>IF('6.Inland wetlands'!P129&gt;0,'Inl. wetlands'!$E373*methane/1000*J357*(1-'6.Inland wetlands'!Y129),0)</f>
        <v/>
      </c>
      <c r="R373" s="3493">
        <f>IF('6.Inland wetlands'!M129&gt;0,'Inl. wetlands'!$G373*44/28*Nitrous/1000*E357,0)</f>
        <v/>
      </c>
      <c r="S373" s="3493">
        <f>IF('6.Inland wetlands'!N129&gt;0,'Inl. wetlands'!$G373*44/28*Nitrous/1000*F357,0)</f>
        <v/>
      </c>
      <c r="T373" s="3493">
        <f>IF('6.Inland wetlands'!P129&gt;0,'Inl. wetlands'!$G373*44/28*Nitrous/1000*J357,0)</f>
        <v/>
      </c>
      <c r="U373" s="3493">
        <f>IF('6.Inland wetlands'!M129&gt;0,'Inl. wetlands'!$I373*44/12*E357,0)</f>
        <v/>
      </c>
      <c r="V373" s="3493">
        <f>IF('6.Inland wetlands'!N129&gt;0,'Inl. wetlands'!$I373*44/12*F357,0)</f>
        <v/>
      </c>
      <c r="W373" s="3493">
        <f>IF('6.Inland wetlands'!P129&gt;0,'Inl. wetlands'!$I373*44/12*J357,0)</f>
        <v/>
      </c>
      <c r="X373" s="3493">
        <f>IF('6.Inland wetlands'!M129&gt;0,'Inl. wetlands'!$K373*methane/1000*E357*'6.Inland wetlands'!W129,0)</f>
        <v/>
      </c>
      <c r="Y373" s="3493">
        <f>IF('6.Inland wetlands'!N129&gt;0,'Inl. wetlands'!$K373*methane/1000*F357*'6.Inland wetlands'!X129,0)</f>
        <v/>
      </c>
      <c r="Z373" s="3493">
        <f>IF('6.Inland wetlands'!P129&gt;0,'Inl. wetlands'!$K373*methane/1000*J357*'6.Inland wetlands'!Y129,0)</f>
        <v/>
      </c>
      <c r="AB373" s="3493">
        <f>MIN($L373,$M373)*time_tot+ABS($M373-$L373)*IF($M373&gt;$L373,time_cap+time*(VLOOKUP($N339,list!$J$48:$K$50,2,0)),time*(1-(VLOOKUP($N339,list!$J$48:$K$50,2,0))))</f>
        <v/>
      </c>
      <c r="AC373" s="3493">
        <f>MIN($L373,$N373)*time_tot+ABS($N373-$L373)*IF($N373&gt;$L373,time_cap+time*(VLOOKUP($P339,list!$J$48:$K$50,2,0)),time*(1-(VLOOKUP($P339,list!$J$48:$K$50,2,0))))</f>
        <v/>
      </c>
      <c r="AD373" s="3493">
        <f>MIN('Inl. wetlands'!$O373,'Inl. wetlands'!$P373)*time_tot+ABS('Inl. wetlands'!$P373-'Inl. wetlands'!$O373)*IF('Inl. wetlands'!$P373&gt;'Inl. wetlands'!$O373,time_cap+time*(VLOOKUP($N339,list!$J$48:$K$50,2,0)),time*(1-(VLOOKUP($N339,list!$J$48:$K$50,2,0))))+MIN('Inl. wetlands'!$X373,'Inl. wetlands'!$Y373)*time_tot+ABS('Inl. wetlands'!$X373-'Inl. wetlands'!$Y373)*IF('Inl. wetlands'!$Y373&gt;'Inl. wetlands'!$X373,time_cap+time*(VLOOKUP($N339,list!$J$48:$K$50,2,0)),time*(1-(VLOOKUP($N339,list!$J$48:$K$50,2,0))))</f>
        <v/>
      </c>
      <c r="AE373" s="3493">
        <f>MIN('Inl. wetlands'!$O373,'Inl. wetlands'!$Q373)*time_tot+ABS('Inl. wetlands'!$Q373-'Inl. wetlands'!$O373)*IF('Inl. wetlands'!$Q373&gt;'Inl. wetlands'!$O373,time_cap+time*(VLOOKUP($P339,list!$J$48:$K$50,2,0)),time*(1-(VLOOKUP($P339,list!$J$48:$K$50,2,0))))+MIN('Inl. wetlands'!$X373,'Inl. wetlands'!$Z373)*time_tot+ABS('Inl. wetlands'!$X373-'Inl. wetlands'!$Z373)*IF('Inl. wetlands'!$Z373&gt;'Inl. wetlands'!$X373,time_cap+time*(VLOOKUP($P339,list!$J$48:$K$50,2,0)),time*(1-(VLOOKUP($P339,list!$J$48:$K$50,2,0))))</f>
        <v/>
      </c>
      <c r="AF373" s="3493">
        <f>MIN('Inl. wetlands'!$R373,'Inl. wetlands'!$S373)*time_tot+ABS('Inl. wetlands'!$S373-'Inl. wetlands'!$R373)*IF('Inl. wetlands'!$S373&gt;'Inl. wetlands'!$R373,time_cap+time*(VLOOKUP($N339,list!$J$48:$K$50,2,0)),time*(1-(VLOOKUP($N339,list!$J$48:$K$50,2,0))))</f>
        <v/>
      </c>
      <c r="AG373" s="3493">
        <f>MIN('Inl. wetlands'!$R373,'Inl. wetlands'!$T373)*time_tot+ABS('Inl. wetlands'!$T373-'Inl. wetlands'!$R373)*IF('Inl. wetlands'!$T373&gt;'Inl. wetlands'!$R373,time_cap+time*(VLOOKUP($P339,list!$J$48:$K$50,2,0)),time*(1-(VLOOKUP($P339,list!$J$48:$K$50,2,0))))</f>
        <v/>
      </c>
      <c r="AI373" s="3495">
        <f>SUM(AB373,AD373,AF373)</f>
        <v/>
      </c>
      <c r="AJ373" s="1152">
        <f>SUM(AC373,AE373,AG373)</f>
        <v/>
      </c>
      <c r="AK373" s="1160">
        <f>AJ373-AI373</f>
        <v/>
      </c>
      <c r="AX373" s="1449">
        <f>IF('6.Inland wetlands'!$AC118=list!$I$213,MIN($L373,$M373)*time+ABS($M373-$L373)*IF($M373&gt;$L373,time*(VLOOKUP($N339,list!$J$48:$K$50,2,0)),time*(1-(VLOOKUP($N339,list!$J$48:$K$50,2,0)))),0)</f>
        <v/>
      </c>
      <c r="AY373" s="1449">
        <f>IF('6.Inland wetlands'!#REF!=list!$I$213,MIN($L373,$N373)*time+ABS($N373-$L373)*IF($N373&gt;$L373,time*(VLOOKUP($P339,list!$J$48:$K$50,2,0)),time*(1-(VLOOKUP($P339,list!$J$48:$K$50,2,0)))),0)</f>
        <v/>
      </c>
      <c r="AZ373" s="1449">
        <f>IF('6.Inland wetlands'!$AC118=list!$I$213,MIN('Inl. wetlands'!$O373,'Inl. wetlands'!$P373)*time+ABS('Inl. wetlands'!$P373-'Inl. wetlands'!$O373)*IF('Inl. wetlands'!$P373&gt;'Inl. wetlands'!$O373,time*(VLOOKUP($N339,list!$J$48:$K$50,2,0)),time*(1-(VLOOKUP($N339,list!$J$48:$K$50,2,0)))),0)</f>
        <v/>
      </c>
      <c r="BA373" s="1449">
        <f>IF('6.Inland wetlands'!#REF!=list!$I$213,MIN('Inl. wetlands'!$O373,'Inl. wetlands'!$Q373)*time+ABS('Inl. wetlands'!$Q373-'Inl. wetlands'!$O373)*IF('Inl. wetlands'!$Q373&gt;'Inl. wetlands'!$O373,time*(VLOOKUP($P339,list!$J$48:$K$50,2,0)),time*(1-(VLOOKUP($P339,list!$J$48:$K$50,2,0))))+MIN('Inl. wetlands'!$X373,'Inl. wetlands'!$Z373)*time+ABS('Inl. wetlands'!$X373-'Inl. wetlands'!$Z373)*IF('Inl. wetlands'!$Z373&gt;'Inl. wetlands'!$X373,time*(VLOOKUP($P339,list!$J$48:$K$50,2,0)),time*(1-(VLOOKUP($P339,list!$J$48:$K$50,2,0)))),0)</f>
        <v/>
      </c>
      <c r="BB373" s="1449">
        <f>IF('6.Inland wetlands'!$AC118=list!$I$213,MIN('Inl. wetlands'!$R373,'Inl. wetlands'!$S373)*time+ABS('Inl. wetlands'!$S373-'Inl. wetlands'!$R373)*IF('Inl. wetlands'!$S373&gt;'Inl. wetlands'!$R373,time*(VLOOKUP($N339,list!$J$48:$K$50,2,0)),time*(1-(VLOOKUP($N339,list!$J$48:$K$50,2,0)))),0)</f>
        <v/>
      </c>
      <c r="BC373" s="1449">
        <f>IF('6.Inland wetlands'!#REF!=list!$I213,MIN('Inl. wetlands'!$R373,'Inl. wetlands'!$T373)*time+ABS('Inl. wetlands'!$T373-'Inl. wetlands'!$R373)*IF('Inl. wetlands'!$T373&gt;'Inl. wetlands'!$R373,time*(VLOOKUP($P339,list!$J$48:$K$50,2,0)),time*(1-(VLOOKUP($P339,list!$J$48:$K$50,2,0)))),0)</f>
        <v/>
      </c>
      <c r="BD373" s="1449">
        <f>IF('6.Inland wetlands'!$AC118=list!$I$213,MIN('Inl. wetlands'!$U373,'Inl. wetlands'!$V373)*time+ABS('Inl. wetlands'!$V373-'Inl. wetlands'!$U373)*IF('Inl. wetlands'!$V373&gt;'Inl. wetlands'!$U373,time*(VLOOKUP($N339,list!$J$48:$K$50,2,0)),time*(1-(VLOOKUP($N339,list!$J$48:$K$50,2,0)))),0)</f>
        <v/>
      </c>
      <c r="BE373" s="1449">
        <f>IF('6.Inland wetlands'!#REF!=list!$I$213,MIN('Inl. wetlands'!$U373,'Inl. wetlands'!$W373)*time+ABS('Inl. wetlands'!$W373-'Inl. wetlands'!$U373)*IF('Inl. wetlands'!$W373&gt;'Inl. wetlands'!$U373,time*(VLOOKUP($P339,list!$J$48:$K$50,2,0)),time*(1-(VLOOKUP($P339,list!$J$48:$K$50,2,0)))),0)</f>
        <v/>
      </c>
      <c r="BF373" s="1449">
        <f>IF('6.Inland wetlands'!$AC118=list!$I$213,MIN('Inl. wetlands'!$X373,'Inl. wetlands'!$Y373)*time+ABS('Inl. wetlands'!$X373-'Inl. wetlands'!$Y373)*IF('Inl. wetlands'!$Y373&gt;'Inl. wetlands'!$X373,time*(VLOOKUP($N339,list!$J$48:$K$50,2,0)),time*(1-(VLOOKUP($N339,list!$J$48:$K$50,2,0)))),0)</f>
        <v/>
      </c>
      <c r="BG373" s="1449">
        <f>IF('6.Inland wetlands'!#REF!=list!$I$213,MIN('Inl. wetlands'!$X373,'Inl. wetlands'!$Z373)*time+ABS('Inl. wetlands'!$X373-'Inl. wetlands'!$Z373)*IF('Inl. wetlands'!$Z373&gt;'Inl. wetlands'!$X373,time*(VLOOKUP($N339,list!$J$48:$K$50,2,0)),time*(1-(VLOOKUP($N339,list!$J$48:$K$50,2,0)))),0)</f>
        <v/>
      </c>
    </row>
    <row r="374">
      <c r="A374" s="1467" t="inlineStr">
        <is>
          <t>S2</t>
        </is>
      </c>
      <c r="B374" s="1044">
        <f>IFERROR(IF($C$351=list!$J$210,INDEX(IPCC!$A$1762:$J$1773,MATCH(clim_moist,IPCC!$A$1781:$A$1792,0),MATCH($C358,IPCC!$A$1781:$J$1781,0)),IF($C$351=list!$J$211,INDEX(IPCC!$A$1781:$J$1792,MATCH(clim_moist,IPCC!$A$1781:$A$1792,0),MATCH($C358,IPCC!$A$1781:$J$1781,0)))),0)</f>
        <v/>
      </c>
      <c r="C374" s="1162">
        <f>IF('6.Inland wetlands'!$CG119="",'6.Inland wetlands'!$CF119,'6.Inland wetlands'!$CG119)</f>
        <v/>
      </c>
      <c r="D374" s="1044">
        <f>IFERROR(IF($C$351=list!$J$210,INDEX(IPCC!$A$1818:$J$1829,MATCH(clim_moist,IPCC!$A$1818:$A$1829,0),MATCH($C358,IPCC!$A$1818:$J$1818,0)),IF($C352=list!$J$211,INDEX(IPCC!$A$1836:$J$1847,MATCH(clim_moist,IPCC!$A$1836:$A$1847,0),MATCH($C358,IPCC!$A$1836:$J$1836,0)))),0)</f>
        <v/>
      </c>
      <c r="E374" s="1162">
        <f>IF('6.Inland wetlands'!$CI119="",'6.Inland wetlands'!$CH119,'6.Inland wetlands'!$CI119)</f>
        <v/>
      </c>
      <c r="F374" s="1044">
        <f>IFERROR(IF($C$351=list!$J$210,INDEX(IPCC!$A$1872:$J$1883,MATCH(clim_moist,IPCC!$A$1872:$A$1883,0),MATCH($C358,IPCC!$A$1872:$J$1872,0)),IF($C$351=list!$J$211,INDEX(IPCC!$A$1890:$J$1901,MATCH(clim_moist,IPCC!$A$1890:$A$1901,0),MATCH($C358,IPCC!$A$1890:$J$1890,0)))),0)</f>
        <v/>
      </c>
      <c r="G374" s="1162">
        <f>IF('6.Inland wetlands'!$CK119="",'6.Inland wetlands'!$CJ119,'6.Inland wetlands'!$CK119)</f>
        <v/>
      </c>
      <c r="H374" s="1044">
        <f>IFERROR(IF($C$351=list!$J$210,INDEX(IPCC!$A$1800:$J$1811,MATCH(clim_moist,IPCC!$A$1800:$A$1811,0),MATCH($C358,IPCC!$A$1800:$J$1800,0)),IF($C$351=list!$J$211,INDEX(IPCC!$A$1800:$J$1811,MATCH(clim_moist,IPCC!$A$1800:$A$1811,0),MATCH($C358,IPCC!$A$1800:$J$1800,0)))),0)</f>
        <v/>
      </c>
      <c r="I374" s="1162">
        <f>IF('6.Inland wetlands'!$CN119="",'6.Inland wetlands'!$CM119,'6.Inland wetlands'!$CN119)</f>
        <v/>
      </c>
      <c r="J374" s="1111">
        <f>IFERROR(IF($C$351=list!$J$210,INDEX(IPCC!$A$1854:$J$1865,MATCH(clim_moist,IPCC!$A$1854:$A$1865,0),MATCH($C358,IPCC!$A$1854:$J$1854,0)),IF($C$351=list!$J$211,INDEX(IPCC!$A$1854:$J$1865,MATCH(clim_moist,IPCC!$A$1854:$A$1865,0),MATCH($C358,IPCC!$A$1854:$J$1854,0)))),0)</f>
        <v/>
      </c>
      <c r="K374" s="1161">
        <f>IF('6.Inland wetlands'!$CP119="",'6.Inland wetlands'!$CO119,'6.Inland wetlands'!$CP119)</f>
        <v/>
      </c>
      <c r="L374" s="3493">
        <f>IF('6.Inland wetlands'!M130&gt;0,$C374*44/12*E358,0)</f>
        <v/>
      </c>
      <c r="M374" s="3493">
        <f>IF('6.Inland wetlands'!N130&gt;0,$C374*44/12*F358,0)</f>
        <v/>
      </c>
      <c r="N374" s="3493">
        <f>IF('6.Inland wetlands'!P130&gt;0,$C374*44/12*J358,0)</f>
        <v/>
      </c>
      <c r="O374" s="3493">
        <f>IF('6.Inland wetlands'!M130&gt;0,'Inl. wetlands'!$E374*methane/1000*E358*(1-'6.Inland wetlands'!W130),0)</f>
        <v/>
      </c>
      <c r="P374" s="3493">
        <f>IF('6.Inland wetlands'!N130&gt;0,'Inl. wetlands'!$E374*methane/1000*F358*(1-'6.Inland wetlands'!X130),0)</f>
        <v/>
      </c>
      <c r="Q374" s="3493">
        <f>IF('6.Inland wetlands'!P130&gt;0,'Inl. wetlands'!$E374*methane/1000*J358*(1-'6.Inland wetlands'!Y130),0)</f>
        <v/>
      </c>
      <c r="R374" s="3493">
        <f>IF('6.Inland wetlands'!M130&gt;0,'Inl. wetlands'!$G374*44/28*Nitrous/1000*E358,0)</f>
        <v/>
      </c>
      <c r="S374" s="3493">
        <f>IF('6.Inland wetlands'!N130&gt;0,'Inl. wetlands'!$G374*44/28*Nitrous/1000*F358,0)</f>
        <v/>
      </c>
      <c r="T374" s="3493">
        <f>IF('6.Inland wetlands'!P130&gt;0,'Inl. wetlands'!$G374*44/28*Nitrous/1000*J358,0)</f>
        <v/>
      </c>
      <c r="U374" s="3493">
        <f>IF('6.Inland wetlands'!M130&gt;0,'Inl. wetlands'!$I374*44/12*E358,0)</f>
        <v/>
      </c>
      <c r="V374" s="3493">
        <f>IF('6.Inland wetlands'!N130&gt;0,'Inl. wetlands'!$I374*44/12*F358,0)</f>
        <v/>
      </c>
      <c r="W374" s="3493">
        <f>IF('6.Inland wetlands'!P130&gt;0,'Inl. wetlands'!$I374*44/12*J358,0)</f>
        <v/>
      </c>
      <c r="X374" s="3493">
        <f>IF('6.Inland wetlands'!M130&gt;0,'Inl. wetlands'!$K374*methane/1000*E358*'6.Inland wetlands'!W130,0)</f>
        <v/>
      </c>
      <c r="Y374" s="3493">
        <f>IF('6.Inland wetlands'!N130&gt;0,'Inl. wetlands'!$K374*methane/1000*F358*'6.Inland wetlands'!X130,0)</f>
        <v/>
      </c>
      <c r="Z374" s="3493">
        <f>IF('6.Inland wetlands'!P130&gt;0,'Inl. wetlands'!$K374*methane/1000*J358*'6.Inland wetlands'!Y130,0)</f>
        <v/>
      </c>
      <c r="AB374" s="3493">
        <f>MIN($L374,$M374)*time_tot+ABS($M374-$L374)*IF($M374&gt;$L374,time_cap+time*(VLOOKUP($N340,list!$J$48:$K$50,2,0)),time*(1-(VLOOKUP($N340,list!$J$48:$K$50,2,0))))</f>
        <v/>
      </c>
      <c r="AC374" s="3493">
        <f>MIN($L374,$N374)*time_tot+ABS($N374-$L374)*IF($N374&gt;$L374,time_cap+time*(VLOOKUP($P340,list!$J$48:$K$50,2,0)),time*(1-(VLOOKUP($P340,list!$J$48:$K$50,2,0))))</f>
        <v/>
      </c>
      <c r="AD374" s="3493">
        <f>MIN('Inl. wetlands'!$O374,'Inl. wetlands'!$P374)*time_tot+ABS('Inl. wetlands'!$P374-'Inl. wetlands'!$O374)*IF('Inl. wetlands'!$P374&gt;'Inl. wetlands'!$O374,time_cap+time*(VLOOKUP($N340,list!$J$48:$K$50,2,0)),time*(1-(VLOOKUP($N340,list!$J$48:$K$50,2,0))))+MIN('Inl. wetlands'!$X374,'Inl. wetlands'!$Y374)*time_tot+ABS('Inl. wetlands'!$X374-'Inl. wetlands'!$Y374)*IF('Inl. wetlands'!$Y374&gt;'Inl. wetlands'!$X374,time_cap+time*(VLOOKUP($N340,list!$J$48:$K$50,2,0)),time*(1-(VLOOKUP($N340,list!$J$48:$K$50,2,0))))</f>
        <v/>
      </c>
      <c r="AE374" s="3493">
        <f>MIN('Inl. wetlands'!$O374,'Inl. wetlands'!$Q374)*time_tot+ABS('Inl. wetlands'!$Q374-'Inl. wetlands'!$O374)*IF('Inl. wetlands'!$Q374&gt;'Inl. wetlands'!$O374,time_cap+time*(VLOOKUP($P340,list!$J$48:$K$50,2,0)),time*(1-(VLOOKUP($P340,list!$J$48:$K$50,2,0))))+MIN('Inl. wetlands'!$X374,'Inl. wetlands'!$Z374)*time_tot+ABS('Inl. wetlands'!$X374-'Inl. wetlands'!$Z374)*IF('Inl. wetlands'!$Z374&gt;'Inl. wetlands'!$X374,time_cap+time*(VLOOKUP($P340,list!$J$48:$K$50,2,0)),time*(1-(VLOOKUP($P340,list!$J$48:$K$50,2,0))))</f>
        <v/>
      </c>
      <c r="AF374" s="3493">
        <f>MIN('Inl. wetlands'!$R374,'Inl. wetlands'!$S374)*time_tot+ABS('Inl. wetlands'!$S374-'Inl. wetlands'!$R374)*IF('Inl. wetlands'!$S374&gt;'Inl. wetlands'!$R374,time_cap+time*(VLOOKUP($N340,list!$J$48:$K$50,2,0)),time*(1-(VLOOKUP($N340,list!$J$48:$K$50,2,0))))</f>
        <v/>
      </c>
      <c r="AG374" s="3493">
        <f>MIN('Inl. wetlands'!$R374,'Inl. wetlands'!$T374)*time_tot+ABS('Inl. wetlands'!$T374-'Inl. wetlands'!$R374)*IF('Inl. wetlands'!$T374&gt;'Inl. wetlands'!$R374,time_cap+time*(VLOOKUP($P340,list!$J$48:$K$50,2,0)),time*(1-(VLOOKUP($P340,list!$J$48:$K$50,2,0))))</f>
        <v/>
      </c>
      <c r="AI374" s="3495">
        <f>SUM(AB374,AD374,AF374)</f>
        <v/>
      </c>
      <c r="AJ374" s="1152">
        <f>SUM(AC374,AE374,AG374)</f>
        <v/>
      </c>
      <c r="AK374" s="3498">
        <f>AJ374-AI374</f>
        <v/>
      </c>
      <c r="AX374" s="1449">
        <f>IF('6.Inland wetlands'!$AC119=list!$I$213,MIN($L374,$M374)*time+ABS($M374-$L374)*IF($M374&gt;$L374,time*(VLOOKUP($N340,list!$J$48:$K$50,2,0)),time*(1-(VLOOKUP($N340,list!$J$48:$K$50,2,0)))),0)</f>
        <v/>
      </c>
      <c r="AY374" s="1449">
        <f>IF('6.Inland wetlands'!#REF!=list!$I$213,MIN($L374,$N374)*time+ABS($N374-$L374)*IF($N374&gt;$L374,time*(VLOOKUP($P340,list!$J$48:$K$50,2,0)),time*(1-(VLOOKUP($P340,list!$J$48:$K$50,2,0)))),0)</f>
        <v/>
      </c>
      <c r="AZ374" s="1449">
        <f>IF('6.Inland wetlands'!$AC119=list!$I$213,MIN($O374,$P374)*time+ABS($P374-$O374)*IF($P374&gt;$O374,time*(VLOOKUP($N340,list!$J$48:$K$50,2,0)),time*(1-(VLOOKUP($N340,list!$J$48:$K$50,2,0)))),0)</f>
        <v/>
      </c>
      <c r="BA374" s="1449">
        <f>IF('6.Inland wetlands'!#REF!=list!$I$213,MIN($O374,$Q374)*time+ABS($Q374-$O374)*IF($Q374&gt;$O374,time*(VLOOKUP($P340,list!$J$48:$K$50,2,0)),time*(1-(VLOOKUP($P340,list!$J$48:$K$50,2,0))))+MIN($X374,$Z374)*time+ABS($X374-$Z374)*IF($Z374&gt;$X374,time*(VLOOKUP($P340,list!$J$48:$K$50,2,0)),time*(1-(VLOOKUP($P340,list!$J$48:$K$50,2,0)))),0)</f>
        <v/>
      </c>
      <c r="BB374" s="1449">
        <f>IF('6.Inland wetlands'!$AC119=list!$I$213,MIN($R374,$S374)*time+ABS($S374-$R374)*IF($S374&gt;$R374,time*(VLOOKUP($N340,list!$J$48:$K$50,2,0)),time*(1-(VLOOKUP($N340,list!$J$48:$K$50,2,0)))),0)</f>
        <v/>
      </c>
      <c r="BC374" s="1449">
        <f>IF('6.Inland wetlands'!#REF!=list!$I214,MIN($R374,$T374)*time+ABS($T374-$R374)*IF($T374&gt;$R374,time*(VLOOKUP($P340,list!$J$48:$K$50,2,0)),time*(1-(VLOOKUP($P340,list!$J$48:$K$50,2,0)))),0)</f>
        <v/>
      </c>
      <c r="BD374" s="1449">
        <f>IF('6.Inland wetlands'!$AC119=list!$I$213,MIN($U374,$V374)*time+ABS($V374-$U374)*IF($V374&gt;$U374,time*(VLOOKUP($N340,list!$J$48:$K$50,2,0)),time*(1-(VLOOKUP($N340,list!$J$48:$K$50,2,0)))),0)</f>
        <v/>
      </c>
      <c r="BE374" s="1449">
        <f>IF('6.Inland wetlands'!#REF!=list!$I$213,MIN($U374,$W374)*time+ABS($W374-$U374)*IF($W374&gt;$U374,time*(VLOOKUP($P340,list!$J$48:$K$50,2,0)),time*(1-(VLOOKUP($P340,list!$J$48:$K$50,2,0)))),0)</f>
        <v/>
      </c>
      <c r="BF374" s="1449">
        <f>IF('6.Inland wetlands'!$AC119=list!$I$213,MIN($X374,$Y374)*time+ABS($X374-$Y374)*IF($Y374&gt;$X374,time*(VLOOKUP($N340,list!$J$48:$K$50,2,0)),time*(1-(VLOOKUP($N340,list!$J$48:$K$50,2,0)))),0)</f>
        <v/>
      </c>
      <c r="BG374" s="1449">
        <f>IF('6.Inland wetlands'!#REF!=list!$I$213,MIN($X374,$Z374)*time+ABS($X374-$Z374)*IF($Z374&gt;$X374,time*(VLOOKUP($N340,list!$J$48:$K$50,2,0)),time*(1-(VLOOKUP($N340,list!$J$48:$K$50,2,0)))),0)</f>
        <v/>
      </c>
    </row>
    <row r="375">
      <c r="A375" s="1467" t="inlineStr">
        <is>
          <t>S3</t>
        </is>
      </c>
      <c r="B375" s="1044">
        <f>IFERROR(IF($C$351=list!$J$210,INDEX(IPCC!$A$1762:$J$1773,MATCH(clim_moist,IPCC!$A$1781:$A$1792,0),MATCH($C359,IPCC!$A$1781:$J$1781,0)),IF($C$351=list!$J$211,INDEX(IPCC!$A$1781:$J$1792,MATCH(clim_moist,IPCC!$A$1781:$A$1792,0),MATCH($C359,IPCC!$A$1781:$J$1781,0)))),0)</f>
        <v/>
      </c>
      <c r="C375" s="1162">
        <f>IF('6.Inland wetlands'!$CG120="",'6.Inland wetlands'!$CF120,'6.Inland wetlands'!$CG120)</f>
        <v/>
      </c>
      <c r="D375" s="1044">
        <f>IFERROR(IF($C$351=list!$J$210,INDEX(IPCC!$A$1818:$J$1829,MATCH(clim_moist,IPCC!$A$1818:$A$1829,0),MATCH($C359,IPCC!$A$1818:$J$1818,0)),IF($C353=list!$J$211,INDEX(IPCC!$A$1836:$J$1847,MATCH(clim_moist,IPCC!$A$1836:$A$1847,0),MATCH($C359,IPCC!$A$1836:$J$1836,0)))),0)</f>
        <v/>
      </c>
      <c r="E375" s="1162">
        <f>IF('6.Inland wetlands'!$CI120="",'6.Inland wetlands'!$CH120,'6.Inland wetlands'!$CI120)</f>
        <v/>
      </c>
      <c r="F375" s="1044">
        <f>IFERROR(IF($C$351=list!$J$210,INDEX(IPCC!$A$1872:$J$1883,MATCH(clim_moist,IPCC!$A$1872:$A$1883,0),MATCH($C359,IPCC!$A$1872:$J$1872,0)),IF($C$351=list!$J$211,INDEX(IPCC!$A$1890:$J$1901,MATCH(clim_moist,IPCC!$A$1890:$A$1901,0),MATCH($C359,IPCC!$A$1890:$J$1890,0)))),0)</f>
        <v/>
      </c>
      <c r="G375" s="1162">
        <f>IF('6.Inland wetlands'!$CK120="",'6.Inland wetlands'!$CJ120,'6.Inland wetlands'!$CK120)</f>
        <v/>
      </c>
      <c r="H375" s="1044">
        <f>IFERROR(IF($C$351=list!$J$210,INDEX(IPCC!$A$1800:$J$1811,MATCH(clim_moist,IPCC!$A$1800:$A$1811,0),MATCH($C359,IPCC!$A$1800:$J$1800,0)),IF($C$351=list!$J$211,INDEX(IPCC!$A$1800:$J$1811,MATCH(clim_moist,IPCC!$A$1800:$A$1811,0),MATCH($C359,IPCC!$A$1800:$J$1800,0)))),0)</f>
        <v/>
      </c>
      <c r="I375" s="1162">
        <f>IF('6.Inland wetlands'!$CN120="",'6.Inland wetlands'!$CM120,'6.Inland wetlands'!$CN120)</f>
        <v/>
      </c>
      <c r="J375" s="1111">
        <f>IFERROR(IF($C$351=list!$J$210,INDEX(IPCC!$A$1854:$J$1865,MATCH(clim_moist,IPCC!$A$1854:$A$1865,0),MATCH($C359,IPCC!$A$1854:$J$1854,0)),IF($C$351=list!$J$211,INDEX(IPCC!$A$1854:$J$1865,MATCH(clim_moist,IPCC!$A$1854:$A$1865,0),MATCH($C359,IPCC!$A$1854:$J$1854,0)))),0)</f>
        <v/>
      </c>
      <c r="K375" s="1161">
        <f>IF('6.Inland wetlands'!$CP120="",'6.Inland wetlands'!$CO120,'6.Inland wetlands'!$CP120)</f>
        <v/>
      </c>
      <c r="L375" s="3493">
        <f>IF('6.Inland wetlands'!M131&gt;0,$C375*44/12*E359,0)</f>
        <v/>
      </c>
      <c r="M375" s="3493">
        <f>IF('6.Inland wetlands'!N131&gt;0,$C375*44/12*F359,0)</f>
        <v/>
      </c>
      <c r="N375" s="3493">
        <f>IF('6.Inland wetlands'!P131&gt;0,$C375*44/12*J359,0)</f>
        <v/>
      </c>
      <c r="O375" s="3493">
        <f>IF('6.Inland wetlands'!M131&gt;0,'Inl. wetlands'!$E375*methane/1000*E359*(1-'6.Inland wetlands'!W131),0)</f>
        <v/>
      </c>
      <c r="P375" s="3493">
        <f>IF('6.Inland wetlands'!N131&gt;0,'Inl. wetlands'!$E375*methane/1000*F359*(1-'6.Inland wetlands'!X131),0)</f>
        <v/>
      </c>
      <c r="Q375" s="3493">
        <f>IF('6.Inland wetlands'!P131&gt;0,'Inl. wetlands'!$E375*methane/1000*J359*(1-'6.Inland wetlands'!Y131),0)</f>
        <v/>
      </c>
      <c r="R375" s="3493">
        <f>IF('6.Inland wetlands'!M131&gt;0,'Inl. wetlands'!$G375*44/28*Nitrous/1000*E359,0)</f>
        <v/>
      </c>
      <c r="S375" s="3493">
        <f>IF('6.Inland wetlands'!N131&gt;0,'Inl. wetlands'!$G375*44/28*Nitrous/1000*F359,0)</f>
        <v/>
      </c>
      <c r="T375" s="3493">
        <f>IF('6.Inland wetlands'!P131&gt;0,'Inl. wetlands'!$G375*44/28*Nitrous/1000*J359,0)</f>
        <v/>
      </c>
      <c r="U375" s="3493">
        <f>IF('6.Inland wetlands'!M131&gt;0,'Inl. wetlands'!$I375*44/12*E359,0)</f>
        <v/>
      </c>
      <c r="V375" s="3493">
        <f>IF('6.Inland wetlands'!N131&gt;0,'Inl. wetlands'!$I375*44/12*F359,0)</f>
        <v/>
      </c>
      <c r="W375" s="3493">
        <f>IF('6.Inland wetlands'!P131&gt;0,'Inl. wetlands'!$I375*44/12*J359,0)</f>
        <v/>
      </c>
      <c r="X375" s="3493">
        <f>IF('6.Inland wetlands'!M131&gt;0,'Inl. wetlands'!$K375*methane/1000*E359*'6.Inland wetlands'!W131,0)</f>
        <v/>
      </c>
      <c r="Y375" s="3493">
        <f>IF('6.Inland wetlands'!N131&gt;0,'Inl. wetlands'!$K375*methane/1000*F359*'6.Inland wetlands'!X131,0)</f>
        <v/>
      </c>
      <c r="Z375" s="3493">
        <f>IF('6.Inland wetlands'!P131&gt;0,'Inl. wetlands'!$K375*methane/1000*J359*'6.Inland wetlands'!Y131,0)</f>
        <v/>
      </c>
      <c r="AB375" s="3493">
        <f>MIN($L375,$M375)*time_tot+ABS($M375-$L375)*IF($M375&gt;$L375,time_cap+time*(VLOOKUP($N341,list!$J$48:$K$50,2,0)),time*(1-(VLOOKUP($N341,list!$J$48:$K$50,2,0))))</f>
        <v/>
      </c>
      <c r="AC375" s="3493">
        <f>MIN($L375,$N375)*time_tot+ABS($N375-$L375)*IF($N375&gt;$L375,time_cap+time*(VLOOKUP($P341,list!$J$48:$K$50,2,0)),time*(1-(VLOOKUP($P341,list!$J$48:$K$50,2,0))))</f>
        <v/>
      </c>
      <c r="AD375" s="3493">
        <f>MIN('Inl. wetlands'!$O375,'Inl. wetlands'!$P375)*time_tot+ABS('Inl. wetlands'!$P375-'Inl. wetlands'!$O375)*IF('Inl. wetlands'!$P375&gt;'Inl. wetlands'!$O375,time_cap+time*(VLOOKUP($N341,list!$J$48:$K$50,2,0)),time*(1-(VLOOKUP($N341,list!$J$48:$K$50,2,0))))+MIN('Inl. wetlands'!$X375,'Inl. wetlands'!$Y375)*time_tot+ABS('Inl. wetlands'!$X375-'Inl. wetlands'!$Y375)*IF('Inl. wetlands'!$Y375&gt;'Inl. wetlands'!$X375,time_cap+time*(VLOOKUP($N341,list!$J$48:$K$50,2,0)),time*(1-(VLOOKUP($N341,list!$J$48:$K$50,2,0))))</f>
        <v/>
      </c>
      <c r="AE375" s="3493">
        <f>MIN('Inl. wetlands'!$O375,'Inl. wetlands'!$Q375)*time_tot+ABS('Inl. wetlands'!$Q375-'Inl. wetlands'!$O375)*IF('Inl. wetlands'!$Q375&gt;'Inl. wetlands'!$O375,time_cap+time*(VLOOKUP($P341,list!$J$48:$K$50,2,0)),time*(1-(VLOOKUP($P341,list!$J$48:$K$50,2,0))))+MIN('Inl. wetlands'!$X375,'Inl. wetlands'!$Z375)*time_tot+ABS('Inl. wetlands'!$X375-'Inl. wetlands'!$Z375)*IF('Inl. wetlands'!$Z375&gt;'Inl. wetlands'!$X375,time_cap+time*(VLOOKUP($P341,list!$J$48:$K$50,2,0)),time*(1-(VLOOKUP($P341,list!$J$48:$K$50,2,0))))</f>
        <v/>
      </c>
      <c r="AF375" s="3493">
        <f>MIN('Inl. wetlands'!$R375,'Inl. wetlands'!$S375)*time_tot+ABS('Inl. wetlands'!$S375-'Inl. wetlands'!$R375)*IF('Inl. wetlands'!$S375&gt;'Inl. wetlands'!$R375,time_cap+time*(VLOOKUP($N341,list!$J$48:$K$50,2,0)),time*(1-(VLOOKUP($N341,list!$J$48:$K$50,2,0))))</f>
        <v/>
      </c>
      <c r="AG375" s="3493">
        <f>MIN('Inl. wetlands'!$R375,'Inl. wetlands'!$T375)*time_tot+ABS('Inl. wetlands'!$T375-'Inl. wetlands'!$R375)*IF('Inl. wetlands'!$T375&gt;'Inl. wetlands'!$R375,time_cap+time*(VLOOKUP($P341,list!$J$48:$K$50,2,0)),time*(1-(VLOOKUP($P341,list!$J$48:$K$50,2,0))))</f>
        <v/>
      </c>
      <c r="AI375" s="3495">
        <f>SUM(AB375,AD375,AF375)</f>
        <v/>
      </c>
      <c r="AJ375" s="1152">
        <f>SUM(AC375,AE375,AG375)</f>
        <v/>
      </c>
      <c r="AK375" s="1159">
        <f>AJ375-AI375</f>
        <v/>
      </c>
      <c r="AX375" s="1449">
        <f>IF('6.Inland wetlands'!$AC120=list!$I$213,MIN($L375,$M375)*time+ABS($M375-$L375)*IF($M375&gt;$L375,time*(VLOOKUP($N341,list!$J$48:$K$50,2,0)),time*(1-(VLOOKUP($N341,list!$J$48:$K$50,2,0)))),0)</f>
        <v/>
      </c>
      <c r="AY375" s="1449">
        <f>IF('6.Inland wetlands'!#REF!=list!$I$213,MIN($L375,$N375)*time+ABS($N375-$L375)*IF($N375&gt;$L375,time*(VLOOKUP($P341,list!$J$48:$K$50,2,0)),time*(1-(VLOOKUP($P341,list!$J$48:$K$50,2,0)))),0)</f>
        <v/>
      </c>
      <c r="AZ375" s="1449">
        <f>IF('6.Inland wetlands'!$AC120=list!$I$213,MIN($O375,$P375)*time+ABS($P375-$O375)*IF($P375&gt;$O375,time*(VLOOKUP($N341,list!$J$48:$K$50,2,0)),time*(1-(VLOOKUP($N341,list!$J$48:$K$50,2,0)))),0)</f>
        <v/>
      </c>
      <c r="BA375" s="1449">
        <f>IF('6.Inland wetlands'!#REF!=list!$I$213,MIN($O375,$Q375)*time+ABS($Q375-$O375)*IF($Q375&gt;$O375,time*(VLOOKUP($P341,list!$J$48:$K$50,2,0)),time*(1-(VLOOKUP($P341,list!$J$48:$K$50,2,0))))+MIN($X375,$Z375)*time+ABS($X375-$Z375)*IF($Z375&gt;$X375,time*(VLOOKUP($P341,list!$J$48:$K$50,2,0)),time*(1-(VLOOKUP($P341,list!$J$48:$K$50,2,0)))),0)</f>
        <v/>
      </c>
      <c r="BB375" s="1449">
        <f>IF('6.Inland wetlands'!$AC120=list!$I$213,MIN($R375,$S375)*time+ABS($S375-$R375)*IF($S375&gt;$R375,time*(VLOOKUP($N341,list!$J$48:$K$50,2,0)),time*(1-(VLOOKUP($N341,list!$J$48:$K$50,2,0)))),0)</f>
        <v/>
      </c>
      <c r="BC375" s="1449">
        <f>IF('6.Inland wetlands'!#REF!=list!$I215,MIN($R375,$T375)*time+ABS($T375-$R375)*IF($T375&gt;$R375,time*(VLOOKUP($P341,list!$J$48:$K$50,2,0)),time*(1-(VLOOKUP($P341,list!$J$48:$K$50,2,0)))),0)</f>
        <v/>
      </c>
      <c r="BD375" s="1449">
        <f>IF('6.Inland wetlands'!$AC120=list!$I$213,MIN($U375,$V375)*time+ABS($V375-$U375)*IF($V375&gt;$U375,time*(VLOOKUP($N341,list!$J$48:$K$50,2,0)),time*(1-(VLOOKUP($N341,list!$J$48:$K$50,2,0)))),0)</f>
        <v/>
      </c>
      <c r="BE375" s="1449">
        <f>IF('6.Inland wetlands'!#REF!=list!$I$213,MIN($U375,$W375)*time+ABS($W375-$U375)*IF($W375&gt;$U375,time*(VLOOKUP($P341,list!$J$48:$K$50,2,0)),time*(1-(VLOOKUP($P341,list!$J$48:$K$50,2,0)))),0)</f>
        <v/>
      </c>
      <c r="BF375" s="1449">
        <f>IF('6.Inland wetlands'!$AC120=list!$I$213,MIN($X375,$Y375)*time+ABS($X375-$Y375)*IF($Y375&gt;$X375,time*(VLOOKUP($N341,list!$J$48:$K$50,2,0)),time*(1-(VLOOKUP($N341,list!$J$48:$K$50,2,0)))),0)</f>
        <v/>
      </c>
      <c r="BG375" s="1449">
        <f>IF('6.Inland wetlands'!#REF!=list!$I$213,MIN($X375,$Z375)*time+ABS($X375-$Z375)*IF($Z375&gt;$X375,time*(VLOOKUP($N341,list!$J$48:$K$50,2,0)),time*(1-(VLOOKUP($N341,list!$J$48:$K$50,2,0)))),0)</f>
        <v/>
      </c>
    </row>
    <row r="376">
      <c r="A376" s="1467" t="inlineStr">
        <is>
          <t>S4</t>
        </is>
      </c>
      <c r="B376" s="1044">
        <f>IFERROR(IF($C$351=list!$J$210,INDEX(IPCC!$A$1762:$J$1773,MATCH(clim_moist,IPCC!$A$1781:$A$1792,0),MATCH($C360,IPCC!$A$1781:$J$1781,0)),IF($C$351=list!$J$211,INDEX(IPCC!$A$1781:$J$1792,MATCH(clim_moist,IPCC!$A$1781:$A$1792,0),MATCH($C360,IPCC!$A$1781:$J$1781,0)))),0)</f>
        <v/>
      </c>
      <c r="C376" s="1162">
        <f>IF('6.Inland wetlands'!$CG121="",'6.Inland wetlands'!$CF121,'6.Inland wetlands'!$CG121)</f>
        <v/>
      </c>
      <c r="D376" s="1044">
        <f>IFERROR(IF($C$351=list!$J$210,INDEX(IPCC!$A$1818:$J$1829,MATCH(clim_moist,IPCC!$A$1818:$A$1829,0),MATCH($C360,IPCC!$A$1818:$J$1818,0)),IF($C354=list!$J$211,INDEX(IPCC!$A$1836:$J$1847,MATCH(clim_moist,IPCC!$A$1836:$A$1847,0),MATCH($C360,IPCC!$A$1836:$J$1836,0)))),0)</f>
        <v/>
      </c>
      <c r="E376" s="1162">
        <f>IF('6.Inland wetlands'!$CI121="",'6.Inland wetlands'!$CH121,'6.Inland wetlands'!$CI121)</f>
        <v/>
      </c>
      <c r="F376" s="1044">
        <f>IFERROR(IF($C$351=list!$J$210,INDEX(IPCC!$A$1872:$J$1883,MATCH(clim_moist,IPCC!$A$1872:$A$1883,0),MATCH($C360,IPCC!$A$1872:$J$1872,0)),IF($C$351=list!$J$211,INDEX(IPCC!$A$1890:$J$1901,MATCH(clim_moist,IPCC!$A$1890:$A$1901,0),MATCH($C360,IPCC!$A$1890:$J$1890,0)))),0)</f>
        <v/>
      </c>
      <c r="G376" s="1162">
        <f>IF('6.Inland wetlands'!$CK121="",'6.Inland wetlands'!$CJ121,'6.Inland wetlands'!$CK121)</f>
        <v/>
      </c>
      <c r="H376" s="1044">
        <f>IFERROR(IF($C$351=list!$J$210,INDEX(IPCC!$A$1800:$J$1811,MATCH(clim_moist,IPCC!$A$1800:$A$1811,0),MATCH($C360,IPCC!$A$1800:$J$1800,0)),IF($C$351=list!$J$211,INDEX(IPCC!$A$1800:$J$1811,MATCH(clim_moist,IPCC!$A$1800:$A$1811,0),MATCH($C360,IPCC!$A$1800:$J$1800,0)))),0)</f>
        <v/>
      </c>
      <c r="I376" s="1162">
        <f>IF('6.Inland wetlands'!$CN121="",'6.Inland wetlands'!$CM121,'6.Inland wetlands'!$CN121)</f>
        <v/>
      </c>
      <c r="J376" s="1111">
        <f>IFERROR(IF($C$351=list!$J$210,INDEX(IPCC!$A$1854:$J$1865,MATCH(clim_moist,IPCC!$A$1854:$A$1865,0),MATCH($C360,IPCC!$A$1854:$J$1854,0)),IF($C$351=list!$J$211,INDEX(IPCC!$A$1854:$J$1865,MATCH(clim_moist,IPCC!$A$1854:$A$1865,0),MATCH($C360,IPCC!$A$1854:$J$1854,0)))),0)</f>
        <v/>
      </c>
      <c r="K376" s="1161">
        <f>IF('6.Inland wetlands'!$CP121="",'6.Inland wetlands'!$CO121,'6.Inland wetlands'!$CP121)</f>
        <v/>
      </c>
      <c r="L376" s="3493">
        <f>IF('6.Inland wetlands'!M132&gt;0,$C376*44/12*E360,0)</f>
        <v/>
      </c>
      <c r="M376" s="3493">
        <f>IF('6.Inland wetlands'!N132&gt;0,$C376*44/12*F360,0)</f>
        <v/>
      </c>
      <c r="N376" s="3493">
        <f>IF('6.Inland wetlands'!P132&gt;0,$C376*44/12*J360,0)</f>
        <v/>
      </c>
      <c r="O376" s="3493">
        <f>IF('6.Inland wetlands'!M132&gt;0,'Inl. wetlands'!$E376*methane/1000*E360*(1-'6.Inland wetlands'!W132),0)</f>
        <v/>
      </c>
      <c r="P376" s="3493">
        <f>IF('6.Inland wetlands'!N132&gt;0,'Inl. wetlands'!$E376*methane/1000*F360*(1-'6.Inland wetlands'!X132),0)</f>
        <v/>
      </c>
      <c r="Q376" s="3493">
        <f>IF('6.Inland wetlands'!P132&gt;0,'Inl. wetlands'!$E376*methane/1000*J360*(1-'6.Inland wetlands'!Y132),0)</f>
        <v/>
      </c>
      <c r="R376" s="3493">
        <f>IF('6.Inland wetlands'!M132&gt;0,'Inl. wetlands'!$G376*44/28*Nitrous/1000*E360,0)</f>
        <v/>
      </c>
      <c r="S376" s="3493">
        <f>IF('6.Inland wetlands'!N132&gt;0,'Inl. wetlands'!$G376*44/28*Nitrous/1000*F360,0)</f>
        <v/>
      </c>
      <c r="T376" s="3493">
        <f>IF('6.Inland wetlands'!P132&gt;0,'Inl. wetlands'!$G376*44/28*Nitrous/1000*J360,0)</f>
        <v/>
      </c>
      <c r="U376" s="3493">
        <f>IF('6.Inland wetlands'!M132&gt;0,'Inl. wetlands'!$I376*44/12*E360,0)</f>
        <v/>
      </c>
      <c r="V376" s="3493">
        <f>IF('6.Inland wetlands'!N132&gt;0,'Inl. wetlands'!$I376*44/12*F360,0)</f>
        <v/>
      </c>
      <c r="W376" s="3493">
        <f>IF('6.Inland wetlands'!P132&gt;0,'Inl. wetlands'!$I376*44/12*J360,0)</f>
        <v/>
      </c>
      <c r="X376" s="3493">
        <f>IF('6.Inland wetlands'!M132&gt;0,'Inl. wetlands'!$K376*methane/1000*E360*'6.Inland wetlands'!W132,0)</f>
        <v/>
      </c>
      <c r="Y376" s="3493">
        <f>IF('6.Inland wetlands'!N132&gt;0,'Inl. wetlands'!$K376*methane/1000*F360*'6.Inland wetlands'!X132,0)</f>
        <v/>
      </c>
      <c r="Z376" s="3493">
        <f>IF('6.Inland wetlands'!P132&gt;0,'Inl. wetlands'!$K376*methane/1000*J360*'6.Inland wetlands'!Y132,0)</f>
        <v/>
      </c>
      <c r="AB376" s="3493">
        <f>MIN($L376,$M376)*time_tot+ABS($M376-$L376)*IF($M376&gt;$L376,time_cap+time*(VLOOKUP($N342,list!$J$48:$K$50,2,0)),time*(1-(VLOOKUP($N342,list!$J$48:$K$50,2,0))))</f>
        <v/>
      </c>
      <c r="AC376" s="3493">
        <f>MIN($L376,$N376)*time_tot+ABS($N376-$L376)*IF($N376&gt;$L376,time_cap+time*(VLOOKUP($P342,list!$J$48:$K$50,2,0)),time*(1-(VLOOKUP($P342,list!$J$48:$K$50,2,0))))</f>
        <v/>
      </c>
      <c r="AD376" s="3493">
        <f>MIN('Inl. wetlands'!$O376,'Inl. wetlands'!$P376)*time_tot+ABS('Inl. wetlands'!$P376-'Inl. wetlands'!$O376)*IF('Inl. wetlands'!$P376&gt;'Inl. wetlands'!$O376,time_cap+time*(VLOOKUP($N342,list!$J$48:$K$50,2,0)),time*(1-(VLOOKUP($N342,list!$J$48:$K$50,2,0))))+MIN('Inl. wetlands'!$X376,'Inl. wetlands'!$Y376)*time_tot+ABS('Inl. wetlands'!$X376-'Inl. wetlands'!$Y376)*IF('Inl. wetlands'!$Y376&gt;'Inl. wetlands'!$X376,time_cap+time*(VLOOKUP($N342,list!$J$48:$K$50,2,0)),time*(1-(VLOOKUP($N342,list!$J$48:$K$50,2,0))))</f>
        <v/>
      </c>
      <c r="AE376" s="3493">
        <f>MIN('Inl. wetlands'!$O376,'Inl. wetlands'!$Q376)*time_tot+ABS('Inl. wetlands'!$Q376-'Inl. wetlands'!$O376)*IF('Inl. wetlands'!$Q376&gt;'Inl. wetlands'!$O376,time_cap+time*(VLOOKUP($P342,list!$J$48:$K$50,2,0)),time*(1-(VLOOKUP($P342,list!$J$48:$K$50,2,0))))+MIN('Inl. wetlands'!$X376,'Inl. wetlands'!$Z376)*time_tot+ABS('Inl. wetlands'!$X376-'Inl. wetlands'!$Z376)*IF('Inl. wetlands'!$Z376&gt;'Inl. wetlands'!$X376,time_cap+time*(VLOOKUP($P342,list!$J$48:$K$50,2,0)),time*(1-(VLOOKUP($P342,list!$J$48:$K$50,2,0))))</f>
        <v/>
      </c>
      <c r="AF376" s="3493">
        <f>MIN('Inl. wetlands'!$R376,'Inl. wetlands'!$S376)*time_tot+ABS('Inl. wetlands'!$S376-'Inl. wetlands'!$R376)*IF('Inl. wetlands'!$S376&gt;'Inl. wetlands'!$R376,time_cap+time*(VLOOKUP($N342,list!$J$48:$K$50,2,0)),time*(1-(VLOOKUP($N342,list!$J$48:$K$50,2,0))))</f>
        <v/>
      </c>
      <c r="AG376" s="3493">
        <f>MIN('Inl. wetlands'!$R376,'Inl. wetlands'!$T376)*time_tot+ABS('Inl. wetlands'!$T376-'Inl. wetlands'!$R376)*IF('Inl. wetlands'!$T376&gt;'Inl. wetlands'!$R376,time_cap+time*(VLOOKUP($P342,list!$J$48:$K$50,2,0)),time*(1-(VLOOKUP($P342,list!$J$48:$K$50,2,0))))</f>
        <v/>
      </c>
      <c r="AI376" s="3495">
        <f>SUM(AB376,AD376,AF376)</f>
        <v/>
      </c>
      <c r="AJ376" s="1152">
        <f>SUM(AC376,AE376,AG376)</f>
        <v/>
      </c>
      <c r="AK376" s="1159">
        <f>AJ376-AI376</f>
        <v/>
      </c>
      <c r="AX376" s="1449">
        <f>IF('6.Inland wetlands'!$AC121=list!$I$213,MIN($L376,$M376)*time+ABS($M376-$L376)*IF($M376&gt;$L376,time*(VLOOKUP($N342,list!$J$48:$K$50,2,0)),time*(1-(VLOOKUP($N342,list!$J$48:$K$50,2,0)))),0)</f>
        <v/>
      </c>
      <c r="AY376" s="1449">
        <f>IF('6.Inland wetlands'!#REF!=list!$I$213,MIN($L376,$N376)*time+ABS($N376-$L376)*IF($N376&gt;$L376,time*(VLOOKUP($P342,list!$J$48:$K$50,2,0)),time*(1-(VLOOKUP($P342,list!$J$48:$K$50,2,0)))),0)</f>
        <v/>
      </c>
      <c r="AZ376" s="1449">
        <f>IF('6.Inland wetlands'!$AC121=list!$I$213,MIN($O376,$P376)*time+ABS($P376-$O376)*IF($P376&gt;$O376,time*(VLOOKUP($N342,list!$J$48:$K$50,2,0)),time*(1-(VLOOKUP($N342,list!$J$48:$K$50,2,0)))),0)</f>
        <v/>
      </c>
      <c r="BA376" s="1449">
        <f>IF('6.Inland wetlands'!#REF!=list!$I$213,MIN($O376,$Q376)*time+ABS($Q376-$O376)*IF($Q376&gt;$O376,time*(VLOOKUP($P342,list!$J$48:$K$50,2,0)),time*(1-(VLOOKUP($P342,list!$J$48:$K$50,2,0))))+MIN($X376,$Z376)*time+ABS($X376-$Z376)*IF($Z376&gt;$X376,time*(VLOOKUP($P342,list!$J$48:$K$50,2,0)),time*(1-(VLOOKUP($P342,list!$J$48:$K$50,2,0)))),0)</f>
        <v/>
      </c>
      <c r="BB376" s="1449">
        <f>IF('6.Inland wetlands'!$AC121=list!$I$213,MIN($R376,$S376)*time+ABS($S376-$R376)*IF($S376&gt;$R376,time*(VLOOKUP($N342,list!$J$48:$K$50,2,0)),time*(1-(VLOOKUP($N342,list!$J$48:$K$50,2,0)))),0)</f>
        <v/>
      </c>
      <c r="BC376" s="1449">
        <f>IF('6.Inland wetlands'!#REF!=list!$I216,MIN($R376,$T376)*time+ABS($T376-$R376)*IF($T376&gt;$R376,time*(VLOOKUP($P342,list!$J$48:$K$50,2,0)),time*(1-(VLOOKUP($P342,list!$J$48:$K$50,2,0)))),0)</f>
        <v/>
      </c>
      <c r="BD376" s="1449">
        <f>IF('6.Inland wetlands'!$AC121=list!$I$213,MIN($U376,$V376)*time+ABS($V376-$U376)*IF($V376&gt;$U376,time*(VLOOKUP($N342,list!$J$48:$K$50,2,0)),time*(1-(VLOOKUP($N342,list!$J$48:$K$50,2,0)))),0)</f>
        <v/>
      </c>
      <c r="BE376" s="1449">
        <f>IF('6.Inland wetlands'!#REF!=list!$I$213,MIN($U376,$W376)*time+ABS($W376-$U376)*IF($W376&gt;$U376,time*(VLOOKUP($P342,list!$J$48:$K$50,2,0)),time*(1-(VLOOKUP($P342,list!$J$48:$K$50,2,0)))),0)</f>
        <v/>
      </c>
      <c r="BF376" s="1449">
        <f>IF('6.Inland wetlands'!$AC121=list!$I$213,MIN($X376,$Y376)*time+ABS($X376-$Y376)*IF($Y376&gt;$X376,time*(VLOOKUP($N342,list!$J$48:$K$50,2,0)),time*(1-(VLOOKUP($N342,list!$J$48:$K$50,2,0)))),0)</f>
        <v/>
      </c>
      <c r="BG376" s="1449">
        <f>IF('6.Inland wetlands'!#REF!=list!$I$213,MIN($X376,$Z376)*time+ABS($X376-$Z376)*IF($Z376&gt;$X376,time*(VLOOKUP($N342,list!$J$48:$K$50,2,0)),time*(1-(VLOOKUP($N342,list!$J$48:$K$50,2,0)))),0)</f>
        <v/>
      </c>
    </row>
    <row r="377">
      <c r="A377" s="1467" t="inlineStr">
        <is>
          <t>S5</t>
        </is>
      </c>
      <c r="B377" s="1044">
        <f>IFERROR(IF($C$351=list!$J$210,INDEX(IPCC!$A$1762:$J$1773,MATCH(clim_moist,IPCC!$A$1781:$A$1792,0),MATCH($C361,IPCC!$A$1781:$J$1781,0)),IF($C$351=list!$J$211,INDEX(IPCC!$A$1781:$J$1792,MATCH(clim_moist,IPCC!$A$1781:$A$1792,0),MATCH($C361,IPCC!$A$1781:$J$1781,0)))),0)</f>
        <v/>
      </c>
      <c r="C377" s="1162">
        <f>IF('6.Inland wetlands'!$CG122="",'6.Inland wetlands'!$CF122,'6.Inland wetlands'!$CG122)</f>
        <v/>
      </c>
      <c r="D377" s="1044">
        <f>IFERROR(IF($C$351=list!$J$210,INDEX(IPCC!$A$1818:$J$1829,MATCH(clim_moist,IPCC!$A$1818:$A$1829,0),MATCH($C361,IPCC!$A$1818:$J$1818,0)),IF($C355=list!$J$211,INDEX(IPCC!$A$1836:$J$1847,MATCH(clim_moist,IPCC!$A$1836:$A$1847,0),MATCH($C361,IPCC!$A$1836:$J$1836,0)))),0)</f>
        <v/>
      </c>
      <c r="E377" s="1162">
        <f>IF('6.Inland wetlands'!$CI122="",'6.Inland wetlands'!$CH122,'6.Inland wetlands'!$CI122)</f>
        <v/>
      </c>
      <c r="F377" s="1044">
        <f>IFERROR(IF($C$351=list!$J$210,INDEX(IPCC!$A$1872:$J$1883,MATCH(clim_moist,IPCC!$A$1872:$A$1883,0),MATCH($C361,IPCC!$A$1872:$J$1872,0)),IF($C$351=list!$J$211,INDEX(IPCC!$A$1890:$J$1901,MATCH(clim_moist,IPCC!$A$1890:$A$1901,0),MATCH($C361,IPCC!$A$1890:$J$1890,0)))),0)</f>
        <v/>
      </c>
      <c r="G377" s="1162">
        <f>IF('6.Inland wetlands'!$CK122="",'6.Inland wetlands'!$CJ122,'6.Inland wetlands'!$CK122)</f>
        <v/>
      </c>
      <c r="H377" s="1044">
        <f>IFERROR(IF($C$351=list!$J$210,INDEX(IPCC!$A$1800:$J$1811,MATCH(clim_moist,IPCC!$A$1800:$A$1811,0),MATCH($C361,IPCC!$A$1800:$J$1800,0)),IF($C$351=list!$J$211,INDEX(IPCC!$A$1800:$J$1811,MATCH(clim_moist,IPCC!$A$1800:$A$1811,0),MATCH($C361,IPCC!$A$1800:$J$1800,0)))),0)</f>
        <v/>
      </c>
      <c r="I377" s="1162">
        <f>IF('6.Inland wetlands'!$CN122="",'6.Inland wetlands'!$CM122,'6.Inland wetlands'!$CN122)</f>
        <v/>
      </c>
      <c r="J377" s="1111">
        <f>IFERROR(IF($C$351=list!$J$210,INDEX(IPCC!$A$1854:$J$1865,MATCH(clim_moist,IPCC!$A$1854:$A$1865,0),MATCH($C361,IPCC!$A$1854:$J$1854,0)),IF($C$351=list!$J$211,INDEX(IPCC!$A$1854:$J$1865,MATCH(clim_moist,IPCC!$A$1854:$A$1865,0),MATCH($C361,IPCC!$A$1854:$J$1854,0)))),0)</f>
        <v/>
      </c>
      <c r="K377" s="1161">
        <f>IF('6.Inland wetlands'!$CP122="",'6.Inland wetlands'!$CO122,'6.Inland wetlands'!$CP122)</f>
        <v/>
      </c>
      <c r="L377" s="3493">
        <f>IF('6.Inland wetlands'!M133&gt;0,$C377*44/12*E361,0)</f>
        <v/>
      </c>
      <c r="M377" s="3493">
        <f>IF('6.Inland wetlands'!N133&gt;0,$C377*44/12*F361,0)</f>
        <v/>
      </c>
      <c r="N377" s="3493">
        <f>IF('6.Inland wetlands'!P133&gt;0,$C377*44/12*J361,0)</f>
        <v/>
      </c>
      <c r="O377" s="3493">
        <f>IF('6.Inland wetlands'!M133&gt;0,'Inl. wetlands'!$E377*methane/1000*E361*(1-'6.Inland wetlands'!W133),0)</f>
        <v/>
      </c>
      <c r="P377" s="3493">
        <f>IF('6.Inland wetlands'!N133&gt;0,'Inl. wetlands'!$E377*methane/1000*F361*(1-'6.Inland wetlands'!X133),0)</f>
        <v/>
      </c>
      <c r="Q377" s="3493">
        <f>IF('6.Inland wetlands'!P133&gt;0,'Inl. wetlands'!$E377*methane/1000*J361*(1-'6.Inland wetlands'!Y133),0)</f>
        <v/>
      </c>
      <c r="R377" s="3493">
        <f>IF('6.Inland wetlands'!M133&gt;0,'Inl. wetlands'!$G377*44/28*Nitrous/1000*E361,0)</f>
        <v/>
      </c>
      <c r="S377" s="3493">
        <f>IF('6.Inland wetlands'!N133&gt;0,'Inl. wetlands'!$G377*44/28*Nitrous/1000*F361,0)</f>
        <v/>
      </c>
      <c r="T377" s="3493">
        <f>IF('6.Inland wetlands'!P133&gt;0,'Inl. wetlands'!$G377*44/28*Nitrous/1000*J361,0)</f>
        <v/>
      </c>
      <c r="U377" s="3493">
        <f>IF('6.Inland wetlands'!M133&gt;0,'Inl. wetlands'!$I377*44/12*E361,0)</f>
        <v/>
      </c>
      <c r="V377" s="3493">
        <f>IF('6.Inland wetlands'!N133&gt;0,'Inl. wetlands'!$I377*44/12*F361,0)</f>
        <v/>
      </c>
      <c r="W377" s="3493">
        <f>IF('6.Inland wetlands'!P133&gt;0,'Inl. wetlands'!$I377*44/12*J361,0)</f>
        <v/>
      </c>
      <c r="X377" s="3493">
        <f>IF('6.Inland wetlands'!M133&gt;0,'Inl. wetlands'!$K377*methane/1000*E361*'6.Inland wetlands'!W133,0)</f>
        <v/>
      </c>
      <c r="Y377" s="3493">
        <f>IF('6.Inland wetlands'!N133&gt;0,'Inl. wetlands'!$K377*methane/1000*F361*'6.Inland wetlands'!X133,0)</f>
        <v/>
      </c>
      <c r="Z377" s="3493">
        <f>IF('6.Inland wetlands'!P133&gt;0,'Inl. wetlands'!$K377*methane/1000*J361*'6.Inland wetlands'!Y133,0)</f>
        <v/>
      </c>
      <c r="AB377" s="3493">
        <f>MIN($L377,$M377)*time_tot+ABS($M377-$L377)*IF($M377&gt;$L377,time_cap+time*(VLOOKUP($N343,list!$J$48:$K$50,2,0)),time*(1-(VLOOKUP($N343,list!$J$48:$K$50,2,0))))</f>
        <v/>
      </c>
      <c r="AC377" s="3493">
        <f>MIN($L377,$N377)*time_tot+ABS($N377-$L377)*IF($N377&gt;$L377,time_cap+time*(VLOOKUP($P343,list!$J$48:$K$50,2,0)),time*(1-(VLOOKUP($P343,list!$J$48:$K$50,2,0))))</f>
        <v/>
      </c>
      <c r="AD377" s="3493">
        <f>MIN('Inl. wetlands'!$O377,'Inl. wetlands'!$P377)*time_tot+ABS('Inl. wetlands'!$P377-'Inl. wetlands'!$O377)*IF('Inl. wetlands'!$P377&gt;'Inl. wetlands'!$O377,time_cap+time*(VLOOKUP($N343,list!$J$48:$K$50,2,0)),time*(1-(VLOOKUP($N343,list!$J$48:$K$50,2,0))))+MIN('Inl. wetlands'!$X377,'Inl. wetlands'!$Y377)*time_tot+ABS('Inl. wetlands'!$X377-'Inl. wetlands'!$Y377)*IF('Inl. wetlands'!$Y377&gt;'Inl. wetlands'!$X377,time_cap+time*(VLOOKUP($N343,list!$J$48:$K$50,2,0)),time*(1-(VLOOKUP($N343,list!$J$48:$K$50,2,0))))</f>
        <v/>
      </c>
      <c r="AE377" s="3493">
        <f>MIN('Inl. wetlands'!$O377,'Inl. wetlands'!$Q377)*time_tot+ABS('Inl. wetlands'!$Q377-'Inl. wetlands'!$O377)*IF('Inl. wetlands'!$Q377&gt;'Inl. wetlands'!$O377,time_cap+time*(VLOOKUP($P343,list!$J$48:$K$50,2,0)),time*(1-(VLOOKUP($P343,list!$J$48:$K$50,2,0))))+MIN('Inl. wetlands'!$X377,'Inl. wetlands'!$Z377)*time_tot+ABS('Inl. wetlands'!$X377-'Inl. wetlands'!$Z377)*IF('Inl. wetlands'!$Z377&gt;'Inl. wetlands'!$X377,time_cap+time*(VLOOKUP($P343,list!$J$48:$K$50,2,0)),time*(1-(VLOOKUP($P343,list!$J$48:$K$50,2,0))))</f>
        <v/>
      </c>
      <c r="AF377" s="3493">
        <f>MIN('Inl. wetlands'!$R377,'Inl. wetlands'!$S377)*time_tot+ABS('Inl. wetlands'!$S377-'Inl. wetlands'!$R377)*IF('Inl. wetlands'!$S377&gt;'Inl. wetlands'!$R377,time_cap+time*(VLOOKUP($N343,list!$J$48:$K$50,2,0)),time*(1-(VLOOKUP($N343,list!$J$48:$K$50,2,0))))</f>
        <v/>
      </c>
      <c r="AG377" s="3493">
        <f>MIN('Inl. wetlands'!$R377,'Inl. wetlands'!$T377)*time_tot+ABS('Inl. wetlands'!$T377-'Inl. wetlands'!$R377)*IF('Inl. wetlands'!$T377&gt;'Inl. wetlands'!$R377,time_cap+time*(VLOOKUP($P343,list!$J$48:$K$50,2,0)),time*(1-(VLOOKUP($P343,list!$J$48:$K$50,2,0))))</f>
        <v/>
      </c>
      <c r="AI377" s="3495">
        <f>SUM(AB377,AD377,AF377)</f>
        <v/>
      </c>
      <c r="AJ377" s="1152">
        <f>SUM(AC377,AE377,AG377)</f>
        <v/>
      </c>
      <c r="AK377" s="1159">
        <f>AJ377-AI377</f>
        <v/>
      </c>
      <c r="AX377" s="1449">
        <f>IF('6.Inland wetlands'!$AC122=list!$I$213,MIN($L377,$M377)*time+ABS($M377-$L377)*IF($M377&gt;$L377,time*(VLOOKUP($N343,list!$J$48:$K$50,2,0)),time*(1-(VLOOKUP($N343,list!$J$48:$K$50,2,0)))),0)</f>
        <v/>
      </c>
      <c r="AY377" s="1449">
        <f>IF('6.Inland wetlands'!#REF!=list!$I$213,MIN($L377,$N377)*time+ABS($N377-$L377)*IF($N377&gt;$L377,time*(VLOOKUP($P343,list!$J$48:$K$50,2,0)),time*(1-(VLOOKUP($P343,list!$J$48:$K$50,2,0)))),0)</f>
        <v/>
      </c>
      <c r="AZ377" s="1449">
        <f>IF('6.Inland wetlands'!$AC122=list!$I$213,MIN($O377,$P377)*time+ABS($P377-$O377)*IF($P377&gt;$O377,time*(VLOOKUP($N343,list!$J$48:$K$50,2,0)),time*(1-(VLOOKUP($N343,list!$J$48:$K$50,2,0)))),0)</f>
        <v/>
      </c>
      <c r="BA377" s="1449">
        <f>IF('6.Inland wetlands'!#REF!=list!$I$213,MIN($O377,$Q377)*time+ABS($Q377-$O377)*IF($Q377&gt;$O377,time*(VLOOKUP($P343,list!$J$48:$K$50,2,0)),time*(1-(VLOOKUP($P343,list!$J$48:$K$50,2,0))))+MIN($X377,$Z377)*time+ABS($X377-$Z377)*IF($Z377&gt;$X377,time*(VLOOKUP($P343,list!$J$48:$K$50,2,0)),time*(1-(VLOOKUP($P343,list!$J$48:$K$50,2,0)))),0)</f>
        <v/>
      </c>
      <c r="BB377" s="1449">
        <f>IF('6.Inland wetlands'!$AC122=list!$I$213,MIN($R377,$S377)*time+ABS($S377-$R377)*IF($S377&gt;$R377,time*(VLOOKUP($N343,list!$J$48:$K$50,2,0)),time*(1-(VLOOKUP($N343,list!$J$48:$K$50,2,0)))),0)</f>
        <v/>
      </c>
      <c r="BC377" s="1449">
        <f>IF('6.Inland wetlands'!#REF!=list!$I217,MIN($R377,$T377)*time+ABS($T377-$R377)*IF($T377&gt;$R377,time*(VLOOKUP($P343,list!$J$48:$K$50,2,0)),time*(1-(VLOOKUP($P343,list!$J$48:$K$50,2,0)))),0)</f>
        <v/>
      </c>
      <c r="BD377" s="1449">
        <f>IF('6.Inland wetlands'!$AC122=list!$I$213,MIN($U377,$V377)*time+ABS($V377-$U377)*IF($V377&gt;$U377,time*(VLOOKUP($N343,list!$J$48:$K$50,2,0)),time*(1-(VLOOKUP($N343,list!$J$48:$K$50,2,0)))),0)</f>
        <v/>
      </c>
      <c r="BE377" s="1449">
        <f>IF('6.Inland wetlands'!#REF!=list!$I$213,MIN($U377,$W377)*time+ABS($W377-$U377)*IF($W377&gt;$U377,time*(VLOOKUP($P343,list!$J$48:$K$50,2,0)),time*(1-(VLOOKUP($P343,list!$J$48:$K$50,2,0)))),0)</f>
        <v/>
      </c>
      <c r="BF377" s="1449">
        <f>IF('6.Inland wetlands'!$AC122=list!$I$213,MIN($X377,$Y377)*time+ABS($X377-$Y377)*IF($Y377&gt;$X377,time*(VLOOKUP($N343,list!$J$48:$K$50,2,0)),time*(1-(VLOOKUP($N343,list!$J$48:$K$50,2,0)))),0)</f>
        <v/>
      </c>
      <c r="BG377" s="1449">
        <f>IF('6.Inland wetlands'!#REF!=list!$I$213,MIN($X377,$Z377)*time+ABS($X377-$Z377)*IF($Z377&gt;$X377,time*(VLOOKUP($N343,list!$J$48:$K$50,2,0)),time*(1-(VLOOKUP($N343,list!$J$48:$K$50,2,0)))),0)</f>
        <v/>
      </c>
    </row>
    <row r="378">
      <c r="A378" s="1467" t="inlineStr">
        <is>
          <t>S6</t>
        </is>
      </c>
      <c r="B378" s="1044">
        <f>IFERROR(IF($C$351=list!$J$210,INDEX(IPCC!$A$1762:$J$1773,MATCH(clim_moist,IPCC!$A$1781:$A$1792,0),MATCH($C362,IPCC!$A$1781:$J$1781,0)),IF($C$351=list!$J$211,INDEX(IPCC!$A$1781:$J$1792,MATCH(clim_moist,IPCC!$A$1781:$A$1792,0),MATCH($C362,IPCC!$A$1781:$J$1781,0)))),0)</f>
        <v/>
      </c>
      <c r="C378" s="1162">
        <f>IF('6.Inland wetlands'!$CG123="",'6.Inland wetlands'!$CF123,'6.Inland wetlands'!$CG123)</f>
        <v/>
      </c>
      <c r="D378" s="1044">
        <f>IFERROR(IF($C$351=list!$J$210,INDEX(IPCC!$A$1818:$J$1829,MATCH(clim_moist,IPCC!$A$1818:$A$1829,0),MATCH($C362,IPCC!$A$1818:$J$1818,0)),IF($C356=list!$J$211,INDEX(IPCC!$A$1836:$J$1847,MATCH(clim_moist,IPCC!$A$1836:$A$1847,0),MATCH($C362,IPCC!$A$1836:$J$1836,0)))),0)</f>
        <v/>
      </c>
      <c r="E378" s="1162">
        <f>IF('6.Inland wetlands'!$CI123="",'6.Inland wetlands'!$CH123,'6.Inland wetlands'!$CI123)</f>
        <v/>
      </c>
      <c r="F378" s="1044">
        <f>IFERROR(IF($C$351=list!$J$210,INDEX(IPCC!$A$1872:$J$1883,MATCH(clim_moist,IPCC!$A$1872:$A$1883,0),MATCH($C362,IPCC!$A$1872:$J$1872,0)),IF($C$351=list!$J$211,INDEX(IPCC!$A$1890:$J$1901,MATCH(clim_moist,IPCC!$A$1890:$A$1901,0),MATCH($C362,IPCC!$A$1890:$J$1890,0)))),0)</f>
        <v/>
      </c>
      <c r="G378" s="1162">
        <f>IF('6.Inland wetlands'!$CK123="",'6.Inland wetlands'!$CJ123,'6.Inland wetlands'!$CK123)</f>
        <v/>
      </c>
      <c r="H378" s="1044">
        <f>IFERROR(IF($C$351=list!$J$210,INDEX(IPCC!$A$1800:$J$1811,MATCH(clim_moist,IPCC!$A$1800:$A$1811,0),MATCH($C362,IPCC!$A$1800:$J$1800,0)),IF($C$351=list!$J$211,INDEX(IPCC!$A$1800:$J$1811,MATCH(clim_moist,IPCC!$A$1800:$A$1811,0),MATCH($C362,IPCC!$A$1800:$J$1800,0)))),0)</f>
        <v/>
      </c>
      <c r="I378" s="1162">
        <f>IF('6.Inland wetlands'!$CN123="",'6.Inland wetlands'!$CM123,'6.Inland wetlands'!$CN123)</f>
        <v/>
      </c>
      <c r="J378" s="1111">
        <f>IFERROR(IF($C$351=list!$J$210,INDEX(IPCC!$A$1854:$J$1865,MATCH(clim_moist,IPCC!$A$1854:$A$1865,0),MATCH($C362,IPCC!$A$1854:$J$1854,0)),IF($C$351=list!$J$211,INDEX(IPCC!$A$1854:$J$1865,MATCH(clim_moist,IPCC!$A$1854:$A$1865,0),MATCH($C362,IPCC!$A$1854:$J$1854,0)))),0)</f>
        <v/>
      </c>
      <c r="K378" s="1161">
        <f>IF('6.Inland wetlands'!$CP123="",'6.Inland wetlands'!$CO123,'6.Inland wetlands'!$CP123)</f>
        <v/>
      </c>
      <c r="L378" s="3493">
        <f>IF('6.Inland wetlands'!M134&gt;0,$C378*44/12*E362,0)</f>
        <v/>
      </c>
      <c r="M378" s="3493">
        <f>IF('6.Inland wetlands'!N134&gt;0,$C378*44/12*F362,0)</f>
        <v/>
      </c>
      <c r="N378" s="3493">
        <f>IF('6.Inland wetlands'!P134&gt;0,$C378*44/12*J362,0)</f>
        <v/>
      </c>
      <c r="O378" s="3493">
        <f>IF('6.Inland wetlands'!M134&gt;0,'Inl. wetlands'!$E378*methane/1000*E362*(1-'6.Inland wetlands'!W134),0)</f>
        <v/>
      </c>
      <c r="P378" s="3493">
        <f>IF('6.Inland wetlands'!N134&gt;0,'Inl. wetlands'!$E378*methane/1000*F362*(1-'6.Inland wetlands'!X134),0)</f>
        <v/>
      </c>
      <c r="Q378" s="3493">
        <f>IF('6.Inland wetlands'!P134&gt;0,'Inl. wetlands'!$E378*methane/1000*J362*(1-'6.Inland wetlands'!Y134),0)</f>
        <v/>
      </c>
      <c r="R378" s="3493">
        <f>IF('6.Inland wetlands'!M134&gt;0,'Inl. wetlands'!$G378*44/28*Nitrous/1000*E362,0)</f>
        <v/>
      </c>
      <c r="S378" s="3493">
        <f>IF('6.Inland wetlands'!N134&gt;0,'Inl. wetlands'!$G378*44/28*Nitrous/1000*F362,0)</f>
        <v/>
      </c>
      <c r="T378" s="3493">
        <f>IF('6.Inland wetlands'!P134&gt;0,'Inl. wetlands'!$G378*44/28*Nitrous/1000*J362,0)</f>
        <v/>
      </c>
      <c r="U378" s="3493">
        <f>IF('6.Inland wetlands'!M134&gt;0,'Inl. wetlands'!$I378*44/12*E362,0)</f>
        <v/>
      </c>
      <c r="V378" s="3493">
        <f>IF('6.Inland wetlands'!N134&gt;0,'Inl. wetlands'!$I378*44/12*F362,0)</f>
        <v/>
      </c>
      <c r="W378" s="3493">
        <f>IF('6.Inland wetlands'!P134&gt;0,'Inl. wetlands'!$I378*44/12*J362,0)</f>
        <v/>
      </c>
      <c r="X378" s="3493">
        <f>IF('6.Inland wetlands'!M134&gt;0,'Inl. wetlands'!$K378*methane/1000*E362*'6.Inland wetlands'!W134,0)</f>
        <v/>
      </c>
      <c r="Y378" s="3493">
        <f>IF('6.Inland wetlands'!N134&gt;0,'Inl. wetlands'!$K378*methane/1000*F362*'6.Inland wetlands'!X134,0)</f>
        <v/>
      </c>
      <c r="Z378" s="3493">
        <f>IF('6.Inland wetlands'!P134&gt;0,'Inl. wetlands'!$K378*methane/1000*J362*'6.Inland wetlands'!Y134,0)</f>
        <v/>
      </c>
      <c r="AB378" s="3493">
        <f>MIN($L378,$M378)*time_tot+ABS($M378-$L378)*IF($M378&gt;$L378,time_cap+time*(VLOOKUP($N344,list!$J$48:$K$50,2,0)),time*(1-(VLOOKUP($N344,list!$J$48:$K$50,2,0))))</f>
        <v/>
      </c>
      <c r="AC378" s="3493">
        <f>MIN($L378,$N378)*time_tot+ABS($N378-$L378)*IF($N378&gt;$L378,time_cap+time*(VLOOKUP($P344,list!$J$48:$K$50,2,0)),time*(1-(VLOOKUP($P344,list!$J$48:$K$50,2,0))))</f>
        <v/>
      </c>
      <c r="AD378" s="3493">
        <f>MIN('Inl. wetlands'!$O378,'Inl. wetlands'!$P378)*time_tot+ABS('Inl. wetlands'!$P378-'Inl. wetlands'!$O378)*IF('Inl. wetlands'!$P378&gt;'Inl. wetlands'!$O378,time_cap+time*(VLOOKUP($N344,list!$J$48:$K$50,2,0)),time*(1-(VLOOKUP($N344,list!$J$48:$K$50,2,0))))+MIN('Inl. wetlands'!$X378,'Inl. wetlands'!$Y378)*time_tot+ABS('Inl. wetlands'!$X378-'Inl. wetlands'!$Y378)*IF('Inl. wetlands'!$Y378&gt;'Inl. wetlands'!$X378,time_cap+time*(VLOOKUP($N344,list!$J$48:$K$50,2,0)),time*(1-(VLOOKUP($N344,list!$J$48:$K$50,2,0))))</f>
        <v/>
      </c>
      <c r="AE378" s="3493">
        <f>MIN('Inl. wetlands'!$O378,'Inl. wetlands'!$Q378)*time_tot+ABS('Inl. wetlands'!$Q378-'Inl. wetlands'!$O378)*IF('Inl. wetlands'!$Q378&gt;'Inl. wetlands'!$O378,time_cap+time*(VLOOKUP($P344,list!$J$48:$K$50,2,0)),time*(1-(VLOOKUP($P344,list!$J$48:$K$50,2,0))))+MIN('Inl. wetlands'!$X378,'Inl. wetlands'!$Z378)*time_tot+ABS('Inl. wetlands'!$X378-'Inl. wetlands'!$Z378)*IF('Inl. wetlands'!$Z378&gt;'Inl. wetlands'!$X378,time_cap+time*(VLOOKUP($P344,list!$J$48:$K$50,2,0)),time*(1-(VLOOKUP($P344,list!$J$48:$K$50,2,0))))</f>
        <v/>
      </c>
      <c r="AF378" s="3493">
        <f>MIN('Inl. wetlands'!$R378,'Inl. wetlands'!$S378)*time_tot+ABS('Inl. wetlands'!$S378-'Inl. wetlands'!$R378)*IF('Inl. wetlands'!$S378&gt;'Inl. wetlands'!$R378,time_cap+time*(VLOOKUP($N344,list!$J$48:$K$50,2,0)),time*(1-(VLOOKUP($N344,list!$J$48:$K$50,2,0))))</f>
        <v/>
      </c>
      <c r="AG378" s="3493">
        <f>MIN('Inl. wetlands'!$R378,'Inl. wetlands'!$T378)*time_tot+ABS('Inl. wetlands'!$T378-'Inl. wetlands'!$R378)*IF('Inl. wetlands'!$T378&gt;'Inl. wetlands'!$R378,time_cap+time*(VLOOKUP($P344,list!$J$48:$K$50,2,0)),time*(1-(VLOOKUP($P344,list!$J$48:$K$50,2,0))))</f>
        <v/>
      </c>
      <c r="AI378" s="3495">
        <f>SUM(AB378,AD378,AF378)</f>
        <v/>
      </c>
      <c r="AJ378" s="1152">
        <f>SUM(AC378,AE378,AG378)</f>
        <v/>
      </c>
      <c r="AK378" s="3499">
        <f>AJ378-AI378</f>
        <v/>
      </c>
      <c r="AX378" s="1449">
        <f>IF('6.Inland wetlands'!$AC123=list!$I$213,MIN($L378,$M378)*time+ABS($M378-$L378)*IF($M378&gt;$L378,time*(VLOOKUP($N344,list!$J$48:$K$50,2,0)),time*(1-(VLOOKUP($N344,list!$J$48:$K$50,2,0)))),0)</f>
        <v/>
      </c>
      <c r="AY378" s="1449">
        <f>IF('6.Inland wetlands'!#REF!=list!$I$213,MIN($L378,$N378)*time+ABS($N378-$L378)*IF($N378&gt;$L378,time*(VLOOKUP($P344,list!$J$48:$K$50,2,0)),time*(1-(VLOOKUP($P344,list!$J$48:$K$50,2,0)))),0)</f>
        <v/>
      </c>
      <c r="AZ378" s="1449">
        <f>IF('6.Inland wetlands'!$AC123=list!$I$213,MIN($O378,$P378)*time+ABS($P378-$O378)*IF($P378&gt;$O378,time*(VLOOKUP($N344,list!$J$48:$K$50,2,0)),time*(1-(VLOOKUP($N344,list!$J$48:$K$50,2,0)))),0)</f>
        <v/>
      </c>
      <c r="BA378" s="1449">
        <f>IF('6.Inland wetlands'!#REF!=list!$I$213,MIN($O378,$Q378)*time+ABS($Q378-$O378)*IF($Q378&gt;$O378,time*(VLOOKUP($P344,list!$J$48:$K$50,2,0)),time*(1-(VLOOKUP($P344,list!$J$48:$K$50,2,0))))+MIN($X378,$Z378)*time+ABS($X378-$Z378)*IF($Z378&gt;$X378,time*(VLOOKUP($P344,list!$J$48:$K$50,2,0)),time*(1-(VLOOKUP($P344,list!$J$48:$K$50,2,0)))),0)</f>
        <v/>
      </c>
      <c r="BB378" s="1449">
        <f>IF('6.Inland wetlands'!$AC123=list!$I$213,MIN($R378,$S378)*time+ABS($S378-$R378)*IF($S378&gt;$R378,time*(VLOOKUP($N344,list!$J$48:$K$50,2,0)),time*(1-(VLOOKUP($N344,list!$J$48:$K$50,2,0)))),0)</f>
        <v/>
      </c>
      <c r="BC378" s="1449">
        <f>IF('6.Inland wetlands'!#REF!=list!$I218,MIN($R378,$T378)*time+ABS($T378-$R378)*IF($T378&gt;$R378,time*(VLOOKUP($P344,list!$J$48:$K$50,2,0)),time*(1-(VLOOKUP($P344,list!$J$48:$K$50,2,0)))),0)</f>
        <v/>
      </c>
      <c r="BD378" s="1449">
        <f>IF('6.Inland wetlands'!$AC123=list!$I$213,MIN($U378,$V378)*time+ABS($V378-$U378)*IF($V378&gt;$U378,time*(VLOOKUP($N344,list!$J$48:$K$50,2,0)),time*(1-(VLOOKUP($N344,list!$J$48:$K$50,2,0)))),0)</f>
        <v/>
      </c>
      <c r="BE378" s="1449">
        <f>IF('6.Inland wetlands'!#REF!=list!$I$213,MIN($U378,$W378)*time+ABS($W378-$U378)*IF($W378&gt;$U378,time*(VLOOKUP($P344,list!$J$48:$K$50,2,0)),time*(1-(VLOOKUP($P344,list!$J$48:$K$50,2,0)))),0)</f>
        <v/>
      </c>
      <c r="BF378" s="1449">
        <f>IF('6.Inland wetlands'!$AC123=list!$I$213,MIN($X378,$Y378)*time+ABS($X378-$Y378)*IF($Y378&gt;$X378,time*(VLOOKUP($N344,list!$J$48:$K$50,2,0)),time*(1-(VLOOKUP($N344,list!$J$48:$K$50,2,0)))),0)</f>
        <v/>
      </c>
      <c r="BG378" s="1449">
        <f>IF('6.Inland wetlands'!#REF!=list!$I$213,MIN($X378,$Z378)*time+ABS($X378-$Z378)*IF($Z378&gt;$X378,time*(VLOOKUP($N344,list!$J$48:$K$50,2,0)),time*(1-(VLOOKUP($N344,list!$J$48:$K$50,2,0)))),0)</f>
        <v/>
      </c>
    </row>
    <row r="380">
      <c r="E380" s="4026" t="inlineStr">
        <is>
          <t>drained areas</t>
        </is>
      </c>
      <c r="F380" s="4026">
        <f>SUMIF(L373:L378,"&gt;0",D357:D362)</f>
        <v/>
      </c>
      <c r="G380" s="4026">
        <f>SUMIF(M373:M378,"&gt;0",F357:F362)</f>
        <v/>
      </c>
      <c r="H380" s="4026">
        <f>SUMIF(N373:N378,"&gt;0",J357:J362)</f>
        <v/>
      </c>
      <c r="M380" s="1469" t="n"/>
      <c r="AX380" s="1461">
        <f>SUM(AX373:AX378)</f>
        <v/>
      </c>
      <c r="AY380" s="1461">
        <f>SUM(AY373:AY378)</f>
        <v/>
      </c>
      <c r="AZ380" s="1461">
        <f>SUM(AZ373:AZ378)</f>
        <v/>
      </c>
      <c r="BA380" s="1461">
        <f>SUM(BA373:BA378)</f>
        <v/>
      </c>
      <c r="BB380" s="1461">
        <f>SUM(BB373:BB378)</f>
        <v/>
      </c>
      <c r="BC380" s="1461">
        <f>SUM(BC373:BC378)</f>
        <v/>
      </c>
      <c r="BD380" s="1461">
        <f>SUM(BD373:BD378)</f>
        <v/>
      </c>
      <c r="BE380" s="1461">
        <f>SUM(BE373:BE378)</f>
        <v/>
      </c>
      <c r="BF380" s="1461">
        <f>SUM(BF373:BF378)</f>
        <v/>
      </c>
      <c r="BG380" s="1461">
        <f>SUM(BG373:BG378)</f>
        <v/>
      </c>
    </row>
    <row r="381">
      <c r="M381" s="1469" t="n"/>
      <c r="AY381" s="1451">
        <f>AY380-AX380</f>
        <v/>
      </c>
      <c r="AZ381" s="1451" t="n"/>
      <c r="BA381" s="1451">
        <f>BA380-AZ380</f>
        <v/>
      </c>
      <c r="BC381" s="1451">
        <f>BC380-BB380</f>
        <v/>
      </c>
      <c r="BD381" s="1451" t="n"/>
      <c r="BE381" s="1451">
        <f>BE380-BD380</f>
        <v/>
      </c>
      <c r="BG381" s="1451">
        <f>BG380-BF380</f>
        <v/>
      </c>
    </row>
    <row r="382" ht="30.5" customFormat="1" customHeight="1" s="1089">
      <c r="B382" s="1112" t="inlineStr">
        <is>
          <t>Emissions associated with rewetting</t>
        </is>
      </c>
      <c r="C382" s="1113" t="n"/>
      <c r="D382" s="1113" t="n"/>
      <c r="E382" s="1113" t="n"/>
      <c r="F382" s="1113" t="n"/>
      <c r="G382" s="1113" t="n"/>
      <c r="H382" s="1113" t="n"/>
      <c r="I382" s="1113" t="n"/>
      <c r="J382" s="1113" t="n"/>
      <c r="K382" s="1113" t="n"/>
      <c r="L382" s="1113" t="n"/>
      <c r="M382" s="1113" t="n"/>
      <c r="N382" s="1113" t="n"/>
      <c r="O382" s="1113" t="n"/>
      <c r="P382" s="1113" t="n"/>
      <c r="Q382" s="1113" t="n"/>
      <c r="R382" s="1113" t="n"/>
      <c r="S382" s="1113" t="n"/>
      <c r="T382" s="1113" t="n"/>
      <c r="U382" s="1113" t="n"/>
      <c r="V382" s="1113" t="n"/>
      <c r="W382" s="1113" t="n"/>
      <c r="X382" s="1113" t="n"/>
      <c r="Y382" s="1113" t="n"/>
      <c r="Z382" s="1113" t="n"/>
      <c r="AA382" s="1113" t="n"/>
      <c r="AB382" s="1113" t="n"/>
      <c r="AC382" s="1113" t="n"/>
      <c r="AD382" s="1113" t="n"/>
      <c r="AE382" s="1113" t="n"/>
      <c r="AF382" s="1113" t="n"/>
      <c r="AG382" s="1113" t="n"/>
      <c r="AH382" s="1113" t="n"/>
      <c r="AI382" s="1113" t="n"/>
      <c r="AJ382" s="1113" t="n"/>
      <c r="AK382" s="1113" t="n"/>
      <c r="AX382" s="1447" t="n"/>
      <c r="AY382" s="1447" t="n"/>
      <c r="AZ382" s="1447" t="n"/>
      <c r="BA382" s="1447" t="n"/>
      <c r="BB382" s="1447" t="n"/>
      <c r="BC382" s="1447" t="n"/>
      <c r="BD382" s="1447" t="n"/>
      <c r="BE382" s="1447" t="n"/>
      <c r="BF382" s="1447" t="n"/>
      <c r="BG382" s="1447" t="n"/>
    </row>
    <row r="384" ht="16.5" customHeight="1">
      <c r="A384" s="1462" t="n"/>
      <c r="H384" s="1473" t="inlineStr">
        <is>
          <t>On site emissions</t>
        </is>
      </c>
      <c r="I384" s="1474" t="n"/>
      <c r="J384" s="1474" t="n"/>
      <c r="K384" s="1475" t="n"/>
      <c r="L384" s="1474" t="n"/>
      <c r="M384" s="1476" t="n"/>
      <c r="N384" s="1476" t="n"/>
      <c r="O384" s="1476" t="n"/>
      <c r="P384" s="1481" t="inlineStr">
        <is>
          <t>Total emissions in tCO2-eq per year</t>
        </is>
      </c>
      <c r="Q384" s="1482" t="n"/>
      <c r="R384" s="1482" t="n"/>
      <c r="S384" s="1482" t="n"/>
      <c r="T384" s="1482" t="n"/>
      <c r="U384" s="1482" t="n"/>
      <c r="V384" s="1482" t="n"/>
      <c r="W384" s="1482" t="n"/>
      <c r="X384" s="1482" t="n"/>
      <c r="AB384" s="1471" t="inlineStr">
        <is>
          <t>REWETTING EMISSIONS</t>
        </is>
      </c>
      <c r="AC384" s="1470" t="n"/>
      <c r="AD384" s="1470" t="n"/>
      <c r="AE384" s="1470" t="n"/>
      <c r="AF384" s="1470" t="n"/>
      <c r="AG384" s="1470" t="n"/>
      <c r="AI384" s="1270" t="inlineStr">
        <is>
          <t>Total emissions tCO2eq</t>
        </is>
      </c>
      <c r="AJ384" s="1116" t="n"/>
      <c r="AK384" s="1116" t="n"/>
      <c r="AX384" s="1287" t="inlineStr">
        <is>
          <t>REWETTING</t>
        </is>
      </c>
      <c r="AY384" s="1501" t="n"/>
      <c r="AZ384" s="1501" t="n"/>
      <c r="BA384" s="1501" t="n"/>
      <c r="BB384" s="1501" t="n"/>
      <c r="BC384" s="1501" t="n"/>
      <c r="BD384" s="1287" t="n"/>
      <c r="BE384" s="1501" t="n"/>
      <c r="BF384" s="1501" t="n"/>
      <c r="BG384" s="1501" t="n"/>
    </row>
    <row r="385" ht="17" customHeight="1">
      <c r="A385" s="1462" t="n"/>
      <c r="H385" s="1495" t="inlineStr">
        <is>
          <t>CO2 (IPCC 2013)</t>
        </is>
      </c>
      <c r="I385" s="1478" t="n"/>
      <c r="J385" s="1477" t="inlineStr">
        <is>
          <t>CH4 (IPCC 2013)</t>
        </is>
      </c>
      <c r="K385" s="1478" t="n"/>
      <c r="L385" s="1477" t="inlineStr">
        <is>
          <t>N2O (IPCC 2013)</t>
        </is>
      </c>
      <c r="M385" s="1478" t="n"/>
      <c r="N385" s="1477" t="inlineStr">
        <is>
          <t>DOC (IPCC 2013)</t>
        </is>
      </c>
      <c r="O385" s="1478" t="n"/>
      <c r="P385" s="1482" t="n"/>
      <c r="Q385" s="1482" t="n"/>
      <c r="R385" s="1482" t="n"/>
      <c r="S385" s="1482" t="n"/>
      <c r="T385" s="1482" t="n"/>
      <c r="U385" s="1482" t="n"/>
      <c r="V385" s="1482" t="n"/>
      <c r="W385" s="1482" t="n"/>
      <c r="X385" s="1482" t="n"/>
      <c r="AB385" s="1471" t="inlineStr">
        <is>
          <t>Emissions in tCO2-eq all period</t>
        </is>
      </c>
      <c r="AC385" s="1471" t="n"/>
      <c r="AD385" s="1471" t="n"/>
      <c r="AE385" s="1470" t="n"/>
      <c r="AF385" s="1471" t="n"/>
      <c r="AG385" s="1470" t="n"/>
      <c r="AI385" s="1270" t="inlineStr">
        <is>
          <t>ALL PERIOD</t>
        </is>
      </c>
      <c r="AJ385" s="1116" t="n"/>
      <c r="AK385" s="1116" t="n"/>
      <c r="AX385" s="1502" t="inlineStr">
        <is>
          <t>CO2</t>
        </is>
      </c>
      <c r="AY385" s="1502" t="n"/>
      <c r="AZ385" s="1502" t="inlineStr">
        <is>
          <t>CH4</t>
        </is>
      </c>
      <c r="BA385" s="1502" t="n"/>
      <c r="BB385" s="1502" t="inlineStr">
        <is>
          <t>N2O</t>
        </is>
      </c>
      <c r="BC385" s="1502" t="n"/>
      <c r="BD385" s="1502" t="n"/>
      <c r="BE385" s="1502" t="n"/>
      <c r="BF385" s="1502" t="n"/>
      <c r="BG385" s="1502" t="n"/>
    </row>
    <row r="386" ht="16" customHeight="1">
      <c r="A386" s="1462" t="n"/>
      <c r="B386" s="1281" t="inlineStr">
        <is>
          <t>Final land use</t>
        </is>
      </c>
      <c r="C386" s="1546" t="inlineStr">
        <is>
          <t xml:space="preserve">START area </t>
        </is>
      </c>
      <c r="D386" s="1551" t="inlineStr">
        <is>
          <t>Without</t>
        </is>
      </c>
      <c r="E386" s="1551" t="n"/>
      <c r="F386" s="1548" t="inlineStr">
        <is>
          <t>With</t>
        </is>
      </c>
      <c r="G386" s="1548" t="n"/>
      <c r="H386" s="1479" t="inlineStr">
        <is>
          <t>tC/ha/yr</t>
        </is>
      </c>
      <c r="I386" s="1479" t="n"/>
      <c r="J386" s="1479" t="inlineStr">
        <is>
          <t>kgCH4/ha/yr</t>
        </is>
      </c>
      <c r="K386" s="1479" t="n"/>
      <c r="L386" s="1479" t="inlineStr">
        <is>
          <t>kgN2O-N/ha/yr</t>
        </is>
      </c>
      <c r="M386" s="1479" t="n"/>
      <c r="N386" s="1479" t="inlineStr">
        <is>
          <t>tC/ha/yr</t>
        </is>
      </c>
      <c r="O386" s="1479" t="n"/>
      <c r="P386" s="1482" t="inlineStr">
        <is>
          <t>CO2&amp;DOC</t>
        </is>
      </c>
      <c r="Q386" s="1482" t="n"/>
      <c r="R386" s="1482" t="n"/>
      <c r="S386" s="1482" t="inlineStr">
        <is>
          <t>CH4</t>
        </is>
      </c>
      <c r="T386" s="1482" t="n"/>
      <c r="U386" s="1482" t="n"/>
      <c r="V386" s="1482" t="inlineStr">
        <is>
          <t>N2O-N</t>
        </is>
      </c>
      <c r="W386" s="1482" t="n"/>
      <c r="X386" s="1482" t="n"/>
      <c r="AB386" s="1472" t="inlineStr">
        <is>
          <t>CO2&amp;DOC</t>
        </is>
      </c>
      <c r="AC386" s="1472" t="n"/>
      <c r="AD386" s="1472" t="inlineStr">
        <is>
          <t>CH4</t>
        </is>
      </c>
      <c r="AE386" s="1472" t="n"/>
      <c r="AF386" s="1472" t="inlineStr">
        <is>
          <t>N2O-N</t>
        </is>
      </c>
      <c r="AG386" s="1472" t="n"/>
      <c r="AI386" s="1270" t="inlineStr">
        <is>
          <t>REWETTING</t>
        </is>
      </c>
      <c r="AJ386" s="1116" t="n"/>
      <c r="AK386" s="1116" t="n"/>
      <c r="AX386" s="1264" t="inlineStr">
        <is>
          <t>IMPLEMENTATION PHASE</t>
        </is>
      </c>
      <c r="AZ386" s="1264" t="inlineStr">
        <is>
          <t>IMPLEMENTATION PHASE</t>
        </is>
      </c>
      <c r="BB386" s="1264" t="inlineStr">
        <is>
          <t>IMPLEMENTATION PHASE</t>
        </is>
      </c>
    </row>
    <row r="387">
      <c r="A387" s="1462" t="n"/>
      <c r="B387" s="973" t="inlineStr">
        <is>
          <t>IPCC equivalence</t>
        </is>
      </c>
      <c r="C387" s="1546" t="inlineStr">
        <is>
          <t>(ha)</t>
        </is>
      </c>
      <c r="D387" s="1551" t="inlineStr">
        <is>
          <t>area (ha)</t>
        </is>
      </c>
      <c r="E387" s="1551" t="inlineStr">
        <is>
          <t xml:space="preserve">rate </t>
        </is>
      </c>
      <c r="F387" s="1548" t="inlineStr">
        <is>
          <t>area (ha)</t>
        </is>
      </c>
      <c r="G387" s="1548" t="inlineStr">
        <is>
          <t xml:space="preserve">rate </t>
        </is>
      </c>
      <c r="H387" s="1480" t="inlineStr">
        <is>
          <t>IPCC</t>
        </is>
      </c>
      <c r="I387" s="1480" t="inlineStr">
        <is>
          <t>Tier 2</t>
        </is>
      </c>
      <c r="J387" s="1480">
        <f>H387</f>
        <v/>
      </c>
      <c r="K387" s="1480" t="inlineStr">
        <is>
          <t>Tier 2</t>
        </is>
      </c>
      <c r="L387" s="1480">
        <f>J387</f>
        <v/>
      </c>
      <c r="M387" s="1480" t="inlineStr">
        <is>
          <t>Tier 2</t>
        </is>
      </c>
      <c r="N387" s="1480">
        <f>L387</f>
        <v/>
      </c>
      <c r="O387" s="1480" t="inlineStr">
        <is>
          <t>Tier 2</t>
        </is>
      </c>
      <c r="P387" s="973" t="inlineStr">
        <is>
          <t>Start</t>
        </is>
      </c>
      <c r="Q387" s="1100" t="inlineStr">
        <is>
          <t>Without</t>
        </is>
      </c>
      <c r="R387" s="1101" t="inlineStr">
        <is>
          <t>With</t>
        </is>
      </c>
      <c r="S387" s="973" t="inlineStr">
        <is>
          <t>Start</t>
        </is>
      </c>
      <c r="T387" s="1100" t="inlineStr">
        <is>
          <t>Without</t>
        </is>
      </c>
      <c r="U387" s="1101" t="inlineStr">
        <is>
          <t>With</t>
        </is>
      </c>
      <c r="V387" s="973" t="inlineStr">
        <is>
          <t>Start</t>
        </is>
      </c>
      <c r="W387" s="1100" t="inlineStr">
        <is>
          <t>Without</t>
        </is>
      </c>
      <c r="X387" s="1101" t="inlineStr">
        <is>
          <t>With</t>
        </is>
      </c>
      <c r="AB387" s="1102" t="inlineStr">
        <is>
          <t>Without</t>
        </is>
      </c>
      <c r="AC387" s="1103" t="inlineStr">
        <is>
          <t>With</t>
        </is>
      </c>
      <c r="AD387" s="1102" t="inlineStr">
        <is>
          <t>Without</t>
        </is>
      </c>
      <c r="AE387" s="1103" t="inlineStr">
        <is>
          <t>With</t>
        </is>
      </c>
      <c r="AF387" s="1102" t="inlineStr">
        <is>
          <t>Without</t>
        </is>
      </c>
      <c r="AG387" s="1103" t="inlineStr">
        <is>
          <t>With</t>
        </is>
      </c>
      <c r="AI387" s="1102" t="inlineStr">
        <is>
          <t>WITHOUT</t>
        </is>
      </c>
      <c r="AJ387" s="1103" t="inlineStr">
        <is>
          <t>WITH</t>
        </is>
      </c>
      <c r="AK387" s="1104" t="inlineStr">
        <is>
          <t>BALANCE</t>
        </is>
      </c>
      <c r="AX387" s="1272" t="inlineStr">
        <is>
          <t>WITHOUT</t>
        </is>
      </c>
      <c r="AY387" s="1272" t="inlineStr">
        <is>
          <t>WITH</t>
        </is>
      </c>
      <c r="AZ387" s="1272" t="inlineStr">
        <is>
          <t>WITHOUT</t>
        </is>
      </c>
      <c r="BA387" s="1272" t="inlineStr">
        <is>
          <t>WITH</t>
        </is>
      </c>
      <c r="BB387" s="1272" t="inlineStr">
        <is>
          <t>WITHOUT</t>
        </is>
      </c>
      <c r="BC387" s="1272" t="inlineStr">
        <is>
          <t>WITH</t>
        </is>
      </c>
      <c r="BD387" s="1272" t="n"/>
      <c r="BE387" s="1272" t="n"/>
      <c r="BF387" s="1272" t="n"/>
      <c r="BG387" s="1272" t="n"/>
    </row>
    <row r="388">
      <c r="A388" s="1493" t="inlineStr">
        <is>
          <t>S1</t>
        </is>
      </c>
      <c r="B388" s="1121">
        <f>C357</f>
        <v/>
      </c>
      <c r="C388" s="992">
        <f>'6.Inland wetlands'!S129</f>
        <v/>
      </c>
      <c r="D388" s="992">
        <f>IF('6.Inland wetlands'!T129-C388&gt;0,'6.Inland wetlands'!T129-C388,0)</f>
        <v/>
      </c>
      <c r="E388" s="992">
        <f>N339</f>
        <v/>
      </c>
      <c r="F388" s="992">
        <f>IF('6.Inland wetlands'!U129-C388&gt;0,'6.Inland wetlands'!U129-C388,0)</f>
        <v/>
      </c>
      <c r="G388" s="992">
        <f>P339</f>
        <v/>
      </c>
      <c r="H388" s="1004">
        <f>IFERROR(IF($A387="Please select",0,IF($C$351="Nutrient poor",INDEX(IPCC!$A$1910:$J$1921,MATCH(clim_moist,IPCC!$A$1910:$A$1921,0),MATCH($B388,IPCC!$A$1910:$J$1910,0)),INDEX(IPCC!$A$1928:$J$1939,MATCH(clim_moist,IPCC!$A$1928:$A$1939,0),MATCH($B388,IPCC!$A$1928:$J$1928,0)))),0)</f>
        <v/>
      </c>
      <c r="I388" s="1259">
        <f>IF('6.Inland wetlands'!$DY118="",'6.Inland wetlands'!$DX118,'6.Inland wetlands'!$DY118)</f>
        <v/>
      </c>
      <c r="J388" s="1004">
        <f>IFERROR(IF($A387="Please select",0,IF($C$351="Nutrient poor",INDEX(IPCC!$A$1964:$J$1975,MATCH(clim_moist,IPCC!$A$1964:$A$1975,0),MATCH($B388,IPCC!$A$1964:$J$1964,0)),INDEX(IPCC!$A$1982:$J$1993,MATCH(clim_moist,IPCC!$A$1982:$A$1993,0),MATCH($B388,IPCC!$A$1982:$J$1982,0)))),0)</f>
        <v/>
      </c>
      <c r="K388" s="1259">
        <f>IF('6.Inland wetlands'!$EA118="",'6.Inland wetlands'!$DZ118,'6.Inland wetlands'!$EA118)</f>
        <v/>
      </c>
      <c r="L388" s="1004">
        <f>IFERROR(IF($A387="Please select",0,INDEX(IPCC!$A$2000:$J$2011,MATCH(clim_moist,IPCC!$A$2000:$A$2011,0),MATCH($B388,IPCC!$A$2000:$J$2000,0))),0)</f>
        <v/>
      </c>
      <c r="M388" s="1259">
        <f>IF('6.Inland wetlands'!$EC118="",'6.Inland wetlands'!$EB118,'6.Inland wetlands'!$EC118)</f>
        <v/>
      </c>
      <c r="N388" s="1260">
        <f>IFERROR(IF($A387="Please select",0,INDEX(IPCC!$A$1946:$J$1957,MATCH(clim_moist,IPCC!$A$1946:$A$1957,0),MATCH($B388,IPCC!$A$1946:$J$1946,0))),0)</f>
        <v/>
      </c>
      <c r="O388" s="1259">
        <f>IF('6.Inland wetlands'!$EF118="",'6.Inland wetlands'!$EE118,'6.Inland wetlands'!$EF118)</f>
        <v/>
      </c>
      <c r="P388" s="3493" t="n">
        <v>0</v>
      </c>
      <c r="Q388" s="3493">
        <f>IF('6.Inland wetlands'!$T129&gt;0,SUM('Inl. wetlands'!$I388,'Inl. wetlands'!$O388)*44/12*'Inl. wetlands'!$D388,0)</f>
        <v/>
      </c>
      <c r="R388" s="1151">
        <f>IF('6.Inland wetlands'!$U129&gt;0,SUM('Inl. wetlands'!$I388,'Inl. wetlands'!$O388)*44/12*'Inl. wetlands'!$F388,0)</f>
        <v/>
      </c>
      <c r="S388" s="3493" t="n">
        <v>0</v>
      </c>
      <c r="T388" s="1151">
        <f>IF('6.Inland wetlands'!$T129&gt;0,'Inl. wetlands'!$K388/1000*16/12*methane*'Inl. wetlands'!$D388,0)</f>
        <v/>
      </c>
      <c r="U388" s="1151">
        <f>IF('6.Inland wetlands'!$U129&gt;0,'Inl. wetlands'!$K388/1000*16/12*methane*'Inl. wetlands'!$F388,0)</f>
        <v/>
      </c>
      <c r="V388" s="3493" t="n">
        <v>0</v>
      </c>
      <c r="W388" s="1151">
        <f>IF('6.Inland wetlands'!$T129&gt;0,'Inl. wetlands'!$M388/1000*44/28*Nitrous*'Inl. wetlands'!$D388,0)</f>
        <v/>
      </c>
      <c r="X388" s="3494">
        <f>IF('6.Inland wetlands'!$U129&gt;0,'Inl. wetlands'!$M388/1000*44/28*Nitrous*'Inl. wetlands'!$F388,0)</f>
        <v/>
      </c>
      <c r="AB388" s="1151">
        <f>MIN('Inl. wetlands'!$P388,'Inl. wetlands'!$Q388)*time_tot+ABS('Inl. wetlands'!$P388-'Inl. wetlands'!$Q388)*IF('Inl. wetlands'!$Q388&gt;'Inl. wetlands'!$P388,time_cap+time*(VLOOKUP($E388,list!$J$48:$K$50,2,0)),time*(1-(VLOOKUP($E388,list!$J$48:$K$50,2,0))))</f>
        <v/>
      </c>
      <c r="AC388" s="1151">
        <f>MIN('Inl. wetlands'!$P388,'Inl. wetlands'!$R388)*time_tot+ABS('Inl. wetlands'!$P388-'Inl. wetlands'!$R388)*IF('Inl. wetlands'!$R388&gt;'Inl. wetlands'!$P388,time_cap+time*(VLOOKUP($G388,list!$J$48:$K$50,2,0)),time*(1-(VLOOKUP($G388,list!$J$48:$K$50,2,0))))</f>
        <v/>
      </c>
      <c r="AD388" s="1151">
        <f>MIN('Inl. wetlands'!$S388,'Inl. wetlands'!$T388)*time_tot+ABS('Inl. wetlands'!$S388-'Inl. wetlands'!$T388)*IF('Inl. wetlands'!$T388&gt;'Inl. wetlands'!$S388,time_cap+time*(VLOOKUP($E388,list!$J$48:$K$50,2,0)),time*(1-(VLOOKUP($E388,list!$J$48:$K$50,2,0))))</f>
        <v/>
      </c>
      <c r="AE388" s="1151">
        <f>MIN('Inl. wetlands'!$S388,'Inl. wetlands'!$U388)*time_tot+ABS('Inl. wetlands'!$S388-'Inl. wetlands'!$U388)*IF('Inl. wetlands'!$U388&gt;'Inl. wetlands'!$S388,time_cap+time*(VLOOKUP($G388,list!$J$48:$K$50,2,0)),time*(1-(VLOOKUP($G388,list!$J$48:$K$50,2,0))))</f>
        <v/>
      </c>
      <c r="AF388" s="1151">
        <f>MIN('Inl. wetlands'!$V388,'Inl. wetlands'!$W388)*time_tot+ABS('Inl. wetlands'!$V388-'Inl. wetlands'!$W388)*IF('Inl. wetlands'!$W388&gt;'Inl. wetlands'!$V388,time_cap+time*(VLOOKUP($E388,list!$J$48:$K$50,2,0)),time*(1-(VLOOKUP($E388,list!$J$48:$K$50,2,0))))</f>
        <v/>
      </c>
      <c r="AG388" s="1151">
        <f>MIN('Inl. wetlands'!$V388,'Inl. wetlands'!$X388)*time_tot+ABS('Inl. wetlands'!$V388-'Inl. wetlands'!$X388)*IF('Inl. wetlands'!$X388&gt;'Inl. wetlands'!$V388,time_cap+time*(VLOOKUP($G388,list!$J$48:$K$50,2,0)),time*(1-(VLOOKUP($G388,list!$J$48:$K$50,2,0))))</f>
        <v/>
      </c>
      <c r="AI388" s="1282">
        <f>SUM(AB388,AD388,AF388)</f>
        <v/>
      </c>
      <c r="AJ388" s="1282">
        <f>SUM(AC388,AE388,AG388)</f>
        <v/>
      </c>
      <c r="AK388" s="1284">
        <f>AJ388-AI388</f>
        <v/>
      </c>
      <c r="AX388" s="1449">
        <f>MIN('Inl. wetlands'!$P388,'Inl. wetlands'!$Q388)*time+ABS('Inl. wetlands'!$Q388-'Inl. wetlands'!$P388)*IF('Inl. wetlands'!$Q388&gt;'Inl. wetlands'!$P388,time*(VLOOKUP($N339,list!$J$48:$K$50,2,0)),time*(1-(VLOOKUP($N339,list!$J$48:$K$50,2,0))))</f>
        <v/>
      </c>
      <c r="AY388" s="1449">
        <f>MIN('Inl. wetlands'!$P388,'Inl. wetlands'!$R388)*time+ABS('Inl. wetlands'!$R388-'Inl. wetlands'!$P388)*IF('Inl. wetlands'!$R388&gt;'Inl. wetlands'!$P388,time*(VLOOKUP($P339,list!$J$48:$K$50,2,0)),time*(1-(VLOOKUP($P339,list!$J$48:$K$50,2,0))))</f>
        <v/>
      </c>
      <c r="AZ388" s="1449">
        <f>MIN('Inl. wetlands'!$S388,'Inl. wetlands'!$T388)*time+ABS('Inl. wetlands'!$T388-'Inl. wetlands'!$S388)*IF('Inl. wetlands'!$T388&gt;'Inl. wetlands'!$S388,time*(VLOOKUP($N339,list!$J$48:$K$50,2,0)),time*(1-(VLOOKUP($N339,list!$J$48:$K$50,2,0))))</f>
        <v/>
      </c>
      <c r="BA388" s="1449">
        <f>MIN('Inl. wetlands'!$S388,'Inl. wetlands'!$U388)*time+ABS('Inl. wetlands'!$U388-'Inl. wetlands'!$S388)*IF('Inl. wetlands'!$U388&gt;'Inl. wetlands'!$S388,time*(VLOOKUP($P339,list!$J$48:$K$50,2,0)),time*(1-(VLOOKUP($P339,list!$J$48:$K$50,2,0))))</f>
        <v/>
      </c>
      <c r="BB388" s="1449">
        <f>MIN('Inl. wetlands'!$V388,'Inl. wetlands'!$W388)*time+ABS('Inl. wetlands'!$W388-'Inl. wetlands'!$V388)*IF('Inl. wetlands'!$W388&gt;'Inl. wetlands'!$V388,time*(VLOOKUP($N339,list!$J$48:$K$50,2,0)),time*(1-(VLOOKUP($N339,list!$J$48:$K$50,2,0))))</f>
        <v/>
      </c>
      <c r="BC388" s="1449">
        <f>MIN('Inl. wetlands'!$V388,'Inl. wetlands'!$X388)*time+ABS('Inl. wetlands'!$X388-'Inl. wetlands'!$V388)*IF('Inl. wetlands'!$X388&gt;'Inl. wetlands'!$V388,time*(VLOOKUP($P339,list!$J$48:$K$50,2,0)),time*(1-(VLOOKUP($P339,list!$J$48:$K$50,2,0))))</f>
        <v/>
      </c>
      <c r="BD388" s="1449" t="n"/>
      <c r="BE388" s="1449" t="n"/>
      <c r="BF388" s="1449" t="n"/>
      <c r="BG388" s="1449" t="n"/>
    </row>
    <row r="389">
      <c r="A389" s="1493" t="inlineStr">
        <is>
          <t>S2</t>
        </is>
      </c>
      <c r="B389" s="1121">
        <f>C358</f>
        <v/>
      </c>
      <c r="C389" s="992">
        <f>'6.Inland wetlands'!S130</f>
        <v/>
      </c>
      <c r="D389" s="992">
        <f>IF('6.Inland wetlands'!T130-C389&gt;0,'6.Inland wetlands'!T130-C389,0)</f>
        <v/>
      </c>
      <c r="E389" s="992">
        <f>N340</f>
        <v/>
      </c>
      <c r="F389" s="992">
        <f>IF('6.Inland wetlands'!U130-C389&gt;0,'6.Inland wetlands'!U130-C389,0)</f>
        <v/>
      </c>
      <c r="G389" s="992">
        <f>P340</f>
        <v/>
      </c>
      <c r="H389" s="1004">
        <f>IFERROR(IF($A388="Please select",0,IF($C$351="Nutrient poor",INDEX(IPCC!$A$1910:$J$1921,MATCH(clim_moist,IPCC!$A$1910:$A$1921,0),MATCH($B389,IPCC!$A$1910:$J$1910,0)),INDEX(IPCC!$A$1928:$J$1939,MATCH(clim_moist,IPCC!$A$1928:$A$1939,0),MATCH($B389,IPCC!$A$1928:$J$1928,0)))),0)</f>
        <v/>
      </c>
      <c r="I389" s="1259">
        <f>IF('6.Inland wetlands'!$DY119="",'6.Inland wetlands'!$DX119,'6.Inland wetlands'!$DY119)</f>
        <v/>
      </c>
      <c r="J389" s="1004">
        <f>IFERROR(IF($A388="Please select",0,IF($C$351="Nutrient poor",INDEX(IPCC!$A$1964:$J$1975,MATCH(clim_moist,IPCC!$A$1964:$A$1975,0),MATCH($B389,IPCC!$A$1964:$J$1964,0)),INDEX(IPCC!$A$1982:$J$1993,MATCH(clim_moist,IPCC!$A$1982:$A$1993,0),MATCH($B389,IPCC!$A$1982:$J$1982,0)))),0)</f>
        <v/>
      </c>
      <c r="K389" s="1259">
        <f>IF('6.Inland wetlands'!$EA119="",'6.Inland wetlands'!$DZ119,'6.Inland wetlands'!$EA119)</f>
        <v/>
      </c>
      <c r="L389" s="1004">
        <f>IFERROR(IF($A388="Please select",0,INDEX(IPCC!$A$2000:$J$2011,MATCH(clim_moist,IPCC!$A$2000:$A$2011,0),MATCH($B389,IPCC!$A$2000:$J$2000,0))),0)</f>
        <v/>
      </c>
      <c r="M389" s="1259">
        <f>IF('6.Inland wetlands'!$EC119="",'6.Inland wetlands'!$EB119,'6.Inland wetlands'!$EC119)</f>
        <v/>
      </c>
      <c r="N389" s="1260">
        <f>IFERROR(IF($A388="Please select",0,INDEX(IPCC!$A$1946:$J$1957,MATCH(clim_moist,IPCC!$A$1946:$A$1957,0),MATCH($B389,IPCC!$A$1946:$J$1946,0))),0)</f>
        <v/>
      </c>
      <c r="O389" s="1259">
        <f>IF('6.Inland wetlands'!$EF119="",'6.Inland wetlands'!$EE119,'6.Inland wetlands'!$EF119)</f>
        <v/>
      </c>
      <c r="P389" s="3493" t="n">
        <v>0</v>
      </c>
      <c r="Q389" s="3493">
        <f>IF('6.Inland wetlands'!$T130&gt;0,SUM('Inl. wetlands'!$I389,'Inl. wetlands'!$O389)*44/12*'Inl. wetlands'!$D389,0)</f>
        <v/>
      </c>
      <c r="R389" s="1151">
        <f>IF('6.Inland wetlands'!$U130&gt;0,SUM('Inl. wetlands'!$I389,'Inl. wetlands'!$O389)*44/12*'Inl. wetlands'!$F389,0)</f>
        <v/>
      </c>
      <c r="S389" s="3493" t="n">
        <v>0</v>
      </c>
      <c r="T389" s="1151">
        <f>IF('6.Inland wetlands'!$T130&gt;0,'Inl. wetlands'!$K389/1000*16/12*methane*'Inl. wetlands'!$D389,0)</f>
        <v/>
      </c>
      <c r="U389" s="1151">
        <f>IF('6.Inland wetlands'!$U130&gt;0,'Inl. wetlands'!$K389/1000*16/12*methane*'Inl. wetlands'!$F389,0)</f>
        <v/>
      </c>
      <c r="V389" s="3493" t="n">
        <v>0</v>
      </c>
      <c r="W389" s="1151">
        <f>IF('6.Inland wetlands'!$T130&gt;0,'Inl. wetlands'!$M389/1000*44/28*Nitrous*'Inl. wetlands'!$D389,0)</f>
        <v/>
      </c>
      <c r="X389" s="3494">
        <f>IF('6.Inland wetlands'!$U130&gt;0,'Inl. wetlands'!$M389/1000*44/28*Nitrous*'Inl. wetlands'!$F389,0)</f>
        <v/>
      </c>
      <c r="AB389" s="1151">
        <f>MIN($P389,$Q389)*time_tot+ABS($P389-$Q389)*IF($Q389&gt;$P389,time_cap+time*(VLOOKUP($E389,list!$J$48:$K$50,2,0)),time*(1-(VLOOKUP($E389,list!$J$48:$K$50,2,0))))</f>
        <v/>
      </c>
      <c r="AC389" s="1151">
        <f>MIN($P389,$R389)*time_tot+ABS($P389-$R389)*IF($R389&gt;$P389,time_cap+time*(VLOOKUP($G389,list!$J$48:$K$50,2,0)),time*(1-(VLOOKUP($G389,list!$J$48:$K$50,2,0))))</f>
        <v/>
      </c>
      <c r="AD389" s="1151">
        <f>MIN($S389,$T389)*time_tot+ABS($S389-$T389)*IF($T389&gt;$S389,time_cap+time*(VLOOKUP($E389,list!$J$48:$K$50,2,0)),time*(1-(VLOOKUP($E389,list!$J$48:$K$50,2,0))))</f>
        <v/>
      </c>
      <c r="AE389" s="1151">
        <f>MIN($S389,$U389)*time_tot+ABS($S389-$U389)*IF($U389&gt;$S389,time_cap+time*(VLOOKUP($G389,list!$J$48:$K$50,2,0)),time*(1-(VLOOKUP($G389,list!$J$48:$K$50,2,0))))</f>
        <v/>
      </c>
      <c r="AF389" s="1151">
        <f>MIN($V389,$W389)*time_tot+ABS($V389-$W389)*IF($W389&gt;$V389,time_cap+time*(VLOOKUP($E389,list!$J$48:$K$50,2,0)),time*(1-(VLOOKUP($E389,list!$J$48:$K$50,2,0))))</f>
        <v/>
      </c>
      <c r="AG389" s="1151">
        <f>MIN($V389,$X389)*time_tot+ABS($V389-$X389)*IF($X389&gt;$V389,time_cap+time*(VLOOKUP($G389,list!$J$48:$K$50,2,0)),time*(1-(VLOOKUP($G389,list!$J$48:$K$50,2,0))))</f>
        <v/>
      </c>
      <c r="AI389" s="1282">
        <f>SUM(AB389,AD389,AF389)</f>
        <v/>
      </c>
      <c r="AJ389" s="1282">
        <f>SUM(AC389,AE389,AG389)</f>
        <v/>
      </c>
      <c r="AK389" s="1284">
        <f>AJ389-AI389</f>
        <v/>
      </c>
      <c r="AX389" s="1449">
        <f>MIN($P389,$Q389)*time+ABS($Q389-$P389)*IF($Q389&gt;$P389,time*(VLOOKUP($N340,list!$J$48:$K$50,2,0)),time*(1-(VLOOKUP($N340,list!$J$48:$K$50,2,0))))</f>
        <v/>
      </c>
      <c r="AY389" s="1449">
        <f>MIN($P389,$R389)*time+ABS($R389-$P389)*IF($R389&gt;$P389,time*(VLOOKUP($P340,list!$J$48:$K$50,2,0)),time*(1-(VLOOKUP($P340,list!$J$48:$K$50,2,0))))</f>
        <v/>
      </c>
      <c r="AZ389" s="1449">
        <f>MIN($S389,$T389)*time+ABS($T389-$S389)*IF($T389&gt;$S389,time*(VLOOKUP($N340,list!$J$48:$K$50,2,0)),time*(1-(VLOOKUP($N340,list!$J$48:$K$50,2,0))))</f>
        <v/>
      </c>
      <c r="BA389" s="1449">
        <f>MIN($S389,$U389)*time+ABS($U389-$S389)*IF($U389&gt;$S389,time*(VLOOKUP($P340,list!$J$48:$K$50,2,0)),time*(1-(VLOOKUP($P340,list!$J$48:$K$50,2,0))))</f>
        <v/>
      </c>
      <c r="BB389" s="1449">
        <f>MIN($V389,$W389)*time+ABS($W389-$V389)*IF($W389&gt;$V389,time*(VLOOKUP($N340,list!$J$48:$K$50,2,0)),time*(1-(VLOOKUP($N340,list!$J$48:$K$50,2,0))))</f>
        <v/>
      </c>
      <c r="BC389" s="1449">
        <f>MIN($V389,$X389)*time+ABS($X389-$V389)*IF($X389&gt;$V389,time*(VLOOKUP($P340,list!$J$48:$K$50,2,0)),time*(1-(VLOOKUP($P340,list!$J$48:$K$50,2,0))))</f>
        <v/>
      </c>
      <c r="BD389" s="1449" t="n"/>
      <c r="BE389" s="1449" t="n"/>
      <c r="BF389" s="1449" t="n"/>
      <c r="BG389" s="1449" t="n"/>
    </row>
    <row r="390">
      <c r="A390" s="1493" t="inlineStr">
        <is>
          <t>S3</t>
        </is>
      </c>
      <c r="B390" s="1121">
        <f>C359</f>
        <v/>
      </c>
      <c r="C390" s="992">
        <f>'6.Inland wetlands'!S131</f>
        <v/>
      </c>
      <c r="D390" s="992">
        <f>IF('6.Inland wetlands'!T131-C390&gt;0,'6.Inland wetlands'!T131-C390,0)</f>
        <v/>
      </c>
      <c r="E390" s="992">
        <f>N341</f>
        <v/>
      </c>
      <c r="F390" s="992">
        <f>IF('6.Inland wetlands'!U131-C390&gt;0,'6.Inland wetlands'!U131-C390,0)</f>
        <v/>
      </c>
      <c r="G390" s="992">
        <f>P341</f>
        <v/>
      </c>
      <c r="H390" s="1004">
        <f>IFERROR(IF($A389="Please select",0,IF($C$351="Nutrient poor",INDEX(IPCC!$A$1910:$J$1921,MATCH(clim_moist,IPCC!$A$1910:$A$1921,0),MATCH($B390,IPCC!$A$1910:$J$1910,0)),INDEX(IPCC!$A$1928:$J$1939,MATCH(clim_moist,IPCC!$A$1928:$A$1939,0),MATCH($B390,IPCC!$A$1928:$J$1928,0)))),0)</f>
        <v/>
      </c>
      <c r="I390" s="1259">
        <f>IF('6.Inland wetlands'!$DY120="",'6.Inland wetlands'!$DX120,'6.Inland wetlands'!$DY120)</f>
        <v/>
      </c>
      <c r="J390" s="1004">
        <f>IFERROR(IF($A389="Please select",0,IF($C$351="Nutrient poor",INDEX(IPCC!$A$1964:$J$1975,MATCH(clim_moist,IPCC!$A$1964:$A$1975,0),MATCH($B390,IPCC!$A$1964:$J$1964,0)),INDEX(IPCC!$A$1982:$J$1993,MATCH(clim_moist,IPCC!$A$1982:$A$1993,0),MATCH($B390,IPCC!$A$1982:$J$1982,0)))),0)</f>
        <v/>
      </c>
      <c r="K390" s="1259">
        <f>IF('6.Inland wetlands'!$EA120="",'6.Inland wetlands'!$DZ120,'6.Inland wetlands'!$EA120)</f>
        <v/>
      </c>
      <c r="L390" s="1004">
        <f>IFERROR(IF($A389="Please select",0,INDEX(IPCC!$A$2000:$J$2011,MATCH(clim_moist,IPCC!$A$2000:$A$2011,0),MATCH($B390,IPCC!$A$2000:$J$2000,0))),0)</f>
        <v/>
      </c>
      <c r="M390" s="1259">
        <f>IF('6.Inland wetlands'!$EC120="",'6.Inland wetlands'!$EB120,'6.Inland wetlands'!$EC120)</f>
        <v/>
      </c>
      <c r="N390" s="1260">
        <f>IFERROR(IF($A389="Please select",0,INDEX(IPCC!$A$1946:$J$1957,MATCH(clim_moist,IPCC!$A$1946:$A$1957,0),MATCH($B390,IPCC!$A$1946:$J$1946,0))),0)</f>
        <v/>
      </c>
      <c r="O390" s="1259">
        <f>IF('6.Inland wetlands'!$EF120="",'6.Inland wetlands'!$EE120,'6.Inland wetlands'!$EF120)</f>
        <v/>
      </c>
      <c r="P390" s="3493" t="n">
        <v>0</v>
      </c>
      <c r="Q390" s="3493">
        <f>IF('6.Inland wetlands'!$T131&gt;0,SUM('Inl. wetlands'!$I390,'Inl. wetlands'!$O390)*44/12*'Inl. wetlands'!$D390,0)</f>
        <v/>
      </c>
      <c r="R390" s="1151">
        <f>IF('6.Inland wetlands'!$U131&gt;0,SUM('Inl. wetlands'!$I390,'Inl. wetlands'!$O390)*44/12*'Inl. wetlands'!$F390,0)</f>
        <v/>
      </c>
      <c r="S390" s="3493" t="n">
        <v>0</v>
      </c>
      <c r="T390" s="1151">
        <f>IF('6.Inland wetlands'!$T131&gt;0,'Inl. wetlands'!$K390/1000*16/12*methane*'Inl. wetlands'!$D390,0)</f>
        <v/>
      </c>
      <c r="U390" s="1151">
        <f>IF('6.Inland wetlands'!$U131&gt;0,'Inl. wetlands'!$K390/1000*16/12*methane*'Inl. wetlands'!$F390,0)</f>
        <v/>
      </c>
      <c r="V390" s="3493" t="n">
        <v>0</v>
      </c>
      <c r="W390" s="1151">
        <f>IF('6.Inland wetlands'!$T131&gt;0,'Inl. wetlands'!$M390/1000*44/28*Nitrous*'Inl. wetlands'!$D390,0)</f>
        <v/>
      </c>
      <c r="X390" s="3494">
        <f>IF('6.Inland wetlands'!$U131&gt;0,'Inl. wetlands'!$M390/1000*44/28*Nitrous*'Inl. wetlands'!$F390,0)</f>
        <v/>
      </c>
      <c r="AB390" s="1151">
        <f>MIN($P390,$Q390)*time_tot+ABS($P390-$Q390)*IF($Q390&gt;$P390,time_cap+time*(VLOOKUP($E390,list!$J$48:$K$50,2,0)),time*(1-(VLOOKUP($E390,list!$J$48:$K$50,2,0))))</f>
        <v/>
      </c>
      <c r="AC390" s="1151">
        <f>MIN($P390,$R390)*time_tot+ABS($P390-$R390)*IF($R390&gt;$P390,time_cap+time*(VLOOKUP($G390,list!$J$48:$K$50,2,0)),time*(1-(VLOOKUP($G390,list!$J$48:$K$50,2,0))))</f>
        <v/>
      </c>
      <c r="AD390" s="1151">
        <f>MIN($S390,$T390)*time_tot+ABS($S390-$T390)*IF($T390&gt;$S390,time_cap+time*(VLOOKUP($E390,list!$J$48:$K$50,2,0)),time*(1-(VLOOKUP($E390,list!$J$48:$K$50,2,0))))</f>
        <v/>
      </c>
      <c r="AE390" s="1151">
        <f>MIN($S390,$U390)*time_tot+ABS($S390-$U390)*IF($U390&gt;$S390,time_cap+time*(VLOOKUP($G390,list!$J$48:$K$50,2,0)),time*(1-(VLOOKUP($G390,list!$J$48:$K$50,2,0))))</f>
        <v/>
      </c>
      <c r="AF390" s="1151">
        <f>MIN($V390,$W390)*time_tot+ABS($V390-$W390)*IF($W390&gt;$V390,time_cap+time*(VLOOKUP($E390,list!$J$48:$K$50,2,0)),time*(1-(VLOOKUP($E390,list!$J$48:$K$50,2,0))))</f>
        <v/>
      </c>
      <c r="AG390" s="1151">
        <f>MIN($V390,$X390)*time_tot+ABS($V390-$X390)*IF($X390&gt;$V390,time_cap+time*(VLOOKUP($G390,list!$J$48:$K$50,2,0)),time*(1-(VLOOKUP($G390,list!$J$48:$K$50,2,0))))</f>
        <v/>
      </c>
      <c r="AI390" s="1282">
        <f>SUM(AB390,AD390,AF390)</f>
        <v/>
      </c>
      <c r="AJ390" s="1282">
        <f>SUM(AC390,AE390,AG390)</f>
        <v/>
      </c>
      <c r="AK390" s="1284">
        <f>AJ390-AI390</f>
        <v/>
      </c>
      <c r="AX390" s="1449">
        <f>MIN($P390,$Q390)*time+ABS($Q390-$P390)*IF($Q390&gt;$P390,time*(VLOOKUP($N341,list!$J$48:$K$50,2,0)),time*(1-(VLOOKUP($N341,list!$J$48:$K$50,2,0))))</f>
        <v/>
      </c>
      <c r="AY390" s="1449">
        <f>MIN($P390,$R390)*time+ABS($R390-$P390)*IF($R390&gt;$P390,time*(VLOOKUP($P341,list!$J$48:$K$50,2,0)),time*(1-(VLOOKUP($P341,list!$J$48:$K$50,2,0))))</f>
        <v/>
      </c>
      <c r="AZ390" s="1449">
        <f>MIN($S390,$T390)*time+ABS($T390-$S390)*IF($T390&gt;$S390,time*(VLOOKUP($N341,list!$J$48:$K$50,2,0)),time*(1-(VLOOKUP($N341,list!$J$48:$K$50,2,0))))</f>
        <v/>
      </c>
      <c r="BA390" s="1449">
        <f>MIN($S390,$U390)*time+ABS($U390-$S390)*IF($U390&gt;$S390,time*(VLOOKUP($P341,list!$J$48:$K$50,2,0)),time*(1-(VLOOKUP($P341,list!$J$48:$K$50,2,0))))</f>
        <v/>
      </c>
      <c r="BB390" s="1449">
        <f>MIN($V390,$W390)*time+ABS($W390-$V390)*IF($W390&gt;$V390,time*(VLOOKUP($N341,list!$J$48:$K$50,2,0)),time*(1-(VLOOKUP($N341,list!$J$48:$K$50,2,0))))</f>
        <v/>
      </c>
      <c r="BC390" s="1449">
        <f>MIN($V390,$X390)*time+ABS($X390-$V390)*IF($X390&gt;$V390,time*(VLOOKUP($P341,list!$J$48:$K$50,2,0)),time*(1-(VLOOKUP($P341,list!$J$48:$K$50,2,0))))</f>
        <v/>
      </c>
      <c r="BD390" s="1449" t="n"/>
      <c r="BE390" s="1449" t="n"/>
      <c r="BF390" s="1449" t="n"/>
      <c r="BG390" s="1449" t="n"/>
    </row>
    <row r="391">
      <c r="A391" s="1493" t="inlineStr">
        <is>
          <t>S4</t>
        </is>
      </c>
      <c r="B391" s="1121">
        <f>C360</f>
        <v/>
      </c>
      <c r="C391" s="992">
        <f>'6.Inland wetlands'!S132</f>
        <v/>
      </c>
      <c r="D391" s="992">
        <f>IF('6.Inland wetlands'!T132-C391&gt;0,'6.Inland wetlands'!T132-C391,0)</f>
        <v/>
      </c>
      <c r="E391" s="992">
        <f>N342</f>
        <v/>
      </c>
      <c r="F391" s="992">
        <f>IF('6.Inland wetlands'!U132-C391&gt;0,'6.Inland wetlands'!U132-C391,0)</f>
        <v/>
      </c>
      <c r="G391" s="992">
        <f>P342</f>
        <v/>
      </c>
      <c r="H391" s="1004">
        <f>IFERROR(IF($A390="Please select",0,IF($C$351="Nutrient poor",INDEX(IPCC!$A$1910:$J$1921,MATCH(clim_moist,IPCC!$A$1910:$A$1921,0),MATCH($B391,IPCC!$A$1910:$J$1910,0)),INDEX(IPCC!$A$1928:$J$1939,MATCH(clim_moist,IPCC!$A$1928:$A$1939,0),MATCH($B391,IPCC!$A$1928:$J$1928,0)))),0)</f>
        <v/>
      </c>
      <c r="I391" s="1259">
        <f>IF('6.Inland wetlands'!$DY121="",'6.Inland wetlands'!$DX121,'6.Inland wetlands'!$DY121)</f>
        <v/>
      </c>
      <c r="J391" s="1004">
        <f>IFERROR(IF($A390="Please select",0,IF($C$351="Nutrient poor",INDEX(IPCC!$A$1964:$J$1975,MATCH(clim_moist,IPCC!$A$1964:$A$1975,0),MATCH($B391,IPCC!$A$1964:$J$1964,0)),INDEX(IPCC!$A$1982:$J$1993,MATCH(clim_moist,IPCC!$A$1982:$A$1993,0),MATCH($B391,IPCC!$A$1982:$J$1982,0)))),0)</f>
        <v/>
      </c>
      <c r="K391" s="1259">
        <f>IF('6.Inland wetlands'!$EA121="",'6.Inland wetlands'!$DZ121,'6.Inland wetlands'!$EA121)</f>
        <v/>
      </c>
      <c r="L391" s="1004">
        <f>IFERROR(IF($A390="Please select",0,INDEX(IPCC!$A$2000:$J$2011,MATCH(clim_moist,IPCC!$A$2000:$A$2011,0),MATCH($B391,IPCC!$A$2000:$J$2000,0))),0)</f>
        <v/>
      </c>
      <c r="M391" s="1259">
        <f>IF('6.Inland wetlands'!$EC121="",'6.Inland wetlands'!$EB121,'6.Inland wetlands'!$EC121)</f>
        <v/>
      </c>
      <c r="N391" s="1260">
        <f>IFERROR(IF($A390="Please select",0,INDEX(IPCC!$A$1946:$J$1957,MATCH(clim_moist,IPCC!$A$1946:$A$1957,0),MATCH($B391,IPCC!$A$1946:$J$1946,0))),0)</f>
        <v/>
      </c>
      <c r="O391" s="1259">
        <f>IF('6.Inland wetlands'!$EF121="",'6.Inland wetlands'!$EE121,'6.Inland wetlands'!$EF121)</f>
        <v/>
      </c>
      <c r="P391" s="3493" t="n">
        <v>0</v>
      </c>
      <c r="Q391" s="3493">
        <f>IF('6.Inland wetlands'!$T132&gt;0,SUM('Inl. wetlands'!$I391,'Inl. wetlands'!$O391)*44/12*'Inl. wetlands'!$D391,0)</f>
        <v/>
      </c>
      <c r="R391" s="1151">
        <f>IF('6.Inland wetlands'!$U132&gt;0,SUM('Inl. wetlands'!$I391,'Inl. wetlands'!$O391)*44/12*'Inl. wetlands'!$F391,0)</f>
        <v/>
      </c>
      <c r="S391" s="3493" t="n">
        <v>0</v>
      </c>
      <c r="T391" s="1151">
        <f>IF('6.Inland wetlands'!$T132&gt;0,'Inl. wetlands'!$K391/1000*16/12*methane*'Inl. wetlands'!$D391,0)</f>
        <v/>
      </c>
      <c r="U391" s="1151">
        <f>IF('6.Inland wetlands'!$U132&gt;0,'Inl. wetlands'!$K391/1000*16/12*methane*'Inl. wetlands'!$F391,0)</f>
        <v/>
      </c>
      <c r="V391" s="3493" t="n">
        <v>0</v>
      </c>
      <c r="W391" s="1151">
        <f>IF('6.Inland wetlands'!$T132&gt;0,'Inl. wetlands'!$M391/1000*44/28*Nitrous*'Inl. wetlands'!$D391,0)</f>
        <v/>
      </c>
      <c r="X391" s="3494">
        <f>IF('6.Inland wetlands'!$U132&gt;0,'Inl. wetlands'!$M391/1000*44/28*Nitrous*'Inl. wetlands'!$F391,0)</f>
        <v/>
      </c>
      <c r="AB391" s="1151">
        <f>MIN($P391,$Q391)*time_tot+ABS($P391-$Q391)*IF($Q391&gt;$P391,time_cap+time*(VLOOKUP($E391,list!$J$48:$K$50,2,0)),time*(1-(VLOOKUP($E391,list!$J$48:$K$50,2,0))))</f>
        <v/>
      </c>
      <c r="AC391" s="1151">
        <f>MIN($P391,$R391)*time_tot+ABS($P391-$R391)*IF($R391&gt;$P391,time_cap+time*(VLOOKUP($G391,list!$J$48:$K$50,2,0)),time*(1-(VLOOKUP($G391,list!$J$48:$K$50,2,0))))</f>
        <v/>
      </c>
      <c r="AD391" s="1151">
        <f>MIN($S391,$T391)*time_tot+ABS($S391-$T391)*IF($T391&gt;$S391,time_cap+time*(VLOOKUP($E391,list!$J$48:$K$50,2,0)),time*(1-(VLOOKUP($E391,list!$J$48:$K$50,2,0))))</f>
        <v/>
      </c>
      <c r="AE391" s="1151">
        <f>MIN($S391,$U391)*time_tot+ABS($S391-$U391)*IF($U391&gt;$S391,time_cap+time*(VLOOKUP($G391,list!$J$48:$K$50,2,0)),time*(1-(VLOOKUP($G391,list!$J$48:$K$50,2,0))))</f>
        <v/>
      </c>
      <c r="AF391" s="1151">
        <f>MIN($V391,$W391)*time_tot+ABS($V391-$W391)*IF($W391&gt;$V391,time_cap+time*(VLOOKUP($E391,list!$J$48:$K$50,2,0)),time*(1-(VLOOKUP($E391,list!$J$48:$K$50,2,0))))</f>
        <v/>
      </c>
      <c r="AG391" s="1151">
        <f>MIN($V391,$X391)*time_tot+ABS($V391-$X391)*IF($X391&gt;$V391,time_cap+time*(VLOOKUP($G391,list!$J$48:$K$50,2,0)),time*(1-(VLOOKUP($G391,list!$J$48:$K$50,2,0))))</f>
        <v/>
      </c>
      <c r="AI391" s="1282">
        <f>SUM(AB391,AD391,AF391)</f>
        <v/>
      </c>
      <c r="AJ391" s="1282">
        <f>SUM(AC391,AE391,AG391)</f>
        <v/>
      </c>
      <c r="AK391" s="1284">
        <f>AJ391-AI391</f>
        <v/>
      </c>
      <c r="AX391" s="1449">
        <f>MIN($P391,$Q391)*time+ABS($Q391-$P391)*IF($Q391&gt;$P391,time*(VLOOKUP($N342,list!$J$48:$K$50,2,0)),time*(1-(VLOOKUP($N342,list!$J$48:$K$50,2,0))))</f>
        <v/>
      </c>
      <c r="AY391" s="1449">
        <f>MIN($P391,$R391)*time+ABS($R391-$P391)*IF($R391&gt;$P391,time*(VLOOKUP($P342,list!$J$48:$K$50,2,0)),time*(1-(VLOOKUP($P342,list!$J$48:$K$50,2,0))))</f>
        <v/>
      </c>
      <c r="AZ391" s="1449">
        <f>MIN($S391,$T391)*time+ABS($T391-$S391)*IF($T391&gt;$S391,time*(VLOOKUP($N342,list!$J$48:$K$50,2,0)),time*(1-(VLOOKUP($N342,list!$J$48:$K$50,2,0))))</f>
        <v/>
      </c>
      <c r="BA391" s="1449">
        <f>MIN($S391,$U391)*time+ABS($U391-$S391)*IF($U391&gt;$S391,time*(VLOOKUP($P342,list!$J$48:$K$50,2,0)),time*(1-(VLOOKUP($P342,list!$J$48:$K$50,2,0))))</f>
        <v/>
      </c>
      <c r="BB391" s="1449">
        <f>MIN($V391,$W391)*time+ABS($W391-$V391)*IF($W391&gt;$V391,time*(VLOOKUP($N342,list!$J$48:$K$50,2,0)),time*(1-(VLOOKUP($N342,list!$J$48:$K$50,2,0))))</f>
        <v/>
      </c>
      <c r="BC391" s="1449">
        <f>MIN($V391,$X391)*time+ABS($X391-$V391)*IF($X391&gt;$V391,time*(VLOOKUP($P342,list!$J$48:$K$50,2,0)),time*(1-(VLOOKUP($P342,list!$J$48:$K$50,2,0))))</f>
        <v/>
      </c>
      <c r="BD391" s="1449" t="n"/>
      <c r="BE391" s="1449" t="n"/>
      <c r="BF391" s="1449" t="n"/>
      <c r="BG391" s="1449" t="n"/>
    </row>
    <row r="392">
      <c r="A392" s="1493" t="inlineStr">
        <is>
          <t>S5</t>
        </is>
      </c>
      <c r="B392" s="1121">
        <f>C361</f>
        <v/>
      </c>
      <c r="C392" s="992">
        <f>'6.Inland wetlands'!S133</f>
        <v/>
      </c>
      <c r="D392" s="992">
        <f>IF('6.Inland wetlands'!T133-C392&gt;0,'6.Inland wetlands'!T133-C392,0)</f>
        <v/>
      </c>
      <c r="E392" s="992">
        <f>N343</f>
        <v/>
      </c>
      <c r="F392" s="992">
        <f>IF('6.Inland wetlands'!U133-C392&gt;0,'6.Inland wetlands'!U133-C392,0)</f>
        <v/>
      </c>
      <c r="G392" s="992">
        <f>P343</f>
        <v/>
      </c>
      <c r="H392" s="1004">
        <f>IFERROR(IF($A391="Please select",0,IF($C$351="Nutrient poor",INDEX(IPCC!$A$1910:$J$1921,MATCH(clim_moist,IPCC!$A$1910:$A$1921,0),MATCH($B392,IPCC!$A$1910:$J$1910,0)),INDEX(IPCC!$A$1928:$J$1939,MATCH(clim_moist,IPCC!$A$1928:$A$1939,0),MATCH($B392,IPCC!$A$1928:$J$1928,0)))),0)</f>
        <v/>
      </c>
      <c r="I392" s="1259">
        <f>IF('6.Inland wetlands'!$DY122="",'6.Inland wetlands'!$DX122,'6.Inland wetlands'!$DY122)</f>
        <v/>
      </c>
      <c r="J392" s="1004">
        <f>IFERROR(IF($A391="Please select",0,IF($C$351="Nutrient poor",INDEX(IPCC!$A$1964:$J$1975,MATCH(clim_moist,IPCC!$A$1964:$A$1975,0),MATCH($B392,IPCC!$A$1964:$J$1964,0)),INDEX(IPCC!$A$1982:$J$1993,MATCH(clim_moist,IPCC!$A$1982:$A$1993,0),MATCH($B392,IPCC!$A$1982:$J$1982,0)))),0)</f>
        <v/>
      </c>
      <c r="K392" s="1259">
        <f>IF('6.Inland wetlands'!$EA122="",'6.Inland wetlands'!$DZ122,'6.Inland wetlands'!$EA122)</f>
        <v/>
      </c>
      <c r="L392" s="1004">
        <f>IFERROR(IF($A391="Please select",0,INDEX(IPCC!$A$2000:$J$2011,MATCH(clim_moist,IPCC!$A$2000:$A$2011,0),MATCH($B392,IPCC!$A$2000:$J$2000,0))),0)</f>
        <v/>
      </c>
      <c r="M392" s="1259">
        <f>IF('6.Inland wetlands'!$EC122="",'6.Inland wetlands'!$EB122,'6.Inland wetlands'!$EC122)</f>
        <v/>
      </c>
      <c r="N392" s="1260">
        <f>IFERROR(IF($A391="Please select",0,INDEX(IPCC!$A$1946:$J$1957,MATCH(clim_moist,IPCC!$A$1946:$A$1957,0),MATCH($B392,IPCC!$A$1946:$J$1946,0))),0)</f>
        <v/>
      </c>
      <c r="O392" s="1259">
        <f>IF('6.Inland wetlands'!$EF122="",'6.Inland wetlands'!$EE122,'6.Inland wetlands'!$EF122)</f>
        <v/>
      </c>
      <c r="P392" s="3493" t="n">
        <v>0</v>
      </c>
      <c r="Q392" s="3493">
        <f>IF('6.Inland wetlands'!$T133&gt;0,SUM('Inl. wetlands'!$I392,'Inl. wetlands'!$O392)*44/12*'Inl. wetlands'!$D392,0)</f>
        <v/>
      </c>
      <c r="R392" s="1151">
        <f>IF('6.Inland wetlands'!$U133&gt;0,SUM('Inl. wetlands'!$I392,'Inl. wetlands'!$O392)*44/12*'Inl. wetlands'!$F392,0)</f>
        <v/>
      </c>
      <c r="S392" s="3493" t="n">
        <v>0</v>
      </c>
      <c r="T392" s="1151">
        <f>IF('6.Inland wetlands'!$T133&gt;0,'Inl. wetlands'!$K392/1000*16/12*methane*'Inl. wetlands'!$D392,0)</f>
        <v/>
      </c>
      <c r="U392" s="1151">
        <f>IF('6.Inland wetlands'!$U133&gt;0,'Inl. wetlands'!$K392/1000*16/12*methane*'Inl. wetlands'!$F392,0)</f>
        <v/>
      </c>
      <c r="V392" s="3493" t="n">
        <v>0</v>
      </c>
      <c r="W392" s="1151">
        <f>IF('6.Inland wetlands'!$T133&gt;0,'Inl. wetlands'!$M392/1000*44/28*Nitrous*'Inl. wetlands'!$D392,0)</f>
        <v/>
      </c>
      <c r="X392" s="3494">
        <f>IF('6.Inland wetlands'!$U133&gt;0,'Inl. wetlands'!$M392/1000*44/28*Nitrous*'Inl. wetlands'!$F392,0)</f>
        <v/>
      </c>
      <c r="AB392" s="1151">
        <f>MIN($P392,$Q392)*time_tot+ABS($P392-$Q392)*IF($Q392&gt;$P392,time_cap+time*(VLOOKUP($E392,list!$J$48:$K$50,2,0)),time*(1-(VLOOKUP($E392,list!$J$48:$K$50,2,0))))</f>
        <v/>
      </c>
      <c r="AC392" s="1151">
        <f>MIN($P392,$R392)*time_tot+ABS($P392-$R392)*IF($R392&gt;$P392,time_cap+time*(VLOOKUP($G392,list!$J$48:$K$50,2,0)),time*(1-(VLOOKUP($G392,list!$J$48:$K$50,2,0))))</f>
        <v/>
      </c>
      <c r="AD392" s="1151">
        <f>MIN($S392,$T392)*time_tot+ABS($S392-$T392)*IF($T392&gt;$S392,time_cap+time*(VLOOKUP($E392,list!$J$48:$K$50,2,0)),time*(1-(VLOOKUP($E392,list!$J$48:$K$50,2,0))))</f>
        <v/>
      </c>
      <c r="AE392" s="1151">
        <f>MIN($S392,$U392)*time_tot+ABS($S392-$U392)*IF($U392&gt;$S392,time_cap+time*(VLOOKUP($G392,list!$J$48:$K$50,2,0)),time*(1-(VLOOKUP($G392,list!$J$48:$K$50,2,0))))</f>
        <v/>
      </c>
      <c r="AF392" s="1151">
        <f>MIN($V392,$W392)*time_tot+ABS($V392-$W392)*IF($W392&gt;$V392,time_cap+time*(VLOOKUP($E392,list!$J$48:$K$50,2,0)),time*(1-(VLOOKUP($E392,list!$J$48:$K$50,2,0))))</f>
        <v/>
      </c>
      <c r="AG392" s="1151">
        <f>MIN($V392,$X392)*time_tot+ABS($V392-$X392)*IF($X392&gt;$V392,time_cap+time*(VLOOKUP($G392,list!$J$48:$K$50,2,0)),time*(1-(VLOOKUP($G392,list!$J$48:$K$50,2,0))))</f>
        <v/>
      </c>
      <c r="AI392" s="1282">
        <f>SUM(AB392,AD392,AF392)</f>
        <v/>
      </c>
      <c r="AJ392" s="1282">
        <f>SUM(AC392,AE392,AG392)</f>
        <v/>
      </c>
      <c r="AK392" s="1284">
        <f>AJ392-AI392</f>
        <v/>
      </c>
      <c r="AX392" s="1449">
        <f>MIN($P392,$Q392)*time+ABS($Q392-$P392)*IF($Q392&gt;$P392,time*(VLOOKUP($N343,list!$J$48:$K$50,2,0)),time*(1-(VLOOKUP($N343,list!$J$48:$K$50,2,0))))</f>
        <v/>
      </c>
      <c r="AY392" s="1449">
        <f>MIN($P392,$R392)*time+ABS($R392-$P392)*IF($R392&gt;$P392,time*(VLOOKUP($P343,list!$J$48:$K$50,2,0)),time*(1-(VLOOKUP($P343,list!$J$48:$K$50,2,0))))</f>
        <v/>
      </c>
      <c r="AZ392" s="1449">
        <f>MIN($S392,$T392)*time+ABS($T392-$S392)*IF($T392&gt;$S392,time*(VLOOKUP($N343,list!$J$48:$K$50,2,0)),time*(1-(VLOOKUP($N343,list!$J$48:$K$50,2,0))))</f>
        <v/>
      </c>
      <c r="BA392" s="1449">
        <f>MIN($S392,$U392)*time+ABS($U392-$S392)*IF($U392&gt;$S392,time*(VLOOKUP($P343,list!$J$48:$K$50,2,0)),time*(1-(VLOOKUP($P343,list!$J$48:$K$50,2,0))))</f>
        <v/>
      </c>
      <c r="BB392" s="1449">
        <f>MIN($V392,$W392)*time+ABS($W392-$V392)*IF($W392&gt;$V392,time*(VLOOKUP($N343,list!$J$48:$K$50,2,0)),time*(1-(VLOOKUP($N343,list!$J$48:$K$50,2,0))))</f>
        <v/>
      </c>
      <c r="BC392" s="1449">
        <f>MIN($V392,$X392)*time+ABS($X392-$V392)*IF($X392&gt;$V392,time*(VLOOKUP($P343,list!$J$48:$K$50,2,0)),time*(1-(VLOOKUP($P343,list!$J$48:$K$50,2,0))))</f>
        <v/>
      </c>
      <c r="BD392" s="1449" t="n"/>
      <c r="BE392" s="1449" t="n"/>
      <c r="BF392" s="1449" t="n"/>
      <c r="BG392" s="1449" t="n"/>
    </row>
    <row r="393">
      <c r="A393" s="1493" t="inlineStr">
        <is>
          <t>S6</t>
        </is>
      </c>
      <c r="B393" s="1121">
        <f>C362</f>
        <v/>
      </c>
      <c r="C393" s="992">
        <f>'6.Inland wetlands'!S134</f>
        <v/>
      </c>
      <c r="D393" s="992">
        <f>IF('6.Inland wetlands'!T134-C393&gt;0,'6.Inland wetlands'!T134-C393,0)</f>
        <v/>
      </c>
      <c r="E393" s="992">
        <f>N344</f>
        <v/>
      </c>
      <c r="F393" s="992">
        <f>IF('6.Inland wetlands'!U134-C393&gt;0,'6.Inland wetlands'!U134-C393,0)</f>
        <v/>
      </c>
      <c r="G393" s="992">
        <f>P344</f>
        <v/>
      </c>
      <c r="H393" s="1004">
        <f>IFERROR(IF($A392="Please select",0,IF($C$351="Nutrient poor",INDEX(IPCC!$A$1910:$J$1921,MATCH(clim_moist,IPCC!$A$1910:$A$1921,0),MATCH($B393,IPCC!$A$1910:$J$1910,0)),INDEX(IPCC!$A$1928:$J$1939,MATCH(clim_moist,IPCC!$A$1928:$A$1939,0),MATCH($B393,IPCC!$A$1928:$J$1928,0)))),0)</f>
        <v/>
      </c>
      <c r="I393" s="1259">
        <f>IF('6.Inland wetlands'!$DY123="",'6.Inland wetlands'!$DX123,'6.Inland wetlands'!$DY123)</f>
        <v/>
      </c>
      <c r="J393" s="1004">
        <f>IFERROR(IF($A392="Please select",0,IF($C$351="Nutrient poor",INDEX(IPCC!$A$1964:$J$1975,MATCH(clim_moist,IPCC!$A$1964:$A$1975,0),MATCH($B393,IPCC!$A$1964:$J$1964,0)),INDEX(IPCC!$A$1982:$J$1993,MATCH(clim_moist,IPCC!$A$1982:$A$1993,0),MATCH($B393,IPCC!$A$1982:$J$1982,0)))),0)</f>
        <v/>
      </c>
      <c r="K393" s="1259">
        <f>IF('6.Inland wetlands'!$EA123="",'6.Inland wetlands'!$DZ123,'6.Inland wetlands'!$EA123)</f>
        <v/>
      </c>
      <c r="L393" s="1004">
        <f>IFERROR(IF($A392="Please select",0,INDEX(IPCC!$A$2000:$J$2011,MATCH(clim_moist,IPCC!$A$2000:$A$2011,0),MATCH($B393,IPCC!$A$2000:$J$2000,0))),0)</f>
        <v/>
      </c>
      <c r="M393" s="1259">
        <f>IF('6.Inland wetlands'!$EC123="",'6.Inland wetlands'!$EB123,'6.Inland wetlands'!$EC123)</f>
        <v/>
      </c>
      <c r="N393" s="1260">
        <f>IFERROR(IF($A392="Please select",0,INDEX(IPCC!$A$1946:$J$1957,MATCH(clim_moist,IPCC!$A$1946:$A$1957,0),MATCH($B393,IPCC!$A$1946:$J$1946,0))),0)</f>
        <v/>
      </c>
      <c r="O393" s="1259">
        <f>IF('6.Inland wetlands'!$EF123="",'6.Inland wetlands'!$EE123,'6.Inland wetlands'!$EF123)</f>
        <v/>
      </c>
      <c r="P393" s="3493" t="n">
        <v>0</v>
      </c>
      <c r="Q393" s="3493">
        <f>IF('6.Inland wetlands'!$T134&gt;0,SUM('Inl. wetlands'!$I393,'Inl. wetlands'!$O393)*44/12*'Inl. wetlands'!$D393,0)</f>
        <v/>
      </c>
      <c r="R393" s="1151">
        <f>IF('6.Inland wetlands'!$U134&gt;0,SUM('Inl. wetlands'!$I393,'Inl. wetlands'!$O393)*44/12*'Inl. wetlands'!$F393,0)</f>
        <v/>
      </c>
      <c r="S393" s="3493" t="n">
        <v>0</v>
      </c>
      <c r="T393" s="1151">
        <f>IF('6.Inland wetlands'!$T134&gt;0,'Inl. wetlands'!$K393/1000*16/12*methane*'Inl. wetlands'!$D393,0)</f>
        <v/>
      </c>
      <c r="U393" s="1151">
        <f>IF('6.Inland wetlands'!$U134&gt;0,'Inl. wetlands'!$K393/1000*16/12*methane*'Inl. wetlands'!$F393,0)</f>
        <v/>
      </c>
      <c r="V393" s="3493" t="n">
        <v>0</v>
      </c>
      <c r="W393" s="1151">
        <f>IF('6.Inland wetlands'!$T134&gt;0,'Inl. wetlands'!$M393/1000*44/28*Nitrous*'Inl. wetlands'!$D393,0)</f>
        <v/>
      </c>
      <c r="X393" s="3494">
        <f>IF('6.Inland wetlands'!$U134&gt;0,'Inl. wetlands'!$M393/1000*44/28*Nitrous*'Inl. wetlands'!$F393,0)</f>
        <v/>
      </c>
      <c r="AB393" s="1151">
        <f>MIN($P393,$Q393)*time_tot+ABS($P393-$Q393)*IF($Q393&gt;$P393,time_cap+time*(VLOOKUP($E393,list!$J$48:$K$50,2,0)),time*(1-(VLOOKUP($E393,list!$J$48:$K$50,2,0))))</f>
        <v/>
      </c>
      <c r="AC393" s="1151">
        <f>MIN($P393,$R393)*time_tot+ABS($P393-$R393)*IF($R393&gt;$P393,time_cap+time*(VLOOKUP($G393,list!$J$48:$K$50,2,0)),time*(1-(VLOOKUP($G393,list!$J$48:$K$50,2,0))))</f>
        <v/>
      </c>
      <c r="AD393" s="1151">
        <f>MIN($S393,$T393)*time_tot+ABS($S393-$T393)*IF($T393&gt;$S393,time_cap+time*(VLOOKUP($E393,list!$J$48:$K$50,2,0)),time*(1-(VLOOKUP($E393,list!$J$48:$K$50,2,0))))</f>
        <v/>
      </c>
      <c r="AE393" s="1151">
        <f>MIN($S393,$U393)*time_tot+ABS($S393-$U393)*IF($U393&gt;$S393,time_cap+time*(VLOOKUP($G393,list!$J$48:$K$50,2,0)),time*(1-(VLOOKUP($G393,list!$J$48:$K$50,2,0))))</f>
        <v/>
      </c>
      <c r="AF393" s="1151">
        <f>MIN($V393,$W393)*time_tot+ABS($V393-$W393)*IF($W393&gt;$V393,time_cap+time*(VLOOKUP($E393,list!$J$48:$K$50,2,0)),time*(1-(VLOOKUP($E393,list!$J$48:$K$50,2,0))))</f>
        <v/>
      </c>
      <c r="AG393" s="1151">
        <f>MIN($V393,$X393)*time_tot+ABS($V393-$X393)*IF($X393&gt;$V393,time_cap+time*(VLOOKUP($G393,list!$J$48:$K$50,2,0)),time*(1-(VLOOKUP($G393,list!$J$48:$K$50,2,0))))</f>
        <v/>
      </c>
      <c r="AI393" s="1282">
        <f>SUM(AB393,AD393,AF393)</f>
        <v/>
      </c>
      <c r="AJ393" s="1282">
        <f>SUM(AC393,AE393,AG393)</f>
        <v/>
      </c>
      <c r="AK393" s="1284">
        <f>AJ393-AI393</f>
        <v/>
      </c>
      <c r="AX393" s="1449">
        <f>MIN($P393,$Q393)*time+ABS($Q393-$P393)*IF($Q393&gt;$P393,time*(VLOOKUP($N344,list!$J$48:$K$50,2,0)),time*(1-(VLOOKUP($N344,list!$J$48:$K$50,2,0))))</f>
        <v/>
      </c>
      <c r="AY393" s="1449">
        <f>MIN($P393,$R393)*time+ABS($R393-$P393)*IF($R393&gt;$P393,time*(VLOOKUP($P344,list!$J$48:$K$50,2,0)),time*(1-(VLOOKUP($P344,list!$J$48:$K$50,2,0))))</f>
        <v/>
      </c>
      <c r="AZ393" s="1449">
        <f>MIN($S393,$T393)*time+ABS($T393-$S393)*IF($T393&gt;$S393,time*(VLOOKUP($N344,list!$J$48:$K$50,2,0)),time*(1-(VLOOKUP($N344,list!$J$48:$K$50,2,0))))</f>
        <v/>
      </c>
      <c r="BA393" s="1449">
        <f>MIN($S393,$U393)*time+ABS($U393-$S393)*IF($U393&gt;$S393,time*(VLOOKUP($P344,list!$J$48:$K$50,2,0)),time*(1-(VLOOKUP($P344,list!$J$48:$K$50,2,0))))</f>
        <v/>
      </c>
      <c r="BB393" s="1449">
        <f>MIN($V393,$W393)*time+ABS($W393-$V393)*IF($W393&gt;$V393,time*(VLOOKUP($N344,list!$J$48:$K$50,2,0)),time*(1-(VLOOKUP($N344,list!$J$48:$K$50,2,0))))</f>
        <v/>
      </c>
      <c r="BC393" s="1449">
        <f>MIN($V393,$X393)*time+ABS($X393-$V393)*IF($X393&gt;$V393,time*(VLOOKUP($P344,list!$J$48:$K$50,2,0)),time*(1-(VLOOKUP($P344,list!$J$48:$K$50,2,0))))</f>
        <v/>
      </c>
      <c r="BD393" s="1449" t="n"/>
      <c r="BE393" s="1449" t="n"/>
      <c r="BF393" s="1449" t="n"/>
      <c r="BG393" s="1449" t="n"/>
    </row>
    <row r="394">
      <c r="B394" s="1688" t="n"/>
      <c r="C394" s="1580" t="n"/>
      <c r="D394" s="1201" t="n"/>
      <c r="E394" s="1200" t="n"/>
    </row>
    <row r="395">
      <c r="D395" s="992" t="n"/>
      <c r="E395" s="992" t="n"/>
      <c r="F395" s="992" t="n"/>
      <c r="G395" s="992" t="n"/>
      <c r="H395" s="992" t="n"/>
      <c r="I395" s="992" t="n"/>
      <c r="J395" s="992" t="n"/>
      <c r="K395" s="992" t="n"/>
      <c r="X395" s="1469" t="n"/>
      <c r="Y395" s="992" t="n"/>
      <c r="Z395" s="992" t="n"/>
      <c r="AA395" s="992" t="n"/>
      <c r="AB395" s="992" t="n"/>
      <c r="AC395" s="992" t="n"/>
      <c r="AD395" s="992" t="n"/>
      <c r="AF395" s="992" t="n"/>
      <c r="AG395" s="992" t="n"/>
      <c r="AH395" s="992" t="n"/>
      <c r="AX395" s="1461">
        <f>SUM(AX388:AX393)</f>
        <v/>
      </c>
      <c r="AY395" s="1461">
        <f>SUM(AY388:AY393)</f>
        <v/>
      </c>
      <c r="AZ395" s="1461">
        <f>SUM(AZ388:AZ393)</f>
        <v/>
      </c>
      <c r="BA395" s="1461">
        <f>SUM(BA388:BA393)</f>
        <v/>
      </c>
      <c r="BB395" s="1461">
        <f>SUM(BB388:BB393)</f>
        <v/>
      </c>
      <c r="BC395" s="1461">
        <f>SUM(BC388:BC393)</f>
        <v/>
      </c>
      <c r="BD395" s="1461" t="n"/>
      <c r="BE395" s="1461" t="n"/>
      <c r="BF395" s="1461" t="n"/>
      <c r="BG395" s="1461" t="n"/>
    </row>
    <row r="396" ht="16" customHeight="1">
      <c r="E396" s="4027" t="inlineStr">
        <is>
          <t>drained areas</t>
        </is>
      </c>
      <c r="F396" s="4361">
        <f>MAX(G396:H396)</f>
        <v/>
      </c>
      <c r="G396" s="4361">
        <f>+SUM(D388:D393)</f>
        <v/>
      </c>
      <c r="H396" s="4361">
        <f>SUM(F388:F393)</f>
        <v/>
      </c>
      <c r="AE396" s="1142" t="n"/>
      <c r="AF396" s="1142" t="n"/>
      <c r="AG396" s="1143" t="inlineStr">
        <is>
          <t>Total forest management (tCO2 eq)</t>
        </is>
      </c>
      <c r="AH396" s="1142" t="n"/>
      <c r="AI396" s="1192">
        <f>SUM(AI388:AI393,AI373:AI378,AI357:AI362,AI339:AI344)</f>
        <v/>
      </c>
      <c r="AJ396" s="1192">
        <f>SUM(AJ388:AJ393,AJ373:AJ378,AJ357:AJ362,AJ339:AJ344)</f>
        <v/>
      </c>
      <c r="AK396" s="1192">
        <f>SUM(AK388:AK393,AK373:AK378,AK357:AK362,AK339:AK344)</f>
        <v/>
      </c>
      <c r="AY396" s="1451">
        <f>AY395-AX395</f>
        <v/>
      </c>
      <c r="AZ396" s="1451" t="n"/>
      <c r="BA396" s="1451">
        <f>BA395-AZ395</f>
        <v/>
      </c>
      <c r="BC396" s="1451">
        <f>BC395-BB395</f>
        <v/>
      </c>
      <c r="BD396" s="1451" t="n"/>
      <c r="BE396" s="1451" t="n"/>
      <c r="BG396" s="1451" t="n"/>
    </row>
    <row r="397">
      <c r="AX397" s="1449" t="n"/>
      <c r="AY397" s="1449" t="n"/>
      <c r="BA397" s="1449" t="n"/>
      <c r="BD397" s="1449" t="n"/>
      <c r="BF397" s="1449" t="n"/>
    </row>
    <row r="398" ht="16" customHeight="1">
      <c r="Z398" s="1231" t="n"/>
      <c r="AA398" s="1231" t="n"/>
    </row>
    <row r="399">
      <c r="AJ399" s="1445" t="inlineStr">
        <is>
          <t>TEST TIER 2</t>
        </is>
      </c>
      <c r="AK399" s="1445">
        <f>SUM('6.Inland wetlands'!DY118:DY123,'6.Inland wetlands'!EA118:EA123,'6.Inland wetlands'!EC118:EC123,'6.Inland wetlands'!EF118:EF123)</f>
        <v/>
      </c>
      <c r="AL399" s="973" t="inlineStr">
        <is>
          <t>Drainage</t>
        </is>
      </c>
    </row>
    <row r="400">
      <c r="AJ400" s="1445" t="inlineStr">
        <is>
          <t>TEST TIER 2</t>
        </is>
      </c>
      <c r="AK400" s="1445">
        <f>+SUM('6.Inland wetlands'!CG118:CG123,'6.Inland wetlands'!CI118:CI123,'6.Inland wetlands'!CK118:CK123,'6.Inland wetlands'!CN118:CN123,'6.Inland wetlands'!CP118:CP123)</f>
        <v/>
      </c>
      <c r="AL400" s="973" t="inlineStr">
        <is>
          <t>Rewetting</t>
        </is>
      </c>
    </row>
    <row r="403" ht="42.75" customFormat="1" customHeight="1" s="975">
      <c r="B403" s="975" t="inlineStr">
        <is>
          <t>6.2.1 Non-forest management</t>
        </is>
      </c>
      <c r="J403" s="1123" t="n"/>
      <c r="K403" s="1123" t="n"/>
      <c r="L403" s="1123" t="n"/>
      <c r="M403" s="1123" t="n"/>
      <c r="N403" s="1123" t="n"/>
    </row>
    <row r="404" ht="17.75" customFormat="1" customHeight="1" s="1087">
      <c r="J404" s="1058" t="n"/>
      <c r="K404" s="1058" t="n"/>
      <c r="L404" s="1058" t="n"/>
      <c r="M404" s="1058" t="n"/>
      <c r="N404" s="1058" t="n"/>
      <c r="AX404" s="1446" t="n"/>
      <c r="AY404" s="1446" t="n"/>
      <c r="AZ404" s="1446" t="n"/>
      <c r="BA404" s="1446" t="n"/>
      <c r="BB404" s="1446" t="n"/>
      <c r="BC404" s="1446" t="n"/>
      <c r="BD404" s="1446" t="n"/>
      <c r="BE404" s="1446" t="n"/>
      <c r="BF404" s="1446" t="n"/>
      <c r="BG404" s="1446" t="n"/>
    </row>
    <row r="405" ht="17.75" customFormat="1" customHeight="1" s="1087">
      <c r="B405" s="1289">
        <f>B351</f>
        <v/>
      </c>
      <c r="C405" s="1253">
        <f>'6.Inland wetlands'!CK157</f>
        <v/>
      </c>
      <c r="D405" s="1252" t="n"/>
      <c r="E405" s="1252" t="n"/>
      <c r="F405" s="1252" t="n"/>
      <c r="J405" s="1058" t="n"/>
      <c r="K405" s="1058" t="n"/>
      <c r="L405" s="1058" t="n"/>
      <c r="M405" s="1058" t="n"/>
      <c r="N405" s="1058" t="n"/>
      <c r="AX405" s="1446" t="n"/>
      <c r="AY405" s="1446" t="n"/>
      <c r="AZ405" s="1446" t="n"/>
      <c r="BA405" s="1446" t="n"/>
      <c r="BB405" s="1446" t="n"/>
      <c r="BC405" s="1446" t="n"/>
      <c r="BD405" s="1446" t="n"/>
      <c r="BE405" s="1446" t="n"/>
      <c r="BF405" s="1446" t="n"/>
      <c r="BG405" s="1446" t="n"/>
    </row>
    <row r="407" ht="30.5" customFormat="1" customHeight="1" s="1089">
      <c r="B407" s="1112" t="inlineStr">
        <is>
          <t>Emissions from soil loss of on-site and off-site carbon (CO2, DOC), on-site and off-site methane (CH4), on-site nitrous oxide (N2O) associated with drainage and fire on organic soils</t>
        </is>
      </c>
      <c r="C407" s="1113" t="n"/>
      <c r="D407" s="1113" t="n"/>
      <c r="E407" s="1113" t="n"/>
      <c r="F407" s="1113" t="n"/>
      <c r="G407" s="1113" t="n"/>
      <c r="H407" s="1113" t="n"/>
      <c r="I407" s="1113" t="n"/>
      <c r="J407" s="1113" t="n"/>
      <c r="K407" s="1113" t="n"/>
      <c r="L407" s="1113" t="n"/>
      <c r="M407" s="1113" t="n"/>
      <c r="N407" s="1113" t="n"/>
      <c r="O407" s="1113" t="n"/>
      <c r="P407" s="1113" t="n"/>
      <c r="Q407" s="1113" t="n"/>
      <c r="R407" s="1113" t="n"/>
      <c r="S407" s="1113" t="n"/>
      <c r="T407" s="1113" t="n"/>
      <c r="U407" s="1113" t="n"/>
      <c r="V407" s="1113" t="n"/>
      <c r="W407" s="1113" t="n"/>
      <c r="X407" s="1113" t="n"/>
      <c r="Y407" s="1113" t="n"/>
      <c r="Z407" s="1113" t="n"/>
      <c r="AA407" s="1113" t="n"/>
      <c r="AB407" s="1113" t="n"/>
      <c r="AC407" s="1113" t="n"/>
      <c r="AD407" s="1113" t="n"/>
      <c r="AE407" s="1113" t="n"/>
      <c r="AF407" s="1113" t="n"/>
      <c r="AG407" s="1113" t="n"/>
      <c r="AH407" s="1113" t="n"/>
      <c r="AI407" s="1113" t="n"/>
      <c r="AJ407" s="1113" t="n"/>
      <c r="AK407" s="1113" t="n"/>
      <c r="AL407" s="1113" t="n"/>
      <c r="AM407" s="1113" t="n"/>
      <c r="AN407" s="1113" t="n"/>
      <c r="AO407" s="1113" t="n"/>
      <c r="AP407" s="1113" t="n"/>
      <c r="AQ407" s="1113" t="n"/>
      <c r="AR407" s="1113" t="n"/>
      <c r="AS407" s="1113" t="n"/>
      <c r="AT407" s="1113" t="n"/>
      <c r="AU407" s="1113" t="n"/>
      <c r="AV407" s="1113" t="n"/>
      <c r="AW407" s="1113" t="n"/>
      <c r="AX407" s="1447" t="n"/>
      <c r="AY407" s="1447" t="n"/>
      <c r="AZ407" s="1447" t="n"/>
      <c r="BA407" s="1447" t="n"/>
      <c r="BB407" s="1447" t="n"/>
      <c r="BC407" s="1447" t="n"/>
      <c r="BD407" s="1447" t="n"/>
      <c r="BE407" s="1447" t="n"/>
      <c r="BF407" s="1447" t="n"/>
      <c r="BG407" s="1447" t="n"/>
    </row>
    <row r="408">
      <c r="AX408" s="1271" t="inlineStr">
        <is>
          <t>FIRE ON SOIL</t>
        </is>
      </c>
    </row>
    <row r="409" ht="16" customHeight="1">
      <c r="F409" s="1262" t="inlineStr">
        <is>
          <t>Fire periodicity and severity</t>
        </is>
      </c>
      <c r="G409" s="3489" t="n"/>
      <c r="H409" s="3489" t="n"/>
      <c r="I409" s="3489" t="n"/>
      <c r="J409" s="2167" t="n"/>
      <c r="K409" s="3489" t="n"/>
      <c r="L409" s="3489" t="n"/>
      <c r="M409" s="3489" t="n"/>
      <c r="N409" s="1670" t="inlineStr">
        <is>
          <t>Residues burning</t>
        </is>
      </c>
      <c r="O409" s="1538" t="n"/>
      <c r="P409" s="1539" t="n"/>
      <c r="Q409" s="1539" t="n"/>
      <c r="R409" s="1539" t="n"/>
      <c r="S409" s="1234" t="inlineStr">
        <is>
          <t>Residues burning</t>
        </is>
      </c>
      <c r="T409" s="1116" t="n"/>
      <c r="U409" s="1229" t="n"/>
      <c r="V409" s="1116" t="n"/>
      <c r="AI409" s="1270" t="inlineStr">
        <is>
          <t>Total emissions tCO2eq</t>
        </is>
      </c>
      <c r="AJ409" s="1115" t="n"/>
      <c r="AK409" s="1116" t="n"/>
      <c r="AM409" s="1574" t="n"/>
      <c r="AN409" s="1574" t="n"/>
      <c r="AO409" s="1574" t="n"/>
      <c r="AP409" s="1574" t="n"/>
      <c r="AQ409" s="1574" t="n"/>
      <c r="AR409" s="1574" t="n"/>
      <c r="AS409" s="1574" t="n"/>
      <c r="AT409" s="1574" t="n"/>
      <c r="AU409" s="1574" t="n"/>
      <c r="AV409" s="1574" t="n"/>
      <c r="AW409" s="1574" t="n"/>
      <c r="AX409" s="1450" t="inlineStr">
        <is>
          <t>CH4</t>
        </is>
      </c>
      <c r="AY409" s="1450" t="n"/>
      <c r="AZ409" s="1450" t="inlineStr">
        <is>
          <t>N2O</t>
        </is>
      </c>
      <c r="BA409" s="1450" t="n"/>
      <c r="BB409" s="1452" t="n"/>
      <c r="BC409" s="1452" t="n"/>
      <c r="BD409" s="1452" t="n"/>
      <c r="BE409" s="1452" t="n"/>
      <c r="BF409" s="1452" t="n"/>
      <c r="BG409" s="1452" t="n"/>
    </row>
    <row r="410" ht="19" customHeight="1">
      <c r="B410" s="1257" t="inlineStr">
        <is>
          <t>Land cover</t>
        </is>
      </c>
      <c r="C410" s="1170" t="n"/>
      <c r="E410" s="1256" t="inlineStr">
        <is>
          <t>START</t>
        </is>
      </c>
      <c r="F410" s="1100" t="inlineStr">
        <is>
          <t>WITHOUT</t>
        </is>
      </c>
      <c r="G410" s="1100" t="n"/>
      <c r="H410" s="1100" t="n"/>
      <c r="I410" s="1100" t="n"/>
      <c r="J410" s="1101" t="inlineStr">
        <is>
          <t>WITH</t>
        </is>
      </c>
      <c r="K410" s="1101" t="n"/>
      <c r="L410" s="1101" t="n"/>
      <c r="M410" s="1101" t="n"/>
      <c r="N410" s="1540" t="inlineStr">
        <is>
          <t xml:space="preserve">MB </t>
        </is>
      </c>
      <c r="O410" s="1256" t="inlineStr">
        <is>
          <t>CH4</t>
        </is>
      </c>
      <c r="P410" s="1256" t="inlineStr">
        <is>
          <t>N2O</t>
        </is>
      </c>
      <c r="Q410" s="1256" t="inlineStr">
        <is>
          <t>CH4</t>
        </is>
      </c>
      <c r="R410" s="1256" t="inlineStr">
        <is>
          <t>N2O</t>
        </is>
      </c>
      <c r="S410" s="1527" t="inlineStr">
        <is>
          <t>Without</t>
        </is>
      </c>
      <c r="T410" s="1530" t="n"/>
      <c r="U410" s="1528" t="inlineStr">
        <is>
          <t>With</t>
        </is>
      </c>
      <c r="V410" s="1101" t="n"/>
      <c r="AI410" s="1270" t="inlineStr">
        <is>
          <t>ALL PERIOD</t>
        </is>
      </c>
      <c r="AJ410" s="1104" t="n"/>
      <c r="AK410" s="1116" t="n"/>
      <c r="AM410" s="1575" t="n"/>
      <c r="AN410" s="1575" t="n"/>
      <c r="AO410" s="1576" t="n"/>
      <c r="AP410" s="1576" t="n"/>
      <c r="AQ410" s="1576" t="n"/>
      <c r="AR410" s="1576" t="n"/>
      <c r="AS410" s="1576" t="n"/>
      <c r="AT410" s="1576" t="n"/>
      <c r="AU410" s="1576" t="n"/>
      <c r="AV410" s="1576" t="n"/>
      <c r="AW410" s="1576" t="n"/>
      <c r="AX410" s="1264" t="inlineStr">
        <is>
          <t>IMPLEMENTATION PHASE</t>
        </is>
      </c>
      <c r="AZ410" s="1264" t="inlineStr">
        <is>
          <t>IMPLEMENTATION PHASE</t>
        </is>
      </c>
    </row>
    <row r="411" ht="16" customHeight="1">
      <c r="D411" s="1258" t="inlineStr">
        <is>
          <t>Biomass (tC/ha)</t>
        </is>
      </c>
      <c r="E411" s="1256" t="n"/>
      <c r="F411" s="1100" t="n"/>
      <c r="G411" s="1100" t="n"/>
      <c r="H411" s="1100" t="inlineStr">
        <is>
          <t>Periodicity</t>
        </is>
      </c>
      <c r="I411" s="1100" t="inlineStr">
        <is>
          <t>Impact</t>
        </is>
      </c>
      <c r="J411" s="1101" t="n"/>
      <c r="K411" s="1101" t="n"/>
      <c r="L411" s="1101" t="inlineStr">
        <is>
          <t>Periodicity</t>
        </is>
      </c>
      <c r="M411" s="1101" t="inlineStr">
        <is>
          <t>Impact</t>
        </is>
      </c>
      <c r="N411" s="1540" t="inlineStr">
        <is>
          <t>Initial LU</t>
        </is>
      </c>
      <c r="O411" s="1256" t="n"/>
      <c r="P411" s="1256" t="n"/>
      <c r="Q411" s="1498" t="n"/>
      <c r="R411" s="1498" t="n"/>
      <c r="S411" s="1530" t="inlineStr">
        <is>
          <t>CH4</t>
        </is>
      </c>
      <c r="T411" s="1530" t="inlineStr">
        <is>
          <t>N2O</t>
        </is>
      </c>
      <c r="U411" s="1531" t="inlineStr">
        <is>
          <t>CH4</t>
        </is>
      </c>
      <c r="V411" s="1101" t="inlineStr">
        <is>
          <t>N2O</t>
        </is>
      </c>
      <c r="AI411" s="1270" t="inlineStr">
        <is>
          <t>BIOMASS &amp; BIOMASS BURNING</t>
        </is>
      </c>
      <c r="AJ411" s="1116" t="n"/>
      <c r="AK411" s="1116" t="n"/>
      <c r="AM411" s="1577" t="n"/>
      <c r="AN411" s="1577" t="n"/>
      <c r="AO411" s="1575" t="n"/>
      <c r="AP411" s="1575" t="n"/>
      <c r="AQ411" s="1575" t="n"/>
      <c r="AR411" s="1575" t="n"/>
      <c r="AS411" s="1575" t="n"/>
      <c r="AT411" s="1575" t="n"/>
      <c r="AU411" s="1575" t="n"/>
      <c r="AV411" s="1575" t="n"/>
      <c r="AW411" s="1575" t="n"/>
      <c r="AX411" s="1272" t="inlineStr">
        <is>
          <t>WITHOUT</t>
        </is>
      </c>
      <c r="AY411" s="1272" t="inlineStr">
        <is>
          <t>WITH</t>
        </is>
      </c>
      <c r="AZ411" s="1272" t="inlineStr">
        <is>
          <t>WITHOUT</t>
        </is>
      </c>
      <c r="BA411" s="1272" t="inlineStr">
        <is>
          <t>WITH</t>
        </is>
      </c>
    </row>
    <row r="412" ht="16" customHeight="1">
      <c r="B412" s="1249" t="inlineStr">
        <is>
          <t>User selection</t>
        </is>
      </c>
      <c r="C412" s="1233" t="inlineStr">
        <is>
          <t>IPCC equivalent</t>
        </is>
      </c>
      <c r="D412" s="1576" t="inlineStr">
        <is>
          <t>Initial LU</t>
        </is>
      </c>
      <c r="E412" s="1104" t="inlineStr">
        <is>
          <t>ha</t>
        </is>
      </c>
      <c r="F412" s="1102" t="inlineStr">
        <is>
          <t>ha</t>
        </is>
      </c>
      <c r="G412" s="1102" t="inlineStr">
        <is>
          <t>Rate</t>
        </is>
      </c>
      <c r="H412" s="1102" t="inlineStr">
        <is>
          <t>Year</t>
        </is>
      </c>
      <c r="I412" s="1107" t="inlineStr">
        <is>
          <t>%area burnt</t>
        </is>
      </c>
      <c r="J412" s="1103" t="inlineStr">
        <is>
          <t>ha</t>
        </is>
      </c>
      <c r="K412" s="1103" t="inlineStr">
        <is>
          <t>Rate</t>
        </is>
      </c>
      <c r="L412" s="1103" t="inlineStr">
        <is>
          <t>Year</t>
        </is>
      </c>
      <c r="M412" s="1108" t="inlineStr">
        <is>
          <t>%area burnt</t>
        </is>
      </c>
      <c r="N412" s="1541" t="inlineStr">
        <is>
          <t>t dm/ha</t>
        </is>
      </c>
      <c r="O412" s="1542" t="inlineStr">
        <is>
          <t>kg CH4/ha</t>
        </is>
      </c>
      <c r="P412" s="1542" t="inlineStr">
        <is>
          <t>kg N2O/ha</t>
        </is>
      </c>
      <c r="Q412" s="1542" t="inlineStr">
        <is>
          <t>kgCO2eq/ha</t>
        </is>
      </c>
      <c r="R412" s="1542" t="inlineStr">
        <is>
          <t>kgCO2eq/ha</t>
        </is>
      </c>
      <c r="S412" s="1530" t="inlineStr">
        <is>
          <t>tCO2eq</t>
        </is>
      </c>
      <c r="T412" s="1530" t="inlineStr">
        <is>
          <t>tCO2eq</t>
        </is>
      </c>
      <c r="U412" s="1531" t="inlineStr">
        <is>
          <t>tCO2eq</t>
        </is>
      </c>
      <c r="V412" s="1531" t="inlineStr">
        <is>
          <t>tCO2eq</t>
        </is>
      </c>
      <c r="AI412" s="1102" t="inlineStr">
        <is>
          <t>WITHOUT</t>
        </is>
      </c>
      <c r="AJ412" s="1103" t="inlineStr">
        <is>
          <t>WITH</t>
        </is>
      </c>
      <c r="AK412" s="1104" t="inlineStr">
        <is>
          <t>BALANCE</t>
        </is>
      </c>
      <c r="AM412" s="1454" t="n"/>
      <c r="AN412" s="1454" t="n"/>
      <c r="AO412" s="1454" t="n"/>
      <c r="AP412" s="1454" t="n"/>
      <c r="AQ412" s="1454" t="n"/>
      <c r="AR412" s="1454" t="n"/>
      <c r="AS412" s="1454" t="n"/>
      <c r="AT412" s="1454" t="n"/>
      <c r="AU412" s="1454" t="n"/>
      <c r="AV412" s="1454" t="n"/>
      <c r="AW412" s="1454" t="n"/>
      <c r="AX412" s="1449">
        <f>IF(OR('6.Inland wetlands'!$AA151=list!$E$211,'6.Inland wetlands'!$AA151=list!$E$213),(MIN($E414,$F414)*time+ABS($F414-$E414)*IF($F414&gt;$E414,time*VLOOKUP($G414,list!$J$48:$K$50,2,0),time*(1-VLOOKUP($G414,list!$J$48:$K$50,2,0))))*$Q414/1000,0)</f>
        <v/>
      </c>
      <c r="AY412" s="1449">
        <f>IF(OR('6.Inland wetlands'!$AA151=list!$E$211,'6.Inland wetlands'!$AA151=list!$E$213),(MIN($E414,$F414)*time+ABS($F414-$E414)*IF($F414&gt;$E414,time*VLOOKUP($G414,list!$J$48:$K$50,2,0),time*(1-VLOOKUP($G414,list!$J$48:$K$50,2,0))))*$R414/1000,0)</f>
        <v/>
      </c>
      <c r="AZ412" s="1449">
        <f>IF(OR('6.Inland wetlands'!$AA151=list!$E$211,'6.Inland wetlands'!$AA151=list!$E$213),(MIN($E414,$J414)*time+ABS($J414-$E414)*IF($J414&gt;$E414,time*VLOOKUP($K414,list!$J$48:$K$50,2,0),time*(1-VLOOKUP($K414,list!$J$48:$K$50,2,0))))*$R414/1000,0)</f>
        <v/>
      </c>
      <c r="BA412" s="1449">
        <f>IF(OR('6.Inland wetlands'!$AA151=list!$E$211,'6.Inland wetlands'!$AA151=list!$E$213),(MIN($E414,$J414)*time+ABS($J414-$E414)*IF($J414&gt;$E414,time*VLOOKUP($K414,list!$J$48:$K$50,2,0),time*(1-VLOOKUP($K414,list!$J$48:$K$50,2,0))))*$R414/1000,0)</f>
        <v/>
      </c>
      <c r="BC412" s="1579" t="n"/>
      <c r="BD412" s="1579" t="n"/>
      <c r="BE412" s="1579" t="n"/>
      <c r="BF412" s="1579" t="n"/>
      <c r="BG412" s="1579" t="n"/>
      <c r="BK412" s="1262" t="inlineStr">
        <is>
          <t>GHG PER SCENARIO</t>
        </is>
      </c>
      <c r="BL412" s="3489" t="n"/>
      <c r="BM412" s="3489" t="n"/>
      <c r="BP412" s="1262" t="inlineStr">
        <is>
          <t>TOTAL BALANCE</t>
        </is>
      </c>
      <c r="BQ412" s="3489" t="n"/>
      <c r="BR412" s="3489" t="n"/>
      <c r="BS412" s="3489" t="n"/>
    </row>
    <row r="413">
      <c r="B413" s="973">
        <f>'6.Inland wetlands'!I150</f>
        <v/>
      </c>
      <c r="C413" s="4739">
        <f>IF($B413="Please select","",IF(ISNUMBER(SEARCH("Annual",$B413)),"Annual",IF(ISNUMBER(SEARCH("Other",$B413)),"Other land",IF(ISNUMBER(SEARCH("Flooded rice",$B413)),"Flooded rice",IF(ISNUMBER(SEARCH("Grassland",$B413)),"Grassland",IF(ISNUMBER(SEARCH("Degraded land",$B413)),"Degraded land","Perennial"))))))</f>
        <v/>
      </c>
      <c r="D413" s="4737">
        <f>IF($B413&lt;&gt;"Please select",INDEX(IPCC!$D$1521:$Y$1680,MATCH(clim_moist_cont,IPCC!$C$1521:$C$1680,0),MATCH($B413,IPCC!$D$1520:$Y$1520,0)),0)</f>
        <v/>
      </c>
      <c r="E413" s="3501">
        <f>'6.Inland wetlands'!M150</f>
        <v/>
      </c>
      <c r="F413" s="3501">
        <f>'6.Inland wetlands'!$N150</f>
        <v/>
      </c>
      <c r="G413" s="1254">
        <f>VLOOKUP('6.Inland wetlands'!$O150, list!$I$48:$J$50,2,FALSE )</f>
        <v/>
      </c>
      <c r="H413" s="1254">
        <f>'6.Inland wetlands'!DB151</f>
        <v/>
      </c>
      <c r="I413" s="1255">
        <f>'6.Inland wetlands'!DC151</f>
        <v/>
      </c>
      <c r="J413" s="3501">
        <f>'6.Inland wetlands'!$P150</f>
        <v/>
      </c>
      <c r="K413" s="1254">
        <f>VLOOKUP('6.Inland wetlands'!$Q150, list!$I$48:$J$50,2,FALSE )</f>
        <v/>
      </c>
      <c r="L413" s="1254">
        <f>'6.Inland wetlands'!DE151</f>
        <v/>
      </c>
      <c r="M413" s="1255">
        <f>'6.Inland wetlands'!DF151</f>
        <v/>
      </c>
      <c r="N413" s="1145">
        <f>IF($C413="Annual", ((IFERROR(VLOOKUP((CONCATENATE(continent_selected,annual!$D$80)), Stats_yield_ton_per_ha!$A$9:$L$289, 12, FALSE),0)*VLOOKUP(annual!$D$79,IPCC!$A$8:$C$32,2,FALSE)+VLOOKUP(annual!$D$79,IPCC!$A$8:$C$32,3,FALSE))),$D413)</f>
        <v/>
      </c>
      <c r="O413" s="1145">
        <f>IFERROR($N413 *VLOOKUP($B413,IPCC!$A$1473:$E$1496,2, FALSE) * VLOOKUP($B413,IPCC!$A$1473:$E$1496,4, FALSE),0)</f>
        <v/>
      </c>
      <c r="P413" s="1145">
        <f>IFERROR($N413*VLOOKUP($B413,IPCC!$A$1473:$E$1496,2,FALSE)*VLOOKUP($B413,IPCC!$A$1473:$E$1496,5,FALSE),0)</f>
        <v/>
      </c>
      <c r="Q413" s="1544">
        <f>O413*methane</f>
        <v/>
      </c>
      <c r="R413" s="1544">
        <f>$P413*Nitrous</f>
        <v/>
      </c>
      <c r="S413" s="1151">
        <f>IF(OR('6.Inland wetlands'!$AA150=list!$E$211,'6.Inland wetlands'!$AA150=list!$E$213),(MIN($E413,$F413)*time_tot+ABS($F413-$E413)*IF($F413&gt;$E413,time_cap+time*VLOOKUP($G413,list!$J$48:$K$50,2,0),time*(1-VLOOKUP($G413,list!$J$48:$K$50,2,0))))*$Q413/1000,0)</f>
        <v/>
      </c>
      <c r="T413" s="1151">
        <f>IF(OR('6.Inland wetlands'!$AA150=list!$E$211,'6.Inland wetlands'!$AA150=list!$E$213),(MIN($E413,$F413)*time_tot+ABS($F413-$E413)*IF($F413&gt;$E413,time_cap+time*VLOOKUP($G413,list!$J$48:$K$50,2,0),time*(1-VLOOKUP($G413,list!$J$48:$K$50,2,0))))*$R413/1000,0)</f>
        <v/>
      </c>
      <c r="U413" s="1151">
        <f>IF(OR('6.Inland wetlands'!$AA150=list!$E$211,'6.Inland wetlands'!$AA150=list!$E$213),(MIN($E413,$J413)*time_tot+ABS($J413-$E413)*IF($J413&gt;$E413,time_cap+time*VLOOKUP($K413,list!$J$48:$K$50,2,0),time*(1-VLOOKUP($K413,list!$J$48:$K$50,2,0))))*$Q413/1000,0)</f>
        <v/>
      </c>
      <c r="V413" s="1151">
        <f>IF(OR('6.Inland wetlands'!$AA150=list!$E$211,'6.Inland wetlands'!$AA150=list!$E$213),(MIN($E413,$J413)*time_tot+ABS($J413-$E413)*IF($J413&gt;$E413,time_cap+time*VLOOKUP($K413,list!$J$48:$K$50,2,0),time*(1-VLOOKUP($K413,list!$J$48:$K$50,2,0))))*$R413/1000,0)</f>
        <v/>
      </c>
      <c r="AI413" s="1151">
        <f>S413+T413</f>
        <v/>
      </c>
      <c r="AJ413" s="1151">
        <f>U413+V413</f>
        <v/>
      </c>
      <c r="AK413" s="3498">
        <f>AJ413-AI413</f>
        <v/>
      </c>
      <c r="AM413" s="3507" t="n"/>
      <c r="AN413" s="3507" t="n"/>
      <c r="AO413" s="3507" t="n"/>
      <c r="AP413" s="992" t="n"/>
      <c r="AQ413" s="992" t="n"/>
      <c r="AR413" s="992" t="n"/>
      <c r="AS413" s="992" t="n"/>
      <c r="AT413" s="992" t="n"/>
      <c r="AU413" s="992" t="n"/>
      <c r="AV413" s="992" t="n"/>
      <c r="AW413" s="992" t="n"/>
      <c r="AX413" s="1449">
        <f>IF(OR('6.Inland wetlands'!$AA152=list!$E$211,'6.Inland wetlands'!$AA152=list!$E$213),(MIN($E415,$F415)*time+ABS($F415-$E415)*IF($F415&gt;$E415,time*VLOOKUP($G415,list!$J$48:$K$50,2,0),time*(1-VLOOKUP($G415,list!$J$48:$K$50,2,0))))*$Q415/1000,0)</f>
        <v/>
      </c>
      <c r="AY413" s="1449">
        <f>IF(OR('6.Inland wetlands'!$AA152=list!$E$211,'6.Inland wetlands'!$AA152=list!$E$213),(MIN($E415,$F415)*time+ABS($F415-$E415)*IF($F415&gt;$E415,time*VLOOKUP($G415,list!$J$48:$K$50,2,0),time*(1-VLOOKUP($G415,list!$J$48:$K$50,2,0))))*$R415/1000,0)</f>
        <v/>
      </c>
      <c r="AZ413" s="1449">
        <f>IF(OR('6.Inland wetlands'!$AA152=list!$E$211,'6.Inland wetlands'!$AA152=list!$E$213),(MIN($E415,$J415)*time+ABS($J415-$E415)*IF($J415&gt;$E415,time*VLOOKUP($K415,list!$J$48:$K$50,2,0),time*(1-VLOOKUP($K415,list!$J$48:$K$50,2,0))))*$R415/1000,0)</f>
        <v/>
      </c>
      <c r="BA413" s="1449">
        <f>IF(OR('6.Inland wetlands'!$AA152=list!$E$211,'6.Inland wetlands'!$AA152=list!$E$213),(MIN($E415,$J415)*time+ABS($J415-$E415)*IF($J415&gt;$E415,time*VLOOKUP($K415,list!$J$48:$K$50,2,0),time*(1-VLOOKUP($K415,list!$J$48:$K$50,2,0))))*$R415/1000,0)</f>
        <v/>
      </c>
      <c r="BC413" s="1578" t="n"/>
      <c r="BD413" s="1578" t="n"/>
      <c r="BE413" s="1578" t="n"/>
      <c r="BF413" s="1578" t="n"/>
      <c r="BG413" s="1578" t="n"/>
    </row>
    <row r="414">
      <c r="B414" s="973">
        <f>'6.Inland wetlands'!I151</f>
        <v/>
      </c>
      <c r="C414" s="4739">
        <f>IF($B414="Please select","",IF(ISNUMBER(SEARCH("Annual",$B414)),"Annual",IF(ISNUMBER(SEARCH("Other",$B414)),"Other land",IF(ISNUMBER(SEARCH("Flooded rice",$B414)),"Flooded rice",IF(ISNUMBER(SEARCH("Grassland",$B414)),"Grassland",IF(ISNUMBER(SEARCH("Degraded land",$B414)),"Degraded land","Perennial"))))))</f>
        <v/>
      </c>
      <c r="D414" s="4737">
        <f>IF($B414&lt;&gt;"Please select",INDEX(IPCC!$D$1521:$Y$1680,MATCH(clim_moist_cont,IPCC!$C$1521:$C$1680,0),MATCH($B414,IPCC!$D$1520:$Y$1520,0)),0)</f>
        <v/>
      </c>
      <c r="E414" s="3501">
        <f>'6.Inland wetlands'!M151</f>
        <v/>
      </c>
      <c r="F414" s="3501">
        <f>'6.Inland wetlands'!$N151</f>
        <v/>
      </c>
      <c r="G414" s="1254">
        <f>VLOOKUP('6.Inland wetlands'!$O151, list!$I$48:$J$50,2,FALSE )</f>
        <v/>
      </c>
      <c r="H414" s="1254">
        <f>'6.Inland wetlands'!DB152</f>
        <v/>
      </c>
      <c r="I414" s="1255">
        <f>'6.Inland wetlands'!DC152</f>
        <v/>
      </c>
      <c r="J414" s="3501">
        <f>'6.Inland wetlands'!$P151</f>
        <v/>
      </c>
      <c r="K414" s="1254">
        <f>VLOOKUP('6.Inland wetlands'!$Q151, list!$I$48:$J$50,2,FALSE )</f>
        <v/>
      </c>
      <c r="L414" s="1254">
        <f>'6.Inland wetlands'!DE152</f>
        <v/>
      </c>
      <c r="M414" s="1255">
        <f>'6.Inland wetlands'!DF152</f>
        <v/>
      </c>
      <c r="N414" s="1145">
        <f>IF($C414="Annual", ((IFERROR(VLOOKUP((CONCATENATE(continent_selected,annual!$D$80)), Stats_yield_ton_per_ha!$A$9:$L$289, 12, FALSE),0)*VLOOKUP(annual!$D$79,IPCC!$A$8:$C$32,2,FALSE)+VLOOKUP(annual!$D$79,IPCC!$A$8:$C$32,3,FALSE))),$D414)</f>
        <v/>
      </c>
      <c r="O414" s="1145">
        <f>IFERROR($N414 *VLOOKUP($B414,IPCC!$A$1473:$E$1496,2, FALSE) * VLOOKUP($B414,IPCC!$A$1473:$E$1496,4, FALSE),0)</f>
        <v/>
      </c>
      <c r="P414" s="1145">
        <f>IFERROR($N414*VLOOKUP($B414,IPCC!$A$1473:$E$1496,2,FALSE)*VLOOKUP($B414,IPCC!$A$1473:$E$1496,5,FALSE),0)</f>
        <v/>
      </c>
      <c r="Q414" s="1544">
        <f>O414*methane</f>
        <v/>
      </c>
      <c r="R414" s="1544">
        <f>$P414*Nitrous</f>
        <v/>
      </c>
      <c r="S414" s="1151">
        <f>IF(OR('6.Inland wetlands'!$AA151=list!$E$211,'6.Inland wetlands'!$AA151=list!$E$213),(MIN($E414,$F414)*time_tot+ABS($F414-$E414)*IF($F414&gt;$E414,time_cap+time*VLOOKUP($G414,list!$J$48:$K$50,2,0),time*(1-VLOOKUP($G414,list!$J$48:$K$50,2,0))))*$Q414/1000,0)</f>
        <v/>
      </c>
      <c r="T414" s="1151">
        <f>IF(OR('6.Inland wetlands'!$AA151=list!$E$211,'6.Inland wetlands'!$AA151=list!$E$213),(MIN($E414,$F414)*time_tot+ABS($F414-$E414)*IF($F414&gt;$E414,time_cap+time*VLOOKUP($G414,list!$J$48:$K$50,2,0),time*(1-VLOOKUP($G414,list!$J$48:$K$50,2,0))))*$R414/1000,0)</f>
        <v/>
      </c>
      <c r="U414" s="1151">
        <f>IF(OR('6.Inland wetlands'!$AA151=list!$E$211,'6.Inland wetlands'!$AA151=list!$E$213),(MIN($E414,$J414)*time_tot+ABS($J414-$E414)*IF($J414&gt;$E414,time_cap+time*VLOOKUP($K414,list!$J$48:$K$50,2,0),time*(1-VLOOKUP($K414,list!$J$48:$K$50,2,0))))*$Q414/1000,0)</f>
        <v/>
      </c>
      <c r="V414" s="1151">
        <f>IF(OR('6.Inland wetlands'!$AA151=list!$E$211,'6.Inland wetlands'!$AA151=list!$E$213),(MIN($E414,$J414)*time_tot+ABS($J414-$E414)*IF($J414&gt;$E414,time_cap+time*VLOOKUP($K414,list!$J$48:$K$50,2,0),time*(1-VLOOKUP($K414,list!$J$48:$K$50,2,0))))*$R414/1000,0)</f>
        <v/>
      </c>
      <c r="AI414" s="1151">
        <f>S414+T414</f>
        <v/>
      </c>
      <c r="AJ414" s="1151">
        <f>U414+V414</f>
        <v/>
      </c>
      <c r="AK414" s="1159">
        <f>AJ414-AI414</f>
        <v/>
      </c>
      <c r="AM414" s="3507" t="n"/>
      <c r="AN414" s="3507" t="n"/>
      <c r="AO414" s="3507" t="n"/>
      <c r="AP414" s="992" t="n"/>
      <c r="AQ414" s="992" t="n"/>
      <c r="AR414" s="992" t="n"/>
      <c r="AS414" s="992" t="n"/>
      <c r="AT414" s="992" t="n"/>
      <c r="AU414" s="992" t="n"/>
      <c r="AV414" s="992" t="n"/>
      <c r="AW414" s="992" t="n"/>
      <c r="AX414" s="1449">
        <f>IF(OR('6.Inland wetlands'!$AA153=list!$E$211,'6.Inland wetlands'!$AA153=list!$E$213),(MIN($E416,$F416)*time+ABS($F416-$E416)*IF($F416&gt;$E416,time*VLOOKUP($G416,list!$J$48:$K$50,2,0),time*(1-VLOOKUP($G416,list!$J$48:$K$50,2,0))))*$Q416/1000,0)</f>
        <v/>
      </c>
      <c r="AY414" s="1449">
        <f>IF(OR('6.Inland wetlands'!$AA153=list!$E$211,'6.Inland wetlands'!$AA153=list!$E$213),(MIN($E416,$F416)*time+ABS($F416-$E416)*IF($F416&gt;$E416,time*VLOOKUP($G416,list!$J$48:$K$50,2,0),time*(1-VLOOKUP($G416,list!$J$48:$K$50,2,0))))*$R416/1000,0)</f>
        <v/>
      </c>
      <c r="AZ414" s="1449">
        <f>IF(OR('6.Inland wetlands'!$AA153=list!$E$211,'6.Inland wetlands'!$AA153=list!$E$213),(MIN($E416,$J416)*time+ABS($J416-$E416)*IF($J416&gt;$E416,time*VLOOKUP($K416,list!$J$48:$K$50,2,0),time*(1-VLOOKUP($K416,list!$J$48:$K$50,2,0))))*$R416/1000,0)</f>
        <v/>
      </c>
      <c r="BA414" s="1449">
        <f>IF(OR('6.Inland wetlands'!$AA153=list!$E$211,'6.Inland wetlands'!$AA153=list!$E$213),(MIN($E416,$J416)*time+ABS($J416-$E416)*IF($J416&gt;$E416,time*VLOOKUP($K416,list!$J$48:$K$50,2,0),time*(1-VLOOKUP($K416,list!$J$48:$K$50,2,0))))*$R416/1000,0)</f>
        <v/>
      </c>
      <c r="BC414" s="1578" t="n"/>
      <c r="BD414" s="1578" t="n"/>
      <c r="BE414" s="1578" t="n"/>
      <c r="BF414" s="1578" t="n"/>
      <c r="BG414" s="1578" t="n"/>
      <c r="BK414" s="1321" t="inlineStr">
        <is>
          <t>CATEGORIES</t>
        </is>
      </c>
      <c r="BL414" s="1317" t="inlineStr">
        <is>
          <t>WITHOUT</t>
        </is>
      </c>
      <c r="BM414" s="1317" t="inlineStr">
        <is>
          <t>WITH</t>
        </is>
      </c>
      <c r="BP414" s="1321" t="inlineStr">
        <is>
          <t>CATEGORIES</t>
        </is>
      </c>
      <c r="BQ414" s="1317" t="inlineStr">
        <is>
          <t>BALANCE</t>
        </is>
      </c>
      <c r="BR414" s="1317" t="inlineStr">
        <is>
          <t>IMPLEM.</t>
        </is>
      </c>
      <c r="BS414" s="1318" t="inlineStr">
        <is>
          <t>CAPITAL.</t>
        </is>
      </c>
      <c r="BT414" s="1454" t="n"/>
    </row>
    <row r="415">
      <c r="B415" s="973">
        <f>'6.Inland wetlands'!I152</f>
        <v/>
      </c>
      <c r="C415" s="4739">
        <f>IF($B415="Please select","",IF(ISNUMBER(SEARCH("Annual",$B415)),"Annual",IF(ISNUMBER(SEARCH("Other",$B415)),"Other land",IF(ISNUMBER(SEARCH("Flooded rice",$B415)),"Flooded rice",IF(ISNUMBER(SEARCH("Grassland",$B415)),"Grassland",IF(ISNUMBER(SEARCH("Degraded land",$B415)),"Degraded land","Perennial"))))))</f>
        <v/>
      </c>
      <c r="D415" s="4737">
        <f>IF($B415&lt;&gt;"Please select",INDEX(IPCC!$D$1521:$Y$1680,MATCH(clim_moist_cont,IPCC!$C$1521:$C$1680,0),MATCH($B415,IPCC!$D$1520:$Y$1520,0)),0)</f>
        <v/>
      </c>
      <c r="E415" s="3501">
        <f>'6.Inland wetlands'!M152</f>
        <v/>
      </c>
      <c r="F415" s="3501">
        <f>'6.Inland wetlands'!$N152</f>
        <v/>
      </c>
      <c r="G415" s="1254">
        <f>VLOOKUP('6.Inland wetlands'!$O152, list!$I$48:$J$50,2,FALSE )</f>
        <v/>
      </c>
      <c r="H415" s="1254">
        <f>'6.Inland wetlands'!DB153</f>
        <v/>
      </c>
      <c r="I415" s="1255">
        <f>'6.Inland wetlands'!DC153</f>
        <v/>
      </c>
      <c r="J415" s="3501">
        <f>'6.Inland wetlands'!$P152</f>
        <v/>
      </c>
      <c r="K415" s="1254">
        <f>VLOOKUP('6.Inland wetlands'!$Q152, list!$I$48:$J$50,2,FALSE )</f>
        <v/>
      </c>
      <c r="L415" s="1254">
        <f>'6.Inland wetlands'!DE153</f>
        <v/>
      </c>
      <c r="M415" s="1255">
        <f>'6.Inland wetlands'!DF153</f>
        <v/>
      </c>
      <c r="N415" s="1145">
        <f>IF($C415="Annual", ((IFERROR(VLOOKUP((CONCATENATE(continent_selected,annual!$D$80)), Stats_yield_ton_per_ha!$A$9:$L$289, 12, FALSE),0)*VLOOKUP(annual!$D$79,IPCC!$A$8:$C$32,2,FALSE)+VLOOKUP(annual!$D$79,IPCC!$A$8:$C$32,3,FALSE))),$D415)</f>
        <v/>
      </c>
      <c r="O415" s="1145">
        <f>IFERROR($N415 *VLOOKUP($B415,IPCC!$A$1473:$E$1496,2, FALSE) * VLOOKUP($B415,IPCC!$A$1473:$E$1496,4, FALSE),0)</f>
        <v/>
      </c>
      <c r="P415" s="1145">
        <f>IFERROR($N415*VLOOKUP($B415,IPCC!$A$1473:$E$1496,2,FALSE)*VLOOKUP($B415,IPCC!$A$1473:$E$1496,5,FALSE),0)</f>
        <v/>
      </c>
      <c r="Q415" s="1544">
        <f>O415*methane</f>
        <v/>
      </c>
      <c r="R415" s="1544">
        <f>$P415*Nitrous</f>
        <v/>
      </c>
      <c r="S415" s="1151">
        <f>IF(OR('6.Inland wetlands'!$AA152=list!$E$211,'6.Inland wetlands'!$AA152=list!$E$213),(MIN($E415,$F415)*time_tot+ABS($F415-$E415)*IF($F415&gt;$E415,time_cap+time*VLOOKUP($G415,list!$J$48:$K$50,2,0),time*(1-VLOOKUP($G415,list!$J$48:$K$50,2,0))))*$Q415/1000,0)</f>
        <v/>
      </c>
      <c r="T415" s="1151">
        <f>IF(OR('6.Inland wetlands'!$AA152=list!$E$211,'6.Inland wetlands'!$AA152=list!$E$213),(MIN($E415,$F415)*time_tot+ABS($F415-$E415)*IF($F415&gt;$E415,time_cap+time*VLOOKUP($G415,list!$J$48:$K$50,2,0),time*(1-VLOOKUP($G415,list!$J$48:$K$50,2,0))))*$R415/1000,0)</f>
        <v/>
      </c>
      <c r="U415" s="1151">
        <f>IF(OR('6.Inland wetlands'!$AA152=list!$E$211,'6.Inland wetlands'!$AA152=list!$E$213),(MIN($E415,$J415)*time_tot+ABS($J415-$E415)*IF($J415&gt;$E415,time_cap+time*VLOOKUP($K415,list!$J$48:$K$50,2,0),time*(1-VLOOKUP($K415,list!$J$48:$K$50,2,0))))*$Q415/1000,0)</f>
        <v/>
      </c>
      <c r="V415" s="1151">
        <f>IF(OR('6.Inland wetlands'!$AA152=list!$E$211,'6.Inland wetlands'!$AA152=list!$E$213),(MIN($E415,$J415)*time_tot+ABS($J415-$E415)*IF($J415&gt;$E415,time_cap+time*VLOOKUP($K415,list!$J$48:$K$50,2,0),time*(1-VLOOKUP($K415,list!$J$48:$K$50,2,0))))*$R415/1000,0)</f>
        <v/>
      </c>
      <c r="AI415" s="1151">
        <f>S415+T415</f>
        <v/>
      </c>
      <c r="AJ415" s="1151">
        <f>U415+V415</f>
        <v/>
      </c>
      <c r="AK415" s="1159">
        <f>AJ415-AI415</f>
        <v/>
      </c>
      <c r="AM415" s="3507" t="n"/>
      <c r="AN415" s="3507" t="n"/>
      <c r="AO415" s="3507" t="n"/>
      <c r="AP415" s="992" t="n"/>
      <c r="AQ415" s="992" t="n"/>
      <c r="AR415" s="992" t="n"/>
      <c r="AS415" s="992" t="n"/>
      <c r="AT415" s="992" t="n"/>
      <c r="AU415" s="992" t="n"/>
      <c r="AV415" s="992" t="n"/>
      <c r="AW415" s="992" t="n"/>
      <c r="AX415" s="1449">
        <f>IF(OR('6.Inland wetlands'!$AA154=list!$E$211,'6.Inland wetlands'!$AA154=list!$E$213),(MIN($E417,$F417)*time+ABS($F417-$E417)*IF($F417&gt;$E417,time*VLOOKUP($G417,list!$J$48:$K$50,2,0),time*(1-VLOOKUP($G417,list!$J$48:$K$50,2,0))))*$Q417/1000,0)</f>
        <v/>
      </c>
      <c r="AY415" s="1449">
        <f>IF(OR('6.Inland wetlands'!$AA154=list!$E$211,'6.Inland wetlands'!$AA154=list!$E$213),(MIN($E417,$F417)*time+ABS($F417-$E417)*IF($F417&gt;$E417,time*VLOOKUP($G417,list!$J$48:$K$50,2,0),time*(1-VLOOKUP($G417,list!$J$48:$K$50,2,0))))*$R417/1000,0)</f>
        <v/>
      </c>
      <c r="AZ415" s="1449">
        <f>IF(OR('6.Inland wetlands'!$AA154=list!$E$211,'6.Inland wetlands'!$AA154=list!$E$213),(MIN($E417,$J417)*time+ABS($J417-$E417)*IF($J417&gt;$E417,time*VLOOKUP($K417,list!$J$48:$K$50,2,0),time*(1-VLOOKUP($K417,list!$J$48:$K$50,2,0))))*$R417/1000,0)</f>
        <v/>
      </c>
      <c r="BA415" s="1449">
        <f>IF(OR('6.Inland wetlands'!$AA154=list!$E$211,'6.Inland wetlands'!$AA154=list!$E$213),(MIN($E417,$J417)*time+ABS($J417-$E417)*IF($J417&gt;$E417,time*VLOOKUP($K417,list!$J$48:$K$50,2,0),time*(1-VLOOKUP($K417,list!$J$48:$K$50,2,0))))*$R417/1000,0)</f>
        <v/>
      </c>
      <c r="BC415" s="1578" t="n"/>
      <c r="BD415" s="1578" t="n"/>
      <c r="BE415" s="1578" t="n"/>
      <c r="BF415" s="1578" t="n"/>
      <c r="BG415" s="1578" t="n"/>
      <c r="BK415" s="1084" t="inlineStr">
        <is>
          <t>CO2 biomass</t>
        </is>
      </c>
      <c r="BL415" s="1312" t="n">
        <v>0</v>
      </c>
      <c r="BM415" s="1312" t="n">
        <v>0</v>
      </c>
      <c r="BN415" s="992">
        <f>BM415-BL415</f>
        <v/>
      </c>
      <c r="BP415" s="1084">
        <f>BK415</f>
        <v/>
      </c>
      <c r="BQ415" s="1453" t="n">
        <v>0</v>
      </c>
      <c r="BR415" s="1312" t="n">
        <v>0</v>
      </c>
      <c r="BS415" s="1453">
        <f>BQ415-BR415</f>
        <v/>
      </c>
      <c r="BT415" s="1455">
        <f>SUM(BR415:BS415)</f>
        <v/>
      </c>
    </row>
    <row r="416">
      <c r="B416" s="973">
        <f>'6.Inland wetlands'!I153</f>
        <v/>
      </c>
      <c r="C416" s="4739">
        <f>IF($B416="Please select","",IF(ISNUMBER(SEARCH("Annual",$B416)),"Annual",IF(ISNUMBER(SEARCH("Other",$B416)),"Other land",IF(ISNUMBER(SEARCH("Flooded rice",$B416)),"Flooded rice",IF(ISNUMBER(SEARCH("Grassland",$B416)),"Grassland",IF(ISNUMBER(SEARCH("Degraded land",$B416)),"Degraded land","Perennial"))))))</f>
        <v/>
      </c>
      <c r="D416" s="4737">
        <f>IF($B416&lt;&gt;"Please select",INDEX(IPCC!$D$1521:$Y$1680,MATCH(clim_moist_cont,IPCC!$C$1521:$C$1680,0),MATCH($B416,IPCC!$D$1520:$Y$1520,0)),0)</f>
        <v/>
      </c>
      <c r="E416" s="3501">
        <f>'6.Inland wetlands'!M153</f>
        <v/>
      </c>
      <c r="F416" s="3501">
        <f>'6.Inland wetlands'!$N153</f>
        <v/>
      </c>
      <c r="G416" s="1254">
        <f>VLOOKUP('6.Inland wetlands'!$O153, list!$I$48:$J$50,2,FALSE )</f>
        <v/>
      </c>
      <c r="H416" s="1254">
        <f>'6.Inland wetlands'!DB154</f>
        <v/>
      </c>
      <c r="I416" s="1255">
        <f>'6.Inland wetlands'!DC154</f>
        <v/>
      </c>
      <c r="J416" s="3501">
        <f>'6.Inland wetlands'!$P153</f>
        <v/>
      </c>
      <c r="K416" s="1254">
        <f>VLOOKUP('6.Inland wetlands'!$Q153, list!$I$48:$J$50,2,FALSE )</f>
        <v/>
      </c>
      <c r="L416" s="1254">
        <f>'6.Inland wetlands'!DE154</f>
        <v/>
      </c>
      <c r="M416" s="1255">
        <f>'6.Inland wetlands'!DF154</f>
        <v/>
      </c>
      <c r="N416" s="1145">
        <f>IF($C416="Annual", ((IFERROR(VLOOKUP((CONCATENATE(continent_selected,annual!$D$80)), Stats_yield_ton_per_ha!$A$9:$L$289, 12, FALSE),0)*VLOOKUP(annual!$D$79,IPCC!$A$8:$C$32,2,FALSE)+VLOOKUP(annual!$D$79,IPCC!$A$8:$C$32,3,FALSE))),$D416)</f>
        <v/>
      </c>
      <c r="O416" s="1145">
        <f>IFERROR($N416 *VLOOKUP($B416,IPCC!$A$1473:$E$1496,2, FALSE) * VLOOKUP($B416,IPCC!$A$1473:$E$1496,4, FALSE),0)</f>
        <v/>
      </c>
      <c r="P416" s="1145">
        <f>IFERROR($N416*VLOOKUP($B416,IPCC!$A$1473:$E$1496,2,FALSE)*VLOOKUP($B416,IPCC!$A$1473:$E$1496,5,FALSE),0)</f>
        <v/>
      </c>
      <c r="Q416" s="1544">
        <f>O416*methane</f>
        <v/>
      </c>
      <c r="R416" s="1544">
        <f>$P416*Nitrous</f>
        <v/>
      </c>
      <c r="S416" s="1151">
        <f>IF(OR('6.Inland wetlands'!$AA153=list!$E$211,'6.Inland wetlands'!$AA153=list!$E$213),(MIN($E416,$F416)*time_tot+ABS($F416-$E416)*IF($F416&gt;$E416,time_cap+time*VLOOKUP($G416,list!$J$48:$K$50,2,0),time*(1-VLOOKUP($G416,list!$J$48:$K$50,2,0))))*$Q416/1000,0)</f>
        <v/>
      </c>
      <c r="T416" s="1151">
        <f>IF(OR('6.Inland wetlands'!$AA153=list!$E$211,'6.Inland wetlands'!$AA153=list!$E$213),(MIN($E416,$F416)*time_tot+ABS($F416-$E416)*IF($F416&gt;$E416,time_cap+time*VLOOKUP($G416,list!$J$48:$K$50,2,0),time*(1-VLOOKUP($G416,list!$J$48:$K$50,2,0))))*$R416/1000,0)</f>
        <v/>
      </c>
      <c r="U416" s="1151">
        <f>IF(OR('6.Inland wetlands'!$AA153=list!$E$211,'6.Inland wetlands'!$AA153=list!$E$213),(MIN($E416,$J416)*time_tot+ABS($J416-$E416)*IF($J416&gt;$E416,time_cap+time*VLOOKUP($K416,list!$J$48:$K$50,2,0),time*(1-VLOOKUP($K416,list!$J$48:$K$50,2,0))))*$Q416/1000,0)</f>
        <v/>
      </c>
      <c r="V416" s="1151">
        <f>IF(OR('6.Inland wetlands'!$AA153=list!$E$211,'6.Inland wetlands'!$AA153=list!$E$213),(MIN($E416,$J416)*time_tot+ABS($J416-$E416)*IF($J416&gt;$E416,time_cap+time*VLOOKUP($K416,list!$J$48:$K$50,2,0),time*(1-VLOOKUP($K416,list!$J$48:$K$50,2,0))))*$R416/1000,0)</f>
        <v/>
      </c>
      <c r="AI416" s="1151">
        <f>S416+T416</f>
        <v/>
      </c>
      <c r="AJ416" s="1151">
        <f>U416+V416</f>
        <v/>
      </c>
      <c r="AK416" s="1159">
        <f>AJ416-AI416</f>
        <v/>
      </c>
      <c r="AM416" s="3507" t="n"/>
      <c r="AN416" s="3507" t="n"/>
      <c r="AO416" s="3507" t="n"/>
      <c r="AP416" s="992" t="n"/>
      <c r="AQ416" s="992" t="n"/>
      <c r="AR416" s="992" t="n"/>
      <c r="AS416" s="992" t="n"/>
      <c r="AT416" s="992" t="n"/>
      <c r="AU416" s="992" t="n"/>
      <c r="AV416" s="992" t="n"/>
      <c r="AW416" s="992" t="n"/>
      <c r="AX416" s="1449">
        <f>IF(OR('6.Inland wetlands'!$AA155=list!$E$211,'6.Inland wetlands'!$AA155=list!$E$213),(MIN($E418,$F418)*time+ABS($F418-$E418)*IF($F418&gt;$E418,time*VLOOKUP($G418,list!$J$48:$K$50,2,0),time*(1-VLOOKUP($G418,list!$J$48:$K$50,2,0))))*$Q418/1000,0)</f>
        <v/>
      </c>
      <c r="AY416" s="1449">
        <f>IF(OR('6.Inland wetlands'!$AA155=list!$E$211,'6.Inland wetlands'!$AA155=list!$E$213),(MIN($E418,$F418)*time+ABS($F418-$E418)*IF($F418&gt;$E418,time*VLOOKUP($G418,list!$J$48:$K$50,2,0),time*(1-VLOOKUP($G418,list!$J$48:$K$50,2,0))))*$R418/1000,0)</f>
        <v/>
      </c>
      <c r="AZ416" s="1449">
        <f>IF(OR('6.Inland wetlands'!$AA155=list!$E$211,'6.Inland wetlands'!$AA155=list!$E$213),(MIN($E418,$J418)*time+ABS($J418-$E418)*IF($J418&gt;$E418,time*VLOOKUP($K418,list!$J$48:$K$50,2,0),time*(1-VLOOKUP($K418,list!$J$48:$K$50,2,0))))*$R418/1000,0)</f>
        <v/>
      </c>
      <c r="BA416" s="1449">
        <f>IF(OR('6.Inland wetlands'!$AA155=list!$E$211,'6.Inland wetlands'!$AA155=list!$E$213),(MIN($E418,$J418)*time+ABS($J418-$E418)*IF($J418&gt;$E418,time*VLOOKUP($K418,list!$J$48:$K$50,2,0),time*(1-VLOOKUP($K418,list!$J$48:$K$50,2,0))))*$R418/1000,0)</f>
        <v/>
      </c>
      <c r="BK416" s="1084" t="inlineStr">
        <is>
          <t>CO2 soil drainage</t>
        </is>
      </c>
      <c r="BL416" s="1314">
        <f>SUM($AB439:$AB444)</f>
        <v/>
      </c>
      <c r="BM416" s="1314">
        <f>SUM($AC439:$AC444)</f>
        <v/>
      </c>
      <c r="BN416" s="992">
        <f>BM416-BL416</f>
        <v/>
      </c>
      <c r="BP416" s="1084">
        <f>BK416</f>
        <v/>
      </c>
      <c r="BQ416" s="1453">
        <f>SUM(AC439:AC444)-SUM(AB439:AB444)</f>
        <v/>
      </c>
      <c r="BR416" s="1312">
        <f>IF(time=0,0,SUM(AY439:AY444,BE439:BE444)-SUM(BD439:BD444,AX439:AX444))</f>
        <v/>
      </c>
      <c r="BS416" s="1453">
        <f>BQ416-BR416</f>
        <v/>
      </c>
      <c r="BT416" s="1455">
        <f>SUM(BR416:BS416)</f>
        <v/>
      </c>
    </row>
    <row r="417">
      <c r="B417" s="973">
        <f>'6.Inland wetlands'!I154</f>
        <v/>
      </c>
      <c r="C417" s="4739">
        <f>IF($B417="Please select","",IF(ISNUMBER(SEARCH("Annual",$B417)),"Annual",IF(ISNUMBER(SEARCH("Other",$B417)),"Other land",IF(ISNUMBER(SEARCH("Flooded rice",$B417)),"Flooded rice",IF(ISNUMBER(SEARCH("Grassland",$B417)),"Grassland",IF(ISNUMBER(SEARCH("Degraded land",$B417)),"Degraded land","Perennial"))))))</f>
        <v/>
      </c>
      <c r="D417" s="4737">
        <f>IF($B417&lt;&gt;"Please select",INDEX(IPCC!$D$1521:$Y$1680,MATCH(clim_moist_cont,IPCC!$C$1521:$C$1680,0),MATCH($B417,IPCC!$D$1520:$Y$1520,0)),0)</f>
        <v/>
      </c>
      <c r="E417" s="3501">
        <f>'6.Inland wetlands'!M154</f>
        <v/>
      </c>
      <c r="F417" s="3501">
        <f>'6.Inland wetlands'!$N154</f>
        <v/>
      </c>
      <c r="G417" s="1254">
        <f>VLOOKUP('6.Inland wetlands'!$O154, list!$I$48:$J$50,2,FALSE )</f>
        <v/>
      </c>
      <c r="H417" s="1254">
        <f>'6.Inland wetlands'!DB155</f>
        <v/>
      </c>
      <c r="I417" s="1255">
        <f>'6.Inland wetlands'!DC155</f>
        <v/>
      </c>
      <c r="J417" s="3501">
        <f>'6.Inland wetlands'!$P154</f>
        <v/>
      </c>
      <c r="K417" s="1254">
        <f>VLOOKUP('6.Inland wetlands'!$Q154, list!$I$48:$J$50,2,FALSE )</f>
        <v/>
      </c>
      <c r="L417" s="1254">
        <f>'6.Inland wetlands'!DE155</f>
        <v/>
      </c>
      <c r="M417" s="1255">
        <f>'6.Inland wetlands'!DF155</f>
        <v/>
      </c>
      <c r="N417" s="1145">
        <f>IF($C417="Annual", ((IFERROR(VLOOKUP((CONCATENATE(continent_selected,annual!$D$80)), Stats_yield_ton_per_ha!$A$9:$L$289, 12, FALSE),0)*VLOOKUP(annual!$D$79,IPCC!$A$8:$C$32,2,FALSE)+VLOOKUP(annual!$D$79,IPCC!$A$8:$C$32,3,FALSE))),$D417)</f>
        <v/>
      </c>
      <c r="O417" s="1145">
        <f>IFERROR($N417 *VLOOKUP($B417,IPCC!$A$1473:$E$1496,2, FALSE) * VLOOKUP($B417,IPCC!$A$1473:$E$1496,4, FALSE),0)</f>
        <v/>
      </c>
      <c r="P417" s="1145">
        <f>IFERROR($N417*VLOOKUP($B417,IPCC!$A$1473:$E$1496,2,FALSE)*VLOOKUP($B417,IPCC!$A$1473:$E$1496,5,FALSE),0)</f>
        <v/>
      </c>
      <c r="Q417" s="1544">
        <f>O417*methane</f>
        <v/>
      </c>
      <c r="R417" s="1544">
        <f>$P417*Nitrous</f>
        <v/>
      </c>
      <c r="S417" s="1151">
        <f>IF(OR('6.Inland wetlands'!$AA154=list!$E$211,'6.Inland wetlands'!$AA154=list!$E$213),(MIN($E417,$F417)*time_tot+ABS($F417-$E417)*IF($F417&gt;$E417,time_cap+time*VLOOKUP($G417,list!$J$48:$K$50,2,0),time*(1-VLOOKUP($G417,list!$J$48:$K$50,2,0))))*$Q417/1000,0)</f>
        <v/>
      </c>
      <c r="T417" s="1151">
        <f>IF(OR('6.Inland wetlands'!$AA154=list!$E$211,'6.Inland wetlands'!$AA154=list!$E$213),(MIN($E417,$F417)*time_tot+ABS($F417-$E417)*IF($F417&gt;$E417,time_cap+time*VLOOKUP($G417,list!$J$48:$K$50,2,0),time*(1-VLOOKUP($G417,list!$J$48:$K$50,2,0))))*$R417/1000,0)</f>
        <v/>
      </c>
      <c r="U417" s="1151">
        <f>IF(OR('6.Inland wetlands'!$AA154=list!$E$211,'6.Inland wetlands'!$AA154=list!$E$213),(MIN($E417,$J417)*time_tot+ABS($J417-$E417)*IF($J417&gt;$E417,time_cap+time*VLOOKUP($K417,list!$J$48:$K$50,2,0),time*(1-VLOOKUP($K417,list!$J$48:$K$50,2,0))))*$Q417/1000,0)</f>
        <v/>
      </c>
      <c r="V417" s="1151">
        <f>IF(OR('6.Inland wetlands'!$AA154=list!$E$211,'6.Inland wetlands'!$AA154=list!$E$213),(MIN($E417,$J417)*time_tot+ABS($J417-$E417)*IF($J417&gt;$E417,time_cap+time*VLOOKUP($K417,list!$J$48:$K$50,2,0),time*(1-VLOOKUP($K417,list!$J$48:$K$50,2,0))))*$R417/1000,0)</f>
        <v/>
      </c>
      <c r="AI417" s="1151">
        <f>S417+T417</f>
        <v/>
      </c>
      <c r="AJ417" s="1151">
        <f>U417+V417</f>
        <v/>
      </c>
      <c r="AK417" s="1159">
        <f>AJ417-AI417</f>
        <v/>
      </c>
      <c r="AM417" s="3507" t="n"/>
      <c r="AN417" s="3507" t="n"/>
      <c r="AO417" s="3507" t="n"/>
      <c r="AP417" s="992" t="n"/>
      <c r="AQ417" s="992" t="n"/>
      <c r="AR417" s="992" t="n"/>
      <c r="AS417" s="992" t="n"/>
      <c r="AT417" s="992" t="n"/>
      <c r="AU417" s="992" t="n"/>
      <c r="AV417" s="992" t="n"/>
      <c r="AW417" s="992" t="n"/>
      <c r="AX417" s="1449">
        <f>IF(OR('6.Inland wetlands'!$S156=list!$E$211,'6.Inland wetlands'!$S156=list!$E$213),(MIN($E419,$F419)*time+ABS($F419-$E419)*IF($F419&gt;$E419,time*VLOOKUP($G419,list!$J$48:$K$50,2,0),time*(1-VLOOKUP($G419,list!$J$48:$K$50,2,0))))*$Q419/1000,0)</f>
        <v/>
      </c>
      <c r="AY417" s="1449">
        <f>IF(OR('6.Inland wetlands'!$S156=list!$E$211,'6.Inland wetlands'!$S156=list!$E$213),(MIN($E419,$F419)*time+ABS($F419-$E419)*IF($F419&gt;$E419,time*VLOOKUP($G419,list!$J$48:$K$50,2,0),time*(1-VLOOKUP($G419,list!$J$48:$K$50,2,0))))*$R419/1000,0)</f>
        <v/>
      </c>
      <c r="AZ417" s="1449">
        <f>IF(OR('6.Inland wetlands'!$S156=list!$E$211,'6.Inland wetlands'!$S156=list!$E$213),(MIN($E419,$J419)*time+ABS($J419-$E419)*IF($J419&gt;$E419,time*VLOOKUP($K419,list!$J$48:$K$50,2,0),time*(1-VLOOKUP($K419,list!$J$48:$K$50,2,0))))*$R419/1000,0)</f>
        <v/>
      </c>
      <c r="BA417" s="1449">
        <f>IF(OR('6.Inland wetlands'!$S156=list!$E$211,'6.Inland wetlands'!$S156=list!$E$213),(MIN($E419,$J419)*time+ABS($J419-$E419)*IF($J419&gt;$E419,time*VLOOKUP($K419,list!$J$48:$K$50,2,0),time*(1-VLOOKUP($K419,list!$J$48:$K$50,2,0))))*$R419/1000,0)</f>
        <v/>
      </c>
      <c r="BK417" s="1084" t="inlineStr">
        <is>
          <t>CH4 soil drainage</t>
        </is>
      </c>
      <c r="BL417" s="1314">
        <f>SUM($AD439:$AD444)</f>
        <v/>
      </c>
      <c r="BM417" s="1314">
        <f>SUM($AE439:$AE444)</f>
        <v/>
      </c>
      <c r="BN417" s="992">
        <f>BM417-BL417</f>
        <v/>
      </c>
      <c r="BP417" s="1084">
        <f>BK417</f>
        <v/>
      </c>
      <c r="BQ417" s="1453">
        <f>SUM(AE439:AE444)-SUM(AD439:AD444)</f>
        <v/>
      </c>
      <c r="BR417" s="1312">
        <f>IF(time=0,0,SUM(BA439:BA444,BG439:BG444)-SUM(BF439:BF444,AZ439:AZ444))</f>
        <v/>
      </c>
      <c r="BS417" s="1453">
        <f>BQ417-BR417</f>
        <v/>
      </c>
      <c r="BT417" s="1455">
        <f>SUM(BR417:BS417)</f>
        <v/>
      </c>
    </row>
    <row r="418">
      <c r="B418" s="973">
        <f>'6.Inland wetlands'!I155</f>
        <v/>
      </c>
      <c r="C418" s="4739">
        <f>IF($B418="Please select","",IF(ISNUMBER(SEARCH("Annual",$B418)),"Annual",IF(ISNUMBER(SEARCH("Other",$B418)),"Other land",IF(ISNUMBER(SEARCH("Flooded rice",$B418)),"Flooded rice",IF(ISNUMBER(SEARCH("Grassland",$B418)),"Grassland",IF(ISNUMBER(SEARCH("Degraded land",$B418)),"Degraded land","Perennial"))))))</f>
        <v/>
      </c>
      <c r="D418" s="4737">
        <f>IF($B418&lt;&gt;"Please select",INDEX(IPCC!$D$1521:$Y$1680,MATCH(clim_moist_cont,IPCC!$C$1521:$C$1680,0),MATCH($B418,IPCC!$D$1520:$Y$1520,0)),0)</f>
        <v/>
      </c>
      <c r="E418" s="3501">
        <f>'6.Inland wetlands'!M155</f>
        <v/>
      </c>
      <c r="F418" s="3501">
        <f>'6.Inland wetlands'!$N155</f>
        <v/>
      </c>
      <c r="G418" s="1254">
        <f>VLOOKUP('6.Inland wetlands'!$O155, list!$I$48:$J$50,2,FALSE )</f>
        <v/>
      </c>
      <c r="H418" s="1254">
        <f>'6.Inland wetlands'!DB156</f>
        <v/>
      </c>
      <c r="I418" s="1255">
        <f>'6.Inland wetlands'!DC156</f>
        <v/>
      </c>
      <c r="J418" s="3501">
        <f>'6.Inland wetlands'!$P155</f>
        <v/>
      </c>
      <c r="K418" s="1254">
        <f>VLOOKUP('6.Inland wetlands'!$Q155, list!$I$48:$J$50,2,FALSE )</f>
        <v/>
      </c>
      <c r="L418" s="1254">
        <f>'6.Inland wetlands'!DE156</f>
        <v/>
      </c>
      <c r="M418" s="1255">
        <f>'6.Inland wetlands'!DF156</f>
        <v/>
      </c>
      <c r="N418" s="1145">
        <f>IF($C418="Annual", ((IFERROR(VLOOKUP((CONCATENATE(continent_selected,annual!$D$80)), Stats_yield_ton_per_ha!$A$9:$L$289, 12, FALSE),0)*VLOOKUP(annual!$D$79,IPCC!$A$8:$C$32,2,FALSE)+VLOOKUP(annual!$D$79,IPCC!$A$8:$C$32,3,FALSE))),$D418)</f>
        <v/>
      </c>
      <c r="O418" s="1145">
        <f>IFERROR($N418 *VLOOKUP($B418,IPCC!$A$1473:$E$1496,2, FALSE) * VLOOKUP($B418,IPCC!$A$1473:$E$1496,4, FALSE),0)</f>
        <v/>
      </c>
      <c r="P418" s="1145">
        <f>IFERROR($N418*VLOOKUP($B418,IPCC!$A$1473:$E$1496,2,FALSE)*VLOOKUP($B418,IPCC!$A$1473:$E$1496,5,FALSE),0)</f>
        <v/>
      </c>
      <c r="Q418" s="1544">
        <f>O418*methane</f>
        <v/>
      </c>
      <c r="R418" s="1544">
        <f>$P418*Nitrous</f>
        <v/>
      </c>
      <c r="S418" s="1151">
        <f>IF(OR('6.Inland wetlands'!$AA155=list!$E$211,'6.Inland wetlands'!$AA155=list!$E$213),(MIN($E418,$F418)*time_tot+ABS($F418-$E418)*IF($F418&gt;$E418,time_cap+time*VLOOKUP($G418,list!$J$48:$K$50,2,0),time*(1-VLOOKUP($G418,list!$J$48:$K$50,2,0))))*$Q418/1000,0)</f>
        <v/>
      </c>
      <c r="T418" s="1151">
        <f>IF(OR('6.Inland wetlands'!$AA155=list!$E$211,'6.Inland wetlands'!$AA155=list!$E$213),(MIN($E418,$F418)*time_tot+ABS($F418-$E418)*IF($F418&gt;$E418,time_cap+time*VLOOKUP($G418,list!$J$48:$K$50,2,0),time*(1-VLOOKUP($G418,list!$J$48:$K$50,2,0))))*$R418/1000,0)</f>
        <v/>
      </c>
      <c r="U418" s="1151">
        <f>IF(OR('6.Inland wetlands'!$AA155=list!$E$211,'6.Inland wetlands'!$AA155=list!$E$213),(MIN($E418,$J418)*time_tot+ABS($J418-$E418)*IF($J418&gt;$E418,time_cap+time*VLOOKUP($K418,list!$J$48:$K$50,2,0),time*(1-VLOOKUP($K418,list!$J$48:$K$50,2,0))))*$Q418/1000,0)</f>
        <v/>
      </c>
      <c r="V418" s="1151">
        <f>IF(OR('6.Inland wetlands'!$AA155=list!$E$211,'6.Inland wetlands'!$AA155=list!$E$213),(MIN($E418,$J418)*time_tot+ABS($J418-$E418)*IF($J418&gt;$E418,time_cap+time*VLOOKUP($K418,list!$J$48:$K$50,2,0),time*(1-VLOOKUP($K418,list!$J$48:$K$50,2,0))))*$R418/1000,0)</f>
        <v/>
      </c>
      <c r="AI418" s="1151">
        <f>S418+T418</f>
        <v/>
      </c>
      <c r="AJ418" s="1151">
        <f>U418+V418</f>
        <v/>
      </c>
      <c r="AK418" s="3499">
        <f>AJ418-AI418</f>
        <v/>
      </c>
      <c r="AM418" s="3507" t="n"/>
      <c r="AN418" s="3507" t="n"/>
      <c r="AO418" s="3507" t="n"/>
      <c r="AP418" s="992" t="n"/>
      <c r="AQ418" s="992" t="n"/>
      <c r="AR418" s="992" t="n"/>
      <c r="AS418" s="992" t="n"/>
      <c r="AT418" s="992" t="n"/>
      <c r="AU418" s="992" t="n"/>
      <c r="AV418" s="992" t="n"/>
      <c r="AW418" s="992" t="n"/>
      <c r="BK418" s="1084" t="inlineStr">
        <is>
          <t>N2O soil drainage</t>
        </is>
      </c>
      <c r="BL418" s="1314">
        <f>SUM($AF439:$AF444)</f>
        <v/>
      </c>
      <c r="BM418" s="1314">
        <f>SUM($AG439:$AG444)</f>
        <v/>
      </c>
      <c r="BN418" s="992">
        <f>BM418-BL418</f>
        <v/>
      </c>
      <c r="BP418" s="1084">
        <f>BK418</f>
        <v/>
      </c>
      <c r="BQ418" s="1453">
        <f>SUM(AG439:AG444)-SUM(AF439:AF444)</f>
        <v/>
      </c>
      <c r="BR418" s="1312">
        <f>IF(time=0,0,SUM(BC453:BC458)-SUM(BB453:BB458))</f>
        <v/>
      </c>
      <c r="BS418" s="1453">
        <f>BQ418-BR418</f>
        <v/>
      </c>
      <c r="BT418" s="1455">
        <f>SUM(BR418:BS418)</f>
        <v/>
      </c>
    </row>
    <row r="419">
      <c r="C419" s="4733" t="n"/>
      <c r="D419" s="4736" t="n"/>
      <c r="E419" s="992" t="n"/>
      <c r="F419" s="992" t="n"/>
      <c r="G419" s="1688" t="n"/>
      <c r="H419" s="1688" t="n"/>
      <c r="I419" s="1580" t="n"/>
      <c r="J419" s="992" t="n"/>
      <c r="K419" s="1688" t="n"/>
      <c r="L419" s="1688" t="n"/>
      <c r="M419" s="1580" t="n"/>
      <c r="N419" s="1581" t="n"/>
      <c r="O419" s="1187" t="n"/>
      <c r="P419" s="1187" t="n"/>
      <c r="Q419" s="1001" t="n"/>
      <c r="R419" s="1001" t="n"/>
      <c r="S419" s="1688" t="n"/>
      <c r="T419" s="1688" t="n"/>
      <c r="U419" s="1165" t="n"/>
      <c r="V419" s="1001" t="n"/>
      <c r="W419" s="1165" t="n"/>
      <c r="X419" s="1001" t="n"/>
      <c r="Y419" s="1165" t="n"/>
      <c r="Z419" s="1001" t="n"/>
      <c r="AA419" s="1165" t="n"/>
      <c r="AB419" s="1001" t="n"/>
      <c r="AD419" s="992" t="n"/>
      <c r="AE419" s="992" t="n"/>
      <c r="AF419" s="992" t="n"/>
      <c r="AG419" s="992" t="n"/>
      <c r="AH419" s="992" t="n"/>
      <c r="AM419" s="992" t="n"/>
      <c r="AN419" s="992" t="n"/>
      <c r="AO419" s="992" t="n"/>
      <c r="AP419" s="992" t="n"/>
      <c r="AQ419" s="992" t="n"/>
      <c r="AR419" s="992" t="n"/>
      <c r="AS419" s="992" t="n"/>
      <c r="AT419" s="992" t="n"/>
      <c r="AU419" s="992" t="n"/>
      <c r="AV419" s="992" t="n"/>
      <c r="AW419" s="992" t="n"/>
      <c r="BK419" s="1084" t="inlineStr">
        <is>
          <t>CO2 soil rewetting</t>
        </is>
      </c>
      <c r="BL419" s="1314">
        <f>SUM($AB453:$AB458)</f>
        <v/>
      </c>
      <c r="BM419" s="1314">
        <f>SUM($AC453:$AC458)</f>
        <v/>
      </c>
      <c r="BN419" s="992">
        <f>BM419-BL419</f>
        <v/>
      </c>
      <c r="BP419" s="1084">
        <f>BK419</f>
        <v/>
      </c>
      <c r="BQ419" s="1453">
        <f>SUM(AC453:AC458)-SUM(AB453:AB458)</f>
        <v/>
      </c>
      <c r="BR419" s="1312">
        <f>IF(time=0,0,SUM(AY453:AY458)-SUM(AX453:AX458))</f>
        <v/>
      </c>
      <c r="BS419" s="1453">
        <f>BQ419-BR419</f>
        <v/>
      </c>
      <c r="BT419" s="1455">
        <f>SUM(BR419:BS419)</f>
        <v/>
      </c>
    </row>
    <row r="420">
      <c r="Q420" s="1120" t="inlineStr">
        <is>
          <t>GWP CO = 2</t>
        </is>
      </c>
      <c r="R420" s="1001" t="n"/>
      <c r="S420" s="1688" t="n"/>
      <c r="T420" s="1688" t="n"/>
      <c r="U420" s="1165" t="n"/>
      <c r="V420" s="1001" t="n"/>
      <c r="W420" s="1165" t="n"/>
      <c r="X420" s="1001" t="n"/>
      <c r="Y420" s="1165" t="n"/>
      <c r="Z420" s="1001" t="n"/>
      <c r="AA420" s="1165" t="n"/>
      <c r="AB420" s="1001" t="n"/>
      <c r="AD420" s="992" t="n"/>
      <c r="AE420" s="992" t="n"/>
      <c r="AF420" s="992" t="n"/>
      <c r="AG420" s="992" t="n"/>
      <c r="AH420" s="992" t="n"/>
      <c r="AI420" s="992" t="n"/>
      <c r="AM420" s="992" t="n"/>
      <c r="AN420" s="992" t="n"/>
      <c r="AO420" s="992" t="n"/>
      <c r="AP420" s="992" t="n"/>
      <c r="AQ420" s="992" t="n"/>
      <c r="AR420" s="992" t="n"/>
      <c r="AS420" s="992" t="n"/>
      <c r="AT420" s="992" t="n"/>
      <c r="AU420" s="992" t="n"/>
      <c r="AV420" s="992" t="n"/>
      <c r="AW420" s="992" t="n"/>
      <c r="BK420" s="1084" t="inlineStr">
        <is>
          <t>CH4 soil rewetting</t>
        </is>
      </c>
      <c r="BL420" s="1314">
        <f>SUM($AD453:$AD458)</f>
        <v/>
      </c>
      <c r="BM420" s="1314">
        <f>SUM($AE453:$AE458)</f>
        <v/>
      </c>
      <c r="BN420" s="992">
        <f>BM420-BL420</f>
        <v/>
      </c>
      <c r="BP420" s="1084">
        <f>BK420</f>
        <v/>
      </c>
      <c r="BQ420" s="1453">
        <f>SUM(AE453:AE458)-SUM(AD453:AD458)</f>
        <v/>
      </c>
      <c r="BR420" s="1312">
        <f>IF(time=0,0,SUM(BA453:BA458)-SUM(AZ453:AZ458))</f>
        <v/>
      </c>
      <c r="BS420" s="1453">
        <f>BQ420-BR420</f>
        <v/>
      </c>
      <c r="BT420" s="1455">
        <f>SUM(BR420:BS420)</f>
        <v/>
      </c>
    </row>
    <row r="421" ht="16" customHeight="1">
      <c r="A421" s="1306" t="n"/>
      <c r="O421" s="1497" t="inlineStr">
        <is>
          <t>Fire on soil emission factors</t>
        </is>
      </c>
      <c r="P421" s="1276" t="n"/>
      <c r="Q421" s="1276" t="n"/>
      <c r="R421" s="1276" t="n"/>
      <c r="S421" s="1276" t="n"/>
      <c r="T421" s="1276" t="n"/>
      <c r="U421" s="1276" t="n"/>
      <c r="V421" s="1276" t="n"/>
      <c r="W421" s="1276" t="n"/>
      <c r="X421" s="1276" t="inlineStr">
        <is>
          <t>SOIL FIRE EMISSIONS</t>
        </is>
      </c>
      <c r="Y421" s="1276" t="n"/>
      <c r="Z421" s="1276" t="n"/>
      <c r="AC421" s="1281" t="n"/>
      <c r="AD421" s="1275" t="inlineStr">
        <is>
          <t>SOIL FIRE EMISSIONS (also valid for rewetted soil)</t>
        </is>
      </c>
      <c r="AE421" s="1276" t="n"/>
      <c r="AF421" s="1276" t="n"/>
      <c r="AG421" s="1276" t="n"/>
      <c r="AI421" s="1270" t="inlineStr">
        <is>
          <t>Total emissions tCO2eq</t>
        </is>
      </c>
      <c r="AJ421" s="1116" t="n"/>
      <c r="AK421" s="1116" t="n"/>
      <c r="AM421" s="992" t="n"/>
      <c r="AN421" s="992" t="n"/>
      <c r="AO421" s="992" t="n"/>
      <c r="AP421" s="992" t="n"/>
      <c r="AQ421" s="992" t="n"/>
      <c r="AR421" s="992" t="n"/>
      <c r="AS421" s="992" t="n"/>
      <c r="AT421" s="992" t="n"/>
      <c r="AU421" s="992" t="n"/>
      <c r="AV421" s="992" t="n"/>
      <c r="AW421" s="992" t="n"/>
      <c r="AX421" s="1271" t="inlineStr">
        <is>
          <t>FIRE ON SOIL</t>
        </is>
      </c>
      <c r="BK421" s="1084" t="inlineStr">
        <is>
          <t>N2O soil rewetting</t>
        </is>
      </c>
      <c r="BL421" s="1314">
        <f>SUM($AF453:$AF458)</f>
        <v/>
      </c>
      <c r="BM421" s="1314">
        <f>SUM($AG453:$AG458)</f>
        <v/>
      </c>
      <c r="BN421" s="992">
        <f>BM421-BL421</f>
        <v/>
      </c>
      <c r="BP421" s="1084">
        <f>BK421</f>
        <v/>
      </c>
      <c r="BQ421" s="1453">
        <f>SUM(AG453:AG458)-SUM(AF453:AF458)</f>
        <v/>
      </c>
      <c r="BR421" s="1312">
        <f>IF(time=0,0,SUM(BC453:BC458)-SUM(BB453:BB458))</f>
        <v/>
      </c>
      <c r="BS421" s="1453">
        <f>BQ421-BR421</f>
        <v/>
      </c>
      <c r="BT421" s="1455">
        <f>SUM(BR421:BS421)</f>
        <v/>
      </c>
    </row>
    <row r="422" ht="16" customHeight="1">
      <c r="A422" s="1306" t="n"/>
      <c r="O422" s="1275" t="inlineStr">
        <is>
          <t>CO2</t>
        </is>
      </c>
      <c r="P422" s="1276" t="n"/>
      <c r="Q422" s="1275" t="inlineStr">
        <is>
          <t>CO</t>
        </is>
      </c>
      <c r="R422" s="1276" t="n"/>
      <c r="S422" s="1275" t="inlineStr">
        <is>
          <t>CH4</t>
        </is>
      </c>
      <c r="T422" s="1276" t="n"/>
      <c r="U422" s="1275" t="inlineStr">
        <is>
          <t>Dry matter</t>
        </is>
      </c>
      <c r="V422" s="1276" t="n"/>
      <c r="W422" s="1276" t="n"/>
      <c r="X422" s="1276" t="n"/>
      <c r="Y422" s="1276" t="n"/>
      <c r="Z422" s="1276" t="n"/>
      <c r="AD422" s="1276" t="inlineStr">
        <is>
          <t>tCO2-eq all period</t>
        </is>
      </c>
      <c r="AE422" s="1276" t="n"/>
      <c r="AF422" s="1276" t="n"/>
      <c r="AG422" s="1276" t="n"/>
      <c r="AI422" s="1270" t="inlineStr">
        <is>
          <t>ALL PERIOD</t>
        </is>
      </c>
      <c r="AJ422" s="1116" t="n"/>
      <c r="AK422" s="1116" t="n"/>
      <c r="AM422" s="992" t="n"/>
      <c r="AN422" s="992" t="n"/>
      <c r="AO422" s="992" t="n"/>
      <c r="AP422" s="992" t="n"/>
      <c r="AQ422" s="992" t="n"/>
      <c r="AR422" s="992" t="n"/>
      <c r="AS422" s="992" t="n"/>
      <c r="AT422" s="992" t="n"/>
      <c r="AU422" s="992" t="n"/>
      <c r="AV422" s="992" t="n"/>
      <c r="AW422" s="992" t="n"/>
      <c r="AX422" s="1450" t="inlineStr">
        <is>
          <t>CO2</t>
        </is>
      </c>
      <c r="AY422" s="1450" t="n"/>
      <c r="AZ422" s="1450" t="inlineStr">
        <is>
          <t>CH4</t>
        </is>
      </c>
      <c r="BA422" s="1450" t="n"/>
      <c r="BB422" s="1452" t="n"/>
      <c r="BC422" s="1452" t="n"/>
      <c r="BD422" s="1452" t="n"/>
      <c r="BE422" s="1452" t="n"/>
      <c r="BF422" s="1452" t="n"/>
      <c r="BG422" s="1452" t="n"/>
      <c r="BK422" s="1084" t="inlineStr">
        <is>
          <t>CO2 Fire</t>
        </is>
      </c>
      <c r="BL422" s="1314">
        <f>SUM(AD425:AD430)</f>
        <v/>
      </c>
      <c r="BM422" s="1314">
        <f>SUM(AE425:AE430)</f>
        <v/>
      </c>
      <c r="BN422" s="992">
        <f>BM422-BL422</f>
        <v/>
      </c>
      <c r="BP422" s="1084">
        <f>BK422</f>
        <v/>
      </c>
      <c r="BQ422" s="1453">
        <f>SUM(AE425:AE430)-SUM(AD425:AD430)</f>
        <v/>
      </c>
      <c r="BR422" s="1312">
        <f>IF(time=0,0,SUM(AY425:AY430)-SUM(AX425:AX430))</f>
        <v/>
      </c>
      <c r="BS422" s="1453">
        <f>BQ422-BR422</f>
        <v/>
      </c>
      <c r="BT422" s="1455">
        <f>SUM(BR422:BS422)</f>
        <v/>
      </c>
    </row>
    <row r="423" ht="16" customHeight="1">
      <c r="A423" s="1306" t="n"/>
      <c r="O423" s="1276" t="inlineStr">
        <is>
          <t>gC/kg d.m.</t>
        </is>
      </c>
      <c r="P423" s="1276" t="n"/>
      <c r="Q423" s="1276" t="inlineStr">
        <is>
          <t>gCO/kg d.m.</t>
        </is>
      </c>
      <c r="R423" s="1276" t="n"/>
      <c r="S423" s="1276" t="inlineStr">
        <is>
          <t>gCH4/kg d.m.</t>
        </is>
      </c>
      <c r="T423" s="1276" t="n"/>
      <c r="U423" s="1276" t="inlineStr">
        <is>
          <t>t d.m./ha</t>
        </is>
      </c>
      <c r="V423" s="1276" t="n"/>
      <c r="W423" s="1276" t="n"/>
      <c r="X423" s="1309" t="inlineStr">
        <is>
          <t>Biomass burnt (tonne dry matter)</t>
        </is>
      </c>
      <c r="Y423" s="1276" t="n"/>
      <c r="Z423" s="1276" t="n"/>
      <c r="AC423" s="1281" t="n"/>
      <c r="AD423" s="1276" t="inlineStr">
        <is>
          <t>CO2&amp;CO</t>
        </is>
      </c>
      <c r="AE423" s="1276" t="n"/>
      <c r="AF423" s="1276" t="inlineStr">
        <is>
          <t>CH4</t>
        </is>
      </c>
      <c r="AG423" s="1276" t="n"/>
      <c r="AI423" s="1270" t="inlineStr">
        <is>
          <t>SOIL FIRE</t>
        </is>
      </c>
      <c r="AJ423" s="1116" t="n"/>
      <c r="AK423" s="1116" t="n"/>
      <c r="AM423" s="992" t="n"/>
      <c r="AN423" s="992" t="n"/>
      <c r="AO423" s="992" t="n"/>
      <c r="AP423" s="992" t="n"/>
      <c r="AQ423" s="992" t="n"/>
      <c r="AR423" s="992" t="n"/>
      <c r="AS423" s="992" t="n"/>
      <c r="AT423" s="992" t="n"/>
      <c r="AU423" s="992" t="n"/>
      <c r="AV423" s="992" t="n"/>
      <c r="AW423" s="992" t="n"/>
      <c r="AX423" s="1264" t="inlineStr">
        <is>
          <t>IMPLEMENTATION PHASE</t>
        </is>
      </c>
      <c r="AZ423" s="1264" t="inlineStr">
        <is>
          <t>IMPLEMENTATION PHASE</t>
        </is>
      </c>
      <c r="BK423" s="1084" t="inlineStr">
        <is>
          <t>CH4 Fire</t>
        </is>
      </c>
      <c r="BL423" s="1314">
        <f>SUM(S413:S418)+SUM(AF425:AF430)</f>
        <v/>
      </c>
      <c r="BM423" s="1314">
        <f>SUM(U413:U418)+SUM(AG425:AG430)</f>
        <v/>
      </c>
      <c r="BN423" s="992">
        <f>BM423-BL423</f>
        <v/>
      </c>
      <c r="BP423" s="1084">
        <f>BK423</f>
        <v/>
      </c>
      <c r="BQ423" s="1453">
        <f>SUM(U413:U418)-SUM(S413:S418)+SUM(AG425:AG430)-SUM(AF425:AF430)</f>
        <v/>
      </c>
      <c r="BR423" s="1312">
        <f>IF(time=0,0,SUM(BA425:BA430)-SUM(AZ425:AZ430)+SUM(AY412:AY417)-SUM(AX412:AX417))</f>
        <v/>
      </c>
      <c r="BS423" s="1453">
        <f>BQ423-BR423</f>
        <v/>
      </c>
      <c r="BT423" s="1455">
        <f>SUM(BR423:BS423)</f>
        <v/>
      </c>
    </row>
    <row r="424">
      <c r="A424" s="1306" t="n"/>
      <c r="O424" s="1277" t="inlineStr">
        <is>
          <t>IPCC</t>
        </is>
      </c>
      <c r="P424" s="1277" t="inlineStr">
        <is>
          <t>Tier 2</t>
        </is>
      </c>
      <c r="Q424" s="1277" t="inlineStr">
        <is>
          <t>IPCC</t>
        </is>
      </c>
      <c r="R424" s="1277" t="inlineStr">
        <is>
          <t>Tier 2</t>
        </is>
      </c>
      <c r="S424" s="1277" t="inlineStr">
        <is>
          <t>IPCC</t>
        </is>
      </c>
      <c r="T424" s="1277" t="inlineStr">
        <is>
          <t>Tier 2</t>
        </is>
      </c>
      <c r="U424" s="1277" t="inlineStr">
        <is>
          <t>IPCC</t>
        </is>
      </c>
      <c r="V424" s="1277" t="inlineStr">
        <is>
          <t>Tier 2</t>
        </is>
      </c>
      <c r="W424" s="1276" t="n"/>
      <c r="X424" s="973" t="inlineStr">
        <is>
          <t>Start</t>
        </is>
      </c>
      <c r="Y424" s="1102" t="inlineStr">
        <is>
          <t>Without</t>
        </is>
      </c>
      <c r="Z424" s="1103" t="inlineStr">
        <is>
          <t>With</t>
        </is>
      </c>
      <c r="AC424" s="1688" t="n"/>
      <c r="AD424" s="1102" t="inlineStr">
        <is>
          <t>Without</t>
        </is>
      </c>
      <c r="AE424" s="1103" t="inlineStr">
        <is>
          <t>With</t>
        </is>
      </c>
      <c r="AF424" s="1102" t="inlineStr">
        <is>
          <t>Without</t>
        </is>
      </c>
      <c r="AG424" s="1103" t="inlineStr">
        <is>
          <t>With</t>
        </is>
      </c>
      <c r="AI424" s="1102" t="inlineStr">
        <is>
          <t>WITHOUT</t>
        </is>
      </c>
      <c r="AJ424" s="1103" t="inlineStr">
        <is>
          <t>WITH</t>
        </is>
      </c>
      <c r="AK424" s="1104" t="inlineStr">
        <is>
          <t>BALANCE</t>
        </is>
      </c>
      <c r="AM424" s="992" t="n"/>
      <c r="AN424" s="992" t="n"/>
      <c r="AO424" s="992" t="n"/>
      <c r="AP424" s="992" t="n"/>
      <c r="AQ424" s="992" t="n"/>
      <c r="AR424" s="992" t="n"/>
      <c r="AS424" s="992" t="n"/>
      <c r="AT424" s="992" t="n"/>
      <c r="AU424" s="992" t="n"/>
      <c r="AV424" s="992" t="n"/>
      <c r="AW424" s="992" t="n"/>
      <c r="AX424" s="1272" t="inlineStr">
        <is>
          <t>WITHOUT</t>
        </is>
      </c>
      <c r="AY424" s="1272" t="inlineStr">
        <is>
          <t>WITH</t>
        </is>
      </c>
      <c r="AZ424" s="1272" t="inlineStr">
        <is>
          <t>WITHOUT</t>
        </is>
      </c>
      <c r="BA424" s="1272" t="inlineStr">
        <is>
          <t>WITH</t>
        </is>
      </c>
      <c r="BK424" s="1459" t="inlineStr">
        <is>
          <t>N2O Fire</t>
        </is>
      </c>
      <c r="BL424" s="1319">
        <f>SUM(T413:T418)</f>
        <v/>
      </c>
      <c r="BM424" s="1319">
        <f>SUM(V413:V418)</f>
        <v/>
      </c>
      <c r="BN424" s="992">
        <f>BM424-BL424</f>
        <v/>
      </c>
      <c r="BP424" s="1459">
        <f>BK424</f>
        <v/>
      </c>
      <c r="BQ424" s="1500">
        <f>SUM(V413:V418)-SUM(T413:T418)</f>
        <v/>
      </c>
      <c r="BR424" s="1499">
        <f>IF(time=0,0,SUM(BA412:BA417)-SUM(AZ412:AZ417))</f>
        <v/>
      </c>
      <c r="BS424" s="1320">
        <f>BQ424-BR424</f>
        <v/>
      </c>
      <c r="BT424" s="1455">
        <f>SUM(BR424:BS424)</f>
        <v/>
      </c>
    </row>
    <row r="425">
      <c r="A425" s="1466" t="inlineStr">
        <is>
          <t>S1</t>
        </is>
      </c>
      <c r="O425" s="1111">
        <f>IFERROR(INDEX(IPCC!$A$2037:$D$2048,MATCH(clim_moist,IPCC!$A$2037:$A$2048,0),MATCH($O$422,IPCC!$A$2037:$D$2037,0)),0)</f>
        <v/>
      </c>
      <c r="P425" s="1161">
        <f>IF('6.Inland wetlands'!DI151="",'6.Inland wetlands'!$DH151,'6.Inland wetlands'!$DI151)</f>
        <v/>
      </c>
      <c r="Q425" s="1111">
        <f>IFERROR(INDEX(IPCC!$A$2037:$D$2048,MATCH(clim_moist,IPCC!$A$2037:$A$2048,0),MATCH($Q$422,IPCC!$A$2037:$D$2037,0)),0)</f>
        <v/>
      </c>
      <c r="R425" s="1161">
        <f>IF('6.Inland wetlands'!$DK151="",'6.Inland wetlands'!$DJ151,'6.Inland wetlands'!$DK151)</f>
        <v/>
      </c>
      <c r="S425" s="1111">
        <f>IFERROR(INDEX(IPCC!$A$2037:$D$2048,MATCH(clim_moist,IPCC!$A$2037:$A$2048,0),MATCH($S$422,IPCC!$A$2037:$D$2037,0)),0)</f>
        <v/>
      </c>
      <c r="T425" s="1161">
        <f>IF('6.Inland wetlands'!$DM151="",'6.Inland wetlands'!$DL151,'6.Inland wetlands'!$DM151)</f>
        <v/>
      </c>
      <c r="U425" s="1111">
        <f>IFERROR(INDEX(IPCC!$A$2020:$D$2031,MATCH(clim_moist,IPCC!$A$2021:$A$2031,0),MATCH('6.Inland wetlands'!$CZ151,IPCC!$A$2020:$D$2020,0)),0)</f>
        <v/>
      </c>
      <c r="V425" s="1161">
        <f>IF('6.Inland wetlands'!$DO151="",'6.Inland wetlands'!$DN151,'6.Inland wetlands'!$DO151)</f>
        <v/>
      </c>
      <c r="W425" s="1276" t="n"/>
      <c r="X425" s="1151">
        <f>IF('6.Inland wetlands'!$CZ151=list!$F$210,0,$V425*$E413)</f>
        <v/>
      </c>
      <c r="Y425" s="1151">
        <f>IF('6.Inland wetlands'!$CZ151=list!$F$210,0,$V425*$F413)</f>
        <v/>
      </c>
      <c r="Z425" s="1151">
        <f>IF('6.Inland wetlands'!$CZ151=list!$F$210,0,$V425*$J413)</f>
        <v/>
      </c>
      <c r="AC425" s="3501" t="n"/>
      <c r="AD425" s="1151">
        <f>IF(OR('6.Inland wetlands'!$AB150=list!$E$210,'6.Inland wetlands'!$AB150=list!$E$212,'6.Inland wetlands'!$AB150=list!$E$214),0,IF($H413&gt;time_tot,0,MIN($X425,$Y425)*time_tot+ABS($Y425-$X425)*IF($Y425&gt;$X425,time_cap+time*VLOOKUP($G413,list!$J$48:$K$50,2,0),time*(1-VLOOKUP($G413,list!$J$48:$K$50,2,0))))*(1/$H413)*($I413)*($P425*44/12/1000)+IF($H413&gt;time_tot,0,MIN($X425,$Y425)*time_tot+ABS($Y425-$X425)*IF($Y425&gt;$X425,time_cap+time*VLOOKUP($G413,list!$J$48:$K$50,2,0),time*(1-VLOOKUP($G413,list!$J$48:$K$50,2,0))))*(1/$H413)*($I413)*($R425*2/1000))</f>
        <v/>
      </c>
      <c r="AE425" s="1151">
        <f>IF(OR('6.Inland wetlands'!$AB150=list!$E$210,'6.Inland wetlands'!$AB150=list!$E$211,'6.Inland wetlands'!$AB150=list!$E$214),0,IF($L413&gt;time_tot,0,MIN($X425,$Z425)*time_tot+ABS($Z425-$X425)*IF($Z425&gt;$X425,time_cap+time*VLOOKUP($K413,list!$J$48:$K$50,2,0),time*(1-VLOOKUP($K413,list!$J$48:$K$50,2,0))))*(1/$L413)*($M413)*($P425*44/12/1000)+IF($L413&gt;time_tot,0,MIN($X425,$Z425)*time_tot+ABS($Z425-$X425)*IF($Z425&gt;$X425,time_cap+time*VLOOKUP($K413,list!$J$48:$K$50,2,0),time*(1-VLOOKUP($K413,list!$J$48:$K$50,2,0))))*(1/$L413)*($M413)*($R425*2/1000))</f>
        <v/>
      </c>
      <c r="AF425" s="1151">
        <f>IF(OR('6.Inland wetlands'!$AB150=list!$E$210,'6.Inland wetlands'!$AB150=list!$E$212,'6.Inland wetlands'!$AB150=list!$E$214),0,IF($H413&gt;time_tot,0,MIN($X425,$Y425)*time_tot+ABS($Y425-$X425)*IF($Y425&gt;$X425,time_cap+time*VLOOKUP($G413,list!$J$48:$K$50,2,0),time*(1-VLOOKUP($G413,list!$J$48:$K$50,2,0))))*(1/$H413)*($I413)*($T425*methane/1000))</f>
        <v/>
      </c>
      <c r="AG425" s="1151">
        <f>IF(OR('6.Inland wetlands'!$AB150=list!$E$210,'6.Inland wetlands'!$AB150=list!$E$211,'6.Inland wetlands'!$AB150=list!$E$214),0,IF($L413&gt;time_tot,0,MIN($X425,$Z425)*time_tot+ABS($Z425-$X425)*IF($Z425&gt;$X425,time_cap+time*VLOOKUP($K413,list!$J$48:$K$50,2,0),time*(1-VLOOKUP($K413,list!$J$48:$K$50,2,0))))*(1/$L413)*($M413)*($T425*methane/1000))</f>
        <v/>
      </c>
      <c r="AI425" s="3495">
        <f>SUM(AD425,AF425)</f>
        <v/>
      </c>
      <c r="AJ425" s="1152">
        <f>SUM(AE425,AG425)</f>
        <v/>
      </c>
      <c r="AK425" s="1160">
        <f>AJ425-AI425</f>
        <v/>
      </c>
      <c r="AM425" s="992" t="n"/>
      <c r="AN425" s="992" t="n"/>
      <c r="AO425" s="992" t="n"/>
      <c r="AP425" s="992" t="n"/>
      <c r="AQ425" s="992" t="n"/>
      <c r="AR425" s="992" t="n"/>
      <c r="AS425" s="992" t="n"/>
      <c r="AT425" s="992" t="n"/>
      <c r="AU425" s="992" t="n"/>
      <c r="AV425" s="992" t="n"/>
      <c r="AW425" s="992" t="n"/>
      <c r="AX425" s="1449">
        <f>IF('6.Inland wetlands'!$CZ151=list!$F$210,0,IF($H413&gt;time,0,MIN($X425,$Y425)*time+ABS($Y425-$X425)*IF($Y425&gt;$X425,time*VLOOKUP($G413,list!$J$48:$K$50,2,0),time*(1-VLOOKUP($G413,list!$J$48:$K$50,2,0))))*(1/$H413)*($I413)*($P425/1000)+IF($H413&gt;time_tot,0,MIN($X425,$Y425)*time+ABS($Y425-$X425)*IF($Y425&gt;$X425,time*VLOOKUP($G413,list!$J$48:$K$50,2,0),time*(1-VLOOKUP($G413,list!$J$48:$K$50,2,0))))*(1/$H413)*($I413)*($R425*2/1000))</f>
        <v/>
      </c>
      <c r="AY425" s="1449">
        <f>IF('6.Inland wetlands'!$CZ196=list!$F$210,0,IF($L413&gt;time,0,MIN($X425,$Z425)*time+ABS($Z425-$X425)*IF($Z425&gt;$X425,time*VLOOKUP($K413,list!$J$48:$K$50,2,0),time*(1-VLOOKUP($K413,list!$J$48:$K$50,2,0))))*(1/$L413)*($M413)*($P425/1000)+IF($L413&gt;time,0,MIN($X425,$Z425)*time+ABS($Z425-$X425)*IF($Z425&gt;$X425,time*VLOOKUP($K413,list!$J$48:$K$50,2,0),time*(1-VLOOKUP($K413,list!$J$48:$K$50,2,0))))*(1/$L413)*($M413)*($R425*2/1000))</f>
        <v/>
      </c>
      <c r="AZ425" s="1449">
        <f>IF('6.Inland wetlands'!$CZ196=list!$F$210,0,IF($H413&gt;time,0,MIN($X425,$Y425)*time+ABS($Y425-$X425)*IF($Y425&gt;$X425,time*VLOOKUP($G413,list!$J$48:$K$50,2,0),time*(1-VLOOKUP($G413,list!$J$48:$K$50,2,0))))*(1/$H413)*($I413)*($T425*methane/1000))</f>
        <v/>
      </c>
      <c r="BA425" s="1449">
        <f>IF('6.Inland wetlands'!$CZ196=list!$F$210,0,IF($L413&gt;time,0,MIN($X425,$Z425)*time+ABS($Z425-$X425)*IF($Z425&gt;$X425,time*VLOOKUP($K413,list!$J$48:$K$50,2,0),time*(1-VLOOKUP($K413,list!$J$48:$K$50,2,0))))*(1/$L413)*($M413)*($T425*methane/1000))</f>
        <v/>
      </c>
      <c r="BN425" s="1688" t="n"/>
      <c r="BP425" s="1316" t="n"/>
      <c r="BQ425" s="1460">
        <f>SUM(BQ415:BQ424)</f>
        <v/>
      </c>
      <c r="BR425" s="1460">
        <f>SUM(BR415:BR424)</f>
        <v/>
      </c>
      <c r="BS425" s="1460">
        <f>SUM(BS415:BS424)</f>
        <v/>
      </c>
      <c r="BT425" s="992">
        <f>BR425+BS425</f>
        <v/>
      </c>
    </row>
    <row r="426">
      <c r="A426" s="1466" t="inlineStr">
        <is>
          <t>S2</t>
        </is>
      </c>
      <c r="O426" s="1111">
        <f>IFERROR(INDEX(IPCC!$A$2037:$D$2048,MATCH(clim_moist,IPCC!$A$2037:$A$2048,0),MATCH($O$422,IPCC!$A$2037:$D$2037,0)),0)</f>
        <v/>
      </c>
      <c r="P426" s="1161">
        <f>IF('6.Inland wetlands'!DI152="",'6.Inland wetlands'!$DH152,'6.Inland wetlands'!$DI152)</f>
        <v/>
      </c>
      <c r="Q426" s="1111">
        <f>IFERROR(INDEX(IPCC!$A$2037:$D$2048,MATCH(clim_moist,IPCC!$A$2037:$A$2048,0),MATCH($Q$422,IPCC!$A$2037:$D$2037,0)),0)</f>
        <v/>
      </c>
      <c r="R426" s="1161">
        <f>IF('6.Inland wetlands'!$DK152="",'6.Inland wetlands'!$DJ152,'6.Inland wetlands'!$DK152)</f>
        <v/>
      </c>
      <c r="S426" s="1111">
        <f>IFERROR(INDEX(IPCC!$A$2037:$D$2048,MATCH(clim_moist,IPCC!$A$2037:$A$2048,0),MATCH($S$422,IPCC!$A$2037:$D$2037,0)),0)</f>
        <v/>
      </c>
      <c r="T426" s="1161">
        <f>IF('6.Inland wetlands'!$DM152="",'6.Inland wetlands'!$DL152,'6.Inland wetlands'!$DM152)</f>
        <v/>
      </c>
      <c r="U426" s="1111">
        <f>IFERROR(INDEX(IPCC!$A$2020:$D$2031,MATCH(clim_moist,IPCC!$A$2021:$A$2031,0),MATCH('6.Inland wetlands'!$CZ152,IPCC!$A$2020:$D$2020,0)),0)</f>
        <v/>
      </c>
      <c r="V426" s="1161">
        <f>IF('6.Inland wetlands'!$DO152="",'6.Inland wetlands'!$DN152,'6.Inland wetlands'!$DO152)</f>
        <v/>
      </c>
      <c r="W426" s="1276" t="n"/>
      <c r="X426" s="1151">
        <f>IF('6.Inland wetlands'!$CZ152=list!$F$210,0,$V426*$E414)</f>
        <v/>
      </c>
      <c r="Y426" s="1151">
        <f>IF('6.Inland wetlands'!$CZ152=list!$F$210,0,$V426*$F414)</f>
        <v/>
      </c>
      <c r="Z426" s="1151">
        <f>IF('6.Inland wetlands'!$CZ152=list!$F$210,0,$V426*$J414)</f>
        <v/>
      </c>
      <c r="AC426" s="3501" t="n"/>
      <c r="AD426" s="1151">
        <f>IF(OR('6.Inland wetlands'!$AB151=list!$E$210,'6.Inland wetlands'!$AB151=list!$E$212,'6.Inland wetlands'!$AB151=list!$E$214),0,IF($H414&gt;time_tot,0,MIN($X426,$Y426)*time_tot+ABS($Y426-$X426)*IF($Y426&gt;$X426,time_cap+time*VLOOKUP($G414,list!$J$48:$K$50,2,0),time*(1-VLOOKUP($G414,list!$J$48:$K$50,2,0))))*(1/$H414)*($I414)*($P426*44/12/1000)+IF($H414&gt;time_tot,0,MIN($X426,$Y426)*time_tot+ABS($Y426-$X426)*IF($Y426&gt;$X426,time_cap+time*VLOOKUP($G414,list!$J$48:$K$50,2,0),time*(1-VLOOKUP($G414,list!$J$48:$K$50,2,0))))*(1/$H414)*($I414)*($R426*2/1000))</f>
        <v/>
      </c>
      <c r="AE426" s="1151">
        <f>IF(OR('6.Inland wetlands'!$AB151=list!$E$210,'6.Inland wetlands'!$AB151=list!$E$211,'6.Inland wetlands'!$AB151=list!$E$214),0,IF($L414&gt;time_tot,0,MIN($X426,$Z426)*time_tot+ABS($Z426-$X426)*IF($Z426&gt;$X426,time_cap+time*VLOOKUP($K414,list!$J$48:$K$50,2,0),time*(1-VLOOKUP($K414,list!$J$48:$K$50,2,0))))*(1/$L414)*($M414)*($P426*44/12/1000)+IF($L414&gt;time_tot,0,MIN($X426,$Z426)*time_tot+ABS($Z426-$X426)*IF($Z426&gt;$X426,time_cap+time*VLOOKUP($K414,list!$J$48:$K$50,2,0),time*(1-VLOOKUP($K414,list!$J$48:$K$50,2,0))))*(1/$L414)*($M414)*($R426*2/1000))</f>
        <v/>
      </c>
      <c r="AF426" s="1151">
        <f>IF(OR('6.Inland wetlands'!$AB151=list!$E$210,'6.Inland wetlands'!$AB151=list!$E$212,'6.Inland wetlands'!$AB151=list!$E$214),0,IF($H414&gt;time_tot,0,MIN($X426,$Y426)*time_tot+ABS($Y426-$X426)*IF($Y426&gt;$X426,time_cap+time*VLOOKUP($G414,list!$J$48:$K$50,2,0),time*(1-VLOOKUP($G414,list!$J$48:$K$50,2,0))))*(1/$H414)*($I414)*($T426*methane/1000))</f>
        <v/>
      </c>
      <c r="AG426" s="1151">
        <f>IF(OR('6.Inland wetlands'!$AB151=list!$E$210,'6.Inland wetlands'!$AB151=list!$E$211,'6.Inland wetlands'!$AB151=list!$E$214),0,IF($L414&gt;time_tot,0,MIN($X426,$Z426)*time_tot+ABS($Z426-$X426)*IF($Z426&gt;$X426,time_cap+time*VLOOKUP($K414,list!$J$48:$K$50,2,0),time*(1-VLOOKUP($K414,list!$J$48:$K$50,2,0))))*(1/$L414)*($M414)*($T426*methane/1000))</f>
        <v/>
      </c>
      <c r="AI426" s="3495">
        <f>SUM(AD426,AF426)</f>
        <v/>
      </c>
      <c r="AJ426" s="1152">
        <f>SUM(AE426,AG426)</f>
        <v/>
      </c>
      <c r="AK426" s="1160">
        <f>AJ426-AI426</f>
        <v/>
      </c>
      <c r="AM426" s="992" t="n"/>
      <c r="AN426" s="992" t="n"/>
      <c r="AO426" s="992" t="n"/>
      <c r="AP426" s="992" t="n"/>
      <c r="AQ426" s="992" t="n"/>
      <c r="AR426" s="992" t="n"/>
      <c r="AS426" s="992" t="n"/>
      <c r="AT426" s="992" t="n"/>
      <c r="AU426" s="992" t="n"/>
      <c r="AV426" s="992" t="n"/>
      <c r="AW426" s="992" t="n"/>
      <c r="AX426" s="1449">
        <f>IF('6.Inland wetlands'!$CZ152=list!$F$210,0,IF($H414&gt;time,0,MIN($X426,$Y426)*time+ABS($Y426-$X426)*IF($Y426&gt;$X426,time*VLOOKUP($G414,list!$J$48:$K$50,2,0),time*(1-VLOOKUP($G414,list!$J$48:$K$50,2,0))))*(1/$H414)*($I414)*($P426/1000)+IF($H414&gt;time_tot,0,MIN($X426,$Y426)*time+ABS($Y426-$X426)*IF($Y426&gt;$X426,time*VLOOKUP($G414,list!$J$48:$K$50,2,0),time*(1-VLOOKUP($G414,list!$J$48:$K$50,2,0))))*(1/$H414)*($I414)*($R426*2/1000))</f>
        <v/>
      </c>
      <c r="AY426" s="1449">
        <f>IF('6.Inland wetlands'!$CZ197=list!$F$210,0,IF($L414&gt;time,0,MIN($X426,$Z426)*time+ABS($Z426-$X426)*IF($Z426&gt;$X426,time*VLOOKUP($K414,list!$J$48:$K$50,2,0),time*(1-VLOOKUP($K414,list!$J$48:$K$50,2,0))))*(1/$L414)*($M414)*($P426/1000)+IF($L414&gt;time,0,MIN($X426,$Z426)*time+ABS($Z426-$X426)*IF($Z426&gt;$X426,time*VLOOKUP($K414,list!$J$48:$K$50,2,0),time*(1-VLOOKUP($K414,list!$J$48:$K$50,2,0))))*(1/$L414)*($M414)*($R426*2/1000))</f>
        <v/>
      </c>
      <c r="AZ426" s="1449">
        <f>IF('6.Inland wetlands'!$CZ197=list!$F$210,0,IF($H414&gt;time,0,MIN($X426,$Y426)*time+ABS($Y426-$X426)*IF($Y426&gt;$X426,time*VLOOKUP($G414,list!$J$48:$K$50,2,0),time*(1-VLOOKUP($G414,list!$J$48:$K$50,2,0))))*(1/$H414)*($I414)*($T426*methane/1000))</f>
        <v/>
      </c>
      <c r="BA426" s="1449">
        <f>IF('6.Inland wetlands'!$CZ197=list!$F$210,0,IF($L414&gt;time,0,MIN($X426,$Z426)*time+ABS($Z426-$X426)*IF($Z426&gt;$X426,time*VLOOKUP($K414,list!$J$48:$K$50,2,0),time*(1-VLOOKUP($K414,list!$J$48:$K$50,2,0))))*(1/$L414)*($M414)*($T426*methane/1000))</f>
        <v/>
      </c>
      <c r="BK426" s="973" t="inlineStr">
        <is>
          <t>TOTAL (tCO2-eq)</t>
        </is>
      </c>
      <c r="BL426" s="992">
        <f>SUM(BL415:BL424)</f>
        <v/>
      </c>
      <c r="BM426" s="992">
        <f>SUM(BM415:BM424)</f>
        <v/>
      </c>
      <c r="BN426" s="992">
        <f>BM426-BL426</f>
        <v/>
      </c>
      <c r="BO426" s="1246" t="n"/>
    </row>
    <row r="427">
      <c r="A427" s="1466" t="inlineStr">
        <is>
          <t>S3</t>
        </is>
      </c>
      <c r="O427" s="1111">
        <f>IFERROR(INDEX(IPCC!$A$2037:$D$2048,MATCH(clim_moist,IPCC!$A$2037:$A$2048,0),MATCH($O$422,IPCC!$A$2037:$D$2037,0)),0)</f>
        <v/>
      </c>
      <c r="P427" s="1161">
        <f>IF('6.Inland wetlands'!DI153="",'6.Inland wetlands'!$DH153,'6.Inland wetlands'!$DI153)</f>
        <v/>
      </c>
      <c r="Q427" s="1111">
        <f>IFERROR(INDEX(IPCC!$A$2037:$D$2048,MATCH(clim_moist,IPCC!$A$2037:$A$2048,0),MATCH($Q$422,IPCC!$A$2037:$D$2037,0)),0)</f>
        <v/>
      </c>
      <c r="R427" s="1161">
        <f>IF('6.Inland wetlands'!$DK153="",'6.Inland wetlands'!$DJ153,'6.Inland wetlands'!$DK153)</f>
        <v/>
      </c>
      <c r="S427" s="1111">
        <f>IFERROR(INDEX(IPCC!$A$2037:$D$2048,MATCH(clim_moist,IPCC!$A$2037:$A$2048,0),MATCH($S$422,IPCC!$A$2037:$D$2037,0)),0)</f>
        <v/>
      </c>
      <c r="T427" s="1161">
        <f>IF('6.Inland wetlands'!$DM153="",'6.Inland wetlands'!$DL153,'6.Inland wetlands'!$DM153)</f>
        <v/>
      </c>
      <c r="U427" s="1111">
        <f>IFERROR(INDEX(IPCC!$A$2020:$D$2031,MATCH(clim_moist,IPCC!$A$2021:$A$2031,0),MATCH('6.Inland wetlands'!$CZ153,IPCC!$A$2020:$D$2020,0)),0)</f>
        <v/>
      </c>
      <c r="V427" s="1161">
        <f>IF('6.Inland wetlands'!$DO153="",'6.Inland wetlands'!$DN153,'6.Inland wetlands'!$DO153)</f>
        <v/>
      </c>
      <c r="W427" s="1276" t="n"/>
      <c r="X427" s="1151">
        <f>IF('6.Inland wetlands'!$CZ153=list!$F$210,0,$V427*$E415)</f>
        <v/>
      </c>
      <c r="Y427" s="1151">
        <f>IF('6.Inland wetlands'!$CZ153=list!$F$210,0,$V427*$F415)</f>
        <v/>
      </c>
      <c r="Z427" s="1151">
        <f>IF('6.Inland wetlands'!$CZ153=list!$F$210,0,$V427*$J415)</f>
        <v/>
      </c>
      <c r="AC427" s="3501" t="n"/>
      <c r="AD427" s="1151">
        <f>IF(OR('6.Inland wetlands'!$AB152=list!$E$210,'6.Inland wetlands'!$AB152=list!$E$212,'6.Inland wetlands'!$AB152=list!$E$214),0,IF($H415&gt;time_tot,0,MIN($X427,$Y427)*time_tot+ABS($Y427-$X427)*IF($Y427&gt;$X427,time_cap+time*VLOOKUP($G415,list!$J$48:$K$50,2,0),time*(1-VLOOKUP($G415,list!$J$48:$K$50,2,0))))*(1/$H415)*($I415)*($P427*44/12/1000)+IF($H415&gt;time_tot,0,MIN($X427,$Y427)*time_tot+ABS($Y427-$X427)*IF($Y427&gt;$X427,time_cap+time*VLOOKUP($G415,list!$J$48:$K$50,2,0),time*(1-VLOOKUP($G415,list!$J$48:$K$50,2,0))))*(1/$H415)*($I415)*($R427*2/1000))</f>
        <v/>
      </c>
      <c r="AE427" s="1151">
        <f>IF(OR('6.Inland wetlands'!$AB152=list!$E$210,'6.Inland wetlands'!$AB152=list!$E$211,'6.Inland wetlands'!$AB152=list!$E$214),0,IF($L415&gt;time_tot,0,MIN($X427,$Z427)*time_tot+ABS($Z427-$X427)*IF($Z427&gt;$X427,time_cap+time*VLOOKUP($K415,list!$J$48:$K$50,2,0),time*(1-VLOOKUP($K415,list!$J$48:$K$50,2,0))))*(1/$L415)*($M415)*($P427*44/12/1000)+IF($L415&gt;time_tot,0,MIN($X427,$Z427)*time_tot+ABS($Z427-$X427)*IF($Z427&gt;$X427,time_cap+time*VLOOKUP($K415,list!$J$48:$K$50,2,0),time*(1-VLOOKUP($K415,list!$J$48:$K$50,2,0))))*(1/$L415)*($M415)*($R427*2/1000))</f>
        <v/>
      </c>
      <c r="AF427" s="1151">
        <f>IF(OR('6.Inland wetlands'!$AB152=list!$E$210,'6.Inland wetlands'!$AB152=list!$E$212,'6.Inland wetlands'!$AB152=list!$E$214),0,IF($H415&gt;time_tot,0,MIN($X427,$Y427)*time_tot+ABS($Y427-$X427)*IF($Y427&gt;$X427,time_cap+time*VLOOKUP($G415,list!$J$48:$K$50,2,0),time*(1-VLOOKUP($G415,list!$J$48:$K$50,2,0))))*(1/$H415)*($I415)*($T427*methane/1000))</f>
        <v/>
      </c>
      <c r="AG427" s="1151">
        <f>IF(OR('6.Inland wetlands'!$AB152=list!$E$210,'6.Inland wetlands'!$AB152=list!$E$211,'6.Inland wetlands'!$AB152=list!$E$214),0,IF($L415&gt;time_tot,0,MIN($X427,$Z427)*time_tot+ABS($Z427-$X427)*IF($Z427&gt;$X427,time_cap+time*VLOOKUP($K415,list!$J$48:$K$50,2,0),time*(1-VLOOKUP($K415,list!$J$48:$K$50,2,0))))*(1/$L415)*($M415)*($T427*methane/1000))</f>
        <v/>
      </c>
      <c r="AI427" s="3495">
        <f>SUM(AD427,AF427)</f>
        <v/>
      </c>
      <c r="AJ427" s="1152">
        <f>SUM(AE427,AG427)</f>
        <v/>
      </c>
      <c r="AK427" s="1160">
        <f>AJ427-AI427</f>
        <v/>
      </c>
      <c r="AM427" s="992" t="n"/>
      <c r="AN427" s="992" t="n"/>
      <c r="AO427" s="992" t="n"/>
      <c r="AP427" s="992" t="n"/>
      <c r="AQ427" s="992" t="n"/>
      <c r="AR427" s="992" t="n"/>
      <c r="AS427" s="992" t="n"/>
      <c r="AT427" s="992" t="n"/>
      <c r="AU427" s="992" t="n"/>
      <c r="AV427" s="992" t="n"/>
      <c r="AW427" s="992" t="n"/>
      <c r="AX427" s="1449">
        <f>IF('6.Inland wetlands'!$CZ153=list!$F$210,0,IF($H415&gt;time,0,MIN($X427,$Y427)*time+ABS($Y427-$X427)*IF($Y427&gt;$X427,time*VLOOKUP($G415,list!$J$48:$K$50,2,0),time*(1-VLOOKUP($G415,list!$J$48:$K$50,2,0))))*(1/$H415)*($I415)*($P427/1000)+IF($H415&gt;time_tot,0,MIN($X427,$Y427)*time+ABS($Y427-$X427)*IF($Y427&gt;$X427,time*VLOOKUP($G415,list!$J$48:$K$50,2,0),time*(1-VLOOKUP($G415,list!$J$48:$K$50,2,0))))*(1/$H415)*($I415)*($R427*2/1000))</f>
        <v/>
      </c>
      <c r="AY427" s="1449">
        <f>IF('6.Inland wetlands'!$CZ198=list!$F$210,0,IF($L415&gt;time,0,MIN($X427,$Z427)*time+ABS($Z427-$X427)*IF($Z427&gt;$X427,time*VLOOKUP($K415,list!$J$48:$K$50,2,0),time*(1-VLOOKUP($K415,list!$J$48:$K$50,2,0))))*(1/$L415)*($M415)*($P427/1000)+IF($L415&gt;time,0,MIN($X427,$Z427)*time+ABS($Z427-$X427)*IF($Z427&gt;$X427,time*VLOOKUP($K415,list!$J$48:$K$50,2,0),time*(1-VLOOKUP($K415,list!$J$48:$K$50,2,0))))*(1/$L415)*($M415)*($R427*2/1000))</f>
        <v/>
      </c>
      <c r="AZ427" s="1449">
        <f>IF('6.Inland wetlands'!$CZ198=list!$F$210,0,IF($H415&gt;time,0,MIN($X427,$Y427)*time+ABS($Y427-$X427)*IF($Y427&gt;$X427,time*VLOOKUP($G415,list!$J$48:$K$50,2,0),time*(1-VLOOKUP($G415,list!$J$48:$K$50,2,0))))*(1/$H415)*($I415)*($T427*methane/1000))</f>
        <v/>
      </c>
      <c r="BA427" s="1449">
        <f>IF('6.Inland wetlands'!$CZ198=list!$F$210,0,IF($L415&gt;time,0,MIN($X427,$Z427)*time+ABS($Z427-$X427)*IF($Z427&gt;$X427,time*VLOOKUP($K415,list!$J$48:$K$50,2,0),time*(1-VLOOKUP($K415,list!$J$48:$K$50,2,0))))*(1/$L415)*($M415)*($T427*methane/1000))</f>
        <v/>
      </c>
      <c r="BK427" s="973" t="inlineStr">
        <is>
          <t>Total CO2eq activity</t>
        </is>
      </c>
      <c r="BL427" s="992">
        <f>SUM(AI413:AI418,AI425:AI430,AI439:AI444,AI453:AI458)</f>
        <v/>
      </c>
      <c r="BM427" s="992">
        <f>SUM(AJ413:AJ418,AJ425:AJ430,AJ439:AJ444,AJ453:AJ458)</f>
        <v/>
      </c>
      <c r="BN427" s="992">
        <f>SUM(AK413:AK418,AK425:AK430,AK439:AK444,AK453:AK458)</f>
        <v/>
      </c>
      <c r="BO427" s="1246" t="n"/>
    </row>
    <row r="428">
      <c r="A428" s="1466" t="inlineStr">
        <is>
          <t>S4</t>
        </is>
      </c>
      <c r="O428" s="1111">
        <f>IFERROR(INDEX(IPCC!$A$2037:$D$2048,MATCH(clim_moist,IPCC!$A$2037:$A$2048,0),MATCH($O$422,IPCC!$A$2037:$D$2037,0)),0)</f>
        <v/>
      </c>
      <c r="P428" s="1161">
        <f>IF('6.Inland wetlands'!DI154="",'6.Inland wetlands'!$DH154,'6.Inland wetlands'!$DI154)</f>
        <v/>
      </c>
      <c r="Q428" s="1111">
        <f>IFERROR(INDEX(IPCC!$A$2037:$D$2048,MATCH(clim_moist,IPCC!$A$2037:$A$2048,0),MATCH($Q$422,IPCC!$A$2037:$D$2037,0)),0)</f>
        <v/>
      </c>
      <c r="R428" s="1161">
        <f>IF('6.Inland wetlands'!$DK154="",'6.Inland wetlands'!$DJ154,'6.Inland wetlands'!$DK154)</f>
        <v/>
      </c>
      <c r="S428" s="1111">
        <f>IFERROR(INDEX(IPCC!$A$2037:$D$2048,MATCH(clim_moist,IPCC!$A$2037:$A$2048,0),MATCH($S$422,IPCC!$A$2037:$D$2037,0)),0)</f>
        <v/>
      </c>
      <c r="T428" s="1161">
        <f>IF('6.Inland wetlands'!$DM154="",'6.Inland wetlands'!$DL154,'6.Inland wetlands'!$DM154)</f>
        <v/>
      </c>
      <c r="U428" s="1111">
        <f>IFERROR(INDEX(IPCC!$A$2020:$D$2031,MATCH(clim_moist,IPCC!$A$2021:$A$2031,0),MATCH('6.Inland wetlands'!$CZ154,IPCC!$A$2020:$D$2020,0)),0)</f>
        <v/>
      </c>
      <c r="V428" s="1161">
        <f>IF('6.Inland wetlands'!$DO154="",'6.Inland wetlands'!$DN154,'6.Inland wetlands'!$DO154)</f>
        <v/>
      </c>
      <c r="W428" s="1276" t="n"/>
      <c r="X428" s="1151">
        <f>IF('6.Inland wetlands'!$CZ154=list!$F$210,0,$V428*$E416)</f>
        <v/>
      </c>
      <c r="Y428" s="1151">
        <f>IF('6.Inland wetlands'!$CZ154=list!$F$210,0,$V428*$F416)</f>
        <v/>
      </c>
      <c r="Z428" s="1151">
        <f>IF('6.Inland wetlands'!$CZ154=list!$F$210,0,$V428*$J416)</f>
        <v/>
      </c>
      <c r="AC428" s="3501" t="n"/>
      <c r="AD428" s="1151">
        <f>IF(OR('6.Inland wetlands'!$AB153=list!$E$210,'6.Inland wetlands'!$AB153=list!$E$212,'6.Inland wetlands'!$AB153=list!$E$214),0,IF($H416&gt;time_tot,0,MIN($X428,$Y428)*time_tot+ABS($Y428-$X428)*IF($Y428&gt;$X428,time_cap+time*VLOOKUP($G416,list!$J$48:$K$50,2,0),time*(1-VLOOKUP($G416,list!$J$48:$K$50,2,0))))*(1/$H416)*($I416)*($P428*44/12/1000)+IF($H416&gt;time_tot,0,MIN($X428,$Y428)*time_tot+ABS($Y428-$X428)*IF($Y428&gt;$X428,time_cap+time*VLOOKUP($G416,list!$J$48:$K$50,2,0),time*(1-VLOOKUP($G416,list!$J$48:$K$50,2,0))))*(1/$H416)*($I416)*($R428*2/1000))</f>
        <v/>
      </c>
      <c r="AE428" s="1151">
        <f>IF(OR('6.Inland wetlands'!$AB153=list!$E$210,'6.Inland wetlands'!$AB153=list!$E$211,'6.Inland wetlands'!$AB153=list!$E$214),0,IF($L416&gt;time_tot,0,MIN($X428,$Z428)*time_tot+ABS($Z428-$X428)*IF($Z428&gt;$X428,time_cap+time*VLOOKUP($K416,list!$J$48:$K$50,2,0),time*(1-VLOOKUP($K416,list!$J$48:$K$50,2,0))))*(1/$L416)*($M416)*($P428*44/12/1000)+IF($L416&gt;time_tot,0,MIN($X428,$Z428)*time_tot+ABS($Z428-$X428)*IF($Z428&gt;$X428,time_cap+time*VLOOKUP($K416,list!$J$48:$K$50,2,0),time*(1-VLOOKUP($K416,list!$J$48:$K$50,2,0))))*(1/$L416)*($M416)*($R428*2/1000))</f>
        <v/>
      </c>
      <c r="AF428" s="1151">
        <f>IF(OR('6.Inland wetlands'!$AB153=list!$E$210,'6.Inland wetlands'!$AB153=list!$E$212,'6.Inland wetlands'!$AB153=list!$E$214),0,IF($H416&gt;time_tot,0,MIN($X428,$Y428)*time_tot+ABS($Y428-$X428)*IF($Y428&gt;$X428,time_cap+time*VLOOKUP($G416,list!$J$48:$K$50,2,0),time*(1-VLOOKUP($G416,list!$J$48:$K$50,2,0))))*(1/$H416)*($I416)*($T428*methane/1000))</f>
        <v/>
      </c>
      <c r="AG428" s="1151">
        <f>IF(OR('6.Inland wetlands'!$AB153=list!$E$210,'6.Inland wetlands'!$AB153=list!$E$211,'6.Inland wetlands'!$AB153=list!$E$214),0,IF($L416&gt;time_tot,0,MIN($X428,$Z428)*time_tot+ABS($Z428-$X428)*IF($Z428&gt;$X428,time_cap+time*VLOOKUP($K416,list!$J$48:$K$50,2,0),time*(1-VLOOKUP($K416,list!$J$48:$K$50,2,0))))*(1/$L416)*($M416)*($T428*methane/1000))</f>
        <v/>
      </c>
      <c r="AI428" s="3495">
        <f>SUM(AD428,AF428)</f>
        <v/>
      </c>
      <c r="AJ428" s="1152">
        <f>SUM(AE428,AG428)</f>
        <v/>
      </c>
      <c r="AK428" s="1160">
        <f>AJ428-AI428</f>
        <v/>
      </c>
      <c r="AM428" s="992" t="n"/>
      <c r="AN428" s="992" t="n"/>
      <c r="AO428" s="992" t="n"/>
      <c r="AP428" s="992" t="n"/>
      <c r="AQ428" s="992" t="n"/>
      <c r="AR428" s="992" t="n"/>
      <c r="AS428" s="992" t="n"/>
      <c r="AT428" s="992" t="n"/>
      <c r="AU428" s="992" t="n"/>
      <c r="AV428" s="992" t="n"/>
      <c r="AW428" s="992" t="n"/>
      <c r="AX428" s="1449">
        <f>IF('6.Inland wetlands'!$CZ154=list!$F$210,0,IF($H416&gt;time,0,MIN($X428,$Y428)*time+ABS($Y428-$X428)*IF($Y428&gt;$X428,time*VLOOKUP($G416,list!$J$48:$K$50,2,0),time*(1-VLOOKUP($G416,list!$J$48:$K$50,2,0))))*(1/$H416)*($I416)*($P428/1000)+IF($H416&gt;time_tot,0,MIN($X428,$Y428)*time+ABS($Y428-$X428)*IF($Y428&gt;$X428,time*VLOOKUP($G416,list!$J$48:$K$50,2,0),time*(1-VLOOKUP($G416,list!$J$48:$K$50,2,0))))*(1/$H416)*($I416)*($R428*2/1000))</f>
        <v/>
      </c>
      <c r="AY428" s="1449">
        <f>IF('6.Inland wetlands'!$CZ199=list!$F$210,0,IF($L416&gt;time,0,MIN($X428,$Z428)*time+ABS($Z428-$X428)*IF($Z428&gt;$X428,time*VLOOKUP($K416,list!$J$48:$K$50,2,0),time*(1-VLOOKUP($K416,list!$J$48:$K$50,2,0))))*(1/$L416)*($M416)*($P428/1000)+IF($L416&gt;time,0,MIN($X428,$Z428)*time+ABS($Z428-$X428)*IF($Z428&gt;$X428,time*VLOOKUP($K416,list!$J$48:$K$50,2,0),time*(1-VLOOKUP($K416,list!$J$48:$K$50,2,0))))*(1/$L416)*($M416)*($R428*2/1000))</f>
        <v/>
      </c>
      <c r="AZ428" s="1449">
        <f>IF('6.Inland wetlands'!$CZ199=list!$F$210,0,IF($H416&gt;time,0,MIN($X428,$Y428)*time+ABS($Y428-$X428)*IF($Y428&gt;$X428,time*VLOOKUP($G416,list!$J$48:$K$50,2,0),time*(1-VLOOKUP($G416,list!$J$48:$K$50,2,0))))*(1/$H416)*($I416)*($T428*methane/1000))</f>
        <v/>
      </c>
      <c r="BA428" s="1449">
        <f>IF('6.Inland wetlands'!$CZ199=list!$F$210,0,IF($L416&gt;time,0,MIN($X428,$Z428)*time+ABS($Z428-$X428)*IF($Z428&gt;$X428,time*VLOOKUP($K416,list!$J$48:$K$50,2,0),time*(1-VLOOKUP($K416,list!$J$48:$K$50,2,0))))*(1/$L416)*($M416)*($T428*methane/1000))</f>
        <v/>
      </c>
      <c r="BK428" s="1582" t="n"/>
      <c r="BL428" s="1583" t="n"/>
      <c r="BM428" s="1583" t="n"/>
      <c r="BN428" s="992" t="n"/>
      <c r="BP428" s="1582" t="n"/>
      <c r="BQ428" s="1584" t="n"/>
      <c r="BR428" s="1585" t="n"/>
      <c r="BS428" s="1584" t="n"/>
      <c r="BT428" s="1455" t="n"/>
    </row>
    <row r="429">
      <c r="A429" s="1466" t="inlineStr">
        <is>
          <t>S5</t>
        </is>
      </c>
      <c r="O429" s="1111">
        <f>IFERROR(INDEX(IPCC!$A$2037:$D$2048,MATCH(clim_moist,IPCC!$A$2037:$A$2048,0),MATCH($O$422,IPCC!$A$2037:$D$2037,0)),0)</f>
        <v/>
      </c>
      <c r="P429" s="1161">
        <f>IF('6.Inland wetlands'!DI155="",'6.Inland wetlands'!$DH155,'6.Inland wetlands'!$DI155)</f>
        <v/>
      </c>
      <c r="Q429" s="1111">
        <f>IFERROR(INDEX(IPCC!$A$2037:$D$2048,MATCH(clim_moist,IPCC!$A$2037:$A$2048,0),MATCH($Q$422,IPCC!$A$2037:$D$2037,0)),0)</f>
        <v/>
      </c>
      <c r="R429" s="1161">
        <f>IF('6.Inland wetlands'!$DK155="",'6.Inland wetlands'!$DJ155,'6.Inland wetlands'!$DK155)</f>
        <v/>
      </c>
      <c r="S429" s="1111">
        <f>IFERROR(INDEX(IPCC!$A$2037:$D$2048,MATCH(clim_moist,IPCC!$A$2037:$A$2048,0),MATCH($S$422,IPCC!$A$2037:$D$2037,0)),0)</f>
        <v/>
      </c>
      <c r="T429" s="1161">
        <f>IF('6.Inland wetlands'!$DM155="",'6.Inland wetlands'!$DL155,'6.Inland wetlands'!$DM155)</f>
        <v/>
      </c>
      <c r="U429" s="1111">
        <f>IFERROR(INDEX(IPCC!$A$2020:$D$2031,MATCH(clim_moist,IPCC!$A$2021:$A$2031,0),MATCH('6.Inland wetlands'!$CZ155,IPCC!$A$2020:$D$2020,0)),0)</f>
        <v/>
      </c>
      <c r="V429" s="1161">
        <f>IF('6.Inland wetlands'!$DO155="",'6.Inland wetlands'!$DN155,'6.Inland wetlands'!$DO155)</f>
        <v/>
      </c>
      <c r="W429" s="1276" t="n"/>
      <c r="X429" s="1151">
        <f>IF('6.Inland wetlands'!$CZ155=list!$F$210,0,$V429*$E417)</f>
        <v/>
      </c>
      <c r="Y429" s="1151">
        <f>IF('6.Inland wetlands'!$CZ155=list!$F$210,0,$V429*$F417)</f>
        <v/>
      </c>
      <c r="Z429" s="1151">
        <f>IF('6.Inland wetlands'!$CZ155=list!$F$210,0,$V429*$J417)</f>
        <v/>
      </c>
      <c r="AC429" s="3501" t="n"/>
      <c r="AD429" s="1151">
        <f>IF(OR('6.Inland wetlands'!$AB154=list!$E$210,'6.Inland wetlands'!$AB154=list!$E$212,'6.Inland wetlands'!$AB154=list!$E$214),0,IF($H417&gt;time_tot,0,MIN($X429,$Y429)*time_tot+ABS($Y429-$X429)*IF($Y429&gt;$X429,time_cap+time*VLOOKUP($G417,list!$J$48:$K$50,2,0),time*(1-VLOOKUP($G417,list!$J$48:$K$50,2,0))))*(1/$H417)*($I417)*($P429*44/12/1000)+IF($H417&gt;time_tot,0,MIN($X429,$Y429)*time_tot+ABS($Y429-$X429)*IF($Y429&gt;$X429,time_cap+time*VLOOKUP($G417,list!$J$48:$K$50,2,0),time*(1-VLOOKUP($G417,list!$J$48:$K$50,2,0))))*(1/$H417)*($I417)*($R429*2/1000))</f>
        <v/>
      </c>
      <c r="AE429" s="1151">
        <f>IF(OR('6.Inland wetlands'!$AB154=list!$E$210,'6.Inland wetlands'!$AB154=list!$E$211,'6.Inland wetlands'!$AB154=list!$E$214),0,IF($L417&gt;time_tot,0,MIN($X429,$Z429)*time_tot+ABS($Z429-$X429)*IF($Z429&gt;$X429,time_cap+time*VLOOKUP($K417,list!$J$48:$K$50,2,0),time*(1-VLOOKUP($K417,list!$J$48:$K$50,2,0))))*(1/$L417)*($M417)*($P429*44/12/1000)+IF($L417&gt;time_tot,0,MIN($X429,$Z429)*time_tot+ABS($Z429-$X429)*IF($Z429&gt;$X429,time_cap+time*VLOOKUP($K417,list!$J$48:$K$50,2,0),time*(1-VLOOKUP($K417,list!$J$48:$K$50,2,0))))*(1/$L417)*($M417)*($R429*2/1000))</f>
        <v/>
      </c>
      <c r="AF429" s="1151">
        <f>IF(OR('6.Inland wetlands'!$AB154=list!$E$210,'6.Inland wetlands'!$AB154=list!$E$212,'6.Inland wetlands'!$AB154=list!$E$214),0,IF($H417&gt;time_tot,0,MIN($X429,$Y429)*time_tot+ABS($Y429-$X429)*IF($Y429&gt;$X429,time_cap+time*VLOOKUP($G417,list!$J$48:$K$50,2,0),time*(1-VLOOKUP($G417,list!$J$48:$K$50,2,0))))*(1/$H417)*($I417)*($T429*methane/1000))</f>
        <v/>
      </c>
      <c r="AG429" s="1151">
        <f>IF(OR('6.Inland wetlands'!$AB154=list!$E$210,'6.Inland wetlands'!$AB154=list!$E$211,'6.Inland wetlands'!$AB154=list!$E$214),0,IF($L417&gt;time_tot,0,MIN($X429,$Z429)*time_tot+ABS($Z429-$X429)*IF($Z429&gt;$X429,time_cap+time*VLOOKUP($K417,list!$J$48:$K$50,2,0),time*(1-VLOOKUP($K417,list!$J$48:$K$50,2,0))))*(1/$L417)*($M417)*($T429*methane/1000))</f>
        <v/>
      </c>
      <c r="AI429" s="3495">
        <f>SUM(AD429,AF429)</f>
        <v/>
      </c>
      <c r="AJ429" s="1152">
        <f>SUM(AE429,AG429)</f>
        <v/>
      </c>
      <c r="AK429" s="1160">
        <f>AJ429-AI429</f>
        <v/>
      </c>
      <c r="AM429" s="992" t="n"/>
      <c r="AN429" s="992" t="n"/>
      <c r="AO429" s="992" t="n"/>
      <c r="AP429" s="992" t="n"/>
      <c r="AQ429" s="992" t="n"/>
      <c r="AR429" s="992" t="n"/>
      <c r="AS429" s="992" t="n"/>
      <c r="AT429" s="992" t="n"/>
      <c r="AU429" s="992" t="n"/>
      <c r="AV429" s="992" t="n"/>
      <c r="AW429" s="992" t="n"/>
      <c r="AX429" s="1449">
        <f>IF('6.Inland wetlands'!$CZ155=list!$F$210,0,IF($H417&gt;time,0,MIN($X429,$Y429)*time+ABS($Y429-$X429)*IF($Y429&gt;$X429,time*VLOOKUP($G417,list!$J$48:$K$50,2,0),time*(1-VLOOKUP($G417,list!$J$48:$K$50,2,0))))*(1/$H417)*($I417)*($P429/1000)+IF($H417&gt;time_tot,0,MIN($X429,$Y429)*time+ABS($Y429-$X429)*IF($Y429&gt;$X429,time*VLOOKUP($G417,list!$J$48:$K$50,2,0),time*(1-VLOOKUP($G417,list!$J$48:$K$50,2,0))))*(1/$H417)*($I417)*($R429*2/1000))</f>
        <v/>
      </c>
      <c r="AY429" s="1449">
        <f>IF('6.Inland wetlands'!$CZ200=list!$F$210,0,IF($L417&gt;time,0,MIN($X429,$Z429)*time+ABS($Z429-$X429)*IF($Z429&gt;$X429,time*VLOOKUP($K417,list!$J$48:$K$50,2,0),time*(1-VLOOKUP($K417,list!$J$48:$K$50,2,0))))*(1/$L417)*($M417)*($P429/1000)+IF($L417&gt;time,0,MIN($X429,$Z429)*time+ABS($Z429-$X429)*IF($Z429&gt;$X429,time*VLOOKUP($K417,list!$J$48:$K$50,2,0),time*(1-VLOOKUP($K417,list!$J$48:$K$50,2,0))))*(1/$L417)*($M417)*($R429*2/1000))</f>
        <v/>
      </c>
      <c r="AZ429" s="1449">
        <f>IF('6.Inland wetlands'!$CZ200=list!$F$210,0,IF($H417&gt;time,0,MIN($X429,$Y429)*time+ABS($Y429-$X429)*IF($Y429&gt;$X429,time*VLOOKUP($G417,list!$J$48:$K$50,2,0),time*(1-VLOOKUP($G417,list!$J$48:$K$50,2,0))))*(1/$H417)*($I417)*($T429*methane/1000))</f>
        <v/>
      </c>
      <c r="BA429" s="1449">
        <f>IF('6.Inland wetlands'!$CZ200=list!$F$210,0,IF($L417&gt;time,0,MIN($X429,$Z429)*time+ABS($Z429-$X429)*IF($Z429&gt;$X429,time*VLOOKUP($K417,list!$J$48:$K$50,2,0),time*(1-VLOOKUP($K417,list!$J$48:$K$50,2,0))))*(1/$L417)*($M417)*($T429*methane/1000))</f>
        <v/>
      </c>
      <c r="BK429" s="1582" t="n"/>
      <c r="BL429" s="1583" t="n"/>
      <c r="BM429" s="1583" t="n"/>
      <c r="BN429" s="992" t="n"/>
      <c r="BP429" s="1582" t="n"/>
      <c r="BQ429" s="1584" t="n"/>
      <c r="BR429" s="1585" t="n"/>
      <c r="BS429" s="1584" t="n"/>
      <c r="BT429" s="1455" t="n"/>
    </row>
    <row r="430">
      <c r="A430" s="1466" t="inlineStr">
        <is>
          <t>S6</t>
        </is>
      </c>
      <c r="O430" s="1111">
        <f>IFERROR(INDEX(IPCC!$A$2037:$D$2048,MATCH(clim_moist,IPCC!$A$2037:$A$2048,0),MATCH($O$422,IPCC!$A$2037:$D$2037,0)),0)</f>
        <v/>
      </c>
      <c r="P430" s="1161">
        <f>IF('6.Inland wetlands'!DI156="",'6.Inland wetlands'!$DH156,'6.Inland wetlands'!$DI156)</f>
        <v/>
      </c>
      <c r="Q430" s="1111">
        <f>IFERROR(INDEX(IPCC!$A$2037:$D$2048,MATCH(clim_moist,IPCC!$A$2037:$A$2048,0),MATCH($Q$422,IPCC!$A$2037:$D$2037,0)),0)</f>
        <v/>
      </c>
      <c r="R430" s="1161">
        <f>IF('6.Inland wetlands'!$DK156="",'6.Inland wetlands'!$DJ156,'6.Inland wetlands'!$DK156)</f>
        <v/>
      </c>
      <c r="S430" s="1111">
        <f>IFERROR(INDEX(IPCC!$A$2037:$D$2048,MATCH(clim_moist,IPCC!$A$2037:$A$2048,0),MATCH($S$422,IPCC!$A$2037:$D$2037,0)),0)</f>
        <v/>
      </c>
      <c r="T430" s="1161">
        <f>IF('6.Inland wetlands'!$DM156="",'6.Inland wetlands'!$DL156,'6.Inland wetlands'!$DM156)</f>
        <v/>
      </c>
      <c r="U430" s="1111">
        <f>IFERROR(INDEX(IPCC!$A$2020:$D$2031,MATCH(clim_moist,IPCC!$A$2021:$A$2031,0),MATCH('6.Inland wetlands'!$CZ156,IPCC!$A$2020:$D$2020,0)),0)</f>
        <v/>
      </c>
      <c r="V430" s="1161">
        <f>IF('6.Inland wetlands'!$DO156="",'6.Inland wetlands'!$DN156,'6.Inland wetlands'!$DO156)</f>
        <v/>
      </c>
      <c r="W430" s="1276" t="n"/>
      <c r="X430" s="1151">
        <f>IF('6.Inland wetlands'!$CZ156=list!$F$210,0,$V430*$E418)</f>
        <v/>
      </c>
      <c r="Y430" s="1151">
        <f>IF('6.Inland wetlands'!$CZ156=list!$F$210,0,$V430*$F418)</f>
        <v/>
      </c>
      <c r="Z430" s="1151">
        <f>IF('6.Inland wetlands'!$CZ156=list!$F$210,0,$V430*$J418)</f>
        <v/>
      </c>
      <c r="AC430" s="3501" t="n"/>
      <c r="AD430" s="1151">
        <f>IF(OR('6.Inland wetlands'!$AB155=list!$E$210,'6.Inland wetlands'!$AB155=list!$E$212,'6.Inland wetlands'!$AB155=list!$E$214),0,IF($H418&gt;time_tot,0,MIN($X430,$Y430)*time_tot+ABS($Y430-$X430)*IF($Y430&gt;$X430,time_cap+time*VLOOKUP($G418,list!$J$48:$K$50,2,0),time*(1-VLOOKUP($G418,list!$J$48:$K$50,2,0))))*(1/$H418)*($I418)*($P430*44/12/1000)+IF($H418&gt;time_tot,0,MIN($X430,$Y430)*time_tot+ABS($Y430-$X430)*IF($Y430&gt;$X430,time_cap+time*VLOOKUP($G418,list!$J$48:$K$50,2,0),time*(1-VLOOKUP($G418,list!$J$48:$K$50,2,0))))*(1/$H418)*($I418)*($R430*2/1000))</f>
        <v/>
      </c>
      <c r="AE430" s="1151">
        <f>IF(OR('6.Inland wetlands'!$AB155=list!$E$210,'6.Inland wetlands'!$AB155=list!$E$211,'6.Inland wetlands'!$AB155=list!$E$214),0,IF($L418&gt;time_tot,0,MIN($X430,$Z430)*time_tot+ABS($Z430-$X430)*IF($Z430&gt;$X430,time_cap+time*VLOOKUP($K418,list!$J$48:$K$50,2,0),time*(1-VLOOKUP($K418,list!$J$48:$K$50,2,0))))*(1/$L418)*($M418)*($P430*44/12/1000)+IF($L418&gt;time_tot,0,MIN($X430,$Z430)*time_tot+ABS($Z430-$X430)*IF($Z430&gt;$X430,time_cap+time*VLOOKUP($K418,list!$J$48:$K$50,2,0),time*(1-VLOOKUP($K418,list!$J$48:$K$50,2,0))))*(1/$L418)*($M418)*($R430*2/1000))</f>
        <v/>
      </c>
      <c r="AF430" s="1151">
        <f>IF(OR('6.Inland wetlands'!$AB155=list!$E$210,'6.Inland wetlands'!$AB155=list!$E$212,'6.Inland wetlands'!$AB155=list!$E$214),0,IF($H418&gt;time_tot,0,MIN($X430,$Y430)*time_tot+ABS($Y430-$X430)*IF($Y430&gt;$X430,time_cap+time*VLOOKUP($G418,list!$J$48:$K$50,2,0),time*(1-VLOOKUP($G418,list!$J$48:$K$50,2,0))))*(1/$H418)*($I418)*($T430*methane/1000))</f>
        <v/>
      </c>
      <c r="AG430" s="1151">
        <f>IF(OR('6.Inland wetlands'!$AB155=list!$E$210,'6.Inland wetlands'!$AB155=list!$E$211,'6.Inland wetlands'!$AB155=list!$E$214),0,IF($L418&gt;time_tot,0,MIN($X430,$Z430)*time_tot+ABS($Z430-$X430)*IF($Z430&gt;$X430,time_cap+time*VLOOKUP($K418,list!$J$48:$K$50,2,0),time*(1-VLOOKUP($K418,list!$J$48:$K$50,2,0))))*(1/$L418)*($M418)*($T430*methane/1000))</f>
        <v/>
      </c>
      <c r="AI430" s="3495">
        <f>SUM(AD430,AF430)</f>
        <v/>
      </c>
      <c r="AJ430" s="1152">
        <f>SUM(AE430,AG430)</f>
        <v/>
      </c>
      <c r="AK430" s="1160">
        <f>AJ430-AI430</f>
        <v/>
      </c>
      <c r="AM430" s="992" t="n"/>
      <c r="AN430" s="992" t="n"/>
      <c r="AO430" s="992" t="n"/>
      <c r="AP430" s="992" t="n"/>
      <c r="AQ430" s="992" t="n"/>
      <c r="AR430" s="992" t="n"/>
      <c r="AS430" s="992" t="n"/>
      <c r="AT430" s="992" t="n"/>
      <c r="AU430" s="992" t="n"/>
      <c r="AV430" s="992" t="n"/>
      <c r="AW430" s="992" t="n"/>
      <c r="AX430" s="1449">
        <f>IF('6.Inland wetlands'!$CZ156=list!$F$210,0,IF($H418&gt;time,0,MIN($X430,$Y430)*time+ABS($Y430-$X430)*IF($Y430&gt;$X430,time*VLOOKUP($G418,list!$J$48:$K$50,2,0),time*(1-VLOOKUP($G418,list!$J$48:$K$50,2,0))))*(1/$H418)*($I418)*($P430/1000)+IF($H418&gt;time_tot,0,MIN($X430,$Y430)*time+ABS($Y430-$X430)*IF($Y430&gt;$X430,time*VLOOKUP($G418,list!$J$48:$K$50,2,0),time*(1-VLOOKUP($G418,list!$J$48:$K$50,2,0))))*(1/$H418)*($I418)*($R430*2/1000))</f>
        <v/>
      </c>
      <c r="AY430" s="1449">
        <f>IF('6.Inland wetlands'!$CZ201=list!$F$210,0,IF($L418&gt;time,0,MIN($X430,$Z430)*time+ABS($Z430-$X430)*IF($Z430&gt;$X430,time*VLOOKUP($K418,list!$J$48:$K$50,2,0),time*(1-VLOOKUP($K418,list!$J$48:$K$50,2,0))))*(1/$L418)*($M418)*($P430/1000)+IF($L418&gt;time,0,MIN($X430,$Z430)*time+ABS($Z430-$X430)*IF($Z430&gt;$X430,time*VLOOKUP($K418,list!$J$48:$K$50,2,0),time*(1-VLOOKUP($K418,list!$J$48:$K$50,2,0))))*(1/$L418)*($M418)*($R430*2/1000))</f>
        <v/>
      </c>
      <c r="AZ430" s="1449">
        <f>IF('6.Inland wetlands'!$CZ201=list!$F$210,0,IF($H418&gt;time,0,MIN($X430,$Y430)*time+ABS($Y430-$X430)*IF($Y430&gt;$X430,time*VLOOKUP($G418,list!$J$48:$K$50,2,0),time*(1-VLOOKUP($G418,list!$J$48:$K$50,2,0))))*(1/$H418)*($I418)*($T430*methane/1000))</f>
        <v/>
      </c>
      <c r="BA430" s="1449">
        <f>IF('6.Inland wetlands'!$CZ201=list!$F$210,0,IF($L418&gt;time,0,MIN($X430,$Z430)*time+ABS($Z430-$X430)*IF($Z430&gt;$X430,time*VLOOKUP($K418,list!$J$48:$K$50,2,0),time*(1-VLOOKUP($K418,list!$J$48:$K$50,2,0))))*(1/$L418)*($M418)*($T430*methane/1000))</f>
        <v/>
      </c>
      <c r="BK430" s="1582" t="n"/>
      <c r="BL430" s="1583" t="n"/>
      <c r="BM430" s="1583" t="n"/>
      <c r="BN430" s="992" t="n"/>
      <c r="BP430" s="1582" t="n"/>
      <c r="BQ430" s="1584" t="n"/>
      <c r="BR430" s="1585" t="n"/>
      <c r="BS430" s="1584" t="n"/>
      <c r="BT430" s="1455" t="n"/>
    </row>
    <row r="431">
      <c r="C431" s="4733" t="n"/>
      <c r="D431" s="4736" t="n"/>
      <c r="E431" s="992" t="n"/>
      <c r="F431" s="992" t="n"/>
      <c r="G431" s="1688" t="n"/>
      <c r="H431" s="1688" t="n"/>
      <c r="I431" s="1580" t="n"/>
      <c r="J431" s="992" t="n"/>
      <c r="K431" s="1688" t="n"/>
      <c r="AA431" s="1165" t="n"/>
      <c r="AB431" s="1001" t="n"/>
      <c r="AD431" s="992" t="n"/>
      <c r="AE431" s="992" t="n"/>
      <c r="AF431" s="992" t="n"/>
      <c r="AG431" s="992" t="n"/>
      <c r="AH431" s="992" t="n"/>
      <c r="AI431" s="992" t="n"/>
      <c r="AM431" s="992" t="n"/>
      <c r="AN431" s="992" t="n"/>
      <c r="AO431" s="992" t="n"/>
      <c r="AP431" s="992" t="n"/>
      <c r="AQ431" s="992" t="n"/>
      <c r="AR431" s="992" t="n"/>
      <c r="AS431" s="992" t="n"/>
      <c r="AT431" s="992" t="n"/>
      <c r="AU431" s="992" t="n"/>
      <c r="AV431" s="992" t="n"/>
      <c r="AW431" s="992" t="n"/>
      <c r="AX431" s="1449" t="n"/>
      <c r="AY431" s="1449" t="n"/>
      <c r="AZ431" s="1449" t="n"/>
      <c r="BA431" s="1449" t="n"/>
      <c r="BK431" s="1582" t="n"/>
      <c r="BL431" s="1583" t="n"/>
      <c r="BM431" s="1583" t="n"/>
      <c r="BN431" s="992" t="n"/>
      <c r="BP431" s="1582" t="n"/>
      <c r="BQ431" s="1584" t="n"/>
      <c r="BR431" s="1585" t="n"/>
      <c r="BS431" s="1584" t="n"/>
      <c r="BT431" s="1455" t="n"/>
    </row>
    <row r="432">
      <c r="C432" s="4733" t="n"/>
      <c r="D432" s="4736" t="n"/>
      <c r="E432" s="992" t="n"/>
      <c r="F432" s="992" t="n"/>
      <c r="G432" s="1688" t="n"/>
      <c r="H432" s="992" t="n"/>
      <c r="I432" s="1580" t="n"/>
      <c r="J432" s="992" t="n"/>
      <c r="K432" s="1663" t="n"/>
      <c r="L432" s="1688" t="n"/>
      <c r="M432" s="1580" t="n"/>
      <c r="N432" s="1581" t="n"/>
      <c r="O432" s="1187" t="n"/>
      <c r="P432" s="1187" t="n"/>
      <c r="Q432" s="1001" t="n"/>
      <c r="R432" s="1001" t="n"/>
      <c r="S432" s="1688" t="n"/>
      <c r="T432" s="1688" t="n"/>
      <c r="U432" s="1165" t="n"/>
      <c r="V432" s="1001" t="n"/>
      <c r="W432" s="1165" t="n"/>
      <c r="X432" s="1001" t="n"/>
      <c r="Y432" s="1165" t="n"/>
      <c r="Z432" s="1001" t="n"/>
      <c r="AA432" s="1165" t="n"/>
      <c r="AB432" s="1001" t="n"/>
      <c r="AD432" s="992" t="n"/>
      <c r="AE432" s="992" t="n"/>
      <c r="AF432" s="992" t="n"/>
      <c r="AG432" s="992" t="n"/>
      <c r="AH432" s="992" t="n"/>
      <c r="AI432" s="992" t="n"/>
      <c r="AM432" s="992" t="n"/>
      <c r="AN432" s="992" t="n"/>
      <c r="AO432" s="992" t="n"/>
      <c r="AP432" s="992" t="n"/>
      <c r="AQ432" s="992" t="n"/>
      <c r="AR432" s="992" t="n"/>
      <c r="AS432" s="992" t="n"/>
      <c r="AT432" s="992" t="n"/>
      <c r="AU432" s="992" t="n"/>
      <c r="AV432" s="992" t="n"/>
      <c r="AW432" s="992" t="n"/>
      <c r="AX432" s="1451">
        <f>SUM(AX425:AX430)</f>
        <v/>
      </c>
      <c r="AY432" s="1451">
        <f>SUM(AY425:AY430)</f>
        <v/>
      </c>
      <c r="AZ432" s="1451">
        <f>SUM(AZ425:AZ430)</f>
        <v/>
      </c>
      <c r="BA432" s="1451">
        <f>SUM(BA425:BA430)</f>
        <v/>
      </c>
      <c r="BB432" s="1451" t="n"/>
      <c r="BC432" s="1451" t="n"/>
      <c r="BD432" s="1451" t="n"/>
      <c r="BE432" s="1451" t="n"/>
      <c r="BF432" s="1451" t="n"/>
      <c r="BG432" s="1451" t="n"/>
      <c r="BK432" s="1582" t="n"/>
      <c r="BL432" s="1583" t="n"/>
      <c r="BM432" s="1583" t="n"/>
      <c r="BN432" s="992" t="n"/>
      <c r="BP432" s="1582" t="n"/>
      <c r="BQ432" s="1584" t="n"/>
      <c r="BR432" s="1585" t="n"/>
      <c r="BS432" s="1584" t="n"/>
      <c r="BT432" s="1455" t="n"/>
    </row>
    <row r="433">
      <c r="H433" s="4024" t="n"/>
      <c r="K433" s="1246" t="n"/>
      <c r="AY433" s="1451">
        <f>AY432-AX432</f>
        <v/>
      </c>
      <c r="AZ433" s="1451" t="n"/>
      <c r="BA433" s="1451">
        <f>BA432-AZ432</f>
        <v/>
      </c>
      <c r="BB433" s="1451" t="n"/>
      <c r="BC433" s="1451" t="n"/>
      <c r="BD433" s="1451" t="n"/>
      <c r="BE433" s="1451" t="n"/>
      <c r="BF433" s="1451" t="n"/>
      <c r="BG433" s="1451" t="n"/>
    </row>
    <row r="435" ht="16" customHeight="1">
      <c r="A435" s="1264" t="n"/>
      <c r="B435" s="1271" t="inlineStr">
        <is>
          <t>Drainage On-site emission factors</t>
        </is>
      </c>
      <c r="C435" s="1264" t="n"/>
      <c r="D435" s="1264" t="n"/>
      <c r="E435" s="1264" t="n"/>
      <c r="F435" s="1264" t="n"/>
      <c r="G435" s="1264" t="n"/>
      <c r="H435" s="1273" t="inlineStr">
        <is>
          <t>Drainage Off-site emission factors</t>
        </is>
      </c>
      <c r="I435" s="1261" t="n"/>
      <c r="J435" s="1261" t="n"/>
      <c r="K435" s="1261" t="n"/>
      <c r="L435" s="1271" t="inlineStr">
        <is>
          <t>Emissions from drainage in tCO2-e/yr</t>
        </is>
      </c>
      <c r="M435" s="1264" t="n"/>
      <c r="N435" s="1264" t="n"/>
      <c r="O435" s="1264" t="n"/>
      <c r="P435" s="1264" t="n"/>
      <c r="Q435" s="1264" t="n"/>
      <c r="R435" s="1264" t="n"/>
      <c r="S435" s="1264" t="n"/>
      <c r="T435" s="1264" t="n"/>
      <c r="U435" s="1261" t="n"/>
      <c r="V435" s="1261" t="n"/>
      <c r="W435" s="1261" t="n"/>
      <c r="X435" s="1261" t="n"/>
      <c r="Y435" s="1261" t="n"/>
      <c r="Z435" s="1261" t="n"/>
      <c r="AB435" s="1271" t="inlineStr">
        <is>
          <t>DRAINAGE EMISSIONS</t>
        </is>
      </c>
      <c r="AC435" s="1264" t="n"/>
      <c r="AD435" s="1264" t="n"/>
      <c r="AE435" s="1264" t="n"/>
      <c r="AF435" s="1264" t="n"/>
      <c r="AG435" s="1264" t="n"/>
      <c r="AI435" s="1270" t="inlineStr">
        <is>
          <t>Total emissions tCO2eq</t>
        </is>
      </c>
      <c r="AJ435" s="1116" t="n"/>
      <c r="AK435" s="1116" t="n"/>
      <c r="AX435" s="1271" t="inlineStr">
        <is>
          <t>ON SITE DRAINAGE</t>
        </is>
      </c>
      <c r="BD435" s="1271" t="inlineStr">
        <is>
          <t>OFF SITE DRAINAGE</t>
        </is>
      </c>
    </row>
    <row r="436" ht="16" customHeight="1">
      <c r="A436" s="1264" t="n"/>
      <c r="B436" s="1271" t="inlineStr">
        <is>
          <t>CO2</t>
        </is>
      </c>
      <c r="C436" s="1264" t="n"/>
      <c r="D436" s="1271" t="inlineStr">
        <is>
          <t>CH4</t>
        </is>
      </c>
      <c r="E436" s="1264" t="n"/>
      <c r="F436" s="1271" t="inlineStr">
        <is>
          <t>N2O</t>
        </is>
      </c>
      <c r="G436" s="1264" t="n"/>
      <c r="H436" s="1273" t="inlineStr">
        <is>
          <t>DOC</t>
        </is>
      </c>
      <c r="I436" s="1261" t="n"/>
      <c r="J436" s="1273" t="inlineStr">
        <is>
          <t>CH4</t>
        </is>
      </c>
      <c r="K436" s="1261" t="n"/>
      <c r="L436" s="1264" t="inlineStr">
        <is>
          <t>Emissions from drainage</t>
        </is>
      </c>
      <c r="M436" s="1264" t="n"/>
      <c r="N436" s="1264" t="n"/>
      <c r="O436" s="1264" t="n"/>
      <c r="P436" s="1264" t="n"/>
      <c r="Q436" s="1264" t="n"/>
      <c r="R436" s="1264" t="n"/>
      <c r="S436" s="1264" t="n"/>
      <c r="T436" s="1264" t="n"/>
      <c r="U436" s="1261" t="n"/>
      <c r="V436" s="1279" t="n"/>
      <c r="W436" s="1279" t="n"/>
      <c r="X436" s="1279" t="n"/>
      <c r="Y436" s="1279" t="n"/>
      <c r="Z436" s="1279" t="n"/>
      <c r="AB436" s="1271" t="inlineStr">
        <is>
          <t>Emissions in tCO2eq All period</t>
        </is>
      </c>
      <c r="AC436" s="1264" t="n"/>
      <c r="AD436" s="1264" t="n"/>
      <c r="AE436" s="1264" t="n"/>
      <c r="AF436" s="1264" t="n"/>
      <c r="AG436" s="1264" t="n"/>
      <c r="AI436" s="1270" t="inlineStr">
        <is>
          <t>ALL PERIOD</t>
        </is>
      </c>
      <c r="AJ436" s="1116" t="n"/>
      <c r="AK436" s="1116" t="n"/>
      <c r="AX436" s="1450" t="inlineStr">
        <is>
          <t>CO2</t>
        </is>
      </c>
      <c r="AY436" s="1450" t="n"/>
      <c r="AZ436" s="1450" t="inlineStr">
        <is>
          <t>CH4</t>
        </is>
      </c>
      <c r="BA436" s="1450" t="n"/>
      <c r="BB436" s="1450" t="inlineStr">
        <is>
          <t>N2O</t>
        </is>
      </c>
      <c r="BC436" s="1450" t="n"/>
      <c r="BD436" s="1450" t="inlineStr">
        <is>
          <t>DOC</t>
        </is>
      </c>
      <c r="BE436" s="1450" t="n"/>
      <c r="BF436" s="1450" t="inlineStr">
        <is>
          <t>CH4</t>
        </is>
      </c>
      <c r="BG436" s="1450" t="n"/>
    </row>
    <row r="437" ht="16" customHeight="1">
      <c r="A437" s="1264" t="n"/>
      <c r="B437" s="1264" t="inlineStr">
        <is>
          <t>tC/ha/yr</t>
        </is>
      </c>
      <c r="C437" s="1264" t="n"/>
      <c r="D437" s="1264" t="inlineStr">
        <is>
          <t>kgCH4/ha/yr</t>
        </is>
      </c>
      <c r="E437" s="1264" t="n"/>
      <c r="F437" s="1264" t="inlineStr">
        <is>
          <t>kgN2O-N/ha/yr</t>
        </is>
      </c>
      <c r="G437" s="1264" t="n"/>
      <c r="H437" s="1261" t="inlineStr">
        <is>
          <t>tC/ha/yr</t>
        </is>
      </c>
      <c r="I437" s="1261" t="n"/>
      <c r="J437" s="1261" t="inlineStr">
        <is>
          <t>kgCH4/ha/yr</t>
        </is>
      </c>
      <c r="K437" s="1261" t="n"/>
      <c r="L437" s="1271" t="inlineStr">
        <is>
          <t>CO2</t>
        </is>
      </c>
      <c r="M437" s="1264" t="n"/>
      <c r="N437" s="1271" t="n"/>
      <c r="O437" s="1271" t="inlineStr">
        <is>
          <t>CH4</t>
        </is>
      </c>
      <c r="P437" s="1264" t="n"/>
      <c r="Q437" s="1271" t="n"/>
      <c r="R437" s="1271" t="inlineStr">
        <is>
          <t>N2O</t>
        </is>
      </c>
      <c r="S437" s="1264" t="n"/>
      <c r="T437" s="1271" t="n"/>
      <c r="U437" s="1273" t="inlineStr">
        <is>
          <t>DOC</t>
        </is>
      </c>
      <c r="V437" s="1261" t="n"/>
      <c r="W437" s="1273" t="n"/>
      <c r="X437" s="1273" t="inlineStr">
        <is>
          <t>CH4</t>
        </is>
      </c>
      <c r="Y437" s="1261" t="n"/>
      <c r="Z437" s="1273" t="n"/>
      <c r="AB437" s="1264" t="inlineStr">
        <is>
          <t>CO2&amp;DOC</t>
        </is>
      </c>
      <c r="AC437" s="1264" t="n"/>
      <c r="AD437" s="1264" t="inlineStr">
        <is>
          <t>CH4</t>
        </is>
      </c>
      <c r="AE437" s="1264" t="n"/>
      <c r="AF437" s="1264" t="inlineStr">
        <is>
          <t>N2O</t>
        </is>
      </c>
      <c r="AG437" s="1264" t="n"/>
      <c r="AI437" s="1270" t="inlineStr">
        <is>
          <t>DRAINAGE</t>
        </is>
      </c>
      <c r="AJ437" s="1116" t="n"/>
      <c r="AK437" s="1116" t="n"/>
      <c r="AX437" s="1264" t="inlineStr">
        <is>
          <t>IMPLEMENTATION PHASE</t>
        </is>
      </c>
      <c r="AZ437" s="1264" t="inlineStr">
        <is>
          <t>IMPLEMENTATION PHASE</t>
        </is>
      </c>
      <c r="BB437" s="1264" t="inlineStr">
        <is>
          <t>IMPLEMENTATION PHASE</t>
        </is>
      </c>
      <c r="BD437" s="1264" t="inlineStr">
        <is>
          <t>IMPLEMENTATION PHASE</t>
        </is>
      </c>
      <c r="BF437" s="1264" t="inlineStr">
        <is>
          <t>IMPLEMENTATION PHASE</t>
        </is>
      </c>
    </row>
    <row r="438">
      <c r="A438" s="1264" t="n"/>
      <c r="B438" s="1272" t="inlineStr">
        <is>
          <t>IPCC</t>
        </is>
      </c>
      <c r="C438" s="1272" t="inlineStr">
        <is>
          <t>Tier 2</t>
        </is>
      </c>
      <c r="D438" s="1272" t="inlineStr">
        <is>
          <t>IPCC</t>
        </is>
      </c>
      <c r="E438" s="1272" t="inlineStr">
        <is>
          <t>Tier 2</t>
        </is>
      </c>
      <c r="F438" s="1272" t="inlineStr">
        <is>
          <t>IPCC</t>
        </is>
      </c>
      <c r="G438" s="1272" t="inlineStr">
        <is>
          <t>Tier 2</t>
        </is>
      </c>
      <c r="H438" s="1274" t="inlineStr">
        <is>
          <t>IPCC</t>
        </is>
      </c>
      <c r="I438" s="1274" t="inlineStr">
        <is>
          <t>Tier 2</t>
        </is>
      </c>
      <c r="J438" s="1274" t="inlineStr">
        <is>
          <t>IPCC</t>
        </is>
      </c>
      <c r="K438" s="1274" t="inlineStr">
        <is>
          <t>Tier 2</t>
        </is>
      </c>
      <c r="L438" s="973" t="inlineStr">
        <is>
          <t>Start</t>
        </is>
      </c>
      <c r="M438" s="1102" t="inlineStr">
        <is>
          <t>Without</t>
        </is>
      </c>
      <c r="N438" s="1103" t="inlineStr">
        <is>
          <t>With</t>
        </is>
      </c>
      <c r="O438" s="1688" t="inlineStr">
        <is>
          <t>Start</t>
        </is>
      </c>
      <c r="P438" s="1102" t="inlineStr">
        <is>
          <t>Without</t>
        </is>
      </c>
      <c r="Q438" s="1103" t="inlineStr">
        <is>
          <t>With</t>
        </is>
      </c>
      <c r="R438" s="1688" t="inlineStr">
        <is>
          <t>Start</t>
        </is>
      </c>
      <c r="S438" s="1102" t="inlineStr">
        <is>
          <t>Without</t>
        </is>
      </c>
      <c r="T438" s="1103" t="inlineStr">
        <is>
          <t>With</t>
        </is>
      </c>
      <c r="U438" s="1688" t="inlineStr">
        <is>
          <t>Start</t>
        </is>
      </c>
      <c r="V438" s="1102" t="inlineStr">
        <is>
          <t>Without</t>
        </is>
      </c>
      <c r="W438" s="1103" t="inlineStr">
        <is>
          <t>With</t>
        </is>
      </c>
      <c r="X438" s="1688" t="inlineStr">
        <is>
          <t>Start</t>
        </is>
      </c>
      <c r="Y438" s="1102" t="inlineStr">
        <is>
          <t>Without</t>
        </is>
      </c>
      <c r="Z438" s="1103" t="inlineStr">
        <is>
          <t>With</t>
        </is>
      </c>
      <c r="AB438" s="1102" t="inlineStr">
        <is>
          <t>Without</t>
        </is>
      </c>
      <c r="AC438" s="1103" t="inlineStr">
        <is>
          <t>With</t>
        </is>
      </c>
      <c r="AD438" s="1102" t="inlineStr">
        <is>
          <t>Without</t>
        </is>
      </c>
      <c r="AE438" s="1103" t="inlineStr">
        <is>
          <t>With</t>
        </is>
      </c>
      <c r="AF438" s="1102" t="inlineStr">
        <is>
          <t>Without</t>
        </is>
      </c>
      <c r="AG438" s="1103" t="inlineStr">
        <is>
          <t>With</t>
        </is>
      </c>
      <c r="AI438" s="1102" t="inlineStr">
        <is>
          <t>WITHOUT</t>
        </is>
      </c>
      <c r="AJ438" s="1103" t="inlineStr">
        <is>
          <t>WITH</t>
        </is>
      </c>
      <c r="AK438" s="1104" t="inlineStr">
        <is>
          <t>BALANCE</t>
        </is>
      </c>
      <c r="AX438" s="1272" t="inlineStr">
        <is>
          <t>WITHOUT</t>
        </is>
      </c>
      <c r="AY438" s="1272" t="inlineStr">
        <is>
          <t>WITH</t>
        </is>
      </c>
      <c r="AZ438" s="1272" t="inlineStr">
        <is>
          <t>WITHOUT</t>
        </is>
      </c>
      <c r="BA438" s="1272" t="inlineStr">
        <is>
          <t>WITH</t>
        </is>
      </c>
      <c r="BB438" s="1272" t="inlineStr">
        <is>
          <t>WITHOUT</t>
        </is>
      </c>
      <c r="BC438" s="1272" t="inlineStr">
        <is>
          <t>WITH</t>
        </is>
      </c>
      <c r="BD438" s="1272" t="inlineStr">
        <is>
          <t>WITHOUT</t>
        </is>
      </c>
      <c r="BE438" s="1272" t="inlineStr">
        <is>
          <t>WITH</t>
        </is>
      </c>
      <c r="BF438" s="1272" t="inlineStr">
        <is>
          <t>WITHOUT</t>
        </is>
      </c>
      <c r="BG438" s="1272" t="inlineStr">
        <is>
          <t>WITH</t>
        </is>
      </c>
    </row>
    <row r="439">
      <c r="A439" s="1467" t="inlineStr">
        <is>
          <t>S1</t>
        </is>
      </c>
      <c r="B439" s="1044">
        <f>IFERROR(IF($C$405=list!$J$210,INDEX(IPCC!$A$1762:$J$1773,MATCH(clim_moist,IPCC!$A$1781:$A$1792,0),MATCH($C413,IPCC!$A$1781:$J$1781,0)),IF($C$405=list!$J$211,INDEX(IPCC!$A$1781:$J$1792,MATCH(clim_moist,IPCC!$A$1781:$A$1792,0),MATCH($C413,IPCC!$A$1781:$J$1781,0)))),0)</f>
        <v/>
      </c>
      <c r="C439" s="1162">
        <f>IF('6.Inland wetlands'!$CG150="",'6.Inland wetlands'!$CF150,'6.Inland wetlands'!$CG150)</f>
        <v/>
      </c>
      <c r="D439" s="1044">
        <f>IFERROR(IF($C$405=list!$J$210,INDEX(IPCC!$A$1818:$J$1829,MATCH(clim_moist,IPCC!$A$1818:$A$1829,0),MATCH($C413,IPCC!$A$1818:$J$1818,0)),IF($C413=list!$J$211,INDEX(IPCC!$A$1836:$J$1847,MATCH(clim_moist,IPCC!$A$1836:$A$1847,0),MATCH($C413,IPCC!$A$1836:$J$1836,0)))),0)</f>
        <v/>
      </c>
      <c r="E439" s="1162">
        <f>IF('6.Inland wetlands'!$CI150="",'6.Inland wetlands'!$CH150,'6.Inland wetlands'!$CI150)</f>
        <v/>
      </c>
      <c r="F439" s="1044">
        <f>IFERROR(IF($C$405=list!$J$210,INDEX(IPCC!$A$1872:$J$1883,MATCH(clim_moist,IPCC!$A$1872:$A$1883,0),MATCH($C413,IPCC!$A$1872:$J$1872,0)),IF($C$405=list!$J$211,INDEX(IPCC!$A$1890:$J$1901,MATCH(clim_moist,IPCC!$A$1890:$A$1901,0),MATCH('Inl. wetlands'!$C413,IPCC!$A$1890:$J$1890,0)))),0)</f>
        <v/>
      </c>
      <c r="G439" s="1162">
        <f>IF('6.Inland wetlands'!$CK150="",'6.Inland wetlands'!$CJ150,'6.Inland wetlands'!$CK150)</f>
        <v/>
      </c>
      <c r="H439" s="1044">
        <f>IFERROR(IF($C$405=list!$J$210,INDEX(IPCC!$A$1800:$J$1811,MATCH(clim_moist,IPCC!$A$1800:$A$1811,0),MATCH($C413,IPCC!$A$1800:$J$1800,0)),IF($C$405=list!$J$211,INDEX(IPCC!$A$1800:$J$1811,MATCH(clim_moist,IPCC!$A$1800:$A$1811,0),MATCH('Inl. wetlands'!$C413,IPCC!$A$1800:$J$1800,0)))),0)</f>
        <v/>
      </c>
      <c r="I439" s="1162">
        <f>IF('6.Inland wetlands'!$CN150="",'6.Inland wetlands'!$CM150,'6.Inland wetlands'!$CN150)</f>
        <v/>
      </c>
      <c r="J439" s="1111">
        <f>IFERROR(IF($C$405=list!$J$210,INDEX(IPCC!$A$1854:$J$1865,MATCH(clim_moist,IPCC!$A$1854:$A$1865,0),MATCH($C413,IPCC!$A$1854:$J$1854,0)),IF($C$405=list!$J$211,INDEX(IPCC!$A$1854:$J$1865,MATCH(clim_moist,IPCC!$A$1854:$A$1865,0),MATCH('Inl. wetlands'!$C413,IPCC!$A$1854:$J$1854,0)))),0)</f>
        <v/>
      </c>
      <c r="K439" s="1161">
        <f>IF('6.Inland wetlands'!$CP150="",'6.Inland wetlands'!$CO150,'6.Inland wetlands'!$CP150)</f>
        <v/>
      </c>
      <c r="L439" s="3493">
        <f>IF('6.Inland wetlands'!M150&gt;0,'Inl. wetlands'!$C439*44/12*'6.Inland wetlands'!M150,0)</f>
        <v/>
      </c>
      <c r="M439" s="3493">
        <f>IF('6.Inland wetlands'!N150&gt;0,'Inl. wetlands'!$C439*44/12*'6.Inland wetlands'!N150,0)</f>
        <v/>
      </c>
      <c r="N439" s="3493">
        <f>IF('6.Inland wetlands'!P150&gt;0,'Inl. wetlands'!$C439*44/12*'6.Inland wetlands'!P150,0)</f>
        <v/>
      </c>
      <c r="O439" s="3493">
        <f>IFERROR(IF('6.Inland wetlands'!M150&gt;0,'Inl. wetlands'!$E439*methane/1000*'6.Inland wetlands'!M150*(1-'6.Inland wetlands'!$W150),0),0)</f>
        <v/>
      </c>
      <c r="P439" s="3493">
        <f>IFERROR(IF('6.Inland wetlands'!N150&gt;0,'Inl. wetlands'!$E439/1000*methane*'6.Inland wetlands'!N150*(1-'6.Inland wetlands'!$X150),0),0)</f>
        <v/>
      </c>
      <c r="Q439" s="3493">
        <f>IFERROR(IF('6.Inland wetlands'!P150&gt;0,'Inl. wetlands'!$E439/1000*methane*'6.Inland wetlands'!P150*(1-'6.Inland wetlands'!Y150),0),0)</f>
        <v/>
      </c>
      <c r="R439" s="3493">
        <f>IF('6.Inland wetlands'!M150&gt;0,'Inl. wetlands'!$G439/1000*44/28*Nitrous*'6.Inland wetlands'!M150,0)</f>
        <v/>
      </c>
      <c r="S439" s="3493">
        <f>IF('6.Inland wetlands'!N150&gt;0,'Inl. wetlands'!$G439/1000*44/28*Nitrous*'6.Inland wetlands'!N150,0)</f>
        <v/>
      </c>
      <c r="T439" s="3493">
        <f>IF('6.Inland wetlands'!P150&gt;0,'Inl. wetlands'!$G439/1000*44/28*Nitrous*'6.Inland wetlands'!P150,0)</f>
        <v/>
      </c>
      <c r="U439" s="3493">
        <f>IF('6.Inland wetlands'!M150&gt;0,'Inl. wetlands'!$I439*44/12*'6.Inland wetlands'!M150,0)</f>
        <v/>
      </c>
      <c r="V439" s="3493">
        <f>IF('6.Inland wetlands'!N150&gt;0,'Inl. wetlands'!$I439*44/12*'6.Inland wetlands'!N150,0)</f>
        <v/>
      </c>
      <c r="W439" s="3493">
        <f>IF('6.Inland wetlands'!P150&gt;0,'Inl. wetlands'!$I439*44/12*'6.Inland wetlands'!P150,0)</f>
        <v/>
      </c>
      <c r="X439" s="3493">
        <f>IF('6.Inland wetlands'!M150&gt;0,'Inl. wetlands'!$K439*methane/1000*'6.Inland wetlands'!M150*'6.Inland wetlands'!$W150,0)</f>
        <v/>
      </c>
      <c r="Y439" s="3493">
        <f>IF('6.Inland wetlands'!N150&gt;0,'Inl. wetlands'!$K439/1000*methane*'6.Inland wetlands'!N150*'6.Inland wetlands'!$X150,0)</f>
        <v/>
      </c>
      <c r="Z439" s="3493">
        <f>IF('6.Inland wetlands'!P150&gt;0,'Inl. wetlands'!$K439/1000*methane*'6.Inland wetlands'!P150*'6.Inland wetlands'!$Y150,0)</f>
        <v/>
      </c>
      <c r="AB439" s="3493">
        <f>MIN(SUM('Inl. wetlands'!$L439,'Inl. wetlands'!$U439),SUM('Inl. wetlands'!$M439,'Inl. wetlands'!$V439))*time_tot+ABS(SUM('Inl. wetlands'!$M439,'Inl. wetlands'!$V439)-SUM('Inl. wetlands'!$L439,'Inl. wetlands'!$U439))*IF(SUM('Inl. wetlands'!$M439,'Inl. wetlands'!$V439)&gt;SUM('Inl. wetlands'!$L439,'Inl. wetlands'!$U439),time_cap+time*(VLOOKUP($G413,list!$J$48:$K$50,2,0)),time*(1-(VLOOKUP($G413,list!$J$48:$K$50,2,0))))</f>
        <v/>
      </c>
      <c r="AC439" s="3493">
        <f>MIN(SUM('Inl. wetlands'!$L439,'Inl. wetlands'!$U439),SUM('Inl. wetlands'!$N439,'Inl. wetlands'!$W439))*time_tot+ABS(SUM('Inl. wetlands'!$N439,'Inl. wetlands'!$W439)-SUM('Inl. wetlands'!$L439,'Inl. wetlands'!$U439))*IF(SUM('Inl. wetlands'!$N439,'Inl. wetlands'!$W439)&gt;SUM('Inl. wetlands'!$L439,'Inl. wetlands'!$U439),time_cap+time*(VLOOKUP($K413,list!$J$48:$K$50,2,0)),time*(1-(VLOOKUP($K413,list!$J$48:$K$50,2,0))))</f>
        <v/>
      </c>
      <c r="AD439" s="3493">
        <f>MIN(SUM('Inl. wetlands'!$O439,'Inl. wetlands'!$X439),SUM('Inl. wetlands'!$P439,'Inl. wetlands'!$Y439))*time_tot+ABS(SUM('Inl. wetlands'!$P439,'Inl. wetlands'!$Y439)-SUM('Inl. wetlands'!$O439,'Inl. wetlands'!$X439))*IF(SUM('Inl. wetlands'!$P439,'Inl. wetlands'!$Y439)&gt;SUM('Inl. wetlands'!$O439,'Inl. wetlands'!$X439),time_cap+time*(VLOOKUP($G413,list!$J$48:$K$50,2,0)),time*(1-(VLOOKUP($G413,list!$J$48:$K$50,2,0))))</f>
        <v/>
      </c>
      <c r="AE439" s="3493">
        <f>MIN(SUM('Inl. wetlands'!$O439,'Inl. wetlands'!$X439),SUM('Inl. wetlands'!$Q439,'Inl. wetlands'!$Z439))*time_tot+ABS(SUM('Inl. wetlands'!$Q439,'Inl. wetlands'!$Z439)-SUM('Inl. wetlands'!$O439,'Inl. wetlands'!$X439))*IF(SUM('Inl. wetlands'!$Q439,'Inl. wetlands'!$Z439)&gt;SUM('Inl. wetlands'!$O439,'Inl. wetlands'!$X439),time_cap+time*(VLOOKUP($K413,list!$J$48:$K$50,2,0)),time*(1-(VLOOKUP($K413,list!$J$48:$K$50,2,0))))</f>
        <v/>
      </c>
      <c r="AF439" s="3493">
        <f>MIN('Inl. wetlands'!$R439,'Inl. wetlands'!$S439)*time_tot+ABS('Inl. wetlands'!$S439-'Inl. wetlands'!$R439)*IF('Inl. wetlands'!$S439&gt;'Inl. wetlands'!$R439,time_cap+time*(VLOOKUP($G413,list!$J$48:$K$50,2,0)),time*(1-(VLOOKUP($G413,list!$J$48:$K$50,2,0))))</f>
        <v/>
      </c>
      <c r="AG439" s="3493">
        <f>MIN('Inl. wetlands'!$R439,'Inl. wetlands'!$T439)*time_tot+ABS('Inl. wetlands'!$T439-'Inl. wetlands'!$R439)*IF('Inl. wetlands'!$T439&gt;'Inl. wetlands'!$R439,time_cap+time*(VLOOKUP($K413,list!$J$48:$K$50,2,0)),time*(1-(VLOOKUP($K413,list!$J$48:$K$50,2,0))))</f>
        <v/>
      </c>
      <c r="AI439" s="3495">
        <f>SUM(AB439,AD439,AF439)</f>
        <v/>
      </c>
      <c r="AJ439" s="3495">
        <f>SUM(AC439,AE439,AG439)</f>
        <v/>
      </c>
      <c r="AK439" s="1160">
        <f>AJ439-AI439</f>
        <v/>
      </c>
      <c r="AX439" s="1449">
        <f>MIN('Inl. wetlands'!$L439,'Inl. wetlands'!$M439)*time+ABS('Inl. wetlands'!$M439-'Inl. wetlands'!$L439)*IF('Inl. wetlands'!$M439&gt;'Inl. wetlands'!$L439,time*(VLOOKUP($G413,list!$J$48:$K$50,2,0)),time*(1-(VLOOKUP($G413,list!$J$48:$K$50,2,0))))</f>
        <v/>
      </c>
      <c r="AY439" s="1449">
        <f>MIN('Inl. wetlands'!$L439,'Inl. wetlands'!$N439)*time+ABS('Inl. wetlands'!$N439-'Inl. wetlands'!$L439)*IF('Inl. wetlands'!$N439&gt;'Inl. wetlands'!$L439,time*(VLOOKUP($K413,list!$J$48:$K$50,2,0)),time*(1-(VLOOKUP($K413,list!$J$48:$K$50,2,0))))</f>
        <v/>
      </c>
      <c r="AZ439" s="1449">
        <f>MIN('Inl. wetlands'!$O439,'Inl. wetlands'!$P439)*time+ABS('Inl. wetlands'!$P439-'Inl. wetlands'!$O439)*IF('Inl. wetlands'!$P439&gt;'Inl. wetlands'!$O439,time*(VLOOKUP($G413,list!$J$48:$K$50,2,0)),time*(1-(VLOOKUP($G413,list!$J$48:$K$50,2,0))))</f>
        <v/>
      </c>
      <c r="BA439" s="1449">
        <f>MIN('Inl. wetlands'!$O439,'Inl. wetlands'!$Q439)*time+ABS('Inl. wetlands'!$Q439-'Inl. wetlands'!$O439)*IF('Inl. wetlands'!$Q439&gt;'Inl. wetlands'!$O439,time*(VLOOKUP($K413,list!$J$48:$K$50,2,0)),time*(1-(VLOOKUP($K413,list!$J$48:$K$50,2,0))))</f>
        <v/>
      </c>
      <c r="BB439" s="1449">
        <f>MIN('Inl. wetlands'!$R439,'Inl. wetlands'!$S439)*time+ABS('Inl. wetlands'!$S439-'Inl. wetlands'!$R439)*IF('Inl. wetlands'!$S439&gt;'Inl. wetlands'!$R439,time*(VLOOKUP($G413,list!$J$48:$K$50,2,0)),time*(1-(VLOOKUP($G413,list!$J$48:$K$50,2,0))))</f>
        <v/>
      </c>
      <c r="BC439" s="1449">
        <f>MIN('Inl. wetlands'!$R439,'Inl. wetlands'!$T439)*time+ABS('Inl. wetlands'!$T439-'Inl. wetlands'!$R439)*IF('Inl. wetlands'!$T439&gt;'Inl. wetlands'!$R439,time*(VLOOKUP($K413,list!$J$48:$K$50,2,0)),time*(1-(VLOOKUP($K413,list!$J$48:$K$50,2,0))))</f>
        <v/>
      </c>
      <c r="BD439" s="1449">
        <f>MIN('Inl. wetlands'!$U439,'Inl. wetlands'!$V439)*time+ABS('Inl. wetlands'!$V439-'Inl. wetlands'!$U439)*IF('Inl. wetlands'!$V439&gt;'Inl. wetlands'!$U439,time*(VLOOKUP($G413,list!$J$48:$K$50,2,0)),time*(1-(VLOOKUP($G413,list!$J$48:$K$50,2,0))))</f>
        <v/>
      </c>
      <c r="BE439" s="1449">
        <f>MIN('Inl. wetlands'!$U439,'Inl. wetlands'!$W439)*time+ABS('Inl. wetlands'!$W439-'Inl. wetlands'!$U439)*IF('Inl. wetlands'!$W439&gt;'Inl. wetlands'!$U439,time*(VLOOKUP($K413,list!$J$48:$K$50,2,0)),time*(1-(VLOOKUP($K413,list!$J$48:$K$50,2,0))))</f>
        <v/>
      </c>
      <c r="BF439" s="1449">
        <f>MIN('Inl. wetlands'!$X439,'Inl. wetlands'!$Y439)*time+ABS('Inl. wetlands'!$Y439-'Inl. wetlands'!$X439)*IF('Inl. wetlands'!$Y439&gt;'Inl. wetlands'!$X439,time*(VLOOKUP($G413,list!$J$48:$K$50,2,0)),time*(1-(VLOOKUP($G413,list!$J$48:$K$50,2,0))))</f>
        <v/>
      </c>
      <c r="BG439" s="1449">
        <f>MIN('Inl. wetlands'!$X439,'Inl. wetlands'!$Z439)*time+ABS('Inl. wetlands'!$Z439-'Inl. wetlands'!$X439)*IF('Inl. wetlands'!$Z439&gt;'Inl. wetlands'!$X439,time*(VLOOKUP($K413,list!$J$48:$K$50,2,0)),time*(1-(VLOOKUP($K413,list!$J$48:$K$50,2,0))))</f>
        <v/>
      </c>
    </row>
    <row r="440">
      <c r="A440" s="1467" t="inlineStr">
        <is>
          <t>S2</t>
        </is>
      </c>
      <c r="B440" s="1044">
        <f>IFERROR(IF($C$405=list!$J$210,INDEX(IPCC!$A$1762:$J$1773,MATCH(clim_moist,IPCC!$A$1781:$A$1792,0),MATCH($C414,IPCC!$A$1781:$J$1781,0)),IF($C$405=list!$J$211,INDEX(IPCC!$A$1781:$J$1792,MATCH(clim_moist,IPCC!$A$1781:$A$1792,0),MATCH($C414,IPCC!$A$1781:$J$1781,0)))),0)</f>
        <v/>
      </c>
      <c r="C440" s="1162">
        <f>IF('6.Inland wetlands'!$CG151="",'6.Inland wetlands'!$CF151,'6.Inland wetlands'!$CG151)</f>
        <v/>
      </c>
      <c r="D440" s="1044">
        <f>IFERROR(IF($C$405=list!$J$210,INDEX(IPCC!$A$1818:$J$1829,MATCH(clim_moist,IPCC!$A$1818:$A$1829,0),MATCH($C414,IPCC!$A$1818:$J$1818,0)),IF($C414=list!$J$211,INDEX(IPCC!$A$1836:$J$1847,MATCH(clim_moist,IPCC!$A$1836:$A$1847,0),MATCH($C414,IPCC!$A$1836:$J$1836,0)))),0)</f>
        <v/>
      </c>
      <c r="E440" s="1162">
        <f>IF('6.Inland wetlands'!$CI151="",'6.Inland wetlands'!$CH151,'6.Inland wetlands'!$CI151)</f>
        <v/>
      </c>
      <c r="F440" s="1044">
        <f>IFERROR(IF($C$405=list!$J$210,INDEX(IPCC!$A$1872:$J$1883,MATCH(clim_moist,IPCC!$A$1872:$A$1883,0),MATCH($C414,IPCC!$A$1872:$J$1872,0)),IF($C$405=list!$J$211,INDEX(IPCC!$A$1890:$J$1901,MATCH(clim_moist,IPCC!$A$1890:$A$1901,0),MATCH('Inl. wetlands'!$C414,IPCC!$A$1890:$J$1890,0)))),0)</f>
        <v/>
      </c>
      <c r="G440" s="1162">
        <f>IF('6.Inland wetlands'!$CK151="",'6.Inland wetlands'!$CJ151,'6.Inland wetlands'!$CK151)</f>
        <v/>
      </c>
      <c r="H440" s="1044">
        <f>IFERROR(IF($C$405=list!$J$210,INDEX(IPCC!$A$1800:$J$1811,MATCH(clim_moist,IPCC!$A$1800:$A$1811,0),MATCH($C414,IPCC!$A$1800:$J$1800,0)),IF($C$405=list!$J$211,INDEX(IPCC!$A$1800:$J$1811,MATCH(clim_moist,IPCC!$A$1800:$A$1811,0),MATCH('Inl. wetlands'!$C414,IPCC!$A$1800:$J$1800,0)))),0)</f>
        <v/>
      </c>
      <c r="I440" s="1162">
        <f>IF('6.Inland wetlands'!$CN151="",'6.Inland wetlands'!$CM151,'6.Inland wetlands'!$CN151)</f>
        <v/>
      </c>
      <c r="J440" s="1111">
        <f>IFERROR(IF($C$405=list!$J$210,INDEX(IPCC!$A$1854:$J$1865,MATCH(clim_moist,IPCC!$A$1854:$A$1865,0),MATCH($C414,IPCC!$A$1854:$J$1854,0)),IF($C$405=list!$J$211,INDEX(IPCC!$A$1854:$J$1865,MATCH(clim_moist,IPCC!$A$1854:$A$1865,0),MATCH('Inl. wetlands'!$C414,IPCC!$A$1854:$J$1854,0)))),0)</f>
        <v/>
      </c>
      <c r="K440" s="1161">
        <f>IF('6.Inland wetlands'!$CP151="",'6.Inland wetlands'!$CO151,'6.Inland wetlands'!$CP151)</f>
        <v/>
      </c>
      <c r="L440" s="3493">
        <f>IF('6.Inland wetlands'!M151&gt;0,'Inl. wetlands'!$C440*44/12*'6.Inland wetlands'!M151,0)</f>
        <v/>
      </c>
      <c r="M440" s="3493">
        <f>IF('6.Inland wetlands'!N151&gt;0,'Inl. wetlands'!$C440*44/12*'6.Inland wetlands'!N151,0)</f>
        <v/>
      </c>
      <c r="N440" s="3493">
        <f>IF('6.Inland wetlands'!P151&gt;0,'Inl. wetlands'!$C440*44/12*'6.Inland wetlands'!P151,0)</f>
        <v/>
      </c>
      <c r="O440" s="3493">
        <f>IFERROR(IF('6.Inland wetlands'!M151&gt;0,'Inl. wetlands'!$E440*methane/1000*'6.Inland wetlands'!M151*(1-'6.Inland wetlands'!$W151),0),0)</f>
        <v/>
      </c>
      <c r="P440" s="3493">
        <f>IFERROR(IF('6.Inland wetlands'!N151&gt;0,'Inl. wetlands'!$E440/1000*methane*'6.Inland wetlands'!N151*(1-'6.Inland wetlands'!$X151),0),0)</f>
        <v/>
      </c>
      <c r="Q440" s="3493">
        <f>IFERROR(IF('6.Inland wetlands'!P151&gt;0,'Inl. wetlands'!$E440/1000*methane*'6.Inland wetlands'!P151*(1-'6.Inland wetlands'!Y151),0),0)</f>
        <v/>
      </c>
      <c r="R440" s="3493">
        <f>IF('6.Inland wetlands'!M151&gt;0,'Inl. wetlands'!$G440/1000*44/28*Nitrous*'6.Inland wetlands'!M151,0)</f>
        <v/>
      </c>
      <c r="S440" s="3493">
        <f>IF('6.Inland wetlands'!N151&gt;0,'Inl. wetlands'!$G440/1000*44/28*Nitrous*'6.Inland wetlands'!N151,0)</f>
        <v/>
      </c>
      <c r="T440" s="3493">
        <f>IF('6.Inland wetlands'!P151&gt;0,'Inl. wetlands'!$G440/1000*44/28*Nitrous*'6.Inland wetlands'!P151,0)</f>
        <v/>
      </c>
      <c r="U440" s="3493">
        <f>IF('6.Inland wetlands'!M151&gt;0,'Inl. wetlands'!$I440*44/12*'6.Inland wetlands'!M151,0)</f>
        <v/>
      </c>
      <c r="V440" s="3493">
        <f>IF('6.Inland wetlands'!N151&gt;0,'Inl. wetlands'!$I440*44/12*'6.Inland wetlands'!N151,0)</f>
        <v/>
      </c>
      <c r="W440" s="3493">
        <f>IF('6.Inland wetlands'!P151&gt;0,'Inl. wetlands'!$I440*44/12*'6.Inland wetlands'!P151,0)</f>
        <v/>
      </c>
      <c r="X440" s="3493">
        <f>IF('6.Inland wetlands'!M151&gt;0,'Inl. wetlands'!$K440*methane/1000*'6.Inland wetlands'!M151*'6.Inland wetlands'!$W151,0)</f>
        <v/>
      </c>
      <c r="Y440" s="3493">
        <f>IF('6.Inland wetlands'!N151&gt;0,'Inl. wetlands'!$K440/1000*methane*'6.Inland wetlands'!N151*'6.Inland wetlands'!$X151,0)</f>
        <v/>
      </c>
      <c r="Z440" s="3493">
        <f>IF('6.Inland wetlands'!P151&gt;0,'Inl. wetlands'!$K440/1000*methane*'6.Inland wetlands'!P151*'6.Inland wetlands'!$Y151,0)</f>
        <v/>
      </c>
      <c r="AB440" s="3493">
        <f>MIN(SUM('Inl. wetlands'!$L440,'Inl. wetlands'!$U440),SUM('Inl. wetlands'!$M440,'Inl. wetlands'!$V440))*time_tot+ABS(SUM('Inl. wetlands'!$M440,'Inl. wetlands'!$V440)-SUM('Inl. wetlands'!$L440,'Inl. wetlands'!$U440))*IF(SUM('Inl. wetlands'!$M440,'Inl. wetlands'!$V440)&gt;SUM('Inl. wetlands'!$L440,'Inl. wetlands'!$U440),time_cap+time*(VLOOKUP($G414,list!$J$48:$K$50,2,0)),time*(1-(VLOOKUP($G414,list!$J$48:$K$50,2,0))))</f>
        <v/>
      </c>
      <c r="AC440" s="3493">
        <f>MIN(SUM($L440,$U440),SUM($N440,$W440))*time_tot+ABS(SUM($N440,$W440)-SUM($L440,$U440))*IF(SUM($N440,$W440)&gt;SUM($L440,$U440),time_cap+time*(VLOOKUP($K414,list!$J$48:$K$50,2,0)),time*(1-(VLOOKUP($K414,list!$J$48:$K$50,2,0))))</f>
        <v/>
      </c>
      <c r="AD440" s="3493">
        <f>MIN(SUM('Inl. wetlands'!$O440,'Inl. wetlands'!$X440),SUM('Inl. wetlands'!$P440,'Inl. wetlands'!$Y440))*time_tot+ABS(SUM('Inl. wetlands'!$P440,'Inl. wetlands'!$Y440)-SUM('Inl. wetlands'!$O440,'Inl. wetlands'!$X440))*IF(SUM('Inl. wetlands'!$P440,'Inl. wetlands'!$Y440)&gt;SUM('Inl. wetlands'!$O440,'Inl. wetlands'!$X440),time_cap+time*(VLOOKUP($G414,list!$J$48:$K$50,2,0)),time*(1-(VLOOKUP($G414,list!$J$48:$K$50,2,0))))</f>
        <v/>
      </c>
      <c r="AE440" s="3493">
        <f>MIN(SUM($O440,$X440),SUM($Q440,$Z440))*time_tot+ABS(SUM($Q440,$Z440)-SUM($O440,$X440))*IF(SUM($Q440,$Z440)&gt;SUM($O440,$X440),time_cap+time*(VLOOKUP($K414,list!$J$48:$K$50,2,0)),time*(1-(VLOOKUP($K414,list!$J$48:$K$50,2,0))))</f>
        <v/>
      </c>
      <c r="AF440" s="3493">
        <f>MIN('Inl. wetlands'!$R440,'Inl. wetlands'!$S440)*time_tot+ABS('Inl. wetlands'!$S440-'Inl. wetlands'!$R440)*IF('Inl. wetlands'!$S440&gt;'Inl. wetlands'!$R440,time_cap+time*(VLOOKUP($G414,list!$J$48:$K$50,2,0)),time*(1-(VLOOKUP($G414,list!$J$48:$K$50,2,0))))</f>
        <v/>
      </c>
      <c r="AG440" s="3493">
        <f>MIN($R440,$T440)*time_tot+ABS($T440-$R440)*IF($T440&gt;$R440,time_cap+time*(VLOOKUP($K414,list!$J$48:$K$50,2,0)),time*(1-(VLOOKUP($K414,list!$J$48:$K$50,2,0))))</f>
        <v/>
      </c>
      <c r="AI440" s="3495">
        <f>SUM(AB440,AD440,AF440)</f>
        <v/>
      </c>
      <c r="AJ440" s="3495">
        <f>SUM(AC440,AE440,AG440)</f>
        <v/>
      </c>
      <c r="AK440" s="3498">
        <f>AJ440-AI440</f>
        <v/>
      </c>
      <c r="AX440" s="1449">
        <f>MIN($L440,$M440)*time+ABS($M440-$L440)*IF($M440&gt;$L440,time*(VLOOKUP($G414,list!$J$48:$K$50,2,0)),time*(1-(VLOOKUP($G414,list!$J$48:$K$50,2,0))))</f>
        <v/>
      </c>
      <c r="AY440" s="1449">
        <f>MIN($L440,$N440)*time+ABS($N440-$L440)*IF($N440&gt;$L440,time*(VLOOKUP($K414,list!$J$48:$K$50,2,0)),time*(1-(VLOOKUP($K414,list!$J$48:$K$50,2,0))))</f>
        <v/>
      </c>
      <c r="AZ440" s="1449">
        <f>MIN($O440,$P440)*time+ABS($P440-$O440)*IF($P440&gt;$O440,time*(VLOOKUP($G414,list!$J$48:$K$50,2,0)),time*(1-(VLOOKUP($G414,list!$J$48:$K$50,2,0))))</f>
        <v/>
      </c>
      <c r="BA440" s="1449">
        <f>MIN($O440,$Q440)*time+ABS($Q440-$O440)*IF($Q440&gt;$O440,time*(VLOOKUP($K414,list!$J$48:$K$50,2,0)),time*(1-(VLOOKUP($K414,list!$J$48:$K$50,2,0))))</f>
        <v/>
      </c>
      <c r="BB440" s="1449">
        <f>MIN($R440,$S440)*time+ABS($S440-$R440)*IF($S440&gt;$R440,time*(VLOOKUP($G414,list!$J$48:$K$50,2,0)),time*(1-(VLOOKUP($G414,list!$J$48:$K$50,2,0))))</f>
        <v/>
      </c>
      <c r="BC440" s="1449">
        <f>MIN($R440,$T440)*time+ABS($T440-$R440)*IF($T440&gt;$R440,time*(VLOOKUP($K414,list!$J$48:$K$50,2,0)),time*(1-(VLOOKUP($K414,list!$J$48:$K$50,2,0))))</f>
        <v/>
      </c>
      <c r="BD440" s="1449">
        <f>MIN($U440,$V440)*time+ABS($V440-$U440)*IF($V440&gt;$U440,time*(VLOOKUP($G414,list!$J$48:$K$50,2,0)),time*(1-(VLOOKUP($G414,list!$J$48:$K$50,2,0))))</f>
        <v/>
      </c>
      <c r="BE440" s="1449">
        <f>MIN($U440,$W440)*time+ABS($W440-$U440)*IF($W440&gt;$U440,time*(VLOOKUP($K414,list!$J$48:$K$50,2,0)),time*(1-(VLOOKUP($K414,list!$J$48:$K$50,2,0))))</f>
        <v/>
      </c>
      <c r="BF440" s="1449">
        <f>MIN($X440,$Y440)*time+ABS($Y440-$X440)*IF($Y440&gt;$X440,time*(VLOOKUP($G414,list!$J$48:$K$50,2,0)),time*(1-(VLOOKUP($G414,list!$J$48:$K$50,2,0))))</f>
        <v/>
      </c>
      <c r="BG440" s="1449">
        <f>MIN($X440,$Z440)*time+ABS($Z440-$X440)*IF($Z440&gt;$X440,time*(VLOOKUP($K414,list!$J$48:$K$50,2,0)),time*(1-(VLOOKUP($K414,list!$J$48:$K$50,2,0))))</f>
        <v/>
      </c>
    </row>
    <row r="441">
      <c r="A441" s="1467" t="inlineStr">
        <is>
          <t>S3</t>
        </is>
      </c>
      <c r="B441" s="1044">
        <f>IFERROR(IF($C$405=list!$J$210,INDEX(IPCC!$A$1762:$J$1773,MATCH(clim_moist,IPCC!$A$1781:$A$1792,0),MATCH($C415,IPCC!$A$1781:$J$1781,0)),IF($C$405=list!$J$211,INDEX(IPCC!$A$1781:$J$1792,MATCH(clim_moist,IPCC!$A$1781:$A$1792,0),MATCH($C415,IPCC!$A$1781:$J$1781,0)))),0)</f>
        <v/>
      </c>
      <c r="C441" s="1162">
        <f>IF('6.Inland wetlands'!$CG152="",'6.Inland wetlands'!$CF152,'6.Inland wetlands'!$CG152)</f>
        <v/>
      </c>
      <c r="D441" s="1044">
        <f>IFERROR(IF($C$405=list!$J$210,INDEX(IPCC!$A$1818:$J$1829,MATCH(clim_moist,IPCC!$A$1818:$A$1829,0),MATCH($C415,IPCC!$A$1818:$J$1818,0)),IF($C415=list!$J$211,INDEX(IPCC!$A$1836:$J$1847,MATCH(clim_moist,IPCC!$A$1836:$A$1847,0),MATCH($C415,IPCC!$A$1836:$J$1836,0)))),0)</f>
        <v/>
      </c>
      <c r="E441" s="1162">
        <f>IF('6.Inland wetlands'!$CI152="",'6.Inland wetlands'!$CH152,'6.Inland wetlands'!$CI152)</f>
        <v/>
      </c>
      <c r="F441" s="1044">
        <f>IFERROR(IF($C$405=list!$J$210,INDEX(IPCC!$A$1872:$J$1883,MATCH(clim_moist,IPCC!$A$1872:$A$1883,0),MATCH($C415,IPCC!$A$1872:$J$1872,0)),IF($C$405=list!$J$211,INDEX(IPCC!$A$1890:$J$1901,MATCH(clim_moist,IPCC!$A$1890:$A$1901,0),MATCH('Inl. wetlands'!$C415,IPCC!$A$1890:$J$1890,0)))),0)</f>
        <v/>
      </c>
      <c r="G441" s="1162">
        <f>IF('6.Inland wetlands'!$CK152="",'6.Inland wetlands'!$CJ152,'6.Inland wetlands'!$CK152)</f>
        <v/>
      </c>
      <c r="H441" s="1044">
        <f>IFERROR(IF($C$405=list!$J$210,INDEX(IPCC!$A$1800:$J$1811,MATCH(clim_moist,IPCC!$A$1800:$A$1811,0),MATCH($C415,IPCC!$A$1800:$J$1800,0)),IF($C$405=list!$J$211,INDEX(IPCC!$A$1800:$J$1811,MATCH(clim_moist,IPCC!$A$1800:$A$1811,0),MATCH('Inl. wetlands'!$C415,IPCC!$A$1800:$J$1800,0)))),0)</f>
        <v/>
      </c>
      <c r="I441" s="1162">
        <f>IF('6.Inland wetlands'!$CN152="",'6.Inland wetlands'!$CM152,'6.Inland wetlands'!$CN152)</f>
        <v/>
      </c>
      <c r="J441" s="1111">
        <f>IFERROR(IF($C$405=list!$J$210,INDEX(IPCC!$A$1854:$J$1865,MATCH(clim_moist,IPCC!$A$1854:$A$1865,0),MATCH($C415,IPCC!$A$1854:$J$1854,0)),IF($C$405=list!$J$211,INDEX(IPCC!$A$1854:$J$1865,MATCH(clim_moist,IPCC!$A$1854:$A$1865,0),MATCH('Inl. wetlands'!$C415,IPCC!$A$1854:$J$1854,0)))),0)</f>
        <v/>
      </c>
      <c r="K441" s="1161">
        <f>IF('6.Inland wetlands'!$CP152="",'6.Inland wetlands'!$CO152,'6.Inland wetlands'!$CP152)</f>
        <v/>
      </c>
      <c r="L441" s="3493">
        <f>IF('6.Inland wetlands'!M152&gt;0,'Inl. wetlands'!$C441*44/12*'6.Inland wetlands'!M152,0)</f>
        <v/>
      </c>
      <c r="M441" s="3493">
        <f>IF('6.Inland wetlands'!N152&gt;0,'Inl. wetlands'!$C441*44/12*'6.Inland wetlands'!N152,0)</f>
        <v/>
      </c>
      <c r="N441" s="3493">
        <f>IF('6.Inland wetlands'!P152&gt;0,'Inl. wetlands'!$C441*44/12*'6.Inland wetlands'!P152,0)</f>
        <v/>
      </c>
      <c r="O441" s="3493">
        <f>IFERROR(IF('6.Inland wetlands'!M152&gt;0,'Inl. wetlands'!$E441*methane/1000*'6.Inland wetlands'!M152*(1-'6.Inland wetlands'!$W152),0),0)</f>
        <v/>
      </c>
      <c r="P441" s="3493">
        <f>IFERROR(IF('6.Inland wetlands'!N152&gt;0,'Inl. wetlands'!$E441/1000*methane*'6.Inland wetlands'!N152*(1-'6.Inland wetlands'!$X152),0),0)</f>
        <v/>
      </c>
      <c r="Q441" s="3493">
        <f>IFERROR(IF('6.Inland wetlands'!P152&gt;0,'Inl. wetlands'!$E441/1000*methane*'6.Inland wetlands'!P152*(1-'6.Inland wetlands'!Y152),0),0)</f>
        <v/>
      </c>
      <c r="R441" s="3493">
        <f>IF('6.Inland wetlands'!M152&gt;0,'Inl. wetlands'!$G441/1000*44/28*Nitrous*'6.Inland wetlands'!M152,0)</f>
        <v/>
      </c>
      <c r="S441" s="3493">
        <f>IF('6.Inland wetlands'!N152&gt;0,'Inl. wetlands'!$G441/1000*44/28*Nitrous*'6.Inland wetlands'!N152,0)</f>
        <v/>
      </c>
      <c r="T441" s="3493">
        <f>IF('6.Inland wetlands'!P152&gt;0,'Inl. wetlands'!$G441/1000*44/28*Nitrous*'6.Inland wetlands'!P152,0)</f>
        <v/>
      </c>
      <c r="U441" s="3493">
        <f>IF('6.Inland wetlands'!M152&gt;0,'Inl. wetlands'!$I441*44/12*'6.Inland wetlands'!M152,0)</f>
        <v/>
      </c>
      <c r="V441" s="3493">
        <f>IF('6.Inland wetlands'!N152&gt;0,'Inl. wetlands'!$I441*44/12*'6.Inland wetlands'!N152,0)</f>
        <v/>
      </c>
      <c r="W441" s="3493">
        <f>IF('6.Inland wetlands'!P152&gt;0,'Inl. wetlands'!$I441*44/12*'6.Inland wetlands'!P152,0)</f>
        <v/>
      </c>
      <c r="X441" s="3493">
        <f>IF('6.Inland wetlands'!M152&gt;0,'Inl. wetlands'!$K441*methane/1000*'6.Inland wetlands'!M152*'6.Inland wetlands'!$W152,0)</f>
        <v/>
      </c>
      <c r="Y441" s="3493">
        <f>IF('6.Inland wetlands'!N152&gt;0,'Inl. wetlands'!$K441/1000*methane*'6.Inland wetlands'!N152*'6.Inland wetlands'!$X152,0)</f>
        <v/>
      </c>
      <c r="Z441" s="3493">
        <f>IF('6.Inland wetlands'!P152&gt;0,'Inl. wetlands'!$K441/1000*methane*'6.Inland wetlands'!P152*'6.Inland wetlands'!$Y152,0)</f>
        <v/>
      </c>
      <c r="AB441" s="3493">
        <f>MIN(SUM('Inl. wetlands'!$L441,'Inl. wetlands'!$U441),SUM('Inl. wetlands'!$M441,'Inl. wetlands'!$V441))*time_tot+ABS(SUM('Inl. wetlands'!$M441,'Inl. wetlands'!$V441)-SUM('Inl. wetlands'!$L441,'Inl. wetlands'!$U441))*IF(SUM('Inl. wetlands'!$M441,'Inl. wetlands'!$V441)&gt;SUM('Inl. wetlands'!$L441,'Inl. wetlands'!$U441),time_cap+time*(VLOOKUP($G415,list!$J$48:$K$50,2,0)),time*(1-(VLOOKUP($G415,list!$J$48:$K$50,2,0))))</f>
        <v/>
      </c>
      <c r="AC441" s="3493">
        <f>MIN(SUM($L441,$U441),SUM($N441,$W441))*time_tot+ABS(SUM($N441,$W441)-SUM($L441,$U441))*IF(SUM($N441,$W441)&gt;SUM($L441,$U441),time_cap+time*(VLOOKUP($K415,list!$J$48:$K$50,2,0)),time*(1-(VLOOKUP($K415,list!$J$48:$K$50,2,0))))</f>
        <v/>
      </c>
      <c r="AD441" s="3493">
        <f>MIN(SUM('Inl. wetlands'!$O441,'Inl. wetlands'!$X441),SUM('Inl. wetlands'!$P441,'Inl. wetlands'!$Y441))*time_tot+ABS(SUM('Inl. wetlands'!$P441,'Inl. wetlands'!$Y441)-SUM('Inl. wetlands'!$O441,'Inl. wetlands'!$X441))*IF(SUM('Inl. wetlands'!$P441,'Inl. wetlands'!$Y441)&gt;SUM('Inl. wetlands'!$O441,'Inl. wetlands'!$X441),time_cap+time*(VLOOKUP($G415,list!$J$48:$K$50,2,0)),time*(1-(VLOOKUP($G415,list!$J$48:$K$50,2,0))))</f>
        <v/>
      </c>
      <c r="AE441" s="3493">
        <f>MIN(SUM($O441,$X441),SUM($Q441,$Z441))*time_tot+ABS(SUM($Q441,$Z441)-SUM($O441,$X441))*IF(SUM($Q441,$Z441)&gt;SUM($O441,$X441),time_cap+time*(VLOOKUP($K415,list!$J$48:$K$50,2,0)),time*(1-(VLOOKUP($K415,list!$J$48:$K$50,2,0))))</f>
        <v/>
      </c>
      <c r="AF441" s="3493">
        <f>MIN('Inl. wetlands'!$R441,'Inl. wetlands'!$S441)*time_tot+ABS('Inl. wetlands'!$S441-'Inl. wetlands'!$R441)*IF('Inl. wetlands'!$S441&gt;'Inl. wetlands'!$R441,time_cap+time*(VLOOKUP($G415,list!$J$48:$K$50,2,0)),time*(1-(VLOOKUP($G415,list!$J$48:$K$50,2,0))))</f>
        <v/>
      </c>
      <c r="AG441" s="3493">
        <f>MIN($R441,$T441)*time_tot+ABS($T441-$R441)*IF($T441&gt;$R441,time_cap+time*(VLOOKUP($K415,list!$J$48:$K$50,2,0)),time*(1-(VLOOKUP($K415,list!$J$48:$K$50,2,0))))</f>
        <v/>
      </c>
      <c r="AI441" s="3495">
        <f>SUM(AB441,AD441,AF441)</f>
        <v/>
      </c>
      <c r="AJ441" s="3495">
        <f>SUM(AC441,AE441,AG441)</f>
        <v/>
      </c>
      <c r="AK441" s="1159">
        <f>AJ441-AI441</f>
        <v/>
      </c>
      <c r="AX441" s="1449">
        <f>MIN($L441,$M441)*time+ABS($M441-$L441)*IF($M441&gt;$L441,time*(VLOOKUP($G415,list!$J$48:$K$50,2,0)),time*(1-(VLOOKUP($G415,list!$J$48:$K$50,2,0))))</f>
        <v/>
      </c>
      <c r="AY441" s="1449">
        <f>MIN($L441,$N441)*time+ABS($N441-$L441)*IF($N441&gt;$L441,time*(VLOOKUP($K415,list!$J$48:$K$50,2,0)),time*(1-(VLOOKUP($K415,list!$J$48:$K$50,2,0))))</f>
        <v/>
      </c>
      <c r="AZ441" s="1449">
        <f>MIN($O441,$P441)*time+ABS($P441-$O441)*IF($P441&gt;$O441,time*(VLOOKUP($G415,list!$J$48:$K$50,2,0)),time*(1-(VLOOKUP($G415,list!$J$48:$K$50,2,0))))</f>
        <v/>
      </c>
      <c r="BA441" s="1449">
        <f>MIN($O441,$Q441)*time+ABS($Q441-$O441)*IF($Q441&gt;$O441,time*(VLOOKUP($K415,list!$J$48:$K$50,2,0)),time*(1-(VLOOKUP($K415,list!$J$48:$K$50,2,0))))</f>
        <v/>
      </c>
      <c r="BB441" s="1449">
        <f>MIN($R441,$S441)*time+ABS($S441-$R441)*IF($S441&gt;$R441,time*(VLOOKUP($G415,list!$J$48:$K$50,2,0)),time*(1-(VLOOKUP($G415,list!$J$48:$K$50,2,0))))</f>
        <v/>
      </c>
      <c r="BC441" s="1449">
        <f>MIN($R441,$T441)*time+ABS($T441-$R441)*IF($T441&gt;$R441,time*(VLOOKUP($K415,list!$J$48:$K$50,2,0)),time*(1-(VLOOKUP($K415,list!$J$48:$K$50,2,0))))</f>
        <v/>
      </c>
      <c r="BD441" s="1449">
        <f>MIN($U441,$V441)*time+ABS($V441-$U441)*IF($V441&gt;$U441,time*(VLOOKUP($G415,list!$J$48:$K$50,2,0)),time*(1-(VLOOKUP($G415,list!$J$48:$K$50,2,0))))</f>
        <v/>
      </c>
      <c r="BE441" s="1449">
        <f>MIN($U441,$W441)*time+ABS($W441-$U441)*IF($W441&gt;$U441,time*(VLOOKUP($K415,list!$J$48:$K$50,2,0)),time*(1-(VLOOKUP($K415,list!$J$48:$K$50,2,0))))</f>
        <v/>
      </c>
      <c r="BF441" s="1449">
        <f>MIN($X441,$Y441)*time+ABS($Y441-$X441)*IF($Y441&gt;$X441,time*(VLOOKUP($G415,list!$J$48:$K$50,2,0)),time*(1-(VLOOKUP($G415,list!$J$48:$K$50,2,0))))</f>
        <v/>
      </c>
      <c r="BG441" s="1449">
        <f>MIN($X441,$Z441)*time+ABS($Z441-$X441)*IF($Z441&gt;$X441,time*(VLOOKUP($K415,list!$J$48:$K$50,2,0)),time*(1-(VLOOKUP($K415,list!$J$48:$K$50,2,0))))</f>
        <v/>
      </c>
    </row>
    <row r="442">
      <c r="A442" s="1467" t="inlineStr">
        <is>
          <t>S4</t>
        </is>
      </c>
      <c r="B442" s="1044">
        <f>IFERROR(IF($C$405=list!$J$210,INDEX(IPCC!$A$1762:$J$1773,MATCH(clim_moist,IPCC!$A$1781:$A$1792,0),MATCH($C416,IPCC!$A$1781:$J$1781,0)),IF($C$405=list!$J$211,INDEX(IPCC!$A$1781:$J$1792,MATCH(clim_moist,IPCC!$A$1781:$A$1792,0),MATCH($C416,IPCC!$A$1781:$J$1781,0)))),0)</f>
        <v/>
      </c>
      <c r="C442" s="1162">
        <f>IF('6.Inland wetlands'!$CG153="",'6.Inland wetlands'!$CF153,'6.Inland wetlands'!$CG153)</f>
        <v/>
      </c>
      <c r="D442" s="1044">
        <f>IFERROR(IF($C$405=list!$J$210,INDEX(IPCC!$A$1818:$J$1829,MATCH(clim_moist,IPCC!$A$1818:$A$1829,0),MATCH($C416,IPCC!$A$1818:$J$1818,0)),IF($C416=list!$J$211,INDEX(IPCC!$A$1836:$J$1847,MATCH(clim_moist,IPCC!$A$1836:$A$1847,0),MATCH($C416,IPCC!$A$1836:$J$1836,0)))),0)</f>
        <v/>
      </c>
      <c r="E442" s="1162">
        <f>IF('6.Inland wetlands'!$CI153="",'6.Inland wetlands'!$CH153,'6.Inland wetlands'!$CI153)</f>
        <v/>
      </c>
      <c r="F442" s="1044">
        <f>IFERROR(IF($C$405=list!$J$210,INDEX(IPCC!$A$1872:$J$1883,MATCH(clim_moist,IPCC!$A$1872:$A$1883,0),MATCH($C416,IPCC!$A$1872:$J$1872,0)),IF($C$405=list!$J$211,INDEX(IPCC!$A$1890:$J$1901,MATCH(clim_moist,IPCC!$A$1890:$A$1901,0),MATCH('Inl. wetlands'!$C416,IPCC!$A$1890:$J$1890,0)))),0)</f>
        <v/>
      </c>
      <c r="G442" s="1162">
        <f>IF('6.Inland wetlands'!$CK153="",'6.Inland wetlands'!$CJ153,'6.Inland wetlands'!$CK153)</f>
        <v/>
      </c>
      <c r="H442" s="1044">
        <f>IFERROR(IF($C$405=list!$J$210,INDEX(IPCC!$A$1800:$J$1811,MATCH(clim_moist,IPCC!$A$1800:$A$1811,0),MATCH($C416,IPCC!$A$1800:$J$1800,0)),IF($C$405=list!$J$211,INDEX(IPCC!$A$1800:$J$1811,MATCH(clim_moist,IPCC!$A$1800:$A$1811,0),MATCH('Inl. wetlands'!$C416,IPCC!$A$1800:$J$1800,0)))),0)</f>
        <v/>
      </c>
      <c r="I442" s="1162">
        <f>IF('6.Inland wetlands'!$CN153="",'6.Inland wetlands'!$CM153,'6.Inland wetlands'!$CN153)</f>
        <v/>
      </c>
      <c r="J442" s="1111">
        <f>IFERROR(IF($C$405=list!$J$210,INDEX(IPCC!$A$1854:$J$1865,MATCH(clim_moist,IPCC!$A$1854:$A$1865,0),MATCH($C416,IPCC!$A$1854:$J$1854,0)),IF($C$405=list!$J$211,INDEX(IPCC!$A$1854:$J$1865,MATCH(clim_moist,IPCC!$A$1854:$A$1865,0),MATCH('Inl. wetlands'!$C416,IPCC!$A$1854:$J$1854,0)))),0)</f>
        <v/>
      </c>
      <c r="K442" s="1161">
        <f>IF('6.Inland wetlands'!$CP153="",'6.Inland wetlands'!$CO153,'6.Inland wetlands'!$CP153)</f>
        <v/>
      </c>
      <c r="L442" s="3493">
        <f>IF('6.Inland wetlands'!M153&gt;0,'Inl. wetlands'!$C442*44/12*'6.Inland wetlands'!M153,0)</f>
        <v/>
      </c>
      <c r="M442" s="3493">
        <f>IF('6.Inland wetlands'!N153&gt;0,'Inl. wetlands'!$C442*44/12*'6.Inland wetlands'!N153,0)</f>
        <v/>
      </c>
      <c r="N442" s="3493">
        <f>IF('6.Inland wetlands'!P153&gt;0,'Inl. wetlands'!$C442*44/12*'6.Inland wetlands'!P153,0)</f>
        <v/>
      </c>
      <c r="O442" s="3493">
        <f>IFERROR(IF('6.Inland wetlands'!M153&gt;0,'Inl. wetlands'!$E442*methane/1000*'6.Inland wetlands'!M153*(1-'6.Inland wetlands'!$W153),0),0)</f>
        <v/>
      </c>
      <c r="P442" s="3493">
        <f>IFERROR(IF('6.Inland wetlands'!N153&gt;0,'Inl. wetlands'!$E442/1000*methane*'6.Inland wetlands'!N153*(1-'6.Inland wetlands'!$X153),0),0)</f>
        <v/>
      </c>
      <c r="Q442" s="3493">
        <f>IFERROR(IF('6.Inland wetlands'!P153&gt;0,'Inl. wetlands'!$E442/1000*methane*'6.Inland wetlands'!P153*(1-'6.Inland wetlands'!Y153),0),0)</f>
        <v/>
      </c>
      <c r="R442" s="3493">
        <f>IF('6.Inland wetlands'!M153&gt;0,'Inl. wetlands'!$G442/1000*44/28*Nitrous*'6.Inland wetlands'!M153,0)</f>
        <v/>
      </c>
      <c r="S442" s="3493">
        <f>IF('6.Inland wetlands'!N153&gt;0,'Inl. wetlands'!$G442/1000*44/28*Nitrous*'6.Inland wetlands'!N153,0)</f>
        <v/>
      </c>
      <c r="T442" s="3493">
        <f>IF('6.Inland wetlands'!P153&gt;0,'Inl. wetlands'!$G442/1000*44/28*Nitrous*'6.Inland wetlands'!P153,0)</f>
        <v/>
      </c>
      <c r="U442" s="3493">
        <f>IF('6.Inland wetlands'!M153&gt;0,'Inl. wetlands'!$I442*44/12*'6.Inland wetlands'!M153,0)</f>
        <v/>
      </c>
      <c r="V442" s="3493">
        <f>IF('6.Inland wetlands'!N153&gt;0,'Inl. wetlands'!$I442*44/12*'6.Inland wetlands'!N153,0)</f>
        <v/>
      </c>
      <c r="W442" s="3493">
        <f>IF('6.Inland wetlands'!P153&gt;0,'Inl. wetlands'!$I442*44/12*'6.Inland wetlands'!P153,0)</f>
        <v/>
      </c>
      <c r="X442" s="3493">
        <f>IF('6.Inland wetlands'!M153&gt;0,'Inl. wetlands'!$K442*methane/1000*'6.Inland wetlands'!M153*'6.Inland wetlands'!$W153,0)</f>
        <v/>
      </c>
      <c r="Y442" s="3493">
        <f>IF('6.Inland wetlands'!N153&gt;0,'Inl. wetlands'!$K442/1000*methane*'6.Inland wetlands'!N153*'6.Inland wetlands'!$X153,0)</f>
        <v/>
      </c>
      <c r="Z442" s="3493">
        <f>IF('6.Inland wetlands'!P153&gt;0,'Inl. wetlands'!$K442/1000*methane*'6.Inland wetlands'!P153*'6.Inland wetlands'!$Y153,0)</f>
        <v/>
      </c>
      <c r="AB442" s="3493">
        <f>MIN(SUM('Inl. wetlands'!$L442,'Inl. wetlands'!$U442),SUM('Inl. wetlands'!$M442,'Inl. wetlands'!$V442))*time_tot+ABS(SUM('Inl. wetlands'!$M442,'Inl. wetlands'!$V442)-SUM('Inl. wetlands'!$L442,'Inl. wetlands'!$U442))*IF(SUM('Inl. wetlands'!$M442,'Inl. wetlands'!$V442)&gt;SUM('Inl. wetlands'!$L442,'Inl. wetlands'!$U442),time_cap+time*(VLOOKUP($G416,list!$J$48:$K$50,2,0)),time*(1-(VLOOKUP($G416,list!$J$48:$K$50,2,0))))</f>
        <v/>
      </c>
      <c r="AC442" s="3493">
        <f>MIN(SUM($L442,$U442),SUM($N442,$W442))*time_tot+ABS(SUM($N442,$W442)-SUM($L442,$U442))*IF(SUM($N442,$W442)&gt;SUM($L442,$U442),time_cap+time*(VLOOKUP($K416,list!$J$48:$K$50,2,0)),time*(1-(VLOOKUP($K416,list!$J$48:$K$50,2,0))))</f>
        <v/>
      </c>
      <c r="AD442" s="3493">
        <f>MIN(SUM('Inl. wetlands'!$O442,'Inl. wetlands'!$X442),SUM('Inl. wetlands'!$P442,'Inl. wetlands'!$Y442))*time_tot+ABS(SUM('Inl. wetlands'!$P442,'Inl. wetlands'!$Y442)-SUM('Inl. wetlands'!$O442,'Inl. wetlands'!$X442))*IF(SUM('Inl. wetlands'!$P442,'Inl. wetlands'!$Y442)&gt;SUM('Inl. wetlands'!$O442,'Inl. wetlands'!$X442),time_cap+time*(VLOOKUP($G416,list!$J$48:$K$50,2,0)),time*(1-(VLOOKUP($G416,list!$J$48:$K$50,2,0))))</f>
        <v/>
      </c>
      <c r="AE442" s="3493">
        <f>MIN(SUM($O442,$X442),SUM($Q442,$Z442))*time_tot+ABS(SUM($Q442,$Z442)-SUM($O442,$X442))*IF(SUM($Q442,$Z442)&gt;SUM($O442,$X442),time_cap+time*(VLOOKUP($K416,list!$J$48:$K$50,2,0)),time*(1-(VLOOKUP($K416,list!$J$48:$K$50,2,0))))</f>
        <v/>
      </c>
      <c r="AF442" s="3493">
        <f>MIN('Inl. wetlands'!$R442,'Inl. wetlands'!$S442)*time_tot+ABS('Inl. wetlands'!$S442-'Inl. wetlands'!$R442)*IF('Inl. wetlands'!$S442&gt;'Inl. wetlands'!$R442,time_cap+time*(VLOOKUP($G416,list!$J$48:$K$50,2,0)),time*(1-(VLOOKUP($G416,list!$J$48:$K$50,2,0))))</f>
        <v/>
      </c>
      <c r="AG442" s="3493">
        <f>MIN($R442,$T442)*time_tot+ABS($T442-$R442)*IF($T442&gt;$R442,time_cap+time*(VLOOKUP($K416,list!$J$48:$K$50,2,0)),time*(1-(VLOOKUP($K416,list!$J$48:$K$50,2,0))))</f>
        <v/>
      </c>
      <c r="AI442" s="3495">
        <f>SUM(AB442,AD442,AF442)</f>
        <v/>
      </c>
      <c r="AJ442" s="3495">
        <f>SUM(AC442,AE442,AG442)</f>
        <v/>
      </c>
      <c r="AK442" s="1159">
        <f>AJ442-AI442</f>
        <v/>
      </c>
      <c r="AX442" s="1449">
        <f>MIN($L442,$M442)*time+ABS($M442-$L442)*IF($M442&gt;$L442,time*(VLOOKUP($G416,list!$J$48:$K$50,2,0)),time*(1-(VLOOKUP($G416,list!$J$48:$K$50,2,0))))</f>
        <v/>
      </c>
      <c r="AY442" s="1449">
        <f>MIN($L442,$N442)*time+ABS($N442-$L442)*IF($N442&gt;$L442,time*(VLOOKUP($K416,list!$J$48:$K$50,2,0)),time*(1-(VLOOKUP($K416,list!$J$48:$K$50,2,0))))</f>
        <v/>
      </c>
      <c r="AZ442" s="1449">
        <f>MIN($O442,$P442)*time+ABS($P442-$O442)*IF($P442&gt;$O442,time*(VLOOKUP($G416,list!$J$48:$K$50,2,0)),time*(1-(VLOOKUP($G416,list!$J$48:$K$50,2,0))))</f>
        <v/>
      </c>
      <c r="BA442" s="1449">
        <f>MIN($O442,$Q442)*time+ABS($Q442-$O442)*IF($Q442&gt;$O442,time*(VLOOKUP($K416,list!$J$48:$K$50,2,0)),time*(1-(VLOOKUP($K416,list!$J$48:$K$50,2,0))))</f>
        <v/>
      </c>
      <c r="BB442" s="1449">
        <f>MIN($R442,$S442)*time+ABS($S442-$R442)*IF($S442&gt;$R442,time*(VLOOKUP($G416,list!$J$48:$K$50,2,0)),time*(1-(VLOOKUP($G416,list!$J$48:$K$50,2,0))))</f>
        <v/>
      </c>
      <c r="BC442" s="1449">
        <f>MIN($R442,$T442)*time+ABS($T442-$R442)*IF($T442&gt;$R442,time*(VLOOKUP($K416,list!$J$48:$K$50,2,0)),time*(1-(VLOOKUP($K416,list!$J$48:$K$50,2,0))))</f>
        <v/>
      </c>
      <c r="BD442" s="1449">
        <f>MIN($U442,$V442)*time+ABS($V442-$U442)*IF($V442&gt;$U442,time*(VLOOKUP($G416,list!$J$48:$K$50,2,0)),time*(1-(VLOOKUP($G416,list!$J$48:$K$50,2,0))))</f>
        <v/>
      </c>
      <c r="BE442" s="1449">
        <f>MIN($U442,$W442)*time+ABS($W442-$U442)*IF($W442&gt;$U442,time*(VLOOKUP($K416,list!$J$48:$K$50,2,0)),time*(1-(VLOOKUP($K416,list!$J$48:$K$50,2,0))))</f>
        <v/>
      </c>
      <c r="BF442" s="1449">
        <f>MIN($X442,$Y442)*time+ABS($Y442-$X442)*IF($Y442&gt;$X442,time*(VLOOKUP($G416,list!$J$48:$K$50,2,0)),time*(1-(VLOOKUP($G416,list!$J$48:$K$50,2,0))))</f>
        <v/>
      </c>
      <c r="BG442" s="1449">
        <f>MIN($X442,$Z442)*time+ABS($Z442-$X442)*IF($Z442&gt;$X442,time*(VLOOKUP($K416,list!$J$48:$K$50,2,0)),time*(1-(VLOOKUP($K416,list!$J$48:$K$50,2,0))))</f>
        <v/>
      </c>
    </row>
    <row r="443">
      <c r="A443" s="1467" t="inlineStr">
        <is>
          <t>S5</t>
        </is>
      </c>
      <c r="B443" s="1044">
        <f>IFERROR(IF($C$405=list!$J$210,INDEX(IPCC!$A$1762:$J$1773,MATCH(clim_moist,IPCC!$A$1781:$A$1792,0),MATCH($C417,IPCC!$A$1781:$J$1781,0)),IF($C$405=list!$J$211,INDEX(IPCC!$A$1781:$J$1792,MATCH(clim_moist,IPCC!$A$1781:$A$1792,0),MATCH($C417,IPCC!$A$1781:$J$1781,0)))),0)</f>
        <v/>
      </c>
      <c r="C443" s="1162">
        <f>IF('6.Inland wetlands'!$CG154="",'6.Inland wetlands'!$CF154,'6.Inland wetlands'!$CG154)</f>
        <v/>
      </c>
      <c r="D443" s="1044">
        <f>IFERROR(IF($C$405=list!$J$210,INDEX(IPCC!$A$1818:$J$1829,MATCH(clim_moist,IPCC!$A$1818:$A$1829,0),MATCH($C417,IPCC!$A$1818:$J$1818,0)),IF($C417=list!$J$211,INDEX(IPCC!$A$1836:$J$1847,MATCH(clim_moist,IPCC!$A$1836:$A$1847,0),MATCH($C417,IPCC!$A$1836:$J$1836,0)))),0)</f>
        <v/>
      </c>
      <c r="E443" s="1162">
        <f>IF('6.Inland wetlands'!$CI154="",'6.Inland wetlands'!$CH154,'6.Inland wetlands'!$CI154)</f>
        <v/>
      </c>
      <c r="F443" s="1044">
        <f>IFERROR(IF($C$405=list!$J$210,INDEX(IPCC!$A$1872:$J$1883,MATCH(clim_moist,IPCC!$A$1872:$A$1883,0),MATCH($C417,IPCC!$A$1872:$J$1872,0)),IF($C$405=list!$J$211,INDEX(IPCC!$A$1890:$J$1901,MATCH(clim_moist,IPCC!$A$1890:$A$1901,0),MATCH('Inl. wetlands'!$C417,IPCC!$A$1890:$J$1890,0)))),0)</f>
        <v/>
      </c>
      <c r="G443" s="1162">
        <f>IF('6.Inland wetlands'!$CK154="",'6.Inland wetlands'!$CJ154,'6.Inland wetlands'!$CK154)</f>
        <v/>
      </c>
      <c r="H443" s="1044">
        <f>IFERROR(IF($C$405=list!$J$210,INDEX(IPCC!$A$1800:$J$1811,MATCH(clim_moist,IPCC!$A$1800:$A$1811,0),MATCH($C417,IPCC!$A$1800:$J$1800,0)),IF($C$405=list!$J$211,INDEX(IPCC!$A$1800:$J$1811,MATCH(clim_moist,IPCC!$A$1800:$A$1811,0),MATCH('Inl. wetlands'!$C417,IPCC!$A$1800:$J$1800,0)))),0)</f>
        <v/>
      </c>
      <c r="I443" s="1162">
        <f>IF('6.Inland wetlands'!$CN154="",'6.Inland wetlands'!$CM154,'6.Inland wetlands'!$CN154)</f>
        <v/>
      </c>
      <c r="J443" s="1111">
        <f>IFERROR(IF($C$405=list!$J$210,INDEX(IPCC!$A$1854:$J$1865,MATCH(clim_moist,IPCC!$A$1854:$A$1865,0),MATCH($C417,IPCC!$A$1854:$J$1854,0)),IF($C$405=list!$J$211,INDEX(IPCC!$A$1854:$J$1865,MATCH(clim_moist,IPCC!$A$1854:$A$1865,0),MATCH('Inl. wetlands'!$C417,IPCC!$A$1854:$J$1854,0)))),0)</f>
        <v/>
      </c>
      <c r="K443" s="1161">
        <f>IF('6.Inland wetlands'!$CP154="",'6.Inland wetlands'!$CO154,'6.Inland wetlands'!$CP154)</f>
        <v/>
      </c>
      <c r="L443" s="3493">
        <f>IF('6.Inland wetlands'!M154&gt;0,'Inl. wetlands'!$C443*44/12*'6.Inland wetlands'!M154,0)</f>
        <v/>
      </c>
      <c r="M443" s="3493">
        <f>IF('6.Inland wetlands'!N154&gt;0,'Inl. wetlands'!$C443*44/12*'6.Inland wetlands'!N154,0)</f>
        <v/>
      </c>
      <c r="N443" s="3493">
        <f>IF('6.Inland wetlands'!P154&gt;0,'Inl. wetlands'!$C443*44/12*'6.Inland wetlands'!P154,0)</f>
        <v/>
      </c>
      <c r="O443" s="3493">
        <f>IFERROR(IF('6.Inland wetlands'!M154&gt;0,'Inl. wetlands'!$E443*methane/1000*'6.Inland wetlands'!M154*(1-'6.Inland wetlands'!$W154),0),0)</f>
        <v/>
      </c>
      <c r="P443" s="3493">
        <f>IFERROR(IF('6.Inland wetlands'!N154&gt;0,'Inl. wetlands'!$E443/1000*methane*'6.Inland wetlands'!N154*(1-'6.Inland wetlands'!$X154),0),0)</f>
        <v/>
      </c>
      <c r="Q443" s="3493">
        <f>IFERROR(IF('6.Inland wetlands'!P154&gt;0,'Inl. wetlands'!$E443/1000*methane*'6.Inland wetlands'!P154*(1-'6.Inland wetlands'!Y154),0),0)</f>
        <v/>
      </c>
      <c r="R443" s="3493">
        <f>IF('6.Inland wetlands'!M154&gt;0,'Inl. wetlands'!$G443/1000*44/28*Nitrous*'6.Inland wetlands'!M154,0)</f>
        <v/>
      </c>
      <c r="S443" s="3493">
        <f>IF('6.Inland wetlands'!N154&gt;0,'Inl. wetlands'!$G443/1000*44/28*Nitrous*'6.Inland wetlands'!N154,0)</f>
        <v/>
      </c>
      <c r="T443" s="3493">
        <f>IF('6.Inland wetlands'!P154&gt;0,'Inl. wetlands'!$G443/1000*44/28*Nitrous*'6.Inland wetlands'!P154,0)</f>
        <v/>
      </c>
      <c r="U443" s="3493">
        <f>IF('6.Inland wetlands'!M154&gt;0,'Inl. wetlands'!$I443*44/12*'6.Inland wetlands'!M154,0)</f>
        <v/>
      </c>
      <c r="V443" s="3493">
        <f>IF('6.Inland wetlands'!N154&gt;0,'Inl. wetlands'!$I443*44/12*'6.Inland wetlands'!N154,0)</f>
        <v/>
      </c>
      <c r="W443" s="3493">
        <f>IF('6.Inland wetlands'!P154&gt;0,'Inl. wetlands'!$I443*44/12*'6.Inland wetlands'!P154,0)</f>
        <v/>
      </c>
      <c r="X443" s="3493">
        <f>IF('6.Inland wetlands'!M154&gt;0,'Inl. wetlands'!$K443*methane/1000*'6.Inland wetlands'!M154*'6.Inland wetlands'!$W154,0)</f>
        <v/>
      </c>
      <c r="Y443" s="3493">
        <f>IF('6.Inland wetlands'!N154&gt;0,'Inl. wetlands'!$K443/1000*methane*'6.Inland wetlands'!N154*'6.Inland wetlands'!$X154,0)</f>
        <v/>
      </c>
      <c r="Z443" s="3493">
        <f>IF('6.Inland wetlands'!P154&gt;0,'Inl. wetlands'!$K443/1000*methane*'6.Inland wetlands'!P154*'6.Inland wetlands'!$Y154,0)</f>
        <v/>
      </c>
      <c r="AB443" s="3493">
        <f>MIN(SUM('Inl. wetlands'!$L443,'Inl. wetlands'!$U443),SUM('Inl. wetlands'!$M443,'Inl. wetlands'!$V443))*time_tot+ABS(SUM('Inl. wetlands'!$M443,'Inl. wetlands'!$V443)-SUM('Inl. wetlands'!$L443,'Inl. wetlands'!$U443))*IF(SUM('Inl. wetlands'!$M443,'Inl. wetlands'!$V443)&gt;SUM('Inl. wetlands'!$L443,'Inl. wetlands'!$U443),time_cap+time*(VLOOKUP($G417,list!$J$48:$K$50,2,0)),time*(1-(VLOOKUP($G417,list!$J$48:$K$50,2,0))))</f>
        <v/>
      </c>
      <c r="AC443" s="3493">
        <f>MIN(SUM($L443,$U443),SUM($N443,$W443))*time_tot+ABS(SUM($N443,$W443)-SUM($L443,$U443))*IF(SUM($N443,$W443)&gt;SUM($L443,$U443),time_cap+time*(VLOOKUP($K417,list!$J$48:$K$50,2,0)),time*(1-(VLOOKUP($K417,list!$J$48:$K$50,2,0))))</f>
        <v/>
      </c>
      <c r="AD443" s="3493">
        <f>MIN(SUM('Inl. wetlands'!$O443,'Inl. wetlands'!$X443),SUM('Inl. wetlands'!$P443,'Inl. wetlands'!$Y443))*time_tot+ABS(SUM('Inl. wetlands'!$P443,'Inl. wetlands'!$Y443)-SUM('Inl. wetlands'!$O443,'Inl. wetlands'!$X443))*IF(SUM('Inl. wetlands'!$P443,'Inl. wetlands'!$Y443)&gt;SUM('Inl. wetlands'!$O443,'Inl. wetlands'!$X443),time_cap+time*(VLOOKUP($G417,list!$J$48:$K$50,2,0)),time*(1-(VLOOKUP($G417,list!$J$48:$K$50,2,0))))</f>
        <v/>
      </c>
      <c r="AE443" s="3493">
        <f>MIN(SUM($O443,$X443),SUM($Q443,$Z443))*time_tot+ABS(SUM($Q443,$Z443)-SUM($O443,$X443))*IF(SUM($Q443,$Z443)&gt;SUM($O443,$X443),time_cap+time*(VLOOKUP($K417,list!$J$48:$K$50,2,0)),time*(1-(VLOOKUP($K417,list!$J$48:$K$50,2,0))))</f>
        <v/>
      </c>
      <c r="AF443" s="3493">
        <f>MIN('Inl. wetlands'!$R443,'Inl. wetlands'!$S443)*time_tot+ABS('Inl. wetlands'!$S443-'Inl. wetlands'!$R443)*IF('Inl. wetlands'!$S443&gt;'Inl. wetlands'!$R443,time_cap+time*(VLOOKUP($G417,list!$J$48:$K$50,2,0)),time*(1-(VLOOKUP($G417,list!$J$48:$K$50,2,0))))</f>
        <v/>
      </c>
      <c r="AG443" s="3493">
        <f>MIN($R443,$T443)*time_tot+ABS($T443-$R443)*IF($T443&gt;$R443,time_cap+time*(VLOOKUP($K417,list!$J$48:$K$50,2,0)),time*(1-(VLOOKUP($K417,list!$J$48:$K$50,2,0))))</f>
        <v/>
      </c>
      <c r="AI443" s="3495">
        <f>SUM(AB443,AD443,AF443)</f>
        <v/>
      </c>
      <c r="AJ443" s="3495">
        <f>SUM(AC443,AE443,AG443)</f>
        <v/>
      </c>
      <c r="AK443" s="1159">
        <f>AJ443-AI443</f>
        <v/>
      </c>
      <c r="AX443" s="1449">
        <f>MIN($L443,$M443)*time+ABS($M443-$L443)*IF($M443&gt;$L443,time*(VLOOKUP($G417,list!$J$48:$K$50,2,0)),time*(1-(VLOOKUP($G417,list!$J$48:$K$50,2,0))))</f>
        <v/>
      </c>
      <c r="AY443" s="1449">
        <f>MIN($L443,$N443)*time+ABS($N443-$L443)*IF($N443&gt;$L443,time*(VLOOKUP($K417,list!$J$48:$K$50,2,0)),time*(1-(VLOOKUP($K417,list!$J$48:$K$50,2,0))))</f>
        <v/>
      </c>
      <c r="AZ443" s="1449">
        <f>MIN($O443,$P443)*time+ABS($P443-$O443)*IF($P443&gt;$O443,time*(VLOOKUP($G417,list!$J$48:$K$50,2,0)),time*(1-(VLOOKUP($G417,list!$J$48:$K$50,2,0))))</f>
        <v/>
      </c>
      <c r="BA443" s="1449">
        <f>MIN($O443,$Q443)*time+ABS($Q443-$O443)*IF($Q443&gt;$O443,time*(VLOOKUP($K417,list!$J$48:$K$50,2,0)),time*(1-(VLOOKUP($K417,list!$J$48:$K$50,2,0))))</f>
        <v/>
      </c>
      <c r="BB443" s="1449">
        <f>MIN($R443,$S443)*time+ABS($S443-$R443)*IF($S443&gt;$R443,time*(VLOOKUP($G417,list!$J$48:$K$50,2,0)),time*(1-(VLOOKUP($G417,list!$J$48:$K$50,2,0))))</f>
        <v/>
      </c>
      <c r="BC443" s="1449">
        <f>MIN($R443,$T443)*time+ABS($T443-$R443)*IF($T443&gt;$R443,time*(VLOOKUP($K417,list!$J$48:$K$50,2,0)),time*(1-(VLOOKUP($K417,list!$J$48:$K$50,2,0))))</f>
        <v/>
      </c>
      <c r="BD443" s="1449">
        <f>MIN($U443,$V443)*time+ABS($V443-$U443)*IF($V443&gt;$U443,time*(VLOOKUP($G417,list!$J$48:$K$50,2,0)),time*(1-(VLOOKUP($G417,list!$J$48:$K$50,2,0))))</f>
        <v/>
      </c>
      <c r="BE443" s="1449">
        <f>MIN($U443,$W443)*time+ABS($W443-$U443)*IF($W443&gt;$U443,time*(VLOOKUP($K417,list!$J$48:$K$50,2,0)),time*(1-(VLOOKUP($K417,list!$J$48:$K$50,2,0))))</f>
        <v/>
      </c>
      <c r="BF443" s="1449">
        <f>MIN($X443,$Y443)*time+ABS($Y443-$X443)*IF($Y443&gt;$X443,time*(VLOOKUP($G417,list!$J$48:$K$50,2,0)),time*(1-(VLOOKUP($G417,list!$J$48:$K$50,2,0))))</f>
        <v/>
      </c>
      <c r="BG443" s="1449">
        <f>MIN($X443,$Z443)*time+ABS($Z443-$X443)*IF($Z443&gt;$X443,time*(VLOOKUP($K417,list!$J$48:$K$50,2,0)),time*(1-(VLOOKUP($K417,list!$J$48:$K$50,2,0))))</f>
        <v/>
      </c>
    </row>
    <row r="444">
      <c r="A444" s="1467" t="inlineStr">
        <is>
          <t>S6</t>
        </is>
      </c>
      <c r="B444" s="1044">
        <f>IFERROR(IF($C$405=list!$J$210,INDEX(IPCC!$A$1762:$J$1773,MATCH(clim_moist,IPCC!$A$1781:$A$1792,0),MATCH($C418,IPCC!$A$1781:$J$1781,0)),IF($C$405=list!$J$211,INDEX(IPCC!$A$1781:$J$1792,MATCH(clim_moist,IPCC!$A$1781:$A$1792,0),MATCH($C418,IPCC!$A$1781:$J$1781,0)))),0)</f>
        <v/>
      </c>
      <c r="C444" s="1162">
        <f>IF('6.Inland wetlands'!$CG155="",'6.Inland wetlands'!$CF155,'6.Inland wetlands'!$CG155)</f>
        <v/>
      </c>
      <c r="D444" s="1044">
        <f>IFERROR(IF($C$405=list!$J$210,INDEX(IPCC!$A$1818:$J$1829,MATCH(clim_moist,IPCC!$A$1818:$A$1829,0),MATCH($C418,IPCC!$A$1818:$J$1818,0)),IF($C418=list!$J$211,INDEX(IPCC!$A$1836:$J$1847,MATCH(clim_moist,IPCC!$A$1836:$A$1847,0),MATCH($C418,IPCC!$A$1836:$J$1836,0)))),0)</f>
        <v/>
      </c>
      <c r="E444" s="1162">
        <f>IF('6.Inland wetlands'!$CI155="",'6.Inland wetlands'!$CH155,'6.Inland wetlands'!$CI155)</f>
        <v/>
      </c>
      <c r="F444" s="1044">
        <f>IFERROR(IF($C$405=list!$J$210,INDEX(IPCC!$A$1872:$J$1883,MATCH(clim_moist,IPCC!$A$1872:$A$1883,0),MATCH($C418,IPCC!$A$1872:$J$1872,0)),IF($C$405=list!$J$211,INDEX(IPCC!$A$1890:$J$1901,MATCH(clim_moist,IPCC!$A$1890:$A$1901,0),MATCH('Inl. wetlands'!$C418,IPCC!$A$1890:$J$1890,0)))),0)</f>
        <v/>
      </c>
      <c r="G444" s="1162">
        <f>IF('6.Inland wetlands'!$CK155="",'6.Inland wetlands'!$CJ155,'6.Inland wetlands'!$CK155)</f>
        <v/>
      </c>
      <c r="H444" s="1044">
        <f>IFERROR(IF($C$405=list!$J$210,INDEX(IPCC!$A$1800:$J$1811,MATCH(clim_moist,IPCC!$A$1800:$A$1811,0),MATCH($C418,IPCC!$A$1800:$J$1800,0)),IF($C$405=list!$J$211,INDEX(IPCC!$A$1800:$J$1811,MATCH(clim_moist,IPCC!$A$1800:$A$1811,0),MATCH('Inl. wetlands'!$C418,IPCC!$A$1800:$J$1800,0)))),0)</f>
        <v/>
      </c>
      <c r="I444" s="1162">
        <f>IF('6.Inland wetlands'!$CN155="",'6.Inland wetlands'!$CM155,'6.Inland wetlands'!$CN155)</f>
        <v/>
      </c>
      <c r="J444" s="1111">
        <f>IFERROR(IF($C$405=list!$J$210,INDEX(IPCC!$A$1854:$J$1865,MATCH(clim_moist,IPCC!$A$1854:$A$1865,0),MATCH($C418,IPCC!$A$1854:$J$1854,0)),IF($C$405=list!$J$211,INDEX(IPCC!$A$1854:$J$1865,MATCH(clim_moist,IPCC!$A$1854:$A$1865,0),MATCH('Inl. wetlands'!$C418,IPCC!$A$1854:$J$1854,0)))),0)</f>
        <v/>
      </c>
      <c r="K444" s="1161">
        <f>IF('6.Inland wetlands'!$CP155="",'6.Inland wetlands'!$CO155,'6.Inland wetlands'!$CP155)</f>
        <v/>
      </c>
      <c r="L444" s="3493">
        <f>IF('6.Inland wetlands'!M155&gt;0,'Inl. wetlands'!$C444*44/12*'6.Inland wetlands'!M155,0)</f>
        <v/>
      </c>
      <c r="M444" s="3493">
        <f>IF('6.Inland wetlands'!N155&gt;0,'Inl. wetlands'!$C444*44/12*'6.Inland wetlands'!N155,0)</f>
        <v/>
      </c>
      <c r="N444" s="3493">
        <f>IF('6.Inland wetlands'!P155&gt;0,'Inl. wetlands'!$C444*44/12*'6.Inland wetlands'!P155,0)</f>
        <v/>
      </c>
      <c r="O444" s="3493">
        <f>IFERROR(IF('6.Inland wetlands'!M155&gt;0,'Inl. wetlands'!$E444*methane/1000*'6.Inland wetlands'!M155*(1-'6.Inland wetlands'!$W155),0),0)</f>
        <v/>
      </c>
      <c r="P444" s="3493">
        <f>IFERROR(IF('6.Inland wetlands'!N155&gt;0,'Inl. wetlands'!$E444/1000*methane*'6.Inland wetlands'!N155*(1-'6.Inland wetlands'!$X155),0),0)</f>
        <v/>
      </c>
      <c r="Q444" s="3493">
        <f>IFERROR(IF('6.Inland wetlands'!P155&gt;0,'Inl. wetlands'!$E444/1000*methane*'6.Inland wetlands'!P155*(1-'6.Inland wetlands'!Y155),0),0)</f>
        <v/>
      </c>
      <c r="R444" s="3493">
        <f>IF('6.Inland wetlands'!M155&gt;0,'Inl. wetlands'!$G444/1000*44/28*Nitrous*'6.Inland wetlands'!M155,0)</f>
        <v/>
      </c>
      <c r="S444" s="3493">
        <f>IF('6.Inland wetlands'!N155&gt;0,'Inl. wetlands'!$G444/1000*44/28*Nitrous*'6.Inland wetlands'!N155,0)</f>
        <v/>
      </c>
      <c r="T444" s="3493">
        <f>IF('6.Inland wetlands'!P155&gt;0,'Inl. wetlands'!$G444/1000*44/28*Nitrous*'6.Inland wetlands'!P155,0)</f>
        <v/>
      </c>
      <c r="U444" s="3493">
        <f>IF('6.Inland wetlands'!M155&gt;0,'Inl. wetlands'!$I444*44/12*'6.Inland wetlands'!M155,0)</f>
        <v/>
      </c>
      <c r="V444" s="3493">
        <f>IF('6.Inland wetlands'!N155&gt;0,'Inl. wetlands'!$I444*44/12*'6.Inland wetlands'!N155,0)</f>
        <v/>
      </c>
      <c r="W444" s="3493">
        <f>IF('6.Inland wetlands'!P155&gt;0,'Inl. wetlands'!$I444*44/12*'6.Inland wetlands'!P155,0)</f>
        <v/>
      </c>
      <c r="X444" s="3493">
        <f>IF('6.Inland wetlands'!M155&gt;0,'Inl. wetlands'!$K444*methane/1000*'6.Inland wetlands'!M155*'6.Inland wetlands'!$W155,0)</f>
        <v/>
      </c>
      <c r="Y444" s="3493">
        <f>IF('6.Inland wetlands'!N155&gt;0,'Inl. wetlands'!$K444/1000*methane*'6.Inland wetlands'!N155*'6.Inland wetlands'!$X155,0)</f>
        <v/>
      </c>
      <c r="Z444" s="3493">
        <f>IF('6.Inland wetlands'!P155&gt;0,'Inl. wetlands'!$K444/1000*methane*'6.Inland wetlands'!P155*'6.Inland wetlands'!$Y155,0)</f>
        <v/>
      </c>
      <c r="AB444" s="3493">
        <f>MIN(SUM('Inl. wetlands'!$L444,'Inl. wetlands'!$U444),SUM('Inl. wetlands'!$M444,'Inl. wetlands'!$V444))*time_tot+ABS(SUM('Inl. wetlands'!$M444,'Inl. wetlands'!$V444)-SUM('Inl. wetlands'!$L444,'Inl. wetlands'!$U444))*IF(SUM('Inl. wetlands'!$M444,'Inl. wetlands'!$V444)&gt;SUM('Inl. wetlands'!$L444,'Inl. wetlands'!$U444),time_cap+time*(VLOOKUP($G418,list!$J$48:$K$50,2,0)),time*(1-(VLOOKUP($G418,list!$J$48:$K$50,2,0))))</f>
        <v/>
      </c>
      <c r="AC444" s="3497">
        <f>MIN(SUM($L444,$U444),SUM($N444,$W444))*time_tot+ABS(SUM($N444,$W444)-SUM($L444,$U444))*IF(SUM($N444,$W444)&gt;SUM($L444,$U444),time_cap+time*(VLOOKUP($K418,list!$J$48:$K$50,2,0)),time*(1-(VLOOKUP($K418,list!$J$48:$K$50,2,0))))</f>
        <v/>
      </c>
      <c r="AD444" s="3493">
        <f>MIN(SUM('Inl. wetlands'!$O444,'Inl. wetlands'!$X444),SUM('Inl. wetlands'!$P444,'Inl. wetlands'!$Y444))*time_tot+ABS(SUM('Inl. wetlands'!$P444,'Inl. wetlands'!$Y444)-SUM('Inl. wetlands'!$O444,'Inl. wetlands'!$X444))*IF(SUM('Inl. wetlands'!$P444,'Inl. wetlands'!$Y444)&gt;SUM('Inl. wetlands'!$O444,'Inl. wetlands'!$X444),time_cap+time*(VLOOKUP($G418,list!$J$48:$K$50,2,0)),time*(1-(VLOOKUP($G418,list!$J$48:$K$50,2,0))))</f>
        <v/>
      </c>
      <c r="AE444" s="3497">
        <f>MIN(SUM($O444,$X444),SUM($Q444,$Z444))*time_tot+ABS(SUM($Q444,$Z444)-SUM($O444,$X444))*IF(SUM($Q444,$Z444)&gt;SUM($O444,$X444),time_cap+time*(VLOOKUP($K418,list!$J$48:$K$50,2,0)),time*(1-(VLOOKUP($K418,list!$J$48:$K$50,2,0))))</f>
        <v/>
      </c>
      <c r="AF444" s="3493">
        <f>MIN('Inl. wetlands'!$R444,'Inl. wetlands'!$S444)*time_tot+ABS('Inl. wetlands'!$S444-'Inl. wetlands'!$R444)*IF('Inl. wetlands'!$S444&gt;'Inl. wetlands'!$R444,time_cap+time*(VLOOKUP($G418,list!$J$48:$K$50,2,0)),time*(1-(VLOOKUP($G418,list!$J$48:$K$50,2,0))))</f>
        <v/>
      </c>
      <c r="AG444" s="3497">
        <f>MIN($R444,$T444)*time_tot+ABS($T444-$R444)*IF($T444&gt;$R444,time_cap+time*(VLOOKUP($K418,list!$J$48:$K$50,2,0)),time*(1-(VLOOKUP($K418,list!$J$48:$K$50,2,0))))</f>
        <v/>
      </c>
      <c r="AI444" s="3495">
        <f>SUM(AB444,AD444,AF444)</f>
        <v/>
      </c>
      <c r="AJ444" s="3495">
        <f>SUM(AC444,AE444,AG444)</f>
        <v/>
      </c>
      <c r="AK444" s="3499">
        <f>AJ444-AI444</f>
        <v/>
      </c>
      <c r="AX444" s="1449">
        <f>MIN($L444,$M444)*time+ABS($M444-$L444)*IF($M444&gt;$L444,time*(VLOOKUP($G418,list!$J$48:$K$50,2,0)),time*(1-(VLOOKUP($G418,list!$J$48:$K$50,2,0))))</f>
        <v/>
      </c>
      <c r="AY444" s="1449">
        <f>MIN($L444,$N444)*time+ABS($N444-$L444)*IF($N444&gt;$L444,time*(VLOOKUP($K418,list!$J$48:$K$50,2,0)),time*(1-(VLOOKUP($K418,list!$J$48:$K$50,2,0))))</f>
        <v/>
      </c>
      <c r="AZ444" s="1449">
        <f>MIN($O444,$P444)*time+ABS($P444-$O444)*IF($P444&gt;$O444,time*(VLOOKUP($G418,list!$J$48:$K$50,2,0)),time*(1-(VLOOKUP($G418,list!$J$48:$K$50,2,0))))</f>
        <v/>
      </c>
      <c r="BA444" s="1449">
        <f>MIN($O444,$Q444)*time+ABS($Q444-$O444)*IF($Q444&gt;$O444,time*(VLOOKUP($K418,list!$J$48:$K$50,2,0)),time*(1-(VLOOKUP($K418,list!$J$48:$K$50,2,0))))</f>
        <v/>
      </c>
      <c r="BB444" s="1449">
        <f>MIN($R444,$S444)*time+ABS($S444-$R444)*IF($S444&gt;$R444,time*(VLOOKUP($G418,list!$J$48:$K$50,2,0)),time*(1-(VLOOKUP($G418,list!$J$48:$K$50,2,0))))</f>
        <v/>
      </c>
      <c r="BC444" s="1449">
        <f>MIN($R444,$T444)*time+ABS($T444-$R444)*IF($T444&gt;$R444,time*(VLOOKUP($K418,list!$J$48:$K$50,2,0)),time*(1-(VLOOKUP($K418,list!$J$48:$K$50,2,0))))</f>
        <v/>
      </c>
      <c r="BD444" s="1449">
        <f>MIN($U444,$V444)*time+ABS($V444-$U444)*IF($V444&gt;$U444,time*(VLOOKUP($G418,list!$J$48:$K$50,2,0)),time*(1-(VLOOKUP($G418,list!$J$48:$K$50,2,0))))</f>
        <v/>
      </c>
      <c r="BE444" s="1449">
        <f>MIN($U444,$W444)*time+ABS($W444-$U444)*IF($W444&gt;$U444,time*(VLOOKUP($K418,list!$J$48:$K$50,2,0)),time*(1-(VLOOKUP($K418,list!$J$48:$K$50,2,0))))</f>
        <v/>
      </c>
      <c r="BF444" s="1449">
        <f>MIN($X444,$Y444)*time+ABS($Y444-$X444)*IF($Y444&gt;$X444,time*(VLOOKUP($G418,list!$J$48:$K$50,2,0)),time*(1-(VLOOKUP($G418,list!$J$48:$K$50,2,0))))</f>
        <v/>
      </c>
      <c r="BG444" s="1449">
        <f>MIN($X444,$Z444)*time+ABS($Z444-$X444)*IF($Z444&gt;$X444,time*(VLOOKUP($K418,list!$J$48:$K$50,2,0)),time*(1-(VLOOKUP($K418,list!$J$48:$K$50,2,0))))</f>
        <v/>
      </c>
    </row>
    <row r="445">
      <c r="I445" s="1057" t="n"/>
      <c r="J445" s="1230" t="n"/>
      <c r="AX445" s="1271" t="n"/>
    </row>
    <row r="446">
      <c r="E446" s="4026" t="inlineStr">
        <is>
          <t>drained areas</t>
        </is>
      </c>
      <c r="F446" s="4026">
        <f>SUMIF(L440:L444,"&gt;0",E413:E418)</f>
        <v/>
      </c>
      <c r="G446" s="4026">
        <f>SUMIF(M440:M444,"&gt;0",F413:F418)</f>
        <v/>
      </c>
      <c r="H446" s="4026">
        <f>SUMIF(N440:N444,"&gt;0",J413:J418)</f>
        <v/>
      </c>
      <c r="I446" s="1057" t="n"/>
      <c r="J446" s="1230" t="n"/>
      <c r="AX446" s="1451">
        <f>SUM(AX439:AX444)</f>
        <v/>
      </c>
      <c r="AY446" s="1451">
        <f>SUM(AY439:AY444)</f>
        <v/>
      </c>
      <c r="AZ446" s="1451">
        <f>SUM(AZ439:AZ444)</f>
        <v/>
      </c>
      <c r="BA446" s="1451">
        <f>SUM(BA439:BA444)</f>
        <v/>
      </c>
      <c r="BB446" s="1451">
        <f>SUM(BB439:BB444)</f>
        <v/>
      </c>
      <c r="BC446" s="1451">
        <f>SUM(BC439:BC444)</f>
        <v/>
      </c>
      <c r="BD446" s="1451">
        <f>SUM(BD439:BD444)</f>
        <v/>
      </c>
      <c r="BE446" s="1451">
        <f>SUM(BE439:BE444)</f>
        <v/>
      </c>
      <c r="BF446" s="1451">
        <f>SUM(BF439:BF444)</f>
        <v/>
      </c>
      <c r="BG446" s="1451">
        <f>SUM(BG439:BG444)</f>
        <v/>
      </c>
    </row>
    <row r="447" ht="18" customHeight="1">
      <c r="B447" s="1112" t="inlineStr">
        <is>
          <t>Emissions associated with rewetting</t>
        </is>
      </c>
      <c r="C447" s="1113" t="n"/>
      <c r="D447" s="1113" t="n"/>
      <c r="E447" s="1113" t="n"/>
      <c r="F447" s="1113" t="n"/>
      <c r="G447" s="1113" t="n"/>
      <c r="H447" s="1113" t="n"/>
      <c r="I447" s="1113" t="n"/>
      <c r="J447" s="1113" t="n"/>
      <c r="K447" s="1113" t="n"/>
      <c r="L447" s="1113" t="n"/>
      <c r="M447" s="1113" t="n"/>
      <c r="N447" s="1113" t="n"/>
      <c r="O447" s="1113" t="n"/>
      <c r="P447" s="1113" t="n"/>
      <c r="Q447" s="1113" t="n"/>
      <c r="R447" s="1113" t="n"/>
      <c r="S447" s="1113" t="n"/>
      <c r="T447" s="1113" t="n"/>
      <c r="U447" s="1113" t="n"/>
      <c r="V447" s="1113" t="n"/>
      <c r="W447" s="1113" t="n"/>
      <c r="X447" s="1113" t="n"/>
      <c r="Y447" s="1109" t="n"/>
      <c r="Z447" s="1109" t="n"/>
      <c r="AA447" s="1109" t="n"/>
      <c r="AB447" s="1109" t="n"/>
      <c r="AC447" s="1109" t="n"/>
      <c r="AD447" s="1109" t="n"/>
      <c r="AE447" s="1109" t="n"/>
      <c r="AF447" s="1109" t="n"/>
      <c r="AG447" s="1109" t="n"/>
      <c r="AH447" s="1109" t="n"/>
      <c r="AI447" s="1109" t="n"/>
      <c r="AJ447" s="1109" t="n"/>
      <c r="AK447" s="1109" t="n"/>
      <c r="AY447" s="1451">
        <f>AY446-AX446</f>
        <v/>
      </c>
      <c r="AZ447" s="1451" t="n"/>
      <c r="BA447" s="1451">
        <f>BA446-AZ446</f>
        <v/>
      </c>
      <c r="BB447" s="1451" t="n"/>
      <c r="BC447" s="1451">
        <f>BC446-BB446</f>
        <v/>
      </c>
      <c r="BD447" s="1451" t="n"/>
      <c r="BE447" s="1451">
        <f>BE446-BD446</f>
        <v/>
      </c>
      <c r="BF447" s="1451" t="n"/>
      <c r="BG447" s="1451">
        <f>BG446-BF446</f>
        <v/>
      </c>
    </row>
    <row r="449" ht="16" customHeight="1">
      <c r="A449" s="1462" t="n"/>
      <c r="H449" s="1481" t="inlineStr">
        <is>
          <t>On site emissions</t>
        </is>
      </c>
      <c r="I449" s="1474" t="n"/>
      <c r="J449" s="1474" t="n"/>
      <c r="K449" s="1475" t="n"/>
      <c r="L449" s="1474" t="n"/>
      <c r="M449" s="1476" t="n"/>
      <c r="N449" s="1476" t="n"/>
      <c r="O449" s="1476" t="n"/>
      <c r="P449" s="1481" t="inlineStr">
        <is>
          <t>Total emission factors (tCO2-eq/year)</t>
        </is>
      </c>
      <c r="Q449" s="1462" t="n"/>
      <c r="R449" s="1462" t="n"/>
      <c r="S449" s="1462" t="n"/>
      <c r="T449" s="1462" t="n"/>
      <c r="U449" s="1462" t="n"/>
      <c r="V449" s="1462" t="n"/>
      <c r="W449" s="1462" t="n"/>
      <c r="X449" s="1462" t="n"/>
      <c r="AB449" s="1471" t="inlineStr">
        <is>
          <t>REWETTING EMISSIONS</t>
        </is>
      </c>
      <c r="AC449" s="1470" t="n"/>
      <c r="AD449" s="1470" t="n"/>
      <c r="AE449" s="1470" t="n"/>
      <c r="AF449" s="1470" t="n"/>
      <c r="AG449" s="1470" t="n"/>
      <c r="AI449" s="1270" t="inlineStr">
        <is>
          <t>Total emissions tCO2eq</t>
        </is>
      </c>
      <c r="AJ449" s="1116" t="n"/>
      <c r="AK449" s="1116" t="n"/>
      <c r="AX449" s="1271" t="inlineStr">
        <is>
          <t>REWETTING</t>
        </is>
      </c>
      <c r="BD449" s="1271" t="n"/>
    </row>
    <row r="450" ht="16" customHeight="1">
      <c r="A450" s="1462" t="n"/>
      <c r="H450" s="1495" t="inlineStr">
        <is>
          <t>CO2 (IPCCC 2013)</t>
        </is>
      </c>
      <c r="I450" s="1478" t="n"/>
      <c r="J450" s="1477" t="inlineStr">
        <is>
          <t>CH4 (IPCC 2013)</t>
        </is>
      </c>
      <c r="K450" s="1478" t="n"/>
      <c r="L450" s="1477" t="inlineStr">
        <is>
          <t>N2O (IPCC 2013)</t>
        </is>
      </c>
      <c r="M450" s="1478" t="n"/>
      <c r="N450" s="1477" t="inlineStr">
        <is>
          <t>DOC (IPCC 2013)</t>
        </is>
      </c>
      <c r="O450" s="1478" t="n"/>
      <c r="P450" s="1462" t="n"/>
      <c r="Q450" s="1462" t="n"/>
      <c r="R450" s="1462" t="n"/>
      <c r="S450" s="1462" t="n"/>
      <c r="T450" s="1462" t="n"/>
      <c r="U450" s="1462" t="n"/>
      <c r="V450" s="1462" t="n"/>
      <c r="W450" s="1462" t="n"/>
      <c r="X450" s="1462" t="n"/>
      <c r="Y450" s="1688" t="n"/>
      <c r="Z450" s="1688" t="n"/>
      <c r="AA450" s="1688" t="n"/>
      <c r="AB450" s="1471" t="inlineStr">
        <is>
          <t>Emissions in tCO2-eq all period</t>
        </is>
      </c>
      <c r="AC450" s="1471" t="n"/>
      <c r="AD450" s="1471" t="n"/>
      <c r="AE450" s="1470" t="n"/>
      <c r="AF450" s="1471" t="n"/>
      <c r="AG450" s="1470" t="n"/>
      <c r="AI450" s="1270" t="inlineStr">
        <is>
          <t>ALL PERIOD</t>
        </is>
      </c>
      <c r="AJ450" s="1116" t="n"/>
      <c r="AK450" s="1116" t="n"/>
      <c r="AX450" s="1450" t="inlineStr">
        <is>
          <t>CO2</t>
        </is>
      </c>
      <c r="AY450" s="1450" t="n"/>
      <c r="AZ450" s="1450" t="inlineStr">
        <is>
          <t>CH4</t>
        </is>
      </c>
      <c r="BA450" s="1450" t="n"/>
      <c r="BB450" s="1450" t="inlineStr">
        <is>
          <t>N2O</t>
        </is>
      </c>
      <c r="BC450" s="1450" t="n"/>
      <c r="BD450" s="1450" t="n"/>
      <c r="BE450" s="1450" t="n"/>
      <c r="BF450" s="1450" t="n"/>
      <c r="BG450" s="1450" t="n"/>
    </row>
    <row r="451" ht="16" customHeight="1">
      <c r="A451" s="1462" t="n"/>
      <c r="C451" s="1281" t="inlineStr">
        <is>
          <t>Final land use</t>
        </is>
      </c>
      <c r="D451" s="1281" t="inlineStr">
        <is>
          <t>Final land use</t>
        </is>
      </c>
      <c r="E451" s="1546" t="inlineStr">
        <is>
          <t xml:space="preserve">START area </t>
        </is>
      </c>
      <c r="F451" s="1551" t="inlineStr">
        <is>
          <t>Without</t>
        </is>
      </c>
      <c r="G451" s="1548" t="inlineStr">
        <is>
          <t>With</t>
        </is>
      </c>
      <c r="H451" s="1479" t="inlineStr">
        <is>
          <t>tC/ha/yr</t>
        </is>
      </c>
      <c r="I451" s="1479" t="n"/>
      <c r="J451" s="1479" t="inlineStr">
        <is>
          <t>kgCH4/ha/yr</t>
        </is>
      </c>
      <c r="K451" s="1479" t="n"/>
      <c r="L451" s="1479" t="inlineStr">
        <is>
          <t>kgN2O-N/ha/yr</t>
        </is>
      </c>
      <c r="M451" s="1479" t="n"/>
      <c r="N451" s="1479" t="inlineStr">
        <is>
          <t>tC/ha/yr</t>
        </is>
      </c>
      <c r="O451" s="1479" t="n"/>
      <c r="P451" s="1482" t="inlineStr">
        <is>
          <t>CO2&amp;DOC</t>
        </is>
      </c>
      <c r="Q451" s="1482" t="n"/>
      <c r="R451" s="1482" t="n"/>
      <c r="S451" s="1482" t="inlineStr">
        <is>
          <t>CH4</t>
        </is>
      </c>
      <c r="T451" s="1482" t="n"/>
      <c r="U451" s="1482" t="n"/>
      <c r="V451" s="1482" t="inlineStr">
        <is>
          <t>N2O-N</t>
        </is>
      </c>
      <c r="W451" s="1462" t="n"/>
      <c r="X451" s="1462" t="n"/>
      <c r="Y451" s="3501" t="n"/>
      <c r="Z451" s="3501" t="n"/>
      <c r="AA451" s="3501" t="n"/>
      <c r="AB451" s="1472" t="inlineStr">
        <is>
          <t>CO2&amp;DOC</t>
        </is>
      </c>
      <c r="AC451" s="1472" t="n"/>
      <c r="AD451" s="1472" t="inlineStr">
        <is>
          <t>CH4</t>
        </is>
      </c>
      <c r="AE451" s="1472" t="n"/>
      <c r="AF451" s="1472" t="inlineStr">
        <is>
          <t>N2O-N</t>
        </is>
      </c>
      <c r="AG451" s="1472" t="n"/>
      <c r="AI451" s="1270" t="inlineStr">
        <is>
          <t>REWETTING</t>
        </is>
      </c>
      <c r="AJ451" s="1116" t="n"/>
      <c r="AK451" s="1116" t="n"/>
      <c r="AX451" s="1264" t="inlineStr">
        <is>
          <t>IMPLEMENTATION PHASE</t>
        </is>
      </c>
      <c r="AZ451" s="1264" t="inlineStr">
        <is>
          <t>IMPLEMENTATION PHASE</t>
        </is>
      </c>
      <c r="BB451" s="1264" t="inlineStr">
        <is>
          <t>IMPLEMENTATION PHASE</t>
        </is>
      </c>
    </row>
    <row r="452">
      <c r="A452" s="1462" t="n"/>
      <c r="C452" s="1281" t="inlineStr">
        <is>
          <t>User selection</t>
        </is>
      </c>
      <c r="D452" s="973" t="inlineStr">
        <is>
          <t>IPCC equivalence</t>
        </is>
      </c>
      <c r="E452" s="1546" t="inlineStr">
        <is>
          <t>(ha)</t>
        </is>
      </c>
      <c r="F452" s="1551" t="inlineStr">
        <is>
          <t>area (ha)</t>
        </is>
      </c>
      <c r="G452" s="1548" t="inlineStr">
        <is>
          <t>area (ha)</t>
        </is>
      </c>
      <c r="H452" s="1480" t="inlineStr">
        <is>
          <t>IPCC</t>
        </is>
      </c>
      <c r="I452" s="1480" t="inlineStr">
        <is>
          <t>Tier 2</t>
        </is>
      </c>
      <c r="J452" s="1480">
        <f>H452</f>
        <v/>
      </c>
      <c r="K452" s="1480" t="inlineStr">
        <is>
          <t>Tier 2</t>
        </is>
      </c>
      <c r="L452" s="1480">
        <f>J452</f>
        <v/>
      </c>
      <c r="M452" s="1480" t="inlineStr">
        <is>
          <t>Tier 2</t>
        </is>
      </c>
      <c r="N452" s="1480">
        <f>L452</f>
        <v/>
      </c>
      <c r="O452" s="1480" t="inlineStr">
        <is>
          <t>Tier 2</t>
        </is>
      </c>
      <c r="P452" s="1688" t="inlineStr">
        <is>
          <t>Start</t>
        </is>
      </c>
      <c r="Q452" s="1102" t="inlineStr">
        <is>
          <t>Without</t>
        </is>
      </c>
      <c r="R452" s="1103" t="inlineStr">
        <is>
          <t>With</t>
        </is>
      </c>
      <c r="S452" s="1688" t="inlineStr">
        <is>
          <t>Start</t>
        </is>
      </c>
      <c r="T452" s="1102">
        <f>Q452</f>
        <v/>
      </c>
      <c r="U452" s="1103">
        <f>R452</f>
        <v/>
      </c>
      <c r="V452" s="1688" t="inlineStr">
        <is>
          <t>Start</t>
        </is>
      </c>
      <c r="W452" s="1102">
        <f>T452</f>
        <v/>
      </c>
      <c r="X452" s="1103">
        <f>U452</f>
        <v/>
      </c>
      <c r="Y452" s="3501" t="n"/>
      <c r="Z452" s="3501" t="n"/>
      <c r="AA452" s="3501" t="n"/>
      <c r="AB452" s="1102" t="inlineStr">
        <is>
          <t>Without</t>
        </is>
      </c>
      <c r="AC452" s="1103" t="inlineStr">
        <is>
          <t>With</t>
        </is>
      </c>
      <c r="AD452" s="1102" t="inlineStr">
        <is>
          <t>Without</t>
        </is>
      </c>
      <c r="AE452" s="1103" t="inlineStr">
        <is>
          <t>With</t>
        </is>
      </c>
      <c r="AF452" s="1102" t="inlineStr">
        <is>
          <t>Without</t>
        </is>
      </c>
      <c r="AG452" s="1103" t="inlineStr">
        <is>
          <t>With</t>
        </is>
      </c>
      <c r="AI452" s="1102" t="inlineStr">
        <is>
          <t>WITHOUT</t>
        </is>
      </c>
      <c r="AJ452" s="1103" t="inlineStr">
        <is>
          <t>WITH</t>
        </is>
      </c>
      <c r="AK452" s="1104" t="inlineStr">
        <is>
          <t>BALANCE</t>
        </is>
      </c>
      <c r="AX452" s="1272" t="inlineStr">
        <is>
          <t>WITHOUT</t>
        </is>
      </c>
      <c r="AY452" s="1272" t="inlineStr">
        <is>
          <t>WITH</t>
        </is>
      </c>
      <c r="AZ452" s="1272" t="inlineStr">
        <is>
          <t>WITHOUT</t>
        </is>
      </c>
      <c r="BA452" s="1272" t="inlineStr">
        <is>
          <t>WITH</t>
        </is>
      </c>
      <c r="BB452" s="1272" t="inlineStr">
        <is>
          <t>WITHOUT</t>
        </is>
      </c>
      <c r="BC452" s="1272" t="inlineStr">
        <is>
          <t>WITH</t>
        </is>
      </c>
      <c r="BD452" s="1272" t="n"/>
      <c r="BE452" s="1272" t="n"/>
      <c r="BF452" s="1272" t="n"/>
      <c r="BG452" s="1272" t="n"/>
    </row>
    <row r="453">
      <c r="A453" s="1493" t="inlineStr">
        <is>
          <t>S1</t>
        </is>
      </c>
      <c r="C453" s="1469">
        <f>B413</f>
        <v/>
      </c>
      <c r="D453" s="4740">
        <f>C413</f>
        <v/>
      </c>
      <c r="E453" s="992">
        <f>'6.Inland wetlands'!S150</f>
        <v/>
      </c>
      <c r="F453" s="992">
        <f>IF('6.Inland wetlands'!T150-E453&gt;0,'6.Inland wetlands'!T150-E453,0)</f>
        <v/>
      </c>
      <c r="G453" s="992">
        <f>IF('6.Inland wetlands'!U150-E453&gt;0,'6.Inland wetlands'!U150-E453,0)</f>
        <v/>
      </c>
      <c r="H453" s="1004">
        <f>IFERROR(IF($C453="Please select",0,IF($C$405="Nutrient poor",INDEX(IPCC!$A$1910:$J$1921,MATCH(clim_moist,IPCC!$A$1910:$A$1921,0),MATCH($D453,IPCC!$A$1910:$J$1910,0)),INDEX(IPCC!$A$1928:$J$1939,MATCH(clim_moist,IPCC!$A$1928:$A$1939,0),MATCH($D453,IPCC!$A$1928:$J$1928,0)))),0)</f>
        <v/>
      </c>
      <c r="I453" s="1259">
        <f>IF('6.Inland wetlands'!$DY151="",'6.Inland wetlands'!$DX151,'6.Inland wetlands'!$DY151)</f>
        <v/>
      </c>
      <c r="J453" s="1004">
        <f>IFERROR(IF($C453="Please select",0,IF($C$405="Nutrient poor",INDEX(IPCC!$A$1964:$J$1975,MATCH(clim_moist,IPCC!$A$1964:$A$1975,0),MATCH($D453,IPCC!$A$1964:$J$1964,0)),INDEX(IPCC!$A$1982:$J$1993,MATCH(clim_moist,IPCC!$A$1982:$A$1993,0),MATCH($D453,IPCC!$A$1982:$J$1982,0)))),0)</f>
        <v/>
      </c>
      <c r="K453" s="1259">
        <f>IF('6.Inland wetlands'!$EA151="",'6.Inland wetlands'!$DZ151,'6.Inland wetlands'!$EA151)</f>
        <v/>
      </c>
      <c r="L453" s="1004">
        <f>IFERROR(IF($C453="Please select",0,INDEX(IPCC!$A$2000:$J$2011,MATCH(clim_moist,IPCC!$A$2000:$A$2011,0),MATCH($D453,IPCC!$A$2000:$J$2000,0))),0)</f>
        <v/>
      </c>
      <c r="M453" s="1259">
        <f>IF('6.Inland wetlands'!$EC151="",'6.Inland wetlands'!$EB151,'6.Inland wetlands'!$EC151)</f>
        <v/>
      </c>
      <c r="N453" s="1260">
        <f>IFERROR(IF($C453="Please select",0,INDEX(IPCC!$A$1946:$J$1957,MATCH(clim_moist,IPCC!$A$1946:$A$1957,0),MATCH($D453,IPCC!$A$1946:$J$1946,0))),0)</f>
        <v/>
      </c>
      <c r="O453" s="1259">
        <f>IF('6.Inland wetlands'!$EF151="",'6.Inland wetlands'!$EE151,'6.Inland wetlands'!$EF151)</f>
        <v/>
      </c>
      <c r="P453" s="3493" t="n">
        <v>0</v>
      </c>
      <c r="Q453" s="3493">
        <f>IF(F453&gt;0,SUM($I453,$O453)*44/12*$F453,0)</f>
        <v/>
      </c>
      <c r="R453" s="1151">
        <f>IF(G453&gt;0,SUM($I453,$O453)*44/12*G453,0)</f>
        <v/>
      </c>
      <c r="S453" s="3493" t="n">
        <v>0</v>
      </c>
      <c r="T453" s="1151">
        <f>IF(F453&gt;0,$K453/1000*16/12*methane*$F453,0)</f>
        <v/>
      </c>
      <c r="U453" s="1151">
        <f>IF(G453&gt;0,$K453/1000*16/12*methane*G453,0)</f>
        <v/>
      </c>
      <c r="V453" s="3493" t="n">
        <v>0</v>
      </c>
      <c r="W453" s="1151">
        <f>IF(F453&gt;0,$M453/1000*44/28*Nitrous*$F453,0)</f>
        <v/>
      </c>
      <c r="X453" s="3494">
        <f>IF(G453&gt;0,$M453/1000*44/28*Nitrous*G453,0)</f>
        <v/>
      </c>
      <c r="Y453" s="3501" t="n"/>
      <c r="Z453" s="3501" t="n"/>
      <c r="AA453" s="3501" t="n"/>
      <c r="AB453" s="1151">
        <f>MIN($P453,$Q453)*time_tot+ABS($P453-$Q453)*IF($P453&gt;$Q453,time_cap+time*(VLOOKUP($G413,list!$J$48:$K$50,2,0)),time*(1-(VLOOKUP($G413,list!$J$48:$K$50,2,0))))</f>
        <v/>
      </c>
      <c r="AC453" s="1151">
        <f>MIN($P453,$R453)*time_tot+ABS($P453-$R453)*IF($P453&gt;$R453,time_cap+time*(VLOOKUP($K413,list!$J$48:$K$50,2,0)),time*(1-(VLOOKUP($K413,list!$J$48:$K$50,2,0))))</f>
        <v/>
      </c>
      <c r="AD453" s="1151">
        <f>MIN($S453,$T453)*time_tot+ABS($S453-$T453)*IF($S453&gt;$T453,time_cap+time*(VLOOKUP($G413,list!$J$48:$K$50,2,0)),time*(1-(VLOOKUP($G413,list!$J$48:$K$50,2,0))))</f>
        <v/>
      </c>
      <c r="AE453" s="1151">
        <f>MIN($S453,$U453)*time_tot+ABS($S453-$U453)*IF($S453&gt;$U453,time_cap+time*(VLOOKUP($K413,list!$J$48:$K$50,2,0)),time*(1-(VLOOKUP($K413,list!$J$48:$K$50,2,0))))</f>
        <v/>
      </c>
      <c r="AF453" s="1151">
        <f>MIN($V453,$W453)*time_tot+ABS($V453-$W453)*IF($V453&gt;$W453,time_cap+time*(VLOOKUP($G413,list!$J$48:$K$50,2,0)),time*(1-(VLOOKUP($G413,list!$J$48:$K$50,2,0))))</f>
        <v/>
      </c>
      <c r="AG453" s="1151">
        <f>MIN($V453,$X453)*time_tot+ABS($V453-$X453)*IF($V453&gt;$X453,time_cap+time*(VLOOKUP($K413,list!$J$48:$K$50,2,0)),time*(1-(VLOOKUP($K413,list!$J$48:$K$50,2,0))))</f>
        <v/>
      </c>
      <c r="AI453" s="1282">
        <f>SUM(AB453,AD453,AF453)</f>
        <v/>
      </c>
      <c r="AJ453" s="1282">
        <f>SUM(AC453,AE453,AG453)</f>
        <v/>
      </c>
      <c r="AK453" s="1284">
        <f>AJ453-AI453</f>
        <v/>
      </c>
      <c r="AX453" s="1449">
        <f>MIN($P453,$Q453)*time+ABS($Q453-$P453)*IF($Q453&gt;$P453,time*(VLOOKUP($G413,list!$J$48:$K$50,2,0)),time*(1-(VLOOKUP($G413,list!$J$48:$K$50,2,0))))</f>
        <v/>
      </c>
      <c r="AY453" s="1449">
        <f>MIN($P453,$R453)*time+ABS($R453-$P453)*IF($R453&gt;$P453,time*(VLOOKUP($K413,list!$J$48:$K$50,2,0)),time*(1-(VLOOKUP($K413,list!$J$48:$K$50,2,0))))</f>
        <v/>
      </c>
      <c r="AZ453" s="1449">
        <f>MIN($S453,$T453)*time+ABS($T453-$S453)*IF($T453&gt;$S453,time*(VLOOKUP($G413,list!$J$48:$K$50,2,0)),time*(1-(VLOOKUP($G413,list!$J$48:$K$50,2,0))))</f>
        <v/>
      </c>
      <c r="BA453" s="1449">
        <f>MIN($S453,$U453)*time+ABS($U453-$S453)*IF($U453&gt;$S453,time*(VLOOKUP($K413,list!$J$48:$K$50,2,0)),time*(1-(VLOOKUP($K413,list!$J$48:$K$50,2,0))))</f>
        <v/>
      </c>
      <c r="BB453" s="1449">
        <f>MIN($V453,$W453)*time+ABS($W453-$V453)*IF($W453&gt;$V453,time*(VLOOKUP($G413,list!$J$48:$K$50,2,0)),time*(1-(VLOOKUP($G413,list!$J$48:$K$50,2,0))))</f>
        <v/>
      </c>
      <c r="BC453" s="1449">
        <f>MIN($V453,$X453)*time+ABS($X453-$V453)*IF($X453&gt;$V453,time*(VLOOKUP($K413,list!$J$48:$K$50,2,0)),time*(1-(VLOOKUP($K413,list!$J$48:$K$50,2,0))))</f>
        <v/>
      </c>
      <c r="BD453" s="1449" t="n"/>
      <c r="BE453" s="1449" t="n"/>
      <c r="BF453" s="1449" t="n"/>
      <c r="BG453" s="1449" t="n"/>
    </row>
    <row r="454">
      <c r="A454" s="1493" t="inlineStr">
        <is>
          <t>S2</t>
        </is>
      </c>
      <c r="C454" s="1469">
        <f>B414</f>
        <v/>
      </c>
      <c r="D454" s="4740">
        <f>C414</f>
        <v/>
      </c>
      <c r="E454" s="992">
        <f>'6.Inland wetlands'!S151</f>
        <v/>
      </c>
      <c r="F454" s="992">
        <f>IF('6.Inland wetlands'!T151-E454&gt;0,'6.Inland wetlands'!T151-E454,0)</f>
        <v/>
      </c>
      <c r="G454" s="992">
        <f>IF('6.Inland wetlands'!U151-E454&gt;0,'6.Inland wetlands'!U151-E454,0)</f>
        <v/>
      </c>
      <c r="H454" s="1004">
        <f>IFERROR(IF($C454="Please select",0,IF($C$405="Nutrient poor",INDEX(IPCC!$A$1910:$J$1921,MATCH(clim_moist,IPCC!$A$1910:$A$1921,0),MATCH($D454,IPCC!$A$1910:$J$1910,0)),INDEX(IPCC!$A$1928:$J$1939,MATCH(clim_moist,IPCC!$A$1928:$A$1939,0),MATCH($D454,IPCC!$A$1928:$J$1928,0)))),0)</f>
        <v/>
      </c>
      <c r="I454" s="1259">
        <f>IF('6.Inland wetlands'!$DY152="",'6.Inland wetlands'!$DX152,'6.Inland wetlands'!$DY152)</f>
        <v/>
      </c>
      <c r="J454" s="1004">
        <f>IFERROR(IF($C454="Please select",0,IF($C$405="Nutrient poor",INDEX(IPCC!$A$1964:$J$1975,MATCH(clim_moist,IPCC!$A$1964:$A$1975,0),MATCH($D454,IPCC!$A$1964:$J$1964,0)),INDEX(IPCC!$A$1982:$J$1993,MATCH(clim_moist,IPCC!$A$1982:$A$1993,0),MATCH($D454,IPCC!$A$1982:$J$1982,0)))),0)</f>
        <v/>
      </c>
      <c r="K454" s="1259">
        <f>IF('6.Inland wetlands'!$EA152="",'6.Inland wetlands'!$DZ152,'6.Inland wetlands'!$EA152)</f>
        <v/>
      </c>
      <c r="L454" s="1004">
        <f>IFERROR(IF($C454="Please select",0,INDEX(IPCC!$A$2000:$J$2011,MATCH(clim_moist,IPCC!$A$2000:$A$2011,0),MATCH($D454,IPCC!$A$2000:$J$2000,0))),0)</f>
        <v/>
      </c>
      <c r="M454" s="1259">
        <f>IF('6.Inland wetlands'!$EC152="",'6.Inland wetlands'!$EB152,'6.Inland wetlands'!$EC152)</f>
        <v/>
      </c>
      <c r="N454" s="1260">
        <f>IFERROR(IF($C454="Please select",0,INDEX(IPCC!$A$1946:$J$1957,MATCH(clim_moist,IPCC!$A$1946:$A$1957,0),MATCH($D454,IPCC!$A$1946:$J$1946,0))),0)</f>
        <v/>
      </c>
      <c r="O454" s="1259">
        <f>IF('6.Inland wetlands'!$EF152="",'6.Inland wetlands'!$EE152,'6.Inland wetlands'!$EF152)</f>
        <v/>
      </c>
      <c r="P454" s="3493" t="n">
        <v>0</v>
      </c>
      <c r="Q454" s="3493">
        <f>IF(F454&gt;0,SUM($I454,$O454)*44/12*$F454,0)</f>
        <v/>
      </c>
      <c r="R454" s="1151">
        <f>IF(G454&gt;0,SUM($I454,$O454)*44/12*G454,0)</f>
        <v/>
      </c>
      <c r="S454" s="3493" t="n">
        <v>0</v>
      </c>
      <c r="T454" s="1151">
        <f>IF(F454&gt;0,$K454/1000*16/12*methane*$F454,0)</f>
        <v/>
      </c>
      <c r="U454" s="1151">
        <f>IF(G454&gt;0,$K454/1000*16/12*methane*G454,0)</f>
        <v/>
      </c>
      <c r="V454" s="3493" t="n">
        <v>0</v>
      </c>
      <c r="W454" s="1151">
        <f>IF(F454&gt;0,$M454/1000*44/28*Nitrous*$F454,0)</f>
        <v/>
      </c>
      <c r="X454" s="3494">
        <f>IF(G454&gt;0,$M454/1000*44/28*Nitrous*G454,0)</f>
        <v/>
      </c>
      <c r="Y454" s="3501" t="n"/>
      <c r="Z454" s="3501" t="n"/>
      <c r="AA454" s="3501" t="n"/>
      <c r="AB454" s="1151">
        <f>MIN($P454,$Q454)*time_tot+ABS($P454-$Q454)*IF($P454&gt;$Q454,time_cap+time*(VLOOKUP($G414,list!$J$48:$K$50,2,0)),time*(1-(VLOOKUP($G414,list!$J$48:$K$50,2,0))))</f>
        <v/>
      </c>
      <c r="AC454" s="1151">
        <f>MIN($P454,$R454)*time_tot+ABS($P454-$R454)*IF($P454&gt;$R454,time_cap+time*(VLOOKUP($K414,list!$J$48:$K$50,2,0)),time*(1-(VLOOKUP($K414,list!$J$48:$K$50,2,0))))</f>
        <v/>
      </c>
      <c r="AD454" s="1151">
        <f>MIN($S454,$T454)*time_tot+ABS($S454-$T454)*IF($S454&gt;$T454,time_cap+time*(VLOOKUP($G414,list!$J$48:$K$50,2,0)),time*(1-(VLOOKUP($G414,list!$J$48:$K$50,2,0))))</f>
        <v/>
      </c>
      <c r="AE454" s="1151">
        <f>MIN($S454,$U454)*time_tot+ABS($S454-$U454)*IF($S454&gt;$U454,time_cap+time*(VLOOKUP($K414,list!$J$48:$K$50,2,0)),time*(1-(VLOOKUP($K414,list!$J$48:$K$50,2,0))))</f>
        <v/>
      </c>
      <c r="AF454" s="1151">
        <f>MIN($V454,$W454)*time_tot+ABS($V454-$W454)*IF($V454&gt;$W454,time_cap+time*(VLOOKUP($G414,list!$J$48:$K$50,2,0)),time*(1-(VLOOKUP($G414,list!$J$48:$K$50,2,0))))</f>
        <v/>
      </c>
      <c r="AG454" s="1151">
        <f>MIN($V454,$X454)*time_tot+ABS($V454-$X454)*IF($V454&gt;$X454,time_cap+time*(VLOOKUP($K414,list!$J$48:$K$50,2,0)),time*(1-(VLOOKUP($K414,list!$J$48:$K$50,2,0))))</f>
        <v/>
      </c>
      <c r="AI454" s="1282">
        <f>SUM(AB454,AD454,AF454)</f>
        <v/>
      </c>
      <c r="AJ454" s="1282">
        <f>SUM(AC454,AE454,AG454)</f>
        <v/>
      </c>
      <c r="AK454" s="1284">
        <f>AJ454-AI454</f>
        <v/>
      </c>
      <c r="AX454" s="1449">
        <f>MIN($P454,$Q454)*time+ABS($Q454-$P454)*IF($Q454&gt;$P454,time*(VLOOKUP($G414,list!$J$48:$K$50,2,0)),time*(1-(VLOOKUP($G414,list!$J$48:$K$50,2,0))))</f>
        <v/>
      </c>
      <c r="AY454" s="1449">
        <f>MIN($P454,$R454)*time+ABS($R454-$P454)*IF($R454&gt;$P454,time*(VLOOKUP($K414,list!$J$48:$K$50,2,0)),time*(1-(VLOOKUP($K414,list!$J$48:$K$50,2,0))))</f>
        <v/>
      </c>
      <c r="AZ454" s="1449">
        <f>MIN($S454,$T454)*time+ABS($T454-$S454)*IF($T454&gt;$S454,time*(VLOOKUP($G414,list!$J$48:$K$50,2,0)),time*(1-(VLOOKUP($G414,list!$J$48:$K$50,2,0))))</f>
        <v/>
      </c>
      <c r="BA454" s="1449">
        <f>MIN($S454,$U454)*time+ABS($U454-$S454)*IF($U454&gt;$S454,time*(VLOOKUP($K414,list!$J$48:$K$50,2,0)),time*(1-(VLOOKUP($K414,list!$J$48:$K$50,2,0))))</f>
        <v/>
      </c>
      <c r="BB454" s="1449">
        <f>MIN($V454,$W454)*time+ABS($W454-$V454)*IF($W454&gt;$V454,time*(VLOOKUP($G414,list!$J$48:$K$50,2,0)),time*(1-(VLOOKUP($G414,list!$J$48:$K$50,2,0))))</f>
        <v/>
      </c>
      <c r="BC454" s="1449">
        <f>MIN($V454,$X454)*time+ABS($X454-$V454)*IF($X454&gt;$V454,time*(VLOOKUP($K414,list!$J$48:$K$50,2,0)),time*(1-(VLOOKUP($K414,list!$J$48:$K$50,2,0))))</f>
        <v/>
      </c>
      <c r="BD454" s="1449" t="n"/>
      <c r="BE454" s="1449" t="n"/>
      <c r="BF454" s="1449" t="n"/>
      <c r="BG454" s="1449" t="n"/>
    </row>
    <row r="455">
      <c r="A455" s="1493" t="inlineStr">
        <is>
          <t>S3</t>
        </is>
      </c>
      <c r="C455" s="1469">
        <f>B415</f>
        <v/>
      </c>
      <c r="D455" s="4740">
        <f>C415</f>
        <v/>
      </c>
      <c r="E455" s="992">
        <f>'6.Inland wetlands'!S152</f>
        <v/>
      </c>
      <c r="F455" s="992">
        <f>IF('6.Inland wetlands'!T152-E455&gt;0,'6.Inland wetlands'!T152-E455,0)</f>
        <v/>
      </c>
      <c r="G455" s="992">
        <f>IF('6.Inland wetlands'!U152-E455&gt;0,'6.Inland wetlands'!U152-E455,0)</f>
        <v/>
      </c>
      <c r="H455" s="1004">
        <f>IFERROR(IF($C455="Please select",0,IF($C$405="Nutrient poor",INDEX(IPCC!$A$1910:$J$1921,MATCH(clim_moist,IPCC!$A$1910:$A$1921,0),MATCH($D455,IPCC!$A$1910:$J$1910,0)),INDEX(IPCC!$A$1928:$J$1939,MATCH(clim_moist,IPCC!$A$1928:$A$1939,0),MATCH($D455,IPCC!$A$1928:$J$1928,0)))),0)</f>
        <v/>
      </c>
      <c r="I455" s="1259">
        <f>IF('6.Inland wetlands'!$DY153="",'6.Inland wetlands'!$DX153,'6.Inland wetlands'!$DY153)</f>
        <v/>
      </c>
      <c r="J455" s="1004">
        <f>IFERROR(IF($C455="Please select",0,IF($C$405="Nutrient poor",INDEX(IPCC!$A$1964:$J$1975,MATCH(clim_moist,IPCC!$A$1964:$A$1975,0),MATCH($D455,IPCC!$A$1964:$J$1964,0)),INDEX(IPCC!$A$1982:$J$1993,MATCH(clim_moist,IPCC!$A$1982:$A$1993,0),MATCH($D455,IPCC!$A$1982:$J$1982,0)))),0)</f>
        <v/>
      </c>
      <c r="K455" s="1259">
        <f>IF('6.Inland wetlands'!$EA153="",'6.Inland wetlands'!$DZ153,'6.Inland wetlands'!$EA153)</f>
        <v/>
      </c>
      <c r="L455" s="1004">
        <f>IFERROR(IF($C455="Please select",0,INDEX(IPCC!$A$2000:$J$2011,MATCH(clim_moist,IPCC!$A$2000:$A$2011,0),MATCH($D455,IPCC!$A$2000:$J$2000,0))),0)</f>
        <v/>
      </c>
      <c r="M455" s="1259">
        <f>IF('6.Inland wetlands'!$EC153="",'6.Inland wetlands'!$EB153,'6.Inland wetlands'!$EC153)</f>
        <v/>
      </c>
      <c r="N455" s="1260">
        <f>IFERROR(IF($C455="Please select",0,INDEX(IPCC!$A$1946:$J$1957,MATCH(clim_moist,IPCC!$A$1946:$A$1957,0),MATCH($D455,IPCC!$A$1946:$J$1946,0))),0)</f>
        <v/>
      </c>
      <c r="O455" s="1259">
        <f>IF('6.Inland wetlands'!$EF153="",'6.Inland wetlands'!$EE153,'6.Inland wetlands'!$EF153)</f>
        <v/>
      </c>
      <c r="P455" s="3493" t="n">
        <v>0</v>
      </c>
      <c r="Q455" s="3493">
        <f>IF(F455&gt;0,SUM($I455,$O455)*44/12*$F455,0)</f>
        <v/>
      </c>
      <c r="R455" s="1151">
        <f>IF(G455&gt;0,SUM($I455,$O455)*44/12*G455,0)</f>
        <v/>
      </c>
      <c r="S455" s="3493" t="n">
        <v>0</v>
      </c>
      <c r="T455" s="1151">
        <f>IF(F455&gt;0,$K455/1000*16/12*methane*$F455,0)</f>
        <v/>
      </c>
      <c r="U455" s="1151">
        <f>IF(G455&gt;0,$K455/1000*16/12*methane*G455,0)</f>
        <v/>
      </c>
      <c r="V455" s="3493" t="n">
        <v>0</v>
      </c>
      <c r="W455" s="1151">
        <f>IF(F455&gt;0,$M455/1000*44/28*Nitrous*$F455,0)</f>
        <v/>
      </c>
      <c r="X455" s="3494">
        <f>IF(G455&gt;0,$M455/1000*44/28*Nitrous*G455,0)</f>
        <v/>
      </c>
      <c r="Y455" s="3501" t="n"/>
      <c r="Z455" s="3501" t="n"/>
      <c r="AA455" s="3501" t="n"/>
      <c r="AB455" s="1151">
        <f>MIN($P455,$Q455)*time_tot+ABS($P455-$Q455)*IF($P455&gt;$Q455,time_cap+time*(VLOOKUP($G415,list!$J$48:$K$50,2,0)),time*(1-(VLOOKUP($G415,list!$J$48:$K$50,2,0))))</f>
        <v/>
      </c>
      <c r="AC455" s="1151">
        <f>MIN($P455,$R455)*time_tot+ABS($P455-$R455)*IF($P455&gt;$R455,time_cap+time*(VLOOKUP($K415,list!$J$48:$K$50,2,0)),time*(1-(VLOOKUP($K415,list!$J$48:$K$50,2,0))))</f>
        <v/>
      </c>
      <c r="AD455" s="1151">
        <f>MIN($S455,$T455)*time_tot+ABS($S455-$T455)*IF($S455&gt;$T455,time_cap+time*(VLOOKUP($G415,list!$J$48:$K$50,2,0)),time*(1-(VLOOKUP($G415,list!$J$48:$K$50,2,0))))</f>
        <v/>
      </c>
      <c r="AE455" s="1151">
        <f>MIN($S455,$U455)*time_tot+ABS($S455-$U455)*IF($S455&gt;$U455,time_cap+time*(VLOOKUP($K415,list!$J$48:$K$50,2,0)),time*(1-(VLOOKUP($K415,list!$J$48:$K$50,2,0))))</f>
        <v/>
      </c>
      <c r="AF455" s="1151">
        <f>MIN($V455,$W455)*time_tot+ABS($V455-$W455)*IF($V455&gt;$W455,time_cap+time*(VLOOKUP($G415,list!$J$48:$K$50,2,0)),time*(1-(VLOOKUP($G415,list!$J$48:$K$50,2,0))))</f>
        <v/>
      </c>
      <c r="AG455" s="1151">
        <f>MIN($V455,$X455)*time_tot+ABS($V455-$X455)*IF($V455&gt;$X455,time_cap+time*(VLOOKUP($K415,list!$J$48:$K$50,2,0)),time*(1-(VLOOKUP($K415,list!$J$48:$K$50,2,0))))</f>
        <v/>
      </c>
      <c r="AI455" s="1282">
        <f>SUM(AB455,AD455,AF455)</f>
        <v/>
      </c>
      <c r="AJ455" s="1282">
        <f>SUM(AC455,AE455,AG455)</f>
        <v/>
      </c>
      <c r="AK455" s="1284">
        <f>AJ455-AI455</f>
        <v/>
      </c>
      <c r="AX455" s="1449">
        <f>MIN($P455,$Q455)*time+ABS($Q455-$P455)*IF($Q455&gt;$P455,time*(VLOOKUP($G415,list!$J$48:$K$50,2,0)),time*(1-(VLOOKUP($G415,list!$J$48:$K$50,2,0))))</f>
        <v/>
      </c>
      <c r="AY455" s="1449">
        <f>MIN($P455,$R455)*time+ABS($R455-$P455)*IF($R455&gt;$P455,time*(VLOOKUP($K415,list!$J$48:$K$50,2,0)),time*(1-(VLOOKUP($K415,list!$J$48:$K$50,2,0))))</f>
        <v/>
      </c>
      <c r="AZ455" s="1449">
        <f>MIN($S455,$T455)*time+ABS($T455-$S455)*IF($T455&gt;$S455,time*(VLOOKUP($G415,list!$J$48:$K$50,2,0)),time*(1-(VLOOKUP($G415,list!$J$48:$K$50,2,0))))</f>
        <v/>
      </c>
      <c r="BA455" s="1449">
        <f>MIN($S455,$U455)*time+ABS($U455-$S455)*IF($U455&gt;$S455,time*(VLOOKUP($K415,list!$J$48:$K$50,2,0)),time*(1-(VLOOKUP($K415,list!$J$48:$K$50,2,0))))</f>
        <v/>
      </c>
      <c r="BB455" s="1449">
        <f>MIN($V455,$W455)*time+ABS($W455-$V455)*IF($W455&gt;$V455,time*(VLOOKUP($G415,list!$J$48:$K$50,2,0)),time*(1-(VLOOKUP($G415,list!$J$48:$K$50,2,0))))</f>
        <v/>
      </c>
      <c r="BC455" s="1449">
        <f>MIN($V455,$X455)*time+ABS($X455-$V455)*IF($X455&gt;$V455,time*(VLOOKUP($K415,list!$J$48:$K$50,2,0)),time*(1-(VLOOKUP($K415,list!$J$48:$K$50,2,0))))</f>
        <v/>
      </c>
      <c r="BD455" s="1449" t="n"/>
      <c r="BE455" s="1449" t="n"/>
      <c r="BF455" s="1449" t="n"/>
      <c r="BG455" s="1449" t="n"/>
    </row>
    <row r="456">
      <c r="A456" s="1493" t="inlineStr">
        <is>
          <t>S4</t>
        </is>
      </c>
      <c r="C456" s="1469">
        <f>B416</f>
        <v/>
      </c>
      <c r="D456" s="4740">
        <f>C416</f>
        <v/>
      </c>
      <c r="E456" s="992">
        <f>'6.Inland wetlands'!S153</f>
        <v/>
      </c>
      <c r="F456" s="992">
        <f>IF('6.Inland wetlands'!T153-E456&gt;0,'6.Inland wetlands'!T153-E456,0)</f>
        <v/>
      </c>
      <c r="G456" s="992">
        <f>IF('6.Inland wetlands'!U153-E456&gt;0,'6.Inland wetlands'!U153-E456,0)</f>
        <v/>
      </c>
      <c r="H456" s="1004">
        <f>IFERROR(IF($C456="Please select",0,IF($C$405="Nutrient poor",INDEX(IPCC!$A$1910:$J$1921,MATCH(clim_moist,IPCC!$A$1910:$A$1921,0),MATCH($D456,IPCC!$A$1910:$J$1910,0)),INDEX(IPCC!$A$1928:$J$1939,MATCH(clim_moist,IPCC!$A$1928:$A$1939,0),MATCH($D456,IPCC!$A$1928:$J$1928,0)))),0)</f>
        <v/>
      </c>
      <c r="I456" s="1259">
        <f>IF('6.Inland wetlands'!$DY154="",'6.Inland wetlands'!$DX154,'6.Inland wetlands'!$DY154)</f>
        <v/>
      </c>
      <c r="J456" s="1004">
        <f>IFERROR(IF($C456="Please select",0,IF($C$405="Nutrient poor",INDEX(IPCC!$A$1964:$J$1975,MATCH(clim_moist,IPCC!$A$1964:$A$1975,0),MATCH($D456,IPCC!$A$1964:$J$1964,0)),INDEX(IPCC!$A$1982:$J$1993,MATCH(clim_moist,IPCC!$A$1982:$A$1993,0),MATCH($D456,IPCC!$A$1982:$J$1982,0)))),0)</f>
        <v/>
      </c>
      <c r="K456" s="1259">
        <f>IF('6.Inland wetlands'!$EA154="",'6.Inland wetlands'!$DZ154,'6.Inland wetlands'!$EA154)</f>
        <v/>
      </c>
      <c r="L456" s="1004">
        <f>IFERROR(IF($C456="Please select",0,INDEX(IPCC!$A$2000:$J$2011,MATCH(clim_moist,IPCC!$A$2000:$A$2011,0),MATCH($D456,IPCC!$A$2000:$J$2000,0))),0)</f>
        <v/>
      </c>
      <c r="M456" s="1259">
        <f>IF('6.Inland wetlands'!$EC154="",'6.Inland wetlands'!$EB154,'6.Inland wetlands'!$EC154)</f>
        <v/>
      </c>
      <c r="N456" s="1260">
        <f>IFERROR(IF($C456="Please select",0,INDEX(IPCC!$A$1946:$J$1957,MATCH(clim_moist,IPCC!$A$1946:$A$1957,0),MATCH($D456,IPCC!$A$1946:$J$1946,0))),0)</f>
        <v/>
      </c>
      <c r="O456" s="1259">
        <f>IF('6.Inland wetlands'!$EF154="",'6.Inland wetlands'!$EE154,'6.Inland wetlands'!$EF154)</f>
        <v/>
      </c>
      <c r="P456" s="3493" t="n">
        <v>0</v>
      </c>
      <c r="Q456" s="3493">
        <f>IF(F456&gt;0,SUM($I456,$O456)*44/12*$F456,0)</f>
        <v/>
      </c>
      <c r="R456" s="1151">
        <f>IF(G456&gt;0,SUM($I456,$O456)*44/12*G456,0)</f>
        <v/>
      </c>
      <c r="S456" s="3493" t="n">
        <v>0</v>
      </c>
      <c r="T456" s="1151">
        <f>IF(F456&gt;0,$K456/1000*16/12*methane*$F456,0)</f>
        <v/>
      </c>
      <c r="U456" s="1151">
        <f>IF(G456&gt;0,$K456/1000*16/12*methane*G456,0)</f>
        <v/>
      </c>
      <c r="V456" s="3493" t="n">
        <v>0</v>
      </c>
      <c r="W456" s="1151">
        <f>IF(F456&gt;0,$M456/1000*44/28*Nitrous*$F456,0)</f>
        <v/>
      </c>
      <c r="X456" s="3494">
        <f>IF(G456&gt;0,$M456/1000*44/28*Nitrous*G456,0)</f>
        <v/>
      </c>
      <c r="Y456" s="3506" t="n"/>
      <c r="Z456" s="3506" t="n"/>
      <c r="AA456" s="3506" t="n"/>
      <c r="AB456" s="1151">
        <f>MIN($P456,$Q456)*time_tot+ABS($P456-$Q456)*IF($P456&gt;$Q456,time_cap+time*(VLOOKUP($G416,list!$J$48:$K$50,2,0)),time*(1-(VLOOKUP($G416,list!$J$48:$K$50,2,0))))</f>
        <v/>
      </c>
      <c r="AC456" s="1151">
        <f>MIN($P456,$R456)*time_tot+ABS($P456-$R456)*IF($P456&gt;$R456,time_cap+time*(VLOOKUP($K416,list!$J$48:$K$50,2,0)),time*(1-(VLOOKUP($K416,list!$J$48:$K$50,2,0))))</f>
        <v/>
      </c>
      <c r="AD456" s="1151">
        <f>MIN($S456,$T456)*time_tot+ABS($S456-$T456)*IF($S456&gt;$T456,time_cap+time*(VLOOKUP($G416,list!$J$48:$K$50,2,0)),time*(1-(VLOOKUP($G416,list!$J$48:$K$50,2,0))))</f>
        <v/>
      </c>
      <c r="AE456" s="1151">
        <f>MIN($S456,$U456)*time_tot+ABS($S456-$U456)*IF($S456&gt;$U456,time_cap+time*(VLOOKUP($K416,list!$J$48:$K$50,2,0)),time*(1-(VLOOKUP($K416,list!$J$48:$K$50,2,0))))</f>
        <v/>
      </c>
      <c r="AF456" s="1151">
        <f>MIN($V456,$W456)*time_tot+ABS($V456-$W456)*IF($V456&gt;$W456,time_cap+time*(VLOOKUP($G416,list!$J$48:$K$50,2,0)),time*(1-(VLOOKUP($G416,list!$J$48:$K$50,2,0))))</f>
        <v/>
      </c>
      <c r="AG456" s="1151">
        <f>MIN($V456,$X456)*time_tot+ABS($V456-$X456)*IF($V456&gt;$X456,time_cap+time*(VLOOKUP($K416,list!$J$48:$K$50,2,0)),time*(1-(VLOOKUP($K416,list!$J$48:$K$50,2,0))))</f>
        <v/>
      </c>
      <c r="AI456" s="1282">
        <f>SUM(AB456,AD456,AF456)</f>
        <v/>
      </c>
      <c r="AJ456" s="1282">
        <f>SUM(AC456,AE456,AG456)</f>
        <v/>
      </c>
      <c r="AK456" s="1284">
        <f>AJ456-AI456</f>
        <v/>
      </c>
      <c r="AX456" s="1449">
        <f>MIN($P456,$Q456)*time+ABS($Q456-$P456)*IF($Q456&gt;$P456,time*(VLOOKUP($G416,list!$J$48:$K$50,2,0)),time*(1-(VLOOKUP($G416,list!$J$48:$K$50,2,0))))</f>
        <v/>
      </c>
      <c r="AY456" s="1449">
        <f>MIN($P456,$R456)*time+ABS($R456-$P456)*IF($R456&gt;$P456,time*(VLOOKUP($K416,list!$J$48:$K$50,2,0)),time*(1-(VLOOKUP($K416,list!$J$48:$K$50,2,0))))</f>
        <v/>
      </c>
      <c r="AZ456" s="1449">
        <f>MIN($S456,$T456)*time+ABS($T456-$S456)*IF($T456&gt;$S456,time*(VLOOKUP($G416,list!$J$48:$K$50,2,0)),time*(1-(VLOOKUP($G416,list!$J$48:$K$50,2,0))))</f>
        <v/>
      </c>
      <c r="BA456" s="1449">
        <f>MIN($S456,$U456)*time+ABS($U456-$S456)*IF($U456&gt;$S456,time*(VLOOKUP($K416,list!$J$48:$K$50,2,0)),time*(1-(VLOOKUP($K416,list!$J$48:$K$50,2,0))))</f>
        <v/>
      </c>
      <c r="BB456" s="1449">
        <f>MIN($V456,$W456)*time+ABS($W456-$V456)*IF($W456&gt;$V456,time*(VLOOKUP($G416,list!$J$48:$K$50,2,0)),time*(1-(VLOOKUP($G416,list!$J$48:$K$50,2,0))))</f>
        <v/>
      </c>
      <c r="BC456" s="1449">
        <f>MIN($V456,$X456)*time+ABS($X456-$V456)*IF($X456&gt;$V456,time*(VLOOKUP($K416,list!$J$48:$K$50,2,0)),time*(1-(VLOOKUP($K416,list!$J$48:$K$50,2,0))))</f>
        <v/>
      </c>
      <c r="BD456" s="1449" t="n"/>
      <c r="BE456" s="1449" t="n"/>
      <c r="BF456" s="1449" t="n"/>
      <c r="BG456" s="1449" t="n"/>
    </row>
    <row r="457">
      <c r="A457" s="1493" t="inlineStr">
        <is>
          <t>S5</t>
        </is>
      </c>
      <c r="C457" s="1469">
        <f>B417</f>
        <v/>
      </c>
      <c r="D457" s="4740">
        <f>C417</f>
        <v/>
      </c>
      <c r="E457" s="992">
        <f>'6.Inland wetlands'!S154</f>
        <v/>
      </c>
      <c r="F457" s="992">
        <f>IF('6.Inland wetlands'!T154-E457&gt;0,'6.Inland wetlands'!T154-E457,0)</f>
        <v/>
      </c>
      <c r="G457" s="992">
        <f>IF('6.Inland wetlands'!U154-E457&gt;0,'6.Inland wetlands'!U154-E457,0)</f>
        <v/>
      </c>
      <c r="H457" s="1004">
        <f>IFERROR(IF($C457="Please select",0,IF($C$405="Nutrient poor",INDEX(IPCC!$A$1910:$J$1921,MATCH(clim_moist,IPCC!$A$1910:$A$1921,0),MATCH($D457,IPCC!$A$1910:$J$1910,0)),INDEX(IPCC!$A$1928:$J$1939,MATCH(clim_moist,IPCC!$A$1928:$A$1939,0),MATCH($D457,IPCC!$A$1928:$J$1928,0)))),0)</f>
        <v/>
      </c>
      <c r="I457" s="1259">
        <f>IF('6.Inland wetlands'!$DY155="",'6.Inland wetlands'!$DX155,'6.Inland wetlands'!$DY155)</f>
        <v/>
      </c>
      <c r="J457" s="1004">
        <f>IFERROR(IF($C457="Please select",0,IF($C$405="Nutrient poor",INDEX(IPCC!$A$1964:$J$1975,MATCH(clim_moist,IPCC!$A$1964:$A$1975,0),MATCH($D457,IPCC!$A$1964:$J$1964,0)),INDEX(IPCC!$A$1982:$J$1993,MATCH(clim_moist,IPCC!$A$1982:$A$1993,0),MATCH($D457,IPCC!$A$1982:$J$1982,0)))),0)</f>
        <v/>
      </c>
      <c r="K457" s="1259">
        <f>IF('6.Inland wetlands'!$EA155="",'6.Inland wetlands'!$DZ155,'6.Inland wetlands'!$EA155)</f>
        <v/>
      </c>
      <c r="L457" s="1004">
        <f>IFERROR(IF($C457="Please select",0,INDEX(IPCC!$A$2000:$J$2011,MATCH(clim_moist,IPCC!$A$2000:$A$2011,0),MATCH($D457,IPCC!$A$2000:$J$2000,0))),0)</f>
        <v/>
      </c>
      <c r="M457" s="1259">
        <f>IF('6.Inland wetlands'!$EC155="",'6.Inland wetlands'!$EB155,'6.Inland wetlands'!$EC155)</f>
        <v/>
      </c>
      <c r="N457" s="1260">
        <f>IFERROR(IF($C457="Please select",0,INDEX(IPCC!$A$1946:$J$1957,MATCH(clim_moist,IPCC!$A$1946:$A$1957,0),MATCH($D457,IPCC!$A$1946:$J$1946,0))),0)</f>
        <v/>
      </c>
      <c r="O457" s="1259">
        <f>IF('6.Inland wetlands'!$EF155="",'6.Inland wetlands'!$EE155,'6.Inland wetlands'!$EF155)</f>
        <v/>
      </c>
      <c r="P457" s="3493" t="n">
        <v>0</v>
      </c>
      <c r="Q457" s="3493">
        <f>IF(F457&gt;0,SUM($I457,$O457)*44/12*$F457,0)</f>
        <v/>
      </c>
      <c r="R457" s="1151">
        <f>IF(G457&gt;0,SUM($I457,$O457)*44/12*G457,0)</f>
        <v/>
      </c>
      <c r="S457" s="3493" t="n">
        <v>0</v>
      </c>
      <c r="T457" s="1151">
        <f>IF(F457&gt;0,$K457/1000*16/12*methane*$F457,0)</f>
        <v/>
      </c>
      <c r="U457" s="1151">
        <f>IF(G457&gt;0,$K457/1000*16/12*methane*G457,0)</f>
        <v/>
      </c>
      <c r="V457" s="3493" t="n">
        <v>0</v>
      </c>
      <c r="W457" s="1151">
        <f>IF(F457&gt;0,$M457/1000*44/28*Nitrous*$F457,0)</f>
        <v/>
      </c>
      <c r="X457" s="3494">
        <f>IF(G457&gt;0,$M457/1000*44/28*Nitrous*G457,0)</f>
        <v/>
      </c>
      <c r="AA457" s="1246" t="n"/>
      <c r="AB457" s="1151">
        <f>MIN($P457,$Q457)*time_tot+ABS($P457-$Q457)*IF($P457&gt;$Q457,time_cap+time*(VLOOKUP($G417,list!$J$48:$K$50,2,0)),time*(1-(VLOOKUP($G417,list!$J$48:$K$50,2,0))))</f>
        <v/>
      </c>
      <c r="AC457" s="1151">
        <f>MIN($P457,$R457)*time_tot+ABS($P457-$R457)*IF($P457&gt;$R457,time_cap+time*(VLOOKUP($K417,list!$J$48:$K$50,2,0)),time*(1-(VLOOKUP($K417,list!$J$48:$K$50,2,0))))</f>
        <v/>
      </c>
      <c r="AD457" s="1151">
        <f>MIN($S457,$T457)*time_tot+ABS($S457-$T457)*IF($S457&gt;$T457,time_cap+time*(VLOOKUP($G417,list!$J$48:$K$50,2,0)),time*(1-(VLOOKUP($G417,list!$J$48:$K$50,2,0))))</f>
        <v/>
      </c>
      <c r="AE457" s="1151">
        <f>MIN($S457,$U457)*time_tot+ABS($S457-$U457)*IF($S457&gt;$U457,time_cap+time*(VLOOKUP($K417,list!$J$48:$K$50,2,0)),time*(1-(VLOOKUP($K417,list!$J$48:$K$50,2,0))))</f>
        <v/>
      </c>
      <c r="AF457" s="1151">
        <f>MIN($V457,$W457)*time_tot+ABS($V457-$W457)*IF($V457&gt;$W457,time_cap+time*(VLOOKUP($G417,list!$J$48:$K$50,2,0)),time*(1-(VLOOKUP($G417,list!$J$48:$K$50,2,0))))</f>
        <v/>
      </c>
      <c r="AG457" s="1151">
        <f>MIN($V457,$X457)*time_tot+ABS($V457-$X457)*IF($V457&gt;$X457,time_cap+time*(VLOOKUP($K417,list!$J$48:$K$50,2,0)),time*(1-(VLOOKUP($K417,list!$J$48:$K$50,2,0))))</f>
        <v/>
      </c>
      <c r="AI457" s="1282">
        <f>SUM(AB457,AD457,AF457)</f>
        <v/>
      </c>
      <c r="AJ457" s="1282">
        <f>SUM(AC457,AE457,AG457)</f>
        <v/>
      </c>
      <c r="AK457" s="1284">
        <f>AJ457-AI457</f>
        <v/>
      </c>
      <c r="AX457" s="1449">
        <f>MIN($P457,$Q457)*time+ABS($Q457-$P457)*IF($Q457&gt;$P457,time*(VLOOKUP($G417,list!$J$48:$K$50,2,0)),time*(1-(VLOOKUP($G417,list!$J$48:$K$50,2,0))))</f>
        <v/>
      </c>
      <c r="AY457" s="1449">
        <f>MIN($P457,$R457)*time+ABS($R457-$P457)*IF($R457&gt;$P457,time*(VLOOKUP($K417,list!$J$48:$K$50,2,0)),time*(1-(VLOOKUP($K417,list!$J$48:$K$50,2,0))))</f>
        <v/>
      </c>
      <c r="AZ457" s="1449">
        <f>MIN($S457,$T457)*time+ABS($T457-$S457)*IF($T457&gt;$S457,time*(VLOOKUP($G417,list!$J$48:$K$50,2,0)),time*(1-(VLOOKUP($G417,list!$J$48:$K$50,2,0))))</f>
        <v/>
      </c>
      <c r="BA457" s="1449">
        <f>MIN($S457,$U457)*time+ABS($U457-$S457)*IF($U457&gt;$S457,time*(VLOOKUP($K417,list!$J$48:$K$50,2,0)),time*(1-(VLOOKUP($K417,list!$J$48:$K$50,2,0))))</f>
        <v/>
      </c>
      <c r="BB457" s="1449">
        <f>MIN($V457,$W457)*time+ABS($W457-$V457)*IF($W457&gt;$V457,time*(VLOOKUP($G417,list!$J$48:$K$50,2,0)),time*(1-(VLOOKUP($G417,list!$J$48:$K$50,2,0))))</f>
        <v/>
      </c>
      <c r="BC457" s="1449">
        <f>MIN($V457,$X457)*time+ABS($X457-$V457)*IF($X457&gt;$V457,time*(VLOOKUP($K417,list!$J$48:$K$50,2,0)),time*(1-(VLOOKUP($K417,list!$J$48:$K$50,2,0))))</f>
        <v/>
      </c>
      <c r="BD457" s="1449" t="n"/>
      <c r="BE457" s="1449" t="n"/>
      <c r="BF457" s="1449" t="n"/>
      <c r="BG457" s="1449" t="n"/>
    </row>
    <row r="458">
      <c r="A458" s="1493" t="inlineStr">
        <is>
          <t>S6</t>
        </is>
      </c>
      <c r="C458" s="1469">
        <f>B418</f>
        <v/>
      </c>
      <c r="D458" s="4740">
        <f>C418</f>
        <v/>
      </c>
      <c r="E458" s="992">
        <f>'6.Inland wetlands'!S155</f>
        <v/>
      </c>
      <c r="F458" s="992">
        <f>IF('6.Inland wetlands'!T155-E458&gt;0,'6.Inland wetlands'!T155-E458,0)</f>
        <v/>
      </c>
      <c r="G458" s="992">
        <f>IF('6.Inland wetlands'!U155-E458&gt;0,'6.Inland wetlands'!U155-E458,0)</f>
        <v/>
      </c>
      <c r="H458" s="1004">
        <f>IFERROR(IF($C458="Please select",0,IF($C$405="Nutrient poor",INDEX(IPCC!$A$1910:$J$1921,MATCH(clim_moist,IPCC!$A$1910:$A$1921,0),MATCH($D458,IPCC!$A$1910:$J$1910,0)),INDEX(IPCC!$A$1928:$J$1939,MATCH(clim_moist,IPCC!$A$1928:$A$1939,0),MATCH($D458,IPCC!$A$1928:$J$1928,0)))),0)</f>
        <v/>
      </c>
      <c r="I458" s="1259">
        <f>IF('6.Inland wetlands'!$DY156="",'6.Inland wetlands'!$DX156,'6.Inland wetlands'!$DY156)</f>
        <v/>
      </c>
      <c r="J458" s="1004">
        <f>IFERROR(IF($C458="Please select",0,IF($C$405="Nutrient poor",INDEX(IPCC!$A$1964:$J$1975,MATCH(clim_moist,IPCC!$A$1964:$A$1975,0),MATCH($D458,IPCC!$A$1964:$J$1964,0)),INDEX(IPCC!$A$1982:$J$1993,MATCH(clim_moist,IPCC!$A$1982:$A$1993,0),MATCH($D458,IPCC!$A$1982:$J$1982,0)))),0)</f>
        <v/>
      </c>
      <c r="K458" s="1259">
        <f>IF('6.Inland wetlands'!$EA156="",'6.Inland wetlands'!$DZ156,'6.Inland wetlands'!$EA156)</f>
        <v/>
      </c>
      <c r="L458" s="1004">
        <f>IFERROR(IF($C458="Please select",0,INDEX(IPCC!$A$2000:$J$2011,MATCH(clim_moist,IPCC!$A$2000:$A$2011,0),MATCH($D458,IPCC!$A$2000:$J$2000,0))),0)</f>
        <v/>
      </c>
      <c r="M458" s="1259">
        <f>IF('6.Inland wetlands'!$EC156="",'6.Inland wetlands'!$EB156,'6.Inland wetlands'!$EC156)</f>
        <v/>
      </c>
      <c r="N458" s="1260">
        <f>IFERROR(IF($C458="Please select",0,INDEX(IPCC!$A$1946:$J$1957,MATCH(clim_moist,IPCC!$A$1946:$A$1957,0),MATCH($D458,IPCC!$A$1946:$J$1946,0))),0)</f>
        <v/>
      </c>
      <c r="O458" s="1259">
        <f>IF('6.Inland wetlands'!$EF156="",'6.Inland wetlands'!$EE156,'6.Inland wetlands'!$EF156)</f>
        <v/>
      </c>
      <c r="P458" s="3493" t="n">
        <v>0</v>
      </c>
      <c r="Q458" s="3493">
        <f>IF(F458&gt;0,SUM($I458,$O458)*44/12*$F458,0)</f>
        <v/>
      </c>
      <c r="R458" s="1151">
        <f>IF(G458&gt;0,SUM($I458,$O458)*44/12*G458,0)</f>
        <v/>
      </c>
      <c r="S458" s="3493" t="n">
        <v>0</v>
      </c>
      <c r="T458" s="1151">
        <f>IF(F458&gt;0,$K458/1000*16/12*methane*$F458,0)</f>
        <v/>
      </c>
      <c r="U458" s="1151">
        <f>IF(G458&gt;0,$K458/1000*16/12*methane*G458,0)</f>
        <v/>
      </c>
      <c r="V458" s="3493" t="n">
        <v>0</v>
      </c>
      <c r="W458" s="1151">
        <f>IF(F458&gt;0,$M458/1000*44/28*Nitrous*$F458,0)</f>
        <v/>
      </c>
      <c r="X458" s="3494">
        <f>IF(G458&gt;0,$M458/1000*44/28*Nitrous*G458,0)</f>
        <v/>
      </c>
      <c r="Y458" s="992" t="n"/>
      <c r="Z458" s="992" t="n"/>
      <c r="AA458" s="992" t="n"/>
      <c r="AB458" s="1151">
        <f>MIN($P458,$Q458)*time_tot+ABS($P458-$Q458)*IF($P458&gt;$Q458,time_cap+time*(VLOOKUP($G418,list!$J$48:$K$50,2,0)),time*(1-(VLOOKUP($G418,list!$J$48:$K$50,2,0))))</f>
        <v/>
      </c>
      <c r="AC458" s="1151">
        <f>MIN($P458,$R458)*time_tot+ABS($P458-$R458)*IF($P458&gt;$R458,time_cap+time*(VLOOKUP($K418,list!$J$48:$K$50,2,0)),time*(1-(VLOOKUP($K418,list!$J$48:$K$50,2,0))))</f>
        <v/>
      </c>
      <c r="AD458" s="1151">
        <f>MIN($S458,$T458)*time_tot+ABS($S458-$T458)*IF($S458&gt;$T458,time_cap+time*(VLOOKUP($G418,list!$J$48:$K$50,2,0)),time*(1-(VLOOKUP($G418,list!$J$48:$K$50,2,0))))</f>
        <v/>
      </c>
      <c r="AE458" s="1151">
        <f>MIN($S458,$U458)*time_tot+ABS($S458-$U458)*IF($S458&gt;$U458,time_cap+time*(VLOOKUP($K418,list!$J$48:$K$50,2,0)),time*(1-(VLOOKUP($K418,list!$J$48:$K$50,2,0))))</f>
        <v/>
      </c>
      <c r="AF458" s="1151">
        <f>MIN($V458,$W458)*time_tot+ABS($V458-$W458)*IF($V458&gt;$W458,time_cap+time*(VLOOKUP($G418,list!$J$48:$K$50,2,0)),time*(1-(VLOOKUP($G418,list!$J$48:$K$50,2,0))))</f>
        <v/>
      </c>
      <c r="AG458" s="1151">
        <f>MIN($V458,$X458)*time_tot+ABS($V458-$X458)*IF($V458&gt;$X458,time_cap+time*(VLOOKUP($K418,list!$J$48:$K$50,2,0)),time*(1-(VLOOKUP($K418,list!$J$48:$K$50,2,0))))</f>
        <v/>
      </c>
      <c r="AI458" s="1282">
        <f>SUM(AB458,AD458,AF458)</f>
        <v/>
      </c>
      <c r="AJ458" s="1282">
        <f>SUM(AC458,AE458,AG458)</f>
        <v/>
      </c>
      <c r="AK458" s="1284">
        <f>AJ458-AI458</f>
        <v/>
      </c>
      <c r="AX458" s="1449">
        <f>MIN($P458,$Q458)*time+ABS($Q458-$P458)*IF($Q458&gt;$P458,time*(VLOOKUP($G418,list!$J$48:$K$50,2,0)),time*(1-(VLOOKUP($G418,list!$J$48:$K$50,2,0))))</f>
        <v/>
      </c>
      <c r="AY458" s="1449">
        <f>MIN($P458,$R458)*time+ABS($R458-$P458)*IF($R458&gt;$P458,time*(VLOOKUP($K418,list!$J$48:$K$50,2,0)),time*(1-(VLOOKUP($K418,list!$J$48:$K$50,2,0))))</f>
        <v/>
      </c>
      <c r="AZ458" s="1449">
        <f>MIN($S458,$T458)*time+ABS($T458-$S458)*IF($T458&gt;$S458,time*(VLOOKUP($G418,list!$J$48:$K$50,2,0)),time*(1-(VLOOKUP($G418,list!$J$48:$K$50,2,0))))</f>
        <v/>
      </c>
      <c r="BA458" s="1449">
        <f>MIN($S458,$U458)*time+ABS($U458-$S458)*IF($U458&gt;$S458,time*(VLOOKUP($K418,list!$J$48:$K$50,2,0)),time*(1-(VLOOKUP($K418,list!$J$48:$K$50,2,0))))</f>
        <v/>
      </c>
      <c r="BB458" s="1449">
        <f>MIN($V458,$W458)*time+ABS($W458-$V458)*IF($W458&gt;$V458,time*(VLOOKUP($G418,list!$J$48:$K$50,2,0)),time*(1-(VLOOKUP($G418,list!$J$48:$K$50,2,0))))</f>
        <v/>
      </c>
      <c r="BC458" s="1449">
        <f>MIN($V458,$X458)*time+ABS($X458-$V458)*IF($X458&gt;$V458,time*(VLOOKUP($K418,list!$J$48:$K$50,2,0)),time*(1-(VLOOKUP($K418,list!$J$48:$K$50,2,0))))</f>
        <v/>
      </c>
      <c r="BD458" s="1449" t="n"/>
      <c r="BE458" s="1449" t="n"/>
      <c r="BF458" s="1449" t="n"/>
      <c r="BG458" s="1449" t="n"/>
    </row>
    <row r="459">
      <c r="B459" s="1200" t="n"/>
      <c r="AX459" s="1271" t="n"/>
      <c r="AY459" s="1271" t="n"/>
      <c r="AZ459" s="1271" t="n"/>
      <c r="BA459" s="1271" t="n"/>
      <c r="BB459" s="1271" t="n"/>
      <c r="BD459" s="1463" t="n"/>
      <c r="BF459" s="1271" t="n"/>
    </row>
    <row r="460">
      <c r="B460" s="992" t="n"/>
      <c r="C460" s="992" t="n"/>
      <c r="D460" s="992" t="n"/>
      <c r="E460" s="992" t="n"/>
      <c r="F460" s="992" t="n"/>
      <c r="G460" s="992" t="n"/>
      <c r="H460" s="992" t="n"/>
      <c r="N460" s="1469" t="n"/>
      <c r="O460" s="992" t="n"/>
      <c r="P460" s="992" t="n"/>
      <c r="Q460" s="992" t="n"/>
      <c r="R460" s="992" t="n"/>
      <c r="S460" s="992" t="n"/>
      <c r="T460" s="992" t="n"/>
      <c r="V460" s="992" t="n"/>
      <c r="W460" s="992" t="n"/>
      <c r="X460" s="992" t="n"/>
      <c r="AJ460" s="1445" t="inlineStr">
        <is>
          <t>TEST TIER 2</t>
        </is>
      </c>
      <c r="AK460" s="3165">
        <f>SUM('6.Inland wetlands'!CG150:CG155,'6.Inland wetlands'!CI150:CI155,'6.Inland wetlands'!CK150:CK155,'6.Inland wetlands'!CN150:CN155,'6.Inland wetlands'!CP150:CP155)</f>
        <v/>
      </c>
      <c r="AL460" s="973" t="inlineStr">
        <is>
          <t>Drainage</t>
        </is>
      </c>
      <c r="AX460" s="1451">
        <f>SUM(AX453:AX458)</f>
        <v/>
      </c>
      <c r="AY460" s="1451">
        <f>SUM(AY453:AY458)</f>
        <v/>
      </c>
      <c r="AZ460" s="1451">
        <f>SUM(AZ453:AZ458)</f>
        <v/>
      </c>
      <c r="BA460" s="1451">
        <f>SUM(BA453:BA458)</f>
        <v/>
      </c>
      <c r="BB460" s="1451">
        <f>SUM(BB453:BB458)</f>
        <v/>
      </c>
      <c r="BC460" s="1451">
        <f>SUM(BC453:BC458)</f>
        <v/>
      </c>
      <c r="BD460" s="1451" t="n"/>
      <c r="BE460" s="1451" t="n"/>
      <c r="BF460" s="1451" t="n"/>
      <c r="BG460" s="1451" t="n"/>
    </row>
    <row r="461">
      <c r="E461" s="4027" t="inlineStr">
        <is>
          <t>rewetted areas</t>
        </is>
      </c>
      <c r="F461" s="4027">
        <f>SUMIF(P453:P458,"&gt;0",E413:E418)</f>
        <v/>
      </c>
      <c r="G461" s="4027">
        <f>SUMIF(Q453:Q458,"&gt;0",F413:F418)</f>
        <v/>
      </c>
      <c r="H461" s="4027">
        <f>SUMIF(R453:R458,"&gt;0",J413:J418)</f>
        <v/>
      </c>
      <c r="AJ461" s="1445" t="inlineStr">
        <is>
          <t>TEST TIER 2</t>
        </is>
      </c>
      <c r="AK461" s="3165">
        <f>+SUM('6.Inland wetlands'!DY151:DY156,'6.Inland wetlands'!EA151:EA156,'6.Inland wetlands'!EC151:EC156,'6.Inland wetlands'!EF151:EF156)</f>
        <v/>
      </c>
      <c r="AL461" s="973" t="inlineStr">
        <is>
          <t>Rewetting</t>
        </is>
      </c>
      <c r="AY461" s="1451">
        <f>AY460-AX460</f>
        <v/>
      </c>
      <c r="AZ461" s="1451" t="n"/>
      <c r="BA461" s="1451">
        <f>BA460-AZ460</f>
        <v/>
      </c>
      <c r="BB461" s="1451" t="n"/>
      <c r="BC461" s="1451">
        <f>BC460-BB460</f>
        <v/>
      </c>
      <c r="BD461" s="1451" t="n"/>
      <c r="BE461" s="1451" t="n"/>
      <c r="BF461" s="1451" t="n"/>
      <c r="BG461" s="1451" t="n"/>
    </row>
    <row r="462" ht="42.75" customFormat="1" customHeight="1" s="975">
      <c r="B462" s="975" t="inlineStr">
        <is>
          <t>6.3 Land managed for peat extraction</t>
        </is>
      </c>
      <c r="J462" s="1123" t="n"/>
      <c r="K462" s="1123" t="n"/>
      <c r="L462" s="1123" t="n"/>
      <c r="M462" s="1123" t="n"/>
      <c r="N462" s="1123" t="n"/>
    </row>
    <row r="463">
      <c r="B463" s="973" t="inlineStr">
        <is>
          <t>We consider here that land conversion already occured. It does only target the extraction phase and associated emissions</t>
        </is>
      </c>
    </row>
    <row r="464" ht="16.5" customHeight="1">
      <c r="H464" s="1587" t="inlineStr">
        <is>
          <t>On site emissions factors from peatland undergoing active peat extraction</t>
        </is>
      </c>
      <c r="I464" s="1588" t="n"/>
      <c r="J464" s="1588" t="n"/>
      <c r="K464" s="1588" t="n"/>
      <c r="L464" s="1588" t="n"/>
      <c r="M464" s="1588" t="n"/>
      <c r="N464" s="1591" t="inlineStr">
        <is>
          <t>Off site emission factors for peat extraction</t>
        </is>
      </c>
      <c r="O464" s="1590" t="n"/>
      <c r="P464" s="1590" t="n"/>
      <c r="Q464" s="1590" t="n"/>
      <c r="R464" s="1596" t="inlineStr">
        <is>
          <t>On-site emissions from drainage in tCO2-e/yr</t>
        </is>
      </c>
      <c r="S464" s="1588" t="n"/>
      <c r="T464" s="1588" t="n"/>
      <c r="U464" s="1588" t="n"/>
      <c r="V464" s="1588" t="n"/>
      <c r="W464" s="1588" t="n"/>
      <c r="X464" s="1588" t="n"/>
      <c r="Y464" s="1588" t="n"/>
      <c r="Z464" s="1588" t="n"/>
      <c r="AA464" s="1594" t="inlineStr">
        <is>
          <t>Off-site emissions in tCO2-e/yr</t>
        </is>
      </c>
      <c r="AB464" s="1306" t="n"/>
      <c r="AC464" s="1306" t="n"/>
      <c r="AD464" s="1306" t="n"/>
      <c r="AE464" s="1306" t="n"/>
      <c r="AF464" s="1306" t="n"/>
    </row>
    <row r="465" ht="16" customHeight="1">
      <c r="B465" s="1602" t="inlineStr">
        <is>
          <t>Emissions from drainage</t>
        </is>
      </c>
      <c r="C465" s="2373" t="inlineStr">
        <is>
          <t>Surface where peat is extracted (ha)</t>
        </is>
      </c>
      <c r="D465" s="2374" t="n"/>
      <c r="E465" s="2374" t="n"/>
      <c r="F465" s="2374" t="n"/>
      <c r="G465" s="2374" t="n"/>
      <c r="H465" s="1589" t="inlineStr">
        <is>
          <t>CO2-C</t>
        </is>
      </c>
      <c r="I465" s="1589" t="n"/>
      <c r="J465" s="1589" t="inlineStr">
        <is>
          <t>CH4</t>
        </is>
      </c>
      <c r="K465" s="1587" t="n"/>
      <c r="L465" s="1589" t="inlineStr">
        <is>
          <t>N2O-N</t>
        </is>
      </c>
      <c r="M465" s="1588" t="n"/>
      <c r="N465" s="1591" t="inlineStr">
        <is>
          <t>DOC</t>
        </is>
      </c>
      <c r="O465" s="1590" t="n"/>
      <c r="P465" s="1593" t="inlineStr">
        <is>
          <t>CH4</t>
        </is>
      </c>
      <c r="Q465" s="1590" t="n"/>
      <c r="R465" s="1588" t="inlineStr">
        <is>
          <t>Emissions from drainage</t>
        </is>
      </c>
      <c r="S465" s="1588" t="n"/>
      <c r="T465" s="1588" t="n"/>
      <c r="U465" s="1588" t="n"/>
      <c r="V465" s="1588" t="n"/>
      <c r="W465" s="1588" t="n"/>
      <c r="X465" s="1588" t="n"/>
      <c r="Y465" s="1588" t="n"/>
      <c r="Z465" s="1588" t="n"/>
      <c r="AA465" s="1306" t="n"/>
      <c r="AB465" s="1597" t="n"/>
      <c r="AC465" s="1597" t="n"/>
      <c r="AD465" s="1597" t="n"/>
      <c r="AE465" s="1597" t="n"/>
      <c r="AF465" s="1597" t="n"/>
    </row>
    <row r="466" ht="16" customHeight="1">
      <c r="B466" s="1231" t="inlineStr">
        <is>
          <t>Type of peat</t>
        </is>
      </c>
      <c r="C466" s="1586" t="inlineStr">
        <is>
          <t>Start</t>
        </is>
      </c>
      <c r="D466" s="1586" t="inlineStr">
        <is>
          <t>Without</t>
        </is>
      </c>
      <c r="E466" s="1586" t="inlineStr">
        <is>
          <t>Rate</t>
        </is>
      </c>
      <c r="F466" s="1586" t="inlineStr">
        <is>
          <t>With</t>
        </is>
      </c>
      <c r="G466" s="1586" t="inlineStr">
        <is>
          <t>Rate</t>
        </is>
      </c>
      <c r="H466" s="1587" t="inlineStr">
        <is>
          <t>tonnes C/ha/yr</t>
        </is>
      </c>
      <c r="I466" s="1587" t="n"/>
      <c r="J466" s="1589" t="inlineStr">
        <is>
          <t>kgCH4/ha/yr</t>
        </is>
      </c>
      <c r="K466" s="1587" t="n"/>
      <c r="L466" s="1587" t="inlineStr">
        <is>
          <t>kgN2O-N/ha/yr</t>
        </is>
      </c>
      <c r="M466" s="1588" t="n"/>
      <c r="N466" s="1591" t="inlineStr">
        <is>
          <t>tonnes C/ha/yr</t>
        </is>
      </c>
      <c r="O466" s="1591" t="n"/>
      <c r="P466" s="1590" t="inlineStr">
        <is>
          <t>kgCH4/ha/yr</t>
        </is>
      </c>
      <c r="Q466" s="1590" t="n"/>
      <c r="R466" s="1596" t="inlineStr">
        <is>
          <t>CO2</t>
        </is>
      </c>
      <c r="S466" s="1588" t="n"/>
      <c r="T466" s="1596" t="n"/>
      <c r="U466" s="1596" t="inlineStr">
        <is>
          <t>CH4</t>
        </is>
      </c>
      <c r="V466" s="1588" t="n"/>
      <c r="W466" s="1596" t="n"/>
      <c r="X466" s="1596" t="inlineStr">
        <is>
          <t>N2O</t>
        </is>
      </c>
      <c r="Y466" s="1588" t="n"/>
      <c r="Z466" s="1596" t="n"/>
      <c r="AA466" s="1594" t="inlineStr">
        <is>
          <t>DOC</t>
        </is>
      </c>
      <c r="AB466" s="1306" t="n"/>
      <c r="AC466" s="1594" t="n"/>
      <c r="AD466" s="1594" t="inlineStr">
        <is>
          <t>CH4</t>
        </is>
      </c>
      <c r="AE466" s="1306" t="n"/>
      <c r="AF466" s="1594" t="n"/>
    </row>
    <row r="467" ht="16" customHeight="1">
      <c r="C467" s="1306" t="n"/>
      <c r="D467" s="1306" t="n"/>
      <c r="E467" s="1306" t="n"/>
      <c r="F467" s="1306" t="n"/>
      <c r="G467" s="1306" t="n"/>
      <c r="H467" s="1589" t="inlineStr">
        <is>
          <t>IPCC</t>
        </is>
      </c>
      <c r="I467" s="1589" t="inlineStr">
        <is>
          <t>Tier 2</t>
        </is>
      </c>
      <c r="J467" s="1589" t="inlineStr">
        <is>
          <t>IPCC</t>
        </is>
      </c>
      <c r="K467" s="1589" t="inlineStr">
        <is>
          <t>Tier 2</t>
        </is>
      </c>
      <c r="L467" s="1589" t="inlineStr">
        <is>
          <t>IPCC</t>
        </is>
      </c>
      <c r="M467" s="1589" t="inlineStr">
        <is>
          <t>Tier 2</t>
        </is>
      </c>
      <c r="N467" s="1592" t="inlineStr">
        <is>
          <t>IPCC</t>
        </is>
      </c>
      <c r="O467" s="1592" t="inlineStr">
        <is>
          <t>Tier 2</t>
        </is>
      </c>
      <c r="P467" s="1595" t="inlineStr">
        <is>
          <t>IPCC</t>
        </is>
      </c>
      <c r="Q467" s="1595" t="inlineStr">
        <is>
          <t>Tier 2</t>
        </is>
      </c>
      <c r="R467" s="973" t="inlineStr">
        <is>
          <t>Start</t>
        </is>
      </c>
      <c r="S467" s="1102" t="inlineStr">
        <is>
          <t>Without</t>
        </is>
      </c>
      <c r="T467" s="1103" t="inlineStr">
        <is>
          <t>With</t>
        </is>
      </c>
      <c r="U467" s="1688" t="inlineStr">
        <is>
          <t>Start</t>
        </is>
      </c>
      <c r="V467" s="1102" t="inlineStr">
        <is>
          <t>Without</t>
        </is>
      </c>
      <c r="W467" s="1103" t="inlineStr">
        <is>
          <t>With</t>
        </is>
      </c>
      <c r="X467" s="1688" t="inlineStr">
        <is>
          <t>Start</t>
        </is>
      </c>
      <c r="Y467" s="1102" t="inlineStr">
        <is>
          <t>Without</t>
        </is>
      </c>
      <c r="Z467" s="1103" t="inlineStr">
        <is>
          <t>With</t>
        </is>
      </c>
      <c r="AA467" s="1688" t="inlineStr">
        <is>
          <t>Start</t>
        </is>
      </c>
      <c r="AB467" s="1102" t="inlineStr">
        <is>
          <t>Without</t>
        </is>
      </c>
      <c r="AC467" s="1103" t="inlineStr">
        <is>
          <t>With</t>
        </is>
      </c>
      <c r="AD467" s="1688" t="inlineStr">
        <is>
          <t>Start</t>
        </is>
      </c>
      <c r="AE467" s="1102" t="inlineStr">
        <is>
          <t>Without</t>
        </is>
      </c>
      <c r="AF467" s="1103" t="inlineStr">
        <is>
          <t>With</t>
        </is>
      </c>
    </row>
    <row r="468">
      <c r="B468" s="973">
        <f>'6.Inland wetlands'!I176</f>
        <v/>
      </c>
      <c r="C468" s="992">
        <f>'6.Inland wetlands'!M176</f>
        <v/>
      </c>
      <c r="D468" s="992">
        <f>'6.Inland wetlands'!N176</f>
        <v/>
      </c>
      <c r="E468" s="992">
        <f>VLOOKUP('6.Inland wetlands'!O176,list!$I$48:$J$50,2,FALSE )</f>
        <v/>
      </c>
      <c r="F468" s="992">
        <f>'6.Inland wetlands'!P176</f>
        <v/>
      </c>
      <c r="G468" s="992">
        <f>VLOOKUP('6.Inland wetlands'!Q176,list!$I$48:$J$50,2,FALSE )</f>
        <v/>
      </c>
      <c r="H468" s="1044">
        <f>IF($B468="Please select",0,IF($B468=list!$E$218,INDEX(IPCC!$A$1762:$K$1773,MATCH(clim_moist,IPCC!$A$1781:$A$1792,0),MATCH(IPCC!$K$1762,IPCC!$A$1781:$K$1781,0)),IF('Inl. wetlands'!$B468=list!$E$219,INDEX(IPCC!$A$1781:$K$1792,MATCH(clim_moist,IPCC!$A$1781:$A$1792,0),MATCH(IPCC!$K$1762,IPCC!$A$1781:$K$1781,0)))))</f>
        <v/>
      </c>
      <c r="I468" s="1104">
        <f>IF('6.Inland wetlands'!CG175="",'6.Inland wetlands'!CF175,'6.Inland wetlands'!CG175)</f>
        <v/>
      </c>
      <c r="J468" s="1044">
        <f>IF(B468="Please select",0,(IF($B468=list!$E$218,INDEX(IPCC!$A$1818:$K$1829,MATCH(clim_moist,IPCC!$A$1818:$A$1829,0),MATCH(IPCC!$K$1836,IPCC!$A$1818:$K$1818,0)),IF($B468=list!$E$219,INDEX(IPCC!$A$1836:$K$1847,MATCH(clim_moist,IPCC!$A$1836:$A$1847,0),MATCH(IPCC!$K$1836,IPCC!$A$1836:$K$1836,0))))))</f>
        <v/>
      </c>
      <c r="K468" s="1104">
        <f>IF('6.Inland wetlands'!CI175="",'6.Inland wetlands'!CH175,'6.Inland wetlands'!CI175)</f>
        <v/>
      </c>
      <c r="L468" s="1044">
        <f>IF('Inl. wetlands'!$B468="Please select",0,IF($B468=list!$E$218,INDEX(IPCC!$A$1872:$K$1883,MATCH(clim_moist,IPCC!$A$1872:$A$1883,0),MATCH(IPCC!$K$1818,IPCC!$A$1872:$K$1872,0)),IF('Inl. wetlands'!$B468=list!$E$219,INDEX(IPCC!$A$1890:$K$1901,MATCH(clim_moist,IPCC!$A$1890:$A$1901,0),MATCH(IPCC!$K$1818,IPCC!$A$1890:$K$1890,0)))))</f>
        <v/>
      </c>
      <c r="M468" s="1104">
        <f>IF('6.Inland wetlands'!CK175="",'6.Inland wetlands'!CJ175,'6.Inland wetlands'!CK175)</f>
        <v/>
      </c>
      <c r="N468" s="1044">
        <f>IF('Inl. wetlands'!$B468="Please select",0,(IF($B468=list!$E$218,INDEX(IPCC!$A$1800:$K$1811,MATCH(clim_moist,IPCC!$A$1800:$A$1811,0),MATCH(IPCC!$K$1800,IPCC!$A$1800:$K$1800,0)),IF($B468=list!$E$219,INDEX(IPCC!$A$1800:$K$1811,MATCH(clim_moist,IPCC!$A$1800:$A$1811,0),MATCH(IPCC!$K$1800,IPCC!$A$1800:$K$1800,0))))))</f>
        <v/>
      </c>
      <c r="O468" s="1104">
        <f>IF('6.Inland wetlands'!CN175="",'6.Inland wetlands'!CM175,'6.Inland wetlands'!CN175)</f>
        <v/>
      </c>
      <c r="P468" s="1111">
        <f>IF(B468="Please select",0,IF($B468=list!$E$218,INDEX(IPCC!$A$1854:$K$1865,MATCH(clim_moist,IPCC!$A$1854:$A$1865,0),MATCH(IPCC!$K$1854,IPCC!$A$1854:$K$1854,0)),IF($B468=list!$E$219,INDEX(IPCC!$A$1854:$K$1865,MATCH(clim_moist,IPCC!$A$1854:$A$1865,0),MATCH(IPCC!$K$1854,IPCC!$A$1854:$K$1854,0)))))</f>
        <v/>
      </c>
      <c r="Q468" s="1161">
        <f>IF('6.Inland wetlands'!CP175="",'6.Inland wetlands'!CO175,'6.Inland wetlands'!CP175)</f>
        <v/>
      </c>
      <c r="R468" s="3493">
        <f>$I468*44/12*$C468</f>
        <v/>
      </c>
      <c r="S468" s="3493">
        <f>$I468*44/12*$C468</f>
        <v/>
      </c>
      <c r="T468" s="3493">
        <f>$I468*44/12*$F468</f>
        <v/>
      </c>
      <c r="U468" s="3493">
        <f>$K468*methane/1000*$C468*(1-'6.Inland wetlands'!S176)</f>
        <v/>
      </c>
      <c r="V468" s="3493">
        <f>$K468*methane/1000*$D468*(1-'6.Inland wetlands'!T176)</f>
        <v/>
      </c>
      <c r="W468" s="3493">
        <f>$K468*methane/1000*$F468*(1-'6.Inland wetlands'!U176)</f>
        <v/>
      </c>
      <c r="X468" s="3493">
        <f>$M468*44/28*Nitrous/1000*$C468</f>
        <v/>
      </c>
      <c r="Y468" s="3493">
        <f>$M468*44/28*Nitrous/1000*$D468</f>
        <v/>
      </c>
      <c r="Z468" s="3493">
        <f>$M468*44/28*Nitrous/1000*$F468</f>
        <v/>
      </c>
      <c r="AA468" s="3493">
        <f>$O468*44/12*$C468</f>
        <v/>
      </c>
      <c r="AB468" s="3493">
        <f>$O468*44/12*$C468</f>
        <v/>
      </c>
      <c r="AC468" s="3493">
        <f>$O468*44/12*$F468</f>
        <v/>
      </c>
      <c r="AD468" s="3493">
        <f>$Q468*methane/1000*$C468*'6.Inland wetlands'!S176</f>
        <v/>
      </c>
      <c r="AE468" s="3493">
        <f>$Q468*methane/1000*$D468*'6.Inland wetlands'!T176</f>
        <v/>
      </c>
      <c r="AF468" s="3493">
        <f>$Q468*methane/1000*$F468*'6.Inland wetlands'!U176</f>
        <v/>
      </c>
    </row>
    <row r="469">
      <c r="B469" s="973">
        <f>'6.Inland wetlands'!I177</f>
        <v/>
      </c>
      <c r="C469" s="992">
        <f>'6.Inland wetlands'!M177</f>
        <v/>
      </c>
      <c r="D469" s="992">
        <f>'6.Inland wetlands'!N177</f>
        <v/>
      </c>
      <c r="E469" s="992">
        <f>VLOOKUP('6.Inland wetlands'!O177,list!$I$48:$J$50,2,FALSE )</f>
        <v/>
      </c>
      <c r="F469" s="992">
        <f>'6.Inland wetlands'!P177</f>
        <v/>
      </c>
      <c r="G469" s="992">
        <f>VLOOKUP('6.Inland wetlands'!Q177,list!$I$48:$J$50,2,FALSE )</f>
        <v/>
      </c>
      <c r="H469" s="1044">
        <f>IF($B469="Please select",0,IF($B469=list!$E$218,INDEX(IPCC!$A$1762:$K$1773,MATCH(clim_moist,IPCC!$A$1781:$A$1792,0),MATCH(IPCC!$K$1762,IPCC!$A$1781:$K$1781,0)),IF('Inl. wetlands'!$B469=list!$E$219,INDEX(IPCC!$A$1781:$K$1792,MATCH(clim_moist,IPCC!$A$1781:$A$1792,0),MATCH(IPCC!$K$1762,IPCC!$A$1781:$K$1781,0)))))</f>
        <v/>
      </c>
      <c r="I469" s="1104">
        <f>IF('6.Inland wetlands'!CG176="",'6.Inland wetlands'!CF176,'6.Inland wetlands'!CG176)</f>
        <v/>
      </c>
      <c r="J469" s="1044">
        <f>IF(B469="Please select",0,(IF($B469=list!$E$218,INDEX(IPCC!$A$1818:$K$1829,MATCH(clim_moist,IPCC!$A$1818:$A$1829,0),MATCH(IPCC!$K$1836,IPCC!$A$1818:$K$1818,0)),IF($B469=list!$E$219,INDEX(IPCC!$A$1836:$K$1847,MATCH(clim_moist,IPCC!$A$1836:$A$1847,0),MATCH(IPCC!$K$1836,IPCC!$A$1836:$K$1836,0))))))</f>
        <v/>
      </c>
      <c r="K469" s="1104">
        <f>IF('6.Inland wetlands'!CI176="",'6.Inland wetlands'!CH176,'6.Inland wetlands'!CI176)</f>
        <v/>
      </c>
      <c r="L469" s="1044">
        <f>IF('Inl. wetlands'!$B469="Please select",0,IF($B469=list!$E$218,INDEX(IPCC!$A$1872:$K$1883,MATCH(clim_moist,IPCC!$A$1872:$A$1883,0),MATCH(IPCC!$K$1818,IPCC!$A$1872:$K$1872,0)),IF('Inl. wetlands'!$B469=list!$E$219,INDEX(IPCC!$A$1890:$K$1901,MATCH(clim_moist,IPCC!$A$1890:$A$1901,0),MATCH(IPCC!$K$1818,IPCC!$A$1890:$K$1890,0)))))</f>
        <v/>
      </c>
      <c r="M469" s="1104">
        <f>IF('6.Inland wetlands'!CK176="",'6.Inland wetlands'!CJ176,'6.Inland wetlands'!CK176)</f>
        <v/>
      </c>
      <c r="N469" s="1044">
        <f>IF('Inl. wetlands'!$B469="Please select",0,(IF($B469=list!$E$218,INDEX(IPCC!$A$1800:$K$1811,MATCH(clim_moist,IPCC!$A$1800:$A$1811,0),MATCH(IPCC!$K$1800,IPCC!$A$1800:$K$1800,0)),IF($B469=list!$E$219,INDEX(IPCC!$A$1800:$K$1811,MATCH(clim_moist,IPCC!$A$1800:$A$1811,0),MATCH(IPCC!$K$1800,IPCC!$A$1800:$K$1800,0))))))</f>
        <v/>
      </c>
      <c r="O469" s="1104">
        <f>IF('6.Inland wetlands'!CN176="",'6.Inland wetlands'!CM176,'6.Inland wetlands'!CN176)</f>
        <v/>
      </c>
      <c r="P469" s="1111">
        <f>IF(B469="Please select",0,IF($B469=list!$E$218,INDEX(IPCC!$A$1854:$K$1865,MATCH(clim_moist,IPCC!$A$1854:$A$1865,0),MATCH(IPCC!$K$1854,IPCC!$A$1854:$K$1854,0)),IF($B469=list!$E$219,INDEX(IPCC!$A$1854:$K$1865,MATCH(clim_moist,IPCC!$A$1854:$A$1865,0),MATCH(IPCC!$K$1854,IPCC!$A$1854:$K$1854,0)))))</f>
        <v/>
      </c>
      <c r="Q469" s="1161">
        <f>IF('6.Inland wetlands'!CP176="",'6.Inland wetlands'!CO176,'6.Inland wetlands'!CP176)</f>
        <v/>
      </c>
      <c r="R469" s="3493">
        <f>$I469*44/12*$C469</f>
        <v/>
      </c>
      <c r="S469" s="3493">
        <f>$I469*44/12*$C469</f>
        <v/>
      </c>
      <c r="T469" s="3493">
        <f>$I469*44/12*$F469</f>
        <v/>
      </c>
      <c r="U469" s="3493">
        <f>$K469*methane/1000*$C469*(1-'6.Inland wetlands'!S177)</f>
        <v/>
      </c>
      <c r="V469" s="3493">
        <f>$K469*methane/1000*$D469*(1-'6.Inland wetlands'!T177)</f>
        <v/>
      </c>
      <c r="W469" s="3493">
        <f>$K469*methane/1000*$F469*(1-'6.Inland wetlands'!U177)</f>
        <v/>
      </c>
      <c r="X469" s="3493">
        <f>$M469*44/28*Nitrous/1000*$C469</f>
        <v/>
      </c>
      <c r="Y469" s="3493">
        <f>$M469*44/28*Nitrous/1000*$D469</f>
        <v/>
      </c>
      <c r="Z469" s="3493">
        <f>$M469*44/28*Nitrous/1000*$F469</f>
        <v/>
      </c>
      <c r="AA469" s="3493">
        <f>$O469*44/12*$C469</f>
        <v/>
      </c>
      <c r="AB469" s="3493">
        <f>$O469*44/12*$C469</f>
        <v/>
      </c>
      <c r="AC469" s="3493">
        <f>$O469*44/12*$F469</f>
        <v/>
      </c>
      <c r="AD469" s="3493">
        <f>$Q469*methane/1000*$C469*'6.Inland wetlands'!S177</f>
        <v/>
      </c>
      <c r="AE469" s="3493">
        <f>$Q469*methane/1000*$D469*'6.Inland wetlands'!T177</f>
        <v/>
      </c>
      <c r="AF469" s="3493">
        <f>$Q469*methane/1000*$F469*'6.Inland wetlands'!U177</f>
        <v/>
      </c>
    </row>
    <row r="470" ht="16" customHeight="1">
      <c r="B470" s="973">
        <f>'6.Inland wetlands'!I178</f>
        <v/>
      </c>
      <c r="C470" s="992">
        <f>'6.Inland wetlands'!M178</f>
        <v/>
      </c>
      <c r="D470" s="992">
        <f>'6.Inland wetlands'!N178</f>
        <v/>
      </c>
      <c r="E470" s="992">
        <f>VLOOKUP('6.Inland wetlands'!O178,list!$I$48:$J$50,2,FALSE )</f>
        <v/>
      </c>
      <c r="F470" s="992">
        <f>'6.Inland wetlands'!P178</f>
        <v/>
      </c>
      <c r="G470" s="992">
        <f>VLOOKUP('6.Inland wetlands'!Q178,list!$I$48:$J$50,2,FALSE )</f>
        <v/>
      </c>
      <c r="H470" s="1044">
        <f>IF($B470="Please select",0,IF($B470=list!$E$218,INDEX(IPCC!$A$1762:$K$1773,MATCH(clim_moist,IPCC!$A$1781:$A$1792,0),MATCH(IPCC!$K$1762,IPCC!$A$1781:$K$1781,0)),IF('Inl. wetlands'!$B470=list!$E$219,INDEX(IPCC!$A$1781:$K$1792,MATCH(clim_moist,IPCC!$A$1781:$A$1792,0),MATCH(IPCC!$K$1762,IPCC!$A$1781:$K$1781,0)))))</f>
        <v/>
      </c>
      <c r="I470" s="1104">
        <f>IF('6.Inland wetlands'!CG177="",'6.Inland wetlands'!CF177,'6.Inland wetlands'!CG177)</f>
        <v/>
      </c>
      <c r="J470" s="1044">
        <f>IF(B470="Please select",0,(IF($B470=list!$E$218,INDEX(IPCC!$A$1818:$K$1829,MATCH(clim_moist,IPCC!$A$1818:$A$1829,0),MATCH(IPCC!$K$1836,IPCC!$A$1818:$K$1818,0)),IF($B470=list!$E$219,INDEX(IPCC!$A$1836:$K$1847,MATCH(clim_moist,IPCC!$A$1836:$A$1847,0),MATCH(IPCC!$K$1836,IPCC!$A$1836:$K$1836,0))))))</f>
        <v/>
      </c>
      <c r="K470" s="1104">
        <f>IF('6.Inland wetlands'!CI177="",'6.Inland wetlands'!CH177,'6.Inland wetlands'!CI177)</f>
        <v/>
      </c>
      <c r="L470" s="1044">
        <f>IF('Inl. wetlands'!$B470="Please select",0,IF($B470=list!$E$218,INDEX(IPCC!$A$1872:$K$1883,MATCH(clim_moist,IPCC!$A$1872:$A$1883,0),MATCH(IPCC!$K$1818,IPCC!$A$1872:$K$1872,0)),IF('Inl. wetlands'!$B470=list!$E$219,INDEX(IPCC!$A$1890:$K$1901,MATCH(clim_moist,IPCC!$A$1890:$A$1901,0),MATCH(IPCC!$K$1818,IPCC!$A$1890:$K$1890,0)))))</f>
        <v/>
      </c>
      <c r="M470" s="1104">
        <f>IF('6.Inland wetlands'!CK177="",'6.Inland wetlands'!CJ177,'6.Inland wetlands'!CK177)</f>
        <v/>
      </c>
      <c r="N470" s="1044">
        <f>IF('Inl. wetlands'!$B470="Please select",0,(IF($B470=list!$E$218,INDEX(IPCC!$A$1800:$K$1811,MATCH(clim_moist,IPCC!$A$1800:$A$1811,0),MATCH(IPCC!$K$1800,IPCC!$A$1800:$K$1800,0)),IF($B470=list!$E$219,INDEX(IPCC!$A$1800:$K$1811,MATCH(clim_moist,IPCC!$A$1800:$A$1811,0),MATCH(IPCC!$K$1800,IPCC!$A$1800:$K$1800,0))))))</f>
        <v/>
      </c>
      <c r="O470" s="1104">
        <f>IF('6.Inland wetlands'!CN177="",'6.Inland wetlands'!CM177,'6.Inland wetlands'!CN177)</f>
        <v/>
      </c>
      <c r="P470" s="1111">
        <f>IF(B470="Please select",0,IF($B470=list!$E$218,INDEX(IPCC!$A$1854:$K$1865,MATCH(clim_moist,IPCC!$A$1854:$A$1865,0),MATCH(IPCC!$K$1854,IPCC!$A$1854:$K$1854,0)),IF($B470=list!$E$219,INDEX(IPCC!$A$1854:$K$1865,MATCH(clim_moist,IPCC!$A$1854:$A$1865,0),MATCH(IPCC!$K$1854,IPCC!$A$1854:$K$1854,0)))))</f>
        <v/>
      </c>
      <c r="Q470" s="1161">
        <f>IF('6.Inland wetlands'!CP177="",'6.Inland wetlands'!CO177,'6.Inland wetlands'!CP177)</f>
        <v/>
      </c>
      <c r="R470" s="3493">
        <f>$I470*44/12*$C470</f>
        <v/>
      </c>
      <c r="S470" s="3493">
        <f>$I470*44/12*$C470</f>
        <v/>
      </c>
      <c r="T470" s="3493">
        <f>$I470*44/12*$F470</f>
        <v/>
      </c>
      <c r="U470" s="3493">
        <f>$K470*methane/1000*$C470*(1-'6.Inland wetlands'!S178)</f>
        <v/>
      </c>
      <c r="V470" s="3493">
        <f>$K470*methane/1000*$D470*(1-'6.Inland wetlands'!T178)</f>
        <v/>
      </c>
      <c r="W470" s="3493">
        <f>$K470*methane/1000*$F470*(1-'6.Inland wetlands'!U178)</f>
        <v/>
      </c>
      <c r="X470" s="3493">
        <f>$M470*44/28*Nitrous/1000*$C470</f>
        <v/>
      </c>
      <c r="Y470" s="3493">
        <f>$M470*44/28*Nitrous/1000*$D470</f>
        <v/>
      </c>
      <c r="Z470" s="3493">
        <f>$M470*44/28*Nitrous/1000*$F470</f>
        <v/>
      </c>
      <c r="AA470" s="3493">
        <f>$O470*44/12*$C470</f>
        <v/>
      </c>
      <c r="AB470" s="3493">
        <f>$O470*44/12*$C470</f>
        <v/>
      </c>
      <c r="AC470" s="3493">
        <f>$O470*44/12*$F470</f>
        <v/>
      </c>
      <c r="AD470" s="3493">
        <f>$Q470*methane/1000*$C470*'6.Inland wetlands'!S178</f>
        <v/>
      </c>
      <c r="AE470" s="3493">
        <f>$Q470*methane/1000*$D470*'6.Inland wetlands'!T178</f>
        <v/>
      </c>
      <c r="AF470" s="3493">
        <f>$Q470*methane/1000*$F470*'6.Inland wetlands'!U178</f>
        <v/>
      </c>
      <c r="BK470" s="1262" t="inlineStr">
        <is>
          <t>GHG PER SCENARIO</t>
        </is>
      </c>
      <c r="BL470" s="3489" t="n"/>
      <c r="BM470" s="3489" t="n"/>
      <c r="BP470" s="1262" t="inlineStr">
        <is>
          <t>TOTAL BALANCE</t>
        </is>
      </c>
      <c r="BQ470" s="3489" t="n"/>
      <c r="BR470" s="3489" t="n"/>
      <c r="BS470" s="3489" t="n"/>
    </row>
    <row r="471">
      <c r="B471" s="973">
        <f>'6.Inland wetlands'!I179</f>
        <v/>
      </c>
      <c r="C471" s="992">
        <f>'6.Inland wetlands'!M179</f>
        <v/>
      </c>
      <c r="D471" s="992">
        <f>'6.Inland wetlands'!N179</f>
        <v/>
      </c>
      <c r="E471" s="992">
        <f>VLOOKUP('6.Inland wetlands'!O179,list!$I$48:$J$50,2,FALSE )</f>
        <v/>
      </c>
      <c r="F471" s="992">
        <f>'6.Inland wetlands'!P179</f>
        <v/>
      </c>
      <c r="G471" s="992">
        <f>VLOOKUP('6.Inland wetlands'!Q179,list!$I$48:$J$50,2,FALSE )</f>
        <v/>
      </c>
      <c r="H471" s="1044">
        <f>IF($B471="Please select",0,IF($B471=list!$E$218,INDEX(IPCC!$A$1762:$K$1773,MATCH(clim_moist,IPCC!$A$1781:$A$1792,0),MATCH(IPCC!$K$1762,IPCC!$A$1781:$K$1781,0)),IF('Inl. wetlands'!$B471=list!$E$219,INDEX(IPCC!$A$1781:$K$1792,MATCH(clim_moist,IPCC!$A$1781:$A$1792,0),MATCH(IPCC!$K$1762,IPCC!$A$1781:$K$1781,0)))))</f>
        <v/>
      </c>
      <c r="I471" s="1104">
        <f>IF('6.Inland wetlands'!CG178="",'6.Inland wetlands'!CF178,'6.Inland wetlands'!CG178)</f>
        <v/>
      </c>
      <c r="J471" s="1044">
        <f>IF(B471="Please select",0,(IF($B471=list!$E$218,INDEX(IPCC!$A$1818:$K$1829,MATCH(clim_moist,IPCC!$A$1818:$A$1829,0),MATCH(IPCC!$K$1836,IPCC!$A$1818:$K$1818,0)),IF($B471=list!$E$219,INDEX(IPCC!$A$1836:$K$1847,MATCH(clim_moist,IPCC!$A$1836:$A$1847,0),MATCH(IPCC!$K$1836,IPCC!$A$1836:$K$1836,0))))))</f>
        <v/>
      </c>
      <c r="K471" s="1104">
        <f>IF('6.Inland wetlands'!CI178="",'6.Inland wetlands'!CH178,'6.Inland wetlands'!CI178)</f>
        <v/>
      </c>
      <c r="L471" s="1044">
        <f>IF('Inl. wetlands'!$B471="Please select",0,IF($B471=list!$E$218,INDEX(IPCC!$A$1872:$K$1883,MATCH(clim_moist,IPCC!$A$1872:$A$1883,0),MATCH(IPCC!$K$1818,IPCC!$A$1872:$K$1872,0)),IF('Inl. wetlands'!$B471=list!$E$219,INDEX(IPCC!$A$1890:$K$1901,MATCH(clim_moist,IPCC!$A$1890:$A$1901,0),MATCH(IPCC!$K$1818,IPCC!$A$1890:$K$1890,0)))))</f>
        <v/>
      </c>
      <c r="M471" s="1104">
        <f>IF('6.Inland wetlands'!CK178="",'6.Inland wetlands'!CJ178,'6.Inland wetlands'!CK178)</f>
        <v/>
      </c>
      <c r="N471" s="1044">
        <f>IF('Inl. wetlands'!$B471="Please select",0,(IF($B471=list!$E$218,INDEX(IPCC!$A$1800:$K$1811,MATCH(clim_moist,IPCC!$A$1800:$A$1811,0),MATCH(IPCC!$K$1800,IPCC!$A$1800:$K$1800,0)),IF($B471=list!$E$219,INDEX(IPCC!$A$1800:$K$1811,MATCH(clim_moist,IPCC!$A$1800:$A$1811,0),MATCH(IPCC!$K$1800,IPCC!$A$1800:$K$1800,0))))))</f>
        <v/>
      </c>
      <c r="O471" s="1104">
        <f>IF('6.Inland wetlands'!CN178="",'6.Inland wetlands'!CM178,'6.Inland wetlands'!CN178)</f>
        <v/>
      </c>
      <c r="P471" s="1111">
        <f>IF(B471="Please select",0,IF($B471=list!$E$218,INDEX(IPCC!$A$1854:$K$1865,MATCH(clim_moist,IPCC!$A$1854:$A$1865,0),MATCH(IPCC!$K$1854,IPCC!$A$1854:$K$1854,0)),IF($B471=list!$E$219,INDEX(IPCC!$A$1854:$K$1865,MATCH(clim_moist,IPCC!$A$1854:$A$1865,0),MATCH(IPCC!$K$1854,IPCC!$A$1854:$K$1854,0)))))</f>
        <v/>
      </c>
      <c r="Q471" s="1161">
        <f>IF('6.Inland wetlands'!CP178="",'6.Inland wetlands'!CO178,'6.Inland wetlands'!CP178)</f>
        <v/>
      </c>
      <c r="R471" s="3493">
        <f>$I471*44/12*$C471</f>
        <v/>
      </c>
      <c r="S471" s="3493">
        <f>$I471*44/12*$C471</f>
        <v/>
      </c>
      <c r="T471" s="3493">
        <f>$I471*44/12*$F471</f>
        <v/>
      </c>
      <c r="U471" s="3493">
        <f>$K471*methane/1000*$C471*(1-'6.Inland wetlands'!S179)</f>
        <v/>
      </c>
      <c r="V471" s="3493">
        <f>$K471*methane/1000*$D471*(1-'6.Inland wetlands'!T179)</f>
        <v/>
      </c>
      <c r="W471" s="3493">
        <f>$K471*methane/1000*$F471*(1-'6.Inland wetlands'!U179)</f>
        <v/>
      </c>
      <c r="X471" s="3493">
        <f>$M471*44/28*Nitrous/1000*$C471</f>
        <v/>
      </c>
      <c r="Y471" s="3493">
        <f>$M471*44/28*Nitrous/1000*$D471</f>
        <v/>
      </c>
      <c r="Z471" s="3493">
        <f>$M471*44/28*Nitrous/1000*$F471</f>
        <v/>
      </c>
      <c r="AA471" s="3493">
        <f>$O471*44/12*$C471</f>
        <v/>
      </c>
      <c r="AB471" s="3493">
        <f>$O471*44/12*$C471</f>
        <v/>
      </c>
      <c r="AC471" s="3493">
        <f>$O471*44/12*$F471</f>
        <v/>
      </c>
      <c r="AD471" s="3493">
        <f>$Q471*methane/1000*$C471*'6.Inland wetlands'!S179</f>
        <v/>
      </c>
      <c r="AE471" s="3493">
        <f>$Q471*methane/1000*$D471*'6.Inland wetlands'!T179</f>
        <v/>
      </c>
      <c r="AF471" s="3493">
        <f>$Q471*methane/1000*$F471*'6.Inland wetlands'!U179</f>
        <v/>
      </c>
    </row>
    <row r="472">
      <c r="P472" s="1165" t="n"/>
      <c r="Q472" s="1001" t="n"/>
      <c r="R472" s="3501" t="n"/>
      <c r="S472" s="3501" t="n"/>
      <c r="T472" s="3501" t="n"/>
      <c r="U472" s="3501" t="n"/>
      <c r="V472" s="3501" t="n"/>
      <c r="W472" s="3501" t="n"/>
      <c r="X472" s="3501" t="n"/>
      <c r="Y472" s="3501" t="n"/>
      <c r="Z472" s="3501" t="n"/>
      <c r="AA472" s="3501" t="n"/>
      <c r="AB472" s="3501" t="n"/>
      <c r="AC472" s="3501" t="n"/>
      <c r="AD472" s="3501" t="n"/>
      <c r="AE472" s="3501" t="n"/>
      <c r="AF472" s="3501" t="n"/>
      <c r="BK472" s="1321" t="inlineStr">
        <is>
          <t>CATEGORIES</t>
        </is>
      </c>
      <c r="BL472" s="1317" t="inlineStr">
        <is>
          <t>WITHOUT</t>
        </is>
      </c>
      <c r="BM472" s="1317" t="inlineStr">
        <is>
          <t>WITH</t>
        </is>
      </c>
      <c r="BP472" s="1321" t="inlineStr">
        <is>
          <t>CATEGORIES</t>
        </is>
      </c>
      <c r="BQ472" s="1317" t="inlineStr">
        <is>
          <t>BALANCE</t>
        </is>
      </c>
      <c r="BR472" s="1317" t="inlineStr">
        <is>
          <t>IMPLEM.</t>
        </is>
      </c>
      <c r="BS472" s="1318" t="inlineStr">
        <is>
          <t>CAPITAL.</t>
        </is>
      </c>
      <c r="BT472" s="1454" t="n"/>
    </row>
    <row r="473">
      <c r="A473" s="1688" t="n"/>
      <c r="V473" s="3501" t="n"/>
      <c r="W473" s="3501" t="n"/>
      <c r="X473" s="3501" t="n"/>
      <c r="Y473" s="3501" t="n"/>
      <c r="Z473" s="3501" t="n"/>
      <c r="AA473" s="3501" t="n"/>
      <c r="AB473" s="3501" t="n"/>
      <c r="AC473" s="3501" t="n"/>
      <c r="AD473" s="3501" t="n"/>
      <c r="AE473" s="3501" t="n"/>
      <c r="AF473" s="3501" t="n"/>
      <c r="AX473" s="1271" t="inlineStr">
        <is>
          <t>ON SITE DRAINAGE</t>
        </is>
      </c>
      <c r="BD473" s="1271" t="inlineStr">
        <is>
          <t>OFF SITE DRAINAGE</t>
        </is>
      </c>
      <c r="BK473" s="1084" t="inlineStr">
        <is>
          <t>CO2 biomass</t>
        </is>
      </c>
      <c r="BL473" s="1312" t="n">
        <v>0</v>
      </c>
      <c r="BM473" s="1312" t="n">
        <v>0</v>
      </c>
      <c r="BN473" s="992">
        <f>BM473-BL473</f>
        <v/>
      </c>
      <c r="BP473" s="1084">
        <f>BK473</f>
        <v/>
      </c>
      <c r="BQ473" s="1453" t="n">
        <v>0</v>
      </c>
      <c r="BR473" s="1312" t="n">
        <v>0</v>
      </c>
      <c r="BS473" s="1453" t="n">
        <v>0</v>
      </c>
      <c r="BT473" s="1455">
        <f>SUM(BR473:BS473)</f>
        <v/>
      </c>
    </row>
    <row r="474" ht="16" customHeight="1">
      <c r="A474" s="1688" t="n"/>
      <c r="AB474" s="1271" t="inlineStr">
        <is>
          <t>DRAINAGE EMISSIONS</t>
        </is>
      </c>
      <c r="AC474" s="1264" t="n"/>
      <c r="AD474" s="1264" t="n"/>
      <c r="AE474" s="1264" t="n"/>
      <c r="AF474" s="1264" t="n"/>
      <c r="AG474" s="1264" t="n"/>
      <c r="AI474" s="1270" t="inlineStr">
        <is>
          <t>Total emissions tCO2eq</t>
        </is>
      </c>
      <c r="AJ474" s="1116" t="n"/>
      <c r="AK474" s="1116" t="n"/>
      <c r="AX474" s="1450" t="inlineStr">
        <is>
          <t>CO2</t>
        </is>
      </c>
      <c r="AY474" s="1450" t="n"/>
      <c r="AZ474" s="1450" t="inlineStr">
        <is>
          <t>CH4</t>
        </is>
      </c>
      <c r="BA474" s="1450" t="n"/>
      <c r="BB474" s="1450" t="inlineStr">
        <is>
          <t>N2O</t>
        </is>
      </c>
      <c r="BC474" s="1450" t="n"/>
      <c r="BD474" s="1450" t="inlineStr">
        <is>
          <t>DOC</t>
        </is>
      </c>
      <c r="BE474" s="1450" t="n"/>
      <c r="BF474" s="1450" t="inlineStr">
        <is>
          <t>CH4</t>
        </is>
      </c>
      <c r="BG474" s="1450" t="n"/>
      <c r="BK474" s="1084" t="inlineStr">
        <is>
          <t>CO2 soil drainage</t>
        </is>
      </c>
      <c r="BL474" s="1314">
        <f>AB478+AI488</f>
        <v/>
      </c>
      <c r="BM474" s="1314">
        <f>AC478+AJ488</f>
        <v/>
      </c>
      <c r="BN474" s="992">
        <f>BM474-BL474</f>
        <v/>
      </c>
      <c r="BP474" s="1084">
        <f>BK474</f>
        <v/>
      </c>
      <c r="BQ474" s="1453">
        <f>BM474-BL474</f>
        <v/>
      </c>
      <c r="BR474" s="1312">
        <f>IF(time=0,0,SUM(AY477:AY480,BE477:BE480)-SUM(BD477:BD480,AX477:AX480)+SUM(AY490:AY493)-SUM(AX490:AX493))</f>
        <v/>
      </c>
      <c r="BS474" s="1453">
        <f>BQ474-BR474</f>
        <v/>
      </c>
      <c r="BT474" s="1455">
        <f>SUM(BR474:BS474)</f>
        <v/>
      </c>
    </row>
    <row r="475" ht="16" customHeight="1">
      <c r="AB475" s="1271" t="inlineStr">
        <is>
          <t>Emissions in tCO2eq All period</t>
        </is>
      </c>
      <c r="AC475" s="1264" t="n"/>
      <c r="AD475" s="1264" t="n"/>
      <c r="AE475" s="1264" t="n"/>
      <c r="AF475" s="1264" t="n"/>
      <c r="AG475" s="1264" t="n"/>
      <c r="AI475" s="1270" t="inlineStr">
        <is>
          <t>ALL PERIOD</t>
        </is>
      </c>
      <c r="AJ475" s="1116" t="n"/>
      <c r="AK475" s="1116" t="n"/>
      <c r="AX475" s="1264" t="inlineStr">
        <is>
          <t>IMPLEMENTATION PHASE</t>
        </is>
      </c>
      <c r="AZ475" s="1264" t="inlineStr">
        <is>
          <t>IMPLEMENTATION PHASE</t>
        </is>
      </c>
      <c r="BB475" s="1264" t="inlineStr">
        <is>
          <t>IMPLEMENTATION PHASE</t>
        </is>
      </c>
      <c r="BD475" s="1264" t="inlineStr">
        <is>
          <t>IMPLEMENTATION PHASE</t>
        </is>
      </c>
      <c r="BF475" s="1264" t="inlineStr">
        <is>
          <t>IMPLEMENTATION PHASE</t>
        </is>
      </c>
      <c r="BK475" s="1084" t="inlineStr">
        <is>
          <t>CH4 soil drainage</t>
        </is>
      </c>
      <c r="BL475" s="1314">
        <f>SUM(AD478:AD481)</f>
        <v/>
      </c>
      <c r="BM475" s="1314">
        <f>SUM(AE478:AE481)</f>
        <v/>
      </c>
      <c r="BN475" s="992">
        <f>BM475-BL475</f>
        <v/>
      </c>
      <c r="BP475" s="1084">
        <f>BK475</f>
        <v/>
      </c>
      <c r="BQ475" s="1453">
        <f>BM475-BL475</f>
        <v/>
      </c>
      <c r="BR475" s="1312">
        <f>IF(time=0,0,SUM(BA477:BA480,BG477:BG480)-SUM(AZ477:AZ480,BF477:BF480))</f>
        <v/>
      </c>
      <c r="BS475" s="1453">
        <f>BQ475-BR475</f>
        <v/>
      </c>
      <c r="BT475" s="1455">
        <f>SUM(BR475:BS475)</f>
        <v/>
      </c>
    </row>
    <row r="476" ht="16" customHeight="1">
      <c r="E476" s="4026" t="inlineStr">
        <is>
          <t>drained areas</t>
        </is>
      </c>
      <c r="F476" s="4026">
        <f>SUMIF(R468:R471,"&gt;0",C468:C471)</f>
        <v/>
      </c>
      <c r="G476" s="4026">
        <f>SUMIF(S468:S471,"&gt;0",D468:D471)</f>
        <v/>
      </c>
      <c r="H476" s="4026">
        <f>SUMIF(T468:T471,"&gt;0",F468:F471)</f>
        <v/>
      </c>
      <c r="AB476" s="1264" t="inlineStr">
        <is>
          <t>CO2&amp;DOC</t>
        </is>
      </c>
      <c r="AC476" s="1264" t="n"/>
      <c r="AD476" s="1264" t="inlineStr">
        <is>
          <t>CH4</t>
        </is>
      </c>
      <c r="AE476" s="1264" t="n"/>
      <c r="AF476" s="1264" t="inlineStr">
        <is>
          <t>N2O</t>
        </is>
      </c>
      <c r="AG476" s="1264" t="n"/>
      <c r="AI476" s="1270" t="inlineStr">
        <is>
          <t>DRAINAGE</t>
        </is>
      </c>
      <c r="AJ476" s="1116" t="n"/>
      <c r="AK476" s="1116" t="n"/>
      <c r="AX476" s="1272" t="inlineStr">
        <is>
          <t>WITHOUT</t>
        </is>
      </c>
      <c r="AY476" s="1272" t="inlineStr">
        <is>
          <t>WITH</t>
        </is>
      </c>
      <c r="AZ476" s="1272" t="inlineStr">
        <is>
          <t>WITHOUT</t>
        </is>
      </c>
      <c r="BA476" s="1272" t="inlineStr">
        <is>
          <t>WITH</t>
        </is>
      </c>
      <c r="BB476" s="1272" t="inlineStr">
        <is>
          <t>WITHOUT</t>
        </is>
      </c>
      <c r="BC476" s="1272" t="inlineStr">
        <is>
          <t>WITH</t>
        </is>
      </c>
      <c r="BD476" s="1272" t="inlineStr">
        <is>
          <t>WITHOUT</t>
        </is>
      </c>
      <c r="BE476" s="1272" t="inlineStr">
        <is>
          <t>WITH</t>
        </is>
      </c>
      <c r="BF476" s="1272" t="inlineStr">
        <is>
          <t>WITHOUT</t>
        </is>
      </c>
      <c r="BG476" s="1272" t="inlineStr">
        <is>
          <t>WITH</t>
        </is>
      </c>
      <c r="BK476" s="1084" t="inlineStr">
        <is>
          <t>N2O soil drainage</t>
        </is>
      </c>
      <c r="BL476" s="1314">
        <f>SUM(AF478:AF481)</f>
        <v/>
      </c>
      <c r="BM476" s="1314">
        <f>SUM(AG478:AG481)</f>
        <v/>
      </c>
      <c r="BN476" s="992">
        <f>BM476-BL476</f>
        <v/>
      </c>
      <c r="BP476" s="1084">
        <f>BK476</f>
        <v/>
      </c>
      <c r="BQ476" s="1453">
        <f>BM476-BL476</f>
        <v/>
      </c>
      <c r="BR476" s="1312">
        <f>IF(time=0,0,SUM(BC477:BC480)-SUM(BB477:BB480))</f>
        <v/>
      </c>
      <c r="BS476" s="1453">
        <f>BQ476-BR476</f>
        <v/>
      </c>
      <c r="BT476" s="1455">
        <f>SUM(BR476:BS476)</f>
        <v/>
      </c>
    </row>
    <row r="477">
      <c r="AB477" s="1102" t="inlineStr">
        <is>
          <t>Without</t>
        </is>
      </c>
      <c r="AC477" s="1103" t="inlineStr">
        <is>
          <t>With</t>
        </is>
      </c>
      <c r="AD477" s="1102" t="inlineStr">
        <is>
          <t>Without</t>
        </is>
      </c>
      <c r="AE477" s="1103" t="inlineStr">
        <is>
          <t>With</t>
        </is>
      </c>
      <c r="AF477" s="1102" t="inlineStr">
        <is>
          <t>Without</t>
        </is>
      </c>
      <c r="AG477" s="1103" t="inlineStr">
        <is>
          <t>With</t>
        </is>
      </c>
      <c r="AI477" s="1102" t="inlineStr">
        <is>
          <t>WITHOUT</t>
        </is>
      </c>
      <c r="AJ477" s="1103" t="inlineStr">
        <is>
          <t>WITH</t>
        </is>
      </c>
      <c r="AK477" s="1104" t="inlineStr">
        <is>
          <t>BALANCE</t>
        </is>
      </c>
      <c r="AX477" s="1449">
        <f>MIN($R468,$S468)*time+ABS($S468-$R468)*IF($S468&gt;$R468,time*(VLOOKUP($E468,list!$J$48:$K$50,2,0)),time*(1-(VLOOKUP($E468,list!$J$48:$K$50,2,0))))</f>
        <v/>
      </c>
      <c r="AY477" s="1449">
        <f>MIN($R468,$T468)*time+ABS($T468-$R468)*IF($T468&gt;$R468,time*(VLOOKUP($G468,list!$J$48:$K$50,2,0)),time*(1-(VLOOKUP($G468,list!$J$48:$K$50,2,0))))</f>
        <v/>
      </c>
      <c r="AZ477" s="1449">
        <f>MIN($U468,$V468)*time+ABS($V468-$U468)*IF($V468&gt;$U468,time*(VLOOKUP($E468,list!$J$48:$K$50,2,0)),time*(1-(VLOOKUP($E468,list!$J$48:$K$50,2,0))))</f>
        <v/>
      </c>
      <c r="BA477" s="1449">
        <f>MIN($X468,$Y468)*time+ABS($Y468-$X468)*IF($Y468&gt;$X468,time*(VLOOKUP($G468,list!$J$48:$K$50,2,0)),time*(1-(VLOOKUP($G468,list!$J$48:$K$50,2,0))))</f>
        <v/>
      </c>
      <c r="BB477" s="1449">
        <f>MIN($X468,$Y468)*time+ABS($Y468-$X468)*IF($Y468&gt;$X468,time*(VLOOKUP($E468,list!$J$48:$K$50,2,0)),time*(1-(VLOOKUP($E468,list!$J$48:$K$50,2,0))))</f>
        <v/>
      </c>
      <c r="BC477" s="1449">
        <f>MIN($X468,$Z468)*time+ABS($Z468-$X468)*IF($Z468&gt;$X468,time*(VLOOKUP($G468,list!$J$48:$K$50,2,0)),time*(1-(VLOOKUP($G468,list!$J$48:$K$50,2,0))))</f>
        <v/>
      </c>
      <c r="BD477" s="1449">
        <f>MIN($AA468,$AB468)*time+ABS($AB468-$AA468)*IF($AB468&gt;$AA468,time*(VLOOKUP($E468,list!$J$48:$K$50,2,0)),time*(1-(VLOOKUP($E468,list!$J$48:$K$50,2,0))))</f>
        <v/>
      </c>
      <c r="BE477" s="1449">
        <f>MIN($AA468,$AC468)*time+ABS($AC468-$AA468)*IF($AC468&gt;$AA468,time*(VLOOKUP($G468,list!$J$48:$K$50,2,0)),time*(1-(VLOOKUP($G468,list!$J$48:$K$50,2,0))))</f>
        <v/>
      </c>
      <c r="BF477" s="1449">
        <f>MIN($AD468,$AE468)*time+ABS($AE468-$AD468)*IF($AE468&gt;$AD468,time*(VLOOKUP($E468,list!$J$48:$K$50,2,0)),time*(1-(VLOOKUP($E468,list!$J$48:$K$50,2,0))))</f>
        <v/>
      </c>
      <c r="BG477" s="1449">
        <f>MIN($AD468,$AF468)*time+ABS($AF468-$AD468)*IF($AF468&gt;$AD468,time*(VLOOKUP($G468,list!$J$48:$K$50,2,0)),time*(1-(VLOOKUP($G468,list!$J$48:$K$50,2,0))))</f>
        <v/>
      </c>
      <c r="BK477" s="1084" t="inlineStr">
        <is>
          <t>CO2 soil rewetting</t>
        </is>
      </c>
      <c r="BL477" s="1314" t="n">
        <v>0</v>
      </c>
      <c r="BM477" s="1314" t="n">
        <v>0</v>
      </c>
      <c r="BN477" s="992">
        <f>BM477-BL477</f>
        <v/>
      </c>
      <c r="BP477" s="1084">
        <f>BK477</f>
        <v/>
      </c>
      <c r="BQ477" s="1453">
        <f>BM477-BL477</f>
        <v/>
      </c>
      <c r="BR477" s="1312" t="n">
        <v>0</v>
      </c>
      <c r="BS477" s="1453">
        <f>BQ477-BR477</f>
        <v/>
      </c>
      <c r="BT477" s="1455">
        <f>SUM(BR477:BS477)</f>
        <v/>
      </c>
    </row>
    <row r="478">
      <c r="AB478" s="3493">
        <f>MIN(SUM($R468,$AA468),SUM($S468,$AB468))*time_tot+ABS(SUM($AB468,$S468)-SUM($AA468,$R468))*IF(SUM($AB468,$S468)&gt;SUM($AA468,$R468),time_cap+time*(VLOOKUP($E468,list!$J$48:$K$50,2,0)),time*(1-(VLOOKUP($E468,list!$J$48:$K$50,2,0))))</f>
        <v/>
      </c>
      <c r="AC478" s="3493">
        <f>MIN(SUM($R468,$AA468),SUM($T468,$AC468))*time_tot+ABS(SUM($AC468,$T468)-SUM($AA468,$R468))*IF(SUM($AC468,$T468)&gt;SUM($AA468,$R468),time_cap+time*(VLOOKUP($G468,list!$J$48:$K$50,2,0)),time*(1-(VLOOKUP($G468,list!$J$48:$K$50,2,0))))</f>
        <v/>
      </c>
      <c r="AD478" s="3493">
        <f>MIN(SUM($U468,$AD468),SUM($V468,$AE468))*time_tot+ABS(SUM($AE468,$V468)-SUM($AD468,$U468))*IF(SUM($AE468,$V468)&gt;SUM($AD468,$U468),time_cap+time*(VLOOKUP($E468,list!$J$48:$K$50,2,0)),time*(1-(VLOOKUP($E468,list!$J$48:$K$50,2,0))))</f>
        <v/>
      </c>
      <c r="AE478" s="3493">
        <f>MIN(SUM($U468,$AD468),SUM($W468,$AF468))*time_tot+ABS(SUM($AF468,$W468)-SUM($AD468,$U468))*IF(SUM($AF468,$W468)&gt;SUM($AD468,$U468),time_cap+time*(VLOOKUP($G468,list!$J$48:$K$50,2,0)),time*(1-(VLOOKUP($G468,list!$J$48:$K$50,2,0))))</f>
        <v/>
      </c>
      <c r="AF478" s="3493">
        <f>MIN($X468,$Y468)*time_tot+ABS($Y468-$X468)*IF($Y468&gt;$X468,time_cap+time*(VLOOKUP($E468,list!$J$48:$K$50,2,0)),time*(1-(VLOOKUP($E468,list!$J$48:$K$50,2,0))))</f>
        <v/>
      </c>
      <c r="AG478" s="3493">
        <f>MIN($X468,$Z468)*time_tot+ABS($Z468-$X468)*IF($Z468&gt;$X468,time_cap+time*(VLOOKUP($G468,list!$J$48:$K$50,2,0)),time*(1-(VLOOKUP($G468,list!$J$48:$K$50,2,0))))</f>
        <v/>
      </c>
      <c r="AI478" s="3495">
        <f>SUM(AB478,AD478,AF478)</f>
        <v/>
      </c>
      <c r="AJ478" s="3495">
        <f>SUM(AC478,AE478,AG478)</f>
        <v/>
      </c>
      <c r="AK478" s="1160">
        <f>AJ478-AI478</f>
        <v/>
      </c>
      <c r="AX478" s="1449">
        <f>MIN($R469,$S469)*time+ABS($S469-$R469)*IF($S469&gt;$R469,time*(VLOOKUP($E469,list!$J$48:$K$50,2,0)),time*(1-(VLOOKUP($E469,list!$J$48:$K$50,2,0))))</f>
        <v/>
      </c>
      <c r="AY478" s="1449">
        <f>MIN($R469,$T469)*time+ABS($T469-$R469)*IF($T469&gt;$R469,time*(VLOOKUP($G469,list!$J$48:$K$50,2,0)),time*(1-(VLOOKUP($G469,list!$J$48:$K$50,2,0))))</f>
        <v/>
      </c>
      <c r="AZ478" s="1449">
        <f>MIN($U469,$V469)*time+ABS($V469-$U469)*IF($V469&gt;$U469,time*(VLOOKUP($E469,list!$J$48:$K$50,2,0)),time*(1-(VLOOKUP($E469,list!$J$48:$K$50,2,0))))</f>
        <v/>
      </c>
      <c r="BA478" s="1449">
        <f>MIN($X469,$Y469)*time+ABS($Y469-$X469)*IF($Y469&gt;$X469,time*(VLOOKUP($G469,list!$J$48:$K$50,2,0)),time*(1-(VLOOKUP($G469,list!$J$48:$K$50,2,0))))</f>
        <v/>
      </c>
      <c r="BB478" s="1449">
        <f>MIN($X469,$Y469)*time+ABS($Y469-$X469)*IF($Y469&gt;$X469,time*(VLOOKUP($E469,list!$J$48:$K$50,2,0)),time*(1-(VLOOKUP($E469,list!$J$48:$K$50,2,0))))</f>
        <v/>
      </c>
      <c r="BC478" s="1449">
        <f>MIN($X469,$Z469)*time+ABS($Z469-$X469)*IF($Z469&gt;$X469,time*(VLOOKUP($G469,list!$J$48:$K$50,2,0)),time*(1-(VLOOKUP($G469,list!$J$48:$K$50,2,0))))</f>
        <v/>
      </c>
      <c r="BD478" s="1449">
        <f>MIN($AA469,$AB469)*time+ABS($AB469-$AA469)*IF($AB469&gt;$AA469,time*(VLOOKUP($E469,list!$J$48:$K$50,2,0)),time*(1-(VLOOKUP($E469,list!$J$48:$K$50,2,0))))</f>
        <v/>
      </c>
      <c r="BE478" s="1449">
        <f>MIN($AA469,$AC469)*time+ABS($AC469-$AA469)*IF($AC469&gt;$AA469,time*(VLOOKUP($G469,list!$J$48:$K$50,2,0)),time*(1-(VLOOKUP($G469,list!$J$48:$K$50,2,0))))</f>
        <v/>
      </c>
      <c r="BF478" s="1449">
        <f>MIN($AD469,$AE469)*time+ABS($AE469-$AD469)*IF($AE469&gt;$AD469,time*(VLOOKUP($E469,list!$J$48:$K$50,2,0)),time*(1-(VLOOKUP($E469,list!$J$48:$K$50,2,0))))</f>
        <v/>
      </c>
      <c r="BG478" s="1449">
        <f>MIN($AD469,$AF469)*time+ABS($AF469-$AD469)*IF($AF469&gt;$AD469,time*(VLOOKUP($G469,list!$J$48:$K$50,2,0)),time*(1-(VLOOKUP($G469,list!$J$48:$K$50,2,0))))</f>
        <v/>
      </c>
      <c r="BK478" s="1084" t="inlineStr">
        <is>
          <t>CH4 soil rewetting</t>
        </is>
      </c>
      <c r="BL478" s="1314" t="n">
        <v>0</v>
      </c>
      <c r="BM478" s="1314" t="n">
        <v>0</v>
      </c>
      <c r="BN478" s="992">
        <f>BM478-BL478</f>
        <v/>
      </c>
      <c r="BP478" s="1084">
        <f>BK478</f>
        <v/>
      </c>
      <c r="BQ478" s="1453">
        <f>BM478-BL478</f>
        <v/>
      </c>
      <c r="BR478" s="1312" t="n">
        <v>0</v>
      </c>
      <c r="BS478" s="1453">
        <f>BQ478-BR478</f>
        <v/>
      </c>
      <c r="BT478" s="1455">
        <f>SUM(BR478:BS478)</f>
        <v/>
      </c>
    </row>
    <row r="479">
      <c r="AB479" s="3493">
        <f>MIN(SUM($R469,$AA469),SUM($S469,$AB469))*time_tot+ABS(SUM($AB469,$S469)-SUM($AA469,$R469))*IF(SUM($AB469,$S469)&gt;SUM($AA469,$R469),time_cap+time*(VLOOKUP($E469,list!$J$48:$K$50,2,0)),time*(1-(VLOOKUP($E469,list!$J$48:$K$50,2,0))))</f>
        <v/>
      </c>
      <c r="AC479" s="3493">
        <f>MIN(SUM($R469,$AA469),SUM($T469,$AC469))*time_tot+ABS(SUM($AC469,$T469)-SUM($AA469,$R469))*IF(SUM($AC469,$T469)&gt;SUM($AA469,$R469),time_cap+time*(VLOOKUP($G469,list!$J$48:$K$50,2,0)),time*(1-(VLOOKUP($G469,list!$J$48:$K$50,2,0))))</f>
        <v/>
      </c>
      <c r="AD479" s="3493">
        <f>MIN(SUM($U469,$AD469),SUM($V469,$AE469))*time_tot+ABS(SUM($AE469,$V469)-SUM($AD469,$U469))*IF(SUM($AE469,$V469)&gt;SUM($AD469,$U469),time_cap+time*(VLOOKUP($E469,list!$J$48:$K$50,2,0)),time*(1-(VLOOKUP($E469,list!$J$48:$K$50,2,0))))</f>
        <v/>
      </c>
      <c r="AE479" s="3493">
        <f>MIN(SUM($U469,$AD469),SUM($W469,$AF469))*time_tot+ABS(SUM($AF469,$W469)-SUM($AD469,$U469))*IF(SUM($AF469,$W469)&gt;SUM($AD469,$U469),time_cap+time*(VLOOKUP($G469,list!$J$48:$K$50,2,0)),time*(1-(VLOOKUP($G469,list!$J$48:$K$50,2,0))))</f>
        <v/>
      </c>
      <c r="AF479" s="3493">
        <f>MIN($X469,$Y469)*time_tot+ABS($Y469-$X469)*IF($Y469&gt;$X469,time_cap+time*(VLOOKUP($E469,list!$J$48:$K$50,2,0)),time*(1-(VLOOKUP($E469,list!$J$48:$K$50,2,0))))</f>
        <v/>
      </c>
      <c r="AG479" s="3493">
        <f>MIN($X469,$Z469)*time_tot+ABS($Z469-$X469)*IF($Z469&gt;$X469,time_cap+time*(VLOOKUP($G469,list!$J$48:$K$50,2,0)),time*(1-(VLOOKUP($G469,list!$J$48:$K$50,2,0))))</f>
        <v/>
      </c>
      <c r="AI479" s="3495">
        <f>SUM(AB479,AD479,AF479)</f>
        <v/>
      </c>
      <c r="AJ479" s="3495">
        <f>SUM(AC479,AE479,AG479)</f>
        <v/>
      </c>
      <c r="AK479" s="3498">
        <f>AJ479-AI479</f>
        <v/>
      </c>
      <c r="AX479" s="1449">
        <f>MIN($R470,$S470)*time+ABS($S470-$R470)*IF($S470&gt;$R470,time*(VLOOKUP($E470,list!$J$48:$K$50,2,0)),time*(1-(VLOOKUP($E470,list!$J$48:$K$50,2,0))))</f>
        <v/>
      </c>
      <c r="AY479" s="1449">
        <f>MIN($R470,$T470)*time+ABS($T470-$R470)*IF($T470&gt;$R470,time*(VLOOKUP($G470,list!$J$48:$K$50,2,0)),time*(1-(VLOOKUP($G470,list!$J$48:$K$50,2,0))))</f>
        <v/>
      </c>
      <c r="AZ479" s="1449">
        <f>MIN($U470,$V470)*time+ABS($V470-$U470)*IF($V470&gt;$U470,time*(VLOOKUP($E470,list!$J$48:$K$50,2,0)),time*(1-(VLOOKUP($E470,list!$J$48:$K$50,2,0))))</f>
        <v/>
      </c>
      <c r="BA479" s="1449">
        <f>MIN($X470,$Y470)*time+ABS($Y470-$X470)*IF($Y470&gt;$X470,time*(VLOOKUP($G470,list!$J$48:$K$50,2,0)),time*(1-(VLOOKUP($G470,list!$J$48:$K$50,2,0))))</f>
        <v/>
      </c>
      <c r="BB479" s="1449">
        <f>MIN($X470,$Y470)*time+ABS($Y470-$X470)*IF($Y470&gt;$X470,time*(VLOOKUP($E470,list!$J$48:$K$50,2,0)),time*(1-(VLOOKUP($E470,list!$J$48:$K$50,2,0))))</f>
        <v/>
      </c>
      <c r="BC479" s="1449">
        <f>MIN($X470,$Z470)*time+ABS($Z470-$X470)*IF($Z470&gt;$X470,time*(VLOOKUP($G470,list!$J$48:$K$50,2,0)),time*(1-(VLOOKUP($G470,list!$J$48:$K$50,2,0))))</f>
        <v/>
      </c>
      <c r="BD479" s="1449">
        <f>MIN($AA470,$AB470)*time+ABS($AB470-$AA470)*IF($AB470&gt;$AA470,time*(VLOOKUP($E470,list!$J$48:$K$50,2,0)),time*(1-(VLOOKUP($E470,list!$J$48:$K$50,2,0))))</f>
        <v/>
      </c>
      <c r="BE479" s="1449">
        <f>MIN($AA470,$AC470)*time+ABS($AC470-$AA470)*IF($AC470&gt;$AA470,time*(VLOOKUP($G470,list!$J$48:$K$50,2,0)),time*(1-(VLOOKUP($G470,list!$J$48:$K$50,2,0))))</f>
        <v/>
      </c>
      <c r="BF479" s="1449">
        <f>MIN($AD470,$AE470)*time+ABS($AE470-$AD470)*IF($AE470&gt;$AD470,time*(VLOOKUP($E470,list!$J$48:$K$50,2,0)),time*(1-(VLOOKUP($E470,list!$J$48:$K$50,2,0))))</f>
        <v/>
      </c>
      <c r="BG479" s="1449">
        <f>MIN($AD470,$AF470)*time+ABS($AF470-$AD470)*IF($AF470&gt;$AD470,time*(VLOOKUP($G470,list!$J$48:$K$50,2,0)),time*(1-(VLOOKUP($G470,list!$J$48:$K$50,2,0))))</f>
        <v/>
      </c>
      <c r="BK479" s="1084" t="inlineStr">
        <is>
          <t>N2O soil rewetting</t>
        </is>
      </c>
      <c r="BL479" s="1314" t="n">
        <v>0</v>
      </c>
      <c r="BM479" s="1314" t="n">
        <v>0</v>
      </c>
      <c r="BN479" s="992">
        <f>BM479-BL479</f>
        <v/>
      </c>
      <c r="BP479" s="1084">
        <f>BK479</f>
        <v/>
      </c>
      <c r="BQ479" s="1453">
        <f>BM479-BL479</f>
        <v/>
      </c>
      <c r="BR479" s="1312" t="n">
        <v>0</v>
      </c>
      <c r="BS479" s="1453">
        <f>BQ479-BR479</f>
        <v/>
      </c>
      <c r="BT479" s="1455">
        <f>SUM(BR479:BS479)</f>
        <v/>
      </c>
    </row>
    <row r="480">
      <c r="AB480" s="3493">
        <f>MIN(SUM($R470,$AA470),SUM($S470,$AB470))*time_tot+ABS(SUM($AB470,$S470)-SUM($AA470,$R470))*IF(SUM($AB470,$S470)&gt;SUM($AA470,$R470),time_cap+time*(VLOOKUP($E470,list!$J$48:$K$50,2,0)),time*(1-(VLOOKUP($E470,list!$J$48:$K$50,2,0))))</f>
        <v/>
      </c>
      <c r="AC480" s="3493">
        <f>MIN(SUM($R470,$AA470),SUM($T470,$AC470))*time_tot+ABS(SUM($AC470,$T470)-SUM($AA470,$R470))*IF(SUM($AC470,$T470)&gt;SUM($AA470,$R470),time_cap+time*(VLOOKUP($G470,list!$J$48:$K$50,2,0)),time*(1-(VLOOKUP($G470,list!$J$48:$K$50,2,0))))</f>
        <v/>
      </c>
      <c r="AD480" s="3493">
        <f>MIN(SUM($U470,$AD470),SUM($V470,$AE470))*time_tot+ABS(SUM($AE470,$V470)-SUM($AD470,$U470))*IF(SUM($AE470,$V470)&gt;SUM($AD470,$U470),time_cap+time*(VLOOKUP($E470,list!$J$48:$K$50,2,0)),time*(1-(VLOOKUP($E470,list!$J$48:$K$50,2,0))))</f>
        <v/>
      </c>
      <c r="AE480" s="3493">
        <f>MIN(SUM($U470,$AD470),SUM($W470,$AF470))*time_tot+ABS(SUM($AF470,$W470)-SUM($AD470,$U470))*IF(SUM($AF470,$W470)&gt;SUM($AD470,$U470),time_cap+time*(VLOOKUP($G470,list!$J$48:$K$50,2,0)),time*(1-(VLOOKUP($G470,list!$J$48:$K$50,2,0))))</f>
        <v/>
      </c>
      <c r="AF480" s="3493">
        <f>MIN($X470,$Y470)*time_tot+ABS($Y470-$X470)*IF($Y470&gt;$X470,time_cap+time*(VLOOKUP($E470,list!$J$48:$K$50,2,0)),time*(1-(VLOOKUP($E470,list!$J$48:$K$50,2,0))))</f>
        <v/>
      </c>
      <c r="AG480" s="3493">
        <f>MIN($X470,$Z470)*time_tot+ABS($Z470-$X470)*IF($Z470&gt;$X470,time_cap+time*(VLOOKUP($G470,list!$J$48:$K$50,2,0)),time*(1-(VLOOKUP($G470,list!$J$48:$K$50,2,0))))</f>
        <v/>
      </c>
      <c r="AI480" s="3495">
        <f>SUM(AB480,AD480,AF480)</f>
        <v/>
      </c>
      <c r="AJ480" s="3495">
        <f>SUM(AC480,AE480,AG480)</f>
        <v/>
      </c>
      <c r="AK480" s="1159">
        <f>AJ480-AI480</f>
        <v/>
      </c>
      <c r="AX480" s="1449">
        <f>MIN($R471,$S471)*time+ABS($S471-$R471)*IF($S471&gt;$R471,time*(VLOOKUP($E471,list!$J$48:$K$50,2,0)),time*(1-(VLOOKUP($E471,list!$J$48:$K$50,2,0))))</f>
        <v/>
      </c>
      <c r="AY480" s="1449">
        <f>MIN($R471,$T471)*time+ABS($T471-$R471)*IF($T471&gt;$R471,time*(VLOOKUP($G471,list!$J$48:$K$50,2,0)),time*(1-(VLOOKUP($G471,list!$J$48:$K$50,2,0))))</f>
        <v/>
      </c>
      <c r="AZ480" s="1449">
        <f>MIN($U471,$V471)*time+ABS($V471-$U471)*IF($V471&gt;$U471,time*(VLOOKUP($E471,list!$J$48:$K$50,2,0)),time*(1-(VLOOKUP($E471,list!$J$48:$K$50,2,0))))</f>
        <v/>
      </c>
      <c r="BA480" s="1449">
        <f>MIN($X471,$Y471)*time+ABS($Y471-$X471)*IF($Y471&gt;$X471,time*(VLOOKUP($G471,list!$J$48:$K$50,2,0)),time*(1-(VLOOKUP($G471,list!$J$48:$K$50,2,0))))</f>
        <v/>
      </c>
      <c r="BB480" s="1449">
        <f>MIN($X471,$Y471)*time+ABS($Y471-$X471)*IF($Y471&gt;$X471,time*(VLOOKUP($E471,list!$J$48:$K$50,2,0)),time*(1-(VLOOKUP($E471,list!$J$48:$K$50,2,0))))</f>
        <v/>
      </c>
      <c r="BC480" s="1449">
        <f>MIN($X471,$Z471)*time+ABS($Z471-$X471)*IF($Z471&gt;$X471,time*(VLOOKUP($G471,list!$J$48:$K$50,2,0)),time*(1-(VLOOKUP($G471,list!$J$48:$K$50,2,0))))</f>
        <v/>
      </c>
      <c r="BD480" s="1449">
        <f>MIN($AA471,$AB471)*time+ABS($AB471-$AA471)*IF($AB471&gt;$AA471,time*(VLOOKUP($E471,list!$J$48:$K$50,2,0)),time*(1-(VLOOKUP($E471,list!$J$48:$K$50,2,0))))</f>
        <v/>
      </c>
      <c r="BE480" s="1449">
        <f>MIN($AA471,$AC471)*time+ABS($AC471-$AA471)*IF($AC471&gt;$AA471,time*(VLOOKUP($G471,list!$J$48:$K$50,2,0)),time*(1-(VLOOKUP($G471,list!$J$48:$K$50,2,0))))</f>
        <v/>
      </c>
      <c r="BF480" s="1449">
        <f>MIN($AD471,$AE471)*time+ABS($AE471-$AD471)*IF($AE471&gt;$AD471,time*(VLOOKUP($E471,list!$J$48:$K$50,2,0)),time*(1-(VLOOKUP($E471,list!$J$48:$K$50,2,0))))</f>
        <v/>
      </c>
      <c r="BG480" s="1449">
        <f>MIN($AD471,$AF471)*time+ABS($AF471-$AD471)*IF($AF471&gt;$AD471,time*(VLOOKUP($G471,list!$J$48:$K$50,2,0)),time*(1-(VLOOKUP($G471,list!$J$48:$K$50,2,0))))</f>
        <v/>
      </c>
      <c r="BK480" s="1084" t="inlineStr">
        <is>
          <t>CO2 Fire</t>
        </is>
      </c>
      <c r="BL480" s="1314" t="n">
        <v>0</v>
      </c>
      <c r="BM480" s="1314" t="n">
        <v>0</v>
      </c>
      <c r="BN480" s="992">
        <f>BM480-BL480</f>
        <v/>
      </c>
      <c r="BP480" s="1084">
        <f>BK480</f>
        <v/>
      </c>
      <c r="BQ480" s="1453">
        <f>BM480-BL480</f>
        <v/>
      </c>
      <c r="BR480" s="1312" t="n">
        <v>0</v>
      </c>
      <c r="BS480" s="1453">
        <f>BQ480-BR480</f>
        <v/>
      </c>
      <c r="BT480" s="1455">
        <f>SUM(BR480:BS480)</f>
        <v/>
      </c>
    </row>
    <row r="481">
      <c r="H481" s="1598" t="n"/>
      <c r="P481" s="1051" t="n"/>
      <c r="Q481" s="1051" t="n"/>
      <c r="R481" s="1051" t="n"/>
      <c r="AB481" s="3493">
        <f>MIN(SUM($R471,$AA471),SUM($S471,$AB471))*time_tot+ABS(SUM($AB471,$S471)-SUM($AA471,$R471))*IF(SUM($AB471,$S471)&gt;SUM($AA471,$R471),time_cap+time*(VLOOKUP($E471,list!$J$48:$K$50,2,0)),time*(1-(VLOOKUP($E471,list!$J$48:$K$50,2,0))))</f>
        <v/>
      </c>
      <c r="AC481" s="3493">
        <f>MIN(SUM($R471,$AA471),SUM($T471,$AC471))*time_tot+ABS(SUM($AC471,$T471)-SUM($AA471,$R471))*IF(SUM($AC471,$T471)&gt;SUM($AA471,$R471),time_cap+time*(VLOOKUP($G471,list!$J$48:$K$50,2,0)),time*(1-(VLOOKUP($G471,list!$J$48:$K$50,2,0))))</f>
        <v/>
      </c>
      <c r="AD481" s="3493">
        <f>MIN(SUM($U471,$AD471),SUM($V471,$AE471))*time_tot+ABS(SUM($AE471,$V471)-SUM($AD471,$U471))*IF(SUM($AE471,$V471)&gt;SUM($AD471,$U471),time_cap+time*(VLOOKUP($E471,list!$J$48:$K$50,2,0)),time*(1-(VLOOKUP($E471,list!$J$48:$K$50,2,0))))</f>
        <v/>
      </c>
      <c r="AE481" s="3493">
        <f>MIN(SUM($U471,$AD471),SUM($W471,$AF471))*time_tot+ABS(SUM($AF471,$W471)-SUM($AD471,$U471))*IF(SUM($AF471,$W471)&gt;SUM($AD471,$U471),time_cap+time*(VLOOKUP($G471,list!$J$48:$K$50,2,0)),time*(1-(VLOOKUP($G471,list!$J$48:$K$50,2,0))))</f>
        <v/>
      </c>
      <c r="AF481" s="3493">
        <f>MIN($X471,$Y471)*time_tot+ABS($Y471-$X471)*IF($Y471&gt;$X471,time_cap+time*(VLOOKUP($E471,list!$J$48:$K$50,2,0)),time*(1-(VLOOKUP($E471,list!$J$48:$K$50,2,0))))</f>
        <v/>
      </c>
      <c r="AG481" s="3493">
        <f>MIN($X471,$Z471)*time_tot+ABS($Z471-$X471)*IF($Z471&gt;$X471,time_cap+time*(VLOOKUP($G471,list!$J$48:$K$50,2,0)),time*(1-(VLOOKUP($G471,list!$J$48:$K$50,2,0))))</f>
        <v/>
      </c>
      <c r="AI481" s="3495">
        <f>SUM(AB481,AD481,AF481)</f>
        <v/>
      </c>
      <c r="AJ481" s="3495">
        <f>SUM(AC481,AE481,AG481)</f>
        <v/>
      </c>
      <c r="AK481" s="1159">
        <f>AJ481-AI481</f>
        <v/>
      </c>
      <c r="AX481" s="1449" t="n"/>
      <c r="AY481" s="1449" t="n"/>
      <c r="AZ481" s="1449" t="n"/>
      <c r="BA481" s="1449" t="n"/>
      <c r="BB481" s="1449" t="n"/>
      <c r="BC481" s="1449" t="n"/>
      <c r="BD481" s="1449" t="n"/>
      <c r="BE481" s="1449" t="n"/>
      <c r="BF481" s="1449" t="n"/>
      <c r="BG481" s="1449" t="n"/>
      <c r="BK481" s="1084" t="inlineStr">
        <is>
          <t>CH4 Fire</t>
        </is>
      </c>
      <c r="BL481" s="1314" t="n">
        <v>0</v>
      </c>
      <c r="BM481" s="1314" t="n">
        <v>0</v>
      </c>
      <c r="BN481" s="992">
        <f>BM481-BL481</f>
        <v/>
      </c>
      <c r="BP481" s="1084">
        <f>BK481</f>
        <v/>
      </c>
      <c r="BQ481" s="1453">
        <f>BM481-BL481</f>
        <v/>
      </c>
      <c r="BR481" s="1312" t="n">
        <v>0</v>
      </c>
      <c r="BS481" s="1453">
        <f>BQ481-BR481</f>
        <v/>
      </c>
      <c r="BT481" s="1455">
        <f>SUM(BR481:BS481)</f>
        <v/>
      </c>
    </row>
    <row r="482">
      <c r="H482" s="1598" t="n"/>
      <c r="AB482" s="3501" t="n"/>
      <c r="AC482" s="3501" t="n"/>
      <c r="AD482" s="3501" t="n"/>
      <c r="AE482" s="3501" t="n"/>
      <c r="AF482" s="3501" t="n"/>
      <c r="AG482" s="3501" t="n"/>
      <c r="AI482" s="3508" t="n"/>
      <c r="AJ482" s="3508" t="n"/>
      <c r="AK482" s="3509" t="n"/>
      <c r="AX482" s="1451">
        <f>SUM(AX477:AX481)</f>
        <v/>
      </c>
      <c r="AY482" s="1451">
        <f>SUM(AY477:AY481)</f>
        <v/>
      </c>
      <c r="AZ482" s="1451">
        <f>SUM(AZ477:AZ481)</f>
        <v/>
      </c>
      <c r="BA482" s="1451">
        <f>SUM(BA477:BA481)</f>
        <v/>
      </c>
      <c r="BB482" s="1451">
        <f>SUM(BB477:BB481)</f>
        <v/>
      </c>
      <c r="BC482" s="1451">
        <f>SUM(BC477:BC481)</f>
        <v/>
      </c>
      <c r="BD482" s="1451">
        <f>SUM(BD477:BD481)</f>
        <v/>
      </c>
      <c r="BE482" s="1451">
        <f>SUM(BE477:BE481)</f>
        <v/>
      </c>
      <c r="BF482" s="1451">
        <f>SUM(BF477:BF481)</f>
        <v/>
      </c>
      <c r="BG482" s="1451">
        <f>SUM(BG477:BG481)</f>
        <v/>
      </c>
      <c r="BK482" s="1459" t="inlineStr">
        <is>
          <t>N2O Fire</t>
        </is>
      </c>
      <c r="BL482" s="1319" t="n">
        <v>0</v>
      </c>
      <c r="BM482" s="1319" t="n">
        <v>0</v>
      </c>
      <c r="BN482" s="992">
        <f>BM482-BL482</f>
        <v/>
      </c>
      <c r="BP482" s="1459">
        <f>BK482</f>
        <v/>
      </c>
      <c r="BQ482" s="1453">
        <f>BM482-BL482</f>
        <v/>
      </c>
      <c r="BR482" s="1499" t="n">
        <v>0</v>
      </c>
      <c r="BS482" s="1320">
        <f>BQ482-BR482</f>
        <v/>
      </c>
      <c r="BT482" s="1455">
        <f>SUM(BR482:BS482)</f>
        <v/>
      </c>
    </row>
    <row r="483">
      <c r="AB483" s="3506" t="n"/>
      <c r="AC483" s="3506" t="n"/>
      <c r="AD483" s="3506" t="n"/>
      <c r="AE483" s="3506" t="n"/>
      <c r="AF483" s="3506" t="n"/>
      <c r="AG483" s="3506" t="n"/>
      <c r="AI483" s="3508" t="n"/>
      <c r="AJ483" s="3508" t="n"/>
      <c r="AK483" s="3510" t="n"/>
      <c r="AY483" s="1451">
        <f>AY482-AX482</f>
        <v/>
      </c>
      <c r="AZ483" s="1451" t="n"/>
      <c r="BA483" s="1451">
        <f>BA482-AZ482</f>
        <v/>
      </c>
      <c r="BB483" s="1451" t="n"/>
      <c r="BC483" s="1451">
        <f>BC482-BB482</f>
        <v/>
      </c>
      <c r="BD483" s="1451" t="n"/>
      <c r="BE483" s="1451">
        <f>BE482-BD482</f>
        <v/>
      </c>
      <c r="BF483" s="1451" t="n"/>
      <c r="BG483" s="1451">
        <f>BG482-BF482</f>
        <v/>
      </c>
      <c r="BN483" s="1688" t="n"/>
      <c r="BP483" s="1316" t="n"/>
      <c r="BQ483" s="1460">
        <f>SUM(BQ473:BQ482)</f>
        <v/>
      </c>
      <c r="BR483" s="1460">
        <f>SUM(BR473:BR482)</f>
        <v/>
      </c>
      <c r="BS483" s="1460">
        <f>SUM(BS473:BS482)</f>
        <v/>
      </c>
      <c r="BT483" s="992">
        <f>BR483+BS483</f>
        <v/>
      </c>
    </row>
    <row r="484" ht="16" customHeight="1">
      <c r="H484" s="1587" t="inlineStr">
        <is>
          <t>Off site emissions from peat use (energy, horticulture*)</t>
        </is>
      </c>
      <c r="I484" s="1588" t="n"/>
      <c r="J484" s="1588" t="n"/>
      <c r="K484" s="1588" t="n"/>
      <c r="L484" s="1588" t="n"/>
      <c r="M484" s="1588" t="inlineStr">
        <is>
          <t xml:space="preserve">Height of extraction </t>
        </is>
      </c>
      <c r="N484" s="1588" t="n"/>
      <c r="O484" s="1588" t="n"/>
      <c r="P484" s="1588" t="inlineStr">
        <is>
          <t>Air-dry weight of peat extracted</t>
        </is>
      </c>
      <c r="Q484" s="1588" t="n"/>
      <c r="R484" s="1588" t="n"/>
      <c r="S484" s="1601" t="inlineStr">
        <is>
          <t>Off-site emissions from peat extraction</t>
        </is>
      </c>
      <c r="T484" s="1600" t="n"/>
      <c r="U484" s="1600" t="n"/>
      <c r="AI484" s="1270" t="inlineStr">
        <is>
          <t>Total emissions tCO2eq</t>
        </is>
      </c>
      <c r="AJ484" s="1116" t="n"/>
      <c r="AK484" s="1116" t="n"/>
      <c r="BK484" s="973" t="inlineStr">
        <is>
          <t>TOTAL (tCO2-eq)</t>
        </is>
      </c>
      <c r="BL484" s="992">
        <f>SUM(BL473:BL482)</f>
        <v/>
      </c>
      <c r="BM484" s="992">
        <f>SUM(BM473:BM482)</f>
        <v/>
      </c>
      <c r="BN484" s="992">
        <f>BM484-BL484</f>
        <v/>
      </c>
      <c r="BO484" s="1246" t="n"/>
    </row>
    <row r="485" ht="16" customHeight="1">
      <c r="B485" s="1602" t="inlineStr">
        <is>
          <t>OFF SITE EMISSIONS</t>
        </is>
      </c>
      <c r="C485" s="2375">
        <f>C465</f>
        <v/>
      </c>
      <c r="D485" s="2375" t="n"/>
      <c r="E485" s="2375" t="n"/>
      <c r="F485" s="2375" t="n"/>
      <c r="G485" s="2375" t="n"/>
      <c r="H485" s="1588" t="inlineStr">
        <is>
          <t>C fraction</t>
        </is>
      </c>
      <c r="I485" s="1588" t="n"/>
      <c r="J485" s="1588" t="inlineStr">
        <is>
          <t>Conversion factor</t>
        </is>
      </c>
      <c r="K485" s="1599" t="inlineStr">
        <is>
          <t>Mass</t>
        </is>
      </c>
      <c r="L485" s="1588" t="n"/>
      <c r="M485" s="1588" t="inlineStr">
        <is>
          <t>cm</t>
        </is>
      </c>
      <c r="N485" s="1588" t="n"/>
      <c r="O485" s="1588" t="n"/>
      <c r="P485" s="1588" t="inlineStr">
        <is>
          <t>Tonne/year</t>
        </is>
      </c>
      <c r="Q485" s="1588" t="n"/>
      <c r="R485" s="1588" t="n"/>
      <c r="S485" s="1588" t="inlineStr">
        <is>
          <t>tCO2q/year</t>
        </is>
      </c>
      <c r="T485" s="1588" t="n"/>
      <c r="U485" s="1588" t="n"/>
      <c r="AI485" s="1270" t="inlineStr">
        <is>
          <t>ALL PERIOD</t>
        </is>
      </c>
      <c r="AJ485" s="1116" t="n"/>
      <c r="AK485" s="1116" t="n"/>
      <c r="BL485" s="992" t="n"/>
      <c r="BM485" s="992" t="n"/>
      <c r="BN485" s="992" t="n"/>
      <c r="BO485" s="1246" t="n"/>
    </row>
    <row r="486" ht="16" customHeight="1">
      <c r="B486" s="1281">
        <f>B466</f>
        <v/>
      </c>
      <c r="C486" s="1586" t="inlineStr">
        <is>
          <t>Start</t>
        </is>
      </c>
      <c r="D486" s="1586" t="inlineStr">
        <is>
          <t>Without</t>
        </is>
      </c>
      <c r="E486" s="1586" t="inlineStr">
        <is>
          <t>Rate</t>
        </is>
      </c>
      <c r="F486" s="1586" t="inlineStr">
        <is>
          <t>With</t>
        </is>
      </c>
      <c r="G486" s="1586" t="inlineStr">
        <is>
          <t>Rate</t>
        </is>
      </c>
      <c r="H486" s="1588" t="inlineStr">
        <is>
          <t xml:space="preserve"> (tonne C/tonne air dry peat)</t>
        </is>
      </c>
      <c r="I486" s="1588" t="n"/>
      <c r="J486" s="1588" t="inlineStr">
        <is>
          <t>Volume</t>
        </is>
      </c>
      <c r="K486" s="1599" t="inlineStr">
        <is>
          <t>tonnes</t>
        </is>
      </c>
      <c r="L486" s="1588" t="n"/>
      <c r="M486" s="1588" t="n"/>
      <c r="N486" s="1588" t="n"/>
      <c r="O486" s="1588" t="n"/>
      <c r="P486" s="1588" t="n"/>
      <c r="Q486" s="1588" t="n"/>
      <c r="R486" s="1588" t="n"/>
      <c r="S486" s="1588" t="n"/>
      <c r="T486" s="1588" t="n"/>
      <c r="U486" s="1588" t="n"/>
      <c r="AI486" s="1270" t="inlineStr">
        <is>
          <t>DRAINAGE</t>
        </is>
      </c>
      <c r="AJ486" s="1116" t="n"/>
      <c r="AK486" s="1116" t="n"/>
      <c r="AX486" s="1271" t="inlineStr">
        <is>
          <t>Off site emissions</t>
        </is>
      </c>
    </row>
    <row r="487" ht="16" customHeight="1">
      <c r="C487" s="1306" t="n"/>
      <c r="D487" s="1306" t="n"/>
      <c r="E487" s="1306" t="n"/>
      <c r="F487" s="1306" t="n"/>
      <c r="G487" s="1306" t="n"/>
      <c r="H487" s="1589" t="inlineStr">
        <is>
          <t>IPCC</t>
        </is>
      </c>
      <c r="I487" s="1589" t="n"/>
      <c r="J487" s="1588" t="inlineStr">
        <is>
          <t>m3</t>
        </is>
      </c>
      <c r="K487" s="1589" t="inlineStr">
        <is>
          <t>IPCC</t>
        </is>
      </c>
      <c r="L487" s="1589" t="inlineStr">
        <is>
          <t>Tier 2</t>
        </is>
      </c>
      <c r="M487" s="973" t="inlineStr">
        <is>
          <t>Start</t>
        </is>
      </c>
      <c r="N487" s="1102" t="inlineStr">
        <is>
          <t>Without</t>
        </is>
      </c>
      <c r="O487" s="1103" t="inlineStr">
        <is>
          <t>With</t>
        </is>
      </c>
      <c r="P487" s="973" t="inlineStr">
        <is>
          <t>Start</t>
        </is>
      </c>
      <c r="Q487" s="1102" t="inlineStr">
        <is>
          <t>Without</t>
        </is>
      </c>
      <c r="R487" s="1103" t="inlineStr">
        <is>
          <t>With</t>
        </is>
      </c>
      <c r="S487" s="973" t="inlineStr">
        <is>
          <t>Start</t>
        </is>
      </c>
      <c r="T487" s="1102" t="inlineStr">
        <is>
          <t>Without</t>
        </is>
      </c>
      <c r="U487" s="1103" t="inlineStr">
        <is>
          <t>With</t>
        </is>
      </c>
      <c r="AI487" s="1102" t="inlineStr">
        <is>
          <t>WITHOUT</t>
        </is>
      </c>
      <c r="AJ487" s="1103" t="inlineStr">
        <is>
          <t>WITH</t>
        </is>
      </c>
      <c r="AK487" s="1104" t="inlineStr">
        <is>
          <t>BALANCE</t>
        </is>
      </c>
      <c r="AX487" s="1450" t="inlineStr">
        <is>
          <t>CO2</t>
        </is>
      </c>
      <c r="AY487" s="1450" t="n"/>
    </row>
    <row r="488">
      <c r="B488" s="973">
        <f>B468</f>
        <v/>
      </c>
      <c r="C488" s="992">
        <f>C468</f>
        <v/>
      </c>
      <c r="D488" s="992">
        <f>D468</f>
        <v/>
      </c>
      <c r="E488" s="992">
        <f>E468</f>
        <v/>
      </c>
      <c r="F488" s="992">
        <f>F468</f>
        <v/>
      </c>
      <c r="G488" s="992">
        <f>G468</f>
        <v/>
      </c>
      <c r="H488" s="1044">
        <f>IF($B488="Please select",0,IF($B488=list!$E$218,INDEX(IPCC!$A$2056:$C$2067,MATCH(clim_moist,IPCC!$A$2056:$A$2067,0),MATCH(IPCC!$B$2056,IPCC!$A$2056:$C$2056,0)),IF('Inl. wetlands'!$B488=list!$E$219,INDEX(IPCC!$A$2073:$C$2084,MATCH(clim_moist,IPCC!$A$2073:$A$2084,0),MATCH(IPCC!$B$2073,IPCC!$A$2073:$C$2073,0)))))</f>
        <v/>
      </c>
      <c r="J488" s="1110" t="n">
        <v>1</v>
      </c>
      <c r="K488" s="4741">
        <f>IFERROR(IF($B488="Please select",0,IF($B488=list!$E$218,INDEX(IPCC!$A$2056:$C$2067,MATCH(clim_moist,IPCC!$A$2056:$A$2067,0),MATCH(IPCC!$C$2056,IPCC!$A$2056:$C$2056,0)),IF('Inl. wetlands'!$B488=list!$E$219,INDEX(IPCC!$A$2073:$C$2084,MATCH(clim_moist,IPCC!$A$2073:$A$2084,0),MATCH(IPCC!$C$2073,IPCC!$A$2073:$C$2073,0)))))*J488/H488,0)</f>
        <v/>
      </c>
      <c r="L488" s="4742">
        <f>IF('6.Inland wetlands'!CS175="",'6.Inland wetlands'!CR175,'6.Inland wetlands'!CS175)</f>
        <v/>
      </c>
      <c r="M488" s="992">
        <f>'6.Inland wetlands'!W176</f>
        <v/>
      </c>
      <c r="N488" s="992">
        <f>'6.Inland wetlands'!X176</f>
        <v/>
      </c>
      <c r="O488" s="992">
        <f>'6.Inland wetlands'!Y176</f>
        <v/>
      </c>
      <c r="P488" s="3493">
        <f>$C488*10000*$L488*$M488/100</f>
        <v/>
      </c>
      <c r="Q488" s="1151">
        <f>$D488*10000*$L488*$N488/100</f>
        <v/>
      </c>
      <c r="R488" s="1151">
        <f>$F488*10000*$L488*$O488/100</f>
        <v/>
      </c>
      <c r="S488" s="1151">
        <f>$P488*44/12*$H488</f>
        <v/>
      </c>
      <c r="T488" s="1151">
        <f>$Q488*44/12*$H488</f>
        <v/>
      </c>
      <c r="U488" s="1151">
        <f>$R488*44/12*$H488</f>
        <v/>
      </c>
      <c r="AI488" s="3495">
        <f>MIN($S488,$T488)*time_tot+ABS($T488-$S488)*IF($T488&gt;$S488,time_cap+time*(VLOOKUP($E488,list!$J$48:$K$50,2,0)),time*(1-(VLOOKUP($E488,list!$J$48:$K$50,2,0))))</f>
        <v/>
      </c>
      <c r="AJ488" s="3495">
        <f>MIN($S488,$U488)*time_tot+ABS($U488-$S488)*IF($U488&gt;$S488,time_cap+time*(VLOOKUP($G488,list!$J$48:$K$50,2,0)),time*(1-(VLOOKUP($G488,list!$J$48:$K$50,2,0))))</f>
        <v/>
      </c>
      <c r="AK488" s="1160">
        <f>AJ488-AI488</f>
        <v/>
      </c>
      <c r="AX488" s="1264" t="inlineStr">
        <is>
          <t>IMPLEMENTATION PHASE</t>
        </is>
      </c>
    </row>
    <row r="489">
      <c r="B489" s="973">
        <f>B469</f>
        <v/>
      </c>
      <c r="C489" s="992">
        <f>C469</f>
        <v/>
      </c>
      <c r="D489" s="992">
        <f>D469</f>
        <v/>
      </c>
      <c r="E489" s="992">
        <f>E469</f>
        <v/>
      </c>
      <c r="F489" s="992">
        <f>F469</f>
        <v/>
      </c>
      <c r="G489" s="992">
        <f>G469</f>
        <v/>
      </c>
      <c r="H489" s="1044">
        <f>IF($B489="Please select",0,IF($B489=list!$E$218,INDEX(IPCC!$A$2056:$C$2067,MATCH(clim_moist,IPCC!$A$2056:$A$2067,0),MATCH(IPCC!$B$2056,IPCC!$A$2056:$C$2056,0)),IF('Inl. wetlands'!$B489=list!$E$219,INDEX(IPCC!$A$2073:$C$2084,MATCH(clim_moist,IPCC!$A$2073:$A$2084,0),MATCH(IPCC!$B$2073,IPCC!$A$2073:$C$2073,0)))))</f>
        <v/>
      </c>
      <c r="J489" s="1110" t="n">
        <v>1</v>
      </c>
      <c r="K489" s="4741">
        <f>IFERROR(IF($B489="Please select",0,IF($B489=list!$E$218,INDEX(IPCC!$A$2056:$C$2067,MATCH(clim_moist,IPCC!$A$2056:$A$2067,0),MATCH(IPCC!$C$2056,IPCC!$A$2056:$C$2056,0)),IF('Inl. wetlands'!$B489=list!$E$219,INDEX(IPCC!$A$2073:$C$2084,MATCH(clim_moist,IPCC!$A$2073:$A$2084,0),MATCH(IPCC!$C$2073,IPCC!$A$2073:$C$2073,0)))))*J489/H489,0)</f>
        <v/>
      </c>
      <c r="L489" s="4742">
        <f>IF('6.Inland wetlands'!CS176="",'6.Inland wetlands'!CR176,'6.Inland wetlands'!CS176)</f>
        <v/>
      </c>
      <c r="M489" s="992">
        <f>'6.Inland wetlands'!W177</f>
        <v/>
      </c>
      <c r="N489" s="992">
        <f>'6.Inland wetlands'!X177</f>
        <v/>
      </c>
      <c r="O489" s="992">
        <f>'6.Inland wetlands'!Y177</f>
        <v/>
      </c>
      <c r="P489" s="3495">
        <f>$C489*10000*$L489*$M489/100</f>
        <v/>
      </c>
      <c r="Q489" s="1152">
        <f>$D489*10000*$L489*$N489/100</f>
        <v/>
      </c>
      <c r="R489" s="1152">
        <f>$F489*10000*$L489*$O489/100</f>
        <v/>
      </c>
      <c r="S489" s="1151">
        <f>$P489*44/12*$H489</f>
        <v/>
      </c>
      <c r="T489" s="1151">
        <f>$Q489*44/12*$H489</f>
        <v/>
      </c>
      <c r="U489" s="1151">
        <f>$R489*44/12*$H489</f>
        <v/>
      </c>
      <c r="AI489" s="3495">
        <f>MIN($S489,$T489)*time_tot+ABS($T489-$S489)*IF($T489&gt;$S489,time_cap+time*(VLOOKUP($E489,list!$J$48:$K$50,2,0)),time*(1-(VLOOKUP($E489,list!$J$48:$K$50,2,0))))</f>
        <v/>
      </c>
      <c r="AJ489" s="3495">
        <f>MIN($S489,$U489)*time_tot+ABS($U489-$S489)*IF($U489&gt;$S489,time_cap+time*(VLOOKUP($G489,list!$J$48:$K$50,2,0)),time*(1-(VLOOKUP($G489,list!$J$48:$K$50,2,0))))</f>
        <v/>
      </c>
      <c r="AK489" s="3498">
        <f>AJ489-AI489</f>
        <v/>
      </c>
      <c r="AX489" s="1272" t="inlineStr">
        <is>
          <t>WITHOUT</t>
        </is>
      </c>
      <c r="AY489" s="1272" t="inlineStr">
        <is>
          <t>WITH</t>
        </is>
      </c>
    </row>
    <row r="490">
      <c r="B490" s="973">
        <f>B470</f>
        <v/>
      </c>
      <c r="C490" s="992">
        <f>C470</f>
        <v/>
      </c>
      <c r="D490" s="992">
        <f>D470</f>
        <v/>
      </c>
      <c r="E490" s="992">
        <f>E470</f>
        <v/>
      </c>
      <c r="F490" s="992">
        <f>F470</f>
        <v/>
      </c>
      <c r="G490" s="992">
        <f>G470</f>
        <v/>
      </c>
      <c r="H490" s="1044">
        <f>IF($B490="Please select",0,IF($B490=list!$E$218,INDEX(IPCC!$A$2056:$C$2067,MATCH(clim_moist,IPCC!$A$2056:$A$2067,0),MATCH(IPCC!$B$2056,IPCC!$A$2056:$C$2056,0)),IF('Inl. wetlands'!$B490=list!$E$219,INDEX(IPCC!$A$2073:$C$2084,MATCH(clim_moist,IPCC!$A$2073:$A$2084,0),MATCH(IPCC!$B$2073,IPCC!$A$2073:$C$2073,0)))))</f>
        <v/>
      </c>
      <c r="J490" s="1110" t="n">
        <v>1</v>
      </c>
      <c r="K490" s="4741">
        <f>IFERROR(IF($B490="Please select",0,IF($B490=list!$E$218,INDEX(IPCC!$A$2056:$C$2067,MATCH(clim_moist,IPCC!$A$2056:$A$2067,0),MATCH(IPCC!$C$2056,IPCC!$A$2056:$C$2056,0)),IF('Inl. wetlands'!$B490=list!$E$219,INDEX(IPCC!$A$2073:$C$2084,MATCH(clim_moist,IPCC!$A$2073:$A$2084,0),MATCH(IPCC!$C$2073,IPCC!$A$2073:$C$2073,0)))))*J490/H490,0)</f>
        <v/>
      </c>
      <c r="L490" s="4742">
        <f>IF('6.Inland wetlands'!CS177="",'6.Inland wetlands'!CR177,'6.Inland wetlands'!CS177)</f>
        <v/>
      </c>
      <c r="M490" s="992">
        <f>'6.Inland wetlands'!W178</f>
        <v/>
      </c>
      <c r="N490" s="992">
        <f>'6.Inland wetlands'!X178</f>
        <v/>
      </c>
      <c r="O490" s="992">
        <f>'6.Inland wetlands'!Y178</f>
        <v/>
      </c>
      <c r="P490" s="3495">
        <f>$C490*10000*$L490*$M490/100</f>
        <v/>
      </c>
      <c r="Q490" s="1152">
        <f>$D490*10000*$L490*$N490/100</f>
        <v/>
      </c>
      <c r="R490" s="1152">
        <f>$F490*10000*$L490*$O490/100</f>
        <v/>
      </c>
      <c r="S490" s="1151">
        <f>$P490*44/12*$H490</f>
        <v/>
      </c>
      <c r="T490" s="1151">
        <f>$Q490*44/12*$H490</f>
        <v/>
      </c>
      <c r="U490" s="1151">
        <f>$R490*44/12*$H490</f>
        <v/>
      </c>
      <c r="AI490" s="3495">
        <f>MIN($S490,$T490)*time_tot+ABS($T490-$S490)*IF($T490&gt;$S490,time_cap+time*(VLOOKUP($E490,list!$J$48:$K$50,2,0)),time*(1-(VLOOKUP($E490,list!$J$48:$K$50,2,0))))</f>
        <v/>
      </c>
      <c r="AJ490" s="3495">
        <f>MIN($S490,$U490)*time_tot+ABS($U490-$S490)*IF($U490&gt;$S490,time_cap+time*(VLOOKUP($G490,list!$J$48:$K$50,2,0)),time*(1-(VLOOKUP($G490,list!$J$48:$K$50,2,0))))</f>
        <v/>
      </c>
      <c r="AK490" s="1159">
        <f>AJ490-AI490</f>
        <v/>
      </c>
      <c r="AX490" s="1449">
        <f>MIN($S488,$T488)*time+ABS($T488-$S488)*IF($T488&gt;$S488,time*(VLOOKUP($E488,list!$J$48:$K$50,2,0)),time*(1-(VLOOKUP($E488,list!$J$48:$K$50,2,0))))</f>
        <v/>
      </c>
      <c r="AY490" s="1449">
        <f>MIN($S488,$U488)*time+ABS($U488-$S488)*IF($U488&gt;$S488,time*(VLOOKUP($G488,list!$J$48:$K$50,2,0)),time*(1-(VLOOKUP($G488,list!$J$48:$K$50,2,0))))</f>
        <v/>
      </c>
    </row>
    <row r="491">
      <c r="B491" s="973">
        <f>B471</f>
        <v/>
      </c>
      <c r="C491" s="992">
        <f>C471</f>
        <v/>
      </c>
      <c r="D491" s="992">
        <f>D471</f>
        <v/>
      </c>
      <c r="E491" s="992">
        <f>E471</f>
        <v/>
      </c>
      <c r="F491" s="992">
        <f>F471</f>
        <v/>
      </c>
      <c r="G491" s="992">
        <f>G471</f>
        <v/>
      </c>
      <c r="H491" s="1044">
        <f>IF($B491="Please select",0,IF($B491=list!$E$218,INDEX(IPCC!$A$2056:$C$2067,MATCH(clim_moist,IPCC!$A$2056:$A$2067,0),MATCH(IPCC!$B$2056,IPCC!$A$2056:$C$2056,0)),IF('Inl. wetlands'!$B491=list!$E$219,INDEX(IPCC!$A$2073:$C$2084,MATCH(clim_moist,IPCC!$A$2073:$A$2084,0),MATCH(IPCC!$B$2073,IPCC!$A$2073:$C$2073,0)))))</f>
        <v/>
      </c>
      <c r="J491" s="1110" t="n">
        <v>1</v>
      </c>
      <c r="K491" s="4741">
        <f>IFERROR(IF($B491="Please select",0,IF($B491=list!$E$218,INDEX(IPCC!$A$2056:$C$2067,MATCH(clim_moist,IPCC!$A$2056:$A$2067,0),MATCH(IPCC!$C$2056,IPCC!$A$2056:$C$2056,0)),IF('Inl. wetlands'!$B491=list!$E$219,INDEX(IPCC!$A$2073:$C$2084,MATCH(clim_moist,IPCC!$A$2073:$A$2084,0),MATCH(IPCC!$C$2073,IPCC!$A$2073:$C$2073,0)))))*J491/H491,0)</f>
        <v/>
      </c>
      <c r="L491" s="4742">
        <f>IF('6.Inland wetlands'!CS178="",'6.Inland wetlands'!CR178,'6.Inland wetlands'!CS178)</f>
        <v/>
      </c>
      <c r="M491" s="992">
        <f>'6.Inland wetlands'!W179</f>
        <v/>
      </c>
      <c r="N491" s="992">
        <f>'6.Inland wetlands'!X179</f>
        <v/>
      </c>
      <c r="O491" s="992">
        <f>'6.Inland wetlands'!Y179</f>
        <v/>
      </c>
      <c r="P491" s="3496">
        <f>$C491*10000*$L491*$M491/100</f>
        <v/>
      </c>
      <c r="Q491" s="1153">
        <f>$D491*10000*$L491*$N491/100</f>
        <v/>
      </c>
      <c r="R491" s="1153">
        <f>$F491*10000*$L491*$O491/100</f>
        <v/>
      </c>
      <c r="S491" s="1151">
        <f>$P491*44/12*$H491</f>
        <v/>
      </c>
      <c r="T491" s="1151">
        <f>$Q491*44/12*$H491</f>
        <v/>
      </c>
      <c r="U491" s="1151">
        <f>$R491*44/12*$H491</f>
        <v/>
      </c>
      <c r="AI491" s="3495">
        <f>MIN($S491,$T491)*time_tot+ABS($T491-$S491)*IF($T491&gt;$S491,time_cap+time*(VLOOKUP($E491,list!$J$48:$K$50,2,0)),time*(1-(VLOOKUP($E491,list!$J$48:$K$50,2,0))))</f>
        <v/>
      </c>
      <c r="AJ491" s="3495">
        <f>MIN($S491,$U491)*time_tot+ABS($U491-$S491)*IF($U491&gt;$S491,time_cap+time*(VLOOKUP($G491,list!$J$48:$K$50,2,0)),time*(1-(VLOOKUP($G491,list!$J$48:$K$50,2,0))))</f>
        <v/>
      </c>
      <c r="AK491" s="1159">
        <f>AJ491-AI491</f>
        <v/>
      </c>
      <c r="AX491" s="1449">
        <f>MIN($S489,$T489)*time+ABS($T489-$S489)*IF($T489&gt;$S489,time*(VLOOKUP($E489,list!$J$48:$K$50,2,0)),time*(1-(VLOOKUP($E489,list!$J$48:$K$50,2,0))))</f>
        <v/>
      </c>
      <c r="AY491" s="1449">
        <f>MIN($S489,$U489)*time+ABS($U489-$S489)*IF($U489&gt;$S489,time*(VLOOKUP($G489,list!$J$48:$K$50,2,0)),time*(1-(VLOOKUP($G489,list!$J$48:$K$50,2,0))))</f>
        <v/>
      </c>
    </row>
    <row r="492">
      <c r="H492" s="973" t="inlineStr">
        <is>
          <t>* all carbon in horticultural peat issued to be emitted during the extraction year</t>
        </is>
      </c>
      <c r="AX492" s="1449">
        <f>MIN($S490,$T490)*time+ABS($T490-$S490)*IF($T490&gt;$S490,time*(VLOOKUP($E490,list!$J$48:$K$50,2,0)),time*(1-(VLOOKUP($E490,list!$J$48:$K$50,2,0))))</f>
        <v/>
      </c>
      <c r="AY492" s="1449">
        <f>MIN($S490,$U490)*time+ABS($U490-$S490)*IF($U490&gt;$S490,time*(VLOOKUP($G490,list!$J$48:$K$50,2,0)),time*(1-(VLOOKUP($G490,list!$J$48:$K$50,2,0))))</f>
        <v/>
      </c>
    </row>
    <row r="493">
      <c r="H493" s="973" t="inlineStr">
        <is>
          <t>Emissions of N2O and CH4 during energy use of peat (burning) is not considered here but in "Inputs"module</t>
        </is>
      </c>
      <c r="AX493" s="1449">
        <f>MIN($S491,$T491)*time+ABS($T491-$S491)*IF($T491&gt;$S491,time*(VLOOKUP($E491,list!$J$48:$K$50,2,0)),time*(1-(VLOOKUP($E491,list!$J$48:$K$50,2,0))))</f>
        <v/>
      </c>
      <c r="AY493" s="1449">
        <f>MIN($S491,$U491)*time+ABS($U491-$S491)*IF($U491&gt;$S491,time*(VLOOKUP($G491,list!$J$48:$K$50,2,0)),time*(1-(VLOOKUP($G491,list!$J$48:$K$50,2,0))))</f>
        <v/>
      </c>
    </row>
    <row r="494">
      <c r="AX494" s="1449" t="n"/>
      <c r="AY494" s="1449" t="n"/>
    </row>
    <row r="495">
      <c r="AX495" s="1451">
        <f>SUM(AX490:AX494)</f>
        <v/>
      </c>
      <c r="AY495" s="1451">
        <f>SUM(AY490:AY494)</f>
        <v/>
      </c>
    </row>
    <row r="496">
      <c r="AY496" s="1451">
        <f>AY495-AX495</f>
        <v/>
      </c>
    </row>
    <row r="498" ht="42.75" customFormat="1" customHeight="1" s="975">
      <c r="B498" s="975" t="inlineStr">
        <is>
          <t>6.4 Inland aquaculture</t>
        </is>
      </c>
      <c r="J498" s="1123" t="n"/>
      <c r="K498" s="1123" t="n"/>
      <c r="L498" s="1123" t="n"/>
      <c r="M498" s="1123" t="n"/>
      <c r="N498" s="1123" t="n"/>
    </row>
    <row r="499" ht="29.25" customFormat="1" customHeight="1" s="1087">
      <c r="J499" s="1058" t="n"/>
      <c r="K499" s="1058" t="n"/>
      <c r="L499" s="1058" t="n"/>
      <c r="M499" s="1058" t="n"/>
      <c r="N499" s="1058" t="n"/>
      <c r="AX499" s="1264" t="n"/>
      <c r="AY499" s="1264" t="n"/>
      <c r="AZ499" s="1264" t="n"/>
      <c r="BA499" s="1264" t="n"/>
      <c r="BB499" s="1264" t="n"/>
      <c r="BC499" s="1264" t="n"/>
      <c r="BD499" s="1264" t="n"/>
      <c r="BE499" s="1264" t="n"/>
      <c r="BF499" s="1264" t="n"/>
      <c r="BG499" s="1264" t="n"/>
    </row>
    <row r="500" ht="18" customFormat="1" customHeight="1" s="1087">
      <c r="J500" s="1058" t="n"/>
      <c r="K500" s="1058" t="n"/>
      <c r="L500" s="1058" t="n"/>
      <c r="M500" s="1058" t="n"/>
      <c r="N500" s="1058" t="n"/>
      <c r="AI500" s="1270" t="inlineStr">
        <is>
          <t>Total emissions tCO2eq</t>
        </is>
      </c>
      <c r="AJ500" s="1116" t="n"/>
      <c r="AK500" s="1116" t="n"/>
      <c r="AX500" s="1264" t="n"/>
      <c r="AY500" s="1264" t="n"/>
      <c r="AZ500" s="1264" t="n"/>
      <c r="BA500" s="1264" t="n"/>
      <c r="BB500" s="1264" t="n"/>
      <c r="BC500" s="1264" t="n"/>
      <c r="BD500" s="1264" t="n"/>
      <c r="BE500" s="1264" t="n"/>
      <c r="BF500" s="1264" t="n"/>
      <c r="BG500" s="1264" t="n"/>
      <c r="BJ500" s="1262" t="inlineStr">
        <is>
          <t>GHG PER SCENARIO</t>
        </is>
      </c>
      <c r="BK500" s="3489" t="n"/>
      <c r="BL500" s="3489" t="n"/>
      <c r="BM500" s="973" t="n"/>
      <c r="BN500" s="973" t="n"/>
      <c r="BO500" s="1262" t="inlineStr">
        <is>
          <t>TOTAL BALANCE</t>
        </is>
      </c>
      <c r="BP500" s="3489" t="n"/>
      <c r="BQ500" s="3489" t="n"/>
      <c r="BR500" s="3489" t="n"/>
      <c r="BS500" s="973" t="n"/>
    </row>
    <row r="501" ht="16" customHeight="1">
      <c r="AI501" s="1270" t="inlineStr">
        <is>
          <t>ALL PERIOD</t>
        </is>
      </c>
      <c r="AJ501" s="1116" t="n"/>
      <c r="AK501" s="1116" t="n"/>
    </row>
    <row r="502" ht="16" customHeight="1">
      <c r="H502" s="2167" t="inlineStr">
        <is>
          <t>Trophic state</t>
        </is>
      </c>
      <c r="I502" s="3489" t="n"/>
      <c r="J502" s="3489" t="n"/>
      <c r="K502" s="2167" t="inlineStr">
        <is>
          <t>CH4 emission factor (kgCH4/ha/yr)</t>
        </is>
      </c>
      <c r="L502" s="3489" t="n"/>
      <c r="M502" s="3489" t="n"/>
      <c r="N502" s="3489" t="n"/>
      <c r="P502" s="973" t="inlineStr">
        <is>
          <t>CH4 emissions tCO2-e/year</t>
        </is>
      </c>
      <c r="AI502" s="1270" t="inlineStr">
        <is>
          <t>DRAINAGE</t>
        </is>
      </c>
      <c r="AJ502" s="1116" t="n"/>
      <c r="AK502" s="1116" t="n"/>
      <c r="AX502" s="1264" t="inlineStr">
        <is>
          <t>IMPLEMENTATION PHASE</t>
        </is>
      </c>
      <c r="BJ502" s="1321" t="inlineStr">
        <is>
          <t>CATEGORIES</t>
        </is>
      </c>
      <c r="BK502" s="1317" t="inlineStr">
        <is>
          <t>WITHOUT</t>
        </is>
      </c>
      <c r="BL502" s="1317" t="inlineStr">
        <is>
          <t>WITH</t>
        </is>
      </c>
      <c r="BO502" s="1321" t="inlineStr">
        <is>
          <t>CATEGORIES</t>
        </is>
      </c>
      <c r="BP502" s="1317" t="inlineStr">
        <is>
          <t>BALANCE</t>
        </is>
      </c>
      <c r="BQ502" s="1317" t="inlineStr">
        <is>
          <t>IMPLEM.</t>
        </is>
      </c>
      <c r="BR502" s="1318" t="inlineStr">
        <is>
          <t>CAPITAL.</t>
        </is>
      </c>
      <c r="BS502" s="1454" t="n"/>
    </row>
    <row r="503">
      <c r="B503" s="1281" t="inlineStr">
        <is>
          <t>Waterbody type</t>
        </is>
      </c>
      <c r="C503" s="1576" t="inlineStr">
        <is>
          <t>Start</t>
        </is>
      </c>
      <c r="D503" s="1576" t="inlineStr">
        <is>
          <t>Without</t>
        </is>
      </c>
      <c r="E503" s="1576" t="inlineStr">
        <is>
          <t>Rate</t>
        </is>
      </c>
      <c r="F503" s="1576" t="inlineStr">
        <is>
          <t>With</t>
        </is>
      </c>
      <c r="G503" s="1576" t="inlineStr">
        <is>
          <t>Rate</t>
        </is>
      </c>
      <c r="H503" s="1688" t="inlineStr">
        <is>
          <t>Default</t>
        </is>
      </c>
      <c r="I503" s="1688" t="inlineStr">
        <is>
          <t>Tier 2</t>
        </is>
      </c>
      <c r="J503" s="1688" t="inlineStr">
        <is>
          <t>Chlo.A</t>
        </is>
      </c>
      <c r="K503" s="1688" t="inlineStr">
        <is>
          <t>Default</t>
        </is>
      </c>
      <c r="L503" s="1688" t="inlineStr">
        <is>
          <t>start</t>
        </is>
      </c>
      <c r="M503" s="1688" t="inlineStr">
        <is>
          <t>without</t>
        </is>
      </c>
      <c r="N503" s="1688" t="inlineStr">
        <is>
          <t>with</t>
        </is>
      </c>
      <c r="P503" s="973" t="inlineStr">
        <is>
          <t>Start</t>
        </is>
      </c>
      <c r="Q503" s="1102" t="inlineStr">
        <is>
          <t>Without</t>
        </is>
      </c>
      <c r="R503" s="1103" t="inlineStr">
        <is>
          <t>With</t>
        </is>
      </c>
      <c r="AI503" s="1102" t="inlineStr">
        <is>
          <t>WITHOUT</t>
        </is>
      </c>
      <c r="AJ503" s="1103" t="inlineStr">
        <is>
          <t>WITH</t>
        </is>
      </c>
      <c r="AK503" s="1104" t="inlineStr">
        <is>
          <t>BALANCE</t>
        </is>
      </c>
      <c r="AX503" s="1272" t="inlineStr">
        <is>
          <t>WITHOUT</t>
        </is>
      </c>
      <c r="AY503" s="1272" t="inlineStr">
        <is>
          <t>WITH</t>
        </is>
      </c>
      <c r="BJ503" s="1084" t="inlineStr">
        <is>
          <t>CH4 water bodies</t>
        </is>
      </c>
      <c r="BK503" s="1312">
        <f>SUM(AI504:AI511)</f>
        <v/>
      </c>
      <c r="BL503" s="1312">
        <f>SUM(AJ504:AJ511)</f>
        <v/>
      </c>
      <c r="BM503" s="992">
        <f>BL503-BK503</f>
        <v/>
      </c>
      <c r="BO503" s="1084">
        <f>BJ503</f>
        <v/>
      </c>
      <c r="BP503" s="1453">
        <f>SUM(AK504:AK511)</f>
        <v/>
      </c>
      <c r="BQ503" s="1312">
        <f>IF(time=0,0,SUM(AY504:AY511)-SUM(AX504:AX511))</f>
        <v/>
      </c>
      <c r="BR503" s="1453">
        <f>BP503-BQ503</f>
        <v/>
      </c>
      <c r="BS503" s="1455">
        <f>SUM(BQ503:BR503)</f>
        <v/>
      </c>
    </row>
    <row r="504">
      <c r="B504" s="973">
        <f>'6.Inland wetlands'!I197</f>
        <v/>
      </c>
      <c r="C504" s="992">
        <f>'6.Inland wetlands'!M197</f>
        <v/>
      </c>
      <c r="D504" s="992">
        <f>'6.Inland wetlands'!N197</f>
        <v/>
      </c>
      <c r="E504" s="992">
        <f>VLOOKUP('6.Inland wetlands'!O197,list!$I$48:$J$50,2,FALSE )</f>
        <v/>
      </c>
      <c r="F504" s="992">
        <f>'6.Inland wetlands'!P197</f>
        <v/>
      </c>
      <c r="G504" s="992">
        <f>VLOOKUP('6.Inland wetlands'!Q197,list!$I$48:$J$50,2,FALSE )</f>
        <v/>
      </c>
      <c r="H504" s="4718">
        <f>IF('6.Inland wetlands'!$T197="Please select",0,IF(J504="",VLOOKUP('6.Inland wetlands'!$T197,IPCC!$A$3222:$B$3227,2,FALSE),0.26*J504))</f>
        <v/>
      </c>
      <c r="I504" s="1688">
        <f>IF('6.Inland wetlands'!$CN197="",'6.Inland wetlands'!$CM197,'6.Inland wetlands'!$CN197)</f>
        <v/>
      </c>
      <c r="J504" s="1688">
        <f>IF('6.Inland wetlands'!CP197="","",'6.Inland wetlands'!CP197)</f>
        <v/>
      </c>
      <c r="K504" s="4718">
        <f>IF(B504="Please select",0,INDEX(IPCC!$A$3204:$E$3215,MATCH(clim_moist,IPCC!$A$3204:$A$3215,0),MATCH('Inl. wetlands'!$B504,IPCC!$A$3204:$E$3204,0)))</f>
        <v/>
      </c>
      <c r="L504" s="1688">
        <f>IF('6.Inland wetlands'!CG197="",'6.Inland wetlands'!CF197,'6.Inland wetlands'!CG197)</f>
        <v/>
      </c>
      <c r="M504" s="1688">
        <f>IF('6.Inland wetlands'!CI197="",'6.Inland wetlands'!CH197,'6.Inland wetlands'!CI197)</f>
        <v/>
      </c>
      <c r="N504" s="1688">
        <f>IF('6.Inland wetlands'!CK197="",'6.Inland wetlands'!CJ197,'6.Inland wetlands'!CK197)</f>
        <v/>
      </c>
      <c r="P504" s="3493">
        <f>$C504*$I504*$L504/1000*methane</f>
        <v/>
      </c>
      <c r="Q504" s="3493">
        <f>$D504*$I504*$M504/1000*methane</f>
        <v/>
      </c>
      <c r="R504" s="3493">
        <f>$F504*$I504*$N504/1000*methane</f>
        <v/>
      </c>
      <c r="AI504" s="3495">
        <f>MIN($P504,$Q504)*time_tot+ABS($Q504-$P504)*IF($Q504&gt;$P504,time_cap+time*(VLOOKUP($E504,list!$J$48:$K$50,2,0)),time*(1-(VLOOKUP($E504,list!$J$48:$K$50,2,0))))</f>
        <v/>
      </c>
      <c r="AJ504" s="3495">
        <f>MIN($P504,$R504)*time_tot+ABS($R504-$P504)*IF($R504&gt;$P504,time_cap+time*(VLOOKUP($G504,list!$J$48:$K$50,2,0)),time*(1-(VLOOKUP($G504,list!$J$48:$K$50,2,0))))</f>
        <v/>
      </c>
      <c r="AK504" s="1160">
        <f>AJ504-AI504</f>
        <v/>
      </c>
      <c r="AX504" s="1449">
        <f>MIN($P504,$Q504)*time+ABS($Q504-$P504)*IF($Q504&gt;$P504,time*(VLOOKUP($E504,list!$J$48:$K$50,2,0)),time*(1-(VLOOKUP($E504,list!$J$48:$K$50,2,0))))</f>
        <v/>
      </c>
      <c r="AY504" s="1449">
        <f>MIN($P504,$R504)*time+ABS($R504-$P504)*IF($R504&gt;$P504,time*(VLOOKUP($G504,list!$J$48:$K$50,2,0)),time*(1-(VLOOKUP($G504,list!$J$48:$K$50,2,0))))</f>
        <v/>
      </c>
      <c r="BM504" s="992" t="n"/>
      <c r="BO504" s="1316" t="n"/>
      <c r="BP504" s="1460">
        <f>SUM(BP503:BP503)</f>
        <v/>
      </c>
      <c r="BQ504" s="1460">
        <f>SUM(BQ503:BQ503)</f>
        <v/>
      </c>
      <c r="BR504" s="1460">
        <f>SUM(BR503:BR503)</f>
        <v/>
      </c>
      <c r="BS504" s="992">
        <f>BQ504+BR504</f>
        <v/>
      </c>
    </row>
    <row r="505">
      <c r="B505" s="973">
        <f>'6.Inland wetlands'!I198</f>
        <v/>
      </c>
      <c r="C505" s="992">
        <f>'6.Inland wetlands'!M198</f>
        <v/>
      </c>
      <c r="D505" s="992">
        <f>'6.Inland wetlands'!N198</f>
        <v/>
      </c>
      <c r="E505" s="992">
        <f>VLOOKUP('6.Inland wetlands'!O198,list!$I$48:$J$50,2,FALSE )</f>
        <v/>
      </c>
      <c r="F505" s="992">
        <f>'6.Inland wetlands'!P198</f>
        <v/>
      </c>
      <c r="G505" s="992">
        <f>VLOOKUP('6.Inland wetlands'!Q198,list!$I$48:$J$50,2,FALSE )</f>
        <v/>
      </c>
      <c r="H505" s="4718">
        <f>IF('6.Inland wetlands'!$T198="Please select",0,IF(J505="",VLOOKUP('6.Inland wetlands'!$T198,IPCC!$A$3222:$B$3227,2,FALSE),0.26*J505))</f>
        <v/>
      </c>
      <c r="I505" s="1688">
        <f>IF('6.Inland wetlands'!$CN198="",'6.Inland wetlands'!$CM198,'6.Inland wetlands'!$CN198)</f>
        <v/>
      </c>
      <c r="J505" s="1688">
        <f>IF('6.Inland wetlands'!CP198="","",'6.Inland wetlands'!CP198)</f>
        <v/>
      </c>
      <c r="K505" s="4718">
        <f>IF(B505="Please select",0,INDEX(IPCC!$A$3204:$E$3215,MATCH(clim_moist,IPCC!$A$3204:$A$3215,0),MATCH('Inl. wetlands'!$B505,IPCC!$A$3204:$E$3204,0)))</f>
        <v/>
      </c>
      <c r="L505" s="1688">
        <f>IF('6.Inland wetlands'!CG198="",'6.Inland wetlands'!CF198,'6.Inland wetlands'!CG198)</f>
        <v/>
      </c>
      <c r="M505" s="1688">
        <f>IF('6.Inland wetlands'!CI198="",'6.Inland wetlands'!CH198,'6.Inland wetlands'!CI198)</f>
        <v/>
      </c>
      <c r="N505" s="1688">
        <f>IF('6.Inland wetlands'!CK198="",'6.Inland wetlands'!CJ198,'6.Inland wetlands'!CK198)</f>
        <v/>
      </c>
      <c r="P505" s="3493">
        <f>$C505*$I505*$L505/1000*methane</f>
        <v/>
      </c>
      <c r="Q505" s="3493">
        <f>$D505*$I505*$M505/1000*methane</f>
        <v/>
      </c>
      <c r="R505" s="3493">
        <f>$F505*$I505*$N505/1000*methane</f>
        <v/>
      </c>
      <c r="AI505" s="3495">
        <f>MIN($P505,$Q505)*time_tot+ABS($Q505-$P505)*IF($Q505&gt;$P505,time_cap+time*(VLOOKUP($E505,list!$J$48:$K$50,2,0)),time*(1-(VLOOKUP($E505,list!$J$48:$K$50,2,0))))</f>
        <v/>
      </c>
      <c r="AJ505" s="3495">
        <f>MIN($P505,$R505)*time_tot+ABS($R505-$P505)*IF($R505&gt;$P505,time_cap+time*(VLOOKUP($G505,list!$J$48:$K$50,2,0)),time*(1-(VLOOKUP($G505,list!$J$48:$K$50,2,0))))</f>
        <v/>
      </c>
      <c r="AK505" s="1160">
        <f>AJ505-AI505</f>
        <v/>
      </c>
      <c r="AX505" s="1449">
        <f>MIN($P505,$Q505)*time+ABS($Q505-$P505)*IF($Q505&gt;$P505,time*(VLOOKUP($E505,list!$J$48:$K$50,2,0)),time*(1-(VLOOKUP($E505,list!$J$48:$K$50,2,0))))</f>
        <v/>
      </c>
      <c r="AY505" s="1449">
        <f>MIN($P505,$R505)*time+ABS($R505-$P505)*IF($R505&gt;$P505,time*(VLOOKUP($G505,list!$J$48:$K$50,2,0)),time*(1-(VLOOKUP($G505,list!$J$48:$K$50,2,0))))</f>
        <v/>
      </c>
      <c r="BJ505" s="973" t="inlineStr">
        <is>
          <t>TOTAL (tCO2-eq)</t>
        </is>
      </c>
      <c r="BK505" s="992">
        <f>SUM(BK503:BK503)</f>
        <v/>
      </c>
      <c r="BL505" s="992">
        <f>SUM(BL503:BL503)</f>
        <v/>
      </c>
      <c r="BM505" s="992" t="n"/>
    </row>
    <row r="506">
      <c r="B506" s="973">
        <f>'6.Inland wetlands'!I199</f>
        <v/>
      </c>
      <c r="C506" s="992">
        <f>'6.Inland wetlands'!M199</f>
        <v/>
      </c>
      <c r="D506" s="992">
        <f>'6.Inland wetlands'!N199</f>
        <v/>
      </c>
      <c r="E506" s="992">
        <f>VLOOKUP('6.Inland wetlands'!O199,list!$I$48:$J$50,2,FALSE )</f>
        <v/>
      </c>
      <c r="F506" s="992">
        <f>'6.Inland wetlands'!P199</f>
        <v/>
      </c>
      <c r="G506" s="992">
        <f>VLOOKUP('6.Inland wetlands'!Q199,list!$I$48:$J$50,2,FALSE )</f>
        <v/>
      </c>
      <c r="H506" s="4718">
        <f>IF('6.Inland wetlands'!$T199="Please select",0,IF(J506="",VLOOKUP('6.Inland wetlands'!$T199,IPCC!$A$3222:$B$3227,2,FALSE),0.26*J506))</f>
        <v/>
      </c>
      <c r="I506" s="1688">
        <f>IF('6.Inland wetlands'!$CN199="",'6.Inland wetlands'!$CM199,'6.Inland wetlands'!$CN199)</f>
        <v/>
      </c>
      <c r="J506" s="1688">
        <f>IF('6.Inland wetlands'!CP199="","",'6.Inland wetlands'!CP199)</f>
        <v/>
      </c>
      <c r="K506" s="4718">
        <f>IF(B506="Please select",0,INDEX(IPCC!$A$3204:$E$3215,MATCH(clim_moist,IPCC!$A$3204:$A$3215,0),MATCH('Inl. wetlands'!$B506,IPCC!$A$3204:$E$3204,0)))</f>
        <v/>
      </c>
      <c r="L506" s="1688">
        <f>IF('6.Inland wetlands'!CG199="",'6.Inland wetlands'!CF199,'6.Inland wetlands'!CG199)</f>
        <v/>
      </c>
      <c r="M506" s="1688">
        <f>IF('6.Inland wetlands'!CI199="",'6.Inland wetlands'!CH199,'6.Inland wetlands'!CI199)</f>
        <v/>
      </c>
      <c r="N506" s="1688">
        <f>IF('6.Inland wetlands'!CK199="",'6.Inland wetlands'!CJ199,'6.Inland wetlands'!CK199)</f>
        <v/>
      </c>
      <c r="P506" s="3493">
        <f>$C506*$I506*$L506/1000*methane</f>
        <v/>
      </c>
      <c r="Q506" s="3493">
        <f>$D506*$I506*$M506/1000*methane</f>
        <v/>
      </c>
      <c r="R506" s="3493">
        <f>$F506*$I506*$N506/1000*methane</f>
        <v/>
      </c>
      <c r="AI506" s="3495">
        <f>MIN($P506,$Q506)*time_tot+ABS($Q506-$P506)*IF($Q506&gt;$P506,time_cap+time*(VLOOKUP($E506,list!$J$48:$K$50,2,0)),time*(1-(VLOOKUP($E506,list!$J$48:$K$50,2,0))))</f>
        <v/>
      </c>
      <c r="AJ506" s="3495">
        <f>MIN($P506,$R506)*time_tot+ABS($R506-$P506)*IF($R506&gt;$P506,time_cap+time*(VLOOKUP($G506,list!$J$48:$K$50,2,0)),time*(1-(VLOOKUP($G506,list!$J$48:$K$50,2,0))))</f>
        <v/>
      </c>
      <c r="AK506" s="1160">
        <f>AJ506-AI506</f>
        <v/>
      </c>
      <c r="AX506" s="1449">
        <f>MIN($P506,$Q506)*time+ABS($Q506-$P506)*IF($Q506&gt;$P506,time*(VLOOKUP($E506,list!$J$48:$K$50,2,0)),time*(1-(VLOOKUP($E506,list!$J$48:$K$50,2,0))))</f>
        <v/>
      </c>
      <c r="AY506" s="1449">
        <f>MIN($P506,$R506)*time+ABS($R506-$P506)*IF($R506&gt;$P506,time*(VLOOKUP($G506,list!$J$48:$K$50,2,0)),time*(1-(VLOOKUP($G506,list!$J$48:$K$50,2,0))))</f>
        <v/>
      </c>
      <c r="BK506" s="992" t="n"/>
      <c r="BL506" s="992" t="n"/>
      <c r="BM506" s="992" t="n"/>
    </row>
    <row r="507">
      <c r="B507" s="973">
        <f>'6.Inland wetlands'!I200</f>
        <v/>
      </c>
      <c r="C507" s="992">
        <f>'6.Inland wetlands'!M200</f>
        <v/>
      </c>
      <c r="D507" s="992">
        <f>'6.Inland wetlands'!N200</f>
        <v/>
      </c>
      <c r="E507" s="992">
        <f>VLOOKUP('6.Inland wetlands'!O200,list!$I$48:$J$50,2,FALSE )</f>
        <v/>
      </c>
      <c r="F507" s="992">
        <f>'6.Inland wetlands'!P200</f>
        <v/>
      </c>
      <c r="G507" s="992">
        <f>VLOOKUP('6.Inland wetlands'!Q200,list!$I$48:$J$50,2,FALSE )</f>
        <v/>
      </c>
      <c r="H507" s="4718">
        <f>IF('6.Inland wetlands'!$T200="Please select",0,IF(J507="",VLOOKUP('6.Inland wetlands'!$T200,IPCC!$A$3222:$B$3227,2,FALSE),0.26*J507))</f>
        <v/>
      </c>
      <c r="I507" s="1688">
        <f>IF('6.Inland wetlands'!$CN200="",'6.Inland wetlands'!$CM200,'6.Inland wetlands'!$CN200)</f>
        <v/>
      </c>
      <c r="J507" s="1688">
        <f>IF('6.Inland wetlands'!CP200="","",'6.Inland wetlands'!CP200)</f>
        <v/>
      </c>
      <c r="K507" s="4718">
        <f>IF(B507="Please select",0,INDEX(IPCC!$A$3204:$E$3215,MATCH(clim_moist,IPCC!$A$3204:$A$3215,0),MATCH('Inl. wetlands'!$B507,IPCC!$A$3204:$E$3204,0)))</f>
        <v/>
      </c>
      <c r="L507" s="1688">
        <f>IF('6.Inland wetlands'!CG200="",'6.Inland wetlands'!CF200,'6.Inland wetlands'!CG200)</f>
        <v/>
      </c>
      <c r="M507" s="1688">
        <f>IF('6.Inland wetlands'!CI200="",'6.Inland wetlands'!CH200,'6.Inland wetlands'!CI200)</f>
        <v/>
      </c>
      <c r="N507" s="1688">
        <f>IF('6.Inland wetlands'!CK200="",'6.Inland wetlands'!CJ200,'6.Inland wetlands'!CK200)</f>
        <v/>
      </c>
      <c r="P507" s="3493">
        <f>$C507*$I507*$L507/1000*methane</f>
        <v/>
      </c>
      <c r="Q507" s="3493">
        <f>$D507*$I507*$M507/1000*methane</f>
        <v/>
      </c>
      <c r="R507" s="3493">
        <f>$F507*$I507*$N507/1000*methane</f>
        <v/>
      </c>
      <c r="AI507" s="3495">
        <f>MIN($P507,$Q507)*time_tot+ABS($Q507-$P507)*IF($Q507&gt;$P507,time_cap+time*(VLOOKUP($E507,list!$J$48:$K$50,2,0)),time*(1-(VLOOKUP($E507,list!$J$48:$K$50,2,0))))</f>
        <v/>
      </c>
      <c r="AJ507" s="3495">
        <f>MIN($P507,$R507)*time_tot+ABS($R507-$P507)*IF($R507&gt;$P507,time_cap+time*(VLOOKUP($G507,list!$J$48:$K$50,2,0)),time*(1-(VLOOKUP($G507,list!$J$48:$K$50,2,0))))</f>
        <v/>
      </c>
      <c r="AK507" s="1160">
        <f>AJ507-AI507</f>
        <v/>
      </c>
      <c r="AX507" s="1449">
        <f>MIN($P507,$Q507)*time+ABS($Q507-$P507)*IF($Q507&gt;$P507,time*(VLOOKUP($E507,list!$J$48:$K$50,2,0)),time*(1-(VLOOKUP($E507,list!$J$48:$K$50,2,0))))</f>
        <v/>
      </c>
      <c r="AY507" s="1449">
        <f>MIN($P507,$R507)*time+ABS($R507-$P507)*IF($R507&gt;$P507,time*(VLOOKUP($G507,list!$J$48:$K$50,2,0)),time*(1-(VLOOKUP($G507,list!$J$48:$K$50,2,0))))</f>
        <v/>
      </c>
      <c r="BM507" s="992" t="n"/>
    </row>
    <row r="508">
      <c r="B508" s="973">
        <f>'6.Inland wetlands'!I201</f>
        <v/>
      </c>
      <c r="C508" s="992">
        <f>'6.Inland wetlands'!M201</f>
        <v/>
      </c>
      <c r="D508" s="992">
        <f>'6.Inland wetlands'!N201</f>
        <v/>
      </c>
      <c r="E508" s="992">
        <f>VLOOKUP('6.Inland wetlands'!O201,list!$I$48:$J$50,2,FALSE )</f>
        <v/>
      </c>
      <c r="F508" s="992">
        <f>'6.Inland wetlands'!P201</f>
        <v/>
      </c>
      <c r="G508" s="992">
        <f>VLOOKUP('6.Inland wetlands'!Q201,list!$I$48:$J$50,2,FALSE )</f>
        <v/>
      </c>
      <c r="H508" s="4718">
        <f>IF('6.Inland wetlands'!$T201="Please select",0,IF(J508="",VLOOKUP('6.Inland wetlands'!$T201,IPCC!$A$3222:$B$3227,2,FALSE),0.26*J508))</f>
        <v/>
      </c>
      <c r="I508" s="1688">
        <f>IF('6.Inland wetlands'!$CN201="",'6.Inland wetlands'!$CM201,'6.Inland wetlands'!$CN201)</f>
        <v/>
      </c>
      <c r="J508" s="1688">
        <f>IF('6.Inland wetlands'!CP201="","",'6.Inland wetlands'!CP201)</f>
        <v/>
      </c>
      <c r="K508" s="4718">
        <f>IF(B508="Please select",0,INDEX(IPCC!$A$3204:$E$3215,MATCH(clim_moist,IPCC!$A$3204:$A$3215,0),MATCH('Inl. wetlands'!$B508,IPCC!$A$3204:$E$3204,0)))</f>
        <v/>
      </c>
      <c r="L508" s="1688">
        <f>IF('6.Inland wetlands'!CG201="",'6.Inland wetlands'!CF201,'6.Inland wetlands'!CG201)</f>
        <v/>
      </c>
      <c r="M508" s="1688">
        <f>IF('6.Inland wetlands'!CI201="",'6.Inland wetlands'!CH201,'6.Inland wetlands'!CI201)</f>
        <v/>
      </c>
      <c r="N508" s="1688">
        <f>IF('6.Inland wetlands'!CK201="",'6.Inland wetlands'!CJ201,'6.Inland wetlands'!CK201)</f>
        <v/>
      </c>
      <c r="P508" s="3493">
        <f>$C508*$I508*$L508/1000*methane</f>
        <v/>
      </c>
      <c r="Q508" s="3493">
        <f>$D508*$I508*$M508/1000*methane</f>
        <v/>
      </c>
      <c r="R508" s="3493">
        <f>$F508*$I508*$N508/1000*methane</f>
        <v/>
      </c>
      <c r="AI508" s="3495">
        <f>MIN($P508,$Q508)*time_tot+ABS($Q508-$P508)*IF($Q508&gt;$P508,time_cap+time*(VLOOKUP($E508,list!$J$48:$K$50,2,0)),time*(1-(VLOOKUP($E508,list!$J$48:$K$50,2,0))))</f>
        <v/>
      </c>
      <c r="AJ508" s="3495">
        <f>MIN($P508,$R508)*time_tot+ABS($R508-$P508)*IF($R508&gt;$P508,time_cap+time*(VLOOKUP($G508,list!$J$48:$K$50,2,0)),time*(1-(VLOOKUP($G508,list!$J$48:$K$50,2,0))))</f>
        <v/>
      </c>
      <c r="AK508" s="1160">
        <f>AJ508-AI508</f>
        <v/>
      </c>
      <c r="AX508" s="1449">
        <f>MIN($P508,$Q508)*time+ABS($Q508-$P508)*IF($Q508&gt;$P508,time*(VLOOKUP($E508,list!$J$48:$K$50,2,0)),time*(1-(VLOOKUP($E508,list!$J$48:$K$50,2,0))))</f>
        <v/>
      </c>
      <c r="AY508" s="1449">
        <f>MIN($P508,$R508)*time+ABS($R508-$P508)*IF($R508&gt;$P508,time*(VLOOKUP($G508,list!$J$48:$K$50,2,0)),time*(1-(VLOOKUP($G508,list!$J$48:$K$50,2,0))))</f>
        <v/>
      </c>
      <c r="BM508" s="992" t="n"/>
    </row>
    <row r="509">
      <c r="B509" s="973">
        <f>'6.Inland wetlands'!I202</f>
        <v/>
      </c>
      <c r="C509" s="992">
        <f>'6.Inland wetlands'!M202</f>
        <v/>
      </c>
      <c r="D509" s="992">
        <f>'6.Inland wetlands'!N202</f>
        <v/>
      </c>
      <c r="E509" s="992">
        <f>VLOOKUP('6.Inland wetlands'!O202,list!$I$48:$J$50,2,FALSE )</f>
        <v/>
      </c>
      <c r="F509" s="992">
        <f>'6.Inland wetlands'!P202</f>
        <v/>
      </c>
      <c r="G509" s="992">
        <f>VLOOKUP('6.Inland wetlands'!Q202,list!$I$48:$J$50,2,FALSE )</f>
        <v/>
      </c>
      <c r="H509" s="4718">
        <f>IF('6.Inland wetlands'!$T202="Please select",0,IF(J509="",VLOOKUP('6.Inland wetlands'!$T202,IPCC!$A$3222:$B$3227,2,FALSE),0.26*J509))</f>
        <v/>
      </c>
      <c r="I509" s="1688">
        <f>IF('6.Inland wetlands'!$CN202="",'6.Inland wetlands'!$CM202,'6.Inland wetlands'!$CN202)</f>
        <v/>
      </c>
      <c r="J509" s="1688">
        <f>IF('6.Inland wetlands'!CP202="","",'6.Inland wetlands'!CP202)</f>
        <v/>
      </c>
      <c r="K509" s="4718">
        <f>IF(B509="Please select",0,INDEX(IPCC!$A$3204:$E$3215,MATCH(clim_moist,IPCC!$A$3204:$A$3215,0),MATCH('Inl. wetlands'!$B509,IPCC!$A$3204:$E$3204,0)))</f>
        <v/>
      </c>
      <c r="L509" s="1688">
        <f>IF('6.Inland wetlands'!CG202="",'6.Inland wetlands'!CF202,'6.Inland wetlands'!CG202)</f>
        <v/>
      </c>
      <c r="M509" s="1688">
        <f>IF('6.Inland wetlands'!CI202="",'6.Inland wetlands'!CH202,'6.Inland wetlands'!CI202)</f>
        <v/>
      </c>
      <c r="N509" s="1688">
        <f>IF('6.Inland wetlands'!CK202="",'6.Inland wetlands'!CJ202,'6.Inland wetlands'!CK202)</f>
        <v/>
      </c>
      <c r="P509" s="3493">
        <f>$C509*$I509*$L509/1000*methane</f>
        <v/>
      </c>
      <c r="Q509" s="3493">
        <f>$D509*$I509*$M509/1000*methane</f>
        <v/>
      </c>
      <c r="R509" s="3493">
        <f>$F509*$I509*$N509/1000*methane</f>
        <v/>
      </c>
      <c r="AI509" s="3495">
        <f>MIN($P509,$Q509)*time_tot+ABS($Q509-$P509)*IF($Q509&gt;$P509,time_cap+time*(VLOOKUP($E509,list!$J$48:$K$50,2,0)),time*(1-(VLOOKUP($E509,list!$J$48:$K$50,2,0))))</f>
        <v/>
      </c>
      <c r="AJ509" s="3495">
        <f>MIN($P509,$R509)*time_tot+ABS($R509-$P509)*IF($R509&gt;$P509,time_cap+time*(VLOOKUP($G509,list!$J$48:$K$50,2,0)),time*(1-(VLOOKUP($G509,list!$J$48:$K$50,2,0))))</f>
        <v/>
      </c>
      <c r="AK509" s="1160">
        <f>AJ509-AI509</f>
        <v/>
      </c>
      <c r="AX509" s="1449">
        <f>MIN($P509,$Q509)*time+ABS($Q509-$P509)*IF($Q509&gt;$P509,time*(VLOOKUP($E509,list!$J$48:$K$50,2,0)),time*(1-(VLOOKUP($E509,list!$J$48:$K$50,2,0))))</f>
        <v/>
      </c>
      <c r="AY509" s="1449">
        <f>MIN($P509,$R509)*time+ABS($R509-$P509)*IF($R509&gt;$P509,time*(VLOOKUP($G509,list!$J$48:$K$50,2,0)),time*(1-(VLOOKUP($G509,list!$J$48:$K$50,2,0))))</f>
        <v/>
      </c>
      <c r="BM509" s="992" t="n"/>
    </row>
    <row r="510">
      <c r="B510" s="973">
        <f>'6.Inland wetlands'!I203</f>
        <v/>
      </c>
      <c r="C510" s="992">
        <f>'6.Inland wetlands'!M203</f>
        <v/>
      </c>
      <c r="D510" s="992">
        <f>'6.Inland wetlands'!N203</f>
        <v/>
      </c>
      <c r="E510" s="992">
        <f>VLOOKUP('6.Inland wetlands'!O203,list!$I$48:$J$50,2,FALSE )</f>
        <v/>
      </c>
      <c r="F510" s="992">
        <f>'6.Inland wetlands'!P203</f>
        <v/>
      </c>
      <c r="G510" s="992">
        <f>VLOOKUP('6.Inland wetlands'!Q203,list!$I$48:$J$50,2,FALSE )</f>
        <v/>
      </c>
      <c r="H510" s="4718">
        <f>IF('6.Inland wetlands'!$T203="Please select",0,IF(J510="",VLOOKUP('6.Inland wetlands'!$T203,IPCC!$A$3222:$B$3227,2,FALSE),0.26*J510))</f>
        <v/>
      </c>
      <c r="I510" s="1688">
        <f>IF('6.Inland wetlands'!$CN203="",'6.Inland wetlands'!$CM203,'6.Inland wetlands'!$CN203)</f>
        <v/>
      </c>
      <c r="J510" s="1688">
        <f>IF('6.Inland wetlands'!CP203="","",'6.Inland wetlands'!CP203)</f>
        <v/>
      </c>
      <c r="K510" s="4718">
        <f>IF(B510="Please select",0,INDEX(IPCC!$A$3204:$E$3215,MATCH(clim_moist,IPCC!$A$3204:$A$3215,0),MATCH('Inl. wetlands'!$B510,IPCC!$A$3204:$E$3204,0)))</f>
        <v/>
      </c>
      <c r="L510" s="1688">
        <f>IF('6.Inland wetlands'!CG203="",'6.Inland wetlands'!CF203,'6.Inland wetlands'!CG203)</f>
        <v/>
      </c>
      <c r="M510" s="1688">
        <f>IF('6.Inland wetlands'!CI203="",'6.Inland wetlands'!CH203,'6.Inland wetlands'!CI203)</f>
        <v/>
      </c>
      <c r="N510" s="1688">
        <f>IF('6.Inland wetlands'!CK203="",'6.Inland wetlands'!CJ203,'6.Inland wetlands'!CK203)</f>
        <v/>
      </c>
      <c r="P510" s="3493">
        <f>$C510*$I510*$L510/1000*methane</f>
        <v/>
      </c>
      <c r="Q510" s="3493">
        <f>$D510*$I510*$M510/1000*methane</f>
        <v/>
      </c>
      <c r="R510" s="3493">
        <f>$F510*$I510*$N510/1000*methane</f>
        <v/>
      </c>
      <c r="AI510" s="3495">
        <f>MIN($P510,$Q510)*time_tot+ABS($Q510-$P510)*IF($Q510&gt;$P510,time_cap+time*(VLOOKUP($E510,list!$J$48:$K$50,2,0)),time*(1-(VLOOKUP($E510,list!$J$48:$K$50,2,0))))</f>
        <v/>
      </c>
      <c r="AJ510" s="3495">
        <f>MIN($P510,$R510)*time_tot+ABS($R510-$P510)*IF($R510&gt;$P510,time_cap+time*(VLOOKUP($G510,list!$J$48:$K$50,2,0)),time*(1-(VLOOKUP($G510,list!$J$48:$K$50,2,0))))</f>
        <v/>
      </c>
      <c r="AK510" s="1160">
        <f>AJ510-AI510</f>
        <v/>
      </c>
      <c r="AX510" s="1449">
        <f>MIN($P510,$Q510)*time+ABS($Q510-$P510)*IF($Q510&gt;$P510,time*(VLOOKUP($E510,list!$J$48:$K$50,2,0)),time*(1-(VLOOKUP($E510,list!$J$48:$K$50,2,0))))</f>
        <v/>
      </c>
      <c r="AY510" s="1449">
        <f>MIN($P510,$R510)*time+ABS($R510-$P510)*IF($R510&gt;$P510,time*(VLOOKUP($G510,list!$J$48:$K$50,2,0)),time*(1-(VLOOKUP($G510,list!$J$48:$K$50,2,0))))</f>
        <v/>
      </c>
      <c r="BM510" s="992" t="n"/>
    </row>
    <row r="511">
      <c r="B511" s="973">
        <f>'6.Inland wetlands'!I204</f>
        <v/>
      </c>
      <c r="C511" s="992">
        <f>'6.Inland wetlands'!M204</f>
        <v/>
      </c>
      <c r="D511" s="992">
        <f>'6.Inland wetlands'!N204</f>
        <v/>
      </c>
      <c r="E511" s="992">
        <f>VLOOKUP('6.Inland wetlands'!O204,list!$I$48:$J$50,2,FALSE )</f>
        <v/>
      </c>
      <c r="F511" s="992">
        <f>'6.Inland wetlands'!P204</f>
        <v/>
      </c>
      <c r="G511" s="992">
        <f>VLOOKUP('6.Inland wetlands'!Q204,list!$I$48:$J$50,2,FALSE )</f>
        <v/>
      </c>
      <c r="H511" s="4718">
        <f>IF('6.Inland wetlands'!$T204="Please select",0,IF(J511="",VLOOKUP('6.Inland wetlands'!$T204,IPCC!$A$3222:$B$3227,2,FALSE),0.26*J511))</f>
        <v/>
      </c>
      <c r="I511" s="1688">
        <f>IF('6.Inland wetlands'!$CN204="",'6.Inland wetlands'!$CM204,'6.Inland wetlands'!$CN204)</f>
        <v/>
      </c>
      <c r="J511" s="1688">
        <f>IF('6.Inland wetlands'!CP204="","",'6.Inland wetlands'!CP204)</f>
        <v/>
      </c>
      <c r="K511" s="4718">
        <f>IF(B511="Please select",0,INDEX(IPCC!$A$3204:$E$3215,MATCH(clim_moist,IPCC!$A$3204:$A$3215,0),MATCH('Inl. wetlands'!$B511,IPCC!$A$3204:$E$3204,0)))</f>
        <v/>
      </c>
      <c r="L511" s="1688">
        <f>IF('6.Inland wetlands'!CG204="",'6.Inland wetlands'!CF204,'6.Inland wetlands'!CG204)</f>
        <v/>
      </c>
      <c r="M511" s="1688">
        <f>IF('6.Inland wetlands'!CI204="",'6.Inland wetlands'!CH204,'6.Inland wetlands'!CI204)</f>
        <v/>
      </c>
      <c r="N511" s="1688">
        <f>IF('6.Inland wetlands'!CK204="",'6.Inland wetlands'!CJ204,'6.Inland wetlands'!CK204)</f>
        <v/>
      </c>
      <c r="P511" s="3493">
        <f>$C511*$I511*$L511/1000*methane</f>
        <v/>
      </c>
      <c r="Q511" s="3493">
        <f>$D511*$I511*$M511/1000*methane</f>
        <v/>
      </c>
      <c r="R511" s="3493">
        <f>$F511*$I511*$N511/1000*methane</f>
        <v/>
      </c>
      <c r="AI511" s="3495">
        <f>MIN($P511,$Q511)*time_tot+ABS($Q511-$P511)*IF($Q511&gt;$P511,time_cap+time*(VLOOKUP($E511,list!$J$48:$K$50,2,0)),time*(1-(VLOOKUP($E511,list!$J$48:$K$50,2,0))))</f>
        <v/>
      </c>
      <c r="AJ511" s="3495">
        <f>MIN($P511,$R511)*time_tot+ABS($R511-$P511)*IF($R511&gt;$P511,time_cap+time*(VLOOKUP($G511,list!$J$48:$K$50,2,0)),time*(1-(VLOOKUP($G511,list!$J$48:$K$50,2,0))))</f>
        <v/>
      </c>
      <c r="AK511" s="1160">
        <f>AJ511-AI511</f>
        <v/>
      </c>
      <c r="AX511" s="1449">
        <f>MIN($P511,$Q511)*time+ABS($Q511-$P511)*IF($Q511&gt;$P511,time*(VLOOKUP($E511,list!$J$48:$K$50,2,0)),time*(1-(VLOOKUP($E511,list!$J$48:$K$50,2,0))))</f>
        <v/>
      </c>
      <c r="AY511" s="1449">
        <f>MIN($P511,$R511)*time+ABS($R511-$P511)*IF($R511&gt;$P511,time*(VLOOKUP($G511,list!$J$48:$K$50,2,0)),time*(1-(VLOOKUP($G511,list!$J$48:$K$50,2,0))))</f>
        <v/>
      </c>
      <c r="BM511" s="992" t="n"/>
    </row>
    <row r="512">
      <c r="AX512" s="1449" t="n"/>
      <c r="BM512" s="992" t="n"/>
    </row>
    <row r="513">
      <c r="C513" s="3136">
        <f>SUM(C504:C511)</f>
        <v/>
      </c>
      <c r="D513" s="3136">
        <f>SUM(D504:D511)</f>
        <v/>
      </c>
      <c r="E513" s="1688" t="n"/>
      <c r="F513" s="3136">
        <f>SUM(F504:F511)</f>
        <v/>
      </c>
      <c r="BM513" s="1688" t="n"/>
    </row>
    <row r="514">
      <c r="BM514" s="992" t="n"/>
      <c r="BN514" s="1246" t="n"/>
    </row>
    <row r="515">
      <c r="BM515" s="992" t="n"/>
      <c r="BN515" s="1246" t="n"/>
    </row>
  </sheetData>
  <mergeCells count="2">
    <mergeCell ref="Z21:AA21"/>
    <mergeCell ref="AB21:AC21"/>
  </mergeCells>
  <conditionalFormatting sqref="BL47:BN47">
    <cfRule type="expression" priority="25" dxfId="60">
      <formula>$BL$46&lt;&gt;$BL$47</formula>
    </cfRule>
  </conditionalFormatting>
  <conditionalFormatting sqref="BL236:BN236">
    <cfRule type="expression" priority="5" dxfId="60">
      <formula>$BL$235&lt;&gt;$BL$236</formula>
    </cfRule>
  </conditionalFormatting>
  <conditionalFormatting sqref="BL351:BN351">
    <cfRule type="expression" priority="4" dxfId="60">
      <formula>$BL$350&lt;&gt;$BL$351</formula>
    </cfRule>
  </conditionalFormatting>
  <conditionalFormatting sqref="BK506:BL506 BL427:BN427 BM515">
    <cfRule type="expression" priority="3" dxfId="60">
      <formula>$BL$426&lt;&gt;$BL$427</formula>
    </cfRule>
  </conditionalFormatting>
  <conditionalFormatting sqref="BL485:BN485">
    <cfRule type="expression" priority="2" dxfId="60">
      <formula>$BL$426&lt;&gt;$BL$427</formula>
    </cfRule>
  </conditionalFormatting>
  <pageMargins left="0.7" right="0.7" top="0.75" bottom="0.75" header="0.3" footer="0.3"/>
  <pageSetup orientation="portrait"/>
  <legacyDrawing r:id="anysvml"/>
</worksheet>
</file>

<file path=xl/worksheets/sheet19.xml><?xml version="1.0" encoding="utf-8"?>
<worksheet xmlns="http://schemas.openxmlformats.org/spreadsheetml/2006/main">
  <sheetPr>
    <outlinePr summaryBelow="1" summaryRight="1"/>
    <pageSetUpPr/>
  </sheetPr>
  <dimension ref="A1:A1"/>
  <sheetViews>
    <sheetView workbookViewId="0">
      <selection activeCell="A1" sqref="A1:B8"/>
    </sheetView>
  </sheetViews>
  <sheetFormatPr baseColWidth="10" defaultColWidth="8.83203125" defaultRowHeight="15"/>
  <sheetData/>
  <pageMargins left="0.7" right="0.7" top="0.75" bottom="0.75" header="0.3" footer="0.3"/>
</worksheet>
</file>

<file path=xl/worksheets/sheet20.xml><?xml version="1.0" encoding="utf-8"?>
<worksheet xmlns:r="http://schemas.openxmlformats.org/officeDocument/2006/relationships" xmlns="http://schemas.openxmlformats.org/spreadsheetml/2006/main">
  <sheetPr codeName="Sheet3">
    <tabColor theme="0" tint="-0.1499984740745262"/>
    <outlinePr summaryBelow="1" summaryRight="1"/>
    <pageSetUpPr/>
  </sheetPr>
  <dimension ref="A5:R349"/>
  <sheetViews>
    <sheetView zoomScale="85" zoomScaleNormal="85" workbookViewId="0">
      <selection activeCell="D7" sqref="D7"/>
    </sheetView>
  </sheetViews>
  <sheetFormatPr baseColWidth="10" defaultColWidth="8.6640625" defaultRowHeight="15"/>
  <cols>
    <col width="9.33203125" customWidth="1" min="1" max="1"/>
    <col width="43.5" customWidth="1" min="2" max="2"/>
    <col width="25.5" customWidth="1" min="3" max="3"/>
    <col width="29.33203125" customWidth="1" min="4" max="4"/>
    <col width="21.5" bestFit="1" customWidth="1" min="5" max="5"/>
    <col width="31.5" customWidth="1" min="6" max="6"/>
    <col width="27" customWidth="1" min="7" max="7"/>
    <col width="37.5" customWidth="1" min="8" max="8"/>
    <col width="40" customWidth="1" min="9" max="9"/>
    <col width="31.5" bestFit="1" customWidth="1" min="10" max="10"/>
    <col width="35.33203125" customWidth="1" min="11" max="11"/>
    <col width="26" bestFit="1" customWidth="1" min="12" max="12"/>
    <col width="29.5" bestFit="1" customWidth="1" min="13" max="13"/>
    <col width="26" bestFit="1" customWidth="1" min="14" max="14"/>
    <col width="20.33203125" customWidth="1" min="15" max="15"/>
    <col width="22.6640625" customWidth="1" min="16" max="16"/>
    <col width="9.33203125" customWidth="1" min="17" max="21"/>
    <col width="34.5" customWidth="1" min="23" max="23"/>
  </cols>
  <sheetData>
    <row r="1" ht="23" customFormat="1" customHeight="1" s="4"/>
    <row r="2" ht="8.75" customFormat="1" customHeight="1" s="4"/>
    <row r="3" ht="14.25" customFormat="1" customHeight="1" s="4"/>
    <row r="4" ht="14" customFormat="1" customHeight="1" s="4"/>
    <row r="5">
      <c r="B5" t="inlineStr">
        <is>
          <t>item_fao_stat</t>
        </is>
      </c>
      <c r="C5" t="inlineStr">
        <is>
          <t>item_ipcc</t>
        </is>
      </c>
      <c r="L5" s="312" t="inlineStr">
        <is>
          <t>Ipcc soil classes</t>
        </is>
      </c>
      <c r="M5" s="312" t="inlineStr">
        <is>
          <t>ipcc_soil_code</t>
        </is>
      </c>
    </row>
    <row r="6" ht="19" customHeight="1">
      <c r="B6" s="206" t="inlineStr">
        <is>
          <t>Agave fibres nes</t>
        </is>
      </c>
      <c r="F6" s="3" t="inlineStr">
        <is>
          <t>Region</t>
        </is>
      </c>
      <c r="G6" s="5" t="inlineStr">
        <is>
          <t>ipcc_climate</t>
        </is>
      </c>
      <c r="I6" s="742" t="inlineStr">
        <is>
          <t>PLEASE DO NOT DELETE !!!</t>
        </is>
      </c>
      <c r="L6" s="313">
        <f>G7</f>
        <v/>
      </c>
      <c r="M6" s="313">
        <f>L6</f>
        <v/>
      </c>
      <c r="O6" s="313" t="inlineStr">
        <is>
          <t>Degradation level</t>
        </is>
      </c>
      <c r="P6" s="313" t="inlineStr">
        <is>
          <t>% of biomass lost</t>
        </is>
      </c>
    </row>
    <row r="7">
      <c r="B7" s="207" t="inlineStr">
        <is>
          <t>Almonds, with shell</t>
        </is>
      </c>
      <c r="F7" s="1">
        <f>G7</f>
        <v/>
      </c>
      <c r="G7" s="260" t="inlineStr">
        <is>
          <t>Please select</t>
        </is>
      </c>
      <c r="I7" s="775" t="n"/>
      <c r="L7" s="313" t="inlineStr">
        <is>
          <t xml:space="preserve">High activity clay soils </t>
        </is>
      </c>
      <c r="M7" s="313" t="inlineStr">
        <is>
          <t>HAC</t>
        </is>
      </c>
      <c r="O7" s="313" t="inlineStr">
        <is>
          <t>Please select</t>
        </is>
      </c>
      <c r="P7" s="794" t="inlineStr">
        <is>
          <t>?</t>
        </is>
      </c>
    </row>
    <row r="8">
      <c r="B8" s="207" t="inlineStr">
        <is>
          <t>Anise, badian, fennel, coriander</t>
        </is>
      </c>
      <c r="F8" s="1" t="inlineStr">
        <is>
          <t>Africa</t>
        </is>
      </c>
      <c r="G8" s="261">
        <f>F21</f>
        <v/>
      </c>
      <c r="I8" s="741">
        <f>IF(climate="Tropical Montane", "Tropical Montane", CONCATENATE(climate," ",moist_type,))</f>
        <v/>
      </c>
      <c r="L8" s="313" t="inlineStr">
        <is>
          <t>Low activity clay soils</t>
        </is>
      </c>
      <c r="M8" s="313" t="inlineStr">
        <is>
          <t>LAC</t>
        </is>
      </c>
      <c r="O8" s="313" t="inlineStr">
        <is>
          <t>None</t>
        </is>
      </c>
      <c r="P8" s="1245" t="n">
        <v>0</v>
      </c>
    </row>
    <row r="9">
      <c r="B9" s="206" t="inlineStr">
        <is>
          <t>Apples</t>
        </is>
      </c>
      <c r="F9" s="1" t="inlineStr">
        <is>
          <t>Asia (Continental)</t>
        </is>
      </c>
      <c r="G9" s="283">
        <f>G21</f>
        <v/>
      </c>
      <c r="I9" s="741">
        <f>CONCATENATE(clim_moist,continent_selected)</f>
        <v/>
      </c>
      <c r="L9" s="313" t="inlineStr">
        <is>
          <t>Sandy soils</t>
        </is>
      </c>
      <c r="M9" s="313" t="inlineStr">
        <is>
          <t>SAN</t>
        </is>
      </c>
      <c r="O9" s="313" t="inlineStr">
        <is>
          <t>Very low</t>
        </is>
      </c>
      <c r="P9" s="1245" t="n">
        <v>0.1</v>
      </c>
    </row>
    <row r="10">
      <c r="B10" s="207" t="inlineStr">
        <is>
          <t>Apricots</t>
        </is>
      </c>
      <c r="F10" s="1" t="inlineStr">
        <is>
          <t>Asia (Indian subcontinent)</t>
        </is>
      </c>
      <c r="G10" s="283">
        <f>H21</f>
        <v/>
      </c>
      <c r="I10" s="741">
        <f>climate</f>
        <v/>
      </c>
      <c r="L10" s="313" t="inlineStr">
        <is>
          <t>Spodic soils</t>
        </is>
      </c>
      <c r="M10" s="313" t="inlineStr">
        <is>
          <t>POD</t>
        </is>
      </c>
      <c r="O10" s="313" t="inlineStr">
        <is>
          <t>Low</t>
        </is>
      </c>
      <c r="P10" s="1245" t="n">
        <v>0.2</v>
      </c>
    </row>
    <row r="11">
      <c r="B11" s="207" t="inlineStr">
        <is>
          <t>Areca nuts</t>
        </is>
      </c>
      <c r="F11" s="1" t="inlineStr">
        <is>
          <t>Asia (Insular)</t>
        </is>
      </c>
      <c r="G11" s="283">
        <f>I21</f>
        <v/>
      </c>
      <c r="I11" s="741">
        <f>IF(climate="Cool Temperate","CoolTemperate",IF(climate="Warm Temperate","WarmTemperate",IF(climate="Tropical Montane","TropicalMontane",climate)))</f>
        <v/>
      </c>
      <c r="L11" s="313" t="inlineStr">
        <is>
          <t>Volcanic soils</t>
        </is>
      </c>
      <c r="M11" s="313" t="inlineStr">
        <is>
          <t>VOL</t>
        </is>
      </c>
      <c r="O11" s="313" t="inlineStr">
        <is>
          <t>Moderate</t>
        </is>
      </c>
      <c r="P11" s="1245" t="n">
        <v>0.4</v>
      </c>
    </row>
    <row r="12">
      <c r="B12" s="207" t="inlineStr">
        <is>
          <t>Artichokes</t>
        </is>
      </c>
      <c r="F12" s="1" t="inlineStr">
        <is>
          <t>Central America</t>
        </is>
      </c>
      <c r="G12" s="283">
        <f>J21</f>
        <v/>
      </c>
      <c r="I12" s="741">
        <f>IF(climate="Cool Temperate","CoolTemperate2",IF(climate="Warm Temperate","WarmTemperate2",IF(climate="Tropical Montane","TropicalMontane2",IF(climate="Boreal","Boreal2",IF(climate="Tropical","Tropical2","")))))</f>
        <v/>
      </c>
      <c r="L12" s="313" t="inlineStr">
        <is>
          <t>Wetland soils</t>
        </is>
      </c>
      <c r="M12" s="313" t="inlineStr">
        <is>
          <t xml:space="preserve">WET </t>
        </is>
      </c>
      <c r="O12" s="313" t="inlineStr">
        <is>
          <t>Large</t>
        </is>
      </c>
      <c r="P12" s="1245" t="n">
        <v>0.6</v>
      </c>
    </row>
    <row r="13">
      <c r="B13" s="207" t="inlineStr">
        <is>
          <t>Asparagus</t>
        </is>
      </c>
      <c r="F13" s="1" t="inlineStr">
        <is>
          <t>Eastern Europe</t>
        </is>
      </c>
      <c r="G13" s="261" t="n"/>
      <c r="I13" s="741">
        <f>IF(soil_full="High activity clay soils ","HAC",IF(soil_full="Low activity clay soils","LAC",IF(soil_full="Sandy soils","SAN",IF(soil_full="Spodic soils","POD",IF(soil_full="Volcanic soils","VOL",IF(soil_full="Wetland soils","WET",IF(soil_full="Organic soils","ORG","Please select")))))))</f>
        <v/>
      </c>
      <c r="L13" s="313" t="inlineStr">
        <is>
          <t>Organic soils</t>
        </is>
      </c>
      <c r="M13" s="313" t="inlineStr">
        <is>
          <t>ORG</t>
        </is>
      </c>
      <c r="O13" s="313" t="inlineStr">
        <is>
          <t>Extreme</t>
        </is>
      </c>
      <c r="P13" s="1245" t="n">
        <v>0.8</v>
      </c>
    </row>
    <row r="14">
      <c r="B14" s="206" t="inlineStr">
        <is>
          <t>Avocados</t>
        </is>
      </c>
      <c r="F14" s="1" t="inlineStr">
        <is>
          <t>Middle East</t>
        </is>
      </c>
      <c r="G14" s="261" t="n"/>
      <c r="I14" s="776">
        <f>IF('1.Description'!$S$25&lt;&gt;0, '1.Description'!$S$25, INDEX(IPCC!$B$39:$I$49,MATCH(clim_moist,IPCC!$A$39:$A$49,0),MATCH(soil,IPCC!$B$38:$I$38,0)))</f>
        <v/>
      </c>
    </row>
    <row r="15">
      <c r="B15" s="207" t="inlineStr">
        <is>
          <t>Bambara beans</t>
        </is>
      </c>
      <c r="F15" s="1" t="inlineStr">
        <is>
          <t>North America</t>
        </is>
      </c>
      <c r="G15" s="261" t="n"/>
      <c r="M15" s="234" t="inlineStr">
        <is>
          <t>perennial crop systems</t>
        </is>
      </c>
    </row>
    <row r="16">
      <c r="B16" s="206" t="inlineStr">
        <is>
          <t>Bananas</t>
        </is>
      </c>
      <c r="F16" s="1" t="inlineStr">
        <is>
          <t>Oceania</t>
        </is>
      </c>
      <c r="G16" s="261" t="n"/>
      <c r="M16" s="6">
        <f>F7</f>
        <v/>
      </c>
    </row>
    <row r="17">
      <c r="B17" s="207" t="inlineStr">
        <is>
          <t>Barley</t>
        </is>
      </c>
      <c r="C17" s="662" t="inlineStr">
        <is>
          <t>Project status</t>
        </is>
      </c>
      <c r="F17" s="1" t="inlineStr">
        <is>
          <t>South America</t>
        </is>
      </c>
      <c r="G17" s="261" t="n"/>
      <c r="M17" s="6" t="inlineStr">
        <is>
          <t>Default</t>
        </is>
      </c>
    </row>
    <row r="18">
      <c r="B18" s="206" t="inlineStr">
        <is>
          <t>Bastfibres, other</t>
        </is>
      </c>
      <c r="C18" s="461" t="inlineStr">
        <is>
          <t>Please select</t>
        </is>
      </c>
      <c r="F18" s="2" t="inlineStr">
        <is>
          <t>Western Europe</t>
        </is>
      </c>
      <c r="G18" s="262" t="n"/>
      <c r="M18" s="6" t="inlineStr">
        <is>
          <t>Alley cropping</t>
        </is>
      </c>
    </row>
    <row r="19">
      <c r="C19" s="661" t="inlineStr">
        <is>
          <t>Design</t>
        </is>
      </c>
      <c r="M19" s="6" t="inlineStr">
        <is>
          <t>Perennial fallows</t>
        </is>
      </c>
    </row>
    <row r="20">
      <c r="C20" s="661" t="inlineStr">
        <is>
          <t xml:space="preserve">Implementation </t>
        </is>
      </c>
      <c r="M20" s="6" t="inlineStr">
        <is>
          <t>Hedgerows</t>
        </is>
      </c>
    </row>
    <row r="21">
      <c r="C21" s="661" t="inlineStr">
        <is>
          <t xml:space="preserve">Completed </t>
        </is>
      </c>
      <c r="F21" s="290" t="inlineStr">
        <is>
          <t>Boreal</t>
        </is>
      </c>
      <c r="G21" s="290" t="inlineStr">
        <is>
          <t>Cool Temperate</t>
        </is>
      </c>
      <c r="H21" s="290" t="inlineStr">
        <is>
          <t>Tropical</t>
        </is>
      </c>
      <c r="I21" s="290" t="inlineStr">
        <is>
          <t>Tropical Montane</t>
        </is>
      </c>
      <c r="J21" s="290" t="inlineStr">
        <is>
          <t>Warm Temperate</t>
        </is>
      </c>
      <c r="M21" s="6" t="inlineStr">
        <is>
          <t>Multistrata systems</t>
        </is>
      </c>
    </row>
    <row r="22">
      <c r="C22" s="661" t="inlineStr">
        <is>
          <t>Other</t>
        </is>
      </c>
      <c r="F22" s="288" t="inlineStr">
        <is>
          <t>Please select</t>
        </is>
      </c>
      <c r="G22" s="288" t="inlineStr">
        <is>
          <t>Please select</t>
        </is>
      </c>
      <c r="H22" s="288" t="inlineStr">
        <is>
          <t>Please select</t>
        </is>
      </c>
      <c r="I22" s="288" t="inlineStr">
        <is>
          <t>Please select</t>
        </is>
      </c>
      <c r="J22" s="288" t="inlineStr">
        <is>
          <t>Please select</t>
        </is>
      </c>
      <c r="M22" s="6" t="inlineStr">
        <is>
          <t>Parklands</t>
        </is>
      </c>
    </row>
    <row r="23">
      <c r="F23" s="289" t="inlineStr">
        <is>
          <t>Dry</t>
        </is>
      </c>
      <c r="G23" s="289" t="inlineStr">
        <is>
          <t>Dry</t>
        </is>
      </c>
      <c r="H23" s="289" t="inlineStr">
        <is>
          <t>Dry</t>
        </is>
      </c>
      <c r="I23" s="289" t="inlineStr">
        <is>
          <t>Dry</t>
        </is>
      </c>
      <c r="J23" s="289" t="inlineStr">
        <is>
          <t>Dry</t>
        </is>
      </c>
      <c r="M23" s="6" t="inlineStr">
        <is>
          <t>Shaded Perennial-crop systems</t>
        </is>
      </c>
    </row>
    <row r="24">
      <c r="F24" s="285" t="inlineStr">
        <is>
          <t>Moist</t>
        </is>
      </c>
      <c r="G24" s="285" t="inlineStr">
        <is>
          <t>Moist</t>
        </is>
      </c>
      <c r="H24" s="289" t="inlineStr">
        <is>
          <t>Moist</t>
        </is>
      </c>
      <c r="I24" s="285" t="n"/>
      <c r="J24" s="285" t="inlineStr">
        <is>
          <t>Moist</t>
        </is>
      </c>
      <c r="M24" s="6" t="inlineStr">
        <is>
          <t>Silvoarable systems</t>
        </is>
      </c>
    </row>
    <row r="25">
      <c r="F25" s="287" t="n"/>
      <c r="G25" s="287" t="n"/>
      <c r="H25" s="285" t="inlineStr">
        <is>
          <t>Wet</t>
        </is>
      </c>
      <c r="I25" s="287" t="n"/>
      <c r="J25" s="287" t="n"/>
      <c r="M25" s="6" t="inlineStr">
        <is>
          <t>Silvopastoral systems</t>
        </is>
      </c>
    </row>
    <row r="26">
      <c r="F26" s="284" t="n"/>
      <c r="G26" s="284" t="n"/>
      <c r="H26" s="284" t="n"/>
      <c r="I26" s="284" t="n"/>
      <c r="J26" s="284" t="n"/>
    </row>
    <row r="29">
      <c r="B29" s="206" t="inlineStr">
        <is>
          <t>Beans, dry</t>
        </is>
      </c>
      <c r="E29">
        <f>list!N7</f>
        <v/>
      </c>
      <c r="F29" s="6" t="inlineStr">
        <is>
          <t>Monoculture perennial</t>
        </is>
      </c>
    </row>
    <row r="30">
      <c r="B30" s="206" t="inlineStr">
        <is>
          <t>Beans, green</t>
        </is>
      </c>
    </row>
    <row r="31">
      <c r="B31" s="207" t="inlineStr">
        <is>
          <t>Berries nes</t>
        </is>
      </c>
      <c r="F31" s="225" t="inlineStr">
        <is>
          <t>Final LU</t>
        </is>
      </c>
      <c r="G31" s="225" t="inlineStr">
        <is>
          <t>minor_crop_ipcc</t>
        </is>
      </c>
      <c r="I31" s="6" t="inlineStr">
        <is>
          <t>Relative C stock change factors for management activities on cropland</t>
        </is>
      </c>
      <c r="J31" s="6" t="n"/>
      <c r="K31" s="6" t="n"/>
    </row>
    <row r="32" ht="15" customHeight="1">
      <c r="B32" s="207" t="inlineStr">
        <is>
          <t>Blueberries</t>
        </is>
      </c>
      <c r="E32" s="6" t="n"/>
      <c r="F32" s="6">
        <f>F22</f>
        <v/>
      </c>
      <c r="G32" s="6" t="inlineStr">
        <is>
          <t xml:space="preserve">None </t>
        </is>
      </c>
      <c r="I32" s="64" t="inlineStr">
        <is>
          <t>FLU</t>
        </is>
      </c>
      <c r="J32" s="64" t="inlineStr">
        <is>
          <t>FLU</t>
        </is>
      </c>
      <c r="K32" s="64" t="inlineStr">
        <is>
          <t>FMG</t>
        </is>
      </c>
      <c r="L32" s="64" t="inlineStr">
        <is>
          <t>FI</t>
        </is>
      </c>
    </row>
    <row r="33" ht="15" customHeight="1">
      <c r="B33" s="207" t="inlineStr">
        <is>
          <t>Brazil nuts, with shell</t>
        </is>
      </c>
      <c r="E33" s="6" t="inlineStr">
        <is>
          <t>TABLE 5. 9</t>
        </is>
      </c>
      <c r="F33" s="6" t="inlineStr">
        <is>
          <t>Annual cropland</t>
        </is>
      </c>
      <c r="G33" s="188" t="inlineStr">
        <is>
          <t>Default</t>
        </is>
      </c>
      <c r="I33" s="6">
        <f>K33</f>
        <v/>
      </c>
      <c r="J33" s="6">
        <f>L33</f>
        <v/>
      </c>
      <c r="K33" s="6">
        <f>F7</f>
        <v/>
      </c>
      <c r="L33" s="6">
        <f>K33</f>
        <v/>
      </c>
    </row>
    <row r="34" ht="15" customHeight="1">
      <c r="B34" s="206" t="inlineStr">
        <is>
          <t>Broad beans, horse beans, dry</t>
        </is>
      </c>
      <c r="E34" s="6" t="n"/>
      <c r="F34" s="6" t="inlineStr">
        <is>
          <t>Flooded rice</t>
        </is>
      </c>
      <c r="G34" s="188" t="inlineStr">
        <is>
          <t>Grains</t>
        </is>
      </c>
      <c r="I34" s="6" t="inlineStr">
        <is>
          <t>Long-term cultivated</t>
        </is>
      </c>
      <c r="J34" s="318" t="inlineStr">
        <is>
          <t>Perennial tree/woody crops</t>
        </is>
      </c>
      <c r="K34" s="6" t="inlineStr">
        <is>
          <t>Full tillage</t>
        </is>
      </c>
      <c r="L34" s="6" t="inlineStr">
        <is>
          <t>Low C input</t>
        </is>
      </c>
    </row>
    <row r="35">
      <c r="B35" s="207" t="inlineStr">
        <is>
          <t>Buckwheat</t>
        </is>
      </c>
      <c r="E35" s="6" t="inlineStr">
        <is>
          <t>Table 6.4</t>
        </is>
      </c>
      <c r="F35" s="6" t="inlineStr">
        <is>
          <t>Fallow annual</t>
        </is>
      </c>
      <c r="G35" s="188" t="inlineStr">
        <is>
          <t>Beans &amp; pulses</t>
        </is>
      </c>
      <c r="I35" s="6" t="n"/>
      <c r="J35" s="6" t="n"/>
      <c r="K35" s="6" t="inlineStr">
        <is>
          <t>Reduced tillage</t>
        </is>
      </c>
      <c r="L35" s="6" t="inlineStr">
        <is>
          <t>Medium C input</t>
        </is>
      </c>
    </row>
    <row r="36">
      <c r="B36" s="206" t="inlineStr">
        <is>
          <t>Cabbages and other brassicas</t>
        </is>
      </c>
      <c r="E36" s="6" t="n"/>
      <c r="F36" s="6" t="inlineStr">
        <is>
          <t>Grassland</t>
        </is>
      </c>
      <c r="G36" s="188" t="inlineStr">
        <is>
          <t>Tubers</t>
        </is>
      </c>
      <c r="I36" s="6" t="n"/>
      <c r="J36" s="6" t="n"/>
      <c r="K36" s="6" t="inlineStr">
        <is>
          <t>No tillage</t>
        </is>
      </c>
      <c r="L36" s="6" t="inlineStr">
        <is>
          <t>High C input, no manure</t>
        </is>
      </c>
    </row>
    <row r="37">
      <c r="B37" s="207" t="inlineStr">
        <is>
          <t>Canary seed</t>
        </is>
      </c>
      <c r="E37" s="6" t="n"/>
      <c r="F37" s="6" t="inlineStr">
        <is>
          <t>Other land (non-vegetated)</t>
        </is>
      </c>
      <c r="G37" s="188" t="inlineStr">
        <is>
          <t>Barley</t>
        </is>
      </c>
      <c r="I37" s="6" t="n"/>
      <c r="J37" s="6" t="n"/>
      <c r="K37" s="6" t="n"/>
      <c r="L37" s="6" t="inlineStr">
        <is>
          <t>High C input, with manure</t>
        </is>
      </c>
    </row>
    <row r="38">
      <c r="B38" s="207" t="inlineStr">
        <is>
          <t>Carobs</t>
        </is>
      </c>
      <c r="E38" s="6" t="inlineStr">
        <is>
          <t>Table 5.1 &amp; Table 5.2</t>
        </is>
      </c>
      <c r="F38" s="6" t="inlineStr">
        <is>
          <t>Fallow perennial</t>
        </is>
      </c>
      <c r="G38" s="188" t="inlineStr">
        <is>
          <t>Maize</t>
        </is>
      </c>
    </row>
    <row r="39">
      <c r="B39" s="206" t="inlineStr">
        <is>
          <t>Carrots and turnips</t>
        </is>
      </c>
      <c r="E39" s="6" t="inlineStr">
        <is>
          <t>Table 5.1 &amp; Table 5.2</t>
        </is>
      </c>
      <c r="F39" s="6" t="inlineStr">
        <is>
          <t>Hedgerow</t>
        </is>
      </c>
      <c r="G39" s="188" t="inlineStr">
        <is>
          <t>Oats</t>
        </is>
      </c>
    </row>
    <row r="40">
      <c r="B40" s="206" t="inlineStr">
        <is>
          <t>Cashew nuts, with shell</t>
        </is>
      </c>
      <c r="E40" s="6" t="inlineStr">
        <is>
          <t>Table 5.1 &amp; Table 5.2</t>
        </is>
      </c>
      <c r="F40" s="6" t="inlineStr">
        <is>
          <t>Alley cropping</t>
        </is>
      </c>
      <c r="G40" s="188" t="inlineStr">
        <is>
          <t>Potatoes</t>
        </is>
      </c>
      <c r="I40" s="319" t="inlineStr">
        <is>
          <t>Residue management</t>
        </is>
      </c>
      <c r="J40" s="260" t="inlineStr">
        <is>
          <t>Residue management</t>
        </is>
      </c>
    </row>
    <row r="41">
      <c r="B41" s="207" t="inlineStr">
        <is>
          <t>Cashewapple</t>
        </is>
      </c>
      <c r="E41" s="6" t="inlineStr">
        <is>
          <t>Table 5.1 &amp; Table 5.2</t>
        </is>
      </c>
      <c r="F41" s="6" t="inlineStr">
        <is>
          <t>Multistrata</t>
        </is>
      </c>
      <c r="G41" s="188" t="inlineStr">
        <is>
          <t>Soybeans</t>
        </is>
      </c>
      <c r="I41" s="320" t="inlineStr">
        <is>
          <t>Please select</t>
        </is>
      </c>
      <c r="J41" s="261" t="inlineStr">
        <is>
          <t>YES</t>
        </is>
      </c>
    </row>
    <row r="42">
      <c r="B42" s="206" t="inlineStr">
        <is>
          <t>Cassava</t>
        </is>
      </c>
      <c r="E42" s="6" t="inlineStr">
        <is>
          <t>Table 5.1 &amp; Table 5.2</t>
        </is>
      </c>
      <c r="F42" s="6" t="inlineStr">
        <is>
          <t>Parkland</t>
        </is>
      </c>
      <c r="G42" s="188" t="inlineStr">
        <is>
          <t>Wheat</t>
        </is>
      </c>
      <c r="I42" s="320" t="inlineStr">
        <is>
          <t>Burned</t>
        </is>
      </c>
      <c r="J42" s="262" t="inlineStr">
        <is>
          <t>NO</t>
        </is>
      </c>
    </row>
    <row r="43">
      <c r="B43" s="207" t="inlineStr">
        <is>
          <t>Cassava leaves</t>
        </is>
      </c>
      <c r="E43" s="6" t="inlineStr">
        <is>
          <t>Table 5.1 &amp; Table 5.2</t>
        </is>
      </c>
      <c r="F43" s="6" t="inlineStr">
        <is>
          <t>Shaded Perennial</t>
        </is>
      </c>
      <c r="G43" s="188" t="inlineStr">
        <is>
          <t>Millet</t>
        </is>
      </c>
      <c r="I43" s="261" t="inlineStr">
        <is>
          <t>Retained</t>
        </is>
      </c>
    </row>
    <row r="44">
      <c r="B44" s="206" t="inlineStr">
        <is>
          <t>Castor oil seed</t>
        </is>
      </c>
      <c r="E44" s="6" t="inlineStr">
        <is>
          <t>Table 5.1 &amp; Table 5.2</t>
        </is>
      </c>
      <c r="F44" s="6" t="inlineStr">
        <is>
          <t>Silvoarable</t>
        </is>
      </c>
      <c r="G44" s="188" t="inlineStr">
        <is>
          <t>Sorghum</t>
        </is>
      </c>
      <c r="I44" s="262" t="inlineStr">
        <is>
          <t>Exported</t>
        </is>
      </c>
    </row>
    <row r="45">
      <c r="B45" s="206" t="inlineStr">
        <is>
          <t>Cauliflowers and broccoli</t>
        </is>
      </c>
      <c r="E45" s="6" t="inlineStr">
        <is>
          <t>Table 5.1 &amp; Table 5.2</t>
        </is>
      </c>
      <c r="F45" s="6" t="inlineStr">
        <is>
          <t>Silvopasture</t>
        </is>
      </c>
      <c r="G45" s="188" t="inlineStr">
        <is>
          <t>Rye</t>
        </is>
      </c>
    </row>
    <row r="46">
      <c r="B46" s="207" t="inlineStr">
        <is>
          <t>Cereals, nes</t>
        </is>
      </c>
      <c r="E46" s="6" t="inlineStr">
        <is>
          <t>Table 5.1 &amp; Table 5.2</t>
        </is>
      </c>
      <c r="F46" s="6" t="inlineStr">
        <is>
          <t>Hedgerow</t>
        </is>
      </c>
      <c r="G46" s="188" t="inlineStr">
        <is>
          <t>Peanuts</t>
        </is>
      </c>
    </row>
    <row r="47">
      <c r="B47" s="206" t="inlineStr">
        <is>
          <t>Cereals,Total</t>
        </is>
      </c>
      <c r="E47" s="6" t="inlineStr">
        <is>
          <t>Table 5.1 &amp; Table 5.2</t>
        </is>
      </c>
      <c r="F47" s="6" t="inlineStr">
        <is>
          <t>Silvoarable</t>
        </is>
      </c>
      <c r="G47" s="188" t="inlineStr">
        <is>
          <t>Dry bean</t>
        </is>
      </c>
      <c r="I47" s="68" t="inlineStr">
        <is>
          <t>Rate of change</t>
        </is>
      </c>
      <c r="J47" s="146" t="n"/>
      <c r="K47" s="68" t="n"/>
      <c r="L47" s="69" t="n"/>
    </row>
    <row r="48">
      <c r="B48" s="207" t="inlineStr">
        <is>
          <t>Cherries</t>
        </is>
      </c>
      <c r="E48" s="6" t="inlineStr">
        <is>
          <t>Table 5.1 &amp; Table 5.2</t>
        </is>
      </c>
      <c r="F48" s="6" t="inlineStr">
        <is>
          <t>Silvopasture</t>
        </is>
      </c>
      <c r="G48" s="188" t="inlineStr">
        <is>
          <t>Root crops</t>
        </is>
      </c>
      <c r="I48" s="69" t="inlineStr">
        <is>
          <t>I</t>
        </is>
      </c>
      <c r="J48" s="67" t="inlineStr">
        <is>
          <t>Immediate</t>
        </is>
      </c>
      <c r="K48" s="70" t="n">
        <v>1</v>
      </c>
      <c r="L48" s="70" t="inlineStr">
        <is>
          <t>I</t>
        </is>
      </c>
    </row>
    <row r="49">
      <c r="B49" s="207" t="inlineStr">
        <is>
          <t>Cherries, sour</t>
        </is>
      </c>
      <c r="E49" s="6" t="inlineStr">
        <is>
          <t>Table 5.1 &amp; Table 5.2</t>
        </is>
      </c>
      <c r="F49" s="6" t="inlineStr">
        <is>
          <t>Monoculture perennial</t>
        </is>
      </c>
      <c r="G49" s="6" t="inlineStr">
        <is>
          <t>Oilseeds</t>
        </is>
      </c>
      <c r="I49" s="69" t="inlineStr">
        <is>
          <t>D</t>
        </is>
      </c>
      <c r="J49" s="67" t="inlineStr">
        <is>
          <t>Linear</t>
        </is>
      </c>
      <c r="K49" s="70" t="n">
        <v>0.5</v>
      </c>
      <c r="L49" s="70" t="inlineStr">
        <is>
          <t>D</t>
        </is>
      </c>
    </row>
    <row r="50">
      <c r="B50" s="207" t="inlineStr">
        <is>
          <t>Chestnut</t>
        </is>
      </c>
      <c r="G50" s="6" t="inlineStr">
        <is>
          <t>Vegetables</t>
        </is>
      </c>
      <c r="I50" s="69" t="inlineStr">
        <is>
          <t>E</t>
        </is>
      </c>
      <c r="J50" s="67" t="inlineStr">
        <is>
          <t>Exponential</t>
        </is>
      </c>
      <c r="K50" s="70" t="n">
        <v>0.78</v>
      </c>
      <c r="L50" s="70" t="inlineStr">
        <is>
          <t>E</t>
        </is>
      </c>
    </row>
    <row r="51">
      <c r="B51" s="206" t="inlineStr">
        <is>
          <t>Chick peas</t>
        </is>
      </c>
    </row>
    <row r="52">
      <c r="B52" s="206" t="inlineStr">
        <is>
          <t>Chicory roots</t>
        </is>
      </c>
      <c r="C52" s="1643" t="n"/>
      <c r="D52" s="1643" t="n"/>
      <c r="E52" s="1643" t="n"/>
      <c r="F52" s="1643" t="n"/>
      <c r="G52" s="1643" t="n"/>
      <c r="H52" s="1643" t="n"/>
      <c r="I52" s="1643" t="n"/>
      <c r="J52" s="1643" t="n"/>
      <c r="K52" s="1643" t="n"/>
      <c r="L52" s="1643" t="n"/>
      <c r="M52" s="1643" t="n"/>
      <c r="N52" s="1643" t="n"/>
      <c r="O52" s="1643" t="n"/>
      <c r="P52" s="1643" t="n"/>
      <c r="Q52" s="1643" t="n"/>
    </row>
    <row r="53">
      <c r="B53" s="206" t="inlineStr">
        <is>
          <t>Chillies and peppers, dry</t>
        </is>
      </c>
    </row>
    <row r="54">
      <c r="B54" s="206" t="inlineStr">
        <is>
          <t>Chillies and peppers, green</t>
        </is>
      </c>
      <c r="G54" s="142" t="inlineStr">
        <is>
          <t>Conversion factor N2O-N emissions to N2O emissions</t>
        </is>
      </c>
      <c r="H54" s="143" t="n"/>
    </row>
    <row r="55">
      <c r="B55" s="206" t="inlineStr">
        <is>
          <t>Cinnamon (canella)</t>
        </is>
      </c>
      <c r="G55" s="138" t="inlineStr">
        <is>
          <t>N2O-N_conversion</t>
        </is>
      </c>
      <c r="H55" s="139" t="n"/>
    </row>
    <row r="56">
      <c r="B56" s="207" t="inlineStr">
        <is>
          <t>Cloves</t>
        </is>
      </c>
      <c r="G56" s="138" t="inlineStr">
        <is>
          <t>N2O=N2O-N * 44 / 28</t>
        </is>
      </c>
      <c r="H56" s="139" t="n"/>
    </row>
    <row r="57">
      <c r="B57" s="206" t="inlineStr">
        <is>
          <t>Cocoa, beans</t>
        </is>
      </c>
      <c r="G57" s="141">
        <f>44/28</f>
        <v/>
      </c>
      <c r="H57" s="140" t="n"/>
    </row>
    <row r="58">
      <c r="B58" s="206" t="inlineStr">
        <is>
          <t>Coconuts</t>
        </is>
      </c>
      <c r="F58" t="inlineStr">
        <is>
          <t>list GWP</t>
        </is>
      </c>
    </row>
    <row r="59" ht="43" customHeight="1">
      <c r="B59" s="206" t="inlineStr">
        <is>
          <t>Coffee, green</t>
        </is>
      </c>
      <c r="F59" s="4278" t="inlineStr">
        <is>
          <t>please select</t>
        </is>
      </c>
      <c r="G59" s="429" t="inlineStr">
        <is>
          <t>GWP (100 yrs)</t>
        </is>
      </c>
      <c r="H59" s="428" t="inlineStr">
        <is>
          <t>Second
Assessment
Report (SAR)</t>
        </is>
      </c>
      <c r="I59" s="428" t="inlineStr">
        <is>
          <t>Fourth
Assessment
Report (AR4)</t>
        </is>
      </c>
      <c r="J59" s="4428" t="inlineStr">
        <is>
          <t>Fifth Assessment with climate carbon feedback
Report (AR5)</t>
        </is>
      </c>
      <c r="K59" s="4428" t="inlineStr">
        <is>
          <t>Fifth Assessment without  climate carbon feedback
Report (AR5)</t>
        </is>
      </c>
      <c r="L59" s="4428" t="inlineStr">
        <is>
          <t>Sixth Assessment Report (AR6)</t>
        </is>
      </c>
      <c r="M59" s="144" t="n"/>
    </row>
    <row r="60">
      <c r="B60" s="207" t="inlineStr">
        <is>
          <t>Coir</t>
        </is>
      </c>
      <c r="F60" s="4278" t="inlineStr">
        <is>
          <t>100 yr SAR</t>
        </is>
      </c>
      <c r="G60" s="427" t="inlineStr">
        <is>
          <t>CO2</t>
        </is>
      </c>
      <c r="H60" s="427" t="n">
        <v>1</v>
      </c>
      <c r="I60" s="427" t="n">
        <v>1</v>
      </c>
      <c r="J60" s="427" t="n">
        <v>1</v>
      </c>
      <c r="K60" s="427" t="n">
        <v>1</v>
      </c>
      <c r="L60" s="427" t="n">
        <v>1</v>
      </c>
      <c r="M60" s="144" t="n"/>
    </row>
    <row r="61">
      <c r="B61" s="206" t="inlineStr">
        <is>
          <t>Cow peas, dry</t>
        </is>
      </c>
      <c r="F61" s="4278" t="inlineStr">
        <is>
          <t>100 yr AR4</t>
        </is>
      </c>
      <c r="G61" s="427" t="inlineStr">
        <is>
          <t>CH4</t>
        </is>
      </c>
      <c r="H61" s="427" t="n">
        <v>21</v>
      </c>
      <c r="I61" s="427" t="n">
        <v>25</v>
      </c>
      <c r="J61" s="427" t="n">
        <v>34</v>
      </c>
      <c r="K61" s="427" t="n">
        <v>28</v>
      </c>
      <c r="L61" s="427" t="n">
        <v>27</v>
      </c>
      <c r="M61" s="144" t="n"/>
    </row>
    <row r="62">
      <c r="B62" s="207" t="inlineStr">
        <is>
          <t>Cranberries</t>
        </is>
      </c>
      <c r="F62" s="4278" t="inlineStr">
        <is>
          <t>100 yr AR5 with CC feedback</t>
        </is>
      </c>
      <c r="G62" s="79" t="inlineStr">
        <is>
          <t>N2O</t>
        </is>
      </c>
      <c r="H62" s="79" t="n">
        <v>310</v>
      </c>
      <c r="I62" s="79" t="n">
        <v>298</v>
      </c>
      <c r="J62" s="79" t="n">
        <v>298</v>
      </c>
      <c r="K62" s="79" t="n">
        <v>265</v>
      </c>
      <c r="L62" s="79" t="n">
        <v>273</v>
      </c>
      <c r="M62" s="144" t="n"/>
    </row>
    <row r="63">
      <c r="B63" s="206" t="inlineStr">
        <is>
          <t>Cucumbers and gherkins</t>
        </is>
      </c>
      <c r="F63" s="4278" t="inlineStr">
        <is>
          <t>100 yr AR5 w/out CC feedback</t>
        </is>
      </c>
      <c r="G63" s="145" t="n"/>
      <c r="I63" s="144" t="n"/>
      <c r="J63" s="144" t="n"/>
    </row>
    <row r="64">
      <c r="B64" s="207" t="inlineStr">
        <is>
          <t>Currants</t>
        </is>
      </c>
      <c r="F64" s="4278" t="inlineStr">
        <is>
          <t>100 yr AR6</t>
        </is>
      </c>
      <c r="G64" s="145" t="n"/>
      <c r="I64" s="144" t="n"/>
      <c r="J64" s="144" t="n"/>
      <c r="K64" s="144" t="n"/>
    </row>
    <row r="65">
      <c r="B65" s="207" t="inlineStr">
        <is>
          <t>Dates</t>
        </is>
      </c>
      <c r="F65" s="4278" t="inlineStr">
        <is>
          <t>Other (tier 2)</t>
        </is>
      </c>
      <c r="G65" s="147" t="inlineStr">
        <is>
          <t>No_till_residues_management</t>
        </is>
      </c>
      <c r="H65" s="148" t="n"/>
      <c r="I65" s="149" t="n"/>
      <c r="J65" s="144" t="n"/>
      <c r="K65" s="144" t="n"/>
    </row>
    <row r="66">
      <c r="B66" s="206" t="inlineStr">
        <is>
          <t>Eggplants (aubergines)</t>
        </is>
      </c>
      <c r="G66" s="154" t="inlineStr">
        <is>
          <t>till_impr</t>
        </is>
      </c>
      <c r="H66" s="155" t="inlineStr">
        <is>
          <t>till_conv</t>
        </is>
      </c>
      <c r="I66" s="156" t="inlineStr">
        <is>
          <t>till_?</t>
        </is>
      </c>
    </row>
    <row r="67">
      <c r="B67" s="207" t="inlineStr">
        <is>
          <t>Fibre crops nes</t>
        </is>
      </c>
      <c r="G67" s="150" t="inlineStr">
        <is>
          <t>Please select</t>
        </is>
      </c>
      <c r="H67" s="151" t="inlineStr">
        <is>
          <t>Please select</t>
        </is>
      </c>
      <c r="I67" s="152" t="inlineStr">
        <is>
          <t>Please select</t>
        </is>
      </c>
    </row>
    <row r="68">
      <c r="B68" s="207" t="inlineStr">
        <is>
          <t>Figs</t>
        </is>
      </c>
      <c r="G68" s="152" t="inlineStr">
        <is>
          <t>Burned</t>
        </is>
      </c>
      <c r="H68" s="152" t="inlineStr">
        <is>
          <t>Burned</t>
        </is>
      </c>
      <c r="I68" s="152" t="inlineStr">
        <is>
          <t>Burned</t>
        </is>
      </c>
    </row>
    <row r="69">
      <c r="B69" s="207" t="inlineStr">
        <is>
          <t>Flax fibre and tow</t>
        </is>
      </c>
      <c r="G69" s="152" t="inlineStr">
        <is>
          <t>Retained</t>
        </is>
      </c>
      <c r="H69" s="152" t="inlineStr">
        <is>
          <t>Retained</t>
        </is>
      </c>
      <c r="I69" s="152" t="inlineStr">
        <is>
          <t>Retained</t>
        </is>
      </c>
    </row>
    <row r="70">
      <c r="B70" s="207" t="inlineStr">
        <is>
          <t>Fonio</t>
        </is>
      </c>
      <c r="G70" s="153" t="inlineStr">
        <is>
          <t>Exported</t>
        </is>
      </c>
      <c r="H70" s="153" t="inlineStr">
        <is>
          <t>Exported</t>
        </is>
      </c>
      <c r="I70" s="153" t="inlineStr">
        <is>
          <t>Exported</t>
        </is>
      </c>
    </row>
    <row r="71">
      <c r="B71" s="206" t="inlineStr">
        <is>
          <t>Fruit, citrus nes</t>
        </is>
      </c>
    </row>
    <row r="72">
      <c r="B72" s="206" t="inlineStr">
        <is>
          <t>Fruit, fresh nes</t>
        </is>
      </c>
    </row>
    <row r="73">
      <c r="B73" s="207" t="inlineStr">
        <is>
          <t>Fruit, pome nes</t>
        </is>
      </c>
      <c r="F73" s="286" t="inlineStr">
        <is>
          <t>Cool Temperate Dry</t>
        </is>
      </c>
      <c r="G73" s="286" t="inlineStr">
        <is>
          <t>Cool Temperate Moist</t>
        </is>
      </c>
      <c r="H73" s="286" t="inlineStr">
        <is>
          <t>Warm Temperate Dry</t>
        </is>
      </c>
      <c r="I73" s="286" t="inlineStr">
        <is>
          <t>Warm Temperate Moist</t>
        </is>
      </c>
      <c r="J73" s="286" t="inlineStr">
        <is>
          <t>Tropical Dry</t>
        </is>
      </c>
      <c r="K73" s="286" t="inlineStr">
        <is>
          <t>Tropical Moist</t>
        </is>
      </c>
      <c r="L73" s="286" t="inlineStr">
        <is>
          <t>Tropical Wet</t>
        </is>
      </c>
      <c r="M73" s="286">
        <f>list!$G$11</f>
        <v/>
      </c>
      <c r="N73" s="286" t="inlineStr">
        <is>
          <t>Boreal Dry</t>
        </is>
      </c>
      <c r="O73" s="286" t="inlineStr">
        <is>
          <t>Boreal Moist</t>
        </is>
      </c>
    </row>
    <row r="74">
      <c r="B74" s="207" t="inlineStr">
        <is>
          <t>Fruit, stone nes</t>
        </is>
      </c>
      <c r="F74" s="295" t="inlineStr">
        <is>
          <t>Please select</t>
        </is>
      </c>
      <c r="G74" s="295" t="inlineStr">
        <is>
          <t>Please select</t>
        </is>
      </c>
      <c r="H74" s="295" t="inlineStr">
        <is>
          <t>Please select</t>
        </is>
      </c>
      <c r="I74" s="295" t="inlineStr">
        <is>
          <t>Please select</t>
        </is>
      </c>
      <c r="J74" s="295" t="inlineStr">
        <is>
          <t>Please select</t>
        </is>
      </c>
      <c r="K74" s="295" t="inlineStr">
        <is>
          <t>Please select</t>
        </is>
      </c>
      <c r="L74" s="295" t="inlineStr">
        <is>
          <t>Please select</t>
        </is>
      </c>
      <c r="M74" s="295" t="inlineStr">
        <is>
          <t>Please select</t>
        </is>
      </c>
      <c r="N74" s="295" t="inlineStr">
        <is>
          <t>Please select</t>
        </is>
      </c>
      <c r="O74" s="295" t="inlineStr">
        <is>
          <t>Please select</t>
        </is>
      </c>
    </row>
    <row r="75">
      <c r="B75" s="206" t="inlineStr">
        <is>
          <t>Fruit, tropical fresh nes</t>
        </is>
      </c>
      <c r="F75" s="6" t="inlineStr">
        <is>
          <t>Agroforestry - default</t>
        </is>
      </c>
      <c r="G75" s="6" t="inlineStr">
        <is>
          <t>Agroforestry - default</t>
        </is>
      </c>
      <c r="H75" s="6" t="inlineStr">
        <is>
          <t>Agroforestry - default</t>
        </is>
      </c>
      <c r="I75" s="6" t="inlineStr">
        <is>
          <t>Agroforestry - default</t>
        </is>
      </c>
      <c r="J75" s="6" t="inlineStr">
        <is>
          <t>Agroforestry - default</t>
        </is>
      </c>
      <c r="K75" s="6" t="inlineStr">
        <is>
          <t>Agroforestry - default</t>
        </is>
      </c>
      <c r="L75" s="6" t="inlineStr">
        <is>
          <t>Agroforestry - default</t>
        </is>
      </c>
      <c r="M75" s="6" t="inlineStr">
        <is>
          <t>Agroforestry - default</t>
        </is>
      </c>
      <c r="N75" s="6" t="inlineStr">
        <is>
          <t>Agroforestry - default</t>
        </is>
      </c>
      <c r="O75" s="6" t="inlineStr">
        <is>
          <t>Agroforestry - default</t>
        </is>
      </c>
    </row>
    <row r="76">
      <c r="B76" s="206" t="inlineStr">
        <is>
          <t>Garlic</t>
        </is>
      </c>
      <c r="F76" s="629" t="inlineStr">
        <is>
          <t>Hedgerow</t>
        </is>
      </c>
      <c r="G76" s="629" t="inlineStr">
        <is>
          <t>Hedgerow</t>
        </is>
      </c>
      <c r="H76" s="629" t="inlineStr">
        <is>
          <t>Hedgerow</t>
        </is>
      </c>
      <c r="I76" s="629" t="inlineStr">
        <is>
          <t>Hedgerow</t>
        </is>
      </c>
      <c r="J76" s="629" t="inlineStr">
        <is>
          <t>Alley cropping</t>
        </is>
      </c>
      <c r="K76" s="629" t="inlineStr">
        <is>
          <t>Alley cropping</t>
        </is>
      </c>
      <c r="L76" s="629" t="inlineStr">
        <is>
          <t>Alley cropping</t>
        </is>
      </c>
      <c r="M76" s="629" t="inlineStr">
        <is>
          <t>Alley cropping</t>
        </is>
      </c>
      <c r="N76" s="629" t="inlineStr">
        <is>
          <t>Hedgerow</t>
        </is>
      </c>
      <c r="O76" s="629" t="inlineStr">
        <is>
          <t>Hedgerow</t>
        </is>
      </c>
    </row>
    <row r="77">
      <c r="B77" s="206" t="inlineStr">
        <is>
          <t>Ginger</t>
        </is>
      </c>
      <c r="F77" s="629" t="inlineStr">
        <is>
          <t>Olive</t>
        </is>
      </c>
      <c r="G77" s="629" t="inlineStr">
        <is>
          <t>Olive</t>
        </is>
      </c>
      <c r="H77" s="629" t="inlineStr">
        <is>
          <t>Olive</t>
        </is>
      </c>
      <c r="I77" s="629" t="inlineStr">
        <is>
          <t>Olive</t>
        </is>
      </c>
      <c r="J77" s="629" t="inlineStr">
        <is>
          <t>Hedgerow</t>
        </is>
      </c>
      <c r="K77" s="629" t="inlineStr">
        <is>
          <t>Hedgerow</t>
        </is>
      </c>
      <c r="L77" s="629" t="inlineStr">
        <is>
          <t>Hedgerow</t>
        </is>
      </c>
      <c r="M77" s="629" t="inlineStr">
        <is>
          <t>Hedgerow</t>
        </is>
      </c>
      <c r="N77" s="629" t="inlineStr">
        <is>
          <t>Olive</t>
        </is>
      </c>
      <c r="O77" s="629" t="inlineStr">
        <is>
          <t>Olive</t>
        </is>
      </c>
    </row>
    <row r="78">
      <c r="B78" s="207" t="inlineStr">
        <is>
          <t>Gooseberries</t>
        </is>
      </c>
      <c r="F78" s="629" t="inlineStr">
        <is>
          <t>Orchard</t>
        </is>
      </c>
      <c r="G78" s="629" t="inlineStr">
        <is>
          <t>Orchard</t>
        </is>
      </c>
      <c r="H78" s="629" t="inlineStr">
        <is>
          <t>Orchard</t>
        </is>
      </c>
      <c r="I78" s="629" t="inlineStr">
        <is>
          <t>Orchard</t>
        </is>
      </c>
      <c r="J78" s="629" t="inlineStr">
        <is>
          <t>Multistrata</t>
        </is>
      </c>
      <c r="K78" s="629" t="inlineStr">
        <is>
          <t>Multistrata</t>
        </is>
      </c>
      <c r="L78" s="629" t="inlineStr">
        <is>
          <t>Multistrata</t>
        </is>
      </c>
      <c r="M78" s="629" t="inlineStr">
        <is>
          <t>Multistrata</t>
        </is>
      </c>
      <c r="N78" s="629" t="inlineStr">
        <is>
          <t>Orchard</t>
        </is>
      </c>
      <c r="O78" s="629" t="inlineStr">
        <is>
          <t>Orchard</t>
        </is>
      </c>
    </row>
    <row r="79">
      <c r="B79" s="207" t="inlineStr">
        <is>
          <t>Grain, mixed</t>
        </is>
      </c>
      <c r="F79" s="629" t="inlineStr">
        <is>
          <t>Short Rotation Coppice</t>
        </is>
      </c>
      <c r="G79" s="629" t="inlineStr">
        <is>
          <t>Short Rotation Coppice</t>
        </is>
      </c>
      <c r="H79" s="629" t="inlineStr">
        <is>
          <t>Short Rotation Coppice</t>
        </is>
      </c>
      <c r="I79" s="629" t="inlineStr">
        <is>
          <t>Short Rotation Coppice</t>
        </is>
      </c>
      <c r="J79" s="629" t="inlineStr">
        <is>
          <t>Oil palm</t>
        </is>
      </c>
      <c r="K79" s="629" t="inlineStr">
        <is>
          <t>Oil palm</t>
        </is>
      </c>
      <c r="L79" s="629" t="inlineStr">
        <is>
          <t>Oil palm</t>
        </is>
      </c>
      <c r="M79" s="629" t="inlineStr">
        <is>
          <t>Oil palm</t>
        </is>
      </c>
      <c r="N79" s="629" t="inlineStr">
        <is>
          <t>Short Rotation Coppice</t>
        </is>
      </c>
      <c r="O79" s="629" t="inlineStr">
        <is>
          <t>Short Rotation Coppice</t>
        </is>
      </c>
    </row>
    <row r="80">
      <c r="B80" s="206" t="inlineStr">
        <is>
          <t>Grapefruit (inc. pomelos)</t>
        </is>
      </c>
      <c r="F80" s="629" t="inlineStr">
        <is>
          <t>Silvoarable</t>
        </is>
      </c>
      <c r="G80" s="629" t="inlineStr">
        <is>
          <t>Silvoarable</t>
        </is>
      </c>
      <c r="H80" s="629" t="inlineStr">
        <is>
          <t>Silvoarable</t>
        </is>
      </c>
      <c r="I80" s="629" t="inlineStr">
        <is>
          <t>Silvoarable</t>
        </is>
      </c>
      <c r="J80" s="629" t="inlineStr">
        <is>
          <t>Parkland</t>
        </is>
      </c>
      <c r="K80" s="629" t="inlineStr">
        <is>
          <t>Parkland</t>
        </is>
      </c>
      <c r="L80" s="629" t="inlineStr">
        <is>
          <t>Parkland</t>
        </is>
      </c>
      <c r="M80" s="629" t="inlineStr">
        <is>
          <t>Parkland</t>
        </is>
      </c>
      <c r="N80" s="629" t="inlineStr">
        <is>
          <t>Silvoarable</t>
        </is>
      </c>
      <c r="O80" s="629" t="inlineStr">
        <is>
          <t>Silvoarable</t>
        </is>
      </c>
    </row>
    <row r="81">
      <c r="B81" s="206" t="inlineStr">
        <is>
          <t>Grapes</t>
        </is>
      </c>
      <c r="F81" s="629" t="inlineStr">
        <is>
          <t>Silvopasture</t>
        </is>
      </c>
      <c r="G81" s="629" t="inlineStr">
        <is>
          <t>Silvopasture</t>
        </is>
      </c>
      <c r="H81" s="629" t="inlineStr">
        <is>
          <t>Silvopasture</t>
        </is>
      </c>
      <c r="I81" s="629" t="inlineStr">
        <is>
          <t>Silvopasture</t>
        </is>
      </c>
      <c r="J81" s="629" t="inlineStr">
        <is>
          <t>Perennial fallow</t>
        </is>
      </c>
      <c r="K81" s="629" t="inlineStr">
        <is>
          <t>Perennial fallow</t>
        </is>
      </c>
      <c r="L81" s="629" t="inlineStr">
        <is>
          <t>Perennial fallow</t>
        </is>
      </c>
      <c r="M81" s="629" t="inlineStr">
        <is>
          <t>Perennial fallow</t>
        </is>
      </c>
      <c r="N81" s="629" t="inlineStr">
        <is>
          <t>Silvopasture</t>
        </is>
      </c>
      <c r="O81" s="629" t="inlineStr">
        <is>
          <t>Silvopasture</t>
        </is>
      </c>
    </row>
    <row r="82">
      <c r="B82" s="206" t="inlineStr">
        <is>
          <t>Groundnuts, with shell</t>
        </is>
      </c>
      <c r="F82" s="629" t="inlineStr">
        <is>
          <t>Tea</t>
        </is>
      </c>
      <c r="G82" s="629" t="inlineStr">
        <is>
          <t>Tea</t>
        </is>
      </c>
      <c r="H82" s="629" t="inlineStr">
        <is>
          <t>Tea</t>
        </is>
      </c>
      <c r="I82" s="629" t="inlineStr">
        <is>
          <t>Tea</t>
        </is>
      </c>
      <c r="J82" s="629" t="inlineStr">
        <is>
          <t>Rubber</t>
        </is>
      </c>
      <c r="K82" s="629" t="inlineStr">
        <is>
          <t>Rubber</t>
        </is>
      </c>
      <c r="L82" s="629" t="inlineStr">
        <is>
          <t>Rubber</t>
        </is>
      </c>
      <c r="M82" s="629" t="inlineStr">
        <is>
          <t>Rubber</t>
        </is>
      </c>
      <c r="N82" s="629" t="inlineStr">
        <is>
          <t>Tea</t>
        </is>
      </c>
      <c r="O82" s="629" t="inlineStr">
        <is>
          <t>Tea</t>
        </is>
      </c>
    </row>
    <row r="83">
      <c r="B83" s="207" t="inlineStr">
        <is>
          <t>Hazelnuts, with shell</t>
        </is>
      </c>
      <c r="F83" s="629" t="inlineStr">
        <is>
          <t>Vine</t>
        </is>
      </c>
      <c r="G83" s="629" t="inlineStr">
        <is>
          <t>Vine</t>
        </is>
      </c>
      <c r="H83" s="629" t="inlineStr">
        <is>
          <t>Vine</t>
        </is>
      </c>
      <c r="I83" s="629" t="inlineStr">
        <is>
          <t>Vine</t>
        </is>
      </c>
      <c r="J83" s="629" t="inlineStr">
        <is>
          <t>Shaded Perennial</t>
        </is>
      </c>
      <c r="K83" s="629" t="inlineStr">
        <is>
          <t>Shaded Perennial</t>
        </is>
      </c>
      <c r="L83" s="629" t="inlineStr">
        <is>
          <t>Shaded Perennial</t>
        </is>
      </c>
      <c r="M83" s="629" t="inlineStr">
        <is>
          <t>Shaded Perennial</t>
        </is>
      </c>
      <c r="N83" s="629" t="inlineStr">
        <is>
          <t>Vine</t>
        </is>
      </c>
      <c r="O83" s="629" t="inlineStr">
        <is>
          <t>Vine</t>
        </is>
      </c>
    </row>
    <row r="84">
      <c r="B84" s="207" t="inlineStr">
        <is>
          <t>Hemp tow waste</t>
        </is>
      </c>
      <c r="F84" s="6" t="n"/>
      <c r="G84" s="6" t="n"/>
      <c r="H84" s="6" t="n"/>
      <c r="I84" s="6" t="n"/>
      <c r="J84" s="629" t="inlineStr">
        <is>
          <t>Silvoarable</t>
        </is>
      </c>
      <c r="K84" s="629" t="inlineStr">
        <is>
          <t>Silvoarable</t>
        </is>
      </c>
      <c r="L84" s="629" t="inlineStr">
        <is>
          <t>Silvoarable</t>
        </is>
      </c>
      <c r="M84" s="629" t="inlineStr">
        <is>
          <t>Silvoarable</t>
        </is>
      </c>
      <c r="N84" s="6" t="n"/>
      <c r="O84" s="6" t="n"/>
    </row>
    <row r="85">
      <c r="B85" s="207" t="inlineStr">
        <is>
          <t>Hempseed</t>
        </is>
      </c>
      <c r="F85" s="6" t="n"/>
      <c r="G85" s="6" t="n"/>
      <c r="H85" s="6" t="n"/>
      <c r="I85" s="6" t="n"/>
      <c r="J85" s="629" t="inlineStr">
        <is>
          <t>Silvopasture</t>
        </is>
      </c>
      <c r="K85" s="629" t="inlineStr">
        <is>
          <t>Silvopasture</t>
        </is>
      </c>
      <c r="L85" s="629" t="inlineStr">
        <is>
          <t>Silvopasture</t>
        </is>
      </c>
      <c r="M85" s="629" t="inlineStr">
        <is>
          <t>Silvopasture</t>
        </is>
      </c>
      <c r="N85" s="6" t="n"/>
      <c r="O85" s="6" t="n"/>
    </row>
    <row r="86">
      <c r="B86" s="207" t="inlineStr">
        <is>
          <t>Hops</t>
        </is>
      </c>
      <c r="F86" s="6" t="n"/>
      <c r="G86" s="6" t="n"/>
      <c r="H86" s="6" t="n"/>
      <c r="I86" s="6" t="n"/>
      <c r="J86" s="629" t="inlineStr">
        <is>
          <t>Tea</t>
        </is>
      </c>
      <c r="K86" s="629" t="inlineStr">
        <is>
          <t>Tea</t>
        </is>
      </c>
      <c r="L86" s="629" t="inlineStr">
        <is>
          <t>Tea</t>
        </is>
      </c>
      <c r="M86" s="629" t="inlineStr">
        <is>
          <t>Tea</t>
        </is>
      </c>
      <c r="N86" s="6" t="n"/>
      <c r="O86" s="6" t="n"/>
    </row>
    <row r="87">
      <c r="B87" s="207" t="inlineStr">
        <is>
          <t>Jojoba seed</t>
        </is>
      </c>
    </row>
    <row r="88">
      <c r="B88" s="207" t="inlineStr">
        <is>
          <t>Jute</t>
        </is>
      </c>
    </row>
    <row r="89">
      <c r="B89" s="207" t="inlineStr">
        <is>
          <t>Kapok fruit</t>
        </is>
      </c>
      <c r="F89" s="361" t="inlineStr">
        <is>
          <t>Water regime_ during</t>
        </is>
      </c>
      <c r="G89" s="361" t="inlineStr">
        <is>
          <t>Water regime_ before</t>
        </is>
      </c>
      <c r="H89" s="361" t="inlineStr">
        <is>
          <t>Organic amendment</t>
        </is>
      </c>
    </row>
    <row r="90">
      <c r="B90" s="207" t="inlineStr">
        <is>
          <t>Karite nuts (sheanuts)</t>
        </is>
      </c>
      <c r="F90" s="238">
        <f>F74</f>
        <v/>
      </c>
      <c r="G90" s="362">
        <f>F90</f>
        <v/>
      </c>
      <c r="H90" s="238">
        <f>G90</f>
        <v/>
      </c>
    </row>
    <row r="91">
      <c r="B91" s="207" t="inlineStr">
        <is>
          <t>Kiwi fruit</t>
        </is>
      </c>
      <c r="F91" s="236" t="inlineStr">
        <is>
          <t>Irrigated, Continuously flooded</t>
        </is>
      </c>
      <c r="G91" t="inlineStr">
        <is>
          <t>Non flooded pre-season &lt;180 d</t>
        </is>
      </c>
      <c r="H91" t="inlineStr">
        <is>
          <t>Straw burnt</t>
        </is>
      </c>
    </row>
    <row r="92">
      <c r="B92" s="207" t="inlineStr">
        <is>
          <t>Kola nuts</t>
        </is>
      </c>
      <c r="F92" s="236" t="inlineStr">
        <is>
          <t>Irrigated, Single drainage period</t>
        </is>
      </c>
      <c r="G92" t="inlineStr">
        <is>
          <t>Non flooded pre-season &gt;180 d</t>
        </is>
      </c>
      <c r="H92" t="inlineStr">
        <is>
          <t>Straw exported</t>
        </is>
      </c>
    </row>
    <row r="93">
      <c r="B93" s="207" t="inlineStr">
        <is>
          <t>Leeks, other alliaceous vegetables</t>
        </is>
      </c>
      <c r="F93" s="236" t="inlineStr">
        <is>
          <t>Irrigated, Multiple drainage periods</t>
        </is>
      </c>
      <c r="G93" s="341" t="inlineStr">
        <is>
          <t>Flooded pre-season &gt; 30 d</t>
        </is>
      </c>
      <c r="H93" s="236" t="inlineStr">
        <is>
          <t>Compost</t>
        </is>
      </c>
    </row>
    <row r="94">
      <c r="B94" s="206" t="inlineStr">
        <is>
          <t>Lemons and limes</t>
        </is>
      </c>
      <c r="F94" s="236" t="inlineStr">
        <is>
          <t>Rainfed, wet season (regular rainfed)</t>
        </is>
      </c>
      <c r="H94" s="236" t="inlineStr">
        <is>
          <t>Farm yard manure</t>
        </is>
      </c>
    </row>
    <row r="95">
      <c r="B95" s="206" t="inlineStr">
        <is>
          <t>Lentils</t>
        </is>
      </c>
      <c r="F95" s="236" t="inlineStr">
        <is>
          <t>Rainfed, dry season (drought prone)</t>
        </is>
      </c>
      <c r="H95" s="236" t="inlineStr">
        <is>
          <t>Green manure</t>
        </is>
      </c>
    </row>
    <row r="96">
      <c r="B96" s="206" t="inlineStr">
        <is>
          <t>Lettuce and chicory</t>
        </is>
      </c>
      <c r="F96" s="237" t="inlineStr">
        <is>
          <t>Rainfed, Deep water</t>
        </is>
      </c>
      <c r="H96" s="236" t="inlineStr">
        <is>
          <t>Straw incorporated long (&gt;30 days) before cultivation</t>
        </is>
      </c>
    </row>
    <row r="97">
      <c r="B97" s="207" t="inlineStr">
        <is>
          <t>Linseed</t>
        </is>
      </c>
      <c r="H97" s="237" t="inlineStr">
        <is>
          <t>Straw incorporated shortly (&lt;30 days) before cultivation</t>
        </is>
      </c>
    </row>
    <row r="98">
      <c r="B98" s="207" t="inlineStr">
        <is>
          <t>Lupins</t>
        </is>
      </c>
    </row>
    <row r="99">
      <c r="B99" s="206" t="inlineStr">
        <is>
          <t>Maize</t>
        </is>
      </c>
    </row>
    <row r="100">
      <c r="B100" s="206" t="inlineStr">
        <is>
          <t>Maize, green</t>
        </is>
      </c>
    </row>
    <row r="101">
      <c r="B101" s="206" t="inlineStr">
        <is>
          <t>Mangoes, mangosteens, guavas</t>
        </is>
      </c>
    </row>
    <row r="102">
      <c r="B102" s="207" t="inlineStr">
        <is>
          <t>Manila fibre (abaca)</t>
        </is>
      </c>
    </row>
    <row r="103">
      <c r="B103" s="207" t="inlineStr">
        <is>
          <t>Maté</t>
        </is>
      </c>
    </row>
    <row r="104">
      <c r="B104" s="206" t="inlineStr">
        <is>
          <t>Melons, other (inc.cantaloupes)</t>
        </is>
      </c>
    </row>
    <row r="105">
      <c r="B105" s="207" t="inlineStr">
        <is>
          <t>Melonseed</t>
        </is>
      </c>
    </row>
    <row r="106">
      <c r="B106" s="207" t="inlineStr">
        <is>
          <t>Millet</t>
        </is>
      </c>
    </row>
    <row r="107">
      <c r="B107" s="207" t="inlineStr">
        <is>
          <t>Mushrooms and truffles</t>
        </is>
      </c>
    </row>
    <row r="108">
      <c r="B108" s="207" t="inlineStr">
        <is>
          <t>Mustard seed</t>
        </is>
      </c>
    </row>
    <row r="109">
      <c r="B109" s="206" t="inlineStr">
        <is>
          <t>Nutmeg, mace and cardamoms</t>
        </is>
      </c>
    </row>
    <row r="110">
      <c r="B110" s="207" t="inlineStr">
        <is>
          <t>Nuts, nes</t>
        </is>
      </c>
    </row>
    <row r="111">
      <c r="B111" s="207" t="inlineStr">
        <is>
          <t>Oats</t>
        </is>
      </c>
    </row>
    <row r="112">
      <c r="B112" s="206" t="inlineStr">
        <is>
          <t>Oil palm fruit</t>
        </is>
      </c>
    </row>
    <row r="113">
      <c r="B113" s="207" t="inlineStr">
        <is>
          <t>Oilseeds nes</t>
        </is>
      </c>
    </row>
    <row r="114">
      <c r="B114" s="206" t="inlineStr">
        <is>
          <t>Okra</t>
        </is>
      </c>
    </row>
    <row r="115">
      <c r="B115" s="207" t="inlineStr">
        <is>
          <t>Olives</t>
        </is>
      </c>
    </row>
    <row r="116">
      <c r="B116" s="206" t="inlineStr">
        <is>
          <t>Onions, dry</t>
        </is>
      </c>
    </row>
    <row r="117">
      <c r="B117" s="206" t="inlineStr">
        <is>
          <t>Onions, shallots, green</t>
        </is>
      </c>
    </row>
    <row r="118">
      <c r="B118" s="206" t="inlineStr">
        <is>
          <t>Oranges</t>
        </is>
      </c>
    </row>
    <row r="119">
      <c r="B119" s="206" t="inlineStr">
        <is>
          <t>Papayas</t>
        </is>
      </c>
      <c r="F119" s="430" t="inlineStr">
        <is>
          <t>Grassland</t>
        </is>
      </c>
    </row>
    <row r="120">
      <c r="B120" s="207" t="inlineStr">
        <is>
          <t>Peaches and nectarines</t>
        </is>
      </c>
      <c r="F120" s="238">
        <f>F90</f>
        <v/>
      </c>
    </row>
    <row r="121">
      <c r="B121" s="206" t="inlineStr">
        <is>
          <t>Pears</t>
        </is>
      </c>
      <c r="F121" s="236" t="inlineStr">
        <is>
          <t>Severely degraded</t>
        </is>
      </c>
      <c r="G121" s="236" t="n"/>
    </row>
    <row r="122">
      <c r="B122" s="206" t="inlineStr">
        <is>
          <t>Peas, dry</t>
        </is>
      </c>
      <c r="F122" s="236" t="inlineStr">
        <is>
          <t>High intensity grazing</t>
        </is>
      </c>
    </row>
    <row r="123">
      <c r="B123" s="207" t="inlineStr">
        <is>
          <t>Peas, green</t>
        </is>
      </c>
      <c r="F123" s="236" t="inlineStr">
        <is>
          <t>Non-degraded</t>
        </is>
      </c>
    </row>
    <row r="124">
      <c r="B124" s="206" t="inlineStr">
        <is>
          <t>Pepper (piper spp.)</t>
        </is>
      </c>
      <c r="F124" s="236" t="inlineStr">
        <is>
          <t>Improved grassland</t>
        </is>
      </c>
    </row>
    <row r="125">
      <c r="B125" s="207" t="inlineStr">
        <is>
          <t>Peppermint</t>
        </is>
      </c>
      <c r="F125" s="236" t="inlineStr">
        <is>
          <t>Improved with medium inputs</t>
        </is>
      </c>
    </row>
    <row r="126">
      <c r="B126" s="207" t="inlineStr">
        <is>
          <t>Persimmons</t>
        </is>
      </c>
      <c r="F126" s="237" t="inlineStr">
        <is>
          <t>Improved with high inputs</t>
        </is>
      </c>
    </row>
    <row r="127">
      <c r="B127" s="206" t="inlineStr">
        <is>
          <t>Pigeon peas</t>
        </is>
      </c>
    </row>
    <row r="128">
      <c r="B128" s="206" t="inlineStr">
        <is>
          <t>Pineapples</t>
        </is>
      </c>
    </row>
    <row r="129">
      <c r="B129" s="207" t="inlineStr">
        <is>
          <t>Pistachios</t>
        </is>
      </c>
      <c r="F129" s="295" t="inlineStr">
        <is>
          <t>Final LU</t>
        </is>
      </c>
      <c r="G129" s="295" t="inlineStr">
        <is>
          <t>Final LU</t>
        </is>
      </c>
      <c r="H129" s="295" t="inlineStr">
        <is>
          <t>Final LU</t>
        </is>
      </c>
      <c r="I129" s="295" t="inlineStr">
        <is>
          <t>Final LU</t>
        </is>
      </c>
      <c r="J129" s="295" t="inlineStr">
        <is>
          <t>Final LU</t>
        </is>
      </c>
      <c r="K129" s="295" t="inlineStr">
        <is>
          <t>Final LU</t>
        </is>
      </c>
      <c r="L129" s="295" t="inlineStr">
        <is>
          <t>Final LU</t>
        </is>
      </c>
      <c r="M129" s="295" t="inlineStr">
        <is>
          <t>Final LU</t>
        </is>
      </c>
      <c r="N129" s="295" t="inlineStr">
        <is>
          <t>Final LU</t>
        </is>
      </c>
      <c r="O129" s="295" t="inlineStr">
        <is>
          <t>Final LU</t>
        </is>
      </c>
    </row>
    <row r="130">
      <c r="B130" s="206" t="inlineStr">
        <is>
          <t>Plantains and others</t>
        </is>
      </c>
      <c r="F130" s="286" t="inlineStr">
        <is>
          <t>Cool Temperate Dry</t>
        </is>
      </c>
      <c r="G130" s="286" t="inlineStr">
        <is>
          <t>Cool Temperate Moist</t>
        </is>
      </c>
      <c r="H130" s="286" t="inlineStr">
        <is>
          <t>Warm Temperate Dry</t>
        </is>
      </c>
      <c r="I130" s="286" t="inlineStr">
        <is>
          <t>Warm Temperate Moist</t>
        </is>
      </c>
      <c r="J130" s="286" t="inlineStr">
        <is>
          <t>Tropical Dry</t>
        </is>
      </c>
      <c r="K130" s="286" t="inlineStr">
        <is>
          <t>Tropical Moist</t>
        </is>
      </c>
      <c r="L130" s="286" t="inlineStr">
        <is>
          <t>Tropical Wet</t>
        </is>
      </c>
      <c r="M130" s="286">
        <f>list!$G$11</f>
        <v/>
      </c>
      <c r="N130" s="286" t="inlineStr">
        <is>
          <t>Boreal Dry</t>
        </is>
      </c>
      <c r="O130" s="286" t="inlineStr">
        <is>
          <t>Boreal Moist</t>
        </is>
      </c>
    </row>
    <row r="131">
      <c r="B131" s="206" t="inlineStr">
        <is>
          <t>Plums and sloes</t>
        </is>
      </c>
      <c r="F131" s="260" t="inlineStr">
        <is>
          <t>Please select</t>
        </is>
      </c>
      <c r="G131" s="260" t="inlineStr">
        <is>
          <t>Please select</t>
        </is>
      </c>
      <c r="H131" s="260" t="inlineStr">
        <is>
          <t>Please select</t>
        </is>
      </c>
      <c r="I131" s="260" t="inlineStr">
        <is>
          <t>Please select</t>
        </is>
      </c>
      <c r="J131" s="260" t="inlineStr">
        <is>
          <t>Please select</t>
        </is>
      </c>
      <c r="K131" s="260" t="inlineStr">
        <is>
          <t>Please select</t>
        </is>
      </c>
      <c r="L131" s="260" t="inlineStr">
        <is>
          <t>Please select</t>
        </is>
      </c>
      <c r="M131" s="260" t="inlineStr">
        <is>
          <t>Please select</t>
        </is>
      </c>
      <c r="N131" s="260" t="inlineStr">
        <is>
          <t>Please select</t>
        </is>
      </c>
      <c r="O131" s="260" t="inlineStr">
        <is>
          <t>Please select</t>
        </is>
      </c>
    </row>
    <row r="132">
      <c r="B132" s="207" t="inlineStr">
        <is>
          <t>Popcorn</t>
        </is>
      </c>
      <c r="F132" s="261" t="inlineStr">
        <is>
          <t>Agroforestry</t>
        </is>
      </c>
      <c r="G132" s="261" t="inlineStr">
        <is>
          <t>Agroforestry</t>
        </is>
      </c>
      <c r="H132" s="261" t="inlineStr">
        <is>
          <t>Agroforestry</t>
        </is>
      </c>
      <c r="I132" s="261" t="inlineStr">
        <is>
          <t>Agroforestry</t>
        </is>
      </c>
      <c r="J132" s="261" t="inlineStr">
        <is>
          <t>Agroforestry</t>
        </is>
      </c>
      <c r="K132" s="261" t="inlineStr">
        <is>
          <t>Agroforestry</t>
        </is>
      </c>
      <c r="L132" s="261" t="inlineStr">
        <is>
          <t>Agroforestry</t>
        </is>
      </c>
      <c r="M132" s="261" t="inlineStr">
        <is>
          <t>Agroforestry</t>
        </is>
      </c>
      <c r="N132" s="261" t="inlineStr">
        <is>
          <t>Agroforestry</t>
        </is>
      </c>
      <c r="O132" s="261" t="inlineStr">
        <is>
          <t>Agroforestry</t>
        </is>
      </c>
    </row>
    <row r="133">
      <c r="B133" s="207" t="inlineStr">
        <is>
          <t>Poppy seed</t>
        </is>
      </c>
      <c r="F133" s="261" t="inlineStr">
        <is>
          <t>Annual cropland</t>
        </is>
      </c>
      <c r="G133" s="261" t="inlineStr">
        <is>
          <t>Annual cropland</t>
        </is>
      </c>
      <c r="H133" s="261" t="inlineStr">
        <is>
          <t>Annual cropland</t>
        </is>
      </c>
      <c r="I133" s="261" t="inlineStr">
        <is>
          <t>Annual cropland</t>
        </is>
      </c>
      <c r="J133" s="261" t="inlineStr">
        <is>
          <t>Annual cropland</t>
        </is>
      </c>
      <c r="K133" s="261" t="inlineStr">
        <is>
          <t>Annual cropland</t>
        </is>
      </c>
      <c r="L133" s="261" t="inlineStr">
        <is>
          <t>Annual cropland</t>
        </is>
      </c>
      <c r="M133" s="261" t="inlineStr">
        <is>
          <t>Annual cropland</t>
        </is>
      </c>
      <c r="N133" s="261" t="inlineStr">
        <is>
          <t>Annual cropland</t>
        </is>
      </c>
      <c r="O133" s="261" t="inlineStr">
        <is>
          <t>Annual cropland</t>
        </is>
      </c>
    </row>
    <row r="134">
      <c r="B134" s="206" t="inlineStr">
        <is>
          <t>Potatoes</t>
        </is>
      </c>
      <c r="F134" s="261" t="inlineStr">
        <is>
          <t>Annual fallow</t>
        </is>
      </c>
      <c r="G134" s="261" t="inlineStr">
        <is>
          <t>Annual fallow</t>
        </is>
      </c>
      <c r="H134" s="261" t="inlineStr">
        <is>
          <t>Annual fallow</t>
        </is>
      </c>
      <c r="I134" s="261" t="inlineStr">
        <is>
          <t>Annual fallow</t>
        </is>
      </c>
      <c r="J134" s="261" t="inlineStr">
        <is>
          <t>Annual fallow</t>
        </is>
      </c>
      <c r="K134" s="261" t="inlineStr">
        <is>
          <t>Annual fallow</t>
        </is>
      </c>
      <c r="L134" s="261" t="inlineStr">
        <is>
          <t>Annual fallow</t>
        </is>
      </c>
      <c r="M134" s="261" t="inlineStr">
        <is>
          <t>Annual fallow</t>
        </is>
      </c>
      <c r="N134" s="261" t="inlineStr">
        <is>
          <t>Annual fallow</t>
        </is>
      </c>
      <c r="O134" s="261" t="inlineStr">
        <is>
          <t>Annual fallow</t>
        </is>
      </c>
    </row>
    <row r="135">
      <c r="B135" s="206" t="inlineStr">
        <is>
          <t>Pulses, nes</t>
        </is>
      </c>
      <c r="F135" s="261" t="inlineStr">
        <is>
          <t>Degraded land</t>
        </is>
      </c>
      <c r="G135" s="261" t="inlineStr">
        <is>
          <t>Degraded land</t>
        </is>
      </c>
      <c r="H135" s="261" t="inlineStr">
        <is>
          <t>Degraded land</t>
        </is>
      </c>
      <c r="I135" s="261" t="inlineStr">
        <is>
          <t>Degraded land</t>
        </is>
      </c>
      <c r="J135" s="261" t="inlineStr">
        <is>
          <t>Degraded land</t>
        </is>
      </c>
      <c r="K135" s="261" t="inlineStr">
        <is>
          <t>Degraded land</t>
        </is>
      </c>
      <c r="L135" s="261" t="inlineStr">
        <is>
          <t>Degraded land</t>
        </is>
      </c>
      <c r="M135" s="261" t="inlineStr">
        <is>
          <t>Degraded land</t>
        </is>
      </c>
      <c r="N135" s="261" t="inlineStr">
        <is>
          <t>Degraded land</t>
        </is>
      </c>
      <c r="O135" s="261" t="inlineStr">
        <is>
          <t>Degraded land</t>
        </is>
      </c>
    </row>
    <row r="136">
      <c r="B136" s="206" t="inlineStr">
        <is>
          <t>Pulses,Total</t>
        </is>
      </c>
      <c r="F136" s="261" t="inlineStr">
        <is>
          <t>Flooded rice</t>
        </is>
      </c>
      <c r="G136" s="261" t="inlineStr">
        <is>
          <t>Flooded rice</t>
        </is>
      </c>
      <c r="H136" s="261" t="inlineStr">
        <is>
          <t>Flooded rice</t>
        </is>
      </c>
      <c r="I136" s="261" t="inlineStr">
        <is>
          <t>Flooded rice</t>
        </is>
      </c>
      <c r="J136" s="261" t="inlineStr">
        <is>
          <t>Flooded rice</t>
        </is>
      </c>
      <c r="K136" s="261" t="inlineStr">
        <is>
          <t>Flooded rice</t>
        </is>
      </c>
      <c r="L136" s="261" t="inlineStr">
        <is>
          <t>Flooded rice</t>
        </is>
      </c>
      <c r="M136" s="261" t="inlineStr">
        <is>
          <t>Flooded rice</t>
        </is>
      </c>
      <c r="N136" s="261" t="inlineStr">
        <is>
          <t>Flooded rice</t>
        </is>
      </c>
      <c r="O136" s="261" t="inlineStr">
        <is>
          <t>Flooded rice</t>
        </is>
      </c>
    </row>
    <row r="137">
      <c r="B137" s="206" t="inlineStr">
        <is>
          <t>Pumpkins, squash and gourds</t>
        </is>
      </c>
      <c r="F137" s="261" t="inlineStr">
        <is>
          <t>Grassland</t>
        </is>
      </c>
      <c r="G137" s="261" t="inlineStr">
        <is>
          <t>Grassland</t>
        </is>
      </c>
      <c r="H137" s="261" t="inlineStr">
        <is>
          <t>Grassland</t>
        </is>
      </c>
      <c r="I137" s="261" t="inlineStr">
        <is>
          <t>Grassland</t>
        </is>
      </c>
      <c r="J137" s="261" t="inlineStr">
        <is>
          <t>Grassland</t>
        </is>
      </c>
      <c r="K137" s="261" t="inlineStr">
        <is>
          <t>Grassland</t>
        </is>
      </c>
      <c r="L137" s="261" t="inlineStr">
        <is>
          <t>Grassland</t>
        </is>
      </c>
      <c r="M137" s="261" t="inlineStr">
        <is>
          <t>Grassland</t>
        </is>
      </c>
      <c r="N137" s="261" t="inlineStr">
        <is>
          <t>Grassland</t>
        </is>
      </c>
      <c r="O137" s="261" t="inlineStr">
        <is>
          <t>Grassland</t>
        </is>
      </c>
    </row>
    <row r="138">
      <c r="B138" s="207" t="inlineStr">
        <is>
          <t>Pyrethrum, dried</t>
        </is>
      </c>
      <c r="F138" s="262" t="inlineStr">
        <is>
          <t>Other land (non-vegetated)</t>
        </is>
      </c>
      <c r="G138" s="262" t="inlineStr">
        <is>
          <t>Other land (non-vegetated)</t>
        </is>
      </c>
      <c r="H138" s="262" t="inlineStr">
        <is>
          <t>Other land (non-vegetated)</t>
        </is>
      </c>
      <c r="I138" s="262" t="inlineStr">
        <is>
          <t>Other land (non-vegetated)</t>
        </is>
      </c>
      <c r="J138" s="262" t="inlineStr">
        <is>
          <t>Other land (non-vegetated)</t>
        </is>
      </c>
      <c r="K138" s="262" t="inlineStr">
        <is>
          <t>Other land (non-vegetated)</t>
        </is>
      </c>
      <c r="L138" s="262" t="inlineStr">
        <is>
          <t>Other land (non-vegetated)</t>
        </is>
      </c>
      <c r="M138" s="262" t="inlineStr">
        <is>
          <t>Other land (non-vegetated)</t>
        </is>
      </c>
      <c r="N138" s="262" t="inlineStr">
        <is>
          <t>Other land (non-vegetated)</t>
        </is>
      </c>
      <c r="O138" s="262" t="inlineStr">
        <is>
          <t>Other land (non-vegetated)</t>
        </is>
      </c>
    </row>
    <row r="139" customFormat="1" s="71">
      <c r="B139" s="207" t="inlineStr">
        <is>
          <t>Quinces</t>
        </is>
      </c>
      <c r="F139" s="286" t="inlineStr">
        <is>
          <t>Cool Temperate Dry</t>
        </is>
      </c>
      <c r="G139" s="286" t="inlineStr">
        <is>
          <t>Cool Temperate Moist</t>
        </is>
      </c>
      <c r="H139" s="286" t="inlineStr">
        <is>
          <t>Warm Temperate Dry</t>
        </is>
      </c>
      <c r="I139" s="286" t="inlineStr">
        <is>
          <t>Warm Temperate Moist</t>
        </is>
      </c>
      <c r="J139" s="632" t="inlineStr">
        <is>
          <t>Tropical Dry</t>
        </is>
      </c>
      <c r="K139" s="286" t="inlineStr">
        <is>
          <t>Tropical Moist</t>
        </is>
      </c>
      <c r="L139" s="286" t="inlineStr">
        <is>
          <t>Tropical Wet</t>
        </is>
      </c>
      <c r="M139" s="286">
        <f>list!$G$11</f>
        <v/>
      </c>
      <c r="N139" s="286" t="inlineStr">
        <is>
          <t>Boreal Dry</t>
        </is>
      </c>
      <c r="O139" s="286" t="inlineStr">
        <is>
          <t>Boreal Moist</t>
        </is>
      </c>
    </row>
    <row r="140">
      <c r="B140" s="207" t="inlineStr">
        <is>
          <t>Quinoa</t>
        </is>
      </c>
      <c r="F140" s="556" t="inlineStr">
        <is>
          <t>Please select</t>
        </is>
      </c>
      <c r="G140" s="556" t="inlineStr">
        <is>
          <t>Please select</t>
        </is>
      </c>
      <c r="H140" s="556" t="inlineStr">
        <is>
          <t>Please select</t>
        </is>
      </c>
      <c r="I140" s="556" t="inlineStr">
        <is>
          <t>Please select</t>
        </is>
      </c>
      <c r="J140" s="556" t="inlineStr">
        <is>
          <t>Please select</t>
        </is>
      </c>
      <c r="K140" s="556" t="inlineStr">
        <is>
          <t>Please select</t>
        </is>
      </c>
      <c r="L140" s="556" t="inlineStr">
        <is>
          <t>Please select</t>
        </is>
      </c>
      <c r="M140" s="556" t="inlineStr">
        <is>
          <t>Please select</t>
        </is>
      </c>
      <c r="N140" s="556" t="inlineStr">
        <is>
          <t>Please select</t>
        </is>
      </c>
      <c r="O140" s="556" t="inlineStr">
        <is>
          <t>Please select</t>
        </is>
      </c>
    </row>
    <row r="141">
      <c r="B141" s="207" t="inlineStr">
        <is>
          <t>Ramie</t>
        </is>
      </c>
      <c r="F141" s="556" t="inlineStr">
        <is>
          <t>Hedgerow</t>
        </is>
      </c>
      <c r="G141" s="556" t="inlineStr">
        <is>
          <t>Hedgerow</t>
        </is>
      </c>
      <c r="H141" s="556" t="inlineStr">
        <is>
          <t>Hedgerow</t>
        </is>
      </c>
      <c r="I141" s="556" t="inlineStr">
        <is>
          <t>Hedgerow</t>
        </is>
      </c>
      <c r="J141" s="557" t="inlineStr">
        <is>
          <t>Alley cropping</t>
        </is>
      </c>
      <c r="K141" s="556" t="inlineStr">
        <is>
          <t>Alley cropping</t>
        </is>
      </c>
      <c r="L141" s="560" t="inlineStr">
        <is>
          <t>Alley cropping</t>
        </is>
      </c>
      <c r="M141" s="560" t="inlineStr">
        <is>
          <t>Alley cropping</t>
        </is>
      </c>
      <c r="N141" s="556" t="inlineStr">
        <is>
          <t>Hedgerow</t>
        </is>
      </c>
      <c r="O141" s="556" t="inlineStr">
        <is>
          <t>Hedgerow</t>
        </is>
      </c>
    </row>
    <row r="142">
      <c r="B142" s="207" t="inlineStr">
        <is>
          <t>Rapeseed</t>
        </is>
      </c>
      <c r="F142" s="556" t="inlineStr">
        <is>
          <t>Olive</t>
        </is>
      </c>
      <c r="G142" s="556" t="inlineStr">
        <is>
          <t>Olive</t>
        </is>
      </c>
      <c r="H142" s="556" t="inlineStr">
        <is>
          <t>Olive</t>
        </is>
      </c>
      <c r="I142" s="556" t="inlineStr">
        <is>
          <t>Olive</t>
        </is>
      </c>
      <c r="J142" s="557" t="inlineStr">
        <is>
          <t>Hedgerow</t>
        </is>
      </c>
      <c r="K142" s="556" t="inlineStr">
        <is>
          <t>Hedgerow</t>
        </is>
      </c>
      <c r="L142" s="560" t="inlineStr">
        <is>
          <t>Hedgerow</t>
        </is>
      </c>
      <c r="M142" s="560" t="inlineStr">
        <is>
          <t>Hedgerow</t>
        </is>
      </c>
      <c r="N142" s="556" t="inlineStr">
        <is>
          <t>Olive</t>
        </is>
      </c>
      <c r="O142" s="556" t="inlineStr">
        <is>
          <t>Olive</t>
        </is>
      </c>
    </row>
    <row r="143">
      <c r="B143" s="207" t="inlineStr">
        <is>
          <t>Raspberries</t>
        </is>
      </c>
      <c r="F143" s="556" t="inlineStr">
        <is>
          <t>Orchard</t>
        </is>
      </c>
      <c r="G143" s="556" t="inlineStr">
        <is>
          <t>Orchard</t>
        </is>
      </c>
      <c r="H143" s="556" t="inlineStr">
        <is>
          <t>Orchard</t>
        </is>
      </c>
      <c r="I143" s="556" t="inlineStr">
        <is>
          <t>Orchard</t>
        </is>
      </c>
      <c r="J143" s="557" t="inlineStr">
        <is>
          <t>Multistrata</t>
        </is>
      </c>
      <c r="K143" s="556" t="inlineStr">
        <is>
          <t>Multistrata</t>
        </is>
      </c>
      <c r="L143" s="560" t="inlineStr">
        <is>
          <t>Multistrata</t>
        </is>
      </c>
      <c r="M143" s="560" t="inlineStr">
        <is>
          <t>Multistrata</t>
        </is>
      </c>
      <c r="N143" s="556" t="inlineStr">
        <is>
          <t>Orchard</t>
        </is>
      </c>
      <c r="O143" s="556" t="inlineStr">
        <is>
          <t>Orchard</t>
        </is>
      </c>
    </row>
    <row r="144">
      <c r="B144" s="206" t="inlineStr">
        <is>
          <t>Rice, paddy</t>
        </is>
      </c>
      <c r="F144" s="556" t="inlineStr">
        <is>
          <t>Short Rotation Coppice</t>
        </is>
      </c>
      <c r="G144" s="556" t="inlineStr">
        <is>
          <t>Short Rotation Coppice</t>
        </is>
      </c>
      <c r="H144" s="556" t="inlineStr">
        <is>
          <t>Short Rotation Coppice</t>
        </is>
      </c>
      <c r="I144" s="556" t="inlineStr">
        <is>
          <t>Short Rotation Coppice</t>
        </is>
      </c>
      <c r="J144" s="557" t="inlineStr">
        <is>
          <t>Oil palm</t>
        </is>
      </c>
      <c r="K144" s="556" t="inlineStr">
        <is>
          <t>Oil palm</t>
        </is>
      </c>
      <c r="L144" s="560" t="inlineStr">
        <is>
          <t>Oil palm</t>
        </is>
      </c>
      <c r="M144" s="560" t="inlineStr">
        <is>
          <t>Oil palm</t>
        </is>
      </c>
      <c r="N144" s="556" t="inlineStr">
        <is>
          <t>Short Rotation Coppice</t>
        </is>
      </c>
      <c r="O144" s="556" t="inlineStr">
        <is>
          <t>Short Rotation Coppice</t>
        </is>
      </c>
    </row>
    <row r="145">
      <c r="B145" s="206" t="inlineStr">
        <is>
          <t>Roots and tubers, nes</t>
        </is>
      </c>
      <c r="F145" s="556" t="inlineStr">
        <is>
          <t>Silvoarable</t>
        </is>
      </c>
      <c r="G145" s="556" t="inlineStr">
        <is>
          <t>Silvoarable</t>
        </is>
      </c>
      <c r="H145" s="556" t="inlineStr">
        <is>
          <t>Silvoarable</t>
        </is>
      </c>
      <c r="I145" s="556" t="inlineStr">
        <is>
          <t>Silvoarable</t>
        </is>
      </c>
      <c r="J145" s="557" t="inlineStr">
        <is>
          <t>Parkland</t>
        </is>
      </c>
      <c r="K145" s="556" t="inlineStr">
        <is>
          <t>Parkland</t>
        </is>
      </c>
      <c r="L145" s="560" t="inlineStr">
        <is>
          <t>Parkland</t>
        </is>
      </c>
      <c r="M145" s="560" t="inlineStr">
        <is>
          <t>Parkland</t>
        </is>
      </c>
      <c r="N145" s="556" t="inlineStr">
        <is>
          <t>Silvoarable</t>
        </is>
      </c>
      <c r="O145" s="556" t="inlineStr">
        <is>
          <t>Silvoarable</t>
        </is>
      </c>
    </row>
    <row r="146">
      <c r="B146" s="206" t="inlineStr">
        <is>
          <t>Roots and Tubers,Total</t>
        </is>
      </c>
      <c r="F146" s="556" t="inlineStr">
        <is>
          <t>Silvopasture</t>
        </is>
      </c>
      <c r="G146" s="556" t="inlineStr">
        <is>
          <t>Silvopasture</t>
        </is>
      </c>
      <c r="H146" s="556" t="inlineStr">
        <is>
          <t>Silvopasture</t>
        </is>
      </c>
      <c r="I146" s="556" t="inlineStr">
        <is>
          <t>Silvopasture</t>
        </is>
      </c>
      <c r="J146" s="557" t="inlineStr">
        <is>
          <t>Perennial fallow</t>
        </is>
      </c>
      <c r="K146" s="556" t="inlineStr">
        <is>
          <t>Perennial fallow</t>
        </is>
      </c>
      <c r="L146" s="560" t="inlineStr">
        <is>
          <t>Perennial fallow</t>
        </is>
      </c>
      <c r="M146" s="560" t="inlineStr">
        <is>
          <t>Perennial fallow</t>
        </is>
      </c>
      <c r="N146" s="556" t="inlineStr">
        <is>
          <t>Silvopasture</t>
        </is>
      </c>
      <c r="O146" s="556" t="inlineStr">
        <is>
          <t>Silvopasture</t>
        </is>
      </c>
    </row>
    <row r="147">
      <c r="B147" s="206" t="inlineStr">
        <is>
          <t>Rubber, natural</t>
        </is>
      </c>
      <c r="F147" s="556" t="inlineStr">
        <is>
          <t>Tea</t>
        </is>
      </c>
      <c r="G147" s="556" t="inlineStr">
        <is>
          <t>Tea</t>
        </is>
      </c>
      <c r="H147" s="556" t="inlineStr">
        <is>
          <t>Tea</t>
        </is>
      </c>
      <c r="I147" s="556" t="inlineStr">
        <is>
          <t>Tea</t>
        </is>
      </c>
      <c r="J147" s="557" t="inlineStr">
        <is>
          <t>Rubber</t>
        </is>
      </c>
      <c r="K147" s="556" t="inlineStr">
        <is>
          <t>Rubber</t>
        </is>
      </c>
      <c r="L147" s="560" t="inlineStr">
        <is>
          <t>Rubber</t>
        </is>
      </c>
      <c r="M147" s="560" t="inlineStr">
        <is>
          <t>Rubber</t>
        </is>
      </c>
      <c r="N147" s="556" t="inlineStr">
        <is>
          <t>Tea</t>
        </is>
      </c>
      <c r="O147" s="556" t="inlineStr">
        <is>
          <t>Tea</t>
        </is>
      </c>
    </row>
    <row r="148">
      <c r="B148" s="207" t="inlineStr">
        <is>
          <t>Rye</t>
        </is>
      </c>
      <c r="F148" s="556" t="inlineStr">
        <is>
          <t>Vine</t>
        </is>
      </c>
      <c r="G148" s="556" t="inlineStr">
        <is>
          <t>Vine</t>
        </is>
      </c>
      <c r="H148" s="556" t="inlineStr">
        <is>
          <t>Vine</t>
        </is>
      </c>
      <c r="I148" s="556" t="inlineStr">
        <is>
          <t>Vine</t>
        </is>
      </c>
      <c r="J148" s="557" t="inlineStr">
        <is>
          <t>Shaded Perennial</t>
        </is>
      </c>
      <c r="K148" s="556" t="inlineStr">
        <is>
          <t>Shaded Perennial</t>
        </is>
      </c>
      <c r="L148" s="560" t="inlineStr">
        <is>
          <t>Shaded Perennial</t>
        </is>
      </c>
      <c r="M148" s="560" t="inlineStr">
        <is>
          <t>Shaded Perennial</t>
        </is>
      </c>
      <c r="N148" s="556" t="inlineStr">
        <is>
          <t>Vine</t>
        </is>
      </c>
      <c r="O148" s="556" t="inlineStr">
        <is>
          <t>Vine</t>
        </is>
      </c>
    </row>
    <row r="149">
      <c r="B149" s="207" t="inlineStr">
        <is>
          <t>Safflower seed</t>
        </is>
      </c>
      <c r="F149" s="556" t="inlineStr">
        <is>
          <t>Agroforestry - default</t>
        </is>
      </c>
      <c r="G149" s="556" t="inlineStr">
        <is>
          <t>Agroforestry - default</t>
        </is>
      </c>
      <c r="H149" s="556" t="inlineStr">
        <is>
          <t>Agroforestry - default</t>
        </is>
      </c>
      <c r="I149" s="556" t="inlineStr">
        <is>
          <t>Agroforestry - default</t>
        </is>
      </c>
      <c r="J149" s="557" t="inlineStr">
        <is>
          <t>Silvoarable</t>
        </is>
      </c>
      <c r="K149" s="556" t="inlineStr">
        <is>
          <t>Silvoarable</t>
        </is>
      </c>
      <c r="L149" s="560" t="inlineStr">
        <is>
          <t>Silvoarable</t>
        </is>
      </c>
      <c r="M149" s="560" t="inlineStr">
        <is>
          <t>Silvoarable</t>
        </is>
      </c>
      <c r="N149" s="556" t="inlineStr">
        <is>
          <t>Agroforestry - default</t>
        </is>
      </c>
      <c r="O149" s="556" t="inlineStr">
        <is>
          <t>Agroforestry - default</t>
        </is>
      </c>
    </row>
    <row r="150">
      <c r="B150" s="206" t="inlineStr">
        <is>
          <t>Seed cotton</t>
        </is>
      </c>
      <c r="F150" s="556" t="n"/>
      <c r="G150" s="556" t="n"/>
      <c r="H150" s="556" t="n"/>
      <c r="I150" s="556" t="n"/>
      <c r="J150" s="557" t="inlineStr">
        <is>
          <t>Silvopasture</t>
        </is>
      </c>
      <c r="K150" s="556" t="inlineStr">
        <is>
          <t>Silvopasture</t>
        </is>
      </c>
      <c r="L150" s="560" t="inlineStr">
        <is>
          <t>Silvopasture</t>
        </is>
      </c>
      <c r="M150" s="560" t="inlineStr">
        <is>
          <t>Silvopasture</t>
        </is>
      </c>
      <c r="N150" s="556" t="n"/>
      <c r="O150" s="556" t="n"/>
    </row>
    <row r="151">
      <c r="B151" s="206" t="inlineStr">
        <is>
          <t>Sesame seed</t>
        </is>
      </c>
      <c r="F151" s="558" t="n"/>
      <c r="G151" s="558" t="n"/>
      <c r="H151" s="558" t="n"/>
      <c r="I151" s="558" t="n"/>
      <c r="J151" s="559" t="inlineStr">
        <is>
          <t>Tea</t>
        </is>
      </c>
      <c r="K151" s="559" t="inlineStr">
        <is>
          <t>Tea</t>
        </is>
      </c>
      <c r="L151" s="3480" t="inlineStr">
        <is>
          <t>Tea</t>
        </is>
      </c>
      <c r="M151" s="561" t="inlineStr">
        <is>
          <t>Tea</t>
        </is>
      </c>
      <c r="N151" s="558" t="n"/>
      <c r="O151" s="558" t="n"/>
    </row>
    <row r="152">
      <c r="B152" s="206" t="inlineStr">
        <is>
          <t>Sisal</t>
        </is>
      </c>
      <c r="J152" t="inlineStr">
        <is>
          <t>Agroforestry - default</t>
        </is>
      </c>
      <c r="K152" t="inlineStr">
        <is>
          <t>Agroforestry - default</t>
        </is>
      </c>
      <c r="L152" t="inlineStr">
        <is>
          <t>Agroforestry - default</t>
        </is>
      </c>
      <c r="M152" t="inlineStr">
        <is>
          <t>Agroforestry - default</t>
        </is>
      </c>
    </row>
    <row r="153">
      <c r="B153" s="206" t="inlineStr">
        <is>
          <t>Sorghum</t>
        </is>
      </c>
    </row>
    <row r="154">
      <c r="B154" s="207" t="inlineStr">
        <is>
          <t>Soybeans</t>
        </is>
      </c>
      <c r="F154" s="3485" t="inlineStr">
        <is>
          <t>LUs converted to FL</t>
        </is>
      </c>
    </row>
    <row r="155">
      <c r="B155" s="206" t="inlineStr">
        <is>
          <t>Spices, nes</t>
        </is>
      </c>
      <c r="F155" s="480" t="inlineStr">
        <is>
          <t>Please select</t>
        </is>
      </c>
    </row>
    <row r="156">
      <c r="B156" s="206" t="inlineStr">
        <is>
          <t>Spinach</t>
        </is>
      </c>
      <c r="F156" s="480" t="inlineStr">
        <is>
          <t>Agroforestry</t>
        </is>
      </c>
    </row>
    <row r="157">
      <c r="B157" s="207" t="inlineStr">
        <is>
          <t>Strawberries</t>
        </is>
      </c>
      <c r="F157" s="480" t="inlineStr">
        <is>
          <t>Annual cropland</t>
        </is>
      </c>
    </row>
    <row r="158">
      <c r="B158" s="206" t="inlineStr">
        <is>
          <t>String beans</t>
        </is>
      </c>
      <c r="F158" s="480" t="inlineStr">
        <is>
          <t>Annual fallow</t>
        </is>
      </c>
    </row>
    <row r="159">
      <c r="B159" s="207" t="inlineStr">
        <is>
          <t>Sugar beet</t>
        </is>
      </c>
      <c r="F159" s="480" t="inlineStr">
        <is>
          <t>Degraded land</t>
        </is>
      </c>
    </row>
    <row r="160">
      <c r="B160" s="206" t="inlineStr">
        <is>
          <t>Sugar cane</t>
        </is>
      </c>
      <c r="F160" s="480" t="inlineStr">
        <is>
          <t>Flooded rice</t>
        </is>
      </c>
    </row>
    <row r="161">
      <c r="B161" s="207" t="inlineStr">
        <is>
          <t>Sugar crops, nes</t>
        </is>
      </c>
      <c r="F161" s="480" t="inlineStr">
        <is>
          <t>Grassland</t>
        </is>
      </c>
    </row>
    <row r="162">
      <c r="B162" s="207" t="inlineStr">
        <is>
          <t>Sunflower seed</t>
        </is>
      </c>
    </row>
    <row r="163">
      <c r="B163" s="206" t="inlineStr">
        <is>
          <t>Sweet potatoes</t>
        </is>
      </c>
    </row>
    <row r="164">
      <c r="B164" s="207" t="inlineStr">
        <is>
          <t>Tallowtree seed</t>
        </is>
      </c>
    </row>
    <row r="165">
      <c r="B165" s="206" t="inlineStr">
        <is>
          <t>Tangerines, mandarins, clementines, satsumas</t>
        </is>
      </c>
    </row>
    <row r="166">
      <c r="B166" s="206" t="inlineStr">
        <is>
          <t>Taro (cocoyam)</t>
        </is>
      </c>
    </row>
    <row r="167">
      <c r="B167" s="207" t="inlineStr">
        <is>
          <t>Tea</t>
        </is>
      </c>
      <c r="F167" s="328" t="n"/>
      <c r="G167" s="438" t="n"/>
      <c r="H167" s="438" t="n"/>
      <c r="I167" s="439" t="n"/>
      <c r="J167" s="440" t="n"/>
      <c r="K167" s="440" t="n"/>
      <c r="L167" s="439" t="n"/>
    </row>
    <row r="168">
      <c r="B168" s="206" t="inlineStr">
        <is>
          <t>Tobacco, unmanufactured</t>
        </is>
      </c>
      <c r="F168" s="278" t="n"/>
      <c r="G168" s="435" t="n"/>
      <c r="H168" s="435" t="n"/>
      <c r="I168" s="436" t="n"/>
      <c r="J168" s="437" t="n"/>
      <c r="K168" s="437" t="n"/>
      <c r="L168" s="436" t="n"/>
    </row>
    <row r="169">
      <c r="B169" s="206" t="inlineStr">
        <is>
          <t>Tomatoes</t>
        </is>
      </c>
      <c r="F169" s="441" t="inlineStr">
        <is>
          <t>Climate</t>
        </is>
      </c>
      <c r="G169" s="442" t="inlineStr">
        <is>
          <t>Tropical</t>
        </is>
      </c>
      <c r="H169" s="442" t="inlineStr">
        <is>
          <t>Warm Temperate</t>
        </is>
      </c>
      <c r="I169" s="442" t="inlineStr">
        <is>
          <t>Cool Temperate</t>
        </is>
      </c>
      <c r="J169" s="442" t="inlineStr">
        <is>
          <t>Boreal</t>
        </is>
      </c>
      <c r="K169" s="442" t="inlineStr">
        <is>
          <t>Tropical Montane</t>
        </is>
      </c>
      <c r="L169" s="443" t="n"/>
    </row>
    <row r="170">
      <c r="B170" s="207" t="inlineStr">
        <is>
          <t>Triticale</t>
        </is>
      </c>
      <c r="F170" s="446" t="inlineStr">
        <is>
          <t>?</t>
        </is>
      </c>
      <c r="G170" s="447" t="inlineStr">
        <is>
          <t>Please select</t>
        </is>
      </c>
      <c r="H170" s="447" t="inlineStr">
        <is>
          <t>Please select</t>
        </is>
      </c>
      <c r="I170" s="447" t="inlineStr">
        <is>
          <t>Please select</t>
        </is>
      </c>
      <c r="J170" s="447" t="inlineStr">
        <is>
          <t>Please select</t>
        </is>
      </c>
      <c r="K170" s="447" t="inlineStr">
        <is>
          <t>Please select</t>
        </is>
      </c>
      <c r="L170" s="440" t="n"/>
    </row>
    <row r="171">
      <c r="B171" s="207" t="inlineStr">
        <is>
          <t>Tung nuts</t>
        </is>
      </c>
      <c r="F171" s="63" t="n"/>
      <c r="G171" s="63" t="inlineStr">
        <is>
          <t>Tropical rainforest</t>
        </is>
      </c>
      <c r="H171" s="63" t="inlineStr">
        <is>
          <t>Subtropical humid forest</t>
        </is>
      </c>
      <c r="I171" s="63" t="inlineStr">
        <is>
          <t>Temperate oceanic forest</t>
        </is>
      </c>
      <c r="J171" s="63" t="inlineStr">
        <is>
          <t>Boreal coniferous forest</t>
        </is>
      </c>
      <c r="K171" s="63" t="inlineStr">
        <is>
          <t>Tropical mountain systems</t>
        </is>
      </c>
      <c r="L171" s="63" t="n"/>
    </row>
    <row r="172">
      <c r="B172" s="206" t="inlineStr">
        <is>
          <t>Vanilla</t>
        </is>
      </c>
      <c r="F172" s="20" t="n"/>
      <c r="G172" s="20" t="inlineStr">
        <is>
          <t>Tropical moist deciduous forest</t>
        </is>
      </c>
      <c r="H172" s="20" t="inlineStr">
        <is>
          <t>Subtropical dry forest</t>
        </is>
      </c>
      <c r="I172" s="20" t="inlineStr">
        <is>
          <t>Temperate continental forest</t>
        </is>
      </c>
      <c r="J172" s="20" t="inlineStr">
        <is>
          <t>Boreal tundra woodland</t>
        </is>
      </c>
      <c r="K172" s="20" t="inlineStr">
        <is>
          <t>Planted Tropical mountain systems</t>
        </is>
      </c>
      <c r="L172" s="20" t="n"/>
    </row>
    <row r="173">
      <c r="B173" s="206" t="inlineStr">
        <is>
          <t>Vegetables, fresh nes</t>
        </is>
      </c>
      <c r="F173" s="20" t="n"/>
      <c r="G173" s="20" t="inlineStr">
        <is>
          <t>Tropical dry forest</t>
        </is>
      </c>
      <c r="H173" s="20" t="inlineStr">
        <is>
          <t>Subtropical steppe</t>
        </is>
      </c>
      <c r="I173" s="20" t="inlineStr">
        <is>
          <t>Temperate mountain systems</t>
        </is>
      </c>
      <c r="J173" s="20" t="inlineStr">
        <is>
          <t>Boreal mountain systems</t>
        </is>
      </c>
      <c r="K173" s="20" t="n"/>
      <c r="L173" s="20" t="n"/>
    </row>
    <row r="174">
      <c r="B174" s="207" t="inlineStr">
        <is>
          <t>Vegetables, leguminous nes</t>
        </is>
      </c>
      <c r="F174" s="20" t="n"/>
      <c r="G174" s="20" t="inlineStr">
        <is>
          <t>Tropical shrubland</t>
        </is>
      </c>
      <c r="H174" s="20" t="inlineStr">
        <is>
          <t>Subtropical mountain systems</t>
        </is>
      </c>
      <c r="I174" s="445" t="inlineStr">
        <is>
          <t>Temperate desert</t>
        </is>
      </c>
      <c r="J174" s="20" t="inlineStr">
        <is>
          <t>Planted Boreal coniferous forest</t>
        </is>
      </c>
      <c r="K174" s="20" t="n"/>
      <c r="L174" s="20" t="n"/>
    </row>
    <row r="175">
      <c r="B175" s="207" t="inlineStr">
        <is>
          <t>Vetches</t>
        </is>
      </c>
      <c r="F175" s="20" t="n"/>
      <c r="G175" s="20" t="inlineStr">
        <is>
          <t>Planted Tropical rainforest</t>
        </is>
      </c>
      <c r="H175" s="20" t="inlineStr">
        <is>
          <t>Planted Subtropical humid forest</t>
        </is>
      </c>
      <c r="I175" s="445" t="inlineStr">
        <is>
          <t>Temperate steppe</t>
        </is>
      </c>
      <c r="J175" s="20" t="inlineStr">
        <is>
          <t>Planted Boreal tundra woodland</t>
        </is>
      </c>
      <c r="K175" s="20" t="n"/>
      <c r="L175" s="20" t="n"/>
    </row>
    <row r="176">
      <c r="B176" s="207" t="inlineStr">
        <is>
          <t>Walnuts, with shell</t>
        </is>
      </c>
      <c r="F176" s="20" t="n"/>
      <c r="G176" s="20" t="inlineStr">
        <is>
          <t>Planted Tropical moist deciduous forest</t>
        </is>
      </c>
      <c r="H176" s="20" t="inlineStr">
        <is>
          <t>Planted Subtropical dry forest</t>
        </is>
      </c>
      <c r="I176" s="20" t="inlineStr">
        <is>
          <t>Planted Temperate oceanic forest</t>
        </is>
      </c>
      <c r="J176" s="20" t="inlineStr">
        <is>
          <t>Planted Boreal mountain systems</t>
        </is>
      </c>
      <c r="K176" s="20" t="n"/>
      <c r="L176" s="20" t="n"/>
    </row>
    <row r="177">
      <c r="B177" s="206" t="inlineStr">
        <is>
          <t>Watermelons</t>
        </is>
      </c>
      <c r="F177" s="20" t="n"/>
      <c r="G177" s="20" t="inlineStr">
        <is>
          <t>Planted Tropical dry forest</t>
        </is>
      </c>
      <c r="H177" s="20" t="inlineStr">
        <is>
          <t>Planted Subtropical steppe</t>
        </is>
      </c>
      <c r="I177" s="20" t="inlineStr">
        <is>
          <t>Planted Temperate continental forest</t>
        </is>
      </c>
      <c r="J177" s="20" t="n"/>
      <c r="K177" s="20" t="n"/>
      <c r="L177" s="20" t="n"/>
    </row>
    <row r="178">
      <c r="B178" s="207" t="inlineStr">
        <is>
          <t>Wheat</t>
        </is>
      </c>
      <c r="F178" s="20" t="n"/>
      <c r="G178" s="20" t="inlineStr">
        <is>
          <t>Planted  Tropical shrubland</t>
        </is>
      </c>
      <c r="H178" s="20" t="inlineStr">
        <is>
          <t>Planted Subtropical mountain systems</t>
        </is>
      </c>
      <c r="I178" s="20" t="inlineStr">
        <is>
          <t>Planted Temperate mountain systems</t>
        </is>
      </c>
      <c r="J178" s="20" t="n"/>
      <c r="K178" s="20" t="n"/>
      <c r="L178" s="20" t="n"/>
    </row>
    <row r="179">
      <c r="B179" s="206" t="inlineStr">
        <is>
          <t>Yams</t>
        </is>
      </c>
      <c r="F179" s="20" t="n"/>
      <c r="G179" s="20" t="n"/>
      <c r="H179" s="20" t="n"/>
      <c r="I179" s="21" t="inlineStr">
        <is>
          <t>Planted Temperate desert</t>
        </is>
      </c>
      <c r="J179" s="20" t="n"/>
      <c r="K179" s="20" t="n"/>
      <c r="L179" s="20" t="n"/>
    </row>
    <row r="180">
      <c r="B180" s="206" t="inlineStr">
        <is>
          <t>Yautia (cocoyam)</t>
        </is>
      </c>
      <c r="F180" s="20" t="n"/>
      <c r="G180" s="20" t="n"/>
      <c r="H180" s="20" t="n"/>
      <c r="I180" s="20" t="inlineStr">
        <is>
          <t>Planted Temperate steppe</t>
        </is>
      </c>
      <c r="J180" s="20" t="n"/>
      <c r="K180" s="20" t="n"/>
      <c r="L180" s="20" t="n"/>
    </row>
    <row r="181">
      <c r="F181" s="20" t="n"/>
      <c r="G181" s="20" t="n"/>
      <c r="H181" s="20" t="n"/>
      <c r="I181" s="20" t="n"/>
      <c r="J181" s="20" t="n"/>
      <c r="K181" s="20" t="n"/>
      <c r="L181" s="20" t="n"/>
    </row>
    <row r="182">
      <c r="F182" s="37" t="n"/>
      <c r="G182" s="37" t="n"/>
      <c r="H182" s="37" t="n"/>
      <c r="I182" s="37" t="n"/>
      <c r="J182" s="37" t="n"/>
      <c r="K182" s="37" t="n"/>
      <c r="L182" s="37" t="n"/>
    </row>
    <row r="185">
      <c r="F185" s="744" t="inlineStr">
        <is>
          <t>Initial and final Land uses for section 2.3 Other land-use changes</t>
        </is>
      </c>
      <c r="G185" s="684" t="n"/>
      <c r="H185" s="684" t="n"/>
      <c r="I185" s="684" t="n"/>
      <c r="J185" s="743" t="n"/>
    </row>
    <row r="186">
      <c r="F186" s="779" t="inlineStr">
        <is>
          <t>Boreal</t>
        </is>
      </c>
      <c r="G186" s="779" t="inlineStr">
        <is>
          <t>Cool Temperate</t>
        </is>
      </c>
      <c r="H186" s="779" t="inlineStr">
        <is>
          <t>Tropical</t>
        </is>
      </c>
      <c r="I186" s="779" t="inlineStr">
        <is>
          <t>Tropical Montane</t>
        </is>
      </c>
      <c r="J186" s="779" t="inlineStr">
        <is>
          <t>Warm Temperate</t>
        </is>
      </c>
    </row>
    <row r="187">
      <c r="F187" s="456" t="inlineStr">
        <is>
          <t>Please select</t>
        </is>
      </c>
      <c r="G187" s="456" t="inlineStr">
        <is>
          <t>Please select</t>
        </is>
      </c>
      <c r="H187" s="456" t="inlineStr">
        <is>
          <t>Please select</t>
        </is>
      </c>
      <c r="I187" s="456" t="inlineStr">
        <is>
          <t>Please select</t>
        </is>
      </c>
      <c r="J187" s="456" t="inlineStr">
        <is>
          <t>Please select</t>
        </is>
      </c>
    </row>
    <row r="188">
      <c r="F188" s="745" t="inlineStr">
        <is>
          <t>Annual cropland</t>
        </is>
      </c>
      <c r="G188" s="745" t="inlineStr">
        <is>
          <t>Annual cropland</t>
        </is>
      </c>
      <c r="H188" s="745" t="inlineStr">
        <is>
          <t>Annual cropland</t>
        </is>
      </c>
      <c r="I188" s="745" t="inlineStr">
        <is>
          <t>Annual cropland</t>
        </is>
      </c>
      <c r="J188" s="745" t="inlineStr">
        <is>
          <t>Annual cropland</t>
        </is>
      </c>
    </row>
    <row r="189">
      <c r="F189" s="745" t="inlineStr">
        <is>
          <t>Annual fallow</t>
        </is>
      </c>
      <c r="G189" s="745" t="inlineStr">
        <is>
          <t>Annual fallow</t>
        </is>
      </c>
      <c r="H189" s="745" t="inlineStr">
        <is>
          <t>Annual fallow</t>
        </is>
      </c>
      <c r="I189" s="745" t="inlineStr">
        <is>
          <t>Annual fallow</t>
        </is>
      </c>
      <c r="J189" s="745" t="inlineStr">
        <is>
          <t>Annual fallow</t>
        </is>
      </c>
    </row>
    <row r="190">
      <c r="F190" s="745" t="inlineStr">
        <is>
          <t>Degraded land</t>
        </is>
      </c>
      <c r="G190" s="745" t="inlineStr">
        <is>
          <t>Degraded land</t>
        </is>
      </c>
      <c r="H190" s="745" t="inlineStr">
        <is>
          <t>Degraded land</t>
        </is>
      </c>
      <c r="I190" s="745" t="inlineStr">
        <is>
          <t>Degraded land</t>
        </is>
      </c>
      <c r="J190" s="745" t="inlineStr">
        <is>
          <t>Degraded land</t>
        </is>
      </c>
    </row>
    <row r="191">
      <c r="F191" s="745" t="inlineStr">
        <is>
          <t>Flooded rice</t>
        </is>
      </c>
      <c r="G191" s="745" t="inlineStr">
        <is>
          <t>Flooded rice</t>
        </is>
      </c>
      <c r="H191" s="745" t="inlineStr">
        <is>
          <t>Flooded rice</t>
        </is>
      </c>
      <c r="I191" s="745" t="inlineStr">
        <is>
          <t>Flooded rice</t>
        </is>
      </c>
      <c r="J191" s="745" t="inlineStr">
        <is>
          <t>Flooded rice</t>
        </is>
      </c>
      <c r="L191" s="58" t="n"/>
    </row>
    <row r="192">
      <c r="F192" s="745" t="inlineStr">
        <is>
          <t>Grassland</t>
        </is>
      </c>
      <c r="G192" s="745" t="inlineStr">
        <is>
          <t>Grassland</t>
        </is>
      </c>
      <c r="H192" s="745" t="inlineStr">
        <is>
          <t>Grassland</t>
        </is>
      </c>
      <c r="I192" s="745" t="inlineStr">
        <is>
          <t>Grassland</t>
        </is>
      </c>
      <c r="J192" s="745" t="inlineStr">
        <is>
          <t>Grassland</t>
        </is>
      </c>
    </row>
    <row r="193">
      <c r="F193" s="745" t="inlineStr">
        <is>
          <t>Other land (non-vegetated)</t>
        </is>
      </c>
      <c r="G193" s="745" t="inlineStr">
        <is>
          <t>Other land (non-vegetated)</t>
        </is>
      </c>
      <c r="H193" s="745" t="inlineStr">
        <is>
          <t>Other land (non-vegetated)</t>
        </is>
      </c>
      <c r="I193" s="745" t="inlineStr">
        <is>
          <t>Other land (non-vegetated)</t>
        </is>
      </c>
      <c r="J193" s="745" t="inlineStr">
        <is>
          <t>Other land (non-vegetated)</t>
        </is>
      </c>
    </row>
    <row r="194">
      <c r="F194" s="745" t="inlineStr">
        <is>
          <t>Agroforestry - default</t>
        </is>
      </c>
      <c r="G194" s="745" t="inlineStr">
        <is>
          <t>Agroforestry - default</t>
        </is>
      </c>
      <c r="H194" s="745" t="inlineStr">
        <is>
          <t>Agroforestry - default</t>
        </is>
      </c>
      <c r="I194" s="745" t="inlineStr">
        <is>
          <t>Agroforestry - default</t>
        </is>
      </c>
      <c r="J194" s="745" t="inlineStr">
        <is>
          <t>Agroforestry - default</t>
        </is>
      </c>
    </row>
    <row r="195">
      <c r="F195" s="745" t="inlineStr">
        <is>
          <t>Hedgerow</t>
        </is>
      </c>
      <c r="G195" s="745" t="inlineStr">
        <is>
          <t>Hedgerow</t>
        </is>
      </c>
      <c r="H195" s="745" t="inlineStr">
        <is>
          <t>Alley cropping</t>
        </is>
      </c>
      <c r="I195" s="747" t="inlineStr">
        <is>
          <t>Alley cropping</t>
        </is>
      </c>
      <c r="J195" s="745" t="inlineStr">
        <is>
          <t>Hedgerow</t>
        </is>
      </c>
    </row>
    <row r="196">
      <c r="F196" s="745" t="inlineStr">
        <is>
          <t>Olive</t>
        </is>
      </c>
      <c r="G196" s="745" t="inlineStr">
        <is>
          <t>Olive</t>
        </is>
      </c>
      <c r="H196" s="745" t="inlineStr">
        <is>
          <t>Hedgerow</t>
        </is>
      </c>
      <c r="I196" s="747" t="inlineStr">
        <is>
          <t>Hedgerow</t>
        </is>
      </c>
      <c r="J196" s="745" t="inlineStr">
        <is>
          <t>Olive</t>
        </is>
      </c>
    </row>
    <row r="197">
      <c r="F197" s="745" t="inlineStr">
        <is>
          <t>Orchard</t>
        </is>
      </c>
      <c r="G197" s="745" t="inlineStr">
        <is>
          <t>Orchard</t>
        </is>
      </c>
      <c r="H197" s="745" t="inlineStr">
        <is>
          <t>Multistrata</t>
        </is>
      </c>
      <c r="I197" s="747" t="inlineStr">
        <is>
          <t>Multistrata</t>
        </is>
      </c>
      <c r="J197" s="745" t="inlineStr">
        <is>
          <t>Orchard</t>
        </is>
      </c>
    </row>
    <row r="198">
      <c r="F198" s="745" t="inlineStr">
        <is>
          <t>Short Rotation Coppice</t>
        </is>
      </c>
      <c r="G198" s="745" t="inlineStr">
        <is>
          <t>Short Rotation Coppice</t>
        </is>
      </c>
      <c r="H198" s="745" t="inlineStr">
        <is>
          <t>Oil palm</t>
        </is>
      </c>
      <c r="I198" s="747" t="inlineStr">
        <is>
          <t>Oil palm</t>
        </is>
      </c>
      <c r="J198" s="745" t="inlineStr">
        <is>
          <t>Short Rotation Coppice</t>
        </is>
      </c>
    </row>
    <row r="199">
      <c r="F199" s="745" t="inlineStr">
        <is>
          <t>Silvoarable</t>
        </is>
      </c>
      <c r="G199" s="745" t="inlineStr">
        <is>
          <t>Silvoarable</t>
        </is>
      </c>
      <c r="H199" s="745" t="inlineStr">
        <is>
          <t>Parkland</t>
        </is>
      </c>
      <c r="I199" s="747" t="inlineStr">
        <is>
          <t>Parkland</t>
        </is>
      </c>
      <c r="J199" s="745" t="inlineStr">
        <is>
          <t>Silvoarable</t>
        </is>
      </c>
    </row>
    <row r="200">
      <c r="F200" s="745" t="inlineStr">
        <is>
          <t>Silvopasture</t>
        </is>
      </c>
      <c r="G200" s="745" t="inlineStr">
        <is>
          <t>Silvopasture</t>
        </is>
      </c>
      <c r="H200" s="745" t="inlineStr">
        <is>
          <t>Perennial fallow</t>
        </is>
      </c>
      <c r="I200" s="747" t="inlineStr">
        <is>
          <t>Perennial fallow</t>
        </is>
      </c>
      <c r="J200" s="745" t="inlineStr">
        <is>
          <t>Silvopasture</t>
        </is>
      </c>
    </row>
    <row r="201">
      <c r="F201" s="745" t="inlineStr">
        <is>
          <t>Tea</t>
        </is>
      </c>
      <c r="G201" s="745" t="inlineStr">
        <is>
          <t>Tea</t>
        </is>
      </c>
      <c r="H201" s="745" t="inlineStr">
        <is>
          <t>Rubber</t>
        </is>
      </c>
      <c r="I201" s="747" t="inlineStr">
        <is>
          <t>Rubber</t>
        </is>
      </c>
      <c r="J201" s="745" t="inlineStr">
        <is>
          <t>Tea</t>
        </is>
      </c>
    </row>
    <row r="202">
      <c r="F202" s="745" t="inlineStr">
        <is>
          <t>Vine</t>
        </is>
      </c>
      <c r="G202" s="745" t="inlineStr">
        <is>
          <t>Vine</t>
        </is>
      </c>
      <c r="H202" s="745" t="inlineStr">
        <is>
          <t>Shaded Perennial</t>
        </is>
      </c>
      <c r="I202" s="747" t="inlineStr">
        <is>
          <t>Shaded Perennial</t>
        </is>
      </c>
      <c r="J202" s="745" t="inlineStr">
        <is>
          <t>Vine</t>
        </is>
      </c>
    </row>
    <row r="203">
      <c r="F203" s="745" t="n"/>
      <c r="G203" s="745" t="n"/>
      <c r="H203" s="745" t="inlineStr">
        <is>
          <t>Silvoarable</t>
        </is>
      </c>
      <c r="I203" s="747" t="inlineStr">
        <is>
          <t>Silvoarable</t>
        </is>
      </c>
      <c r="J203" s="745" t="n"/>
    </row>
    <row r="204">
      <c r="F204" s="745" t="n"/>
      <c r="G204" s="745" t="n"/>
      <c r="H204" s="745" t="inlineStr">
        <is>
          <t>Silvopasture</t>
        </is>
      </c>
      <c r="I204" s="747" t="inlineStr">
        <is>
          <t>Silvopasture</t>
        </is>
      </c>
      <c r="J204" s="745" t="n"/>
    </row>
    <row r="205">
      <c r="F205" s="746" t="n"/>
      <c r="G205" s="746" t="n"/>
      <c r="H205" s="746" t="inlineStr">
        <is>
          <t>Tea</t>
        </is>
      </c>
      <c r="I205" s="780" t="inlineStr">
        <is>
          <t>Tea</t>
        </is>
      </c>
      <c r="J205" s="746" t="n"/>
    </row>
    <row r="206">
      <c r="I206" s="208" t="n"/>
    </row>
    <row r="207" ht="30.5" customFormat="1" customHeight="1" s="1077">
      <c r="A207" s="1079" t="n"/>
      <c r="B207" s="1611" t="inlineStr">
        <is>
          <t>Inland wetlands - Organic soils &amp; Aqua.</t>
        </is>
      </c>
      <c r="I207" s="1613" t="n"/>
    </row>
    <row r="209" ht="33" customHeight="1">
      <c r="C209" s="1095" t="inlineStr">
        <is>
          <t>Do not delete</t>
        </is>
      </c>
      <c r="E209" s="1078" t="inlineStr">
        <is>
          <t>Biomass burning before conversion &amp; fire on soil</t>
        </is>
      </c>
      <c r="F209" s="1078" t="inlineStr">
        <is>
          <t>Fire on organic soil</t>
        </is>
      </c>
      <c r="G209" s="1079" t="inlineStr">
        <is>
          <t>Deforestation</t>
        </is>
      </c>
      <c r="H209" s="1079" t="inlineStr">
        <is>
          <t>Afforestation/Reforestation</t>
        </is>
      </c>
      <c r="I209" s="1094" t="inlineStr">
        <is>
          <t>Forest management and Non forest land use</t>
        </is>
      </c>
      <c r="J209" s="1088" t="inlineStr">
        <is>
          <t>Please indicate the dominant quality of peat</t>
        </is>
      </c>
      <c r="L209" s="441" t="inlineStr">
        <is>
          <t>Climate</t>
        </is>
      </c>
      <c r="M209" s="442" t="inlineStr">
        <is>
          <t>Tropical</t>
        </is>
      </c>
      <c r="N209" s="442" t="inlineStr">
        <is>
          <t>Warm Temperate</t>
        </is>
      </c>
      <c r="O209" s="442" t="inlineStr">
        <is>
          <t>Cool Temperate</t>
        </is>
      </c>
      <c r="P209" s="442" t="inlineStr">
        <is>
          <t>Boreal</t>
        </is>
      </c>
      <c r="Q209" s="442" t="inlineStr">
        <is>
          <t>Tropical Montane</t>
        </is>
      </c>
      <c r="R209" s="443" t="n"/>
    </row>
    <row r="210">
      <c r="C210" s="1079" t="inlineStr">
        <is>
          <t>Land use from deforestation</t>
        </is>
      </c>
      <c r="E210" t="inlineStr">
        <is>
          <t>Y/N</t>
        </is>
      </c>
      <c r="F210" t="inlineStr">
        <is>
          <t>Please select</t>
        </is>
      </c>
      <c r="G210" t="inlineStr">
        <is>
          <t>Water table level</t>
        </is>
      </c>
      <c r="H210" t="inlineStr">
        <is>
          <t>Water table level</t>
        </is>
      </c>
      <c r="I210" t="inlineStr">
        <is>
          <t>Water table level</t>
        </is>
      </c>
      <c r="J210" s="236" t="inlineStr">
        <is>
          <t>Nutrient poor</t>
        </is>
      </c>
      <c r="L210" s="446" t="inlineStr">
        <is>
          <t>?</t>
        </is>
      </c>
      <c r="M210" s="447" t="inlineStr">
        <is>
          <t>Please select</t>
        </is>
      </c>
      <c r="N210" s="447" t="inlineStr">
        <is>
          <t>Please select</t>
        </is>
      </c>
      <c r="O210" s="447" t="inlineStr">
        <is>
          <t>Please select</t>
        </is>
      </c>
      <c r="P210" s="447" t="inlineStr">
        <is>
          <t>Please select</t>
        </is>
      </c>
      <c r="Q210" s="447" t="inlineStr">
        <is>
          <t>Please select</t>
        </is>
      </c>
      <c r="R210" s="440" t="n"/>
    </row>
    <row r="211" ht="16" customHeight="1">
      <c r="C211" s="260" t="inlineStr">
        <is>
          <t>Please select</t>
        </is>
      </c>
      <c r="E211" t="inlineStr">
        <is>
          <t>W/out project</t>
        </is>
      </c>
      <c r="F211" s="1096" t="inlineStr">
        <is>
          <t>Wildfire undrained peat</t>
        </is>
      </c>
      <c r="G211" t="inlineStr">
        <is>
          <t>?</t>
        </is>
      </c>
      <c r="H211" t="inlineStr">
        <is>
          <t>?</t>
        </is>
      </c>
      <c r="I211" t="inlineStr">
        <is>
          <t>?</t>
        </is>
      </c>
      <c r="J211" s="237" t="inlineStr">
        <is>
          <t>Nutrient rich</t>
        </is>
      </c>
      <c r="L211" s="63" t="n"/>
      <c r="M211" s="456" t="inlineStr">
        <is>
          <t>Tropical rainforest</t>
        </is>
      </c>
      <c r="N211" s="63" t="inlineStr">
        <is>
          <t>Subtropical humid forest</t>
        </is>
      </c>
      <c r="O211" s="63" t="inlineStr">
        <is>
          <t>Temperate oceanic forest</t>
        </is>
      </c>
      <c r="P211" s="63" t="inlineStr">
        <is>
          <t>Boreal coniferous forest</t>
        </is>
      </c>
      <c r="Q211" s="63" t="inlineStr">
        <is>
          <t>Tropical mountain systems</t>
        </is>
      </c>
      <c r="R211" s="63" t="n"/>
    </row>
    <row r="212" ht="16" customHeight="1">
      <c r="C212" s="261" t="inlineStr">
        <is>
          <t>Agroforestry - default</t>
        </is>
      </c>
      <c r="E212" t="inlineStr">
        <is>
          <t>With project</t>
        </is>
      </c>
      <c r="F212" s="1096" t="inlineStr">
        <is>
          <t>Wildfire drained peat</t>
        </is>
      </c>
      <c r="G212" t="inlineStr">
        <is>
          <t>Undrained</t>
        </is>
      </c>
      <c r="H212" t="inlineStr">
        <is>
          <t>Undrained</t>
        </is>
      </c>
      <c r="I212" t="inlineStr">
        <is>
          <t>Undrained</t>
        </is>
      </c>
      <c r="L212" s="20" t="n"/>
      <c r="M212" s="20" t="inlineStr">
        <is>
          <t>Tropical moist deciduous forest</t>
        </is>
      </c>
      <c r="N212" s="20" t="inlineStr">
        <is>
          <t>Subtropical dry forest</t>
        </is>
      </c>
      <c r="O212" s="20" t="inlineStr">
        <is>
          <t>Temperate continental forest</t>
        </is>
      </c>
      <c r="P212" s="20" t="inlineStr">
        <is>
          <t>Boreal tundra woodland</t>
        </is>
      </c>
      <c r="Q212" s="20" t="inlineStr">
        <is>
          <t>Planted Tropical mountain systems</t>
        </is>
      </c>
      <c r="R212" s="20" t="n"/>
    </row>
    <row r="213" ht="16" customHeight="1">
      <c r="C213" s="261" t="inlineStr">
        <is>
          <t>Annual cropland</t>
        </is>
      </c>
      <c r="E213" t="inlineStr">
        <is>
          <t>W/out&amp;With</t>
        </is>
      </c>
      <c r="F213" s="1096" t="inlineStr">
        <is>
          <t>Prescribed fire (e.g. Land mgnt)</t>
        </is>
      </c>
      <c r="G213" t="inlineStr">
        <is>
          <t>Drained</t>
        </is>
      </c>
      <c r="H213" t="inlineStr">
        <is>
          <t>Drained</t>
        </is>
      </c>
      <c r="I213" t="inlineStr">
        <is>
          <t>Drained</t>
        </is>
      </c>
      <c r="L213" s="20" t="n"/>
      <c r="M213" s="20" t="inlineStr">
        <is>
          <t>Tropical dry forest</t>
        </is>
      </c>
      <c r="N213" s="20" t="inlineStr">
        <is>
          <t>Subtropical steppe</t>
        </is>
      </c>
      <c r="O213" s="20" t="inlineStr">
        <is>
          <t>Temperate mountain systems</t>
        </is>
      </c>
      <c r="P213" s="20" t="inlineStr">
        <is>
          <t>Boreal mountain systems</t>
        </is>
      </c>
      <c r="Q213" s="20" t="n"/>
      <c r="R213" s="20" t="n"/>
    </row>
    <row r="214">
      <c r="C214" s="261" t="inlineStr">
        <is>
          <t>Annual fallow</t>
        </is>
      </c>
      <c r="E214" t="inlineStr">
        <is>
          <t>No</t>
        </is>
      </c>
      <c r="G214" t="inlineStr">
        <is>
          <t>Drain. -&gt; Rewet.</t>
        </is>
      </c>
      <c r="H214" t="inlineStr">
        <is>
          <t>Drain. -&gt; Rewet.</t>
        </is>
      </c>
      <c r="I214" t="inlineStr">
        <is>
          <t>Drain. -&gt; Rewet.</t>
        </is>
      </c>
      <c r="L214" s="20" t="n"/>
      <c r="M214" s="20" t="inlineStr">
        <is>
          <t>Tropical shrubland</t>
        </is>
      </c>
      <c r="N214" s="20" t="inlineStr">
        <is>
          <t>Subtropical mountain systems</t>
        </is>
      </c>
      <c r="O214" s="445" t="inlineStr">
        <is>
          <t>Temperate desert</t>
        </is>
      </c>
      <c r="P214" s="20" t="inlineStr">
        <is>
          <t>Planted Boreal coniferous forest</t>
        </is>
      </c>
      <c r="Q214" s="20" t="n"/>
      <c r="R214" s="20" t="n"/>
    </row>
    <row r="215">
      <c r="C215" s="261" t="inlineStr">
        <is>
          <t>Degraded land</t>
        </is>
      </c>
      <c r="L215" s="20" t="n"/>
      <c r="M215" s="20" t="inlineStr">
        <is>
          <t>Planted Tropical rainforest</t>
        </is>
      </c>
      <c r="N215" s="20" t="inlineStr">
        <is>
          <t>Planted Subtropical humid forest</t>
        </is>
      </c>
      <c r="O215" s="445" t="inlineStr">
        <is>
          <t>Temperate steppe</t>
        </is>
      </c>
      <c r="P215" s="20" t="inlineStr">
        <is>
          <t>Planted Boreal tundra woodland</t>
        </is>
      </c>
      <c r="Q215" s="20" t="n"/>
      <c r="R215" s="20" t="n"/>
    </row>
    <row r="216" ht="19" customHeight="1">
      <c r="C216" s="261" t="inlineStr">
        <is>
          <t>Flooded rice</t>
        </is>
      </c>
      <c r="E216" s="1078" t="inlineStr">
        <is>
          <t>Type of peat</t>
        </is>
      </c>
      <c r="G216" t="inlineStr">
        <is>
          <t>Water table level - START</t>
        </is>
      </c>
      <c r="L216" s="20" t="n"/>
      <c r="M216" s="20" t="inlineStr">
        <is>
          <t>Planted Tropical moist deciduous forest</t>
        </is>
      </c>
      <c r="N216" s="20" t="inlineStr">
        <is>
          <t>Planted Subtropical dry forest</t>
        </is>
      </c>
      <c r="O216" s="20" t="inlineStr">
        <is>
          <t>Planted Temperate oceanic forest</t>
        </is>
      </c>
      <c r="P216" s="20" t="inlineStr">
        <is>
          <t>Planted Boreal mountain systems</t>
        </is>
      </c>
      <c r="Q216" s="20" t="n"/>
      <c r="R216" s="20" t="n"/>
    </row>
    <row r="217">
      <c r="C217" s="261" t="inlineStr">
        <is>
          <t>Grassland</t>
        </is>
      </c>
      <c r="E217" t="inlineStr">
        <is>
          <t>Please select</t>
        </is>
      </c>
      <c r="G217" t="inlineStr">
        <is>
          <t>?</t>
        </is>
      </c>
      <c r="L217" s="20" t="n"/>
      <c r="M217" s="20" t="inlineStr">
        <is>
          <t>Planted Tropical dry forest</t>
        </is>
      </c>
      <c r="N217" s="20" t="inlineStr">
        <is>
          <t>Planted Subtropical steppe</t>
        </is>
      </c>
      <c r="O217" s="20" t="inlineStr">
        <is>
          <t>Planted Temperate continental forest</t>
        </is>
      </c>
      <c r="P217" s="20" t="n"/>
      <c r="Q217" s="20" t="n"/>
      <c r="R217" s="20" t="n"/>
    </row>
    <row r="218">
      <c r="C218" s="307" t="inlineStr">
        <is>
          <t>Other land (non-vegetated)</t>
        </is>
      </c>
      <c r="E218" t="inlineStr">
        <is>
          <t>Nutrient-poor</t>
        </is>
      </c>
      <c r="G218" t="inlineStr">
        <is>
          <t>Undrained</t>
        </is>
      </c>
      <c r="L218" s="20" t="n"/>
      <c r="M218" s="20" t="inlineStr">
        <is>
          <t>Planted  Tropical shrubland</t>
        </is>
      </c>
      <c r="N218" s="20" t="inlineStr">
        <is>
          <t>Planted Subtropical mountain systems</t>
        </is>
      </c>
      <c r="O218" s="20" t="inlineStr">
        <is>
          <t>Planted Temperate mountain systems</t>
        </is>
      </c>
      <c r="P218" s="20" t="n"/>
      <c r="Q218" s="20" t="n"/>
      <c r="R218" s="20" t="n"/>
    </row>
    <row r="219">
      <c r="E219" t="inlineStr">
        <is>
          <t>Nutrient-rich</t>
        </is>
      </c>
      <c r="G219" t="inlineStr">
        <is>
          <t>Drained</t>
        </is>
      </c>
      <c r="L219" s="20" t="n"/>
      <c r="M219" s="21" t="n"/>
      <c r="N219" s="20" t="n"/>
      <c r="O219" s="21" t="inlineStr">
        <is>
          <t>Planted Temperate desert</t>
        </is>
      </c>
      <c r="P219" s="20" t="n"/>
      <c r="Q219" s="20" t="n"/>
      <c r="R219" s="20" t="n"/>
    </row>
    <row r="220">
      <c r="L220" s="20" t="n"/>
      <c r="M220" s="20" t="n"/>
      <c r="N220" s="20" t="n"/>
      <c r="O220" s="20" t="inlineStr">
        <is>
          <t>Planted Temperate steppe</t>
        </is>
      </c>
      <c r="P220" s="20" t="n"/>
      <c r="Q220" s="20" t="n"/>
      <c r="R220" s="20" t="n"/>
    </row>
    <row r="221">
      <c r="E221" t="inlineStr">
        <is>
          <t>Use for energy</t>
        </is>
      </c>
      <c r="L221" s="20" t="n"/>
      <c r="M221" s="20" t="n"/>
      <c r="N221" s="20" t="n"/>
      <c r="O221" s="20" t="n"/>
      <c r="P221" s="20" t="n"/>
      <c r="Q221" s="20" t="n"/>
      <c r="R221" s="20" t="n"/>
    </row>
    <row r="222">
      <c r="B222" t="inlineStr">
        <is>
          <t>Waterbody type</t>
        </is>
      </c>
      <c r="E222" t="inlineStr">
        <is>
          <t>Please select</t>
        </is>
      </c>
      <c r="L222" s="37" t="n"/>
      <c r="M222" s="37" t="n"/>
      <c r="N222" s="37" t="n"/>
      <c r="O222" s="37" t="n"/>
      <c r="P222" s="37" t="n"/>
      <c r="Q222" s="37" t="n"/>
      <c r="R222" s="37" t="n"/>
    </row>
    <row r="223">
      <c r="B223" t="inlineStr">
        <is>
          <t>Please select</t>
        </is>
      </c>
      <c r="E223" t="inlineStr">
        <is>
          <t>Yes</t>
        </is>
      </c>
    </row>
    <row r="224">
      <c r="B224" t="inlineStr">
        <is>
          <t>Freshwater pond</t>
        </is>
      </c>
      <c r="E224" t="inlineStr">
        <is>
          <t>No</t>
        </is>
      </c>
    </row>
    <row r="225">
      <c r="B225" t="inlineStr">
        <is>
          <t>Brackishwater pond</t>
        </is>
      </c>
    </row>
    <row r="226">
      <c r="B226" t="inlineStr">
        <is>
          <t>Canals &amp; Ditches</t>
        </is>
      </c>
    </row>
    <row r="229" ht="30.5" customFormat="1" customHeight="1" s="1079">
      <c r="B229" s="1612" t="inlineStr">
        <is>
          <t>LIVESTOCK MODULE</t>
        </is>
      </c>
    </row>
    <row r="231">
      <c r="C231" s="1604" t="inlineStr">
        <is>
          <t>Manure management system</t>
        </is>
      </c>
    </row>
    <row r="232">
      <c r="B232" t="inlineStr">
        <is>
          <t>Livestock productivity</t>
        </is>
      </c>
      <c r="C232" t="inlineStr">
        <is>
          <t>Please select</t>
        </is>
      </c>
      <c r="I232" s="1643" t="n"/>
      <c r="J232" s="1643" t="n"/>
      <c r="K232" s="1643" t="n"/>
      <c r="L232" s="1643" t="n"/>
      <c r="M232" s="1643" t="n"/>
      <c r="N232" s="1643" t="n"/>
    </row>
    <row r="233">
      <c r="B233" t="inlineStr">
        <is>
          <t>Please select</t>
        </is>
      </c>
      <c r="C233" t="inlineStr">
        <is>
          <t>Regional share</t>
        </is>
      </c>
    </row>
    <row r="234">
      <c r="B234" t="inlineStr">
        <is>
          <t>Default</t>
        </is>
      </c>
      <c r="C234" t="inlineStr">
        <is>
          <t>Lagoon</t>
        </is>
      </c>
    </row>
    <row r="235">
      <c r="B235" t="inlineStr">
        <is>
          <t>High-productivity</t>
        </is>
      </c>
      <c r="C235" t="inlineStr">
        <is>
          <t>Liquid/slurry</t>
        </is>
      </c>
    </row>
    <row r="236">
      <c r="B236" t="inlineStr">
        <is>
          <t>Low-productivity</t>
        </is>
      </c>
      <c r="C236" t="inlineStr">
        <is>
          <t>Solid storage</t>
        </is>
      </c>
    </row>
    <row r="237">
      <c r="C237" t="inlineStr">
        <is>
          <t>Dry lot</t>
        </is>
      </c>
    </row>
    <row r="238">
      <c r="C238" t="inlineStr">
        <is>
          <t>Daily spread</t>
        </is>
      </c>
    </row>
    <row r="239">
      <c r="C239" t="inlineStr">
        <is>
          <t>Digester</t>
        </is>
      </c>
    </row>
    <row r="240">
      <c r="C240" t="inlineStr">
        <is>
          <t>Burned for fuel</t>
        </is>
      </c>
    </row>
    <row r="241">
      <c r="C241" t="inlineStr">
        <is>
          <t>Pit&lt;1Month</t>
        </is>
      </c>
    </row>
    <row r="242">
      <c r="C242" t="inlineStr">
        <is>
          <t>Pit&gt;1 month</t>
        </is>
      </c>
    </row>
    <row r="243">
      <c r="C243" t="inlineStr">
        <is>
          <t>Poultry manure</t>
        </is>
      </c>
    </row>
    <row r="244">
      <c r="C244" t="inlineStr">
        <is>
          <t>Deep bedding</t>
        </is>
      </c>
    </row>
    <row r="245">
      <c r="C245" t="inlineStr">
        <is>
          <t>Composting</t>
        </is>
      </c>
    </row>
    <row r="246">
      <c r="C246" t="inlineStr">
        <is>
          <t>Aerobic treatment</t>
        </is>
      </c>
    </row>
    <row r="247">
      <c r="C247" t="inlineStr">
        <is>
          <t>Other (pls. specify EF)</t>
        </is>
      </c>
    </row>
    <row r="250" ht="30.5" customFormat="1" customHeight="1" s="1079">
      <c r="B250" s="1612" t="inlineStr">
        <is>
          <t>COASTAL WETLANDS MODULE</t>
        </is>
      </c>
      <c r="F250" s="1079" t="inlineStr">
        <is>
          <t>Fisheries management</t>
        </is>
      </c>
    </row>
    <row r="251">
      <c r="E251" s="1615" t="n"/>
    </row>
    <row r="252">
      <c r="B252" s="661" t="inlineStr">
        <is>
          <t>Coastal ecosystem</t>
        </is>
      </c>
      <c r="E252" s="1615" t="n"/>
      <c r="F252" t="inlineStr">
        <is>
          <t>Fish Category</t>
        </is>
      </c>
      <c r="G252" t="inlineStr">
        <is>
          <t>Gear Category</t>
        </is>
      </c>
    </row>
    <row r="253">
      <c r="B253" s="1676" t="inlineStr">
        <is>
          <t>Please select</t>
        </is>
      </c>
      <c r="C253" t="inlineStr">
        <is>
          <t>Average salinity</t>
        </is>
      </c>
      <c r="D253" t="inlineStr">
        <is>
          <t>IPCC</t>
        </is>
      </c>
      <c r="E253" s="1615" t="n"/>
      <c r="F253" t="inlineStr">
        <is>
          <t>Please select</t>
        </is>
      </c>
      <c r="G253" t="inlineStr">
        <is>
          <t>Please select</t>
        </is>
      </c>
    </row>
    <row r="254">
      <c r="B254" s="1676" t="inlineStr">
        <is>
          <t>Mangrove</t>
        </is>
      </c>
      <c r="C254" t="inlineStr">
        <is>
          <t>&gt;18</t>
        </is>
      </c>
      <c r="D254" t="inlineStr">
        <is>
          <t>Tier 1a</t>
        </is>
      </c>
      <c r="E254" s="1615" t="n"/>
      <c r="F254" t="inlineStr">
        <is>
          <t>Crustaceans</t>
        </is>
      </c>
      <c r="G254" t="inlineStr">
        <is>
          <t>Bottom trawls</t>
        </is>
      </c>
    </row>
    <row r="255">
      <c r="B255" s="1676" t="inlineStr">
        <is>
          <t>Tidal marsh</t>
        </is>
      </c>
      <c r="C255" t="inlineStr">
        <is>
          <t>&lt;18</t>
        </is>
      </c>
      <c r="E255" s="1615" t="n"/>
      <c r="F255" t="inlineStr">
        <is>
          <t>Finfish</t>
        </is>
      </c>
      <c r="G255" t="inlineStr">
        <is>
          <t>Gillnets</t>
        </is>
      </c>
    </row>
    <row r="256">
      <c r="B256" s="1676" t="inlineStr">
        <is>
          <t>Seagrass</t>
        </is>
      </c>
      <c r="E256" s="1615" t="n"/>
      <c r="F256" t="inlineStr">
        <is>
          <t>Flatfish</t>
        </is>
      </c>
      <c r="G256" t="inlineStr">
        <is>
          <t>Hooks and lines</t>
        </is>
      </c>
    </row>
    <row r="257">
      <c r="B257" s="1676" t="inlineStr">
        <is>
          <t>Other (pls. go to tier 2)</t>
        </is>
      </c>
      <c r="E257" s="1615" t="n"/>
      <c r="F257" t="inlineStr">
        <is>
          <t>Large pelagies</t>
        </is>
      </c>
      <c r="G257" t="inlineStr">
        <is>
          <t>Pelagic trawls</t>
        </is>
      </c>
    </row>
    <row r="258">
      <c r="E258" s="1615" t="n"/>
      <c r="F258" t="inlineStr">
        <is>
          <t>Molluscs</t>
        </is>
      </c>
      <c r="G258" t="inlineStr">
        <is>
          <t>Pots and traps</t>
        </is>
      </c>
    </row>
    <row r="259">
      <c r="E259" s="1615" t="n"/>
      <c r="F259" t="inlineStr">
        <is>
          <t>Salmonids</t>
        </is>
      </c>
      <c r="G259" t="inlineStr">
        <is>
          <t>Surrounding nets</t>
        </is>
      </c>
    </row>
    <row r="260">
      <c r="B260" t="inlineStr">
        <is>
          <t>Coastal wetlands soil</t>
        </is>
      </c>
      <c r="E260" s="1615" t="n"/>
      <c r="F260" t="inlineStr">
        <is>
          <t>Small pelagics</t>
        </is>
      </c>
      <c r="G260" t="inlineStr">
        <is>
          <t>Dredges</t>
        </is>
      </c>
    </row>
    <row r="261">
      <c r="B261" s="1676" t="inlineStr">
        <is>
          <t>Mangrove</t>
        </is>
      </c>
      <c r="C261" s="1676" t="inlineStr">
        <is>
          <t>Tidal marsh</t>
        </is>
      </c>
      <c r="D261" s="1676" t="inlineStr">
        <is>
          <t>Seagrass</t>
        </is>
      </c>
      <c r="E261" s="1615" t="n"/>
      <c r="F261" s="1676" t="inlineStr">
        <is>
          <t>Not specified</t>
        </is>
      </c>
      <c r="G261" t="inlineStr">
        <is>
          <t>Not specified</t>
        </is>
      </c>
    </row>
    <row r="262">
      <c r="B262" t="inlineStr">
        <is>
          <t>Mineral</t>
        </is>
      </c>
      <c r="C262" t="inlineStr">
        <is>
          <t>Mineral</t>
        </is>
      </c>
      <c r="D262" t="inlineStr">
        <is>
          <t>Mineral</t>
        </is>
      </c>
      <c r="E262" s="1615" t="n"/>
    </row>
    <row r="263">
      <c r="B263" t="inlineStr">
        <is>
          <t>Organic</t>
        </is>
      </c>
      <c r="C263" t="inlineStr">
        <is>
          <t>Organic</t>
        </is>
      </c>
      <c r="E263" s="1615" t="n"/>
    </row>
    <row r="264">
      <c r="B264" t="inlineStr">
        <is>
          <t>Aggregated</t>
        </is>
      </c>
      <c r="C264" t="inlineStr">
        <is>
          <t>Aggregated</t>
        </is>
      </c>
      <c r="E264" s="1615" t="n"/>
    </row>
    <row r="265">
      <c r="E265" s="1615" t="n"/>
    </row>
    <row r="266">
      <c r="E266" s="1615" t="n"/>
    </row>
    <row r="267">
      <c r="B267" t="inlineStr">
        <is>
          <t>Waterbody type</t>
        </is>
      </c>
      <c r="E267" s="1615" t="n"/>
    </row>
    <row r="268">
      <c r="B268" t="inlineStr">
        <is>
          <t>Please select</t>
        </is>
      </c>
      <c r="E268" s="1615" t="n"/>
    </row>
    <row r="269">
      <c r="B269" t="inlineStr">
        <is>
          <t>Saline pond</t>
        </is>
      </c>
      <c r="E269" s="1615" t="n"/>
    </row>
    <row r="270">
      <c r="B270" t="inlineStr">
        <is>
          <t>Brackishwater pond</t>
        </is>
      </c>
      <c r="E270" s="1615" t="n"/>
    </row>
    <row r="271">
      <c r="E271" s="1615" t="n"/>
    </row>
    <row r="272">
      <c r="E272" s="1615" t="n"/>
    </row>
    <row r="273">
      <c r="E273" s="1615" t="n"/>
    </row>
    <row r="274">
      <c r="E274" s="1615" t="n"/>
    </row>
    <row r="275">
      <c r="E275" s="1615" t="n"/>
    </row>
    <row r="276">
      <c r="E276" s="1615" t="n"/>
    </row>
    <row r="277">
      <c r="B277" s="4307" t="inlineStr">
        <is>
          <t>ERROR: initial land use must be different from final land use</t>
        </is>
      </c>
      <c r="E277" s="1615" t="n"/>
    </row>
    <row r="278">
      <c r="E278" s="1615" t="n"/>
    </row>
    <row r="279">
      <c r="B279" s="71" t="inlineStr">
        <is>
          <t>Specify type of fire in TIER 2</t>
        </is>
      </c>
      <c r="E279" s="1615" t="n"/>
    </row>
    <row r="280">
      <c r="E280" s="1615" t="n"/>
    </row>
    <row r="281">
      <c r="B281" t="inlineStr">
        <is>
          <t>ERROR: total land area must remain constant</t>
        </is>
      </c>
      <c r="E281" s="1615" t="n"/>
    </row>
    <row r="282">
      <c r="E282" s="1615" t="n"/>
    </row>
    <row r="283">
      <c r="E283" s="1615" t="n"/>
    </row>
    <row r="288">
      <c r="B288" t="inlineStr">
        <is>
          <t>AWMS_Dairy_Cattle</t>
        </is>
      </c>
      <c r="C288" t="inlineStr">
        <is>
          <t>AWMS_Dairy_Cattle[Please select]</t>
        </is>
      </c>
      <c r="D288" t="inlineStr">
        <is>
          <t>AWMS_Dairy_Cattle_titles</t>
        </is>
      </c>
    </row>
    <row r="289">
      <c r="B289" t="inlineStr">
        <is>
          <t>AWMS_Other_Cattle</t>
        </is>
      </c>
      <c r="C289" t="inlineStr">
        <is>
          <t>AWMS_Other_Cattle[Please select]</t>
        </is>
      </c>
      <c r="D289" t="inlineStr">
        <is>
          <t>AWMS_Other_Cattle_titles</t>
        </is>
      </c>
    </row>
    <row r="290">
      <c r="B290" t="inlineStr">
        <is>
          <t>AWMS_Dairy_Buffalo</t>
        </is>
      </c>
      <c r="C290" t="inlineStr">
        <is>
          <t>AWMS_Dairy_Buffalo[Please select]</t>
        </is>
      </c>
      <c r="D290" t="inlineStr">
        <is>
          <t>AWMS_Dairy_Buffalo_titles</t>
        </is>
      </c>
    </row>
    <row r="291">
      <c r="B291" t="inlineStr">
        <is>
          <t>AWMS_Other_Buffalo</t>
        </is>
      </c>
      <c r="C291" t="inlineStr">
        <is>
          <t>AWMS_Other_Buffalo[Please select]</t>
        </is>
      </c>
      <c r="D291" t="inlineStr">
        <is>
          <t>AWMS_Other_Buffalo_titles</t>
        </is>
      </c>
    </row>
    <row r="292">
      <c r="B292" t="inlineStr">
        <is>
          <t>AWMS_Sheep_dairy</t>
        </is>
      </c>
      <c r="C292" t="inlineStr">
        <is>
          <t>AWMS_Sheep_dairy[Please select]</t>
        </is>
      </c>
      <c r="D292" t="inlineStr">
        <is>
          <t>AWMS_Sheep_dairy_titles</t>
        </is>
      </c>
    </row>
    <row r="293">
      <c r="B293" t="inlineStr">
        <is>
          <t>AWMS_Other_Sheep</t>
        </is>
      </c>
      <c r="C293" t="inlineStr">
        <is>
          <t>AWMS_Other_Sheep[Please select]</t>
        </is>
      </c>
      <c r="D293" t="inlineStr">
        <is>
          <t>AWMS_Other_Sheep_titles</t>
        </is>
      </c>
    </row>
    <row r="294">
      <c r="B294" t="inlineStr">
        <is>
          <t>AWMS_Growing_Swine_LP</t>
        </is>
      </c>
      <c r="C294" t="inlineStr">
        <is>
          <t>AWMS_Growing_Swine_LP[Please select]</t>
        </is>
      </c>
      <c r="D294" t="inlineStr">
        <is>
          <t>AWMS_Growing_Swine_LP_titles</t>
        </is>
      </c>
    </row>
    <row r="295">
      <c r="B295" t="inlineStr">
        <is>
          <t>AWMS_Breeding_Swine_LP</t>
        </is>
      </c>
      <c r="C295" t="inlineStr">
        <is>
          <t>AWMS_Breeding_Swine_LP[Please select]</t>
        </is>
      </c>
      <c r="D295" t="inlineStr">
        <is>
          <t>AWMS_Breeding_Swine_LP_titles</t>
        </is>
      </c>
    </row>
    <row r="296">
      <c r="B296" t="inlineStr">
        <is>
          <t>AWMS_Goat</t>
        </is>
      </c>
      <c r="C296" t="inlineStr">
        <is>
          <t>AWMS_Goat[Please select]</t>
        </is>
      </c>
      <c r="D296" t="inlineStr">
        <is>
          <t>AWMS_Goat_titles</t>
        </is>
      </c>
    </row>
    <row r="297">
      <c r="B297" t="inlineStr">
        <is>
          <t>AWMS_Other_Grazing</t>
        </is>
      </c>
      <c r="C297" t="inlineStr">
        <is>
          <t>AWMS_Other_Grazing[Please select]</t>
        </is>
      </c>
      <c r="D297" t="inlineStr">
        <is>
          <t>AWMS_Other_Grazing_titles</t>
        </is>
      </c>
    </row>
    <row r="298">
      <c r="B298" t="inlineStr">
        <is>
          <t>AWMS_Other_Grazing</t>
        </is>
      </c>
      <c r="C298" t="inlineStr">
        <is>
          <t>AWMS_Other_Grazing[Please select]</t>
        </is>
      </c>
      <c r="D298" t="inlineStr">
        <is>
          <t>AWMS_Other_Grazing_titles</t>
        </is>
      </c>
    </row>
    <row r="299">
      <c r="B299" t="inlineStr">
        <is>
          <t>AWMS_Other_Grazing</t>
        </is>
      </c>
      <c r="C299" t="inlineStr">
        <is>
          <t>AWMS_Other_Grazing[Please select]</t>
        </is>
      </c>
      <c r="D299" t="inlineStr">
        <is>
          <t>AWMS_Other_Grazing_titles</t>
        </is>
      </c>
    </row>
    <row r="300">
      <c r="B300" t="inlineStr">
        <is>
          <t>AWMS_Deer</t>
        </is>
      </c>
      <c r="C300" t="inlineStr">
        <is>
          <t>AWMS_Deer[Please select]</t>
        </is>
      </c>
      <c r="D300" t="inlineStr">
        <is>
          <t>AWMS_Deer_titles</t>
        </is>
      </c>
    </row>
    <row r="301">
      <c r="B301" t="inlineStr">
        <is>
          <t>AWMS_Ostrich</t>
        </is>
      </c>
      <c r="C301" t="inlineStr">
        <is>
          <t>AWMS_Ostrich[Please select]</t>
        </is>
      </c>
      <c r="D301" t="inlineStr">
        <is>
          <t>AWMS_Ostrich_titles</t>
        </is>
      </c>
    </row>
    <row r="302">
      <c r="B302" t="inlineStr">
        <is>
          <t>AWMS_Chicken_Layer_Default</t>
        </is>
      </c>
      <c r="C302" t="inlineStr">
        <is>
          <t>AWMS_Chicken_Layer_Default[Please select]</t>
        </is>
      </c>
      <c r="D302" t="inlineStr">
        <is>
          <t>AWMS_Chicken_Layer_Default_titles</t>
        </is>
      </c>
    </row>
    <row r="303">
      <c r="B303" t="inlineStr">
        <is>
          <t>AMWS_Chicken_broiler_LP</t>
        </is>
      </c>
      <c r="C303" t="inlineStr">
        <is>
          <t>AMWS_Chicken_broiler_LP[Please select]</t>
        </is>
      </c>
      <c r="D303" t="inlineStr">
        <is>
          <t>AMWS_Chicken_broiler_LP_titles</t>
        </is>
      </c>
    </row>
    <row r="304">
      <c r="B304" t="inlineStr">
        <is>
          <t>AWMS_Other_Grazing</t>
        </is>
      </c>
      <c r="C304" t="inlineStr">
        <is>
          <t>AWMS_Other_Grazing[Please select]</t>
        </is>
      </c>
      <c r="D304" t="inlineStr">
        <is>
          <t>AWMS_Other_Grazing_titles</t>
        </is>
      </c>
    </row>
    <row r="305">
      <c r="B305" t="inlineStr">
        <is>
          <t>AMWS_Growing_Swine_HP</t>
        </is>
      </c>
      <c r="C305" t="inlineStr">
        <is>
          <t>AMWS_Growing_Swine_HP[Please select]</t>
        </is>
      </c>
      <c r="D305" t="inlineStr">
        <is>
          <t>AMWS_Growing_Swine_HP_titles</t>
        </is>
      </c>
    </row>
    <row r="306">
      <c r="B306" t="inlineStr">
        <is>
          <t>AMWS_Breeding_Swine_HP</t>
        </is>
      </c>
      <c r="C306" t="inlineStr">
        <is>
          <t>AMWS_Breeding_Swine_HP[Please select]</t>
        </is>
      </c>
      <c r="D306" t="inlineStr">
        <is>
          <t>AMWS_Breeding_Swine_HP_titles</t>
        </is>
      </c>
    </row>
    <row r="307">
      <c r="B307" t="inlineStr">
        <is>
          <t>AWMS_Chicken_broiler_HP</t>
        </is>
      </c>
      <c r="C307" t="inlineStr">
        <is>
          <t>AWMS_Chicken_broiler_HP[Please select]</t>
        </is>
      </c>
      <c r="D307" t="inlineStr">
        <is>
          <t>AWMS_Chicken_broiler_HP_titles</t>
        </is>
      </c>
    </row>
    <row r="308">
      <c r="B308" t="inlineStr">
        <is>
          <t>AWMS_Growing_Swine_LP</t>
        </is>
      </c>
      <c r="C308" t="inlineStr">
        <is>
          <t>AWMS_Growing_Swine_LP[Please select]</t>
        </is>
      </c>
      <c r="D308" t="inlineStr">
        <is>
          <t>AWMS_Growing_Swine_LP_titles</t>
        </is>
      </c>
    </row>
    <row r="309">
      <c r="B309" t="inlineStr">
        <is>
          <t>AWMS_Breeding_Swine_LP</t>
        </is>
      </c>
      <c r="C309" t="inlineStr">
        <is>
          <t>AWMS_Breeding_Swine_LP[Please select]</t>
        </is>
      </c>
      <c r="D309" t="inlineStr">
        <is>
          <t>AWMS_Breeding_Swine_LP_titles</t>
        </is>
      </c>
    </row>
    <row r="310">
      <c r="B310" t="inlineStr">
        <is>
          <t>AMWS_Chicken_broiler_LP</t>
        </is>
      </c>
      <c r="C310" t="inlineStr">
        <is>
          <t>AMWS_Chicken_broiler_LP[Please select]</t>
        </is>
      </c>
      <c r="D310" t="inlineStr">
        <is>
          <t>AMWS_Chicken_broiler_LP_titles</t>
        </is>
      </c>
    </row>
    <row r="312">
      <c r="B312" t="inlineStr">
        <is>
          <t>CH4_man_Dairy_Cattle_LP</t>
        </is>
      </c>
      <c r="C312" t="inlineStr">
        <is>
          <t>CH4_man_Dairy_Cattle_LP[Please select]</t>
        </is>
      </c>
      <c r="D312" t="inlineStr">
        <is>
          <t>CH4_man_Dairy_Cattle_LP_titles</t>
        </is>
      </c>
    </row>
    <row r="313">
      <c r="B313" t="inlineStr">
        <is>
          <t>CH4_man_Other_Cattle_LP</t>
        </is>
      </c>
      <c r="C313" t="inlineStr">
        <is>
          <t>CH4_man_Other_Cattle_LP[Please select]</t>
        </is>
      </c>
      <c r="D313" t="inlineStr">
        <is>
          <t>CH4_man_Other_Cattle_LP_titles</t>
        </is>
      </c>
    </row>
    <row r="314">
      <c r="B314" t="inlineStr">
        <is>
          <t>CH4_man_Other_Cattle_LP</t>
        </is>
      </c>
      <c r="C314" t="inlineStr">
        <is>
          <t>CH4_man_Other_Cattle_LP[Please select]</t>
        </is>
      </c>
      <c r="D314" t="inlineStr">
        <is>
          <t>CH4_man_Other_Cattle_LP_titles</t>
        </is>
      </c>
    </row>
    <row r="315">
      <c r="B315" t="inlineStr">
        <is>
          <t>CH4_man_Other_Cattle_LP</t>
        </is>
      </c>
      <c r="C315" t="inlineStr">
        <is>
          <t>CH4_man_Other_Cattle_LP[Please select]</t>
        </is>
      </c>
      <c r="D315" t="inlineStr">
        <is>
          <t>CH4_man_Other_Cattle_LP_titles</t>
        </is>
      </c>
    </row>
    <row r="316">
      <c r="B316" t="inlineStr">
        <is>
          <t>CH4_man_Sheep_LP</t>
        </is>
      </c>
      <c r="C316" t="inlineStr">
        <is>
          <t>CH4_man_Sheep_LP[Please select]</t>
        </is>
      </c>
      <c r="D316" t="inlineStr">
        <is>
          <t>CH4_man_Sheep_LP_titles</t>
        </is>
      </c>
    </row>
    <row r="317">
      <c r="B317" t="inlineStr">
        <is>
          <t>CH4_man_Sheep_LP</t>
        </is>
      </c>
      <c r="C317" t="inlineStr">
        <is>
          <t>CH4_man_Sheep_LP[Please select]</t>
        </is>
      </c>
      <c r="D317" t="inlineStr">
        <is>
          <t>CH4_man_Sheep_LP_titles</t>
        </is>
      </c>
    </row>
    <row r="318">
      <c r="B318" t="inlineStr">
        <is>
          <t>CH4_man_Swine_LP</t>
        </is>
      </c>
      <c r="C318" t="inlineStr">
        <is>
          <t>CH4_man_Swine_LP[Please select]</t>
        </is>
      </c>
      <c r="D318" t="inlineStr">
        <is>
          <t>CH4_man_Swine_LP_titles</t>
        </is>
      </c>
    </row>
    <row r="319">
      <c r="B319" t="inlineStr">
        <is>
          <t>CH4_man_Swine_LP</t>
        </is>
      </c>
      <c r="C319" t="inlineStr">
        <is>
          <t>CH4_man_Swine_LP[Please select]</t>
        </is>
      </c>
      <c r="D319" t="inlineStr">
        <is>
          <t>CH4_man_Swine_LP_titles</t>
        </is>
      </c>
    </row>
    <row r="320">
      <c r="B320" t="inlineStr">
        <is>
          <t>CH4_man_Goat_LP</t>
        </is>
      </c>
      <c r="C320" t="inlineStr">
        <is>
          <t>CH4_man_Goat_LP[Please select]</t>
        </is>
      </c>
      <c r="D320" t="inlineStr">
        <is>
          <t>CH4_man_Goat_LP_titles</t>
        </is>
      </c>
    </row>
    <row r="321">
      <c r="B321" t="inlineStr">
        <is>
          <t>CH4_man_Horse_LP</t>
        </is>
      </c>
      <c r="C321" t="inlineStr">
        <is>
          <t>CH4_man_Horse_LP[Please select]</t>
        </is>
      </c>
      <c r="D321" t="inlineStr">
        <is>
          <t>CH4_man_Horse_LP_titles</t>
        </is>
      </c>
    </row>
    <row r="322">
      <c r="B322" t="inlineStr">
        <is>
          <t>CH4_man_Camel_LP</t>
        </is>
      </c>
      <c r="C322" t="inlineStr">
        <is>
          <t>CH4_man_Camel_LP[Please select]</t>
        </is>
      </c>
      <c r="D322" t="inlineStr">
        <is>
          <t>CH4_man_Camel_LP_titles</t>
        </is>
      </c>
    </row>
    <row r="323">
      <c r="B323" t="inlineStr">
        <is>
          <t>CH4_man_Mule_LP</t>
        </is>
      </c>
      <c r="C323" t="inlineStr">
        <is>
          <t>CH4_man_Mule_LP[Please select]</t>
        </is>
      </c>
      <c r="D323" t="inlineStr">
        <is>
          <t>CH4_man_Mule_LP_titles</t>
        </is>
      </c>
    </row>
    <row r="324">
      <c r="C324" t="inlineStr">
        <is>
          <t>[Please select]</t>
        </is>
      </c>
      <c r="D324" t="inlineStr">
        <is>
          <t>_titles</t>
        </is>
      </c>
    </row>
    <row r="325">
      <c r="C325" t="inlineStr">
        <is>
          <t>[Please select]</t>
        </is>
      </c>
      <c r="D325" t="inlineStr">
        <is>
          <t>_titles</t>
        </is>
      </c>
    </row>
    <row r="326">
      <c r="B326" t="inlineStr">
        <is>
          <t>CH4_man_Poultry_LP</t>
        </is>
      </c>
      <c r="C326" t="inlineStr">
        <is>
          <t>CH4_man_Poultry_LP[Please select]</t>
        </is>
      </c>
      <c r="D326" t="inlineStr">
        <is>
          <t>CH4_man_Poultry_LP_titles</t>
        </is>
      </c>
    </row>
    <row r="327">
      <c r="B327" t="inlineStr">
        <is>
          <t>CH4_man_Poultry_LP</t>
        </is>
      </c>
      <c r="C327" t="inlineStr">
        <is>
          <t>CH4_man_Poultry_LP[Please select]</t>
        </is>
      </c>
      <c r="D327" t="inlineStr">
        <is>
          <t>CH4_man_Poultry_LP_titles</t>
        </is>
      </c>
    </row>
    <row r="328">
      <c r="B328" t="inlineStr">
        <is>
          <t>CH4_man_Dairy_Cattle_HP</t>
        </is>
      </c>
      <c r="C328" t="inlineStr">
        <is>
          <t>CH4_man_Dairy_Cattle_HP[Please select]</t>
        </is>
      </c>
      <c r="D328" t="inlineStr">
        <is>
          <t>CH4_man_Dairy_Cattle_HP_titles</t>
        </is>
      </c>
    </row>
    <row r="329">
      <c r="B329" t="inlineStr">
        <is>
          <t>CH4_man_Other_Cattle_HP</t>
        </is>
      </c>
      <c r="C329" t="inlineStr">
        <is>
          <t>CH4_man_Other_Cattle_HP[Please select]</t>
        </is>
      </c>
      <c r="D329" t="inlineStr">
        <is>
          <t>CH4_man_Other_Cattle_HP_titles</t>
        </is>
      </c>
    </row>
    <row r="330">
      <c r="B330" t="inlineStr">
        <is>
          <t>CH4_man_Sheep_HP</t>
        </is>
      </c>
      <c r="C330" t="inlineStr">
        <is>
          <t>CH4_man_Sheep_HP[Please select]</t>
        </is>
      </c>
      <c r="D330" t="inlineStr">
        <is>
          <t>CH4_man_Sheep_HP_titles</t>
        </is>
      </c>
    </row>
    <row r="331">
      <c r="B331" t="inlineStr">
        <is>
          <t>CH4_man_Sheep_HP</t>
        </is>
      </c>
      <c r="C331" t="inlineStr">
        <is>
          <t>CH4_man_Sheep_HP[Please select]</t>
        </is>
      </c>
      <c r="D331" t="inlineStr">
        <is>
          <t>CH4_man_Sheep_HP_titles</t>
        </is>
      </c>
    </row>
    <row r="332">
      <c r="B332" t="inlineStr">
        <is>
          <t>CH4_man_Swine_HP</t>
        </is>
      </c>
      <c r="C332" t="inlineStr">
        <is>
          <t>CH4_man_Swine_HP[Please select]</t>
        </is>
      </c>
      <c r="D332" t="inlineStr">
        <is>
          <t>CH4_man_Swine_HP_titles</t>
        </is>
      </c>
    </row>
    <row r="333">
      <c r="B333" t="inlineStr">
        <is>
          <t>CH4_man_Swine_HP</t>
        </is>
      </c>
      <c r="C333" t="inlineStr">
        <is>
          <t>CH4_man_Swine_HP[Please select]</t>
        </is>
      </c>
      <c r="D333" t="inlineStr">
        <is>
          <t>CH4_man_Swine_HP_titles</t>
        </is>
      </c>
    </row>
    <row r="334">
      <c r="B334" t="inlineStr">
        <is>
          <t>CH4_man_Goat_HP</t>
        </is>
      </c>
      <c r="C334" t="inlineStr">
        <is>
          <t>CH4_man_Goat_HP[Please select]</t>
        </is>
      </c>
      <c r="D334" t="inlineStr">
        <is>
          <t>CH4_man_Goat_HP_titles</t>
        </is>
      </c>
    </row>
    <row r="335">
      <c r="B335" t="inlineStr">
        <is>
          <t>CH4_man_Horse_HP</t>
        </is>
      </c>
      <c r="C335" t="inlineStr">
        <is>
          <t>CH4_man_Horse_HP[Please select]</t>
        </is>
      </c>
      <c r="D335" t="inlineStr">
        <is>
          <t>CH4_man_Horse_HP_titles</t>
        </is>
      </c>
    </row>
    <row r="336">
      <c r="B336" t="inlineStr">
        <is>
          <t>CH4_man_Camel_HP</t>
        </is>
      </c>
      <c r="C336" t="inlineStr">
        <is>
          <t>CH4_man_Camel_HP[Please select]</t>
        </is>
      </c>
      <c r="D336" t="inlineStr">
        <is>
          <t>CH4_man_Camel_HP_titles</t>
        </is>
      </c>
    </row>
    <row r="337">
      <c r="B337" t="inlineStr">
        <is>
          <t>CH4_man_Mule_HP</t>
        </is>
      </c>
      <c r="C337" t="inlineStr">
        <is>
          <t>CH4_man_Mule_HP[Please select]</t>
        </is>
      </c>
      <c r="D337" t="inlineStr">
        <is>
          <t>CH4_man_Mule_HP_titles</t>
        </is>
      </c>
    </row>
    <row r="338">
      <c r="B338" t="inlineStr">
        <is>
          <t>CH4_man_Poultry_HP</t>
        </is>
      </c>
      <c r="C338" t="inlineStr">
        <is>
          <t>CH4_man_Poultry_HP[Please select]</t>
        </is>
      </c>
      <c r="D338" t="inlineStr">
        <is>
          <t>CH4_man_Poultry_HP_titles</t>
        </is>
      </c>
    </row>
    <row r="339">
      <c r="B339" t="inlineStr">
        <is>
          <t>CH4_man_Poultry_HP</t>
        </is>
      </c>
      <c r="C339" t="inlineStr">
        <is>
          <t>CH4_man_Poultry_HP[Please select]</t>
        </is>
      </c>
      <c r="D339" t="inlineStr">
        <is>
          <t>CH4_man_Poultry_HP_titles</t>
        </is>
      </c>
    </row>
    <row r="341">
      <c r="B341" t="inlineStr">
        <is>
          <t>EF_DIRECT_N2O_manure_mngt_cattle_poultry_pigs</t>
        </is>
      </c>
      <c r="C341" t="inlineStr">
        <is>
          <t>EF_DIRECT_N2O_manure_mngt_cattle_poultry_pigs[Please select]</t>
        </is>
      </c>
      <c r="D341" t="inlineStr">
        <is>
          <t>EF_DIRECT_N2O_manure_mngt_cattle_poultry_pigs_titles</t>
        </is>
      </c>
    </row>
    <row r="342">
      <c r="B342" t="inlineStr">
        <is>
          <t>EF_DIRECT_N2O_manure_mngt_Sheeps_others</t>
        </is>
      </c>
      <c r="C342" t="inlineStr">
        <is>
          <t>EF_DIRECT_N2O_manure_mngt_Sheeps_others[Please select]</t>
        </is>
      </c>
      <c r="D342" t="inlineStr">
        <is>
          <t>EF_DIRECT_N2O_manure_mngt_Sheeps_others_titles</t>
        </is>
      </c>
    </row>
    <row r="344">
      <c r="B344" t="inlineStr">
        <is>
          <t>Frac_vol_dairy_cow</t>
        </is>
      </c>
      <c r="C344" t="inlineStr">
        <is>
          <t>Frac_vol_dairy_cow[Please select]</t>
        </is>
      </c>
      <c r="D344" t="inlineStr">
        <is>
          <t>Frac_vol_dairy_cow_titles</t>
        </is>
      </c>
    </row>
    <row r="345">
      <c r="B345" t="inlineStr">
        <is>
          <t>Frac_vol_Other_Cattle</t>
        </is>
      </c>
      <c r="C345" t="inlineStr">
        <is>
          <t>Frac_vol_Other_Cattle[Please select]</t>
        </is>
      </c>
      <c r="D345" t="inlineStr">
        <is>
          <t>Frac_vol_Other_Cattle_titles</t>
        </is>
      </c>
    </row>
    <row r="346">
      <c r="B346" t="inlineStr">
        <is>
          <t>Frac_vol_Other_Animal</t>
        </is>
      </c>
      <c r="C346" t="inlineStr">
        <is>
          <t>Frac_vol_Other_Animal[Please select]</t>
        </is>
      </c>
      <c r="D346" t="inlineStr">
        <is>
          <t>Frac_vol_Other_Animal_titles</t>
        </is>
      </c>
    </row>
    <row r="347">
      <c r="B347" t="inlineStr">
        <is>
          <t>Frac_vol_swine</t>
        </is>
      </c>
      <c r="C347" t="inlineStr">
        <is>
          <t>Frac_vol_swine[Please select]</t>
        </is>
      </c>
      <c r="D347" t="inlineStr">
        <is>
          <t>Frac_vol_swine_titles</t>
        </is>
      </c>
    </row>
    <row r="349">
      <c r="B349" t="inlineStr">
        <is>
          <t>Frac_leach_all_categories</t>
        </is>
      </c>
      <c r="C349" t="inlineStr">
        <is>
          <t>Frac_leach_all_categories[Please select]</t>
        </is>
      </c>
      <c r="D349" t="inlineStr">
        <is>
          <t>Frac_leach_all_categories_titles</t>
        </is>
      </c>
    </row>
  </sheetData>
  <conditionalFormatting sqref="M16:M25">
    <cfRule type="duplicateValues" priority="7" dxfId="0"/>
  </conditionalFormatting>
  <conditionalFormatting sqref="AA19">
    <cfRule type="expression" priority="240">
      <formula>$T$19=$G$213</formula>
    </cfRule>
  </conditionalFormatting>
  <conditionalFormatting sqref="AB26">
    <cfRule type="expression" priority="5">
      <formula>$W$26=$G$213</formula>
    </cfRule>
  </conditionalFormatting>
  <conditionalFormatting sqref="DK43">
    <cfRule type="expression" priority="4">
      <formula>OR($R$43=$E$210,$R$43=$E$214)</formula>
    </cfRule>
  </conditionalFormatting>
  <dataValidations count="2">
    <dataValidation sqref="E262" showDropDown="0" showInputMessage="1" showErrorMessage="1" allowBlank="0" type="list">
      <formula1>OFFSET($B$261,1,MATCH($B$254, $B$261:$D$261,0)-1, COUNTA(OFFSET($B$261,1, MATCH(clim_moist, $B$261:$D$261,0)-1,5,1)), 1)</formula1>
    </dataValidation>
    <dataValidation sqref="N9" showDropDown="0" showInputMessage="1" showErrorMessage="1" allowBlank="0" type="list">
      <formula1>OFFSET($F$21, 1, MATCH(climate, $F$21:$J$21,0)-1, COUNTA(OFFSET($F$21,1,MATCH(climate, $F$21:$J$21,0)-1,6,1)),1)</formula1>
    </dataValidation>
  </dataValidations>
  <pageMargins left="0.7" right="0.7" top="0.75" bottom="0.75" header="0.3" footer="0.3"/>
  <pageSetup orientation="portrait" paperSize="9"/>
  <legacyDrawing r:id="anysvml"/>
  <tableParts count="5">
    <tablePart r:id="rId1"/>
    <tablePart r:id="rId2"/>
    <tablePart r:id="rId3"/>
    <tablePart r:id="rId4"/>
    <tablePart r:id="rId5"/>
  </tableParts>
</worksheet>
</file>

<file path=xl/worksheets/sheet21.xml><?xml version="1.0" encoding="utf-8"?>
<worksheet xmlns:r="http://schemas.openxmlformats.org/officeDocument/2006/relationships" xmlns="http://schemas.openxmlformats.org/spreadsheetml/2006/main">
  <sheetPr codeName="Sheet4">
    <tabColor rgb="FFFF0000"/>
    <outlinePr summaryBelow="1" summaryRight="1"/>
    <pageSetUpPr/>
  </sheetPr>
  <dimension ref="A1:BS3243"/>
  <sheetViews>
    <sheetView zoomScale="85" zoomScaleNormal="85" workbookViewId="0">
      <pane xSplit="1" topLeftCell="B1" activePane="topRight" state="frozen"/>
      <selection activeCell="C136" sqref="C136"/>
      <selection pane="topRight" activeCell="B9" activeCellId="1" sqref="A89:B89 B9"/>
    </sheetView>
  </sheetViews>
  <sheetFormatPr baseColWidth="10" defaultColWidth="8.6640625" defaultRowHeight="15"/>
  <cols>
    <col width="69.5" customWidth="1" min="1" max="1"/>
    <col width="22.33203125" customWidth="1" min="2" max="2"/>
    <col width="31.5" customWidth="1" min="3" max="3"/>
    <col width="19.5" customWidth="1" min="4" max="4"/>
    <col width="21.5" customWidth="1" min="5" max="5"/>
    <col width="24.33203125" customWidth="1" min="6" max="6"/>
    <col width="19.6640625" customWidth="1" min="7" max="7"/>
    <col width="27.5" customWidth="1" min="8" max="8"/>
    <col width="26.5" customWidth="1" min="9" max="9"/>
    <col width="24.33203125" customWidth="1" min="10" max="10"/>
    <col width="23.6640625" customWidth="1" min="11" max="11"/>
    <col width="25.33203125" customWidth="1" min="12" max="12"/>
    <col width="28.5" customWidth="1" min="13" max="13"/>
    <col width="31.5" customWidth="1" min="14" max="15"/>
    <col width="29.6640625" customWidth="1" min="16" max="16"/>
    <col width="26.33203125" customWidth="1" min="17" max="17"/>
    <col width="27.5" customWidth="1" min="18" max="19"/>
    <col width="28.5" customWidth="1" min="20" max="20"/>
    <col width="27.5" customWidth="1" min="21" max="21"/>
    <col width="28.5" customWidth="1" min="22" max="22"/>
    <col width="32.5" customWidth="1" min="23" max="23"/>
    <col width="35.5" bestFit="1" customWidth="1" min="24" max="24"/>
    <col width="25.5" customWidth="1" min="25" max="25"/>
    <col width="39.33203125" bestFit="1" customWidth="1" min="26" max="26"/>
    <col width="40.33203125" bestFit="1" customWidth="1" min="27" max="27"/>
    <col width="34.5" bestFit="1" customWidth="1" min="28" max="28"/>
    <col width="31.5" bestFit="1" customWidth="1" min="29" max="30"/>
    <col width="28.5" bestFit="1" customWidth="1" min="31" max="32"/>
    <col width="28" customWidth="1" min="33" max="33"/>
    <col width="40.5" bestFit="1" customWidth="1" min="34" max="34"/>
    <col width="37.33203125" bestFit="1" customWidth="1" min="35" max="35"/>
    <col width="28.6640625" bestFit="1" customWidth="1" min="36" max="36"/>
    <col width="37.33203125" bestFit="1" customWidth="1" min="37" max="37"/>
    <col width="30.6640625" bestFit="1" customWidth="1" min="38" max="38"/>
    <col width="31.6640625" customWidth="1" min="39" max="39"/>
    <col width="32.33203125" bestFit="1" customWidth="1" min="40" max="41"/>
    <col width="19.5" bestFit="1" customWidth="1" min="42" max="43"/>
    <col width="20" bestFit="1" customWidth="1" min="44" max="45"/>
    <col width="35.5" bestFit="1" customWidth="1" min="46" max="46"/>
    <col width="41.5" customWidth="1" min="47" max="47"/>
    <col width="39.33203125" bestFit="1" customWidth="1" min="48" max="48"/>
    <col width="40.33203125" bestFit="1" customWidth="1" min="49" max="51"/>
    <col width="27.6640625" bestFit="1" customWidth="1" min="52" max="53"/>
    <col width="28.33203125" bestFit="1" customWidth="1" min="54" max="55"/>
    <col width="25.6640625" bestFit="1" customWidth="1" min="56" max="56"/>
    <col width="25.33203125" bestFit="1" customWidth="1" min="57" max="57"/>
    <col width="27.33203125" bestFit="1" customWidth="1" min="58" max="58"/>
    <col width="34.33203125" bestFit="1" customWidth="1" min="59" max="59"/>
    <col width="33.5" bestFit="1" customWidth="1" min="60" max="60"/>
    <col width="27.33203125" bestFit="1" customWidth="1" min="61" max="61"/>
    <col width="34.33203125" bestFit="1" customWidth="1" min="62" max="62"/>
    <col width="33.5" bestFit="1" customWidth="1" min="63" max="64"/>
    <col width="35.5" bestFit="1" customWidth="1" min="65" max="66"/>
    <col width="28.6640625" bestFit="1" customWidth="1" min="67" max="68"/>
    <col width="37.33203125" bestFit="1" customWidth="1" min="69" max="71"/>
  </cols>
  <sheetData>
    <row r="1" ht="47" customFormat="1" customHeight="1" s="4070">
      <c r="B1" s="4072" t="n"/>
      <c r="C1" s="4072" t="n"/>
      <c r="D1" s="4072" t="n"/>
      <c r="G1" s="4072" t="n"/>
    </row>
    <row r="2" ht="59" customFormat="1" customHeight="1" s="4067">
      <c r="A2" s="4069" t="inlineStr">
        <is>
          <t xml:space="preserve">From 2019 Refinement to the 2006 IPCC Guidelines for National Greenhouse Gas Inventories Volume 4 </t>
        </is>
      </c>
      <c r="B2" s="4068" t="n"/>
      <c r="C2" s="4068" t="n"/>
      <c r="D2" s="4068" t="n"/>
      <c r="G2" s="4068" t="n"/>
    </row>
    <row r="3" hidden="1" ht="18.75" customFormat="1" customHeight="1" s="4067">
      <c r="B3" s="4068" t="n"/>
      <c r="C3" s="4068" t="n"/>
      <c r="D3" s="4068" t="n"/>
      <c r="G3" s="4068" t="n"/>
    </row>
    <row r="4" hidden="1" ht="14" customFormat="1" customHeight="1" s="4067">
      <c r="A4" s="4069" t="inlineStr">
        <is>
          <t> </t>
        </is>
      </c>
      <c r="B4" s="4068" t="n"/>
      <c r="C4" s="4068" t="n"/>
      <c r="D4" s="4068" t="n"/>
      <c r="G4" s="4068" t="n"/>
    </row>
    <row r="5" ht="59" customFormat="1" customHeight="1" s="4070" thickBot="1">
      <c r="B5" s="4071" t="n"/>
      <c r="C5" s="4071" t="n"/>
      <c r="D5" s="4072" t="n"/>
      <c r="G5" s="4072" t="n"/>
    </row>
    <row r="6" customFormat="1" s="12">
      <c r="A6" s="49" t="inlineStr">
        <is>
          <t xml:space="preserve">Default factors for estimating N from crop residues and forage/pasture renewal </t>
        </is>
      </c>
      <c r="B6" s="10" t="n"/>
      <c r="C6" s="10" t="n"/>
      <c r="D6" s="10" t="n"/>
      <c r="E6" s="11" t="n"/>
      <c r="F6" s="11" t="n"/>
      <c r="G6" s="10" t="n"/>
    </row>
    <row r="7" ht="16" customFormat="1" customHeight="1" s="14" thickBot="1">
      <c r="A7" s="50" t="inlineStr">
        <is>
          <t>Updated Equation 11.6 , page 1.14</t>
        </is>
      </c>
      <c r="B7" s="15" t="n"/>
      <c r="C7" s="15" t="n"/>
      <c r="D7" s="15" t="n"/>
      <c r="E7" s="18" t="n"/>
      <c r="F7" s="18" t="n"/>
      <c r="G7" s="13" t="n"/>
    </row>
    <row r="8" ht="17.75" customFormat="1" customHeight="1" s="21">
      <c r="A8" s="32" t="inlineStr">
        <is>
          <t>IPCC Crop types</t>
        </is>
      </c>
      <c r="B8" s="24" t="inlineStr">
        <is>
          <t>Slope (T)</t>
        </is>
      </c>
      <c r="C8" s="25" t="inlineStr">
        <is>
          <t>Intercept (T)</t>
        </is>
      </c>
      <c r="D8" s="28" t="inlineStr">
        <is>
          <t>N content of AG residues</t>
        </is>
      </c>
      <c r="E8" s="30" t="inlineStr">
        <is>
          <t>RS (T)</t>
        </is>
      </c>
      <c r="F8" s="31" t="inlineStr">
        <is>
          <t>N BG(T)</t>
        </is>
      </c>
      <c r="G8" s="22" t="n"/>
    </row>
    <row r="9" ht="17.75" customFormat="1" customHeight="1" s="21">
      <c r="A9" s="33" t="n"/>
      <c r="B9" s="26" t="inlineStr">
        <is>
          <t xml:space="preserve"> TABLE 11.2 (Updated)</t>
        </is>
      </c>
      <c r="C9" s="27" t="n"/>
      <c r="D9" s="29" t="inlineStr">
        <is>
          <t>TABLE 11.1A</t>
        </is>
      </c>
      <c r="E9" s="29" t="inlineStr">
        <is>
          <t>TABLE 11.1A</t>
        </is>
      </c>
      <c r="F9" s="29" t="inlineStr">
        <is>
          <t>TABLE 11.1A</t>
        </is>
      </c>
      <c r="G9" s="22" t="n"/>
    </row>
    <row r="10" ht="17.75" customFormat="1" customHeight="1" s="21">
      <c r="A10" s="34" t="inlineStr">
        <is>
          <t>Generic value</t>
        </is>
      </c>
      <c r="B10" s="38" t="inlineStr">
        <is>
          <t>NA</t>
        </is>
      </c>
      <c r="C10" s="38" t="inlineStr">
        <is>
          <t>NA</t>
        </is>
      </c>
      <c r="D10" s="44" t="n">
        <v>0.008</v>
      </c>
      <c r="E10" s="45" t="n">
        <v>0.22</v>
      </c>
      <c r="F10" s="167" t="n">
        <v>0.008999999999999999</v>
      </c>
      <c r="G10" s="22" t="n"/>
    </row>
    <row r="11" ht="15" customFormat="1" customHeight="1" s="21">
      <c r="A11" s="35" t="inlineStr">
        <is>
          <t>Grains</t>
        </is>
      </c>
      <c r="B11" s="39" t="n">
        <v>1.09</v>
      </c>
      <c r="C11" s="43" t="n">
        <v>0.88</v>
      </c>
      <c r="D11" s="19" t="n">
        <v>0.006</v>
      </c>
      <c r="E11" s="46" t="n">
        <v>0.22</v>
      </c>
      <c r="F11" s="168" t="n">
        <v>0.008999999999999999</v>
      </c>
      <c r="G11" s="22" t="n"/>
    </row>
    <row r="12" ht="15" customFormat="1" customHeight="1" s="21">
      <c r="A12" s="35" t="inlineStr">
        <is>
          <t>Beans &amp; pulses</t>
        </is>
      </c>
      <c r="B12" s="39" t="n">
        <v>1.13</v>
      </c>
      <c r="C12" s="40" t="n">
        <v>0.85</v>
      </c>
      <c r="D12" s="41" t="n">
        <v>0.008</v>
      </c>
      <c r="E12" s="46" t="n">
        <v>0.19</v>
      </c>
      <c r="F12" s="168" t="n">
        <v>0.008</v>
      </c>
      <c r="G12" s="22" t="n"/>
    </row>
    <row r="13" ht="15" customFormat="1" customHeight="1" s="21">
      <c r="A13" s="35" t="inlineStr">
        <is>
          <t>Tubers</t>
        </is>
      </c>
      <c r="B13" s="40" t="n">
        <v>0.1</v>
      </c>
      <c r="C13" s="40" t="n">
        <v>1.06</v>
      </c>
      <c r="D13" s="41" t="n">
        <v>0.019</v>
      </c>
      <c r="E13" s="47" t="n">
        <v>0.2</v>
      </c>
      <c r="F13" s="169" t="n">
        <v>0.014</v>
      </c>
      <c r="G13" s="23" t="n"/>
    </row>
    <row r="14" ht="15" customFormat="1" customHeight="1" s="21">
      <c r="A14" s="165" t="inlineStr">
        <is>
          <t>Root crops</t>
        </is>
      </c>
      <c r="B14" s="40" t="n">
        <v>1.07</v>
      </c>
      <c r="C14" s="40" t="n">
        <v>1.54</v>
      </c>
      <c r="D14" s="163" t="n">
        <v>0.019</v>
      </c>
      <c r="E14" s="164" t="n">
        <v>0.2</v>
      </c>
      <c r="F14" s="170" t="n">
        <v>0.014</v>
      </c>
      <c r="G14" s="23" t="n"/>
    </row>
    <row r="15" ht="15" customFormat="1" customHeight="1" s="21">
      <c r="A15" s="35" t="inlineStr">
        <is>
          <t>N-fixing forages</t>
        </is>
      </c>
      <c r="B15" s="40" t="n">
        <v>0.3</v>
      </c>
      <c r="C15" s="40" t="n">
        <v>0</v>
      </c>
      <c r="D15" s="41" t="n">
        <v>0.027</v>
      </c>
      <c r="E15" s="47" t="n">
        <v>0.4</v>
      </c>
      <c r="F15" s="169" t="n">
        <v>0.022</v>
      </c>
      <c r="G15" s="23" t="n"/>
    </row>
    <row r="16" ht="15" customFormat="1" customHeight="1" s="21">
      <c r="A16" s="35" t="inlineStr">
        <is>
          <t>Non-N-fixing forages</t>
        </is>
      </c>
      <c r="B16" s="40" t="n">
        <v>0.3</v>
      </c>
      <c r="C16" s="40" t="n">
        <v>0</v>
      </c>
      <c r="D16" s="41" t="n">
        <v>0.015</v>
      </c>
      <c r="E16" s="47" t="n">
        <v>0.54</v>
      </c>
      <c r="F16" s="169" t="n">
        <v>0.012</v>
      </c>
      <c r="G16" s="23" t="n"/>
    </row>
    <row r="17" ht="15" customFormat="1" customHeight="1" s="21">
      <c r="A17" s="35" t="inlineStr">
        <is>
          <t>Maize</t>
        </is>
      </c>
      <c r="B17" s="40" t="n">
        <v>1.03</v>
      </c>
      <c r="C17" s="40" t="n">
        <v>0.61</v>
      </c>
      <c r="D17" s="41" t="n">
        <v>0.006</v>
      </c>
      <c r="E17" s="47" t="n">
        <v>0.22</v>
      </c>
      <c r="F17" s="169" t="n">
        <v>0.007</v>
      </c>
      <c r="G17" s="23" t="n"/>
    </row>
    <row r="18" ht="15" customFormat="1" customHeight="1" s="21">
      <c r="A18" s="35" t="inlineStr">
        <is>
          <t>Wheat</t>
        </is>
      </c>
      <c r="B18" s="40" t="n">
        <v>1.51</v>
      </c>
      <c r="C18" s="40" t="n">
        <v>0.52</v>
      </c>
      <c r="D18" s="163" t="n">
        <v>0.006</v>
      </c>
      <c r="E18" s="164" t="n">
        <v>0.24</v>
      </c>
      <c r="F18" s="170" t="n">
        <v>0.008999999999999999</v>
      </c>
      <c r="G18" s="23" t="n"/>
    </row>
    <row r="19" ht="15" customFormat="1" customHeight="1" s="21">
      <c r="A19" s="35" t="inlineStr">
        <is>
          <t>Winter wheat</t>
        </is>
      </c>
      <c r="B19" s="40" t="n">
        <v>1.61</v>
      </c>
      <c r="C19" s="40" t="n">
        <v>0.4</v>
      </c>
      <c r="D19" s="41" t="n">
        <v>0.006</v>
      </c>
      <c r="E19" s="47" t="n">
        <v>0.23</v>
      </c>
      <c r="F19" s="169" t="n">
        <v>0.008999999999999999</v>
      </c>
      <c r="G19" s="23" t="n"/>
    </row>
    <row r="20" ht="15" customFormat="1" customHeight="1" s="21">
      <c r="A20" s="35" t="inlineStr">
        <is>
          <t>Spring wheat</t>
        </is>
      </c>
      <c r="B20" s="40" t="n">
        <v>1.29</v>
      </c>
      <c r="C20" s="40" t="n">
        <v>0.75</v>
      </c>
      <c r="D20" s="41" t="n">
        <v>0.006</v>
      </c>
      <c r="E20" s="47" t="n">
        <v>0.28</v>
      </c>
      <c r="F20" s="169" t="n">
        <v>0.008999999999999999</v>
      </c>
      <c r="G20" s="23" t="n"/>
    </row>
    <row r="21" ht="15" customFormat="1" customHeight="1" s="21">
      <c r="A21" s="35" t="inlineStr">
        <is>
          <t>Rice</t>
        </is>
      </c>
      <c r="B21" s="40" t="n">
        <v>0.95</v>
      </c>
      <c r="C21" s="40" t="n">
        <v>2.46</v>
      </c>
      <c r="D21" s="41" t="n">
        <v>0.007</v>
      </c>
      <c r="E21" s="47" t="n">
        <v>0.16</v>
      </c>
      <c r="F21" s="173">
        <f>F11</f>
        <v/>
      </c>
      <c r="G21" s="23" t="n"/>
    </row>
    <row r="22" ht="15" customFormat="1" customHeight="1" s="21">
      <c r="A22" s="35" t="inlineStr">
        <is>
          <t>Barley</t>
        </is>
      </c>
      <c r="B22" s="40" t="n">
        <v>0.98</v>
      </c>
      <c r="C22" s="40" t="n">
        <v>0.59</v>
      </c>
      <c r="D22" s="41" t="n">
        <v>0.007</v>
      </c>
      <c r="E22" s="47" t="n">
        <v>0.22</v>
      </c>
      <c r="F22" s="169" t="n">
        <v>0.014</v>
      </c>
      <c r="G22" s="23" t="n"/>
    </row>
    <row r="23" ht="15" customFormat="1" customHeight="1" s="21">
      <c r="A23" s="35" t="inlineStr">
        <is>
          <t>Oats</t>
        </is>
      </c>
      <c r="B23" s="40" t="n">
        <v>0.91</v>
      </c>
      <c r="C23" s="40" t="n">
        <v>0.89</v>
      </c>
      <c r="D23" s="41" t="n">
        <v>0.007</v>
      </c>
      <c r="E23" s="47" t="n">
        <v>0.25</v>
      </c>
      <c r="F23" s="169" t="n">
        <v>0.008</v>
      </c>
      <c r="G23" s="23" t="n"/>
    </row>
    <row r="24" ht="15" customFormat="1" customHeight="1" s="21">
      <c r="A24" s="35" t="inlineStr">
        <is>
          <t>Millet</t>
        </is>
      </c>
      <c r="B24" s="40" t="n">
        <v>1.43</v>
      </c>
      <c r="C24" s="40" t="n">
        <v>0.14</v>
      </c>
      <c r="D24" s="41" t="n">
        <v>0.007</v>
      </c>
      <c r="E24" s="162" t="n">
        <v>0.22</v>
      </c>
      <c r="F24" s="173">
        <f>F11</f>
        <v/>
      </c>
      <c r="G24" s="23" t="n"/>
    </row>
    <row r="25" ht="15" customFormat="1" customHeight="1" s="21">
      <c r="A25" s="36" t="inlineStr">
        <is>
          <t>Sorghum</t>
        </is>
      </c>
      <c r="B25" s="40" t="n">
        <v>0.88</v>
      </c>
      <c r="C25" s="40" t="n">
        <v>1.33</v>
      </c>
      <c r="D25" s="41" t="n">
        <v>0.007</v>
      </c>
      <c r="E25" s="162" t="n">
        <v>0.22</v>
      </c>
      <c r="F25" s="169" t="n">
        <v>0.006</v>
      </c>
      <c r="G25" s="23" t="n"/>
    </row>
    <row r="26" ht="15" customFormat="1" customHeight="1" s="21">
      <c r="A26" s="36" t="inlineStr">
        <is>
          <t>Rye</t>
        </is>
      </c>
      <c r="B26" s="40" t="n">
        <v>1.09</v>
      </c>
      <c r="C26" s="40" t="n">
        <v>0.88</v>
      </c>
      <c r="D26" s="41" t="n">
        <v>0.005</v>
      </c>
      <c r="E26" s="162" t="n">
        <v>0.22</v>
      </c>
      <c r="F26" s="169" t="n">
        <v>0.011</v>
      </c>
      <c r="G26" s="23" t="n"/>
    </row>
    <row r="27" ht="15" customFormat="1" customHeight="1" s="21">
      <c r="A27" s="35" t="inlineStr">
        <is>
          <t>Soybeans</t>
        </is>
      </c>
      <c r="B27" s="40" t="n">
        <v>0.93</v>
      </c>
      <c r="C27" s="40" t="n">
        <v>1.35</v>
      </c>
      <c r="D27" s="41" t="n">
        <v>0.008</v>
      </c>
      <c r="E27" s="47" t="n">
        <v>0.19</v>
      </c>
      <c r="F27" s="169" t="n">
        <v>0.008</v>
      </c>
      <c r="G27" s="23" t="n"/>
    </row>
    <row r="28" ht="15" customFormat="1" customHeight="1" s="21">
      <c r="A28" s="35" t="inlineStr">
        <is>
          <t>Dry bean</t>
        </is>
      </c>
      <c r="B28" s="40" t="n">
        <v>0.36</v>
      </c>
      <c r="C28" s="40" t="n">
        <v>0.68</v>
      </c>
      <c r="D28" s="163" t="n">
        <v>0.01</v>
      </c>
      <c r="E28" s="172" t="n">
        <v>0.22</v>
      </c>
      <c r="F28" s="166" t="n">
        <v>0.01</v>
      </c>
      <c r="G28" s="23" t="n"/>
    </row>
    <row r="29" ht="15" customFormat="1" customHeight="1" s="21">
      <c r="A29" s="35" t="inlineStr">
        <is>
          <t>Potatoes</t>
        </is>
      </c>
      <c r="B29" s="40" t="n">
        <v>0.1</v>
      </c>
      <c r="C29" s="40" t="n">
        <v>1.06</v>
      </c>
      <c r="D29" s="41" t="n">
        <v>0.019</v>
      </c>
      <c r="E29" s="47" t="n">
        <v>0.2</v>
      </c>
      <c r="F29" s="169" t="n">
        <v>0.014</v>
      </c>
      <c r="G29" s="23" t="n"/>
    </row>
    <row r="30" ht="15" customFormat="1" customHeight="1" s="21">
      <c r="A30" s="35" t="inlineStr">
        <is>
          <t>Peanuts</t>
        </is>
      </c>
      <c r="B30" s="40" t="n">
        <v>1.07</v>
      </c>
      <c r="C30" s="40" t="n">
        <v>1.54</v>
      </c>
      <c r="D30" s="41" t="n">
        <v>0.016</v>
      </c>
      <c r="E30" s="162" t="n">
        <v>0.22</v>
      </c>
      <c r="F30" s="173" t="n">
        <v>0.008999999999999999</v>
      </c>
      <c r="G30" s="23" t="n"/>
    </row>
    <row r="31" customFormat="1" s="21">
      <c r="A31" s="20" t="inlineStr">
        <is>
          <t>Alfalfa</t>
        </is>
      </c>
      <c r="B31" s="41" t="n">
        <v>0.29</v>
      </c>
      <c r="C31" s="41" t="n">
        <v>0</v>
      </c>
      <c r="D31" s="41" t="n">
        <v>0.027</v>
      </c>
      <c r="E31" s="47" t="n">
        <v>0.4</v>
      </c>
      <c r="F31" s="169" t="n">
        <v>0.019</v>
      </c>
      <c r="G31" s="23" t="n"/>
    </row>
    <row r="32" customFormat="1" s="21">
      <c r="A32" s="20" t="inlineStr">
        <is>
          <t>Non-legume hay</t>
        </is>
      </c>
      <c r="B32" s="41" t="n">
        <v>0.18</v>
      </c>
      <c r="C32" s="41" t="n">
        <v>0</v>
      </c>
      <c r="D32" s="41" t="n">
        <v>0.015</v>
      </c>
      <c r="E32" s="47" t="n">
        <v>0.54</v>
      </c>
      <c r="F32" s="169" t="n">
        <v>0.012</v>
      </c>
      <c r="G32" s="23" t="n"/>
    </row>
    <row r="33" customFormat="1" s="21">
      <c r="A33" s="20" t="inlineStr">
        <is>
          <t>Perennial grasses</t>
        </is>
      </c>
      <c r="B33" s="41" t="n">
        <v>0.3</v>
      </c>
      <c r="C33" s="41" t="n">
        <v>0</v>
      </c>
      <c r="D33" s="41" t="n">
        <v>0.015</v>
      </c>
      <c r="E33" s="47" t="n">
        <v>0.8</v>
      </c>
      <c r="F33" s="169" t="n">
        <v>0.012</v>
      </c>
      <c r="G33" s="23" t="n"/>
    </row>
    <row r="34" customFormat="1" s="21">
      <c r="A34" s="37" t="inlineStr">
        <is>
          <t>Grass-clover mixtures</t>
        </is>
      </c>
      <c r="B34" s="42" t="n">
        <v>0.3</v>
      </c>
      <c r="C34" s="42" t="n">
        <v>0</v>
      </c>
      <c r="D34" s="42" t="n">
        <v>0.025</v>
      </c>
      <c r="E34" s="48" t="n">
        <v>0.8</v>
      </c>
      <c r="F34" s="171" t="n">
        <v>0.016</v>
      </c>
      <c r="G34" s="23" t="n"/>
    </row>
    <row r="36" ht="18" customFormat="1" customHeight="1" s="362">
      <c r="A36" s="327" t="inlineStr">
        <is>
          <t xml:space="preserve">Default reference condition soil organic carbon stocks (SOCREF) for mineral soils, Tonnes C ha-1 in 0-30 cm depth </t>
        </is>
      </c>
      <c r="B36" s="328" t="n"/>
      <c r="C36" s="328" t="n"/>
      <c r="D36" s="328" t="n"/>
      <c r="E36" s="329" t="n"/>
      <c r="F36" s="329" t="n"/>
      <c r="G36" s="329" t="n"/>
      <c r="H36" s="329" t="n"/>
      <c r="I36" s="330" t="n"/>
      <c r="J36" s="331" t="n"/>
      <c r="K36" s="331" t="n"/>
      <c r="L36" s="329" t="n"/>
    </row>
    <row r="37" customFormat="1" s="341">
      <c r="A37" s="333" t="inlineStr">
        <is>
          <t>TABLE 2.3 (UPDATED), IPCC 2019, Chapter 2, Volume 4, page 2.39</t>
        </is>
      </c>
      <c r="B37" s="106" t="n"/>
      <c r="C37" s="106" t="n"/>
      <c r="D37" s="106" t="n"/>
      <c r="E37" s="106" t="n"/>
      <c r="F37" s="106" t="n"/>
      <c r="G37" s="106" t="n"/>
      <c r="H37" s="106" t="n"/>
      <c r="I37" s="334" t="n"/>
      <c r="J37" s="106" t="n"/>
      <c r="K37" s="106" t="n"/>
      <c r="L37" s="106" t="n"/>
    </row>
    <row r="38">
      <c r="A38" s="374" t="inlineStr">
        <is>
          <t>Climate Region</t>
        </is>
      </c>
      <c r="B38" s="322">
        <f>list!L6</f>
        <v/>
      </c>
      <c r="C38" s="322">
        <f>list!M7</f>
        <v/>
      </c>
      <c r="D38" s="322">
        <f>list!M8</f>
        <v/>
      </c>
      <c r="E38" s="322">
        <f>list!M9</f>
        <v/>
      </c>
      <c r="F38" s="322">
        <f>list!M10</f>
        <v/>
      </c>
      <c r="G38" s="322">
        <f>list!M11</f>
        <v/>
      </c>
      <c r="H38" s="322" t="inlineStr">
        <is>
          <t>WET</t>
        </is>
      </c>
      <c r="I38" s="322" t="inlineStr">
        <is>
          <t>ORG</t>
        </is>
      </c>
      <c r="J38" s="18" t="n"/>
      <c r="K38" s="18" t="n"/>
      <c r="L38" s="18" t="n"/>
    </row>
    <row r="39">
      <c r="A39" s="515" t="inlineStr">
        <is>
          <t>Please select</t>
        </is>
      </c>
      <c r="B39" s="55" t="n"/>
      <c r="C39" s="163" t="n">
        <v>0</v>
      </c>
      <c r="D39" s="163" t="n">
        <v>0</v>
      </c>
      <c r="E39" s="163" t="n">
        <v>0</v>
      </c>
      <c r="F39" s="163" t="n">
        <v>0</v>
      </c>
      <c r="G39" s="163" t="n">
        <v>0</v>
      </c>
      <c r="H39" s="163" t="n">
        <v>0</v>
      </c>
      <c r="I39" s="501" t="n"/>
      <c r="J39" s="21" t="n"/>
      <c r="K39" s="21" t="n"/>
      <c r="L39" s="21" t="n"/>
    </row>
    <row r="40" customFormat="1" s="21">
      <c r="A40" s="263" t="inlineStr">
        <is>
          <t>Boreal Moist</t>
        </is>
      </c>
      <c r="B40" s="56" t="n"/>
      <c r="C40" s="41" t="n">
        <v>63</v>
      </c>
      <c r="D40" s="163" t="inlineStr">
        <is>
          <t>N/A</t>
        </is>
      </c>
      <c r="E40" s="41" t="n">
        <v>10</v>
      </c>
      <c r="F40" s="41" t="n">
        <v>117</v>
      </c>
      <c r="G40" s="41" t="n">
        <v>20</v>
      </c>
      <c r="H40" s="41" t="n">
        <v>116</v>
      </c>
      <c r="I40" s="501" t="n"/>
    </row>
    <row r="41" customFormat="1" s="21">
      <c r="A41" s="265" t="inlineStr">
        <is>
          <t>Boreal Dry</t>
        </is>
      </c>
      <c r="B41" s="56" t="n"/>
      <c r="C41" s="41" t="n">
        <v>63</v>
      </c>
      <c r="D41" s="163" t="inlineStr">
        <is>
          <t>N/A</t>
        </is>
      </c>
      <c r="E41" s="41" t="n">
        <v>10</v>
      </c>
      <c r="F41" s="41" t="n">
        <v>117</v>
      </c>
      <c r="G41" s="41" t="n">
        <v>20</v>
      </c>
      <c r="H41" s="41" t="n">
        <v>116</v>
      </c>
      <c r="I41" s="501" t="n"/>
    </row>
    <row r="42" customFormat="1" s="21">
      <c r="A42" s="263" t="inlineStr">
        <is>
          <t>Cool temperate Dry</t>
        </is>
      </c>
      <c r="B42" s="56" t="n"/>
      <c r="C42" s="41" t="n">
        <v>43</v>
      </c>
      <c r="D42" s="41" t="n">
        <v>33</v>
      </c>
      <c r="E42" s="41" t="n">
        <v>13</v>
      </c>
      <c r="F42" s="163" t="inlineStr">
        <is>
          <t>NO</t>
        </is>
      </c>
      <c r="G42" s="41" t="n">
        <v>20</v>
      </c>
      <c r="H42" s="41" t="n">
        <v>87</v>
      </c>
      <c r="I42" s="501" t="n"/>
    </row>
    <row r="43" customFormat="1" s="21">
      <c r="A43" s="265" t="inlineStr">
        <is>
          <t>Cool temperate Moist</t>
        </is>
      </c>
      <c r="B43" s="56" t="n"/>
      <c r="C43" s="41" t="n">
        <v>81</v>
      </c>
      <c r="D43" s="41" t="n">
        <v>76</v>
      </c>
      <c r="E43" s="41" t="n">
        <v>51</v>
      </c>
      <c r="F43" s="41" t="n">
        <v>128</v>
      </c>
      <c r="G43" s="41" t="n">
        <v>136</v>
      </c>
      <c r="H43" s="41" t="n">
        <v>128</v>
      </c>
      <c r="I43" s="501" t="n"/>
    </row>
    <row r="44" customFormat="1" s="21">
      <c r="A44" s="263" t="inlineStr">
        <is>
          <t>Warm temperate Dry</t>
        </is>
      </c>
      <c r="B44" s="56" t="n"/>
      <c r="C44" s="41" t="n">
        <v>24</v>
      </c>
      <c r="D44" s="41" t="n">
        <v>19</v>
      </c>
      <c r="E44" s="41" t="n">
        <v>10</v>
      </c>
      <c r="F44" s="163" t="inlineStr">
        <is>
          <t>NO</t>
        </is>
      </c>
      <c r="G44" s="41" t="n">
        <v>84</v>
      </c>
      <c r="H44" s="41" t="n">
        <v>74</v>
      </c>
      <c r="I44" s="501" t="n"/>
    </row>
    <row r="45" customFormat="1" s="21">
      <c r="A45" s="265" t="inlineStr">
        <is>
          <t>Warm temperate Moist</t>
        </is>
      </c>
      <c r="B45" s="56" t="n"/>
      <c r="C45" s="41" t="n">
        <v>64</v>
      </c>
      <c r="D45" s="41" t="n">
        <v>55</v>
      </c>
      <c r="E45" s="41" t="n">
        <v>36</v>
      </c>
      <c r="F45" s="41" t="n">
        <v>143</v>
      </c>
      <c r="G45" s="41" t="n">
        <v>138</v>
      </c>
      <c r="H45" s="41" t="n">
        <v>135</v>
      </c>
      <c r="I45" s="501" t="n"/>
    </row>
    <row r="46" customFormat="1" s="21">
      <c r="A46" s="263" t="inlineStr">
        <is>
          <t>Tropical Dry</t>
        </is>
      </c>
      <c r="B46" s="56" t="n"/>
      <c r="C46" s="41" t="n">
        <v>21</v>
      </c>
      <c r="D46" s="41" t="n">
        <v>19</v>
      </c>
      <c r="E46" s="41" t="n">
        <v>9</v>
      </c>
      <c r="F46" s="163" t="inlineStr">
        <is>
          <t>NO</t>
        </is>
      </c>
      <c r="G46" s="41" t="n">
        <v>50</v>
      </c>
      <c r="H46" s="41" t="n">
        <v>22</v>
      </c>
      <c r="I46" s="501" t="n"/>
    </row>
    <row r="47" customFormat="1" s="21">
      <c r="A47" s="264" t="inlineStr">
        <is>
          <t>Tropical Moist</t>
        </is>
      </c>
      <c r="B47" s="56" t="n"/>
      <c r="C47" s="41" t="n">
        <v>40</v>
      </c>
      <c r="D47" s="41" t="n">
        <v>38</v>
      </c>
      <c r="E47" s="41" t="n">
        <v>27</v>
      </c>
      <c r="F47" s="163" t="inlineStr">
        <is>
          <t>NO</t>
        </is>
      </c>
      <c r="G47" s="41" t="n">
        <v>70</v>
      </c>
      <c r="H47" s="41" t="n">
        <v>68</v>
      </c>
      <c r="I47" s="501" t="n"/>
    </row>
    <row r="48" customFormat="1" s="21">
      <c r="A48" s="265" t="inlineStr">
        <is>
          <t>Tropical Wet</t>
        </is>
      </c>
      <c r="B48" s="56" t="n"/>
      <c r="C48" s="41" t="n">
        <v>60</v>
      </c>
      <c r="D48" s="41" t="n">
        <v>52</v>
      </c>
      <c r="E48" s="41" t="n">
        <v>46</v>
      </c>
      <c r="F48" s="163" t="inlineStr">
        <is>
          <t>NO</t>
        </is>
      </c>
      <c r="G48" s="41" t="n">
        <v>77</v>
      </c>
      <c r="H48" s="41" t="n">
        <v>49</v>
      </c>
      <c r="I48" s="501" t="n"/>
    </row>
    <row r="49" customFormat="1" s="292">
      <c r="A49" s="516" t="inlineStr">
        <is>
          <t>Tropical Montane</t>
        </is>
      </c>
      <c r="B49" s="57" t="n"/>
      <c r="C49" s="42" t="n">
        <v>51</v>
      </c>
      <c r="D49" s="42" t="n">
        <v>44</v>
      </c>
      <c r="E49" s="42" t="n">
        <v>52</v>
      </c>
      <c r="F49" s="466" t="inlineStr">
        <is>
          <t>NO</t>
        </is>
      </c>
      <c r="G49" s="42" t="n">
        <v>96</v>
      </c>
      <c r="H49" s="42" t="n">
        <v>82</v>
      </c>
      <c r="I49" s="502" t="n"/>
    </row>
    <row r="50" customFormat="1" s="21">
      <c r="A50" s="279" t="inlineStr">
        <is>
          <t>Note: NA denotes that soil categories the soil category may occur in a climate zone, but no data was available.</t>
        </is>
      </c>
      <c r="B50" s="282" t="n"/>
    </row>
    <row r="51" customFormat="1" s="21">
      <c r="A51" s="279" t="inlineStr">
        <is>
          <t>NO denotes that the soil type does not normally occur within a climate zone</t>
        </is>
      </c>
      <c r="B51" s="282" t="n"/>
    </row>
    <row r="52" customFormat="1" s="21">
      <c r="A52" s="279" t="n"/>
      <c r="B52" s="282" t="n"/>
    </row>
    <row r="53" ht="16" customFormat="1" customHeight="1" s="21" thickBot="1">
      <c r="A53" s="52" t="n"/>
      <c r="B53" s="53" t="n"/>
      <c r="C53" s="53" t="n"/>
      <c r="D53" s="53" t="n"/>
      <c r="E53" s="53" t="n"/>
      <c r="F53" s="53" t="n"/>
      <c r="G53" s="53" t="n"/>
      <c r="H53" s="53" t="n"/>
      <c r="I53" s="53" t="n"/>
      <c r="J53" s="53" t="n"/>
      <c r="K53" s="53" t="n"/>
      <c r="L53" s="53" t="n"/>
    </row>
    <row r="55">
      <c r="A55" s="327" t="inlineStr">
        <is>
          <t>Relative Carbon stock change factors (FLU, FMG, FI) over 20 years for management activities on cropland</t>
        </is>
      </c>
      <c r="B55" s="328" t="n"/>
      <c r="C55" s="328" t="n"/>
      <c r="D55" s="328" t="n"/>
      <c r="E55" s="329" t="n"/>
      <c r="F55" s="329" t="n"/>
      <c r="G55" s="329" t="n"/>
      <c r="H55" s="329" t="n"/>
      <c r="I55" s="330" t="n"/>
      <c r="J55" s="331" t="n"/>
      <c r="K55" s="331" t="n"/>
      <c r="L55" s="329" t="n"/>
      <c r="M55" s="332" t="n"/>
    </row>
    <row r="56">
      <c r="A56" s="333" t="inlineStr">
        <is>
          <t>TABLE 5.5 (UPDATED), page 5.30</t>
        </is>
      </c>
      <c r="B56" s="106" t="n"/>
      <c r="C56" s="106" t="n"/>
      <c r="D56" s="106" t="n"/>
      <c r="E56" s="106" t="n"/>
      <c r="F56" s="106" t="n"/>
      <c r="G56" s="106" t="n"/>
      <c r="H56" s="106" t="n"/>
      <c r="I56" s="334" t="n"/>
      <c r="J56" s="106" t="n"/>
      <c r="K56" s="106" t="n"/>
      <c r="L56" s="106" t="n"/>
      <c r="M56" s="335" t="n"/>
    </row>
    <row r="57">
      <c r="A57" s="321" t="inlineStr">
        <is>
          <t>Climate Region</t>
        </is>
      </c>
      <c r="B57" s="322" t="inlineStr">
        <is>
          <t>FLU</t>
        </is>
      </c>
      <c r="C57" s="323" t="inlineStr">
        <is>
          <t>FLU</t>
        </is>
      </c>
      <c r="D57" s="324" t="inlineStr">
        <is>
          <t>FLU</t>
        </is>
      </c>
      <c r="E57" s="325" t="inlineStr">
        <is>
          <t>FLU</t>
        </is>
      </c>
      <c r="F57" s="322" t="inlineStr">
        <is>
          <t>FMG</t>
        </is>
      </c>
      <c r="G57" s="322" t="inlineStr">
        <is>
          <t>FMG</t>
        </is>
      </c>
      <c r="H57" s="322" t="inlineStr">
        <is>
          <t>FMG</t>
        </is>
      </c>
      <c r="I57" s="322" t="inlineStr">
        <is>
          <t>FI</t>
        </is>
      </c>
      <c r="J57" s="322" t="inlineStr">
        <is>
          <t>FI</t>
        </is>
      </c>
      <c r="K57" s="322" t="inlineStr">
        <is>
          <t>FI</t>
        </is>
      </c>
      <c r="L57" s="326" t="inlineStr">
        <is>
          <t>FI</t>
        </is>
      </c>
    </row>
    <row r="58" ht="15" customHeight="1">
      <c r="A58" s="133" t="inlineStr">
        <is>
          <t>Please select</t>
        </is>
      </c>
      <c r="B58" s="59" t="inlineStr">
        <is>
          <t>Long-term cultivated</t>
        </is>
      </c>
      <c r="C58" s="314" t="inlineStr">
        <is>
          <t>Flooded Rice</t>
        </is>
      </c>
      <c r="D58" s="316" t="inlineStr">
        <is>
          <t>Perennial/Tree Crop</t>
        </is>
      </c>
      <c r="E58" s="315" t="inlineStr">
        <is>
          <t>Set aside (&lt; 20 yrs)</t>
        </is>
      </c>
      <c r="F58" s="62" t="inlineStr">
        <is>
          <t>Full tillage</t>
        </is>
      </c>
      <c r="G58" s="62" t="inlineStr">
        <is>
          <t>Reduced tillage</t>
        </is>
      </c>
      <c r="H58" s="62" t="inlineStr">
        <is>
          <t>No tillage</t>
        </is>
      </c>
      <c r="I58" s="54" t="inlineStr">
        <is>
          <t>Low C input</t>
        </is>
      </c>
      <c r="J58" s="54" t="inlineStr">
        <is>
          <t>Medium C input</t>
        </is>
      </c>
      <c r="K58" s="65" t="inlineStr">
        <is>
          <t>High C input, no manure</t>
        </is>
      </c>
      <c r="L58" s="338" t="inlineStr">
        <is>
          <t>High C input, with manure</t>
        </is>
      </c>
    </row>
    <row r="59" customFormat="1" s="21">
      <c r="A59" s="63" t="inlineStr">
        <is>
          <t>Boreal Moist</t>
        </is>
      </c>
      <c r="B59" s="517" t="n">
        <v>0.7</v>
      </c>
      <c r="C59" s="44" t="n">
        <v>1.35</v>
      </c>
      <c r="D59" s="44" t="n">
        <v>0.72</v>
      </c>
      <c r="E59" s="44" t="n">
        <v>0.82</v>
      </c>
      <c r="F59" s="496" t="n">
        <v>1</v>
      </c>
      <c r="G59" s="44" t="n">
        <v>1.04</v>
      </c>
      <c r="H59" s="517" t="n">
        <v>1.09</v>
      </c>
      <c r="I59" s="419" t="n">
        <v>0.92</v>
      </c>
      <c r="J59" s="517" t="n">
        <v>1</v>
      </c>
      <c r="K59" s="457" t="n">
        <v>1.11</v>
      </c>
      <c r="L59" s="44" t="n">
        <v>1.44</v>
      </c>
    </row>
    <row r="60" customFormat="1" s="21">
      <c r="A60" s="20" t="inlineStr">
        <is>
          <t>Boreal Dry</t>
        </is>
      </c>
      <c r="B60" s="41" t="n">
        <v>0.77</v>
      </c>
      <c r="C60" s="41" t="n">
        <v>1.35</v>
      </c>
      <c r="D60" s="41" t="n">
        <v>0.72</v>
      </c>
      <c r="E60" s="41" t="n">
        <v>0.93</v>
      </c>
      <c r="F60" s="493" t="n">
        <v>1</v>
      </c>
      <c r="G60" s="41" t="n">
        <v>0.98</v>
      </c>
      <c r="H60" s="47" t="n">
        <v>1.03</v>
      </c>
      <c r="I60" s="453" t="n">
        <v>0.95</v>
      </c>
      <c r="J60" s="47" t="n">
        <v>1</v>
      </c>
      <c r="K60" s="169" t="n">
        <v>1.04</v>
      </c>
      <c r="L60" s="41" t="n">
        <v>1.37</v>
      </c>
    </row>
    <row r="61" customFormat="1" s="21">
      <c r="A61" s="20" t="inlineStr">
        <is>
          <t>Cool temperate dry</t>
        </is>
      </c>
      <c r="B61" s="41" t="n">
        <v>0.77</v>
      </c>
      <c r="C61" s="41" t="n">
        <v>1.35</v>
      </c>
      <c r="D61" s="41" t="n">
        <v>0.72</v>
      </c>
      <c r="E61" s="41" t="n">
        <v>0.93</v>
      </c>
      <c r="F61" s="493" t="n">
        <v>1</v>
      </c>
      <c r="G61" s="41" t="n">
        <v>0.98</v>
      </c>
      <c r="H61" s="47" t="n">
        <v>1.03</v>
      </c>
      <c r="I61" s="453" t="n">
        <v>0.95</v>
      </c>
      <c r="J61" s="47" t="n">
        <v>1</v>
      </c>
      <c r="K61" s="169" t="n">
        <v>1.04</v>
      </c>
      <c r="L61" s="41" t="n">
        <v>1.37</v>
      </c>
    </row>
    <row r="62" customFormat="1" s="21">
      <c r="A62" s="20" t="inlineStr">
        <is>
          <t>Cool temperate moist</t>
        </is>
      </c>
      <c r="B62" s="47" t="n">
        <v>0.7</v>
      </c>
      <c r="C62" s="41" t="n">
        <v>1.35</v>
      </c>
      <c r="D62" s="41" t="n">
        <v>0.72</v>
      </c>
      <c r="E62" s="41" t="n">
        <v>0.82</v>
      </c>
      <c r="F62" s="493" t="n">
        <v>1</v>
      </c>
      <c r="G62" s="41" t="n">
        <v>1.04</v>
      </c>
      <c r="H62" s="47" t="n">
        <v>1.09</v>
      </c>
      <c r="I62" s="453" t="n">
        <v>0.92</v>
      </c>
      <c r="J62" s="47" t="n">
        <v>1</v>
      </c>
      <c r="K62" s="169" t="n">
        <v>1.11</v>
      </c>
      <c r="L62" s="41" t="n">
        <v>1.44</v>
      </c>
    </row>
    <row r="63" customFormat="1" s="21">
      <c r="A63" s="20" t="inlineStr">
        <is>
          <t>Warm temperate dry</t>
        </is>
      </c>
      <c r="B63" s="41" t="n">
        <v>0.76</v>
      </c>
      <c r="C63" s="41" t="n">
        <v>1.35</v>
      </c>
      <c r="D63" s="41" t="n">
        <v>0.72</v>
      </c>
      <c r="E63" s="41" t="n">
        <v>0.93</v>
      </c>
      <c r="F63" s="493" t="n">
        <v>1</v>
      </c>
      <c r="G63" s="41" t="n">
        <v>0.99</v>
      </c>
      <c r="H63" s="47" t="n">
        <v>1.04</v>
      </c>
      <c r="I63" s="453" t="n">
        <v>0.95</v>
      </c>
      <c r="J63" s="47" t="n">
        <v>1</v>
      </c>
      <c r="K63" s="169" t="n">
        <v>1.04</v>
      </c>
      <c r="L63" s="41" t="n">
        <v>1.37</v>
      </c>
    </row>
    <row r="64" customFormat="1" s="21">
      <c r="A64" s="20" t="inlineStr">
        <is>
          <t>Warm temperate moist</t>
        </is>
      </c>
      <c r="B64" s="41" t="n">
        <v>0.6899999999999999</v>
      </c>
      <c r="C64" s="41" t="n">
        <v>1.35</v>
      </c>
      <c r="D64" s="41" t="n">
        <v>0.72</v>
      </c>
      <c r="E64" s="41" t="n">
        <v>0.82</v>
      </c>
      <c r="F64" s="493" t="n">
        <v>1</v>
      </c>
      <c r="G64" s="41" t="n">
        <v>1.05</v>
      </c>
      <c r="H64" s="47" t="n">
        <v>1.1</v>
      </c>
      <c r="I64" s="453" t="n">
        <v>0.92</v>
      </c>
      <c r="J64" s="47" t="n">
        <v>1</v>
      </c>
      <c r="K64" s="169" t="n">
        <v>1.11</v>
      </c>
      <c r="L64" s="41" t="n">
        <v>1.44</v>
      </c>
    </row>
    <row r="65" customFormat="1" s="21">
      <c r="A65" s="20" t="inlineStr">
        <is>
          <t>Tropical dry</t>
        </is>
      </c>
      <c r="B65" s="41" t="n">
        <v>0.92</v>
      </c>
      <c r="C65" s="41" t="n">
        <v>1.35</v>
      </c>
      <c r="D65" s="41" t="n">
        <v>1.01</v>
      </c>
      <c r="E65" s="41" t="n">
        <v>0.93</v>
      </c>
      <c r="F65" s="493" t="n">
        <v>1</v>
      </c>
      <c r="G65" s="41" t="n">
        <v>0.99</v>
      </c>
      <c r="H65" s="47" t="n">
        <v>1.04</v>
      </c>
      <c r="I65" s="453" t="n">
        <v>0.95</v>
      </c>
      <c r="J65" s="47" t="n">
        <v>1</v>
      </c>
      <c r="K65" s="169" t="n">
        <v>1.04</v>
      </c>
      <c r="L65" s="41" t="n">
        <v>1.37</v>
      </c>
    </row>
    <row r="66" customFormat="1" s="21">
      <c r="A66" s="20" t="inlineStr">
        <is>
          <t>Tropical moist</t>
        </is>
      </c>
      <c r="B66" s="41" t="n">
        <v>0.83</v>
      </c>
      <c r="C66" s="41" t="n">
        <v>1.35</v>
      </c>
      <c r="D66" s="41" t="n">
        <v>1.01</v>
      </c>
      <c r="E66" s="41" t="n">
        <v>0.82</v>
      </c>
      <c r="F66" s="493" t="n">
        <v>1</v>
      </c>
      <c r="G66" s="467" t="n">
        <v>1.04</v>
      </c>
      <c r="H66" s="493" t="n">
        <v>1.1</v>
      </c>
      <c r="I66" s="453" t="n">
        <v>0.92</v>
      </c>
      <c r="J66" s="47" t="n">
        <v>1</v>
      </c>
      <c r="K66" s="169" t="n">
        <v>1.11</v>
      </c>
      <c r="L66" s="41" t="n">
        <v>1.44</v>
      </c>
    </row>
    <row r="67" customFormat="1" s="21">
      <c r="A67" s="20" t="inlineStr">
        <is>
          <t>Tropical wet</t>
        </is>
      </c>
      <c r="B67" s="41" t="n">
        <v>0.83</v>
      </c>
      <c r="C67" s="41" t="n">
        <v>1.35</v>
      </c>
      <c r="D67" s="41" t="n">
        <v>1.01</v>
      </c>
      <c r="E67" s="41" t="n">
        <v>0.82</v>
      </c>
      <c r="F67" s="493" t="n">
        <v>1</v>
      </c>
      <c r="G67" s="467" t="n">
        <v>1.04</v>
      </c>
      <c r="H67" s="493" t="n">
        <v>1.1</v>
      </c>
      <c r="I67" s="453" t="n">
        <v>0.92</v>
      </c>
      <c r="J67" s="47" t="n">
        <v>1</v>
      </c>
      <c r="K67" s="169" t="n">
        <v>1.11</v>
      </c>
      <c r="L67" s="41" t="n">
        <v>1.44</v>
      </c>
    </row>
    <row r="68" customFormat="1" s="21">
      <c r="A68" s="20" t="inlineStr">
        <is>
          <t>Tropical Montane</t>
        </is>
      </c>
      <c r="B68" s="163" t="n">
        <v>0.64</v>
      </c>
      <c r="C68" s="41" t="n">
        <v>1.35</v>
      </c>
      <c r="D68" s="164" t="n">
        <v>1</v>
      </c>
      <c r="E68" s="41" t="n">
        <v>0.88</v>
      </c>
      <c r="F68" s="493" t="n">
        <v>1</v>
      </c>
      <c r="G68" s="164" t="n">
        <v>1.09</v>
      </c>
      <c r="H68" s="164" t="n">
        <v>1.16</v>
      </c>
      <c r="I68" s="453" t="n">
        <v>0.9399999999999999</v>
      </c>
      <c r="J68" s="47" t="n">
        <v>1</v>
      </c>
      <c r="K68" s="169" t="n">
        <v>1.08</v>
      </c>
      <c r="L68" s="41" t="n">
        <v>1.41</v>
      </c>
    </row>
    <row r="69" customFormat="1" s="520">
      <c r="A69" s="518" t="inlineStr">
        <is>
          <t>Notes: Values in red are obtrained from  TABLE 5.5 in IPCC 2006</t>
        </is>
      </c>
      <c r="B69" s="519" t="n"/>
      <c r="D69" s="521" t="n"/>
      <c r="F69" s="521" t="n"/>
      <c r="G69" s="521" t="n"/>
      <c r="H69" s="521" t="n"/>
      <c r="J69" s="521" t="n"/>
    </row>
    <row r="70" customFormat="1" s="21"/>
    <row r="71" ht="16" customHeight="1" thickBot="1">
      <c r="B71" s="336" t="n"/>
      <c r="D71" s="58" t="n"/>
      <c r="F71" s="58" t="n"/>
      <c r="G71" s="58" t="n"/>
      <c r="H71" s="58" t="n"/>
      <c r="J71" s="58" t="n"/>
    </row>
    <row r="72" ht="19" customFormat="1" customHeight="1" s="18">
      <c r="A72" s="102" t="inlineStr">
        <is>
          <t>Emission factors  (g kg-1 dry matter burnt) for various types of burning  (To be used as quantity ‘Gef’ in Equation 2.27)</t>
        </is>
      </c>
      <c r="B72" s="12" t="n"/>
      <c r="C72" s="12" t="n"/>
      <c r="D72" s="12" t="n"/>
      <c r="E72" s="12" t="n"/>
      <c r="F72" s="103" t="n"/>
    </row>
    <row r="73" customFormat="1" s="18">
      <c r="A73" s="104" t="inlineStr">
        <is>
          <t>Table 2.5, page 2.58.</t>
        </is>
      </c>
      <c r="F73" s="124" t="n"/>
    </row>
    <row r="74" ht="17" customFormat="1" customHeight="1" s="18">
      <c r="A74" s="397" t="inlineStr">
        <is>
          <t xml:space="preserve">Category </t>
        </is>
      </c>
      <c r="B74" s="62" t="inlineStr">
        <is>
          <t>CO2</t>
        </is>
      </c>
      <c r="C74" s="62" t="inlineStr">
        <is>
          <t>CO</t>
        </is>
      </c>
      <c r="D74" s="62" t="inlineStr">
        <is>
          <t>CH4</t>
        </is>
      </c>
      <c r="E74" s="62" t="inlineStr">
        <is>
          <t>N2O</t>
        </is>
      </c>
      <c r="F74" s="62" t="inlineStr">
        <is>
          <t>NOX</t>
        </is>
      </c>
    </row>
    <row r="75" customFormat="1" s="21">
      <c r="A75" s="134" t="inlineStr">
        <is>
          <t>Savanna and grassland</t>
        </is>
      </c>
      <c r="B75" s="663" t="n">
        <v>1613</v>
      </c>
      <c r="C75" s="663" t="n">
        <v>65</v>
      </c>
      <c r="D75" s="422" t="n">
        <v>2.3</v>
      </c>
      <c r="E75" s="246" t="n">
        <v>0.21</v>
      </c>
      <c r="F75" s="664" t="n">
        <v>3.9</v>
      </c>
    </row>
    <row r="76" customFormat="1" s="21">
      <c r="A76" s="135" t="inlineStr">
        <is>
          <t>Agricultural residues</t>
        </is>
      </c>
      <c r="B76" s="663" t="n">
        <v>1515</v>
      </c>
      <c r="C76" s="663" t="n">
        <v>92</v>
      </c>
      <c r="D76" s="422" t="n">
        <v>2.7</v>
      </c>
      <c r="E76" s="423" t="n">
        <v>0.07000000000000001</v>
      </c>
      <c r="F76" s="664" t="n">
        <v>2.5</v>
      </c>
    </row>
    <row r="77" customFormat="1" s="21">
      <c r="A77" s="543" t="inlineStr">
        <is>
          <t>Tropical forest</t>
        </is>
      </c>
      <c r="B77" s="665" t="n">
        <v>1580</v>
      </c>
      <c r="C77" s="663" t="n">
        <v>104</v>
      </c>
      <c r="D77" s="666" t="n">
        <v>6.8</v>
      </c>
      <c r="E77" s="667" t="n">
        <v>0.2</v>
      </c>
      <c r="F77" s="664" t="n">
        <v>1.6</v>
      </c>
    </row>
    <row r="78" customFormat="1" s="21">
      <c r="A78" s="135" t="inlineStr">
        <is>
          <t>Extra tropical forest</t>
        </is>
      </c>
      <c r="B78" s="663" t="n">
        <v>1569</v>
      </c>
      <c r="C78" s="663" t="n">
        <v>107</v>
      </c>
      <c r="D78" s="422" t="n">
        <v>4.7</v>
      </c>
      <c r="E78" s="423" t="n">
        <v>0.26</v>
      </c>
      <c r="F78" s="664" t="n">
        <v>3</v>
      </c>
    </row>
    <row r="79" ht="16" customFormat="1" customHeight="1" s="21" thickBot="1">
      <c r="A79" s="136" t="inlineStr">
        <is>
          <t>Biofuel burning</t>
        </is>
      </c>
      <c r="B79" s="668" t="n">
        <v>1550</v>
      </c>
      <c r="C79" s="668" t="n">
        <v>78</v>
      </c>
      <c r="D79" s="424" t="n">
        <v>6.1</v>
      </c>
      <c r="E79" s="425" t="n">
        <v>0.06</v>
      </c>
      <c r="F79" s="669" t="n">
        <v>1.1</v>
      </c>
    </row>
    <row r="80" ht="16" customHeight="1" thickBot="1"/>
    <row r="81" ht="12.5" customFormat="1" customHeight="1" s="18">
      <c r="A81" s="102" t="inlineStr">
        <is>
          <t>Combustion factor (proportion of prefire fuel biomass consumed) for fires in a range of vegetation types</t>
        </is>
      </c>
      <c r="B81" s="12" t="n"/>
      <c r="C81" s="12" t="n"/>
      <c r="D81" s="12" t="n"/>
      <c r="E81" s="103" t="n"/>
    </row>
    <row r="82" ht="12.5" customFormat="1" customHeight="1" s="18">
      <c r="A82" s="105" t="inlineStr">
        <is>
          <t>Updated Table 2.6, page 2.60</t>
        </is>
      </c>
      <c r="B82" s="106" t="n"/>
      <c r="C82" s="106" t="n"/>
      <c r="D82" s="106" t="n"/>
      <c r="E82" s="107" t="n"/>
    </row>
    <row r="83" ht="17" customFormat="1" customHeight="1" s="18">
      <c r="A83" s="108" t="inlineStr">
        <is>
          <t xml:space="preserve">Agricultural residues </t>
        </is>
      </c>
      <c r="B83" s="62" t="inlineStr">
        <is>
          <t>Cf</t>
        </is>
      </c>
      <c r="C83" s="125" t="n"/>
      <c r="D83" s="125" t="n"/>
      <c r="E83" s="126" t="n"/>
    </row>
    <row r="84" customFormat="1" s="21">
      <c r="A84" s="127" t="inlineStr">
        <is>
          <t>(Post harvest field burning)</t>
        </is>
      </c>
      <c r="B84" s="44" t="inlineStr">
        <is>
          <t>(-)</t>
        </is>
      </c>
      <c r="E84" s="128" t="n"/>
    </row>
    <row r="85" customFormat="1" s="21">
      <c r="A85" s="431" t="inlineStr">
        <is>
          <t>Wheat</t>
        </is>
      </c>
      <c r="B85" s="242" t="n">
        <v>0.9</v>
      </c>
      <c r="E85" s="128" t="n"/>
    </row>
    <row r="86" customFormat="1" s="21">
      <c r="A86" s="431" t="inlineStr">
        <is>
          <t>Maize</t>
        </is>
      </c>
      <c r="B86" s="242" t="n">
        <v>0.8</v>
      </c>
      <c r="E86" s="128" t="n"/>
    </row>
    <row r="87" customFormat="1" s="21">
      <c r="A87" s="127" t="inlineStr">
        <is>
          <t>Rice</t>
        </is>
      </c>
      <c r="B87" s="61" t="n">
        <v>0.8</v>
      </c>
      <c r="E87" s="128" t="n"/>
    </row>
    <row r="88" customFormat="1" s="21">
      <c r="A88" s="127" t="inlineStr">
        <is>
          <t>Sugarcane</t>
        </is>
      </c>
      <c r="B88" s="61" t="n">
        <v>0.8</v>
      </c>
      <c r="E88" s="128" t="n"/>
    </row>
    <row r="89" ht="16" customFormat="1" customHeight="1" s="21" thickBot="1">
      <c r="A89" s="432" t="inlineStr">
        <is>
          <t>Other</t>
        </is>
      </c>
      <c r="B89" s="243" t="n">
        <v>0.85</v>
      </c>
      <c r="C89" s="130" t="n"/>
      <c r="D89" s="130" t="n"/>
      <c r="E89" s="131" t="n"/>
    </row>
    <row r="90" ht="16" customHeight="1" thickBot="1"/>
    <row r="91" ht="17" customFormat="1" customHeight="1" s="18">
      <c r="A91" s="102" t="inlineStr">
        <is>
          <t>Default emission factors to estimate direct N2O emissions from managed soils</t>
        </is>
      </c>
      <c r="B91" s="12" t="n"/>
      <c r="C91" s="12" t="n"/>
      <c r="D91" s="12" t="n"/>
      <c r="E91" s="12" t="n"/>
      <c r="F91" s="12" t="n"/>
      <c r="G91" s="103" t="n"/>
    </row>
    <row r="92" customFormat="1" s="18">
      <c r="A92" s="104" t="inlineStr">
        <is>
          <t>N additions from synthetic fertilisers, organic amendments and crop residues, and N mineralised from mineral soil as a result of loss of soil carbon</t>
        </is>
      </c>
      <c r="G92" s="124" t="n"/>
    </row>
    <row r="93" customFormat="1" s="18">
      <c r="A93" s="104" t="inlineStr">
        <is>
          <t>Table 11.1, page 11.11</t>
        </is>
      </c>
      <c r="G93" s="124" t="n"/>
    </row>
    <row r="94" customFormat="1" s="18">
      <c r="A94" s="108" t="n"/>
      <c r="B94" s="54" t="inlineStr">
        <is>
          <t xml:space="preserve">Moisture </t>
        </is>
      </c>
      <c r="C94" s="54" t="inlineStr">
        <is>
          <t>Emission factors</t>
        </is>
      </c>
      <c r="D94" s="125" t="n"/>
      <c r="E94" s="125" t="n"/>
      <c r="F94" s="125" t="n"/>
      <c r="G94" s="126" t="n"/>
    </row>
    <row r="95" ht="16" customFormat="1" customHeight="1" s="18">
      <c r="A95" s="108" t="n"/>
      <c r="B95" s="54" t="inlineStr">
        <is>
          <t>regime</t>
        </is>
      </c>
      <c r="C95" s="54" t="inlineStr">
        <is>
          <t>kg N2O-N(kg N)-1</t>
        </is>
      </c>
      <c r="D95" s="125" t="n"/>
      <c r="E95" s="125" t="n"/>
      <c r="F95" s="125" t="n"/>
      <c r="G95" s="126" t="n"/>
    </row>
    <row r="96" customFormat="1" s="21">
      <c r="A96" s="137" t="inlineStr">
        <is>
          <t>Default</t>
        </is>
      </c>
      <c r="B96" s="63" t="n"/>
      <c r="C96" s="4743" t="n">
        <v>0.01</v>
      </c>
      <c r="G96" s="128" t="n"/>
    </row>
    <row r="97" customFormat="1" s="21">
      <c r="A97" s="127" t="inlineStr">
        <is>
          <t>Synthetic fertiliser inputs in wet climates</t>
        </is>
      </c>
      <c r="B97" s="20" t="inlineStr">
        <is>
          <t>Wet</t>
        </is>
      </c>
      <c r="C97" s="56" t="n">
        <v>0.016</v>
      </c>
      <c r="G97" s="128" t="n"/>
    </row>
    <row r="98" ht="16" customFormat="1" customHeight="1" s="21" thickBot="1">
      <c r="A98" s="127" t="inlineStr">
        <is>
          <t>Synthetic fertiliser inputs in moist climates</t>
        </is>
      </c>
      <c r="B98" s="20" t="inlineStr">
        <is>
          <t>Moist</t>
        </is>
      </c>
      <c r="C98" s="4312" t="n">
        <v>0.0105</v>
      </c>
      <c r="G98" s="128" t="n"/>
    </row>
    <row r="99" ht="16" customFormat="1" customHeight="1" s="21" thickBot="1">
      <c r="A99" s="127" t="inlineStr">
        <is>
          <t>Other N inputs in wet climates</t>
        </is>
      </c>
      <c r="B99" s="550" t="inlineStr">
        <is>
          <t>Wet</t>
        </is>
      </c>
      <c r="C99" s="551" t="n">
        <v>0.006</v>
      </c>
      <c r="G99" s="128" t="n"/>
    </row>
    <row r="100" ht="16" customFormat="1" customHeight="1" s="21" thickBot="1">
      <c r="A100" s="127" t="inlineStr">
        <is>
          <t>Other N inputs in moist climates</t>
        </is>
      </c>
      <c r="B100" s="550" t="inlineStr">
        <is>
          <t>Moist</t>
        </is>
      </c>
      <c r="C100" s="4314" t="n">
        <v>0.0055</v>
      </c>
      <c r="G100" s="128" t="n"/>
    </row>
    <row r="101" ht="16" customFormat="1" customHeight="1" s="21" thickBot="1">
      <c r="A101" s="129" t="inlineStr">
        <is>
          <t>All N inputs in dry climates</t>
        </is>
      </c>
      <c r="B101" s="473" t="inlineStr">
        <is>
          <t>Dry</t>
        </is>
      </c>
      <c r="C101" s="549" t="n">
        <v>0.005</v>
      </c>
      <c r="D101" s="130" t="n"/>
      <c r="E101" s="130" t="n"/>
      <c r="F101" s="130" t="n"/>
      <c r="G101" s="131" t="n"/>
    </row>
    <row r="102" ht="16" customHeight="1" thickBot="1">
      <c r="A102" s="4313" t="inlineStr">
        <is>
          <t>NB: in red average between wet and dry</t>
        </is>
      </c>
    </row>
    <row r="103" ht="17" customHeight="1">
      <c r="A103" s="102" t="inlineStr">
        <is>
          <t>Default coefficients for above- ground biomass (AGB) in agroforestry systems containing perennial species (tC ha-1 yr-1)</t>
        </is>
      </c>
      <c r="B103" s="51" t="n"/>
      <c r="C103" s="51" t="n"/>
      <c r="D103" s="51" t="n"/>
      <c r="E103" s="51" t="n"/>
      <c r="F103" s="51" t="n"/>
      <c r="G103" s="51" t="n"/>
      <c r="H103" s="240" t="n"/>
      <c r="I103" s="240" t="n"/>
      <c r="J103" s="240" t="n"/>
      <c r="K103" s="240" t="n"/>
      <c r="L103" s="240" t="n"/>
      <c r="M103" s="239" t="n"/>
      <c r="N103" s="239" t="n"/>
      <c r="O103" s="239" t="n"/>
      <c r="P103" s="239" t="n"/>
      <c r="Q103" s="239" t="n"/>
      <c r="R103" s="239" t="n"/>
      <c r="S103" s="239" t="n"/>
      <c r="T103" s="239" t="n"/>
    </row>
    <row r="104">
      <c r="A104" s="104" t="inlineStr">
        <is>
          <t>Updated Table 5.2 , Chapter 5, page 5.10</t>
        </is>
      </c>
      <c r="B104" s="278" t="n"/>
      <c r="C104" s="278" t="n"/>
      <c r="D104" s="278" t="n"/>
      <c r="E104" s="278" t="n"/>
      <c r="F104" s="562" t="inlineStr">
        <is>
          <t>TABLE 5.2 (UPDATED)</t>
        </is>
      </c>
      <c r="G104" s="562" t="inlineStr">
        <is>
          <t>TABLE 5.2 (UPDATED)</t>
        </is>
      </c>
      <c r="H104" s="562" t="inlineStr">
        <is>
          <t>TABLE 5.2 (UPDATED)</t>
        </is>
      </c>
      <c r="I104" s="562" t="inlineStr">
        <is>
          <t>TABLE 5.2 (UPDATED)</t>
        </is>
      </c>
      <c r="J104" s="562" t="inlineStr">
        <is>
          <t>TABLE 5.2 (UPDATED)</t>
        </is>
      </c>
      <c r="K104" s="562" t="inlineStr">
        <is>
          <t>TABLE 5.2 (UPDATED)</t>
        </is>
      </c>
      <c r="L104" s="562" t="inlineStr">
        <is>
          <t>TABLE 5.2 (UPDATED)</t>
        </is>
      </c>
      <c r="M104" s="562" t="inlineStr">
        <is>
          <t>TABLE 5.2 (UPDATED)</t>
        </is>
      </c>
      <c r="N104" s="562" t="inlineStr">
        <is>
          <t>TABLE 5. 3 (UPDATED)</t>
        </is>
      </c>
      <c r="O104" s="562" t="inlineStr">
        <is>
          <t>TABLE 5. 3 (UPDATED)</t>
        </is>
      </c>
      <c r="P104" s="562" t="inlineStr">
        <is>
          <t>TABLE 5. 3 (UPDATED)</t>
        </is>
      </c>
      <c r="Q104" s="562" t="inlineStr">
        <is>
          <t>TABLE 5. 3 (UPDATED)</t>
        </is>
      </c>
      <c r="R104" s="562" t="inlineStr">
        <is>
          <t>TABLE 5. 3 (UPDATED)</t>
        </is>
      </c>
      <c r="S104" s="562" t="inlineStr">
        <is>
          <t>TABLE 5. 3 (UPDATED)</t>
        </is>
      </c>
      <c r="T104" s="562" t="inlineStr">
        <is>
          <t>TABLE 5. 3 (UPDATED)</t>
        </is>
      </c>
    </row>
    <row r="105">
      <c r="A105" s="293" t="inlineStr">
        <is>
          <t>Climate Region</t>
        </is>
      </c>
      <c r="B105" s="293" t="inlineStr">
        <is>
          <t>Region</t>
        </is>
      </c>
      <c r="C105" s="293" t="inlineStr">
        <is>
          <t>Chain_climate_region</t>
        </is>
      </c>
      <c r="D105" s="294" t="inlineStr">
        <is>
          <t>Please select</t>
        </is>
      </c>
      <c r="E105" s="294" t="inlineStr">
        <is>
          <t>Agroforestry - default</t>
        </is>
      </c>
      <c r="F105" s="294" t="inlineStr">
        <is>
          <t>Alley cropping</t>
        </is>
      </c>
      <c r="G105" s="294" t="inlineStr">
        <is>
          <t>Perennial fallow</t>
        </is>
      </c>
      <c r="H105" s="294" t="inlineStr">
        <is>
          <t>Hedgerow</t>
        </is>
      </c>
      <c r="I105" s="294" t="inlineStr">
        <is>
          <t>Multistrata</t>
        </is>
      </c>
      <c r="J105" s="294" t="inlineStr">
        <is>
          <t>Parkland</t>
        </is>
      </c>
      <c r="K105" s="294" t="inlineStr">
        <is>
          <t>Shaded Perennial</t>
        </is>
      </c>
      <c r="L105" s="294" t="inlineStr">
        <is>
          <t>Silvoarable</t>
        </is>
      </c>
      <c r="M105" s="294" t="inlineStr">
        <is>
          <t>Silvopasture</t>
        </is>
      </c>
      <c r="N105" s="294" t="inlineStr">
        <is>
          <t>Olive</t>
        </is>
      </c>
      <c r="O105" s="294" t="inlineStr">
        <is>
          <t>Orchard</t>
        </is>
      </c>
      <c r="P105" s="294" t="inlineStr">
        <is>
          <t>Vine</t>
        </is>
      </c>
      <c r="Q105" s="294" t="inlineStr">
        <is>
          <t>Short Rotation Coppice</t>
        </is>
      </c>
      <c r="R105" s="294" t="inlineStr">
        <is>
          <t>Oil palm</t>
        </is>
      </c>
      <c r="S105" s="294" t="inlineStr">
        <is>
          <t>Rubber</t>
        </is>
      </c>
      <c r="T105" s="294" t="inlineStr">
        <is>
          <t>Tea</t>
        </is>
      </c>
    </row>
    <row r="106">
      <c r="A106" s="255" t="inlineStr">
        <is>
          <t>Please select</t>
        </is>
      </c>
      <c r="B106" s="255" t="inlineStr">
        <is>
          <t>Please select</t>
        </is>
      </c>
      <c r="C106" s="255" t="inlineStr">
        <is>
          <t>??</t>
        </is>
      </c>
      <c r="D106" s="65" t="inlineStr">
        <is>
          <t>??</t>
        </is>
      </c>
      <c r="E106" s="65" t="inlineStr">
        <is>
          <t>??</t>
        </is>
      </c>
      <c r="F106" s="65" t="inlineStr">
        <is>
          <t>tC/ha/yr</t>
        </is>
      </c>
      <c r="G106" s="65" t="inlineStr">
        <is>
          <t>tC/ha/yr</t>
        </is>
      </c>
      <c r="H106" s="65" t="inlineStr">
        <is>
          <t>tC/ha/yr</t>
        </is>
      </c>
      <c r="I106" s="65" t="inlineStr">
        <is>
          <t>tC/ha/yr</t>
        </is>
      </c>
      <c r="J106" s="65" t="inlineStr">
        <is>
          <t>tC/ha/yr</t>
        </is>
      </c>
      <c r="K106" s="65" t="inlineStr">
        <is>
          <t>tC/ha/yr</t>
        </is>
      </c>
      <c r="L106" s="65" t="inlineStr">
        <is>
          <t>tC/ha/yr</t>
        </is>
      </c>
      <c r="M106" s="65" t="inlineStr">
        <is>
          <t>tC/ha/yr</t>
        </is>
      </c>
      <c r="N106" s="59" t="inlineStr">
        <is>
          <t>tC/ha/yr</t>
        </is>
      </c>
      <c r="O106" s="59" t="inlineStr">
        <is>
          <t>tC/ha/yr</t>
        </is>
      </c>
      <c r="P106" s="59" t="inlineStr">
        <is>
          <t>tC/ha/yr</t>
        </is>
      </c>
      <c r="Q106" s="59" t="inlineStr">
        <is>
          <t>tC/ha/yr</t>
        </is>
      </c>
      <c r="R106" s="65" t="inlineStr">
        <is>
          <t>tC/ha/yr</t>
        </is>
      </c>
      <c r="S106" s="65" t="inlineStr">
        <is>
          <t>tC/ha/yr</t>
        </is>
      </c>
      <c r="T106" s="65" t="inlineStr">
        <is>
          <t>tC/ha/yr</t>
        </is>
      </c>
    </row>
    <row r="107">
      <c r="A107" s="63" t="inlineStr">
        <is>
          <t>Cool Temperate Dry</t>
        </is>
      </c>
      <c r="B107" s="401" t="inlineStr">
        <is>
          <t>Eastern Africa</t>
        </is>
      </c>
      <c r="C107" s="63">
        <f>CONCATENATE(A107,B107)</f>
        <v/>
      </c>
      <c r="D107" s="61" t="n"/>
      <c r="E107" s="256">
        <f>AVERAGE(F107:M107)</f>
        <v/>
      </c>
      <c r="F107" s="563" t="n"/>
      <c r="G107" s="564" t="n"/>
      <c r="H107" s="565" t="n">
        <v>0.87</v>
      </c>
      <c r="I107" s="564" t="n"/>
      <c r="J107" s="564" t="n"/>
      <c r="K107" s="564" t="n"/>
      <c r="L107" s="565" t="n">
        <v>1.12</v>
      </c>
      <c r="M107" s="566" t="n">
        <v>1.81</v>
      </c>
      <c r="N107" s="567" t="n">
        <v>0.46</v>
      </c>
      <c r="O107" s="568" t="n">
        <v>0.43</v>
      </c>
      <c r="P107" s="569" t="n">
        <v>0.28</v>
      </c>
      <c r="Q107" s="567" t="n">
        <v>3.2</v>
      </c>
      <c r="R107" s="570" t="n"/>
      <c r="S107" s="567" t="n"/>
      <c r="T107" s="567" t="n">
        <v>0.7</v>
      </c>
    </row>
    <row r="108">
      <c r="A108" s="20" t="inlineStr">
        <is>
          <t>Cool Temperate Dry</t>
        </is>
      </c>
      <c r="B108" s="401" t="inlineStr">
        <is>
          <t>Central Africa</t>
        </is>
      </c>
      <c r="C108" s="20">
        <f>CONCATENATE(A108,B108)</f>
        <v/>
      </c>
      <c r="D108" s="245" t="n"/>
      <c r="E108" s="257">
        <f>AVERAGE(F108:M108)</f>
        <v/>
      </c>
      <c r="F108" s="563" t="n"/>
      <c r="G108" s="564" t="n"/>
      <c r="H108" s="565" t="n">
        <v>0.87</v>
      </c>
      <c r="I108" s="564" t="n"/>
      <c r="J108" s="564" t="n"/>
      <c r="K108" s="564" t="n"/>
      <c r="L108" s="565" t="n">
        <v>1.12</v>
      </c>
      <c r="M108" s="566" t="n">
        <v>1.81</v>
      </c>
      <c r="N108" s="55" t="n">
        <v>0.46</v>
      </c>
      <c r="O108" s="571" t="n">
        <v>0.43</v>
      </c>
      <c r="P108" s="572" t="n">
        <v>0.28</v>
      </c>
      <c r="Q108" s="55" t="n">
        <v>3.2</v>
      </c>
      <c r="R108" s="573" t="n"/>
      <c r="S108" s="55" t="n"/>
      <c r="T108" s="55" t="n">
        <v>0.7</v>
      </c>
    </row>
    <row r="109">
      <c r="A109" s="20" t="inlineStr">
        <is>
          <t>Cool Temperate Dry</t>
        </is>
      </c>
      <c r="B109" s="401" t="inlineStr">
        <is>
          <t>Northern Africa</t>
        </is>
      </c>
      <c r="C109" s="20">
        <f>CONCATENATE(A109,B109)</f>
        <v/>
      </c>
      <c r="D109" s="61" t="n"/>
      <c r="E109" s="257">
        <f>AVERAGE(F109:M109)</f>
        <v/>
      </c>
      <c r="F109" s="563" t="n"/>
      <c r="G109" s="564" t="n"/>
      <c r="H109" s="565" t="n">
        <v>0.87</v>
      </c>
      <c r="I109" s="564" t="n"/>
      <c r="J109" s="564" t="n"/>
      <c r="K109" s="564" t="n"/>
      <c r="L109" s="565" t="n">
        <v>1.12</v>
      </c>
      <c r="M109" s="566" t="n">
        <v>1.81</v>
      </c>
      <c r="N109" s="55" t="n">
        <v>0.46</v>
      </c>
      <c r="O109" s="571" t="n">
        <v>0.43</v>
      </c>
      <c r="P109" s="572" t="n">
        <v>0.28</v>
      </c>
      <c r="Q109" s="55" t="n">
        <v>3.2</v>
      </c>
      <c r="R109" s="573" t="n"/>
      <c r="S109" s="55" t="n"/>
      <c r="T109" s="55" t="n">
        <v>0.7</v>
      </c>
    </row>
    <row r="110">
      <c r="A110" s="20" t="inlineStr">
        <is>
          <t>Cool Temperate Dry</t>
        </is>
      </c>
      <c r="B110" s="401" t="inlineStr">
        <is>
          <t>Southern Africa</t>
        </is>
      </c>
      <c r="C110" s="20">
        <f>CONCATENATE(A110,B110)</f>
        <v/>
      </c>
      <c r="D110" s="61" t="n"/>
      <c r="E110" s="257">
        <f>AVERAGE(F110:M110)</f>
        <v/>
      </c>
      <c r="F110" s="563" t="n"/>
      <c r="G110" s="564" t="n"/>
      <c r="H110" s="565" t="n">
        <v>0.87</v>
      </c>
      <c r="I110" s="564" t="n"/>
      <c r="J110" s="564" t="n"/>
      <c r="K110" s="564" t="n"/>
      <c r="L110" s="565" t="n">
        <v>1.12</v>
      </c>
      <c r="M110" s="566" t="n">
        <v>1.81</v>
      </c>
      <c r="N110" s="55" t="n">
        <v>0.46</v>
      </c>
      <c r="O110" s="571" t="n">
        <v>0.43</v>
      </c>
      <c r="P110" s="572" t="n">
        <v>0.28</v>
      </c>
      <c r="Q110" s="55" t="n">
        <v>3.2</v>
      </c>
      <c r="R110" s="573" t="n"/>
      <c r="S110" s="55" t="n"/>
      <c r="T110" s="55" t="n">
        <v>0.7</v>
      </c>
    </row>
    <row r="111">
      <c r="A111" s="20" t="inlineStr">
        <is>
          <t>Cool Temperate Dry</t>
        </is>
      </c>
      <c r="B111" s="401" t="inlineStr">
        <is>
          <t>Western Africa</t>
        </is>
      </c>
      <c r="C111" s="20">
        <f>CONCATENATE(A111,B111)</f>
        <v/>
      </c>
      <c r="D111" s="61" t="n"/>
      <c r="E111" s="257">
        <f>AVERAGE(F111:M111)</f>
        <v/>
      </c>
      <c r="F111" s="563" t="n"/>
      <c r="G111" s="564" t="n"/>
      <c r="H111" s="565" t="n">
        <v>0.87</v>
      </c>
      <c r="I111" s="564" t="n"/>
      <c r="J111" s="564" t="n"/>
      <c r="K111" s="564" t="n"/>
      <c r="L111" s="565" t="n">
        <v>1.12</v>
      </c>
      <c r="M111" s="566" t="n">
        <v>1.81</v>
      </c>
      <c r="N111" s="55" t="n">
        <v>0.46</v>
      </c>
      <c r="O111" s="571" t="n">
        <v>0.43</v>
      </c>
      <c r="P111" s="572" t="n">
        <v>0.28</v>
      </c>
      <c r="Q111" s="55" t="n">
        <v>3.2</v>
      </c>
      <c r="R111" s="573" t="n"/>
      <c r="S111" s="55" t="n"/>
      <c r="T111" s="55" t="n">
        <v>0.7</v>
      </c>
    </row>
    <row r="112">
      <c r="A112" s="20" t="inlineStr">
        <is>
          <t>Cool Temperate Dry</t>
        </is>
      </c>
      <c r="B112" s="401" t="inlineStr">
        <is>
          <t>Central Asia</t>
        </is>
      </c>
      <c r="C112" s="20">
        <f>CONCATENATE(A112,B112)</f>
        <v/>
      </c>
      <c r="D112" s="61" t="n"/>
      <c r="E112" s="257">
        <f>AVERAGE(F112:M112)</f>
        <v/>
      </c>
      <c r="F112" s="563" t="n"/>
      <c r="G112" s="564" t="n"/>
      <c r="H112" s="565" t="n">
        <v>0.87</v>
      </c>
      <c r="I112" s="564" t="n"/>
      <c r="J112" s="564" t="n"/>
      <c r="K112" s="564" t="n"/>
      <c r="L112" s="564" t="n">
        <v>2.97</v>
      </c>
      <c r="M112" s="566" t="n">
        <v>1.81</v>
      </c>
      <c r="N112" s="55" t="n">
        <v>0.46</v>
      </c>
      <c r="O112" s="571" t="n">
        <v>0.43</v>
      </c>
      <c r="P112" s="572" t="n">
        <v>0.28</v>
      </c>
      <c r="Q112" s="55" t="n">
        <v>3.2</v>
      </c>
      <c r="R112" s="573" t="n"/>
      <c r="S112" s="55" t="n"/>
      <c r="T112" s="55" t="n">
        <v>0.7</v>
      </c>
    </row>
    <row r="113">
      <c r="A113" s="20" t="inlineStr">
        <is>
          <t>Cool Temperate Dry</t>
        </is>
      </c>
      <c r="B113" s="401" t="inlineStr">
        <is>
          <t>Eastern Asia</t>
        </is>
      </c>
      <c r="C113" s="20">
        <f>CONCATENATE(A113,B113)</f>
        <v/>
      </c>
      <c r="D113" s="61" t="n"/>
      <c r="E113" s="257">
        <f>AVERAGE(F113:M113)</f>
        <v/>
      </c>
      <c r="F113" s="563" t="n"/>
      <c r="G113" s="564" t="n"/>
      <c r="H113" s="565" t="n">
        <v>0.87</v>
      </c>
      <c r="I113" s="564" t="n"/>
      <c r="J113" s="564" t="n"/>
      <c r="K113" s="564" t="n"/>
      <c r="L113" s="564" t="n">
        <v>2.97</v>
      </c>
      <c r="M113" s="566" t="n">
        <v>1.81</v>
      </c>
      <c r="N113" s="55" t="n">
        <v>0.46</v>
      </c>
      <c r="O113" s="571" t="n">
        <v>0.43</v>
      </c>
      <c r="P113" s="572" t="n">
        <v>0.28</v>
      </c>
      <c r="Q113" s="55" t="n">
        <v>3.2</v>
      </c>
      <c r="R113" s="573" t="n"/>
      <c r="S113" s="55" t="n"/>
      <c r="T113" s="55" t="n">
        <v>0.7</v>
      </c>
    </row>
    <row r="114">
      <c r="A114" s="20" t="inlineStr">
        <is>
          <t>Cool Temperate Dry</t>
        </is>
      </c>
      <c r="B114" s="401" t="inlineStr">
        <is>
          <t>South-eastern Asia</t>
        </is>
      </c>
      <c r="C114" s="20">
        <f>CONCATENATE(A114,B114)</f>
        <v/>
      </c>
      <c r="D114" s="61" t="n"/>
      <c r="E114" s="257">
        <f>AVERAGE(F114:M114)</f>
        <v/>
      </c>
      <c r="F114" s="563" t="n"/>
      <c r="G114" s="564" t="n"/>
      <c r="H114" s="565" t="n">
        <v>0.87</v>
      </c>
      <c r="I114" s="564" t="n"/>
      <c r="J114" s="564" t="n"/>
      <c r="K114" s="564" t="n"/>
      <c r="L114" s="564" t="n">
        <v>2.97</v>
      </c>
      <c r="M114" s="566" t="n">
        <v>1.81</v>
      </c>
      <c r="N114" s="55" t="n">
        <v>0.46</v>
      </c>
      <c r="O114" s="571" t="n">
        <v>0.43</v>
      </c>
      <c r="P114" s="572" t="n">
        <v>0.28</v>
      </c>
      <c r="Q114" s="55" t="n">
        <v>3.2</v>
      </c>
      <c r="R114" s="573" t="n"/>
      <c r="S114" s="55" t="n"/>
      <c r="T114" s="55" t="n">
        <v>0.7</v>
      </c>
    </row>
    <row r="115">
      <c r="A115" s="20" t="inlineStr">
        <is>
          <t>Cool Temperate Dry</t>
        </is>
      </c>
      <c r="B115" s="401" t="inlineStr">
        <is>
          <t>Southern Asia</t>
        </is>
      </c>
      <c r="C115" s="20">
        <f>CONCATENATE(A115,B115)</f>
        <v/>
      </c>
      <c r="D115" s="61" t="n"/>
      <c r="E115" s="257">
        <f>AVERAGE(F115:M115)</f>
        <v/>
      </c>
      <c r="F115" s="563" t="n"/>
      <c r="G115" s="564" t="n"/>
      <c r="H115" s="565" t="n">
        <v>0.87</v>
      </c>
      <c r="I115" s="564" t="n"/>
      <c r="J115" s="564" t="n"/>
      <c r="K115" s="564" t="n"/>
      <c r="L115" s="564" t="n">
        <v>2.97</v>
      </c>
      <c r="M115" s="566" t="n">
        <v>1.81</v>
      </c>
      <c r="N115" s="55" t="n">
        <v>0.46</v>
      </c>
      <c r="O115" s="571" t="n">
        <v>0.43</v>
      </c>
      <c r="P115" s="572" t="n">
        <v>0.28</v>
      </c>
      <c r="Q115" s="55" t="n">
        <v>3.2</v>
      </c>
      <c r="R115" s="573" t="n"/>
      <c r="S115" s="55" t="n"/>
      <c r="T115" s="55" t="n">
        <v>0.7</v>
      </c>
    </row>
    <row r="116">
      <c r="A116" s="20" t="inlineStr">
        <is>
          <t>Cool Temperate Dry</t>
        </is>
      </c>
      <c r="B116" s="401" t="inlineStr">
        <is>
          <t>Western Asia</t>
        </is>
      </c>
      <c r="C116" s="20">
        <f>CONCATENATE(A116,B116)</f>
        <v/>
      </c>
      <c r="D116" s="61" t="n"/>
      <c r="E116" s="257">
        <f>AVERAGE(F116:M116)</f>
        <v/>
      </c>
      <c r="F116" s="563" t="n"/>
      <c r="G116" s="564" t="n"/>
      <c r="H116" s="565" t="n">
        <v>0.87</v>
      </c>
      <c r="I116" s="564" t="n"/>
      <c r="J116" s="564" t="n"/>
      <c r="K116" s="564" t="n"/>
      <c r="L116" s="564" t="n">
        <v>2.97</v>
      </c>
      <c r="M116" s="566" t="n">
        <v>1.81</v>
      </c>
      <c r="N116" s="55" t="n">
        <v>0.46</v>
      </c>
      <c r="O116" s="571" t="n">
        <v>0.43</v>
      </c>
      <c r="P116" s="572" t="n">
        <v>0.28</v>
      </c>
      <c r="Q116" s="55" t="n">
        <v>3.2</v>
      </c>
      <c r="R116" s="573" t="n"/>
      <c r="S116" s="55" t="n"/>
      <c r="T116" s="55" t="n">
        <v>0.7</v>
      </c>
    </row>
    <row r="117">
      <c r="A117" s="20" t="inlineStr">
        <is>
          <t>Cool Temperate Dry</t>
        </is>
      </c>
      <c r="B117" s="401" t="inlineStr">
        <is>
          <t>Europe</t>
        </is>
      </c>
      <c r="C117" s="20">
        <f>CONCATENATE(A117,B117)</f>
        <v/>
      </c>
      <c r="D117" s="61" t="n"/>
      <c r="E117" s="257">
        <f>AVERAGE(F117:M117)</f>
        <v/>
      </c>
      <c r="F117" s="563" t="n"/>
      <c r="G117" s="564" t="n"/>
      <c r="H117" s="565" t="n">
        <v>0.87</v>
      </c>
      <c r="I117" s="564" t="n"/>
      <c r="J117" s="564" t="n"/>
      <c r="K117" s="564" t="n"/>
      <c r="L117" s="565" t="n">
        <v>1.12</v>
      </c>
      <c r="M117" s="574" t="n">
        <v>2.17</v>
      </c>
      <c r="N117" s="55" t="n">
        <v>0.46</v>
      </c>
      <c r="O117" s="571" t="n">
        <v>0.43</v>
      </c>
      <c r="P117" s="572" t="n">
        <v>0.28</v>
      </c>
      <c r="Q117" s="55" t="n">
        <v>3.2</v>
      </c>
      <c r="R117" s="573" t="n"/>
      <c r="S117" s="55" t="n"/>
      <c r="T117" s="55" t="n">
        <v>0.7</v>
      </c>
    </row>
    <row r="118">
      <c r="A118" s="20" t="inlineStr">
        <is>
          <t>Cool Temperate Dry</t>
        </is>
      </c>
      <c r="B118" s="401" t="inlineStr">
        <is>
          <t>Oceania</t>
        </is>
      </c>
      <c r="C118" s="20">
        <f>CONCATENATE(A118,B118)</f>
        <v/>
      </c>
      <c r="D118" s="61" t="n"/>
      <c r="E118" s="257">
        <f>AVERAGE(F118:M118)</f>
        <v/>
      </c>
      <c r="F118" s="563" t="n"/>
      <c r="G118" s="564" t="n"/>
      <c r="H118" s="565" t="n">
        <v>0.87</v>
      </c>
      <c r="I118" s="564" t="n"/>
      <c r="J118" s="564" t="n"/>
      <c r="K118" s="564" t="n"/>
      <c r="L118" s="565" t="n">
        <v>1.12</v>
      </c>
      <c r="M118" s="566" t="n">
        <v>1.81</v>
      </c>
      <c r="N118" s="55" t="n">
        <v>0.46</v>
      </c>
      <c r="O118" s="571" t="n">
        <v>0.43</v>
      </c>
      <c r="P118" s="572" t="n">
        <v>0.28</v>
      </c>
      <c r="Q118" s="55" t="n">
        <v>3.2</v>
      </c>
      <c r="R118" s="573" t="n"/>
      <c r="S118" s="55" t="n"/>
      <c r="T118" s="55" t="n">
        <v>0.7</v>
      </c>
    </row>
    <row r="119">
      <c r="A119" s="20" t="inlineStr">
        <is>
          <t>Cool Temperate Dry</t>
        </is>
      </c>
      <c r="B119" s="401" t="inlineStr">
        <is>
          <t>North America</t>
        </is>
      </c>
      <c r="C119" s="20">
        <f>CONCATENATE(A119,B119)</f>
        <v/>
      </c>
      <c r="D119" s="61" t="n"/>
      <c r="E119" s="257">
        <f>AVERAGE(F119:M119)</f>
        <v/>
      </c>
      <c r="F119" s="563" t="n"/>
      <c r="G119" s="564" t="n"/>
      <c r="H119" s="575" t="n">
        <v>0.87</v>
      </c>
      <c r="I119" s="564" t="n"/>
      <c r="J119" s="564" t="n"/>
      <c r="K119" s="564" t="n"/>
      <c r="L119" s="564" t="n">
        <v>0.59</v>
      </c>
      <c r="M119" s="574" t="n">
        <v>0.97</v>
      </c>
      <c r="N119" s="55" t="n">
        <v>0.46</v>
      </c>
      <c r="O119" s="571" t="n">
        <v>0.43</v>
      </c>
      <c r="P119" s="572" t="n">
        <v>0.28</v>
      </c>
      <c r="Q119" s="55" t="n">
        <v>3.2</v>
      </c>
      <c r="R119" s="573" t="n"/>
      <c r="S119" s="55" t="n"/>
      <c r="T119" s="55" t="n">
        <v>0.7</v>
      </c>
    </row>
    <row r="120">
      <c r="A120" s="20" t="inlineStr">
        <is>
          <t>Cool Temperate Dry</t>
        </is>
      </c>
      <c r="B120" s="401" t="inlineStr">
        <is>
          <t>South America</t>
        </is>
      </c>
      <c r="C120" s="20">
        <f>CONCATENATE(A120,B120)</f>
        <v/>
      </c>
      <c r="D120" s="61" t="n"/>
      <c r="E120" s="257">
        <f>AVERAGE(F120:M120)</f>
        <v/>
      </c>
      <c r="F120" s="563" t="n"/>
      <c r="G120" s="564" t="n"/>
      <c r="H120" s="565" t="n">
        <v>0.87</v>
      </c>
      <c r="I120" s="564" t="n"/>
      <c r="J120" s="564" t="n"/>
      <c r="K120" s="564" t="n"/>
      <c r="L120" s="565" t="n">
        <v>1.12</v>
      </c>
      <c r="M120" s="574" t="n">
        <v>1.18</v>
      </c>
      <c r="N120" s="55" t="n">
        <v>0.46</v>
      </c>
      <c r="O120" s="571" t="n">
        <v>0.43</v>
      </c>
      <c r="P120" s="572" t="n">
        <v>0.28</v>
      </c>
      <c r="Q120" s="55" t="n">
        <v>3.2</v>
      </c>
      <c r="R120" s="573" t="n"/>
      <c r="S120" s="55" t="n"/>
      <c r="T120" s="55" t="n">
        <v>0.7</v>
      </c>
    </row>
    <row r="121">
      <c r="A121" s="20" t="inlineStr">
        <is>
          <t>Cool Temperate Dry</t>
        </is>
      </c>
      <c r="B121" s="401" t="inlineStr">
        <is>
          <t>Central America</t>
        </is>
      </c>
      <c r="C121" s="20">
        <f>CONCATENATE(A121,B121)</f>
        <v/>
      </c>
      <c r="D121" s="61" t="n"/>
      <c r="E121" s="257">
        <f>AVERAGE(F121:M121)</f>
        <v/>
      </c>
      <c r="F121" s="563" t="n"/>
      <c r="G121" s="564" t="n"/>
      <c r="H121" s="565" t="n">
        <v>0.87</v>
      </c>
      <c r="I121" s="564" t="n"/>
      <c r="J121" s="564" t="n"/>
      <c r="K121" s="564" t="n"/>
      <c r="L121" s="565" t="n">
        <v>1.12</v>
      </c>
      <c r="M121" s="574" t="n">
        <v>1.18</v>
      </c>
      <c r="N121" s="55" t="n">
        <v>0.46</v>
      </c>
      <c r="O121" s="571" t="n">
        <v>0.43</v>
      </c>
      <c r="P121" s="572" t="n">
        <v>0.28</v>
      </c>
      <c r="Q121" s="55" t="n">
        <v>3.2</v>
      </c>
      <c r="R121" s="573" t="n"/>
      <c r="S121" s="55" t="n"/>
      <c r="T121" s="55" t="n">
        <v>0.7</v>
      </c>
    </row>
    <row r="122">
      <c r="A122" s="37" t="inlineStr">
        <is>
          <t>Cool Temperate Dry</t>
        </is>
      </c>
      <c r="B122" s="402" t="inlineStr">
        <is>
          <t>Caribbean</t>
        </is>
      </c>
      <c r="C122" s="20">
        <f>CONCATENATE(A122,B122)</f>
        <v/>
      </c>
      <c r="D122" s="60" t="n"/>
      <c r="E122" s="258">
        <f>AVERAGE(F122:M122)</f>
        <v/>
      </c>
      <c r="F122" s="576" t="n"/>
      <c r="G122" s="577" t="n"/>
      <c r="H122" s="565" t="n">
        <v>0.87</v>
      </c>
      <c r="I122" s="577" t="n"/>
      <c r="J122" s="577" t="n"/>
      <c r="K122" s="577" t="n"/>
      <c r="L122" s="578" t="n">
        <v>1.12</v>
      </c>
      <c r="M122" s="574" t="n">
        <v>1.18</v>
      </c>
      <c r="N122" s="579" t="n">
        <v>0.46</v>
      </c>
      <c r="O122" s="580" t="n">
        <v>0.43</v>
      </c>
      <c r="P122" s="420" t="n">
        <v>0.28</v>
      </c>
      <c r="Q122" s="579" t="n">
        <v>3.2</v>
      </c>
      <c r="R122" s="581" t="n"/>
      <c r="S122" s="579" t="n"/>
      <c r="T122" s="55" t="n">
        <v>0.7</v>
      </c>
    </row>
    <row r="123">
      <c r="A123" s="20" t="inlineStr">
        <is>
          <t>Cool Temperate Moist</t>
        </is>
      </c>
      <c r="B123" s="403" t="inlineStr">
        <is>
          <t>Eastern Africa</t>
        </is>
      </c>
      <c r="C123" s="63">
        <f>CONCATENATE(A123,B123)</f>
        <v/>
      </c>
      <c r="D123" s="61" t="n"/>
      <c r="E123" s="256">
        <f>AVERAGE(F123:M123)</f>
        <v/>
      </c>
      <c r="F123" s="563" t="n"/>
      <c r="G123" s="564" t="n"/>
      <c r="H123" s="582" t="n">
        <v>0.87</v>
      </c>
      <c r="I123" s="564" t="n"/>
      <c r="J123" s="564" t="n"/>
      <c r="K123" s="564" t="n"/>
      <c r="L123" s="565" t="n">
        <v>1.12</v>
      </c>
      <c r="M123" s="582" t="n">
        <v>1.81</v>
      </c>
      <c r="N123" s="567" t="n">
        <v>0.46</v>
      </c>
      <c r="O123" s="568" t="n">
        <v>0.43</v>
      </c>
      <c r="P123" s="569" t="n">
        <v>0.28</v>
      </c>
      <c r="Q123" s="567" t="n">
        <v>3.2</v>
      </c>
      <c r="R123" s="570" t="n"/>
      <c r="S123" s="567" t="n"/>
      <c r="T123" s="567" t="n">
        <v>0.7</v>
      </c>
    </row>
    <row r="124">
      <c r="A124" s="20" t="inlineStr">
        <is>
          <t>Cool Temperate Moist</t>
        </is>
      </c>
      <c r="B124" s="403" t="inlineStr">
        <is>
          <t>Central Africa</t>
        </is>
      </c>
      <c r="C124" s="20">
        <f>CONCATENATE(A124,B124)</f>
        <v/>
      </c>
      <c r="D124" s="245" t="n"/>
      <c r="E124" s="257">
        <f>AVERAGE(F124:M124)</f>
        <v/>
      </c>
      <c r="F124" s="563" t="n"/>
      <c r="G124" s="564" t="n"/>
      <c r="H124" s="565" t="n">
        <v>0.87</v>
      </c>
      <c r="I124" s="564" t="n"/>
      <c r="J124" s="564" t="n"/>
      <c r="K124" s="564" t="n"/>
      <c r="L124" s="565" t="n">
        <v>1.12</v>
      </c>
      <c r="M124" s="565" t="n">
        <v>1.81</v>
      </c>
      <c r="N124" s="55" t="n">
        <v>0.46</v>
      </c>
      <c r="O124" s="571" t="n">
        <v>0.43</v>
      </c>
      <c r="P124" s="572" t="n">
        <v>0.28</v>
      </c>
      <c r="Q124" s="55" t="n">
        <v>3.2</v>
      </c>
      <c r="R124" s="573" t="n"/>
      <c r="S124" s="55" t="n"/>
      <c r="T124" s="55" t="n">
        <v>0.7</v>
      </c>
    </row>
    <row r="125">
      <c r="A125" s="20" t="inlineStr">
        <is>
          <t>Cool Temperate Moist</t>
        </is>
      </c>
      <c r="B125" s="403" t="inlineStr">
        <is>
          <t>Northern Africa</t>
        </is>
      </c>
      <c r="C125" s="20">
        <f>CONCATENATE(A125,B125)</f>
        <v/>
      </c>
      <c r="D125" s="61" t="n"/>
      <c r="E125" s="257">
        <f>AVERAGE(F125:M125)</f>
        <v/>
      </c>
      <c r="F125" s="563" t="n"/>
      <c r="G125" s="564" t="n"/>
      <c r="H125" s="565" t="n">
        <v>0.87</v>
      </c>
      <c r="I125" s="564" t="n"/>
      <c r="J125" s="564" t="n"/>
      <c r="K125" s="564" t="n"/>
      <c r="L125" s="565" t="n">
        <v>1.12</v>
      </c>
      <c r="M125" s="565" t="n">
        <v>1.81</v>
      </c>
      <c r="N125" s="55" t="n">
        <v>0.46</v>
      </c>
      <c r="O125" s="571" t="n">
        <v>0.43</v>
      </c>
      <c r="P125" s="572" t="n">
        <v>0.28</v>
      </c>
      <c r="Q125" s="55" t="n">
        <v>3.2</v>
      </c>
      <c r="R125" s="573" t="n"/>
      <c r="S125" s="55" t="n"/>
      <c r="T125" s="55" t="n">
        <v>0.7</v>
      </c>
    </row>
    <row r="126">
      <c r="A126" s="20" t="inlineStr">
        <is>
          <t>Cool Temperate Moist</t>
        </is>
      </c>
      <c r="B126" s="403" t="inlineStr">
        <is>
          <t>Southern Africa</t>
        </is>
      </c>
      <c r="C126" s="20">
        <f>CONCATENATE(A126,B126)</f>
        <v/>
      </c>
      <c r="D126" s="61" t="n"/>
      <c r="E126" s="257">
        <f>AVERAGE(F126:M126)</f>
        <v/>
      </c>
      <c r="F126" s="563" t="n"/>
      <c r="G126" s="564" t="n"/>
      <c r="H126" s="565" t="n">
        <v>0.87</v>
      </c>
      <c r="I126" s="564" t="n"/>
      <c r="J126" s="564" t="n"/>
      <c r="K126" s="564" t="n"/>
      <c r="L126" s="565" t="n">
        <v>1.12</v>
      </c>
      <c r="M126" s="565" t="n">
        <v>1.81</v>
      </c>
      <c r="N126" s="55" t="n">
        <v>0.46</v>
      </c>
      <c r="O126" s="571" t="n">
        <v>0.43</v>
      </c>
      <c r="P126" s="572" t="n">
        <v>0.28</v>
      </c>
      <c r="Q126" s="55" t="n">
        <v>3.2</v>
      </c>
      <c r="R126" s="573" t="n"/>
      <c r="S126" s="55" t="n"/>
      <c r="T126" s="55" t="n">
        <v>0.7</v>
      </c>
    </row>
    <row r="127">
      <c r="A127" s="20" t="inlineStr">
        <is>
          <t>Cool Temperate Moist</t>
        </is>
      </c>
      <c r="B127" s="403" t="inlineStr">
        <is>
          <t>Western Africa</t>
        </is>
      </c>
      <c r="C127" s="20">
        <f>CONCATENATE(A127,B127)</f>
        <v/>
      </c>
      <c r="D127" s="61" t="n"/>
      <c r="E127" s="257">
        <f>AVERAGE(F127:M127)</f>
        <v/>
      </c>
      <c r="F127" s="563" t="n"/>
      <c r="G127" s="564" t="n"/>
      <c r="H127" s="565" t="n">
        <v>0.87</v>
      </c>
      <c r="I127" s="564" t="n"/>
      <c r="J127" s="564" t="n"/>
      <c r="K127" s="564" t="n"/>
      <c r="L127" s="565" t="n">
        <v>1.12</v>
      </c>
      <c r="M127" s="565" t="n">
        <v>1.81</v>
      </c>
      <c r="N127" s="55" t="n">
        <v>0.46</v>
      </c>
      <c r="O127" s="571" t="n">
        <v>0.43</v>
      </c>
      <c r="P127" s="572" t="n">
        <v>0.28</v>
      </c>
      <c r="Q127" s="55" t="n">
        <v>3.2</v>
      </c>
      <c r="R127" s="573" t="n"/>
      <c r="S127" s="55" t="n"/>
      <c r="T127" s="55" t="n">
        <v>0.7</v>
      </c>
    </row>
    <row r="128">
      <c r="A128" s="20" t="inlineStr">
        <is>
          <t>Cool Temperate Moist</t>
        </is>
      </c>
      <c r="B128" s="403" t="inlineStr">
        <is>
          <t>Central Asia</t>
        </is>
      </c>
      <c r="C128" s="20">
        <f>CONCATENATE(A128,B128)</f>
        <v/>
      </c>
      <c r="D128" s="61" t="n"/>
      <c r="E128" s="257">
        <f>AVERAGE(F128:M128)</f>
        <v/>
      </c>
      <c r="F128" s="563" t="n"/>
      <c r="G128" s="564" t="n"/>
      <c r="H128" s="565" t="n">
        <v>0.87</v>
      </c>
      <c r="I128" s="564" t="n"/>
      <c r="J128" s="564" t="n"/>
      <c r="K128" s="564" t="n"/>
      <c r="L128" s="564" t="n">
        <v>2.97</v>
      </c>
      <c r="M128" s="565" t="n">
        <v>1.81</v>
      </c>
      <c r="N128" s="55" t="n">
        <v>0.46</v>
      </c>
      <c r="O128" s="571" t="n">
        <v>0.43</v>
      </c>
      <c r="P128" s="572" t="n">
        <v>0.28</v>
      </c>
      <c r="Q128" s="55" t="n">
        <v>3.2</v>
      </c>
      <c r="R128" s="573" t="n"/>
      <c r="S128" s="55" t="n"/>
      <c r="T128" s="55" t="n">
        <v>0.7</v>
      </c>
    </row>
    <row r="129">
      <c r="A129" s="20" t="inlineStr">
        <is>
          <t>Cool Temperate Moist</t>
        </is>
      </c>
      <c r="B129" s="403" t="inlineStr">
        <is>
          <t>Eastern Asia</t>
        </is>
      </c>
      <c r="C129" s="20">
        <f>CONCATENATE(A129,B129)</f>
        <v/>
      </c>
      <c r="D129" s="61" t="n"/>
      <c r="E129" s="257">
        <f>AVERAGE(F129:M129)</f>
        <v/>
      </c>
      <c r="F129" s="563" t="n"/>
      <c r="G129" s="564" t="n"/>
      <c r="H129" s="565" t="n">
        <v>0.87</v>
      </c>
      <c r="I129" s="564" t="n"/>
      <c r="J129" s="564" t="n"/>
      <c r="K129" s="564" t="n"/>
      <c r="L129" s="564" t="n">
        <v>2.97</v>
      </c>
      <c r="M129" s="565" t="n">
        <v>1.81</v>
      </c>
      <c r="N129" s="55" t="n">
        <v>0.46</v>
      </c>
      <c r="O129" s="571" t="n">
        <v>0.43</v>
      </c>
      <c r="P129" s="572" t="n">
        <v>0.28</v>
      </c>
      <c r="Q129" s="55" t="n">
        <v>3.2</v>
      </c>
      <c r="R129" s="573" t="n"/>
      <c r="S129" s="55" t="n"/>
      <c r="T129" s="55" t="n">
        <v>0.7</v>
      </c>
    </row>
    <row r="130">
      <c r="A130" s="20" t="inlineStr">
        <is>
          <t>Cool Temperate Moist</t>
        </is>
      </c>
      <c r="B130" s="403" t="inlineStr">
        <is>
          <t>South-eastern Asia</t>
        </is>
      </c>
      <c r="C130" s="20">
        <f>CONCATENATE(A130,B130)</f>
        <v/>
      </c>
      <c r="D130" s="61" t="n"/>
      <c r="E130" s="257">
        <f>AVERAGE(F130:M130)</f>
        <v/>
      </c>
      <c r="F130" s="563" t="n"/>
      <c r="G130" s="564" t="n"/>
      <c r="H130" s="565" t="n">
        <v>0.87</v>
      </c>
      <c r="I130" s="564" t="n"/>
      <c r="J130" s="564" t="n"/>
      <c r="K130" s="564" t="n"/>
      <c r="L130" s="564" t="n">
        <v>2.97</v>
      </c>
      <c r="M130" s="565" t="n">
        <v>1.81</v>
      </c>
      <c r="N130" s="55" t="n">
        <v>0.46</v>
      </c>
      <c r="O130" s="571" t="n">
        <v>0.43</v>
      </c>
      <c r="P130" s="572" t="n">
        <v>0.28</v>
      </c>
      <c r="Q130" s="55" t="n">
        <v>3.2</v>
      </c>
      <c r="R130" s="573" t="n"/>
      <c r="S130" s="55" t="n"/>
      <c r="T130" s="55" t="n">
        <v>0.7</v>
      </c>
    </row>
    <row r="131">
      <c r="A131" s="20" t="inlineStr">
        <is>
          <t>Cool Temperate Moist</t>
        </is>
      </c>
      <c r="B131" s="403" t="inlineStr">
        <is>
          <t>Southern Asia</t>
        </is>
      </c>
      <c r="C131" s="20">
        <f>CONCATENATE(A131,B131)</f>
        <v/>
      </c>
      <c r="D131" s="61" t="n"/>
      <c r="E131" s="257">
        <f>AVERAGE(F131:M131)</f>
        <v/>
      </c>
      <c r="F131" s="563" t="n"/>
      <c r="G131" s="564" t="n"/>
      <c r="H131" s="565" t="n">
        <v>0.87</v>
      </c>
      <c r="I131" s="564" t="n"/>
      <c r="J131" s="564" t="n"/>
      <c r="K131" s="564" t="n"/>
      <c r="L131" s="564" t="n">
        <v>2.97</v>
      </c>
      <c r="M131" s="565" t="n">
        <v>1.81</v>
      </c>
      <c r="N131" s="55" t="n">
        <v>0.46</v>
      </c>
      <c r="O131" s="571" t="n">
        <v>0.43</v>
      </c>
      <c r="P131" s="572" t="n">
        <v>0.28</v>
      </c>
      <c r="Q131" s="55" t="n">
        <v>3.2</v>
      </c>
      <c r="R131" s="573" t="n"/>
      <c r="S131" s="55" t="n"/>
      <c r="T131" s="55" t="n">
        <v>0.7</v>
      </c>
    </row>
    <row r="132">
      <c r="A132" s="20" t="inlineStr">
        <is>
          <t>Cool Temperate Moist</t>
        </is>
      </c>
      <c r="B132" s="403" t="inlineStr">
        <is>
          <t>Western Asia</t>
        </is>
      </c>
      <c r="C132" s="20">
        <f>CONCATENATE(A132,B132)</f>
        <v/>
      </c>
      <c r="D132" s="61" t="n"/>
      <c r="E132" s="257">
        <f>AVERAGE(F132:M132)</f>
        <v/>
      </c>
      <c r="F132" s="563" t="n"/>
      <c r="G132" s="564" t="n"/>
      <c r="H132" s="565" t="n">
        <v>0.87</v>
      </c>
      <c r="I132" s="564" t="n"/>
      <c r="J132" s="564" t="n"/>
      <c r="K132" s="564" t="n"/>
      <c r="L132" s="564" t="n">
        <v>2.97</v>
      </c>
      <c r="M132" s="565" t="n">
        <v>1.81</v>
      </c>
      <c r="N132" s="55" t="n">
        <v>0.46</v>
      </c>
      <c r="O132" s="571" t="n">
        <v>0.43</v>
      </c>
      <c r="P132" s="572" t="n">
        <v>0.28</v>
      </c>
      <c r="Q132" s="55" t="n">
        <v>3.2</v>
      </c>
      <c r="R132" s="573" t="n"/>
      <c r="S132" s="55" t="n"/>
      <c r="T132" s="55" t="n">
        <v>0.7</v>
      </c>
    </row>
    <row r="133">
      <c r="A133" s="20" t="inlineStr">
        <is>
          <t>Cool Temperate Moist</t>
        </is>
      </c>
      <c r="B133" s="403" t="inlineStr">
        <is>
          <t>Europe</t>
        </is>
      </c>
      <c r="C133" s="20">
        <f>CONCATENATE(A133,B133)</f>
        <v/>
      </c>
      <c r="D133" s="61" t="n"/>
      <c r="E133" s="257">
        <f>AVERAGE(F133:M133)</f>
        <v/>
      </c>
      <c r="F133" s="563" t="n"/>
      <c r="G133" s="564" t="n"/>
      <c r="H133" s="565" t="n">
        <v>0.87</v>
      </c>
      <c r="I133" s="564" t="n"/>
      <c r="J133" s="564" t="n"/>
      <c r="K133" s="564" t="n"/>
      <c r="L133" s="565" t="n">
        <v>1.12</v>
      </c>
      <c r="M133" s="564" t="n">
        <v>2.17</v>
      </c>
      <c r="N133" s="55" t="n">
        <v>0.46</v>
      </c>
      <c r="O133" s="571" t="n">
        <v>0.43</v>
      </c>
      <c r="P133" s="572" t="n">
        <v>0.28</v>
      </c>
      <c r="Q133" s="55" t="n">
        <v>3.2</v>
      </c>
      <c r="R133" s="573" t="n"/>
      <c r="S133" s="55" t="n"/>
      <c r="T133" s="55" t="n">
        <v>0.7</v>
      </c>
    </row>
    <row r="134">
      <c r="A134" s="20" t="inlineStr">
        <is>
          <t>Cool Temperate Moist</t>
        </is>
      </c>
      <c r="B134" s="403" t="inlineStr">
        <is>
          <t>Oceania</t>
        </is>
      </c>
      <c r="C134" s="20">
        <f>CONCATENATE(A134,B134)</f>
        <v/>
      </c>
      <c r="D134" s="61" t="n"/>
      <c r="E134" s="257">
        <f>AVERAGE(F134:M134)</f>
        <v/>
      </c>
      <c r="F134" s="563" t="n"/>
      <c r="G134" s="564" t="n"/>
      <c r="H134" s="565" t="n">
        <v>0.87</v>
      </c>
      <c r="I134" s="564" t="n"/>
      <c r="J134" s="564" t="n"/>
      <c r="K134" s="564" t="n"/>
      <c r="L134" s="565" t="n">
        <v>1.12</v>
      </c>
      <c r="M134" s="565" t="n">
        <v>1.81</v>
      </c>
      <c r="N134" s="55" t="n">
        <v>0.46</v>
      </c>
      <c r="O134" s="571" t="n">
        <v>0.43</v>
      </c>
      <c r="P134" s="572" t="n">
        <v>0.28</v>
      </c>
      <c r="Q134" s="55" t="n">
        <v>3.2</v>
      </c>
      <c r="R134" s="573" t="n"/>
      <c r="S134" s="55" t="n"/>
      <c r="T134" s="55" t="n">
        <v>0.7</v>
      </c>
    </row>
    <row r="135">
      <c r="A135" s="20" t="inlineStr">
        <is>
          <t>Cool Temperate Moist</t>
        </is>
      </c>
      <c r="B135" s="403" t="inlineStr">
        <is>
          <t>North America</t>
        </is>
      </c>
      <c r="C135" s="20">
        <f>CONCATENATE(A135,B135)</f>
        <v/>
      </c>
      <c r="D135" s="61" t="n"/>
      <c r="E135" s="257">
        <f>AVERAGE(F135:M135)</f>
        <v/>
      </c>
      <c r="F135" s="563" t="n"/>
      <c r="G135" s="564" t="n"/>
      <c r="H135" s="575" t="n">
        <v>0.87</v>
      </c>
      <c r="I135" s="564" t="n"/>
      <c r="J135" s="564" t="n"/>
      <c r="K135" s="564" t="n"/>
      <c r="L135" s="564" t="n">
        <v>0.59</v>
      </c>
      <c r="M135" s="564" t="n">
        <v>0.97</v>
      </c>
      <c r="N135" s="55" t="n">
        <v>0.46</v>
      </c>
      <c r="O135" s="571" t="n">
        <v>0.43</v>
      </c>
      <c r="P135" s="572" t="n">
        <v>0.28</v>
      </c>
      <c r="Q135" s="55" t="n">
        <v>3.2</v>
      </c>
      <c r="R135" s="573" t="n"/>
      <c r="S135" s="55" t="n"/>
      <c r="T135" s="55" t="n">
        <v>0.7</v>
      </c>
    </row>
    <row r="136">
      <c r="A136" s="20" t="inlineStr">
        <is>
          <t>Cool Temperate Moist</t>
        </is>
      </c>
      <c r="B136" s="403" t="inlineStr">
        <is>
          <t>South America</t>
        </is>
      </c>
      <c r="C136" s="20">
        <f>CONCATENATE(A136,B136)</f>
        <v/>
      </c>
      <c r="D136" s="61" t="n"/>
      <c r="E136" s="257">
        <f>AVERAGE(F136:M136)</f>
        <v/>
      </c>
      <c r="F136" s="563" t="n"/>
      <c r="G136" s="564" t="n"/>
      <c r="H136" s="565" t="n">
        <v>0.87</v>
      </c>
      <c r="I136" s="564" t="n"/>
      <c r="J136" s="564" t="n"/>
      <c r="K136" s="564" t="n"/>
      <c r="L136" s="565" t="n">
        <v>1.12</v>
      </c>
      <c r="M136" s="564" t="n">
        <v>1.18</v>
      </c>
      <c r="N136" s="55" t="n">
        <v>0.46</v>
      </c>
      <c r="O136" s="571" t="n">
        <v>0.43</v>
      </c>
      <c r="P136" s="572" t="n">
        <v>0.28</v>
      </c>
      <c r="Q136" s="55" t="n">
        <v>3.2</v>
      </c>
      <c r="R136" s="573" t="n"/>
      <c r="S136" s="55" t="n"/>
      <c r="T136" s="55" t="n">
        <v>0.7</v>
      </c>
    </row>
    <row r="137">
      <c r="A137" s="20" t="inlineStr">
        <is>
          <t>Cool Temperate Moist</t>
        </is>
      </c>
      <c r="B137" s="403" t="inlineStr">
        <is>
          <t>Central America</t>
        </is>
      </c>
      <c r="C137" s="20">
        <f>CONCATENATE(A137,B137)</f>
        <v/>
      </c>
      <c r="D137" s="61" t="n"/>
      <c r="E137" s="257">
        <f>AVERAGE(F137:M137)</f>
        <v/>
      </c>
      <c r="F137" s="563" t="n"/>
      <c r="G137" s="564" t="n"/>
      <c r="H137" s="565" t="n">
        <v>0.87</v>
      </c>
      <c r="I137" s="564" t="n"/>
      <c r="J137" s="564" t="n"/>
      <c r="K137" s="564" t="n"/>
      <c r="L137" s="565" t="n">
        <v>1.12</v>
      </c>
      <c r="M137" s="564" t="n">
        <v>1.18</v>
      </c>
      <c r="N137" s="55" t="n">
        <v>0.46</v>
      </c>
      <c r="O137" s="571" t="n">
        <v>0.43</v>
      </c>
      <c r="P137" s="572" t="n">
        <v>0.28</v>
      </c>
      <c r="Q137" s="55" t="n">
        <v>3.2</v>
      </c>
      <c r="R137" s="573" t="n"/>
      <c r="S137" s="55" t="n"/>
      <c r="T137" s="55" t="n">
        <v>0.7</v>
      </c>
    </row>
    <row r="138">
      <c r="A138" s="20" t="inlineStr">
        <is>
          <t>Cool Temperate Moist</t>
        </is>
      </c>
      <c r="B138" s="404" t="inlineStr">
        <is>
          <t>Caribbean</t>
        </is>
      </c>
      <c r="C138" s="37">
        <f>CONCATENATE(A138,B138)</f>
        <v/>
      </c>
      <c r="D138" s="60" t="n"/>
      <c r="E138" s="258">
        <f>AVERAGE(F138:M138)</f>
        <v/>
      </c>
      <c r="F138" s="576" t="n"/>
      <c r="G138" s="577" t="n"/>
      <c r="H138" s="578" t="n">
        <v>0.87</v>
      </c>
      <c r="I138" s="577" t="n"/>
      <c r="J138" s="577" t="n"/>
      <c r="K138" s="577" t="n"/>
      <c r="L138" s="578" t="n">
        <v>1.12</v>
      </c>
      <c r="M138" s="564" t="n">
        <v>1.18</v>
      </c>
      <c r="N138" s="579" t="n">
        <v>0.46</v>
      </c>
      <c r="O138" s="580" t="n">
        <v>0.43</v>
      </c>
      <c r="P138" s="420" t="n">
        <v>0.28</v>
      </c>
      <c r="Q138" s="579" t="n">
        <v>3.2</v>
      </c>
      <c r="R138" s="581" t="n"/>
      <c r="S138" s="579" t="n"/>
      <c r="T138" s="55" t="n">
        <v>0.7</v>
      </c>
    </row>
    <row r="139">
      <c r="A139" s="63" t="inlineStr">
        <is>
          <t>Warm Temperate Dry</t>
        </is>
      </c>
      <c r="B139" s="405" t="inlineStr">
        <is>
          <t>Eastern Africa</t>
        </is>
      </c>
      <c r="C139" s="20">
        <f>CONCATENATE(A139,B139)</f>
        <v/>
      </c>
      <c r="D139" s="61" t="n"/>
      <c r="E139" s="257">
        <f>AVERAGE(F139:M139)</f>
        <v/>
      </c>
      <c r="F139" s="583" t="n"/>
      <c r="G139" s="584" t="n"/>
      <c r="H139" s="582" t="n">
        <v>0.87</v>
      </c>
      <c r="I139" s="585" t="n"/>
      <c r="J139" s="583" t="n"/>
      <c r="K139" s="583" t="n"/>
      <c r="L139" s="566" t="n">
        <v>0.91</v>
      </c>
      <c r="M139" s="582" t="n">
        <v>2.33</v>
      </c>
      <c r="N139" s="567" t="n">
        <v>0.46</v>
      </c>
      <c r="O139" s="568" t="n">
        <v>0.43</v>
      </c>
      <c r="P139" s="569" t="n">
        <v>0.28</v>
      </c>
      <c r="Q139" s="567" t="n">
        <v>3.2</v>
      </c>
      <c r="R139" s="570" t="n"/>
      <c r="S139" s="567" t="n"/>
      <c r="T139" s="567" t="n">
        <v>0.7</v>
      </c>
    </row>
    <row r="140">
      <c r="A140" s="20" t="inlineStr">
        <is>
          <t>Warm Temperate Dry</t>
        </is>
      </c>
      <c r="B140" s="405" t="inlineStr">
        <is>
          <t>Central Africa</t>
        </is>
      </c>
      <c r="C140" s="20">
        <f>CONCATENATE(A140,B140)</f>
        <v/>
      </c>
      <c r="D140" s="61" t="n"/>
      <c r="E140" s="257">
        <f>AVERAGE(F140:M140)</f>
        <v/>
      </c>
      <c r="F140" s="564" t="n"/>
      <c r="G140" s="574" t="n"/>
      <c r="H140" s="565" t="n">
        <v>0.87</v>
      </c>
      <c r="I140" s="563" t="n"/>
      <c r="J140" s="564" t="n"/>
      <c r="K140" s="564" t="n"/>
      <c r="L140" s="566" t="n">
        <v>0.91</v>
      </c>
      <c r="M140" s="565" t="n">
        <v>2.33</v>
      </c>
      <c r="N140" s="55" t="n">
        <v>0.46</v>
      </c>
      <c r="O140" s="571" t="n">
        <v>0.43</v>
      </c>
      <c r="P140" s="572" t="n">
        <v>0.28</v>
      </c>
      <c r="Q140" s="55" t="n">
        <v>3.2</v>
      </c>
      <c r="R140" s="573" t="n"/>
      <c r="S140" s="55" t="n"/>
      <c r="T140" s="55" t="n">
        <v>0.7</v>
      </c>
    </row>
    <row r="141">
      <c r="A141" s="20" t="inlineStr">
        <is>
          <t>Warm Temperate Dry</t>
        </is>
      </c>
      <c r="B141" s="405" t="inlineStr">
        <is>
          <t>Northern Africa</t>
        </is>
      </c>
      <c r="C141" s="20">
        <f>CONCATENATE(A141,B141)</f>
        <v/>
      </c>
      <c r="D141" s="61" t="n"/>
      <c r="E141" s="257">
        <f>AVERAGE(F141:M141)</f>
        <v/>
      </c>
      <c r="F141" s="564" t="n"/>
      <c r="G141" s="574" t="n"/>
      <c r="H141" s="565" t="n">
        <v>0.87</v>
      </c>
      <c r="I141" s="563" t="n"/>
      <c r="J141" s="564" t="n"/>
      <c r="K141" s="564" t="n"/>
      <c r="L141" s="566" t="n">
        <v>0.91</v>
      </c>
      <c r="M141" s="565" t="n">
        <v>2.33</v>
      </c>
      <c r="N141" s="55" t="n">
        <v>0.46</v>
      </c>
      <c r="O141" s="571" t="n">
        <v>0.43</v>
      </c>
      <c r="P141" s="572" t="n">
        <v>0.28</v>
      </c>
      <c r="Q141" s="55" t="n">
        <v>3.2</v>
      </c>
      <c r="R141" s="573" t="n"/>
      <c r="S141" s="55" t="n"/>
      <c r="T141" s="55" t="n">
        <v>0.7</v>
      </c>
    </row>
    <row r="142">
      <c r="A142" s="20" t="inlineStr">
        <is>
          <t>Warm Temperate Dry</t>
        </is>
      </c>
      <c r="B142" s="405" t="inlineStr">
        <is>
          <t>Southern Africa</t>
        </is>
      </c>
      <c r="C142" s="20">
        <f>CONCATENATE(A142,B142)</f>
        <v/>
      </c>
      <c r="D142" s="61" t="n"/>
      <c r="E142" s="257">
        <f>AVERAGE(F142:M142)</f>
        <v/>
      </c>
      <c r="F142" s="564" t="n"/>
      <c r="G142" s="574" t="n"/>
      <c r="H142" s="565" t="n">
        <v>0.87</v>
      </c>
      <c r="I142" s="563" t="n"/>
      <c r="J142" s="564" t="n"/>
      <c r="K142" s="564" t="n"/>
      <c r="L142" s="566" t="n">
        <v>0.91</v>
      </c>
      <c r="M142" s="565" t="n">
        <v>2.33</v>
      </c>
      <c r="N142" s="55" t="n">
        <v>0.46</v>
      </c>
      <c r="O142" s="571" t="n">
        <v>0.43</v>
      </c>
      <c r="P142" s="572" t="n">
        <v>0.28</v>
      </c>
      <c r="Q142" s="55" t="n">
        <v>3.2</v>
      </c>
      <c r="R142" s="573" t="n"/>
      <c r="S142" s="55" t="n"/>
      <c r="T142" s="55" t="n">
        <v>0.7</v>
      </c>
    </row>
    <row r="143">
      <c r="A143" s="20" t="inlineStr">
        <is>
          <t>Warm Temperate Dry</t>
        </is>
      </c>
      <c r="B143" s="405" t="inlineStr">
        <is>
          <t>Western Africa</t>
        </is>
      </c>
      <c r="C143" s="20">
        <f>CONCATENATE(A143,B143)</f>
        <v/>
      </c>
      <c r="D143" s="61" t="n"/>
      <c r="E143" s="257">
        <f>AVERAGE(F143:M143)</f>
        <v/>
      </c>
      <c r="F143" s="564" t="n"/>
      <c r="G143" s="574" t="n"/>
      <c r="H143" s="565" t="n">
        <v>0.87</v>
      </c>
      <c r="I143" s="563" t="n"/>
      <c r="J143" s="564" t="n"/>
      <c r="K143" s="564" t="n"/>
      <c r="L143" s="566" t="n">
        <v>0.91</v>
      </c>
      <c r="M143" s="565" t="n">
        <v>2.33</v>
      </c>
      <c r="N143" s="55" t="n">
        <v>0.46</v>
      </c>
      <c r="O143" s="571" t="n">
        <v>0.43</v>
      </c>
      <c r="P143" s="572" t="n">
        <v>0.28</v>
      </c>
      <c r="Q143" s="55" t="n">
        <v>3.2</v>
      </c>
      <c r="R143" s="573" t="n"/>
      <c r="S143" s="55" t="n"/>
      <c r="T143" s="55" t="n">
        <v>0.7</v>
      </c>
    </row>
    <row r="144">
      <c r="A144" s="20" t="inlineStr">
        <is>
          <t>Warm Temperate Dry</t>
        </is>
      </c>
      <c r="B144" s="405" t="inlineStr">
        <is>
          <t>Central Asia</t>
        </is>
      </c>
      <c r="C144" s="20">
        <f>CONCATENATE(A144,B144)</f>
        <v/>
      </c>
      <c r="D144" s="61" t="n"/>
      <c r="E144" s="257">
        <f>AVERAGE(F144:M144)</f>
        <v/>
      </c>
      <c r="F144" s="564" t="n"/>
      <c r="G144" s="574" t="n"/>
      <c r="H144" s="565" t="n">
        <v>0.87</v>
      </c>
      <c r="I144" s="563" t="n"/>
      <c r="J144" s="564" t="n"/>
      <c r="K144" s="564" t="n"/>
      <c r="L144" s="566" t="n">
        <v>0.91</v>
      </c>
      <c r="M144" s="565" t="n">
        <v>2.33</v>
      </c>
      <c r="N144" s="55" t="n">
        <v>0.46</v>
      </c>
      <c r="O144" s="571" t="n">
        <v>0.43</v>
      </c>
      <c r="P144" s="572" t="n">
        <v>0.28</v>
      </c>
      <c r="Q144" s="55" t="n">
        <v>3.2</v>
      </c>
      <c r="R144" s="573" t="n"/>
      <c r="S144" s="55" t="n"/>
      <c r="T144" s="55" t="n">
        <v>0.7</v>
      </c>
    </row>
    <row r="145">
      <c r="A145" s="20" t="inlineStr">
        <is>
          <t>Warm Temperate Dry</t>
        </is>
      </c>
      <c r="B145" s="405" t="inlineStr">
        <is>
          <t>Eastern Asia</t>
        </is>
      </c>
      <c r="C145" s="20">
        <f>CONCATENATE(A145,B145)</f>
        <v/>
      </c>
      <c r="D145" s="61" t="n"/>
      <c r="E145" s="257">
        <f>AVERAGE(F145:M145)</f>
        <v/>
      </c>
      <c r="F145" s="564" t="n"/>
      <c r="G145" s="574" t="n"/>
      <c r="H145" s="565" t="n">
        <v>0.87</v>
      </c>
      <c r="I145" s="563" t="n"/>
      <c r="J145" s="564" t="n"/>
      <c r="K145" s="564" t="n"/>
      <c r="L145" s="566" t="n">
        <v>0.91</v>
      </c>
      <c r="M145" s="565" t="n">
        <v>2.33</v>
      </c>
      <c r="N145" s="55" t="n">
        <v>0.46</v>
      </c>
      <c r="O145" s="571" t="n">
        <v>0.43</v>
      </c>
      <c r="P145" s="572" t="n">
        <v>0.28</v>
      </c>
      <c r="Q145" s="55" t="n">
        <v>3.2</v>
      </c>
      <c r="R145" s="573" t="n"/>
      <c r="S145" s="55" t="n"/>
      <c r="T145" s="55" t="n">
        <v>0.7</v>
      </c>
    </row>
    <row r="146">
      <c r="A146" s="20" t="inlineStr">
        <is>
          <t>Warm Temperate Dry</t>
        </is>
      </c>
      <c r="B146" s="405" t="inlineStr">
        <is>
          <t>South-eastern Asia</t>
        </is>
      </c>
      <c r="C146" s="20">
        <f>CONCATENATE(A146,B146)</f>
        <v/>
      </c>
      <c r="D146" s="61" t="n"/>
      <c r="E146" s="257">
        <f>AVERAGE(F146:M146)</f>
        <v/>
      </c>
      <c r="F146" s="564" t="n"/>
      <c r="G146" s="574" t="n"/>
      <c r="H146" s="565" t="n">
        <v>0.87</v>
      </c>
      <c r="I146" s="563" t="n"/>
      <c r="J146" s="564" t="n"/>
      <c r="K146" s="564" t="n"/>
      <c r="L146" s="566" t="n">
        <v>0.91</v>
      </c>
      <c r="M146" s="565" t="n">
        <v>2.33</v>
      </c>
      <c r="N146" s="55" t="n">
        <v>0.46</v>
      </c>
      <c r="O146" s="571" t="n">
        <v>0.43</v>
      </c>
      <c r="P146" s="572" t="n">
        <v>0.28</v>
      </c>
      <c r="Q146" s="55" t="n">
        <v>3.2</v>
      </c>
      <c r="R146" s="573" t="n"/>
      <c r="S146" s="55" t="n"/>
      <c r="T146" s="55" t="n">
        <v>0.7</v>
      </c>
    </row>
    <row r="147">
      <c r="A147" s="20" t="inlineStr">
        <is>
          <t>Warm Temperate Dry</t>
        </is>
      </c>
      <c r="B147" s="405" t="inlineStr">
        <is>
          <t>Southern Asia</t>
        </is>
      </c>
      <c r="C147" s="20">
        <f>CONCATENATE(A147,B147)</f>
        <v/>
      </c>
      <c r="D147" s="61" t="n"/>
      <c r="E147" s="257">
        <f>AVERAGE(F147:M147)</f>
        <v/>
      </c>
      <c r="F147" s="564" t="n"/>
      <c r="G147" s="574" t="n"/>
      <c r="H147" s="565" t="n">
        <v>0.87</v>
      </c>
      <c r="I147" s="563" t="n"/>
      <c r="J147" s="564" t="n"/>
      <c r="K147" s="564" t="n"/>
      <c r="L147" s="566" t="n">
        <v>0.91</v>
      </c>
      <c r="M147" s="565" t="n">
        <v>2.33</v>
      </c>
      <c r="N147" s="55" t="n">
        <v>0.46</v>
      </c>
      <c r="O147" s="571" t="n">
        <v>0.43</v>
      </c>
      <c r="P147" s="572" t="n">
        <v>0.28</v>
      </c>
      <c r="Q147" s="55" t="n">
        <v>3.2</v>
      </c>
      <c r="R147" s="573" t="n"/>
      <c r="S147" s="55" t="n"/>
      <c r="T147" s="55" t="n">
        <v>0.7</v>
      </c>
    </row>
    <row r="148">
      <c r="A148" s="20" t="inlineStr">
        <is>
          <t>Warm Temperate Dry</t>
        </is>
      </c>
      <c r="B148" s="405" t="inlineStr">
        <is>
          <t>Western Asia</t>
        </is>
      </c>
      <c r="C148" s="20">
        <f>CONCATENATE(A148,B148)</f>
        <v/>
      </c>
      <c r="D148" s="61" t="n"/>
      <c r="E148" s="257">
        <f>AVERAGE(F148:M148)</f>
        <v/>
      </c>
      <c r="F148" s="564" t="n"/>
      <c r="G148" s="574" t="n"/>
      <c r="H148" s="565" t="n">
        <v>0.87</v>
      </c>
      <c r="I148" s="563" t="n"/>
      <c r="J148" s="564" t="n"/>
      <c r="K148" s="564" t="n"/>
      <c r="L148" s="566" t="n">
        <v>0.91</v>
      </c>
      <c r="M148" s="565" t="n">
        <v>2.33</v>
      </c>
      <c r="N148" s="55" t="n">
        <v>0.46</v>
      </c>
      <c r="O148" s="571" t="n">
        <v>0.43</v>
      </c>
      <c r="P148" s="572" t="n">
        <v>0.28</v>
      </c>
      <c r="Q148" s="55" t="n">
        <v>3.2</v>
      </c>
      <c r="R148" s="573" t="n"/>
      <c r="S148" s="55" t="n"/>
      <c r="T148" s="55" t="n">
        <v>0.7</v>
      </c>
    </row>
    <row r="149">
      <c r="A149" s="20" t="inlineStr">
        <is>
          <t>Warm Temperate Dry</t>
        </is>
      </c>
      <c r="B149" s="405" t="inlineStr">
        <is>
          <t>Europe</t>
        </is>
      </c>
      <c r="C149" s="20">
        <f>CONCATENATE(A149,B149)</f>
        <v/>
      </c>
      <c r="D149" s="61" t="n"/>
      <c r="E149" s="257">
        <f>AVERAGE(F149:M149)</f>
        <v/>
      </c>
      <c r="F149" s="564" t="n"/>
      <c r="G149" s="574" t="n"/>
      <c r="H149" s="565" t="n">
        <v>0.87</v>
      </c>
      <c r="I149" s="563" t="n"/>
      <c r="J149" s="564" t="n"/>
      <c r="K149" s="564" t="n"/>
      <c r="L149" s="574" t="n">
        <v>0.52</v>
      </c>
      <c r="M149" s="564" t="n">
        <v>3.11</v>
      </c>
      <c r="N149" s="55" t="n">
        <v>0.46</v>
      </c>
      <c r="O149" s="571" t="n">
        <v>0.43</v>
      </c>
      <c r="P149" s="572" t="n">
        <v>0.28</v>
      </c>
      <c r="Q149" s="55" t="n">
        <v>3.2</v>
      </c>
      <c r="R149" s="573" t="n"/>
      <c r="S149" s="55" t="n"/>
      <c r="T149" s="55" t="n">
        <v>0.7</v>
      </c>
    </row>
    <row r="150">
      <c r="A150" s="20" t="inlineStr">
        <is>
          <t>Warm Temperate Dry</t>
        </is>
      </c>
      <c r="B150" s="405" t="inlineStr">
        <is>
          <t>Oceania</t>
        </is>
      </c>
      <c r="C150" s="20">
        <f>CONCATENATE(A150,B150)</f>
        <v/>
      </c>
      <c r="D150" s="61" t="n"/>
      <c r="E150" s="257">
        <f>AVERAGE(F150:M150)</f>
        <v/>
      </c>
      <c r="F150" s="564" t="n"/>
      <c r="G150" s="574" t="n"/>
      <c r="H150" s="565" t="n">
        <v>0.87</v>
      </c>
      <c r="I150" s="563" t="n"/>
      <c r="J150" s="564" t="n"/>
      <c r="K150" s="564" t="n"/>
      <c r="L150" s="566" t="n">
        <v>0.91</v>
      </c>
      <c r="M150" s="565" t="n">
        <v>2.33</v>
      </c>
      <c r="N150" s="55" t="n">
        <v>0.46</v>
      </c>
      <c r="O150" s="571" t="n">
        <v>0.43</v>
      </c>
      <c r="P150" s="572" t="n">
        <v>0.28</v>
      </c>
      <c r="Q150" s="55" t="n">
        <v>3.2</v>
      </c>
      <c r="R150" s="573" t="n"/>
      <c r="S150" s="55" t="n"/>
      <c r="T150" s="55" t="n">
        <v>0.7</v>
      </c>
    </row>
    <row r="151">
      <c r="A151" s="20" t="inlineStr">
        <is>
          <t>Warm Temperate Dry</t>
        </is>
      </c>
      <c r="B151" s="405" t="inlineStr">
        <is>
          <t>North America</t>
        </is>
      </c>
      <c r="C151" s="20">
        <f>CONCATENATE(A151,B151)</f>
        <v/>
      </c>
      <c r="D151" s="61" t="n"/>
      <c r="E151" s="257">
        <f>AVERAGE(F151:M151)</f>
        <v/>
      </c>
      <c r="F151" s="564" t="n"/>
      <c r="G151" s="574" t="n"/>
      <c r="H151" s="565" t="n">
        <v>0.87</v>
      </c>
      <c r="I151" s="563" t="n"/>
      <c r="J151" s="564" t="n"/>
      <c r="K151" s="564" t="n"/>
      <c r="L151" s="566" t="n">
        <v>0.91</v>
      </c>
      <c r="M151" s="565" t="n">
        <v>2.33</v>
      </c>
      <c r="N151" s="55" t="n">
        <v>0.46</v>
      </c>
      <c r="O151" s="571" t="n">
        <v>0.43</v>
      </c>
      <c r="P151" s="572" t="n">
        <v>0.28</v>
      </c>
      <c r="Q151" s="55" t="n">
        <v>3.2</v>
      </c>
      <c r="R151" s="573" t="n"/>
      <c r="S151" s="55" t="n"/>
      <c r="T151" s="55" t="n">
        <v>0.7</v>
      </c>
    </row>
    <row r="152">
      <c r="A152" s="20" t="inlineStr">
        <is>
          <t>Warm Temperate Dry</t>
        </is>
      </c>
      <c r="B152" s="405" t="inlineStr">
        <is>
          <t>South America</t>
        </is>
      </c>
      <c r="C152" s="20">
        <f>CONCATENATE(A152,B152)</f>
        <v/>
      </c>
      <c r="D152" s="61" t="n"/>
      <c r="E152" s="257">
        <f>AVERAGE(F152:M152)</f>
        <v/>
      </c>
      <c r="F152" s="564" t="n"/>
      <c r="G152" s="574" t="n"/>
      <c r="H152" s="565" t="n">
        <v>0.87</v>
      </c>
      <c r="I152" s="563" t="n"/>
      <c r="J152" s="564" t="n"/>
      <c r="K152" s="564" t="n"/>
      <c r="L152" s="566" t="n">
        <v>0.91</v>
      </c>
      <c r="M152" s="565" t="n">
        <v>2.33</v>
      </c>
      <c r="N152" s="55" t="n">
        <v>0.46</v>
      </c>
      <c r="O152" s="571" t="n">
        <v>0.43</v>
      </c>
      <c r="P152" s="572" t="n">
        <v>0.28</v>
      </c>
      <c r="Q152" s="55" t="n">
        <v>3.2</v>
      </c>
      <c r="R152" s="573" t="n"/>
      <c r="S152" s="55" t="n"/>
      <c r="T152" s="55" t="n">
        <v>0.7</v>
      </c>
    </row>
    <row r="153">
      <c r="A153" s="20" t="inlineStr">
        <is>
          <t>Warm Temperate Dry</t>
        </is>
      </c>
      <c r="B153" s="405" t="inlineStr">
        <is>
          <t>Central America</t>
        </is>
      </c>
      <c r="C153" s="20">
        <f>CONCATENATE(A153,B153)</f>
        <v/>
      </c>
      <c r="D153" s="61" t="n"/>
      <c r="E153" s="257">
        <f>AVERAGE(F153:M153)</f>
        <v/>
      </c>
      <c r="F153" s="564" t="n"/>
      <c r="G153" s="574" t="n"/>
      <c r="H153" s="565" t="n">
        <v>0.87</v>
      </c>
      <c r="I153" s="563" t="n"/>
      <c r="J153" s="564" t="n"/>
      <c r="K153" s="564" t="n"/>
      <c r="L153" s="566" t="n">
        <v>0.91</v>
      </c>
      <c r="M153" s="565" t="n">
        <v>2.33</v>
      </c>
      <c r="N153" s="55" t="n">
        <v>0.46</v>
      </c>
      <c r="O153" s="571" t="n">
        <v>0.43</v>
      </c>
      <c r="P153" s="572" t="n">
        <v>0.28</v>
      </c>
      <c r="Q153" s="55" t="n">
        <v>3.2</v>
      </c>
      <c r="R153" s="573" t="n"/>
      <c r="S153" s="55" t="n"/>
      <c r="T153" s="55" t="n">
        <v>0.7</v>
      </c>
    </row>
    <row r="154">
      <c r="A154" s="20" t="inlineStr">
        <is>
          <t>Warm Temperate Dry</t>
        </is>
      </c>
      <c r="B154" s="406" t="inlineStr">
        <is>
          <t>Caribbean</t>
        </is>
      </c>
      <c r="C154" s="20">
        <f>CONCATENATE(A154,B154)</f>
        <v/>
      </c>
      <c r="D154" s="60" t="n"/>
      <c r="E154" s="257">
        <f>AVERAGE(F154:M154)</f>
        <v/>
      </c>
      <c r="F154" s="564" t="n"/>
      <c r="G154" s="574" t="n"/>
      <c r="H154" s="578" t="n">
        <v>0.87</v>
      </c>
      <c r="I154" s="563" t="n"/>
      <c r="J154" s="564" t="n"/>
      <c r="K154" s="564" t="n"/>
      <c r="L154" s="566" t="n">
        <v>0.91</v>
      </c>
      <c r="M154" s="578" t="n">
        <v>2.33</v>
      </c>
      <c r="N154" s="579" t="n">
        <v>0.46</v>
      </c>
      <c r="O154" s="580" t="n">
        <v>0.43</v>
      </c>
      <c r="P154" s="420" t="n">
        <v>0.28</v>
      </c>
      <c r="Q154" s="579" t="n">
        <v>3.2</v>
      </c>
      <c r="R154" s="581" t="n"/>
      <c r="S154" s="579" t="n"/>
      <c r="T154" s="55" t="n">
        <v>0.7</v>
      </c>
    </row>
    <row r="155">
      <c r="A155" s="63" t="inlineStr">
        <is>
          <t>Warm Temperate Moist</t>
        </is>
      </c>
      <c r="B155" s="405" t="inlineStr">
        <is>
          <t>Eastern Africa</t>
        </is>
      </c>
      <c r="C155" s="63">
        <f>CONCATENATE(A155,B155)</f>
        <v/>
      </c>
      <c r="D155" s="61" t="n"/>
      <c r="E155" s="256">
        <f>AVERAGE(F155:M155)</f>
        <v/>
      </c>
      <c r="F155" s="583" t="n"/>
      <c r="G155" s="584" t="n"/>
      <c r="H155" s="582" t="n">
        <v>0.87</v>
      </c>
      <c r="I155" s="585" t="n"/>
      <c r="J155" s="583" t="n"/>
      <c r="K155" s="583" t="n"/>
      <c r="L155" s="582" t="n">
        <v>0.91</v>
      </c>
      <c r="M155" s="582" t="n">
        <v>2.33</v>
      </c>
      <c r="N155" s="567" t="n">
        <v>0.46</v>
      </c>
      <c r="O155" s="568" t="n">
        <v>0.43</v>
      </c>
      <c r="P155" s="569" t="n">
        <v>0.28</v>
      </c>
      <c r="Q155" s="567" t="n">
        <v>3.2</v>
      </c>
      <c r="R155" s="570" t="n"/>
      <c r="S155" s="567" t="n"/>
      <c r="T155" s="567" t="n">
        <v>0.7</v>
      </c>
    </row>
    <row r="156">
      <c r="A156" s="20" t="inlineStr">
        <is>
          <t>Warm Temperate Moist</t>
        </is>
      </c>
      <c r="B156" s="405" t="inlineStr">
        <is>
          <t>Central Africa</t>
        </is>
      </c>
      <c r="C156" s="20">
        <f>CONCATENATE(A156,B156)</f>
        <v/>
      </c>
      <c r="D156" s="61" t="n"/>
      <c r="E156" s="257">
        <f>AVERAGE(F156:M156)</f>
        <v/>
      </c>
      <c r="F156" s="564" t="n"/>
      <c r="G156" s="574" t="n"/>
      <c r="H156" s="565" t="n">
        <v>0.87</v>
      </c>
      <c r="I156" s="563" t="n"/>
      <c r="J156" s="564" t="n"/>
      <c r="K156" s="564" t="n"/>
      <c r="L156" s="565" t="n">
        <v>0.91</v>
      </c>
      <c r="M156" s="565" t="n">
        <v>2.33</v>
      </c>
      <c r="N156" s="55" t="n">
        <v>0.46</v>
      </c>
      <c r="O156" s="571" t="n">
        <v>0.43</v>
      </c>
      <c r="P156" s="572" t="n">
        <v>0.28</v>
      </c>
      <c r="Q156" s="55" t="n">
        <v>3.2</v>
      </c>
      <c r="R156" s="573" t="n"/>
      <c r="S156" s="55" t="n"/>
      <c r="T156" s="55" t="n">
        <v>0.7</v>
      </c>
    </row>
    <row r="157">
      <c r="A157" s="20" t="inlineStr">
        <is>
          <t>Warm Temperate Moist</t>
        </is>
      </c>
      <c r="B157" s="405" t="inlineStr">
        <is>
          <t>Northern Africa</t>
        </is>
      </c>
      <c r="C157" s="20">
        <f>CONCATENATE(A157,B157)</f>
        <v/>
      </c>
      <c r="D157" s="61" t="n"/>
      <c r="E157" s="257">
        <f>AVERAGE(F157:M157)</f>
        <v/>
      </c>
      <c r="F157" s="564" t="n"/>
      <c r="G157" s="574" t="n"/>
      <c r="H157" s="565" t="n">
        <v>0.87</v>
      </c>
      <c r="I157" s="563" t="n"/>
      <c r="J157" s="564" t="n"/>
      <c r="K157" s="564" t="n"/>
      <c r="L157" s="565" t="n">
        <v>0.91</v>
      </c>
      <c r="M157" s="565" t="n">
        <v>2.33</v>
      </c>
      <c r="N157" s="55" t="n">
        <v>0.46</v>
      </c>
      <c r="O157" s="571" t="n">
        <v>0.43</v>
      </c>
      <c r="P157" s="572" t="n">
        <v>0.28</v>
      </c>
      <c r="Q157" s="55" t="n">
        <v>3.2</v>
      </c>
      <c r="R157" s="573" t="n"/>
      <c r="S157" s="55" t="n"/>
      <c r="T157" s="55" t="n">
        <v>0.7</v>
      </c>
    </row>
    <row r="158">
      <c r="A158" s="20" t="inlineStr">
        <is>
          <t>Warm Temperate Moist</t>
        </is>
      </c>
      <c r="B158" s="405" t="inlineStr">
        <is>
          <t>Southern Africa</t>
        </is>
      </c>
      <c r="C158" s="20">
        <f>CONCATENATE(A158,B158)</f>
        <v/>
      </c>
      <c r="D158" s="61" t="n"/>
      <c r="E158" s="257">
        <f>AVERAGE(F158:M158)</f>
        <v/>
      </c>
      <c r="F158" s="564" t="n"/>
      <c r="G158" s="574" t="n"/>
      <c r="H158" s="565" t="n">
        <v>0.87</v>
      </c>
      <c r="I158" s="563" t="n"/>
      <c r="J158" s="564" t="n"/>
      <c r="K158" s="564" t="n"/>
      <c r="L158" s="565" t="n">
        <v>0.91</v>
      </c>
      <c r="M158" s="565" t="n">
        <v>2.33</v>
      </c>
      <c r="N158" s="55" t="n">
        <v>0.46</v>
      </c>
      <c r="O158" s="571" t="n">
        <v>0.43</v>
      </c>
      <c r="P158" s="572" t="n">
        <v>0.28</v>
      </c>
      <c r="Q158" s="55" t="n">
        <v>3.2</v>
      </c>
      <c r="R158" s="573" t="n"/>
      <c r="S158" s="55" t="n"/>
      <c r="T158" s="55" t="n">
        <v>0.7</v>
      </c>
    </row>
    <row r="159">
      <c r="A159" s="20" t="inlineStr">
        <is>
          <t>Warm Temperate Moist</t>
        </is>
      </c>
      <c r="B159" s="405" t="inlineStr">
        <is>
          <t>Western Africa</t>
        </is>
      </c>
      <c r="C159" s="20">
        <f>CONCATENATE(A159,B159)</f>
        <v/>
      </c>
      <c r="D159" s="61" t="n"/>
      <c r="E159" s="257">
        <f>AVERAGE(F159:M159)</f>
        <v/>
      </c>
      <c r="F159" s="564" t="n"/>
      <c r="G159" s="574" t="n"/>
      <c r="H159" s="565" t="n">
        <v>0.87</v>
      </c>
      <c r="I159" s="563" t="n"/>
      <c r="J159" s="564" t="n"/>
      <c r="K159" s="564" t="n"/>
      <c r="L159" s="565" t="n">
        <v>0.91</v>
      </c>
      <c r="M159" s="565" t="n">
        <v>2.33</v>
      </c>
      <c r="N159" s="55" t="n">
        <v>0.46</v>
      </c>
      <c r="O159" s="571" t="n">
        <v>0.43</v>
      </c>
      <c r="P159" s="572" t="n">
        <v>0.28</v>
      </c>
      <c r="Q159" s="55" t="n">
        <v>3.2</v>
      </c>
      <c r="R159" s="573" t="n"/>
      <c r="S159" s="55" t="n"/>
      <c r="T159" s="55" t="n">
        <v>0.7</v>
      </c>
    </row>
    <row r="160">
      <c r="A160" s="20" t="inlineStr">
        <is>
          <t>Warm Temperate Moist</t>
        </is>
      </c>
      <c r="B160" s="405" t="inlineStr">
        <is>
          <t>Central Asia</t>
        </is>
      </c>
      <c r="C160" s="20">
        <f>CONCATENATE(A160,B160)</f>
        <v/>
      </c>
      <c r="D160" s="61" t="n"/>
      <c r="E160" s="257">
        <f>AVERAGE(F160:M160)</f>
        <v/>
      </c>
      <c r="F160" s="564" t="n"/>
      <c r="G160" s="574" t="n"/>
      <c r="H160" s="565" t="n">
        <v>0.87</v>
      </c>
      <c r="I160" s="563" t="n"/>
      <c r="J160" s="564" t="n"/>
      <c r="K160" s="564" t="n"/>
      <c r="L160" s="565" t="n">
        <v>0.91</v>
      </c>
      <c r="M160" s="565" t="n">
        <v>2.33</v>
      </c>
      <c r="N160" s="55" t="n">
        <v>0.46</v>
      </c>
      <c r="O160" s="571" t="n">
        <v>0.43</v>
      </c>
      <c r="P160" s="572" t="n">
        <v>0.28</v>
      </c>
      <c r="Q160" s="55" t="n">
        <v>3.2</v>
      </c>
      <c r="R160" s="573" t="n"/>
      <c r="S160" s="55" t="n"/>
      <c r="T160" s="55" t="n">
        <v>0.7</v>
      </c>
    </row>
    <row r="161">
      <c r="A161" s="20" t="inlineStr">
        <is>
          <t>Warm Temperate Moist</t>
        </is>
      </c>
      <c r="B161" s="405" t="inlineStr">
        <is>
          <t>Eastern Asia</t>
        </is>
      </c>
      <c r="C161" s="20">
        <f>CONCATENATE(A161,B161)</f>
        <v/>
      </c>
      <c r="D161" s="61" t="n"/>
      <c r="E161" s="257">
        <f>AVERAGE(F161:M161)</f>
        <v/>
      </c>
      <c r="F161" s="564" t="n"/>
      <c r="G161" s="574" t="n"/>
      <c r="H161" s="565" t="n">
        <v>0.87</v>
      </c>
      <c r="I161" s="563" t="n"/>
      <c r="J161" s="564" t="n"/>
      <c r="K161" s="564" t="n"/>
      <c r="L161" s="565" t="n">
        <v>0.91</v>
      </c>
      <c r="M161" s="565" t="n">
        <v>2.33</v>
      </c>
      <c r="N161" s="55" t="n">
        <v>0.46</v>
      </c>
      <c r="O161" s="571" t="n">
        <v>0.43</v>
      </c>
      <c r="P161" s="572" t="n">
        <v>0.28</v>
      </c>
      <c r="Q161" s="55" t="n">
        <v>3.2</v>
      </c>
      <c r="R161" s="573" t="n"/>
      <c r="S161" s="55" t="n"/>
      <c r="T161" s="55" t="n">
        <v>0.7</v>
      </c>
    </row>
    <row r="162">
      <c r="A162" s="20" t="inlineStr">
        <is>
          <t>Warm Temperate Moist</t>
        </is>
      </c>
      <c r="B162" s="405" t="inlineStr">
        <is>
          <t>South-eastern Asia</t>
        </is>
      </c>
      <c r="C162" s="20">
        <f>CONCATENATE(A162,B162)</f>
        <v/>
      </c>
      <c r="D162" s="61" t="n"/>
      <c r="E162" s="257">
        <f>AVERAGE(F162:M162)</f>
        <v/>
      </c>
      <c r="F162" s="564" t="n"/>
      <c r="G162" s="574" t="n"/>
      <c r="H162" s="565" t="n">
        <v>0.87</v>
      </c>
      <c r="I162" s="563" t="n"/>
      <c r="J162" s="564" t="n"/>
      <c r="K162" s="564" t="n"/>
      <c r="L162" s="565" t="n">
        <v>0.91</v>
      </c>
      <c r="M162" s="565" t="n">
        <v>2.33</v>
      </c>
      <c r="N162" s="55" t="n">
        <v>0.46</v>
      </c>
      <c r="O162" s="571" t="n">
        <v>0.43</v>
      </c>
      <c r="P162" s="572" t="n">
        <v>0.28</v>
      </c>
      <c r="Q162" s="55" t="n">
        <v>3.2</v>
      </c>
      <c r="R162" s="573" t="n"/>
      <c r="S162" s="55" t="n"/>
      <c r="T162" s="55" t="n">
        <v>0.7</v>
      </c>
    </row>
    <row r="163">
      <c r="A163" s="20" t="inlineStr">
        <is>
          <t>Warm Temperate Moist</t>
        </is>
      </c>
      <c r="B163" s="405" t="inlineStr">
        <is>
          <t>Southern Asia</t>
        </is>
      </c>
      <c r="C163" s="20">
        <f>CONCATENATE(A163,B163)</f>
        <v/>
      </c>
      <c r="D163" s="61" t="n"/>
      <c r="E163" s="257">
        <f>AVERAGE(F163:M163)</f>
        <v/>
      </c>
      <c r="F163" s="564" t="n"/>
      <c r="G163" s="574" t="n"/>
      <c r="H163" s="565" t="n">
        <v>0.87</v>
      </c>
      <c r="I163" s="563" t="n"/>
      <c r="J163" s="564" t="n"/>
      <c r="K163" s="564" t="n"/>
      <c r="L163" s="565" t="n">
        <v>0.91</v>
      </c>
      <c r="M163" s="565" t="n">
        <v>2.33</v>
      </c>
      <c r="N163" s="55" t="n">
        <v>0.46</v>
      </c>
      <c r="O163" s="571" t="n">
        <v>0.43</v>
      </c>
      <c r="P163" s="572" t="n">
        <v>0.28</v>
      </c>
      <c r="Q163" s="55" t="n">
        <v>3.2</v>
      </c>
      <c r="R163" s="573" t="n"/>
      <c r="S163" s="55" t="n"/>
      <c r="T163" s="55" t="n">
        <v>0.7</v>
      </c>
    </row>
    <row r="164">
      <c r="A164" s="20" t="inlineStr">
        <is>
          <t>Warm Temperate Moist</t>
        </is>
      </c>
      <c r="B164" s="405" t="inlineStr">
        <is>
          <t>Western Asia</t>
        </is>
      </c>
      <c r="C164" s="20">
        <f>CONCATENATE(A164,B164)</f>
        <v/>
      </c>
      <c r="D164" s="61" t="n"/>
      <c r="E164" s="257">
        <f>AVERAGE(F164:M164)</f>
        <v/>
      </c>
      <c r="F164" s="564" t="n"/>
      <c r="G164" s="574" t="n"/>
      <c r="H164" s="565" t="n">
        <v>0.87</v>
      </c>
      <c r="I164" s="563" t="n"/>
      <c r="J164" s="564" t="n"/>
      <c r="K164" s="564" t="n"/>
      <c r="L164" s="565" t="n">
        <v>0.91</v>
      </c>
      <c r="M164" s="565" t="n">
        <v>2.33</v>
      </c>
      <c r="N164" s="55" t="n">
        <v>0.46</v>
      </c>
      <c r="O164" s="571" t="n">
        <v>0.43</v>
      </c>
      <c r="P164" s="572" t="n">
        <v>0.28</v>
      </c>
      <c r="Q164" s="55" t="n">
        <v>3.2</v>
      </c>
      <c r="R164" s="573" t="n"/>
      <c r="S164" s="55" t="n"/>
      <c r="T164" s="55" t="n">
        <v>0.7</v>
      </c>
    </row>
    <row r="165">
      <c r="A165" s="20" t="inlineStr">
        <is>
          <t>Warm Temperate Moist</t>
        </is>
      </c>
      <c r="B165" s="405" t="inlineStr">
        <is>
          <t>Europe</t>
        </is>
      </c>
      <c r="C165" s="20">
        <f>CONCATENATE(A165,B165)</f>
        <v/>
      </c>
      <c r="D165" s="61" t="n"/>
      <c r="E165" s="257">
        <f>AVERAGE(F165:M165)</f>
        <v/>
      </c>
      <c r="F165" s="564" t="n"/>
      <c r="G165" s="574" t="n"/>
      <c r="H165" s="565" t="n">
        <v>0.87</v>
      </c>
      <c r="I165" s="563" t="n"/>
      <c r="J165" s="564" t="n"/>
      <c r="K165" s="564" t="n"/>
      <c r="L165" s="564" t="n">
        <v>0.52</v>
      </c>
      <c r="M165" s="564" t="n">
        <v>3.11</v>
      </c>
      <c r="N165" s="55" t="n">
        <v>0.46</v>
      </c>
      <c r="O165" s="571" t="n">
        <v>0.43</v>
      </c>
      <c r="P165" s="572" t="n">
        <v>0.28</v>
      </c>
      <c r="Q165" s="55" t="n">
        <v>3.2</v>
      </c>
      <c r="R165" s="573" t="n"/>
      <c r="S165" s="55" t="n"/>
      <c r="T165" s="55" t="n">
        <v>0.7</v>
      </c>
    </row>
    <row r="166">
      <c r="A166" s="20" t="inlineStr">
        <is>
          <t>Warm Temperate Moist</t>
        </is>
      </c>
      <c r="B166" s="405" t="inlineStr">
        <is>
          <t>Oceania</t>
        </is>
      </c>
      <c r="C166" s="20">
        <f>CONCATENATE(A166,B166)</f>
        <v/>
      </c>
      <c r="D166" s="61" t="n"/>
      <c r="E166" s="257">
        <f>AVERAGE(F166:M166)</f>
        <v/>
      </c>
      <c r="F166" s="564" t="n"/>
      <c r="G166" s="574" t="n"/>
      <c r="H166" s="565" t="n">
        <v>0.87</v>
      </c>
      <c r="I166" s="563" t="n"/>
      <c r="J166" s="564" t="n"/>
      <c r="K166" s="564" t="n"/>
      <c r="L166" s="565" t="n">
        <v>0.91</v>
      </c>
      <c r="M166" s="565" t="n">
        <v>2.33</v>
      </c>
      <c r="N166" s="55" t="n">
        <v>0.46</v>
      </c>
      <c r="O166" s="571" t="n">
        <v>0.43</v>
      </c>
      <c r="P166" s="572" t="n">
        <v>0.28</v>
      </c>
      <c r="Q166" s="55" t="n">
        <v>3.2</v>
      </c>
      <c r="R166" s="573" t="n"/>
      <c r="S166" s="55" t="n"/>
      <c r="T166" s="55" t="n">
        <v>0.7</v>
      </c>
    </row>
    <row r="167">
      <c r="A167" s="20" t="inlineStr">
        <is>
          <t>Warm Temperate Moist</t>
        </is>
      </c>
      <c r="B167" s="405" t="inlineStr">
        <is>
          <t>North America</t>
        </is>
      </c>
      <c r="C167" s="20">
        <f>CONCATENATE(A167,B167)</f>
        <v/>
      </c>
      <c r="D167" s="61" t="n"/>
      <c r="E167" s="257">
        <f>AVERAGE(F167:M167)</f>
        <v/>
      </c>
      <c r="F167" s="564" t="n"/>
      <c r="G167" s="574" t="n"/>
      <c r="H167" s="565" t="n">
        <v>0.87</v>
      </c>
      <c r="I167" s="563" t="n"/>
      <c r="J167" s="564" t="n"/>
      <c r="K167" s="564" t="n"/>
      <c r="L167" s="565" t="n">
        <v>0.91</v>
      </c>
      <c r="M167" s="565" t="n">
        <v>2.33</v>
      </c>
      <c r="N167" s="55" t="n">
        <v>0.46</v>
      </c>
      <c r="O167" s="571" t="n">
        <v>0.43</v>
      </c>
      <c r="P167" s="572" t="n">
        <v>0.28</v>
      </c>
      <c r="Q167" s="55" t="n">
        <v>3.2</v>
      </c>
      <c r="R167" s="573" t="n"/>
      <c r="S167" s="55" t="n"/>
      <c r="T167" s="55" t="n">
        <v>0.7</v>
      </c>
    </row>
    <row r="168">
      <c r="A168" s="20" t="inlineStr">
        <is>
          <t>Warm Temperate Moist</t>
        </is>
      </c>
      <c r="B168" s="405" t="inlineStr">
        <is>
          <t>South America</t>
        </is>
      </c>
      <c r="C168" s="20">
        <f>CONCATENATE(A168,B168)</f>
        <v/>
      </c>
      <c r="D168" s="61" t="n"/>
      <c r="E168" s="257">
        <f>AVERAGE(F168:M168)</f>
        <v/>
      </c>
      <c r="F168" s="564" t="n"/>
      <c r="G168" s="574" t="n"/>
      <c r="H168" s="565" t="n">
        <v>0.87</v>
      </c>
      <c r="I168" s="563" t="n"/>
      <c r="J168" s="564" t="n"/>
      <c r="K168" s="564" t="n"/>
      <c r="L168" s="565" t="n">
        <v>0.91</v>
      </c>
      <c r="M168" s="565" t="n">
        <v>2.33</v>
      </c>
      <c r="N168" s="55" t="n">
        <v>0.46</v>
      </c>
      <c r="O168" s="571" t="n">
        <v>0.43</v>
      </c>
      <c r="P168" s="572" t="n">
        <v>0.28</v>
      </c>
      <c r="Q168" s="55" t="n">
        <v>3.2</v>
      </c>
      <c r="R168" s="573" t="n"/>
      <c r="S168" s="55" t="n"/>
      <c r="T168" s="55" t="n">
        <v>0.7</v>
      </c>
    </row>
    <row r="169">
      <c r="A169" s="20" t="inlineStr">
        <is>
          <t>Warm Temperate Moist</t>
        </is>
      </c>
      <c r="B169" s="405" t="inlineStr">
        <is>
          <t>Central America</t>
        </is>
      </c>
      <c r="C169" s="20">
        <f>CONCATENATE(A169,B169)</f>
        <v/>
      </c>
      <c r="D169" s="61" t="n"/>
      <c r="E169" s="257">
        <f>AVERAGE(F169:M169)</f>
        <v/>
      </c>
      <c r="F169" s="564" t="n"/>
      <c r="G169" s="574" t="n"/>
      <c r="H169" s="565" t="n">
        <v>0.87</v>
      </c>
      <c r="I169" s="563" t="n"/>
      <c r="J169" s="564" t="n"/>
      <c r="K169" s="564" t="n"/>
      <c r="L169" s="565" t="n">
        <v>0.91</v>
      </c>
      <c r="M169" s="565" t="n">
        <v>2.33</v>
      </c>
      <c r="N169" s="55" t="n">
        <v>0.46</v>
      </c>
      <c r="O169" s="571" t="n">
        <v>0.43</v>
      </c>
      <c r="P169" s="572" t="n">
        <v>0.28</v>
      </c>
      <c r="Q169" s="55" t="n">
        <v>3.2</v>
      </c>
      <c r="R169" s="573" t="n"/>
      <c r="S169" s="55" t="n"/>
      <c r="T169" s="55" t="n">
        <v>0.7</v>
      </c>
    </row>
    <row r="170">
      <c r="A170" s="37" t="inlineStr">
        <is>
          <t>Warm Temperate Moist</t>
        </is>
      </c>
      <c r="B170" s="406" t="inlineStr">
        <is>
          <t>Caribbean</t>
        </is>
      </c>
      <c r="C170" s="37">
        <f>CONCATENATE(A170,B170)</f>
        <v/>
      </c>
      <c r="D170" s="60" t="n"/>
      <c r="E170" s="258">
        <f>AVERAGE(F170:M170)</f>
        <v/>
      </c>
      <c r="F170" s="564" t="n"/>
      <c r="G170" s="574" t="n"/>
      <c r="H170" s="578" t="n">
        <v>0.87</v>
      </c>
      <c r="I170" s="563" t="n"/>
      <c r="J170" s="564" t="n"/>
      <c r="K170" s="564" t="n"/>
      <c r="L170" s="578" t="n">
        <v>0.91</v>
      </c>
      <c r="M170" s="578" t="n">
        <v>2.33</v>
      </c>
      <c r="N170" s="579" t="n">
        <v>0.46</v>
      </c>
      <c r="O170" s="580" t="n">
        <v>0.43</v>
      </c>
      <c r="P170" s="420" t="n">
        <v>0.28</v>
      </c>
      <c r="Q170" s="579" t="n">
        <v>3.2</v>
      </c>
      <c r="R170" s="581" t="n"/>
      <c r="S170" s="579" t="n"/>
      <c r="T170" s="55" t="n">
        <v>0.7</v>
      </c>
    </row>
    <row r="171">
      <c r="A171" s="63" t="inlineStr">
        <is>
          <t>Tropical Dry</t>
        </is>
      </c>
      <c r="B171" s="403" t="inlineStr">
        <is>
          <t>Eastern Africa</t>
        </is>
      </c>
      <c r="C171" s="63">
        <f>CONCATENATE(A171,B171)</f>
        <v/>
      </c>
      <c r="D171" s="253" t="n"/>
      <c r="E171" s="256">
        <f>AVERAGE(F171:M171)</f>
        <v/>
      </c>
      <c r="F171" s="585" t="n">
        <v>1.88</v>
      </c>
      <c r="G171" s="583" t="n">
        <v>5.61</v>
      </c>
      <c r="H171" s="564" t="n">
        <v>0.48</v>
      </c>
      <c r="I171" s="583" t="n">
        <v>1.63</v>
      </c>
      <c r="J171" s="584" t="n">
        <v>0.59</v>
      </c>
      <c r="K171" s="582" t="n">
        <v>2.4</v>
      </c>
      <c r="L171" s="586" t="n">
        <v>6.24</v>
      </c>
      <c r="M171" s="565" t="n">
        <v>3.07</v>
      </c>
      <c r="N171" s="567" t="n"/>
      <c r="O171" s="567" t="n"/>
      <c r="P171" s="567" t="n"/>
      <c r="Q171" s="567" t="n"/>
      <c r="R171" s="567" t="n">
        <v>2.4</v>
      </c>
      <c r="S171" s="567" t="n">
        <v>3</v>
      </c>
      <c r="T171" s="567" t="n">
        <v>0.7</v>
      </c>
    </row>
    <row r="172">
      <c r="A172" s="20" t="inlineStr">
        <is>
          <t>Tropical Dry</t>
        </is>
      </c>
      <c r="B172" s="403" t="inlineStr">
        <is>
          <t>Central Africa</t>
        </is>
      </c>
      <c r="C172" s="20">
        <f>CONCATENATE(A172,B172)</f>
        <v/>
      </c>
      <c r="D172" s="249" t="n"/>
      <c r="E172" s="257">
        <f>AVERAGE(F172:M172)</f>
        <v/>
      </c>
      <c r="F172" s="563" t="n">
        <v>1.88</v>
      </c>
      <c r="G172" s="564" t="n">
        <v>5.61</v>
      </c>
      <c r="H172" s="564" t="n">
        <v>0.48</v>
      </c>
      <c r="I172" s="564" t="n">
        <v>1.63</v>
      </c>
      <c r="J172" s="574" t="n">
        <v>0.59</v>
      </c>
      <c r="K172" s="565" t="n">
        <v>2.4</v>
      </c>
      <c r="L172" s="587" t="n">
        <v>6.24</v>
      </c>
      <c r="M172" s="565" t="n">
        <v>3.07</v>
      </c>
      <c r="N172" s="55" t="n"/>
      <c r="O172" s="55" t="n"/>
      <c r="P172" s="55" t="n"/>
      <c r="Q172" s="55" t="n"/>
      <c r="R172" s="55" t="n">
        <v>2.4</v>
      </c>
      <c r="S172" s="55" t="n">
        <v>3</v>
      </c>
      <c r="T172" s="55" t="n">
        <v>0.7</v>
      </c>
    </row>
    <row r="173">
      <c r="A173" s="20" t="inlineStr">
        <is>
          <t>Tropical Dry</t>
        </is>
      </c>
      <c r="B173" s="403" t="inlineStr">
        <is>
          <t>Northern Africa</t>
        </is>
      </c>
      <c r="C173" s="20">
        <f>CONCATENATE(A173,B173)</f>
        <v/>
      </c>
      <c r="D173" s="249" t="n"/>
      <c r="E173" s="257">
        <f>AVERAGE(F173:M173)</f>
        <v/>
      </c>
      <c r="F173" s="563" t="n">
        <v>1.88</v>
      </c>
      <c r="G173" s="564" t="n">
        <v>5.61</v>
      </c>
      <c r="H173" s="564" t="n">
        <v>0.48</v>
      </c>
      <c r="I173" s="564" t="n">
        <v>1.63</v>
      </c>
      <c r="J173" s="574" t="n">
        <v>0.59</v>
      </c>
      <c r="K173" s="565" t="n">
        <v>2.4</v>
      </c>
      <c r="L173" s="587" t="n">
        <v>6.24</v>
      </c>
      <c r="M173" s="565" t="n">
        <v>3.07</v>
      </c>
      <c r="N173" s="55" t="n"/>
      <c r="O173" s="55" t="n"/>
      <c r="P173" s="55" t="n"/>
      <c r="Q173" s="55" t="n"/>
      <c r="R173" s="55" t="n">
        <v>2.4</v>
      </c>
      <c r="S173" s="55" t="n">
        <v>3</v>
      </c>
      <c r="T173" s="55" t="n">
        <v>0.7</v>
      </c>
    </row>
    <row r="174">
      <c r="A174" s="20" t="inlineStr">
        <is>
          <t>Tropical Dry</t>
        </is>
      </c>
      <c r="B174" s="403" t="inlineStr">
        <is>
          <t>Southern Africa</t>
        </is>
      </c>
      <c r="C174" s="20">
        <f>CONCATENATE(A174,B174)</f>
        <v/>
      </c>
      <c r="D174" s="249" t="n"/>
      <c r="E174" s="257">
        <f>AVERAGE(F174:M174)</f>
        <v/>
      </c>
      <c r="F174" s="563" t="n">
        <v>1.88</v>
      </c>
      <c r="G174" s="564" t="n">
        <v>5.61</v>
      </c>
      <c r="H174" s="564" t="n">
        <v>0.48</v>
      </c>
      <c r="I174" s="564" t="n">
        <v>1.63</v>
      </c>
      <c r="J174" s="574" t="n">
        <v>0.59</v>
      </c>
      <c r="K174" s="565" t="n">
        <v>2.4</v>
      </c>
      <c r="L174" s="587" t="n">
        <v>6.24</v>
      </c>
      <c r="M174" s="565" t="n">
        <v>3.07</v>
      </c>
      <c r="N174" s="55" t="n"/>
      <c r="O174" s="55" t="n"/>
      <c r="P174" s="55" t="n"/>
      <c r="Q174" s="55" t="n"/>
      <c r="R174" s="55" t="n">
        <v>2.4</v>
      </c>
      <c r="S174" s="55" t="n">
        <v>3</v>
      </c>
      <c r="T174" s="55" t="n">
        <v>0.7</v>
      </c>
    </row>
    <row r="175">
      <c r="A175" s="20" t="inlineStr">
        <is>
          <t>Tropical Dry</t>
        </is>
      </c>
      <c r="B175" s="403" t="inlineStr">
        <is>
          <t>Western Africa</t>
        </is>
      </c>
      <c r="C175" s="20">
        <f>CONCATENATE(A175,B175)</f>
        <v/>
      </c>
      <c r="D175" s="249" t="n"/>
      <c r="E175" s="257">
        <f>AVERAGE(F175:M175)</f>
        <v/>
      </c>
      <c r="F175" s="563" t="n">
        <v>1.88</v>
      </c>
      <c r="G175" s="564" t="n">
        <v>5.61</v>
      </c>
      <c r="H175" s="564" t="n">
        <v>0.48</v>
      </c>
      <c r="I175" s="564" t="n">
        <v>1.63</v>
      </c>
      <c r="J175" s="574" t="n">
        <v>0.59</v>
      </c>
      <c r="K175" s="565" t="n">
        <v>2.4</v>
      </c>
      <c r="L175" s="587" t="n">
        <v>6.24</v>
      </c>
      <c r="M175" s="565" t="n">
        <v>3.07</v>
      </c>
      <c r="N175" s="55" t="n"/>
      <c r="O175" s="55" t="n"/>
      <c r="P175" s="55" t="n"/>
      <c r="Q175" s="55" t="n"/>
      <c r="R175" s="55" t="n">
        <v>2.4</v>
      </c>
      <c r="S175" s="55" t="n">
        <v>3</v>
      </c>
      <c r="T175" s="55" t="n">
        <v>0.7</v>
      </c>
    </row>
    <row r="176">
      <c r="A176" s="20" t="inlineStr">
        <is>
          <t>Tropical Dry</t>
        </is>
      </c>
      <c r="B176" s="403" t="inlineStr">
        <is>
          <t>Central Asia</t>
        </is>
      </c>
      <c r="C176" s="20">
        <f>CONCATENATE(A176,B176)</f>
        <v/>
      </c>
      <c r="D176" s="249" t="n"/>
      <c r="E176" s="257">
        <f>AVERAGE(F176:M176)</f>
        <v/>
      </c>
      <c r="F176" s="563" t="n">
        <v>2.79</v>
      </c>
      <c r="G176" s="564" t="n">
        <v>5.61</v>
      </c>
      <c r="H176" s="565" t="n">
        <v>0.48</v>
      </c>
      <c r="I176" s="565" t="n">
        <v>1.63</v>
      </c>
      <c r="J176" s="566" t="n">
        <v>0.59</v>
      </c>
      <c r="K176" s="565" t="n">
        <v>2.4</v>
      </c>
      <c r="L176" s="588" t="n">
        <v>6.24</v>
      </c>
      <c r="M176" s="564" t="n">
        <v>3.07</v>
      </c>
      <c r="N176" s="55" t="n"/>
      <c r="O176" s="55" t="n"/>
      <c r="P176" s="55" t="n"/>
      <c r="Q176" s="55" t="n"/>
      <c r="R176" s="55" t="n">
        <v>2.4</v>
      </c>
      <c r="S176" s="55" t="n">
        <v>3</v>
      </c>
      <c r="T176" s="55" t="n">
        <v>0.7</v>
      </c>
    </row>
    <row r="177">
      <c r="A177" s="20" t="inlineStr">
        <is>
          <t>Tropical Dry</t>
        </is>
      </c>
      <c r="B177" s="403" t="inlineStr">
        <is>
          <t>Eastern Asia</t>
        </is>
      </c>
      <c r="C177" s="20">
        <f>CONCATENATE(A177,B177)</f>
        <v/>
      </c>
      <c r="D177" s="249" t="n"/>
      <c r="E177" s="257">
        <f>AVERAGE(F177:M177)</f>
        <v/>
      </c>
      <c r="F177" s="563" t="n">
        <v>2.79</v>
      </c>
      <c r="G177" s="564" t="n">
        <v>5.61</v>
      </c>
      <c r="H177" s="565" t="n">
        <v>0.48</v>
      </c>
      <c r="I177" s="565" t="n">
        <v>1.63</v>
      </c>
      <c r="J177" s="566" t="n">
        <v>0.59</v>
      </c>
      <c r="K177" s="565" t="n">
        <v>2.4</v>
      </c>
      <c r="L177" s="588" t="n">
        <v>6.24</v>
      </c>
      <c r="M177" s="564" t="n">
        <v>3.07</v>
      </c>
      <c r="N177" s="55" t="n"/>
      <c r="O177" s="55" t="n"/>
      <c r="P177" s="55" t="n"/>
      <c r="Q177" s="55" t="n"/>
      <c r="R177" s="55" t="n">
        <v>2.4</v>
      </c>
      <c r="S177" s="55" t="n">
        <v>3</v>
      </c>
      <c r="T177" s="55" t="n">
        <v>0.7</v>
      </c>
    </row>
    <row r="178">
      <c r="A178" s="20" t="inlineStr">
        <is>
          <t>Tropical Dry</t>
        </is>
      </c>
      <c r="B178" s="403" t="inlineStr">
        <is>
          <t>South-eastern Asia</t>
        </is>
      </c>
      <c r="C178" s="20">
        <f>CONCATENATE(A178,B178)</f>
        <v/>
      </c>
      <c r="D178" s="249" t="n"/>
      <c r="E178" s="257">
        <f>AVERAGE(F178:M178)</f>
        <v/>
      </c>
      <c r="F178" s="563" t="n">
        <v>2.79</v>
      </c>
      <c r="G178" s="564" t="n">
        <v>5.61</v>
      </c>
      <c r="H178" s="565" t="n">
        <v>0.48</v>
      </c>
      <c r="I178" s="565" t="n">
        <v>1.63</v>
      </c>
      <c r="J178" s="566" t="n">
        <v>0.59</v>
      </c>
      <c r="K178" s="565" t="n">
        <v>2.4</v>
      </c>
      <c r="L178" s="588" t="n">
        <v>6.24</v>
      </c>
      <c r="M178" s="564" t="n">
        <v>3.07</v>
      </c>
      <c r="N178" s="55" t="n"/>
      <c r="O178" s="55" t="n"/>
      <c r="P178" s="55" t="n"/>
      <c r="Q178" s="55" t="n"/>
      <c r="R178" s="55" t="n">
        <v>2.4</v>
      </c>
      <c r="S178" s="55" t="n">
        <v>3</v>
      </c>
      <c r="T178" s="55">
        <f>IFERROR(INDEX(IPCC!A19451955,MATCH(clim_moist,IPCC!$A$2000:$A$2011,0),MATCH($C137,IPCC!$A$2000:$J$2000,0)),0)</f>
        <v/>
      </c>
    </row>
    <row r="179">
      <c r="A179" s="20" t="inlineStr">
        <is>
          <t>Tropical Dry</t>
        </is>
      </c>
      <c r="B179" s="403" t="inlineStr">
        <is>
          <t>Southern Asia</t>
        </is>
      </c>
      <c r="C179" s="20">
        <f>CONCATENATE(A179,B179)</f>
        <v/>
      </c>
      <c r="D179" s="249" t="n"/>
      <c r="E179" s="257">
        <f>AVERAGE(F179:M179)</f>
        <v/>
      </c>
      <c r="F179" s="563" t="n">
        <v>2.79</v>
      </c>
      <c r="G179" s="564" t="n">
        <v>5.61</v>
      </c>
      <c r="H179" s="565" t="n">
        <v>0.48</v>
      </c>
      <c r="I179" s="565" t="n">
        <v>1.63</v>
      </c>
      <c r="J179" s="566" t="n">
        <v>0.59</v>
      </c>
      <c r="K179" s="565" t="n">
        <v>2.4</v>
      </c>
      <c r="L179" s="588" t="n">
        <v>6.24</v>
      </c>
      <c r="M179" s="564" t="n">
        <v>3.07</v>
      </c>
      <c r="N179" s="55" t="n"/>
      <c r="O179" s="55" t="n"/>
      <c r="P179" s="55" t="n"/>
      <c r="Q179" s="55" t="n"/>
      <c r="R179" s="55" t="n">
        <v>2.4</v>
      </c>
      <c r="S179" s="55" t="n">
        <v>3</v>
      </c>
      <c r="T179" s="55" t="n">
        <v>0.7</v>
      </c>
    </row>
    <row r="180">
      <c r="A180" s="20" t="inlineStr">
        <is>
          <t>Tropical Dry</t>
        </is>
      </c>
      <c r="B180" s="403" t="inlineStr">
        <is>
          <t>Western Asia</t>
        </is>
      </c>
      <c r="C180" s="20">
        <f>CONCATENATE(A180,B180)</f>
        <v/>
      </c>
      <c r="D180" s="249" t="n"/>
      <c r="E180" s="257">
        <f>AVERAGE(F180:M180)</f>
        <v/>
      </c>
      <c r="F180" s="563" t="n">
        <v>2.79</v>
      </c>
      <c r="G180" s="564" t="n">
        <v>5.61</v>
      </c>
      <c r="H180" s="565" t="n">
        <v>0.48</v>
      </c>
      <c r="I180" s="565" t="n">
        <v>1.63</v>
      </c>
      <c r="J180" s="566" t="n">
        <v>0.59</v>
      </c>
      <c r="K180" s="565" t="n">
        <v>2.4</v>
      </c>
      <c r="L180" s="588" t="n">
        <v>6.24</v>
      </c>
      <c r="M180" s="564" t="n">
        <v>3.07</v>
      </c>
      <c r="N180" s="55" t="n"/>
      <c r="O180" s="55" t="n"/>
      <c r="P180" s="55" t="n"/>
      <c r="Q180" s="55" t="n"/>
      <c r="R180" s="55" t="n">
        <v>2.4</v>
      </c>
      <c r="S180" s="55" t="n">
        <v>3</v>
      </c>
      <c r="T180" s="55" t="n">
        <v>0.7</v>
      </c>
    </row>
    <row r="181">
      <c r="A181" s="20" t="inlineStr">
        <is>
          <t>Tropical Dry</t>
        </is>
      </c>
      <c r="B181" s="403" t="inlineStr">
        <is>
          <t>Europe</t>
        </is>
      </c>
      <c r="C181" s="20">
        <f>CONCATENATE(A181,B181)</f>
        <v/>
      </c>
      <c r="D181" s="249" t="n"/>
      <c r="E181" s="257">
        <f>AVERAGE(F181:M181)</f>
        <v/>
      </c>
      <c r="F181" s="589" t="n">
        <v>2.27</v>
      </c>
      <c r="G181" s="565" t="n">
        <v>5.61</v>
      </c>
      <c r="H181" s="565" t="n">
        <v>0.48</v>
      </c>
      <c r="I181" s="565" t="n">
        <v>1.63</v>
      </c>
      <c r="J181" s="566" t="n">
        <v>0.59</v>
      </c>
      <c r="K181" s="565" t="n">
        <v>2.4</v>
      </c>
      <c r="L181" s="587" t="n">
        <v>6.24</v>
      </c>
      <c r="M181" s="565" t="n">
        <v>3.07</v>
      </c>
      <c r="N181" s="55" t="n"/>
      <c r="O181" s="55" t="n"/>
      <c r="P181" s="55" t="n"/>
      <c r="Q181" s="55" t="n"/>
      <c r="R181" s="55" t="n">
        <v>2.4</v>
      </c>
      <c r="S181" s="55" t="n">
        <v>3</v>
      </c>
      <c r="T181" s="55" t="n">
        <v>0.7</v>
      </c>
    </row>
    <row r="182">
      <c r="A182" s="20" t="inlineStr">
        <is>
          <t>Tropical Dry</t>
        </is>
      </c>
      <c r="B182" s="403" t="inlineStr">
        <is>
          <t>Oceania</t>
        </is>
      </c>
      <c r="C182" s="20">
        <f>CONCATENATE(A182,B182)</f>
        <v/>
      </c>
      <c r="D182" s="249" t="n"/>
      <c r="E182" s="257">
        <f>AVERAGE(F182:M182)</f>
        <v/>
      </c>
      <c r="F182" s="589" t="n">
        <v>2.27</v>
      </c>
      <c r="G182" s="565" t="n">
        <v>5.61</v>
      </c>
      <c r="H182" s="565" t="n">
        <v>0.48</v>
      </c>
      <c r="I182" s="565" t="n">
        <v>1.63</v>
      </c>
      <c r="J182" s="566" t="n">
        <v>0.59</v>
      </c>
      <c r="K182" s="565" t="n">
        <v>2.4</v>
      </c>
      <c r="L182" s="587" t="n">
        <v>6.24</v>
      </c>
      <c r="M182" s="565" t="n">
        <v>3.07</v>
      </c>
      <c r="N182" s="55" t="n"/>
      <c r="O182" s="55" t="n"/>
      <c r="P182" s="55" t="n"/>
      <c r="Q182" s="55" t="n"/>
      <c r="R182" s="55" t="n">
        <v>2.4</v>
      </c>
      <c r="S182" s="55" t="n">
        <v>3</v>
      </c>
      <c r="T182" s="55" t="n">
        <v>0.7</v>
      </c>
    </row>
    <row r="183">
      <c r="A183" s="20" t="inlineStr">
        <is>
          <t>Tropical Dry</t>
        </is>
      </c>
      <c r="B183" s="403" t="inlineStr">
        <is>
          <t>North America</t>
        </is>
      </c>
      <c r="C183" s="20">
        <f>CONCATENATE(A183,B183)</f>
        <v/>
      </c>
      <c r="D183" s="249" t="n"/>
      <c r="E183" s="257">
        <f>AVERAGE(F183:M183)</f>
        <v/>
      </c>
      <c r="F183" s="589" t="n">
        <v>2.27</v>
      </c>
      <c r="G183" s="565" t="n">
        <v>5.61</v>
      </c>
      <c r="H183" s="565" t="n">
        <v>0.48</v>
      </c>
      <c r="I183" s="565" t="n">
        <v>1.63</v>
      </c>
      <c r="J183" s="566" t="n">
        <v>0.59</v>
      </c>
      <c r="K183" s="565" t="n">
        <v>2.4</v>
      </c>
      <c r="L183" s="587" t="n">
        <v>6.24</v>
      </c>
      <c r="M183" s="565" t="n">
        <v>3.07</v>
      </c>
      <c r="N183" s="55" t="n"/>
      <c r="O183" s="55" t="n"/>
      <c r="P183" s="55" t="n"/>
      <c r="Q183" s="55" t="n"/>
      <c r="R183" s="55" t="n">
        <v>2.4</v>
      </c>
      <c r="S183" s="55" t="n">
        <v>3</v>
      </c>
      <c r="T183" s="55" t="n">
        <v>0.7</v>
      </c>
    </row>
    <row r="184">
      <c r="A184" s="20" t="inlineStr">
        <is>
          <t>Tropical Dry</t>
        </is>
      </c>
      <c r="B184" s="403" t="inlineStr">
        <is>
          <t>South America</t>
        </is>
      </c>
      <c r="C184" s="20">
        <f>CONCATENATE(A184,B184)</f>
        <v/>
      </c>
      <c r="D184" s="249" t="n"/>
      <c r="E184" s="257">
        <f>AVERAGE(F184:M184)</f>
        <v/>
      </c>
      <c r="F184" s="589" t="n">
        <v>2.27</v>
      </c>
      <c r="G184" s="565" t="n">
        <v>5.61</v>
      </c>
      <c r="H184" s="565" t="n">
        <v>0.48</v>
      </c>
      <c r="I184" s="565" t="n">
        <v>1.63</v>
      </c>
      <c r="J184" s="566" t="n">
        <v>0.59</v>
      </c>
      <c r="K184" s="565" t="n">
        <v>2.4</v>
      </c>
      <c r="L184" s="587" t="n">
        <v>6.24</v>
      </c>
      <c r="M184" s="565" t="n">
        <v>3.07</v>
      </c>
      <c r="N184" s="55" t="n"/>
      <c r="O184" s="55" t="n"/>
      <c r="P184" s="55" t="n"/>
      <c r="Q184" s="55" t="n"/>
      <c r="R184" s="55" t="n">
        <v>2.4</v>
      </c>
      <c r="S184" s="55" t="n">
        <v>3</v>
      </c>
      <c r="T184" s="55" t="n">
        <v>0.7</v>
      </c>
    </row>
    <row r="185">
      <c r="A185" s="20" t="inlineStr">
        <is>
          <t>Tropical Dry</t>
        </is>
      </c>
      <c r="B185" s="403" t="inlineStr">
        <is>
          <t>Central America</t>
        </is>
      </c>
      <c r="C185" s="20">
        <f>CONCATENATE(A185,B185)</f>
        <v/>
      </c>
      <c r="D185" s="249" t="n"/>
      <c r="E185" s="257">
        <f>AVERAGE(F185:M185)</f>
        <v/>
      </c>
      <c r="F185" s="589" t="n">
        <v>2.27</v>
      </c>
      <c r="G185" s="565" t="n">
        <v>5.61</v>
      </c>
      <c r="H185" s="565" t="n">
        <v>0.48</v>
      </c>
      <c r="I185" s="565" t="n">
        <v>1.63</v>
      </c>
      <c r="J185" s="566" t="n">
        <v>0.59</v>
      </c>
      <c r="K185" s="565" t="n">
        <v>2.4</v>
      </c>
      <c r="L185" s="587" t="n">
        <v>6.24</v>
      </c>
      <c r="M185" s="565" t="n">
        <v>3.07</v>
      </c>
      <c r="N185" s="55" t="n"/>
      <c r="O185" s="55" t="n"/>
      <c r="P185" s="55" t="n"/>
      <c r="Q185" s="55" t="n"/>
      <c r="R185" s="55" t="n">
        <v>2.4</v>
      </c>
      <c r="S185" s="55" t="n">
        <v>3</v>
      </c>
      <c r="T185" s="55" t="n">
        <v>0.7</v>
      </c>
    </row>
    <row r="186">
      <c r="A186" s="37" t="inlineStr">
        <is>
          <t>Tropical Dry</t>
        </is>
      </c>
      <c r="B186" s="404" t="inlineStr">
        <is>
          <t>Caribbean</t>
        </is>
      </c>
      <c r="C186" s="37">
        <f>CONCATENATE(A186,B186)</f>
        <v/>
      </c>
      <c r="D186" s="252" t="n"/>
      <c r="E186" s="257">
        <f>AVERAGE(F186:M186)</f>
        <v/>
      </c>
      <c r="F186" s="589" t="n">
        <v>2.27</v>
      </c>
      <c r="G186" s="565" t="n">
        <v>5.61</v>
      </c>
      <c r="H186" s="565" t="n">
        <v>0.48</v>
      </c>
      <c r="I186" s="565" t="n">
        <v>1.63</v>
      </c>
      <c r="J186" s="566" t="n">
        <v>0.59</v>
      </c>
      <c r="K186" s="578" t="n">
        <v>2.4</v>
      </c>
      <c r="L186" s="587" t="n">
        <v>6.24</v>
      </c>
      <c r="M186" s="565" t="n">
        <v>3.07</v>
      </c>
      <c r="N186" s="579" t="n"/>
      <c r="O186" s="579" t="n"/>
      <c r="P186" s="579" t="n"/>
      <c r="Q186" s="579" t="n"/>
      <c r="R186" s="55" t="n">
        <v>2.4</v>
      </c>
      <c r="S186" s="55" t="n">
        <v>3</v>
      </c>
      <c r="T186" s="55" t="n">
        <v>0.7</v>
      </c>
    </row>
    <row r="187">
      <c r="A187" s="63" t="inlineStr">
        <is>
          <t>Tropical Moist</t>
        </is>
      </c>
      <c r="B187" s="403" t="inlineStr">
        <is>
          <t>Eastern Africa</t>
        </is>
      </c>
      <c r="C187" s="63">
        <f>CONCATENATE(A187,B187)</f>
        <v/>
      </c>
      <c r="D187" s="248" t="n"/>
      <c r="E187" s="256">
        <f>AVERAGE(F187:M187)</f>
        <v/>
      </c>
      <c r="F187" s="584" t="n">
        <v>2.75</v>
      </c>
      <c r="G187" s="590" t="n">
        <v>5.3</v>
      </c>
      <c r="H187" s="582" t="n">
        <v>0.47</v>
      </c>
      <c r="I187" s="591" t="n">
        <v>2.98</v>
      </c>
      <c r="J187" s="582" t="n">
        <v>0.59</v>
      </c>
      <c r="K187" s="591" t="n">
        <v>1.82</v>
      </c>
      <c r="L187" s="584" t="n">
        <v>5.09</v>
      </c>
      <c r="M187" s="582" t="n">
        <v>2.91</v>
      </c>
      <c r="N187" s="567" t="n"/>
      <c r="O187" s="567" t="n"/>
      <c r="P187" s="567" t="n"/>
      <c r="Q187" s="567" t="n"/>
      <c r="R187" s="567" t="n">
        <v>2.4</v>
      </c>
      <c r="S187" s="567" t="n">
        <v>3</v>
      </c>
      <c r="T187" s="567" t="n">
        <v>0.7</v>
      </c>
    </row>
    <row r="188">
      <c r="A188" s="20" t="inlineStr">
        <is>
          <t>Tropical Moist</t>
        </is>
      </c>
      <c r="B188" s="403" t="inlineStr">
        <is>
          <t>Central Africa</t>
        </is>
      </c>
      <c r="C188" s="20">
        <f>CONCATENATE(A188,B188)</f>
        <v/>
      </c>
      <c r="D188" s="249" t="n"/>
      <c r="E188" s="257">
        <f>AVERAGE(F188:M188)</f>
        <v/>
      </c>
      <c r="F188" s="574" t="n">
        <v>2.75</v>
      </c>
      <c r="G188" s="566" t="n">
        <v>5.3</v>
      </c>
      <c r="H188" s="565" t="n">
        <v>0.47</v>
      </c>
      <c r="I188" s="588" t="n">
        <v>2.98</v>
      </c>
      <c r="J188" s="565" t="n">
        <v>0.59</v>
      </c>
      <c r="K188" s="588" t="n">
        <v>1.82</v>
      </c>
      <c r="L188" s="574" t="n">
        <v>5.09</v>
      </c>
      <c r="M188" s="565" t="n">
        <v>2.91</v>
      </c>
      <c r="N188" s="55" t="n"/>
      <c r="O188" s="55" t="n"/>
      <c r="P188" s="55" t="n"/>
      <c r="Q188" s="55" t="n"/>
      <c r="R188" s="55" t="n">
        <v>2.4</v>
      </c>
      <c r="S188" s="55" t="n">
        <v>3</v>
      </c>
      <c r="T188" s="55" t="n">
        <v>0.7</v>
      </c>
    </row>
    <row r="189">
      <c r="A189" s="20" t="inlineStr">
        <is>
          <t>Tropical Moist</t>
        </is>
      </c>
      <c r="B189" s="403" t="inlineStr">
        <is>
          <t>Northern Africa</t>
        </is>
      </c>
      <c r="C189" s="20">
        <f>CONCATENATE(A189,B189)</f>
        <v/>
      </c>
      <c r="D189" s="249" t="n"/>
      <c r="E189" s="257">
        <f>AVERAGE(F189:M189)</f>
        <v/>
      </c>
      <c r="F189" s="574" t="n">
        <v>2.75</v>
      </c>
      <c r="G189" s="566" t="n">
        <v>5.3</v>
      </c>
      <c r="H189" s="565" t="n">
        <v>0.47</v>
      </c>
      <c r="I189" s="588" t="n">
        <v>2.98</v>
      </c>
      <c r="J189" s="565" t="n">
        <v>0.59</v>
      </c>
      <c r="K189" s="588" t="n">
        <v>1.82</v>
      </c>
      <c r="L189" s="574" t="n">
        <v>5.09</v>
      </c>
      <c r="M189" s="565" t="n">
        <v>2.91</v>
      </c>
      <c r="N189" s="55" t="n"/>
      <c r="O189" s="55" t="n"/>
      <c r="P189" s="55" t="n"/>
      <c r="Q189" s="55" t="n"/>
      <c r="R189" s="55" t="n">
        <v>2.4</v>
      </c>
      <c r="S189" s="55" t="n">
        <v>3</v>
      </c>
      <c r="T189" s="55" t="n">
        <v>0.7</v>
      </c>
    </row>
    <row r="190">
      <c r="A190" s="20" t="inlineStr">
        <is>
          <t>Tropical Moist</t>
        </is>
      </c>
      <c r="B190" s="403" t="inlineStr">
        <is>
          <t>Southern Africa</t>
        </is>
      </c>
      <c r="C190" s="20">
        <f>CONCATENATE(A190,B190)</f>
        <v/>
      </c>
      <c r="D190" s="249" t="n"/>
      <c r="E190" s="257">
        <f>AVERAGE(F190:M190)</f>
        <v/>
      </c>
      <c r="F190" s="574" t="n">
        <v>2.75</v>
      </c>
      <c r="G190" s="566" t="n">
        <v>5.3</v>
      </c>
      <c r="H190" s="565" t="n">
        <v>0.47</v>
      </c>
      <c r="I190" s="588" t="n">
        <v>2.98</v>
      </c>
      <c r="J190" s="565" t="n">
        <v>0.59</v>
      </c>
      <c r="K190" s="588" t="n">
        <v>1.82</v>
      </c>
      <c r="L190" s="574" t="n">
        <v>5.09</v>
      </c>
      <c r="M190" s="565" t="n">
        <v>2.91</v>
      </c>
      <c r="N190" s="55" t="n"/>
      <c r="O190" s="55" t="n"/>
      <c r="P190" s="55" t="n"/>
      <c r="Q190" s="55" t="n"/>
      <c r="R190" s="55" t="n">
        <v>2.4</v>
      </c>
      <c r="S190" s="55" t="n">
        <v>3</v>
      </c>
      <c r="T190" s="55" t="n">
        <v>0.7</v>
      </c>
    </row>
    <row r="191">
      <c r="A191" s="20" t="inlineStr">
        <is>
          <t>Tropical Moist</t>
        </is>
      </c>
      <c r="B191" s="403" t="inlineStr">
        <is>
          <t>Western Africa</t>
        </is>
      </c>
      <c r="C191" s="20">
        <f>CONCATENATE(A191,B191)</f>
        <v/>
      </c>
      <c r="D191" s="249" t="n"/>
      <c r="E191" s="257">
        <f>AVERAGE(F191:M191)</f>
        <v/>
      </c>
      <c r="F191" s="574" t="n">
        <v>2.75</v>
      </c>
      <c r="G191" s="566" t="n">
        <v>5.3</v>
      </c>
      <c r="H191" s="565" t="n">
        <v>0.47</v>
      </c>
      <c r="I191" s="588" t="n">
        <v>2.98</v>
      </c>
      <c r="J191" s="565" t="n">
        <v>0.59</v>
      </c>
      <c r="K191" s="588" t="n">
        <v>1.82</v>
      </c>
      <c r="L191" s="574" t="n">
        <v>5.09</v>
      </c>
      <c r="M191" s="565" t="n">
        <v>2.91</v>
      </c>
      <c r="N191" s="55" t="n"/>
      <c r="O191" s="55" t="n"/>
      <c r="P191" s="55" t="n"/>
      <c r="Q191" s="55" t="n"/>
      <c r="R191" s="55" t="n">
        <v>2.4</v>
      </c>
      <c r="S191" s="55" t="n">
        <v>3</v>
      </c>
      <c r="T191" s="55" t="n">
        <v>0.7</v>
      </c>
    </row>
    <row r="192">
      <c r="A192" s="20" t="inlineStr">
        <is>
          <t>Tropical Moist</t>
        </is>
      </c>
      <c r="B192" s="403" t="inlineStr">
        <is>
          <t>Central Asia</t>
        </is>
      </c>
      <c r="C192" s="20">
        <f>CONCATENATE(A192,B192)</f>
        <v/>
      </c>
      <c r="D192" s="249" t="n"/>
      <c r="E192" s="257">
        <f>AVERAGE(F192:M192)</f>
        <v/>
      </c>
      <c r="F192" s="566" t="n">
        <v>2.59</v>
      </c>
      <c r="G192" s="574" t="n">
        <v>5.3</v>
      </c>
      <c r="H192" s="565" t="n">
        <v>0.47</v>
      </c>
      <c r="I192" s="588" t="n">
        <v>3.03</v>
      </c>
      <c r="J192" s="565" t="n">
        <v>0.59</v>
      </c>
      <c r="K192" s="588" t="n">
        <v>2.07</v>
      </c>
      <c r="L192" s="574" t="n">
        <v>1.5</v>
      </c>
      <c r="M192" s="565" t="n">
        <v>2.91</v>
      </c>
      <c r="N192" s="55" t="n"/>
      <c r="O192" s="55" t="n"/>
      <c r="P192" s="55" t="n"/>
      <c r="Q192" s="55" t="n"/>
      <c r="R192" s="55" t="n">
        <v>2.4</v>
      </c>
      <c r="S192" s="55" t="n">
        <v>3</v>
      </c>
      <c r="T192" s="55" t="n">
        <v>0.7</v>
      </c>
    </row>
    <row r="193">
      <c r="A193" s="20" t="inlineStr">
        <is>
          <t>Tropical Moist</t>
        </is>
      </c>
      <c r="B193" s="403" t="inlineStr">
        <is>
          <t>Eastern Asia</t>
        </is>
      </c>
      <c r="C193" s="20">
        <f>CONCATENATE(A193,B193)</f>
        <v/>
      </c>
      <c r="D193" s="249" t="n"/>
      <c r="E193" s="257">
        <f>AVERAGE(F193:M193)</f>
        <v/>
      </c>
      <c r="F193" s="566" t="n">
        <v>2.59</v>
      </c>
      <c r="G193" s="574" t="n">
        <v>5.3</v>
      </c>
      <c r="H193" s="565" t="n">
        <v>0.47</v>
      </c>
      <c r="I193" s="588" t="n">
        <v>3.03</v>
      </c>
      <c r="J193" s="565" t="n">
        <v>0.59</v>
      </c>
      <c r="K193" s="588" t="n">
        <v>2.07</v>
      </c>
      <c r="L193" s="574" t="n">
        <v>1.5</v>
      </c>
      <c r="M193" s="565" t="n">
        <v>2.91</v>
      </c>
      <c r="N193" s="55" t="n"/>
      <c r="O193" s="55" t="n"/>
      <c r="P193" s="55" t="n"/>
      <c r="Q193" s="55" t="n"/>
      <c r="R193" s="55" t="n">
        <v>2.4</v>
      </c>
      <c r="S193" s="55" t="n">
        <v>3</v>
      </c>
      <c r="T193" s="55" t="n">
        <v>0.7</v>
      </c>
    </row>
    <row r="194">
      <c r="A194" s="20" t="inlineStr">
        <is>
          <t>Tropical Moist</t>
        </is>
      </c>
      <c r="B194" s="403" t="inlineStr">
        <is>
          <t>South-eastern Asia</t>
        </is>
      </c>
      <c r="C194" s="20">
        <f>CONCATENATE(A194,B194)</f>
        <v/>
      </c>
      <c r="D194" s="249" t="n"/>
      <c r="E194" s="257">
        <f>AVERAGE(F194:M194)</f>
        <v/>
      </c>
      <c r="F194" s="566" t="n">
        <v>2.59</v>
      </c>
      <c r="G194" s="574" t="n">
        <v>5.3</v>
      </c>
      <c r="H194" s="565" t="n">
        <v>0.47</v>
      </c>
      <c r="I194" s="588" t="n">
        <v>3.03</v>
      </c>
      <c r="J194" s="565" t="n">
        <v>0.59</v>
      </c>
      <c r="K194" s="588" t="n">
        <v>2.07</v>
      </c>
      <c r="L194" s="574" t="n">
        <v>1.5</v>
      </c>
      <c r="M194" s="565" t="n">
        <v>2.91</v>
      </c>
      <c r="N194" s="55" t="n"/>
      <c r="O194" s="55" t="n"/>
      <c r="P194" s="55" t="n"/>
      <c r="Q194" s="55" t="n"/>
      <c r="R194" s="55" t="n">
        <v>2.4</v>
      </c>
      <c r="S194" s="55" t="n">
        <v>3</v>
      </c>
      <c r="T194" s="55" t="n">
        <v>0.7</v>
      </c>
    </row>
    <row r="195">
      <c r="A195" s="20" t="inlineStr">
        <is>
          <t>Tropical Moist</t>
        </is>
      </c>
      <c r="B195" s="403" t="inlineStr">
        <is>
          <t>Southern Asia</t>
        </is>
      </c>
      <c r="C195" s="20">
        <f>CONCATENATE(A195,B195)</f>
        <v/>
      </c>
      <c r="D195" s="249" t="n"/>
      <c r="E195" s="257">
        <f>AVERAGE(F195:M195)</f>
        <v/>
      </c>
      <c r="F195" s="566" t="n">
        <v>2.59</v>
      </c>
      <c r="G195" s="574" t="n">
        <v>5.3</v>
      </c>
      <c r="H195" s="565" t="n">
        <v>0.47</v>
      </c>
      <c r="I195" s="588" t="n">
        <v>3.03</v>
      </c>
      <c r="J195" s="565" t="n">
        <v>0.59</v>
      </c>
      <c r="K195" s="588" t="n">
        <v>2.07</v>
      </c>
      <c r="L195" s="574" t="n">
        <v>1.5</v>
      </c>
      <c r="M195" s="565" t="n">
        <v>2.91</v>
      </c>
      <c r="N195" s="55" t="n"/>
      <c r="O195" s="55" t="n"/>
      <c r="P195" s="55" t="n"/>
      <c r="Q195" s="55" t="n"/>
      <c r="R195" s="55" t="n">
        <v>2.4</v>
      </c>
      <c r="S195" s="55" t="n">
        <v>3</v>
      </c>
      <c r="T195" s="55" t="n">
        <v>0.7</v>
      </c>
    </row>
    <row r="196">
      <c r="A196" s="20" t="inlineStr">
        <is>
          <t>Tropical Moist</t>
        </is>
      </c>
      <c r="B196" s="403" t="inlineStr">
        <is>
          <t>Western Asia</t>
        </is>
      </c>
      <c r="C196" s="20">
        <f>CONCATENATE(A196,B196)</f>
        <v/>
      </c>
      <c r="D196" s="249" t="n"/>
      <c r="E196" s="257">
        <f>AVERAGE(F196:M196)</f>
        <v/>
      </c>
      <c r="F196" s="566" t="n">
        <v>2.59</v>
      </c>
      <c r="G196" s="574" t="n">
        <v>5.3</v>
      </c>
      <c r="H196" s="565" t="n">
        <v>0.47</v>
      </c>
      <c r="I196" s="588" t="n">
        <v>3.03</v>
      </c>
      <c r="J196" s="565" t="n">
        <v>0.59</v>
      </c>
      <c r="K196" s="588" t="n">
        <v>2.07</v>
      </c>
      <c r="L196" s="574" t="n">
        <v>1.5</v>
      </c>
      <c r="M196" s="565" t="n">
        <v>2.91</v>
      </c>
      <c r="N196" s="55" t="n"/>
      <c r="O196" s="55" t="n"/>
      <c r="P196" s="55" t="n"/>
      <c r="Q196" s="55" t="n"/>
      <c r="R196" s="55" t="n">
        <v>2.4</v>
      </c>
      <c r="S196" s="55" t="n">
        <v>3</v>
      </c>
      <c r="T196" s="55" t="n">
        <v>0.7</v>
      </c>
    </row>
    <row r="197">
      <c r="A197" s="20" t="inlineStr">
        <is>
          <t>Tropical Moist</t>
        </is>
      </c>
      <c r="B197" s="403" t="inlineStr">
        <is>
          <t>Europe</t>
        </is>
      </c>
      <c r="C197" s="20">
        <f>CONCATENATE(A197,B197)</f>
        <v/>
      </c>
      <c r="D197" s="249" t="n"/>
      <c r="E197" s="257">
        <f>AVERAGE(F197:M197)</f>
        <v/>
      </c>
      <c r="F197" s="566" t="n">
        <v>2.59</v>
      </c>
      <c r="G197" s="566" t="n">
        <v>5.3</v>
      </c>
      <c r="H197" s="565" t="n">
        <v>0.47</v>
      </c>
      <c r="I197" s="587" t="n">
        <v>3.02</v>
      </c>
      <c r="J197" s="565" t="n">
        <v>0.59</v>
      </c>
      <c r="K197" s="587" t="n">
        <v>2.43</v>
      </c>
      <c r="L197" s="566" t="n">
        <v>2.63</v>
      </c>
      <c r="M197" s="565" t="n">
        <v>2.91</v>
      </c>
      <c r="N197" s="55" t="n"/>
      <c r="O197" s="55" t="n"/>
      <c r="P197" s="55" t="n"/>
      <c r="Q197" s="55" t="n"/>
      <c r="R197" s="55" t="n">
        <v>2.4</v>
      </c>
      <c r="S197" s="55" t="n">
        <v>3</v>
      </c>
      <c r="T197" s="55" t="n">
        <v>0.7</v>
      </c>
    </row>
    <row r="198">
      <c r="A198" s="20" t="inlineStr">
        <is>
          <t>Tropical Moist</t>
        </is>
      </c>
      <c r="B198" s="403" t="inlineStr">
        <is>
          <t>Oceania</t>
        </is>
      </c>
      <c r="C198" s="20">
        <f>CONCATENATE(A198,B198)</f>
        <v/>
      </c>
      <c r="D198" s="249" t="n"/>
      <c r="E198" s="257">
        <f>AVERAGE(F198:M198)</f>
        <v/>
      </c>
      <c r="F198" s="566" t="n">
        <v>2.59</v>
      </c>
      <c r="G198" s="566" t="n">
        <v>5.3</v>
      </c>
      <c r="H198" s="565" t="n">
        <v>0.47</v>
      </c>
      <c r="I198" s="587" t="n">
        <v>3.02</v>
      </c>
      <c r="J198" s="565" t="n">
        <v>0.59</v>
      </c>
      <c r="K198" s="587" t="n">
        <v>2.43</v>
      </c>
      <c r="L198" s="566" t="n">
        <v>2.63</v>
      </c>
      <c r="M198" s="565" t="n">
        <v>2.91</v>
      </c>
      <c r="N198" s="55" t="n"/>
      <c r="O198" s="55" t="n"/>
      <c r="P198" s="55" t="n"/>
      <c r="Q198" s="55" t="n"/>
      <c r="R198" s="55" t="n">
        <v>2.4</v>
      </c>
      <c r="S198" s="55" t="n">
        <v>3</v>
      </c>
      <c r="T198" s="55" t="n">
        <v>0.7</v>
      </c>
    </row>
    <row r="199">
      <c r="A199" s="20" t="inlineStr">
        <is>
          <t>Tropical Moist</t>
        </is>
      </c>
      <c r="B199" s="403" t="inlineStr">
        <is>
          <t>North America</t>
        </is>
      </c>
      <c r="C199" s="20">
        <f>CONCATENATE(A199,B199)</f>
        <v/>
      </c>
      <c r="D199" s="249" t="n"/>
      <c r="E199" s="257">
        <f>AVERAGE(F199:M199)</f>
        <v/>
      </c>
      <c r="F199" s="566" t="n">
        <v>2.59</v>
      </c>
      <c r="G199" s="566" t="n">
        <v>5.3</v>
      </c>
      <c r="H199" s="565" t="n">
        <v>0.47</v>
      </c>
      <c r="I199" s="587" t="n">
        <v>3.02</v>
      </c>
      <c r="J199" s="565" t="n">
        <v>0.59</v>
      </c>
      <c r="K199" s="587" t="n">
        <v>2.43</v>
      </c>
      <c r="L199" s="566" t="n">
        <v>2.63</v>
      </c>
      <c r="M199" s="565" t="n">
        <v>2.91</v>
      </c>
      <c r="N199" s="55" t="n"/>
      <c r="O199" s="55" t="n"/>
      <c r="P199" s="55" t="n"/>
      <c r="Q199" s="55" t="n"/>
      <c r="R199" s="55" t="n">
        <v>2.4</v>
      </c>
      <c r="S199" s="55" t="n">
        <v>3</v>
      </c>
      <c r="T199" s="55" t="n">
        <v>0.7</v>
      </c>
    </row>
    <row r="200">
      <c r="A200" s="20" t="inlineStr">
        <is>
          <t>Tropical Moist</t>
        </is>
      </c>
      <c r="B200" s="403" t="inlineStr">
        <is>
          <t>South America</t>
        </is>
      </c>
      <c r="C200" s="20">
        <f>CONCATENATE(A200,B200)</f>
        <v/>
      </c>
      <c r="D200" s="249" t="n"/>
      <c r="E200" s="257">
        <f>AVERAGE(F200:M200)</f>
        <v/>
      </c>
      <c r="F200" s="566" t="n">
        <v>2.59</v>
      </c>
      <c r="G200" s="566" t="n">
        <v>5.3</v>
      </c>
      <c r="H200" s="565" t="n">
        <v>0.47</v>
      </c>
      <c r="I200" s="587" t="n">
        <v>3.02</v>
      </c>
      <c r="J200" s="565" t="n">
        <v>0.59</v>
      </c>
      <c r="K200" s="588" t="n">
        <v>3.06</v>
      </c>
      <c r="L200" s="566" t="n">
        <v>2.63</v>
      </c>
      <c r="M200" s="565" t="n">
        <v>2.91</v>
      </c>
      <c r="N200" s="55" t="n"/>
      <c r="O200" s="55" t="n"/>
      <c r="P200" s="55" t="n"/>
      <c r="Q200" s="55" t="n"/>
      <c r="R200" s="55" t="n">
        <v>2.4</v>
      </c>
      <c r="S200" s="55" t="n">
        <v>3</v>
      </c>
      <c r="T200" s="55" t="n">
        <v>0.7</v>
      </c>
    </row>
    <row r="201">
      <c r="A201" s="20" t="inlineStr">
        <is>
          <t>Tropical Moist</t>
        </is>
      </c>
      <c r="B201" s="403" t="inlineStr">
        <is>
          <t>Central America</t>
        </is>
      </c>
      <c r="C201" s="20">
        <f>CONCATENATE(A201,B201)</f>
        <v/>
      </c>
      <c r="D201" s="249" t="n"/>
      <c r="E201" s="257">
        <f>AVERAGE(F201:M201)</f>
        <v/>
      </c>
      <c r="F201" s="574" t="n">
        <v>2.28</v>
      </c>
      <c r="G201" s="566" t="n">
        <v>5.3</v>
      </c>
      <c r="H201" s="565" t="n">
        <v>0.47</v>
      </c>
      <c r="I201" s="587" t="n">
        <v>3.02</v>
      </c>
      <c r="J201" s="565" t="n">
        <v>0.59</v>
      </c>
      <c r="K201" s="587" t="n">
        <v>2.43</v>
      </c>
      <c r="L201" s="566" t="n">
        <v>2.63</v>
      </c>
      <c r="M201" s="565" t="n">
        <v>2.91</v>
      </c>
      <c r="N201" s="55" t="n"/>
      <c r="O201" s="55" t="n"/>
      <c r="P201" s="55" t="n"/>
      <c r="Q201" s="55" t="n"/>
      <c r="R201" s="55" t="n">
        <v>2.4</v>
      </c>
      <c r="S201" s="55" t="n">
        <v>3</v>
      </c>
      <c r="T201" s="55" t="n">
        <v>0.7</v>
      </c>
    </row>
    <row r="202">
      <c r="A202" s="20" t="inlineStr">
        <is>
          <t>Tropical Moist</t>
        </is>
      </c>
      <c r="B202" s="404" t="inlineStr">
        <is>
          <t>Caribbean</t>
        </is>
      </c>
      <c r="C202" s="20">
        <f>CONCATENATE(A202,B202)</f>
        <v/>
      </c>
      <c r="D202" s="252" t="n"/>
      <c r="E202" s="257">
        <f>AVERAGE(F202:M202)</f>
        <v/>
      </c>
      <c r="F202" s="566" t="n">
        <v>2.59</v>
      </c>
      <c r="G202" s="592" t="n">
        <v>5.3</v>
      </c>
      <c r="H202" s="578" t="n">
        <v>0.47</v>
      </c>
      <c r="I202" s="593" t="n">
        <v>3.02</v>
      </c>
      <c r="J202" s="578" t="n">
        <v>0.59</v>
      </c>
      <c r="K202" s="587" t="n">
        <v>2.43</v>
      </c>
      <c r="L202" s="592" t="n">
        <v>2.63</v>
      </c>
      <c r="M202" s="578" t="n">
        <v>2.91</v>
      </c>
      <c r="N202" s="579" t="n"/>
      <c r="O202" s="579" t="n"/>
      <c r="P202" s="579" t="n"/>
      <c r="Q202" s="579" t="n"/>
      <c r="R202" s="55" t="n">
        <v>2.4</v>
      </c>
      <c r="S202" s="55" t="n">
        <v>3</v>
      </c>
      <c r="T202" s="55" t="n">
        <v>0.7</v>
      </c>
    </row>
    <row r="203">
      <c r="A203" s="63">
        <f>list!$G$11</f>
        <v/>
      </c>
      <c r="B203" s="407" t="inlineStr">
        <is>
          <t>Eastern Africa</t>
        </is>
      </c>
      <c r="C203" s="63">
        <f>CONCATENATE(A203,B203)</f>
        <v/>
      </c>
      <c r="D203" s="248" t="n"/>
      <c r="E203" s="256">
        <f>AVERAGE(F203:M203)</f>
        <v/>
      </c>
      <c r="F203" s="594">
        <f>AVERAGE(F267,F283)</f>
        <v/>
      </c>
      <c r="G203" s="591" t="n">
        <v>3.12</v>
      </c>
      <c r="H203" s="595">
        <f>AVERAGE(H267,H283)</f>
        <v/>
      </c>
      <c r="I203" s="596">
        <f>AVERAGE(I267,I283)</f>
        <v/>
      </c>
      <c r="J203" s="594">
        <f>AVERAGE(J267,J283)</f>
        <v/>
      </c>
      <c r="K203" s="597">
        <f>AVERAGE(K267,K283)</f>
        <v/>
      </c>
      <c r="L203" s="598">
        <f>AVERAGE(L267,L283)</f>
        <v/>
      </c>
      <c r="M203" s="599">
        <f>AVERAGE(M267,M283)</f>
        <v/>
      </c>
      <c r="N203" s="567" t="n"/>
      <c r="O203" s="567" t="n"/>
      <c r="P203" s="567" t="n"/>
      <c r="Q203" s="567" t="n"/>
      <c r="R203" s="567" t="n">
        <v>2.4</v>
      </c>
      <c r="S203" s="567" t="n">
        <v>3</v>
      </c>
      <c r="T203" s="567" t="n">
        <v>0.7</v>
      </c>
    </row>
    <row r="204">
      <c r="A204" s="20">
        <f>list!$G$11</f>
        <v/>
      </c>
      <c r="B204" s="405" t="inlineStr">
        <is>
          <t>Central Africa</t>
        </is>
      </c>
      <c r="C204" s="20">
        <f>CONCATENATE(A204,B204)</f>
        <v/>
      </c>
      <c r="D204" s="249" t="n"/>
      <c r="E204" s="257">
        <f>AVERAGE(F204:M204)</f>
        <v/>
      </c>
      <c r="F204" s="600">
        <f>AVERAGE(F268,F284)</f>
        <v/>
      </c>
      <c r="G204" s="588" t="n">
        <v>3.12</v>
      </c>
      <c r="H204" s="601">
        <f>AVERAGE(H268,H284)</f>
        <v/>
      </c>
      <c r="I204" s="602">
        <f>AVERAGE(I268,I284)</f>
        <v/>
      </c>
      <c r="J204" s="600">
        <f>AVERAGE(J268,J284)</f>
        <v/>
      </c>
      <c r="K204" s="603">
        <f>AVERAGE(K268,K284)</f>
        <v/>
      </c>
      <c r="L204" s="604">
        <f>AVERAGE(L268,L284)</f>
        <v/>
      </c>
      <c r="M204" s="605">
        <f>AVERAGE(M268,M284)</f>
        <v/>
      </c>
      <c r="N204" s="55" t="n"/>
      <c r="O204" s="55" t="n"/>
      <c r="P204" s="55" t="n"/>
      <c r="Q204" s="55" t="n"/>
      <c r="R204" s="55" t="n">
        <v>2.4</v>
      </c>
      <c r="S204" s="55" t="n">
        <v>3</v>
      </c>
      <c r="T204" s="55" t="n">
        <v>0.7</v>
      </c>
    </row>
    <row r="205">
      <c r="A205" s="20">
        <f>list!$G$11</f>
        <v/>
      </c>
      <c r="B205" s="405" t="inlineStr">
        <is>
          <t>Northern Africa</t>
        </is>
      </c>
      <c r="C205" s="20">
        <f>CONCATENATE(A205,B205)</f>
        <v/>
      </c>
      <c r="D205" s="249" t="n"/>
      <c r="E205" s="257">
        <f>AVERAGE(F205:M205)</f>
        <v/>
      </c>
      <c r="F205" s="600">
        <f>AVERAGE(F269,F285)</f>
        <v/>
      </c>
      <c r="G205" s="588" t="n">
        <v>3.12</v>
      </c>
      <c r="H205" s="601">
        <f>AVERAGE(H269,H285)</f>
        <v/>
      </c>
      <c r="I205" s="602">
        <f>AVERAGE(I269,I285)</f>
        <v/>
      </c>
      <c r="J205" s="600">
        <f>AVERAGE(J269,J285)</f>
        <v/>
      </c>
      <c r="K205" s="603">
        <f>AVERAGE(K269,K285)</f>
        <v/>
      </c>
      <c r="L205" s="604">
        <f>AVERAGE(L269,L285)</f>
        <v/>
      </c>
      <c r="M205" s="605">
        <f>AVERAGE(M269,M285)</f>
        <v/>
      </c>
      <c r="N205" s="55" t="n"/>
      <c r="O205" s="55" t="n"/>
      <c r="P205" s="55" t="n"/>
      <c r="Q205" s="55" t="n"/>
      <c r="R205" s="55" t="n">
        <v>2.4</v>
      </c>
      <c r="S205" s="55" t="n">
        <v>3</v>
      </c>
      <c r="T205" s="55" t="n">
        <v>0.7</v>
      </c>
    </row>
    <row r="206">
      <c r="A206" s="20">
        <f>list!$G$11</f>
        <v/>
      </c>
      <c r="B206" s="405" t="inlineStr">
        <is>
          <t>Southern Africa</t>
        </is>
      </c>
      <c r="C206" s="20">
        <f>CONCATENATE(A206,B206)</f>
        <v/>
      </c>
      <c r="D206" s="249" t="n"/>
      <c r="E206" s="257">
        <f>AVERAGE(F206:M206)</f>
        <v/>
      </c>
      <c r="F206" s="600">
        <f>AVERAGE(F270,F286)</f>
        <v/>
      </c>
      <c r="G206" s="588" t="n">
        <v>3.12</v>
      </c>
      <c r="H206" s="601">
        <f>AVERAGE(H270,H286)</f>
        <v/>
      </c>
      <c r="I206" s="602">
        <f>AVERAGE(I270,I286)</f>
        <v/>
      </c>
      <c r="J206" s="600">
        <f>AVERAGE(J270,J286)</f>
        <v/>
      </c>
      <c r="K206" s="603">
        <f>AVERAGE(K270,K286)</f>
        <v/>
      </c>
      <c r="L206" s="604">
        <f>AVERAGE(L270,L286)</f>
        <v/>
      </c>
      <c r="M206" s="605">
        <f>AVERAGE(M270,M286)</f>
        <v/>
      </c>
      <c r="N206" s="55" t="n"/>
      <c r="O206" s="55" t="n"/>
      <c r="P206" s="55" t="n"/>
      <c r="Q206" s="55" t="n"/>
      <c r="R206" s="55" t="n">
        <v>2.4</v>
      </c>
      <c r="S206" s="55" t="n">
        <v>3</v>
      </c>
      <c r="T206" s="55" t="n">
        <v>0.7</v>
      </c>
    </row>
    <row r="207">
      <c r="A207" s="20">
        <f>list!$G$11</f>
        <v/>
      </c>
      <c r="B207" s="405" t="inlineStr">
        <is>
          <t>Western Africa</t>
        </is>
      </c>
      <c r="C207" s="20">
        <f>CONCATENATE(A207,B207)</f>
        <v/>
      </c>
      <c r="D207" s="249" t="n"/>
      <c r="E207" s="257">
        <f>AVERAGE(F207:M207)</f>
        <v/>
      </c>
      <c r="F207" s="600">
        <f>AVERAGE(F271,F287)</f>
        <v/>
      </c>
      <c r="G207" s="588" t="n">
        <v>3.12</v>
      </c>
      <c r="H207" s="601">
        <f>AVERAGE(H271,H287)</f>
        <v/>
      </c>
      <c r="I207" s="602">
        <f>AVERAGE(I271,I287)</f>
        <v/>
      </c>
      <c r="J207" s="600">
        <f>AVERAGE(J271,J287)</f>
        <v/>
      </c>
      <c r="K207" s="603">
        <f>AVERAGE(K271,K287)</f>
        <v/>
      </c>
      <c r="L207" s="604">
        <f>AVERAGE(L271,L287)</f>
        <v/>
      </c>
      <c r="M207" s="605">
        <f>AVERAGE(M271,M287)</f>
        <v/>
      </c>
      <c r="N207" s="55" t="n"/>
      <c r="O207" s="55" t="n"/>
      <c r="P207" s="55" t="n"/>
      <c r="Q207" s="55" t="n"/>
      <c r="R207" s="55" t="n">
        <v>2.4</v>
      </c>
      <c r="S207" s="55" t="n">
        <v>3</v>
      </c>
      <c r="T207" s="55" t="n">
        <v>0.7</v>
      </c>
    </row>
    <row r="208">
      <c r="A208" s="20">
        <f>list!$G$11</f>
        <v/>
      </c>
      <c r="B208" s="405" t="inlineStr">
        <is>
          <t>Central Asia</t>
        </is>
      </c>
      <c r="C208" s="20">
        <f>CONCATENATE(A208,B208)</f>
        <v/>
      </c>
      <c r="D208" s="249" t="n"/>
      <c r="E208" s="257">
        <f>AVERAGE(F208:M208)</f>
        <v/>
      </c>
      <c r="F208" s="600">
        <f>AVERAGE(F272,F288)</f>
        <v/>
      </c>
      <c r="G208" s="604">
        <f>AVERAGE(G272,G288)</f>
        <v/>
      </c>
      <c r="H208" s="601">
        <f>AVERAGE(H272,H288)</f>
        <v/>
      </c>
      <c r="I208" s="602">
        <f>AVERAGE(I272,I288)</f>
        <v/>
      </c>
      <c r="J208" s="600">
        <f>AVERAGE(J272,J288)</f>
        <v/>
      </c>
      <c r="K208" s="603">
        <f>AVERAGE(K272,K288)</f>
        <v/>
      </c>
      <c r="L208" s="604">
        <f>AVERAGE(L272,L288)</f>
        <v/>
      </c>
      <c r="M208" s="605">
        <f>AVERAGE(M272,M288)</f>
        <v/>
      </c>
      <c r="N208" s="55" t="n"/>
      <c r="O208" s="55" t="n"/>
      <c r="P208" s="55" t="n"/>
      <c r="Q208" s="55" t="n"/>
      <c r="R208" s="55" t="n">
        <v>2.4</v>
      </c>
      <c r="S208" s="55" t="n">
        <v>3</v>
      </c>
      <c r="T208" s="55" t="n">
        <v>0.7</v>
      </c>
    </row>
    <row r="209">
      <c r="A209" s="20">
        <f>list!$G$11</f>
        <v/>
      </c>
      <c r="B209" s="405" t="inlineStr">
        <is>
          <t>Eastern Asia</t>
        </is>
      </c>
      <c r="C209" s="20">
        <f>CONCATENATE(A209,B209)</f>
        <v/>
      </c>
      <c r="D209" s="249" t="n"/>
      <c r="E209" s="257">
        <f>AVERAGE(F209:M209)</f>
        <v/>
      </c>
      <c r="F209" s="600">
        <f>AVERAGE(F273,F289)</f>
        <v/>
      </c>
      <c r="G209" s="604">
        <f>AVERAGE(G273,G289)</f>
        <v/>
      </c>
      <c r="H209" s="601">
        <f>AVERAGE(H273,H289)</f>
        <v/>
      </c>
      <c r="I209" s="602">
        <f>AVERAGE(I273,I289)</f>
        <v/>
      </c>
      <c r="J209" s="600">
        <f>AVERAGE(J273,J289)</f>
        <v/>
      </c>
      <c r="K209" s="603">
        <f>AVERAGE(K273,K289)</f>
        <v/>
      </c>
      <c r="L209" s="604">
        <f>AVERAGE(L273,L289)</f>
        <v/>
      </c>
      <c r="M209" s="605">
        <f>AVERAGE(M273,M289)</f>
        <v/>
      </c>
      <c r="N209" s="55" t="n"/>
      <c r="O209" s="55" t="n"/>
      <c r="P209" s="55" t="n"/>
      <c r="Q209" s="55" t="n"/>
      <c r="R209" s="55" t="n">
        <v>2.4</v>
      </c>
      <c r="S209" s="55" t="n">
        <v>3</v>
      </c>
      <c r="T209" s="55" t="n">
        <v>0.7</v>
      </c>
    </row>
    <row r="210">
      <c r="A210" s="20">
        <f>list!$G$11</f>
        <v/>
      </c>
      <c r="B210" s="405" t="inlineStr">
        <is>
          <t>South-eastern Asia</t>
        </is>
      </c>
      <c r="C210" s="20">
        <f>CONCATENATE(A210,B210)</f>
        <v/>
      </c>
      <c r="D210" s="249" t="n"/>
      <c r="E210" s="257">
        <f>AVERAGE(F210:M210)</f>
        <v/>
      </c>
      <c r="F210" s="600">
        <f>AVERAGE(F274,F290)</f>
        <v/>
      </c>
      <c r="G210" s="604">
        <f>AVERAGE(G274,G290)</f>
        <v/>
      </c>
      <c r="H210" s="601">
        <f>AVERAGE(H274,H290)</f>
        <v/>
      </c>
      <c r="I210" s="602">
        <f>AVERAGE(I274,I290)</f>
        <v/>
      </c>
      <c r="J210" s="600">
        <f>AVERAGE(J274,J290)</f>
        <v/>
      </c>
      <c r="K210" s="603">
        <f>AVERAGE(K274,K290)</f>
        <v/>
      </c>
      <c r="L210" s="604">
        <f>AVERAGE(L274,L290)</f>
        <v/>
      </c>
      <c r="M210" s="605">
        <f>AVERAGE(M274,M290)</f>
        <v/>
      </c>
      <c r="N210" s="55" t="n"/>
      <c r="O210" s="55" t="n"/>
      <c r="P210" s="55" t="n"/>
      <c r="Q210" s="55" t="n"/>
      <c r="R210" s="55" t="n">
        <v>2.4</v>
      </c>
      <c r="S210" s="55" t="n">
        <v>3</v>
      </c>
      <c r="T210" s="55" t="n">
        <v>0.7</v>
      </c>
    </row>
    <row r="211">
      <c r="A211" s="20">
        <f>list!$G$11</f>
        <v/>
      </c>
      <c r="B211" s="405" t="inlineStr">
        <is>
          <t>Southern Asia</t>
        </is>
      </c>
      <c r="C211" s="20">
        <f>CONCATENATE(A211,B211)</f>
        <v/>
      </c>
      <c r="D211" s="249" t="n"/>
      <c r="E211" s="257">
        <f>AVERAGE(F211:M211)</f>
        <v/>
      </c>
      <c r="F211" s="600">
        <f>AVERAGE(F275,F291)</f>
        <v/>
      </c>
      <c r="G211" s="604">
        <f>AVERAGE(G275,G291)</f>
        <v/>
      </c>
      <c r="H211" s="601">
        <f>AVERAGE(H275,H291)</f>
        <v/>
      </c>
      <c r="I211" s="602">
        <f>AVERAGE(I275,I291)</f>
        <v/>
      </c>
      <c r="J211" s="600">
        <f>AVERAGE(J275,J291)</f>
        <v/>
      </c>
      <c r="K211" s="603">
        <f>AVERAGE(K275,K291)</f>
        <v/>
      </c>
      <c r="L211" s="604">
        <f>AVERAGE(L275,L291)</f>
        <v/>
      </c>
      <c r="M211" s="605">
        <f>AVERAGE(M275,M291)</f>
        <v/>
      </c>
      <c r="N211" s="55" t="n"/>
      <c r="O211" s="55" t="n"/>
      <c r="P211" s="55" t="n"/>
      <c r="Q211" s="55" t="n"/>
      <c r="R211" s="55" t="n">
        <v>2.4</v>
      </c>
      <c r="S211" s="55" t="n">
        <v>3</v>
      </c>
      <c r="T211" s="55" t="n">
        <v>0.7</v>
      </c>
    </row>
    <row r="212">
      <c r="A212" s="20">
        <f>list!$G$11</f>
        <v/>
      </c>
      <c r="B212" s="405" t="inlineStr">
        <is>
          <t>Western Asia</t>
        </is>
      </c>
      <c r="C212" s="20">
        <f>CONCATENATE(A212,B212)</f>
        <v/>
      </c>
      <c r="D212" s="249" t="n"/>
      <c r="E212" s="257">
        <f>AVERAGE(F212:M212)</f>
        <v/>
      </c>
      <c r="F212" s="600">
        <f>AVERAGE(F276,F292)</f>
        <v/>
      </c>
      <c r="G212" s="604">
        <f>AVERAGE(G276,G292)</f>
        <v/>
      </c>
      <c r="H212" s="601">
        <f>AVERAGE(H276,H292)</f>
        <v/>
      </c>
      <c r="I212" s="602">
        <f>AVERAGE(I276,I292)</f>
        <v/>
      </c>
      <c r="J212" s="600">
        <f>AVERAGE(J276,J292)</f>
        <v/>
      </c>
      <c r="K212" s="603">
        <f>AVERAGE(K276,K292)</f>
        <v/>
      </c>
      <c r="L212" s="604">
        <f>AVERAGE(L276,L292)</f>
        <v/>
      </c>
      <c r="M212" s="605">
        <f>AVERAGE(M276,M292)</f>
        <v/>
      </c>
      <c r="N212" s="55" t="n"/>
      <c r="O212" s="55" t="n"/>
      <c r="P212" s="55" t="n"/>
      <c r="Q212" s="55" t="n"/>
      <c r="R212" s="55" t="n">
        <v>2.4</v>
      </c>
      <c r="S212" s="55" t="n">
        <v>3</v>
      </c>
      <c r="T212" s="55" t="n">
        <v>0.7</v>
      </c>
    </row>
    <row r="213">
      <c r="A213" s="20">
        <f>list!$G$11</f>
        <v/>
      </c>
      <c r="B213" s="405" t="inlineStr">
        <is>
          <t>Europe</t>
        </is>
      </c>
      <c r="C213" s="20">
        <f>CONCATENATE(A213,B213)</f>
        <v/>
      </c>
      <c r="D213" s="249" t="n"/>
      <c r="E213" s="257">
        <f>AVERAGE(F213:M213)</f>
        <v/>
      </c>
      <c r="F213" s="600">
        <f>AVERAGE(F277,F293)</f>
        <v/>
      </c>
      <c r="G213" s="604">
        <f>AVERAGE(G277,G293)</f>
        <v/>
      </c>
      <c r="H213" s="601">
        <f>AVERAGE(H277,H293)</f>
        <v/>
      </c>
      <c r="I213" s="602">
        <f>AVERAGE(I277,I293)</f>
        <v/>
      </c>
      <c r="J213" s="600">
        <f>AVERAGE(J277,J293)</f>
        <v/>
      </c>
      <c r="K213" s="603">
        <f>AVERAGE(K277,K293)</f>
        <v/>
      </c>
      <c r="L213" s="604">
        <f>AVERAGE(L277,L293)</f>
        <v/>
      </c>
      <c r="M213" s="605">
        <f>AVERAGE(M277,M293)</f>
        <v/>
      </c>
      <c r="N213" s="55" t="n"/>
      <c r="O213" s="55" t="n"/>
      <c r="P213" s="55" t="n"/>
      <c r="Q213" s="55" t="n"/>
      <c r="R213" s="55" t="n">
        <v>2.4</v>
      </c>
      <c r="S213" s="55" t="n">
        <v>3</v>
      </c>
      <c r="T213" s="55" t="n">
        <v>0.7</v>
      </c>
    </row>
    <row r="214">
      <c r="A214" s="20">
        <f>list!$G$11</f>
        <v/>
      </c>
      <c r="B214" s="405" t="inlineStr">
        <is>
          <t>Oceania</t>
        </is>
      </c>
      <c r="C214" s="20">
        <f>CONCATENATE(A214,B214)</f>
        <v/>
      </c>
      <c r="D214" s="249" t="n"/>
      <c r="E214" s="257">
        <f>AVERAGE(F214:M214)</f>
        <v/>
      </c>
      <c r="F214" s="600">
        <f>AVERAGE(F278,F294)</f>
        <v/>
      </c>
      <c r="G214" s="604">
        <f>AVERAGE(G278,G294)</f>
        <v/>
      </c>
      <c r="H214" s="601">
        <f>AVERAGE(H278,H294)</f>
        <v/>
      </c>
      <c r="I214" s="602">
        <f>AVERAGE(I278,I294)</f>
        <v/>
      </c>
      <c r="J214" s="600">
        <f>AVERAGE(J278,J294)</f>
        <v/>
      </c>
      <c r="K214" s="603">
        <f>AVERAGE(K278,K294)</f>
        <v/>
      </c>
      <c r="L214" s="604">
        <f>AVERAGE(L278,L294)</f>
        <v/>
      </c>
      <c r="M214" s="605">
        <f>AVERAGE(M278,M294)</f>
        <v/>
      </c>
      <c r="N214" s="55" t="n"/>
      <c r="O214" s="55" t="n"/>
      <c r="P214" s="55" t="n"/>
      <c r="Q214" s="55" t="n"/>
      <c r="R214" s="55" t="n">
        <v>2.4</v>
      </c>
      <c r="S214" s="55" t="n">
        <v>3</v>
      </c>
      <c r="T214" s="55" t="n">
        <v>0.7</v>
      </c>
    </row>
    <row r="215">
      <c r="A215" s="20">
        <f>list!$G$11</f>
        <v/>
      </c>
      <c r="B215" s="405" t="inlineStr">
        <is>
          <t>North America</t>
        </is>
      </c>
      <c r="C215" s="20">
        <f>CONCATENATE(A215,B215)</f>
        <v/>
      </c>
      <c r="D215" s="249" t="n"/>
      <c r="E215" s="257">
        <f>AVERAGE(F215:M215)</f>
        <v/>
      </c>
      <c r="F215" s="600">
        <f>AVERAGE(F279,F295)</f>
        <v/>
      </c>
      <c r="G215" s="604">
        <f>AVERAGE(G279,G295)</f>
        <v/>
      </c>
      <c r="H215" s="601">
        <f>AVERAGE(H279,H295)</f>
        <v/>
      </c>
      <c r="I215" s="602">
        <f>AVERAGE(I279,I295)</f>
        <v/>
      </c>
      <c r="J215" s="600">
        <f>AVERAGE(J279,J295)</f>
        <v/>
      </c>
      <c r="K215" s="603">
        <f>AVERAGE(K279,K295)</f>
        <v/>
      </c>
      <c r="L215" s="604">
        <f>AVERAGE(L279,L295)</f>
        <v/>
      </c>
      <c r="M215" s="605">
        <f>AVERAGE(M279,M295)</f>
        <v/>
      </c>
      <c r="N215" s="55" t="n"/>
      <c r="O215" s="55" t="n"/>
      <c r="P215" s="55" t="n"/>
      <c r="Q215" s="55" t="n"/>
      <c r="R215" s="55" t="n">
        <v>2.4</v>
      </c>
      <c r="S215" s="55" t="n">
        <v>3</v>
      </c>
      <c r="T215" s="55" t="n">
        <v>0.7</v>
      </c>
    </row>
    <row r="216">
      <c r="A216" s="20">
        <f>list!$G$11</f>
        <v/>
      </c>
      <c r="B216" s="405" t="inlineStr">
        <is>
          <t>South America</t>
        </is>
      </c>
      <c r="C216" s="20">
        <f>CONCATENATE(A216,B216)</f>
        <v/>
      </c>
      <c r="D216" s="249" t="n"/>
      <c r="E216" s="257">
        <f>AVERAGE(F216:M216)</f>
        <v/>
      </c>
      <c r="F216" s="600">
        <f>AVERAGE(F280,F296)</f>
        <v/>
      </c>
      <c r="G216" s="604">
        <f>AVERAGE(G280,G296)</f>
        <v/>
      </c>
      <c r="H216" s="601">
        <f>AVERAGE(H280,H296)</f>
        <v/>
      </c>
      <c r="I216" s="602">
        <f>AVERAGE(I280,I296)</f>
        <v/>
      </c>
      <c r="J216" s="600">
        <f>AVERAGE(J280,J296)</f>
        <v/>
      </c>
      <c r="K216" s="603">
        <f>AVERAGE(K280,K296)</f>
        <v/>
      </c>
      <c r="L216" s="604">
        <f>AVERAGE(L280,L296)</f>
        <v/>
      </c>
      <c r="M216" s="605">
        <f>AVERAGE(M280,M296)</f>
        <v/>
      </c>
      <c r="N216" s="55" t="n"/>
      <c r="O216" s="55" t="n"/>
      <c r="P216" s="55" t="n"/>
      <c r="Q216" s="55" t="n"/>
      <c r="R216" s="55" t="n">
        <v>2.4</v>
      </c>
      <c r="S216" s="55" t="n">
        <v>3</v>
      </c>
      <c r="T216" s="55" t="n">
        <v>0.7</v>
      </c>
    </row>
    <row r="217">
      <c r="A217" s="20">
        <f>list!$G$11</f>
        <v/>
      </c>
      <c r="B217" s="405" t="inlineStr">
        <is>
          <t>Central America</t>
        </is>
      </c>
      <c r="C217" s="20">
        <f>CONCATENATE(A217,B217)</f>
        <v/>
      </c>
      <c r="D217" s="249" t="n"/>
      <c r="E217" s="257">
        <f>AVERAGE(F217:M217)</f>
        <v/>
      </c>
      <c r="F217" s="600">
        <f>AVERAGE(F281,F297)</f>
        <v/>
      </c>
      <c r="G217" s="604">
        <f>AVERAGE(G281,G297)</f>
        <v/>
      </c>
      <c r="H217" s="601">
        <f>AVERAGE(H281,H297)</f>
        <v/>
      </c>
      <c r="I217" s="602">
        <f>AVERAGE(I281,I297)</f>
        <v/>
      </c>
      <c r="J217" s="600">
        <f>AVERAGE(J281,J297)</f>
        <v/>
      </c>
      <c r="K217" s="603">
        <f>AVERAGE(K281,K297)</f>
        <v/>
      </c>
      <c r="L217" s="604">
        <f>AVERAGE(L281,L297)</f>
        <v/>
      </c>
      <c r="M217" s="605">
        <f>AVERAGE(M281,M297)</f>
        <v/>
      </c>
      <c r="N217" s="55" t="n"/>
      <c r="O217" s="55" t="n"/>
      <c r="P217" s="55" t="n"/>
      <c r="Q217" s="55" t="n"/>
      <c r="R217" s="55" t="n">
        <v>2.4</v>
      </c>
      <c r="S217" s="55" t="n">
        <v>3</v>
      </c>
      <c r="T217" s="55" t="n">
        <v>0.7</v>
      </c>
    </row>
    <row r="218">
      <c r="A218" s="37">
        <f>list!$G$11</f>
        <v/>
      </c>
      <c r="B218" s="406" t="inlineStr">
        <is>
          <t>Caribbean</t>
        </is>
      </c>
      <c r="C218" s="20">
        <f>CONCATENATE(A218,B218)</f>
        <v/>
      </c>
      <c r="D218" s="252" t="n"/>
      <c r="E218" s="258">
        <f>AVERAGE(F218:M218)</f>
        <v/>
      </c>
      <c r="F218" s="606">
        <f>AVERAGE(F282,F298)</f>
        <v/>
      </c>
      <c r="G218" s="604">
        <f>AVERAGE(G282,G298)</f>
        <v/>
      </c>
      <c r="H218" s="607">
        <f>AVERAGE(H282,H298)</f>
        <v/>
      </c>
      <c r="I218" s="608">
        <f>AVERAGE(I282,I298)</f>
        <v/>
      </c>
      <c r="J218" s="606">
        <f>AVERAGE(J282,J298)</f>
        <v/>
      </c>
      <c r="K218" s="609">
        <f>AVERAGE(K282,K298)</f>
        <v/>
      </c>
      <c r="L218" s="610">
        <f>AVERAGE(L282,L298)</f>
        <v/>
      </c>
      <c r="M218" s="611">
        <f>AVERAGE(M282,M298)</f>
        <v/>
      </c>
      <c r="N218" s="579" t="n"/>
      <c r="O218" s="579" t="n"/>
      <c r="P218" s="579" t="n"/>
      <c r="Q218" s="579" t="n"/>
      <c r="R218" s="55" t="n">
        <v>2.4</v>
      </c>
      <c r="S218" s="55" t="n">
        <v>3</v>
      </c>
      <c r="T218" s="55" t="n">
        <v>0.7</v>
      </c>
    </row>
    <row r="219">
      <c r="A219" s="20" t="inlineStr">
        <is>
          <t>Tropical Wet</t>
        </is>
      </c>
      <c r="B219" s="408" t="inlineStr">
        <is>
          <t>Eastern Africa</t>
        </is>
      </c>
      <c r="C219" s="63">
        <f>CONCATENATE(A219,B219)</f>
        <v/>
      </c>
      <c r="D219" s="248" t="n"/>
      <c r="E219" s="256">
        <f>AVERAGE(F219:M219)</f>
        <v/>
      </c>
      <c r="F219" s="582" t="n">
        <v>1.88</v>
      </c>
      <c r="G219" s="583" t="n">
        <v>6.21</v>
      </c>
      <c r="H219" s="590" t="n">
        <v>0.43</v>
      </c>
      <c r="I219" s="583" t="n">
        <v>2.89</v>
      </c>
      <c r="J219" s="582" t="n">
        <v>0.59</v>
      </c>
      <c r="K219" s="583" t="n">
        <v>3.16</v>
      </c>
      <c r="L219" s="582" t="n">
        <v>3.61</v>
      </c>
      <c r="M219" s="612" t="n">
        <v>0.06</v>
      </c>
      <c r="N219" s="567" t="n"/>
      <c r="O219" s="567" t="n"/>
      <c r="P219" s="567" t="n"/>
      <c r="Q219" s="567" t="n"/>
      <c r="R219" s="567" t="n">
        <v>2.4</v>
      </c>
      <c r="S219" s="567" t="n">
        <v>3</v>
      </c>
      <c r="T219" s="567" t="n">
        <v>0.7</v>
      </c>
    </row>
    <row r="220">
      <c r="A220" s="20" t="inlineStr">
        <is>
          <t>Tropical Wet</t>
        </is>
      </c>
      <c r="B220" s="401" t="inlineStr">
        <is>
          <t>Central Africa</t>
        </is>
      </c>
      <c r="C220" s="20">
        <f>CONCATENATE(A220,B220)</f>
        <v/>
      </c>
      <c r="D220" s="249" t="n"/>
      <c r="E220" s="257">
        <f>AVERAGE(F220:M220)</f>
        <v/>
      </c>
      <c r="F220" s="565" t="n">
        <v>1.88</v>
      </c>
      <c r="G220" s="564" t="n">
        <v>6.21</v>
      </c>
      <c r="H220" s="566" t="n">
        <v>0.43</v>
      </c>
      <c r="I220" s="564" t="n">
        <v>2.89</v>
      </c>
      <c r="J220" s="565" t="n">
        <v>0.59</v>
      </c>
      <c r="K220" s="564" t="n">
        <v>3.16</v>
      </c>
      <c r="L220" s="565" t="n">
        <v>3.61</v>
      </c>
      <c r="M220" s="589" t="n">
        <v>0.06</v>
      </c>
      <c r="N220" s="55" t="n"/>
      <c r="O220" s="55" t="n"/>
      <c r="P220" s="55" t="n"/>
      <c r="Q220" s="55" t="n"/>
      <c r="R220" s="55" t="n">
        <v>2.4</v>
      </c>
      <c r="S220" s="55" t="n">
        <v>3</v>
      </c>
      <c r="T220" s="55" t="n">
        <v>0.7</v>
      </c>
    </row>
    <row r="221">
      <c r="A221" s="20" t="inlineStr">
        <is>
          <t>Tropical Wet</t>
        </is>
      </c>
      <c r="B221" s="401" t="inlineStr">
        <is>
          <t>Northern Africa</t>
        </is>
      </c>
      <c r="C221" s="20">
        <f>CONCATENATE(A221,B221)</f>
        <v/>
      </c>
      <c r="D221" s="249" t="n"/>
      <c r="E221" s="257">
        <f>AVERAGE(F221:M221)</f>
        <v/>
      </c>
      <c r="F221" s="565" t="n">
        <v>1.88</v>
      </c>
      <c r="G221" s="564" t="n">
        <v>6.21</v>
      </c>
      <c r="H221" s="566" t="n">
        <v>0.43</v>
      </c>
      <c r="I221" s="564" t="n">
        <v>2.89</v>
      </c>
      <c r="J221" s="565" t="n">
        <v>0.59</v>
      </c>
      <c r="K221" s="564" t="n">
        <v>3.16</v>
      </c>
      <c r="L221" s="565" t="n">
        <v>3.61</v>
      </c>
      <c r="M221" s="589" t="n">
        <v>0.06</v>
      </c>
      <c r="N221" s="55" t="n"/>
      <c r="O221" s="55" t="n"/>
      <c r="P221" s="55" t="n"/>
      <c r="Q221" s="55" t="n"/>
      <c r="R221" s="55" t="n">
        <v>2.4</v>
      </c>
      <c r="S221" s="55" t="n">
        <v>3</v>
      </c>
      <c r="T221" s="55" t="n">
        <v>0.7</v>
      </c>
    </row>
    <row r="222">
      <c r="A222" s="20" t="inlineStr">
        <is>
          <t>Tropical Wet</t>
        </is>
      </c>
      <c r="B222" s="401" t="inlineStr">
        <is>
          <t>Southern Africa</t>
        </is>
      </c>
      <c r="C222" s="20">
        <f>CONCATENATE(A222,B222)</f>
        <v/>
      </c>
      <c r="D222" s="249" t="n"/>
      <c r="E222" s="257">
        <f>AVERAGE(F222:M222)</f>
        <v/>
      </c>
      <c r="F222" s="565" t="n">
        <v>1.88</v>
      </c>
      <c r="G222" s="564" t="n">
        <v>6.21</v>
      </c>
      <c r="H222" s="566" t="n">
        <v>0.43</v>
      </c>
      <c r="I222" s="564" t="n">
        <v>2.89</v>
      </c>
      <c r="J222" s="565" t="n">
        <v>0.59</v>
      </c>
      <c r="K222" s="564" t="n">
        <v>3.16</v>
      </c>
      <c r="L222" s="565" t="n">
        <v>3.61</v>
      </c>
      <c r="M222" s="589" t="n">
        <v>0.06</v>
      </c>
      <c r="N222" s="55" t="n"/>
      <c r="O222" s="55" t="n"/>
      <c r="P222" s="55" t="n"/>
      <c r="Q222" s="55" t="n"/>
      <c r="R222" s="55" t="n">
        <v>2.4</v>
      </c>
      <c r="S222" s="55" t="n">
        <v>3</v>
      </c>
      <c r="T222" s="55" t="n">
        <v>0.7</v>
      </c>
    </row>
    <row r="223">
      <c r="A223" s="20" t="inlineStr">
        <is>
          <t>Tropical Wet</t>
        </is>
      </c>
      <c r="B223" s="401" t="inlineStr">
        <is>
          <t>Western Africa</t>
        </is>
      </c>
      <c r="C223" s="20">
        <f>CONCATENATE(A223,B223)</f>
        <v/>
      </c>
      <c r="D223" s="249" t="n"/>
      <c r="E223" s="257">
        <f>AVERAGE(F223:M223)</f>
        <v/>
      </c>
      <c r="F223" s="565" t="n">
        <v>1.88</v>
      </c>
      <c r="G223" s="564" t="n">
        <v>6.21</v>
      </c>
      <c r="H223" s="566" t="n">
        <v>0.43</v>
      </c>
      <c r="I223" s="564" t="n">
        <v>2.89</v>
      </c>
      <c r="J223" s="565" t="n">
        <v>0.59</v>
      </c>
      <c r="K223" s="564" t="n">
        <v>3.16</v>
      </c>
      <c r="L223" s="565" t="n">
        <v>3.61</v>
      </c>
      <c r="M223" s="589" t="n">
        <v>0.06</v>
      </c>
      <c r="N223" s="55" t="n"/>
      <c r="O223" s="55" t="n"/>
      <c r="P223" s="55" t="n"/>
      <c r="Q223" s="55" t="n"/>
      <c r="R223" s="55" t="n">
        <v>2.4</v>
      </c>
      <c r="S223" s="55" t="n">
        <v>3</v>
      </c>
      <c r="T223" s="55" t="n">
        <v>0.7</v>
      </c>
    </row>
    <row r="224">
      <c r="A224" s="20" t="inlineStr">
        <is>
          <t>Tropical Wet</t>
        </is>
      </c>
      <c r="B224" s="401" t="inlineStr">
        <is>
          <t>Central Asia</t>
        </is>
      </c>
      <c r="C224" s="20">
        <f>CONCATENATE(A224,B224)</f>
        <v/>
      </c>
      <c r="D224" s="249" t="n"/>
      <c r="E224" s="257">
        <f>AVERAGE(F224:M224)</f>
        <v/>
      </c>
      <c r="F224" s="565" t="n">
        <v>1.88</v>
      </c>
      <c r="G224" s="564" t="n">
        <v>2</v>
      </c>
      <c r="H224" s="566" t="n">
        <v>0.43</v>
      </c>
      <c r="I224" s="564" t="n">
        <v>4.83</v>
      </c>
      <c r="J224" s="565" t="n">
        <v>0.59</v>
      </c>
      <c r="K224" s="564" t="n">
        <v>1.79</v>
      </c>
      <c r="L224" s="565" t="n">
        <v>3.61</v>
      </c>
      <c r="M224" s="563" t="n">
        <v>0.06</v>
      </c>
      <c r="N224" s="55" t="n"/>
      <c r="O224" s="55" t="n"/>
      <c r="P224" s="55" t="n"/>
      <c r="Q224" s="55" t="n"/>
      <c r="R224" s="55" t="n">
        <v>2.4</v>
      </c>
      <c r="S224" s="55" t="n">
        <v>3</v>
      </c>
      <c r="T224" s="55" t="n">
        <v>0.7</v>
      </c>
    </row>
    <row r="225">
      <c r="A225" s="20" t="inlineStr">
        <is>
          <t>Tropical Wet</t>
        </is>
      </c>
      <c r="B225" s="401" t="inlineStr">
        <is>
          <t>Eastern Asia</t>
        </is>
      </c>
      <c r="C225" s="20">
        <f>CONCATENATE(A225,B225)</f>
        <v/>
      </c>
      <c r="D225" s="249" t="n"/>
      <c r="E225" s="257">
        <f>AVERAGE(F225:M225)</f>
        <v/>
      </c>
      <c r="F225" s="565" t="n">
        <v>1.88</v>
      </c>
      <c r="G225" s="564" t="n">
        <v>2</v>
      </c>
      <c r="H225" s="566" t="n">
        <v>0.43</v>
      </c>
      <c r="I225" s="564" t="n">
        <v>4.83</v>
      </c>
      <c r="J225" s="565" t="n">
        <v>0.59</v>
      </c>
      <c r="K225" s="564" t="n">
        <v>1.79</v>
      </c>
      <c r="L225" s="565" t="n">
        <v>3.61</v>
      </c>
      <c r="M225" s="563" t="n">
        <v>0.06</v>
      </c>
      <c r="N225" s="55" t="n"/>
      <c r="O225" s="55" t="n"/>
      <c r="P225" s="55" t="n"/>
      <c r="Q225" s="55" t="n"/>
      <c r="R225" s="55" t="n">
        <v>2.4</v>
      </c>
      <c r="S225" s="55" t="n">
        <v>3</v>
      </c>
      <c r="T225" s="55" t="n">
        <v>0.7</v>
      </c>
    </row>
    <row r="226">
      <c r="A226" s="20" t="inlineStr">
        <is>
          <t>Tropical Wet</t>
        </is>
      </c>
      <c r="B226" s="401" t="inlineStr">
        <is>
          <t>South-eastern Asia</t>
        </is>
      </c>
      <c r="C226" s="20">
        <f>CONCATENATE(A226,B226)</f>
        <v/>
      </c>
      <c r="D226" s="249" t="n"/>
      <c r="E226" s="257">
        <f>AVERAGE(F226:M226)</f>
        <v/>
      </c>
      <c r="F226" s="565" t="n">
        <v>1.88</v>
      </c>
      <c r="G226" s="564" t="n">
        <v>2</v>
      </c>
      <c r="H226" s="566" t="n">
        <v>0.43</v>
      </c>
      <c r="I226" s="564" t="n">
        <v>4.83</v>
      </c>
      <c r="J226" s="565" t="n">
        <v>0.59</v>
      </c>
      <c r="K226" s="564" t="n">
        <v>1.79</v>
      </c>
      <c r="L226" s="565" t="n">
        <v>3.61</v>
      </c>
      <c r="M226" s="563" t="n">
        <v>0.06</v>
      </c>
      <c r="N226" s="55" t="n"/>
      <c r="O226" s="55" t="n"/>
      <c r="P226" s="55" t="n"/>
      <c r="Q226" s="55" t="n"/>
      <c r="R226" s="55" t="n">
        <v>2.4</v>
      </c>
      <c r="S226" s="55" t="n">
        <v>3</v>
      </c>
      <c r="T226" s="55" t="n">
        <v>0.7</v>
      </c>
    </row>
    <row r="227">
      <c r="A227" s="20" t="inlineStr">
        <is>
          <t>Tropical Wet</t>
        </is>
      </c>
      <c r="B227" s="401" t="inlineStr">
        <is>
          <t>Southern Asia</t>
        </is>
      </c>
      <c r="C227" s="20">
        <f>CONCATENATE(A227,B227)</f>
        <v/>
      </c>
      <c r="D227" s="249" t="n"/>
      <c r="E227" s="257">
        <f>AVERAGE(F227:M227)</f>
        <v/>
      </c>
      <c r="F227" s="565" t="n">
        <v>1.88</v>
      </c>
      <c r="G227" s="564" t="n">
        <v>2</v>
      </c>
      <c r="H227" s="566" t="n">
        <v>0.43</v>
      </c>
      <c r="I227" s="564" t="n">
        <v>4.83</v>
      </c>
      <c r="J227" s="565" t="n">
        <v>0.59</v>
      </c>
      <c r="K227" s="564" t="n">
        <v>1.79</v>
      </c>
      <c r="L227" s="565" t="n">
        <v>3.61</v>
      </c>
      <c r="M227" s="563" t="n">
        <v>0.06</v>
      </c>
      <c r="N227" s="55" t="n"/>
      <c r="O227" s="55" t="n"/>
      <c r="P227" s="55" t="n"/>
      <c r="Q227" s="55" t="n"/>
      <c r="R227" s="55" t="n">
        <v>2.4</v>
      </c>
      <c r="S227" s="55" t="n">
        <v>3</v>
      </c>
      <c r="T227" s="55" t="n">
        <v>0.7</v>
      </c>
    </row>
    <row r="228">
      <c r="A228" s="20" t="inlineStr">
        <is>
          <t>Tropical Wet</t>
        </is>
      </c>
      <c r="B228" s="401" t="inlineStr">
        <is>
          <t>Western Asia</t>
        </is>
      </c>
      <c r="C228" s="20">
        <f>CONCATENATE(A228,B228)</f>
        <v/>
      </c>
      <c r="D228" s="249" t="n"/>
      <c r="E228" s="257">
        <f>AVERAGE(F228:M228)</f>
        <v/>
      </c>
      <c r="F228" s="565" t="n">
        <v>1.88</v>
      </c>
      <c r="G228" s="564" t="n">
        <v>2</v>
      </c>
      <c r="H228" s="566" t="n">
        <v>0.43</v>
      </c>
      <c r="I228" s="564" t="n">
        <v>4.83</v>
      </c>
      <c r="J228" s="565" t="n">
        <v>0.59</v>
      </c>
      <c r="K228" s="564" t="n">
        <v>1.79</v>
      </c>
      <c r="L228" s="565" t="n">
        <v>3.61</v>
      </c>
      <c r="M228" s="563" t="n">
        <v>0.06</v>
      </c>
      <c r="N228" s="55" t="n"/>
      <c r="O228" s="55" t="n"/>
      <c r="P228" s="55" t="n"/>
      <c r="Q228" s="55" t="n"/>
      <c r="R228" s="55" t="n">
        <v>2.4</v>
      </c>
      <c r="S228" s="55" t="n">
        <v>3</v>
      </c>
      <c r="T228" s="55" t="n">
        <v>0.7</v>
      </c>
    </row>
    <row r="229">
      <c r="A229" s="20" t="inlineStr">
        <is>
          <t>Tropical Wet</t>
        </is>
      </c>
      <c r="B229" s="401" t="inlineStr">
        <is>
          <t>Europe</t>
        </is>
      </c>
      <c r="C229" s="20">
        <f>CONCATENATE(A229,B229)</f>
        <v/>
      </c>
      <c r="D229" s="249" t="n"/>
      <c r="E229" s="257">
        <f>AVERAGE(F229:M229)</f>
        <v/>
      </c>
      <c r="F229" s="565" t="n">
        <v>1.88</v>
      </c>
      <c r="G229" s="565" t="n">
        <v>4.59</v>
      </c>
      <c r="H229" s="566" t="n">
        <v>0.43</v>
      </c>
      <c r="I229" s="565" t="n">
        <v>3.25</v>
      </c>
      <c r="J229" s="565" t="n">
        <v>0.59</v>
      </c>
      <c r="K229" s="565" t="n">
        <v>2.36</v>
      </c>
      <c r="L229" s="565" t="n">
        <v>3.61</v>
      </c>
      <c r="M229" s="589" t="n">
        <v>0.06</v>
      </c>
      <c r="N229" s="55" t="n"/>
      <c r="O229" s="55" t="n"/>
      <c r="P229" s="55" t="n"/>
      <c r="Q229" s="55" t="n"/>
      <c r="R229" s="55" t="n">
        <v>2.4</v>
      </c>
      <c r="S229" s="55" t="n">
        <v>3</v>
      </c>
      <c r="T229" s="55" t="n">
        <v>0.7</v>
      </c>
    </row>
    <row r="230">
      <c r="A230" s="20" t="inlineStr">
        <is>
          <t>Tropical Wet</t>
        </is>
      </c>
      <c r="B230" s="401" t="inlineStr">
        <is>
          <t>Oceania</t>
        </is>
      </c>
      <c r="C230" s="20">
        <f>CONCATENATE(A230,B230)</f>
        <v/>
      </c>
      <c r="D230" s="249" t="n"/>
      <c r="E230" s="257">
        <f>AVERAGE(F230:M230)</f>
        <v/>
      </c>
      <c r="F230" s="565" t="n">
        <v>1.88</v>
      </c>
      <c r="G230" s="565" t="n">
        <v>4.59</v>
      </c>
      <c r="H230" s="566" t="n">
        <v>0.43</v>
      </c>
      <c r="I230" s="565" t="n">
        <v>3.25</v>
      </c>
      <c r="J230" s="565" t="n">
        <v>0.59</v>
      </c>
      <c r="K230" s="565" t="n">
        <v>2.36</v>
      </c>
      <c r="L230" s="565" t="n">
        <v>3.61</v>
      </c>
      <c r="M230" s="589" t="n">
        <v>0.06</v>
      </c>
      <c r="N230" s="55" t="n"/>
      <c r="O230" s="55" t="n"/>
      <c r="P230" s="55" t="n"/>
      <c r="Q230" s="55" t="n"/>
      <c r="R230" s="55" t="n">
        <v>2.4</v>
      </c>
      <c r="S230" s="55" t="n">
        <v>3</v>
      </c>
      <c r="T230" s="55" t="n">
        <v>0.7</v>
      </c>
    </row>
    <row r="231">
      <c r="A231" s="20" t="inlineStr">
        <is>
          <t>Tropical Wet</t>
        </is>
      </c>
      <c r="B231" s="401" t="inlineStr">
        <is>
          <t>North America</t>
        </is>
      </c>
      <c r="C231" s="20">
        <f>CONCATENATE(A231,B231)</f>
        <v/>
      </c>
      <c r="D231" s="249" t="n"/>
      <c r="E231" s="257">
        <f>AVERAGE(F231:M231)</f>
        <v/>
      </c>
      <c r="F231" s="565" t="n">
        <v>1.88</v>
      </c>
      <c r="G231" s="565" t="n">
        <v>4.59</v>
      </c>
      <c r="H231" s="566" t="n">
        <v>0.43</v>
      </c>
      <c r="I231" s="565" t="n">
        <v>3.25</v>
      </c>
      <c r="J231" s="565" t="n">
        <v>0.59</v>
      </c>
      <c r="K231" s="565" t="n">
        <v>2.36</v>
      </c>
      <c r="L231" s="565" t="n">
        <v>3.61</v>
      </c>
      <c r="M231" s="589" t="n">
        <v>0.06</v>
      </c>
      <c r="N231" s="55" t="n"/>
      <c r="O231" s="55" t="n"/>
      <c r="P231" s="55" t="n"/>
      <c r="Q231" s="55" t="n"/>
      <c r="R231" s="55" t="n">
        <v>2.4</v>
      </c>
      <c r="S231" s="55" t="n">
        <v>3</v>
      </c>
      <c r="T231" s="55" t="n">
        <v>0.7</v>
      </c>
    </row>
    <row r="232">
      <c r="A232" s="20" t="inlineStr">
        <is>
          <t>Tropical Wet</t>
        </is>
      </c>
      <c r="B232" s="401" t="inlineStr">
        <is>
          <t>South America</t>
        </is>
      </c>
      <c r="C232" s="20">
        <f>CONCATENATE(A232,B232)</f>
        <v/>
      </c>
      <c r="D232" s="249" t="n"/>
      <c r="E232" s="257">
        <f>AVERAGE(F232:M232)</f>
        <v/>
      </c>
      <c r="F232" s="565" t="n">
        <v>1.88</v>
      </c>
      <c r="G232" s="564" t="n">
        <v>4.76</v>
      </c>
      <c r="H232" s="566" t="n">
        <v>0.43</v>
      </c>
      <c r="I232" s="564" t="n">
        <v>2.6</v>
      </c>
      <c r="J232" s="565" t="n">
        <v>0.59</v>
      </c>
      <c r="K232" s="564" t="n">
        <v>2.96</v>
      </c>
      <c r="L232" s="565" t="n">
        <v>3.61</v>
      </c>
      <c r="M232" s="589" t="n">
        <v>0.06</v>
      </c>
      <c r="N232" s="55" t="n"/>
      <c r="O232" s="55" t="n"/>
      <c r="P232" s="55" t="n"/>
      <c r="Q232" s="55" t="n"/>
      <c r="R232" s="55" t="n">
        <v>2.4</v>
      </c>
      <c r="S232" s="55" t="n">
        <v>3</v>
      </c>
      <c r="T232" s="55" t="n">
        <v>0.7</v>
      </c>
    </row>
    <row r="233">
      <c r="A233" s="20" t="inlineStr">
        <is>
          <t>Tropical Wet</t>
        </is>
      </c>
      <c r="B233" s="401" t="inlineStr">
        <is>
          <t>Central America</t>
        </is>
      </c>
      <c r="C233" s="20">
        <f>CONCATENATE(A233,B233)</f>
        <v/>
      </c>
      <c r="D233" s="249" t="n"/>
      <c r="E233" s="257">
        <f>AVERAGE(F233:M233)</f>
        <v/>
      </c>
      <c r="F233" s="564" t="n">
        <v>1.88</v>
      </c>
      <c r="G233" s="564" t="n">
        <v>4.59</v>
      </c>
      <c r="H233" s="574" t="n">
        <v>0.43</v>
      </c>
      <c r="I233" s="564" t="n">
        <v>3.25</v>
      </c>
      <c r="J233" s="565" t="n">
        <v>0.59</v>
      </c>
      <c r="K233" s="564" t="n">
        <v>2.28</v>
      </c>
      <c r="L233" s="565" t="n">
        <v>3.61</v>
      </c>
      <c r="M233" s="589" t="n">
        <v>0.06</v>
      </c>
      <c r="N233" s="55" t="n"/>
      <c r="O233" s="55" t="n"/>
      <c r="P233" s="55" t="n"/>
      <c r="Q233" s="55" t="n"/>
      <c r="R233" s="55" t="n">
        <v>2.4</v>
      </c>
      <c r="S233" s="55" t="n">
        <v>3</v>
      </c>
      <c r="T233" s="55" t="n">
        <v>0.7</v>
      </c>
    </row>
    <row r="234">
      <c r="A234" s="20" t="inlineStr">
        <is>
          <t>Tropical Wet</t>
        </is>
      </c>
      <c r="B234" s="409" t="inlineStr">
        <is>
          <t>Caribbean</t>
        </is>
      </c>
      <c r="C234" s="20">
        <f>CONCATENATE(A234,B234)</f>
        <v/>
      </c>
      <c r="D234" s="252" t="n"/>
      <c r="E234" s="258">
        <f>AVERAGE(F234:M234)</f>
        <v/>
      </c>
      <c r="F234" s="578" t="n">
        <v>1.88</v>
      </c>
      <c r="G234" s="564" t="n">
        <v>4.59</v>
      </c>
      <c r="H234" s="592" t="n">
        <v>0.43</v>
      </c>
      <c r="I234" s="578" t="n">
        <v>3.25</v>
      </c>
      <c r="J234" s="578" t="n">
        <v>0.59</v>
      </c>
      <c r="K234" s="578" t="n">
        <v>2.36</v>
      </c>
      <c r="L234" s="578" t="n">
        <v>3.61</v>
      </c>
      <c r="M234" s="613" t="n">
        <v>0.06</v>
      </c>
      <c r="N234" s="579" t="n"/>
      <c r="O234" s="579" t="n"/>
      <c r="P234" s="579" t="n"/>
      <c r="Q234" s="579" t="n"/>
      <c r="R234" s="55" t="n">
        <v>2.4</v>
      </c>
      <c r="S234" s="55" t="n">
        <v>3</v>
      </c>
      <c r="T234" s="55" t="n">
        <v>0.7</v>
      </c>
    </row>
    <row r="235">
      <c r="A235" s="63" t="inlineStr">
        <is>
          <t>Boreal Dry</t>
        </is>
      </c>
      <c r="B235" s="410" t="inlineStr">
        <is>
          <t>Eastern Africa</t>
        </is>
      </c>
      <c r="C235" s="63">
        <f>CONCATENATE(A235,B235)</f>
        <v/>
      </c>
      <c r="D235" s="109" t="n"/>
      <c r="E235" s="257">
        <f>AVERAGE(F235:M235)</f>
        <v/>
      </c>
      <c r="F235" s="583" t="n"/>
      <c r="G235" s="584" t="n"/>
      <c r="H235" s="582" t="n">
        <v>0.87</v>
      </c>
      <c r="I235" s="585" t="n"/>
      <c r="J235" s="583" t="n"/>
      <c r="K235" s="584" t="n"/>
      <c r="L235" s="614" t="n">
        <v>0.91</v>
      </c>
      <c r="M235" s="614" t="n">
        <v>2.33</v>
      </c>
      <c r="N235" s="567" t="n">
        <v>0.46</v>
      </c>
      <c r="O235" s="568" t="n">
        <v>0.43</v>
      </c>
      <c r="P235" s="569" t="n">
        <v>0.28</v>
      </c>
      <c r="Q235" s="567" t="n">
        <v>3.2</v>
      </c>
      <c r="R235" s="570" t="n"/>
      <c r="S235" s="567" t="n"/>
      <c r="T235" s="567" t="n">
        <v>0.7</v>
      </c>
    </row>
    <row r="236">
      <c r="A236" s="20" t="inlineStr">
        <is>
          <t>Boreal Dry</t>
        </is>
      </c>
      <c r="B236" s="411" t="inlineStr">
        <is>
          <t>Central Africa</t>
        </is>
      </c>
      <c r="C236" s="20">
        <f>CONCATENATE(A236,B236)</f>
        <v/>
      </c>
      <c r="D236" s="61" t="n"/>
      <c r="E236" s="257">
        <f>AVERAGE(F236:M236)</f>
        <v/>
      </c>
      <c r="F236" s="564" t="n"/>
      <c r="G236" s="574" t="n"/>
      <c r="H236" s="565" t="n">
        <v>0.87</v>
      </c>
      <c r="I236" s="563" t="n"/>
      <c r="J236" s="564" t="n"/>
      <c r="K236" s="574" t="n"/>
      <c r="L236" s="615" t="n">
        <v>0.91</v>
      </c>
      <c r="M236" s="615" t="n">
        <v>2.33</v>
      </c>
      <c r="N236" s="55" t="n">
        <v>0.46</v>
      </c>
      <c r="O236" s="571" t="n">
        <v>0.43</v>
      </c>
      <c r="P236" s="572" t="n">
        <v>0.28</v>
      </c>
      <c r="Q236" s="55" t="n">
        <v>3.2</v>
      </c>
      <c r="R236" s="573" t="n"/>
      <c r="S236" s="55" t="n"/>
      <c r="T236" s="55" t="n">
        <v>0.7</v>
      </c>
    </row>
    <row r="237">
      <c r="A237" s="20" t="inlineStr">
        <is>
          <t>Boreal Dry</t>
        </is>
      </c>
      <c r="B237" s="411" t="inlineStr">
        <is>
          <t>Northern Africa</t>
        </is>
      </c>
      <c r="C237" s="20">
        <f>CONCATENATE(A237,B237)</f>
        <v/>
      </c>
      <c r="D237" s="61" t="n"/>
      <c r="E237" s="257">
        <f>AVERAGE(F237:M237)</f>
        <v/>
      </c>
      <c r="F237" s="564" t="n"/>
      <c r="G237" s="574" t="n"/>
      <c r="H237" s="565" t="n">
        <v>0.87</v>
      </c>
      <c r="I237" s="563" t="n"/>
      <c r="J237" s="564" t="n"/>
      <c r="K237" s="574" t="n"/>
      <c r="L237" s="615" t="n">
        <v>0.91</v>
      </c>
      <c r="M237" s="615" t="n">
        <v>2.33</v>
      </c>
      <c r="N237" s="55" t="n">
        <v>0.46</v>
      </c>
      <c r="O237" s="571" t="n">
        <v>0.43</v>
      </c>
      <c r="P237" s="572" t="n">
        <v>0.28</v>
      </c>
      <c r="Q237" s="55" t="n">
        <v>3.2</v>
      </c>
      <c r="R237" s="573" t="n"/>
      <c r="S237" s="55" t="n"/>
      <c r="T237" s="55" t="n">
        <v>0.7</v>
      </c>
    </row>
    <row r="238">
      <c r="A238" s="20" t="inlineStr">
        <is>
          <t>Boreal Dry</t>
        </is>
      </c>
      <c r="B238" s="411" t="inlineStr">
        <is>
          <t>Southern Africa</t>
        </is>
      </c>
      <c r="C238" s="20">
        <f>CONCATENATE(A238,B238)</f>
        <v/>
      </c>
      <c r="D238" s="61" t="n"/>
      <c r="E238" s="257">
        <f>AVERAGE(F238:M238)</f>
        <v/>
      </c>
      <c r="F238" s="564" t="n"/>
      <c r="G238" s="574" t="n"/>
      <c r="H238" s="565" t="n">
        <v>0.87</v>
      </c>
      <c r="I238" s="563" t="n"/>
      <c r="J238" s="564" t="n"/>
      <c r="K238" s="574" t="n"/>
      <c r="L238" s="615" t="n">
        <v>0.91</v>
      </c>
      <c r="M238" s="615" t="n">
        <v>2.33</v>
      </c>
      <c r="N238" s="55" t="n">
        <v>0.46</v>
      </c>
      <c r="O238" s="571" t="n">
        <v>0.43</v>
      </c>
      <c r="P238" s="572" t="n">
        <v>0.28</v>
      </c>
      <c r="Q238" s="55" t="n">
        <v>3.2</v>
      </c>
      <c r="R238" s="573" t="n"/>
      <c r="S238" s="55" t="n"/>
      <c r="T238" s="55" t="n">
        <v>0.7</v>
      </c>
    </row>
    <row r="239">
      <c r="A239" s="20" t="inlineStr">
        <is>
          <t>Boreal Dry</t>
        </is>
      </c>
      <c r="B239" s="411" t="inlineStr">
        <is>
          <t>Western Africa</t>
        </is>
      </c>
      <c r="C239" s="20">
        <f>CONCATENATE(A239,B239)</f>
        <v/>
      </c>
      <c r="D239" s="61" t="n"/>
      <c r="E239" s="257">
        <f>AVERAGE(F239:M239)</f>
        <v/>
      </c>
      <c r="F239" s="564" t="n"/>
      <c r="G239" s="574" t="n"/>
      <c r="H239" s="565" t="n">
        <v>0.87</v>
      </c>
      <c r="I239" s="563" t="n"/>
      <c r="J239" s="564" t="n"/>
      <c r="K239" s="574" t="n"/>
      <c r="L239" s="615" t="n">
        <v>0.91</v>
      </c>
      <c r="M239" s="615" t="n">
        <v>2.33</v>
      </c>
      <c r="N239" s="55" t="n">
        <v>0.46</v>
      </c>
      <c r="O239" s="571" t="n">
        <v>0.43</v>
      </c>
      <c r="P239" s="572" t="n">
        <v>0.28</v>
      </c>
      <c r="Q239" s="55" t="n">
        <v>3.2</v>
      </c>
      <c r="R239" s="573" t="n"/>
      <c r="S239" s="55" t="n"/>
      <c r="T239" s="55" t="n">
        <v>0.7</v>
      </c>
    </row>
    <row r="240">
      <c r="A240" s="20" t="inlineStr">
        <is>
          <t>Boreal Dry</t>
        </is>
      </c>
      <c r="B240" s="411" t="inlineStr">
        <is>
          <t>Central Asia</t>
        </is>
      </c>
      <c r="C240" s="20">
        <f>CONCATENATE(A240,B240)</f>
        <v/>
      </c>
      <c r="D240" s="61" t="n"/>
      <c r="E240" s="257">
        <f>AVERAGE(F240:M240)</f>
        <v/>
      </c>
      <c r="F240" s="564" t="n"/>
      <c r="G240" s="574" t="n"/>
      <c r="H240" s="565" t="n">
        <v>0.87</v>
      </c>
      <c r="I240" s="563" t="n"/>
      <c r="J240" s="564" t="n"/>
      <c r="K240" s="574" t="n"/>
      <c r="L240" s="615" t="n">
        <v>0.91</v>
      </c>
      <c r="M240" s="615" t="n">
        <v>2.33</v>
      </c>
      <c r="N240" s="55" t="n">
        <v>0.46</v>
      </c>
      <c r="O240" s="571" t="n">
        <v>0.43</v>
      </c>
      <c r="P240" s="572" t="n">
        <v>0.28</v>
      </c>
      <c r="Q240" s="55" t="n">
        <v>3.2</v>
      </c>
      <c r="R240" s="573" t="n"/>
      <c r="S240" s="55" t="n"/>
      <c r="T240" s="55" t="n">
        <v>0.7</v>
      </c>
    </row>
    <row r="241">
      <c r="A241" s="20" t="inlineStr">
        <is>
          <t>Boreal Dry</t>
        </is>
      </c>
      <c r="B241" s="411" t="inlineStr">
        <is>
          <t>Eastern Asia</t>
        </is>
      </c>
      <c r="C241" s="20">
        <f>CONCATENATE(A241,B241)</f>
        <v/>
      </c>
      <c r="D241" s="61" t="n"/>
      <c r="E241" s="257">
        <f>AVERAGE(F241:M241)</f>
        <v/>
      </c>
      <c r="F241" s="564" t="n"/>
      <c r="G241" s="574" t="n"/>
      <c r="H241" s="565" t="n">
        <v>0.87</v>
      </c>
      <c r="I241" s="563" t="n"/>
      <c r="J241" s="564" t="n"/>
      <c r="K241" s="574" t="n"/>
      <c r="L241" s="615" t="n">
        <v>0.91</v>
      </c>
      <c r="M241" s="615" t="n">
        <v>2.33</v>
      </c>
      <c r="N241" s="55" t="n">
        <v>0.46</v>
      </c>
      <c r="O241" s="571" t="n">
        <v>0.43</v>
      </c>
      <c r="P241" s="572" t="n">
        <v>0.28</v>
      </c>
      <c r="Q241" s="55" t="n">
        <v>3.2</v>
      </c>
      <c r="R241" s="573" t="n"/>
      <c r="S241" s="55" t="n"/>
      <c r="T241" s="55" t="n">
        <v>0.7</v>
      </c>
    </row>
    <row r="242">
      <c r="A242" s="20" t="inlineStr">
        <is>
          <t>Boreal Dry</t>
        </is>
      </c>
      <c r="B242" s="411" t="inlineStr">
        <is>
          <t>South-eastern Asia</t>
        </is>
      </c>
      <c r="C242" s="20">
        <f>CONCATENATE(A242,B242)</f>
        <v/>
      </c>
      <c r="D242" s="61" t="n"/>
      <c r="E242" s="257">
        <f>AVERAGE(F242:M242)</f>
        <v/>
      </c>
      <c r="F242" s="564" t="n"/>
      <c r="G242" s="574" t="n"/>
      <c r="H242" s="565" t="n">
        <v>0.87</v>
      </c>
      <c r="I242" s="563" t="n"/>
      <c r="J242" s="564" t="n"/>
      <c r="K242" s="574" t="n"/>
      <c r="L242" s="615" t="n">
        <v>0.91</v>
      </c>
      <c r="M242" s="615" t="n">
        <v>2.33</v>
      </c>
      <c r="N242" s="55" t="n">
        <v>0.46</v>
      </c>
      <c r="O242" s="571" t="n">
        <v>0.43</v>
      </c>
      <c r="P242" s="572" t="n">
        <v>0.28</v>
      </c>
      <c r="Q242" s="55" t="n">
        <v>3.2</v>
      </c>
      <c r="R242" s="573" t="n"/>
      <c r="S242" s="55" t="n"/>
      <c r="T242" s="55" t="n">
        <v>0.7</v>
      </c>
    </row>
    <row r="243">
      <c r="A243" s="20" t="inlineStr">
        <is>
          <t>Boreal Dry</t>
        </is>
      </c>
      <c r="B243" s="411" t="inlineStr">
        <is>
          <t>Southern Asia</t>
        </is>
      </c>
      <c r="C243" s="20">
        <f>CONCATENATE(A243,B243)</f>
        <v/>
      </c>
      <c r="D243" s="61" t="n"/>
      <c r="E243" s="257">
        <f>AVERAGE(F243:M243)</f>
        <v/>
      </c>
      <c r="F243" s="564" t="n"/>
      <c r="G243" s="574" t="n"/>
      <c r="H243" s="565" t="n">
        <v>0.87</v>
      </c>
      <c r="I243" s="563" t="n"/>
      <c r="J243" s="564" t="n"/>
      <c r="K243" s="574" t="n"/>
      <c r="L243" s="615" t="n">
        <v>0.91</v>
      </c>
      <c r="M243" s="615" t="n">
        <v>2.33</v>
      </c>
      <c r="N243" s="55" t="n">
        <v>0.46</v>
      </c>
      <c r="O243" s="571" t="n">
        <v>0.43</v>
      </c>
      <c r="P243" s="572" t="n">
        <v>0.28</v>
      </c>
      <c r="Q243" s="55" t="n">
        <v>3.2</v>
      </c>
      <c r="R243" s="573" t="n"/>
      <c r="S243" s="55" t="n"/>
      <c r="T243" s="55" t="n">
        <v>0.7</v>
      </c>
    </row>
    <row r="244">
      <c r="A244" s="20" t="inlineStr">
        <is>
          <t>Boreal Dry</t>
        </is>
      </c>
      <c r="B244" s="411" t="inlineStr">
        <is>
          <t>Western Asia</t>
        </is>
      </c>
      <c r="C244" s="20">
        <f>CONCATENATE(A244,B244)</f>
        <v/>
      </c>
      <c r="D244" s="61" t="n"/>
      <c r="E244" s="257">
        <f>AVERAGE(F244:M244)</f>
        <v/>
      </c>
      <c r="F244" s="564" t="n"/>
      <c r="G244" s="574" t="n"/>
      <c r="H244" s="565" t="n">
        <v>0.87</v>
      </c>
      <c r="I244" s="563" t="n"/>
      <c r="J244" s="564" t="n"/>
      <c r="K244" s="574" t="n"/>
      <c r="L244" s="615" t="n">
        <v>0.91</v>
      </c>
      <c r="M244" s="615" t="n">
        <v>2.33</v>
      </c>
      <c r="N244" s="55" t="n">
        <v>0.46</v>
      </c>
      <c r="O244" s="571" t="n">
        <v>0.43</v>
      </c>
      <c r="P244" s="572" t="n">
        <v>0.28</v>
      </c>
      <c r="Q244" s="55" t="n">
        <v>3.2</v>
      </c>
      <c r="R244" s="573" t="n"/>
      <c r="S244" s="55" t="n"/>
      <c r="T244" s="55" t="n">
        <v>0.7</v>
      </c>
    </row>
    <row r="245">
      <c r="A245" s="20" t="inlineStr">
        <is>
          <t>Boreal Dry</t>
        </is>
      </c>
      <c r="B245" s="411" t="inlineStr">
        <is>
          <t>Europe</t>
        </is>
      </c>
      <c r="C245" s="20">
        <f>CONCATENATE(A245,B245)</f>
        <v/>
      </c>
      <c r="D245" s="61" t="n"/>
      <c r="E245" s="257">
        <f>AVERAGE(F245:M245)</f>
        <v/>
      </c>
      <c r="F245" s="564" t="n"/>
      <c r="G245" s="574" t="n"/>
      <c r="H245" s="565" t="n">
        <v>0.87</v>
      </c>
      <c r="I245" s="563" t="n"/>
      <c r="J245" s="564" t="n"/>
      <c r="K245" s="574" t="n"/>
      <c r="L245" s="615" t="n">
        <v>0.91</v>
      </c>
      <c r="M245" s="615" t="n">
        <v>2.33</v>
      </c>
      <c r="N245" s="55" t="n">
        <v>0.46</v>
      </c>
      <c r="O245" s="571" t="n">
        <v>0.43</v>
      </c>
      <c r="P245" s="572" t="n">
        <v>0.28</v>
      </c>
      <c r="Q245" s="55" t="n">
        <v>3.2</v>
      </c>
      <c r="R245" s="573" t="n"/>
      <c r="S245" s="55" t="n"/>
      <c r="T245" s="55" t="n">
        <v>0.7</v>
      </c>
    </row>
    <row r="246">
      <c r="A246" s="20" t="inlineStr">
        <is>
          <t>Boreal Dry</t>
        </is>
      </c>
      <c r="B246" s="411" t="inlineStr">
        <is>
          <t>Oceania</t>
        </is>
      </c>
      <c r="C246" s="20">
        <f>CONCATENATE(A246,B246)</f>
        <v/>
      </c>
      <c r="D246" s="61" t="n"/>
      <c r="E246" s="257">
        <f>AVERAGE(F246:M246)</f>
        <v/>
      </c>
      <c r="F246" s="564" t="n"/>
      <c r="G246" s="574" t="n"/>
      <c r="H246" s="565" t="n">
        <v>0.87</v>
      </c>
      <c r="I246" s="563" t="n"/>
      <c r="J246" s="564" t="n"/>
      <c r="K246" s="574" t="n"/>
      <c r="L246" s="615" t="n">
        <v>0.91</v>
      </c>
      <c r="M246" s="615" t="n">
        <v>2.33</v>
      </c>
      <c r="N246" s="55" t="n">
        <v>0.46</v>
      </c>
      <c r="O246" s="571" t="n">
        <v>0.43</v>
      </c>
      <c r="P246" s="572" t="n">
        <v>0.28</v>
      </c>
      <c r="Q246" s="55" t="n">
        <v>3.2</v>
      </c>
      <c r="R246" s="573" t="n"/>
      <c r="S246" s="55" t="n"/>
      <c r="T246" s="55" t="n">
        <v>0.7</v>
      </c>
    </row>
    <row r="247">
      <c r="A247" s="20" t="inlineStr">
        <is>
          <t>Boreal Dry</t>
        </is>
      </c>
      <c r="B247" s="411" t="inlineStr">
        <is>
          <t>North America</t>
        </is>
      </c>
      <c r="C247" s="20">
        <f>CONCATENATE(A247,B247)</f>
        <v/>
      </c>
      <c r="D247" s="61" t="n"/>
      <c r="E247" s="257">
        <f>AVERAGE(F247:M247)</f>
        <v/>
      </c>
      <c r="F247" s="564" t="n"/>
      <c r="G247" s="574" t="n"/>
      <c r="H247" s="565" t="n">
        <v>0.87</v>
      </c>
      <c r="I247" s="563" t="n"/>
      <c r="J247" s="564" t="n"/>
      <c r="K247" s="574" t="n"/>
      <c r="L247" s="615" t="n">
        <v>0.91</v>
      </c>
      <c r="M247" s="615" t="n">
        <v>2.33</v>
      </c>
      <c r="N247" s="55" t="n">
        <v>0.46</v>
      </c>
      <c r="O247" s="571" t="n">
        <v>0.43</v>
      </c>
      <c r="P247" s="572" t="n">
        <v>0.28</v>
      </c>
      <c r="Q247" s="55" t="n">
        <v>3.2</v>
      </c>
      <c r="R247" s="573" t="n"/>
      <c r="S247" s="55" t="n"/>
      <c r="T247" s="55" t="n">
        <v>0.7</v>
      </c>
    </row>
    <row r="248">
      <c r="A248" s="20" t="inlineStr">
        <is>
          <t>Boreal Dry</t>
        </is>
      </c>
      <c r="B248" s="411" t="inlineStr">
        <is>
          <t>South America</t>
        </is>
      </c>
      <c r="C248" s="20">
        <f>CONCATENATE(A248,B248)</f>
        <v/>
      </c>
      <c r="D248" s="61" t="n"/>
      <c r="E248" s="257">
        <f>AVERAGE(F248:M248)</f>
        <v/>
      </c>
      <c r="F248" s="564" t="n"/>
      <c r="G248" s="574" t="n"/>
      <c r="H248" s="565" t="n">
        <v>0.87</v>
      </c>
      <c r="I248" s="563" t="n"/>
      <c r="J248" s="564" t="n"/>
      <c r="K248" s="574" t="n"/>
      <c r="L248" s="615" t="n">
        <v>0.91</v>
      </c>
      <c r="M248" s="615" t="n">
        <v>2.33</v>
      </c>
      <c r="N248" s="55" t="n">
        <v>0.46</v>
      </c>
      <c r="O248" s="571" t="n">
        <v>0.43</v>
      </c>
      <c r="P248" s="572" t="n">
        <v>0.28</v>
      </c>
      <c r="Q248" s="55" t="n">
        <v>3.2</v>
      </c>
      <c r="R248" s="573" t="n"/>
      <c r="S248" s="55" t="n"/>
      <c r="T248" s="55" t="n">
        <v>0.7</v>
      </c>
    </row>
    <row r="249">
      <c r="A249" s="20" t="inlineStr">
        <is>
          <t>Boreal Dry</t>
        </is>
      </c>
      <c r="B249" s="411" t="inlineStr">
        <is>
          <t>Central America</t>
        </is>
      </c>
      <c r="C249" s="20">
        <f>CONCATENATE(A249,B249)</f>
        <v/>
      </c>
      <c r="D249" s="61" t="n"/>
      <c r="E249" s="257">
        <f>AVERAGE(F249:M249)</f>
        <v/>
      </c>
      <c r="F249" s="564" t="n"/>
      <c r="G249" s="574" t="n"/>
      <c r="H249" s="565" t="n">
        <v>0.87</v>
      </c>
      <c r="I249" s="563" t="n"/>
      <c r="J249" s="564" t="n"/>
      <c r="K249" s="574" t="n"/>
      <c r="L249" s="615" t="n">
        <v>0.91</v>
      </c>
      <c r="M249" s="615" t="n">
        <v>2.33</v>
      </c>
      <c r="N249" s="55" t="n">
        <v>0.46</v>
      </c>
      <c r="O249" s="571" t="n">
        <v>0.43</v>
      </c>
      <c r="P249" s="572" t="n">
        <v>0.28</v>
      </c>
      <c r="Q249" s="55" t="n">
        <v>3.2</v>
      </c>
      <c r="R249" s="573" t="n"/>
      <c r="S249" s="55" t="n"/>
      <c r="T249" s="55" t="n">
        <v>0.7</v>
      </c>
    </row>
    <row r="250">
      <c r="A250" s="37" t="inlineStr">
        <is>
          <t>Boreal Dry</t>
        </is>
      </c>
      <c r="B250" s="412" t="inlineStr">
        <is>
          <t>Caribbean</t>
        </is>
      </c>
      <c r="C250" s="37">
        <f>CONCATENATE(A250,B250)</f>
        <v/>
      </c>
      <c r="D250" s="60" t="n"/>
      <c r="E250" s="257">
        <f>AVERAGE(F250:M250)</f>
        <v/>
      </c>
      <c r="F250" s="577" t="n"/>
      <c r="G250" s="616" t="n"/>
      <c r="H250" s="565" t="n">
        <v>0.87</v>
      </c>
      <c r="I250" s="576" t="n"/>
      <c r="J250" s="577" t="n"/>
      <c r="K250" s="616" t="n"/>
      <c r="L250" s="617" t="n">
        <v>0.91</v>
      </c>
      <c r="M250" s="617" t="n">
        <v>2.33</v>
      </c>
      <c r="N250" s="579" t="n">
        <v>0.46</v>
      </c>
      <c r="O250" s="580" t="n">
        <v>0.43</v>
      </c>
      <c r="P250" s="420" t="n">
        <v>0.28</v>
      </c>
      <c r="Q250" s="579" t="n">
        <v>3.2</v>
      </c>
      <c r="R250" s="581" t="n"/>
      <c r="S250" s="579" t="n"/>
      <c r="T250" s="55" t="n">
        <v>0.7</v>
      </c>
    </row>
    <row r="251">
      <c r="A251" s="20" t="inlineStr">
        <is>
          <t>Boreal Moist</t>
        </is>
      </c>
      <c r="B251" s="410" t="inlineStr">
        <is>
          <t>Eastern Africa</t>
        </is>
      </c>
      <c r="C251" s="20">
        <f>CONCATENATE(A251,B251)</f>
        <v/>
      </c>
      <c r="D251" s="249" t="n"/>
      <c r="E251" s="256">
        <f>AVERAGE(F251:M251)</f>
        <v/>
      </c>
      <c r="F251" s="563" t="n"/>
      <c r="G251" s="574" t="n"/>
      <c r="H251" s="582" t="n">
        <v>0.87</v>
      </c>
      <c r="I251" s="563" t="n"/>
      <c r="J251" s="564" t="n"/>
      <c r="K251" s="574" t="n"/>
      <c r="L251" s="614" t="n">
        <v>0.91</v>
      </c>
      <c r="M251" s="614" t="n">
        <v>2.33</v>
      </c>
      <c r="N251" s="567" t="n">
        <v>0.46</v>
      </c>
      <c r="O251" s="568" t="n">
        <v>0.43</v>
      </c>
      <c r="P251" s="569" t="n">
        <v>0.28</v>
      </c>
      <c r="Q251" s="567" t="n">
        <v>3.2</v>
      </c>
      <c r="R251" s="570" t="n"/>
      <c r="S251" s="567" t="n"/>
      <c r="T251" s="567" t="n">
        <v>0.7</v>
      </c>
    </row>
    <row r="252">
      <c r="A252" s="20" t="inlineStr">
        <is>
          <t>Boreal Moist</t>
        </is>
      </c>
      <c r="B252" s="411" t="inlineStr">
        <is>
          <t>Central Africa</t>
        </is>
      </c>
      <c r="C252" s="20">
        <f>CONCATENATE(A252,B252)</f>
        <v/>
      </c>
      <c r="D252" s="249" t="n"/>
      <c r="E252" s="257">
        <f>AVERAGE(F252:M252)</f>
        <v/>
      </c>
      <c r="F252" s="563" t="n"/>
      <c r="G252" s="574" t="n"/>
      <c r="H252" s="565" t="n">
        <v>0.87</v>
      </c>
      <c r="I252" s="563" t="n"/>
      <c r="J252" s="564" t="n"/>
      <c r="K252" s="574" t="n"/>
      <c r="L252" s="615" t="n">
        <v>0.91</v>
      </c>
      <c r="M252" s="615" t="n">
        <v>2.33</v>
      </c>
      <c r="N252" s="55" t="n">
        <v>0.46</v>
      </c>
      <c r="O252" s="571" t="n">
        <v>0.43</v>
      </c>
      <c r="P252" s="572" t="n">
        <v>0.28</v>
      </c>
      <c r="Q252" s="55" t="n">
        <v>3.2</v>
      </c>
      <c r="R252" s="573" t="n"/>
      <c r="S252" s="55" t="n"/>
      <c r="T252" s="55" t="n">
        <v>0.7</v>
      </c>
    </row>
    <row r="253">
      <c r="A253" s="20" t="inlineStr">
        <is>
          <t>Boreal Moist</t>
        </is>
      </c>
      <c r="B253" s="411" t="inlineStr">
        <is>
          <t>Northern Africa</t>
        </is>
      </c>
      <c r="C253" s="20">
        <f>CONCATENATE(A253,B253)</f>
        <v/>
      </c>
      <c r="D253" s="249" t="n"/>
      <c r="E253" s="257">
        <f>AVERAGE(F253:M253)</f>
        <v/>
      </c>
      <c r="F253" s="563" t="n"/>
      <c r="G253" s="574" t="n"/>
      <c r="H253" s="565" t="n">
        <v>0.87</v>
      </c>
      <c r="I253" s="563" t="n"/>
      <c r="J253" s="564" t="n"/>
      <c r="K253" s="574" t="n"/>
      <c r="L253" s="615" t="n">
        <v>0.91</v>
      </c>
      <c r="M253" s="615" t="n">
        <v>2.33</v>
      </c>
      <c r="N253" s="55" t="n">
        <v>0.46</v>
      </c>
      <c r="O253" s="571" t="n">
        <v>0.43</v>
      </c>
      <c r="P253" s="572" t="n">
        <v>0.28</v>
      </c>
      <c r="Q253" s="55" t="n">
        <v>3.2</v>
      </c>
      <c r="R253" s="573" t="n"/>
      <c r="S253" s="55" t="n"/>
      <c r="T253" s="55" t="n">
        <v>0.7</v>
      </c>
    </row>
    <row r="254">
      <c r="A254" s="20" t="inlineStr">
        <is>
          <t>Boreal Moist</t>
        </is>
      </c>
      <c r="B254" s="411" t="inlineStr">
        <is>
          <t>Southern Africa</t>
        </is>
      </c>
      <c r="C254" s="20">
        <f>CONCATENATE(A254,B254)</f>
        <v/>
      </c>
      <c r="D254" s="249" t="n"/>
      <c r="E254" s="257">
        <f>AVERAGE(F254:M254)</f>
        <v/>
      </c>
      <c r="F254" s="563" t="n"/>
      <c r="G254" s="574" t="n"/>
      <c r="H254" s="565" t="n">
        <v>0.87</v>
      </c>
      <c r="I254" s="563" t="n"/>
      <c r="J254" s="564" t="n"/>
      <c r="K254" s="574" t="n"/>
      <c r="L254" s="615" t="n">
        <v>0.91</v>
      </c>
      <c r="M254" s="615" t="n">
        <v>2.33</v>
      </c>
      <c r="N254" s="55" t="n">
        <v>0.46</v>
      </c>
      <c r="O254" s="571" t="n">
        <v>0.43</v>
      </c>
      <c r="P254" s="572" t="n">
        <v>0.28</v>
      </c>
      <c r="Q254" s="55" t="n">
        <v>3.2</v>
      </c>
      <c r="R254" s="573" t="n"/>
      <c r="S254" s="55" t="n"/>
      <c r="T254" s="55" t="n">
        <v>0.7</v>
      </c>
    </row>
    <row r="255">
      <c r="A255" s="20" t="inlineStr">
        <is>
          <t>Boreal Moist</t>
        </is>
      </c>
      <c r="B255" s="411" t="inlineStr">
        <is>
          <t>Western Africa</t>
        </is>
      </c>
      <c r="C255" s="20">
        <f>CONCATENATE(A255,B255)</f>
        <v/>
      </c>
      <c r="D255" s="249" t="n"/>
      <c r="E255" s="257">
        <f>AVERAGE(F255:M255)</f>
        <v/>
      </c>
      <c r="F255" s="563" t="n"/>
      <c r="G255" s="574" t="n"/>
      <c r="H255" s="565" t="n">
        <v>0.87</v>
      </c>
      <c r="I255" s="563" t="n"/>
      <c r="J255" s="564" t="n"/>
      <c r="K255" s="574" t="n"/>
      <c r="L255" s="615" t="n">
        <v>0.91</v>
      </c>
      <c r="M255" s="615" t="n">
        <v>2.33</v>
      </c>
      <c r="N255" s="55" t="n">
        <v>0.46</v>
      </c>
      <c r="O255" s="571" t="n">
        <v>0.43</v>
      </c>
      <c r="P255" s="572" t="n">
        <v>0.28</v>
      </c>
      <c r="Q255" s="55" t="n">
        <v>3.2</v>
      </c>
      <c r="R255" s="573" t="n"/>
      <c r="S255" s="55" t="n"/>
      <c r="T255" s="55" t="n">
        <v>0.7</v>
      </c>
    </row>
    <row r="256">
      <c r="A256" s="20" t="inlineStr">
        <is>
          <t>Boreal Moist</t>
        </is>
      </c>
      <c r="B256" s="411" t="inlineStr">
        <is>
          <t>Central Asia</t>
        </is>
      </c>
      <c r="C256" s="20">
        <f>CONCATENATE(A256,B256)</f>
        <v/>
      </c>
      <c r="D256" s="249" t="n"/>
      <c r="E256" s="257">
        <f>AVERAGE(F256:M256)</f>
        <v/>
      </c>
      <c r="F256" s="563" t="n"/>
      <c r="G256" s="574" t="n"/>
      <c r="H256" s="565" t="n">
        <v>0.87</v>
      </c>
      <c r="I256" s="563" t="n"/>
      <c r="J256" s="564" t="n"/>
      <c r="K256" s="574" t="n"/>
      <c r="L256" s="615" t="n">
        <v>0.91</v>
      </c>
      <c r="M256" s="615" t="n">
        <v>2.33</v>
      </c>
      <c r="N256" s="55" t="n">
        <v>0.46</v>
      </c>
      <c r="O256" s="571" t="n">
        <v>0.43</v>
      </c>
      <c r="P256" s="572" t="n">
        <v>0.28</v>
      </c>
      <c r="Q256" s="55" t="n">
        <v>3.2</v>
      </c>
      <c r="R256" s="573" t="n"/>
      <c r="S256" s="55" t="n"/>
      <c r="T256" s="55" t="n">
        <v>0.7</v>
      </c>
    </row>
    <row r="257">
      <c r="A257" s="20" t="inlineStr">
        <is>
          <t>Boreal Moist</t>
        </is>
      </c>
      <c r="B257" s="411" t="inlineStr">
        <is>
          <t>Eastern Asia</t>
        </is>
      </c>
      <c r="C257" s="20">
        <f>CONCATENATE(A257,B257)</f>
        <v/>
      </c>
      <c r="D257" s="249" t="n"/>
      <c r="E257" s="257">
        <f>AVERAGE(F257:M257)</f>
        <v/>
      </c>
      <c r="F257" s="563" t="n"/>
      <c r="G257" s="574" t="n"/>
      <c r="H257" s="565" t="n">
        <v>0.87</v>
      </c>
      <c r="I257" s="563" t="n"/>
      <c r="J257" s="564" t="n"/>
      <c r="K257" s="574" t="n"/>
      <c r="L257" s="615" t="n">
        <v>0.91</v>
      </c>
      <c r="M257" s="615" t="n">
        <v>2.33</v>
      </c>
      <c r="N257" s="55" t="n">
        <v>0.46</v>
      </c>
      <c r="O257" s="571" t="n">
        <v>0.43</v>
      </c>
      <c r="P257" s="572" t="n">
        <v>0.28</v>
      </c>
      <c r="Q257" s="55" t="n">
        <v>3.2</v>
      </c>
      <c r="R257" s="573" t="n"/>
      <c r="S257" s="55" t="n"/>
      <c r="T257" s="55" t="n">
        <v>0.7</v>
      </c>
    </row>
    <row r="258">
      <c r="A258" s="20" t="inlineStr">
        <is>
          <t>Boreal Moist</t>
        </is>
      </c>
      <c r="B258" s="411" t="inlineStr">
        <is>
          <t>South-eastern Asia</t>
        </is>
      </c>
      <c r="C258" s="20">
        <f>CONCATENATE(A258,B258)</f>
        <v/>
      </c>
      <c r="D258" s="249" t="n"/>
      <c r="E258" s="257">
        <f>AVERAGE(F258:M258)</f>
        <v/>
      </c>
      <c r="F258" s="563" t="n"/>
      <c r="G258" s="574" t="n"/>
      <c r="H258" s="565" t="n">
        <v>0.87</v>
      </c>
      <c r="I258" s="563" t="n"/>
      <c r="J258" s="564" t="n"/>
      <c r="K258" s="574" t="n"/>
      <c r="L258" s="615" t="n">
        <v>0.91</v>
      </c>
      <c r="M258" s="615" t="n">
        <v>2.33</v>
      </c>
      <c r="N258" s="55" t="n">
        <v>0.46</v>
      </c>
      <c r="O258" s="571" t="n">
        <v>0.43</v>
      </c>
      <c r="P258" s="572" t="n">
        <v>0.28</v>
      </c>
      <c r="Q258" s="55" t="n">
        <v>3.2</v>
      </c>
      <c r="R258" s="573" t="n"/>
      <c r="S258" s="55" t="n"/>
      <c r="T258" s="55" t="n">
        <v>0.7</v>
      </c>
    </row>
    <row r="259">
      <c r="A259" s="20" t="inlineStr">
        <is>
          <t>Boreal Moist</t>
        </is>
      </c>
      <c r="B259" s="411" t="inlineStr">
        <is>
          <t>Southern Asia</t>
        </is>
      </c>
      <c r="C259" s="20">
        <f>CONCATENATE(A259,B259)</f>
        <v/>
      </c>
      <c r="D259" s="249" t="n"/>
      <c r="E259" s="257">
        <f>AVERAGE(F259:M259)</f>
        <v/>
      </c>
      <c r="F259" s="563" t="n"/>
      <c r="G259" s="574" t="n"/>
      <c r="H259" s="565" t="n">
        <v>0.87</v>
      </c>
      <c r="I259" s="563" t="n"/>
      <c r="J259" s="564" t="n"/>
      <c r="K259" s="574" t="n"/>
      <c r="L259" s="615" t="n">
        <v>0.91</v>
      </c>
      <c r="M259" s="615" t="n">
        <v>2.33</v>
      </c>
      <c r="N259" s="55" t="n">
        <v>0.46</v>
      </c>
      <c r="O259" s="571" t="n">
        <v>0.43</v>
      </c>
      <c r="P259" s="572" t="n">
        <v>0.28</v>
      </c>
      <c r="Q259" s="55" t="n">
        <v>3.2</v>
      </c>
      <c r="R259" s="573" t="n"/>
      <c r="S259" s="55" t="n"/>
      <c r="T259" s="55" t="n">
        <v>0.7</v>
      </c>
    </row>
    <row r="260">
      <c r="A260" s="20" t="inlineStr">
        <is>
          <t>Boreal Moist</t>
        </is>
      </c>
      <c r="B260" s="411" t="inlineStr">
        <is>
          <t>Western Asia</t>
        </is>
      </c>
      <c r="C260" s="20">
        <f>CONCATENATE(A260,B260)</f>
        <v/>
      </c>
      <c r="D260" s="249" t="n"/>
      <c r="E260" s="257">
        <f>AVERAGE(F260:M260)</f>
        <v/>
      </c>
      <c r="F260" s="563" t="n"/>
      <c r="G260" s="574" t="n"/>
      <c r="H260" s="565" t="n">
        <v>0.87</v>
      </c>
      <c r="I260" s="563" t="n"/>
      <c r="J260" s="564" t="n"/>
      <c r="K260" s="574" t="n"/>
      <c r="L260" s="615" t="n">
        <v>0.91</v>
      </c>
      <c r="M260" s="615" t="n">
        <v>2.33</v>
      </c>
      <c r="N260" s="55" t="n">
        <v>0.46</v>
      </c>
      <c r="O260" s="571" t="n">
        <v>0.43</v>
      </c>
      <c r="P260" s="572" t="n">
        <v>0.28</v>
      </c>
      <c r="Q260" s="55" t="n">
        <v>3.2</v>
      </c>
      <c r="R260" s="573" t="n"/>
      <c r="S260" s="55" t="n"/>
      <c r="T260" s="55" t="n">
        <v>0.7</v>
      </c>
    </row>
    <row r="261">
      <c r="A261" s="20" t="inlineStr">
        <is>
          <t>Boreal Moist</t>
        </is>
      </c>
      <c r="B261" s="411" t="inlineStr">
        <is>
          <t>Europe</t>
        </is>
      </c>
      <c r="C261" s="20">
        <f>CONCATENATE(A261,B261)</f>
        <v/>
      </c>
      <c r="D261" s="249" t="n"/>
      <c r="E261" s="257">
        <f>AVERAGE(F261:M261)</f>
        <v/>
      </c>
      <c r="F261" s="563" t="n"/>
      <c r="G261" s="574" t="n"/>
      <c r="H261" s="565" t="n">
        <v>0.87</v>
      </c>
      <c r="I261" s="563" t="n"/>
      <c r="J261" s="564" t="n"/>
      <c r="K261" s="574" t="n"/>
      <c r="L261" s="615" t="n">
        <v>0.91</v>
      </c>
      <c r="M261" s="615" t="n">
        <v>2.33</v>
      </c>
      <c r="N261" s="55" t="n">
        <v>0.46</v>
      </c>
      <c r="O261" s="571" t="n">
        <v>0.43</v>
      </c>
      <c r="P261" s="572" t="n">
        <v>0.28</v>
      </c>
      <c r="Q261" s="55" t="n">
        <v>3.2</v>
      </c>
      <c r="R261" s="573" t="n"/>
      <c r="S261" s="55" t="n"/>
      <c r="T261" s="55" t="n">
        <v>0.7</v>
      </c>
    </row>
    <row r="262">
      <c r="A262" s="20" t="inlineStr">
        <is>
          <t>Boreal Moist</t>
        </is>
      </c>
      <c r="B262" s="411" t="inlineStr">
        <is>
          <t>Oceania</t>
        </is>
      </c>
      <c r="C262" s="20">
        <f>CONCATENATE(A262,B262)</f>
        <v/>
      </c>
      <c r="D262" s="249" t="n"/>
      <c r="E262" s="257">
        <f>AVERAGE(F262:M262)</f>
        <v/>
      </c>
      <c r="F262" s="563" t="n"/>
      <c r="G262" s="574" t="n"/>
      <c r="H262" s="565" t="n">
        <v>0.87</v>
      </c>
      <c r="I262" s="563" t="n"/>
      <c r="J262" s="564" t="n"/>
      <c r="K262" s="574" t="n"/>
      <c r="L262" s="615" t="n">
        <v>0.91</v>
      </c>
      <c r="M262" s="615" t="n">
        <v>2.33</v>
      </c>
      <c r="N262" s="55" t="n">
        <v>0.46</v>
      </c>
      <c r="O262" s="571" t="n">
        <v>0.43</v>
      </c>
      <c r="P262" s="572" t="n">
        <v>0.28</v>
      </c>
      <c r="Q262" s="55" t="n">
        <v>3.2</v>
      </c>
      <c r="R262" s="573" t="n"/>
      <c r="S262" s="55" t="n"/>
      <c r="T262" s="55" t="n">
        <v>0.7</v>
      </c>
    </row>
    <row r="263">
      <c r="A263" s="20" t="inlineStr">
        <is>
          <t>Boreal Moist</t>
        </is>
      </c>
      <c r="B263" s="411" t="inlineStr">
        <is>
          <t>North America</t>
        </is>
      </c>
      <c r="C263" s="20">
        <f>CONCATENATE(A263,B263)</f>
        <v/>
      </c>
      <c r="D263" s="249" t="n"/>
      <c r="E263" s="257">
        <f>AVERAGE(F263:M263)</f>
        <v/>
      </c>
      <c r="F263" s="563" t="n"/>
      <c r="G263" s="574" t="n"/>
      <c r="H263" s="565" t="n">
        <v>0.87</v>
      </c>
      <c r="I263" s="563" t="n"/>
      <c r="J263" s="564" t="n"/>
      <c r="K263" s="574" t="n"/>
      <c r="L263" s="615" t="n">
        <v>0.91</v>
      </c>
      <c r="M263" s="615" t="n">
        <v>2.33</v>
      </c>
      <c r="N263" s="55" t="n">
        <v>0.46</v>
      </c>
      <c r="O263" s="571" t="n">
        <v>0.43</v>
      </c>
      <c r="P263" s="572" t="n">
        <v>0.28</v>
      </c>
      <c r="Q263" s="55" t="n">
        <v>3.2</v>
      </c>
      <c r="R263" s="573" t="n"/>
      <c r="S263" s="55" t="n"/>
      <c r="T263" s="55" t="n">
        <v>0.7</v>
      </c>
    </row>
    <row r="264">
      <c r="A264" s="20" t="inlineStr">
        <is>
          <t>Boreal Moist</t>
        </is>
      </c>
      <c r="B264" s="411" t="inlineStr">
        <is>
          <t>South America</t>
        </is>
      </c>
      <c r="C264" s="20">
        <f>CONCATENATE(A264,B264)</f>
        <v/>
      </c>
      <c r="D264" s="249" t="n"/>
      <c r="E264" s="257">
        <f>AVERAGE(F264:M264)</f>
        <v/>
      </c>
      <c r="F264" s="563" t="n"/>
      <c r="G264" s="574" t="n"/>
      <c r="H264" s="565" t="n">
        <v>0.87</v>
      </c>
      <c r="I264" s="563" t="n"/>
      <c r="J264" s="564" t="n"/>
      <c r="K264" s="574" t="n"/>
      <c r="L264" s="615" t="n">
        <v>0.91</v>
      </c>
      <c r="M264" s="615" t="n">
        <v>2.33</v>
      </c>
      <c r="N264" s="55" t="n">
        <v>0.46</v>
      </c>
      <c r="O264" s="571" t="n">
        <v>0.43</v>
      </c>
      <c r="P264" s="572" t="n">
        <v>0.28</v>
      </c>
      <c r="Q264" s="55" t="n">
        <v>3.2</v>
      </c>
      <c r="R264" s="573" t="n"/>
      <c r="S264" s="55" t="n"/>
      <c r="T264" s="55" t="n">
        <v>0.7</v>
      </c>
    </row>
    <row r="265">
      <c r="A265" s="20" t="inlineStr">
        <is>
          <t>Boreal Moist</t>
        </is>
      </c>
      <c r="B265" s="411" t="inlineStr">
        <is>
          <t>Central America</t>
        </is>
      </c>
      <c r="C265" s="20">
        <f>CONCATENATE(A265,B265)</f>
        <v/>
      </c>
      <c r="D265" s="249" t="n"/>
      <c r="E265" s="257">
        <f>AVERAGE(F265:M265)</f>
        <v/>
      </c>
      <c r="F265" s="563" t="n"/>
      <c r="G265" s="574" t="n"/>
      <c r="H265" s="565" t="n">
        <v>0.87</v>
      </c>
      <c r="I265" s="563" t="n"/>
      <c r="J265" s="564" t="n"/>
      <c r="K265" s="574" t="n"/>
      <c r="L265" s="615" t="n">
        <v>0.91</v>
      </c>
      <c r="M265" s="615" t="n">
        <v>2.33</v>
      </c>
      <c r="N265" s="55" t="n">
        <v>0.46</v>
      </c>
      <c r="O265" s="571" t="n">
        <v>0.43</v>
      </c>
      <c r="P265" s="572" t="n">
        <v>0.28</v>
      </c>
      <c r="Q265" s="55" t="n">
        <v>3.2</v>
      </c>
      <c r="R265" s="573" t="n"/>
      <c r="S265" s="55" t="n"/>
      <c r="T265" s="55" t="n">
        <v>0.7</v>
      </c>
    </row>
    <row r="266">
      <c r="A266" s="20" t="inlineStr">
        <is>
          <t>Boreal Moist</t>
        </is>
      </c>
      <c r="B266" s="412" t="inlineStr">
        <is>
          <t>Caribbean</t>
        </is>
      </c>
      <c r="C266" s="20">
        <f>CONCATENATE(A266,B266)</f>
        <v/>
      </c>
      <c r="D266" s="249" t="n"/>
      <c r="E266" s="258">
        <f>AVERAGE(F266:M266)</f>
        <v/>
      </c>
      <c r="F266" s="563" t="n"/>
      <c r="G266" s="574" t="n"/>
      <c r="H266" s="578" t="n">
        <v>0.87</v>
      </c>
      <c r="I266" s="563" t="n"/>
      <c r="J266" s="564" t="n"/>
      <c r="K266" s="574" t="n"/>
      <c r="L266" s="617" t="n">
        <v>0.91</v>
      </c>
      <c r="M266" s="617" t="n">
        <v>2.33</v>
      </c>
      <c r="N266" s="579" t="n">
        <v>0.46</v>
      </c>
      <c r="O266" s="580" t="n">
        <v>0.43</v>
      </c>
      <c r="P266" s="420" t="n">
        <v>0.28</v>
      </c>
      <c r="Q266" s="579" t="n">
        <v>3.2</v>
      </c>
      <c r="R266" s="581" t="n"/>
      <c r="S266" s="579" t="n"/>
      <c r="T266" s="55" t="n">
        <v>0.7</v>
      </c>
    </row>
    <row r="267">
      <c r="A267" s="63" t="inlineStr">
        <is>
          <t>Temperate</t>
        </is>
      </c>
      <c r="B267" s="408" t="inlineStr">
        <is>
          <t>Eastern Africa</t>
        </is>
      </c>
      <c r="C267" s="63">
        <f>CONCATENATE(A267,B267)</f>
        <v/>
      </c>
      <c r="D267" s="263" t="n"/>
      <c r="E267" s="261">
        <f>AVERAGE(F267:M267)</f>
        <v/>
      </c>
      <c r="F267" s="570" t="n"/>
      <c r="G267" s="569" t="n"/>
      <c r="H267" s="615" t="n">
        <v>0.87</v>
      </c>
      <c r="I267" s="570" t="n"/>
      <c r="J267" s="567" t="n"/>
      <c r="K267" s="569" t="n"/>
      <c r="L267" s="614" t="n">
        <v>0.91</v>
      </c>
      <c r="M267" s="614" t="n">
        <v>2.33</v>
      </c>
      <c r="N267" s="567" t="n">
        <v>0.46</v>
      </c>
      <c r="O267" s="568" t="n">
        <v>0.43</v>
      </c>
      <c r="P267" s="569" t="n">
        <v>0.28</v>
      </c>
      <c r="Q267" s="567" t="n">
        <v>3.2</v>
      </c>
      <c r="R267" s="570" t="n"/>
      <c r="S267" s="567" t="n"/>
      <c r="T267" s="567" t="n">
        <v>0.7</v>
      </c>
    </row>
    <row r="268">
      <c r="A268" s="20" t="inlineStr">
        <is>
          <t>Temperate</t>
        </is>
      </c>
      <c r="B268" s="401" t="inlineStr">
        <is>
          <t>Central Africa</t>
        </is>
      </c>
      <c r="C268" s="20">
        <f>CONCATENATE(A268,B268)</f>
        <v/>
      </c>
      <c r="D268" s="264" t="n"/>
      <c r="E268" s="261">
        <f>AVERAGE(F268:M268)</f>
        <v/>
      </c>
      <c r="F268" s="573" t="n"/>
      <c r="G268" s="572" t="n"/>
      <c r="H268" s="615" t="n">
        <v>0.87</v>
      </c>
      <c r="I268" s="573" t="n"/>
      <c r="J268" s="55" t="n"/>
      <c r="K268" s="572" t="n"/>
      <c r="L268" s="615" t="n">
        <v>0.91</v>
      </c>
      <c r="M268" s="615" t="n">
        <v>2.33</v>
      </c>
      <c r="N268" s="55" t="n">
        <v>0.46</v>
      </c>
      <c r="O268" s="571" t="n">
        <v>0.43</v>
      </c>
      <c r="P268" s="572" t="n">
        <v>0.28</v>
      </c>
      <c r="Q268" s="55" t="n">
        <v>3.2</v>
      </c>
      <c r="R268" s="573" t="n"/>
      <c r="S268" s="55" t="n"/>
      <c r="T268" s="55" t="n">
        <v>0.7</v>
      </c>
    </row>
    <row r="269">
      <c r="A269" s="20" t="inlineStr">
        <is>
          <t>Temperate</t>
        </is>
      </c>
      <c r="B269" s="401" t="inlineStr">
        <is>
          <t>Northern Africa</t>
        </is>
      </c>
      <c r="C269" s="20">
        <f>CONCATENATE(A269,B269)</f>
        <v/>
      </c>
      <c r="D269" s="264" t="n"/>
      <c r="E269" s="261">
        <f>AVERAGE(F269:M269)</f>
        <v/>
      </c>
      <c r="F269" s="573" t="n"/>
      <c r="G269" s="572" t="n"/>
      <c r="H269" s="615" t="n">
        <v>0.87</v>
      </c>
      <c r="I269" s="573" t="n"/>
      <c r="J269" s="55" t="n"/>
      <c r="K269" s="572" t="n"/>
      <c r="L269" s="615" t="n">
        <v>0.91</v>
      </c>
      <c r="M269" s="615" t="n">
        <v>2.33</v>
      </c>
      <c r="N269" s="55" t="n">
        <v>0.46</v>
      </c>
      <c r="O269" s="571" t="n">
        <v>0.43</v>
      </c>
      <c r="P269" s="572" t="n">
        <v>0.28</v>
      </c>
      <c r="Q269" s="55" t="n">
        <v>3.2</v>
      </c>
      <c r="R269" s="573" t="n"/>
      <c r="S269" s="55" t="n"/>
      <c r="T269" s="55" t="n">
        <v>0.7</v>
      </c>
    </row>
    <row r="270">
      <c r="A270" s="20" t="inlineStr">
        <is>
          <t>Temperate</t>
        </is>
      </c>
      <c r="B270" s="401" t="inlineStr">
        <is>
          <t>Southern Africa</t>
        </is>
      </c>
      <c r="C270" s="20">
        <f>CONCATENATE(A270,B270)</f>
        <v/>
      </c>
      <c r="D270" s="264" t="n"/>
      <c r="E270" s="261">
        <f>AVERAGE(F270:M270)</f>
        <v/>
      </c>
      <c r="F270" s="573" t="n"/>
      <c r="G270" s="572" t="n"/>
      <c r="H270" s="615" t="n">
        <v>0.87</v>
      </c>
      <c r="I270" s="573" t="n"/>
      <c r="J270" s="55" t="n"/>
      <c r="K270" s="572" t="n"/>
      <c r="L270" s="615" t="n">
        <v>0.91</v>
      </c>
      <c r="M270" s="615" t="n">
        <v>2.33</v>
      </c>
      <c r="N270" s="55" t="n">
        <v>0.46</v>
      </c>
      <c r="O270" s="571" t="n">
        <v>0.43</v>
      </c>
      <c r="P270" s="572" t="n">
        <v>0.28</v>
      </c>
      <c r="Q270" s="55" t="n">
        <v>3.2</v>
      </c>
      <c r="R270" s="573" t="n"/>
      <c r="S270" s="55" t="n"/>
      <c r="T270" s="55" t="n">
        <v>0.7</v>
      </c>
    </row>
    <row r="271">
      <c r="A271" s="20" t="inlineStr">
        <is>
          <t>Temperate</t>
        </is>
      </c>
      <c r="B271" s="401" t="inlineStr">
        <is>
          <t>Western Africa</t>
        </is>
      </c>
      <c r="C271" s="20">
        <f>CONCATENATE(A271,B271)</f>
        <v/>
      </c>
      <c r="D271" s="264" t="n"/>
      <c r="E271" s="261">
        <f>AVERAGE(F271:M271)</f>
        <v/>
      </c>
      <c r="F271" s="573" t="n"/>
      <c r="G271" s="572" t="n"/>
      <c r="H271" s="615" t="n">
        <v>0.87</v>
      </c>
      <c r="I271" s="573" t="n"/>
      <c r="J271" s="55" t="n"/>
      <c r="K271" s="572" t="n"/>
      <c r="L271" s="615" t="n">
        <v>0.91</v>
      </c>
      <c r="M271" s="615" t="n">
        <v>2.33</v>
      </c>
      <c r="N271" s="55" t="n">
        <v>0.46</v>
      </c>
      <c r="O271" s="571" t="n">
        <v>0.43</v>
      </c>
      <c r="P271" s="572" t="n">
        <v>0.28</v>
      </c>
      <c r="Q271" s="55" t="n">
        <v>3.2</v>
      </c>
      <c r="R271" s="573" t="n"/>
      <c r="S271" s="55" t="n"/>
      <c r="T271" s="55" t="n">
        <v>0.7</v>
      </c>
    </row>
    <row r="272">
      <c r="A272" s="20" t="inlineStr">
        <is>
          <t>Temperate</t>
        </is>
      </c>
      <c r="B272" s="401" t="inlineStr">
        <is>
          <t>Central Asia</t>
        </is>
      </c>
      <c r="C272" s="20">
        <f>CONCATENATE(A272,B272)</f>
        <v/>
      </c>
      <c r="D272" s="264" t="n"/>
      <c r="E272" s="261">
        <f>AVERAGE(F272:M272)</f>
        <v/>
      </c>
      <c r="F272" s="573" t="n"/>
      <c r="G272" s="572" t="n"/>
      <c r="H272" s="615" t="n">
        <v>0.87</v>
      </c>
      <c r="I272" s="573" t="n"/>
      <c r="J272" s="55" t="n"/>
      <c r="K272" s="572" t="n"/>
      <c r="L272" s="615" t="n">
        <v>0.91</v>
      </c>
      <c r="M272" s="615" t="n">
        <v>2.33</v>
      </c>
      <c r="N272" s="55" t="n">
        <v>0.46</v>
      </c>
      <c r="O272" s="571" t="n">
        <v>0.43</v>
      </c>
      <c r="P272" s="572" t="n">
        <v>0.28</v>
      </c>
      <c r="Q272" s="55" t="n">
        <v>3.2</v>
      </c>
      <c r="R272" s="573" t="n"/>
      <c r="S272" s="55" t="n"/>
      <c r="T272" s="55" t="n">
        <v>0.7</v>
      </c>
    </row>
    <row r="273">
      <c r="A273" s="20" t="inlineStr">
        <is>
          <t>Temperate</t>
        </is>
      </c>
      <c r="B273" s="401" t="inlineStr">
        <is>
          <t>Eastern Asia</t>
        </is>
      </c>
      <c r="C273" s="20">
        <f>CONCATENATE(A273,B273)</f>
        <v/>
      </c>
      <c r="D273" s="264" t="n"/>
      <c r="E273" s="261">
        <f>AVERAGE(F273:M273)</f>
        <v/>
      </c>
      <c r="F273" s="573" t="n"/>
      <c r="G273" s="572" t="n"/>
      <c r="H273" s="615" t="n">
        <v>0.87</v>
      </c>
      <c r="I273" s="573" t="n"/>
      <c r="J273" s="55" t="n"/>
      <c r="K273" s="572" t="n"/>
      <c r="L273" s="615" t="n">
        <v>0.91</v>
      </c>
      <c r="M273" s="615" t="n">
        <v>2.33</v>
      </c>
      <c r="N273" s="55" t="n">
        <v>0.46</v>
      </c>
      <c r="O273" s="571" t="n">
        <v>0.43</v>
      </c>
      <c r="P273" s="572" t="n">
        <v>0.28</v>
      </c>
      <c r="Q273" s="55" t="n">
        <v>3.2</v>
      </c>
      <c r="R273" s="573" t="n"/>
      <c r="S273" s="55" t="n"/>
      <c r="T273" s="55" t="n">
        <v>0.7</v>
      </c>
    </row>
    <row r="274">
      <c r="A274" s="20" t="inlineStr">
        <is>
          <t>Temperate</t>
        </is>
      </c>
      <c r="B274" s="401" t="inlineStr">
        <is>
          <t>South-eastern Asia</t>
        </is>
      </c>
      <c r="C274" s="20">
        <f>CONCATENATE(A274,B274)</f>
        <v/>
      </c>
      <c r="D274" s="264" t="n"/>
      <c r="E274" s="261">
        <f>AVERAGE(F274:M274)</f>
        <v/>
      </c>
      <c r="F274" s="573" t="n"/>
      <c r="G274" s="572" t="n"/>
      <c r="H274" s="615" t="n">
        <v>0.87</v>
      </c>
      <c r="I274" s="573" t="n"/>
      <c r="J274" s="55" t="n"/>
      <c r="K274" s="572" t="n"/>
      <c r="L274" s="615" t="n">
        <v>0.91</v>
      </c>
      <c r="M274" s="615" t="n">
        <v>2.33</v>
      </c>
      <c r="N274" s="55" t="n">
        <v>0.46</v>
      </c>
      <c r="O274" s="571" t="n">
        <v>0.43</v>
      </c>
      <c r="P274" s="572" t="n">
        <v>0.28</v>
      </c>
      <c r="Q274" s="55" t="n">
        <v>3.2</v>
      </c>
      <c r="R274" s="573" t="n"/>
      <c r="S274" s="55" t="n"/>
      <c r="T274" s="55" t="n">
        <v>0.7</v>
      </c>
    </row>
    <row r="275">
      <c r="A275" s="20" t="inlineStr">
        <is>
          <t>Temperate</t>
        </is>
      </c>
      <c r="B275" s="401" t="inlineStr">
        <is>
          <t>Southern Asia</t>
        </is>
      </c>
      <c r="C275" s="20">
        <f>CONCATENATE(A275,B275)</f>
        <v/>
      </c>
      <c r="D275" s="264" t="n"/>
      <c r="E275" s="261">
        <f>AVERAGE(F275:M275)</f>
        <v/>
      </c>
      <c r="F275" s="573" t="n"/>
      <c r="G275" s="572" t="n"/>
      <c r="H275" s="615" t="n">
        <v>0.87</v>
      </c>
      <c r="I275" s="573" t="n"/>
      <c r="J275" s="55" t="n"/>
      <c r="K275" s="572" t="n"/>
      <c r="L275" s="615" t="n">
        <v>0.91</v>
      </c>
      <c r="M275" s="615" t="n">
        <v>2.33</v>
      </c>
      <c r="N275" s="55" t="n">
        <v>0.46</v>
      </c>
      <c r="O275" s="571" t="n">
        <v>0.43</v>
      </c>
      <c r="P275" s="572" t="n">
        <v>0.28</v>
      </c>
      <c r="Q275" s="55" t="n">
        <v>3.2</v>
      </c>
      <c r="R275" s="573" t="n"/>
      <c r="S275" s="55" t="n"/>
      <c r="T275" s="55" t="n">
        <v>0.7</v>
      </c>
    </row>
    <row r="276">
      <c r="A276" s="20" t="inlineStr">
        <is>
          <t>Temperate</t>
        </is>
      </c>
      <c r="B276" s="401" t="inlineStr">
        <is>
          <t>Western Asia</t>
        </is>
      </c>
      <c r="C276" s="20">
        <f>CONCATENATE(A276,B276)</f>
        <v/>
      </c>
      <c r="D276" s="264" t="n"/>
      <c r="E276" s="261">
        <f>AVERAGE(F276:M276)</f>
        <v/>
      </c>
      <c r="F276" s="573" t="n"/>
      <c r="G276" s="572" t="n"/>
      <c r="H276" s="615" t="n">
        <v>0.87</v>
      </c>
      <c r="I276" s="573" t="n"/>
      <c r="J276" s="55" t="n"/>
      <c r="K276" s="572" t="n"/>
      <c r="L276" s="615" t="n">
        <v>0.91</v>
      </c>
      <c r="M276" s="615" t="n">
        <v>2.33</v>
      </c>
      <c r="N276" s="55" t="n">
        <v>0.46</v>
      </c>
      <c r="O276" s="571" t="n">
        <v>0.43</v>
      </c>
      <c r="P276" s="572" t="n">
        <v>0.28</v>
      </c>
      <c r="Q276" s="55" t="n">
        <v>3.2</v>
      </c>
      <c r="R276" s="573" t="n"/>
      <c r="S276" s="55" t="n"/>
      <c r="T276" s="55" t="n">
        <v>0.7</v>
      </c>
    </row>
    <row r="277">
      <c r="A277" s="20" t="inlineStr">
        <is>
          <t>Temperate</t>
        </is>
      </c>
      <c r="B277" s="401" t="inlineStr">
        <is>
          <t>Europe</t>
        </is>
      </c>
      <c r="C277" s="20">
        <f>CONCATENATE(A277,B277)</f>
        <v/>
      </c>
      <c r="D277" s="264" t="n"/>
      <c r="E277" s="261">
        <f>AVERAGE(F277:M277)</f>
        <v/>
      </c>
      <c r="F277" s="573" t="n"/>
      <c r="G277" s="572" t="n"/>
      <c r="H277" s="615" t="n">
        <v>0.87</v>
      </c>
      <c r="I277" s="573" t="n"/>
      <c r="J277" s="55" t="n"/>
      <c r="K277" s="572" t="n"/>
      <c r="L277" s="615" t="n">
        <v>0.91</v>
      </c>
      <c r="M277" s="615" t="n">
        <v>2.33</v>
      </c>
      <c r="N277" s="55" t="n">
        <v>0.46</v>
      </c>
      <c r="O277" s="571" t="n">
        <v>0.43</v>
      </c>
      <c r="P277" s="572" t="n">
        <v>0.28</v>
      </c>
      <c r="Q277" s="55" t="n">
        <v>3.2</v>
      </c>
      <c r="R277" s="573" t="n"/>
      <c r="S277" s="55" t="n"/>
      <c r="T277" s="55" t="n">
        <v>0.7</v>
      </c>
    </row>
    <row r="278">
      <c r="A278" s="20" t="inlineStr">
        <is>
          <t>Temperate</t>
        </is>
      </c>
      <c r="B278" s="401" t="inlineStr">
        <is>
          <t>Oceania</t>
        </is>
      </c>
      <c r="C278" s="20">
        <f>CONCATENATE(A278,B278)</f>
        <v/>
      </c>
      <c r="D278" s="264" t="n"/>
      <c r="E278" s="261">
        <f>AVERAGE(F278:M278)</f>
        <v/>
      </c>
      <c r="F278" s="573" t="n"/>
      <c r="G278" s="572" t="n"/>
      <c r="H278" s="615" t="n">
        <v>0.87</v>
      </c>
      <c r="I278" s="573" t="n"/>
      <c r="J278" s="55" t="n"/>
      <c r="K278" s="572" t="n"/>
      <c r="L278" s="615" t="n">
        <v>0.91</v>
      </c>
      <c r="M278" s="615" t="n">
        <v>2.33</v>
      </c>
      <c r="N278" s="55" t="n">
        <v>0.46</v>
      </c>
      <c r="O278" s="571" t="n">
        <v>0.43</v>
      </c>
      <c r="P278" s="572" t="n">
        <v>0.28</v>
      </c>
      <c r="Q278" s="55" t="n">
        <v>3.2</v>
      </c>
      <c r="R278" s="573" t="n"/>
      <c r="S278" s="55" t="n"/>
      <c r="T278" s="55" t="n">
        <v>0.7</v>
      </c>
    </row>
    <row r="279">
      <c r="A279" s="20" t="inlineStr">
        <is>
          <t>Temperate</t>
        </is>
      </c>
      <c r="B279" s="401" t="inlineStr">
        <is>
          <t>North America</t>
        </is>
      </c>
      <c r="C279" s="20">
        <f>CONCATENATE(A279,B279)</f>
        <v/>
      </c>
      <c r="D279" s="264" t="n"/>
      <c r="E279" s="261">
        <f>AVERAGE(F279:M279)</f>
        <v/>
      </c>
      <c r="F279" s="573" t="n"/>
      <c r="G279" s="572" t="n"/>
      <c r="H279" s="615" t="n">
        <v>0.87</v>
      </c>
      <c r="I279" s="573" t="n"/>
      <c r="J279" s="55" t="n"/>
      <c r="K279" s="572" t="n"/>
      <c r="L279" s="615" t="n">
        <v>0.91</v>
      </c>
      <c r="M279" s="615" t="n">
        <v>2.33</v>
      </c>
      <c r="N279" s="55" t="n">
        <v>0.46</v>
      </c>
      <c r="O279" s="571" t="n">
        <v>0.43</v>
      </c>
      <c r="P279" s="572" t="n">
        <v>0.28</v>
      </c>
      <c r="Q279" s="55" t="n">
        <v>3.2</v>
      </c>
      <c r="R279" s="573" t="n"/>
      <c r="S279" s="55" t="n"/>
      <c r="T279" s="55" t="n">
        <v>0.7</v>
      </c>
    </row>
    <row r="280">
      <c r="A280" s="20" t="inlineStr">
        <is>
          <t>Temperate</t>
        </is>
      </c>
      <c r="B280" s="401" t="inlineStr">
        <is>
          <t>South America</t>
        </is>
      </c>
      <c r="C280" s="20">
        <f>CONCATENATE(A280,B280)</f>
        <v/>
      </c>
      <c r="D280" s="264" t="n"/>
      <c r="E280" s="261">
        <f>AVERAGE(F280:M280)</f>
        <v/>
      </c>
      <c r="F280" s="573" t="n"/>
      <c r="G280" s="572" t="n"/>
      <c r="H280" s="615" t="n">
        <v>0.87</v>
      </c>
      <c r="I280" s="573" t="n"/>
      <c r="J280" s="55" t="n"/>
      <c r="K280" s="572" t="n"/>
      <c r="L280" s="615" t="n">
        <v>0.91</v>
      </c>
      <c r="M280" s="615" t="n">
        <v>2.33</v>
      </c>
      <c r="N280" s="55" t="n">
        <v>0.46</v>
      </c>
      <c r="O280" s="571" t="n">
        <v>0.43</v>
      </c>
      <c r="P280" s="572" t="n">
        <v>0.28</v>
      </c>
      <c r="Q280" s="55" t="n">
        <v>3.2</v>
      </c>
      <c r="R280" s="573" t="n"/>
      <c r="S280" s="55" t="n"/>
      <c r="T280" s="55" t="n">
        <v>0.7</v>
      </c>
    </row>
    <row r="281">
      <c r="A281" s="20" t="inlineStr">
        <is>
          <t>Temperate</t>
        </is>
      </c>
      <c r="B281" s="401" t="inlineStr">
        <is>
          <t>Central America</t>
        </is>
      </c>
      <c r="C281" s="20">
        <f>CONCATENATE(A281,B281)</f>
        <v/>
      </c>
      <c r="D281" s="264" t="n"/>
      <c r="E281" s="261">
        <f>AVERAGE(F281:M281)</f>
        <v/>
      </c>
      <c r="F281" s="573" t="n"/>
      <c r="G281" s="572" t="n"/>
      <c r="H281" s="615" t="n">
        <v>0.87</v>
      </c>
      <c r="I281" s="573" t="n"/>
      <c r="J281" s="55" t="n"/>
      <c r="K281" s="572" t="n"/>
      <c r="L281" s="615" t="n">
        <v>0.91</v>
      </c>
      <c r="M281" s="615" t="n">
        <v>2.33</v>
      </c>
      <c r="N281" s="55" t="n">
        <v>0.46</v>
      </c>
      <c r="O281" s="571" t="n">
        <v>0.43</v>
      </c>
      <c r="P281" s="572" t="n">
        <v>0.28</v>
      </c>
      <c r="Q281" s="55" t="n">
        <v>3.2</v>
      </c>
      <c r="R281" s="573" t="n"/>
      <c r="S281" s="55" t="n"/>
      <c r="T281" s="55" t="n">
        <v>0.7</v>
      </c>
    </row>
    <row r="282">
      <c r="A282" s="37" t="inlineStr">
        <is>
          <t>Temperate</t>
        </is>
      </c>
      <c r="B282" s="402" t="inlineStr">
        <is>
          <t>Caribbean</t>
        </is>
      </c>
      <c r="C282" s="20">
        <f>CONCATENATE(A282,B282)</f>
        <v/>
      </c>
      <c r="D282" s="265" t="n"/>
      <c r="E282" s="262">
        <f>AVERAGE(F282:M282)</f>
        <v/>
      </c>
      <c r="F282" s="573" t="n"/>
      <c r="G282" s="572" t="n"/>
      <c r="H282" s="615" t="n">
        <v>0.87</v>
      </c>
      <c r="I282" s="573" t="n"/>
      <c r="J282" s="55" t="n"/>
      <c r="K282" s="572" t="n"/>
      <c r="L282" s="617" t="n">
        <v>0.91</v>
      </c>
      <c r="M282" s="617" t="n">
        <v>2.33</v>
      </c>
      <c r="N282" s="579" t="n">
        <v>0.46</v>
      </c>
      <c r="O282" s="580" t="n">
        <v>0.43</v>
      </c>
      <c r="P282" s="420" t="n">
        <v>0.28</v>
      </c>
      <c r="Q282" s="579" t="n">
        <v>3.2</v>
      </c>
      <c r="R282" s="581" t="n"/>
      <c r="S282" s="579" t="n"/>
      <c r="T282" s="55" t="n">
        <v>0.7</v>
      </c>
    </row>
    <row r="283">
      <c r="A283" s="63" t="inlineStr">
        <is>
          <t>Tropical</t>
        </is>
      </c>
      <c r="B283" s="413" t="inlineStr">
        <is>
          <t>Eastern Africa</t>
        </is>
      </c>
      <c r="C283" s="63">
        <f>CONCATENATE(A283,B283)</f>
        <v/>
      </c>
      <c r="D283" s="263" t="n"/>
      <c r="E283" s="256">
        <f>AVERAGE(F283:M283)</f>
        <v/>
      </c>
      <c r="F283" s="618" t="n">
        <v>2.37</v>
      </c>
      <c r="G283" s="614" t="n">
        <v>4.42</v>
      </c>
      <c r="H283" s="614" t="n">
        <v>0.47</v>
      </c>
      <c r="I283" s="614" t="n">
        <v>3.25</v>
      </c>
      <c r="J283" s="614" t="n">
        <v>0.59</v>
      </c>
      <c r="K283" s="590" t="n">
        <v>2.4</v>
      </c>
      <c r="L283" s="614" t="n">
        <v>3.61</v>
      </c>
      <c r="M283" s="614" t="n">
        <v>2.91</v>
      </c>
      <c r="N283" s="567" t="n"/>
      <c r="O283" s="567" t="n"/>
      <c r="P283" s="567" t="n"/>
      <c r="Q283" s="567" t="n"/>
      <c r="R283" s="567" t="n">
        <v>2.4</v>
      </c>
      <c r="S283" s="567" t="n">
        <v>3</v>
      </c>
      <c r="T283" s="567" t="n">
        <v>0.7</v>
      </c>
    </row>
    <row r="284">
      <c r="A284" s="20" t="inlineStr">
        <is>
          <t>Tropical</t>
        </is>
      </c>
      <c r="B284" s="403" t="inlineStr">
        <is>
          <t>Central Africa</t>
        </is>
      </c>
      <c r="C284" s="20">
        <f>CONCATENATE(A284,B284)</f>
        <v/>
      </c>
      <c r="D284" s="264" t="n"/>
      <c r="E284" s="257">
        <f>AVERAGE(F284:M284)</f>
        <v/>
      </c>
      <c r="F284" s="619" t="n">
        <v>2.37</v>
      </c>
      <c r="G284" s="615" t="n">
        <v>4.42</v>
      </c>
      <c r="H284" s="615" t="n">
        <v>0.47</v>
      </c>
      <c r="I284" s="615" t="n">
        <v>3.25</v>
      </c>
      <c r="J284" s="615" t="n">
        <v>0.59</v>
      </c>
      <c r="K284" s="566" t="n">
        <v>2.4</v>
      </c>
      <c r="L284" s="615" t="n">
        <v>3.61</v>
      </c>
      <c r="M284" s="615" t="n">
        <v>2.91</v>
      </c>
      <c r="N284" s="55" t="n"/>
      <c r="O284" s="55" t="n"/>
      <c r="P284" s="55" t="n"/>
      <c r="Q284" s="55" t="n"/>
      <c r="R284" s="55" t="n">
        <v>2.4</v>
      </c>
      <c r="S284" s="55" t="n">
        <v>3</v>
      </c>
      <c r="T284" s="55" t="n">
        <v>0.7</v>
      </c>
    </row>
    <row r="285">
      <c r="A285" s="20" t="inlineStr">
        <is>
          <t>Tropical</t>
        </is>
      </c>
      <c r="B285" s="403" t="inlineStr">
        <is>
          <t>Northern Africa</t>
        </is>
      </c>
      <c r="C285" s="20">
        <f>CONCATENATE(A285,B285)</f>
        <v/>
      </c>
      <c r="D285" s="264" t="n"/>
      <c r="E285" s="257">
        <f>AVERAGE(F285:M285)</f>
        <v/>
      </c>
      <c r="F285" s="619" t="n">
        <v>2.37</v>
      </c>
      <c r="G285" s="615" t="n">
        <v>4.42</v>
      </c>
      <c r="H285" s="615" t="n">
        <v>0.47</v>
      </c>
      <c r="I285" s="615" t="n">
        <v>3.25</v>
      </c>
      <c r="J285" s="615" t="n">
        <v>0.59</v>
      </c>
      <c r="K285" s="566" t="n">
        <v>2.4</v>
      </c>
      <c r="L285" s="615" t="n">
        <v>3.61</v>
      </c>
      <c r="M285" s="615" t="n">
        <v>2.91</v>
      </c>
      <c r="N285" s="55" t="n"/>
      <c r="O285" s="55" t="n"/>
      <c r="P285" s="55" t="n"/>
      <c r="Q285" s="55" t="n"/>
      <c r="R285" s="55" t="n">
        <v>2.4</v>
      </c>
      <c r="S285" s="55" t="n">
        <v>3</v>
      </c>
      <c r="T285" s="55" t="n">
        <v>0.7</v>
      </c>
    </row>
    <row r="286">
      <c r="A286" s="20" t="inlineStr">
        <is>
          <t>Tropical</t>
        </is>
      </c>
      <c r="B286" s="403" t="inlineStr">
        <is>
          <t>Southern Africa</t>
        </is>
      </c>
      <c r="C286" s="20">
        <f>CONCATENATE(A286,B286)</f>
        <v/>
      </c>
      <c r="D286" s="264" t="n"/>
      <c r="E286" s="257">
        <f>AVERAGE(F286:M286)</f>
        <v/>
      </c>
      <c r="F286" s="619" t="n">
        <v>2.37</v>
      </c>
      <c r="G286" s="615" t="n">
        <v>4.42</v>
      </c>
      <c r="H286" s="615" t="n">
        <v>0.47</v>
      </c>
      <c r="I286" s="615" t="n">
        <v>3.25</v>
      </c>
      <c r="J286" s="615" t="n">
        <v>0.59</v>
      </c>
      <c r="K286" s="566" t="n">
        <v>2.4</v>
      </c>
      <c r="L286" s="615" t="n">
        <v>3.61</v>
      </c>
      <c r="M286" s="615" t="n">
        <v>2.91</v>
      </c>
      <c r="N286" s="55" t="n"/>
      <c r="O286" s="55" t="n"/>
      <c r="P286" s="55" t="n"/>
      <c r="Q286" s="55" t="n"/>
      <c r="R286" s="55" t="n">
        <v>2.4</v>
      </c>
      <c r="S286" s="55" t="n">
        <v>3</v>
      </c>
      <c r="T286" s="55" t="n">
        <v>0.7</v>
      </c>
    </row>
    <row r="287">
      <c r="A287" s="20" t="inlineStr">
        <is>
          <t>Tropical</t>
        </is>
      </c>
      <c r="B287" s="403" t="inlineStr">
        <is>
          <t>Western Africa</t>
        </is>
      </c>
      <c r="C287" s="20">
        <f>CONCATENATE(A287,B287)</f>
        <v/>
      </c>
      <c r="D287" s="264" t="n"/>
      <c r="E287" s="257">
        <f>AVERAGE(F287:M287)</f>
        <v/>
      </c>
      <c r="F287" s="619" t="n">
        <v>2.37</v>
      </c>
      <c r="G287" s="615" t="n">
        <v>4.42</v>
      </c>
      <c r="H287" s="615" t="n">
        <v>0.47</v>
      </c>
      <c r="I287" s="615" t="n">
        <v>3.25</v>
      </c>
      <c r="J287" s="615" t="n">
        <v>0.59</v>
      </c>
      <c r="K287" s="566" t="n">
        <v>2.4</v>
      </c>
      <c r="L287" s="615" t="n">
        <v>3.61</v>
      </c>
      <c r="M287" s="615" t="n">
        <v>2.91</v>
      </c>
      <c r="N287" s="55" t="n"/>
      <c r="O287" s="55" t="n"/>
      <c r="P287" s="55" t="n"/>
      <c r="Q287" s="55" t="n"/>
      <c r="R287" s="55" t="n">
        <v>2.4</v>
      </c>
      <c r="S287" s="55" t="n">
        <v>3</v>
      </c>
      <c r="T287" s="55" t="n">
        <v>0.7</v>
      </c>
    </row>
    <row r="288">
      <c r="A288" s="20" t="inlineStr">
        <is>
          <t>Tropical</t>
        </is>
      </c>
      <c r="B288" s="403" t="inlineStr">
        <is>
          <t>Central Asia</t>
        </is>
      </c>
      <c r="C288" s="20">
        <f>CONCATENATE(A288,B288)</f>
        <v/>
      </c>
      <c r="D288" s="264" t="n"/>
      <c r="E288" s="257">
        <f>AVERAGE(F288:M288)</f>
        <v/>
      </c>
      <c r="F288" s="619" t="n">
        <v>2.37</v>
      </c>
      <c r="G288" s="615" t="n">
        <v>4.42</v>
      </c>
      <c r="H288" s="615" t="n">
        <v>0.47</v>
      </c>
      <c r="I288" s="615" t="n">
        <v>3.25</v>
      </c>
      <c r="J288" s="615" t="n">
        <v>0.59</v>
      </c>
      <c r="K288" s="566" t="n">
        <v>2.4</v>
      </c>
      <c r="L288" s="615" t="n">
        <v>3.61</v>
      </c>
      <c r="M288" s="615" t="n">
        <v>2.91</v>
      </c>
      <c r="N288" s="55" t="n"/>
      <c r="O288" s="55" t="n"/>
      <c r="P288" s="55" t="n"/>
      <c r="Q288" s="55" t="n"/>
      <c r="R288" s="55" t="n">
        <v>2.4</v>
      </c>
      <c r="S288" s="55" t="n">
        <v>3</v>
      </c>
      <c r="T288" s="55" t="n">
        <v>0.7</v>
      </c>
    </row>
    <row r="289">
      <c r="A289" s="20" t="inlineStr">
        <is>
          <t>Tropical</t>
        </is>
      </c>
      <c r="B289" s="403" t="inlineStr">
        <is>
          <t>Eastern Asia</t>
        </is>
      </c>
      <c r="C289" s="20">
        <f>CONCATENATE(A289,B289)</f>
        <v/>
      </c>
      <c r="D289" s="264" t="n"/>
      <c r="E289" s="257">
        <f>AVERAGE(F289:M289)</f>
        <v/>
      </c>
      <c r="F289" s="619" t="n">
        <v>2.37</v>
      </c>
      <c r="G289" s="615" t="n">
        <v>4.42</v>
      </c>
      <c r="H289" s="615" t="n">
        <v>0.47</v>
      </c>
      <c r="I289" s="615" t="n">
        <v>3.25</v>
      </c>
      <c r="J289" s="615" t="n">
        <v>0.59</v>
      </c>
      <c r="K289" s="566" t="n">
        <v>2.4</v>
      </c>
      <c r="L289" s="615" t="n">
        <v>3.61</v>
      </c>
      <c r="M289" s="615" t="n">
        <v>2.91</v>
      </c>
      <c r="N289" s="55" t="n"/>
      <c r="O289" s="55" t="n"/>
      <c r="P289" s="55" t="n"/>
      <c r="Q289" s="55" t="n"/>
      <c r="R289" s="55" t="n">
        <v>2.4</v>
      </c>
      <c r="S289" s="55" t="n">
        <v>3</v>
      </c>
      <c r="T289" s="55" t="n">
        <v>0.7</v>
      </c>
    </row>
    <row r="290">
      <c r="A290" s="20" t="inlineStr">
        <is>
          <t>Tropical</t>
        </is>
      </c>
      <c r="B290" s="403" t="inlineStr">
        <is>
          <t>South-eastern Asia</t>
        </is>
      </c>
      <c r="C290" s="20">
        <f>CONCATENATE(A290,B290)</f>
        <v/>
      </c>
      <c r="D290" s="264" t="n"/>
      <c r="E290" s="257">
        <f>AVERAGE(F290:M290)</f>
        <v/>
      </c>
      <c r="F290" s="619" t="n">
        <v>2.37</v>
      </c>
      <c r="G290" s="615" t="n">
        <v>4.42</v>
      </c>
      <c r="H290" s="615" t="n">
        <v>0.47</v>
      </c>
      <c r="I290" s="615" t="n">
        <v>3.25</v>
      </c>
      <c r="J290" s="615" t="n">
        <v>0.59</v>
      </c>
      <c r="K290" s="566" t="n">
        <v>2.4</v>
      </c>
      <c r="L290" s="615" t="n">
        <v>3.61</v>
      </c>
      <c r="M290" s="615" t="n">
        <v>2.91</v>
      </c>
      <c r="N290" s="55" t="n"/>
      <c r="O290" s="55" t="n"/>
      <c r="P290" s="55" t="n"/>
      <c r="Q290" s="55" t="n"/>
      <c r="R290" s="55" t="n">
        <v>2.4</v>
      </c>
      <c r="S290" s="55" t="n">
        <v>3</v>
      </c>
      <c r="T290" s="55" t="n">
        <v>0.7</v>
      </c>
    </row>
    <row r="291">
      <c r="A291" s="20" t="inlineStr">
        <is>
          <t>Tropical</t>
        </is>
      </c>
      <c r="B291" s="403" t="inlineStr">
        <is>
          <t>Southern Asia</t>
        </is>
      </c>
      <c r="C291" s="20">
        <f>CONCATENATE(A291,B291)</f>
        <v/>
      </c>
      <c r="D291" s="264" t="n"/>
      <c r="E291" s="257">
        <f>AVERAGE(F291:M291)</f>
        <v/>
      </c>
      <c r="F291" s="619" t="n">
        <v>2.37</v>
      </c>
      <c r="G291" s="615" t="n">
        <v>4.42</v>
      </c>
      <c r="H291" s="615" t="n">
        <v>0.47</v>
      </c>
      <c r="I291" s="615" t="n">
        <v>3.25</v>
      </c>
      <c r="J291" s="615" t="n">
        <v>0.59</v>
      </c>
      <c r="K291" s="566" t="n">
        <v>2.4</v>
      </c>
      <c r="L291" s="615" t="n">
        <v>3.61</v>
      </c>
      <c r="M291" s="615" t="n">
        <v>2.91</v>
      </c>
      <c r="N291" s="55" t="n"/>
      <c r="O291" s="55" t="n"/>
      <c r="P291" s="55" t="n"/>
      <c r="Q291" s="55" t="n"/>
      <c r="R291" s="55" t="n">
        <v>2.4</v>
      </c>
      <c r="S291" s="55" t="n">
        <v>3</v>
      </c>
      <c r="T291" s="55" t="n">
        <v>0.7</v>
      </c>
    </row>
    <row r="292">
      <c r="A292" s="20" t="inlineStr">
        <is>
          <t>Tropical</t>
        </is>
      </c>
      <c r="B292" s="403" t="inlineStr">
        <is>
          <t>Western Asia</t>
        </is>
      </c>
      <c r="C292" s="20">
        <f>CONCATENATE(A292,B292)</f>
        <v/>
      </c>
      <c r="D292" s="264" t="n"/>
      <c r="E292" s="257">
        <f>AVERAGE(F292:M292)</f>
        <v/>
      </c>
      <c r="F292" s="619" t="n">
        <v>2.37</v>
      </c>
      <c r="G292" s="615" t="n">
        <v>4.42</v>
      </c>
      <c r="H292" s="615" t="n">
        <v>0.47</v>
      </c>
      <c r="I292" s="615" t="n">
        <v>3.25</v>
      </c>
      <c r="J292" s="615" t="n">
        <v>0.59</v>
      </c>
      <c r="K292" s="566" t="n">
        <v>2.4</v>
      </c>
      <c r="L292" s="615" t="n">
        <v>3.61</v>
      </c>
      <c r="M292" s="615" t="n">
        <v>2.91</v>
      </c>
      <c r="N292" s="55" t="n"/>
      <c r="O292" s="55" t="n"/>
      <c r="P292" s="55" t="n"/>
      <c r="Q292" s="55" t="n"/>
      <c r="R292" s="55" t="n">
        <v>2.4</v>
      </c>
      <c r="S292" s="55" t="n">
        <v>3</v>
      </c>
      <c r="T292" s="55" t="n">
        <v>0.7</v>
      </c>
    </row>
    <row r="293">
      <c r="A293" s="20" t="inlineStr">
        <is>
          <t>Tropical</t>
        </is>
      </c>
      <c r="B293" s="403" t="inlineStr">
        <is>
          <t>Europe</t>
        </is>
      </c>
      <c r="C293" s="20">
        <f>CONCATENATE(A293,B293)</f>
        <v/>
      </c>
      <c r="D293" s="264" t="n"/>
      <c r="E293" s="257">
        <f>AVERAGE(F293:M293)</f>
        <v/>
      </c>
      <c r="F293" s="619" t="n">
        <v>2.37</v>
      </c>
      <c r="G293" s="615" t="n">
        <v>4.42</v>
      </c>
      <c r="H293" s="615" t="n">
        <v>0.47</v>
      </c>
      <c r="I293" s="615" t="n">
        <v>3.25</v>
      </c>
      <c r="J293" s="615" t="n">
        <v>0.59</v>
      </c>
      <c r="K293" s="566" t="n">
        <v>2.4</v>
      </c>
      <c r="L293" s="615" t="n">
        <v>3.61</v>
      </c>
      <c r="M293" s="615" t="n">
        <v>2.91</v>
      </c>
      <c r="N293" s="55" t="n"/>
      <c r="O293" s="55" t="n"/>
      <c r="P293" s="55" t="n"/>
      <c r="Q293" s="55" t="n"/>
      <c r="R293" s="55" t="n">
        <v>2.4</v>
      </c>
      <c r="S293" s="55" t="n">
        <v>3</v>
      </c>
      <c r="T293" s="55" t="n">
        <v>0.7</v>
      </c>
    </row>
    <row r="294">
      <c r="A294" s="20" t="inlineStr">
        <is>
          <t>Tropical</t>
        </is>
      </c>
      <c r="B294" s="403" t="inlineStr">
        <is>
          <t>Oceania</t>
        </is>
      </c>
      <c r="C294" s="20">
        <f>CONCATENATE(A294,B294)</f>
        <v/>
      </c>
      <c r="D294" s="264" t="n"/>
      <c r="E294" s="257">
        <f>AVERAGE(F294:M294)</f>
        <v/>
      </c>
      <c r="F294" s="619" t="n">
        <v>2.37</v>
      </c>
      <c r="G294" s="615" t="n">
        <v>4.42</v>
      </c>
      <c r="H294" s="615" t="n">
        <v>0.47</v>
      </c>
      <c r="I294" s="615" t="n">
        <v>3.25</v>
      </c>
      <c r="J294" s="615" t="n">
        <v>0.59</v>
      </c>
      <c r="K294" s="566" t="n">
        <v>2.4</v>
      </c>
      <c r="L294" s="615" t="n">
        <v>3.61</v>
      </c>
      <c r="M294" s="615" t="n">
        <v>2.91</v>
      </c>
      <c r="N294" s="55" t="n"/>
      <c r="O294" s="55" t="n"/>
      <c r="P294" s="55" t="n"/>
      <c r="Q294" s="55" t="n"/>
      <c r="R294" s="55" t="n">
        <v>2.4</v>
      </c>
      <c r="S294" s="55" t="n">
        <v>3</v>
      </c>
      <c r="T294" s="55" t="n">
        <v>0.7</v>
      </c>
    </row>
    <row r="295">
      <c r="A295" s="20" t="inlineStr">
        <is>
          <t>Tropical</t>
        </is>
      </c>
      <c r="B295" s="403" t="inlineStr">
        <is>
          <t>North America</t>
        </is>
      </c>
      <c r="C295" s="20">
        <f>CONCATENATE(A295,B295)</f>
        <v/>
      </c>
      <c r="D295" s="264" t="n"/>
      <c r="E295" s="257">
        <f>AVERAGE(F295:M295)</f>
        <v/>
      </c>
      <c r="F295" s="619" t="n">
        <v>2.37</v>
      </c>
      <c r="G295" s="615" t="n">
        <v>4.42</v>
      </c>
      <c r="H295" s="615" t="n">
        <v>0.47</v>
      </c>
      <c r="I295" s="615" t="n">
        <v>3.25</v>
      </c>
      <c r="J295" s="615" t="n">
        <v>0.59</v>
      </c>
      <c r="K295" s="566" t="n">
        <v>2.4</v>
      </c>
      <c r="L295" s="615" t="n">
        <v>3.61</v>
      </c>
      <c r="M295" s="615" t="n">
        <v>2.91</v>
      </c>
      <c r="N295" s="55" t="n"/>
      <c r="O295" s="55" t="n"/>
      <c r="P295" s="55" t="n"/>
      <c r="Q295" s="55" t="n"/>
      <c r="R295" s="55" t="n">
        <v>2.4</v>
      </c>
      <c r="S295" s="55" t="n">
        <v>3</v>
      </c>
      <c r="T295" s="55" t="n">
        <v>0.7</v>
      </c>
    </row>
    <row r="296">
      <c r="A296" s="20" t="inlineStr">
        <is>
          <t>Tropical</t>
        </is>
      </c>
      <c r="B296" s="403" t="inlineStr">
        <is>
          <t>South America</t>
        </is>
      </c>
      <c r="C296" s="20">
        <f>CONCATENATE(A296,B296)</f>
        <v/>
      </c>
      <c r="D296" s="264" t="n"/>
      <c r="E296" s="257">
        <f>AVERAGE(F296:M296)</f>
        <v/>
      </c>
      <c r="F296" s="619" t="n">
        <v>2.37</v>
      </c>
      <c r="G296" s="615" t="n">
        <v>4.42</v>
      </c>
      <c r="H296" s="615" t="n">
        <v>0.47</v>
      </c>
      <c r="I296" s="615" t="n">
        <v>3.25</v>
      </c>
      <c r="J296" s="615" t="n">
        <v>0.59</v>
      </c>
      <c r="K296" s="566" t="n">
        <v>2.4</v>
      </c>
      <c r="L296" s="615" t="n">
        <v>3.61</v>
      </c>
      <c r="M296" s="615" t="n">
        <v>2.91</v>
      </c>
      <c r="N296" s="55" t="n"/>
      <c r="O296" s="55" t="n"/>
      <c r="P296" s="55" t="n"/>
      <c r="Q296" s="55" t="n"/>
      <c r="R296" s="55" t="n">
        <v>2.4</v>
      </c>
      <c r="S296" s="55" t="n">
        <v>3</v>
      </c>
      <c r="T296" s="55" t="n">
        <v>0.7</v>
      </c>
    </row>
    <row r="297">
      <c r="A297" s="20" t="inlineStr">
        <is>
          <t>Tropical</t>
        </is>
      </c>
      <c r="B297" s="403" t="inlineStr">
        <is>
          <t>Central America</t>
        </is>
      </c>
      <c r="C297" s="20">
        <f>CONCATENATE(A297,B297)</f>
        <v/>
      </c>
      <c r="D297" s="264" t="n"/>
      <c r="E297" s="257">
        <f>AVERAGE(F297:M297)</f>
        <v/>
      </c>
      <c r="F297" s="619" t="n">
        <v>2.37</v>
      </c>
      <c r="G297" s="615" t="n">
        <v>4.42</v>
      </c>
      <c r="H297" s="615" t="n">
        <v>0.47</v>
      </c>
      <c r="I297" s="615" t="n">
        <v>3.25</v>
      </c>
      <c r="J297" s="615" t="n">
        <v>0.59</v>
      </c>
      <c r="K297" s="566" t="n">
        <v>2.4</v>
      </c>
      <c r="L297" s="615" t="n">
        <v>3.61</v>
      </c>
      <c r="M297" s="615" t="n">
        <v>2.91</v>
      </c>
      <c r="N297" s="55" t="n"/>
      <c r="O297" s="55" t="n"/>
      <c r="P297" s="55" t="n"/>
      <c r="Q297" s="55" t="n"/>
      <c r="R297" s="55" t="n">
        <v>2.4</v>
      </c>
      <c r="S297" s="55" t="n">
        <v>3</v>
      </c>
      <c r="T297" s="55" t="n">
        <v>0.7</v>
      </c>
    </row>
    <row r="298">
      <c r="A298" s="20" t="inlineStr">
        <is>
          <t>Tropical</t>
        </is>
      </c>
      <c r="B298" s="414" t="inlineStr">
        <is>
          <t>Caribbean</t>
        </is>
      </c>
      <c r="C298" s="20">
        <f>CONCATENATE(A298,B298)</f>
        <v/>
      </c>
      <c r="D298" s="265" t="n"/>
      <c r="E298" s="258">
        <f>AVERAGE(F298:M298)</f>
        <v/>
      </c>
      <c r="F298" s="620" t="n">
        <v>2.37</v>
      </c>
      <c r="G298" s="617" t="n">
        <v>4.42</v>
      </c>
      <c r="H298" s="617" t="n">
        <v>0.47</v>
      </c>
      <c r="I298" s="617" t="n">
        <v>3.25</v>
      </c>
      <c r="J298" s="617" t="n">
        <v>0.59</v>
      </c>
      <c r="K298" s="592" t="n">
        <v>2.4</v>
      </c>
      <c r="L298" s="617" t="n">
        <v>3.61</v>
      </c>
      <c r="M298" s="617" t="n">
        <v>2.91</v>
      </c>
      <c r="N298" s="579" t="n"/>
      <c r="O298" s="579" t="n"/>
      <c r="P298" s="579" t="n"/>
      <c r="Q298" s="579" t="n"/>
      <c r="R298" s="55" t="n">
        <v>2.4</v>
      </c>
      <c r="S298" s="55" t="n">
        <v>3</v>
      </c>
      <c r="T298" s="55" t="n">
        <v>0.7</v>
      </c>
    </row>
    <row r="299">
      <c r="A299" s="268" t="inlineStr">
        <is>
          <t>Note: Values in red indicate Generic values for all regions under same climate region</t>
        </is>
      </c>
      <c r="B299" s="291" t="n"/>
      <c r="C299" s="291" t="n"/>
      <c r="D299" s="291" t="n"/>
      <c r="E299" s="291" t="n"/>
      <c r="F299" s="291" t="n"/>
      <c r="G299" s="291" t="n"/>
      <c r="H299" s="291" t="n"/>
      <c r="I299" s="291" t="n"/>
      <c r="J299" s="291" t="n"/>
      <c r="K299" s="291" t="n"/>
      <c r="L299" s="291" t="n"/>
      <c r="M299" s="266" t="n"/>
      <c r="N299" s="63" t="n"/>
      <c r="O299" s="63" t="n"/>
      <c r="P299" s="63" t="n"/>
      <c r="Q299" s="63" t="n"/>
      <c r="R299" s="63" t="n"/>
      <c r="S299" s="63" t="n"/>
      <c r="T299" s="63" t="n"/>
    </row>
    <row r="300">
      <c r="A300" s="271" t="inlineStr">
        <is>
          <t>Red values in Warm Temperate come from generic values from Temperate climate region</t>
        </is>
      </c>
      <c r="B300" s="21" t="n"/>
      <c r="C300" s="21" t="n"/>
      <c r="D300" s="21" t="n"/>
      <c r="E300" s="21" t="n"/>
      <c r="F300" s="21" t="n"/>
      <c r="G300" s="21" t="n"/>
      <c r="H300" s="21" t="n"/>
      <c r="I300" s="21" t="n"/>
      <c r="J300" s="21" t="n"/>
      <c r="K300" s="21" t="n"/>
      <c r="L300" s="21" t="n"/>
      <c r="M300" s="269" t="n"/>
      <c r="N300" s="20" t="n"/>
      <c r="O300" s="20" t="n"/>
      <c r="P300" s="20" t="n"/>
      <c r="Q300" s="20" t="n"/>
      <c r="R300" s="20" t="n"/>
      <c r="S300" s="20" t="n"/>
      <c r="T300" s="20" t="n"/>
    </row>
    <row r="301">
      <c r="A301" s="271" t="inlineStr">
        <is>
          <t>As an approximation,  the average  AGB stock between the generic values of temperate and tropical (all regions) was used to approximate the AGB stock for the tropical montane climate (see comment in Tab 5.5, ipcc 2019)</t>
        </is>
      </c>
      <c r="B301" s="21" t="n"/>
      <c r="C301" s="21" t="n"/>
      <c r="D301" s="21" t="n"/>
      <c r="E301" s="21" t="n"/>
      <c r="F301" s="21" t="n"/>
      <c r="G301" s="21" t="n"/>
      <c r="H301" s="21" t="n"/>
      <c r="I301" s="21" t="n"/>
      <c r="J301" s="21" t="n"/>
      <c r="K301" s="21" t="n"/>
      <c r="L301" s="21" t="n"/>
      <c r="M301" s="269" t="n"/>
      <c r="N301" s="20" t="n"/>
      <c r="O301" s="20" t="n"/>
      <c r="P301" s="20" t="n"/>
      <c r="Q301" s="20" t="n"/>
      <c r="R301" s="20" t="n"/>
      <c r="S301" s="20" t="n"/>
      <c r="T301" s="20" t="n"/>
    </row>
    <row r="302">
      <c r="A302" s="271" t="inlineStr">
        <is>
          <t>undifferentiated (undiff.) values for Cool Temperate Dry = Cool Temperate Moist,   Warm Temperate Dry = Warm Temperate Moist</t>
        </is>
      </c>
      <c r="B302" s="21" t="n"/>
      <c r="C302" s="21" t="n"/>
      <c r="D302" s="21" t="n"/>
      <c r="E302" s="21" t="n"/>
      <c r="F302" s="21" t="n"/>
      <c r="G302" s="21" t="n"/>
      <c r="H302" s="21" t="n"/>
      <c r="I302" s="21" t="n"/>
      <c r="J302" s="21" t="n"/>
      <c r="K302" s="21" t="n"/>
      <c r="L302" s="21" t="n"/>
      <c r="M302" s="269" t="n"/>
      <c r="N302" s="20" t="n"/>
      <c r="O302" s="20" t="n"/>
      <c r="P302" s="20" t="n"/>
      <c r="Q302" s="20" t="n"/>
      <c r="R302" s="20" t="n"/>
      <c r="S302" s="20" t="n"/>
      <c r="T302" s="20" t="n"/>
    </row>
    <row r="303">
      <c r="A303" s="274" t="inlineStr">
        <is>
          <t xml:space="preserve">For Boreal climate,  the default values of Temperate were used </t>
        </is>
      </c>
      <c r="B303" s="292" t="n"/>
      <c r="C303" s="292" t="n"/>
      <c r="D303" s="292" t="n"/>
      <c r="E303" s="292" t="n"/>
      <c r="F303" s="292" t="n"/>
      <c r="G303" s="292" t="n"/>
      <c r="H303" s="292" t="n"/>
      <c r="I303" s="292" t="n"/>
      <c r="J303" s="292" t="n"/>
      <c r="K303" s="292" t="n"/>
      <c r="L303" s="292" t="n"/>
      <c r="M303" s="272" t="n"/>
      <c r="N303" s="37" t="n"/>
      <c r="O303" s="37" t="n"/>
      <c r="P303" s="37" t="n"/>
      <c r="Q303" s="37" t="n"/>
      <c r="R303" s="37" t="n"/>
      <c r="S303" s="37" t="n"/>
      <c r="T303" s="37" t="n"/>
    </row>
    <row r="305" ht="16" customHeight="1" thickBot="1"/>
    <row r="306" ht="18" customHeight="1">
      <c r="A306" s="102" t="inlineStr">
        <is>
          <t>Default coefficients for below- ground biomass (BGB) in agroforestry systems containing perennial species (tC ha-1 yr-1)</t>
        </is>
      </c>
      <c r="B306" s="51" t="n"/>
      <c r="C306" s="51" t="n"/>
      <c r="D306" s="51" t="n"/>
      <c r="E306" s="51" t="n"/>
      <c r="F306" s="51" t="n"/>
      <c r="G306" s="240" t="n"/>
      <c r="H306" s="240" t="n"/>
      <c r="I306" s="240" t="n"/>
      <c r="J306" s="240" t="n"/>
      <c r="K306" s="240" t="n"/>
      <c r="L306" s="240" t="n"/>
      <c r="M306" s="239" t="n"/>
    </row>
    <row r="307">
      <c r="A307" s="104" t="inlineStr">
        <is>
          <t>Updated Table 5.2 , Chapter 5, page 5.10</t>
        </is>
      </c>
      <c r="B307" s="278" t="n"/>
      <c r="C307" s="278" t="n"/>
      <c r="D307" s="278" t="n"/>
      <c r="E307" s="278" t="n"/>
      <c r="F307" s="562" t="inlineStr">
        <is>
          <t>TABLE 5.2 (UPDATED)</t>
        </is>
      </c>
      <c r="G307" s="562" t="inlineStr">
        <is>
          <t>TABLE 5.2 (UPDATED)</t>
        </is>
      </c>
      <c r="H307" s="562" t="inlineStr">
        <is>
          <t>TABLE 5.2 (UPDATED)</t>
        </is>
      </c>
      <c r="I307" s="562" t="inlineStr">
        <is>
          <t>TABLE 5.2 (UPDATED)</t>
        </is>
      </c>
      <c r="J307" s="562" t="inlineStr">
        <is>
          <t>TABLE 5.2 (UPDATED)</t>
        </is>
      </c>
      <c r="K307" s="562" t="inlineStr">
        <is>
          <t>TABLE 5.2 (UPDATED)</t>
        </is>
      </c>
      <c r="L307" s="562" t="inlineStr">
        <is>
          <t>TABLE 5.2 (UPDATED)</t>
        </is>
      </c>
      <c r="M307" s="562" t="inlineStr">
        <is>
          <t>TABLE 5.2 (UPDATED)</t>
        </is>
      </c>
      <c r="N307" s="562" t="inlineStr">
        <is>
          <t>TABLE 5. 3 (UPDATED)</t>
        </is>
      </c>
      <c r="O307" s="562" t="inlineStr">
        <is>
          <t>TABLE 5. 3 (UPDATED)</t>
        </is>
      </c>
      <c r="P307" s="562" t="inlineStr">
        <is>
          <t>TABLE 5. 3 (UPDATED)</t>
        </is>
      </c>
      <c r="Q307" s="562" t="inlineStr">
        <is>
          <t>TABLE 5. 3 (UPDATED)</t>
        </is>
      </c>
      <c r="R307" s="562" t="inlineStr">
        <is>
          <t>TABLE 5. 3 (UPDATED)</t>
        </is>
      </c>
      <c r="S307" s="562" t="inlineStr">
        <is>
          <t>TABLE 5. 3 (UPDATED)</t>
        </is>
      </c>
      <c r="T307" s="562" t="inlineStr">
        <is>
          <t>TABLE 5. 3 (UPDATED)</t>
        </is>
      </c>
    </row>
    <row r="308">
      <c r="A308" s="293" t="inlineStr">
        <is>
          <t>Climate Region</t>
        </is>
      </c>
      <c r="B308" s="293" t="inlineStr">
        <is>
          <t>Region</t>
        </is>
      </c>
      <c r="C308" s="293" t="inlineStr">
        <is>
          <t>Chain_climate_region</t>
        </is>
      </c>
      <c r="D308" s="294" t="inlineStr">
        <is>
          <t>Please select</t>
        </is>
      </c>
      <c r="E308" s="294" t="inlineStr">
        <is>
          <t>Agroforestry - default</t>
        </is>
      </c>
      <c r="F308" s="294" t="inlineStr">
        <is>
          <t>Alley cropping</t>
        </is>
      </c>
      <c r="G308" s="294" t="inlineStr">
        <is>
          <t>Perennial fallow</t>
        </is>
      </c>
      <c r="H308" s="294" t="inlineStr">
        <is>
          <t>Hedgerow</t>
        </is>
      </c>
      <c r="I308" s="294" t="inlineStr">
        <is>
          <t>Multistrata</t>
        </is>
      </c>
      <c r="J308" s="294" t="inlineStr">
        <is>
          <t>Parkland</t>
        </is>
      </c>
      <c r="K308" s="294" t="inlineStr">
        <is>
          <t>Shaded Perennial</t>
        </is>
      </c>
      <c r="L308" s="294" t="inlineStr">
        <is>
          <t>Silvoarable</t>
        </is>
      </c>
      <c r="M308" s="294" t="inlineStr">
        <is>
          <t>Silvopasture</t>
        </is>
      </c>
      <c r="N308" s="294" t="inlineStr">
        <is>
          <t>Olive</t>
        </is>
      </c>
      <c r="O308" s="294" t="inlineStr">
        <is>
          <t>Orchard</t>
        </is>
      </c>
      <c r="P308" s="294" t="inlineStr">
        <is>
          <t>Vine</t>
        </is>
      </c>
      <c r="Q308" s="294" t="inlineStr">
        <is>
          <t>Short Rotation Coppice</t>
        </is>
      </c>
      <c r="R308" s="294" t="inlineStr">
        <is>
          <t>Oil palm</t>
        </is>
      </c>
      <c r="S308" s="294" t="inlineStr">
        <is>
          <t>Rubber</t>
        </is>
      </c>
      <c r="T308" s="294" t="inlineStr">
        <is>
          <t>Tea</t>
        </is>
      </c>
    </row>
    <row r="309">
      <c r="A309" s="296" t="inlineStr">
        <is>
          <t>Please select</t>
        </is>
      </c>
      <c r="B309" s="255" t="inlineStr">
        <is>
          <t>Please select</t>
        </is>
      </c>
      <c r="C309" s="255" t="inlineStr">
        <is>
          <t>??</t>
        </is>
      </c>
      <c r="D309" s="65" t="inlineStr">
        <is>
          <t>??</t>
        </is>
      </c>
      <c r="E309" s="59" t="inlineStr">
        <is>
          <t>??</t>
        </is>
      </c>
      <c r="F309" s="59" t="inlineStr">
        <is>
          <t>tC/ha/yr</t>
        </is>
      </c>
      <c r="G309" s="59" t="inlineStr">
        <is>
          <t>tC/ha/yr</t>
        </is>
      </c>
      <c r="H309" s="59" t="inlineStr">
        <is>
          <t>tC/ha/yr</t>
        </is>
      </c>
      <c r="I309" s="59" t="inlineStr">
        <is>
          <t>tC/ha/yr</t>
        </is>
      </c>
      <c r="J309" s="59" t="inlineStr">
        <is>
          <t>tC/ha/yr</t>
        </is>
      </c>
      <c r="K309" s="59" t="inlineStr">
        <is>
          <t>tC/ha/yr</t>
        </is>
      </c>
      <c r="L309" s="59" t="inlineStr">
        <is>
          <t>tC/ha/yr</t>
        </is>
      </c>
      <c r="M309" s="59" t="inlineStr">
        <is>
          <t>tC/ha/yr</t>
        </is>
      </c>
      <c r="N309" s="65" t="inlineStr">
        <is>
          <t>tC/ha/yr</t>
        </is>
      </c>
      <c r="O309" s="65" t="inlineStr">
        <is>
          <t>tC/ha/yr</t>
        </is>
      </c>
      <c r="P309" s="65" t="inlineStr">
        <is>
          <t>tC/ha/yr</t>
        </is>
      </c>
      <c r="Q309" s="65" t="inlineStr">
        <is>
          <t>tC/ha/yr</t>
        </is>
      </c>
      <c r="R309" s="65" t="inlineStr">
        <is>
          <t>tC/ha/yr</t>
        </is>
      </c>
      <c r="S309" s="65" t="inlineStr">
        <is>
          <t>tC/ha/yr</t>
        </is>
      </c>
      <c r="T309" s="65" t="inlineStr">
        <is>
          <t>tC/ha/yr</t>
        </is>
      </c>
      <c r="U309" s="58" t="n"/>
    </row>
    <row r="310">
      <c r="A310" s="63" t="inlineStr">
        <is>
          <t>Cool Temperate Dry</t>
        </is>
      </c>
      <c r="B310" s="462" t="inlineStr">
        <is>
          <t>Eastern Africa</t>
        </is>
      </c>
      <c r="C310" s="63">
        <f>CONCATENATE(A310,B310)</f>
        <v/>
      </c>
      <c r="D310" s="254" t="n"/>
      <c r="E310" s="256">
        <f>AVERAGE(F310:M310)</f>
        <v/>
      </c>
      <c r="F310" s="259" t="n"/>
      <c r="G310" s="248" t="n"/>
      <c r="H310" s="241" t="n">
        <v>0.23</v>
      </c>
      <c r="I310" s="259" t="n"/>
      <c r="J310" s="248" t="n"/>
      <c r="K310" s="248" t="n"/>
      <c r="L310" s="253" t="n">
        <v>0.28</v>
      </c>
      <c r="M310" s="241" t="n">
        <v>0.48</v>
      </c>
      <c r="N310" s="63" t="n">
        <v>0</v>
      </c>
      <c r="O310" s="63" t="n">
        <v>0</v>
      </c>
      <c r="P310" s="63" t="n">
        <v>0</v>
      </c>
      <c r="Q310" s="63" t="n">
        <v>0</v>
      </c>
      <c r="R310" s="63" t="n">
        <v>0</v>
      </c>
      <c r="S310" s="63" t="n">
        <v>0</v>
      </c>
      <c r="T310" s="63" t="n">
        <v>0</v>
      </c>
    </row>
    <row r="311">
      <c r="A311" s="20" t="inlineStr">
        <is>
          <t>Cool Temperate Dry</t>
        </is>
      </c>
      <c r="B311" s="462" t="inlineStr">
        <is>
          <t>Central Africa</t>
        </is>
      </c>
      <c r="C311" s="20">
        <f>CONCATENATE(A311,B311)</f>
        <v/>
      </c>
      <c r="D311" s="309" t="n"/>
      <c r="E311" s="257">
        <f>AVERAGE(F311:M311)</f>
        <v/>
      </c>
      <c r="F311" s="244" t="n"/>
      <c r="G311" s="249" t="n"/>
      <c r="H311" s="242" t="n">
        <v>0.23</v>
      </c>
      <c r="I311" s="244" t="n"/>
      <c r="J311" s="249" t="n"/>
      <c r="K311" s="249" t="n"/>
      <c r="L311" s="250" t="n">
        <v>0.28</v>
      </c>
      <c r="M311" s="242" t="n">
        <v>0.48</v>
      </c>
      <c r="N311" s="20" t="n">
        <v>0</v>
      </c>
      <c r="O311" s="20" t="n">
        <v>0</v>
      </c>
      <c r="P311" s="20" t="n">
        <v>0</v>
      </c>
      <c r="Q311" s="20" t="n">
        <v>0</v>
      </c>
      <c r="R311" s="20" t="n">
        <v>0</v>
      </c>
      <c r="S311" s="20" t="n">
        <v>0</v>
      </c>
      <c r="T311" s="20" t="n">
        <v>0</v>
      </c>
    </row>
    <row r="312">
      <c r="A312" s="20" t="inlineStr">
        <is>
          <t>Cool Temperate Dry</t>
        </is>
      </c>
      <c r="B312" s="462" t="inlineStr">
        <is>
          <t>Northern Africa</t>
        </is>
      </c>
      <c r="C312" s="20">
        <f>CONCATENATE(A312,B312)</f>
        <v/>
      </c>
      <c r="D312" s="251" t="n"/>
      <c r="E312" s="257">
        <f>AVERAGE(F312:M312)</f>
        <v/>
      </c>
      <c r="F312" s="244" t="n"/>
      <c r="G312" s="249" t="n"/>
      <c r="H312" s="242" t="n">
        <v>0.23</v>
      </c>
      <c r="I312" s="244" t="n"/>
      <c r="J312" s="249" t="n"/>
      <c r="K312" s="249" t="n"/>
      <c r="L312" s="250" t="n">
        <v>0.28</v>
      </c>
      <c r="M312" s="242" t="n">
        <v>0.48</v>
      </c>
      <c r="N312" s="20" t="n">
        <v>0</v>
      </c>
      <c r="O312" s="20" t="n">
        <v>0</v>
      </c>
      <c r="P312" s="20" t="n">
        <v>0</v>
      </c>
      <c r="Q312" s="20" t="n">
        <v>0</v>
      </c>
      <c r="R312" s="20" t="n">
        <v>0</v>
      </c>
      <c r="S312" s="20" t="n">
        <v>0</v>
      </c>
      <c r="T312" s="20" t="n">
        <v>0</v>
      </c>
    </row>
    <row r="313">
      <c r="A313" s="20" t="inlineStr">
        <is>
          <t>Cool Temperate Dry</t>
        </is>
      </c>
      <c r="B313" s="462" t="inlineStr">
        <is>
          <t>Southern Africa</t>
        </is>
      </c>
      <c r="C313" s="20">
        <f>CONCATENATE(A313,B313)</f>
        <v/>
      </c>
      <c r="D313" s="251" t="n"/>
      <c r="E313" s="257">
        <f>AVERAGE(F313:M313)</f>
        <v/>
      </c>
      <c r="F313" s="244" t="n"/>
      <c r="G313" s="249" t="n"/>
      <c r="H313" s="242" t="n">
        <v>0.23</v>
      </c>
      <c r="I313" s="244" t="n"/>
      <c r="J313" s="249" t="n"/>
      <c r="K313" s="249" t="n"/>
      <c r="L313" s="250" t="n">
        <v>0.28</v>
      </c>
      <c r="M313" s="242" t="n">
        <v>0.48</v>
      </c>
      <c r="N313" s="20" t="n">
        <v>0</v>
      </c>
      <c r="O313" s="20" t="n">
        <v>0</v>
      </c>
      <c r="P313" s="20" t="n">
        <v>0</v>
      </c>
      <c r="Q313" s="20" t="n">
        <v>0</v>
      </c>
      <c r="R313" s="20" t="n">
        <v>0</v>
      </c>
      <c r="S313" s="20" t="n">
        <v>0</v>
      </c>
      <c r="T313" s="20" t="n">
        <v>0</v>
      </c>
    </row>
    <row r="314">
      <c r="A314" s="20" t="inlineStr">
        <is>
          <t>Cool Temperate Dry</t>
        </is>
      </c>
      <c r="B314" s="462" t="inlineStr">
        <is>
          <t>Western Africa</t>
        </is>
      </c>
      <c r="C314" s="20">
        <f>CONCATENATE(A314,B314)</f>
        <v/>
      </c>
      <c r="D314" s="251" t="n"/>
      <c r="E314" s="257">
        <f>AVERAGE(F314:M314)</f>
        <v/>
      </c>
      <c r="F314" s="244" t="n"/>
      <c r="G314" s="249" t="n"/>
      <c r="H314" s="242" t="n">
        <v>0.23</v>
      </c>
      <c r="I314" s="244" t="n"/>
      <c r="J314" s="249" t="n"/>
      <c r="K314" s="249" t="n"/>
      <c r="L314" s="250" t="n">
        <v>0.28</v>
      </c>
      <c r="M314" s="242" t="n">
        <v>0.48</v>
      </c>
      <c r="N314" s="20" t="n">
        <v>0</v>
      </c>
      <c r="O314" s="20" t="n">
        <v>0</v>
      </c>
      <c r="P314" s="20" t="n">
        <v>0</v>
      </c>
      <c r="Q314" s="20" t="n">
        <v>0</v>
      </c>
      <c r="R314" s="20" t="n">
        <v>0</v>
      </c>
      <c r="S314" s="20" t="n">
        <v>0</v>
      </c>
      <c r="T314" s="20" t="n">
        <v>0</v>
      </c>
    </row>
    <row r="315">
      <c r="A315" s="20" t="inlineStr">
        <is>
          <t>Cool Temperate Dry</t>
        </is>
      </c>
      <c r="B315" s="462" t="inlineStr">
        <is>
          <t>Central Asia</t>
        </is>
      </c>
      <c r="C315" s="20">
        <f>CONCATENATE(A315,B315)</f>
        <v/>
      </c>
      <c r="D315" s="251" t="n"/>
      <c r="E315" s="257">
        <f>AVERAGE(F315:M315)</f>
        <v/>
      </c>
      <c r="F315" s="244" t="n"/>
      <c r="G315" s="249" t="n"/>
      <c r="H315" s="242" t="n">
        <v>0.23</v>
      </c>
      <c r="I315" s="244" t="n"/>
      <c r="J315" s="249" t="n"/>
      <c r="K315" s="249" t="n"/>
      <c r="L315" s="249" t="n">
        <v>0.77</v>
      </c>
      <c r="M315" s="242" t="n">
        <v>0.48</v>
      </c>
      <c r="N315" s="20" t="n">
        <v>0</v>
      </c>
      <c r="O315" s="20" t="n">
        <v>0</v>
      </c>
      <c r="P315" s="20" t="n">
        <v>0</v>
      </c>
      <c r="Q315" s="20" t="n">
        <v>0</v>
      </c>
      <c r="R315" s="20" t="n">
        <v>0</v>
      </c>
      <c r="S315" s="20" t="n">
        <v>0</v>
      </c>
      <c r="T315" s="20" t="n">
        <v>0</v>
      </c>
    </row>
    <row r="316">
      <c r="A316" s="20" t="inlineStr">
        <is>
          <t>Cool Temperate Dry</t>
        </is>
      </c>
      <c r="B316" s="462" t="inlineStr">
        <is>
          <t>Eastern Asia</t>
        </is>
      </c>
      <c r="C316" s="20">
        <f>CONCATENATE(A316,B316)</f>
        <v/>
      </c>
      <c r="D316" s="251" t="n"/>
      <c r="E316" s="257">
        <f>AVERAGE(F316:M316)</f>
        <v/>
      </c>
      <c r="F316" s="244" t="n"/>
      <c r="G316" s="249" t="n"/>
      <c r="H316" s="242" t="n">
        <v>0.23</v>
      </c>
      <c r="I316" s="244" t="n"/>
      <c r="J316" s="249" t="n"/>
      <c r="K316" s="249" t="n"/>
      <c r="L316" s="249" t="n">
        <v>0.77</v>
      </c>
      <c r="M316" s="242" t="n">
        <v>0.48</v>
      </c>
      <c r="N316" s="20" t="n">
        <v>0</v>
      </c>
      <c r="O316" s="20" t="n">
        <v>0</v>
      </c>
      <c r="P316" s="20" t="n">
        <v>0</v>
      </c>
      <c r="Q316" s="20" t="n">
        <v>0</v>
      </c>
      <c r="R316" s="20" t="n">
        <v>0</v>
      </c>
      <c r="S316" s="20" t="n">
        <v>0</v>
      </c>
      <c r="T316" s="20" t="n">
        <v>0</v>
      </c>
    </row>
    <row r="317">
      <c r="A317" s="20" t="inlineStr">
        <is>
          <t>Cool Temperate Dry</t>
        </is>
      </c>
      <c r="B317" s="462" t="inlineStr">
        <is>
          <t>South-eastern Asia</t>
        </is>
      </c>
      <c r="C317" s="20">
        <f>CONCATENATE(A317,B317)</f>
        <v/>
      </c>
      <c r="D317" s="251" t="n"/>
      <c r="E317" s="257">
        <f>AVERAGE(F317:M317)</f>
        <v/>
      </c>
      <c r="F317" s="244" t="n"/>
      <c r="G317" s="249" t="n"/>
      <c r="H317" s="242" t="n">
        <v>0.23</v>
      </c>
      <c r="I317" s="244" t="n"/>
      <c r="J317" s="249" t="n"/>
      <c r="K317" s="249" t="n"/>
      <c r="L317" s="249" t="n">
        <v>0.77</v>
      </c>
      <c r="M317" s="242" t="n">
        <v>0.48</v>
      </c>
      <c r="N317" s="20" t="n">
        <v>0</v>
      </c>
      <c r="O317" s="20" t="n">
        <v>0</v>
      </c>
      <c r="P317" s="20" t="n">
        <v>0</v>
      </c>
      <c r="Q317" s="20" t="n">
        <v>0</v>
      </c>
      <c r="R317" s="20" t="n">
        <v>0</v>
      </c>
      <c r="S317" s="20" t="n">
        <v>0</v>
      </c>
      <c r="T317" s="20" t="n">
        <v>0</v>
      </c>
    </row>
    <row r="318">
      <c r="A318" s="20" t="inlineStr">
        <is>
          <t>Cool Temperate Dry</t>
        </is>
      </c>
      <c r="B318" s="462" t="inlineStr">
        <is>
          <t>Southern Asia</t>
        </is>
      </c>
      <c r="C318" s="20">
        <f>CONCATENATE(A318,B318)</f>
        <v/>
      </c>
      <c r="D318" s="251" t="n"/>
      <c r="E318" s="257">
        <f>AVERAGE(F318:M318)</f>
        <v/>
      </c>
      <c r="F318" s="244" t="n"/>
      <c r="G318" s="249" t="n"/>
      <c r="H318" s="242" t="n">
        <v>0.23</v>
      </c>
      <c r="I318" s="244" t="n"/>
      <c r="J318" s="249" t="n"/>
      <c r="K318" s="249" t="n"/>
      <c r="L318" s="249" t="n">
        <v>0.77</v>
      </c>
      <c r="M318" s="242" t="n">
        <v>0.48</v>
      </c>
      <c r="N318" s="20" t="n">
        <v>0</v>
      </c>
      <c r="O318" s="20" t="n">
        <v>0</v>
      </c>
      <c r="P318" s="20" t="n">
        <v>0</v>
      </c>
      <c r="Q318" s="20" t="n">
        <v>0</v>
      </c>
      <c r="R318" s="20" t="n">
        <v>0</v>
      </c>
      <c r="S318" s="20" t="n">
        <v>0</v>
      </c>
      <c r="T318" s="20" t="n">
        <v>0</v>
      </c>
    </row>
    <row r="319">
      <c r="A319" s="20" t="inlineStr">
        <is>
          <t>Cool Temperate Dry</t>
        </is>
      </c>
      <c r="B319" s="462" t="inlineStr">
        <is>
          <t>Western Asia</t>
        </is>
      </c>
      <c r="C319" s="20">
        <f>CONCATENATE(A319,B319)</f>
        <v/>
      </c>
      <c r="D319" s="251" t="n"/>
      <c r="E319" s="257">
        <f>AVERAGE(F319:M319)</f>
        <v/>
      </c>
      <c r="F319" s="244" t="n"/>
      <c r="G319" s="249" t="n"/>
      <c r="H319" s="242" t="n">
        <v>0.23</v>
      </c>
      <c r="I319" s="244" t="n"/>
      <c r="J319" s="249" t="n"/>
      <c r="K319" s="249" t="n"/>
      <c r="L319" s="249" t="n">
        <v>0.77</v>
      </c>
      <c r="M319" s="242" t="n">
        <v>0.48</v>
      </c>
      <c r="N319" s="20" t="n">
        <v>0</v>
      </c>
      <c r="O319" s="20" t="n">
        <v>0</v>
      </c>
      <c r="P319" s="20" t="n">
        <v>0</v>
      </c>
      <c r="Q319" s="20" t="n">
        <v>0</v>
      </c>
      <c r="R319" s="20" t="n">
        <v>0</v>
      </c>
      <c r="S319" s="20" t="n">
        <v>0</v>
      </c>
      <c r="T319" s="20" t="n">
        <v>0</v>
      </c>
    </row>
    <row r="320">
      <c r="A320" s="20" t="inlineStr">
        <is>
          <t>Cool Temperate Dry</t>
        </is>
      </c>
      <c r="B320" s="462" t="inlineStr">
        <is>
          <t>Europe</t>
        </is>
      </c>
      <c r="C320" s="20">
        <f>CONCATENATE(A320,B320)</f>
        <v/>
      </c>
      <c r="D320" s="251" t="n"/>
      <c r="E320" s="257">
        <f>AVERAGE(F320:M320)</f>
        <v/>
      </c>
      <c r="F320" s="244" t="n"/>
      <c r="G320" s="249" t="n"/>
      <c r="H320" s="242" t="n">
        <v>0.23</v>
      </c>
      <c r="I320" s="244" t="n"/>
      <c r="J320" s="249" t="n"/>
      <c r="K320" s="249" t="n"/>
      <c r="L320" s="250" t="n">
        <v>0.28</v>
      </c>
      <c r="M320" s="61" t="n">
        <v>0.5600000000000001</v>
      </c>
      <c r="N320" s="20" t="n">
        <v>0</v>
      </c>
      <c r="O320" s="20" t="n">
        <v>0</v>
      </c>
      <c r="P320" s="20" t="n">
        <v>0</v>
      </c>
      <c r="Q320" s="20" t="n">
        <v>0</v>
      </c>
      <c r="R320" s="20" t="n">
        <v>0</v>
      </c>
      <c r="S320" s="20" t="n">
        <v>0</v>
      </c>
      <c r="T320" s="20" t="n">
        <v>0</v>
      </c>
    </row>
    <row r="321">
      <c r="A321" s="20" t="inlineStr">
        <is>
          <t>Cool Temperate Dry</t>
        </is>
      </c>
      <c r="B321" s="462" t="inlineStr">
        <is>
          <t>Oceania</t>
        </is>
      </c>
      <c r="C321" s="20">
        <f>CONCATENATE(A321,B321)</f>
        <v/>
      </c>
      <c r="D321" s="251" t="n"/>
      <c r="E321" s="257">
        <f>AVERAGE(F321:M321)</f>
        <v/>
      </c>
      <c r="F321" s="244" t="n"/>
      <c r="G321" s="249" t="n"/>
      <c r="H321" s="242" t="n">
        <v>0.23</v>
      </c>
      <c r="I321" s="244" t="n"/>
      <c r="J321" s="249" t="n"/>
      <c r="K321" s="249" t="n"/>
      <c r="L321" s="250" t="n">
        <v>0.28</v>
      </c>
      <c r="M321" s="242" t="n">
        <v>0.48</v>
      </c>
      <c r="N321" s="20" t="n">
        <v>0</v>
      </c>
      <c r="O321" s="20" t="n">
        <v>0</v>
      </c>
      <c r="P321" s="20" t="n">
        <v>0</v>
      </c>
      <c r="Q321" s="20" t="n">
        <v>0</v>
      </c>
      <c r="R321" s="20" t="n">
        <v>0</v>
      </c>
      <c r="S321" s="20" t="n">
        <v>0</v>
      </c>
      <c r="T321" s="20" t="n">
        <v>0</v>
      </c>
    </row>
    <row r="322">
      <c r="A322" s="20" t="inlineStr">
        <is>
          <t>Cool Temperate Dry</t>
        </is>
      </c>
      <c r="B322" s="462" t="inlineStr">
        <is>
          <t>North America</t>
        </is>
      </c>
      <c r="C322" s="20">
        <f>CONCATENATE(A322,B322)</f>
        <v/>
      </c>
      <c r="D322" s="251" t="n"/>
      <c r="E322" s="257">
        <f>AVERAGE(F322:M322)</f>
        <v/>
      </c>
      <c r="F322" s="244" t="n"/>
      <c r="G322" s="249" t="n"/>
      <c r="H322" s="246" t="n">
        <v>0.23</v>
      </c>
      <c r="I322" s="244" t="n"/>
      <c r="J322" s="249" t="n"/>
      <c r="K322" s="249" t="n"/>
      <c r="L322" s="249" t="n">
        <v>0.14</v>
      </c>
      <c r="M322" s="61" t="n">
        <v>0.11</v>
      </c>
      <c r="N322" s="20" t="n">
        <v>0</v>
      </c>
      <c r="O322" s="20" t="n">
        <v>0</v>
      </c>
      <c r="P322" s="20" t="n">
        <v>0</v>
      </c>
      <c r="Q322" s="20" t="n">
        <v>0</v>
      </c>
      <c r="R322" s="20" t="n">
        <v>0</v>
      </c>
      <c r="S322" s="20" t="n">
        <v>0</v>
      </c>
      <c r="T322" s="20" t="n">
        <v>0</v>
      </c>
    </row>
    <row r="323">
      <c r="A323" s="20" t="inlineStr">
        <is>
          <t>Cool Temperate Dry</t>
        </is>
      </c>
      <c r="B323" s="462" t="inlineStr">
        <is>
          <t>South America</t>
        </is>
      </c>
      <c r="C323" s="20">
        <f>CONCATENATE(A323,B323)</f>
        <v/>
      </c>
      <c r="D323" s="251" t="n"/>
      <c r="E323" s="257">
        <f>AVERAGE(F323:M323)</f>
        <v/>
      </c>
      <c r="F323" s="244" t="n"/>
      <c r="G323" s="249" t="n"/>
      <c r="H323" s="242" t="n">
        <v>0.23</v>
      </c>
      <c r="I323" s="244" t="n"/>
      <c r="J323" s="249" t="n"/>
      <c r="K323" s="249" t="n"/>
      <c r="L323" s="250" t="n">
        <v>0.28</v>
      </c>
      <c r="M323" s="61" t="n">
        <v>0.52</v>
      </c>
      <c r="N323" s="20" t="n">
        <v>0</v>
      </c>
      <c r="O323" s="20" t="n">
        <v>0</v>
      </c>
      <c r="P323" s="20" t="n">
        <v>0</v>
      </c>
      <c r="Q323" s="20" t="n">
        <v>0</v>
      </c>
      <c r="R323" s="20" t="n">
        <v>0</v>
      </c>
      <c r="S323" s="20" t="n">
        <v>0</v>
      </c>
      <c r="T323" s="20" t="n">
        <v>0</v>
      </c>
    </row>
    <row r="324">
      <c r="A324" s="20" t="inlineStr">
        <is>
          <t>Cool Temperate Dry</t>
        </is>
      </c>
      <c r="B324" s="462" t="inlineStr">
        <is>
          <t>Central America</t>
        </is>
      </c>
      <c r="C324" s="20">
        <f>CONCATENATE(A324,B324)</f>
        <v/>
      </c>
      <c r="D324" s="251" t="n"/>
      <c r="E324" s="257">
        <f>AVERAGE(F324:M324)</f>
        <v/>
      </c>
      <c r="F324" s="244" t="n"/>
      <c r="G324" s="249" t="n"/>
      <c r="H324" s="242" t="n">
        <v>0.23</v>
      </c>
      <c r="I324" s="244" t="n"/>
      <c r="J324" s="249" t="n"/>
      <c r="K324" s="249" t="n"/>
      <c r="L324" s="250" t="n">
        <v>0.28</v>
      </c>
      <c r="M324" s="61" t="n">
        <v>0.52</v>
      </c>
      <c r="N324" s="20" t="n">
        <v>0</v>
      </c>
      <c r="O324" s="20" t="n">
        <v>0</v>
      </c>
      <c r="P324" s="20" t="n">
        <v>0</v>
      </c>
      <c r="Q324" s="20" t="n">
        <v>0</v>
      </c>
      <c r="R324" s="20" t="n">
        <v>0</v>
      </c>
      <c r="S324" s="20" t="n">
        <v>0</v>
      </c>
      <c r="T324" s="20" t="n">
        <v>0</v>
      </c>
    </row>
    <row r="325">
      <c r="A325" s="20" t="inlineStr">
        <is>
          <t>Cool Temperate Dry</t>
        </is>
      </c>
      <c r="B325" s="463" t="inlineStr">
        <is>
          <t>Caribbean</t>
        </is>
      </c>
      <c r="C325" s="20">
        <f>CONCATENATE(A325,B325)</f>
        <v/>
      </c>
      <c r="D325" s="298" t="n"/>
      <c r="E325" s="258">
        <f>AVERAGE(F325:M325)</f>
        <v/>
      </c>
      <c r="F325" s="247" t="n"/>
      <c r="G325" s="252" t="n"/>
      <c r="H325" s="243" t="n">
        <v>0.23</v>
      </c>
      <c r="I325" s="247" t="n"/>
      <c r="J325" s="252" t="n"/>
      <c r="K325" s="252" t="n"/>
      <c r="L325" s="300" t="n">
        <v>0.28</v>
      </c>
      <c r="M325" s="61" t="n">
        <v>0.52</v>
      </c>
      <c r="N325" s="37" t="n">
        <v>0</v>
      </c>
      <c r="O325" s="37" t="n">
        <v>0</v>
      </c>
      <c r="P325" s="37" t="n">
        <v>0</v>
      </c>
      <c r="Q325" s="37" t="n">
        <v>0</v>
      </c>
      <c r="R325" s="37" t="n">
        <v>0</v>
      </c>
      <c r="S325" s="37" t="n">
        <v>0</v>
      </c>
      <c r="T325" s="37" t="n">
        <v>0</v>
      </c>
    </row>
    <row r="326">
      <c r="A326" s="63">
        <f>list!$G$73</f>
        <v/>
      </c>
      <c r="B326" s="408" t="inlineStr">
        <is>
          <t>Eastern Africa</t>
        </is>
      </c>
      <c r="C326" s="63">
        <f>CONCATENATE(A326,B326)</f>
        <v/>
      </c>
      <c r="D326" s="254" t="n"/>
      <c r="E326" s="256">
        <f>AVERAGE(F326:M326)</f>
        <v/>
      </c>
      <c r="F326" s="259" t="n"/>
      <c r="G326" s="248" t="n"/>
      <c r="H326" s="241" t="n">
        <v>0.23</v>
      </c>
      <c r="I326" s="259" t="n"/>
      <c r="J326" s="248" t="n"/>
      <c r="K326" s="248" t="n"/>
      <c r="L326" s="253" t="n">
        <v>0.28</v>
      </c>
      <c r="M326" s="241" t="n">
        <v>0.48</v>
      </c>
      <c r="N326" s="63" t="n">
        <v>0</v>
      </c>
      <c r="O326" s="63" t="n">
        <v>0</v>
      </c>
      <c r="P326" s="63" t="n">
        <v>0</v>
      </c>
      <c r="Q326" s="63" t="n">
        <v>0</v>
      </c>
      <c r="R326" s="63" t="n">
        <v>0</v>
      </c>
      <c r="S326" s="63" t="n">
        <v>0</v>
      </c>
      <c r="T326" s="63" t="n">
        <v>0</v>
      </c>
    </row>
    <row r="327">
      <c r="A327" s="20">
        <f>list!$G$73</f>
        <v/>
      </c>
      <c r="B327" s="401" t="inlineStr">
        <is>
          <t>Central Africa</t>
        </is>
      </c>
      <c r="C327" s="20">
        <f>CONCATENATE(A327,B327)</f>
        <v/>
      </c>
      <c r="D327" s="309" t="n"/>
      <c r="E327" s="257">
        <f>AVERAGE(F327:M327)</f>
        <v/>
      </c>
      <c r="F327" s="244" t="n"/>
      <c r="G327" s="249" t="n"/>
      <c r="H327" s="242" t="n">
        <v>0.23</v>
      </c>
      <c r="I327" s="244" t="n"/>
      <c r="J327" s="249" t="n"/>
      <c r="K327" s="249" t="n"/>
      <c r="L327" s="250" t="n">
        <v>0.28</v>
      </c>
      <c r="M327" s="242" t="n">
        <v>0.48</v>
      </c>
      <c r="N327" s="20" t="n">
        <v>0</v>
      </c>
      <c r="O327" s="20" t="n">
        <v>0</v>
      </c>
      <c r="P327" s="20" t="n">
        <v>0</v>
      </c>
      <c r="Q327" s="20" t="n">
        <v>0</v>
      </c>
      <c r="R327" s="20" t="n">
        <v>0</v>
      </c>
      <c r="S327" s="20" t="n">
        <v>0</v>
      </c>
      <c r="T327" s="20" t="n">
        <v>0</v>
      </c>
    </row>
    <row r="328">
      <c r="A328" s="20">
        <f>list!$G$73</f>
        <v/>
      </c>
      <c r="B328" s="401" t="inlineStr">
        <is>
          <t>Northern Africa</t>
        </is>
      </c>
      <c r="C328" s="20">
        <f>CONCATENATE(A328,B328)</f>
        <v/>
      </c>
      <c r="D328" s="251" t="n"/>
      <c r="E328" s="257">
        <f>AVERAGE(F328:M328)</f>
        <v/>
      </c>
      <c r="F328" s="244" t="n"/>
      <c r="G328" s="249" t="n"/>
      <c r="H328" s="242" t="n">
        <v>0.23</v>
      </c>
      <c r="I328" s="244" t="n"/>
      <c r="J328" s="249" t="n"/>
      <c r="K328" s="249" t="n"/>
      <c r="L328" s="250" t="n">
        <v>0.28</v>
      </c>
      <c r="M328" s="242" t="n">
        <v>0.48</v>
      </c>
      <c r="N328" s="20" t="n">
        <v>0</v>
      </c>
      <c r="O328" s="20" t="n">
        <v>0</v>
      </c>
      <c r="P328" s="20" t="n">
        <v>0</v>
      </c>
      <c r="Q328" s="20" t="n">
        <v>0</v>
      </c>
      <c r="R328" s="20" t="n">
        <v>0</v>
      </c>
      <c r="S328" s="20" t="n">
        <v>0</v>
      </c>
      <c r="T328" s="20" t="n">
        <v>0</v>
      </c>
    </row>
    <row r="329">
      <c r="A329" s="20">
        <f>list!$G$73</f>
        <v/>
      </c>
      <c r="B329" s="401" t="inlineStr">
        <is>
          <t>Southern Africa</t>
        </is>
      </c>
      <c r="C329" s="20">
        <f>CONCATENATE(A329,B329)</f>
        <v/>
      </c>
      <c r="D329" s="251" t="n"/>
      <c r="E329" s="257">
        <f>AVERAGE(F329:M329)</f>
        <v/>
      </c>
      <c r="F329" s="244" t="n"/>
      <c r="G329" s="249" t="n"/>
      <c r="H329" s="242" t="n">
        <v>0.23</v>
      </c>
      <c r="I329" s="244" t="n"/>
      <c r="J329" s="249" t="n"/>
      <c r="K329" s="249" t="n"/>
      <c r="L329" s="250" t="n">
        <v>0.28</v>
      </c>
      <c r="M329" s="242" t="n">
        <v>0.48</v>
      </c>
      <c r="N329" s="20" t="n">
        <v>0</v>
      </c>
      <c r="O329" s="20" t="n">
        <v>0</v>
      </c>
      <c r="P329" s="20" t="n">
        <v>0</v>
      </c>
      <c r="Q329" s="20" t="n">
        <v>0</v>
      </c>
      <c r="R329" s="20" t="n">
        <v>0</v>
      </c>
      <c r="S329" s="20" t="n">
        <v>0</v>
      </c>
      <c r="T329" s="20" t="n">
        <v>0</v>
      </c>
    </row>
    <row r="330">
      <c r="A330" s="20">
        <f>list!$G$73</f>
        <v/>
      </c>
      <c r="B330" s="401" t="inlineStr">
        <is>
          <t>Western Africa</t>
        </is>
      </c>
      <c r="C330" s="20">
        <f>CONCATENATE(A330,B330)</f>
        <v/>
      </c>
      <c r="D330" s="251" t="n"/>
      <c r="E330" s="257">
        <f>AVERAGE(F330:M330)</f>
        <v/>
      </c>
      <c r="F330" s="244" t="n"/>
      <c r="G330" s="249" t="n"/>
      <c r="H330" s="242" t="n">
        <v>0.23</v>
      </c>
      <c r="I330" s="244" t="n"/>
      <c r="J330" s="249" t="n"/>
      <c r="K330" s="249" t="n"/>
      <c r="L330" s="250" t="n">
        <v>0.28</v>
      </c>
      <c r="M330" s="242" t="n">
        <v>0.48</v>
      </c>
      <c r="N330" s="20" t="n">
        <v>0</v>
      </c>
      <c r="O330" s="20" t="n">
        <v>0</v>
      </c>
      <c r="P330" s="20" t="n">
        <v>0</v>
      </c>
      <c r="Q330" s="20" t="n">
        <v>0</v>
      </c>
      <c r="R330" s="20" t="n">
        <v>0</v>
      </c>
      <c r="S330" s="20" t="n">
        <v>0</v>
      </c>
      <c r="T330" s="20" t="n">
        <v>0</v>
      </c>
    </row>
    <row r="331">
      <c r="A331" s="20">
        <f>list!$G$73</f>
        <v/>
      </c>
      <c r="B331" s="401" t="inlineStr">
        <is>
          <t>Central Asia</t>
        </is>
      </c>
      <c r="C331" s="20">
        <f>CONCATENATE(A331,B331)</f>
        <v/>
      </c>
      <c r="D331" s="251" t="n"/>
      <c r="E331" s="257">
        <f>AVERAGE(F331:M331)</f>
        <v/>
      </c>
      <c r="F331" s="244" t="n"/>
      <c r="G331" s="249" t="n"/>
      <c r="H331" s="242" t="n">
        <v>0.23</v>
      </c>
      <c r="I331" s="244" t="n"/>
      <c r="J331" s="249" t="n"/>
      <c r="K331" s="249" t="n"/>
      <c r="L331" s="249" t="n">
        <v>0.77</v>
      </c>
      <c r="M331" s="242" t="n">
        <v>0.48</v>
      </c>
      <c r="N331" s="20" t="n">
        <v>0</v>
      </c>
      <c r="O331" s="20" t="n">
        <v>0</v>
      </c>
      <c r="P331" s="20" t="n">
        <v>0</v>
      </c>
      <c r="Q331" s="20" t="n">
        <v>0</v>
      </c>
      <c r="R331" s="20" t="n">
        <v>0</v>
      </c>
      <c r="S331" s="20" t="n">
        <v>0</v>
      </c>
      <c r="T331" s="20" t="n">
        <v>0</v>
      </c>
    </row>
    <row r="332">
      <c r="A332" s="20">
        <f>list!$G$73</f>
        <v/>
      </c>
      <c r="B332" s="401" t="inlineStr">
        <is>
          <t>Eastern Asia</t>
        </is>
      </c>
      <c r="C332" s="20">
        <f>CONCATENATE(A332,B332)</f>
        <v/>
      </c>
      <c r="D332" s="251" t="n"/>
      <c r="E332" s="257">
        <f>AVERAGE(F332:M332)</f>
        <v/>
      </c>
      <c r="F332" s="244" t="n"/>
      <c r="G332" s="249" t="n"/>
      <c r="H332" s="242" t="n">
        <v>0.23</v>
      </c>
      <c r="I332" s="244" t="n"/>
      <c r="J332" s="249" t="n"/>
      <c r="K332" s="249" t="n"/>
      <c r="L332" s="249" t="n">
        <v>0.77</v>
      </c>
      <c r="M332" s="242" t="n">
        <v>0.48</v>
      </c>
      <c r="N332" s="20" t="n">
        <v>0</v>
      </c>
      <c r="O332" s="20" t="n">
        <v>0</v>
      </c>
      <c r="P332" s="20" t="n">
        <v>0</v>
      </c>
      <c r="Q332" s="20" t="n">
        <v>0</v>
      </c>
      <c r="R332" s="20" t="n">
        <v>0</v>
      </c>
      <c r="S332" s="20" t="n">
        <v>0</v>
      </c>
      <c r="T332" s="20" t="n">
        <v>0</v>
      </c>
    </row>
    <row r="333">
      <c r="A333" s="20">
        <f>list!$G$73</f>
        <v/>
      </c>
      <c r="B333" s="401" t="inlineStr">
        <is>
          <t>South-eastern Asia</t>
        </is>
      </c>
      <c r="C333" s="20">
        <f>CONCATENATE(A333,B333)</f>
        <v/>
      </c>
      <c r="D333" s="251" t="n"/>
      <c r="E333" s="257">
        <f>AVERAGE(F333:M333)</f>
        <v/>
      </c>
      <c r="F333" s="244" t="n"/>
      <c r="G333" s="249" t="n"/>
      <c r="H333" s="242" t="n">
        <v>0.23</v>
      </c>
      <c r="I333" s="244" t="n"/>
      <c r="J333" s="249" t="n"/>
      <c r="K333" s="249" t="n"/>
      <c r="L333" s="249" t="n">
        <v>0.77</v>
      </c>
      <c r="M333" s="242" t="n">
        <v>0.48</v>
      </c>
      <c r="N333" s="20" t="n">
        <v>0</v>
      </c>
      <c r="O333" s="20" t="n">
        <v>0</v>
      </c>
      <c r="P333" s="20" t="n">
        <v>0</v>
      </c>
      <c r="Q333" s="20" t="n">
        <v>0</v>
      </c>
      <c r="R333" s="20" t="n">
        <v>0</v>
      </c>
      <c r="S333" s="20" t="n">
        <v>0</v>
      </c>
      <c r="T333" s="20" t="n">
        <v>0</v>
      </c>
    </row>
    <row r="334">
      <c r="A334" s="20">
        <f>list!$G$73</f>
        <v/>
      </c>
      <c r="B334" s="401" t="inlineStr">
        <is>
          <t>Southern Asia</t>
        </is>
      </c>
      <c r="C334" s="20">
        <f>CONCATENATE(A334,B334)</f>
        <v/>
      </c>
      <c r="D334" s="251" t="n"/>
      <c r="E334" s="257">
        <f>AVERAGE(F334:M334)</f>
        <v/>
      </c>
      <c r="F334" s="244" t="n"/>
      <c r="G334" s="249" t="n"/>
      <c r="H334" s="242" t="n">
        <v>0.23</v>
      </c>
      <c r="I334" s="244" t="n"/>
      <c r="J334" s="249" t="n"/>
      <c r="K334" s="249" t="n"/>
      <c r="L334" s="249" t="n">
        <v>0.77</v>
      </c>
      <c r="M334" s="242" t="n">
        <v>0.48</v>
      </c>
      <c r="N334" s="20" t="n">
        <v>0</v>
      </c>
      <c r="O334" s="20" t="n">
        <v>0</v>
      </c>
      <c r="P334" s="20" t="n">
        <v>0</v>
      </c>
      <c r="Q334" s="20" t="n">
        <v>0</v>
      </c>
      <c r="R334" s="20" t="n">
        <v>0</v>
      </c>
      <c r="S334" s="20" t="n">
        <v>0</v>
      </c>
      <c r="T334" s="20" t="n">
        <v>0</v>
      </c>
    </row>
    <row r="335">
      <c r="A335" s="20">
        <f>list!$G$73</f>
        <v/>
      </c>
      <c r="B335" s="401" t="inlineStr">
        <is>
          <t>Western Asia</t>
        </is>
      </c>
      <c r="C335" s="20">
        <f>CONCATENATE(A335,B335)</f>
        <v/>
      </c>
      <c r="D335" s="251" t="n"/>
      <c r="E335" s="257">
        <f>AVERAGE(F335:M335)</f>
        <v/>
      </c>
      <c r="F335" s="244" t="n"/>
      <c r="G335" s="249" t="n"/>
      <c r="H335" s="242" t="n">
        <v>0.23</v>
      </c>
      <c r="I335" s="244" t="n"/>
      <c r="J335" s="249" t="n"/>
      <c r="K335" s="249" t="n"/>
      <c r="L335" s="249" t="n">
        <v>0.77</v>
      </c>
      <c r="M335" s="242" t="n">
        <v>0.48</v>
      </c>
      <c r="N335" s="20" t="n">
        <v>0</v>
      </c>
      <c r="O335" s="20" t="n">
        <v>0</v>
      </c>
      <c r="P335" s="20" t="n">
        <v>0</v>
      </c>
      <c r="Q335" s="20" t="n">
        <v>0</v>
      </c>
      <c r="R335" s="20" t="n">
        <v>0</v>
      </c>
      <c r="S335" s="20" t="n">
        <v>0</v>
      </c>
      <c r="T335" s="20" t="n">
        <v>0</v>
      </c>
    </row>
    <row r="336">
      <c r="A336" s="20">
        <f>list!$G$73</f>
        <v/>
      </c>
      <c r="B336" s="401" t="inlineStr">
        <is>
          <t>Europe</t>
        </is>
      </c>
      <c r="C336" s="20">
        <f>CONCATENATE(A336,B336)</f>
        <v/>
      </c>
      <c r="D336" s="251" t="n"/>
      <c r="E336" s="257">
        <f>AVERAGE(F336:M336)</f>
        <v/>
      </c>
      <c r="F336" s="244" t="n"/>
      <c r="G336" s="249" t="n"/>
      <c r="H336" s="242" t="n">
        <v>0.23</v>
      </c>
      <c r="I336" s="244" t="n"/>
      <c r="J336" s="249" t="n"/>
      <c r="K336" s="249" t="n"/>
      <c r="L336" s="250" t="n">
        <v>0.28</v>
      </c>
      <c r="M336" s="61" t="n">
        <v>0.5600000000000001</v>
      </c>
      <c r="N336" s="20" t="n">
        <v>0</v>
      </c>
      <c r="O336" s="20" t="n">
        <v>0</v>
      </c>
      <c r="P336" s="20" t="n">
        <v>0</v>
      </c>
      <c r="Q336" s="20" t="n">
        <v>0</v>
      </c>
      <c r="R336" s="20" t="n">
        <v>0</v>
      </c>
      <c r="S336" s="20" t="n">
        <v>0</v>
      </c>
      <c r="T336" s="20" t="n">
        <v>0</v>
      </c>
    </row>
    <row r="337">
      <c r="A337" s="20">
        <f>list!$G$73</f>
        <v/>
      </c>
      <c r="B337" s="401" t="inlineStr">
        <is>
          <t>Oceania</t>
        </is>
      </c>
      <c r="C337" s="20">
        <f>CONCATENATE(A337,B337)</f>
        <v/>
      </c>
      <c r="D337" s="251" t="n"/>
      <c r="E337" s="257">
        <f>AVERAGE(F337:M337)</f>
        <v/>
      </c>
      <c r="F337" s="244" t="n"/>
      <c r="G337" s="249" t="n"/>
      <c r="H337" s="242" t="n">
        <v>0.23</v>
      </c>
      <c r="I337" s="244" t="n"/>
      <c r="J337" s="249" t="n"/>
      <c r="K337" s="249" t="n"/>
      <c r="L337" s="250" t="n">
        <v>0.28</v>
      </c>
      <c r="M337" s="242" t="n">
        <v>0.48</v>
      </c>
      <c r="N337" s="20" t="n">
        <v>0</v>
      </c>
      <c r="O337" s="20" t="n">
        <v>0</v>
      </c>
      <c r="P337" s="20" t="n">
        <v>0</v>
      </c>
      <c r="Q337" s="20" t="n">
        <v>0</v>
      </c>
      <c r="R337" s="20" t="n">
        <v>0</v>
      </c>
      <c r="S337" s="20" t="n">
        <v>0</v>
      </c>
      <c r="T337" s="20" t="n">
        <v>0</v>
      </c>
    </row>
    <row r="338">
      <c r="A338" s="20">
        <f>list!$G$73</f>
        <v/>
      </c>
      <c r="B338" s="401" t="inlineStr">
        <is>
          <t>North America</t>
        </is>
      </c>
      <c r="C338" s="20">
        <f>CONCATENATE(A338,B338)</f>
        <v/>
      </c>
      <c r="D338" s="251" t="n"/>
      <c r="E338" s="257">
        <f>AVERAGE(F338:M338)</f>
        <v/>
      </c>
      <c r="F338" s="244" t="n"/>
      <c r="G338" s="249" t="n"/>
      <c r="H338" s="246" t="n">
        <v>0.23</v>
      </c>
      <c r="I338" s="244" t="n"/>
      <c r="J338" s="249" t="n"/>
      <c r="K338" s="249" t="n"/>
      <c r="L338" s="249" t="n">
        <v>0.14</v>
      </c>
      <c r="M338" s="61" t="n">
        <v>0.11</v>
      </c>
      <c r="N338" s="20" t="n">
        <v>0</v>
      </c>
      <c r="O338" s="20" t="n">
        <v>0</v>
      </c>
      <c r="P338" s="20" t="n">
        <v>0</v>
      </c>
      <c r="Q338" s="20" t="n">
        <v>0</v>
      </c>
      <c r="R338" s="20" t="n">
        <v>0</v>
      </c>
      <c r="S338" s="20" t="n">
        <v>0</v>
      </c>
      <c r="T338" s="20" t="n">
        <v>0</v>
      </c>
    </row>
    <row r="339">
      <c r="A339" s="20">
        <f>list!$G$73</f>
        <v/>
      </c>
      <c r="B339" s="401" t="inlineStr">
        <is>
          <t>South America</t>
        </is>
      </c>
      <c r="C339" s="20">
        <f>CONCATENATE(A339,B339)</f>
        <v/>
      </c>
      <c r="D339" s="251" t="n"/>
      <c r="E339" s="257">
        <f>AVERAGE(F339:M339)</f>
        <v/>
      </c>
      <c r="F339" s="244" t="n"/>
      <c r="G339" s="249" t="n"/>
      <c r="H339" s="242" t="n">
        <v>0.23</v>
      </c>
      <c r="I339" s="244" t="n"/>
      <c r="J339" s="249" t="n"/>
      <c r="K339" s="249" t="n"/>
      <c r="L339" s="250" t="n">
        <v>0.28</v>
      </c>
      <c r="M339" s="61" t="n">
        <v>0.52</v>
      </c>
      <c r="N339" s="20" t="n">
        <v>0</v>
      </c>
      <c r="O339" s="20" t="n">
        <v>0</v>
      </c>
      <c r="P339" s="20" t="n">
        <v>0</v>
      </c>
      <c r="Q339" s="20" t="n">
        <v>0</v>
      </c>
      <c r="R339" s="20" t="n">
        <v>0</v>
      </c>
      <c r="S339" s="20" t="n">
        <v>0</v>
      </c>
      <c r="T339" s="20" t="n">
        <v>0</v>
      </c>
    </row>
    <row r="340">
      <c r="A340" s="20">
        <f>list!$G$73</f>
        <v/>
      </c>
      <c r="B340" s="401" t="inlineStr">
        <is>
          <t>Central America</t>
        </is>
      </c>
      <c r="C340" s="20">
        <f>CONCATENATE(A340,B340)</f>
        <v/>
      </c>
      <c r="D340" s="251" t="n"/>
      <c r="E340" s="257">
        <f>AVERAGE(F340:M340)</f>
        <v/>
      </c>
      <c r="F340" s="244" t="n"/>
      <c r="G340" s="249" t="n"/>
      <c r="H340" s="242" t="n">
        <v>0.23</v>
      </c>
      <c r="I340" s="244" t="n"/>
      <c r="J340" s="249" t="n"/>
      <c r="K340" s="249" t="n"/>
      <c r="L340" s="250" t="n">
        <v>0.28</v>
      </c>
      <c r="M340" s="61" t="n">
        <v>0.52</v>
      </c>
      <c r="N340" s="20" t="n">
        <v>0</v>
      </c>
      <c r="O340" s="20" t="n">
        <v>0</v>
      </c>
      <c r="P340" s="20" t="n">
        <v>0</v>
      </c>
      <c r="Q340" s="20" t="n">
        <v>0</v>
      </c>
      <c r="R340" s="20" t="n">
        <v>0</v>
      </c>
      <c r="S340" s="20" t="n">
        <v>0</v>
      </c>
      <c r="T340" s="20" t="n">
        <v>0</v>
      </c>
    </row>
    <row r="341">
      <c r="A341" s="37">
        <f>list!$G$73</f>
        <v/>
      </c>
      <c r="B341" s="402" t="inlineStr">
        <is>
          <t>Caribbean</t>
        </is>
      </c>
      <c r="C341" s="37">
        <f>CONCATENATE(A341,B341)</f>
        <v/>
      </c>
      <c r="D341" s="298" t="n"/>
      <c r="E341" s="258">
        <f>AVERAGE(F341:M341)</f>
        <v/>
      </c>
      <c r="F341" s="247" t="n"/>
      <c r="G341" s="252" t="n"/>
      <c r="H341" s="243" t="n">
        <v>0.23</v>
      </c>
      <c r="I341" s="247" t="n"/>
      <c r="J341" s="252" t="n"/>
      <c r="K341" s="252" t="n"/>
      <c r="L341" s="300" t="n">
        <v>0.28</v>
      </c>
      <c r="M341" s="61" t="n">
        <v>0.52</v>
      </c>
      <c r="N341" s="37" t="n">
        <v>0</v>
      </c>
      <c r="O341" s="37" t="n">
        <v>0</v>
      </c>
      <c r="P341" s="37" t="n">
        <v>0</v>
      </c>
      <c r="Q341" s="37" t="n">
        <v>0</v>
      </c>
      <c r="R341" s="37" t="n">
        <v>0</v>
      </c>
      <c r="S341" s="37" t="n">
        <v>0</v>
      </c>
      <c r="T341" s="37" t="n">
        <v>0</v>
      </c>
    </row>
    <row r="342">
      <c r="A342" s="20" t="inlineStr">
        <is>
          <t>Warm Temperate Dry</t>
        </is>
      </c>
      <c r="B342" s="403" t="inlineStr">
        <is>
          <t>Eastern Africa</t>
        </is>
      </c>
      <c r="C342" s="20">
        <f>CONCATENATE(A342,B342)</f>
        <v/>
      </c>
      <c r="D342" s="244" t="n"/>
      <c r="E342" s="257">
        <f>AVERAGE(F342:M342)</f>
        <v/>
      </c>
      <c r="F342" s="63" t="n"/>
      <c r="G342" s="63" t="n"/>
      <c r="H342" s="267" t="n">
        <v>0.23</v>
      </c>
      <c r="I342" s="63" t="n"/>
      <c r="J342" s="63" t="n"/>
      <c r="K342" s="263" t="n"/>
      <c r="L342" s="268" t="n">
        <v>0.23</v>
      </c>
      <c r="M342" s="241" t="n">
        <v>0.7</v>
      </c>
      <c r="N342" s="63" t="n">
        <v>0</v>
      </c>
      <c r="O342" s="63" t="n">
        <v>0</v>
      </c>
      <c r="P342" s="63" t="n">
        <v>0</v>
      </c>
      <c r="Q342" s="63" t="n">
        <v>0</v>
      </c>
      <c r="R342" s="63" t="n">
        <v>0</v>
      </c>
      <c r="S342" s="63" t="n">
        <v>0</v>
      </c>
      <c r="T342" s="63" t="n">
        <v>0</v>
      </c>
    </row>
    <row r="343">
      <c r="A343" s="20" t="inlineStr">
        <is>
          <t>Warm Temperate Dry</t>
        </is>
      </c>
      <c r="B343" s="403" t="inlineStr">
        <is>
          <t>Central Africa</t>
        </is>
      </c>
      <c r="C343" s="20">
        <f>CONCATENATE(A343,B343)</f>
        <v/>
      </c>
      <c r="D343" s="297" t="n"/>
      <c r="E343" s="257">
        <f>AVERAGE(F343:M343)</f>
        <v/>
      </c>
      <c r="F343" s="20" t="n"/>
      <c r="G343" s="20" t="n"/>
      <c r="H343" s="270" t="n">
        <v>0.23</v>
      </c>
      <c r="I343" s="20" t="n"/>
      <c r="J343" s="20" t="n"/>
      <c r="K343" s="264" t="n"/>
      <c r="L343" s="271" t="n">
        <v>0.23</v>
      </c>
      <c r="M343" s="242" t="n">
        <v>0.7</v>
      </c>
      <c r="N343" s="20" t="n">
        <v>0</v>
      </c>
      <c r="O343" s="20" t="n">
        <v>0</v>
      </c>
      <c r="P343" s="20" t="n">
        <v>0</v>
      </c>
      <c r="Q343" s="20" t="n">
        <v>0</v>
      </c>
      <c r="R343" s="20" t="n">
        <v>0</v>
      </c>
      <c r="S343" s="20" t="n">
        <v>0</v>
      </c>
      <c r="T343" s="20" t="n">
        <v>0</v>
      </c>
    </row>
    <row r="344">
      <c r="A344" s="20" t="inlineStr">
        <is>
          <t>Warm Temperate Dry</t>
        </is>
      </c>
      <c r="B344" s="403" t="inlineStr">
        <is>
          <t>Northern Africa</t>
        </is>
      </c>
      <c r="C344" s="20">
        <f>CONCATENATE(A344,B344)</f>
        <v/>
      </c>
      <c r="D344" s="244" t="n"/>
      <c r="E344" s="257">
        <f>AVERAGE(F344:M344)</f>
        <v/>
      </c>
      <c r="F344" s="20" t="n"/>
      <c r="G344" s="20" t="n"/>
      <c r="H344" s="270" t="n">
        <v>0.23</v>
      </c>
      <c r="I344" s="20" t="n"/>
      <c r="J344" s="20" t="n"/>
      <c r="K344" s="264" t="n"/>
      <c r="L344" s="271" t="n">
        <v>0.23</v>
      </c>
      <c r="M344" s="242" t="n">
        <v>0.7</v>
      </c>
      <c r="N344" s="20" t="n">
        <v>0</v>
      </c>
      <c r="O344" s="20" t="n">
        <v>0</v>
      </c>
      <c r="P344" s="20" t="n">
        <v>0</v>
      </c>
      <c r="Q344" s="20" t="n">
        <v>0</v>
      </c>
      <c r="R344" s="20" t="n">
        <v>0</v>
      </c>
      <c r="S344" s="20" t="n">
        <v>0</v>
      </c>
      <c r="T344" s="20" t="n">
        <v>0</v>
      </c>
    </row>
    <row r="345">
      <c r="A345" s="20" t="inlineStr">
        <is>
          <t>Warm Temperate Dry</t>
        </is>
      </c>
      <c r="B345" s="403" t="inlineStr">
        <is>
          <t>Southern Africa</t>
        </is>
      </c>
      <c r="C345" s="20">
        <f>CONCATENATE(A345,B345)</f>
        <v/>
      </c>
      <c r="D345" s="244" t="n"/>
      <c r="E345" s="257">
        <f>AVERAGE(F345:M345)</f>
        <v/>
      </c>
      <c r="F345" s="20" t="n"/>
      <c r="G345" s="20" t="n"/>
      <c r="H345" s="270" t="n">
        <v>0.23</v>
      </c>
      <c r="I345" s="20" t="n"/>
      <c r="J345" s="20" t="n"/>
      <c r="K345" s="264" t="n"/>
      <c r="L345" s="271" t="n">
        <v>0.23</v>
      </c>
      <c r="M345" s="242" t="n">
        <v>0.7</v>
      </c>
      <c r="N345" s="20" t="n">
        <v>0</v>
      </c>
      <c r="O345" s="20" t="n">
        <v>0</v>
      </c>
      <c r="P345" s="20" t="n">
        <v>0</v>
      </c>
      <c r="Q345" s="20" t="n">
        <v>0</v>
      </c>
      <c r="R345" s="20" t="n">
        <v>0</v>
      </c>
      <c r="S345" s="20" t="n">
        <v>0</v>
      </c>
      <c r="T345" s="20" t="n">
        <v>0</v>
      </c>
    </row>
    <row r="346">
      <c r="A346" s="20" t="inlineStr">
        <is>
          <t>Warm Temperate Dry</t>
        </is>
      </c>
      <c r="B346" s="403" t="inlineStr">
        <is>
          <t>Western Africa</t>
        </is>
      </c>
      <c r="C346" s="20">
        <f>CONCATENATE(A346,B346)</f>
        <v/>
      </c>
      <c r="D346" s="244" t="n"/>
      <c r="E346" s="257">
        <f>AVERAGE(F346:M346)</f>
        <v/>
      </c>
      <c r="F346" s="20" t="n"/>
      <c r="G346" s="20" t="n"/>
      <c r="H346" s="270" t="n">
        <v>0.23</v>
      </c>
      <c r="I346" s="20" t="n"/>
      <c r="J346" s="20" t="n"/>
      <c r="K346" s="264" t="n"/>
      <c r="L346" s="271" t="n">
        <v>0.23</v>
      </c>
      <c r="M346" s="242" t="n">
        <v>0.7</v>
      </c>
      <c r="N346" s="20" t="n">
        <v>0</v>
      </c>
      <c r="O346" s="20" t="n">
        <v>0</v>
      </c>
      <c r="P346" s="20" t="n">
        <v>0</v>
      </c>
      <c r="Q346" s="20" t="n">
        <v>0</v>
      </c>
      <c r="R346" s="20" t="n">
        <v>0</v>
      </c>
      <c r="S346" s="20" t="n">
        <v>0</v>
      </c>
      <c r="T346" s="20" t="n">
        <v>0</v>
      </c>
    </row>
    <row r="347">
      <c r="A347" s="20" t="inlineStr">
        <is>
          <t>Warm Temperate Dry</t>
        </is>
      </c>
      <c r="B347" s="403" t="inlineStr">
        <is>
          <t>Central Asia</t>
        </is>
      </c>
      <c r="C347" s="20">
        <f>CONCATENATE(A347,B347)</f>
        <v/>
      </c>
      <c r="D347" s="244" t="n"/>
      <c r="E347" s="257">
        <f>AVERAGE(F347:M347)</f>
        <v/>
      </c>
      <c r="F347" s="20" t="n"/>
      <c r="G347" s="20" t="n"/>
      <c r="H347" s="270" t="n">
        <v>0.23</v>
      </c>
      <c r="I347" s="20" t="n"/>
      <c r="J347" s="20" t="n"/>
      <c r="K347" s="264" t="n"/>
      <c r="L347" s="271" t="n">
        <v>0.23</v>
      </c>
      <c r="M347" s="242" t="n">
        <v>0.7</v>
      </c>
      <c r="N347" s="20" t="n">
        <v>0</v>
      </c>
      <c r="O347" s="20" t="n">
        <v>0</v>
      </c>
      <c r="P347" s="20" t="n">
        <v>0</v>
      </c>
      <c r="Q347" s="20" t="n">
        <v>0</v>
      </c>
      <c r="R347" s="20" t="n">
        <v>0</v>
      </c>
      <c r="S347" s="20" t="n">
        <v>0</v>
      </c>
      <c r="T347" s="20" t="n">
        <v>0</v>
      </c>
    </row>
    <row r="348">
      <c r="A348" s="20" t="inlineStr">
        <is>
          <t>Warm Temperate Dry</t>
        </is>
      </c>
      <c r="B348" s="403" t="inlineStr">
        <is>
          <t>Eastern Asia</t>
        </is>
      </c>
      <c r="C348" s="20">
        <f>CONCATENATE(A348,B348)</f>
        <v/>
      </c>
      <c r="D348" s="244" t="n"/>
      <c r="E348" s="257">
        <f>AVERAGE(F348:M348)</f>
        <v/>
      </c>
      <c r="F348" s="20" t="n"/>
      <c r="G348" s="20" t="n"/>
      <c r="H348" s="270" t="n">
        <v>0.23</v>
      </c>
      <c r="I348" s="20" t="n"/>
      <c r="J348" s="20" t="n"/>
      <c r="K348" s="264" t="n"/>
      <c r="L348" s="271" t="n">
        <v>0.23</v>
      </c>
      <c r="M348" s="242" t="n">
        <v>0.7</v>
      </c>
      <c r="N348" s="20" t="n">
        <v>0</v>
      </c>
      <c r="O348" s="20" t="n">
        <v>0</v>
      </c>
      <c r="P348" s="20" t="n">
        <v>0</v>
      </c>
      <c r="Q348" s="20" t="n">
        <v>0</v>
      </c>
      <c r="R348" s="20" t="n">
        <v>0</v>
      </c>
      <c r="S348" s="20" t="n">
        <v>0</v>
      </c>
      <c r="T348" s="20" t="n">
        <v>0</v>
      </c>
    </row>
    <row r="349">
      <c r="A349" s="20" t="inlineStr">
        <is>
          <t>Warm Temperate Dry</t>
        </is>
      </c>
      <c r="B349" s="403" t="inlineStr">
        <is>
          <t>South-eastern Asia</t>
        </is>
      </c>
      <c r="C349" s="20">
        <f>CONCATENATE(A349,B349)</f>
        <v/>
      </c>
      <c r="D349" s="244" t="n"/>
      <c r="E349" s="257">
        <f>AVERAGE(F349:M349)</f>
        <v/>
      </c>
      <c r="F349" s="20" t="n"/>
      <c r="G349" s="20" t="n"/>
      <c r="H349" s="270" t="n">
        <v>0.23</v>
      </c>
      <c r="I349" s="20" t="n"/>
      <c r="J349" s="20" t="n"/>
      <c r="K349" s="264" t="n"/>
      <c r="L349" s="271" t="n">
        <v>0.23</v>
      </c>
      <c r="M349" s="242" t="n">
        <v>0.7</v>
      </c>
      <c r="N349" s="20" t="n">
        <v>0</v>
      </c>
      <c r="O349" s="20" t="n">
        <v>0</v>
      </c>
      <c r="P349" s="20" t="n">
        <v>0</v>
      </c>
      <c r="Q349" s="20" t="n">
        <v>0</v>
      </c>
      <c r="R349" s="20" t="n">
        <v>0</v>
      </c>
      <c r="S349" s="20" t="n">
        <v>0</v>
      </c>
      <c r="T349" s="20" t="n">
        <v>0</v>
      </c>
    </row>
    <row r="350">
      <c r="A350" s="20" t="inlineStr">
        <is>
          <t>Warm Temperate Dry</t>
        </is>
      </c>
      <c r="B350" s="403" t="inlineStr">
        <is>
          <t>Southern Asia</t>
        </is>
      </c>
      <c r="C350" s="20">
        <f>CONCATENATE(A350,B350)</f>
        <v/>
      </c>
      <c r="D350" s="244" t="n"/>
      <c r="E350" s="257">
        <f>AVERAGE(F350:M350)</f>
        <v/>
      </c>
      <c r="F350" s="20" t="n"/>
      <c r="G350" s="20" t="n"/>
      <c r="H350" s="270" t="n">
        <v>0.23</v>
      </c>
      <c r="I350" s="20" t="n"/>
      <c r="J350" s="20" t="n"/>
      <c r="K350" s="264" t="n"/>
      <c r="L350" s="271" t="n">
        <v>0.23</v>
      </c>
      <c r="M350" s="242" t="n">
        <v>0.7</v>
      </c>
      <c r="N350" s="20" t="n">
        <v>0</v>
      </c>
      <c r="O350" s="20" t="n">
        <v>0</v>
      </c>
      <c r="P350" s="20" t="n">
        <v>0</v>
      </c>
      <c r="Q350" s="20" t="n">
        <v>0</v>
      </c>
      <c r="R350" s="20" t="n">
        <v>0</v>
      </c>
      <c r="S350" s="20" t="n">
        <v>0</v>
      </c>
      <c r="T350" s="20" t="n">
        <v>0</v>
      </c>
    </row>
    <row r="351">
      <c r="A351" s="20" t="inlineStr">
        <is>
          <t>Warm Temperate Dry</t>
        </is>
      </c>
      <c r="B351" s="403" t="inlineStr">
        <is>
          <t>Western Asia</t>
        </is>
      </c>
      <c r="C351" s="20">
        <f>CONCATENATE(A351,B351)</f>
        <v/>
      </c>
      <c r="D351" s="244" t="n"/>
      <c r="E351" s="257">
        <f>AVERAGE(F351:M351)</f>
        <v/>
      </c>
      <c r="F351" s="20" t="n"/>
      <c r="G351" s="20" t="n"/>
      <c r="H351" s="270" t="n">
        <v>0.23</v>
      </c>
      <c r="I351" s="20" t="n"/>
      <c r="J351" s="20" t="n"/>
      <c r="K351" s="264" t="n"/>
      <c r="L351" s="271" t="n">
        <v>0.23</v>
      </c>
      <c r="M351" s="242" t="n">
        <v>0.7</v>
      </c>
      <c r="N351" s="20" t="n">
        <v>0</v>
      </c>
      <c r="O351" s="20" t="n">
        <v>0</v>
      </c>
      <c r="P351" s="20" t="n">
        <v>0</v>
      </c>
      <c r="Q351" s="20" t="n">
        <v>0</v>
      </c>
      <c r="R351" s="20" t="n">
        <v>0</v>
      </c>
      <c r="S351" s="20" t="n">
        <v>0</v>
      </c>
      <c r="T351" s="20" t="n">
        <v>0</v>
      </c>
    </row>
    <row r="352">
      <c r="A352" s="20" t="inlineStr">
        <is>
          <t>Warm Temperate Dry</t>
        </is>
      </c>
      <c r="B352" s="403" t="inlineStr">
        <is>
          <t>Europe</t>
        </is>
      </c>
      <c r="C352" s="20">
        <f>CONCATENATE(A352,B352)</f>
        <v/>
      </c>
      <c r="D352" s="244" t="n"/>
      <c r="E352" s="257">
        <f>AVERAGE(F352:M352)</f>
        <v/>
      </c>
      <c r="F352" s="20" t="n"/>
      <c r="G352" s="20" t="n"/>
      <c r="H352" s="270" t="n">
        <v>0.23</v>
      </c>
      <c r="I352" s="20" t="n"/>
      <c r="J352" s="20" t="n"/>
      <c r="K352" s="264" t="n"/>
      <c r="L352" s="264" t="n">
        <v>0.14</v>
      </c>
      <c r="M352" s="20" t="n">
        <v>1.03</v>
      </c>
      <c r="N352" s="20" t="n">
        <v>0</v>
      </c>
      <c r="O352" s="20" t="n">
        <v>0</v>
      </c>
      <c r="P352" s="20" t="n">
        <v>0</v>
      </c>
      <c r="Q352" s="20" t="n">
        <v>0</v>
      </c>
      <c r="R352" s="20" t="n">
        <v>0</v>
      </c>
      <c r="S352" s="20" t="n">
        <v>0</v>
      </c>
      <c r="T352" s="20" t="n">
        <v>0</v>
      </c>
    </row>
    <row r="353">
      <c r="A353" s="20" t="inlineStr">
        <is>
          <t>Warm Temperate Dry</t>
        </is>
      </c>
      <c r="B353" s="403" t="inlineStr">
        <is>
          <t>Oceania</t>
        </is>
      </c>
      <c r="C353" s="20">
        <f>CONCATENATE(A353,B353)</f>
        <v/>
      </c>
      <c r="D353" s="244" t="n"/>
      <c r="E353" s="257">
        <f>AVERAGE(F353:M353)</f>
        <v/>
      </c>
      <c r="F353" s="20" t="n"/>
      <c r="G353" s="20" t="n"/>
      <c r="H353" s="270" t="n">
        <v>0.23</v>
      </c>
      <c r="I353" s="20" t="n"/>
      <c r="J353" s="20" t="n"/>
      <c r="K353" s="264" t="n"/>
      <c r="L353" s="271" t="n">
        <v>0.23</v>
      </c>
      <c r="M353" s="242" t="n">
        <v>0.7</v>
      </c>
      <c r="N353" s="20" t="n">
        <v>0</v>
      </c>
      <c r="O353" s="20" t="n">
        <v>0</v>
      </c>
      <c r="P353" s="20" t="n">
        <v>0</v>
      </c>
      <c r="Q353" s="20" t="n">
        <v>0</v>
      </c>
      <c r="R353" s="20" t="n">
        <v>0</v>
      </c>
      <c r="S353" s="20" t="n">
        <v>0</v>
      </c>
      <c r="T353" s="20" t="n">
        <v>0</v>
      </c>
    </row>
    <row r="354">
      <c r="A354" s="20" t="inlineStr">
        <is>
          <t>Warm Temperate Dry</t>
        </is>
      </c>
      <c r="B354" s="403" t="inlineStr">
        <is>
          <t>North America</t>
        </is>
      </c>
      <c r="C354" s="20">
        <f>CONCATENATE(A354,B354)</f>
        <v/>
      </c>
      <c r="D354" s="244" t="n"/>
      <c r="E354" s="257">
        <f>AVERAGE(F354:M354)</f>
        <v/>
      </c>
      <c r="F354" s="20" t="n"/>
      <c r="G354" s="20" t="n"/>
      <c r="H354" s="270" t="n">
        <v>0.23</v>
      </c>
      <c r="I354" s="20" t="n"/>
      <c r="J354" s="20" t="n"/>
      <c r="K354" s="264" t="n"/>
      <c r="L354" s="271" t="n">
        <v>0.23</v>
      </c>
      <c r="M354" s="242" t="n">
        <v>0.7</v>
      </c>
      <c r="N354" s="20" t="n">
        <v>0</v>
      </c>
      <c r="O354" s="20" t="n">
        <v>0</v>
      </c>
      <c r="P354" s="20" t="n">
        <v>0</v>
      </c>
      <c r="Q354" s="20" t="n">
        <v>0</v>
      </c>
      <c r="R354" s="20" t="n">
        <v>0</v>
      </c>
      <c r="S354" s="20" t="n">
        <v>0</v>
      </c>
      <c r="T354" s="20" t="n">
        <v>0</v>
      </c>
    </row>
    <row r="355">
      <c r="A355" s="20" t="inlineStr">
        <is>
          <t>Warm Temperate Dry</t>
        </is>
      </c>
      <c r="B355" s="403" t="inlineStr">
        <is>
          <t>South America</t>
        </is>
      </c>
      <c r="C355" s="20">
        <f>CONCATENATE(A355,B355)</f>
        <v/>
      </c>
      <c r="D355" s="244" t="n"/>
      <c r="E355" s="257">
        <f>AVERAGE(F355:M355)</f>
        <v/>
      </c>
      <c r="F355" s="20" t="n"/>
      <c r="G355" s="20" t="n"/>
      <c r="H355" s="270" t="n">
        <v>0.23</v>
      </c>
      <c r="I355" s="20" t="n"/>
      <c r="J355" s="20" t="n"/>
      <c r="K355" s="264" t="n"/>
      <c r="L355" s="271" t="n">
        <v>0.23</v>
      </c>
      <c r="M355" s="242" t="n">
        <v>0.7</v>
      </c>
      <c r="N355" s="20" t="n">
        <v>0</v>
      </c>
      <c r="O355" s="20" t="n">
        <v>0</v>
      </c>
      <c r="P355" s="20" t="n">
        <v>0</v>
      </c>
      <c r="Q355" s="20" t="n">
        <v>0</v>
      </c>
      <c r="R355" s="20" t="n">
        <v>0</v>
      </c>
      <c r="S355" s="20" t="n">
        <v>0</v>
      </c>
      <c r="T355" s="20" t="n">
        <v>0</v>
      </c>
    </row>
    <row r="356">
      <c r="A356" s="20" t="inlineStr">
        <is>
          <t>Warm Temperate Dry</t>
        </is>
      </c>
      <c r="B356" s="403" t="inlineStr">
        <is>
          <t>Central America</t>
        </is>
      </c>
      <c r="C356" s="20">
        <f>CONCATENATE(A356,B356)</f>
        <v/>
      </c>
      <c r="D356" s="244" t="n"/>
      <c r="E356" s="257">
        <f>AVERAGE(F356:M356)</f>
        <v/>
      </c>
      <c r="F356" s="20" t="n"/>
      <c r="G356" s="20" t="n"/>
      <c r="H356" s="270" t="n">
        <v>0.23</v>
      </c>
      <c r="I356" s="20" t="n"/>
      <c r="J356" s="20" t="n"/>
      <c r="K356" s="264" t="n"/>
      <c r="L356" s="271" t="n">
        <v>0.23</v>
      </c>
      <c r="M356" s="242" t="n">
        <v>0.7</v>
      </c>
      <c r="N356" s="20" t="n">
        <v>0</v>
      </c>
      <c r="O356" s="20" t="n">
        <v>0</v>
      </c>
      <c r="P356" s="20" t="n">
        <v>0</v>
      </c>
      <c r="Q356" s="20" t="n">
        <v>0</v>
      </c>
      <c r="R356" s="20" t="n">
        <v>0</v>
      </c>
      <c r="S356" s="20" t="n">
        <v>0</v>
      </c>
      <c r="T356" s="20" t="n">
        <v>0</v>
      </c>
    </row>
    <row r="357">
      <c r="A357" s="20" t="inlineStr">
        <is>
          <t>Warm Temperate Dry</t>
        </is>
      </c>
      <c r="B357" s="404" t="inlineStr">
        <is>
          <t>Caribbean</t>
        </is>
      </c>
      <c r="C357" s="20">
        <f>CONCATENATE(A357,B357)</f>
        <v/>
      </c>
      <c r="D357" s="247" t="n"/>
      <c r="E357" s="257">
        <f>AVERAGE(F357:M357)</f>
        <v/>
      </c>
      <c r="F357" s="37" t="n"/>
      <c r="G357" s="37" t="n"/>
      <c r="H357" s="270" t="n">
        <v>0.23</v>
      </c>
      <c r="I357" s="37" t="n"/>
      <c r="J357" s="37" t="n"/>
      <c r="K357" s="265" t="n"/>
      <c r="L357" s="274" t="n">
        <v>0.23</v>
      </c>
      <c r="M357" s="243" t="n">
        <v>0.7</v>
      </c>
      <c r="N357" s="37" t="n">
        <v>0</v>
      </c>
      <c r="O357" s="37" t="n">
        <v>0</v>
      </c>
      <c r="P357" s="37" t="n">
        <v>0</v>
      </c>
      <c r="Q357" s="37" t="n">
        <v>0</v>
      </c>
      <c r="R357" s="37" t="n">
        <v>0</v>
      </c>
      <c r="S357" s="37" t="n">
        <v>0</v>
      </c>
      <c r="T357" s="37" t="n">
        <v>0</v>
      </c>
    </row>
    <row r="358">
      <c r="A358" s="63" t="inlineStr">
        <is>
          <t>Warm Temperate Moist</t>
        </is>
      </c>
      <c r="B358" s="403" t="inlineStr">
        <is>
          <t>Eastern Africa</t>
        </is>
      </c>
      <c r="C358" s="63">
        <f>CONCATENATE(A358,B358)</f>
        <v/>
      </c>
      <c r="D358" s="244" t="n"/>
      <c r="E358" s="257">
        <f>AVERAGE(F358:M358)</f>
        <v/>
      </c>
      <c r="F358" s="63" t="n"/>
      <c r="G358" s="63" t="n"/>
      <c r="H358" s="267" t="n">
        <v>0.23</v>
      </c>
      <c r="I358" s="63" t="n"/>
      <c r="J358" s="63" t="n"/>
      <c r="K358" s="263" t="n"/>
      <c r="L358" s="268" t="n">
        <v>0.23</v>
      </c>
      <c r="M358" s="241" t="n">
        <v>0.7</v>
      </c>
      <c r="N358" s="63" t="n">
        <v>0</v>
      </c>
      <c r="O358" s="63" t="n">
        <v>0</v>
      </c>
      <c r="P358" s="63" t="n">
        <v>0</v>
      </c>
      <c r="Q358" s="63" t="n">
        <v>0</v>
      </c>
      <c r="R358" s="63" t="n">
        <v>0</v>
      </c>
      <c r="S358" s="63" t="n">
        <v>0</v>
      </c>
      <c r="T358" s="63" t="n">
        <v>0</v>
      </c>
    </row>
    <row r="359">
      <c r="A359" s="20" t="inlineStr">
        <is>
          <t>Warm Temperate Moist</t>
        </is>
      </c>
      <c r="B359" s="403" t="inlineStr">
        <is>
          <t>Central Africa</t>
        </is>
      </c>
      <c r="C359" s="20">
        <f>CONCATENATE(A359,B359)</f>
        <v/>
      </c>
      <c r="D359" s="297" t="n"/>
      <c r="E359" s="257">
        <f>AVERAGE(F359:M359)</f>
        <v/>
      </c>
      <c r="F359" s="20" t="n"/>
      <c r="G359" s="20" t="n"/>
      <c r="H359" s="270" t="n">
        <v>0.23</v>
      </c>
      <c r="I359" s="20" t="n"/>
      <c r="J359" s="20" t="n"/>
      <c r="K359" s="264" t="n"/>
      <c r="L359" s="271" t="n">
        <v>0.23</v>
      </c>
      <c r="M359" s="242" t="n">
        <v>0.7</v>
      </c>
      <c r="N359" s="20" t="n">
        <v>0</v>
      </c>
      <c r="O359" s="20" t="n">
        <v>0</v>
      </c>
      <c r="P359" s="20" t="n">
        <v>0</v>
      </c>
      <c r="Q359" s="20" t="n">
        <v>0</v>
      </c>
      <c r="R359" s="20" t="n">
        <v>0</v>
      </c>
      <c r="S359" s="20" t="n">
        <v>0</v>
      </c>
      <c r="T359" s="20" t="n">
        <v>0</v>
      </c>
    </row>
    <row r="360">
      <c r="A360" s="20" t="inlineStr">
        <is>
          <t>Warm Temperate Moist</t>
        </is>
      </c>
      <c r="B360" s="403" t="inlineStr">
        <is>
          <t>Northern Africa</t>
        </is>
      </c>
      <c r="C360" s="20">
        <f>CONCATENATE(A360,B360)</f>
        <v/>
      </c>
      <c r="D360" s="244" t="n"/>
      <c r="E360" s="257">
        <f>AVERAGE(F360:M360)</f>
        <v/>
      </c>
      <c r="F360" s="20" t="n"/>
      <c r="G360" s="20" t="n"/>
      <c r="H360" s="270" t="n">
        <v>0.23</v>
      </c>
      <c r="I360" s="20" t="n"/>
      <c r="J360" s="20" t="n"/>
      <c r="K360" s="264" t="n"/>
      <c r="L360" s="271" t="n">
        <v>0.23</v>
      </c>
      <c r="M360" s="242" t="n">
        <v>0.7</v>
      </c>
      <c r="N360" s="20" t="n">
        <v>0</v>
      </c>
      <c r="O360" s="20" t="n">
        <v>0</v>
      </c>
      <c r="P360" s="20" t="n">
        <v>0</v>
      </c>
      <c r="Q360" s="20" t="n">
        <v>0</v>
      </c>
      <c r="R360" s="20" t="n">
        <v>0</v>
      </c>
      <c r="S360" s="20" t="n">
        <v>0</v>
      </c>
      <c r="T360" s="20" t="n">
        <v>0</v>
      </c>
    </row>
    <row r="361">
      <c r="A361" s="20" t="inlineStr">
        <is>
          <t>Warm Temperate Moist</t>
        </is>
      </c>
      <c r="B361" s="403" t="inlineStr">
        <is>
          <t>Southern Africa</t>
        </is>
      </c>
      <c r="C361" s="20">
        <f>CONCATENATE(A361,B361)</f>
        <v/>
      </c>
      <c r="D361" s="244" t="n"/>
      <c r="E361" s="257">
        <f>AVERAGE(F361:M361)</f>
        <v/>
      </c>
      <c r="F361" s="20" t="n"/>
      <c r="G361" s="20" t="n"/>
      <c r="H361" s="270" t="n">
        <v>0.23</v>
      </c>
      <c r="I361" s="20" t="n"/>
      <c r="J361" s="20" t="n"/>
      <c r="K361" s="264" t="n"/>
      <c r="L361" s="271" t="n">
        <v>0.23</v>
      </c>
      <c r="M361" s="242" t="n">
        <v>0.7</v>
      </c>
      <c r="N361" s="20" t="n">
        <v>0</v>
      </c>
      <c r="O361" s="20" t="n">
        <v>0</v>
      </c>
      <c r="P361" s="20" t="n">
        <v>0</v>
      </c>
      <c r="Q361" s="20" t="n">
        <v>0</v>
      </c>
      <c r="R361" s="20" t="n">
        <v>0</v>
      </c>
      <c r="S361" s="20" t="n">
        <v>0</v>
      </c>
      <c r="T361" s="20" t="n">
        <v>0</v>
      </c>
    </row>
    <row r="362">
      <c r="A362" s="20" t="inlineStr">
        <is>
          <t>Warm Temperate Moist</t>
        </is>
      </c>
      <c r="B362" s="403" t="inlineStr">
        <is>
          <t>Western Africa</t>
        </is>
      </c>
      <c r="C362" s="20">
        <f>CONCATENATE(A362,B362)</f>
        <v/>
      </c>
      <c r="D362" s="244" t="n"/>
      <c r="E362" s="257">
        <f>AVERAGE(F362:M362)</f>
        <v/>
      </c>
      <c r="F362" s="20" t="n"/>
      <c r="G362" s="20" t="n"/>
      <c r="H362" s="270" t="n">
        <v>0.23</v>
      </c>
      <c r="I362" s="20" t="n"/>
      <c r="J362" s="20" t="n"/>
      <c r="K362" s="264" t="n"/>
      <c r="L362" s="271" t="n">
        <v>0.23</v>
      </c>
      <c r="M362" s="242" t="n">
        <v>0.7</v>
      </c>
      <c r="N362" s="20" t="n">
        <v>0</v>
      </c>
      <c r="O362" s="20" t="n">
        <v>0</v>
      </c>
      <c r="P362" s="20" t="n">
        <v>0</v>
      </c>
      <c r="Q362" s="20" t="n">
        <v>0</v>
      </c>
      <c r="R362" s="20" t="n">
        <v>0</v>
      </c>
      <c r="S362" s="20" t="n">
        <v>0</v>
      </c>
      <c r="T362" s="20" t="n">
        <v>0</v>
      </c>
    </row>
    <row r="363">
      <c r="A363" s="20" t="inlineStr">
        <is>
          <t>Warm Temperate Moist</t>
        </is>
      </c>
      <c r="B363" s="403" t="inlineStr">
        <is>
          <t>Central Asia</t>
        </is>
      </c>
      <c r="C363" s="20">
        <f>CONCATENATE(A363,B363)</f>
        <v/>
      </c>
      <c r="D363" s="244" t="n"/>
      <c r="E363" s="257">
        <f>AVERAGE(F363:M363)</f>
        <v/>
      </c>
      <c r="F363" s="20" t="n"/>
      <c r="G363" s="20" t="n"/>
      <c r="H363" s="270" t="n">
        <v>0.23</v>
      </c>
      <c r="I363" s="20" t="n"/>
      <c r="J363" s="20" t="n"/>
      <c r="K363" s="264" t="n"/>
      <c r="L363" s="271" t="n">
        <v>0.23</v>
      </c>
      <c r="M363" s="242" t="n">
        <v>0.7</v>
      </c>
      <c r="N363" s="20" t="n">
        <v>0</v>
      </c>
      <c r="O363" s="20" t="n">
        <v>0</v>
      </c>
      <c r="P363" s="20" t="n">
        <v>0</v>
      </c>
      <c r="Q363" s="20" t="n">
        <v>0</v>
      </c>
      <c r="R363" s="20" t="n">
        <v>0</v>
      </c>
      <c r="S363" s="20" t="n">
        <v>0</v>
      </c>
      <c r="T363" s="20" t="n">
        <v>0</v>
      </c>
    </row>
    <row r="364">
      <c r="A364" s="20" t="inlineStr">
        <is>
          <t>Warm Temperate Moist</t>
        </is>
      </c>
      <c r="B364" s="403" t="inlineStr">
        <is>
          <t>Eastern Asia</t>
        </is>
      </c>
      <c r="C364" s="20">
        <f>CONCATENATE(A364,B364)</f>
        <v/>
      </c>
      <c r="D364" s="244" t="n"/>
      <c r="E364" s="257">
        <f>AVERAGE(F364:M364)</f>
        <v/>
      </c>
      <c r="F364" s="20" t="n"/>
      <c r="G364" s="20" t="n"/>
      <c r="H364" s="270" t="n">
        <v>0.23</v>
      </c>
      <c r="I364" s="20" t="n"/>
      <c r="J364" s="20" t="n"/>
      <c r="K364" s="264" t="n"/>
      <c r="L364" s="271" t="n">
        <v>0.23</v>
      </c>
      <c r="M364" s="242" t="n">
        <v>0.7</v>
      </c>
      <c r="N364" s="20" t="n">
        <v>0</v>
      </c>
      <c r="O364" s="20" t="n">
        <v>0</v>
      </c>
      <c r="P364" s="20" t="n">
        <v>0</v>
      </c>
      <c r="Q364" s="20" t="n">
        <v>0</v>
      </c>
      <c r="R364" s="20" t="n">
        <v>0</v>
      </c>
      <c r="S364" s="20" t="n">
        <v>0</v>
      </c>
      <c r="T364" s="20" t="n">
        <v>0</v>
      </c>
    </row>
    <row r="365">
      <c r="A365" s="20" t="inlineStr">
        <is>
          <t>Warm Temperate Moist</t>
        </is>
      </c>
      <c r="B365" s="403" t="inlineStr">
        <is>
          <t>South-eastern Asia</t>
        </is>
      </c>
      <c r="C365" s="20">
        <f>CONCATENATE(A365,B365)</f>
        <v/>
      </c>
      <c r="D365" s="244" t="n"/>
      <c r="E365" s="257">
        <f>AVERAGE(F365:M365)</f>
        <v/>
      </c>
      <c r="F365" s="20" t="n"/>
      <c r="G365" s="20" t="n"/>
      <c r="H365" s="270" t="n">
        <v>0.23</v>
      </c>
      <c r="I365" s="20" t="n"/>
      <c r="J365" s="20" t="n"/>
      <c r="K365" s="264" t="n"/>
      <c r="L365" s="271" t="n">
        <v>0.23</v>
      </c>
      <c r="M365" s="242" t="n">
        <v>0.7</v>
      </c>
      <c r="N365" s="20" t="n">
        <v>0</v>
      </c>
      <c r="O365" s="20" t="n">
        <v>0</v>
      </c>
      <c r="P365" s="20" t="n">
        <v>0</v>
      </c>
      <c r="Q365" s="20" t="n">
        <v>0</v>
      </c>
      <c r="R365" s="20" t="n">
        <v>0</v>
      </c>
      <c r="S365" s="20" t="n">
        <v>0</v>
      </c>
      <c r="T365" s="20" t="n">
        <v>0</v>
      </c>
    </row>
    <row r="366">
      <c r="A366" s="20" t="inlineStr">
        <is>
          <t>Warm Temperate Moist</t>
        </is>
      </c>
      <c r="B366" s="403" t="inlineStr">
        <is>
          <t>Southern Asia</t>
        </is>
      </c>
      <c r="C366" s="20">
        <f>CONCATENATE(A366,B366)</f>
        <v/>
      </c>
      <c r="D366" s="244" t="n"/>
      <c r="E366" s="257">
        <f>AVERAGE(F366:M366)</f>
        <v/>
      </c>
      <c r="F366" s="20" t="n"/>
      <c r="G366" s="20" t="n"/>
      <c r="H366" s="270" t="n">
        <v>0.23</v>
      </c>
      <c r="I366" s="20" t="n"/>
      <c r="J366" s="20" t="n"/>
      <c r="K366" s="264" t="n"/>
      <c r="L366" s="271" t="n">
        <v>0.23</v>
      </c>
      <c r="M366" s="242" t="n">
        <v>0.7</v>
      </c>
      <c r="N366" s="20" t="n">
        <v>0</v>
      </c>
      <c r="O366" s="20" t="n">
        <v>0</v>
      </c>
      <c r="P366" s="20" t="n">
        <v>0</v>
      </c>
      <c r="Q366" s="20" t="n">
        <v>0</v>
      </c>
      <c r="R366" s="20" t="n">
        <v>0</v>
      </c>
      <c r="S366" s="20" t="n">
        <v>0</v>
      </c>
      <c r="T366" s="20" t="n">
        <v>0</v>
      </c>
    </row>
    <row r="367">
      <c r="A367" s="20" t="inlineStr">
        <is>
          <t>Warm Temperate Moist</t>
        </is>
      </c>
      <c r="B367" s="403" t="inlineStr">
        <is>
          <t>Western Asia</t>
        </is>
      </c>
      <c r="C367" s="20">
        <f>CONCATENATE(A367,B367)</f>
        <v/>
      </c>
      <c r="D367" s="244" t="n"/>
      <c r="E367" s="257">
        <f>AVERAGE(F367:M367)</f>
        <v/>
      </c>
      <c r="F367" s="20" t="n"/>
      <c r="G367" s="20" t="n"/>
      <c r="H367" s="270" t="n">
        <v>0.23</v>
      </c>
      <c r="I367" s="20" t="n"/>
      <c r="J367" s="20" t="n"/>
      <c r="K367" s="264" t="n"/>
      <c r="L367" s="271" t="n">
        <v>0.23</v>
      </c>
      <c r="M367" s="242" t="n">
        <v>0.7</v>
      </c>
      <c r="N367" s="20" t="n">
        <v>0</v>
      </c>
      <c r="O367" s="20" t="n">
        <v>0</v>
      </c>
      <c r="P367" s="20" t="n">
        <v>0</v>
      </c>
      <c r="Q367" s="20" t="n">
        <v>0</v>
      </c>
      <c r="R367" s="20" t="n">
        <v>0</v>
      </c>
      <c r="S367" s="20" t="n">
        <v>0</v>
      </c>
      <c r="T367" s="20" t="n">
        <v>0</v>
      </c>
    </row>
    <row r="368">
      <c r="A368" s="20" t="inlineStr">
        <is>
          <t>Warm Temperate Moist</t>
        </is>
      </c>
      <c r="B368" s="403" t="inlineStr">
        <is>
          <t>Europe</t>
        </is>
      </c>
      <c r="C368" s="20">
        <f>CONCATENATE(A368,B368)</f>
        <v/>
      </c>
      <c r="D368" s="244" t="n"/>
      <c r="E368" s="257">
        <f>AVERAGE(F368:M368)</f>
        <v/>
      </c>
      <c r="F368" s="20" t="n"/>
      <c r="G368" s="20" t="n"/>
      <c r="H368" s="270" t="n">
        <v>0.23</v>
      </c>
      <c r="I368" s="20" t="n"/>
      <c r="J368" s="20" t="n"/>
      <c r="K368" s="264" t="n"/>
      <c r="L368" s="264" t="n">
        <v>0.14</v>
      </c>
      <c r="M368" s="20" t="n">
        <v>1.03</v>
      </c>
      <c r="N368" s="20" t="n">
        <v>0</v>
      </c>
      <c r="O368" s="20" t="n">
        <v>0</v>
      </c>
      <c r="P368" s="20" t="n">
        <v>0</v>
      </c>
      <c r="Q368" s="20" t="n">
        <v>0</v>
      </c>
      <c r="R368" s="20" t="n">
        <v>0</v>
      </c>
      <c r="S368" s="20" t="n">
        <v>0</v>
      </c>
      <c r="T368" s="20" t="n">
        <v>0</v>
      </c>
    </row>
    <row r="369">
      <c r="A369" s="20" t="inlineStr">
        <is>
          <t>Warm Temperate Moist</t>
        </is>
      </c>
      <c r="B369" s="403" t="inlineStr">
        <is>
          <t>Oceania</t>
        </is>
      </c>
      <c r="C369" s="20">
        <f>CONCATENATE(A369,B369)</f>
        <v/>
      </c>
      <c r="D369" s="244" t="n"/>
      <c r="E369" s="257">
        <f>AVERAGE(F369:M369)</f>
        <v/>
      </c>
      <c r="F369" s="20" t="n"/>
      <c r="G369" s="20" t="n"/>
      <c r="H369" s="270" t="n">
        <v>0.23</v>
      </c>
      <c r="I369" s="20" t="n"/>
      <c r="J369" s="20" t="n"/>
      <c r="K369" s="264" t="n"/>
      <c r="L369" s="271" t="n">
        <v>0.23</v>
      </c>
      <c r="M369" s="242" t="n">
        <v>0.7</v>
      </c>
      <c r="N369" s="20" t="n">
        <v>0</v>
      </c>
      <c r="O369" s="20" t="n">
        <v>0</v>
      </c>
      <c r="P369" s="20" t="n">
        <v>0</v>
      </c>
      <c r="Q369" s="20" t="n">
        <v>0</v>
      </c>
      <c r="R369" s="20" t="n">
        <v>0</v>
      </c>
      <c r="S369" s="20" t="n">
        <v>0</v>
      </c>
      <c r="T369" s="20" t="n">
        <v>0</v>
      </c>
    </row>
    <row r="370">
      <c r="A370" s="20" t="inlineStr">
        <is>
          <t>Warm Temperate Moist</t>
        </is>
      </c>
      <c r="B370" s="403" t="inlineStr">
        <is>
          <t>North America</t>
        </is>
      </c>
      <c r="C370" s="20">
        <f>CONCATENATE(A370,B370)</f>
        <v/>
      </c>
      <c r="D370" s="244" t="n"/>
      <c r="E370" s="257">
        <f>AVERAGE(F370:M370)</f>
        <v/>
      </c>
      <c r="F370" s="20" t="n"/>
      <c r="G370" s="20" t="n"/>
      <c r="H370" s="270" t="n">
        <v>0.23</v>
      </c>
      <c r="I370" s="20" t="n"/>
      <c r="J370" s="20" t="n"/>
      <c r="K370" s="264" t="n"/>
      <c r="L370" s="271" t="n">
        <v>0.23</v>
      </c>
      <c r="M370" s="242" t="n">
        <v>0.7</v>
      </c>
      <c r="N370" s="20" t="n">
        <v>0</v>
      </c>
      <c r="O370" s="20" t="n">
        <v>0</v>
      </c>
      <c r="P370" s="20" t="n">
        <v>0</v>
      </c>
      <c r="Q370" s="20" t="n">
        <v>0</v>
      </c>
      <c r="R370" s="20" t="n">
        <v>0</v>
      </c>
      <c r="S370" s="20" t="n">
        <v>0</v>
      </c>
      <c r="T370" s="20" t="n">
        <v>0</v>
      </c>
    </row>
    <row r="371">
      <c r="A371" s="20" t="inlineStr">
        <is>
          <t>Warm Temperate Moist</t>
        </is>
      </c>
      <c r="B371" s="403" t="inlineStr">
        <is>
          <t>South America</t>
        </is>
      </c>
      <c r="C371" s="20">
        <f>CONCATENATE(A371,B371)</f>
        <v/>
      </c>
      <c r="D371" s="244" t="n"/>
      <c r="E371" s="257">
        <f>AVERAGE(F371:M371)</f>
        <v/>
      </c>
      <c r="F371" s="20" t="n"/>
      <c r="G371" s="20" t="n"/>
      <c r="H371" s="270" t="n">
        <v>0.23</v>
      </c>
      <c r="I371" s="20" t="n"/>
      <c r="J371" s="20" t="n"/>
      <c r="K371" s="264" t="n"/>
      <c r="L371" s="271" t="n">
        <v>0.23</v>
      </c>
      <c r="M371" s="242" t="n">
        <v>0.7</v>
      </c>
      <c r="N371" s="20" t="n">
        <v>0</v>
      </c>
      <c r="O371" s="20" t="n">
        <v>0</v>
      </c>
      <c r="P371" s="20" t="n">
        <v>0</v>
      </c>
      <c r="Q371" s="20" t="n">
        <v>0</v>
      </c>
      <c r="R371" s="20" t="n">
        <v>0</v>
      </c>
      <c r="S371" s="20" t="n">
        <v>0</v>
      </c>
      <c r="T371" s="20" t="n">
        <v>0</v>
      </c>
    </row>
    <row r="372">
      <c r="A372" s="20" t="inlineStr">
        <is>
          <t>Warm Temperate Moist</t>
        </is>
      </c>
      <c r="B372" s="403" t="inlineStr">
        <is>
          <t>Central America</t>
        </is>
      </c>
      <c r="C372" s="20">
        <f>CONCATENATE(A372,B372)</f>
        <v/>
      </c>
      <c r="D372" s="244" t="n"/>
      <c r="E372" s="257">
        <f>AVERAGE(F372:M372)</f>
        <v/>
      </c>
      <c r="F372" s="20" t="n"/>
      <c r="G372" s="20" t="n"/>
      <c r="H372" s="270" t="n">
        <v>0.23</v>
      </c>
      <c r="I372" s="20" t="n"/>
      <c r="J372" s="20" t="n"/>
      <c r="K372" s="264" t="n"/>
      <c r="L372" s="271" t="n">
        <v>0.23</v>
      </c>
      <c r="M372" s="242" t="n">
        <v>0.7</v>
      </c>
      <c r="N372" s="20" t="n">
        <v>0</v>
      </c>
      <c r="O372" s="20" t="n">
        <v>0</v>
      </c>
      <c r="P372" s="20" t="n">
        <v>0</v>
      </c>
      <c r="Q372" s="20" t="n">
        <v>0</v>
      </c>
      <c r="R372" s="20" t="n">
        <v>0</v>
      </c>
      <c r="S372" s="20" t="n">
        <v>0</v>
      </c>
      <c r="T372" s="20" t="n">
        <v>0</v>
      </c>
    </row>
    <row r="373">
      <c r="A373" s="37" t="inlineStr">
        <is>
          <t>Warm Temperate Moist</t>
        </is>
      </c>
      <c r="B373" s="404" t="inlineStr">
        <is>
          <t>Caribbean</t>
        </is>
      </c>
      <c r="C373" s="37">
        <f>CONCATENATE(A373,B373)</f>
        <v/>
      </c>
      <c r="D373" s="247" t="n"/>
      <c r="E373" s="257">
        <f>AVERAGE(F373:M373)</f>
        <v/>
      </c>
      <c r="F373" s="37" t="n"/>
      <c r="G373" s="37" t="n"/>
      <c r="H373" s="270" t="n">
        <v>0.23</v>
      </c>
      <c r="I373" s="37" t="n"/>
      <c r="J373" s="37" t="n"/>
      <c r="K373" s="265" t="n"/>
      <c r="L373" s="274" t="n">
        <v>0.23</v>
      </c>
      <c r="M373" s="243" t="n">
        <v>0.7</v>
      </c>
      <c r="N373" s="37" t="n">
        <v>0</v>
      </c>
      <c r="O373" s="37" t="n">
        <v>0</v>
      </c>
      <c r="P373" s="37" t="n">
        <v>0</v>
      </c>
      <c r="Q373" s="37" t="n">
        <v>0</v>
      </c>
      <c r="R373" s="37" t="n">
        <v>0</v>
      </c>
      <c r="S373" s="37" t="n">
        <v>0</v>
      </c>
      <c r="T373" s="37" t="n">
        <v>0</v>
      </c>
    </row>
    <row r="374">
      <c r="A374" s="63" t="inlineStr">
        <is>
          <t>Temperate</t>
        </is>
      </c>
      <c r="B374" s="413" t="inlineStr">
        <is>
          <t>Eastern Africa</t>
        </is>
      </c>
      <c r="C374" s="63">
        <f>CONCATENATE(A374,B374)</f>
        <v/>
      </c>
      <c r="D374" s="248" t="n"/>
      <c r="E374" s="256">
        <f>AVERAGE(F374:M374)</f>
        <v/>
      </c>
      <c r="F374" s="266" t="n"/>
      <c r="G374" s="263" t="n"/>
      <c r="H374" s="267" t="n">
        <v>0.23</v>
      </c>
      <c r="I374" s="275" t="n"/>
      <c r="J374" s="267" t="n"/>
      <c r="K374" s="268" t="n"/>
      <c r="L374" s="268" t="n">
        <v>0.23</v>
      </c>
      <c r="M374" s="241" t="n">
        <v>0.7</v>
      </c>
      <c r="N374" s="63" t="n">
        <v>0</v>
      </c>
      <c r="O374" s="63" t="n">
        <v>0</v>
      </c>
      <c r="P374" s="63" t="n">
        <v>0</v>
      </c>
      <c r="Q374" s="63" t="n">
        <v>0</v>
      </c>
      <c r="R374" s="63" t="n">
        <v>0</v>
      </c>
      <c r="S374" s="63" t="n">
        <v>0</v>
      </c>
      <c r="T374" s="63" t="n">
        <v>0</v>
      </c>
    </row>
    <row r="375">
      <c r="A375" s="20" t="inlineStr">
        <is>
          <t>Temperate</t>
        </is>
      </c>
      <c r="B375" s="403" t="inlineStr">
        <is>
          <t>Central Africa</t>
        </is>
      </c>
      <c r="C375" s="20">
        <f>CONCATENATE(A375,B375)</f>
        <v/>
      </c>
      <c r="D375" s="310" t="n"/>
      <c r="E375" s="257">
        <f>AVERAGE(F375:M375)</f>
        <v/>
      </c>
      <c r="F375" s="269" t="n"/>
      <c r="G375" s="264" t="n"/>
      <c r="H375" s="270" t="n">
        <v>0.23</v>
      </c>
      <c r="I375" s="276" t="n"/>
      <c r="J375" s="270" t="n"/>
      <c r="K375" s="271" t="n"/>
      <c r="L375" s="271" t="n">
        <v>0.23</v>
      </c>
      <c r="M375" s="242" t="n">
        <v>0.7</v>
      </c>
      <c r="N375" s="20" t="n">
        <v>0</v>
      </c>
      <c r="O375" s="20" t="n">
        <v>0</v>
      </c>
      <c r="P375" s="20" t="n">
        <v>0</v>
      </c>
      <c r="Q375" s="20" t="n">
        <v>0</v>
      </c>
      <c r="R375" s="20" t="n">
        <v>0</v>
      </c>
      <c r="S375" s="20" t="n">
        <v>0</v>
      </c>
      <c r="T375" s="20" t="n">
        <v>0</v>
      </c>
    </row>
    <row r="376">
      <c r="A376" s="20" t="inlineStr">
        <is>
          <t>Temperate</t>
        </is>
      </c>
      <c r="B376" s="403" t="inlineStr">
        <is>
          <t>Northern Africa</t>
        </is>
      </c>
      <c r="C376" s="20">
        <f>CONCATENATE(A376,B376)</f>
        <v/>
      </c>
      <c r="D376" s="249" t="n"/>
      <c r="E376" s="257">
        <f>AVERAGE(F376:M376)</f>
        <v/>
      </c>
      <c r="F376" s="269" t="n"/>
      <c r="G376" s="264" t="n"/>
      <c r="H376" s="270" t="n">
        <v>0.23</v>
      </c>
      <c r="I376" s="276" t="n"/>
      <c r="J376" s="270" t="n"/>
      <c r="K376" s="271" t="n"/>
      <c r="L376" s="271" t="n">
        <v>0.23</v>
      </c>
      <c r="M376" s="242" t="n">
        <v>0.7</v>
      </c>
      <c r="N376" s="20" t="n">
        <v>0</v>
      </c>
      <c r="O376" s="20" t="n">
        <v>0</v>
      </c>
      <c r="P376" s="20" t="n">
        <v>0</v>
      </c>
      <c r="Q376" s="20" t="n">
        <v>0</v>
      </c>
      <c r="R376" s="20" t="n">
        <v>0</v>
      </c>
      <c r="S376" s="20" t="n">
        <v>0</v>
      </c>
      <c r="T376" s="20" t="n">
        <v>0</v>
      </c>
    </row>
    <row r="377">
      <c r="A377" s="20" t="inlineStr">
        <is>
          <t>Temperate</t>
        </is>
      </c>
      <c r="B377" s="403" t="inlineStr">
        <is>
          <t>Southern Africa</t>
        </is>
      </c>
      <c r="C377" s="20">
        <f>CONCATENATE(A377,B377)</f>
        <v/>
      </c>
      <c r="D377" s="249" t="n"/>
      <c r="E377" s="257">
        <f>AVERAGE(F377:M377)</f>
        <v/>
      </c>
      <c r="F377" s="269" t="n"/>
      <c r="G377" s="264" t="n"/>
      <c r="H377" s="270" t="n">
        <v>0.23</v>
      </c>
      <c r="I377" s="276" t="n"/>
      <c r="J377" s="270" t="n"/>
      <c r="K377" s="271" t="n"/>
      <c r="L377" s="271" t="n">
        <v>0.23</v>
      </c>
      <c r="M377" s="242" t="n">
        <v>0.7</v>
      </c>
      <c r="N377" s="20" t="n">
        <v>0</v>
      </c>
      <c r="O377" s="20" t="n">
        <v>0</v>
      </c>
      <c r="P377" s="20" t="n">
        <v>0</v>
      </c>
      <c r="Q377" s="20" t="n">
        <v>0</v>
      </c>
      <c r="R377" s="20" t="n">
        <v>0</v>
      </c>
      <c r="S377" s="20" t="n">
        <v>0</v>
      </c>
      <c r="T377" s="20" t="n">
        <v>0</v>
      </c>
    </row>
    <row r="378">
      <c r="A378" s="20" t="inlineStr">
        <is>
          <t>Temperate</t>
        </is>
      </c>
      <c r="B378" s="403" t="inlineStr">
        <is>
          <t>Western Africa</t>
        </is>
      </c>
      <c r="C378" s="20">
        <f>CONCATENATE(A378,B378)</f>
        <v/>
      </c>
      <c r="D378" s="249" t="n"/>
      <c r="E378" s="257">
        <f>AVERAGE(F378:M378)</f>
        <v/>
      </c>
      <c r="F378" s="269" t="n"/>
      <c r="G378" s="264" t="n"/>
      <c r="H378" s="270" t="n">
        <v>0.23</v>
      </c>
      <c r="I378" s="276" t="n"/>
      <c r="J378" s="270" t="n"/>
      <c r="K378" s="271" t="n"/>
      <c r="L378" s="271" t="n">
        <v>0.23</v>
      </c>
      <c r="M378" s="242" t="n">
        <v>0.7</v>
      </c>
      <c r="N378" s="20" t="n">
        <v>0</v>
      </c>
      <c r="O378" s="20" t="n">
        <v>0</v>
      </c>
      <c r="P378" s="20" t="n">
        <v>0</v>
      </c>
      <c r="Q378" s="20" t="n">
        <v>0</v>
      </c>
      <c r="R378" s="20" t="n">
        <v>0</v>
      </c>
      <c r="S378" s="20" t="n">
        <v>0</v>
      </c>
      <c r="T378" s="20" t="n">
        <v>0</v>
      </c>
    </row>
    <row r="379">
      <c r="A379" s="20" t="inlineStr">
        <is>
          <t>Temperate</t>
        </is>
      </c>
      <c r="B379" s="403" t="inlineStr">
        <is>
          <t>Central Asia</t>
        </is>
      </c>
      <c r="C379" s="20">
        <f>CONCATENATE(A379,B379)</f>
        <v/>
      </c>
      <c r="D379" s="249" t="n"/>
      <c r="E379" s="257">
        <f>AVERAGE(F379:M379)</f>
        <v/>
      </c>
      <c r="F379" s="269" t="n"/>
      <c r="G379" s="264" t="n"/>
      <c r="H379" s="270" t="n">
        <v>0.23</v>
      </c>
      <c r="I379" s="276" t="n"/>
      <c r="J379" s="270" t="n"/>
      <c r="K379" s="271" t="n"/>
      <c r="L379" s="271" t="n">
        <v>0.23</v>
      </c>
      <c r="M379" s="242" t="n">
        <v>0.7</v>
      </c>
      <c r="N379" s="20" t="n">
        <v>0</v>
      </c>
      <c r="O379" s="20" t="n">
        <v>0</v>
      </c>
      <c r="P379" s="20" t="n">
        <v>0</v>
      </c>
      <c r="Q379" s="20" t="n">
        <v>0</v>
      </c>
      <c r="R379" s="20" t="n">
        <v>0</v>
      </c>
      <c r="S379" s="20" t="n">
        <v>0</v>
      </c>
      <c r="T379" s="20" t="n">
        <v>0</v>
      </c>
    </row>
    <row r="380">
      <c r="A380" s="20" t="inlineStr">
        <is>
          <t>Temperate</t>
        </is>
      </c>
      <c r="B380" s="403" t="inlineStr">
        <is>
          <t>Eastern Asia</t>
        </is>
      </c>
      <c r="C380" s="20">
        <f>CONCATENATE(A380,B380)</f>
        <v/>
      </c>
      <c r="D380" s="249" t="n"/>
      <c r="E380" s="257">
        <f>AVERAGE(F380:M380)</f>
        <v/>
      </c>
      <c r="F380" s="269" t="n"/>
      <c r="G380" s="264" t="n"/>
      <c r="H380" s="270" t="n">
        <v>0.23</v>
      </c>
      <c r="I380" s="276" t="n"/>
      <c r="J380" s="270" t="n"/>
      <c r="K380" s="271" t="n"/>
      <c r="L380" s="271" t="n">
        <v>0.23</v>
      </c>
      <c r="M380" s="242" t="n">
        <v>0.7</v>
      </c>
      <c r="N380" s="20" t="n">
        <v>0</v>
      </c>
      <c r="O380" s="20" t="n">
        <v>0</v>
      </c>
      <c r="P380" s="20" t="n">
        <v>0</v>
      </c>
      <c r="Q380" s="20" t="n">
        <v>0</v>
      </c>
      <c r="R380" s="20" t="n">
        <v>0</v>
      </c>
      <c r="S380" s="20" t="n">
        <v>0</v>
      </c>
      <c r="T380" s="20" t="n">
        <v>0</v>
      </c>
    </row>
    <row r="381">
      <c r="A381" s="20" t="inlineStr">
        <is>
          <t>Temperate</t>
        </is>
      </c>
      <c r="B381" s="403" t="inlineStr">
        <is>
          <t>South-eastern Asia</t>
        </is>
      </c>
      <c r="C381" s="20">
        <f>CONCATENATE(A381,B381)</f>
        <v/>
      </c>
      <c r="D381" s="249" t="n"/>
      <c r="E381" s="257">
        <f>AVERAGE(F381:M381)</f>
        <v/>
      </c>
      <c r="F381" s="269" t="n"/>
      <c r="G381" s="264" t="n"/>
      <c r="H381" s="270" t="n">
        <v>0.23</v>
      </c>
      <c r="I381" s="276" t="n"/>
      <c r="J381" s="270" t="n"/>
      <c r="K381" s="271" t="n"/>
      <c r="L381" s="271" t="n">
        <v>0.23</v>
      </c>
      <c r="M381" s="242" t="n">
        <v>0.7</v>
      </c>
      <c r="N381" s="20" t="n">
        <v>0</v>
      </c>
      <c r="O381" s="20" t="n">
        <v>0</v>
      </c>
      <c r="P381" s="20" t="n">
        <v>0</v>
      </c>
      <c r="Q381" s="20" t="n">
        <v>0</v>
      </c>
      <c r="R381" s="20" t="n">
        <v>0</v>
      </c>
      <c r="S381" s="20" t="n">
        <v>0</v>
      </c>
      <c r="T381" s="20" t="n">
        <v>0</v>
      </c>
    </row>
    <row r="382">
      <c r="A382" s="20" t="inlineStr">
        <is>
          <t>Temperate</t>
        </is>
      </c>
      <c r="B382" s="403" t="inlineStr">
        <is>
          <t>Southern Asia</t>
        </is>
      </c>
      <c r="C382" s="20">
        <f>CONCATENATE(A382,B382)</f>
        <v/>
      </c>
      <c r="D382" s="249" t="n"/>
      <c r="E382" s="257">
        <f>AVERAGE(F382:M382)</f>
        <v/>
      </c>
      <c r="F382" s="269" t="n"/>
      <c r="G382" s="264" t="n"/>
      <c r="H382" s="270" t="n">
        <v>0.23</v>
      </c>
      <c r="I382" s="276" t="n"/>
      <c r="J382" s="270" t="n"/>
      <c r="K382" s="271" t="n"/>
      <c r="L382" s="271" t="n">
        <v>0.23</v>
      </c>
      <c r="M382" s="242" t="n">
        <v>0.7</v>
      </c>
      <c r="N382" s="20" t="n">
        <v>0</v>
      </c>
      <c r="O382" s="20" t="n">
        <v>0</v>
      </c>
      <c r="P382" s="20" t="n">
        <v>0</v>
      </c>
      <c r="Q382" s="20" t="n">
        <v>0</v>
      </c>
      <c r="R382" s="20" t="n">
        <v>0</v>
      </c>
      <c r="S382" s="20" t="n">
        <v>0</v>
      </c>
      <c r="T382" s="20" t="n">
        <v>0</v>
      </c>
    </row>
    <row r="383">
      <c r="A383" s="20" t="inlineStr">
        <is>
          <t>Temperate</t>
        </is>
      </c>
      <c r="B383" s="403" t="inlineStr">
        <is>
          <t>Western Asia</t>
        </is>
      </c>
      <c r="C383" s="20">
        <f>CONCATENATE(A383,B383)</f>
        <v/>
      </c>
      <c r="D383" s="249" t="n"/>
      <c r="E383" s="257">
        <f>AVERAGE(F383:M383)</f>
        <v/>
      </c>
      <c r="F383" s="269" t="n"/>
      <c r="G383" s="264" t="n"/>
      <c r="H383" s="270" t="n">
        <v>0.23</v>
      </c>
      <c r="I383" s="276" t="n"/>
      <c r="J383" s="270" t="n"/>
      <c r="K383" s="271" t="n"/>
      <c r="L383" s="271" t="n">
        <v>0.23</v>
      </c>
      <c r="M383" s="242" t="n">
        <v>0.7</v>
      </c>
      <c r="N383" s="20" t="n">
        <v>0</v>
      </c>
      <c r="O383" s="20" t="n">
        <v>0</v>
      </c>
      <c r="P383" s="20" t="n">
        <v>0</v>
      </c>
      <c r="Q383" s="20" t="n">
        <v>0</v>
      </c>
      <c r="R383" s="20" t="n">
        <v>0</v>
      </c>
      <c r="S383" s="20" t="n">
        <v>0</v>
      </c>
      <c r="T383" s="20" t="n">
        <v>0</v>
      </c>
    </row>
    <row r="384">
      <c r="A384" s="20" t="inlineStr">
        <is>
          <t>Temperate</t>
        </is>
      </c>
      <c r="B384" s="403" t="inlineStr">
        <is>
          <t>Europe</t>
        </is>
      </c>
      <c r="C384" s="20">
        <f>CONCATENATE(A384,B384)</f>
        <v/>
      </c>
      <c r="D384" s="249" t="n"/>
      <c r="E384" s="257">
        <f>AVERAGE(F384:M384)</f>
        <v/>
      </c>
      <c r="F384" s="269" t="n"/>
      <c r="G384" s="264" t="n"/>
      <c r="H384" s="270" t="n">
        <v>0.23</v>
      </c>
      <c r="I384" s="276" t="n"/>
      <c r="J384" s="270" t="n"/>
      <c r="K384" s="271" t="n"/>
      <c r="L384" s="271" t="n">
        <v>0.23</v>
      </c>
      <c r="M384" s="242" t="n">
        <v>0.7</v>
      </c>
      <c r="N384" s="20" t="n">
        <v>0</v>
      </c>
      <c r="O384" s="20" t="n">
        <v>0</v>
      </c>
      <c r="P384" s="20" t="n">
        <v>0</v>
      </c>
      <c r="Q384" s="20" t="n">
        <v>0</v>
      </c>
      <c r="R384" s="20" t="n">
        <v>0</v>
      </c>
      <c r="S384" s="20" t="n">
        <v>0</v>
      </c>
      <c r="T384" s="20" t="n">
        <v>0</v>
      </c>
    </row>
    <row r="385">
      <c r="A385" s="20" t="inlineStr">
        <is>
          <t>Temperate</t>
        </is>
      </c>
      <c r="B385" s="403" t="inlineStr">
        <is>
          <t>Oceania</t>
        </is>
      </c>
      <c r="C385" s="20">
        <f>CONCATENATE(A385,B385)</f>
        <v/>
      </c>
      <c r="D385" s="249" t="n"/>
      <c r="E385" s="257">
        <f>AVERAGE(F385:M385)</f>
        <v/>
      </c>
      <c r="F385" s="269" t="n"/>
      <c r="G385" s="264" t="n"/>
      <c r="H385" s="270" t="n">
        <v>0.23</v>
      </c>
      <c r="I385" s="276" t="n"/>
      <c r="J385" s="270" t="n"/>
      <c r="K385" s="271" t="n"/>
      <c r="L385" s="271" t="n">
        <v>0.23</v>
      </c>
      <c r="M385" s="242" t="n">
        <v>0.7</v>
      </c>
      <c r="N385" s="20" t="n">
        <v>0</v>
      </c>
      <c r="O385" s="20" t="n">
        <v>0</v>
      </c>
      <c r="P385" s="20" t="n">
        <v>0</v>
      </c>
      <c r="Q385" s="20" t="n">
        <v>0</v>
      </c>
      <c r="R385" s="20" t="n">
        <v>0</v>
      </c>
      <c r="S385" s="20" t="n">
        <v>0</v>
      </c>
      <c r="T385" s="20" t="n">
        <v>0</v>
      </c>
    </row>
    <row r="386">
      <c r="A386" s="20" t="inlineStr">
        <is>
          <t>Temperate</t>
        </is>
      </c>
      <c r="B386" s="403" t="inlineStr">
        <is>
          <t>North America</t>
        </is>
      </c>
      <c r="C386" s="20">
        <f>CONCATENATE(A386,B386)</f>
        <v/>
      </c>
      <c r="D386" s="249" t="n"/>
      <c r="E386" s="257">
        <f>AVERAGE(F386:M386)</f>
        <v/>
      </c>
      <c r="F386" s="269" t="n"/>
      <c r="G386" s="264" t="n"/>
      <c r="H386" s="270" t="n">
        <v>0.23</v>
      </c>
      <c r="I386" s="276" t="n"/>
      <c r="J386" s="270" t="n"/>
      <c r="K386" s="271" t="n"/>
      <c r="L386" s="271" t="n">
        <v>0.23</v>
      </c>
      <c r="M386" s="242" t="n">
        <v>0.7</v>
      </c>
      <c r="N386" s="20" t="n">
        <v>0</v>
      </c>
      <c r="O386" s="20" t="n">
        <v>0</v>
      </c>
      <c r="P386" s="20" t="n">
        <v>0</v>
      </c>
      <c r="Q386" s="20" t="n">
        <v>0</v>
      </c>
      <c r="R386" s="20" t="n">
        <v>0</v>
      </c>
      <c r="S386" s="20" t="n">
        <v>0</v>
      </c>
      <c r="T386" s="20" t="n">
        <v>0</v>
      </c>
    </row>
    <row r="387">
      <c r="A387" s="20" t="inlineStr">
        <is>
          <t>Temperate</t>
        </is>
      </c>
      <c r="B387" s="403" t="inlineStr">
        <is>
          <t>South America</t>
        </is>
      </c>
      <c r="C387" s="20">
        <f>CONCATENATE(A387,B387)</f>
        <v/>
      </c>
      <c r="D387" s="249" t="n"/>
      <c r="E387" s="257">
        <f>AVERAGE(F387:M387)</f>
        <v/>
      </c>
      <c r="F387" s="269" t="n"/>
      <c r="G387" s="264" t="n"/>
      <c r="H387" s="270" t="n">
        <v>0.23</v>
      </c>
      <c r="I387" s="276" t="n"/>
      <c r="J387" s="270" t="n"/>
      <c r="K387" s="271" t="n"/>
      <c r="L387" s="271" t="n">
        <v>0.23</v>
      </c>
      <c r="M387" s="242" t="n">
        <v>0.7</v>
      </c>
      <c r="N387" s="20" t="n">
        <v>0</v>
      </c>
      <c r="O387" s="20" t="n">
        <v>0</v>
      </c>
      <c r="P387" s="20" t="n">
        <v>0</v>
      </c>
      <c r="Q387" s="20" t="n">
        <v>0</v>
      </c>
      <c r="R387" s="20" t="n">
        <v>0</v>
      </c>
      <c r="S387" s="20" t="n">
        <v>0</v>
      </c>
      <c r="T387" s="20" t="n">
        <v>0</v>
      </c>
    </row>
    <row r="388">
      <c r="A388" s="20" t="inlineStr">
        <is>
          <t>Temperate</t>
        </is>
      </c>
      <c r="B388" s="403" t="inlineStr">
        <is>
          <t>Central America</t>
        </is>
      </c>
      <c r="C388" s="20">
        <f>CONCATENATE(A388,B388)</f>
        <v/>
      </c>
      <c r="D388" s="249" t="n"/>
      <c r="E388" s="257">
        <f>AVERAGE(F388:M388)</f>
        <v/>
      </c>
      <c r="F388" s="269" t="n"/>
      <c r="G388" s="264" t="n"/>
      <c r="H388" s="270" t="n">
        <v>0.23</v>
      </c>
      <c r="I388" s="276" t="n"/>
      <c r="J388" s="270" t="n"/>
      <c r="K388" s="271" t="n"/>
      <c r="L388" s="271" t="n">
        <v>0.23</v>
      </c>
      <c r="M388" s="242" t="n">
        <v>0.7</v>
      </c>
      <c r="N388" s="20" t="n">
        <v>0</v>
      </c>
      <c r="O388" s="20" t="n">
        <v>0</v>
      </c>
      <c r="P388" s="20" t="n">
        <v>0</v>
      </c>
      <c r="Q388" s="20" t="n">
        <v>0</v>
      </c>
      <c r="R388" s="20" t="n">
        <v>0</v>
      </c>
      <c r="S388" s="20" t="n">
        <v>0</v>
      </c>
      <c r="T388" s="20" t="n">
        <v>0</v>
      </c>
    </row>
    <row r="389">
      <c r="A389" s="37" t="inlineStr">
        <is>
          <t>Temperate</t>
        </is>
      </c>
      <c r="B389" s="404" t="inlineStr">
        <is>
          <t>Caribbean</t>
        </is>
      </c>
      <c r="C389" s="37">
        <f>CONCATENATE(A389,B389)</f>
        <v/>
      </c>
      <c r="D389" s="252" t="n"/>
      <c r="E389" s="258">
        <f>AVERAGE(F389:M389)</f>
        <v/>
      </c>
      <c r="F389" s="272" t="n"/>
      <c r="G389" s="265" t="n"/>
      <c r="H389" s="273" t="n">
        <v>0.23</v>
      </c>
      <c r="I389" s="277" t="n"/>
      <c r="J389" s="273" t="n"/>
      <c r="K389" s="271" t="n"/>
      <c r="L389" s="274" t="n">
        <v>0.23</v>
      </c>
      <c r="M389" s="243" t="n">
        <v>0.7</v>
      </c>
      <c r="N389" s="37" t="n">
        <v>0</v>
      </c>
      <c r="O389" s="37" t="n">
        <v>0</v>
      </c>
      <c r="P389" s="37" t="n">
        <v>0</v>
      </c>
      <c r="Q389" s="37" t="n">
        <v>0</v>
      </c>
      <c r="R389" s="37" t="n">
        <v>0</v>
      </c>
      <c r="S389" s="37" t="n">
        <v>0</v>
      </c>
      <c r="T389" s="37" t="n">
        <v>0</v>
      </c>
    </row>
    <row r="390">
      <c r="A390" s="63" t="inlineStr">
        <is>
          <t>Tropical Dry</t>
        </is>
      </c>
      <c r="B390" s="413" t="inlineStr">
        <is>
          <t>Eastern Africa</t>
        </is>
      </c>
      <c r="C390" s="63">
        <f>CONCATENATE(A390,B390)</f>
        <v/>
      </c>
      <c r="D390" s="244" t="n"/>
      <c r="E390" s="299">
        <f>AVERAGE(F390:M390)</f>
        <v/>
      </c>
      <c r="F390" s="63" t="n">
        <v>0.45</v>
      </c>
      <c r="G390" s="63" t="n">
        <v>2.54</v>
      </c>
      <c r="H390" s="63" t="n">
        <v>0.12</v>
      </c>
      <c r="I390" s="63" t="n">
        <v>0.46</v>
      </c>
      <c r="J390" s="263" t="n">
        <v>0.21</v>
      </c>
      <c r="K390" s="267" t="n">
        <v>0.55</v>
      </c>
      <c r="L390" s="281" t="n">
        <v>1.62</v>
      </c>
      <c r="M390" s="267" t="n">
        <v>0.84</v>
      </c>
      <c r="N390" s="63" t="n">
        <v>0</v>
      </c>
      <c r="O390" s="63" t="n">
        <v>0</v>
      </c>
      <c r="P390" s="63" t="n">
        <v>0</v>
      </c>
      <c r="Q390" s="63" t="n">
        <v>0</v>
      </c>
      <c r="R390" s="63" t="n">
        <v>0</v>
      </c>
      <c r="S390" s="63" t="n">
        <v>0</v>
      </c>
      <c r="T390" s="63" t="n">
        <v>0</v>
      </c>
    </row>
    <row r="391">
      <c r="A391" s="20" t="inlineStr">
        <is>
          <t>Tropical Dry</t>
        </is>
      </c>
      <c r="B391" s="403" t="inlineStr">
        <is>
          <t>Central Africa</t>
        </is>
      </c>
      <c r="C391" s="20">
        <f>CONCATENATE(A391,B391)</f>
        <v/>
      </c>
      <c r="D391" s="297" t="n"/>
      <c r="E391" s="299">
        <f>AVERAGE(F391:M391)</f>
        <v/>
      </c>
      <c r="F391" s="20" t="n">
        <v>0.45</v>
      </c>
      <c r="G391" s="20" t="n">
        <v>2.54</v>
      </c>
      <c r="H391" s="20" t="n">
        <v>0.12</v>
      </c>
      <c r="I391" s="20" t="n">
        <v>0.46</v>
      </c>
      <c r="J391" s="264" t="n">
        <v>0.21</v>
      </c>
      <c r="K391" s="270" t="n">
        <v>0.55</v>
      </c>
      <c r="L391" s="279" t="n">
        <v>1.62</v>
      </c>
      <c r="M391" s="270" t="n">
        <v>0.84</v>
      </c>
      <c r="N391" s="20" t="n">
        <v>0</v>
      </c>
      <c r="O391" s="20" t="n">
        <v>0</v>
      </c>
      <c r="P391" s="20" t="n">
        <v>0</v>
      </c>
      <c r="Q391" s="20" t="n">
        <v>0</v>
      </c>
      <c r="R391" s="20" t="n">
        <v>0</v>
      </c>
      <c r="S391" s="20" t="n">
        <v>0</v>
      </c>
      <c r="T391" s="20" t="n">
        <v>0</v>
      </c>
    </row>
    <row r="392">
      <c r="A392" s="20" t="inlineStr">
        <is>
          <t>Tropical Dry</t>
        </is>
      </c>
      <c r="B392" s="403" t="inlineStr">
        <is>
          <t>Northern Africa</t>
        </is>
      </c>
      <c r="C392" s="20">
        <f>CONCATENATE(A392,B392)</f>
        <v/>
      </c>
      <c r="D392" s="244" t="n"/>
      <c r="E392" s="299">
        <f>AVERAGE(F392:M392)</f>
        <v/>
      </c>
      <c r="F392" s="20" t="n">
        <v>0.45</v>
      </c>
      <c r="G392" s="20" t="n">
        <v>2.54</v>
      </c>
      <c r="H392" s="20" t="n">
        <v>0.12</v>
      </c>
      <c r="I392" s="20" t="n">
        <v>0.46</v>
      </c>
      <c r="J392" s="264" t="n">
        <v>0.21</v>
      </c>
      <c r="K392" s="270" t="n">
        <v>0.55</v>
      </c>
      <c r="L392" s="279" t="n">
        <v>1.62</v>
      </c>
      <c r="M392" s="270" t="n">
        <v>0.84</v>
      </c>
      <c r="N392" s="20" t="n">
        <v>0</v>
      </c>
      <c r="O392" s="20" t="n">
        <v>0</v>
      </c>
      <c r="P392" s="20" t="n">
        <v>0</v>
      </c>
      <c r="Q392" s="20" t="n">
        <v>0</v>
      </c>
      <c r="R392" s="20" t="n">
        <v>0</v>
      </c>
      <c r="S392" s="20" t="n">
        <v>0</v>
      </c>
      <c r="T392" s="20" t="n">
        <v>0</v>
      </c>
    </row>
    <row r="393">
      <c r="A393" s="20" t="inlineStr">
        <is>
          <t>Tropical Dry</t>
        </is>
      </c>
      <c r="B393" s="403" t="inlineStr">
        <is>
          <t>Southern Africa</t>
        </is>
      </c>
      <c r="C393" s="20">
        <f>CONCATENATE(A393,B393)</f>
        <v/>
      </c>
      <c r="D393" s="244" t="n"/>
      <c r="E393" s="299">
        <f>AVERAGE(F393:M393)</f>
        <v/>
      </c>
      <c r="F393" s="20" t="n">
        <v>0.45</v>
      </c>
      <c r="G393" s="20" t="n">
        <v>2.54</v>
      </c>
      <c r="H393" s="20" t="n">
        <v>0.12</v>
      </c>
      <c r="I393" s="20" t="n">
        <v>0.46</v>
      </c>
      <c r="J393" s="264" t="n">
        <v>0.21</v>
      </c>
      <c r="K393" s="270" t="n">
        <v>0.55</v>
      </c>
      <c r="L393" s="279" t="n">
        <v>1.62</v>
      </c>
      <c r="M393" s="270" t="n">
        <v>0.84</v>
      </c>
      <c r="N393" s="20" t="n">
        <v>0</v>
      </c>
      <c r="O393" s="20" t="n">
        <v>0</v>
      </c>
      <c r="P393" s="20" t="n">
        <v>0</v>
      </c>
      <c r="Q393" s="20" t="n">
        <v>0</v>
      </c>
      <c r="R393" s="20" t="n">
        <v>0</v>
      </c>
      <c r="S393" s="20" t="n">
        <v>0</v>
      </c>
      <c r="T393" s="20" t="n">
        <v>0</v>
      </c>
    </row>
    <row r="394">
      <c r="A394" s="20" t="inlineStr">
        <is>
          <t>Tropical Dry</t>
        </is>
      </c>
      <c r="B394" s="403" t="inlineStr">
        <is>
          <t>Western Africa</t>
        </is>
      </c>
      <c r="C394" s="20">
        <f>CONCATENATE(A394,B394)</f>
        <v/>
      </c>
      <c r="D394" s="244" t="n"/>
      <c r="E394" s="299">
        <f>AVERAGE(F394:M394)</f>
        <v/>
      </c>
      <c r="F394" s="20" t="n">
        <v>0.45</v>
      </c>
      <c r="G394" s="20" t="n">
        <v>2.54</v>
      </c>
      <c r="H394" s="20" t="n">
        <v>0.12</v>
      </c>
      <c r="I394" s="20" t="n">
        <v>0.46</v>
      </c>
      <c r="J394" s="264" t="n">
        <v>0.21</v>
      </c>
      <c r="K394" s="270" t="n">
        <v>0.55</v>
      </c>
      <c r="L394" s="279" t="n">
        <v>1.62</v>
      </c>
      <c r="M394" s="270" t="n">
        <v>0.84</v>
      </c>
      <c r="N394" s="20" t="n">
        <v>0</v>
      </c>
      <c r="O394" s="20" t="n">
        <v>0</v>
      </c>
      <c r="P394" s="20" t="n">
        <v>0</v>
      </c>
      <c r="Q394" s="20" t="n">
        <v>0</v>
      </c>
      <c r="R394" s="20" t="n">
        <v>0</v>
      </c>
      <c r="S394" s="20" t="n">
        <v>0</v>
      </c>
      <c r="T394" s="20" t="n">
        <v>0</v>
      </c>
    </row>
    <row r="395">
      <c r="A395" s="20" t="inlineStr">
        <is>
          <t>Tropical Dry</t>
        </is>
      </c>
      <c r="B395" s="403" t="inlineStr">
        <is>
          <t>Central Asia</t>
        </is>
      </c>
      <c r="C395" s="20">
        <f>CONCATENATE(A395,B395)</f>
        <v/>
      </c>
      <c r="D395" s="244" t="n"/>
      <c r="E395" s="299">
        <f>AVERAGE(F395:M395)</f>
        <v/>
      </c>
      <c r="F395" s="20" t="n">
        <v>0.67</v>
      </c>
      <c r="G395" s="20" t="n">
        <v>0.53</v>
      </c>
      <c r="H395" s="270" t="n">
        <v>0.12</v>
      </c>
      <c r="I395" s="270" t="n">
        <v>0.46</v>
      </c>
      <c r="J395" s="271" t="n">
        <v>0.21</v>
      </c>
      <c r="K395" s="270" t="n">
        <v>0.55</v>
      </c>
      <c r="L395" s="21" t="n">
        <v>1.62</v>
      </c>
      <c r="M395" s="20" t="n">
        <v>0.84</v>
      </c>
      <c r="N395" s="20" t="n">
        <v>0</v>
      </c>
      <c r="O395" s="20" t="n">
        <v>0</v>
      </c>
      <c r="P395" s="20" t="n">
        <v>0</v>
      </c>
      <c r="Q395" s="20" t="n">
        <v>0</v>
      </c>
      <c r="R395" s="20" t="n">
        <v>0</v>
      </c>
      <c r="S395" s="20" t="n">
        <v>0</v>
      </c>
      <c r="T395" s="20" t="n">
        <v>0</v>
      </c>
    </row>
    <row r="396">
      <c r="A396" s="20" t="inlineStr">
        <is>
          <t>Tropical Dry</t>
        </is>
      </c>
      <c r="B396" s="403" t="inlineStr">
        <is>
          <t>Eastern Asia</t>
        </is>
      </c>
      <c r="C396" s="20">
        <f>CONCATENATE(A396,B396)</f>
        <v/>
      </c>
      <c r="D396" s="244" t="n"/>
      <c r="E396" s="299">
        <f>AVERAGE(F396:M396)</f>
        <v/>
      </c>
      <c r="F396" s="20" t="n">
        <v>0.67</v>
      </c>
      <c r="G396" s="20" t="n">
        <v>0.53</v>
      </c>
      <c r="H396" s="270" t="n">
        <v>0.12</v>
      </c>
      <c r="I396" s="270" t="n">
        <v>0.46</v>
      </c>
      <c r="J396" s="271" t="n">
        <v>0.21</v>
      </c>
      <c r="K396" s="270" t="n">
        <v>0.55</v>
      </c>
      <c r="L396" s="21" t="n">
        <v>1.62</v>
      </c>
      <c r="M396" s="20" t="n">
        <v>0.84</v>
      </c>
      <c r="N396" s="20" t="n">
        <v>0</v>
      </c>
      <c r="O396" s="20" t="n">
        <v>0</v>
      </c>
      <c r="P396" s="20" t="n">
        <v>0</v>
      </c>
      <c r="Q396" s="20" t="n">
        <v>0</v>
      </c>
      <c r="R396" s="20" t="n">
        <v>0</v>
      </c>
      <c r="S396" s="20" t="n">
        <v>0</v>
      </c>
      <c r="T396" s="20" t="n">
        <v>0</v>
      </c>
    </row>
    <row r="397">
      <c r="A397" s="20" t="inlineStr">
        <is>
          <t>Tropical Dry</t>
        </is>
      </c>
      <c r="B397" s="403" t="inlineStr">
        <is>
          <t>South-eastern Asia</t>
        </is>
      </c>
      <c r="C397" s="20">
        <f>CONCATENATE(A397,B397)</f>
        <v/>
      </c>
      <c r="D397" s="244" t="n"/>
      <c r="E397" s="299">
        <f>AVERAGE(F397:M397)</f>
        <v/>
      </c>
      <c r="F397" s="20" t="n">
        <v>0.67</v>
      </c>
      <c r="G397" s="20" t="n">
        <v>0.53</v>
      </c>
      <c r="H397" s="270" t="n">
        <v>0.12</v>
      </c>
      <c r="I397" s="270" t="n">
        <v>0.46</v>
      </c>
      <c r="J397" s="271" t="n">
        <v>0.21</v>
      </c>
      <c r="K397" s="270" t="n">
        <v>0.55</v>
      </c>
      <c r="L397" s="21" t="n">
        <v>1.62</v>
      </c>
      <c r="M397" s="20" t="n">
        <v>0.84</v>
      </c>
      <c r="N397" s="20" t="n">
        <v>0</v>
      </c>
      <c r="O397" s="20" t="n">
        <v>0</v>
      </c>
      <c r="P397" s="20" t="n">
        <v>0</v>
      </c>
      <c r="Q397" s="20" t="n">
        <v>0</v>
      </c>
      <c r="R397" s="20" t="n">
        <v>0</v>
      </c>
      <c r="S397" s="20" t="n">
        <v>0</v>
      </c>
      <c r="T397" s="20" t="n">
        <v>0</v>
      </c>
    </row>
    <row r="398">
      <c r="A398" s="20" t="inlineStr">
        <is>
          <t>Tropical Dry</t>
        </is>
      </c>
      <c r="B398" s="403" t="inlineStr">
        <is>
          <t>Southern Asia</t>
        </is>
      </c>
      <c r="C398" s="20">
        <f>CONCATENATE(A398,B398)</f>
        <v/>
      </c>
      <c r="D398" s="244" t="n"/>
      <c r="E398" s="299">
        <f>AVERAGE(F398:M398)</f>
        <v/>
      </c>
      <c r="F398" s="20" t="n">
        <v>0.67</v>
      </c>
      <c r="G398" s="20" t="n">
        <v>0.53</v>
      </c>
      <c r="H398" s="270" t="n">
        <v>0.12</v>
      </c>
      <c r="I398" s="270" t="n">
        <v>0.46</v>
      </c>
      <c r="J398" s="271" t="n">
        <v>0.21</v>
      </c>
      <c r="K398" s="270" t="n">
        <v>0.55</v>
      </c>
      <c r="L398" s="21" t="n">
        <v>1.62</v>
      </c>
      <c r="M398" s="20" t="n">
        <v>0.84</v>
      </c>
      <c r="N398" s="20" t="n">
        <v>0</v>
      </c>
      <c r="O398" s="20" t="n">
        <v>0</v>
      </c>
      <c r="P398" s="20" t="n">
        <v>0</v>
      </c>
      <c r="Q398" s="20" t="n">
        <v>0</v>
      </c>
      <c r="R398" s="20" t="n">
        <v>0</v>
      </c>
      <c r="S398" s="20" t="n">
        <v>0</v>
      </c>
      <c r="T398" s="20" t="n">
        <v>0</v>
      </c>
    </row>
    <row r="399">
      <c r="A399" s="20" t="inlineStr">
        <is>
          <t>Tropical Dry</t>
        </is>
      </c>
      <c r="B399" s="403" t="inlineStr">
        <is>
          <t>Western Asia</t>
        </is>
      </c>
      <c r="C399" s="20">
        <f>CONCATENATE(A399,B399)</f>
        <v/>
      </c>
      <c r="D399" s="244" t="n"/>
      <c r="E399" s="299">
        <f>AVERAGE(F399:M399)</f>
        <v/>
      </c>
      <c r="F399" s="20" t="n">
        <v>0.67</v>
      </c>
      <c r="G399" s="20" t="n">
        <v>0.53</v>
      </c>
      <c r="H399" s="270" t="n">
        <v>0.12</v>
      </c>
      <c r="I399" s="270" t="n">
        <v>0.46</v>
      </c>
      <c r="J399" s="271" t="n">
        <v>0.21</v>
      </c>
      <c r="K399" s="270" t="n">
        <v>0.55</v>
      </c>
      <c r="L399" s="21" t="n">
        <v>1.62</v>
      </c>
      <c r="M399" s="20" t="n">
        <v>0.84</v>
      </c>
      <c r="N399" s="20" t="n">
        <v>0</v>
      </c>
      <c r="O399" s="20" t="n">
        <v>0</v>
      </c>
      <c r="P399" s="20" t="n">
        <v>0</v>
      </c>
      <c r="Q399" s="20" t="n">
        <v>0</v>
      </c>
      <c r="R399" s="20" t="n">
        <v>0</v>
      </c>
      <c r="S399" s="20" t="n">
        <v>0</v>
      </c>
      <c r="T399" s="20" t="n">
        <v>0</v>
      </c>
    </row>
    <row r="400">
      <c r="A400" s="20" t="inlineStr">
        <is>
          <t>Tropical Dry</t>
        </is>
      </c>
      <c r="B400" s="403" t="inlineStr">
        <is>
          <t>Europe</t>
        </is>
      </c>
      <c r="C400" s="20">
        <f>CONCATENATE(A400,B400)</f>
        <v/>
      </c>
      <c r="D400" s="244" t="n"/>
      <c r="E400" s="299">
        <f>AVERAGE(F400:M400)</f>
        <v/>
      </c>
      <c r="F400" s="270" t="n">
        <v>0.54</v>
      </c>
      <c r="G400" s="270" t="n">
        <v>1.95</v>
      </c>
      <c r="H400" s="270" t="n">
        <v>0.12</v>
      </c>
      <c r="I400" s="270" t="n">
        <v>0.46</v>
      </c>
      <c r="J400" s="271" t="n">
        <v>0.21</v>
      </c>
      <c r="K400" s="270" t="n">
        <v>0.55</v>
      </c>
      <c r="L400" s="279" t="n">
        <v>1.62</v>
      </c>
      <c r="M400" s="270" t="n">
        <v>0.84</v>
      </c>
      <c r="N400" s="20" t="n">
        <v>0</v>
      </c>
      <c r="O400" s="20" t="n">
        <v>0</v>
      </c>
      <c r="P400" s="20" t="n">
        <v>0</v>
      </c>
      <c r="Q400" s="20" t="n">
        <v>0</v>
      </c>
      <c r="R400" s="20" t="n">
        <v>0</v>
      </c>
      <c r="S400" s="20" t="n">
        <v>0</v>
      </c>
      <c r="T400" s="20" t="n">
        <v>0</v>
      </c>
    </row>
    <row r="401">
      <c r="A401" s="20" t="inlineStr">
        <is>
          <t>Tropical Dry</t>
        </is>
      </c>
      <c r="B401" s="403" t="inlineStr">
        <is>
          <t>Oceania</t>
        </is>
      </c>
      <c r="C401" s="20">
        <f>CONCATENATE(A401,B401)</f>
        <v/>
      </c>
      <c r="D401" s="244" t="n"/>
      <c r="E401" s="299">
        <f>AVERAGE(F401:M401)</f>
        <v/>
      </c>
      <c r="F401" s="270" t="n">
        <v>0.54</v>
      </c>
      <c r="G401" s="270" t="n">
        <v>1.95</v>
      </c>
      <c r="H401" s="270" t="n">
        <v>0.12</v>
      </c>
      <c r="I401" s="270" t="n">
        <v>0.46</v>
      </c>
      <c r="J401" s="271" t="n">
        <v>0.21</v>
      </c>
      <c r="K401" s="270" t="n">
        <v>0.55</v>
      </c>
      <c r="L401" s="279" t="n">
        <v>1.62</v>
      </c>
      <c r="M401" s="270" t="n">
        <v>0.84</v>
      </c>
      <c r="N401" s="20" t="n">
        <v>0</v>
      </c>
      <c r="O401" s="20" t="n">
        <v>0</v>
      </c>
      <c r="P401" s="20" t="n">
        <v>0</v>
      </c>
      <c r="Q401" s="20" t="n">
        <v>0</v>
      </c>
      <c r="R401" s="20" t="n">
        <v>0</v>
      </c>
      <c r="S401" s="20" t="n">
        <v>0</v>
      </c>
      <c r="T401" s="20" t="n">
        <v>0</v>
      </c>
    </row>
    <row r="402">
      <c r="A402" s="20" t="inlineStr">
        <is>
          <t>Tropical Dry</t>
        </is>
      </c>
      <c r="B402" s="403" t="inlineStr">
        <is>
          <t>North America</t>
        </is>
      </c>
      <c r="C402" s="20">
        <f>CONCATENATE(A402,B402)</f>
        <v/>
      </c>
      <c r="D402" s="244" t="n"/>
      <c r="E402" s="299">
        <f>AVERAGE(F402:M402)</f>
        <v/>
      </c>
      <c r="F402" s="270" t="n">
        <v>0.54</v>
      </c>
      <c r="G402" s="270" t="n">
        <v>1.95</v>
      </c>
      <c r="H402" s="270" t="n">
        <v>0.12</v>
      </c>
      <c r="I402" s="270" t="n">
        <v>0.46</v>
      </c>
      <c r="J402" s="271" t="n">
        <v>0.21</v>
      </c>
      <c r="K402" s="270" t="n">
        <v>0.55</v>
      </c>
      <c r="L402" s="279" t="n">
        <v>1.62</v>
      </c>
      <c r="M402" s="270" t="n">
        <v>0.84</v>
      </c>
      <c r="N402" s="20" t="n">
        <v>0</v>
      </c>
      <c r="O402" s="20" t="n">
        <v>0</v>
      </c>
      <c r="P402" s="20" t="n">
        <v>0</v>
      </c>
      <c r="Q402" s="20" t="n">
        <v>0</v>
      </c>
      <c r="R402" s="20" t="n">
        <v>0</v>
      </c>
      <c r="S402" s="20" t="n">
        <v>0</v>
      </c>
      <c r="T402" s="20" t="n">
        <v>0</v>
      </c>
    </row>
    <row r="403">
      <c r="A403" s="20" t="inlineStr">
        <is>
          <t>Tropical Dry</t>
        </is>
      </c>
      <c r="B403" s="403" t="inlineStr">
        <is>
          <t>South America</t>
        </is>
      </c>
      <c r="C403" s="20">
        <f>CONCATENATE(A403,B403)</f>
        <v/>
      </c>
      <c r="D403" s="244" t="n"/>
      <c r="E403" s="299">
        <f>AVERAGE(F403:M403)</f>
        <v/>
      </c>
      <c r="F403" s="270" t="n">
        <v>0.54</v>
      </c>
      <c r="G403" s="270" t="n">
        <v>1.95</v>
      </c>
      <c r="H403" s="270" t="n">
        <v>0.12</v>
      </c>
      <c r="I403" s="270" t="n">
        <v>0.46</v>
      </c>
      <c r="J403" s="271" t="n">
        <v>0.21</v>
      </c>
      <c r="K403" s="270" t="n">
        <v>0.55</v>
      </c>
      <c r="L403" s="279" t="n">
        <v>1.62</v>
      </c>
      <c r="M403" s="270" t="n">
        <v>0.84</v>
      </c>
      <c r="N403" s="20" t="n">
        <v>0</v>
      </c>
      <c r="O403" s="20" t="n">
        <v>0</v>
      </c>
      <c r="P403" s="20" t="n">
        <v>0</v>
      </c>
      <c r="Q403" s="20" t="n">
        <v>0</v>
      </c>
      <c r="R403" s="20" t="n">
        <v>0</v>
      </c>
      <c r="S403" s="20" t="n">
        <v>0</v>
      </c>
      <c r="T403" s="20" t="n">
        <v>0</v>
      </c>
    </row>
    <row r="404">
      <c r="A404" s="20" t="inlineStr">
        <is>
          <t>Tropical Dry</t>
        </is>
      </c>
      <c r="B404" s="403" t="inlineStr">
        <is>
          <t>Central America</t>
        </is>
      </c>
      <c r="C404" s="20">
        <f>CONCATENATE(A404,B404)</f>
        <v/>
      </c>
      <c r="D404" s="244" t="n"/>
      <c r="E404" s="299">
        <f>AVERAGE(F404:M404)</f>
        <v/>
      </c>
      <c r="F404" s="270" t="n">
        <v>0.54</v>
      </c>
      <c r="G404" s="270" t="n">
        <v>1.95</v>
      </c>
      <c r="H404" s="270" t="n">
        <v>0.12</v>
      </c>
      <c r="I404" s="270" t="n">
        <v>0.46</v>
      </c>
      <c r="J404" s="271" t="n">
        <v>0.21</v>
      </c>
      <c r="K404" s="270" t="n">
        <v>0.55</v>
      </c>
      <c r="L404" s="279" t="n">
        <v>1.62</v>
      </c>
      <c r="M404" s="270" t="n">
        <v>0.84</v>
      </c>
      <c r="N404" s="20" t="n">
        <v>0</v>
      </c>
      <c r="O404" s="20" t="n">
        <v>0</v>
      </c>
      <c r="P404" s="20" t="n">
        <v>0</v>
      </c>
      <c r="Q404" s="20" t="n">
        <v>0</v>
      </c>
      <c r="R404" s="20" t="n">
        <v>0</v>
      </c>
      <c r="S404" s="20" t="n">
        <v>0</v>
      </c>
      <c r="T404" s="20" t="n">
        <v>0</v>
      </c>
    </row>
    <row r="405">
      <c r="A405" s="37" t="inlineStr">
        <is>
          <t>Tropical Dry</t>
        </is>
      </c>
      <c r="B405" s="404" t="inlineStr">
        <is>
          <t>Caribbean</t>
        </is>
      </c>
      <c r="C405" s="20">
        <f>CONCATENATE(A405,B405)</f>
        <v/>
      </c>
      <c r="D405" s="244" t="n"/>
      <c r="E405" s="299">
        <f>AVERAGE(F405:M405)</f>
        <v/>
      </c>
      <c r="F405" s="270" t="n">
        <v>0.54</v>
      </c>
      <c r="G405" s="270" t="n">
        <v>1.95</v>
      </c>
      <c r="H405" s="270" t="n">
        <v>0.12</v>
      </c>
      <c r="I405" s="270" t="n">
        <v>0.46</v>
      </c>
      <c r="J405" s="271" t="n">
        <v>0.21</v>
      </c>
      <c r="K405" s="273" t="n">
        <v>0.55</v>
      </c>
      <c r="L405" s="279" t="n">
        <v>1.62</v>
      </c>
      <c r="M405" s="270" t="n">
        <v>0.84</v>
      </c>
      <c r="N405" s="37" t="n">
        <v>0</v>
      </c>
      <c r="O405" s="37" t="n">
        <v>0</v>
      </c>
      <c r="P405" s="37" t="n">
        <v>0</v>
      </c>
      <c r="Q405" s="37" t="n">
        <v>0</v>
      </c>
      <c r="R405" s="37" t="n">
        <v>0</v>
      </c>
      <c r="S405" s="37" t="n">
        <v>0</v>
      </c>
      <c r="T405" s="37" t="n">
        <v>0</v>
      </c>
    </row>
    <row r="406">
      <c r="A406" s="63" t="inlineStr">
        <is>
          <t>Tropical Moist</t>
        </is>
      </c>
      <c r="B406" s="413" t="inlineStr">
        <is>
          <t>Eastern Africa</t>
        </is>
      </c>
      <c r="C406" s="263">
        <f>CONCATENATE(A406,B406)</f>
        <v/>
      </c>
      <c r="D406" s="248" t="n"/>
      <c r="E406" s="256">
        <f>AVERAGE(F406:M406)</f>
        <v/>
      </c>
      <c r="F406" s="291" t="n">
        <v>0.59</v>
      </c>
      <c r="G406" s="268" t="n">
        <v>1.27</v>
      </c>
      <c r="H406" s="267" t="n">
        <v>0.11</v>
      </c>
      <c r="I406" s="291" t="n">
        <v>0.72</v>
      </c>
      <c r="J406" s="267" t="n">
        <v>0.21</v>
      </c>
      <c r="K406" s="21" t="n">
        <v>0.44</v>
      </c>
      <c r="L406" s="263" t="n">
        <v>1.22</v>
      </c>
      <c r="M406" s="267" t="n">
        <v>0.79</v>
      </c>
      <c r="N406" s="63" t="n">
        <v>0</v>
      </c>
      <c r="O406" s="63" t="n">
        <v>0</v>
      </c>
      <c r="P406" s="63" t="n">
        <v>0</v>
      </c>
      <c r="Q406" s="63" t="n">
        <v>0</v>
      </c>
      <c r="R406" s="63" t="n">
        <v>0</v>
      </c>
      <c r="S406" s="63" t="n">
        <v>0</v>
      </c>
      <c r="T406" s="63" t="n">
        <v>0</v>
      </c>
    </row>
    <row r="407">
      <c r="A407" s="20" t="inlineStr">
        <is>
          <t>Tropical Moist</t>
        </is>
      </c>
      <c r="B407" s="403" t="inlineStr">
        <is>
          <t>Central Africa</t>
        </is>
      </c>
      <c r="C407" s="264">
        <f>CONCATENATE(A407,B407)</f>
        <v/>
      </c>
      <c r="D407" s="249" t="n"/>
      <c r="E407" s="257">
        <f>AVERAGE(F407:M407)</f>
        <v/>
      </c>
      <c r="F407" s="21" t="n">
        <v>0.59</v>
      </c>
      <c r="G407" s="271" t="n">
        <v>1.27</v>
      </c>
      <c r="H407" s="270" t="n">
        <v>0.11</v>
      </c>
      <c r="I407" s="21" t="n">
        <v>0.72</v>
      </c>
      <c r="J407" s="270" t="n">
        <v>0.21</v>
      </c>
      <c r="K407" s="21" t="n">
        <v>0.44</v>
      </c>
      <c r="L407" s="264" t="n">
        <v>1.22</v>
      </c>
      <c r="M407" s="270" t="n">
        <v>0.79</v>
      </c>
      <c r="N407" s="20" t="n">
        <v>0</v>
      </c>
      <c r="O407" s="20" t="n">
        <v>0</v>
      </c>
      <c r="P407" s="20" t="n">
        <v>0</v>
      </c>
      <c r="Q407" s="20" t="n">
        <v>0</v>
      </c>
      <c r="R407" s="20" t="n">
        <v>0</v>
      </c>
      <c r="S407" s="20" t="n">
        <v>0</v>
      </c>
      <c r="T407" s="20" t="n">
        <v>0</v>
      </c>
    </row>
    <row r="408">
      <c r="A408" s="20" t="inlineStr">
        <is>
          <t>Tropical Moist</t>
        </is>
      </c>
      <c r="B408" s="403" t="inlineStr">
        <is>
          <t>Northern Africa</t>
        </is>
      </c>
      <c r="C408" s="264">
        <f>CONCATENATE(A408,B408)</f>
        <v/>
      </c>
      <c r="D408" s="249" t="n"/>
      <c r="E408" s="257">
        <f>AVERAGE(F408:M408)</f>
        <v/>
      </c>
      <c r="F408" s="21" t="n">
        <v>0.59</v>
      </c>
      <c r="G408" s="271" t="n">
        <v>1.27</v>
      </c>
      <c r="H408" s="270" t="n">
        <v>0.11</v>
      </c>
      <c r="I408" s="21" t="n">
        <v>0.72</v>
      </c>
      <c r="J408" s="270" t="n">
        <v>0.21</v>
      </c>
      <c r="K408" s="21" t="n">
        <v>0.44</v>
      </c>
      <c r="L408" s="264" t="n">
        <v>1.22</v>
      </c>
      <c r="M408" s="270" t="n">
        <v>0.79</v>
      </c>
      <c r="N408" s="20" t="n">
        <v>0</v>
      </c>
      <c r="O408" s="20" t="n">
        <v>0</v>
      </c>
      <c r="P408" s="20" t="n">
        <v>0</v>
      </c>
      <c r="Q408" s="20" t="n">
        <v>0</v>
      </c>
      <c r="R408" s="20" t="n">
        <v>0</v>
      </c>
      <c r="S408" s="20" t="n">
        <v>0</v>
      </c>
      <c r="T408" s="20" t="n">
        <v>0</v>
      </c>
    </row>
    <row r="409">
      <c r="A409" s="20" t="inlineStr">
        <is>
          <t>Tropical Moist</t>
        </is>
      </c>
      <c r="B409" s="403" t="inlineStr">
        <is>
          <t>Southern Africa</t>
        </is>
      </c>
      <c r="C409" s="264">
        <f>CONCATENATE(A409,B409)</f>
        <v/>
      </c>
      <c r="D409" s="249" t="n"/>
      <c r="E409" s="257">
        <f>AVERAGE(F409:M409)</f>
        <v/>
      </c>
      <c r="F409" s="21" t="n">
        <v>0.59</v>
      </c>
      <c r="G409" s="271" t="n">
        <v>1.27</v>
      </c>
      <c r="H409" s="270" t="n">
        <v>0.11</v>
      </c>
      <c r="I409" s="21" t="n">
        <v>0.72</v>
      </c>
      <c r="J409" s="270" t="n">
        <v>0.21</v>
      </c>
      <c r="K409" s="21" t="n">
        <v>0.44</v>
      </c>
      <c r="L409" s="264" t="n">
        <v>1.22</v>
      </c>
      <c r="M409" s="270" t="n">
        <v>0.79</v>
      </c>
      <c r="N409" s="20" t="n">
        <v>0</v>
      </c>
      <c r="O409" s="20" t="n">
        <v>0</v>
      </c>
      <c r="P409" s="20" t="n">
        <v>0</v>
      </c>
      <c r="Q409" s="20" t="n">
        <v>0</v>
      </c>
      <c r="R409" s="20" t="n">
        <v>0</v>
      </c>
      <c r="S409" s="20" t="n">
        <v>0</v>
      </c>
      <c r="T409" s="20" t="n">
        <v>0</v>
      </c>
    </row>
    <row r="410">
      <c r="A410" s="20" t="inlineStr">
        <is>
          <t>Tropical Moist</t>
        </is>
      </c>
      <c r="B410" s="403" t="inlineStr">
        <is>
          <t>Western Africa</t>
        </is>
      </c>
      <c r="C410" s="264">
        <f>CONCATENATE(A410,B410)</f>
        <v/>
      </c>
      <c r="D410" s="249" t="n"/>
      <c r="E410" s="257">
        <f>AVERAGE(F410:M410)</f>
        <v/>
      </c>
      <c r="F410" s="21" t="n">
        <v>0.59</v>
      </c>
      <c r="G410" s="271" t="n">
        <v>1.27</v>
      </c>
      <c r="H410" s="270" t="n">
        <v>0.11</v>
      </c>
      <c r="I410" s="21" t="n">
        <v>0.72</v>
      </c>
      <c r="J410" s="270" t="n">
        <v>0.21</v>
      </c>
      <c r="K410" s="21" t="n">
        <v>0.44</v>
      </c>
      <c r="L410" s="264" t="n">
        <v>1.22</v>
      </c>
      <c r="M410" s="270" t="n">
        <v>0.79</v>
      </c>
      <c r="N410" s="20" t="n">
        <v>0</v>
      </c>
      <c r="O410" s="20" t="n">
        <v>0</v>
      </c>
      <c r="P410" s="20" t="n">
        <v>0</v>
      </c>
      <c r="Q410" s="20" t="n">
        <v>0</v>
      </c>
      <c r="R410" s="20" t="n">
        <v>0</v>
      </c>
      <c r="S410" s="20" t="n">
        <v>0</v>
      </c>
      <c r="T410" s="20" t="n">
        <v>0</v>
      </c>
    </row>
    <row r="411">
      <c r="A411" s="20" t="inlineStr">
        <is>
          <t>Tropical Moist</t>
        </is>
      </c>
      <c r="B411" s="403" t="inlineStr">
        <is>
          <t>Central Asia</t>
        </is>
      </c>
      <c r="C411" s="264">
        <f>CONCATENATE(A411,B411)</f>
        <v/>
      </c>
      <c r="D411" s="249" t="n"/>
      <c r="E411" s="257">
        <f>AVERAGE(F411:M411)</f>
        <v/>
      </c>
      <c r="F411" s="279" t="n">
        <v>0.58</v>
      </c>
      <c r="G411" s="264" t="n">
        <v>1.27</v>
      </c>
      <c r="H411" s="270" t="n">
        <v>0.11</v>
      </c>
      <c r="I411" s="21" t="n">
        <v>0.73</v>
      </c>
      <c r="J411" s="270" t="n">
        <v>0.21</v>
      </c>
      <c r="K411" s="251" t="n">
        <v>0.5</v>
      </c>
      <c r="L411" s="264" t="n">
        <v>0.35</v>
      </c>
      <c r="M411" s="270" t="n">
        <v>0.79</v>
      </c>
      <c r="N411" s="20" t="n">
        <v>0</v>
      </c>
      <c r="O411" s="20" t="n">
        <v>0</v>
      </c>
      <c r="P411" s="20" t="n">
        <v>0</v>
      </c>
      <c r="Q411" s="20" t="n">
        <v>0</v>
      </c>
      <c r="R411" s="20" t="n">
        <v>0</v>
      </c>
      <c r="S411" s="20" t="n">
        <v>0</v>
      </c>
      <c r="T411" s="20" t="n">
        <v>0</v>
      </c>
    </row>
    <row r="412">
      <c r="A412" s="20" t="inlineStr">
        <is>
          <t>Tropical Moist</t>
        </is>
      </c>
      <c r="B412" s="403" t="inlineStr">
        <is>
          <t>Eastern Asia</t>
        </is>
      </c>
      <c r="C412" s="264">
        <f>CONCATENATE(A412,B412)</f>
        <v/>
      </c>
      <c r="D412" s="249" t="n"/>
      <c r="E412" s="257">
        <f>AVERAGE(F412:M412)</f>
        <v/>
      </c>
      <c r="F412" s="279" t="n">
        <v>0.58</v>
      </c>
      <c r="G412" s="264" t="n">
        <v>1.27</v>
      </c>
      <c r="H412" s="270" t="n">
        <v>0.11</v>
      </c>
      <c r="I412" s="21" t="n">
        <v>0.73</v>
      </c>
      <c r="J412" s="270" t="n">
        <v>0.21</v>
      </c>
      <c r="K412" s="251" t="n">
        <v>0.5</v>
      </c>
      <c r="L412" s="264" t="n">
        <v>0.35</v>
      </c>
      <c r="M412" s="270" t="n">
        <v>0.79</v>
      </c>
      <c r="N412" s="20" t="n">
        <v>0</v>
      </c>
      <c r="O412" s="20" t="n">
        <v>0</v>
      </c>
      <c r="P412" s="20" t="n">
        <v>0</v>
      </c>
      <c r="Q412" s="20" t="n">
        <v>0</v>
      </c>
      <c r="R412" s="20" t="n">
        <v>0</v>
      </c>
      <c r="S412" s="20" t="n">
        <v>0</v>
      </c>
      <c r="T412" s="20" t="n">
        <v>0</v>
      </c>
    </row>
    <row r="413">
      <c r="A413" s="20" t="inlineStr">
        <is>
          <t>Tropical Moist</t>
        </is>
      </c>
      <c r="B413" s="403" t="inlineStr">
        <is>
          <t>South-eastern Asia</t>
        </is>
      </c>
      <c r="C413" s="264">
        <f>CONCATENATE(A413,B413)</f>
        <v/>
      </c>
      <c r="D413" s="249" t="n"/>
      <c r="E413" s="257">
        <f>AVERAGE(F413:M413)</f>
        <v/>
      </c>
      <c r="F413" s="279" t="n">
        <v>0.58</v>
      </c>
      <c r="G413" s="264" t="n">
        <v>1.27</v>
      </c>
      <c r="H413" s="270" t="n">
        <v>0.11</v>
      </c>
      <c r="I413" s="21" t="n">
        <v>0.73</v>
      </c>
      <c r="J413" s="270" t="n">
        <v>0.21</v>
      </c>
      <c r="K413" s="251" t="n">
        <v>0.5</v>
      </c>
      <c r="L413" s="264" t="n">
        <v>0.35</v>
      </c>
      <c r="M413" s="270" t="n">
        <v>0.79</v>
      </c>
      <c r="N413" s="20" t="n">
        <v>0</v>
      </c>
      <c r="O413" s="20" t="n">
        <v>0</v>
      </c>
      <c r="P413" s="20" t="n">
        <v>0</v>
      </c>
      <c r="Q413" s="20" t="n">
        <v>0</v>
      </c>
      <c r="R413" s="20" t="n">
        <v>0</v>
      </c>
      <c r="S413" s="20" t="n">
        <v>0</v>
      </c>
      <c r="T413" s="20" t="n">
        <v>0</v>
      </c>
    </row>
    <row r="414">
      <c r="A414" s="20" t="inlineStr">
        <is>
          <t>Tropical Moist</t>
        </is>
      </c>
      <c r="B414" s="403" t="inlineStr">
        <is>
          <t>Southern Asia</t>
        </is>
      </c>
      <c r="C414" s="264">
        <f>CONCATENATE(A414,B414)</f>
        <v/>
      </c>
      <c r="D414" s="249" t="n"/>
      <c r="E414" s="257">
        <f>AVERAGE(F414:M414)</f>
        <v/>
      </c>
      <c r="F414" s="279" t="n">
        <v>0.58</v>
      </c>
      <c r="G414" s="264" t="n">
        <v>1.27</v>
      </c>
      <c r="H414" s="270" t="n">
        <v>0.11</v>
      </c>
      <c r="I414" s="21" t="n">
        <v>0.73</v>
      </c>
      <c r="J414" s="270" t="n">
        <v>0.21</v>
      </c>
      <c r="K414" s="251" t="n">
        <v>0.5</v>
      </c>
      <c r="L414" s="264" t="n">
        <v>0.35</v>
      </c>
      <c r="M414" s="270" t="n">
        <v>0.79</v>
      </c>
      <c r="N414" s="20" t="n">
        <v>0</v>
      </c>
      <c r="O414" s="20" t="n">
        <v>0</v>
      </c>
      <c r="P414" s="20" t="n">
        <v>0</v>
      </c>
      <c r="Q414" s="20" t="n">
        <v>0</v>
      </c>
      <c r="R414" s="20" t="n">
        <v>0</v>
      </c>
      <c r="S414" s="20" t="n">
        <v>0</v>
      </c>
      <c r="T414" s="20" t="n">
        <v>0</v>
      </c>
    </row>
    <row r="415">
      <c r="A415" s="20" t="inlineStr">
        <is>
          <t>Tropical Moist</t>
        </is>
      </c>
      <c r="B415" s="403" t="inlineStr">
        <is>
          <t>Western Asia</t>
        </is>
      </c>
      <c r="C415" s="264">
        <f>CONCATENATE(A415,B415)</f>
        <v/>
      </c>
      <c r="D415" s="249" t="n"/>
      <c r="E415" s="257">
        <f>AVERAGE(F415:M415)</f>
        <v/>
      </c>
      <c r="F415" s="279" t="n">
        <v>0.58</v>
      </c>
      <c r="G415" s="264" t="n">
        <v>1.27</v>
      </c>
      <c r="H415" s="270" t="n">
        <v>0.11</v>
      </c>
      <c r="I415" s="21" t="n">
        <v>0.73</v>
      </c>
      <c r="J415" s="270" t="n">
        <v>0.21</v>
      </c>
      <c r="K415" s="251" t="n">
        <v>0.5</v>
      </c>
      <c r="L415" s="264" t="n">
        <v>0.35</v>
      </c>
      <c r="M415" s="270" t="n">
        <v>0.79</v>
      </c>
      <c r="N415" s="20" t="n">
        <v>0</v>
      </c>
      <c r="O415" s="20" t="n">
        <v>0</v>
      </c>
      <c r="P415" s="20" t="n">
        <v>0</v>
      </c>
      <c r="Q415" s="20" t="n">
        <v>0</v>
      </c>
      <c r="R415" s="20" t="n">
        <v>0</v>
      </c>
      <c r="S415" s="20" t="n">
        <v>0</v>
      </c>
      <c r="T415" s="20" t="n">
        <v>0</v>
      </c>
    </row>
    <row r="416">
      <c r="A416" s="20" t="inlineStr">
        <is>
          <t>Tropical Moist</t>
        </is>
      </c>
      <c r="B416" s="403" t="inlineStr">
        <is>
          <t>Europe</t>
        </is>
      </c>
      <c r="C416" s="264">
        <f>CONCATENATE(A416,B416)</f>
        <v/>
      </c>
      <c r="D416" s="249" t="n"/>
      <c r="E416" s="257">
        <f>AVERAGE(F416:M416)</f>
        <v/>
      </c>
      <c r="F416" s="279" t="n">
        <v>0.58</v>
      </c>
      <c r="G416" s="271" t="n">
        <v>1.27</v>
      </c>
      <c r="H416" s="270" t="n">
        <v>0.11</v>
      </c>
      <c r="I416" s="279" t="n">
        <v>0.73</v>
      </c>
      <c r="J416" s="270" t="n">
        <v>0.21</v>
      </c>
      <c r="K416" s="279" t="n">
        <v>0.57</v>
      </c>
      <c r="L416" s="271" t="n">
        <v>0.62</v>
      </c>
      <c r="M416" s="270" t="n">
        <v>0.79</v>
      </c>
      <c r="N416" s="20" t="n">
        <v>0</v>
      </c>
      <c r="O416" s="20" t="n">
        <v>0</v>
      </c>
      <c r="P416" s="20" t="n">
        <v>0</v>
      </c>
      <c r="Q416" s="20" t="n">
        <v>0</v>
      </c>
      <c r="R416" s="20" t="n">
        <v>0</v>
      </c>
      <c r="S416" s="20" t="n">
        <v>0</v>
      </c>
      <c r="T416" s="20" t="n">
        <v>0</v>
      </c>
    </row>
    <row r="417">
      <c r="A417" s="20" t="inlineStr">
        <is>
          <t>Tropical Moist</t>
        </is>
      </c>
      <c r="B417" s="403" t="inlineStr">
        <is>
          <t>Oceania</t>
        </is>
      </c>
      <c r="C417" s="264">
        <f>CONCATENATE(A417,B417)</f>
        <v/>
      </c>
      <c r="D417" s="249" t="n"/>
      <c r="E417" s="257">
        <f>AVERAGE(F417:M417)</f>
        <v/>
      </c>
      <c r="F417" s="279" t="n">
        <v>0.58</v>
      </c>
      <c r="G417" s="271" t="n">
        <v>1.27</v>
      </c>
      <c r="H417" s="270" t="n">
        <v>0.11</v>
      </c>
      <c r="I417" s="279" t="n">
        <v>0.73</v>
      </c>
      <c r="J417" s="270" t="n">
        <v>0.21</v>
      </c>
      <c r="K417" s="279" t="n">
        <v>0.57</v>
      </c>
      <c r="L417" s="271" t="n">
        <v>0.62</v>
      </c>
      <c r="M417" s="270" t="n">
        <v>0.79</v>
      </c>
      <c r="N417" s="20" t="n">
        <v>0</v>
      </c>
      <c r="O417" s="20" t="n">
        <v>0</v>
      </c>
      <c r="P417" s="20" t="n">
        <v>0</v>
      </c>
      <c r="Q417" s="20" t="n">
        <v>0</v>
      </c>
      <c r="R417" s="20" t="n">
        <v>0</v>
      </c>
      <c r="S417" s="20" t="n">
        <v>0</v>
      </c>
      <c r="T417" s="20" t="n">
        <v>0</v>
      </c>
    </row>
    <row r="418">
      <c r="A418" s="20" t="inlineStr">
        <is>
          <t>Tropical Moist</t>
        </is>
      </c>
      <c r="B418" s="403" t="inlineStr">
        <is>
          <t>North America</t>
        </is>
      </c>
      <c r="C418" s="264">
        <f>CONCATENATE(A418,B418)</f>
        <v/>
      </c>
      <c r="D418" s="249" t="n"/>
      <c r="E418" s="257">
        <f>AVERAGE(F418:M418)</f>
        <v/>
      </c>
      <c r="F418" s="279" t="n">
        <v>0.58</v>
      </c>
      <c r="G418" s="271" t="n">
        <v>1.27</v>
      </c>
      <c r="H418" s="270" t="n">
        <v>0.11</v>
      </c>
      <c r="I418" s="279" t="n">
        <v>0.73</v>
      </c>
      <c r="J418" s="270" t="n">
        <v>0.21</v>
      </c>
      <c r="K418" s="279" t="n">
        <v>0.57</v>
      </c>
      <c r="L418" s="271" t="n">
        <v>0.62</v>
      </c>
      <c r="M418" s="270" t="n">
        <v>0.79</v>
      </c>
      <c r="N418" s="20" t="n">
        <v>0</v>
      </c>
      <c r="O418" s="20" t="n">
        <v>0</v>
      </c>
      <c r="P418" s="20" t="n">
        <v>0</v>
      </c>
      <c r="Q418" s="20" t="n">
        <v>0</v>
      </c>
      <c r="R418" s="20" t="n">
        <v>0</v>
      </c>
      <c r="S418" s="20" t="n">
        <v>0</v>
      </c>
      <c r="T418" s="20" t="n">
        <v>0</v>
      </c>
    </row>
    <row r="419">
      <c r="A419" s="20" t="inlineStr">
        <is>
          <t>Tropical Moist</t>
        </is>
      </c>
      <c r="B419" s="403" t="inlineStr">
        <is>
          <t>South America</t>
        </is>
      </c>
      <c r="C419" s="264">
        <f>CONCATENATE(A419,B419)</f>
        <v/>
      </c>
      <c r="D419" s="249" t="n"/>
      <c r="E419" s="257">
        <f>AVERAGE(F419:M419)</f>
        <v/>
      </c>
      <c r="F419" s="279" t="n">
        <v>0.58</v>
      </c>
      <c r="G419" s="271" t="n">
        <v>1.27</v>
      </c>
      <c r="H419" s="270" t="n">
        <v>0.11</v>
      </c>
      <c r="I419" s="279" t="n">
        <v>0.73</v>
      </c>
      <c r="J419" s="270" t="n">
        <v>0.21</v>
      </c>
      <c r="K419" s="21" t="n">
        <v>0.71</v>
      </c>
      <c r="L419" s="271" t="n">
        <v>0.62</v>
      </c>
      <c r="M419" s="270" t="n">
        <v>0.79</v>
      </c>
      <c r="N419" s="20" t="n">
        <v>0</v>
      </c>
      <c r="O419" s="20" t="n">
        <v>0</v>
      </c>
      <c r="P419" s="20" t="n">
        <v>0</v>
      </c>
      <c r="Q419" s="20" t="n">
        <v>0</v>
      </c>
      <c r="R419" s="20" t="n">
        <v>0</v>
      </c>
      <c r="S419" s="20" t="n">
        <v>0</v>
      </c>
      <c r="T419" s="20" t="n">
        <v>0</v>
      </c>
    </row>
    <row r="420">
      <c r="A420" s="20" t="inlineStr">
        <is>
          <t>Tropical Moist</t>
        </is>
      </c>
      <c r="B420" s="403" t="inlineStr">
        <is>
          <t>Central America</t>
        </is>
      </c>
      <c r="C420" s="264">
        <f>CONCATENATE(A420,B420)</f>
        <v/>
      </c>
      <c r="D420" s="249" t="n"/>
      <c r="E420" s="257">
        <f>AVERAGE(F420:M420)</f>
        <v/>
      </c>
      <c r="F420" s="21" t="n">
        <v>0.55</v>
      </c>
      <c r="G420" s="271" t="n">
        <v>1.27</v>
      </c>
      <c r="H420" s="270" t="n">
        <v>0.11</v>
      </c>
      <c r="I420" s="279" t="n">
        <v>0.73</v>
      </c>
      <c r="J420" s="270" t="n">
        <v>0.21</v>
      </c>
      <c r="K420" s="279" t="n">
        <v>0.57</v>
      </c>
      <c r="L420" s="271" t="n">
        <v>0.62</v>
      </c>
      <c r="M420" s="270" t="n">
        <v>0.79</v>
      </c>
      <c r="N420" s="20" t="n">
        <v>0</v>
      </c>
      <c r="O420" s="20" t="n">
        <v>0</v>
      </c>
      <c r="P420" s="20" t="n">
        <v>0</v>
      </c>
      <c r="Q420" s="20" t="n">
        <v>0</v>
      </c>
      <c r="R420" s="20" t="n">
        <v>0</v>
      </c>
      <c r="S420" s="20" t="n">
        <v>0</v>
      </c>
      <c r="T420" s="20" t="n">
        <v>0</v>
      </c>
    </row>
    <row r="421">
      <c r="A421" s="20" t="inlineStr">
        <is>
          <t>Tropical Moist</t>
        </is>
      </c>
      <c r="B421" s="414" t="inlineStr">
        <is>
          <t>Caribbean</t>
        </is>
      </c>
      <c r="C421" s="264">
        <f>CONCATENATE(A421,B421)</f>
        <v/>
      </c>
      <c r="D421" s="252" t="n"/>
      <c r="E421" s="258">
        <f>AVERAGE(F421:M421)</f>
        <v/>
      </c>
      <c r="F421" s="280" t="n">
        <v>0.58</v>
      </c>
      <c r="G421" s="274" t="n">
        <v>1.27</v>
      </c>
      <c r="H421" s="270" t="n">
        <v>0.11</v>
      </c>
      <c r="I421" s="280" t="n">
        <v>0.73</v>
      </c>
      <c r="J421" s="273" t="n">
        <v>0.21</v>
      </c>
      <c r="K421" s="280" t="n">
        <v>0.57</v>
      </c>
      <c r="L421" s="274" t="n">
        <v>0.62</v>
      </c>
      <c r="M421" s="273" t="n">
        <v>0.79</v>
      </c>
      <c r="N421" s="37" t="n">
        <v>0</v>
      </c>
      <c r="O421" s="37" t="n">
        <v>0</v>
      </c>
      <c r="P421" s="37" t="n">
        <v>0</v>
      </c>
      <c r="Q421" s="37" t="n">
        <v>0</v>
      </c>
      <c r="R421" s="37" t="n">
        <v>0</v>
      </c>
      <c r="S421" s="37" t="n">
        <v>0</v>
      </c>
      <c r="T421" s="37" t="n">
        <v>0</v>
      </c>
    </row>
    <row r="422">
      <c r="A422" s="63">
        <f>list!$G$11</f>
        <v/>
      </c>
      <c r="B422" s="408" t="inlineStr">
        <is>
          <t>Eastern Africa</t>
        </is>
      </c>
      <c r="C422" s="63">
        <f>CONCATENATE(A422,B422)</f>
        <v/>
      </c>
      <c r="D422" s="63" t="n"/>
      <c r="E422" s="257">
        <f>AVERAGE(F422:M422)</f>
        <v/>
      </c>
      <c r="F422" s="305">
        <f>AVERAGE(F454,F374)</f>
        <v/>
      </c>
      <c r="G422" s="264" t="n">
        <v>1.12</v>
      </c>
      <c r="H422" s="301">
        <f>AVERAGE(H454,H374)</f>
        <v/>
      </c>
      <c r="I422" s="304">
        <f>AVERAGE(I454,I374)</f>
        <v/>
      </c>
      <c r="J422" s="306">
        <f>AVERAGE(J454,J374)</f>
        <v/>
      </c>
      <c r="K422" s="306">
        <f>AVERAGE(K454,K374)</f>
        <v/>
      </c>
      <c r="L422" s="306">
        <f>AVERAGE(L454,L374)</f>
        <v/>
      </c>
      <c r="M422" s="302">
        <f>AVERAGE(M454,M374)</f>
        <v/>
      </c>
      <c r="N422" s="63" t="n">
        <v>0</v>
      </c>
      <c r="O422" s="63" t="n">
        <v>0</v>
      </c>
      <c r="P422" s="63" t="n">
        <v>0</v>
      </c>
      <c r="Q422" s="63" t="n">
        <v>0</v>
      </c>
      <c r="R422" s="63" t="n">
        <v>0</v>
      </c>
      <c r="S422" s="63" t="n">
        <v>0</v>
      </c>
      <c r="T422" s="63" t="n">
        <v>0</v>
      </c>
    </row>
    <row r="423">
      <c r="A423" s="20">
        <f>list!$G$11</f>
        <v/>
      </c>
      <c r="B423" s="401" t="inlineStr">
        <is>
          <t>Central Africa</t>
        </is>
      </c>
      <c r="C423" s="20">
        <f>CONCATENATE(A423,B423)</f>
        <v/>
      </c>
      <c r="D423" s="20" t="n"/>
      <c r="E423" s="257">
        <f>AVERAGE(F423:M423)</f>
        <v/>
      </c>
      <c r="F423" s="305">
        <f>AVERAGE(F455,F375)</f>
        <v/>
      </c>
      <c r="G423" s="264" t="n">
        <v>1.12</v>
      </c>
      <c r="H423" s="302">
        <f>AVERAGE(H455,H375)</f>
        <v/>
      </c>
      <c r="I423" s="304">
        <f>AVERAGE(I455,I375)</f>
        <v/>
      </c>
      <c r="J423" s="305">
        <f>AVERAGE(J455,J375)</f>
        <v/>
      </c>
      <c r="K423" s="305">
        <f>AVERAGE(K455,K375)</f>
        <v/>
      </c>
      <c r="L423" s="305">
        <f>AVERAGE(L455,L375)</f>
        <v/>
      </c>
      <c r="M423" s="302">
        <f>AVERAGE(M455,M375)</f>
        <v/>
      </c>
      <c r="N423" s="20" t="n">
        <v>0</v>
      </c>
      <c r="O423" s="20" t="n">
        <v>0</v>
      </c>
      <c r="P423" s="20" t="n">
        <v>0</v>
      </c>
      <c r="Q423" s="20" t="n">
        <v>0</v>
      </c>
      <c r="R423" s="20" t="n">
        <v>0</v>
      </c>
      <c r="S423" s="20" t="n">
        <v>0</v>
      </c>
      <c r="T423" s="20" t="n">
        <v>0</v>
      </c>
    </row>
    <row r="424">
      <c r="A424" s="20">
        <f>list!$G$11</f>
        <v/>
      </c>
      <c r="B424" s="401" t="inlineStr">
        <is>
          <t>Northern Africa</t>
        </is>
      </c>
      <c r="C424" s="20">
        <f>CONCATENATE(A424,B424)</f>
        <v/>
      </c>
      <c r="D424" s="20" t="n"/>
      <c r="E424" s="257">
        <f>AVERAGE(F424:M424)</f>
        <v/>
      </c>
      <c r="F424" s="305">
        <f>AVERAGE(F456,F376)</f>
        <v/>
      </c>
      <c r="G424" s="264" t="n">
        <v>1.12</v>
      </c>
      <c r="H424" s="302">
        <f>AVERAGE(H456,H376)</f>
        <v/>
      </c>
      <c r="I424" s="304">
        <f>AVERAGE(I456,I376)</f>
        <v/>
      </c>
      <c r="J424" s="305">
        <f>AVERAGE(J456,J376)</f>
        <v/>
      </c>
      <c r="K424" s="305">
        <f>AVERAGE(K456,K376)</f>
        <v/>
      </c>
      <c r="L424" s="305">
        <f>AVERAGE(L456,L376)</f>
        <v/>
      </c>
      <c r="M424" s="302">
        <f>AVERAGE(M456,M376)</f>
        <v/>
      </c>
      <c r="N424" s="20" t="n">
        <v>0</v>
      </c>
      <c r="O424" s="20" t="n">
        <v>0</v>
      </c>
      <c r="P424" s="20" t="n">
        <v>0</v>
      </c>
      <c r="Q424" s="20" t="n">
        <v>0</v>
      </c>
      <c r="R424" s="20" t="n">
        <v>0</v>
      </c>
      <c r="S424" s="20" t="n">
        <v>0</v>
      </c>
      <c r="T424" s="20" t="n">
        <v>0</v>
      </c>
    </row>
    <row r="425">
      <c r="A425" s="20">
        <f>list!$G$11</f>
        <v/>
      </c>
      <c r="B425" s="401" t="inlineStr">
        <is>
          <t>Southern Africa</t>
        </is>
      </c>
      <c r="C425" s="20">
        <f>CONCATENATE(A425,B425)</f>
        <v/>
      </c>
      <c r="D425" s="20" t="n"/>
      <c r="E425" s="257">
        <f>AVERAGE(F425:M425)</f>
        <v/>
      </c>
      <c r="F425" s="305">
        <f>AVERAGE(F457,F377)</f>
        <v/>
      </c>
      <c r="G425" s="264" t="n">
        <v>1.12</v>
      </c>
      <c r="H425" s="302">
        <f>AVERAGE(H457,H377)</f>
        <v/>
      </c>
      <c r="I425" s="304">
        <f>AVERAGE(I457,I377)</f>
        <v/>
      </c>
      <c r="J425" s="305">
        <f>AVERAGE(J457,J377)</f>
        <v/>
      </c>
      <c r="K425" s="305">
        <f>AVERAGE(K457,K377)</f>
        <v/>
      </c>
      <c r="L425" s="305">
        <f>AVERAGE(L457,L377)</f>
        <v/>
      </c>
      <c r="M425" s="302">
        <f>AVERAGE(M457,M377)</f>
        <v/>
      </c>
      <c r="N425" s="20" t="n">
        <v>0</v>
      </c>
      <c r="O425" s="20" t="n">
        <v>0</v>
      </c>
      <c r="P425" s="20" t="n">
        <v>0</v>
      </c>
      <c r="Q425" s="20" t="n">
        <v>0</v>
      </c>
      <c r="R425" s="20" t="n">
        <v>0</v>
      </c>
      <c r="S425" s="20" t="n">
        <v>0</v>
      </c>
      <c r="T425" s="20" t="n">
        <v>0</v>
      </c>
    </row>
    <row r="426">
      <c r="A426" s="20">
        <f>list!$G$11</f>
        <v/>
      </c>
      <c r="B426" s="401" t="inlineStr">
        <is>
          <t>Western Africa</t>
        </is>
      </c>
      <c r="C426" s="20">
        <f>CONCATENATE(A426,B426)</f>
        <v/>
      </c>
      <c r="D426" s="20" t="n"/>
      <c r="E426" s="257">
        <f>AVERAGE(F426:M426)</f>
        <v/>
      </c>
      <c r="F426" s="305">
        <f>AVERAGE(F458,F378)</f>
        <v/>
      </c>
      <c r="G426" s="264" t="n">
        <v>1.12</v>
      </c>
      <c r="H426" s="302">
        <f>AVERAGE(H458,H378)</f>
        <v/>
      </c>
      <c r="I426" s="304">
        <f>AVERAGE(I458,I378)</f>
        <v/>
      </c>
      <c r="J426" s="305">
        <f>AVERAGE(J458,J378)</f>
        <v/>
      </c>
      <c r="K426" s="305">
        <f>AVERAGE(K458,K378)</f>
        <v/>
      </c>
      <c r="L426" s="305">
        <f>AVERAGE(L458,L378)</f>
        <v/>
      </c>
      <c r="M426" s="302">
        <f>AVERAGE(M458,M378)</f>
        <v/>
      </c>
      <c r="N426" s="20" t="n">
        <v>0</v>
      </c>
      <c r="O426" s="20" t="n">
        <v>0</v>
      </c>
      <c r="P426" s="20" t="n">
        <v>0</v>
      </c>
      <c r="Q426" s="20" t="n">
        <v>0</v>
      </c>
      <c r="R426" s="20" t="n">
        <v>0</v>
      </c>
      <c r="S426" s="20" t="n">
        <v>0</v>
      </c>
      <c r="T426" s="20" t="n">
        <v>0</v>
      </c>
    </row>
    <row r="427">
      <c r="A427" s="20">
        <f>list!$G$11</f>
        <v/>
      </c>
      <c r="B427" s="401" t="inlineStr">
        <is>
          <t>Central Asia</t>
        </is>
      </c>
      <c r="C427" s="20">
        <f>CONCATENATE(A427,B427)</f>
        <v/>
      </c>
      <c r="D427" s="20" t="n"/>
      <c r="E427" s="257">
        <f>AVERAGE(F427:M427)</f>
        <v/>
      </c>
      <c r="F427" s="305">
        <f>AVERAGE(F459,F379)</f>
        <v/>
      </c>
      <c r="G427" s="308">
        <f>AVERAGE(G459,G379)</f>
        <v/>
      </c>
      <c r="H427" s="302">
        <f>AVERAGE(H459,H379)</f>
        <v/>
      </c>
      <c r="I427" s="304">
        <f>AVERAGE(I459,I379)</f>
        <v/>
      </c>
      <c r="J427" s="305">
        <f>AVERAGE(J459,J379)</f>
        <v/>
      </c>
      <c r="K427" s="305">
        <f>AVERAGE(K459,K379)</f>
        <v/>
      </c>
      <c r="L427" s="305">
        <f>AVERAGE(L459,L379)</f>
        <v/>
      </c>
      <c r="M427" s="302">
        <f>AVERAGE(M459,M379)</f>
        <v/>
      </c>
      <c r="N427" s="20" t="n">
        <v>0</v>
      </c>
      <c r="O427" s="20" t="n">
        <v>0</v>
      </c>
      <c r="P427" s="20" t="n">
        <v>0</v>
      </c>
      <c r="Q427" s="20" t="n">
        <v>0</v>
      </c>
      <c r="R427" s="20" t="n">
        <v>0</v>
      </c>
      <c r="S427" s="20" t="n">
        <v>0</v>
      </c>
      <c r="T427" s="20" t="n">
        <v>0</v>
      </c>
    </row>
    <row r="428">
      <c r="A428" s="20">
        <f>list!$G$11</f>
        <v/>
      </c>
      <c r="B428" s="401" t="inlineStr">
        <is>
          <t>Eastern Asia</t>
        </is>
      </c>
      <c r="C428" s="20">
        <f>CONCATENATE(A428,B428)</f>
        <v/>
      </c>
      <c r="D428" s="20" t="n"/>
      <c r="E428" s="257">
        <f>AVERAGE(F428:M428)</f>
        <v/>
      </c>
      <c r="F428" s="305">
        <f>AVERAGE(F460,F380)</f>
        <v/>
      </c>
      <c r="G428" s="308">
        <f>AVERAGE(G460,G380)</f>
        <v/>
      </c>
      <c r="H428" s="302">
        <f>AVERAGE(H460,H380)</f>
        <v/>
      </c>
      <c r="I428" s="304">
        <f>AVERAGE(I460,I380)</f>
        <v/>
      </c>
      <c r="J428" s="305">
        <f>AVERAGE(J460,J380)</f>
        <v/>
      </c>
      <c r="K428" s="305">
        <f>AVERAGE(K460,K380)</f>
        <v/>
      </c>
      <c r="L428" s="305">
        <f>AVERAGE(L460,L380)</f>
        <v/>
      </c>
      <c r="M428" s="302">
        <f>AVERAGE(M460,M380)</f>
        <v/>
      </c>
      <c r="N428" s="20" t="n">
        <v>0</v>
      </c>
      <c r="O428" s="20" t="n">
        <v>0</v>
      </c>
      <c r="P428" s="20" t="n">
        <v>0</v>
      </c>
      <c r="Q428" s="20" t="n">
        <v>0</v>
      </c>
      <c r="R428" s="20" t="n">
        <v>0</v>
      </c>
      <c r="S428" s="20" t="n">
        <v>0</v>
      </c>
      <c r="T428" s="20" t="n">
        <v>0</v>
      </c>
    </row>
    <row r="429">
      <c r="A429" s="20">
        <f>list!$G$11</f>
        <v/>
      </c>
      <c r="B429" s="401" t="inlineStr">
        <is>
          <t>South-eastern Asia</t>
        </is>
      </c>
      <c r="C429" s="20">
        <f>CONCATENATE(A429,B429)</f>
        <v/>
      </c>
      <c r="D429" s="20" t="n"/>
      <c r="E429" s="257">
        <f>AVERAGE(F429:M429)</f>
        <v/>
      </c>
      <c r="F429" s="305">
        <f>AVERAGE(F461,F381)</f>
        <v/>
      </c>
      <c r="G429" s="308">
        <f>AVERAGE(G461,G381)</f>
        <v/>
      </c>
      <c r="H429" s="302">
        <f>AVERAGE(H461,H381)</f>
        <v/>
      </c>
      <c r="I429" s="304">
        <f>AVERAGE(I461,I381)</f>
        <v/>
      </c>
      <c r="J429" s="305">
        <f>AVERAGE(J461,J381)</f>
        <v/>
      </c>
      <c r="K429" s="305">
        <f>AVERAGE(K461,K381)</f>
        <v/>
      </c>
      <c r="L429" s="305">
        <f>AVERAGE(L461,L381)</f>
        <v/>
      </c>
      <c r="M429" s="302">
        <f>AVERAGE(M461,M381)</f>
        <v/>
      </c>
      <c r="N429" s="20" t="n">
        <v>0</v>
      </c>
      <c r="O429" s="20" t="n">
        <v>0</v>
      </c>
      <c r="P429" s="20" t="n">
        <v>0</v>
      </c>
      <c r="Q429" s="20" t="n">
        <v>0</v>
      </c>
      <c r="R429" s="20" t="n">
        <v>0</v>
      </c>
      <c r="S429" s="20" t="n">
        <v>0</v>
      </c>
      <c r="T429" s="20" t="n">
        <v>0</v>
      </c>
    </row>
    <row r="430">
      <c r="A430" s="20">
        <f>list!$G$11</f>
        <v/>
      </c>
      <c r="B430" s="401" t="inlineStr">
        <is>
          <t>Southern Asia</t>
        </is>
      </c>
      <c r="C430" s="20">
        <f>CONCATENATE(A430,B430)</f>
        <v/>
      </c>
      <c r="D430" s="20" t="n"/>
      <c r="E430" s="257">
        <f>AVERAGE(F430:M430)</f>
        <v/>
      </c>
      <c r="F430" s="305">
        <f>AVERAGE(F462,F382)</f>
        <v/>
      </c>
      <c r="G430" s="308">
        <f>AVERAGE(G462,G382)</f>
        <v/>
      </c>
      <c r="H430" s="302">
        <f>AVERAGE(H462,H382)</f>
        <v/>
      </c>
      <c r="I430" s="304">
        <f>AVERAGE(I462,I382)</f>
        <v/>
      </c>
      <c r="J430" s="305">
        <f>AVERAGE(J462,J382)</f>
        <v/>
      </c>
      <c r="K430" s="305">
        <f>AVERAGE(K462,K382)</f>
        <v/>
      </c>
      <c r="L430" s="305">
        <f>AVERAGE(L462,L382)</f>
        <v/>
      </c>
      <c r="M430" s="302">
        <f>AVERAGE(M462,M382)</f>
        <v/>
      </c>
      <c r="N430" s="20" t="n">
        <v>0</v>
      </c>
      <c r="O430" s="20" t="n">
        <v>0</v>
      </c>
      <c r="P430" s="20" t="n">
        <v>0</v>
      </c>
      <c r="Q430" s="20" t="n">
        <v>0</v>
      </c>
      <c r="R430" s="20" t="n">
        <v>0</v>
      </c>
      <c r="S430" s="20" t="n">
        <v>0</v>
      </c>
      <c r="T430" s="20" t="n">
        <v>0</v>
      </c>
    </row>
    <row r="431">
      <c r="A431" s="20">
        <f>list!$G$11</f>
        <v/>
      </c>
      <c r="B431" s="401" t="inlineStr">
        <is>
          <t>Western Asia</t>
        </is>
      </c>
      <c r="C431" s="20">
        <f>CONCATENATE(A431,B431)</f>
        <v/>
      </c>
      <c r="D431" s="20" t="n"/>
      <c r="E431" s="257">
        <f>AVERAGE(F431:M431)</f>
        <v/>
      </c>
      <c r="F431" s="305">
        <f>AVERAGE(F463,F383)</f>
        <v/>
      </c>
      <c r="G431" s="308">
        <f>AVERAGE(G463,G383)</f>
        <v/>
      </c>
      <c r="H431" s="302">
        <f>AVERAGE(H463,H383)</f>
        <v/>
      </c>
      <c r="I431" s="304">
        <f>AVERAGE(I463,I383)</f>
        <v/>
      </c>
      <c r="J431" s="305">
        <f>AVERAGE(J463,J383)</f>
        <v/>
      </c>
      <c r="K431" s="305">
        <f>AVERAGE(K463,K383)</f>
        <v/>
      </c>
      <c r="L431" s="305">
        <f>AVERAGE(L463,L383)</f>
        <v/>
      </c>
      <c r="M431" s="302">
        <f>AVERAGE(M463,M383)</f>
        <v/>
      </c>
      <c r="N431" s="20" t="n">
        <v>0</v>
      </c>
      <c r="O431" s="20" t="n">
        <v>0</v>
      </c>
      <c r="P431" s="20" t="n">
        <v>0</v>
      </c>
      <c r="Q431" s="20" t="n">
        <v>0</v>
      </c>
      <c r="R431" s="20" t="n">
        <v>0</v>
      </c>
      <c r="S431" s="20" t="n">
        <v>0</v>
      </c>
      <c r="T431" s="20" t="n">
        <v>0</v>
      </c>
    </row>
    <row r="432">
      <c r="A432" s="20">
        <f>list!$G$11</f>
        <v/>
      </c>
      <c r="B432" s="401" t="inlineStr">
        <is>
          <t>Europe</t>
        </is>
      </c>
      <c r="C432" s="20">
        <f>CONCATENATE(A432,B432)</f>
        <v/>
      </c>
      <c r="D432" s="20" t="n"/>
      <c r="E432" s="257">
        <f>AVERAGE(F432:M432)</f>
        <v/>
      </c>
      <c r="F432" s="305">
        <f>AVERAGE(F464,F384)</f>
        <v/>
      </c>
      <c r="G432" s="308">
        <f>AVERAGE(G464,G384)</f>
        <v/>
      </c>
      <c r="H432" s="302">
        <f>AVERAGE(H464,H384)</f>
        <v/>
      </c>
      <c r="I432" s="304">
        <f>AVERAGE(I464,I384)</f>
        <v/>
      </c>
      <c r="J432" s="305">
        <f>AVERAGE(J464,J384)</f>
        <v/>
      </c>
      <c r="K432" s="305">
        <f>AVERAGE(K464,K384)</f>
        <v/>
      </c>
      <c r="L432" s="305">
        <f>AVERAGE(L464,L384)</f>
        <v/>
      </c>
      <c r="M432" s="302">
        <f>AVERAGE(M464,M384)</f>
        <v/>
      </c>
      <c r="N432" s="20" t="n">
        <v>0</v>
      </c>
      <c r="O432" s="20" t="n">
        <v>0</v>
      </c>
      <c r="P432" s="20" t="n">
        <v>0</v>
      </c>
      <c r="Q432" s="20" t="n">
        <v>0</v>
      </c>
      <c r="R432" s="20" t="n">
        <v>0</v>
      </c>
      <c r="S432" s="20" t="n">
        <v>0</v>
      </c>
      <c r="T432" s="20" t="n">
        <v>0</v>
      </c>
    </row>
    <row r="433">
      <c r="A433" s="20">
        <f>list!$G$11</f>
        <v/>
      </c>
      <c r="B433" s="401" t="inlineStr">
        <is>
          <t>Oceania</t>
        </is>
      </c>
      <c r="C433" s="20">
        <f>CONCATENATE(A433,B433)</f>
        <v/>
      </c>
      <c r="D433" s="20" t="n"/>
      <c r="E433" s="257">
        <f>AVERAGE(F433:M433)</f>
        <v/>
      </c>
      <c r="F433" s="305">
        <f>AVERAGE(F465,F385)</f>
        <v/>
      </c>
      <c r="G433" s="308">
        <f>AVERAGE(G465,G385)</f>
        <v/>
      </c>
      <c r="H433" s="302">
        <f>AVERAGE(H465,H385)</f>
        <v/>
      </c>
      <c r="I433" s="304">
        <f>AVERAGE(I465,I385)</f>
        <v/>
      </c>
      <c r="J433" s="305">
        <f>AVERAGE(J465,J385)</f>
        <v/>
      </c>
      <c r="K433" s="305">
        <f>AVERAGE(K465,K385)</f>
        <v/>
      </c>
      <c r="L433" s="305">
        <f>AVERAGE(L465,L385)</f>
        <v/>
      </c>
      <c r="M433" s="302">
        <f>AVERAGE(M465,M385)</f>
        <v/>
      </c>
      <c r="N433" s="20" t="n">
        <v>0</v>
      </c>
      <c r="O433" s="20" t="n">
        <v>0</v>
      </c>
      <c r="P433" s="20" t="n">
        <v>0</v>
      </c>
      <c r="Q433" s="20" t="n">
        <v>0</v>
      </c>
      <c r="R433" s="20" t="n">
        <v>0</v>
      </c>
      <c r="S433" s="20" t="n">
        <v>0</v>
      </c>
      <c r="T433" s="20" t="n">
        <v>0</v>
      </c>
    </row>
    <row r="434">
      <c r="A434" s="20">
        <f>list!$G$11</f>
        <v/>
      </c>
      <c r="B434" s="401" t="inlineStr">
        <is>
          <t>North America</t>
        </is>
      </c>
      <c r="C434" s="20">
        <f>CONCATENATE(A434,B434)</f>
        <v/>
      </c>
      <c r="D434" s="20" t="n"/>
      <c r="E434" s="257">
        <f>AVERAGE(F434:M434)</f>
        <v/>
      </c>
      <c r="F434" s="305">
        <f>AVERAGE(F466,F386)</f>
        <v/>
      </c>
      <c r="G434" s="308">
        <f>AVERAGE(G466,G386)</f>
        <v/>
      </c>
      <c r="H434" s="302">
        <f>AVERAGE(H466,H386)</f>
        <v/>
      </c>
      <c r="I434" s="304">
        <f>AVERAGE(I466,I386)</f>
        <v/>
      </c>
      <c r="J434" s="305">
        <f>AVERAGE(J466,J386)</f>
        <v/>
      </c>
      <c r="K434" s="305">
        <f>AVERAGE(K466,K386)</f>
        <v/>
      </c>
      <c r="L434" s="305">
        <f>AVERAGE(L466,L386)</f>
        <v/>
      </c>
      <c r="M434" s="302">
        <f>AVERAGE(M466,M386)</f>
        <v/>
      </c>
      <c r="N434" s="20" t="n">
        <v>0</v>
      </c>
      <c r="O434" s="20" t="n">
        <v>0</v>
      </c>
      <c r="P434" s="20" t="n">
        <v>0</v>
      </c>
      <c r="Q434" s="20" t="n">
        <v>0</v>
      </c>
      <c r="R434" s="20" t="n">
        <v>0</v>
      </c>
      <c r="S434" s="20" t="n">
        <v>0</v>
      </c>
      <c r="T434" s="20" t="n">
        <v>0</v>
      </c>
    </row>
    <row r="435">
      <c r="A435" s="20">
        <f>list!$G$11</f>
        <v/>
      </c>
      <c r="B435" s="401" t="inlineStr">
        <is>
          <t>South America</t>
        </is>
      </c>
      <c r="C435" s="20">
        <f>CONCATENATE(A435,B435)</f>
        <v/>
      </c>
      <c r="D435" s="20" t="n"/>
      <c r="E435" s="257">
        <f>AVERAGE(F435:M435)</f>
        <v/>
      </c>
      <c r="F435" s="305">
        <f>AVERAGE(F467,F387)</f>
        <v/>
      </c>
      <c r="G435" s="308">
        <f>AVERAGE(G467,G387)</f>
        <v/>
      </c>
      <c r="H435" s="302">
        <f>AVERAGE(H467,H387)</f>
        <v/>
      </c>
      <c r="I435" s="304">
        <f>AVERAGE(I467,I387)</f>
        <v/>
      </c>
      <c r="J435" s="305">
        <f>AVERAGE(J467,J387)</f>
        <v/>
      </c>
      <c r="K435" s="305">
        <f>AVERAGE(K467,K387)</f>
        <v/>
      </c>
      <c r="L435" s="305">
        <f>AVERAGE(L467,L387)</f>
        <v/>
      </c>
      <c r="M435" s="302">
        <f>AVERAGE(M467,M387)</f>
        <v/>
      </c>
      <c r="N435" s="20" t="n">
        <v>0</v>
      </c>
      <c r="O435" s="20" t="n">
        <v>0</v>
      </c>
      <c r="P435" s="20" t="n">
        <v>0</v>
      </c>
      <c r="Q435" s="20" t="n">
        <v>0</v>
      </c>
      <c r="R435" s="20" t="n">
        <v>0</v>
      </c>
      <c r="S435" s="20" t="n">
        <v>0</v>
      </c>
      <c r="T435" s="20" t="n">
        <v>0</v>
      </c>
    </row>
    <row r="436">
      <c r="A436" s="20">
        <f>list!$G$11</f>
        <v/>
      </c>
      <c r="B436" s="401" t="inlineStr">
        <is>
          <t>Central America</t>
        </is>
      </c>
      <c r="C436" s="20">
        <f>CONCATENATE(A436,B436)</f>
        <v/>
      </c>
      <c r="D436" s="20" t="n"/>
      <c r="E436" s="257">
        <f>AVERAGE(F436:M436)</f>
        <v/>
      </c>
      <c r="F436" s="305">
        <f>AVERAGE(F468,F388)</f>
        <v/>
      </c>
      <c r="G436" s="308">
        <f>AVERAGE(G468,G388)</f>
        <v/>
      </c>
      <c r="H436" s="302">
        <f>AVERAGE(H468,H388)</f>
        <v/>
      </c>
      <c r="I436" s="304">
        <f>AVERAGE(I468,I388)</f>
        <v/>
      </c>
      <c r="J436" s="305">
        <f>AVERAGE(J468,J388)</f>
        <v/>
      </c>
      <c r="K436" s="305">
        <f>AVERAGE(K468,K388)</f>
        <v/>
      </c>
      <c r="L436" s="305">
        <f>AVERAGE(L468,L388)</f>
        <v/>
      </c>
      <c r="M436" s="302">
        <f>AVERAGE(M468,M388)</f>
        <v/>
      </c>
      <c r="N436" s="20" t="n">
        <v>0</v>
      </c>
      <c r="O436" s="20" t="n">
        <v>0</v>
      </c>
      <c r="P436" s="20" t="n">
        <v>0</v>
      </c>
      <c r="Q436" s="20" t="n">
        <v>0</v>
      </c>
      <c r="R436" s="20" t="n">
        <v>0</v>
      </c>
      <c r="S436" s="20" t="n">
        <v>0</v>
      </c>
      <c r="T436" s="20" t="n">
        <v>0</v>
      </c>
    </row>
    <row r="437">
      <c r="A437" s="37">
        <f>list!$G$11</f>
        <v/>
      </c>
      <c r="B437" s="402" t="inlineStr">
        <is>
          <t>Caribbean</t>
        </is>
      </c>
      <c r="C437" s="20">
        <f>CONCATENATE(A437,B437)</f>
        <v/>
      </c>
      <c r="D437" s="37" t="n"/>
      <c r="E437" s="257">
        <f>AVERAGE(F437:M437)</f>
        <v/>
      </c>
      <c r="F437" s="305">
        <f>AVERAGE(F469,F389)</f>
        <v/>
      </c>
      <c r="G437" s="308">
        <f>AVERAGE(G469,G389)</f>
        <v/>
      </c>
      <c r="H437" s="303">
        <f>AVERAGE(H469,H389)</f>
        <v/>
      </c>
      <c r="I437" s="304">
        <f>AVERAGE(I469,I389)</f>
        <v/>
      </c>
      <c r="J437" s="307">
        <f>AVERAGE(J469,J389)</f>
        <v/>
      </c>
      <c r="K437" s="307">
        <f>AVERAGE(K469,K389)</f>
        <v/>
      </c>
      <c r="L437" s="307">
        <f>AVERAGE(L469,L389)</f>
        <v/>
      </c>
      <c r="M437" s="302">
        <f>AVERAGE(M469,M389)</f>
        <v/>
      </c>
      <c r="N437" s="37" t="n">
        <v>0</v>
      </c>
      <c r="O437" s="37" t="n">
        <v>0</v>
      </c>
      <c r="P437" s="37" t="n">
        <v>0</v>
      </c>
      <c r="Q437" s="37" t="n">
        <v>0</v>
      </c>
      <c r="R437" s="37" t="n">
        <v>0</v>
      </c>
      <c r="S437" s="37" t="n">
        <v>0</v>
      </c>
      <c r="T437" s="37" t="n">
        <v>0</v>
      </c>
    </row>
    <row r="438">
      <c r="A438" s="63" t="inlineStr">
        <is>
          <t>Tropical Wet</t>
        </is>
      </c>
      <c r="B438" s="413" t="inlineStr">
        <is>
          <t>Eastern Africa</t>
        </is>
      </c>
      <c r="C438" s="63">
        <f>CONCATENATE(A438,B438)</f>
        <v/>
      </c>
      <c r="D438" s="291" t="n"/>
      <c r="E438" s="256">
        <f>AVERAGE(F438:M438)</f>
        <v/>
      </c>
      <c r="F438" s="275" t="n">
        <v>0.45</v>
      </c>
      <c r="G438" s="63" t="n">
        <v>1.49</v>
      </c>
      <c r="H438" s="242" t="n">
        <v>0.1</v>
      </c>
      <c r="I438" s="263" t="n">
        <v>0.6899999999999999</v>
      </c>
      <c r="J438" s="267" t="n">
        <v>0.21</v>
      </c>
      <c r="K438" s="291" t="n">
        <v>0.71</v>
      </c>
      <c r="L438" s="267" t="n">
        <v>0.89</v>
      </c>
      <c r="M438" s="275" t="n">
        <v>0.01</v>
      </c>
      <c r="N438" s="63" t="n">
        <v>0</v>
      </c>
      <c r="O438" s="63" t="n">
        <v>0</v>
      </c>
      <c r="P438" s="63" t="n">
        <v>0</v>
      </c>
      <c r="Q438" s="63" t="n">
        <v>0</v>
      </c>
      <c r="R438" s="63" t="n">
        <v>0</v>
      </c>
      <c r="S438" s="63" t="n">
        <v>0</v>
      </c>
      <c r="T438" s="63" t="n">
        <v>0</v>
      </c>
    </row>
    <row r="439">
      <c r="A439" s="20" t="inlineStr">
        <is>
          <t>Tropical Wet</t>
        </is>
      </c>
      <c r="B439" s="403" t="inlineStr">
        <is>
          <t>Central Africa</t>
        </is>
      </c>
      <c r="C439" s="20">
        <f>CONCATENATE(A439,B439)</f>
        <v/>
      </c>
      <c r="D439" s="21" t="n"/>
      <c r="E439" s="257">
        <f>AVERAGE(F439:M439)</f>
        <v/>
      </c>
      <c r="F439" s="276" t="n">
        <v>0.45</v>
      </c>
      <c r="G439" s="20" t="n">
        <v>1.49</v>
      </c>
      <c r="H439" s="242" t="n">
        <v>0.1</v>
      </c>
      <c r="I439" s="264" t="n">
        <v>0.6899999999999999</v>
      </c>
      <c r="J439" s="270" t="n">
        <v>0.21</v>
      </c>
      <c r="K439" s="21" t="n">
        <v>0.71</v>
      </c>
      <c r="L439" s="270" t="n">
        <v>0.89</v>
      </c>
      <c r="M439" s="276" t="n">
        <v>0.01</v>
      </c>
      <c r="N439" s="20" t="n">
        <v>0</v>
      </c>
      <c r="O439" s="20" t="n">
        <v>0</v>
      </c>
      <c r="P439" s="20" t="n">
        <v>0</v>
      </c>
      <c r="Q439" s="20" t="n">
        <v>0</v>
      </c>
      <c r="R439" s="20" t="n">
        <v>0</v>
      </c>
      <c r="S439" s="20" t="n">
        <v>0</v>
      </c>
      <c r="T439" s="20" t="n">
        <v>0</v>
      </c>
    </row>
    <row r="440">
      <c r="A440" s="20" t="inlineStr">
        <is>
          <t>Tropical Wet</t>
        </is>
      </c>
      <c r="B440" s="403" t="inlineStr">
        <is>
          <t>Northern Africa</t>
        </is>
      </c>
      <c r="C440" s="20">
        <f>CONCATENATE(A440,B440)</f>
        <v/>
      </c>
      <c r="D440" s="21" t="n"/>
      <c r="E440" s="257">
        <f>AVERAGE(F440:M440)</f>
        <v/>
      </c>
      <c r="F440" s="276" t="n">
        <v>0.45</v>
      </c>
      <c r="G440" s="20" t="n">
        <v>1.49</v>
      </c>
      <c r="H440" s="242" t="n">
        <v>0.1</v>
      </c>
      <c r="I440" s="264" t="n">
        <v>0.6899999999999999</v>
      </c>
      <c r="J440" s="270" t="n">
        <v>0.21</v>
      </c>
      <c r="K440" s="21" t="n">
        <v>0.71</v>
      </c>
      <c r="L440" s="270" t="n">
        <v>0.89</v>
      </c>
      <c r="M440" s="276" t="n">
        <v>0.01</v>
      </c>
      <c r="N440" s="20" t="n">
        <v>0</v>
      </c>
      <c r="O440" s="20" t="n">
        <v>0</v>
      </c>
      <c r="P440" s="20" t="n">
        <v>0</v>
      </c>
      <c r="Q440" s="20" t="n">
        <v>0</v>
      </c>
      <c r="R440" s="20" t="n">
        <v>0</v>
      </c>
      <c r="S440" s="20" t="n">
        <v>0</v>
      </c>
      <c r="T440" s="20" t="n">
        <v>0</v>
      </c>
    </row>
    <row r="441">
      <c r="A441" s="20" t="inlineStr">
        <is>
          <t>Tropical Wet</t>
        </is>
      </c>
      <c r="B441" s="403" t="inlineStr">
        <is>
          <t>Southern Africa</t>
        </is>
      </c>
      <c r="C441" s="20">
        <f>CONCATENATE(A441,B441)</f>
        <v/>
      </c>
      <c r="D441" s="21" t="n"/>
      <c r="E441" s="257">
        <f>AVERAGE(F441:M441)</f>
        <v/>
      </c>
      <c r="F441" s="276" t="n">
        <v>0.45</v>
      </c>
      <c r="G441" s="20" t="n">
        <v>1.49</v>
      </c>
      <c r="H441" s="242" t="n">
        <v>0.1</v>
      </c>
      <c r="I441" s="264" t="n">
        <v>0.6899999999999999</v>
      </c>
      <c r="J441" s="270" t="n">
        <v>0.21</v>
      </c>
      <c r="K441" s="21" t="n">
        <v>0.71</v>
      </c>
      <c r="L441" s="270" t="n">
        <v>0.89</v>
      </c>
      <c r="M441" s="276" t="n">
        <v>0.01</v>
      </c>
      <c r="N441" s="20" t="n">
        <v>0</v>
      </c>
      <c r="O441" s="20" t="n">
        <v>0</v>
      </c>
      <c r="P441" s="20" t="n">
        <v>0</v>
      </c>
      <c r="Q441" s="20" t="n">
        <v>0</v>
      </c>
      <c r="R441" s="20" t="n">
        <v>0</v>
      </c>
      <c r="S441" s="20" t="n">
        <v>0</v>
      </c>
      <c r="T441" s="20" t="n">
        <v>0</v>
      </c>
    </row>
    <row r="442">
      <c r="A442" s="20" t="inlineStr">
        <is>
          <t>Tropical Wet</t>
        </is>
      </c>
      <c r="B442" s="403" t="inlineStr">
        <is>
          <t>Western Africa</t>
        </is>
      </c>
      <c r="C442" s="20">
        <f>CONCATENATE(A442,B442)</f>
        <v/>
      </c>
      <c r="D442" s="21" t="n"/>
      <c r="E442" s="257">
        <f>AVERAGE(F442:M442)</f>
        <v/>
      </c>
      <c r="F442" s="276" t="n">
        <v>0.45</v>
      </c>
      <c r="G442" s="20" t="n">
        <v>1.49</v>
      </c>
      <c r="H442" s="242" t="n">
        <v>0.1</v>
      </c>
      <c r="I442" s="264" t="n">
        <v>0.6899999999999999</v>
      </c>
      <c r="J442" s="270" t="n">
        <v>0.21</v>
      </c>
      <c r="K442" s="21" t="n">
        <v>0.71</v>
      </c>
      <c r="L442" s="270" t="n">
        <v>0.89</v>
      </c>
      <c r="M442" s="276" t="n">
        <v>0.01</v>
      </c>
      <c r="N442" s="20" t="n">
        <v>0</v>
      </c>
      <c r="O442" s="20" t="n">
        <v>0</v>
      </c>
      <c r="P442" s="20" t="n">
        <v>0</v>
      </c>
      <c r="Q442" s="20" t="n">
        <v>0</v>
      </c>
      <c r="R442" s="20" t="n">
        <v>0</v>
      </c>
      <c r="S442" s="20" t="n">
        <v>0</v>
      </c>
      <c r="T442" s="20" t="n">
        <v>0</v>
      </c>
    </row>
    <row r="443">
      <c r="A443" s="20" t="inlineStr">
        <is>
          <t>Tropical Wet</t>
        </is>
      </c>
      <c r="B443" s="403" t="inlineStr">
        <is>
          <t>Central Asia</t>
        </is>
      </c>
      <c r="C443" s="20">
        <f>CONCATENATE(A443,B443)</f>
        <v/>
      </c>
      <c r="D443" s="21" t="n"/>
      <c r="E443" s="257">
        <f>AVERAGE(F443:M443)</f>
        <v/>
      </c>
      <c r="F443" s="276" t="n">
        <v>0.45</v>
      </c>
      <c r="G443" s="20" t="n">
        <v>0.48</v>
      </c>
      <c r="H443" s="242" t="n">
        <v>0.1</v>
      </c>
      <c r="I443" s="264" t="n">
        <v>1.16</v>
      </c>
      <c r="J443" s="270" t="n">
        <v>0.21</v>
      </c>
      <c r="K443" s="21" t="n">
        <v>0.42</v>
      </c>
      <c r="L443" s="270" t="n">
        <v>0.89</v>
      </c>
      <c r="M443" s="269" t="n">
        <v>0.01</v>
      </c>
      <c r="N443" s="20" t="n">
        <v>0</v>
      </c>
      <c r="O443" s="20" t="n">
        <v>0</v>
      </c>
      <c r="P443" s="20" t="n">
        <v>0</v>
      </c>
      <c r="Q443" s="20" t="n">
        <v>0</v>
      </c>
      <c r="R443" s="20" t="n">
        <v>0</v>
      </c>
      <c r="S443" s="20" t="n">
        <v>0</v>
      </c>
      <c r="T443" s="20" t="n">
        <v>0</v>
      </c>
    </row>
    <row r="444">
      <c r="A444" s="20" t="inlineStr">
        <is>
          <t>Tropical Wet</t>
        </is>
      </c>
      <c r="B444" s="403" t="inlineStr">
        <is>
          <t>Eastern Asia</t>
        </is>
      </c>
      <c r="C444" s="20">
        <f>CONCATENATE(A444,B444)</f>
        <v/>
      </c>
      <c r="D444" s="21" t="n"/>
      <c r="E444" s="257">
        <f>AVERAGE(F444:M444)</f>
        <v/>
      </c>
      <c r="F444" s="276" t="n">
        <v>0.45</v>
      </c>
      <c r="G444" s="20" t="n">
        <v>0.48</v>
      </c>
      <c r="H444" s="242" t="n">
        <v>0.1</v>
      </c>
      <c r="I444" s="264" t="n">
        <v>1.16</v>
      </c>
      <c r="J444" s="270" t="n">
        <v>0.21</v>
      </c>
      <c r="K444" s="21" t="n">
        <v>0.42</v>
      </c>
      <c r="L444" s="270" t="n">
        <v>0.89</v>
      </c>
      <c r="M444" s="269" t="n">
        <v>0.01</v>
      </c>
      <c r="N444" s="20" t="n">
        <v>0</v>
      </c>
      <c r="O444" s="20" t="n">
        <v>0</v>
      </c>
      <c r="P444" s="20" t="n">
        <v>0</v>
      </c>
      <c r="Q444" s="20" t="n">
        <v>0</v>
      </c>
      <c r="R444" s="20" t="n">
        <v>0</v>
      </c>
      <c r="S444" s="20" t="n">
        <v>0</v>
      </c>
      <c r="T444" s="20" t="n">
        <v>0</v>
      </c>
    </row>
    <row r="445">
      <c r="A445" s="20" t="inlineStr">
        <is>
          <t>Tropical Wet</t>
        </is>
      </c>
      <c r="B445" s="403" t="inlineStr">
        <is>
          <t>South-eastern Asia</t>
        </is>
      </c>
      <c r="C445" s="20">
        <f>CONCATENATE(A445,B445)</f>
        <v/>
      </c>
      <c r="D445" s="21" t="n"/>
      <c r="E445" s="257">
        <f>AVERAGE(F445:M445)</f>
        <v/>
      </c>
      <c r="F445" s="276" t="n">
        <v>0.45</v>
      </c>
      <c r="G445" s="20" t="n">
        <v>0.48</v>
      </c>
      <c r="H445" s="242" t="n">
        <v>0.1</v>
      </c>
      <c r="I445" s="264" t="n">
        <v>1.16</v>
      </c>
      <c r="J445" s="270" t="n">
        <v>0.21</v>
      </c>
      <c r="K445" s="21" t="n">
        <v>0.42</v>
      </c>
      <c r="L445" s="270" t="n">
        <v>0.89</v>
      </c>
      <c r="M445" s="269" t="n">
        <v>0.01</v>
      </c>
      <c r="N445" s="20" t="n">
        <v>0</v>
      </c>
      <c r="O445" s="20" t="n">
        <v>0</v>
      </c>
      <c r="P445" s="20" t="n">
        <v>0</v>
      </c>
      <c r="Q445" s="20" t="n">
        <v>0</v>
      </c>
      <c r="R445" s="20" t="n">
        <v>0</v>
      </c>
      <c r="S445" s="20" t="n">
        <v>0</v>
      </c>
      <c r="T445" s="20" t="n">
        <v>0</v>
      </c>
    </row>
    <row r="446">
      <c r="A446" s="20" t="inlineStr">
        <is>
          <t>Tropical Wet</t>
        </is>
      </c>
      <c r="B446" s="403" t="inlineStr">
        <is>
          <t>Southern Asia</t>
        </is>
      </c>
      <c r="C446" s="20">
        <f>CONCATENATE(A446,B446)</f>
        <v/>
      </c>
      <c r="D446" s="21" t="n"/>
      <c r="E446" s="257">
        <f>AVERAGE(F446:M446)</f>
        <v/>
      </c>
      <c r="F446" s="276" t="n">
        <v>0.45</v>
      </c>
      <c r="G446" s="20" t="n">
        <v>0.48</v>
      </c>
      <c r="H446" s="242" t="n">
        <v>0.1</v>
      </c>
      <c r="I446" s="264" t="n">
        <v>1.16</v>
      </c>
      <c r="J446" s="270" t="n">
        <v>0.21</v>
      </c>
      <c r="K446" s="21" t="n">
        <v>0.42</v>
      </c>
      <c r="L446" s="270" t="n">
        <v>0.89</v>
      </c>
      <c r="M446" s="269" t="n">
        <v>0.01</v>
      </c>
      <c r="N446" s="20" t="n">
        <v>0</v>
      </c>
      <c r="O446" s="20" t="n">
        <v>0</v>
      </c>
      <c r="P446" s="20" t="n">
        <v>0</v>
      </c>
      <c r="Q446" s="20" t="n">
        <v>0</v>
      </c>
      <c r="R446" s="20" t="n">
        <v>0</v>
      </c>
      <c r="S446" s="20" t="n">
        <v>0</v>
      </c>
      <c r="T446" s="20" t="n">
        <v>0</v>
      </c>
    </row>
    <row r="447">
      <c r="A447" s="20" t="inlineStr">
        <is>
          <t>Tropical Wet</t>
        </is>
      </c>
      <c r="B447" s="403" t="inlineStr">
        <is>
          <t>Western Asia</t>
        </is>
      </c>
      <c r="C447" s="20">
        <f>CONCATENATE(A447,B447)</f>
        <v/>
      </c>
      <c r="D447" s="21" t="n"/>
      <c r="E447" s="257">
        <f>AVERAGE(F447:M447)</f>
        <v/>
      </c>
      <c r="F447" s="276" t="n">
        <v>0.45</v>
      </c>
      <c r="G447" s="20" t="n">
        <v>0.48</v>
      </c>
      <c r="H447" s="242" t="n">
        <v>0.1</v>
      </c>
      <c r="I447" s="264" t="n">
        <v>1.16</v>
      </c>
      <c r="J447" s="270" t="n">
        <v>0.21</v>
      </c>
      <c r="K447" s="21" t="n">
        <v>0.42</v>
      </c>
      <c r="L447" s="270" t="n">
        <v>0.89</v>
      </c>
      <c r="M447" s="269" t="n">
        <v>0.01</v>
      </c>
      <c r="N447" s="20" t="n">
        <v>0</v>
      </c>
      <c r="O447" s="20" t="n">
        <v>0</v>
      </c>
      <c r="P447" s="20" t="n">
        <v>0</v>
      </c>
      <c r="Q447" s="20" t="n">
        <v>0</v>
      </c>
      <c r="R447" s="20" t="n">
        <v>0</v>
      </c>
      <c r="S447" s="20" t="n">
        <v>0</v>
      </c>
      <c r="T447" s="20" t="n">
        <v>0</v>
      </c>
    </row>
    <row r="448">
      <c r="A448" s="20" t="inlineStr">
        <is>
          <t>Tropical Wet</t>
        </is>
      </c>
      <c r="B448" s="403" t="inlineStr">
        <is>
          <t>Europe</t>
        </is>
      </c>
      <c r="C448" s="20">
        <f>CONCATENATE(A448,B448)</f>
        <v/>
      </c>
      <c r="D448" s="21" t="n"/>
      <c r="E448" s="257">
        <f>AVERAGE(F448:M448)</f>
        <v/>
      </c>
      <c r="F448" s="276" t="n">
        <v>0.45</v>
      </c>
      <c r="G448" s="242" t="n">
        <v>1.1</v>
      </c>
      <c r="H448" s="242" t="n">
        <v>0.1</v>
      </c>
      <c r="I448" s="271" t="n">
        <v>0.91</v>
      </c>
      <c r="J448" s="270" t="n">
        <v>0.21</v>
      </c>
      <c r="K448" s="279" t="n">
        <v>0.54</v>
      </c>
      <c r="L448" s="270" t="n">
        <v>0.89</v>
      </c>
      <c r="M448" s="276" t="n">
        <v>0.01</v>
      </c>
      <c r="N448" s="20" t="n">
        <v>0</v>
      </c>
      <c r="O448" s="20" t="n">
        <v>0</v>
      </c>
      <c r="P448" s="20" t="n">
        <v>0</v>
      </c>
      <c r="Q448" s="20" t="n">
        <v>0</v>
      </c>
      <c r="R448" s="20" t="n">
        <v>0</v>
      </c>
      <c r="S448" s="20" t="n">
        <v>0</v>
      </c>
      <c r="T448" s="20" t="n">
        <v>0</v>
      </c>
    </row>
    <row r="449">
      <c r="A449" s="20" t="inlineStr">
        <is>
          <t>Tropical Wet</t>
        </is>
      </c>
      <c r="B449" s="403" t="inlineStr">
        <is>
          <t>Oceania</t>
        </is>
      </c>
      <c r="C449" s="20">
        <f>CONCATENATE(A449,B449)</f>
        <v/>
      </c>
      <c r="D449" s="21" t="n"/>
      <c r="E449" s="257">
        <f>AVERAGE(F449:M449)</f>
        <v/>
      </c>
      <c r="F449" s="276" t="n">
        <v>0.45</v>
      </c>
      <c r="G449" s="242" t="n">
        <v>1.1</v>
      </c>
      <c r="H449" s="242" t="n">
        <v>0.1</v>
      </c>
      <c r="I449" s="271" t="n">
        <v>0.91</v>
      </c>
      <c r="J449" s="270" t="n">
        <v>0.21</v>
      </c>
      <c r="K449" s="279" t="n">
        <v>0.54</v>
      </c>
      <c r="L449" s="270" t="n">
        <v>0.89</v>
      </c>
      <c r="M449" s="276" t="n">
        <v>0.01</v>
      </c>
      <c r="N449" s="20" t="n">
        <v>0</v>
      </c>
      <c r="O449" s="20" t="n">
        <v>0</v>
      </c>
      <c r="P449" s="20" t="n">
        <v>0</v>
      </c>
      <c r="Q449" s="20" t="n">
        <v>0</v>
      </c>
      <c r="R449" s="20" t="n">
        <v>0</v>
      </c>
      <c r="S449" s="20" t="n">
        <v>0</v>
      </c>
      <c r="T449" s="20" t="n">
        <v>0</v>
      </c>
    </row>
    <row r="450">
      <c r="A450" s="20" t="inlineStr">
        <is>
          <t>Tropical Wet</t>
        </is>
      </c>
      <c r="B450" s="403" t="inlineStr">
        <is>
          <t>North America</t>
        </is>
      </c>
      <c r="C450" s="20">
        <f>CONCATENATE(A450,B450)</f>
        <v/>
      </c>
      <c r="D450" s="21" t="n"/>
      <c r="E450" s="257">
        <f>AVERAGE(F450:M450)</f>
        <v/>
      </c>
      <c r="F450" s="276" t="n">
        <v>0.45</v>
      </c>
      <c r="G450" s="242" t="n">
        <v>1.1</v>
      </c>
      <c r="H450" s="242" t="n">
        <v>0.1</v>
      </c>
      <c r="I450" s="271" t="n">
        <v>0.91</v>
      </c>
      <c r="J450" s="270" t="n">
        <v>0.21</v>
      </c>
      <c r="K450" s="279" t="n">
        <v>0.54</v>
      </c>
      <c r="L450" s="270" t="n">
        <v>0.89</v>
      </c>
      <c r="M450" s="276" t="n">
        <v>0.01</v>
      </c>
      <c r="N450" s="20" t="n">
        <v>0</v>
      </c>
      <c r="O450" s="20" t="n">
        <v>0</v>
      </c>
      <c r="P450" s="20" t="n">
        <v>0</v>
      </c>
      <c r="Q450" s="20" t="n">
        <v>0</v>
      </c>
      <c r="R450" s="20" t="n">
        <v>0</v>
      </c>
      <c r="S450" s="20" t="n">
        <v>0</v>
      </c>
      <c r="T450" s="20" t="n">
        <v>0</v>
      </c>
    </row>
    <row r="451">
      <c r="A451" s="20" t="inlineStr">
        <is>
          <t>Tropical Wet</t>
        </is>
      </c>
      <c r="B451" s="403" t="inlineStr">
        <is>
          <t>South America</t>
        </is>
      </c>
      <c r="C451" s="20">
        <f>CONCATENATE(A451,B451)</f>
        <v/>
      </c>
      <c r="D451" s="21" t="n"/>
      <c r="E451" s="257">
        <f>AVERAGE(F451:M451)</f>
        <v/>
      </c>
      <c r="F451" s="276" t="n">
        <v>0.45</v>
      </c>
      <c r="G451" s="20" t="n">
        <v>1.14</v>
      </c>
      <c r="H451" s="242" t="n">
        <v>0.1</v>
      </c>
      <c r="I451" s="264" t="n">
        <v>0.7</v>
      </c>
      <c r="J451" s="270" t="n">
        <v>0.21</v>
      </c>
      <c r="K451" s="21" t="n">
        <v>0.71</v>
      </c>
      <c r="L451" s="270" t="n">
        <v>0.89</v>
      </c>
      <c r="M451" s="276" t="n">
        <v>0.01</v>
      </c>
      <c r="N451" s="20" t="n">
        <v>0</v>
      </c>
      <c r="O451" s="20" t="n">
        <v>0</v>
      </c>
      <c r="P451" s="20" t="n">
        <v>0</v>
      </c>
      <c r="Q451" s="20" t="n">
        <v>0</v>
      </c>
      <c r="R451" s="20" t="n">
        <v>0</v>
      </c>
      <c r="S451" s="20" t="n">
        <v>0</v>
      </c>
      <c r="T451" s="20" t="n">
        <v>0</v>
      </c>
    </row>
    <row r="452">
      <c r="A452" s="20" t="inlineStr">
        <is>
          <t>Tropical Wet</t>
        </is>
      </c>
      <c r="B452" s="403" t="inlineStr">
        <is>
          <t>Central America</t>
        </is>
      </c>
      <c r="C452" s="20">
        <f>CONCATENATE(A452,B452)</f>
        <v/>
      </c>
      <c r="D452" s="21" t="n"/>
      <c r="E452" s="257">
        <f>AVERAGE(F452:M452)</f>
        <v/>
      </c>
      <c r="F452" s="269" t="n">
        <v>0.45</v>
      </c>
      <c r="G452" s="242" t="n">
        <v>1.1</v>
      </c>
      <c r="H452" s="20" t="n">
        <v>0.1</v>
      </c>
      <c r="I452" s="264" t="n">
        <v>0.78</v>
      </c>
      <c r="J452" s="270" t="n">
        <v>0.21</v>
      </c>
      <c r="K452" s="21" t="n">
        <v>0.51</v>
      </c>
      <c r="L452" s="270" t="n">
        <v>0.89</v>
      </c>
      <c r="M452" s="276" t="n">
        <v>0.01</v>
      </c>
      <c r="N452" s="20" t="n">
        <v>0</v>
      </c>
      <c r="O452" s="20" t="n">
        <v>0</v>
      </c>
      <c r="P452" s="20" t="n">
        <v>0</v>
      </c>
      <c r="Q452" s="20" t="n">
        <v>0</v>
      </c>
      <c r="R452" s="20" t="n">
        <v>0</v>
      </c>
      <c r="S452" s="20" t="n">
        <v>0</v>
      </c>
      <c r="T452" s="20" t="n">
        <v>0</v>
      </c>
    </row>
    <row r="453">
      <c r="A453" s="37" t="inlineStr">
        <is>
          <t>Tropical Wet</t>
        </is>
      </c>
      <c r="B453" s="404" t="inlineStr">
        <is>
          <t>Caribbean</t>
        </is>
      </c>
      <c r="C453" s="20">
        <f>CONCATENATE(A453,B453)</f>
        <v/>
      </c>
      <c r="D453" s="292" t="n"/>
      <c r="E453" s="258">
        <f>AVERAGE(F453:M453)</f>
        <v/>
      </c>
      <c r="F453" s="276" t="n">
        <v>0.45</v>
      </c>
      <c r="G453" s="242" t="n">
        <v>1.1</v>
      </c>
      <c r="H453" s="242" t="n">
        <v>0.1</v>
      </c>
      <c r="I453" s="271" t="n">
        <v>0.91</v>
      </c>
      <c r="J453" s="273" t="n">
        <v>0.21</v>
      </c>
      <c r="K453" s="279" t="n">
        <v>0.54</v>
      </c>
      <c r="L453" s="273" t="n">
        <v>0.89</v>
      </c>
      <c r="M453" s="276" t="n">
        <v>0.01</v>
      </c>
      <c r="N453" s="37" t="n">
        <v>0</v>
      </c>
      <c r="O453" s="37" t="n">
        <v>0</v>
      </c>
      <c r="P453" s="37" t="n">
        <v>0</v>
      </c>
      <c r="Q453" s="37" t="n">
        <v>0</v>
      </c>
      <c r="R453" s="37" t="n">
        <v>0</v>
      </c>
      <c r="S453" s="37" t="n">
        <v>0</v>
      </c>
      <c r="T453" s="37" t="n">
        <v>0</v>
      </c>
    </row>
    <row r="454">
      <c r="A454" s="63" t="inlineStr">
        <is>
          <t>Tropical</t>
        </is>
      </c>
      <c r="B454" s="413" t="inlineStr">
        <is>
          <t>Eastern Africa</t>
        </is>
      </c>
      <c r="C454" s="63">
        <f>CONCATENATE(A454,B454)</f>
        <v/>
      </c>
      <c r="D454" s="266" t="n"/>
      <c r="E454" s="256">
        <f>AVERAGE(F454:M454)</f>
        <v/>
      </c>
      <c r="F454" s="267" t="n">
        <v>0.55</v>
      </c>
      <c r="G454" s="267" t="n">
        <v>1.49</v>
      </c>
      <c r="H454" s="267" t="n">
        <v>0.11</v>
      </c>
      <c r="I454" s="241" t="n">
        <v>0.8</v>
      </c>
      <c r="J454" s="267" t="n">
        <v>0.21</v>
      </c>
      <c r="K454" s="267" t="n">
        <v>0.55</v>
      </c>
      <c r="L454" s="267" t="n">
        <v>0.89</v>
      </c>
      <c r="M454" s="267" t="n">
        <v>0.79</v>
      </c>
      <c r="N454" s="63" t="n">
        <v>0</v>
      </c>
      <c r="O454" s="63" t="n">
        <v>0</v>
      </c>
      <c r="P454" s="63" t="n">
        <v>0</v>
      </c>
      <c r="Q454" s="63" t="n">
        <v>0</v>
      </c>
      <c r="R454" s="63" t="n">
        <v>0</v>
      </c>
      <c r="S454" s="63" t="n">
        <v>0</v>
      </c>
      <c r="T454" s="63" t="n">
        <v>0</v>
      </c>
    </row>
    <row r="455">
      <c r="A455" s="20" t="inlineStr">
        <is>
          <t>Tropical</t>
        </is>
      </c>
      <c r="B455" s="403" t="inlineStr">
        <is>
          <t>Central Africa</t>
        </is>
      </c>
      <c r="C455" s="20">
        <f>CONCATENATE(A455,B455)</f>
        <v/>
      </c>
      <c r="D455" s="269" t="n"/>
      <c r="E455" s="257">
        <f>AVERAGE(F455:M455)</f>
        <v/>
      </c>
      <c r="F455" s="270" t="n">
        <v>0.55</v>
      </c>
      <c r="G455" s="270" t="n">
        <v>1.49</v>
      </c>
      <c r="H455" s="270" t="n">
        <v>0.11</v>
      </c>
      <c r="I455" s="242" t="n">
        <v>0.8</v>
      </c>
      <c r="J455" s="270" t="n">
        <v>0.21</v>
      </c>
      <c r="K455" s="270" t="n">
        <v>0.55</v>
      </c>
      <c r="L455" s="270" t="n">
        <v>0.89</v>
      </c>
      <c r="M455" s="270" t="n">
        <v>0.79</v>
      </c>
      <c r="N455" s="20" t="n">
        <v>0</v>
      </c>
      <c r="O455" s="20" t="n">
        <v>0</v>
      </c>
      <c r="P455" s="20" t="n">
        <v>0</v>
      </c>
      <c r="Q455" s="20" t="n">
        <v>0</v>
      </c>
      <c r="R455" s="20" t="n">
        <v>0</v>
      </c>
      <c r="S455" s="20" t="n">
        <v>0</v>
      </c>
      <c r="T455" s="20" t="n">
        <v>0</v>
      </c>
    </row>
    <row r="456">
      <c r="A456" s="20" t="inlineStr">
        <is>
          <t>Tropical</t>
        </is>
      </c>
      <c r="B456" s="403" t="inlineStr">
        <is>
          <t>Northern Africa</t>
        </is>
      </c>
      <c r="C456" s="20">
        <f>CONCATENATE(A456,B456)</f>
        <v/>
      </c>
      <c r="D456" s="269" t="n"/>
      <c r="E456" s="257">
        <f>AVERAGE(F456:M456)</f>
        <v/>
      </c>
      <c r="F456" s="270" t="n">
        <v>0.55</v>
      </c>
      <c r="G456" s="270" t="n">
        <v>1.49</v>
      </c>
      <c r="H456" s="270" t="n">
        <v>0.11</v>
      </c>
      <c r="I456" s="242" t="n">
        <v>0.8</v>
      </c>
      <c r="J456" s="270" t="n">
        <v>0.21</v>
      </c>
      <c r="K456" s="270" t="n">
        <v>0.55</v>
      </c>
      <c r="L456" s="270" t="n">
        <v>0.89</v>
      </c>
      <c r="M456" s="270" t="n">
        <v>0.79</v>
      </c>
      <c r="N456" s="20" t="n">
        <v>0</v>
      </c>
      <c r="O456" s="20" t="n">
        <v>0</v>
      </c>
      <c r="P456" s="20" t="n">
        <v>0</v>
      </c>
      <c r="Q456" s="20" t="n">
        <v>0</v>
      </c>
      <c r="R456" s="20" t="n">
        <v>0</v>
      </c>
      <c r="S456" s="20" t="n">
        <v>0</v>
      </c>
      <c r="T456" s="20" t="n">
        <v>0</v>
      </c>
    </row>
    <row r="457">
      <c r="A457" s="20" t="inlineStr">
        <is>
          <t>Tropical</t>
        </is>
      </c>
      <c r="B457" s="403" t="inlineStr">
        <is>
          <t>Southern Africa</t>
        </is>
      </c>
      <c r="C457" s="20">
        <f>CONCATENATE(A457,B457)</f>
        <v/>
      </c>
      <c r="D457" s="269" t="n"/>
      <c r="E457" s="257">
        <f>AVERAGE(F457:M457)</f>
        <v/>
      </c>
      <c r="F457" s="270" t="n">
        <v>0.55</v>
      </c>
      <c r="G457" s="270" t="n">
        <v>1.49</v>
      </c>
      <c r="H457" s="270" t="n">
        <v>0.11</v>
      </c>
      <c r="I457" s="242" t="n">
        <v>0.8</v>
      </c>
      <c r="J457" s="270" t="n">
        <v>0.21</v>
      </c>
      <c r="K457" s="270" t="n">
        <v>0.55</v>
      </c>
      <c r="L457" s="270" t="n">
        <v>0.89</v>
      </c>
      <c r="M457" s="270" t="n">
        <v>0.79</v>
      </c>
      <c r="N457" s="20" t="n">
        <v>0</v>
      </c>
      <c r="O457" s="20" t="n">
        <v>0</v>
      </c>
      <c r="P457" s="20" t="n">
        <v>0</v>
      </c>
      <c r="Q457" s="20" t="n">
        <v>0</v>
      </c>
      <c r="R457" s="20" t="n">
        <v>0</v>
      </c>
      <c r="S457" s="20" t="n">
        <v>0</v>
      </c>
      <c r="T457" s="20" t="n">
        <v>0</v>
      </c>
    </row>
    <row r="458">
      <c r="A458" s="20" t="inlineStr">
        <is>
          <t>Tropical</t>
        </is>
      </c>
      <c r="B458" s="403" t="inlineStr">
        <is>
          <t>Western Africa</t>
        </is>
      </c>
      <c r="C458" s="20">
        <f>CONCATENATE(A458,B458)</f>
        <v/>
      </c>
      <c r="D458" s="269" t="n"/>
      <c r="E458" s="257">
        <f>AVERAGE(F458:M458)</f>
        <v/>
      </c>
      <c r="F458" s="270" t="n">
        <v>0.55</v>
      </c>
      <c r="G458" s="270" t="n">
        <v>1.49</v>
      </c>
      <c r="H458" s="270" t="n">
        <v>0.11</v>
      </c>
      <c r="I458" s="242" t="n">
        <v>0.8</v>
      </c>
      <c r="J458" s="270" t="n">
        <v>0.21</v>
      </c>
      <c r="K458" s="270" t="n">
        <v>0.55</v>
      </c>
      <c r="L458" s="270" t="n">
        <v>0.89</v>
      </c>
      <c r="M458" s="270" t="n">
        <v>0.79</v>
      </c>
      <c r="N458" s="20" t="n">
        <v>0</v>
      </c>
      <c r="O458" s="20" t="n">
        <v>0</v>
      </c>
      <c r="P458" s="20" t="n">
        <v>0</v>
      </c>
      <c r="Q458" s="20" t="n">
        <v>0</v>
      </c>
      <c r="R458" s="20" t="n">
        <v>0</v>
      </c>
      <c r="S458" s="20" t="n">
        <v>0</v>
      </c>
      <c r="T458" s="20" t="n">
        <v>0</v>
      </c>
    </row>
    <row r="459">
      <c r="A459" s="20" t="inlineStr">
        <is>
          <t>Tropical</t>
        </is>
      </c>
      <c r="B459" s="403" t="inlineStr">
        <is>
          <t>Central Asia</t>
        </is>
      </c>
      <c r="C459" s="20">
        <f>CONCATENATE(A459,B459)</f>
        <v/>
      </c>
      <c r="D459" s="269" t="n"/>
      <c r="E459" s="257">
        <f>AVERAGE(F459:M459)</f>
        <v/>
      </c>
      <c r="F459" s="270" t="n">
        <v>0.55</v>
      </c>
      <c r="G459" s="270" t="n">
        <v>1.49</v>
      </c>
      <c r="H459" s="270" t="n">
        <v>0.11</v>
      </c>
      <c r="I459" s="242" t="n">
        <v>0.8</v>
      </c>
      <c r="J459" s="270" t="n">
        <v>0.21</v>
      </c>
      <c r="K459" s="270" t="n">
        <v>0.55</v>
      </c>
      <c r="L459" s="270" t="n">
        <v>0.89</v>
      </c>
      <c r="M459" s="270" t="n">
        <v>0.79</v>
      </c>
      <c r="N459" s="20" t="n">
        <v>0</v>
      </c>
      <c r="O459" s="20" t="n">
        <v>0</v>
      </c>
      <c r="P459" s="20" t="n">
        <v>0</v>
      </c>
      <c r="Q459" s="20" t="n">
        <v>0</v>
      </c>
      <c r="R459" s="20" t="n">
        <v>0</v>
      </c>
      <c r="S459" s="20" t="n">
        <v>0</v>
      </c>
      <c r="T459" s="20" t="n">
        <v>0</v>
      </c>
    </row>
    <row r="460">
      <c r="A460" s="20" t="inlineStr">
        <is>
          <t>Tropical</t>
        </is>
      </c>
      <c r="B460" s="403" t="inlineStr">
        <is>
          <t>Eastern Asia</t>
        </is>
      </c>
      <c r="C460" s="20">
        <f>CONCATENATE(A460,B460)</f>
        <v/>
      </c>
      <c r="D460" s="269" t="n"/>
      <c r="E460" s="257">
        <f>AVERAGE(F460:M460)</f>
        <v/>
      </c>
      <c r="F460" s="270" t="n">
        <v>0.55</v>
      </c>
      <c r="G460" s="270" t="n">
        <v>1.49</v>
      </c>
      <c r="H460" s="270" t="n">
        <v>0.11</v>
      </c>
      <c r="I460" s="242" t="n">
        <v>0.8</v>
      </c>
      <c r="J460" s="270" t="n">
        <v>0.21</v>
      </c>
      <c r="K460" s="270" t="n">
        <v>0.55</v>
      </c>
      <c r="L460" s="270" t="n">
        <v>0.89</v>
      </c>
      <c r="M460" s="270" t="n">
        <v>0.79</v>
      </c>
      <c r="N460" s="20" t="n">
        <v>0</v>
      </c>
      <c r="O460" s="20" t="n">
        <v>0</v>
      </c>
      <c r="P460" s="20" t="n">
        <v>0</v>
      </c>
      <c r="Q460" s="20" t="n">
        <v>0</v>
      </c>
      <c r="R460" s="20" t="n">
        <v>0</v>
      </c>
      <c r="S460" s="20" t="n">
        <v>0</v>
      </c>
      <c r="T460" s="20" t="n">
        <v>0</v>
      </c>
    </row>
    <row r="461">
      <c r="A461" s="20" t="inlineStr">
        <is>
          <t>Tropical</t>
        </is>
      </c>
      <c r="B461" s="403" t="inlineStr">
        <is>
          <t>South-eastern Asia</t>
        </is>
      </c>
      <c r="C461" s="20">
        <f>CONCATENATE(A461,B461)</f>
        <v/>
      </c>
      <c r="D461" s="269" t="n"/>
      <c r="E461" s="257">
        <f>AVERAGE(F461:M461)</f>
        <v/>
      </c>
      <c r="F461" s="270" t="n">
        <v>0.55</v>
      </c>
      <c r="G461" s="270" t="n">
        <v>1.49</v>
      </c>
      <c r="H461" s="270" t="n">
        <v>0.11</v>
      </c>
      <c r="I461" s="242" t="n">
        <v>0.8</v>
      </c>
      <c r="J461" s="270" t="n">
        <v>0.21</v>
      </c>
      <c r="K461" s="270" t="n">
        <v>0.55</v>
      </c>
      <c r="L461" s="270" t="n">
        <v>0.89</v>
      </c>
      <c r="M461" s="270" t="n">
        <v>0.79</v>
      </c>
      <c r="N461" s="20" t="n">
        <v>0</v>
      </c>
      <c r="O461" s="20" t="n">
        <v>0</v>
      </c>
      <c r="P461" s="20" t="n">
        <v>0</v>
      </c>
      <c r="Q461" s="20" t="n">
        <v>0</v>
      </c>
      <c r="R461" s="20" t="n">
        <v>0</v>
      </c>
      <c r="S461" s="20" t="n">
        <v>0</v>
      </c>
      <c r="T461" s="20" t="n">
        <v>0</v>
      </c>
    </row>
    <row r="462">
      <c r="A462" s="20" t="inlineStr">
        <is>
          <t>Tropical</t>
        </is>
      </c>
      <c r="B462" s="403" t="inlineStr">
        <is>
          <t>Southern Asia</t>
        </is>
      </c>
      <c r="C462" s="20">
        <f>CONCATENATE(A462,B462)</f>
        <v/>
      </c>
      <c r="D462" s="269" t="n"/>
      <c r="E462" s="257">
        <f>AVERAGE(F462:M462)</f>
        <v/>
      </c>
      <c r="F462" s="270" t="n">
        <v>0.55</v>
      </c>
      <c r="G462" s="270" t="n">
        <v>1.49</v>
      </c>
      <c r="H462" s="270" t="n">
        <v>0.11</v>
      </c>
      <c r="I462" s="242" t="n">
        <v>0.8</v>
      </c>
      <c r="J462" s="270" t="n">
        <v>0.21</v>
      </c>
      <c r="K462" s="270" t="n">
        <v>0.55</v>
      </c>
      <c r="L462" s="270" t="n">
        <v>0.89</v>
      </c>
      <c r="M462" s="270" t="n">
        <v>0.79</v>
      </c>
      <c r="N462" s="20" t="n">
        <v>0</v>
      </c>
      <c r="O462" s="20" t="n">
        <v>0</v>
      </c>
      <c r="P462" s="20" t="n">
        <v>0</v>
      </c>
      <c r="Q462" s="20" t="n">
        <v>0</v>
      </c>
      <c r="R462" s="20" t="n">
        <v>0</v>
      </c>
      <c r="S462" s="20" t="n">
        <v>0</v>
      </c>
      <c r="T462" s="20" t="n">
        <v>0</v>
      </c>
    </row>
    <row r="463">
      <c r="A463" s="20" t="inlineStr">
        <is>
          <t>Tropical</t>
        </is>
      </c>
      <c r="B463" s="403" t="inlineStr">
        <is>
          <t>Western Asia</t>
        </is>
      </c>
      <c r="C463" s="20">
        <f>CONCATENATE(A463,B463)</f>
        <v/>
      </c>
      <c r="D463" s="269" t="n"/>
      <c r="E463" s="257">
        <f>AVERAGE(F463:M463)</f>
        <v/>
      </c>
      <c r="F463" s="270" t="n">
        <v>0.55</v>
      </c>
      <c r="G463" s="270" t="n">
        <v>1.49</v>
      </c>
      <c r="H463" s="270" t="n">
        <v>0.11</v>
      </c>
      <c r="I463" s="242" t="n">
        <v>0.8</v>
      </c>
      <c r="J463" s="270" t="n">
        <v>0.21</v>
      </c>
      <c r="K463" s="270" t="n">
        <v>0.55</v>
      </c>
      <c r="L463" s="270" t="n">
        <v>0.89</v>
      </c>
      <c r="M463" s="270" t="n">
        <v>0.79</v>
      </c>
      <c r="N463" s="20" t="n">
        <v>0</v>
      </c>
      <c r="O463" s="20" t="n">
        <v>0</v>
      </c>
      <c r="P463" s="20" t="n">
        <v>0</v>
      </c>
      <c r="Q463" s="20" t="n">
        <v>0</v>
      </c>
      <c r="R463" s="20" t="n">
        <v>0</v>
      </c>
      <c r="S463" s="20" t="n">
        <v>0</v>
      </c>
      <c r="T463" s="20" t="n">
        <v>0</v>
      </c>
    </row>
    <row r="464">
      <c r="A464" s="20" t="inlineStr">
        <is>
          <t>Tropical</t>
        </is>
      </c>
      <c r="B464" s="403" t="inlineStr">
        <is>
          <t>Europe</t>
        </is>
      </c>
      <c r="C464" s="20">
        <f>CONCATENATE(A464,B464)</f>
        <v/>
      </c>
      <c r="D464" s="269" t="n"/>
      <c r="E464" s="257">
        <f>AVERAGE(F464:M464)</f>
        <v/>
      </c>
      <c r="F464" s="270" t="n">
        <v>0.55</v>
      </c>
      <c r="G464" s="270" t="n">
        <v>1.49</v>
      </c>
      <c r="H464" s="270" t="n">
        <v>0.11</v>
      </c>
      <c r="I464" s="242" t="n">
        <v>0.8</v>
      </c>
      <c r="J464" s="270" t="n">
        <v>0.21</v>
      </c>
      <c r="K464" s="270" t="n">
        <v>0.55</v>
      </c>
      <c r="L464" s="270" t="n">
        <v>0.89</v>
      </c>
      <c r="M464" s="270" t="n">
        <v>0.79</v>
      </c>
      <c r="N464" s="20" t="n">
        <v>0</v>
      </c>
      <c r="O464" s="20" t="n">
        <v>0</v>
      </c>
      <c r="P464" s="20" t="n">
        <v>0</v>
      </c>
      <c r="Q464" s="20" t="n">
        <v>0</v>
      </c>
      <c r="R464" s="20" t="n">
        <v>0</v>
      </c>
      <c r="S464" s="20" t="n">
        <v>0</v>
      </c>
      <c r="T464" s="20" t="n">
        <v>0</v>
      </c>
    </row>
    <row r="465">
      <c r="A465" s="20" t="inlineStr">
        <is>
          <t>Tropical</t>
        </is>
      </c>
      <c r="B465" s="403" t="inlineStr">
        <is>
          <t>Oceania</t>
        </is>
      </c>
      <c r="C465" s="20">
        <f>CONCATENATE(A465,B465)</f>
        <v/>
      </c>
      <c r="D465" s="269" t="n"/>
      <c r="E465" s="257">
        <f>AVERAGE(F465:M465)</f>
        <v/>
      </c>
      <c r="F465" s="270" t="n">
        <v>0.55</v>
      </c>
      <c r="G465" s="270" t="n">
        <v>1.49</v>
      </c>
      <c r="H465" s="270" t="n">
        <v>0.11</v>
      </c>
      <c r="I465" s="242" t="n">
        <v>0.8</v>
      </c>
      <c r="J465" s="270" t="n">
        <v>0.21</v>
      </c>
      <c r="K465" s="270" t="n">
        <v>0.55</v>
      </c>
      <c r="L465" s="270" t="n">
        <v>0.89</v>
      </c>
      <c r="M465" s="270" t="n">
        <v>0.79</v>
      </c>
      <c r="N465" s="20" t="n">
        <v>0</v>
      </c>
      <c r="O465" s="20" t="n">
        <v>0</v>
      </c>
      <c r="P465" s="20" t="n">
        <v>0</v>
      </c>
      <c r="Q465" s="20" t="n">
        <v>0</v>
      </c>
      <c r="R465" s="20" t="n">
        <v>0</v>
      </c>
      <c r="S465" s="20" t="n">
        <v>0</v>
      </c>
      <c r="T465" s="20" t="n">
        <v>0</v>
      </c>
    </row>
    <row r="466">
      <c r="A466" s="20" t="inlineStr">
        <is>
          <t>Tropical</t>
        </is>
      </c>
      <c r="B466" s="403" t="inlineStr">
        <is>
          <t>North America</t>
        </is>
      </c>
      <c r="C466" s="20">
        <f>CONCATENATE(A466,B466)</f>
        <v/>
      </c>
      <c r="D466" s="269" t="n"/>
      <c r="E466" s="257">
        <f>AVERAGE(F466:M466)</f>
        <v/>
      </c>
      <c r="F466" s="270" t="n">
        <v>0.55</v>
      </c>
      <c r="G466" s="270" t="n">
        <v>1.49</v>
      </c>
      <c r="H466" s="270" t="n">
        <v>0.11</v>
      </c>
      <c r="I466" s="242" t="n">
        <v>0.8</v>
      </c>
      <c r="J466" s="270" t="n">
        <v>0.21</v>
      </c>
      <c r="K466" s="270" t="n">
        <v>0.55</v>
      </c>
      <c r="L466" s="270" t="n">
        <v>0.89</v>
      </c>
      <c r="M466" s="270" t="n">
        <v>0.79</v>
      </c>
      <c r="N466" s="20" t="n">
        <v>0</v>
      </c>
      <c r="O466" s="20" t="n">
        <v>0</v>
      </c>
      <c r="P466" s="20" t="n">
        <v>0</v>
      </c>
      <c r="Q466" s="20" t="n">
        <v>0</v>
      </c>
      <c r="R466" s="20" t="n">
        <v>0</v>
      </c>
      <c r="S466" s="20" t="n">
        <v>0</v>
      </c>
      <c r="T466" s="20" t="n">
        <v>0</v>
      </c>
    </row>
    <row r="467">
      <c r="A467" s="20" t="inlineStr">
        <is>
          <t>Tropical</t>
        </is>
      </c>
      <c r="B467" s="403" t="inlineStr">
        <is>
          <t>South America</t>
        </is>
      </c>
      <c r="C467" s="20">
        <f>CONCATENATE(A467,B467)</f>
        <v/>
      </c>
      <c r="D467" s="269" t="n"/>
      <c r="E467" s="257">
        <f>AVERAGE(F467:M467)</f>
        <v/>
      </c>
      <c r="F467" s="270" t="n">
        <v>0.55</v>
      </c>
      <c r="G467" s="270" t="n">
        <v>1.49</v>
      </c>
      <c r="H467" s="270" t="n">
        <v>0.11</v>
      </c>
      <c r="I467" s="242" t="n">
        <v>0.8</v>
      </c>
      <c r="J467" s="270" t="n">
        <v>0.21</v>
      </c>
      <c r="K467" s="270" t="n">
        <v>0.55</v>
      </c>
      <c r="L467" s="270" t="n">
        <v>0.89</v>
      </c>
      <c r="M467" s="270" t="n">
        <v>0.79</v>
      </c>
      <c r="N467" s="20" t="n">
        <v>0</v>
      </c>
      <c r="O467" s="20" t="n">
        <v>0</v>
      </c>
      <c r="P467" s="20" t="n">
        <v>0</v>
      </c>
      <c r="Q467" s="20" t="n">
        <v>0</v>
      </c>
      <c r="R467" s="20" t="n">
        <v>0</v>
      </c>
      <c r="S467" s="20" t="n">
        <v>0</v>
      </c>
      <c r="T467" s="20" t="n">
        <v>0</v>
      </c>
    </row>
    <row r="468">
      <c r="A468" s="20" t="inlineStr">
        <is>
          <t>Tropical</t>
        </is>
      </c>
      <c r="B468" s="403" t="inlineStr">
        <is>
          <t>Central America</t>
        </is>
      </c>
      <c r="C468" s="20">
        <f>CONCATENATE(A468,B468)</f>
        <v/>
      </c>
      <c r="D468" s="269" t="n"/>
      <c r="E468" s="257">
        <f>AVERAGE(F468:M468)</f>
        <v/>
      </c>
      <c r="F468" s="270" t="n">
        <v>0.55</v>
      </c>
      <c r="G468" s="270" t="n">
        <v>1.49</v>
      </c>
      <c r="H468" s="270" t="n">
        <v>0.11</v>
      </c>
      <c r="I468" s="242" t="n">
        <v>0.8</v>
      </c>
      <c r="J468" s="270" t="n">
        <v>0.21</v>
      </c>
      <c r="K468" s="270" t="n">
        <v>0.55</v>
      </c>
      <c r="L468" s="270" t="n">
        <v>0.89</v>
      </c>
      <c r="M468" s="270" t="n">
        <v>0.79</v>
      </c>
      <c r="N468" s="20" t="n">
        <v>0</v>
      </c>
      <c r="O468" s="20" t="n">
        <v>0</v>
      </c>
      <c r="P468" s="20" t="n">
        <v>0</v>
      </c>
      <c r="Q468" s="20" t="n">
        <v>0</v>
      </c>
      <c r="R468" s="20" t="n">
        <v>0</v>
      </c>
      <c r="S468" s="20" t="n">
        <v>0</v>
      </c>
      <c r="T468" s="20" t="n">
        <v>0</v>
      </c>
    </row>
    <row r="469">
      <c r="A469" s="37" t="inlineStr">
        <is>
          <t>Tropical</t>
        </is>
      </c>
      <c r="B469" s="404" t="inlineStr">
        <is>
          <t>Caribbean</t>
        </is>
      </c>
      <c r="C469" s="37">
        <f>CONCATENATE(A469,B469)</f>
        <v/>
      </c>
      <c r="D469" s="272" t="n"/>
      <c r="E469" s="258">
        <f>AVERAGE(F469:M469)</f>
        <v/>
      </c>
      <c r="F469" s="273" t="n">
        <v>0.55</v>
      </c>
      <c r="G469" s="273" t="n">
        <v>1.49</v>
      </c>
      <c r="H469" s="273" t="n">
        <v>0.11</v>
      </c>
      <c r="I469" s="243" t="n">
        <v>0.8</v>
      </c>
      <c r="J469" s="273" t="n">
        <v>0.21</v>
      </c>
      <c r="K469" s="273" t="n">
        <v>0.55</v>
      </c>
      <c r="L469" s="273" t="n">
        <v>0.89</v>
      </c>
      <c r="M469" s="273" t="n">
        <v>0.79</v>
      </c>
      <c r="N469" s="37" t="n">
        <v>0</v>
      </c>
      <c r="O469" s="37" t="n">
        <v>0</v>
      </c>
      <c r="P469" s="37" t="n">
        <v>0</v>
      </c>
      <c r="Q469" s="37" t="n">
        <v>0</v>
      </c>
      <c r="R469" s="37" t="n">
        <v>0</v>
      </c>
      <c r="S469" s="37" t="n">
        <v>0</v>
      </c>
      <c r="T469" s="37" t="n">
        <v>0</v>
      </c>
    </row>
    <row r="470" customFormat="1" s="21">
      <c r="A470" s="63" t="inlineStr">
        <is>
          <t>Boreal Dry</t>
        </is>
      </c>
      <c r="B470" s="410" t="inlineStr">
        <is>
          <t>Eastern Africa</t>
        </is>
      </c>
      <c r="C470" s="63">
        <f>CONCATENATE(A470,B470)</f>
        <v/>
      </c>
      <c r="D470" s="109" t="n"/>
      <c r="E470" s="256">
        <f>AVERAGE(F470:M470)</f>
        <v/>
      </c>
      <c r="F470" s="266" t="n"/>
      <c r="G470" s="263" t="n"/>
      <c r="H470" s="267" t="n">
        <v>0.23</v>
      </c>
      <c r="I470" s="275" t="n"/>
      <c r="J470" s="267" t="n"/>
      <c r="K470" s="268" t="n"/>
      <c r="L470" s="268" t="n">
        <v>0.23</v>
      </c>
      <c r="M470" s="241" t="n">
        <v>0.7</v>
      </c>
      <c r="N470" s="63" t="n">
        <v>0</v>
      </c>
      <c r="O470" s="63" t="n">
        <v>0</v>
      </c>
      <c r="P470" s="63" t="n">
        <v>0</v>
      </c>
      <c r="Q470" s="63" t="n">
        <v>0</v>
      </c>
      <c r="R470" s="63" t="n">
        <v>0</v>
      </c>
      <c r="S470" s="63" t="n">
        <v>0</v>
      </c>
      <c r="T470" s="63" t="n">
        <v>0</v>
      </c>
    </row>
    <row r="471" customFormat="1" s="21">
      <c r="A471" s="20" t="inlineStr">
        <is>
          <t>Boreal Dry</t>
        </is>
      </c>
      <c r="B471" s="411" t="inlineStr">
        <is>
          <t>Central Africa</t>
        </is>
      </c>
      <c r="C471" s="20">
        <f>CONCATENATE(A471,B471)</f>
        <v/>
      </c>
      <c r="D471" s="61" t="n"/>
      <c r="E471" s="257">
        <f>AVERAGE(F471:M471)</f>
        <v/>
      </c>
      <c r="F471" s="269" t="n"/>
      <c r="G471" s="264" t="n"/>
      <c r="H471" s="270" t="n">
        <v>0.23</v>
      </c>
      <c r="I471" s="276" t="n"/>
      <c r="J471" s="270" t="n"/>
      <c r="K471" s="271" t="n"/>
      <c r="L471" s="271" t="n">
        <v>0.23</v>
      </c>
      <c r="M471" s="242" t="n">
        <v>0.7</v>
      </c>
      <c r="N471" s="20" t="n">
        <v>0</v>
      </c>
      <c r="O471" s="20" t="n">
        <v>0</v>
      </c>
      <c r="P471" s="20" t="n">
        <v>0</v>
      </c>
      <c r="Q471" s="20" t="n">
        <v>0</v>
      </c>
      <c r="R471" s="20" t="n">
        <v>0</v>
      </c>
      <c r="S471" s="20" t="n">
        <v>0</v>
      </c>
      <c r="T471" s="20" t="n">
        <v>0</v>
      </c>
    </row>
    <row r="472" customFormat="1" s="21">
      <c r="A472" s="20" t="inlineStr">
        <is>
          <t>Boreal Dry</t>
        </is>
      </c>
      <c r="B472" s="411" t="inlineStr">
        <is>
          <t>Northern Africa</t>
        </is>
      </c>
      <c r="C472" s="20">
        <f>CONCATENATE(A472,B472)</f>
        <v/>
      </c>
      <c r="D472" s="61" t="n"/>
      <c r="E472" s="257">
        <f>AVERAGE(F472:M472)</f>
        <v/>
      </c>
      <c r="F472" s="269" t="n"/>
      <c r="G472" s="264" t="n"/>
      <c r="H472" s="270" t="n">
        <v>0.23</v>
      </c>
      <c r="I472" s="276" t="n"/>
      <c r="J472" s="270" t="n"/>
      <c r="K472" s="271" t="n"/>
      <c r="L472" s="271" t="n">
        <v>0.23</v>
      </c>
      <c r="M472" s="242" t="n">
        <v>0.7</v>
      </c>
      <c r="N472" s="20" t="n">
        <v>0</v>
      </c>
      <c r="O472" s="20" t="n">
        <v>0</v>
      </c>
      <c r="P472" s="20" t="n">
        <v>0</v>
      </c>
      <c r="Q472" s="20" t="n">
        <v>0</v>
      </c>
      <c r="R472" s="20" t="n">
        <v>0</v>
      </c>
      <c r="S472" s="20" t="n">
        <v>0</v>
      </c>
      <c r="T472" s="20" t="n">
        <v>0</v>
      </c>
    </row>
    <row r="473" customFormat="1" s="21">
      <c r="A473" s="20" t="inlineStr">
        <is>
          <t>Boreal Dry</t>
        </is>
      </c>
      <c r="B473" s="411" t="inlineStr">
        <is>
          <t>Southern Africa</t>
        </is>
      </c>
      <c r="C473" s="20">
        <f>CONCATENATE(A473,B473)</f>
        <v/>
      </c>
      <c r="D473" s="61" t="n"/>
      <c r="E473" s="257">
        <f>AVERAGE(F473:M473)</f>
        <v/>
      </c>
      <c r="F473" s="269" t="n"/>
      <c r="G473" s="264" t="n"/>
      <c r="H473" s="270" t="n">
        <v>0.23</v>
      </c>
      <c r="I473" s="276" t="n"/>
      <c r="J473" s="270" t="n"/>
      <c r="K473" s="271" t="n"/>
      <c r="L473" s="271" t="n">
        <v>0.23</v>
      </c>
      <c r="M473" s="242" t="n">
        <v>0.7</v>
      </c>
      <c r="N473" s="20" t="n">
        <v>0</v>
      </c>
      <c r="O473" s="20" t="n">
        <v>0</v>
      </c>
      <c r="P473" s="20" t="n">
        <v>0</v>
      </c>
      <c r="Q473" s="20" t="n">
        <v>0</v>
      </c>
      <c r="R473" s="20" t="n">
        <v>0</v>
      </c>
      <c r="S473" s="20" t="n">
        <v>0</v>
      </c>
      <c r="T473" s="20" t="n">
        <v>0</v>
      </c>
    </row>
    <row r="474" customFormat="1" s="21">
      <c r="A474" s="20" t="inlineStr">
        <is>
          <t>Boreal Dry</t>
        </is>
      </c>
      <c r="B474" s="411" t="inlineStr">
        <is>
          <t>Western Africa</t>
        </is>
      </c>
      <c r="C474" s="20">
        <f>CONCATENATE(A474,B474)</f>
        <v/>
      </c>
      <c r="D474" s="61" t="n"/>
      <c r="E474" s="257">
        <f>AVERAGE(F474:M474)</f>
        <v/>
      </c>
      <c r="F474" s="269" t="n"/>
      <c r="G474" s="264" t="n"/>
      <c r="H474" s="270" t="n">
        <v>0.23</v>
      </c>
      <c r="I474" s="276" t="n"/>
      <c r="J474" s="270" t="n"/>
      <c r="K474" s="271" t="n"/>
      <c r="L474" s="271" t="n">
        <v>0.23</v>
      </c>
      <c r="M474" s="242" t="n">
        <v>0.7</v>
      </c>
      <c r="N474" s="20" t="n">
        <v>0</v>
      </c>
      <c r="O474" s="20" t="n">
        <v>0</v>
      </c>
      <c r="P474" s="20" t="n">
        <v>0</v>
      </c>
      <c r="Q474" s="20" t="n">
        <v>0</v>
      </c>
      <c r="R474" s="20" t="n">
        <v>0</v>
      </c>
      <c r="S474" s="20" t="n">
        <v>0</v>
      </c>
      <c r="T474" s="20" t="n">
        <v>0</v>
      </c>
    </row>
    <row r="475" customFormat="1" s="21">
      <c r="A475" s="20" t="inlineStr">
        <is>
          <t>Boreal Dry</t>
        </is>
      </c>
      <c r="B475" s="411" t="inlineStr">
        <is>
          <t>Central Asia</t>
        </is>
      </c>
      <c r="C475" s="20">
        <f>CONCATENATE(A475,B475)</f>
        <v/>
      </c>
      <c r="D475" s="61" t="n"/>
      <c r="E475" s="257">
        <f>AVERAGE(F475:M475)</f>
        <v/>
      </c>
      <c r="F475" s="269" t="n"/>
      <c r="G475" s="264" t="n"/>
      <c r="H475" s="270" t="n">
        <v>0.23</v>
      </c>
      <c r="I475" s="276" t="n"/>
      <c r="J475" s="270" t="n"/>
      <c r="K475" s="271" t="n"/>
      <c r="L475" s="271" t="n">
        <v>0.23</v>
      </c>
      <c r="M475" s="242" t="n">
        <v>0.7</v>
      </c>
      <c r="N475" s="20" t="n">
        <v>0</v>
      </c>
      <c r="O475" s="20" t="n">
        <v>0</v>
      </c>
      <c r="P475" s="20" t="n">
        <v>0</v>
      </c>
      <c r="Q475" s="20" t="n">
        <v>0</v>
      </c>
      <c r="R475" s="20" t="n">
        <v>0</v>
      </c>
      <c r="S475" s="20" t="n">
        <v>0</v>
      </c>
      <c r="T475" s="20" t="n">
        <v>0</v>
      </c>
    </row>
    <row r="476" customFormat="1" s="21">
      <c r="A476" s="20" t="inlineStr">
        <is>
          <t>Boreal Dry</t>
        </is>
      </c>
      <c r="B476" s="411" t="inlineStr">
        <is>
          <t>Eastern Asia</t>
        </is>
      </c>
      <c r="C476" s="20">
        <f>CONCATENATE(A476,B476)</f>
        <v/>
      </c>
      <c r="D476" s="61" t="n"/>
      <c r="E476" s="257">
        <f>AVERAGE(F476:M476)</f>
        <v/>
      </c>
      <c r="F476" s="269" t="n"/>
      <c r="G476" s="264" t="n"/>
      <c r="H476" s="270" t="n">
        <v>0.23</v>
      </c>
      <c r="I476" s="276" t="n"/>
      <c r="J476" s="270" t="n"/>
      <c r="K476" s="271" t="n"/>
      <c r="L476" s="271" t="n">
        <v>0.23</v>
      </c>
      <c r="M476" s="242" t="n">
        <v>0.7</v>
      </c>
      <c r="N476" s="20" t="n">
        <v>0</v>
      </c>
      <c r="O476" s="20" t="n">
        <v>0</v>
      </c>
      <c r="P476" s="20" t="n">
        <v>0</v>
      </c>
      <c r="Q476" s="20" t="n">
        <v>0</v>
      </c>
      <c r="R476" s="20" t="n">
        <v>0</v>
      </c>
      <c r="S476" s="20" t="n">
        <v>0</v>
      </c>
      <c r="T476" s="20" t="n">
        <v>0</v>
      </c>
    </row>
    <row r="477" customFormat="1" s="21">
      <c r="A477" s="20" t="inlineStr">
        <is>
          <t>Boreal Dry</t>
        </is>
      </c>
      <c r="B477" s="411" t="inlineStr">
        <is>
          <t>South-eastern Asia</t>
        </is>
      </c>
      <c r="C477" s="20">
        <f>CONCATENATE(A477,B477)</f>
        <v/>
      </c>
      <c r="D477" s="61" t="n"/>
      <c r="E477" s="257">
        <f>AVERAGE(F477:M477)</f>
        <v/>
      </c>
      <c r="F477" s="269" t="n"/>
      <c r="G477" s="264" t="n"/>
      <c r="H477" s="270" t="n">
        <v>0.23</v>
      </c>
      <c r="I477" s="276" t="n"/>
      <c r="J477" s="270" t="n"/>
      <c r="K477" s="271" t="n"/>
      <c r="L477" s="271" t="n">
        <v>0.23</v>
      </c>
      <c r="M477" s="242" t="n">
        <v>0.7</v>
      </c>
      <c r="N477" s="20" t="n">
        <v>0</v>
      </c>
      <c r="O477" s="20" t="n">
        <v>0</v>
      </c>
      <c r="P477" s="20" t="n">
        <v>0</v>
      </c>
      <c r="Q477" s="20" t="n">
        <v>0</v>
      </c>
      <c r="R477" s="20" t="n">
        <v>0</v>
      </c>
      <c r="S477" s="20" t="n">
        <v>0</v>
      </c>
      <c r="T477" s="20" t="n">
        <v>0</v>
      </c>
    </row>
    <row r="478" customFormat="1" s="21">
      <c r="A478" s="20" t="inlineStr">
        <is>
          <t>Boreal Dry</t>
        </is>
      </c>
      <c r="B478" s="411" t="inlineStr">
        <is>
          <t>Southern Asia</t>
        </is>
      </c>
      <c r="C478" s="20">
        <f>CONCATENATE(A478,B478)</f>
        <v/>
      </c>
      <c r="D478" s="61" t="n"/>
      <c r="E478" s="257">
        <f>AVERAGE(F478:M478)</f>
        <v/>
      </c>
      <c r="F478" s="269" t="n"/>
      <c r="G478" s="264" t="n"/>
      <c r="H478" s="270" t="n">
        <v>0.23</v>
      </c>
      <c r="I478" s="276" t="n"/>
      <c r="J478" s="270" t="n"/>
      <c r="K478" s="271" t="n"/>
      <c r="L478" s="271" t="n">
        <v>0.23</v>
      </c>
      <c r="M478" s="242" t="n">
        <v>0.7</v>
      </c>
      <c r="N478" s="20" t="n">
        <v>0</v>
      </c>
      <c r="O478" s="20" t="n">
        <v>0</v>
      </c>
      <c r="P478" s="20" t="n">
        <v>0</v>
      </c>
      <c r="Q478" s="20" t="n">
        <v>0</v>
      </c>
      <c r="R478" s="20" t="n">
        <v>0</v>
      </c>
      <c r="S478" s="20" t="n">
        <v>0</v>
      </c>
      <c r="T478" s="20" t="n">
        <v>0</v>
      </c>
    </row>
    <row r="479" customFormat="1" s="21">
      <c r="A479" s="20" t="inlineStr">
        <is>
          <t>Boreal Dry</t>
        </is>
      </c>
      <c r="B479" s="411" t="inlineStr">
        <is>
          <t>Western Asia</t>
        </is>
      </c>
      <c r="C479" s="20">
        <f>CONCATENATE(A479,B479)</f>
        <v/>
      </c>
      <c r="D479" s="61" t="n"/>
      <c r="E479" s="257">
        <f>AVERAGE(F479:M479)</f>
        <v/>
      </c>
      <c r="F479" s="269" t="n"/>
      <c r="G479" s="264" t="n"/>
      <c r="H479" s="270" t="n">
        <v>0.23</v>
      </c>
      <c r="I479" s="276" t="n"/>
      <c r="J479" s="270" t="n"/>
      <c r="K479" s="271" t="n"/>
      <c r="L479" s="271" t="n">
        <v>0.23</v>
      </c>
      <c r="M479" s="242" t="n">
        <v>0.7</v>
      </c>
      <c r="N479" s="20" t="n">
        <v>0</v>
      </c>
      <c r="O479" s="20" t="n">
        <v>0</v>
      </c>
      <c r="P479" s="20" t="n">
        <v>0</v>
      </c>
      <c r="Q479" s="20" t="n">
        <v>0</v>
      </c>
      <c r="R479" s="20" t="n">
        <v>0</v>
      </c>
      <c r="S479" s="20" t="n">
        <v>0</v>
      </c>
      <c r="T479" s="20" t="n">
        <v>0</v>
      </c>
    </row>
    <row r="480" customFormat="1" s="21">
      <c r="A480" s="20" t="inlineStr">
        <is>
          <t>Boreal Dry</t>
        </is>
      </c>
      <c r="B480" s="411" t="inlineStr">
        <is>
          <t>Europe</t>
        </is>
      </c>
      <c r="C480" s="20">
        <f>CONCATENATE(A480,B480)</f>
        <v/>
      </c>
      <c r="D480" s="61" t="n"/>
      <c r="E480" s="257">
        <f>AVERAGE(F480:M480)</f>
        <v/>
      </c>
      <c r="F480" s="269" t="n"/>
      <c r="G480" s="264" t="n"/>
      <c r="H480" s="270" t="n">
        <v>0.23</v>
      </c>
      <c r="I480" s="276" t="n"/>
      <c r="J480" s="270" t="n"/>
      <c r="K480" s="271" t="n"/>
      <c r="L480" s="271" t="n">
        <v>0.23</v>
      </c>
      <c r="M480" s="242" t="n">
        <v>0.7</v>
      </c>
      <c r="N480" s="20" t="n">
        <v>0</v>
      </c>
      <c r="O480" s="20" t="n">
        <v>0</v>
      </c>
      <c r="P480" s="20" t="n">
        <v>0</v>
      </c>
      <c r="Q480" s="20" t="n">
        <v>0</v>
      </c>
      <c r="R480" s="20" t="n">
        <v>0</v>
      </c>
      <c r="S480" s="20" t="n">
        <v>0</v>
      </c>
      <c r="T480" s="20" t="n">
        <v>0</v>
      </c>
    </row>
    <row r="481" customFormat="1" s="21">
      <c r="A481" s="20" t="inlineStr">
        <is>
          <t>Boreal Dry</t>
        </is>
      </c>
      <c r="B481" s="411" t="inlineStr">
        <is>
          <t>Oceania</t>
        </is>
      </c>
      <c r="C481" s="20">
        <f>CONCATENATE(A481,B481)</f>
        <v/>
      </c>
      <c r="D481" s="61" t="n"/>
      <c r="E481" s="257">
        <f>AVERAGE(F481:M481)</f>
        <v/>
      </c>
      <c r="F481" s="269" t="n"/>
      <c r="G481" s="264" t="n"/>
      <c r="H481" s="270" t="n">
        <v>0.23</v>
      </c>
      <c r="I481" s="276" t="n"/>
      <c r="J481" s="270" t="n"/>
      <c r="K481" s="271" t="n"/>
      <c r="L481" s="271" t="n">
        <v>0.23</v>
      </c>
      <c r="M481" s="242" t="n">
        <v>0.7</v>
      </c>
      <c r="N481" s="20" t="n">
        <v>0</v>
      </c>
      <c r="O481" s="20" t="n">
        <v>0</v>
      </c>
      <c r="P481" s="20" t="n">
        <v>0</v>
      </c>
      <c r="Q481" s="20" t="n">
        <v>0</v>
      </c>
      <c r="R481" s="20" t="n">
        <v>0</v>
      </c>
      <c r="S481" s="20" t="n">
        <v>0</v>
      </c>
      <c r="T481" s="20" t="n">
        <v>0</v>
      </c>
    </row>
    <row r="482" customFormat="1" s="21">
      <c r="A482" s="20" t="inlineStr">
        <is>
          <t>Boreal Dry</t>
        </is>
      </c>
      <c r="B482" s="411" t="inlineStr">
        <is>
          <t>North America</t>
        </is>
      </c>
      <c r="C482" s="20">
        <f>CONCATENATE(A482,B482)</f>
        <v/>
      </c>
      <c r="D482" s="61" t="n"/>
      <c r="E482" s="257">
        <f>AVERAGE(F482:M482)</f>
        <v/>
      </c>
      <c r="F482" s="269" t="n"/>
      <c r="G482" s="264" t="n"/>
      <c r="H482" s="270" t="n">
        <v>0.23</v>
      </c>
      <c r="I482" s="276" t="n"/>
      <c r="J482" s="270" t="n"/>
      <c r="K482" s="271" t="n"/>
      <c r="L482" s="271" t="n">
        <v>0.23</v>
      </c>
      <c r="M482" s="242" t="n">
        <v>0.7</v>
      </c>
      <c r="N482" s="20" t="n">
        <v>0</v>
      </c>
      <c r="O482" s="20" t="n">
        <v>0</v>
      </c>
      <c r="P482" s="20" t="n">
        <v>0</v>
      </c>
      <c r="Q482" s="20" t="n">
        <v>0</v>
      </c>
      <c r="R482" s="20" t="n">
        <v>0</v>
      </c>
      <c r="S482" s="20" t="n">
        <v>0</v>
      </c>
      <c r="T482" s="20" t="n">
        <v>0</v>
      </c>
    </row>
    <row r="483" customFormat="1" s="21">
      <c r="A483" s="20" t="inlineStr">
        <is>
          <t>Boreal Dry</t>
        </is>
      </c>
      <c r="B483" s="411" t="inlineStr">
        <is>
          <t>South America</t>
        </is>
      </c>
      <c r="C483" s="20">
        <f>CONCATENATE(A483,B483)</f>
        <v/>
      </c>
      <c r="D483" s="61" t="n"/>
      <c r="E483" s="257">
        <f>AVERAGE(F483:M483)</f>
        <v/>
      </c>
      <c r="F483" s="269" t="n"/>
      <c r="G483" s="264" t="n"/>
      <c r="H483" s="270" t="n">
        <v>0.23</v>
      </c>
      <c r="I483" s="276" t="n"/>
      <c r="J483" s="270" t="n"/>
      <c r="K483" s="271" t="n"/>
      <c r="L483" s="271" t="n">
        <v>0.23</v>
      </c>
      <c r="M483" s="242" t="n">
        <v>0.7</v>
      </c>
      <c r="N483" s="20" t="n">
        <v>0</v>
      </c>
      <c r="O483" s="20" t="n">
        <v>0</v>
      </c>
      <c r="P483" s="20" t="n">
        <v>0</v>
      </c>
      <c r="Q483" s="20" t="n">
        <v>0</v>
      </c>
      <c r="R483" s="20" t="n">
        <v>0</v>
      </c>
      <c r="S483" s="20" t="n">
        <v>0</v>
      </c>
      <c r="T483" s="20" t="n">
        <v>0</v>
      </c>
    </row>
    <row r="484" customFormat="1" s="21">
      <c r="A484" s="20" t="inlineStr">
        <is>
          <t>Boreal Dry</t>
        </is>
      </c>
      <c r="B484" s="411" t="inlineStr">
        <is>
          <t>Central America</t>
        </is>
      </c>
      <c r="C484" s="20">
        <f>CONCATENATE(A484,B484)</f>
        <v/>
      </c>
      <c r="D484" s="61" t="n"/>
      <c r="E484" s="257">
        <f>AVERAGE(F484:M484)</f>
        <v/>
      </c>
      <c r="F484" s="269" t="n"/>
      <c r="G484" s="264" t="n"/>
      <c r="H484" s="270" t="n">
        <v>0.23</v>
      </c>
      <c r="I484" s="276" t="n"/>
      <c r="J484" s="270" t="n"/>
      <c r="K484" s="271" t="n"/>
      <c r="L484" s="271" t="n">
        <v>0.23</v>
      </c>
      <c r="M484" s="242" t="n">
        <v>0.7</v>
      </c>
      <c r="N484" s="20" t="n">
        <v>0</v>
      </c>
      <c r="O484" s="20" t="n">
        <v>0</v>
      </c>
      <c r="P484" s="20" t="n">
        <v>0</v>
      </c>
      <c r="Q484" s="20" t="n">
        <v>0</v>
      </c>
      <c r="R484" s="20" t="n">
        <v>0</v>
      </c>
      <c r="S484" s="20" t="n">
        <v>0</v>
      </c>
      <c r="T484" s="20" t="n">
        <v>0</v>
      </c>
    </row>
    <row r="485" customFormat="1" s="21">
      <c r="A485" s="37" t="inlineStr">
        <is>
          <t>Boreal Dry</t>
        </is>
      </c>
      <c r="B485" s="412" t="inlineStr">
        <is>
          <t>Caribbean</t>
        </is>
      </c>
      <c r="C485" s="37">
        <f>CONCATENATE(A485,B485)</f>
        <v/>
      </c>
      <c r="D485" s="60" t="n"/>
      <c r="E485" s="258">
        <f>AVERAGE(F485:M485)</f>
        <v/>
      </c>
      <c r="F485" s="272" t="n"/>
      <c r="G485" s="265" t="n"/>
      <c r="H485" s="273" t="n">
        <v>0.23</v>
      </c>
      <c r="I485" s="277" t="n"/>
      <c r="J485" s="273" t="n"/>
      <c r="K485" s="271" t="n"/>
      <c r="L485" s="274" t="n">
        <v>0.23</v>
      </c>
      <c r="M485" s="243" t="n">
        <v>0.7</v>
      </c>
      <c r="N485" s="37" t="n">
        <v>0</v>
      </c>
      <c r="O485" s="37" t="n">
        <v>0</v>
      </c>
      <c r="P485" s="37" t="n">
        <v>0</v>
      </c>
      <c r="Q485" s="37" t="n">
        <v>0</v>
      </c>
      <c r="R485" s="37" t="n">
        <v>0</v>
      </c>
      <c r="S485" s="37" t="n">
        <v>0</v>
      </c>
      <c r="T485" s="37" t="n">
        <v>0</v>
      </c>
    </row>
    <row r="486" customFormat="1" s="21">
      <c r="A486" s="20" t="inlineStr">
        <is>
          <t>Boreal Moist</t>
        </is>
      </c>
      <c r="B486" s="410" t="inlineStr">
        <is>
          <t>Eastern Africa</t>
        </is>
      </c>
      <c r="C486" s="20">
        <f>CONCATENATE(A486,B486)</f>
        <v/>
      </c>
      <c r="D486" s="61" t="n"/>
      <c r="E486" s="256">
        <f>AVERAGE(F486:M486)</f>
        <v/>
      </c>
      <c r="F486" s="266" t="n"/>
      <c r="G486" s="263" t="n"/>
      <c r="H486" s="267" t="n">
        <v>0.23</v>
      </c>
      <c r="I486" s="275" t="n"/>
      <c r="J486" s="267" t="n"/>
      <c r="K486" s="268" t="n"/>
      <c r="L486" s="268" t="n">
        <v>0.23</v>
      </c>
      <c r="M486" s="241" t="n">
        <v>0.7</v>
      </c>
      <c r="N486" s="44" t="n">
        <v>0</v>
      </c>
      <c r="O486" s="44" t="n">
        <v>0</v>
      </c>
      <c r="P486" s="44" t="n">
        <v>0</v>
      </c>
      <c r="Q486" s="44" t="n">
        <v>0</v>
      </c>
      <c r="R486" s="44" t="n">
        <v>0</v>
      </c>
      <c r="S486" s="44" t="n">
        <v>0</v>
      </c>
      <c r="T486" s="44" t="n">
        <v>0</v>
      </c>
    </row>
    <row r="487" customFormat="1" s="21">
      <c r="A487" s="20" t="inlineStr">
        <is>
          <t>Boreal Moist</t>
        </is>
      </c>
      <c r="B487" s="411" t="inlineStr">
        <is>
          <t>Central Africa</t>
        </is>
      </c>
      <c r="C487" s="20">
        <f>CONCATENATE(A487,B487)</f>
        <v/>
      </c>
      <c r="D487" s="61" t="n"/>
      <c r="E487" s="257">
        <f>AVERAGE(F487:M487)</f>
        <v/>
      </c>
      <c r="F487" s="269" t="n"/>
      <c r="G487" s="264" t="n"/>
      <c r="H487" s="270" t="n">
        <v>0.23</v>
      </c>
      <c r="I487" s="276" t="n"/>
      <c r="J487" s="270" t="n"/>
      <c r="K487" s="271" t="n"/>
      <c r="L487" s="271" t="n">
        <v>0.23</v>
      </c>
      <c r="M487" s="242" t="n">
        <v>0.7</v>
      </c>
      <c r="N487" s="41" t="n">
        <v>0</v>
      </c>
      <c r="O487" s="41" t="n">
        <v>0</v>
      </c>
      <c r="P487" s="41" t="n">
        <v>0</v>
      </c>
      <c r="Q487" s="41" t="n">
        <v>0</v>
      </c>
      <c r="R487" s="41" t="n">
        <v>0</v>
      </c>
      <c r="S487" s="41" t="n">
        <v>0</v>
      </c>
      <c r="T487" s="41" t="n">
        <v>0</v>
      </c>
    </row>
    <row r="488" customFormat="1" s="21">
      <c r="A488" s="20" t="inlineStr">
        <is>
          <t>Boreal Moist</t>
        </is>
      </c>
      <c r="B488" s="411" t="inlineStr">
        <is>
          <t>Northern Africa</t>
        </is>
      </c>
      <c r="C488" s="20">
        <f>CONCATENATE(A488,B488)</f>
        <v/>
      </c>
      <c r="D488" s="61" t="n"/>
      <c r="E488" s="257">
        <f>AVERAGE(F488:M488)</f>
        <v/>
      </c>
      <c r="F488" s="269" t="n"/>
      <c r="G488" s="264" t="n"/>
      <c r="H488" s="270" t="n">
        <v>0.23</v>
      </c>
      <c r="I488" s="276" t="n"/>
      <c r="J488" s="270" t="n"/>
      <c r="K488" s="271" t="n"/>
      <c r="L488" s="271" t="n">
        <v>0.23</v>
      </c>
      <c r="M488" s="242" t="n">
        <v>0.7</v>
      </c>
      <c r="N488" s="41" t="n">
        <v>0</v>
      </c>
      <c r="O488" s="41" t="n">
        <v>0</v>
      </c>
      <c r="P488" s="41" t="n">
        <v>0</v>
      </c>
      <c r="Q488" s="41" t="n">
        <v>0</v>
      </c>
      <c r="R488" s="41" t="n">
        <v>0</v>
      </c>
      <c r="S488" s="41" t="n">
        <v>0</v>
      </c>
      <c r="T488" s="41" t="n">
        <v>0</v>
      </c>
    </row>
    <row r="489" customFormat="1" s="21">
      <c r="A489" s="20" t="inlineStr">
        <is>
          <t>Boreal Moist</t>
        </is>
      </c>
      <c r="B489" s="411" t="inlineStr">
        <is>
          <t>Southern Africa</t>
        </is>
      </c>
      <c r="C489" s="20">
        <f>CONCATENATE(A489,B489)</f>
        <v/>
      </c>
      <c r="D489" s="61" t="n"/>
      <c r="E489" s="257">
        <f>AVERAGE(F489:M489)</f>
        <v/>
      </c>
      <c r="F489" s="269" t="n"/>
      <c r="G489" s="264" t="n"/>
      <c r="H489" s="270" t="n">
        <v>0.23</v>
      </c>
      <c r="I489" s="276" t="n"/>
      <c r="J489" s="270" t="n"/>
      <c r="K489" s="271" t="n"/>
      <c r="L489" s="271" t="n">
        <v>0.23</v>
      </c>
      <c r="M489" s="242" t="n">
        <v>0.7</v>
      </c>
      <c r="N489" s="41" t="n">
        <v>0</v>
      </c>
      <c r="O489" s="41" t="n">
        <v>0</v>
      </c>
      <c r="P489" s="41" t="n">
        <v>0</v>
      </c>
      <c r="Q489" s="41" t="n">
        <v>0</v>
      </c>
      <c r="R489" s="41" t="n">
        <v>0</v>
      </c>
      <c r="S489" s="41" t="n">
        <v>0</v>
      </c>
      <c r="T489" s="41" t="n">
        <v>0</v>
      </c>
    </row>
    <row r="490" customFormat="1" s="21">
      <c r="A490" s="20" t="inlineStr">
        <is>
          <t>Boreal Moist</t>
        </is>
      </c>
      <c r="B490" s="411" t="inlineStr">
        <is>
          <t>Western Africa</t>
        </is>
      </c>
      <c r="C490" s="20">
        <f>CONCATENATE(A490,B490)</f>
        <v/>
      </c>
      <c r="D490" s="61" t="n"/>
      <c r="E490" s="257">
        <f>AVERAGE(F490:M490)</f>
        <v/>
      </c>
      <c r="F490" s="269" t="n"/>
      <c r="G490" s="264" t="n"/>
      <c r="H490" s="270" t="n">
        <v>0.23</v>
      </c>
      <c r="I490" s="276" t="n"/>
      <c r="J490" s="270" t="n"/>
      <c r="K490" s="271" t="n"/>
      <c r="L490" s="271" t="n">
        <v>0.23</v>
      </c>
      <c r="M490" s="242" t="n">
        <v>0.7</v>
      </c>
      <c r="N490" s="41" t="n">
        <v>0</v>
      </c>
      <c r="O490" s="41" t="n">
        <v>0</v>
      </c>
      <c r="P490" s="41" t="n">
        <v>0</v>
      </c>
      <c r="Q490" s="41" t="n">
        <v>0</v>
      </c>
      <c r="R490" s="41" t="n">
        <v>0</v>
      </c>
      <c r="S490" s="41" t="n">
        <v>0</v>
      </c>
      <c r="T490" s="41" t="n">
        <v>0</v>
      </c>
    </row>
    <row r="491" customFormat="1" s="21">
      <c r="A491" s="20" t="inlineStr">
        <is>
          <t>Boreal Moist</t>
        </is>
      </c>
      <c r="B491" s="411" t="inlineStr">
        <is>
          <t>Central Asia</t>
        </is>
      </c>
      <c r="C491" s="20">
        <f>CONCATENATE(A491,B491)</f>
        <v/>
      </c>
      <c r="D491" s="61" t="n"/>
      <c r="E491" s="257">
        <f>AVERAGE(F491:M491)</f>
        <v/>
      </c>
      <c r="F491" s="269" t="n"/>
      <c r="G491" s="264" t="n"/>
      <c r="H491" s="270" t="n">
        <v>0.23</v>
      </c>
      <c r="I491" s="276" t="n"/>
      <c r="J491" s="270" t="n"/>
      <c r="K491" s="271" t="n"/>
      <c r="L491" s="271" t="n">
        <v>0.23</v>
      </c>
      <c r="M491" s="242" t="n">
        <v>0.7</v>
      </c>
      <c r="N491" s="41" t="n">
        <v>0</v>
      </c>
      <c r="O491" s="41" t="n">
        <v>0</v>
      </c>
      <c r="P491" s="41" t="n">
        <v>0</v>
      </c>
      <c r="Q491" s="41" t="n">
        <v>0</v>
      </c>
      <c r="R491" s="41" t="n">
        <v>0</v>
      </c>
      <c r="S491" s="41" t="n">
        <v>0</v>
      </c>
      <c r="T491" s="41" t="n">
        <v>0</v>
      </c>
    </row>
    <row r="492" customFormat="1" s="21">
      <c r="A492" s="20" t="inlineStr">
        <is>
          <t>Boreal Moist</t>
        </is>
      </c>
      <c r="B492" s="411" t="inlineStr">
        <is>
          <t>Eastern Asia</t>
        </is>
      </c>
      <c r="C492" s="20">
        <f>CONCATENATE(A492,B492)</f>
        <v/>
      </c>
      <c r="D492" s="61" t="n"/>
      <c r="E492" s="257">
        <f>AVERAGE(F492:M492)</f>
        <v/>
      </c>
      <c r="F492" s="269" t="n"/>
      <c r="G492" s="264" t="n"/>
      <c r="H492" s="270" t="n">
        <v>0.23</v>
      </c>
      <c r="I492" s="276" t="n"/>
      <c r="J492" s="270" t="n"/>
      <c r="K492" s="271" t="n"/>
      <c r="L492" s="271" t="n">
        <v>0.23</v>
      </c>
      <c r="M492" s="242" t="n">
        <v>0.7</v>
      </c>
      <c r="N492" s="41" t="n">
        <v>0</v>
      </c>
      <c r="O492" s="41" t="n">
        <v>0</v>
      </c>
      <c r="P492" s="41" t="n">
        <v>0</v>
      </c>
      <c r="Q492" s="41" t="n">
        <v>0</v>
      </c>
      <c r="R492" s="41" t="n">
        <v>0</v>
      </c>
      <c r="S492" s="41" t="n">
        <v>0</v>
      </c>
      <c r="T492" s="41" t="n">
        <v>0</v>
      </c>
    </row>
    <row r="493" customFormat="1" s="21">
      <c r="A493" s="20" t="inlineStr">
        <is>
          <t>Boreal Moist</t>
        </is>
      </c>
      <c r="B493" s="411" t="inlineStr">
        <is>
          <t>South-eastern Asia</t>
        </is>
      </c>
      <c r="C493" s="20">
        <f>CONCATENATE(A493,B493)</f>
        <v/>
      </c>
      <c r="D493" s="61" t="n"/>
      <c r="E493" s="257">
        <f>AVERAGE(F493:M493)</f>
        <v/>
      </c>
      <c r="F493" s="269" t="n"/>
      <c r="G493" s="264" t="n"/>
      <c r="H493" s="270" t="n">
        <v>0.23</v>
      </c>
      <c r="I493" s="276" t="n"/>
      <c r="J493" s="270" t="n"/>
      <c r="K493" s="271" t="n"/>
      <c r="L493" s="271" t="n">
        <v>0.23</v>
      </c>
      <c r="M493" s="242" t="n">
        <v>0.7</v>
      </c>
      <c r="N493" s="41" t="n">
        <v>0</v>
      </c>
      <c r="O493" s="41" t="n">
        <v>0</v>
      </c>
      <c r="P493" s="41" t="n">
        <v>0</v>
      </c>
      <c r="Q493" s="41" t="n">
        <v>0</v>
      </c>
      <c r="R493" s="41" t="n">
        <v>0</v>
      </c>
      <c r="S493" s="41" t="n">
        <v>0</v>
      </c>
      <c r="T493" s="41" t="n">
        <v>0</v>
      </c>
    </row>
    <row r="494" customFormat="1" s="21">
      <c r="A494" s="20" t="inlineStr">
        <is>
          <t>Boreal Moist</t>
        </is>
      </c>
      <c r="B494" s="411" t="inlineStr">
        <is>
          <t>Southern Asia</t>
        </is>
      </c>
      <c r="C494" s="20">
        <f>CONCATENATE(A494,B494)</f>
        <v/>
      </c>
      <c r="D494" s="61" t="n"/>
      <c r="E494" s="257">
        <f>AVERAGE(F494:M494)</f>
        <v/>
      </c>
      <c r="F494" s="269" t="n"/>
      <c r="G494" s="264" t="n"/>
      <c r="H494" s="270" t="n">
        <v>0.23</v>
      </c>
      <c r="I494" s="276" t="n"/>
      <c r="J494" s="270" t="n"/>
      <c r="K494" s="271" t="n"/>
      <c r="L494" s="271" t="n">
        <v>0.23</v>
      </c>
      <c r="M494" s="242" t="n">
        <v>0.7</v>
      </c>
      <c r="N494" s="41" t="n">
        <v>0</v>
      </c>
      <c r="O494" s="41" t="n">
        <v>0</v>
      </c>
      <c r="P494" s="41" t="n">
        <v>0</v>
      </c>
      <c r="Q494" s="41" t="n">
        <v>0</v>
      </c>
      <c r="R494" s="41" t="n">
        <v>0</v>
      </c>
      <c r="S494" s="41" t="n">
        <v>0</v>
      </c>
      <c r="T494" s="41" t="n">
        <v>0</v>
      </c>
    </row>
    <row r="495" customFormat="1" s="21">
      <c r="A495" s="20" t="inlineStr">
        <is>
          <t>Boreal Moist</t>
        </is>
      </c>
      <c r="B495" s="411" t="inlineStr">
        <is>
          <t>Western Asia</t>
        </is>
      </c>
      <c r="C495" s="20">
        <f>CONCATENATE(A495,B495)</f>
        <v/>
      </c>
      <c r="D495" s="61" t="n"/>
      <c r="E495" s="257">
        <f>AVERAGE(F495:M495)</f>
        <v/>
      </c>
      <c r="F495" s="269" t="n"/>
      <c r="G495" s="264" t="n"/>
      <c r="H495" s="270" t="n">
        <v>0.23</v>
      </c>
      <c r="I495" s="276" t="n"/>
      <c r="J495" s="270" t="n"/>
      <c r="K495" s="271" t="n"/>
      <c r="L495" s="271" t="n">
        <v>0.23</v>
      </c>
      <c r="M495" s="242" t="n">
        <v>0.7</v>
      </c>
      <c r="N495" s="41" t="n">
        <v>0</v>
      </c>
      <c r="O495" s="41" t="n">
        <v>0</v>
      </c>
      <c r="P495" s="41" t="n">
        <v>0</v>
      </c>
      <c r="Q495" s="41" t="n">
        <v>0</v>
      </c>
      <c r="R495" s="41" t="n">
        <v>0</v>
      </c>
      <c r="S495" s="41" t="n">
        <v>0</v>
      </c>
      <c r="T495" s="41" t="n">
        <v>0</v>
      </c>
    </row>
    <row r="496" customFormat="1" s="21">
      <c r="A496" s="20" t="inlineStr">
        <is>
          <t>Boreal Moist</t>
        </is>
      </c>
      <c r="B496" s="411" t="inlineStr">
        <is>
          <t>Europe</t>
        </is>
      </c>
      <c r="C496" s="20">
        <f>CONCATENATE(A496,B496)</f>
        <v/>
      </c>
      <c r="D496" s="61" t="n"/>
      <c r="E496" s="257">
        <f>AVERAGE(F496:M496)</f>
        <v/>
      </c>
      <c r="F496" s="269" t="n"/>
      <c r="G496" s="264" t="n"/>
      <c r="H496" s="270" t="n">
        <v>0.23</v>
      </c>
      <c r="I496" s="276" t="n"/>
      <c r="J496" s="270" t="n"/>
      <c r="K496" s="271" t="n"/>
      <c r="L496" s="271" t="n">
        <v>0.23</v>
      </c>
      <c r="M496" s="242" t="n">
        <v>0.7</v>
      </c>
      <c r="N496" s="41" t="n">
        <v>0</v>
      </c>
      <c r="O496" s="41" t="n">
        <v>0</v>
      </c>
      <c r="P496" s="41" t="n">
        <v>0</v>
      </c>
      <c r="Q496" s="41" t="n">
        <v>0</v>
      </c>
      <c r="R496" s="41" t="n">
        <v>0</v>
      </c>
      <c r="S496" s="41" t="n">
        <v>0</v>
      </c>
      <c r="T496" s="41" t="n">
        <v>0</v>
      </c>
    </row>
    <row r="497" customFormat="1" s="21">
      <c r="A497" s="20" t="inlineStr">
        <is>
          <t>Boreal Moist</t>
        </is>
      </c>
      <c r="B497" s="411" t="inlineStr">
        <is>
          <t>Oceania</t>
        </is>
      </c>
      <c r="C497" s="20">
        <f>CONCATENATE(A497,B497)</f>
        <v/>
      </c>
      <c r="D497" s="61" t="n"/>
      <c r="E497" s="257">
        <f>AVERAGE(F497:M497)</f>
        <v/>
      </c>
      <c r="F497" s="269" t="n"/>
      <c r="G497" s="264" t="n"/>
      <c r="H497" s="270" t="n">
        <v>0.23</v>
      </c>
      <c r="I497" s="276" t="n"/>
      <c r="J497" s="270" t="n"/>
      <c r="K497" s="271" t="n"/>
      <c r="L497" s="271" t="n">
        <v>0.23</v>
      </c>
      <c r="M497" s="242" t="n">
        <v>0.7</v>
      </c>
      <c r="N497" s="41" t="n">
        <v>0</v>
      </c>
      <c r="O497" s="41" t="n">
        <v>0</v>
      </c>
      <c r="P497" s="41" t="n">
        <v>0</v>
      </c>
      <c r="Q497" s="41" t="n">
        <v>0</v>
      </c>
      <c r="R497" s="41" t="n">
        <v>0</v>
      </c>
      <c r="S497" s="41" t="n">
        <v>0</v>
      </c>
      <c r="T497" s="41" t="n">
        <v>0</v>
      </c>
    </row>
    <row r="498" customFormat="1" s="21">
      <c r="A498" s="20" t="inlineStr">
        <is>
          <t>Boreal Moist</t>
        </is>
      </c>
      <c r="B498" s="411" t="inlineStr">
        <is>
          <t>North America</t>
        </is>
      </c>
      <c r="C498" s="20">
        <f>CONCATENATE(A498,B498)</f>
        <v/>
      </c>
      <c r="D498" s="61" t="n"/>
      <c r="E498" s="257">
        <f>AVERAGE(F498:M498)</f>
        <v/>
      </c>
      <c r="F498" s="269" t="n"/>
      <c r="G498" s="264" t="n"/>
      <c r="H498" s="270" t="n">
        <v>0.23</v>
      </c>
      <c r="I498" s="276" t="n"/>
      <c r="J498" s="270" t="n"/>
      <c r="K498" s="271" t="n"/>
      <c r="L498" s="271" t="n">
        <v>0.23</v>
      </c>
      <c r="M498" s="242" t="n">
        <v>0.7</v>
      </c>
      <c r="N498" s="41" t="n">
        <v>0</v>
      </c>
      <c r="O498" s="41" t="n">
        <v>0</v>
      </c>
      <c r="P498" s="41" t="n">
        <v>0</v>
      </c>
      <c r="Q498" s="41" t="n">
        <v>0</v>
      </c>
      <c r="R498" s="41" t="n">
        <v>0</v>
      </c>
      <c r="S498" s="41" t="n">
        <v>0</v>
      </c>
      <c r="T498" s="41" t="n">
        <v>0</v>
      </c>
    </row>
    <row r="499" customFormat="1" s="21">
      <c r="A499" s="20" t="inlineStr">
        <is>
          <t>Boreal Moist</t>
        </is>
      </c>
      <c r="B499" s="411" t="inlineStr">
        <is>
          <t>South America</t>
        </is>
      </c>
      <c r="C499" s="20">
        <f>CONCATENATE(A499,B499)</f>
        <v/>
      </c>
      <c r="D499" s="61" t="n"/>
      <c r="E499" s="257">
        <f>AVERAGE(F499:M499)</f>
        <v/>
      </c>
      <c r="F499" s="269" t="n"/>
      <c r="G499" s="264" t="n"/>
      <c r="H499" s="270" t="n">
        <v>0.23</v>
      </c>
      <c r="I499" s="276" t="n"/>
      <c r="J499" s="270" t="n"/>
      <c r="K499" s="271" t="n"/>
      <c r="L499" s="271" t="n">
        <v>0.23</v>
      </c>
      <c r="M499" s="242" t="n">
        <v>0.7</v>
      </c>
      <c r="N499" s="41" t="n">
        <v>0</v>
      </c>
      <c r="O499" s="41" t="n">
        <v>0</v>
      </c>
      <c r="P499" s="41" t="n">
        <v>0</v>
      </c>
      <c r="Q499" s="41" t="n">
        <v>0</v>
      </c>
      <c r="R499" s="41" t="n">
        <v>0</v>
      </c>
      <c r="S499" s="41" t="n">
        <v>0</v>
      </c>
      <c r="T499" s="41" t="n">
        <v>0</v>
      </c>
    </row>
    <row r="500" customFormat="1" s="21">
      <c r="A500" s="20" t="inlineStr">
        <is>
          <t>Boreal Moist</t>
        </is>
      </c>
      <c r="B500" s="411" t="inlineStr">
        <is>
          <t>Central America</t>
        </is>
      </c>
      <c r="C500" s="20">
        <f>CONCATENATE(A500,B500)</f>
        <v/>
      </c>
      <c r="D500" s="61" t="n"/>
      <c r="E500" s="257">
        <f>AVERAGE(F500:M500)</f>
        <v/>
      </c>
      <c r="F500" s="269" t="n"/>
      <c r="G500" s="264" t="n"/>
      <c r="H500" s="270" t="n">
        <v>0.23</v>
      </c>
      <c r="I500" s="276" t="n"/>
      <c r="J500" s="270" t="n"/>
      <c r="K500" s="271" t="n"/>
      <c r="L500" s="271" t="n">
        <v>0.23</v>
      </c>
      <c r="M500" s="242" t="n">
        <v>0.7</v>
      </c>
      <c r="N500" s="41" t="n">
        <v>0</v>
      </c>
      <c r="O500" s="41" t="n">
        <v>0</v>
      </c>
      <c r="P500" s="41" t="n">
        <v>0</v>
      </c>
      <c r="Q500" s="41" t="n">
        <v>0</v>
      </c>
      <c r="R500" s="41" t="n">
        <v>0</v>
      </c>
      <c r="S500" s="41" t="n">
        <v>0</v>
      </c>
      <c r="T500" s="41" t="n">
        <v>0</v>
      </c>
    </row>
    <row r="501" customFormat="1" s="21">
      <c r="A501" s="37" t="inlineStr">
        <is>
          <t>Boreal Moist</t>
        </is>
      </c>
      <c r="B501" s="412" t="inlineStr">
        <is>
          <t>Caribbean</t>
        </is>
      </c>
      <c r="C501" s="37">
        <f>CONCATENATE(A501,B501)</f>
        <v/>
      </c>
      <c r="D501" s="60" t="n"/>
      <c r="E501" s="258">
        <f>AVERAGE(F501:M501)</f>
        <v/>
      </c>
      <c r="F501" s="272" t="n"/>
      <c r="G501" s="265" t="n"/>
      <c r="H501" s="273" t="n">
        <v>0.23</v>
      </c>
      <c r="I501" s="277" t="n"/>
      <c r="J501" s="273" t="n"/>
      <c r="K501" s="271" t="n"/>
      <c r="L501" s="274" t="n">
        <v>0.23</v>
      </c>
      <c r="M501" s="243" t="n">
        <v>0.7</v>
      </c>
      <c r="N501" s="42" t="n">
        <v>0</v>
      </c>
      <c r="O501" s="42" t="n">
        <v>0</v>
      </c>
      <c r="P501" s="42" t="n">
        <v>0</v>
      </c>
      <c r="Q501" s="42" t="n">
        <v>0</v>
      </c>
      <c r="R501" s="42" t="n">
        <v>0</v>
      </c>
      <c r="S501" s="42" t="n">
        <v>0</v>
      </c>
      <c r="T501" s="42" t="n">
        <v>0</v>
      </c>
    </row>
    <row r="502" customFormat="1" s="21">
      <c r="A502" s="268" t="inlineStr">
        <is>
          <t>Note: Values in red indicate Generic values for all regions under same climate region</t>
        </is>
      </c>
      <c r="B502" s="291" t="n"/>
      <c r="C502" s="291" t="n"/>
      <c r="D502" s="291" t="n"/>
      <c r="E502" s="291" t="n"/>
      <c r="F502" s="291" t="n"/>
      <c r="G502" s="291" t="n"/>
      <c r="H502" s="291" t="n"/>
      <c r="I502" s="291" t="n"/>
      <c r="J502" s="291" t="n"/>
      <c r="K502" s="291" t="n"/>
      <c r="L502" s="291" t="n"/>
      <c r="M502" s="266" t="n"/>
    </row>
    <row r="503" customFormat="1" s="21">
      <c r="A503" s="271" t="inlineStr">
        <is>
          <t>Red values in Warm Temperate come from generic values from Temperate climate region</t>
        </is>
      </c>
      <c r="M503" s="269" t="n"/>
    </row>
    <row r="504" customFormat="1" s="21">
      <c r="A504" s="271" t="inlineStr">
        <is>
          <t xml:space="preserve">Generic values of  Tropical, were used for Tropical moist, tropical wet, tropical dry </t>
        </is>
      </c>
      <c r="M504" s="269" t="n"/>
    </row>
    <row r="505" customFormat="1" s="21">
      <c r="A505" s="271" t="inlineStr">
        <is>
          <t>As an approximation,  the average  BGB stock between the generic values of temperate and tropical (all regions) were used to approximate the BGB stock for the tropical montane climate (see comment in Tab 5.5, ipcc 2019)</t>
        </is>
      </c>
      <c r="M505" s="269" t="n"/>
    </row>
    <row r="506" customFormat="1" s="21">
      <c r="A506" s="271" t="inlineStr">
        <is>
          <t>undifferentiated (undiff.) values for Cool Temperate Dry = Cool Temperate Moist,   Warm Temperate Dry = Warm Temperate Moist</t>
        </is>
      </c>
      <c r="M506" s="269" t="n"/>
    </row>
    <row r="507" customFormat="1" s="21">
      <c r="A507" s="274" t="inlineStr">
        <is>
          <t xml:space="preserve">For Boreal climate,  the default values of Temperate were used </t>
        </is>
      </c>
      <c r="B507" s="292" t="n"/>
      <c r="C507" s="292" t="n"/>
      <c r="D507" s="292" t="n"/>
      <c r="E507" s="292" t="n"/>
      <c r="F507" s="292" t="n"/>
      <c r="G507" s="292" t="n"/>
      <c r="H507" s="292" t="n"/>
      <c r="I507" s="292" t="n"/>
      <c r="J507" s="292" t="n"/>
      <c r="K507" s="292" t="n"/>
      <c r="L507" s="292" t="n"/>
      <c r="M507" s="272" t="n"/>
    </row>
    <row r="508" ht="16" customHeight="1" thickBot="1"/>
    <row r="509" customFormat="1" s="18">
      <c r="A509" s="350" t="inlineStr">
        <is>
          <t xml:space="preserve">Default CH4 baseline emission factor assuming no flooding for less than 180 days prior </t>
        </is>
      </c>
      <c r="B509" s="351" t="n"/>
      <c r="C509" s="352" t="n"/>
      <c r="E509" s="4744" t="inlineStr">
        <is>
          <t>Default CH4 emission scaling factors for water regimes  during the cultivation period relative to continuously flooded fields</t>
        </is>
      </c>
      <c r="F509" s="4745" t="n"/>
      <c r="J509" s="4744" t="inlineStr">
        <is>
          <t>Default conversion fators for different types of organic amendments</t>
        </is>
      </c>
      <c r="K509" s="4745" t="n"/>
    </row>
    <row r="510" customFormat="1" s="18">
      <c r="A510" s="353" t="inlineStr">
        <is>
          <t>to rice cultivation, and continuously flooded during rice cultivation without organic amendments</t>
        </is>
      </c>
      <c r="B510" s="349" t="n"/>
      <c r="C510" s="354" t="n"/>
      <c r="E510" s="376" t="inlineStr">
        <is>
          <t>Table 5.12 (updated), Chapter 5, page 5.60</t>
        </is>
      </c>
      <c r="F510" s="379" t="n"/>
      <c r="J510" s="382" t="inlineStr">
        <is>
          <t>TABLE 5.14 (UPDATED), Chapter 5, page 5.62</t>
        </is>
      </c>
      <c r="K510" s="378" t="inlineStr">
        <is>
          <t>CFOA</t>
        </is>
      </c>
    </row>
    <row r="511" customFormat="1" s="18">
      <c r="A511" s="358" t="inlineStr">
        <is>
          <t>Updated Table 5.11, Chapter 5, page 5.59</t>
        </is>
      </c>
      <c r="B511" s="359" t="n"/>
      <c r="C511" s="360" t="n"/>
      <c r="E511" s="377" t="inlineStr">
        <is>
          <t>Water regime_ during</t>
        </is>
      </c>
      <c r="F511" s="378" t="inlineStr">
        <is>
          <t>SFw</t>
        </is>
      </c>
      <c r="J511" s="377">
        <f>list!H90</f>
        <v/>
      </c>
      <c r="K511" s="371" t="inlineStr">
        <is>
          <t>?</t>
        </is>
      </c>
    </row>
    <row r="512" customFormat="1" s="18">
      <c r="A512" s="347">
        <f>B308</f>
        <v/>
      </c>
      <c r="B512" s="348" t="inlineStr">
        <is>
          <t>EF</t>
        </is>
      </c>
      <c r="C512" s="348" t="inlineStr">
        <is>
          <t>Cultivation Period (in days)</t>
        </is>
      </c>
      <c r="E512" s="374">
        <f>A514</f>
        <v/>
      </c>
      <c r="F512" s="375" t="inlineStr">
        <is>
          <t>?</t>
        </is>
      </c>
      <c r="J512" s="398">
        <f>list!H91</f>
        <v/>
      </c>
      <c r="K512" s="399" t="n">
        <v>0</v>
      </c>
    </row>
    <row r="513" ht="17" customHeight="1">
      <c r="A513" s="347" t="n"/>
      <c r="B513" s="346" t="inlineStr">
        <is>
          <t>kg CH4 ha-1 d-1</t>
        </is>
      </c>
      <c r="C513" s="345" t="inlineStr">
        <is>
          <t>TABLE 5.11A</t>
        </is>
      </c>
      <c r="E513" s="63">
        <f>list!F91</f>
        <v/>
      </c>
      <c r="F513" s="244" t="n">
        <v>1</v>
      </c>
      <c r="J513" s="20">
        <f>list!H92</f>
        <v/>
      </c>
      <c r="K513" s="47" t="n">
        <v>0</v>
      </c>
    </row>
    <row r="514">
      <c r="A514" s="296">
        <f>B309</f>
        <v/>
      </c>
      <c r="B514" s="346" t="inlineStr">
        <is>
          <t>?</t>
        </is>
      </c>
      <c r="C514" s="345" t="inlineStr">
        <is>
          <t>?</t>
        </is>
      </c>
      <c r="E514" s="20">
        <f>list!F92</f>
        <v/>
      </c>
      <c r="F514" s="269" t="n">
        <v>0.71</v>
      </c>
      <c r="J514" s="20">
        <f>list!H93</f>
        <v/>
      </c>
      <c r="K514" s="41" t="n">
        <v>0.17</v>
      </c>
    </row>
    <row r="515">
      <c r="A515" s="408" t="inlineStr">
        <is>
          <t>Eastern Africa</t>
        </is>
      </c>
      <c r="B515" s="263" t="n">
        <v>1.19</v>
      </c>
      <c r="C515" s="63" t="n">
        <v>113</v>
      </c>
      <c r="E515" s="20">
        <f>list!F93</f>
        <v/>
      </c>
      <c r="F515" s="269" t="n">
        <v>0.55</v>
      </c>
      <c r="J515" s="20">
        <f>list!H94</f>
        <v/>
      </c>
      <c r="K515" s="41" t="n">
        <v>0.21</v>
      </c>
    </row>
    <row r="516">
      <c r="A516" s="401" t="inlineStr">
        <is>
          <t>Central Africa</t>
        </is>
      </c>
      <c r="B516" s="264" t="n">
        <v>1.19</v>
      </c>
      <c r="C516" s="20" t="n">
        <v>113</v>
      </c>
      <c r="E516" s="20">
        <f>list!F94</f>
        <v/>
      </c>
      <c r="F516" s="269" t="n">
        <v>0.54</v>
      </c>
      <c r="J516" s="20">
        <f>list!H95</f>
        <v/>
      </c>
      <c r="K516" s="41" t="n">
        <v>0.45</v>
      </c>
    </row>
    <row r="517">
      <c r="A517" s="401" t="inlineStr">
        <is>
          <t>Northern Africa</t>
        </is>
      </c>
      <c r="B517" s="264" t="n">
        <v>1.19</v>
      </c>
      <c r="C517" s="20" t="n">
        <v>113</v>
      </c>
      <c r="E517" s="20">
        <f>list!F95</f>
        <v/>
      </c>
      <c r="F517" s="269" t="n">
        <v>0.16</v>
      </c>
      <c r="J517" s="20">
        <f>list!H96</f>
        <v/>
      </c>
      <c r="K517" s="41" t="n">
        <v>0.19</v>
      </c>
    </row>
    <row r="518">
      <c r="A518" s="401" t="inlineStr">
        <is>
          <t>Southern Africa</t>
        </is>
      </c>
      <c r="B518" s="264" t="n">
        <v>1.19</v>
      </c>
      <c r="C518" s="20" t="n">
        <v>113</v>
      </c>
      <c r="E518" s="37">
        <f>list!F96</f>
        <v/>
      </c>
      <c r="F518" s="272" t="n">
        <v>0.06</v>
      </c>
      <c r="J518" s="37">
        <f>list!H97</f>
        <v/>
      </c>
      <c r="K518" s="48" t="n">
        <v>1</v>
      </c>
    </row>
    <row r="519">
      <c r="A519" s="401" t="inlineStr">
        <is>
          <t>Western Africa</t>
        </is>
      </c>
      <c r="B519" s="264" t="n">
        <v>1.19</v>
      </c>
      <c r="C519" s="20" t="n">
        <v>113</v>
      </c>
      <c r="J519" s="4746" t="inlineStr">
        <is>
          <t>Note: Straw application means that straws are incorporated into the soil. It does not include cases where straws are just placed on soil surface, and straws that were burnt on the field.</t>
        </is>
      </c>
      <c r="K519" s="4745" t="n"/>
    </row>
    <row r="520">
      <c r="A520" s="401" t="inlineStr">
        <is>
          <t>Central Asia</t>
        </is>
      </c>
      <c r="B520" s="271" t="n">
        <v>1.19</v>
      </c>
      <c r="C520" s="270" t="n">
        <v>113</v>
      </c>
    </row>
    <row r="521">
      <c r="A521" s="401" t="inlineStr">
        <is>
          <t>Eastern Asia</t>
        </is>
      </c>
      <c r="B521" s="264" t="n">
        <v>1.32</v>
      </c>
      <c r="C521" s="20" t="n">
        <v>112</v>
      </c>
      <c r="E521" s="381" t="inlineStr">
        <is>
          <t>Default CH4 emission scaling factors for water regimes</t>
        </is>
      </c>
      <c r="F521" s="380" t="n"/>
    </row>
    <row r="522">
      <c r="A522" s="401" t="inlineStr">
        <is>
          <t>South-eastern Asia</t>
        </is>
      </c>
      <c r="B522" s="264" t="n">
        <v>1.22</v>
      </c>
      <c r="C522" s="20" t="n">
        <v>102</v>
      </c>
      <c r="E522" s="372" t="inlineStr">
        <is>
          <t xml:space="preserve"> before the cultivation period</t>
        </is>
      </c>
      <c r="F522" s="373" t="n"/>
    </row>
    <row r="523">
      <c r="A523" s="401" t="inlineStr">
        <is>
          <t>Southern Asia</t>
        </is>
      </c>
      <c r="B523" s="264" t="n">
        <v>0.85</v>
      </c>
      <c r="C523" s="20" t="n">
        <v>112</v>
      </c>
      <c r="E523" s="376" t="inlineStr">
        <is>
          <t>Table 5.13 (updated), chapter 5, page 5.61</t>
        </is>
      </c>
      <c r="F523" s="378" t="inlineStr">
        <is>
          <t>SFp</t>
        </is>
      </c>
    </row>
    <row r="524">
      <c r="A524" s="401" t="inlineStr">
        <is>
          <t>Western Asia</t>
        </is>
      </c>
      <c r="B524" s="271" t="n">
        <v>1.19</v>
      </c>
      <c r="C524" s="270" t="n">
        <v>113</v>
      </c>
      <c r="E524" s="63">
        <f>list!G90</f>
        <v/>
      </c>
      <c r="F524" s="375" t="inlineStr">
        <is>
          <t>?</t>
        </is>
      </c>
    </row>
    <row r="525">
      <c r="A525" s="401" t="inlineStr">
        <is>
          <t>Europe</t>
        </is>
      </c>
      <c r="B525" s="264" t="n">
        <v>1.56</v>
      </c>
      <c r="C525" s="20" t="n">
        <v>123</v>
      </c>
      <c r="E525" s="20">
        <f>list!G91</f>
        <v/>
      </c>
      <c r="F525" s="244" t="n">
        <v>1</v>
      </c>
    </row>
    <row r="526">
      <c r="A526" s="401" t="inlineStr">
        <is>
          <t>Oceania</t>
        </is>
      </c>
      <c r="B526" s="271" t="n">
        <v>1.19</v>
      </c>
      <c r="C526" s="270" t="n">
        <v>113</v>
      </c>
      <c r="E526" s="20">
        <f>list!G92</f>
        <v/>
      </c>
      <c r="F526" s="269" t="n">
        <v>0.89</v>
      </c>
    </row>
    <row r="527">
      <c r="A527" s="401" t="inlineStr">
        <is>
          <t>North America</t>
        </is>
      </c>
      <c r="B527" s="264" t="n">
        <v>0.65</v>
      </c>
      <c r="C527" s="20" t="n">
        <v>139</v>
      </c>
      <c r="E527" s="37">
        <f>list!G93</f>
        <v/>
      </c>
      <c r="F527" s="272" t="n">
        <v>2.41</v>
      </c>
    </row>
    <row r="528">
      <c r="A528" s="401" t="inlineStr">
        <is>
          <t>South America</t>
        </is>
      </c>
      <c r="B528" s="264" t="n">
        <v>1.27</v>
      </c>
      <c r="C528" s="20" t="n">
        <v>124</v>
      </c>
    </row>
    <row r="529">
      <c r="A529" s="401" t="inlineStr">
        <is>
          <t>Central America</t>
        </is>
      </c>
      <c r="B529" s="271" t="n">
        <v>1.19</v>
      </c>
      <c r="C529" s="270" t="n">
        <v>113</v>
      </c>
    </row>
    <row r="530">
      <c r="A530" s="409" t="inlineStr">
        <is>
          <t>Caribbean</t>
        </is>
      </c>
      <c r="B530" s="271" t="n">
        <v>1.19</v>
      </c>
      <c r="C530" s="270" t="n">
        <v>113</v>
      </c>
    </row>
    <row r="531">
      <c r="A531" s="355" t="inlineStr">
        <is>
          <t xml:space="preserve">Note: Global estimates were used for Africa, Central Asia, Western Asia, Oceania, </t>
        </is>
      </c>
      <c r="B531" s="356" t="n"/>
      <c r="C531" s="357" t="n"/>
    </row>
    <row r="532">
      <c r="A532" s="274" t="inlineStr">
        <is>
          <t>Central America, Caribbean (values in red)</t>
        </is>
      </c>
      <c r="B532" s="280" t="n"/>
      <c r="C532" s="277" t="n"/>
    </row>
    <row r="533" ht="16" customHeight="1" thickBot="1"/>
    <row r="534" customFormat="1" s="18">
      <c r="A534" s="350" t="inlineStr">
        <is>
          <t>Relative stock change factors for grassland management</t>
        </is>
      </c>
      <c r="B534" s="351" t="n"/>
      <c r="C534" s="351" t="n"/>
      <c r="D534" s="352" t="n"/>
    </row>
    <row r="535" customFormat="1" s="18">
      <c r="A535" s="353" t="inlineStr">
        <is>
          <t>Updated Table  6.2, Chapter 6, page 6.6</t>
        </is>
      </c>
      <c r="B535" s="349" t="n"/>
      <c r="C535" s="349" t="n"/>
      <c r="D535" s="354" t="n"/>
    </row>
    <row r="536">
      <c r="A536" s="6" t="inlineStr">
        <is>
          <t>Factor</t>
        </is>
      </c>
      <c r="B536" s="6" t="inlineStr">
        <is>
          <t>Level</t>
        </is>
      </c>
      <c r="C536" s="6" t="inlineStr">
        <is>
          <t>Climate regime</t>
        </is>
      </c>
      <c r="D536" s="6" t="inlineStr">
        <is>
          <t>IPCC default</t>
        </is>
      </c>
    </row>
    <row r="537" ht="15" customFormat="1" customHeight="1" s="21">
      <c r="A537" s="400" t="inlineStr">
        <is>
          <t>Land use (FLU)</t>
        </is>
      </c>
      <c r="B537" s="20" t="inlineStr">
        <is>
          <t>All</t>
        </is>
      </c>
      <c r="C537" s="20" t="inlineStr">
        <is>
          <t>All</t>
        </is>
      </c>
      <c r="D537" s="392" t="n">
        <v>1</v>
      </c>
    </row>
    <row r="538" ht="15" customFormat="1" customHeight="1" s="21">
      <c r="A538" s="400" t="inlineStr">
        <is>
          <t>Management (FMG)</t>
        </is>
      </c>
      <c r="B538" s="20">
        <f>list!F121</f>
        <v/>
      </c>
      <c r="C538" s="20" t="inlineStr">
        <is>
          <t>All</t>
        </is>
      </c>
      <c r="D538" s="392" t="n">
        <v>1</v>
      </c>
    </row>
    <row r="539" ht="15" customFormat="1" customHeight="1" s="21">
      <c r="A539" s="400" t="inlineStr">
        <is>
          <t>Management (FMG)</t>
        </is>
      </c>
      <c r="B539" s="20">
        <f>list!F122</f>
        <v/>
      </c>
      <c r="C539" s="20" t="inlineStr">
        <is>
          <t>All</t>
        </is>
      </c>
      <c r="D539" s="20" t="n">
        <v>0.9</v>
      </c>
    </row>
    <row r="540" ht="15" customFormat="1" customHeight="1" s="21">
      <c r="A540" s="400" t="inlineStr">
        <is>
          <t>Management (FMG)</t>
        </is>
      </c>
      <c r="B540" s="20">
        <f>list!F123</f>
        <v/>
      </c>
      <c r="C540" s="20" t="inlineStr">
        <is>
          <t>All</t>
        </is>
      </c>
      <c r="D540" s="20" t="n">
        <v>0.7</v>
      </c>
    </row>
    <row r="541" ht="15" customFormat="1" customHeight="1" s="21">
      <c r="A541" s="400" t="inlineStr">
        <is>
          <t>Management (FMG)</t>
        </is>
      </c>
      <c r="B541" s="20">
        <f>list!F124</f>
        <v/>
      </c>
      <c r="C541" s="20" t="inlineStr">
        <is>
          <t>Boreal</t>
        </is>
      </c>
      <c r="D541" s="20" t="n">
        <v>1.14</v>
      </c>
    </row>
    <row r="542" ht="15" customFormat="1" customHeight="1" s="21">
      <c r="A542" s="400" t="inlineStr">
        <is>
          <t>Management (FMG)</t>
        </is>
      </c>
      <c r="B542" s="20" t="inlineStr">
        <is>
          <t>Improved grassland</t>
        </is>
      </c>
      <c r="C542" s="20" t="inlineStr">
        <is>
          <t>Cool Temperate</t>
        </is>
      </c>
      <c r="D542" s="20" t="n">
        <v>1.14</v>
      </c>
    </row>
    <row r="543" ht="15" customFormat="1" customHeight="1" s="21">
      <c r="A543" s="400" t="inlineStr">
        <is>
          <t>Management (FMG)</t>
        </is>
      </c>
      <c r="B543" s="20" t="inlineStr">
        <is>
          <t>Improved grassland</t>
        </is>
      </c>
      <c r="C543" s="20" t="inlineStr">
        <is>
          <t>Tropical</t>
        </is>
      </c>
      <c r="D543" s="20" t="n">
        <v>1.17</v>
      </c>
    </row>
    <row r="544" ht="15" customFormat="1" customHeight="1" s="21">
      <c r="A544" s="400" t="inlineStr">
        <is>
          <t>Management (FMG)</t>
        </is>
      </c>
      <c r="B544" s="20" t="inlineStr">
        <is>
          <t>Improved grassland</t>
        </is>
      </c>
      <c r="C544" s="20" t="inlineStr">
        <is>
          <t>Tropical Montane</t>
        </is>
      </c>
      <c r="D544" s="61" t="n">
        <v>1.16</v>
      </c>
    </row>
    <row r="545" ht="15" customFormat="1" customHeight="1" s="21">
      <c r="A545" s="400" t="inlineStr">
        <is>
          <t>Management (FMG)</t>
        </is>
      </c>
      <c r="B545" s="20" t="inlineStr">
        <is>
          <t>Improved grassland</t>
        </is>
      </c>
      <c r="C545" s="20" t="inlineStr">
        <is>
          <t>Warm Temperate</t>
        </is>
      </c>
      <c r="D545" s="20" t="n">
        <v>1.14</v>
      </c>
    </row>
    <row r="546" ht="15" customFormat="1" customHeight="1" s="21">
      <c r="A546" s="20" t="inlineStr">
        <is>
          <t>Input (applied only to improved grassland) (FI)</t>
        </is>
      </c>
      <c r="B546" s="20">
        <f>list!F125</f>
        <v/>
      </c>
      <c r="C546" s="20" t="inlineStr">
        <is>
          <t>All</t>
        </is>
      </c>
      <c r="D546" s="392" t="n">
        <v>1</v>
      </c>
    </row>
    <row r="547" ht="15" customFormat="1" customHeight="1" s="21">
      <c r="A547" s="37" t="inlineStr">
        <is>
          <t>Input (applied only to improved grassland) (FI)</t>
        </is>
      </c>
      <c r="B547" s="37">
        <f>list!F126</f>
        <v/>
      </c>
      <c r="C547" s="37" t="inlineStr">
        <is>
          <t>All</t>
        </is>
      </c>
      <c r="D547" s="37" t="n">
        <v>1.11</v>
      </c>
    </row>
    <row r="549" customFormat="1" s="329">
      <c r="A549" s="393" t="inlineStr">
        <is>
          <t>Default AGB biomass stocks present on grassland , after conversion from other land use</t>
        </is>
      </c>
      <c r="B549" s="394" t="n"/>
      <c r="C549" s="394" t="n"/>
      <c r="D549" s="394" t="n"/>
    </row>
    <row r="550" customFormat="1" s="106">
      <c r="A550" s="395" t="inlineStr">
        <is>
          <t>Table, 6.4, page 6.27  in IPCC 2006</t>
        </is>
      </c>
      <c r="C550" s="396" t="n"/>
      <c r="D550" s="396" t="n"/>
    </row>
    <row r="551" customFormat="1" s="329">
      <c r="A551" s="415" t="n"/>
      <c r="B551" s="415" t="inlineStr">
        <is>
          <t>AGB</t>
        </is>
      </c>
      <c r="C551" s="394" t="n"/>
      <c r="D551" s="394" t="n"/>
    </row>
    <row r="552" ht="17" customFormat="1" customHeight="1" s="106">
      <c r="A552" s="416" t="inlineStr">
        <is>
          <t>IPCC climate zone</t>
        </is>
      </c>
      <c r="B552" s="416" t="inlineStr">
        <is>
          <t>(tonnes d.m. ha-1)</t>
        </is>
      </c>
      <c r="C552" s="396" t="n"/>
      <c r="D552" s="396" t="n"/>
    </row>
    <row r="553" customFormat="1" s="21">
      <c r="A553" s="20" t="inlineStr">
        <is>
          <t>Boreal Moist</t>
        </is>
      </c>
      <c r="B553" s="20" t="n">
        <v>1.7</v>
      </c>
    </row>
    <row r="554" customFormat="1" s="21">
      <c r="A554" s="20" t="inlineStr">
        <is>
          <t>Boreal Dry</t>
        </is>
      </c>
      <c r="B554" s="20" t="n">
        <v>1.7</v>
      </c>
    </row>
    <row r="555" customFormat="1" s="21">
      <c r="A555" s="20" t="inlineStr">
        <is>
          <t>Cool Temperate Dry</t>
        </is>
      </c>
      <c r="B555" s="20" t="n">
        <v>1.7</v>
      </c>
    </row>
    <row r="556" customFormat="1" s="21">
      <c r="A556" s="20" t="inlineStr">
        <is>
          <t>Cool Temperate Moist</t>
        </is>
      </c>
      <c r="B556" s="20" t="n">
        <v>2.4</v>
      </c>
    </row>
    <row r="557" customFormat="1" s="21">
      <c r="A557" s="20" t="inlineStr">
        <is>
          <t>Warm Temperate Moist</t>
        </is>
      </c>
      <c r="B557" s="20" t="n">
        <v>2.7</v>
      </c>
    </row>
    <row r="558" customFormat="1" s="21">
      <c r="A558" s="20" t="inlineStr">
        <is>
          <t>Warm Temperate Dry</t>
        </is>
      </c>
      <c r="B558" s="20" t="n">
        <v>1.6</v>
      </c>
    </row>
    <row r="559" customFormat="1" s="21">
      <c r="A559" s="20" t="inlineStr">
        <is>
          <t>Tropical Dry</t>
        </is>
      </c>
      <c r="B559" s="20" t="n">
        <v>2.3</v>
      </c>
    </row>
    <row r="560" customFormat="1" s="21">
      <c r="A560" s="20" t="inlineStr">
        <is>
          <t>Tropical Moist</t>
        </is>
      </c>
      <c r="B560" s="20" t="n">
        <v>6.2</v>
      </c>
    </row>
    <row r="561" customFormat="1" s="21">
      <c r="A561" s="20" t="inlineStr">
        <is>
          <t>Tropical Wet</t>
        </is>
      </c>
      <c r="B561" s="20" t="n">
        <v>6.2</v>
      </c>
    </row>
    <row r="562" customFormat="1" s="21">
      <c r="A562" s="292" t="inlineStr">
        <is>
          <t>Tropical Montane</t>
        </is>
      </c>
      <c r="B562" s="272" t="n">
        <v>2.3</v>
      </c>
    </row>
    <row r="564" customFormat="1" s="329">
      <c r="A564" s="393" t="inlineStr">
        <is>
          <t>Combustion factor values (proportion of prefire fuel biomass consumed) for fires in all savanna grasslands</t>
        </is>
      </c>
    </row>
    <row r="565" customFormat="1" s="106">
      <c r="A565" s="417" t="inlineStr">
        <is>
          <t xml:space="preserve">Updated Table 2.6, IPCC 2019, page 2.59, </t>
        </is>
      </c>
    </row>
    <row r="566" customFormat="1" s="291">
      <c r="A566" s="418" t="n"/>
      <c r="B566" s="419" t="inlineStr">
        <is>
          <t>Cf</t>
        </is>
      </c>
    </row>
    <row r="567" customFormat="1" s="292">
      <c r="A567" s="420" t="inlineStr">
        <is>
          <t>All savanna grasslands (mid/late dry season burns)*</t>
        </is>
      </c>
      <c r="B567" s="421" t="n">
        <v>0.77</v>
      </c>
    </row>
    <row r="569" ht="12.75" customFormat="1" customHeight="1" s="440">
      <c r="A569" s="328" t="inlineStr">
        <is>
          <t>Forest Category by Climate Region</t>
        </is>
      </c>
      <c r="B569" s="438" t="n"/>
      <c r="C569" s="438" t="n"/>
      <c r="D569" s="439" t="n"/>
      <c r="G569" s="439" t="n"/>
    </row>
    <row r="570" ht="12.75" customFormat="1" customHeight="1" s="437">
      <c r="A570" s="278" t="inlineStr">
        <is>
          <t>See classification in Table 4.3 and 4.4 in page 4.49, Chapter 4, IPCC 2006</t>
        </is>
      </c>
      <c r="B570" s="435" t="n"/>
      <c r="C570" s="435" t="n"/>
      <c r="D570" s="436" t="n"/>
      <c r="G570" s="436" t="n"/>
    </row>
    <row r="571" ht="12.75" customFormat="1" customHeight="1" s="125">
      <c r="A571" s="441" t="inlineStr">
        <is>
          <t>Climate</t>
        </is>
      </c>
      <c r="B571" s="442" t="inlineStr">
        <is>
          <t>Tropical</t>
        </is>
      </c>
      <c r="C571" s="442" t="inlineStr">
        <is>
          <t>Warm Temperate</t>
        </is>
      </c>
      <c r="D571" s="442" t="inlineStr">
        <is>
          <t>Cool Temperate</t>
        </is>
      </c>
      <c r="E571" s="442" t="inlineStr">
        <is>
          <t>Boreal</t>
        </is>
      </c>
      <c r="F571" s="442" t="inlineStr">
        <is>
          <t>Tropical Montane</t>
        </is>
      </c>
      <c r="G571" s="443" t="n"/>
      <c r="H571" s="444" t="n"/>
      <c r="I571" s="444" t="n"/>
      <c r="J571" s="444" t="n"/>
    </row>
    <row r="572" ht="12.75" customFormat="1" customHeight="1" s="18">
      <c r="A572" s="446" t="inlineStr">
        <is>
          <t>?</t>
        </is>
      </c>
      <c r="B572" s="447" t="inlineStr">
        <is>
          <t>Please select</t>
        </is>
      </c>
      <c r="C572" s="447" t="inlineStr">
        <is>
          <t>Please select</t>
        </is>
      </c>
      <c r="D572" s="447" t="inlineStr">
        <is>
          <t>Please select</t>
        </is>
      </c>
      <c r="E572" s="447" t="inlineStr">
        <is>
          <t>Please select</t>
        </is>
      </c>
      <c r="F572" s="447" t="inlineStr">
        <is>
          <t>Please select</t>
        </is>
      </c>
      <c r="G572" s="440" t="n"/>
      <c r="H572" s="434" t="n"/>
      <c r="I572" s="434" t="n"/>
      <c r="J572" s="434" t="n"/>
    </row>
    <row r="573" customFormat="1" s="21">
      <c r="A573" s="63" t="n"/>
      <c r="B573" s="456" t="inlineStr">
        <is>
          <t>Tropical rainforest</t>
        </is>
      </c>
      <c r="C573" s="63" t="inlineStr">
        <is>
          <t>Subtropical humid forest</t>
        </is>
      </c>
      <c r="D573" s="63" t="inlineStr">
        <is>
          <t>Temperate oceanic forest</t>
        </is>
      </c>
      <c r="E573" s="63" t="inlineStr">
        <is>
          <t>Boreal coniferous forest</t>
        </is>
      </c>
      <c r="F573" s="63" t="inlineStr">
        <is>
          <t>Tropical mountain systems</t>
        </is>
      </c>
      <c r="G573" s="63" t="n"/>
    </row>
    <row r="574" customFormat="1" s="21">
      <c r="A574" s="20" t="n"/>
      <c r="B574" s="20" t="inlineStr">
        <is>
          <t>Tropical moist deciduous forest</t>
        </is>
      </c>
      <c r="C574" s="20" t="inlineStr">
        <is>
          <t>Subtropical dry forest</t>
        </is>
      </c>
      <c r="D574" s="20" t="inlineStr">
        <is>
          <t>Temperate continental forest</t>
        </is>
      </c>
      <c r="E574" s="20" t="inlineStr">
        <is>
          <t>Boreal tundra woodland</t>
        </is>
      </c>
      <c r="F574" s="20" t="inlineStr">
        <is>
          <t>Planted Tropical mountain systems</t>
        </is>
      </c>
      <c r="G574" s="20" t="n"/>
    </row>
    <row r="575" customFormat="1" s="21">
      <c r="A575" s="20" t="n"/>
      <c r="B575" s="20" t="inlineStr">
        <is>
          <t>Tropical dry forest</t>
        </is>
      </c>
      <c r="C575" s="20" t="inlineStr">
        <is>
          <t>Subtropical steppe</t>
        </is>
      </c>
      <c r="D575" s="20" t="inlineStr">
        <is>
          <t>Temperate mountain systems</t>
        </is>
      </c>
      <c r="E575" s="20" t="inlineStr">
        <is>
          <t>Boreal mountain systems</t>
        </is>
      </c>
      <c r="F575" s="20" t="n"/>
      <c r="G575" s="20" t="n"/>
    </row>
    <row r="576" customFormat="1" s="21">
      <c r="A576" s="20" t="n"/>
      <c r="B576" s="20" t="inlineStr">
        <is>
          <t>Tropical shrubland</t>
        </is>
      </c>
      <c r="C576" s="20" t="inlineStr">
        <is>
          <t>Subtropical mountain systems</t>
        </is>
      </c>
      <c r="D576" s="445" t="inlineStr">
        <is>
          <t>Temperate desert</t>
        </is>
      </c>
      <c r="E576" s="20" t="inlineStr">
        <is>
          <t>Planted Boreal coniferous forest</t>
        </is>
      </c>
      <c r="F576" s="20" t="n"/>
      <c r="G576" s="20" t="n"/>
    </row>
    <row r="577" customFormat="1" s="21">
      <c r="A577" s="20" t="n"/>
      <c r="B577" s="21" t="inlineStr">
        <is>
          <t>Mangrove Forest</t>
        </is>
      </c>
      <c r="C577" s="20" t="inlineStr">
        <is>
          <t>Planted Subtropical humid forest</t>
        </is>
      </c>
      <c r="D577" s="445" t="inlineStr">
        <is>
          <t>Temperate steppe</t>
        </is>
      </c>
      <c r="E577" s="20" t="inlineStr">
        <is>
          <t>Planted Boreal tundra woodland</t>
        </is>
      </c>
      <c r="F577" s="20" t="n"/>
      <c r="G577" s="20" t="n"/>
    </row>
    <row r="578" customFormat="1" s="21">
      <c r="A578" s="20" t="n"/>
      <c r="B578" s="20" t="inlineStr">
        <is>
          <t>Planted Tropical rainforest</t>
        </is>
      </c>
      <c r="C578" s="20" t="inlineStr">
        <is>
          <t>Planted Subtropical dry forest</t>
        </is>
      </c>
      <c r="D578" s="20" t="inlineStr">
        <is>
          <t>Planted Temperate oceanic forest</t>
        </is>
      </c>
      <c r="E578" s="20" t="inlineStr">
        <is>
          <t>Planted Boreal mountain systems</t>
        </is>
      </c>
      <c r="F578" s="20" t="n"/>
      <c r="G578" s="20" t="n"/>
    </row>
    <row r="579" customFormat="1" s="21">
      <c r="A579" s="20" t="n"/>
      <c r="B579" s="20" t="inlineStr">
        <is>
          <t>Planted Tropical moist deciduous forest</t>
        </is>
      </c>
      <c r="C579" s="20" t="inlineStr">
        <is>
          <t>Planted Subtropical steppe</t>
        </is>
      </c>
      <c r="D579" s="20" t="inlineStr">
        <is>
          <t>Planted Temperate continental forest</t>
        </is>
      </c>
      <c r="E579" s="20" t="n"/>
      <c r="F579" s="20" t="n"/>
      <c r="G579" s="20" t="n"/>
    </row>
    <row r="580" customFormat="1" s="21">
      <c r="A580" s="20" t="n"/>
      <c r="B580" s="20" t="inlineStr">
        <is>
          <t>Planted Tropical dry forest</t>
        </is>
      </c>
      <c r="C580" s="20" t="inlineStr">
        <is>
          <t>Planted Subtropical mountain systems</t>
        </is>
      </c>
      <c r="D580" s="20" t="inlineStr">
        <is>
          <t>Planted Temperate mountain systems</t>
        </is>
      </c>
      <c r="E580" s="20" t="n"/>
      <c r="F580" s="20" t="n"/>
      <c r="G580" s="20" t="n"/>
    </row>
    <row r="581" customFormat="1" s="21">
      <c r="A581" s="20" t="n"/>
      <c r="B581" s="20" t="inlineStr">
        <is>
          <t>Planted  Tropical shrubland</t>
        </is>
      </c>
      <c r="C581" s="20" t="inlineStr">
        <is>
          <t>Mangrove Forest</t>
        </is>
      </c>
      <c r="D581" s="21" t="inlineStr">
        <is>
          <t>Planted Temperate desert</t>
        </is>
      </c>
      <c r="E581" s="20" t="n"/>
      <c r="F581" s="20" t="n"/>
      <c r="G581" s="20" t="n"/>
    </row>
    <row r="582" customFormat="1" s="21">
      <c r="A582" s="20" t="n"/>
      <c r="B582" s="20" t="n"/>
      <c r="C582" s="20" t="n"/>
      <c r="D582" s="20" t="inlineStr">
        <is>
          <t>Planted Temperate steppe</t>
        </is>
      </c>
      <c r="E582" s="20" t="n"/>
      <c r="F582" s="20" t="n"/>
      <c r="G582" s="20" t="n"/>
    </row>
    <row r="583" customFormat="1" s="21">
      <c r="A583" s="20" t="n"/>
      <c r="B583" s="20" t="n"/>
      <c r="C583" s="20" t="n"/>
      <c r="D583" s="20" t="n"/>
      <c r="E583" s="20" t="n"/>
      <c r="F583" s="20" t="n"/>
      <c r="G583" s="20" t="n"/>
    </row>
    <row r="584" customFormat="1" s="21">
      <c r="A584" s="37" t="n"/>
      <c r="B584" s="37" t="n"/>
      <c r="C584" s="37" t="n"/>
      <c r="D584" s="37" t="n"/>
      <c r="E584" s="37" t="n"/>
      <c r="F584" s="37" t="n"/>
      <c r="G584" s="37" t="n"/>
    </row>
    <row r="586" customFormat="1" s="329">
      <c r="A586" s="484" t="inlineStr">
        <is>
          <t>Above-ground biomass (t dm /ha) in Primary Natural Forest  are obtained from TABLE 4.12. (UPDATED)</t>
        </is>
      </c>
    </row>
    <row r="587" customFormat="1" s="125">
      <c r="A587" s="448" t="inlineStr">
        <is>
          <t>Above-ground biomass (t dm /ha) in Planted  Forest (&gt; 20 years)  are obtained from TABLE 4.12. (UPDATED)</t>
        </is>
      </c>
    </row>
    <row r="588" customFormat="1" s="480">
      <c r="A588" s="478" t="n"/>
      <c r="B588" s="479" t="n"/>
      <c r="C588" s="479" t="n"/>
      <c r="D588" s="479" t="n"/>
      <c r="E588" s="479" t="n"/>
      <c r="F588" s="479" t="n"/>
      <c r="G588" s="479" t="n"/>
      <c r="H588" s="479" t="n"/>
      <c r="I588" s="479" t="n"/>
      <c r="J588" s="479" t="n"/>
      <c r="K588" s="479" t="n"/>
      <c r="L588" s="479" t="n"/>
      <c r="M588" s="479" t="n"/>
    </row>
    <row r="589" customFormat="1" s="480">
      <c r="A589" s="487" t="inlineStr">
        <is>
          <t xml:space="preserve">EX-ACT region </t>
        </is>
      </c>
      <c r="B589" s="487" t="inlineStr">
        <is>
          <t>TABLE 4.12. (UPDATED)</t>
        </is>
      </c>
      <c r="C589" s="487" t="inlineStr">
        <is>
          <t>TABLE 4.12. (UPDATED)</t>
        </is>
      </c>
      <c r="D589" s="487" t="inlineStr">
        <is>
          <t>TABLE 4.12. (UPDATED)</t>
        </is>
      </c>
      <c r="E589" s="487" t="inlineStr">
        <is>
          <t>TABLE 4.12. (UPDATED)</t>
        </is>
      </c>
      <c r="F589" s="487" t="inlineStr">
        <is>
          <t>See Table 4.3 (IPCC 2013)</t>
        </is>
      </c>
      <c r="G589" s="487" t="inlineStr">
        <is>
          <t>TABLE 4.12. (UPDATED)</t>
        </is>
      </c>
      <c r="H589" s="487" t="inlineStr">
        <is>
          <t>TABLE 4.12. (UPDATED)</t>
        </is>
      </c>
      <c r="I589" s="487" t="inlineStr">
        <is>
          <t>TABLE 4.12. (UPDATED)</t>
        </is>
      </c>
      <c r="J589" s="487" t="inlineStr">
        <is>
          <t>TABLE 4.12. (UPDATED)</t>
        </is>
      </c>
      <c r="K589" s="487" t="inlineStr">
        <is>
          <t>TABLE 4.12. (UPDATED)</t>
        </is>
      </c>
      <c r="L589" s="487" t="inlineStr">
        <is>
          <t>TABLE 4.12. (UPDATED)</t>
        </is>
      </c>
      <c r="M589" s="487" t="inlineStr">
        <is>
          <t>TABLE 4.12. (UPDATED)</t>
        </is>
      </c>
      <c r="N589" s="487" t="inlineStr">
        <is>
          <t>TABLE 4.12. (UPDATED)</t>
        </is>
      </c>
      <c r="O589" s="487" t="inlineStr">
        <is>
          <t>TABLE 4.12. (UPDATED)</t>
        </is>
      </c>
      <c r="P589" s="487" t="inlineStr">
        <is>
          <t>TABLE 4.12. (UPDATED)</t>
        </is>
      </c>
      <c r="Q589" s="487" t="inlineStr">
        <is>
          <t>TABLE 4.12. (UPDATED)</t>
        </is>
      </c>
      <c r="R589" s="487" t="inlineStr">
        <is>
          <t>TABLE 4.12. (UPDATED)</t>
        </is>
      </c>
      <c r="S589" s="487" t="inlineStr">
        <is>
          <t>TABLE 4.12. (UPDATED)</t>
        </is>
      </c>
      <c r="T589" s="487" t="inlineStr">
        <is>
          <t>TABLE 4.12. (UPDATED)</t>
        </is>
      </c>
      <c r="U589" s="487" t="inlineStr">
        <is>
          <t>TABLE 4.12. (UPDATED)</t>
        </is>
      </c>
      <c r="V589" s="487" t="inlineStr">
        <is>
          <t>TABLE 4.12. (UPDATED)</t>
        </is>
      </c>
      <c r="W589" s="487" t="inlineStr">
        <is>
          <t>TABLE 4.12. (UPDATED)</t>
        </is>
      </c>
      <c r="X589" s="487" t="inlineStr">
        <is>
          <t>TABLE 4.12. (UPDATED)</t>
        </is>
      </c>
      <c r="Y589" s="487" t="inlineStr">
        <is>
          <t>TABLE 4.12. (UPDATED)</t>
        </is>
      </c>
      <c r="Z589" s="487" t="inlineStr">
        <is>
          <t>TABLE 4.12. (UPDATED)</t>
        </is>
      </c>
      <c r="AA589" s="487" t="inlineStr">
        <is>
          <t>TABLE 4.12. (UPDATED)</t>
        </is>
      </c>
      <c r="AB589" s="487" t="inlineStr">
        <is>
          <t>TABLE 4.12. (UPDATED)</t>
        </is>
      </c>
      <c r="AC589" s="487" t="inlineStr">
        <is>
          <t>TABLE 4.12. (UPDATED)</t>
        </is>
      </c>
      <c r="AD589" s="487" t="inlineStr">
        <is>
          <t>TABLE 4.12. (UPDATED)</t>
        </is>
      </c>
      <c r="AE589" s="487" t="inlineStr">
        <is>
          <t>TABLE 4.12. (UPDATED)</t>
        </is>
      </c>
      <c r="AF589" s="487" t="inlineStr">
        <is>
          <t>TABLE 4.12. (UPDATED)</t>
        </is>
      </c>
      <c r="AG589" s="487" t="inlineStr">
        <is>
          <t>TABLE 4.12. (UPDATED)</t>
        </is>
      </c>
      <c r="AH589" s="487" t="inlineStr">
        <is>
          <t>TABLE 4.12. (UPDATED)</t>
        </is>
      </c>
      <c r="AI589" s="487" t="inlineStr">
        <is>
          <t>TABLE 4.12. (UPDATED)</t>
        </is>
      </c>
      <c r="AJ589" s="487" t="inlineStr">
        <is>
          <t>TABLE 4.12. (UPDATED)</t>
        </is>
      </c>
      <c r="AK589" s="487" t="inlineStr">
        <is>
          <t>TABLE 4.12. (UPDATED)</t>
        </is>
      </c>
    </row>
    <row r="590" customFormat="1" s="483">
      <c r="A590" s="484" t="inlineStr">
        <is>
          <t>Please select</t>
        </is>
      </c>
      <c r="B590" s="484" t="inlineStr">
        <is>
          <t>Tropical rainforest</t>
        </is>
      </c>
      <c r="C590" s="484" t="inlineStr">
        <is>
          <t>Tropical moist deciduous forest</t>
        </is>
      </c>
      <c r="D590" s="484" t="inlineStr">
        <is>
          <t>Tropical dry forest</t>
        </is>
      </c>
      <c r="E590" s="484" t="inlineStr">
        <is>
          <t>Tropical shrubland</t>
        </is>
      </c>
      <c r="F590" s="484" t="inlineStr">
        <is>
          <t>Mangrove Forest</t>
        </is>
      </c>
      <c r="G590" s="484" t="inlineStr">
        <is>
          <t>Planted Tropical rainforest</t>
        </is>
      </c>
      <c r="H590" s="484" t="inlineStr">
        <is>
          <t>Planted Tropical moist deciduous forest</t>
        </is>
      </c>
      <c r="I590" s="484" t="inlineStr">
        <is>
          <t>Planted Tropical dry forest</t>
        </is>
      </c>
      <c r="J590" s="484" t="inlineStr">
        <is>
          <t>Planted  Tropical shrubland</t>
        </is>
      </c>
      <c r="K590" s="484" t="inlineStr">
        <is>
          <t>Subtropical humid forest</t>
        </is>
      </c>
      <c r="L590" s="484" t="inlineStr">
        <is>
          <t>Subtropical dry forest</t>
        </is>
      </c>
      <c r="M590" s="484" t="inlineStr">
        <is>
          <t>Subtropical steppe</t>
        </is>
      </c>
      <c r="N590" s="484" t="inlineStr">
        <is>
          <t>Subtropical mountain systems</t>
        </is>
      </c>
      <c r="O590" s="484" t="inlineStr">
        <is>
          <t>Planted Subtropical humid forest</t>
        </is>
      </c>
      <c r="P590" s="484" t="inlineStr">
        <is>
          <t>Planted Subtropical dry forest</t>
        </is>
      </c>
      <c r="Q590" s="484" t="inlineStr">
        <is>
          <t>Planted Subtropical steppe</t>
        </is>
      </c>
      <c r="R590" s="484" t="inlineStr">
        <is>
          <t>Planted Subtropical mountain systems</t>
        </is>
      </c>
      <c r="S590" s="484" t="inlineStr">
        <is>
          <t>Mangrove Forest</t>
        </is>
      </c>
      <c r="T590" s="484" t="inlineStr">
        <is>
          <t>Temperate oceanic forest</t>
        </is>
      </c>
      <c r="U590" s="484" t="inlineStr">
        <is>
          <t>Temperate continental forest</t>
        </is>
      </c>
      <c r="V590" s="484" t="inlineStr">
        <is>
          <t>Temperate mountain systems</t>
        </is>
      </c>
      <c r="W590" s="484" t="inlineStr">
        <is>
          <t>Temperate desert</t>
        </is>
      </c>
      <c r="X590" s="484" t="inlineStr">
        <is>
          <t>Temperate steppe</t>
        </is>
      </c>
      <c r="Y590" s="484" t="inlineStr">
        <is>
          <t>Planted Temperate oceanic forest</t>
        </is>
      </c>
      <c r="Z590" s="484" t="inlineStr">
        <is>
          <t>Planted Temperate continental forest</t>
        </is>
      </c>
      <c r="AA590" s="484" t="inlineStr">
        <is>
          <t>Planted Temperate mountain systems</t>
        </is>
      </c>
      <c r="AB590" s="484" t="inlineStr">
        <is>
          <t>Planted Temperate desert</t>
        </is>
      </c>
      <c r="AC590" s="484" t="inlineStr">
        <is>
          <t>Planted Temperate steppe</t>
        </is>
      </c>
      <c r="AD590" s="484" t="inlineStr">
        <is>
          <t>Boreal coniferous forest</t>
        </is>
      </c>
      <c r="AE590" s="484" t="inlineStr">
        <is>
          <t>Boreal tundra woodland</t>
        </is>
      </c>
      <c r="AF590" s="484" t="inlineStr">
        <is>
          <t>Boreal mountain systems</t>
        </is>
      </c>
      <c r="AG590" s="484" t="inlineStr">
        <is>
          <t>Planted Boreal coniferous forest</t>
        </is>
      </c>
      <c r="AH590" s="484" t="inlineStr">
        <is>
          <t>Planted Boreal tundra woodland</t>
        </is>
      </c>
      <c r="AI590" s="484" t="inlineStr">
        <is>
          <t>Planted Boreal mountain systems</t>
        </is>
      </c>
      <c r="AJ590" s="484" t="inlineStr">
        <is>
          <t>Tropical mountain systems</t>
        </is>
      </c>
      <c r="AK590" s="484" t="inlineStr">
        <is>
          <t>Planted Tropical mountain systems</t>
        </is>
      </c>
    </row>
    <row r="591" customFormat="1" s="4747">
      <c r="A591" s="4748" t="inlineStr">
        <is>
          <t>Eastern Africa</t>
        </is>
      </c>
      <c r="B591" s="4749" t="n">
        <v>404.2</v>
      </c>
      <c r="C591" s="4749" t="n">
        <v>236.6</v>
      </c>
      <c r="D591" s="4749" t="n">
        <v>69.59999999999999</v>
      </c>
      <c r="E591" s="4749" t="n">
        <v>48.4</v>
      </c>
      <c r="F591" s="4750" t="n"/>
      <c r="G591" s="4751">
        <f>AVERAGE(200,300)</f>
        <v/>
      </c>
      <c r="H591" s="4751">
        <f>AVERAGE(120,483)</f>
        <v/>
      </c>
      <c r="I591" s="4751">
        <f>AVERAGE(60,193.9)</f>
        <v/>
      </c>
      <c r="J591" s="4751" t="n">
        <v>20</v>
      </c>
      <c r="K591" s="4751" t="n">
        <v>54.1</v>
      </c>
      <c r="L591" s="4751" t="n">
        <v>65.2</v>
      </c>
      <c r="M591" s="4751" t="n">
        <v>50.5</v>
      </c>
      <c r="N591" s="4751" t="n">
        <v>35.1</v>
      </c>
      <c r="O591" s="4752" t="n">
        <v>140</v>
      </c>
      <c r="P591" s="4751">
        <f>AVERAGE(60,70)</f>
        <v/>
      </c>
      <c r="Q591" s="4751">
        <f>AVERAGE(15,20)</f>
        <v/>
      </c>
      <c r="R591" s="4751">
        <f>AVERAGE(30,150)</f>
        <v/>
      </c>
      <c r="S591" s="4753" t="n"/>
      <c r="T591" s="4752" t="n">
        <v>180</v>
      </c>
      <c r="U591" s="4752" t="n">
        <v>120</v>
      </c>
      <c r="V591" s="4752" t="n">
        <v>100</v>
      </c>
      <c r="W591" s="4752" t="n">
        <v>44</v>
      </c>
      <c r="X591" s="4752" t="n">
        <v>118.5</v>
      </c>
      <c r="Y591" s="4752" t="n">
        <v>160</v>
      </c>
      <c r="Z591" s="4752" t="n">
        <v>100</v>
      </c>
      <c r="AA591" s="4752" t="n">
        <v>100</v>
      </c>
      <c r="AB591" s="4752" t="n">
        <v>44</v>
      </c>
      <c r="AC591" s="4749">
        <f>AVERAGE(3.6,84.9)</f>
        <v/>
      </c>
      <c r="AD591" s="4752" t="n">
        <v>50</v>
      </c>
      <c r="AE591" s="4752" t="n">
        <v>15</v>
      </c>
      <c r="AF591" s="4752" t="n">
        <v>30</v>
      </c>
      <c r="AG591" s="4752" t="n">
        <v>40</v>
      </c>
      <c r="AH591" s="4752" t="n">
        <v>15</v>
      </c>
      <c r="AI591" s="4752" t="n">
        <v>30</v>
      </c>
      <c r="AJ591" s="4749" t="n">
        <v>190</v>
      </c>
      <c r="AK591" s="4749">
        <f>AVERAGE(30,150)</f>
        <v/>
      </c>
    </row>
    <row r="592" customFormat="1" s="4747">
      <c r="A592" s="4754" t="inlineStr">
        <is>
          <t>Central Africa</t>
        </is>
      </c>
      <c r="B592" s="4755" t="n">
        <v>404.2</v>
      </c>
      <c r="C592" s="4755" t="n">
        <v>236.6</v>
      </c>
      <c r="D592" s="4755" t="n">
        <v>69.59999999999999</v>
      </c>
      <c r="E592" s="4755" t="n">
        <v>48.4</v>
      </c>
      <c r="F592" s="4750" t="n"/>
      <c r="G592" s="4756">
        <f>AVERAGE(200,300)</f>
        <v/>
      </c>
      <c r="H592" s="4756">
        <f>AVERAGE(120,483)</f>
        <v/>
      </c>
      <c r="I592" s="4756">
        <f>AVERAGE(60,193.9)</f>
        <v/>
      </c>
      <c r="J592" s="4756" t="n">
        <v>20</v>
      </c>
      <c r="K592" s="4756" t="n">
        <v>54.1</v>
      </c>
      <c r="L592" s="4756" t="n">
        <v>65.2</v>
      </c>
      <c r="M592" s="4756" t="n">
        <v>50.5</v>
      </c>
      <c r="N592" s="4756" t="n">
        <v>35.1</v>
      </c>
      <c r="O592" s="4757" t="n">
        <v>140</v>
      </c>
      <c r="P592" s="4756">
        <f>AVERAGE(60,70)</f>
        <v/>
      </c>
      <c r="Q592" s="4756">
        <f>AVERAGE(15,20)</f>
        <v/>
      </c>
      <c r="R592" s="4756">
        <f>AVERAGE(30,150)</f>
        <v/>
      </c>
      <c r="S592" s="4758" t="n"/>
      <c r="T592" s="4757" t="n">
        <v>180</v>
      </c>
      <c r="U592" s="4757" t="n">
        <v>120</v>
      </c>
      <c r="V592" s="4757" t="n">
        <v>100</v>
      </c>
      <c r="W592" s="4757" t="n">
        <v>44</v>
      </c>
      <c r="X592" s="4757" t="n">
        <v>118.5</v>
      </c>
      <c r="Y592" s="4757" t="n">
        <v>160</v>
      </c>
      <c r="Z592" s="4757" t="n">
        <v>100</v>
      </c>
      <c r="AA592" s="4757" t="n">
        <v>100</v>
      </c>
      <c r="AB592" s="4757" t="n">
        <v>44</v>
      </c>
      <c r="AC592" s="4755">
        <f>AVERAGE(3.6,84.9)</f>
        <v/>
      </c>
      <c r="AD592" s="4757" t="n">
        <v>50</v>
      </c>
      <c r="AE592" s="4757" t="n">
        <v>15</v>
      </c>
      <c r="AF592" s="4757" t="n">
        <v>30</v>
      </c>
      <c r="AG592" s="4757" t="n">
        <v>40</v>
      </c>
      <c r="AH592" s="4757" t="n">
        <v>15</v>
      </c>
      <c r="AI592" s="4757" t="n">
        <v>30</v>
      </c>
      <c r="AJ592" s="4755" t="n">
        <v>190</v>
      </c>
      <c r="AK592" s="4755">
        <f>AVERAGE(30,150)</f>
        <v/>
      </c>
    </row>
    <row r="593" customFormat="1" s="4747">
      <c r="A593" s="4754" t="inlineStr">
        <is>
          <t>Northern Africa</t>
        </is>
      </c>
      <c r="B593" s="4755" t="n">
        <v>404.2</v>
      </c>
      <c r="C593" s="4755" t="n">
        <v>236.6</v>
      </c>
      <c r="D593" s="4755" t="n">
        <v>69.59999999999999</v>
      </c>
      <c r="E593" s="4755" t="n">
        <v>48.4</v>
      </c>
      <c r="F593" s="4750" t="n"/>
      <c r="G593" s="4756">
        <f>AVERAGE(200,300)</f>
        <v/>
      </c>
      <c r="H593" s="4756">
        <f>AVERAGE(120,483)</f>
        <v/>
      </c>
      <c r="I593" s="4756">
        <f>AVERAGE(60,193.9)</f>
        <v/>
      </c>
      <c r="J593" s="4756" t="n">
        <v>20</v>
      </c>
      <c r="K593" s="4756" t="n">
        <v>54.1</v>
      </c>
      <c r="L593" s="4756" t="n">
        <v>65.2</v>
      </c>
      <c r="M593" s="4756" t="n">
        <v>50.5</v>
      </c>
      <c r="N593" s="4756" t="n">
        <v>35.1</v>
      </c>
      <c r="O593" s="4757" t="n">
        <v>140</v>
      </c>
      <c r="P593" s="4756">
        <f>AVERAGE(60,70)</f>
        <v/>
      </c>
      <c r="Q593" s="4756">
        <f>AVERAGE(15,20)</f>
        <v/>
      </c>
      <c r="R593" s="4756">
        <f>AVERAGE(30,150)</f>
        <v/>
      </c>
      <c r="S593" s="4758" t="n"/>
      <c r="T593" s="4757" t="n">
        <v>180</v>
      </c>
      <c r="U593" s="4757" t="n">
        <v>120</v>
      </c>
      <c r="V593" s="4757" t="n">
        <v>100</v>
      </c>
      <c r="W593" s="4757" t="n">
        <v>44</v>
      </c>
      <c r="X593" s="4757" t="n">
        <v>118.5</v>
      </c>
      <c r="Y593" s="4757" t="n">
        <v>160</v>
      </c>
      <c r="Z593" s="4757" t="n">
        <v>100</v>
      </c>
      <c r="AA593" s="4757" t="n">
        <v>100</v>
      </c>
      <c r="AB593" s="4757" t="n">
        <v>44</v>
      </c>
      <c r="AC593" s="4755">
        <f>AVERAGE(3.6,84.9)</f>
        <v/>
      </c>
      <c r="AD593" s="4757" t="n">
        <v>50</v>
      </c>
      <c r="AE593" s="4757" t="n">
        <v>15</v>
      </c>
      <c r="AF593" s="4757" t="n">
        <v>30</v>
      </c>
      <c r="AG593" s="4757" t="n">
        <v>40</v>
      </c>
      <c r="AH593" s="4757" t="n">
        <v>15</v>
      </c>
      <c r="AI593" s="4757" t="n">
        <v>30</v>
      </c>
      <c r="AJ593" s="4755" t="n">
        <v>190</v>
      </c>
      <c r="AK593" s="4755">
        <f>AVERAGE(30,150)</f>
        <v/>
      </c>
    </row>
    <row r="594" customFormat="1" s="4747">
      <c r="A594" s="4754" t="inlineStr">
        <is>
          <t>Southern Africa</t>
        </is>
      </c>
      <c r="B594" s="4755" t="n">
        <v>404.2</v>
      </c>
      <c r="C594" s="4755" t="n">
        <v>236.6</v>
      </c>
      <c r="D594" s="4755" t="n">
        <v>69.59999999999999</v>
      </c>
      <c r="E594" s="4755" t="n">
        <v>48.4</v>
      </c>
      <c r="F594" s="4750" t="n"/>
      <c r="G594" s="4756">
        <f>AVERAGE(200,300)</f>
        <v/>
      </c>
      <c r="H594" s="4756">
        <f>AVERAGE(120,483)</f>
        <v/>
      </c>
      <c r="I594" s="4756">
        <f>AVERAGE(60,193.9)</f>
        <v/>
      </c>
      <c r="J594" s="4756" t="n">
        <v>20</v>
      </c>
      <c r="K594" s="4756" t="n">
        <v>54.1</v>
      </c>
      <c r="L594" s="4756" t="n">
        <v>65.2</v>
      </c>
      <c r="M594" s="4756" t="n">
        <v>50.5</v>
      </c>
      <c r="N594" s="4756" t="n">
        <v>35.1</v>
      </c>
      <c r="O594" s="4757" t="n">
        <v>140</v>
      </c>
      <c r="P594" s="4756">
        <f>AVERAGE(60,70)</f>
        <v/>
      </c>
      <c r="Q594" s="4756">
        <f>AVERAGE(15,20)</f>
        <v/>
      </c>
      <c r="R594" s="4756">
        <f>AVERAGE(30,150)</f>
        <v/>
      </c>
      <c r="S594" s="4758" t="n"/>
      <c r="T594" s="4757" t="n">
        <v>180</v>
      </c>
      <c r="U594" s="4757" t="n">
        <v>120</v>
      </c>
      <c r="V594" s="4757" t="n">
        <v>100</v>
      </c>
      <c r="W594" s="4757" t="n">
        <v>44</v>
      </c>
      <c r="X594" s="4757" t="n">
        <v>118.5</v>
      </c>
      <c r="Y594" s="4757" t="n">
        <v>160</v>
      </c>
      <c r="Z594" s="4757" t="n">
        <v>100</v>
      </c>
      <c r="AA594" s="4757" t="n">
        <v>100</v>
      </c>
      <c r="AB594" s="4757" t="n">
        <v>44</v>
      </c>
      <c r="AC594" s="4755">
        <f>AVERAGE(3.6,84.9)</f>
        <v/>
      </c>
      <c r="AD594" s="4757" t="n">
        <v>50</v>
      </c>
      <c r="AE594" s="4757" t="n">
        <v>15</v>
      </c>
      <c r="AF594" s="4757" t="n">
        <v>30</v>
      </c>
      <c r="AG594" s="4757" t="n">
        <v>40</v>
      </c>
      <c r="AH594" s="4757" t="n">
        <v>15</v>
      </c>
      <c r="AI594" s="4757" t="n">
        <v>30</v>
      </c>
      <c r="AJ594" s="4755" t="n">
        <v>190</v>
      </c>
      <c r="AK594" s="4755">
        <f>AVERAGE(30,150)</f>
        <v/>
      </c>
    </row>
    <row r="595" customFormat="1" s="4747">
      <c r="A595" s="4754" t="inlineStr">
        <is>
          <t>Western Africa</t>
        </is>
      </c>
      <c r="B595" s="4755" t="n">
        <v>404.2</v>
      </c>
      <c r="C595" s="4755" t="n">
        <v>236.6</v>
      </c>
      <c r="D595" s="4755" t="n">
        <v>69.59999999999999</v>
      </c>
      <c r="E595" s="4755" t="n">
        <v>48.4</v>
      </c>
      <c r="F595" s="4750" t="n"/>
      <c r="G595" s="4756">
        <f>AVERAGE(200,300)</f>
        <v/>
      </c>
      <c r="H595" s="4756">
        <f>AVERAGE(120,483)</f>
        <v/>
      </c>
      <c r="I595" s="4756">
        <f>AVERAGE(60,193.9)</f>
        <v/>
      </c>
      <c r="J595" s="4756" t="n">
        <v>20</v>
      </c>
      <c r="K595" s="4756" t="n">
        <v>54.1</v>
      </c>
      <c r="L595" s="4756" t="n">
        <v>65.2</v>
      </c>
      <c r="M595" s="4756" t="n">
        <v>50.5</v>
      </c>
      <c r="N595" s="4756" t="n">
        <v>35.1</v>
      </c>
      <c r="O595" s="4757" t="n">
        <v>140</v>
      </c>
      <c r="P595" s="4756">
        <f>AVERAGE(60,70)</f>
        <v/>
      </c>
      <c r="Q595" s="4756">
        <f>AVERAGE(15,20)</f>
        <v/>
      </c>
      <c r="R595" s="4756">
        <f>AVERAGE(30,150)</f>
        <v/>
      </c>
      <c r="S595" s="4758" t="n"/>
      <c r="T595" s="4757" t="n">
        <v>180</v>
      </c>
      <c r="U595" s="4757" t="n">
        <v>120</v>
      </c>
      <c r="V595" s="4757" t="n">
        <v>100</v>
      </c>
      <c r="W595" s="4757" t="n">
        <v>44</v>
      </c>
      <c r="X595" s="4757" t="n">
        <v>118.5</v>
      </c>
      <c r="Y595" s="4757" t="n">
        <v>160</v>
      </c>
      <c r="Z595" s="4757" t="n">
        <v>100</v>
      </c>
      <c r="AA595" s="4757" t="n">
        <v>100</v>
      </c>
      <c r="AB595" s="4757" t="n">
        <v>44</v>
      </c>
      <c r="AC595" s="4755">
        <f>AVERAGE(3.6,84.9)</f>
        <v/>
      </c>
      <c r="AD595" s="4757" t="n">
        <v>50</v>
      </c>
      <c r="AE595" s="4757" t="n">
        <v>15</v>
      </c>
      <c r="AF595" s="4757" t="n">
        <v>30</v>
      </c>
      <c r="AG595" s="4757" t="n">
        <v>40</v>
      </c>
      <c r="AH595" s="4757" t="n">
        <v>15</v>
      </c>
      <c r="AI595" s="4757" t="n">
        <v>30</v>
      </c>
      <c r="AJ595" s="4755" t="n">
        <v>190</v>
      </c>
      <c r="AK595" s="4755">
        <f>AVERAGE(30,150)</f>
        <v/>
      </c>
    </row>
    <row r="596" customFormat="1" s="4747">
      <c r="A596" s="4754" t="inlineStr">
        <is>
          <t>Central Asia</t>
        </is>
      </c>
      <c r="B596" s="4755" t="n">
        <v>413.1</v>
      </c>
      <c r="C596" s="4755" t="n">
        <v>67.7</v>
      </c>
      <c r="D596" s="4755" t="n">
        <v>184.6</v>
      </c>
      <c r="E596" s="4755" t="n">
        <v>38.3</v>
      </c>
      <c r="F596" s="4750" t="n"/>
      <c r="G596" s="4756">
        <f>AVERAGE(48.5,512.8)</f>
        <v/>
      </c>
      <c r="H596" s="4756">
        <f>AVERAGE(93.7,260)</f>
        <v/>
      </c>
      <c r="I596" s="4756">
        <f>AVERAGE(45.5,88.8)</f>
        <v/>
      </c>
      <c r="J596" s="4756">
        <f>AVERAGE(30,263.3)</f>
        <v/>
      </c>
      <c r="K596" s="4756" t="n">
        <v>323</v>
      </c>
      <c r="L596" s="4756" t="n">
        <v>70.90000000000001</v>
      </c>
      <c r="M596" s="4756" t="n">
        <v>41.6</v>
      </c>
      <c r="N596" s="4756" t="n">
        <v>250.2</v>
      </c>
      <c r="O596" s="4756">
        <f>AVERAGE(100,180)</f>
        <v/>
      </c>
      <c r="P596" s="4756">
        <f>AVERAGE(60,163.5)</f>
        <v/>
      </c>
      <c r="Q596" s="4756">
        <f>AVERAGE(20,80)</f>
        <v/>
      </c>
      <c r="R596" s="4757" t="n">
        <v>90</v>
      </c>
      <c r="S596" s="4758" t="n"/>
      <c r="T596" s="4755" t="n">
        <v>289.8</v>
      </c>
      <c r="U596" s="4757" t="n">
        <v>120</v>
      </c>
      <c r="V596" s="4757" t="n">
        <v>100</v>
      </c>
      <c r="W596" s="4757" t="n">
        <v>44</v>
      </c>
      <c r="X596" s="4757" t="n">
        <v>118.5</v>
      </c>
      <c r="Y596" s="4756">
        <f>AVERAGE(150,200)</f>
        <v/>
      </c>
      <c r="Z596" s="4756">
        <f>AVERAGE(54.5,132.1)</f>
        <v/>
      </c>
      <c r="AA596" s="4757" t="n">
        <v>100</v>
      </c>
      <c r="AB596" s="4757" t="n">
        <v>44</v>
      </c>
      <c r="AC596" s="4755">
        <f>AVERAGE(3.6,84.9)</f>
        <v/>
      </c>
      <c r="AD596" s="4755" t="n">
        <v>62.9</v>
      </c>
      <c r="AE596" s="4757" t="n">
        <v>15</v>
      </c>
      <c r="AF596" s="4757" t="n">
        <v>30</v>
      </c>
      <c r="AG596" s="4755">
        <f>AVERAGE(40,50)</f>
        <v/>
      </c>
      <c r="AH596" s="4755" t="n">
        <v>25</v>
      </c>
      <c r="AI596" s="4755">
        <f>AVERAGE(40,50)</f>
        <v/>
      </c>
      <c r="AJ596" s="4755" t="n">
        <v>433.5</v>
      </c>
      <c r="AK596" s="4755">
        <f>AVERAGE(25,150)</f>
        <v/>
      </c>
    </row>
    <row r="597" customFormat="1" s="4747">
      <c r="A597" s="4754" t="inlineStr">
        <is>
          <t>Eastern Asia</t>
        </is>
      </c>
      <c r="B597" s="4755" t="n">
        <v>413.1</v>
      </c>
      <c r="C597" s="4755" t="n">
        <v>67.7</v>
      </c>
      <c r="D597" s="4755" t="n">
        <v>184.6</v>
      </c>
      <c r="E597" s="4755" t="n">
        <v>38.3</v>
      </c>
      <c r="F597" s="4750" t="n"/>
      <c r="G597" s="4756">
        <f>AVERAGE(48.5,512.8)</f>
        <v/>
      </c>
      <c r="H597" s="4756">
        <f>AVERAGE(93.7,260)</f>
        <v/>
      </c>
      <c r="I597" s="4756">
        <f>AVERAGE(45.5,88.8)</f>
        <v/>
      </c>
      <c r="J597" s="4756">
        <f>AVERAGE(30,263.3)</f>
        <v/>
      </c>
      <c r="K597" s="4756" t="n">
        <v>323</v>
      </c>
      <c r="L597" s="4756" t="n">
        <v>70.90000000000001</v>
      </c>
      <c r="M597" s="4756" t="n">
        <v>41.6</v>
      </c>
      <c r="N597" s="4756" t="n">
        <v>250.2</v>
      </c>
      <c r="O597" s="4756">
        <f>AVERAGE(100,180)</f>
        <v/>
      </c>
      <c r="P597" s="4756">
        <f>AVERAGE(60,163.5)</f>
        <v/>
      </c>
      <c r="Q597" s="4756">
        <f>AVERAGE(20,80)</f>
        <v/>
      </c>
      <c r="R597" s="4757" t="n">
        <v>90</v>
      </c>
      <c r="S597" s="4758" t="n"/>
      <c r="T597" s="4755" t="n">
        <v>289.8</v>
      </c>
      <c r="U597" s="4757" t="n">
        <v>120</v>
      </c>
      <c r="V597" s="4757" t="n">
        <v>100</v>
      </c>
      <c r="W597" s="4757" t="n">
        <v>44</v>
      </c>
      <c r="X597" s="4757" t="n">
        <v>118.5</v>
      </c>
      <c r="Y597" s="4756">
        <f>AVERAGE(150,200)</f>
        <v/>
      </c>
      <c r="Z597" s="4756">
        <f>AVERAGE(54.5,132.1)</f>
        <v/>
      </c>
      <c r="AA597" s="4757" t="n">
        <v>100</v>
      </c>
      <c r="AB597" s="4757" t="n">
        <v>44</v>
      </c>
      <c r="AC597" s="4755">
        <f>AVERAGE(3.6,84.9)</f>
        <v/>
      </c>
      <c r="AD597" s="4755" t="n">
        <v>62.9</v>
      </c>
      <c r="AE597" s="4757" t="n">
        <v>15</v>
      </c>
      <c r="AF597" s="4757" t="n">
        <v>30</v>
      </c>
      <c r="AG597" s="4755">
        <f>AVERAGE(40,50)</f>
        <v/>
      </c>
      <c r="AH597" s="4755" t="n">
        <v>25</v>
      </c>
      <c r="AI597" s="4755">
        <f>AVERAGE(40,50)</f>
        <v/>
      </c>
      <c r="AJ597" s="4755" t="n">
        <v>433.5</v>
      </c>
      <c r="AK597" s="4755">
        <f>AVERAGE(25,150)</f>
        <v/>
      </c>
    </row>
    <row r="598" customFormat="1" s="4747">
      <c r="A598" s="4754" t="inlineStr">
        <is>
          <t>South-eastern Asia</t>
        </is>
      </c>
      <c r="B598" s="4755" t="n">
        <v>413.1</v>
      </c>
      <c r="C598" s="4755" t="n">
        <v>67.7</v>
      </c>
      <c r="D598" s="4755" t="n">
        <v>184.6</v>
      </c>
      <c r="E598" s="4755" t="n">
        <v>38.3</v>
      </c>
      <c r="F598" s="4750" t="n"/>
      <c r="G598" s="4756">
        <f>AVERAGE(48.5,512.8)</f>
        <v/>
      </c>
      <c r="H598" s="4756">
        <f>AVERAGE(93.7,260)</f>
        <v/>
      </c>
      <c r="I598" s="4756">
        <f>AVERAGE(45.5,88.8)</f>
        <v/>
      </c>
      <c r="J598" s="4756">
        <f>AVERAGE(30,263.3)</f>
        <v/>
      </c>
      <c r="K598" s="4756" t="n">
        <v>323</v>
      </c>
      <c r="L598" s="4756" t="n">
        <v>70.90000000000001</v>
      </c>
      <c r="M598" s="4756" t="n">
        <v>41.6</v>
      </c>
      <c r="N598" s="4756" t="n">
        <v>250.2</v>
      </c>
      <c r="O598" s="4756">
        <f>AVERAGE(100,180)</f>
        <v/>
      </c>
      <c r="P598" s="4756">
        <f>AVERAGE(60,163.5)</f>
        <v/>
      </c>
      <c r="Q598" s="4756">
        <f>AVERAGE(20,80)</f>
        <v/>
      </c>
      <c r="R598" s="4757" t="n">
        <v>90</v>
      </c>
      <c r="S598" s="4758" t="n"/>
      <c r="T598" s="4755" t="n">
        <v>289.8</v>
      </c>
      <c r="U598" s="4757" t="n">
        <v>120</v>
      </c>
      <c r="V598" s="4757" t="n">
        <v>100</v>
      </c>
      <c r="W598" s="4757" t="n">
        <v>44</v>
      </c>
      <c r="X598" s="4757" t="n">
        <v>118.5</v>
      </c>
      <c r="Y598" s="4756">
        <f>AVERAGE(150,200)</f>
        <v/>
      </c>
      <c r="Z598" s="4756">
        <f>AVERAGE(54.5,132.1)</f>
        <v/>
      </c>
      <c r="AA598" s="4757" t="n">
        <v>100</v>
      </c>
      <c r="AB598" s="4757" t="n">
        <v>44</v>
      </c>
      <c r="AC598" s="4755">
        <f>AVERAGE(3.6,84.9)</f>
        <v/>
      </c>
      <c r="AD598" s="4755" t="n">
        <v>62.9</v>
      </c>
      <c r="AE598" s="4757" t="n">
        <v>15</v>
      </c>
      <c r="AF598" s="4757" t="n">
        <v>30</v>
      </c>
      <c r="AG598" s="4755">
        <f>AVERAGE(40,50)</f>
        <v/>
      </c>
      <c r="AH598" s="4755" t="n">
        <v>25</v>
      </c>
      <c r="AI598" s="4755">
        <f>AVERAGE(40,50)</f>
        <v/>
      </c>
      <c r="AJ598" s="4755" t="n">
        <v>433.5</v>
      </c>
      <c r="AK598" s="4755">
        <f>AVERAGE(25,150)</f>
        <v/>
      </c>
    </row>
    <row r="599" customFormat="1" s="4747">
      <c r="A599" s="4754" t="inlineStr">
        <is>
          <t>Southern Asia</t>
        </is>
      </c>
      <c r="B599" s="4755" t="n">
        <v>413.1</v>
      </c>
      <c r="C599" s="4755" t="n">
        <v>67.7</v>
      </c>
      <c r="D599" s="4755" t="n">
        <v>184.6</v>
      </c>
      <c r="E599" s="4755" t="n">
        <v>38.3</v>
      </c>
      <c r="F599" s="4750" t="n"/>
      <c r="G599" s="4756">
        <f>AVERAGE(48.5,512.8)</f>
        <v/>
      </c>
      <c r="H599" s="4756">
        <f>AVERAGE(93.7,260)</f>
        <v/>
      </c>
      <c r="I599" s="4756">
        <f>AVERAGE(45.5,88.8)</f>
        <v/>
      </c>
      <c r="J599" s="4756">
        <f>AVERAGE(30,263.3)</f>
        <v/>
      </c>
      <c r="K599" s="4756" t="n">
        <v>323</v>
      </c>
      <c r="L599" s="4756" t="n">
        <v>70.90000000000001</v>
      </c>
      <c r="M599" s="4756" t="n">
        <v>41.6</v>
      </c>
      <c r="N599" s="4756" t="n">
        <v>250.2</v>
      </c>
      <c r="O599" s="4756">
        <f>AVERAGE(100,180)</f>
        <v/>
      </c>
      <c r="P599" s="4756">
        <f>AVERAGE(60,163.5)</f>
        <v/>
      </c>
      <c r="Q599" s="4756">
        <f>AVERAGE(20,80)</f>
        <v/>
      </c>
      <c r="R599" s="4757" t="n">
        <v>90</v>
      </c>
      <c r="S599" s="4758" t="n"/>
      <c r="T599" s="4755" t="n">
        <v>289.8</v>
      </c>
      <c r="U599" s="4757" t="n">
        <v>120</v>
      </c>
      <c r="V599" s="4757" t="n">
        <v>100</v>
      </c>
      <c r="W599" s="4757" t="n">
        <v>44</v>
      </c>
      <c r="X599" s="4757" t="n">
        <v>118.5</v>
      </c>
      <c r="Y599" s="4756">
        <f>AVERAGE(150,200)</f>
        <v/>
      </c>
      <c r="Z599" s="4756">
        <f>AVERAGE(54.5,132.1)</f>
        <v/>
      </c>
      <c r="AA599" s="4757" t="n">
        <v>100</v>
      </c>
      <c r="AB599" s="4757" t="n">
        <v>44</v>
      </c>
      <c r="AC599" s="4755">
        <f>AVERAGE(3.6,84.9)</f>
        <v/>
      </c>
      <c r="AD599" s="4755" t="n">
        <v>62.9</v>
      </c>
      <c r="AE599" s="4757" t="n">
        <v>15</v>
      </c>
      <c r="AF599" s="4757" t="n">
        <v>30</v>
      </c>
      <c r="AG599" s="4755">
        <f>AVERAGE(40,50)</f>
        <v/>
      </c>
      <c r="AH599" s="4755" t="n">
        <v>25</v>
      </c>
      <c r="AI599" s="4755">
        <f>AVERAGE(40,50)</f>
        <v/>
      </c>
      <c r="AJ599" s="4755" t="n">
        <v>433.5</v>
      </c>
      <c r="AK599" s="4755">
        <f>AVERAGE(25,150)</f>
        <v/>
      </c>
    </row>
    <row r="600" customFormat="1" s="4747">
      <c r="A600" s="4754" t="inlineStr">
        <is>
          <t>Western Asia</t>
        </is>
      </c>
      <c r="B600" s="4755" t="n">
        <v>413.1</v>
      </c>
      <c r="C600" s="4755" t="n">
        <v>67.7</v>
      </c>
      <c r="D600" s="4755" t="n">
        <v>184.6</v>
      </c>
      <c r="E600" s="4755" t="n">
        <v>38.3</v>
      </c>
      <c r="F600" s="4750" t="n"/>
      <c r="G600" s="4756">
        <f>AVERAGE(48.5,512.8)</f>
        <v/>
      </c>
      <c r="H600" s="4756">
        <f>AVERAGE(93.7,260)</f>
        <v/>
      </c>
      <c r="I600" s="4756">
        <f>AVERAGE(45.5,88.8)</f>
        <v/>
      </c>
      <c r="J600" s="4756">
        <f>AVERAGE(30,263.3)</f>
        <v/>
      </c>
      <c r="K600" s="4756" t="n">
        <v>323</v>
      </c>
      <c r="L600" s="4756" t="n">
        <v>70.90000000000001</v>
      </c>
      <c r="M600" s="4756" t="n">
        <v>41.6</v>
      </c>
      <c r="N600" s="4756" t="n">
        <v>250.2</v>
      </c>
      <c r="O600" s="4756">
        <f>AVERAGE(100,180)</f>
        <v/>
      </c>
      <c r="P600" s="4756">
        <f>AVERAGE(60,163.5)</f>
        <v/>
      </c>
      <c r="Q600" s="4756">
        <f>AVERAGE(20,80)</f>
        <v/>
      </c>
      <c r="R600" s="4757" t="n">
        <v>90</v>
      </c>
      <c r="S600" s="4758" t="n"/>
      <c r="T600" s="4755" t="n">
        <v>289.8</v>
      </c>
      <c r="U600" s="4757" t="n">
        <v>120</v>
      </c>
      <c r="V600" s="4757" t="n">
        <v>100</v>
      </c>
      <c r="W600" s="4757" t="n">
        <v>44</v>
      </c>
      <c r="X600" s="4757" t="n">
        <v>118.5</v>
      </c>
      <c r="Y600" s="4756">
        <f>AVERAGE(150,200)</f>
        <v/>
      </c>
      <c r="Z600" s="4756">
        <f>AVERAGE(54.5,132.1)</f>
        <v/>
      </c>
      <c r="AA600" s="4757" t="n">
        <v>100</v>
      </c>
      <c r="AB600" s="4757" t="n">
        <v>44</v>
      </c>
      <c r="AC600" s="4755">
        <f>AVERAGE(3.6,84.9)</f>
        <v/>
      </c>
      <c r="AD600" s="4755" t="n">
        <v>62.9</v>
      </c>
      <c r="AE600" s="4757" t="n">
        <v>15</v>
      </c>
      <c r="AF600" s="4757" t="n">
        <v>30</v>
      </c>
      <c r="AG600" s="4755">
        <f>AVERAGE(40,50)</f>
        <v/>
      </c>
      <c r="AH600" s="4755" t="n">
        <v>25</v>
      </c>
      <c r="AI600" s="4755">
        <f>AVERAGE(40,50)</f>
        <v/>
      </c>
      <c r="AJ600" s="4755" t="n">
        <v>433.5</v>
      </c>
      <c r="AK600" s="4755">
        <f>AVERAGE(25,150)</f>
        <v/>
      </c>
    </row>
    <row r="601" customFormat="1" s="4747">
      <c r="A601" s="4754" t="inlineStr">
        <is>
          <t>Europe</t>
        </is>
      </c>
      <c r="B601" s="4757" t="n">
        <v>300</v>
      </c>
      <c r="C601" s="4757" t="n">
        <v>180</v>
      </c>
      <c r="D601" s="4757" t="n">
        <v>130</v>
      </c>
      <c r="E601" s="4757" t="n">
        <v>70</v>
      </c>
      <c r="F601" s="4750" t="n"/>
      <c r="G601" s="4757" t="n">
        <v>150</v>
      </c>
      <c r="H601" s="4757" t="n">
        <v>120</v>
      </c>
      <c r="I601" s="4757" t="n">
        <v>60</v>
      </c>
      <c r="J601" s="4757" t="n">
        <v>30</v>
      </c>
      <c r="K601" s="4757" t="n">
        <v>220</v>
      </c>
      <c r="L601" s="4757" t="n">
        <v>130</v>
      </c>
      <c r="M601" s="4757" t="n">
        <v>70</v>
      </c>
      <c r="N601" s="4757" t="n">
        <v>140</v>
      </c>
      <c r="O601" s="4757" t="n">
        <v>140</v>
      </c>
      <c r="P601" s="4757" t="n">
        <v>60</v>
      </c>
      <c r="Q601" s="4757" t="n">
        <v>30</v>
      </c>
      <c r="R601" s="4757" t="n">
        <v>90</v>
      </c>
      <c r="S601" s="4758" t="n"/>
      <c r="T601" s="4755" t="n">
        <v>126.1</v>
      </c>
      <c r="U601" s="4755" t="n">
        <v>332.4</v>
      </c>
      <c r="V601" s="4755" t="n">
        <v>301.1</v>
      </c>
      <c r="W601" s="4757" t="n">
        <v>44</v>
      </c>
      <c r="X601" s="4757" t="n">
        <v>118.5</v>
      </c>
      <c r="Y601" s="4756">
        <f>AVERAGE(150,200)</f>
        <v/>
      </c>
      <c r="Z601" s="4757" t="n">
        <v>100</v>
      </c>
      <c r="AA601" s="4757" t="n">
        <v>100</v>
      </c>
      <c r="AB601" s="4757" t="n">
        <v>44</v>
      </c>
      <c r="AC601" s="4755">
        <f>AVERAGE(3.6,84.9)</f>
        <v/>
      </c>
      <c r="AD601" s="4755" t="n">
        <v>62.9</v>
      </c>
      <c r="AE601" s="4757" t="n">
        <v>15</v>
      </c>
      <c r="AF601" s="4757" t="n">
        <v>30</v>
      </c>
      <c r="AG601" s="4755">
        <f>AVERAGE(40,50)</f>
        <v/>
      </c>
      <c r="AH601" s="4755" t="n">
        <v>25</v>
      </c>
      <c r="AI601" s="4755">
        <f>AVERAGE(40,50)</f>
        <v/>
      </c>
      <c r="AJ601" s="4757" t="n">
        <v>140</v>
      </c>
      <c r="AK601" s="4757" t="n">
        <v>90</v>
      </c>
    </row>
    <row r="602" customFormat="1" s="4747">
      <c r="A602" s="4754" t="inlineStr">
        <is>
          <t>Oceania</t>
        </is>
      </c>
      <c r="B602" s="4757" t="n">
        <v>300</v>
      </c>
      <c r="C602" s="4757" t="n">
        <v>180</v>
      </c>
      <c r="D602" s="4757" t="n">
        <v>130</v>
      </c>
      <c r="E602" s="4757" t="n">
        <v>70</v>
      </c>
      <c r="F602" s="4750" t="n"/>
      <c r="G602" s="4757" t="n">
        <v>150</v>
      </c>
      <c r="H602" s="4757" t="n">
        <v>120</v>
      </c>
      <c r="I602" s="4757" t="n">
        <v>60</v>
      </c>
      <c r="J602" s="4757" t="n">
        <v>30</v>
      </c>
      <c r="K602" s="4757" t="n">
        <v>220</v>
      </c>
      <c r="L602" s="4757" t="n">
        <v>130</v>
      </c>
      <c r="M602" s="4757" t="n">
        <v>70</v>
      </c>
      <c r="N602" s="4757" t="n">
        <v>140</v>
      </c>
      <c r="O602" s="4757" t="n">
        <v>140</v>
      </c>
      <c r="P602" s="4757" t="n">
        <v>60</v>
      </c>
      <c r="Q602" s="4757" t="n">
        <v>30</v>
      </c>
      <c r="R602" s="4757" t="n">
        <v>90</v>
      </c>
      <c r="S602" s="4758" t="n"/>
      <c r="T602" s="4755" t="n">
        <v>352.7</v>
      </c>
      <c r="U602" s="4757" t="n">
        <v>120</v>
      </c>
      <c r="V602" s="4757" t="n">
        <v>100</v>
      </c>
      <c r="W602" s="4757" t="n">
        <v>44</v>
      </c>
      <c r="X602" s="4757" t="n">
        <v>118.5</v>
      </c>
      <c r="Y602" s="4757" t="n">
        <v>160</v>
      </c>
      <c r="Z602" s="4757" t="n">
        <v>100</v>
      </c>
      <c r="AA602" s="4757" t="n">
        <v>100</v>
      </c>
      <c r="AB602" s="4757" t="n">
        <v>44</v>
      </c>
      <c r="AC602" s="4755">
        <f>AVERAGE(3.6,84.9)</f>
        <v/>
      </c>
      <c r="AD602" s="4757" t="n">
        <v>50</v>
      </c>
      <c r="AE602" s="4757" t="n">
        <v>15</v>
      </c>
      <c r="AF602" s="4757" t="n">
        <v>30</v>
      </c>
      <c r="AG602" s="4757" t="n">
        <v>40</v>
      </c>
      <c r="AH602" s="4757" t="n">
        <v>15</v>
      </c>
      <c r="AI602" s="4757" t="n">
        <v>30</v>
      </c>
      <c r="AJ602" s="4757" t="n">
        <v>140</v>
      </c>
      <c r="AK602" s="4757" t="n">
        <v>90</v>
      </c>
    </row>
    <row r="603" customFormat="1" s="4747">
      <c r="A603" s="4754" t="inlineStr">
        <is>
          <t>North America</t>
        </is>
      </c>
      <c r="B603" s="4755" t="n">
        <v>307.1</v>
      </c>
      <c r="C603" s="4755" t="n">
        <v>187.3</v>
      </c>
      <c r="D603" s="4755" t="n">
        <v>127.5</v>
      </c>
      <c r="E603" s="4755" t="n">
        <v>71.5</v>
      </c>
      <c r="F603" s="4750" t="n"/>
      <c r="G603" s="4756">
        <f>AVERAGE(150,300)</f>
        <v/>
      </c>
      <c r="H603" s="4756">
        <f>AVERAGE(46.9,284)</f>
        <v/>
      </c>
      <c r="I603" s="4756">
        <f>AVERAGE(50,110)</f>
        <v/>
      </c>
      <c r="J603" s="4756">
        <f>AVERAGE(30,60)</f>
        <v/>
      </c>
      <c r="K603" s="4756" t="n">
        <v>84.5</v>
      </c>
      <c r="L603" s="4756" t="n">
        <v>115.9</v>
      </c>
      <c r="M603" s="4756" t="n">
        <v>44</v>
      </c>
      <c r="N603" s="4756" t="n">
        <v>74.59999999999999</v>
      </c>
      <c r="O603" s="4756">
        <f>AVERAGE(11.1,270)</f>
        <v/>
      </c>
      <c r="P603" s="4756">
        <f>AVERAGE(60,110)</f>
        <v/>
      </c>
      <c r="Q603" s="4756">
        <f>AVERAGE(30,60)</f>
        <v/>
      </c>
      <c r="R603" s="4756">
        <f>AVERAGE(24.9,170)</f>
        <v/>
      </c>
      <c r="S603" s="4758" t="n"/>
      <c r="T603" s="4757" t="n">
        <v>180</v>
      </c>
      <c r="U603" s="4757" t="n">
        <v>120</v>
      </c>
      <c r="V603" s="4757" t="n">
        <v>100</v>
      </c>
      <c r="W603" s="4757" t="n">
        <v>44</v>
      </c>
      <c r="X603" s="4757" t="n">
        <v>118.5</v>
      </c>
      <c r="Y603" s="4756">
        <f>AVERAGE(76.2,131.3)</f>
        <v/>
      </c>
      <c r="Z603" s="4755">
        <f>AVERAGE(21.5,96.7)</f>
        <v/>
      </c>
      <c r="AA603" s="4755">
        <f>AVERAGE(29.1,89.2)</f>
        <v/>
      </c>
      <c r="AB603" s="4757" t="n">
        <v>44</v>
      </c>
      <c r="AC603" s="4755">
        <f>AVERAGE(3.6,84.9)</f>
        <v/>
      </c>
      <c r="AD603" s="4755" t="n">
        <v>62.9</v>
      </c>
      <c r="AE603" s="4757" t="n">
        <v>15</v>
      </c>
      <c r="AF603" s="4757" t="n">
        <v>30</v>
      </c>
      <c r="AG603" s="4755">
        <f>AVERAGE(40,50)</f>
        <v/>
      </c>
      <c r="AH603" s="4755" t="n">
        <v>25</v>
      </c>
      <c r="AI603" s="4755">
        <f>AVERAGE(40,50)</f>
        <v/>
      </c>
      <c r="AJ603" s="4755" t="n">
        <v>195</v>
      </c>
      <c r="AK603" s="4755">
        <f>AVERAGE(30,170)</f>
        <v/>
      </c>
    </row>
    <row r="604" customFormat="1" s="4747">
      <c r="A604" s="4754" t="inlineStr">
        <is>
          <t>South America</t>
        </is>
      </c>
      <c r="B604" s="4755" t="n">
        <v>307.1</v>
      </c>
      <c r="C604" s="4755" t="n">
        <v>187.3</v>
      </c>
      <c r="D604" s="4755" t="n">
        <v>127.5</v>
      </c>
      <c r="E604" s="4755" t="n">
        <v>71.5</v>
      </c>
      <c r="F604" s="4750" t="n"/>
      <c r="G604" s="4756">
        <f>AVERAGE(150,300)</f>
        <v/>
      </c>
      <c r="H604" s="4756">
        <f>AVERAGE(46.9,284)</f>
        <v/>
      </c>
      <c r="I604" s="4756">
        <f>AVERAGE(50,110)</f>
        <v/>
      </c>
      <c r="J604" s="4756">
        <f>AVERAGE(30,60)</f>
        <v/>
      </c>
      <c r="K604" s="4756" t="n">
        <v>84.5</v>
      </c>
      <c r="L604" s="4756" t="n">
        <v>115.9</v>
      </c>
      <c r="M604" s="4756" t="n">
        <v>44</v>
      </c>
      <c r="N604" s="4756" t="n">
        <v>74.59999999999999</v>
      </c>
      <c r="O604" s="4756">
        <f>AVERAGE(11.1,270)</f>
        <v/>
      </c>
      <c r="P604" s="4756">
        <f>AVERAGE(60,110)</f>
        <v/>
      </c>
      <c r="Q604" s="4756">
        <f>AVERAGE(30,60)</f>
        <v/>
      </c>
      <c r="R604" s="4756">
        <f>AVERAGE(24.9,170)</f>
        <v/>
      </c>
      <c r="S604" s="4758" t="n"/>
      <c r="T604" s="4757" t="n">
        <v>180</v>
      </c>
      <c r="U604" s="4757" t="n">
        <v>120</v>
      </c>
      <c r="V604" s="4757" t="n">
        <v>100</v>
      </c>
      <c r="W604" s="4757" t="n">
        <v>44</v>
      </c>
      <c r="X604" s="4757" t="n">
        <v>118.5</v>
      </c>
      <c r="Y604" s="4756">
        <f>AVERAGE(76.2,131.3)</f>
        <v/>
      </c>
      <c r="Z604" s="4755">
        <f>AVERAGE(21.5,96.7)</f>
        <v/>
      </c>
      <c r="AA604" s="4755">
        <f>AVERAGE(29.1,89.2)</f>
        <v/>
      </c>
      <c r="AB604" s="4757" t="n">
        <v>44</v>
      </c>
      <c r="AC604" s="4755">
        <f>AVERAGE(3.6,84.9)</f>
        <v/>
      </c>
      <c r="AD604" s="4757" t="n">
        <v>50</v>
      </c>
      <c r="AE604" s="4757" t="n">
        <v>15</v>
      </c>
      <c r="AF604" s="4757" t="n">
        <v>30</v>
      </c>
      <c r="AG604" s="4757" t="n">
        <v>40</v>
      </c>
      <c r="AH604" s="4757" t="n">
        <v>15</v>
      </c>
      <c r="AI604" s="4757" t="n">
        <v>30</v>
      </c>
      <c r="AJ604" s="4755" t="n">
        <v>195</v>
      </c>
      <c r="AK604" s="4755">
        <f>AVERAGE(30,170)</f>
        <v/>
      </c>
    </row>
    <row r="605" customFormat="1" s="4747">
      <c r="A605" s="4754" t="inlineStr">
        <is>
          <t>Central America</t>
        </is>
      </c>
      <c r="B605" s="4755" t="n">
        <v>307.1</v>
      </c>
      <c r="C605" s="4755" t="n">
        <v>187.3</v>
      </c>
      <c r="D605" s="4755" t="n">
        <v>127.5</v>
      </c>
      <c r="E605" s="4755" t="n">
        <v>71.5</v>
      </c>
      <c r="F605" s="4750" t="n"/>
      <c r="G605" s="4756">
        <f>AVERAGE(150,300)</f>
        <v/>
      </c>
      <c r="H605" s="4756">
        <f>AVERAGE(46.9,284)</f>
        <v/>
      </c>
      <c r="I605" s="4756">
        <f>AVERAGE(50,110)</f>
        <v/>
      </c>
      <c r="J605" s="4756">
        <f>AVERAGE(30,60)</f>
        <v/>
      </c>
      <c r="K605" s="4756" t="n">
        <v>84.5</v>
      </c>
      <c r="L605" s="4756" t="n">
        <v>115.9</v>
      </c>
      <c r="M605" s="4756" t="n">
        <v>44</v>
      </c>
      <c r="N605" s="4756" t="n">
        <v>74.59999999999999</v>
      </c>
      <c r="O605" s="4756">
        <f>AVERAGE(11.1,270)</f>
        <v/>
      </c>
      <c r="P605" s="4756">
        <f>AVERAGE(60,110)</f>
        <v/>
      </c>
      <c r="Q605" s="4756">
        <f>AVERAGE(30,60)</f>
        <v/>
      </c>
      <c r="R605" s="4756">
        <f>AVERAGE(24.9,170)</f>
        <v/>
      </c>
      <c r="S605" s="4759" t="n"/>
      <c r="T605" s="4757" t="n">
        <v>180</v>
      </c>
      <c r="U605" s="4757" t="n">
        <v>120</v>
      </c>
      <c r="V605" s="4757" t="n">
        <v>100</v>
      </c>
      <c r="W605" s="4757" t="n">
        <v>44</v>
      </c>
      <c r="X605" s="4757" t="n">
        <v>118.5</v>
      </c>
      <c r="Y605" s="4756">
        <f>AVERAGE(76.2,131.3)</f>
        <v/>
      </c>
      <c r="Z605" s="4755">
        <f>AVERAGE(21.5,96.7)</f>
        <v/>
      </c>
      <c r="AA605" s="4755">
        <f>AVERAGE(29.1,89.2)</f>
        <v/>
      </c>
      <c r="AB605" s="4757" t="n">
        <v>44</v>
      </c>
      <c r="AC605" s="4755">
        <f>AVERAGE(3.6,84.9)</f>
        <v/>
      </c>
      <c r="AD605" s="4757" t="n">
        <v>50</v>
      </c>
      <c r="AE605" s="4757" t="n">
        <v>15</v>
      </c>
      <c r="AF605" s="4757" t="n">
        <v>30</v>
      </c>
      <c r="AG605" s="4757" t="n">
        <v>40</v>
      </c>
      <c r="AH605" s="4757" t="n">
        <v>15</v>
      </c>
      <c r="AI605" s="4757" t="n">
        <v>30</v>
      </c>
      <c r="AJ605" s="4756">
        <f>AVERAGE(76.2,131.3)</f>
        <v/>
      </c>
      <c r="AK605" s="4755">
        <f>AVERAGE(21.5,96.7)</f>
        <v/>
      </c>
      <c r="AL605" s="4755">
        <f>AVERAGE(29.1,89.2)</f>
        <v/>
      </c>
    </row>
    <row r="606" customFormat="1" s="4747">
      <c r="A606" s="4760" t="inlineStr">
        <is>
          <t>Caribbean</t>
        </is>
      </c>
      <c r="B606" s="4755" t="n">
        <v>307.1</v>
      </c>
      <c r="C606" s="4755" t="n">
        <v>187.3</v>
      </c>
      <c r="D606" s="4755" t="n">
        <v>127.5</v>
      </c>
      <c r="E606" s="4755" t="n">
        <v>71.5</v>
      </c>
      <c r="F606" s="4750" t="n"/>
      <c r="G606" s="4756">
        <f>AVERAGE(150,300)</f>
        <v/>
      </c>
      <c r="H606" s="4756">
        <f>AVERAGE(46.9,284)</f>
        <v/>
      </c>
      <c r="I606" s="4756">
        <f>AVERAGE(50,110)</f>
        <v/>
      </c>
      <c r="J606" s="4756">
        <f>AVERAGE(30,60)</f>
        <v/>
      </c>
      <c r="K606" s="4756" t="n">
        <v>84.5</v>
      </c>
      <c r="L606" s="4756" t="n">
        <v>115.9</v>
      </c>
      <c r="M606" s="4756" t="n">
        <v>44</v>
      </c>
      <c r="N606" s="4756" t="n">
        <v>74.59999999999999</v>
      </c>
      <c r="O606" s="4756">
        <f>AVERAGE(11.1,270)</f>
        <v/>
      </c>
      <c r="P606" s="4756">
        <f>AVERAGE(60,110)</f>
        <v/>
      </c>
      <c r="Q606" s="4756">
        <f>AVERAGE(30,60)</f>
        <v/>
      </c>
      <c r="R606" s="4756">
        <f>AVERAGE(24.9,170)</f>
        <v/>
      </c>
      <c r="S606" s="4759" t="n"/>
      <c r="T606" s="4757" t="n">
        <v>180</v>
      </c>
      <c r="U606" s="4757" t="n">
        <v>120</v>
      </c>
      <c r="V606" s="4757" t="n">
        <v>100</v>
      </c>
      <c r="W606" s="4757" t="n">
        <v>44</v>
      </c>
      <c r="X606" s="4757" t="n">
        <v>118.5</v>
      </c>
      <c r="Y606" s="4756">
        <f>AVERAGE(76.2,131.3)</f>
        <v/>
      </c>
      <c r="Z606" s="4755">
        <f>AVERAGE(21.5,96.7)</f>
        <v/>
      </c>
      <c r="AA606" s="4755">
        <f>AVERAGE(29.1,89.2)</f>
        <v/>
      </c>
      <c r="AB606" s="4757" t="n">
        <v>44</v>
      </c>
      <c r="AC606" s="4755">
        <f>AVERAGE(3.6,84.9)</f>
        <v/>
      </c>
      <c r="AD606" s="4757" t="n">
        <v>50</v>
      </c>
      <c r="AE606" s="4757" t="n">
        <v>15</v>
      </c>
      <c r="AF606" s="4757" t="n">
        <v>30</v>
      </c>
      <c r="AG606" s="4757" t="n">
        <v>40</v>
      </c>
      <c r="AH606" s="4757" t="n">
        <v>15</v>
      </c>
      <c r="AI606" s="4757" t="n">
        <v>30</v>
      </c>
      <c r="AJ606" s="4756">
        <f>AVERAGE(76.2,131.3)</f>
        <v/>
      </c>
      <c r="AK606" s="4755">
        <f>AVERAGE(21.5,96.7)</f>
        <v/>
      </c>
      <c r="AL606" s="4755">
        <f>AVERAGE(29.1,89.2)</f>
        <v/>
      </c>
    </row>
    <row r="607" customFormat="1" s="291">
      <c r="A607" s="458" t="inlineStr">
        <is>
          <t>Notes</t>
        </is>
      </c>
      <c r="B607" s="419" t="n"/>
      <c r="G607" s="419" t="n"/>
      <c r="H607" s="419" t="n"/>
      <c r="I607" s="503" t="n"/>
      <c r="L607" s="419" t="n"/>
      <c r="M607" s="419" t="n"/>
      <c r="N607" s="419" t="n"/>
      <c r="O607" s="419" t="n"/>
      <c r="P607" s="419" t="n"/>
      <c r="Q607" s="419" t="n"/>
      <c r="R607" s="419" t="n"/>
      <c r="S607" s="419" t="n"/>
      <c r="T607" s="419" t="n"/>
      <c r="U607" s="419" t="n"/>
      <c r="V607" s="419" t="n"/>
      <c r="W607" s="419" t="n"/>
      <c r="X607" s="419" t="n"/>
      <c r="Y607" s="419" t="n"/>
      <c r="Z607" s="419" t="n"/>
      <c r="AA607" s="419" t="n"/>
      <c r="AB607" s="419" t="n"/>
      <c r="AC607" s="419" t="n"/>
      <c r="AD607" s="419" t="n"/>
      <c r="AE607" s="419" t="n"/>
      <c r="AF607" s="419" t="n"/>
      <c r="AG607" s="419" t="n"/>
      <c r="AH607" s="419" t="n"/>
      <c r="AI607" s="419" t="n"/>
      <c r="AJ607" s="419" t="n"/>
      <c r="AK607" s="419" t="n"/>
    </row>
    <row r="608" customFormat="1" s="21">
      <c r="A608" s="459" t="inlineStr">
        <is>
          <t xml:space="preserve">Values in black are taken from the updated  Table 4.12 (values for primary forest) , in IPCC 2019, </t>
        </is>
      </c>
      <c r="B608" s="453" t="n"/>
      <c r="G608" s="453" t="n"/>
      <c r="H608" s="453" t="n"/>
      <c r="I608" s="454" t="n"/>
      <c r="L608" s="453" t="n"/>
      <c r="M608" s="453" t="n"/>
      <c r="N608" s="453" t="n"/>
      <c r="O608" s="453" t="n"/>
    </row>
    <row r="609" customFormat="1" s="21">
      <c r="A609" s="459" t="inlineStr">
        <is>
          <t xml:space="preserve">Values in red are taken from Table 4.12 in IPCC 2006, Chapter 4, page 4.63 </t>
        </is>
      </c>
    </row>
    <row r="610" customFormat="1" s="472">
      <c r="A610" s="655" t="inlineStr">
        <is>
          <t xml:space="preserve">Values for forest plantations  are taken from  TABLE 4.12. (UPDATED). They are calculated as the average of the given range </t>
        </is>
      </c>
    </row>
    <row r="612" customFormat="1" s="329">
      <c r="A612" s="449" t="inlineStr">
        <is>
          <t>Ratio of below-ground biomass to above-ground biomass (R) [tonne root d.m. (tonne shoot d.m.)-1]</t>
        </is>
      </c>
    </row>
    <row r="613" customFormat="1" s="106">
      <c r="A613" s="450" t="inlineStr">
        <is>
          <t>TABLE. 4.4. (UPDATED), in IPCC 2019, Vol 4, Ch. 4, page 4.17</t>
        </is>
      </c>
    </row>
    <row r="614" customFormat="1" s="480">
      <c r="A614" s="478" t="n"/>
      <c r="B614" s="479" t="n"/>
      <c r="C614" s="479" t="n"/>
      <c r="D614" s="479" t="n"/>
      <c r="E614" s="479" t="n"/>
      <c r="F614" s="479" t="n"/>
      <c r="G614" s="479" t="n"/>
      <c r="H614" s="479" t="n"/>
      <c r="I614" s="479" t="n"/>
      <c r="J614" s="479" t="n"/>
      <c r="K614" s="479" t="n"/>
      <c r="L614" s="479" t="n"/>
      <c r="M614" s="479" t="n"/>
      <c r="AC614" s="313" t="n"/>
      <c r="AD614" s="313" t="n"/>
      <c r="AE614" s="507" t="n"/>
      <c r="AF614" s="507" t="n"/>
      <c r="AG614" s="506" t="n"/>
      <c r="AH614" s="506" t="n"/>
      <c r="AI614" s="506" t="n"/>
    </row>
    <row r="615" customFormat="1" s="483">
      <c r="A615" s="481" t="n"/>
      <c r="B615" s="481" t="n"/>
      <c r="C615" s="481" t="n"/>
      <c r="D615" s="481" t="n"/>
      <c r="E615" s="481" t="n"/>
      <c r="F615" s="487" t="n"/>
      <c r="G615" s="487" t="n"/>
      <c r="H615" s="487" t="n"/>
      <c r="I615" s="487" t="n"/>
      <c r="J615" s="487" t="n"/>
      <c r="K615" s="487" t="n"/>
      <c r="L615" s="487" t="n"/>
      <c r="M615" s="487" t="n"/>
      <c r="N615" s="487" t="n"/>
      <c r="O615" s="481" t="n"/>
      <c r="P615" s="481" t="n"/>
      <c r="Q615" s="481" t="n"/>
      <c r="R615" s="481" t="n"/>
      <c r="S615" s="481" t="n"/>
      <c r="T615" s="481" t="n"/>
      <c r="U615" s="481" t="n"/>
      <c r="V615" s="481" t="n"/>
      <c r="W615" s="481" t="n"/>
      <c r="X615" s="481" t="n"/>
      <c r="Y615" s="481" t="n"/>
      <c r="Z615" s="481" t="n"/>
      <c r="AA615" s="481" t="n"/>
      <c r="AB615" s="505" t="n"/>
      <c r="AC615" s="481" t="n"/>
      <c r="AD615" s="481" t="n"/>
      <c r="AE615" s="481" t="n"/>
      <c r="AF615" s="482" t="n"/>
      <c r="AJ615" s="481" t="n"/>
      <c r="AK615" s="481" t="n"/>
      <c r="AL615" s="481" t="n"/>
      <c r="AM615" s="481" t="n"/>
      <c r="AN615" s="481" t="n"/>
      <c r="AO615" s="481" t="n"/>
      <c r="AP615" s="481" t="n"/>
      <c r="AQ615" s="481" t="n"/>
      <c r="AR615" s="481" t="n"/>
      <c r="AS615" s="481" t="n"/>
      <c r="AT615" s="481" t="n"/>
      <c r="AU615" s="481" t="n"/>
      <c r="AV615" s="481" t="n"/>
      <c r="AW615" s="481" t="n"/>
      <c r="AX615" s="481" t="n"/>
      <c r="AY615" s="481" t="n"/>
      <c r="AZ615" s="481" t="n"/>
      <c r="BA615" s="481" t="n"/>
      <c r="BB615" s="481" t="n"/>
      <c r="BC615" s="481" t="n"/>
      <c r="BD615" s="481" t="n"/>
      <c r="BE615" s="481" t="n"/>
      <c r="BF615" s="481" t="n"/>
      <c r="BG615" s="481" t="n"/>
      <c r="BH615" s="481" t="n"/>
      <c r="BI615" s="481" t="n"/>
      <c r="BJ615" s="481" t="n"/>
      <c r="BK615" s="481" t="n"/>
      <c r="BL615" s="481" t="n"/>
      <c r="BM615" s="481" t="n"/>
      <c r="BN615" s="481" t="n"/>
      <c r="BO615" s="481" t="n"/>
      <c r="BP615" s="482" t="n"/>
      <c r="BQ615" s="482" t="n"/>
      <c r="BR615" s="482" t="n"/>
      <c r="BS615" s="482" t="n"/>
    </row>
    <row r="616" customFormat="1" s="489">
      <c r="A616" s="486" t="n"/>
      <c r="B616" s="486" t="inlineStr">
        <is>
          <t>Tropical rainforest</t>
        </is>
      </c>
      <c r="C616" s="487" t="inlineStr">
        <is>
          <t>Tropical moist deciduous forest</t>
        </is>
      </c>
      <c r="D616" s="486" t="inlineStr">
        <is>
          <t>Tropical dry forest</t>
        </is>
      </c>
      <c r="E616" s="486" t="inlineStr">
        <is>
          <t>Tropical shrubland</t>
        </is>
      </c>
      <c r="F616" s="486" t="inlineStr">
        <is>
          <t>Planted Tropical rainforest</t>
        </is>
      </c>
      <c r="G616" s="487" t="inlineStr">
        <is>
          <t>Planted Tropical moist deciduous forest</t>
        </is>
      </c>
      <c r="H616" s="486" t="inlineStr">
        <is>
          <t>Planted Tropical dry forest</t>
        </is>
      </c>
      <c r="I616" s="486" t="inlineStr">
        <is>
          <t>Planted  Tropical shrubland</t>
        </is>
      </c>
      <c r="J616" s="486" t="inlineStr">
        <is>
          <t>Subtropical humid forest</t>
        </is>
      </c>
      <c r="K616" s="487" t="inlineStr">
        <is>
          <t>Subtropical dry forest</t>
        </is>
      </c>
      <c r="L616" s="487" t="inlineStr">
        <is>
          <t>Subtropical steppe</t>
        </is>
      </c>
      <c r="M616" s="486" t="inlineStr">
        <is>
          <t>Subtropical mountain systems</t>
        </is>
      </c>
      <c r="N616" s="487" t="inlineStr">
        <is>
          <t>Planted Subtropical humid forest</t>
        </is>
      </c>
      <c r="O616" s="486" t="inlineStr">
        <is>
          <t>Planted Subtropical dry forest</t>
        </is>
      </c>
      <c r="P616" s="486" t="inlineStr">
        <is>
          <t>Planted Subtropical steppe</t>
        </is>
      </c>
      <c r="Q616" s="486" t="inlineStr">
        <is>
          <t>Planted Subtropical mountain systems</t>
        </is>
      </c>
      <c r="R616" s="487" t="inlineStr">
        <is>
          <t>Temperate oceanic forest</t>
        </is>
      </c>
      <c r="S616" s="494" t="inlineStr">
        <is>
          <t>Temperate continental forest</t>
        </is>
      </c>
      <c r="T616" s="487" t="inlineStr">
        <is>
          <t>Temperate mountain systems</t>
        </is>
      </c>
      <c r="U616" s="486" t="inlineStr">
        <is>
          <t>Temperate steppe</t>
        </is>
      </c>
      <c r="V616" s="486" t="inlineStr">
        <is>
          <t>Temperate desert</t>
        </is>
      </c>
      <c r="W616" s="487" t="inlineStr">
        <is>
          <t>Planted Temperate oceanic forest</t>
        </is>
      </c>
      <c r="X616" s="487" t="inlineStr">
        <is>
          <t>Planted Temperate continental forest</t>
        </is>
      </c>
      <c r="Y616" s="487" t="inlineStr">
        <is>
          <t>Planted Temperate mountain systems</t>
        </is>
      </c>
      <c r="Z616" s="486" t="inlineStr">
        <is>
          <t>Planted Temperate desert</t>
        </is>
      </c>
      <c r="AA616" s="486" t="inlineStr">
        <is>
          <t>Planted Temperate steppe</t>
        </is>
      </c>
      <c r="AB616" s="487" t="inlineStr">
        <is>
          <t>Boreal coniferous forest</t>
        </is>
      </c>
      <c r="AC616" s="487" t="inlineStr">
        <is>
          <t>Boreal tundra woodland</t>
        </is>
      </c>
      <c r="AD616" s="487" t="inlineStr">
        <is>
          <t>Boreal mountain systems</t>
        </is>
      </c>
      <c r="AE616" s="487" t="inlineStr">
        <is>
          <t>Planted Boreal coniferous forest</t>
        </is>
      </c>
      <c r="AF616" s="487" t="inlineStr">
        <is>
          <t>Planted Boreal tundra woodland</t>
        </is>
      </c>
      <c r="AG616" s="487" t="inlineStr">
        <is>
          <t>Planted Boreal mountain systems</t>
        </is>
      </c>
      <c r="AH616" s="486" t="inlineStr">
        <is>
          <t>Tropical mountain systems</t>
        </is>
      </c>
      <c r="AI616" s="485" t="inlineStr">
        <is>
          <t>Planted Tropical mountain systems</t>
        </is>
      </c>
      <c r="AJ616" s="486" t="inlineStr">
        <is>
          <t>Tropical rainforest</t>
        </is>
      </c>
      <c r="AK616" s="487" t="inlineStr">
        <is>
          <t>Tropical moist deciduous forest</t>
        </is>
      </c>
      <c r="AL616" s="486" t="inlineStr">
        <is>
          <t>Tropical dry forest</t>
        </is>
      </c>
      <c r="AM616" s="486" t="inlineStr">
        <is>
          <t>Tropical shrubland</t>
        </is>
      </c>
      <c r="AN616" s="487" t="inlineStr">
        <is>
          <t>Mangrove Forest</t>
        </is>
      </c>
      <c r="AO616" s="486" t="inlineStr">
        <is>
          <t>Planted Tropical rainforest</t>
        </is>
      </c>
      <c r="AP616" s="487" t="inlineStr">
        <is>
          <t>Planted Tropical moist deciduous forest</t>
        </is>
      </c>
      <c r="AQ616" s="486" t="inlineStr">
        <is>
          <t>Planted Tropical dry forest</t>
        </is>
      </c>
      <c r="AR616" s="486" t="inlineStr">
        <is>
          <t>Planted  Tropical shrubland</t>
        </is>
      </c>
      <c r="AS616" s="486" t="inlineStr">
        <is>
          <t>Subtropical humid forest</t>
        </is>
      </c>
      <c r="AT616" s="487" t="inlineStr">
        <is>
          <t>Subtropical dry forest</t>
        </is>
      </c>
      <c r="AU616" s="487" t="inlineStr">
        <is>
          <t>Subtropical steppe</t>
        </is>
      </c>
      <c r="AV616" s="486" t="inlineStr">
        <is>
          <t>Subtropical mountain systems</t>
        </is>
      </c>
      <c r="AW616" s="487" t="inlineStr">
        <is>
          <t>Planted Subtropical humid forest</t>
        </is>
      </c>
      <c r="AX616" s="486" t="inlineStr">
        <is>
          <t>Planted Subtropical dry forest</t>
        </is>
      </c>
      <c r="AY616" s="486" t="inlineStr">
        <is>
          <t>Planted Subtropical steppe</t>
        </is>
      </c>
      <c r="AZ616" s="486" t="inlineStr">
        <is>
          <t>Planted Subtropical mountain systems</t>
        </is>
      </c>
      <c r="BA616" s="508" t="inlineStr">
        <is>
          <t>Mangrove Forest</t>
        </is>
      </c>
      <c r="BB616" s="487" t="inlineStr">
        <is>
          <t>Temperate oceanic forest</t>
        </is>
      </c>
      <c r="BC616" s="494" t="inlineStr">
        <is>
          <t>Temperate continental forest</t>
        </is>
      </c>
      <c r="BD616" s="487" t="inlineStr">
        <is>
          <t>Temperate mountain systems</t>
        </is>
      </c>
      <c r="BE616" s="486" t="inlineStr">
        <is>
          <t>Temperate desert</t>
        </is>
      </c>
      <c r="BF616" s="486" t="inlineStr">
        <is>
          <t>Temperate steppe</t>
        </is>
      </c>
      <c r="BG616" s="487" t="inlineStr">
        <is>
          <t>Planted Temperate oceanic forest</t>
        </is>
      </c>
      <c r="BH616" s="487" t="inlineStr">
        <is>
          <t>Planted Temperate continental forest</t>
        </is>
      </c>
      <c r="BI616" s="487" t="inlineStr">
        <is>
          <t>Planted Temperate mountain systems</t>
        </is>
      </c>
      <c r="BJ616" s="486" t="inlineStr">
        <is>
          <t>Planted Temperate desert</t>
        </is>
      </c>
      <c r="BK616" s="486" t="inlineStr">
        <is>
          <t>Planted Temperate steppe</t>
        </is>
      </c>
      <c r="BL616" s="487" t="inlineStr">
        <is>
          <t>Boreal coniferous forest</t>
        </is>
      </c>
      <c r="BM616" s="487" t="inlineStr">
        <is>
          <t>Boreal tundra woodland</t>
        </is>
      </c>
      <c r="BN616" s="487" t="inlineStr">
        <is>
          <t>Boreal mountain systems</t>
        </is>
      </c>
      <c r="BO616" s="487" t="inlineStr">
        <is>
          <t>Planted Boreal coniferous forest</t>
        </is>
      </c>
      <c r="BP616" s="487" t="inlineStr">
        <is>
          <t>Planted Boreal tundra woodland</t>
        </is>
      </c>
      <c r="BQ616" s="487" t="inlineStr">
        <is>
          <t>Planted Boreal mountain systems</t>
        </is>
      </c>
      <c r="BR616" s="486" t="inlineStr">
        <is>
          <t>Tropical mountain systems</t>
        </is>
      </c>
      <c r="BS616" s="486" t="inlineStr">
        <is>
          <t>Planted Tropical mountain systems</t>
        </is>
      </c>
    </row>
    <row r="617" customFormat="1" s="489">
      <c r="A617" s="504" t="inlineStr">
        <is>
          <t>Please select</t>
        </is>
      </c>
      <c r="B617" s="486" t="inlineStr">
        <is>
          <t>≤ 125</t>
        </is>
      </c>
      <c r="C617" s="486" t="inlineStr">
        <is>
          <t>≤ 125</t>
        </is>
      </c>
      <c r="D617" s="486" t="inlineStr">
        <is>
          <t>≤ 125</t>
        </is>
      </c>
      <c r="E617" s="486" t="inlineStr">
        <is>
          <t>≤ 125</t>
        </is>
      </c>
      <c r="F617" s="486" t="inlineStr">
        <is>
          <t>≤ 125</t>
        </is>
      </c>
      <c r="G617" s="486" t="inlineStr">
        <is>
          <t>≤ 125</t>
        </is>
      </c>
      <c r="H617" s="486" t="inlineStr">
        <is>
          <t>≤ 125</t>
        </is>
      </c>
      <c r="I617" s="486" t="inlineStr">
        <is>
          <t>≤ 125</t>
        </is>
      </c>
      <c r="J617" s="486" t="inlineStr">
        <is>
          <t>≤ 125</t>
        </is>
      </c>
      <c r="K617" s="486" t="inlineStr">
        <is>
          <t>≤ 125</t>
        </is>
      </c>
      <c r="L617" s="486" t="inlineStr">
        <is>
          <t>≤ 125</t>
        </is>
      </c>
      <c r="M617" s="486" t="inlineStr">
        <is>
          <t>≤ 125</t>
        </is>
      </c>
      <c r="N617" s="486" t="inlineStr">
        <is>
          <t>≤ 125</t>
        </is>
      </c>
      <c r="O617" s="486" t="inlineStr">
        <is>
          <t>≤ 125</t>
        </is>
      </c>
      <c r="P617" s="486" t="inlineStr">
        <is>
          <t>≤ 125</t>
        </is>
      </c>
      <c r="Q617" s="486" t="inlineStr">
        <is>
          <t>≤ 125</t>
        </is>
      </c>
      <c r="R617" s="486" t="inlineStr">
        <is>
          <t>≤ 125</t>
        </is>
      </c>
      <c r="S617" s="499" t="inlineStr">
        <is>
          <t>≤ 125</t>
        </is>
      </c>
      <c r="T617" s="486" t="inlineStr">
        <is>
          <t>≤ 125</t>
        </is>
      </c>
      <c r="U617" s="486" t="inlineStr">
        <is>
          <t>≤ 125</t>
        </is>
      </c>
      <c r="V617" s="486" t="inlineStr">
        <is>
          <t>≤ 125</t>
        </is>
      </c>
      <c r="W617" s="486" t="inlineStr">
        <is>
          <t>≤ 125</t>
        </is>
      </c>
      <c r="X617" s="486" t="inlineStr">
        <is>
          <t>≤ 125</t>
        </is>
      </c>
      <c r="Y617" s="486" t="inlineStr">
        <is>
          <t>≤ 125</t>
        </is>
      </c>
      <c r="Z617" s="486" t="inlineStr">
        <is>
          <t>≤ 125</t>
        </is>
      </c>
      <c r="AA617" s="486" t="inlineStr">
        <is>
          <t>≤ 125</t>
        </is>
      </c>
      <c r="AB617" s="486" t="inlineStr">
        <is>
          <t>≤ 75</t>
        </is>
      </c>
      <c r="AC617" s="486" t="inlineStr">
        <is>
          <t>≤ 75</t>
        </is>
      </c>
      <c r="AD617" s="486" t="inlineStr">
        <is>
          <t>≤ 75</t>
        </is>
      </c>
      <c r="AE617" s="486" t="inlineStr">
        <is>
          <t>≤ 75</t>
        </is>
      </c>
      <c r="AF617" s="486" t="inlineStr">
        <is>
          <t>≤ 75</t>
        </is>
      </c>
      <c r="AG617" s="486" t="inlineStr">
        <is>
          <t>≤ 75</t>
        </is>
      </c>
      <c r="AH617" s="486" t="inlineStr">
        <is>
          <t>≤ 125</t>
        </is>
      </c>
      <c r="AI617" s="485" t="inlineStr">
        <is>
          <t>≤ 125</t>
        </is>
      </c>
      <c r="AJ617" s="486" t="inlineStr">
        <is>
          <t>&gt; 125</t>
        </is>
      </c>
      <c r="AK617" s="486" t="inlineStr">
        <is>
          <t>&gt; 125</t>
        </is>
      </c>
      <c r="AL617" s="486" t="inlineStr">
        <is>
          <t>&gt; 125</t>
        </is>
      </c>
      <c r="AM617" s="486" t="inlineStr">
        <is>
          <t>&gt; 125</t>
        </is>
      </c>
      <c r="AN617" s="497" t="n"/>
      <c r="AO617" s="486" t="inlineStr">
        <is>
          <t>&gt; 125</t>
        </is>
      </c>
      <c r="AP617" s="486" t="inlineStr">
        <is>
          <t>&gt; 125</t>
        </is>
      </c>
      <c r="AQ617" s="486" t="inlineStr">
        <is>
          <t>&gt; 125</t>
        </is>
      </c>
      <c r="AR617" s="486" t="inlineStr">
        <is>
          <t>&gt; 125</t>
        </is>
      </c>
      <c r="AS617" s="486" t="inlineStr">
        <is>
          <t>&gt; 125</t>
        </is>
      </c>
      <c r="AT617" s="486" t="inlineStr">
        <is>
          <t>&gt; 125</t>
        </is>
      </c>
      <c r="AU617" s="486" t="inlineStr">
        <is>
          <t>&gt; 125</t>
        </is>
      </c>
      <c r="AV617" s="486" t="inlineStr">
        <is>
          <t>&gt; 125</t>
        </is>
      </c>
      <c r="AW617" s="486" t="inlineStr">
        <is>
          <t>&gt; 125</t>
        </is>
      </c>
      <c r="AX617" s="486" t="inlineStr">
        <is>
          <t>&gt; 125</t>
        </is>
      </c>
      <c r="AY617" s="486" t="inlineStr">
        <is>
          <t>&gt; 125</t>
        </is>
      </c>
      <c r="AZ617" s="486" t="inlineStr">
        <is>
          <t>&gt; 125</t>
        </is>
      </c>
      <c r="BA617" s="498" t="n"/>
      <c r="BB617" s="486" t="inlineStr">
        <is>
          <t>&gt; 125</t>
        </is>
      </c>
      <c r="BC617" s="499" t="inlineStr">
        <is>
          <t>&gt; 125</t>
        </is>
      </c>
      <c r="BD617" s="488" t="inlineStr">
        <is>
          <t>&gt; 125</t>
        </is>
      </c>
      <c r="BE617" s="500" t="inlineStr">
        <is>
          <t>&gt; 125</t>
        </is>
      </c>
      <c r="BF617" s="486" t="inlineStr">
        <is>
          <t>&gt; 125</t>
        </is>
      </c>
      <c r="BG617" s="486" t="inlineStr">
        <is>
          <t>&gt; 125</t>
        </is>
      </c>
      <c r="BH617" s="486" t="inlineStr">
        <is>
          <t>&gt; 125</t>
        </is>
      </c>
      <c r="BI617" s="486" t="inlineStr">
        <is>
          <t>&gt; 125</t>
        </is>
      </c>
      <c r="BJ617" s="486" t="inlineStr">
        <is>
          <t>&gt; 125</t>
        </is>
      </c>
      <c r="BK617" s="486" t="inlineStr">
        <is>
          <t>&gt; 125</t>
        </is>
      </c>
      <c r="BL617" s="486" t="inlineStr">
        <is>
          <t>&gt;75</t>
        </is>
      </c>
      <c r="BM617" s="486" t="inlineStr">
        <is>
          <t>&gt;75</t>
        </is>
      </c>
      <c r="BN617" s="486" t="inlineStr">
        <is>
          <t>&gt;75</t>
        </is>
      </c>
      <c r="BO617" s="486" t="inlineStr">
        <is>
          <t>&gt;75</t>
        </is>
      </c>
      <c r="BP617" s="486" t="inlineStr">
        <is>
          <t>&gt;75</t>
        </is>
      </c>
      <c r="BQ617" s="486" t="inlineStr">
        <is>
          <t>&gt;75</t>
        </is>
      </c>
      <c r="BR617" s="486" t="inlineStr">
        <is>
          <t>&gt; 125</t>
        </is>
      </c>
      <c r="BS617" s="486" t="inlineStr">
        <is>
          <t>&gt; 125</t>
        </is>
      </c>
    </row>
    <row r="618" customFormat="1" s="4761">
      <c r="A618" s="4762" t="inlineStr">
        <is>
          <t>Eastern Africa</t>
        </is>
      </c>
      <c r="B618" s="4763" t="n">
        <v>0.825</v>
      </c>
      <c r="C618" s="4763" t="n">
        <v>0.232</v>
      </c>
      <c r="D618" s="4763" t="n">
        <v>0.332</v>
      </c>
      <c r="E618" s="4764" t="n">
        <v>0.4</v>
      </c>
      <c r="F618" s="4764" t="n">
        <v>0.37</v>
      </c>
      <c r="G618" s="4764" t="n">
        <v>0.2</v>
      </c>
      <c r="H618" s="4765" t="n">
        <v>0.5600000000000001</v>
      </c>
      <c r="I618" s="4764" t="n">
        <v>0.4</v>
      </c>
      <c r="J618" s="4763" t="n">
        <v>0.232</v>
      </c>
      <c r="K618" s="4764" t="n">
        <v>0.5600000000000001</v>
      </c>
      <c r="L618" s="4764" t="n">
        <v>0.32</v>
      </c>
      <c r="M618" s="4764" t="n">
        <v>0.27</v>
      </c>
      <c r="N618" s="4764" t="n">
        <v>0.2</v>
      </c>
      <c r="O618" s="4764" t="n">
        <v>0.5600000000000001</v>
      </c>
      <c r="P618" s="4765" t="n">
        <v>0.32</v>
      </c>
      <c r="Q618" s="4764" t="n">
        <v>0.27</v>
      </c>
      <c r="R618" s="4764" t="n">
        <v>0.44</v>
      </c>
      <c r="S618" s="4764" t="n">
        <v>0.44</v>
      </c>
      <c r="T618" s="4764" t="n">
        <v>0.44</v>
      </c>
      <c r="U618" s="4764" t="n">
        <v>0.44</v>
      </c>
      <c r="V618" s="4764" t="n">
        <v>0.44</v>
      </c>
      <c r="W618" s="4764" t="n">
        <v>0.44</v>
      </c>
      <c r="X618" s="4765" t="n">
        <v>0.44</v>
      </c>
      <c r="Y618" s="4764" t="n">
        <v>0.44</v>
      </c>
      <c r="Z618" s="4764" t="n">
        <v>0.44</v>
      </c>
      <c r="AA618" s="4764" t="n">
        <v>0.44</v>
      </c>
      <c r="AB618" s="4766" t="n">
        <v>0.39</v>
      </c>
      <c r="AC618" s="4767" t="n">
        <v>0.39</v>
      </c>
      <c r="AD618" s="4767" t="n">
        <v>0.39</v>
      </c>
      <c r="AE618" s="4767" t="n">
        <v>0.39</v>
      </c>
      <c r="AF618" s="4766" t="n">
        <v>0.39</v>
      </c>
      <c r="AG618" s="4767" t="n">
        <v>0.39</v>
      </c>
      <c r="AH618" s="4767" t="n">
        <v>0.27</v>
      </c>
      <c r="AI618" s="4766" t="n">
        <v>0.27</v>
      </c>
      <c r="AJ618" s="4763" t="n">
        <v>0.532</v>
      </c>
      <c r="AK618" s="4763" t="n">
        <v>0.232</v>
      </c>
      <c r="AL618" s="4763" t="n">
        <v>0.379</v>
      </c>
      <c r="AM618" s="4765" t="n">
        <v>0.4</v>
      </c>
      <c r="AN618" s="4768" t="n"/>
      <c r="AO618" s="4764" t="n">
        <v>0.37</v>
      </c>
      <c r="AP618" s="4764" t="n">
        <v>0.24</v>
      </c>
      <c r="AQ618" s="4764" t="n">
        <v>0.28</v>
      </c>
      <c r="AR618" s="4764" t="n">
        <v>0.4</v>
      </c>
      <c r="AS618" s="4763" t="n">
        <v>0.232</v>
      </c>
      <c r="AT618" s="4764" t="n">
        <v>0.28</v>
      </c>
      <c r="AU618" s="4765" t="n">
        <v>0.32</v>
      </c>
      <c r="AV618" s="4764" t="n">
        <v>0.27</v>
      </c>
      <c r="AW618" s="4764" t="n">
        <v>0.24</v>
      </c>
      <c r="AX618" s="4764" t="n">
        <v>0.28</v>
      </c>
      <c r="AY618" s="4764" t="n">
        <v>0.32</v>
      </c>
      <c r="AZ618" s="4764" t="n">
        <v>0.27</v>
      </c>
      <c r="BA618" s="4769" t="n"/>
      <c r="BB618" s="4764" t="n">
        <v>0.22</v>
      </c>
      <c r="BC618" s="4765" t="n">
        <v>0.22</v>
      </c>
      <c r="BD618" s="4764" t="n">
        <v>0.22</v>
      </c>
      <c r="BE618" s="4764" t="n">
        <v>0.22</v>
      </c>
      <c r="BF618" s="4764" t="n">
        <v>0.22</v>
      </c>
      <c r="BG618" s="4764" t="n">
        <v>0.22</v>
      </c>
      <c r="BH618" s="4764" t="n">
        <v>0.22</v>
      </c>
      <c r="BI618" s="4764" t="n">
        <v>0.22</v>
      </c>
      <c r="BJ618" s="4764" t="n">
        <v>0.22</v>
      </c>
      <c r="BK618" s="4764" t="n">
        <v>0.22</v>
      </c>
      <c r="BL618" s="4767" t="n">
        <v>0.24</v>
      </c>
      <c r="BM618" s="4767" t="n">
        <v>0.24</v>
      </c>
      <c r="BN618" s="4767" t="n">
        <v>0.24</v>
      </c>
      <c r="BO618" s="4767" t="n">
        <v>0.24</v>
      </c>
      <c r="BP618" s="4767" t="n">
        <v>0.24</v>
      </c>
      <c r="BQ618" s="4767" t="n">
        <v>0.24</v>
      </c>
      <c r="BR618" s="4767" t="n">
        <v>0.27</v>
      </c>
      <c r="BS618" s="4767" t="n">
        <v>0.27</v>
      </c>
    </row>
    <row r="619" customFormat="1" s="4761">
      <c r="A619" s="4770" t="inlineStr">
        <is>
          <t>Central Africa</t>
        </is>
      </c>
      <c r="B619" s="4771" t="n">
        <v>0.825</v>
      </c>
      <c r="C619" s="4771" t="n">
        <v>0.232</v>
      </c>
      <c r="D619" s="4771" t="n">
        <v>0.332</v>
      </c>
      <c r="E619" s="4772" t="n">
        <v>0.4</v>
      </c>
      <c r="F619" s="4772" t="n">
        <v>0.37</v>
      </c>
      <c r="G619" s="4772" t="n">
        <v>0.2</v>
      </c>
      <c r="H619" s="4773" t="n">
        <v>0.5600000000000001</v>
      </c>
      <c r="I619" s="4772" t="n">
        <v>0.4</v>
      </c>
      <c r="J619" s="4771" t="n">
        <v>0.232</v>
      </c>
      <c r="K619" s="4772" t="n">
        <v>0.5600000000000001</v>
      </c>
      <c r="L619" s="4772" t="n">
        <v>0.32</v>
      </c>
      <c r="M619" s="4772" t="n">
        <v>0.27</v>
      </c>
      <c r="N619" s="4772" t="n">
        <v>0.2</v>
      </c>
      <c r="O619" s="4772" t="n">
        <v>0.5600000000000001</v>
      </c>
      <c r="P619" s="4773" t="n">
        <v>0.32</v>
      </c>
      <c r="Q619" s="4772" t="n">
        <v>0.27</v>
      </c>
      <c r="R619" s="4772" t="n">
        <v>0.44</v>
      </c>
      <c r="S619" s="4772" t="n">
        <v>0.44</v>
      </c>
      <c r="T619" s="4772" t="n">
        <v>0.44</v>
      </c>
      <c r="U619" s="4772" t="n">
        <v>0.44</v>
      </c>
      <c r="V619" s="4772" t="n">
        <v>0.44</v>
      </c>
      <c r="W619" s="4772" t="n">
        <v>0.44</v>
      </c>
      <c r="X619" s="4773" t="n">
        <v>0.44</v>
      </c>
      <c r="Y619" s="4772" t="n">
        <v>0.44</v>
      </c>
      <c r="Z619" s="4772" t="n">
        <v>0.44</v>
      </c>
      <c r="AA619" s="4772" t="n">
        <v>0.44</v>
      </c>
      <c r="AB619" s="4774" t="n">
        <v>0.39</v>
      </c>
      <c r="AC619" s="4775" t="n">
        <v>0.39</v>
      </c>
      <c r="AD619" s="4775" t="n">
        <v>0.39</v>
      </c>
      <c r="AE619" s="4775" t="n">
        <v>0.39</v>
      </c>
      <c r="AF619" s="4774" t="n">
        <v>0.39</v>
      </c>
      <c r="AG619" s="4775" t="n">
        <v>0.39</v>
      </c>
      <c r="AH619" s="4775" t="n">
        <v>0.27</v>
      </c>
      <c r="AI619" s="4774" t="n">
        <v>0.27</v>
      </c>
      <c r="AJ619" s="4771" t="n">
        <v>0.532</v>
      </c>
      <c r="AK619" s="4771" t="n">
        <v>0.232</v>
      </c>
      <c r="AL619" s="4771" t="n">
        <v>0.379</v>
      </c>
      <c r="AM619" s="4773" t="n">
        <v>0.4</v>
      </c>
      <c r="AN619" s="4776" t="n"/>
      <c r="AO619" s="4772" t="n">
        <v>0.37</v>
      </c>
      <c r="AP619" s="4772" t="n">
        <v>0.24</v>
      </c>
      <c r="AQ619" s="4772" t="n">
        <v>0.28</v>
      </c>
      <c r="AR619" s="4772" t="n">
        <v>0.4</v>
      </c>
      <c r="AS619" s="4771" t="n">
        <v>0.232</v>
      </c>
      <c r="AT619" s="4772" t="n">
        <v>0.28</v>
      </c>
      <c r="AU619" s="4773" t="n">
        <v>0.32</v>
      </c>
      <c r="AV619" s="4772" t="n">
        <v>0.27</v>
      </c>
      <c r="AW619" s="4772" t="n">
        <v>0.24</v>
      </c>
      <c r="AX619" s="4772" t="n">
        <v>0.28</v>
      </c>
      <c r="AY619" s="4772" t="n">
        <v>0.32</v>
      </c>
      <c r="AZ619" s="4772" t="n">
        <v>0.27</v>
      </c>
      <c r="BA619" s="4777" t="n"/>
      <c r="BB619" s="4772" t="n">
        <v>0.22</v>
      </c>
      <c r="BC619" s="4773" t="n">
        <v>0.22</v>
      </c>
      <c r="BD619" s="4772" t="n">
        <v>0.22</v>
      </c>
      <c r="BE619" s="4772" t="n">
        <v>0.22</v>
      </c>
      <c r="BF619" s="4772" t="n">
        <v>0.22</v>
      </c>
      <c r="BG619" s="4772" t="n">
        <v>0.22</v>
      </c>
      <c r="BH619" s="4772" t="n">
        <v>0.22</v>
      </c>
      <c r="BI619" s="4772" t="n">
        <v>0.22</v>
      </c>
      <c r="BJ619" s="4772" t="n">
        <v>0.22</v>
      </c>
      <c r="BK619" s="4772" t="n">
        <v>0.22</v>
      </c>
      <c r="BL619" s="4775" t="n">
        <v>0.24</v>
      </c>
      <c r="BM619" s="4775" t="n">
        <v>0.24</v>
      </c>
      <c r="BN619" s="4775" t="n">
        <v>0.24</v>
      </c>
      <c r="BO619" s="4775" t="n">
        <v>0.24</v>
      </c>
      <c r="BP619" s="4775" t="n">
        <v>0.24</v>
      </c>
      <c r="BQ619" s="4775" t="n">
        <v>0.24</v>
      </c>
      <c r="BR619" s="4775" t="n">
        <v>0.27</v>
      </c>
      <c r="BS619" s="4775" t="n">
        <v>0.27</v>
      </c>
    </row>
    <row r="620" customFormat="1" s="4761">
      <c r="A620" s="4770" t="inlineStr">
        <is>
          <t>Northern Africa</t>
        </is>
      </c>
      <c r="B620" s="4771" t="n">
        <v>0.825</v>
      </c>
      <c r="C620" s="4771" t="n">
        <v>0.232</v>
      </c>
      <c r="D620" s="4771" t="n">
        <v>0.332</v>
      </c>
      <c r="E620" s="4772" t="n">
        <v>0.4</v>
      </c>
      <c r="F620" s="4772" t="n">
        <v>0.37</v>
      </c>
      <c r="G620" s="4772" t="n">
        <v>0.2</v>
      </c>
      <c r="H620" s="4773" t="n">
        <v>0.5600000000000001</v>
      </c>
      <c r="I620" s="4772" t="n">
        <v>0.4</v>
      </c>
      <c r="J620" s="4771" t="n">
        <v>0.232</v>
      </c>
      <c r="K620" s="4772" t="n">
        <v>0.5600000000000001</v>
      </c>
      <c r="L620" s="4772" t="n">
        <v>0.32</v>
      </c>
      <c r="M620" s="4772" t="n">
        <v>0.27</v>
      </c>
      <c r="N620" s="4772" t="n">
        <v>0.2</v>
      </c>
      <c r="O620" s="4772" t="n">
        <v>0.5600000000000001</v>
      </c>
      <c r="P620" s="4773" t="n">
        <v>0.32</v>
      </c>
      <c r="Q620" s="4772" t="n">
        <v>0.27</v>
      </c>
      <c r="R620" s="4772" t="n">
        <v>0.44</v>
      </c>
      <c r="S620" s="4772" t="n">
        <v>0.44</v>
      </c>
      <c r="T620" s="4772" t="n">
        <v>0.44</v>
      </c>
      <c r="U620" s="4772" t="n">
        <v>0.44</v>
      </c>
      <c r="V620" s="4772" t="n">
        <v>0.44</v>
      </c>
      <c r="W620" s="4772" t="n">
        <v>0.44</v>
      </c>
      <c r="X620" s="4773" t="n">
        <v>0.44</v>
      </c>
      <c r="Y620" s="4772" t="n">
        <v>0.44</v>
      </c>
      <c r="Z620" s="4772" t="n">
        <v>0.44</v>
      </c>
      <c r="AA620" s="4772" t="n">
        <v>0.44</v>
      </c>
      <c r="AB620" s="4774" t="n">
        <v>0.39</v>
      </c>
      <c r="AC620" s="4775" t="n">
        <v>0.39</v>
      </c>
      <c r="AD620" s="4775" t="n">
        <v>0.39</v>
      </c>
      <c r="AE620" s="4775" t="n">
        <v>0.39</v>
      </c>
      <c r="AF620" s="4774" t="n">
        <v>0.39</v>
      </c>
      <c r="AG620" s="4775" t="n">
        <v>0.39</v>
      </c>
      <c r="AH620" s="4775" t="n">
        <v>0.27</v>
      </c>
      <c r="AI620" s="4774" t="n">
        <v>0.27</v>
      </c>
      <c r="AJ620" s="4771" t="n">
        <v>0.532</v>
      </c>
      <c r="AK620" s="4771" t="n">
        <v>0.232</v>
      </c>
      <c r="AL620" s="4771" t="n">
        <v>0.379</v>
      </c>
      <c r="AM620" s="4773" t="n">
        <v>0.4</v>
      </c>
      <c r="AN620" s="4776" t="n"/>
      <c r="AO620" s="4772" t="n">
        <v>0.37</v>
      </c>
      <c r="AP620" s="4772" t="n">
        <v>0.24</v>
      </c>
      <c r="AQ620" s="4772" t="n">
        <v>0.28</v>
      </c>
      <c r="AR620" s="4772" t="n">
        <v>0.4</v>
      </c>
      <c r="AS620" s="4771" t="n">
        <v>0.232</v>
      </c>
      <c r="AT620" s="4772" t="n">
        <v>0.28</v>
      </c>
      <c r="AU620" s="4773" t="n">
        <v>0.32</v>
      </c>
      <c r="AV620" s="4772" t="n">
        <v>0.27</v>
      </c>
      <c r="AW620" s="4772" t="n">
        <v>0.24</v>
      </c>
      <c r="AX620" s="4772" t="n">
        <v>0.28</v>
      </c>
      <c r="AY620" s="4772" t="n">
        <v>0.32</v>
      </c>
      <c r="AZ620" s="4772" t="n">
        <v>0.27</v>
      </c>
      <c r="BA620" s="4777" t="n"/>
      <c r="BB620" s="4772" t="n">
        <v>0.22</v>
      </c>
      <c r="BC620" s="4773" t="n">
        <v>0.22</v>
      </c>
      <c r="BD620" s="4772" t="n">
        <v>0.22</v>
      </c>
      <c r="BE620" s="4772" t="n">
        <v>0.22</v>
      </c>
      <c r="BF620" s="4772" t="n">
        <v>0.22</v>
      </c>
      <c r="BG620" s="4772" t="n">
        <v>0.22</v>
      </c>
      <c r="BH620" s="4772" t="n">
        <v>0.22</v>
      </c>
      <c r="BI620" s="4772" t="n">
        <v>0.22</v>
      </c>
      <c r="BJ620" s="4772" t="n">
        <v>0.22</v>
      </c>
      <c r="BK620" s="4772" t="n">
        <v>0.22</v>
      </c>
      <c r="BL620" s="4775" t="n">
        <v>0.24</v>
      </c>
      <c r="BM620" s="4775" t="n">
        <v>0.24</v>
      </c>
      <c r="BN620" s="4775" t="n">
        <v>0.24</v>
      </c>
      <c r="BO620" s="4775" t="n">
        <v>0.24</v>
      </c>
      <c r="BP620" s="4775" t="n">
        <v>0.24</v>
      </c>
      <c r="BQ620" s="4775" t="n">
        <v>0.24</v>
      </c>
      <c r="BR620" s="4775" t="n">
        <v>0.27</v>
      </c>
      <c r="BS620" s="4775" t="n">
        <v>0.27</v>
      </c>
    </row>
    <row r="621" customFormat="1" s="4761">
      <c r="A621" s="4770" t="inlineStr">
        <is>
          <t>Southern Africa</t>
        </is>
      </c>
      <c r="B621" s="4771" t="n">
        <v>0.825</v>
      </c>
      <c r="C621" s="4771" t="n">
        <v>0.232</v>
      </c>
      <c r="D621" s="4771" t="n">
        <v>0.332</v>
      </c>
      <c r="E621" s="4772" t="n">
        <v>0.4</v>
      </c>
      <c r="F621" s="4772" t="n">
        <v>0.37</v>
      </c>
      <c r="G621" s="4772" t="n">
        <v>0.2</v>
      </c>
      <c r="H621" s="4773" t="n">
        <v>0.5600000000000001</v>
      </c>
      <c r="I621" s="4772" t="n">
        <v>0.4</v>
      </c>
      <c r="J621" s="4771" t="n">
        <v>0.232</v>
      </c>
      <c r="K621" s="4772" t="n">
        <v>0.5600000000000001</v>
      </c>
      <c r="L621" s="4772" t="n">
        <v>0.32</v>
      </c>
      <c r="M621" s="4772" t="n">
        <v>0.27</v>
      </c>
      <c r="N621" s="4772" t="n">
        <v>0.2</v>
      </c>
      <c r="O621" s="4772" t="n">
        <v>0.5600000000000001</v>
      </c>
      <c r="P621" s="4773" t="n">
        <v>0.32</v>
      </c>
      <c r="Q621" s="4772" t="n">
        <v>0.27</v>
      </c>
      <c r="R621" s="4772" t="n">
        <v>0.44</v>
      </c>
      <c r="S621" s="4772" t="n">
        <v>0.44</v>
      </c>
      <c r="T621" s="4772" t="n">
        <v>0.44</v>
      </c>
      <c r="U621" s="4772" t="n">
        <v>0.44</v>
      </c>
      <c r="V621" s="4772" t="n">
        <v>0.44</v>
      </c>
      <c r="W621" s="4772" t="n">
        <v>0.44</v>
      </c>
      <c r="X621" s="4773" t="n">
        <v>0.44</v>
      </c>
      <c r="Y621" s="4772" t="n">
        <v>0.44</v>
      </c>
      <c r="Z621" s="4772" t="n">
        <v>0.44</v>
      </c>
      <c r="AA621" s="4772" t="n">
        <v>0.44</v>
      </c>
      <c r="AB621" s="4774" t="n">
        <v>0.39</v>
      </c>
      <c r="AC621" s="4775" t="n">
        <v>0.39</v>
      </c>
      <c r="AD621" s="4775" t="n">
        <v>0.39</v>
      </c>
      <c r="AE621" s="4775" t="n">
        <v>0.39</v>
      </c>
      <c r="AF621" s="4774" t="n">
        <v>0.39</v>
      </c>
      <c r="AG621" s="4775" t="n">
        <v>0.39</v>
      </c>
      <c r="AH621" s="4775" t="n">
        <v>0.27</v>
      </c>
      <c r="AI621" s="4774" t="n">
        <v>0.27</v>
      </c>
      <c r="AJ621" s="4771" t="n">
        <v>0.532</v>
      </c>
      <c r="AK621" s="4771" t="n">
        <v>0.232</v>
      </c>
      <c r="AL621" s="4771" t="n">
        <v>0.379</v>
      </c>
      <c r="AM621" s="4773" t="n">
        <v>0.4</v>
      </c>
      <c r="AN621" s="4776" t="n"/>
      <c r="AO621" s="4772" t="n">
        <v>0.37</v>
      </c>
      <c r="AP621" s="4772" t="n">
        <v>0.24</v>
      </c>
      <c r="AQ621" s="4772" t="n">
        <v>0.28</v>
      </c>
      <c r="AR621" s="4772" t="n">
        <v>0.4</v>
      </c>
      <c r="AS621" s="4771" t="n">
        <v>0.232</v>
      </c>
      <c r="AT621" s="4772" t="n">
        <v>0.28</v>
      </c>
      <c r="AU621" s="4773" t="n">
        <v>0.32</v>
      </c>
      <c r="AV621" s="4772" t="n">
        <v>0.27</v>
      </c>
      <c r="AW621" s="4772" t="n">
        <v>0.24</v>
      </c>
      <c r="AX621" s="4772" t="n">
        <v>0.28</v>
      </c>
      <c r="AY621" s="4772" t="n">
        <v>0.32</v>
      </c>
      <c r="AZ621" s="4772" t="n">
        <v>0.27</v>
      </c>
      <c r="BA621" s="4777" t="n"/>
      <c r="BB621" s="4772" t="n">
        <v>0.22</v>
      </c>
      <c r="BC621" s="4773" t="n">
        <v>0.22</v>
      </c>
      <c r="BD621" s="4772" t="n">
        <v>0.22</v>
      </c>
      <c r="BE621" s="4772" t="n">
        <v>0.22</v>
      </c>
      <c r="BF621" s="4772" t="n">
        <v>0.22</v>
      </c>
      <c r="BG621" s="4772" t="n">
        <v>0.22</v>
      </c>
      <c r="BH621" s="4772" t="n">
        <v>0.22</v>
      </c>
      <c r="BI621" s="4772" t="n">
        <v>0.22</v>
      </c>
      <c r="BJ621" s="4772" t="n">
        <v>0.22</v>
      </c>
      <c r="BK621" s="4772" t="n">
        <v>0.22</v>
      </c>
      <c r="BL621" s="4775" t="n">
        <v>0.24</v>
      </c>
      <c r="BM621" s="4775" t="n">
        <v>0.24</v>
      </c>
      <c r="BN621" s="4775" t="n">
        <v>0.24</v>
      </c>
      <c r="BO621" s="4775" t="n">
        <v>0.24</v>
      </c>
      <c r="BP621" s="4775" t="n">
        <v>0.24</v>
      </c>
      <c r="BQ621" s="4775" t="n">
        <v>0.24</v>
      </c>
      <c r="BR621" s="4775" t="n">
        <v>0.27</v>
      </c>
      <c r="BS621" s="4775" t="n">
        <v>0.27</v>
      </c>
    </row>
    <row r="622" customFormat="1" s="4761">
      <c r="A622" s="4770" t="inlineStr">
        <is>
          <t>Western Africa</t>
        </is>
      </c>
      <c r="B622" s="4771" t="n">
        <v>0.825</v>
      </c>
      <c r="C622" s="4771" t="n">
        <v>0.232</v>
      </c>
      <c r="D622" s="4771" t="n">
        <v>0.332</v>
      </c>
      <c r="E622" s="4772" t="n">
        <v>0.4</v>
      </c>
      <c r="F622" s="4772" t="n">
        <v>0.37</v>
      </c>
      <c r="G622" s="4772" t="n">
        <v>0.2</v>
      </c>
      <c r="H622" s="4773" t="n">
        <v>0.5600000000000001</v>
      </c>
      <c r="I622" s="4772" t="n">
        <v>0.4</v>
      </c>
      <c r="J622" s="4771" t="n">
        <v>0.232</v>
      </c>
      <c r="K622" s="4772" t="n">
        <v>0.5600000000000001</v>
      </c>
      <c r="L622" s="4772" t="n">
        <v>0.32</v>
      </c>
      <c r="M622" s="4772" t="n">
        <v>0.27</v>
      </c>
      <c r="N622" s="4772" t="n">
        <v>0.2</v>
      </c>
      <c r="O622" s="4772" t="n">
        <v>0.5600000000000001</v>
      </c>
      <c r="P622" s="4773" t="n">
        <v>0.32</v>
      </c>
      <c r="Q622" s="4772" t="n">
        <v>0.27</v>
      </c>
      <c r="R622" s="4772" t="n">
        <v>0.44</v>
      </c>
      <c r="S622" s="4772" t="n">
        <v>0.44</v>
      </c>
      <c r="T622" s="4772" t="n">
        <v>0.44</v>
      </c>
      <c r="U622" s="4772" t="n">
        <v>0.44</v>
      </c>
      <c r="V622" s="4772" t="n">
        <v>0.44</v>
      </c>
      <c r="W622" s="4772" t="n">
        <v>0.44</v>
      </c>
      <c r="X622" s="4773" t="n">
        <v>0.44</v>
      </c>
      <c r="Y622" s="4772" t="n">
        <v>0.44</v>
      </c>
      <c r="Z622" s="4772" t="n">
        <v>0.44</v>
      </c>
      <c r="AA622" s="4772" t="n">
        <v>0.44</v>
      </c>
      <c r="AB622" s="4774" t="n">
        <v>0.39</v>
      </c>
      <c r="AC622" s="4775" t="n">
        <v>0.39</v>
      </c>
      <c r="AD622" s="4775" t="n">
        <v>0.39</v>
      </c>
      <c r="AE622" s="4775" t="n">
        <v>0.39</v>
      </c>
      <c r="AF622" s="4774" t="n">
        <v>0.39</v>
      </c>
      <c r="AG622" s="4775" t="n">
        <v>0.39</v>
      </c>
      <c r="AH622" s="4775" t="n">
        <v>0.27</v>
      </c>
      <c r="AI622" s="4774" t="n">
        <v>0.27</v>
      </c>
      <c r="AJ622" s="4771" t="n">
        <v>0.532</v>
      </c>
      <c r="AK622" s="4771" t="n">
        <v>0.232</v>
      </c>
      <c r="AL622" s="4771" t="n">
        <v>0.379</v>
      </c>
      <c r="AM622" s="4773" t="n">
        <v>0.4</v>
      </c>
      <c r="AN622" s="4776" t="n"/>
      <c r="AO622" s="4772" t="n">
        <v>0.37</v>
      </c>
      <c r="AP622" s="4772" t="n">
        <v>0.24</v>
      </c>
      <c r="AQ622" s="4772" t="n">
        <v>0.28</v>
      </c>
      <c r="AR622" s="4772" t="n">
        <v>0.4</v>
      </c>
      <c r="AS622" s="4771" t="n">
        <v>0.232</v>
      </c>
      <c r="AT622" s="4772" t="n">
        <v>0.28</v>
      </c>
      <c r="AU622" s="4773" t="n">
        <v>0.32</v>
      </c>
      <c r="AV622" s="4772" t="n">
        <v>0.27</v>
      </c>
      <c r="AW622" s="4772" t="n">
        <v>0.24</v>
      </c>
      <c r="AX622" s="4772" t="n">
        <v>0.28</v>
      </c>
      <c r="AY622" s="4772" t="n">
        <v>0.32</v>
      </c>
      <c r="AZ622" s="4772" t="n">
        <v>0.27</v>
      </c>
      <c r="BA622" s="4777" t="n"/>
      <c r="BB622" s="4772" t="n">
        <v>0.22</v>
      </c>
      <c r="BC622" s="4773" t="n">
        <v>0.22</v>
      </c>
      <c r="BD622" s="4772" t="n">
        <v>0.22</v>
      </c>
      <c r="BE622" s="4772" t="n">
        <v>0.22</v>
      </c>
      <c r="BF622" s="4772" t="n">
        <v>0.22</v>
      </c>
      <c r="BG622" s="4772" t="n">
        <v>0.22</v>
      </c>
      <c r="BH622" s="4772" t="n">
        <v>0.22</v>
      </c>
      <c r="BI622" s="4772" t="n">
        <v>0.22</v>
      </c>
      <c r="BJ622" s="4772" t="n">
        <v>0.22</v>
      </c>
      <c r="BK622" s="4772" t="n">
        <v>0.22</v>
      </c>
      <c r="BL622" s="4775" t="n">
        <v>0.24</v>
      </c>
      <c r="BM622" s="4775" t="n">
        <v>0.24</v>
      </c>
      <c r="BN622" s="4775" t="n">
        <v>0.24</v>
      </c>
      <c r="BO622" s="4775" t="n">
        <v>0.24</v>
      </c>
      <c r="BP622" s="4775" t="n">
        <v>0.24</v>
      </c>
      <c r="BQ622" s="4775" t="n">
        <v>0.24</v>
      </c>
      <c r="BR622" s="4775" t="n">
        <v>0.27</v>
      </c>
      <c r="BS622" s="4775" t="n">
        <v>0.27</v>
      </c>
    </row>
    <row r="623" customFormat="1" s="4761">
      <c r="A623" s="4770" t="inlineStr">
        <is>
          <t>Central Asia</t>
        </is>
      </c>
      <c r="B623" s="4771" t="n">
        <v>0.207</v>
      </c>
      <c r="C623" s="4771" t="n">
        <v>0.323</v>
      </c>
      <c r="D623" s="4771">
        <f>AVERAGE(0.44,0.322)</f>
        <v/>
      </c>
      <c r="E623" s="4775" t="n">
        <v>0.322</v>
      </c>
      <c r="F623" s="4775" t="n">
        <v>0.325</v>
      </c>
      <c r="G623" s="4772" t="n">
        <v>0.2</v>
      </c>
      <c r="H623" s="4773" t="n">
        <v>0.5600000000000001</v>
      </c>
      <c r="I623" s="4772" t="n">
        <v>0.4</v>
      </c>
      <c r="J623" s="4771" t="n">
        <v>0.23</v>
      </c>
      <c r="K623" s="4771" t="n">
        <v>0.44</v>
      </c>
      <c r="L623" s="4772" t="n">
        <v>0.32</v>
      </c>
      <c r="M623" s="4772" t="n">
        <v>0.27</v>
      </c>
      <c r="N623" s="4772" t="n">
        <v>0.2</v>
      </c>
      <c r="O623" s="4772" t="n">
        <v>0.5600000000000001</v>
      </c>
      <c r="P623" s="4774" t="n">
        <v>2.158</v>
      </c>
      <c r="Q623" s="4772" t="n">
        <v>0.27</v>
      </c>
      <c r="R623" s="4778">
        <f>AVERAGE(0.464,0.213,0.19,0.243,0.225)</f>
        <v/>
      </c>
      <c r="S623" s="4779">
        <f>AVERAGE(0.262,0.225,0.243)</f>
        <v/>
      </c>
      <c r="T623" s="4779">
        <f>AVERAGE(0.5,0.243,0.225)</f>
        <v/>
      </c>
      <c r="U623" s="4772" t="n">
        <v>0.44</v>
      </c>
      <c r="V623" s="4772" t="n">
        <v>0.44</v>
      </c>
      <c r="W623" s="4775" t="n">
        <v>0.307</v>
      </c>
      <c r="X623" s="4780">
        <f>AVERAGE(0.303, 0.307)</f>
        <v/>
      </c>
      <c r="Y623" s="4779">
        <f>AVERAGE(0.231,0.224,0.307)</f>
        <v/>
      </c>
      <c r="Z623" s="4772" t="n">
        <v>0.44</v>
      </c>
      <c r="AA623" s="4772" t="n">
        <v>0.44</v>
      </c>
      <c r="AB623" s="4774" t="n">
        <v>0.39</v>
      </c>
      <c r="AC623" s="4775" t="n">
        <v>0.39</v>
      </c>
      <c r="AD623" s="4775" t="n">
        <v>0.39</v>
      </c>
      <c r="AE623" s="4775" t="n">
        <v>0.39</v>
      </c>
      <c r="AF623" s="4774" t="n">
        <v>0.39</v>
      </c>
      <c r="AG623" s="4775" t="n">
        <v>0.39</v>
      </c>
      <c r="AH623" s="4775" t="n">
        <v>0.27</v>
      </c>
      <c r="AI623" s="4774" t="n">
        <v>0.27</v>
      </c>
      <c r="AJ623" s="4771" t="n">
        <v>0.212</v>
      </c>
      <c r="AK623" s="4771" t="n">
        <v>0.246</v>
      </c>
      <c r="AL623" s="4771" t="n">
        <v>0.379</v>
      </c>
      <c r="AM623" s="4773" t="n">
        <v>0.345</v>
      </c>
      <c r="AN623" s="4776" t="n"/>
      <c r="AO623" s="4764" t="n">
        <v>0.37</v>
      </c>
      <c r="AP623" s="4772" t="n">
        <v>0.24</v>
      </c>
      <c r="AQ623" s="4772" t="n">
        <v>0.28</v>
      </c>
      <c r="AR623" s="4772" t="n">
        <v>0.4</v>
      </c>
      <c r="AS623" s="4771" t="n">
        <v>0.246</v>
      </c>
      <c r="AT623" s="4771" t="n">
        <v>0.44</v>
      </c>
      <c r="AU623" s="4774" t="n">
        <v>1.338</v>
      </c>
      <c r="AV623" s="4772" t="n">
        <v>0.27</v>
      </c>
      <c r="AW623" s="4772" t="n">
        <v>0.24</v>
      </c>
      <c r="AX623" s="4772" t="n">
        <v>0.28</v>
      </c>
      <c r="AY623" s="4772" t="n">
        <v>0.32</v>
      </c>
      <c r="AZ623" s="4772" t="n">
        <v>0.27</v>
      </c>
      <c r="BA623" s="4777" t="n"/>
      <c r="BB623" s="4775" t="n">
        <v>0.229</v>
      </c>
      <c r="BC623" s="4780">
        <f>AVERAGE(0.305, 0.356,0.262, 0.229)</f>
        <v/>
      </c>
      <c r="BD623" s="4779">
        <f>AVERAGE(0.265,0.303,0.262, 0.229)</f>
        <v/>
      </c>
      <c r="BE623" s="4772" t="n">
        <v>0.22</v>
      </c>
      <c r="BF623" s="4772" t="n">
        <v>0.22</v>
      </c>
      <c r="BG623" s="4778">
        <f>AVERAGE(0.232,0.248)</f>
        <v/>
      </c>
      <c r="BH623" s="4779">
        <f>AVERAGE(0.221,0.232, 0.248)</f>
        <v/>
      </c>
      <c r="BI623" s="4779">
        <f>AVERAGE(0.22,0.232, 0.248)</f>
        <v/>
      </c>
      <c r="BJ623" s="4772" t="n">
        <v>0.22</v>
      </c>
      <c r="BK623" s="4772" t="n">
        <v>0.22</v>
      </c>
      <c r="BL623" s="4775" t="n">
        <v>0.24</v>
      </c>
      <c r="BM623" s="4775" t="n">
        <v>0.24</v>
      </c>
      <c r="BN623" s="4775" t="n">
        <v>0.24</v>
      </c>
      <c r="BO623" s="4775" t="n">
        <v>0.24</v>
      </c>
      <c r="BP623" s="4775" t="n">
        <v>0.24</v>
      </c>
      <c r="BQ623" s="4775" t="n">
        <v>0.24</v>
      </c>
      <c r="BR623" s="4775" t="n">
        <v>0.27</v>
      </c>
      <c r="BS623" s="4775" t="n">
        <v>0.27</v>
      </c>
    </row>
    <row r="624" customFormat="1" s="4761">
      <c r="A624" s="4770" t="inlineStr">
        <is>
          <t>Eastern Asia</t>
        </is>
      </c>
      <c r="B624" s="4771" t="n">
        <v>0.207</v>
      </c>
      <c r="C624" s="4771" t="n">
        <v>0.323</v>
      </c>
      <c r="D624" s="4771">
        <f>AVERAGE(0.44,0.322)</f>
        <v/>
      </c>
      <c r="E624" s="4775" t="n">
        <v>0.322</v>
      </c>
      <c r="F624" s="4775" t="n">
        <v>0.325</v>
      </c>
      <c r="G624" s="4772" t="n">
        <v>0.2</v>
      </c>
      <c r="H624" s="4773" t="n">
        <v>0.5600000000000001</v>
      </c>
      <c r="I624" s="4772" t="n">
        <v>0.4</v>
      </c>
      <c r="J624" s="4771" t="n">
        <v>0.23</v>
      </c>
      <c r="K624" s="4771" t="n">
        <v>0.44</v>
      </c>
      <c r="L624" s="4772" t="n">
        <v>0.32</v>
      </c>
      <c r="M624" s="4772" t="n">
        <v>0.27</v>
      </c>
      <c r="N624" s="4772" t="n">
        <v>0.2</v>
      </c>
      <c r="O624" s="4772" t="n">
        <v>0.5600000000000001</v>
      </c>
      <c r="P624" s="4774" t="n">
        <v>2.158</v>
      </c>
      <c r="Q624" s="4772" t="n">
        <v>0.27</v>
      </c>
      <c r="R624" s="4778">
        <f>AVERAGE(0.464,0.213,0.19,0.243,0.225)</f>
        <v/>
      </c>
      <c r="S624" s="4779">
        <f>AVERAGE(0.262,0.225,0.243)</f>
        <v/>
      </c>
      <c r="T624" s="4779">
        <f>AVERAGE(0.5,0.243,0.225)</f>
        <v/>
      </c>
      <c r="U624" s="4772" t="n">
        <v>0.44</v>
      </c>
      <c r="V624" s="4772" t="n">
        <v>0.44</v>
      </c>
      <c r="W624" s="4775" t="n">
        <v>0.307</v>
      </c>
      <c r="X624" s="4780">
        <f>AVERAGE(0.303, 0.307)</f>
        <v/>
      </c>
      <c r="Y624" s="4779">
        <f>AVERAGE(0.231,0.224,0.307)</f>
        <v/>
      </c>
      <c r="Z624" s="4772" t="n">
        <v>0.44</v>
      </c>
      <c r="AA624" s="4772" t="n">
        <v>0.44</v>
      </c>
      <c r="AB624" s="4774" t="n">
        <v>0.39</v>
      </c>
      <c r="AC624" s="4775" t="n">
        <v>0.39</v>
      </c>
      <c r="AD624" s="4775" t="n">
        <v>0.39</v>
      </c>
      <c r="AE624" s="4775" t="n">
        <v>0.39</v>
      </c>
      <c r="AF624" s="4774" t="n">
        <v>0.39</v>
      </c>
      <c r="AG624" s="4775" t="n">
        <v>0.39</v>
      </c>
      <c r="AH624" s="4775" t="n">
        <v>0.27</v>
      </c>
      <c r="AI624" s="4774" t="n">
        <v>0.27</v>
      </c>
      <c r="AJ624" s="4771" t="n">
        <v>0.212</v>
      </c>
      <c r="AK624" s="4771" t="n">
        <v>0.246</v>
      </c>
      <c r="AL624" s="4771" t="n">
        <v>0.379</v>
      </c>
      <c r="AM624" s="4773" t="n">
        <v>0.345</v>
      </c>
      <c r="AN624" s="4776" t="n"/>
      <c r="AO624" s="4772" t="n">
        <v>0.37</v>
      </c>
      <c r="AP624" s="4772" t="n">
        <v>0.24</v>
      </c>
      <c r="AQ624" s="4772" t="n">
        <v>0.28</v>
      </c>
      <c r="AR624" s="4772" t="n">
        <v>0.4</v>
      </c>
      <c r="AS624" s="4771" t="n">
        <v>0.246</v>
      </c>
      <c r="AT624" s="4771" t="n">
        <v>0.44</v>
      </c>
      <c r="AU624" s="4774" t="n">
        <v>1.338</v>
      </c>
      <c r="AV624" s="4772" t="n">
        <v>0.27</v>
      </c>
      <c r="AW624" s="4772" t="n">
        <v>0.24</v>
      </c>
      <c r="AX624" s="4772" t="n">
        <v>0.28</v>
      </c>
      <c r="AY624" s="4772" t="n">
        <v>0.32</v>
      </c>
      <c r="AZ624" s="4772" t="n">
        <v>0.27</v>
      </c>
      <c r="BA624" s="4777" t="n"/>
      <c r="BB624" s="4775" t="n">
        <v>0.229</v>
      </c>
      <c r="BC624" s="4780">
        <f>AVERAGE(0.305, 0.356,0.262, 0.229)</f>
        <v/>
      </c>
      <c r="BD624" s="4779">
        <f>AVERAGE(0.265,0.303,0.262, 0.229)</f>
        <v/>
      </c>
      <c r="BE624" s="4772" t="n">
        <v>0.22</v>
      </c>
      <c r="BF624" s="4772" t="n">
        <v>0.22</v>
      </c>
      <c r="BG624" s="4778">
        <f>AVERAGE(0.232,0.248)</f>
        <v/>
      </c>
      <c r="BH624" s="4779">
        <f>AVERAGE(0.221,0.232, 0.248)</f>
        <v/>
      </c>
      <c r="BI624" s="4779">
        <f>AVERAGE(0.22,0.232, 0.248)</f>
        <v/>
      </c>
      <c r="BJ624" s="4772" t="n">
        <v>0.22</v>
      </c>
      <c r="BK624" s="4772" t="n">
        <v>0.22</v>
      </c>
      <c r="BL624" s="4775" t="n">
        <v>0.24</v>
      </c>
      <c r="BM624" s="4775" t="n">
        <v>0.24</v>
      </c>
      <c r="BN624" s="4775" t="n">
        <v>0.24</v>
      </c>
      <c r="BO624" s="4775" t="n">
        <v>0.24</v>
      </c>
      <c r="BP624" s="4775" t="n">
        <v>0.24</v>
      </c>
      <c r="BQ624" s="4775" t="n">
        <v>0.24</v>
      </c>
      <c r="BR624" s="4775" t="n">
        <v>0.27</v>
      </c>
      <c r="BS624" s="4775" t="n">
        <v>0.27</v>
      </c>
    </row>
    <row r="625" customFormat="1" s="4761">
      <c r="A625" s="4770" t="inlineStr">
        <is>
          <t>South-eastern Asia</t>
        </is>
      </c>
      <c r="B625" s="4771" t="n">
        <v>0.207</v>
      </c>
      <c r="C625" s="4771" t="n">
        <v>0.323</v>
      </c>
      <c r="D625" s="4771">
        <f>AVERAGE(0.44,0.322)</f>
        <v/>
      </c>
      <c r="E625" s="4775" t="n">
        <v>0.322</v>
      </c>
      <c r="F625" s="4775" t="n">
        <v>0.325</v>
      </c>
      <c r="G625" s="4772" t="n">
        <v>0.2</v>
      </c>
      <c r="H625" s="4773" t="n">
        <v>0.5600000000000001</v>
      </c>
      <c r="I625" s="4772" t="n">
        <v>0.4</v>
      </c>
      <c r="J625" s="4771" t="n">
        <v>0.23</v>
      </c>
      <c r="K625" s="4771" t="n">
        <v>0.44</v>
      </c>
      <c r="L625" s="4772" t="n">
        <v>0.32</v>
      </c>
      <c r="M625" s="4772" t="n">
        <v>0.27</v>
      </c>
      <c r="N625" s="4772" t="n">
        <v>0.2</v>
      </c>
      <c r="O625" s="4772" t="n">
        <v>0.5600000000000001</v>
      </c>
      <c r="P625" s="4774" t="n">
        <v>2.158</v>
      </c>
      <c r="Q625" s="4772" t="n">
        <v>0.27</v>
      </c>
      <c r="R625" s="4778">
        <f>AVERAGE(0.464,0.213,0.19,0.243,0.225)</f>
        <v/>
      </c>
      <c r="S625" s="4779">
        <f>AVERAGE(0.262,0.225,0.243)</f>
        <v/>
      </c>
      <c r="T625" s="4779">
        <f>AVERAGE(0.5,0.243,0.225)</f>
        <v/>
      </c>
      <c r="U625" s="4772" t="n">
        <v>0.44</v>
      </c>
      <c r="V625" s="4772" t="n">
        <v>0.44</v>
      </c>
      <c r="W625" s="4775" t="n">
        <v>0.307</v>
      </c>
      <c r="X625" s="4780">
        <f>AVERAGE(0.303, 0.307)</f>
        <v/>
      </c>
      <c r="Y625" s="4779">
        <f>AVERAGE(0.231,0.224,0.307)</f>
        <v/>
      </c>
      <c r="Z625" s="4772" t="n">
        <v>0.44</v>
      </c>
      <c r="AA625" s="4772" t="n">
        <v>0.44</v>
      </c>
      <c r="AB625" s="4774" t="n">
        <v>0.39</v>
      </c>
      <c r="AC625" s="4775" t="n">
        <v>0.39</v>
      </c>
      <c r="AD625" s="4775" t="n">
        <v>0.39</v>
      </c>
      <c r="AE625" s="4775" t="n">
        <v>0.39</v>
      </c>
      <c r="AF625" s="4774" t="n">
        <v>0.39</v>
      </c>
      <c r="AG625" s="4775" t="n">
        <v>0.39</v>
      </c>
      <c r="AH625" s="4775" t="n">
        <v>0.27</v>
      </c>
      <c r="AI625" s="4774" t="n">
        <v>0.27</v>
      </c>
      <c r="AJ625" s="4771" t="n">
        <v>0.212</v>
      </c>
      <c r="AK625" s="4771" t="n">
        <v>0.246</v>
      </c>
      <c r="AL625" s="4771" t="n">
        <v>0.379</v>
      </c>
      <c r="AM625" s="4773" t="n">
        <v>0.345</v>
      </c>
      <c r="AN625" s="4776" t="n"/>
      <c r="AO625" s="4772" t="n">
        <v>0.37</v>
      </c>
      <c r="AP625" s="4772" t="n">
        <v>0.24</v>
      </c>
      <c r="AQ625" s="4772" t="n">
        <v>0.28</v>
      </c>
      <c r="AR625" s="4772" t="n">
        <v>0.4</v>
      </c>
      <c r="AS625" s="4771" t="n">
        <v>0.246</v>
      </c>
      <c r="AT625" s="4771" t="n">
        <v>0.44</v>
      </c>
      <c r="AU625" s="4774" t="n">
        <v>1.338</v>
      </c>
      <c r="AV625" s="4772" t="n">
        <v>0.27</v>
      </c>
      <c r="AW625" s="4772" t="n">
        <v>0.24</v>
      </c>
      <c r="AX625" s="4772" t="n">
        <v>0.28</v>
      </c>
      <c r="AY625" s="4772" t="n">
        <v>0.32</v>
      </c>
      <c r="AZ625" s="4772" t="n">
        <v>0.27</v>
      </c>
      <c r="BA625" s="4777" t="n"/>
      <c r="BB625" s="4775" t="n">
        <v>0.229</v>
      </c>
      <c r="BC625" s="4780">
        <f>AVERAGE(0.305, 0.356,0.262, 0.229)</f>
        <v/>
      </c>
      <c r="BD625" s="4779">
        <f>AVERAGE(0.265,0.303,0.262, 0.229)</f>
        <v/>
      </c>
      <c r="BE625" s="4772" t="n">
        <v>0.22</v>
      </c>
      <c r="BF625" s="4772" t="n">
        <v>0.22</v>
      </c>
      <c r="BG625" s="4778">
        <f>AVERAGE(0.232,0.248)</f>
        <v/>
      </c>
      <c r="BH625" s="4779">
        <f>AVERAGE(0.221,0.232, 0.248)</f>
        <v/>
      </c>
      <c r="BI625" s="4779">
        <f>AVERAGE(0.22,0.232, 0.248)</f>
        <v/>
      </c>
      <c r="BJ625" s="4772" t="n">
        <v>0.22</v>
      </c>
      <c r="BK625" s="4772" t="n">
        <v>0.22</v>
      </c>
      <c r="BL625" s="4775" t="n">
        <v>0.24</v>
      </c>
      <c r="BM625" s="4775" t="n">
        <v>0.24</v>
      </c>
      <c r="BN625" s="4775" t="n">
        <v>0.24</v>
      </c>
      <c r="BO625" s="4775" t="n">
        <v>0.24</v>
      </c>
      <c r="BP625" s="4775" t="n">
        <v>0.24</v>
      </c>
      <c r="BQ625" s="4775" t="n">
        <v>0.24</v>
      </c>
      <c r="BR625" s="4775" t="n">
        <v>0.27</v>
      </c>
      <c r="BS625" s="4775" t="n">
        <v>0.27</v>
      </c>
    </row>
    <row r="626" customFormat="1" s="4761">
      <c r="A626" s="4770" t="inlineStr">
        <is>
          <t>Southern Asia</t>
        </is>
      </c>
      <c r="B626" s="4771" t="n">
        <v>0.207</v>
      </c>
      <c r="C626" s="4771" t="n">
        <v>0.323</v>
      </c>
      <c r="D626" s="4771">
        <f>AVERAGE(0.44,0.322)</f>
        <v/>
      </c>
      <c r="E626" s="4775" t="n">
        <v>0.322</v>
      </c>
      <c r="F626" s="4775" t="n">
        <v>0.325</v>
      </c>
      <c r="G626" s="4772" t="n">
        <v>0.2</v>
      </c>
      <c r="H626" s="4773" t="n">
        <v>0.5600000000000001</v>
      </c>
      <c r="I626" s="4772" t="n">
        <v>0.4</v>
      </c>
      <c r="J626" s="4771" t="n">
        <v>0.23</v>
      </c>
      <c r="K626" s="4771" t="n">
        <v>0.44</v>
      </c>
      <c r="L626" s="4772" t="n">
        <v>0.32</v>
      </c>
      <c r="M626" s="4772" t="n">
        <v>0.27</v>
      </c>
      <c r="N626" s="4772" t="n">
        <v>0.2</v>
      </c>
      <c r="O626" s="4772" t="n">
        <v>0.5600000000000001</v>
      </c>
      <c r="P626" s="4774" t="n">
        <v>2.158</v>
      </c>
      <c r="Q626" s="4772" t="n">
        <v>0.27</v>
      </c>
      <c r="R626" s="4778">
        <f>AVERAGE(0.464,0.213,0.19,0.243,0.225)</f>
        <v/>
      </c>
      <c r="S626" s="4779">
        <f>AVERAGE(0.262,0.225,0.243)</f>
        <v/>
      </c>
      <c r="T626" s="4779">
        <f>AVERAGE(0.5,0.243,0.225)</f>
        <v/>
      </c>
      <c r="U626" s="4772" t="n">
        <v>0.44</v>
      </c>
      <c r="V626" s="4772" t="n">
        <v>0.44</v>
      </c>
      <c r="W626" s="4775" t="n">
        <v>0.307</v>
      </c>
      <c r="X626" s="4780">
        <f>AVERAGE(0.303, 0.307)</f>
        <v/>
      </c>
      <c r="Y626" s="4779">
        <f>AVERAGE(0.231,0.224,0.307)</f>
        <v/>
      </c>
      <c r="Z626" s="4772" t="n">
        <v>0.44</v>
      </c>
      <c r="AA626" s="4772" t="n">
        <v>0.44</v>
      </c>
      <c r="AB626" s="4774" t="n">
        <v>0.39</v>
      </c>
      <c r="AC626" s="4775" t="n">
        <v>0.39</v>
      </c>
      <c r="AD626" s="4775" t="n">
        <v>0.39</v>
      </c>
      <c r="AE626" s="4775" t="n">
        <v>0.39</v>
      </c>
      <c r="AF626" s="4774" t="n">
        <v>0.39</v>
      </c>
      <c r="AG626" s="4775" t="n">
        <v>0.39</v>
      </c>
      <c r="AH626" s="4775" t="n">
        <v>0.27</v>
      </c>
      <c r="AI626" s="4774" t="n">
        <v>0.27</v>
      </c>
      <c r="AJ626" s="4771" t="n">
        <v>0.212</v>
      </c>
      <c r="AK626" s="4771" t="n">
        <v>0.246</v>
      </c>
      <c r="AL626" s="4771" t="n">
        <v>0.379</v>
      </c>
      <c r="AM626" s="4773" t="n">
        <v>0.345</v>
      </c>
      <c r="AN626" s="4776" t="n"/>
      <c r="AO626" s="4772" t="n">
        <v>0.37</v>
      </c>
      <c r="AP626" s="4772" t="n">
        <v>0.24</v>
      </c>
      <c r="AQ626" s="4772" t="n">
        <v>0.28</v>
      </c>
      <c r="AR626" s="4772" t="n">
        <v>0.4</v>
      </c>
      <c r="AS626" s="4771" t="n">
        <v>0.246</v>
      </c>
      <c r="AT626" s="4771" t="n">
        <v>0.44</v>
      </c>
      <c r="AU626" s="4774" t="n">
        <v>1.338</v>
      </c>
      <c r="AV626" s="4772" t="n">
        <v>0.27</v>
      </c>
      <c r="AW626" s="4772" t="n">
        <v>0.24</v>
      </c>
      <c r="AX626" s="4772" t="n">
        <v>0.28</v>
      </c>
      <c r="AY626" s="4772" t="n">
        <v>0.32</v>
      </c>
      <c r="AZ626" s="4772" t="n">
        <v>0.27</v>
      </c>
      <c r="BA626" s="4777" t="n"/>
      <c r="BB626" s="4775" t="n">
        <v>0.229</v>
      </c>
      <c r="BC626" s="4780">
        <f>AVERAGE(0.305, 0.356,0.262, 0.229)</f>
        <v/>
      </c>
      <c r="BD626" s="4779">
        <f>AVERAGE(0.265,0.303,0.262, 0.229)</f>
        <v/>
      </c>
      <c r="BE626" s="4772" t="n">
        <v>0.22</v>
      </c>
      <c r="BF626" s="4772" t="n">
        <v>0.22</v>
      </c>
      <c r="BG626" s="4778">
        <f>AVERAGE(0.232,0.248)</f>
        <v/>
      </c>
      <c r="BH626" s="4779">
        <f>AVERAGE(0.221,0.232, 0.248)</f>
        <v/>
      </c>
      <c r="BI626" s="4779">
        <f>AVERAGE(0.22,0.232, 0.248)</f>
        <v/>
      </c>
      <c r="BJ626" s="4772" t="n">
        <v>0.22</v>
      </c>
      <c r="BK626" s="4772" t="n">
        <v>0.22</v>
      </c>
      <c r="BL626" s="4775" t="n">
        <v>0.24</v>
      </c>
      <c r="BM626" s="4775" t="n">
        <v>0.24</v>
      </c>
      <c r="BN626" s="4775" t="n">
        <v>0.24</v>
      </c>
      <c r="BO626" s="4775" t="n">
        <v>0.24</v>
      </c>
      <c r="BP626" s="4775" t="n">
        <v>0.24</v>
      </c>
      <c r="BQ626" s="4775" t="n">
        <v>0.24</v>
      </c>
      <c r="BR626" s="4775" t="n">
        <v>0.27</v>
      </c>
      <c r="BS626" s="4775" t="n">
        <v>0.27</v>
      </c>
    </row>
    <row r="627" customFormat="1" s="4761">
      <c r="A627" s="4770" t="inlineStr">
        <is>
          <t>Western Asia</t>
        </is>
      </c>
      <c r="B627" s="4771" t="n">
        <v>0.207</v>
      </c>
      <c r="C627" s="4771" t="n">
        <v>0.323</v>
      </c>
      <c r="D627" s="4771">
        <f>AVERAGE(0.44,0.322)</f>
        <v/>
      </c>
      <c r="E627" s="4775" t="n">
        <v>0.322</v>
      </c>
      <c r="F627" s="4775" t="n">
        <v>0.325</v>
      </c>
      <c r="G627" s="4772" t="n">
        <v>0.2</v>
      </c>
      <c r="H627" s="4773" t="n">
        <v>0.5600000000000001</v>
      </c>
      <c r="I627" s="4772" t="n">
        <v>0.4</v>
      </c>
      <c r="J627" s="4771" t="n">
        <v>0.23</v>
      </c>
      <c r="K627" s="4771" t="n">
        <v>0.44</v>
      </c>
      <c r="L627" s="4772" t="n">
        <v>0.32</v>
      </c>
      <c r="M627" s="4772" t="n">
        <v>0.27</v>
      </c>
      <c r="N627" s="4772" t="n">
        <v>0.2</v>
      </c>
      <c r="O627" s="4772" t="n">
        <v>0.5600000000000001</v>
      </c>
      <c r="P627" s="4774" t="n">
        <v>2.158</v>
      </c>
      <c r="Q627" s="4772" t="n">
        <v>0.27</v>
      </c>
      <c r="R627" s="4778">
        <f>AVERAGE(0.464,0.213,0.19,0.243,0.225)</f>
        <v/>
      </c>
      <c r="S627" s="4779">
        <f>AVERAGE(0.262,0.225,0.243)</f>
        <v/>
      </c>
      <c r="T627" s="4779">
        <f>AVERAGE(0.5,0.243,0.225)</f>
        <v/>
      </c>
      <c r="U627" s="4772" t="n">
        <v>0.44</v>
      </c>
      <c r="V627" s="4772" t="n">
        <v>0.44</v>
      </c>
      <c r="W627" s="4775" t="n">
        <v>0.307</v>
      </c>
      <c r="X627" s="4780">
        <f>AVERAGE(0.303, 0.307)</f>
        <v/>
      </c>
      <c r="Y627" s="4779">
        <f>AVERAGE(0.231,0.224,0.307)</f>
        <v/>
      </c>
      <c r="Z627" s="4772" t="n">
        <v>0.44</v>
      </c>
      <c r="AA627" s="4772" t="n">
        <v>0.44</v>
      </c>
      <c r="AB627" s="4774" t="n">
        <v>0.39</v>
      </c>
      <c r="AC627" s="4775" t="n">
        <v>0.39</v>
      </c>
      <c r="AD627" s="4775" t="n">
        <v>0.39</v>
      </c>
      <c r="AE627" s="4775" t="n">
        <v>0.39</v>
      </c>
      <c r="AF627" s="4774" t="n">
        <v>0.39</v>
      </c>
      <c r="AG627" s="4775" t="n">
        <v>0.39</v>
      </c>
      <c r="AH627" s="4775" t="n">
        <v>0.27</v>
      </c>
      <c r="AI627" s="4774" t="n">
        <v>0.27</v>
      </c>
      <c r="AJ627" s="4771" t="n">
        <v>0.212</v>
      </c>
      <c r="AK627" s="4771" t="n">
        <v>0.246</v>
      </c>
      <c r="AL627" s="4771" t="n">
        <v>0.379</v>
      </c>
      <c r="AM627" s="4773" t="n">
        <v>0.345</v>
      </c>
      <c r="AN627" s="4776" t="n"/>
      <c r="AO627" s="4772" t="n">
        <v>0.37</v>
      </c>
      <c r="AP627" s="4772" t="n">
        <v>0.24</v>
      </c>
      <c r="AQ627" s="4772" t="n">
        <v>0.28</v>
      </c>
      <c r="AR627" s="4772" t="n">
        <v>0.4</v>
      </c>
      <c r="AS627" s="4771" t="n">
        <v>0.246</v>
      </c>
      <c r="AT627" s="4771" t="n">
        <v>0.44</v>
      </c>
      <c r="AU627" s="4774" t="n">
        <v>1.338</v>
      </c>
      <c r="AV627" s="4772" t="n">
        <v>0.27</v>
      </c>
      <c r="AW627" s="4772" t="n">
        <v>0.24</v>
      </c>
      <c r="AX627" s="4772" t="n">
        <v>0.28</v>
      </c>
      <c r="AY627" s="4772" t="n">
        <v>0.32</v>
      </c>
      <c r="AZ627" s="4772" t="n">
        <v>0.27</v>
      </c>
      <c r="BA627" s="4777" t="n"/>
      <c r="BB627" s="4775" t="n">
        <v>0.229</v>
      </c>
      <c r="BC627" s="4780">
        <f>AVERAGE(0.305, 0.356,0.262, 0.229)</f>
        <v/>
      </c>
      <c r="BD627" s="4779">
        <f>AVERAGE(0.265,0.303,0.262, 0.229)</f>
        <v/>
      </c>
      <c r="BE627" s="4772" t="n">
        <v>0.22</v>
      </c>
      <c r="BF627" s="4772" t="n">
        <v>0.22</v>
      </c>
      <c r="BG627" s="4778">
        <f>AVERAGE(0.232,0.248)</f>
        <v/>
      </c>
      <c r="BH627" s="4779">
        <f>AVERAGE(0.221,0.232, 0.248)</f>
        <v/>
      </c>
      <c r="BI627" s="4779">
        <f>AVERAGE(0.22,0.232, 0.248)</f>
        <v/>
      </c>
      <c r="BJ627" s="4772" t="n">
        <v>0.22</v>
      </c>
      <c r="BK627" s="4772" t="n">
        <v>0.22</v>
      </c>
      <c r="BL627" s="4775" t="n">
        <v>0.24</v>
      </c>
      <c r="BM627" s="4775" t="n">
        <v>0.24</v>
      </c>
      <c r="BN627" s="4775" t="n">
        <v>0.24</v>
      </c>
      <c r="BO627" s="4775" t="n">
        <v>0.24</v>
      </c>
      <c r="BP627" s="4775" t="n">
        <v>0.24</v>
      </c>
      <c r="BQ627" s="4775" t="n">
        <v>0.24</v>
      </c>
      <c r="BR627" s="4775" t="n">
        <v>0.27</v>
      </c>
      <c r="BS627" s="4775" t="n">
        <v>0.27</v>
      </c>
    </row>
    <row r="628" customFormat="1" s="4761">
      <c r="A628" s="4770" t="inlineStr">
        <is>
          <t>Europe</t>
        </is>
      </c>
      <c r="B628" s="4772" t="n">
        <v>0.37</v>
      </c>
      <c r="C628" s="4772" t="n">
        <v>0.2</v>
      </c>
      <c r="D628" s="4772" t="n">
        <v>0.5600000000000001</v>
      </c>
      <c r="E628" s="4772" t="n">
        <v>0.4</v>
      </c>
      <c r="F628" s="4772" t="n">
        <v>0.37</v>
      </c>
      <c r="G628" s="4772" t="n">
        <v>0.2</v>
      </c>
      <c r="H628" s="4773" t="n">
        <v>0.5600000000000001</v>
      </c>
      <c r="I628" s="4772" t="n">
        <v>0.4</v>
      </c>
      <c r="J628" s="4772" t="n">
        <v>0.2</v>
      </c>
      <c r="K628" s="4772" t="n">
        <v>0.5600000000000001</v>
      </c>
      <c r="L628" s="4772" t="n">
        <v>0.32</v>
      </c>
      <c r="M628" s="4772" t="n">
        <v>0.27</v>
      </c>
      <c r="N628" s="4772" t="n">
        <v>0.2</v>
      </c>
      <c r="O628" s="4772" t="n">
        <v>0.5600000000000001</v>
      </c>
      <c r="P628" s="4773" t="n">
        <v>0.32</v>
      </c>
      <c r="Q628" s="4772" t="n">
        <v>0.27</v>
      </c>
      <c r="R628" s="4775">
        <f>AVERAGE(0.192,0.359)</f>
        <v/>
      </c>
      <c r="S628" s="4772" t="n">
        <v>0.44</v>
      </c>
      <c r="T628" s="4775" t="n">
        <v>1.155</v>
      </c>
      <c r="U628" s="4772" t="n">
        <v>0.44</v>
      </c>
      <c r="V628" s="4772" t="n">
        <v>0.44</v>
      </c>
      <c r="W628" s="4778">
        <f>AVERAGE(1.4,0.359)</f>
        <v/>
      </c>
      <c r="X628" s="4774" t="n">
        <v>0.34</v>
      </c>
      <c r="Y628" s="4772" t="n">
        <v>0.44</v>
      </c>
      <c r="Z628" s="4772" t="n">
        <v>0.44</v>
      </c>
      <c r="AA628" s="4772" t="n">
        <v>0.44</v>
      </c>
      <c r="AB628" s="4774" t="n">
        <v>0.39</v>
      </c>
      <c r="AC628" s="4775" t="n">
        <v>0.39</v>
      </c>
      <c r="AD628" s="4775" t="n">
        <v>0.39</v>
      </c>
      <c r="AE628" s="4775" t="n">
        <v>0.39</v>
      </c>
      <c r="AF628" s="4774" t="n">
        <v>0.39</v>
      </c>
      <c r="AG628" s="4775" t="n">
        <v>0.39</v>
      </c>
      <c r="AH628" s="4775" t="n">
        <v>0.27</v>
      </c>
      <c r="AI628" s="4774" t="n">
        <v>0.27</v>
      </c>
      <c r="AJ628" s="4772" t="n">
        <v>0.37</v>
      </c>
      <c r="AK628" s="4772" t="n">
        <v>0.24</v>
      </c>
      <c r="AL628" s="4772" t="n">
        <v>0.28</v>
      </c>
      <c r="AM628" s="4773" t="n">
        <v>0.4</v>
      </c>
      <c r="AN628" s="4776" t="n"/>
      <c r="AO628" s="4772" t="n">
        <v>0.37</v>
      </c>
      <c r="AP628" s="4772" t="n">
        <v>0.24</v>
      </c>
      <c r="AQ628" s="4772" t="n">
        <v>0.28</v>
      </c>
      <c r="AR628" s="4772" t="n">
        <v>0.4</v>
      </c>
      <c r="AS628" s="4772" t="n">
        <v>0.24</v>
      </c>
      <c r="AT628" s="4772" t="n">
        <v>0.28</v>
      </c>
      <c r="AU628" s="4773" t="n">
        <v>0.32</v>
      </c>
      <c r="AV628" s="4772" t="n">
        <v>0.27</v>
      </c>
      <c r="AW628" s="4772" t="n">
        <v>0.24</v>
      </c>
      <c r="AX628" s="4772" t="n">
        <v>0.28</v>
      </c>
      <c r="AY628" s="4772" t="n">
        <v>0.32</v>
      </c>
      <c r="AZ628" s="4772" t="n">
        <v>0.27</v>
      </c>
      <c r="BA628" s="4777" t="n"/>
      <c r="BB628" s="4775" t="n">
        <v>0.172</v>
      </c>
      <c r="BC628" s="4774" t="n">
        <v>0.477</v>
      </c>
      <c r="BD628" s="4775" t="n">
        <v>0.394</v>
      </c>
      <c r="BE628" s="4772" t="n">
        <v>0.22</v>
      </c>
      <c r="BF628" s="4772" t="n">
        <v>0.22</v>
      </c>
      <c r="BG628" s="4778">
        <f>AVERAGE(0.206,0.359)</f>
        <v/>
      </c>
      <c r="BH628" s="4772" t="n">
        <v>0.22</v>
      </c>
      <c r="BI628" s="4772" t="n">
        <v>0.22</v>
      </c>
      <c r="BJ628" s="4772" t="n">
        <v>0.22</v>
      </c>
      <c r="BK628" s="4772" t="n">
        <v>0.22</v>
      </c>
      <c r="BL628" s="4775" t="n">
        <v>0.24</v>
      </c>
      <c r="BM628" s="4775" t="n">
        <v>0.24</v>
      </c>
      <c r="BN628" s="4775" t="n">
        <v>0.24</v>
      </c>
      <c r="BO628" s="4775" t="n">
        <v>0.24</v>
      </c>
      <c r="BP628" s="4775" t="n">
        <v>0.24</v>
      </c>
      <c r="BQ628" s="4775" t="n">
        <v>0.24</v>
      </c>
      <c r="BR628" s="4775" t="n">
        <v>0.27</v>
      </c>
      <c r="BS628" s="4775" t="n">
        <v>0.27</v>
      </c>
    </row>
    <row r="629" customFormat="1" s="4761">
      <c r="A629" s="4770" t="inlineStr">
        <is>
          <t>Oceania</t>
        </is>
      </c>
      <c r="B629" s="4772" t="n">
        <v>0.37</v>
      </c>
      <c r="C629" s="4772" t="n">
        <v>0.2</v>
      </c>
      <c r="D629" s="4772" t="n">
        <v>0.5600000000000001</v>
      </c>
      <c r="E629" s="4772" t="n">
        <v>0.4</v>
      </c>
      <c r="F629" s="4772" t="n">
        <v>0.37</v>
      </c>
      <c r="G629" s="4772" t="n">
        <v>0.2</v>
      </c>
      <c r="H629" s="4773" t="n">
        <v>0.5600000000000001</v>
      </c>
      <c r="I629" s="4772" t="n">
        <v>0.4</v>
      </c>
      <c r="J629" s="4772" t="n">
        <v>0.2</v>
      </c>
      <c r="K629" s="4772" t="n">
        <v>0.5600000000000001</v>
      </c>
      <c r="L629" s="4772" t="n">
        <v>0.32</v>
      </c>
      <c r="M629" s="4772" t="n">
        <v>0.27</v>
      </c>
      <c r="N629" s="4772" t="n">
        <v>0.2</v>
      </c>
      <c r="O629" s="4772" t="n">
        <v>0.5600000000000001</v>
      </c>
      <c r="P629" s="4773" t="n">
        <v>0.32</v>
      </c>
      <c r="Q629" s="4772" t="n">
        <v>0.27</v>
      </c>
      <c r="R629" s="4779">
        <f>AVERAGE(0.464,0.213)</f>
        <v/>
      </c>
      <c r="S629" s="4772" t="n">
        <v>0.44</v>
      </c>
      <c r="T629" s="4775" t="n">
        <v>0.145</v>
      </c>
      <c r="U629" s="4772" t="n">
        <v>0.44</v>
      </c>
      <c r="V629" s="4772" t="n">
        <v>0.44</v>
      </c>
      <c r="W629" s="4778">
        <f>AVERAGE(0.634,0.391)</f>
        <v/>
      </c>
      <c r="X629" s="4773" t="n">
        <v>0.44</v>
      </c>
      <c r="Y629" s="4775" t="n">
        <v>0.293</v>
      </c>
      <c r="Z629" s="4772" t="n">
        <v>0.44</v>
      </c>
      <c r="AA629" s="4772" t="n">
        <v>0.44</v>
      </c>
      <c r="AB629" s="4774" t="n">
        <v>0.39</v>
      </c>
      <c r="AC629" s="4775" t="n">
        <v>0.39</v>
      </c>
      <c r="AD629" s="4775" t="n">
        <v>0.39</v>
      </c>
      <c r="AE629" s="4775" t="n">
        <v>0.39</v>
      </c>
      <c r="AF629" s="4774" t="n">
        <v>0.39</v>
      </c>
      <c r="AG629" s="4775" t="n">
        <v>0.39</v>
      </c>
      <c r="AH629" s="4775" t="n">
        <v>0.27</v>
      </c>
      <c r="AI629" s="4774" t="n">
        <v>0.27</v>
      </c>
      <c r="AJ629" s="4772" t="n">
        <v>0.37</v>
      </c>
      <c r="AK629" s="4772" t="n">
        <v>0.24</v>
      </c>
      <c r="AL629" s="4772" t="n">
        <v>0.28</v>
      </c>
      <c r="AM629" s="4773" t="n">
        <v>0.4</v>
      </c>
      <c r="AN629" s="4776" t="n"/>
      <c r="AO629" s="4772" t="n">
        <v>0.37</v>
      </c>
      <c r="AP629" s="4772" t="n">
        <v>0.24</v>
      </c>
      <c r="AQ629" s="4772" t="n">
        <v>0.28</v>
      </c>
      <c r="AR629" s="4772" t="n">
        <v>0.4</v>
      </c>
      <c r="AS629" s="4772" t="n">
        <v>0.24</v>
      </c>
      <c r="AT629" s="4772" t="n">
        <v>0.28</v>
      </c>
      <c r="AU629" s="4773" t="n">
        <v>0.32</v>
      </c>
      <c r="AV629" s="4772" t="n">
        <v>0.27</v>
      </c>
      <c r="AW629" s="4772" t="n">
        <v>0.24</v>
      </c>
      <c r="AX629" s="4772" t="n">
        <v>0.28</v>
      </c>
      <c r="AY629" s="4772" t="n">
        <v>0.32</v>
      </c>
      <c r="AZ629" s="4772" t="n">
        <v>0.27</v>
      </c>
      <c r="BA629" s="4777" t="n"/>
      <c r="BB629" s="4779">
        <f>AVERAGE(0.257, 0.313, 0.188)</f>
        <v/>
      </c>
      <c r="BC629" s="4773" t="n">
        <v>0.22</v>
      </c>
      <c r="BD629" s="4775" t="n">
        <v>0.302</v>
      </c>
      <c r="BE629" s="4772" t="n">
        <v>0.22</v>
      </c>
      <c r="BF629" s="4772" t="n">
        <v>0.22</v>
      </c>
      <c r="BG629" s="4781">
        <f>AVERAGE(0.294,0.19)</f>
        <v/>
      </c>
      <c r="BH629" s="4772" t="n">
        <v>0.22</v>
      </c>
      <c r="BI629" s="4775" t="n">
        <v>0.201</v>
      </c>
      <c r="BJ629" s="4772" t="n">
        <v>0.22</v>
      </c>
      <c r="BK629" s="4772" t="n">
        <v>0.22</v>
      </c>
      <c r="BL629" s="4775" t="n">
        <v>0.24</v>
      </c>
      <c r="BM629" s="4775" t="n">
        <v>0.24</v>
      </c>
      <c r="BN629" s="4775" t="n">
        <v>0.24</v>
      </c>
      <c r="BO629" s="4775" t="n">
        <v>0.24</v>
      </c>
      <c r="BP629" s="4775" t="n">
        <v>0.24</v>
      </c>
      <c r="BQ629" s="4775" t="n">
        <v>0.24</v>
      </c>
      <c r="BR629" s="4775" t="n">
        <v>0.27</v>
      </c>
      <c r="BS629" s="4775" t="n">
        <v>0.27</v>
      </c>
    </row>
    <row r="630" customFormat="1" s="4761">
      <c r="A630" s="4770" t="inlineStr">
        <is>
          <t>North America</t>
        </is>
      </c>
      <c r="B630" s="4771" t="n">
        <v>0.221</v>
      </c>
      <c r="C630" s="4771" t="n">
        <v>0.284</v>
      </c>
      <c r="D630" s="4771" t="n">
        <v>0.334</v>
      </c>
      <c r="E630" s="4775" t="n">
        <v>0.348</v>
      </c>
      <c r="F630" s="4771" t="n">
        <v>0.17</v>
      </c>
      <c r="G630" s="4772" t="n">
        <v>0.2</v>
      </c>
      <c r="H630" s="4773" t="n">
        <v>0.5600000000000001</v>
      </c>
      <c r="I630" s="4775" t="n">
        <v>2.158</v>
      </c>
      <c r="J630" s="4771" t="n">
        <v>0.175</v>
      </c>
      <c r="K630" s="4771" t="n">
        <v>0.336</v>
      </c>
      <c r="L630" s="4775" t="n">
        <v>1.338</v>
      </c>
      <c r="M630" s="4772" t="n">
        <v>0.27</v>
      </c>
      <c r="N630" s="4772" t="n">
        <v>0.2</v>
      </c>
      <c r="O630" s="4772" t="n">
        <v>0.5600000000000001</v>
      </c>
      <c r="P630" s="4773" t="n">
        <v>0.32</v>
      </c>
      <c r="Q630" s="4772" t="n">
        <v>0.27</v>
      </c>
      <c r="R630" s="4775">
        <f>AVERAGE(0.466,0.337)</f>
        <v/>
      </c>
      <c r="S630" s="4775" t="n">
        <v>0.481</v>
      </c>
      <c r="T630" s="4778">
        <f>AVERAGE(0.37,0.232)</f>
        <v/>
      </c>
      <c r="U630" s="4772" t="n">
        <v>0.44</v>
      </c>
      <c r="V630" s="4772" t="n">
        <v>0.44</v>
      </c>
      <c r="W630" s="4772" t="n">
        <v>0.44</v>
      </c>
      <c r="X630" s="4774" t="n">
        <v>0.237</v>
      </c>
      <c r="Y630" s="4775" t="n">
        <v>0.302</v>
      </c>
      <c r="Z630" s="4772" t="n">
        <v>0.44</v>
      </c>
      <c r="AA630" s="4772" t="n">
        <v>0.44</v>
      </c>
      <c r="AB630" s="4774" t="n">
        <v>0.39</v>
      </c>
      <c r="AC630" s="4775" t="n">
        <v>0.39</v>
      </c>
      <c r="AD630" s="4775" t="n">
        <v>0.39</v>
      </c>
      <c r="AE630" s="4775" t="n">
        <v>0.39</v>
      </c>
      <c r="AF630" s="4774" t="n">
        <v>0.39</v>
      </c>
      <c r="AG630" s="4775" t="n">
        <v>0.39</v>
      </c>
      <c r="AH630" s="4775" t="n">
        <v>0.27</v>
      </c>
      <c r="AI630" s="4774" t="n">
        <v>0.27</v>
      </c>
      <c r="AJ630" s="4771" t="n">
        <v>0.221</v>
      </c>
      <c r="AK630" s="4771" t="n">
        <v>0.284</v>
      </c>
      <c r="AL630" s="4771" t="n">
        <v>0.379</v>
      </c>
      <c r="AM630" s="4774" t="n">
        <v>0.283</v>
      </c>
      <c r="AN630" s="4776" t="n"/>
      <c r="AO630" s="4771" t="n">
        <v>0.17</v>
      </c>
      <c r="AP630" s="4772" t="n">
        <v>0.24</v>
      </c>
      <c r="AQ630" s="4772" t="n">
        <v>0.28</v>
      </c>
      <c r="AR630" s="4772" t="n">
        <v>0.4</v>
      </c>
      <c r="AS630" s="4771" t="n">
        <v>0.284</v>
      </c>
      <c r="AT630" s="4771" t="n">
        <v>0.352</v>
      </c>
      <c r="AU630" s="4773" t="n">
        <v>0.32</v>
      </c>
      <c r="AV630" s="4772" t="n">
        <v>0.27</v>
      </c>
      <c r="AW630" s="4772" t="n">
        <v>0.24</v>
      </c>
      <c r="AX630" s="4772" t="n">
        <v>0.28</v>
      </c>
      <c r="AY630" s="4772" t="n">
        <v>0.32</v>
      </c>
      <c r="AZ630" s="4772" t="n">
        <v>0.27</v>
      </c>
      <c r="BA630" s="4777" t="n"/>
      <c r="BB630" s="4778">
        <f>AVERAGE(0.338,0.19)</f>
        <v/>
      </c>
      <c r="BC630" s="4774" t="n">
        <v>0.277</v>
      </c>
      <c r="BD630" s="4778">
        <f>AVERAGE(0.217,0.245)</f>
        <v/>
      </c>
      <c r="BE630" s="4772" t="n">
        <v>0.22</v>
      </c>
      <c r="BF630" s="4772" t="n">
        <v>0.22</v>
      </c>
      <c r="BG630" s="4775" t="n">
        <v>0.203</v>
      </c>
      <c r="BH630" s="4772" t="n">
        <v>0.22</v>
      </c>
      <c r="BI630" s="4772" t="n">
        <v>0.22</v>
      </c>
      <c r="BJ630" s="4772" t="n">
        <v>0.22</v>
      </c>
      <c r="BK630" s="4772" t="n">
        <v>0.22</v>
      </c>
      <c r="BL630" s="4775" t="n">
        <v>0.24</v>
      </c>
      <c r="BM630" s="4775" t="n">
        <v>0.24</v>
      </c>
      <c r="BN630" s="4775" t="n">
        <v>0.24</v>
      </c>
      <c r="BO630" s="4775" t="n">
        <v>0.24</v>
      </c>
      <c r="BP630" s="4775" t="n">
        <v>0.24</v>
      </c>
      <c r="BQ630" s="4775" t="n">
        <v>0.24</v>
      </c>
      <c r="BR630" s="4775" t="n">
        <v>0.27</v>
      </c>
      <c r="BS630" s="4775" t="n">
        <v>0.27</v>
      </c>
    </row>
    <row r="631" customFormat="1" s="4761">
      <c r="A631" s="4770" t="inlineStr">
        <is>
          <t>South America</t>
        </is>
      </c>
      <c r="B631" s="4771" t="n">
        <v>0.221</v>
      </c>
      <c r="C631" s="4771" t="n">
        <v>0.284</v>
      </c>
      <c r="D631" s="4771" t="n">
        <v>0.334</v>
      </c>
      <c r="E631" s="4775" t="n">
        <v>0.348</v>
      </c>
      <c r="F631" s="4771" t="n">
        <v>0.17</v>
      </c>
      <c r="G631" s="4772" t="n">
        <v>0.2</v>
      </c>
      <c r="H631" s="4773" t="n">
        <v>0.5600000000000001</v>
      </c>
      <c r="I631" s="4775" t="n">
        <v>2.158</v>
      </c>
      <c r="J631" s="4771" t="n">
        <v>0.175</v>
      </c>
      <c r="K631" s="4771" t="n">
        <v>0.336</v>
      </c>
      <c r="L631" s="4775" t="n">
        <v>1.338</v>
      </c>
      <c r="M631" s="4772" t="n">
        <v>0.27</v>
      </c>
      <c r="N631" s="4772" t="n">
        <v>0.2</v>
      </c>
      <c r="O631" s="4772" t="n">
        <v>0.5600000000000001</v>
      </c>
      <c r="P631" s="4773" t="n">
        <v>0.32</v>
      </c>
      <c r="Q631" s="4772" t="n">
        <v>0.27</v>
      </c>
      <c r="R631" s="4775" t="n">
        <v>0.466</v>
      </c>
      <c r="S631" s="4775" t="n">
        <v>0.481</v>
      </c>
      <c r="T631" s="4778">
        <f>AVERAGE(0.37,0.232)</f>
        <v/>
      </c>
      <c r="U631" s="4772" t="n">
        <v>0.44</v>
      </c>
      <c r="V631" s="4772" t="n">
        <v>0.44</v>
      </c>
      <c r="W631" s="4772" t="n">
        <v>0.44</v>
      </c>
      <c r="X631" s="4774" t="n">
        <v>0.237</v>
      </c>
      <c r="Y631" s="4775" t="n">
        <v>0.302</v>
      </c>
      <c r="Z631" s="4772" t="n">
        <v>0.44</v>
      </c>
      <c r="AA631" s="4772" t="n">
        <v>0.44</v>
      </c>
      <c r="AB631" s="4774" t="n">
        <v>0.39</v>
      </c>
      <c r="AC631" s="4775" t="n">
        <v>0.39</v>
      </c>
      <c r="AD631" s="4775" t="n">
        <v>0.39</v>
      </c>
      <c r="AE631" s="4775" t="n">
        <v>0.39</v>
      </c>
      <c r="AF631" s="4774" t="n">
        <v>0.39</v>
      </c>
      <c r="AG631" s="4775" t="n">
        <v>0.39</v>
      </c>
      <c r="AH631" s="4775" t="n">
        <v>0.27</v>
      </c>
      <c r="AI631" s="4774" t="n">
        <v>0.27</v>
      </c>
      <c r="AJ631" s="4771" t="n">
        <v>0.221</v>
      </c>
      <c r="AK631" s="4771" t="n">
        <v>0.284</v>
      </c>
      <c r="AL631" s="4771" t="n">
        <v>0.379</v>
      </c>
      <c r="AM631" s="4774" t="n">
        <v>0.283</v>
      </c>
      <c r="AN631" s="4776" t="n"/>
      <c r="AO631" s="4771" t="n">
        <v>0.17</v>
      </c>
      <c r="AP631" s="4772" t="n">
        <v>0.24</v>
      </c>
      <c r="AQ631" s="4772" t="n">
        <v>0.28</v>
      </c>
      <c r="AR631" s="4772" t="n">
        <v>0.4</v>
      </c>
      <c r="AS631" s="4771" t="n">
        <v>0.284</v>
      </c>
      <c r="AT631" s="4771" t="n">
        <v>0.352</v>
      </c>
      <c r="AU631" s="4773" t="n">
        <v>0.32</v>
      </c>
      <c r="AV631" s="4772" t="n">
        <v>0.27</v>
      </c>
      <c r="AW631" s="4772" t="n">
        <v>0.24</v>
      </c>
      <c r="AX631" s="4772" t="n">
        <v>0.28</v>
      </c>
      <c r="AY631" s="4772" t="n">
        <v>0.32</v>
      </c>
      <c r="AZ631" s="4772" t="n">
        <v>0.27</v>
      </c>
      <c r="BA631" s="4777" t="n"/>
      <c r="BB631" s="4778">
        <f>AVERAGE(0.338,0.19)</f>
        <v/>
      </c>
      <c r="BC631" s="4774" t="n">
        <v>0.277</v>
      </c>
      <c r="BD631" s="4778">
        <f>AVERAGE(0.217,0.245)</f>
        <v/>
      </c>
      <c r="BE631" s="4772" t="n">
        <v>0.22</v>
      </c>
      <c r="BF631" s="4772" t="n">
        <v>0.22</v>
      </c>
      <c r="BG631" s="4775" t="n">
        <v>0.203</v>
      </c>
      <c r="BH631" s="4772" t="n">
        <v>0.22</v>
      </c>
      <c r="BI631" s="4772" t="n">
        <v>0.22</v>
      </c>
      <c r="BJ631" s="4772" t="n">
        <v>0.22</v>
      </c>
      <c r="BK631" s="4772" t="n">
        <v>0.22</v>
      </c>
      <c r="BL631" s="4775" t="n">
        <v>0.24</v>
      </c>
      <c r="BM631" s="4775" t="n">
        <v>0.24</v>
      </c>
      <c r="BN631" s="4775" t="n">
        <v>0.24</v>
      </c>
      <c r="BO631" s="4775" t="n">
        <v>0.24</v>
      </c>
      <c r="BP631" s="4775" t="n">
        <v>0.24</v>
      </c>
      <c r="BQ631" s="4775" t="n">
        <v>0.24</v>
      </c>
      <c r="BR631" s="4775" t="n">
        <v>0.27</v>
      </c>
      <c r="BS631" s="4775" t="n">
        <v>0.27</v>
      </c>
    </row>
    <row r="632" customFormat="1" s="4761">
      <c r="A632" s="4770" t="inlineStr">
        <is>
          <t>Central America</t>
        </is>
      </c>
      <c r="B632" s="4771" t="n">
        <v>0.221</v>
      </c>
      <c r="C632" s="4771" t="n">
        <v>0.284</v>
      </c>
      <c r="D632" s="4771" t="n">
        <v>0.334</v>
      </c>
      <c r="E632" s="4775" t="n">
        <v>0.348</v>
      </c>
      <c r="F632" s="4771" t="n">
        <v>0.17</v>
      </c>
      <c r="G632" s="4772" t="n">
        <v>0.2</v>
      </c>
      <c r="H632" s="4773" t="n">
        <v>0.5600000000000001</v>
      </c>
      <c r="I632" s="4775" t="n">
        <v>2.158</v>
      </c>
      <c r="J632" s="4771" t="n">
        <v>0.175</v>
      </c>
      <c r="K632" s="4771" t="n">
        <v>0.336</v>
      </c>
      <c r="L632" s="4775" t="n">
        <v>1.338</v>
      </c>
      <c r="M632" s="4772" t="n">
        <v>0.27</v>
      </c>
      <c r="N632" s="4772" t="n">
        <v>0.2</v>
      </c>
      <c r="O632" s="4772" t="n">
        <v>0.5600000000000001</v>
      </c>
      <c r="P632" s="4773" t="n">
        <v>0.32</v>
      </c>
      <c r="Q632" s="4772" t="n">
        <v>0.27</v>
      </c>
      <c r="R632" s="4775" t="n">
        <v>0.466</v>
      </c>
      <c r="S632" s="4775" t="n">
        <v>0.481</v>
      </c>
      <c r="T632" s="4778">
        <f>AVERAGE(0.37,0.232)</f>
        <v/>
      </c>
      <c r="U632" s="4772" t="n">
        <v>0.44</v>
      </c>
      <c r="V632" s="4772" t="n">
        <v>0.44</v>
      </c>
      <c r="W632" s="4772" t="n">
        <v>0.44</v>
      </c>
      <c r="X632" s="4774" t="n">
        <v>0.237</v>
      </c>
      <c r="Y632" s="4775" t="n">
        <v>0.302</v>
      </c>
      <c r="Z632" s="4772" t="n">
        <v>0.44</v>
      </c>
      <c r="AA632" s="4772" t="n">
        <v>0.44</v>
      </c>
      <c r="AB632" s="4774" t="n">
        <v>0.39</v>
      </c>
      <c r="AC632" s="4775" t="n">
        <v>0.39</v>
      </c>
      <c r="AD632" s="4775" t="n">
        <v>0.39</v>
      </c>
      <c r="AE632" s="4775" t="n">
        <v>0.39</v>
      </c>
      <c r="AF632" s="4774" t="n">
        <v>0.39</v>
      </c>
      <c r="AG632" s="4775" t="n">
        <v>0.39</v>
      </c>
      <c r="AH632" s="4775" t="n">
        <v>0.27</v>
      </c>
      <c r="AI632" s="4774" t="n">
        <v>0.27</v>
      </c>
      <c r="AJ632" s="4771" t="n">
        <v>0.221</v>
      </c>
      <c r="AK632" s="4771" t="n">
        <v>0.284</v>
      </c>
      <c r="AL632" s="4771" t="n">
        <v>0.379</v>
      </c>
      <c r="AM632" s="4774" t="n">
        <v>0.283</v>
      </c>
      <c r="AN632" s="4776" t="n"/>
      <c r="AO632" s="4771" t="n">
        <v>0.17</v>
      </c>
      <c r="AP632" s="4772" t="n">
        <v>0.24</v>
      </c>
      <c r="AQ632" s="4772" t="n">
        <v>0.28</v>
      </c>
      <c r="AR632" s="4772" t="n">
        <v>0.4</v>
      </c>
      <c r="AS632" s="4771" t="n">
        <v>0.284</v>
      </c>
      <c r="AT632" s="4771" t="n">
        <v>0.352</v>
      </c>
      <c r="AU632" s="4773" t="n">
        <v>0.32</v>
      </c>
      <c r="AV632" s="4772" t="n">
        <v>0.27</v>
      </c>
      <c r="AW632" s="4772" t="n">
        <v>0.24</v>
      </c>
      <c r="AX632" s="4772" t="n">
        <v>0.28</v>
      </c>
      <c r="AY632" s="4772" t="n">
        <v>0.32</v>
      </c>
      <c r="AZ632" s="4772" t="n">
        <v>0.27</v>
      </c>
      <c r="BA632" s="4782" t="n"/>
      <c r="BB632" s="4778">
        <f>AVERAGE(0.338,0.19)</f>
        <v/>
      </c>
      <c r="BC632" s="4774" t="n">
        <v>0.277</v>
      </c>
      <c r="BD632" s="4778">
        <f>AVERAGE(0.217,0.245)</f>
        <v/>
      </c>
      <c r="BE632" s="4772" t="n">
        <v>0.22</v>
      </c>
      <c r="BF632" s="4772" t="n">
        <v>0.22</v>
      </c>
      <c r="BG632" s="4775" t="n">
        <v>0.203</v>
      </c>
      <c r="BH632" s="4772" t="n">
        <v>0.22</v>
      </c>
      <c r="BI632" s="4772" t="n">
        <v>0.22</v>
      </c>
      <c r="BJ632" s="4772" t="n">
        <v>0.22</v>
      </c>
      <c r="BK632" s="4772" t="n">
        <v>0.22</v>
      </c>
      <c r="BL632" s="4775" t="n">
        <v>0.24</v>
      </c>
      <c r="BM632" s="4775" t="n">
        <v>0.24</v>
      </c>
      <c r="BN632" s="4775" t="n">
        <v>0.24</v>
      </c>
      <c r="BO632" s="4775" t="n">
        <v>0.24</v>
      </c>
      <c r="BP632" s="4775" t="n">
        <v>0.24</v>
      </c>
      <c r="BQ632" s="4775" t="n">
        <v>0.24</v>
      </c>
      <c r="BR632" s="4775" t="n">
        <v>0.27</v>
      </c>
      <c r="BS632" s="4775" t="n">
        <v>0.27</v>
      </c>
    </row>
    <row r="633" customFormat="1" s="4761">
      <c r="A633" s="4783" t="inlineStr">
        <is>
          <t>Caribbean</t>
        </is>
      </c>
      <c r="B633" s="4771" t="n">
        <v>0.221</v>
      </c>
      <c r="C633" s="4771" t="n">
        <v>0.284</v>
      </c>
      <c r="D633" s="4771" t="n">
        <v>0.334</v>
      </c>
      <c r="E633" s="4775" t="n">
        <v>0.348</v>
      </c>
      <c r="F633" s="4771" t="n">
        <v>0.17</v>
      </c>
      <c r="G633" s="4772" t="n">
        <v>0.2</v>
      </c>
      <c r="H633" s="4773" t="n">
        <v>0.5600000000000001</v>
      </c>
      <c r="I633" s="4775" t="n">
        <v>2.158</v>
      </c>
      <c r="J633" s="4771" t="n">
        <v>0.175</v>
      </c>
      <c r="K633" s="4771" t="n">
        <v>0.336</v>
      </c>
      <c r="L633" s="4775" t="n">
        <v>1.338</v>
      </c>
      <c r="M633" s="4772" t="n">
        <v>0.27</v>
      </c>
      <c r="N633" s="4772" t="n">
        <v>0.2</v>
      </c>
      <c r="O633" s="4772" t="n">
        <v>0.5600000000000001</v>
      </c>
      <c r="P633" s="4773" t="n">
        <v>0.32</v>
      </c>
      <c r="Q633" s="4772" t="n">
        <v>0.27</v>
      </c>
      <c r="R633" s="4775" t="n">
        <v>0.466</v>
      </c>
      <c r="S633" s="4775" t="n">
        <v>0.481</v>
      </c>
      <c r="T633" s="4778">
        <f>AVERAGE(0.37,0.232)</f>
        <v/>
      </c>
      <c r="U633" s="4772" t="n">
        <v>0.44</v>
      </c>
      <c r="V633" s="4772" t="n">
        <v>0.44</v>
      </c>
      <c r="W633" s="4772" t="n">
        <v>0.44</v>
      </c>
      <c r="X633" s="4774" t="n">
        <v>0.237</v>
      </c>
      <c r="Y633" s="4775" t="n">
        <v>0.302</v>
      </c>
      <c r="Z633" s="4772" t="n">
        <v>0.44</v>
      </c>
      <c r="AA633" s="4772" t="n">
        <v>0.44</v>
      </c>
      <c r="AB633" s="4774" t="n">
        <v>0.39</v>
      </c>
      <c r="AC633" s="4775" t="n">
        <v>0.39</v>
      </c>
      <c r="AD633" s="4775" t="n">
        <v>0.39</v>
      </c>
      <c r="AE633" s="4775" t="n">
        <v>0.39</v>
      </c>
      <c r="AF633" s="4774" t="n">
        <v>0.39</v>
      </c>
      <c r="AG633" s="4775" t="n">
        <v>0.39</v>
      </c>
      <c r="AH633" s="4775" t="n">
        <v>0.27</v>
      </c>
      <c r="AI633" s="4774" t="n">
        <v>0.27</v>
      </c>
      <c r="AJ633" s="4771" t="n">
        <v>0.221</v>
      </c>
      <c r="AK633" s="4771" t="n">
        <v>0.284</v>
      </c>
      <c r="AL633" s="4771" t="n">
        <v>0.379</v>
      </c>
      <c r="AM633" s="4774" t="n">
        <v>0.283</v>
      </c>
      <c r="AN633" s="4776" t="n"/>
      <c r="AO633" s="4771" t="n">
        <v>0.17</v>
      </c>
      <c r="AP633" s="4772" t="n">
        <v>0.24</v>
      </c>
      <c r="AQ633" s="4772" t="n">
        <v>0.28</v>
      </c>
      <c r="AR633" s="4772" t="n">
        <v>0.4</v>
      </c>
      <c r="AS633" s="4771" t="n">
        <v>0.284</v>
      </c>
      <c r="AT633" s="4771" t="n">
        <v>0.352</v>
      </c>
      <c r="AU633" s="4773" t="n">
        <v>0.32</v>
      </c>
      <c r="AV633" s="4772" t="n">
        <v>0.27</v>
      </c>
      <c r="AW633" s="4772" t="n">
        <v>0.24</v>
      </c>
      <c r="AX633" s="4772" t="n">
        <v>0.28</v>
      </c>
      <c r="AY633" s="4772" t="n">
        <v>0.32</v>
      </c>
      <c r="AZ633" s="4772" t="n">
        <v>0.27</v>
      </c>
      <c r="BA633" s="4782" t="n"/>
      <c r="BB633" s="4778">
        <f>AVERAGE(0.338,0.19)</f>
        <v/>
      </c>
      <c r="BC633" s="4774" t="n">
        <v>0.277</v>
      </c>
      <c r="BD633" s="4778">
        <f>AVERAGE(0.217,0.245)</f>
        <v/>
      </c>
      <c r="BE633" s="4772" t="n">
        <v>0.22</v>
      </c>
      <c r="BF633" s="4772" t="n">
        <v>0.22</v>
      </c>
      <c r="BG633" s="4775" t="n">
        <v>0.203</v>
      </c>
      <c r="BH633" s="4772" t="n">
        <v>0.22</v>
      </c>
      <c r="BI633" s="4772" t="n">
        <v>0.22</v>
      </c>
      <c r="BJ633" s="4772" t="n">
        <v>0.22</v>
      </c>
      <c r="BK633" s="4772" t="n">
        <v>0.22</v>
      </c>
      <c r="BL633" s="4775" t="n">
        <v>0.24</v>
      </c>
      <c r="BM633" s="4775" t="n">
        <v>0.24</v>
      </c>
      <c r="BN633" s="4775" t="n">
        <v>0.24</v>
      </c>
      <c r="BO633" s="4775" t="n">
        <v>0.24</v>
      </c>
      <c r="BP633" s="4775" t="n">
        <v>0.24</v>
      </c>
      <c r="BQ633" s="4775" t="n">
        <v>0.24</v>
      </c>
      <c r="BR633" s="4775" t="n">
        <v>0.27</v>
      </c>
      <c r="BS633" s="4775" t="n">
        <v>0.27</v>
      </c>
    </row>
    <row r="634" customFormat="1" s="291">
      <c r="A634" s="458" t="inlineStr">
        <is>
          <t>Notes</t>
        </is>
      </c>
      <c r="B634" s="419" t="n"/>
      <c r="G634" s="419" t="n"/>
      <c r="H634" s="419" t="n"/>
      <c r="I634" s="503" t="n"/>
      <c r="L634" s="419" t="n"/>
      <c r="M634" s="419" t="n"/>
      <c r="N634" s="419" t="n"/>
      <c r="O634" s="419" t="n"/>
      <c r="P634" s="419" t="n"/>
      <c r="Q634" s="419" t="n"/>
      <c r="R634" s="419" t="n"/>
      <c r="S634" s="419" t="n"/>
      <c r="T634" s="419" t="n"/>
      <c r="U634" s="419" t="n"/>
      <c r="V634" s="419" t="n"/>
      <c r="W634" s="419" t="n"/>
      <c r="X634" s="419" t="n"/>
      <c r="Y634" s="419" t="n"/>
      <c r="Z634" s="419" t="n"/>
      <c r="AA634" s="419" t="n"/>
      <c r="AB634" s="419" t="n"/>
      <c r="AC634" s="419" t="n"/>
      <c r="AD634" s="419" t="n"/>
      <c r="AE634" s="419" t="n"/>
      <c r="AF634" s="419" t="n"/>
      <c r="AG634" s="419" t="n"/>
      <c r="AH634" s="419" t="n"/>
      <c r="AI634" s="419" t="n"/>
      <c r="AJ634" s="419" t="n"/>
      <c r="AK634" s="419" t="n"/>
    </row>
    <row r="635" customFormat="1" s="21">
      <c r="A635" s="459" t="inlineStr">
        <is>
          <t xml:space="preserve">Values in grey are the average of the given values </t>
        </is>
      </c>
      <c r="B635" s="453" t="n"/>
      <c r="G635" s="453" t="n"/>
      <c r="H635" s="453" t="n"/>
      <c r="I635" s="454" t="n"/>
      <c r="L635" s="453" t="n"/>
      <c r="M635" s="453" t="n"/>
      <c r="N635" s="453" t="n"/>
      <c r="O635" s="453" t="n"/>
    </row>
    <row r="636" customFormat="1" s="21">
      <c r="A636" s="264" t="inlineStr">
        <is>
          <t>Values in red are old values from Table 4.4 in IPCC 2006, and from EX-ACT version 7</t>
        </is>
      </c>
    </row>
    <row r="637" customFormat="1" s="292">
      <c r="A637" s="265" t="n"/>
    </row>
    <row r="639" customFormat="1" s="509">
      <c r="A639" s="504" t="inlineStr">
        <is>
          <t>Tier 1 default values for litter (All vegetation types) and deadwood (All vegetation types) carbon stocks</t>
        </is>
      </c>
    </row>
    <row r="640" customFormat="1" s="479">
      <c r="A640" s="478" t="inlineStr">
        <is>
          <t>TABLE 2.2 (UPDATED) in IPCC 2019, Chapter 2, Volume 4, page 2.32</t>
        </is>
      </c>
    </row>
    <row r="641" customFormat="1" s="291">
      <c r="A641" s="510" t="inlineStr">
        <is>
          <t>Forest type stratified by climate</t>
        </is>
      </c>
      <c r="B641" s="511" t="inlineStr">
        <is>
          <t>Litter</t>
        </is>
      </c>
      <c r="C641" s="511" t="inlineStr">
        <is>
          <t>Dead wood carbon stocks</t>
        </is>
      </c>
      <c r="D641" s="263" t="n"/>
    </row>
    <row r="642" customFormat="1" s="21">
      <c r="A642" s="511" t="inlineStr">
        <is>
          <t>Please select</t>
        </is>
      </c>
      <c r="B642" s="511" t="inlineStr">
        <is>
          <t>(tonnes C ha-1)</t>
        </is>
      </c>
      <c r="C642" s="511" t="inlineStr">
        <is>
          <t>(tonnes C ha-1)</t>
        </is>
      </c>
      <c r="D642" s="264" t="n"/>
    </row>
    <row r="643" customFormat="1" s="21">
      <c r="A643" s="20" t="inlineStr">
        <is>
          <t>Tropical rainforest</t>
        </is>
      </c>
      <c r="B643" s="41" t="n">
        <v>4.8</v>
      </c>
      <c r="C643" s="41" t="n">
        <v>14.8</v>
      </c>
    </row>
    <row r="644" customFormat="1" s="21">
      <c r="A644" s="20" t="inlineStr">
        <is>
          <t>Tropical moist deciduous forest</t>
        </is>
      </c>
      <c r="B644" s="41" t="n">
        <v>5.9</v>
      </c>
      <c r="C644" s="471" t="n">
        <v>8</v>
      </c>
    </row>
    <row r="645" customFormat="1" s="21">
      <c r="A645" s="20" t="inlineStr">
        <is>
          <t>Tropical dry forest</t>
        </is>
      </c>
      <c r="B645" s="41" t="n">
        <v>2.4</v>
      </c>
      <c r="C645" s="471" t="n">
        <v>9</v>
      </c>
    </row>
    <row r="646" customFormat="1" s="21">
      <c r="A646" s="20" t="inlineStr">
        <is>
          <t>Tropical shrubland</t>
        </is>
      </c>
      <c r="B646" s="163" t="n">
        <v>0</v>
      </c>
      <c r="C646" s="163" t="n">
        <v>0</v>
      </c>
    </row>
    <row r="647" customFormat="1" s="21">
      <c r="A647" s="514" t="inlineStr">
        <is>
          <t>Mangrove Forest</t>
        </is>
      </c>
      <c r="B647" s="513" t="n">
        <v>0.7</v>
      </c>
      <c r="C647" s="513" t="n">
        <v>10.7</v>
      </c>
      <c r="D647" s="455" t="inlineStr">
        <is>
          <t>Table 4.7 IPCC 2013</t>
        </is>
      </c>
    </row>
    <row r="648" customFormat="1" s="21">
      <c r="A648" s="20" t="inlineStr">
        <is>
          <t>Subtropical humid forest</t>
        </is>
      </c>
      <c r="B648" s="41" t="n">
        <v>8.699999999999999</v>
      </c>
      <c r="C648" s="41" t="n">
        <v>13.2</v>
      </c>
    </row>
    <row r="649" customFormat="1" s="21">
      <c r="A649" s="20" t="inlineStr">
        <is>
          <t>Subtropical dry forest</t>
        </is>
      </c>
      <c r="B649" s="163" t="n">
        <v>0</v>
      </c>
      <c r="C649" s="512" t="n">
        <v>64.40000000000001</v>
      </c>
    </row>
    <row r="650" customFormat="1" s="21">
      <c r="A650" s="20" t="inlineStr">
        <is>
          <t>Subtropical steppe</t>
        </is>
      </c>
      <c r="B650" s="163" t="n">
        <v>0</v>
      </c>
      <c r="C650" s="41" t="n">
        <v>6.8</v>
      </c>
    </row>
    <row r="651" customFormat="1" s="21">
      <c r="A651" s="20" t="inlineStr">
        <is>
          <t>Subtropical mountain systems</t>
        </is>
      </c>
      <c r="B651" s="163" t="n">
        <v>0</v>
      </c>
      <c r="C651" s="41" t="n">
        <v>11.8</v>
      </c>
    </row>
    <row r="652" customFormat="1" s="21">
      <c r="A652" s="20" t="inlineStr">
        <is>
          <t>Temperate oceanic forest</t>
        </is>
      </c>
      <c r="B652" s="41" t="n">
        <v>2.9</v>
      </c>
      <c r="C652" s="41" t="n">
        <v>36.8</v>
      </c>
    </row>
    <row r="653" customFormat="1" s="21">
      <c r="A653" s="20" t="inlineStr">
        <is>
          <t>Temperate continental forest</t>
        </is>
      </c>
      <c r="B653" s="41" t="n">
        <v>47.8</v>
      </c>
      <c r="C653" s="41" t="n">
        <v>23</v>
      </c>
    </row>
    <row r="654" customFormat="1" s="21">
      <c r="A654" s="20" t="inlineStr">
        <is>
          <t>Temperate mountain systems</t>
        </is>
      </c>
      <c r="B654" s="41" t="n">
        <v>3.7</v>
      </c>
      <c r="C654" s="41" t="n">
        <v>37.6</v>
      </c>
    </row>
    <row r="655" customFormat="1" s="21">
      <c r="A655" s="20" t="inlineStr">
        <is>
          <t>Temperate desert</t>
        </is>
      </c>
      <c r="B655" s="163" t="n">
        <v>0</v>
      </c>
      <c r="C655" s="41" t="n">
        <v>10.5</v>
      </c>
    </row>
    <row r="656" customFormat="1" s="21">
      <c r="A656" s="20" t="inlineStr">
        <is>
          <t>Temperate steppe</t>
        </is>
      </c>
      <c r="B656" s="41" t="n">
        <v>28.7</v>
      </c>
      <c r="C656" s="41" t="n">
        <v>21.7</v>
      </c>
    </row>
    <row r="657" customFormat="1" s="21">
      <c r="A657" s="20" t="inlineStr">
        <is>
          <t>Boreal coniferous forest</t>
        </is>
      </c>
      <c r="B657" s="41" t="n">
        <v>31.4</v>
      </c>
      <c r="C657" s="41" t="n">
        <v>19.7</v>
      </c>
    </row>
    <row r="658" customFormat="1" s="21">
      <c r="A658" s="20" t="inlineStr">
        <is>
          <t>Boreal tundra woodland</t>
        </is>
      </c>
      <c r="B658" s="41" t="n">
        <v>49.5</v>
      </c>
      <c r="C658" s="41" t="n">
        <v>3.1</v>
      </c>
    </row>
    <row r="659" customFormat="1" s="21">
      <c r="A659" s="20" t="inlineStr">
        <is>
          <t>Boreal mountain systems</t>
        </is>
      </c>
      <c r="B659" s="163" t="n">
        <v>0</v>
      </c>
      <c r="C659" s="163" t="n">
        <v>0</v>
      </c>
    </row>
    <row r="660" customFormat="1" s="21">
      <c r="A660" s="20" t="inlineStr">
        <is>
          <t>Tropical mountain systems</t>
        </is>
      </c>
      <c r="B660" s="163" t="n">
        <v>0</v>
      </c>
      <c r="C660" s="41" t="n">
        <v>3.3</v>
      </c>
    </row>
    <row r="661" customFormat="1" s="21">
      <c r="A661" s="20" t="inlineStr">
        <is>
          <t>Planted Tropical rainforest</t>
        </is>
      </c>
      <c r="B661" s="41" t="n">
        <v>4.8</v>
      </c>
      <c r="C661" s="41" t="n">
        <v>14.8</v>
      </c>
    </row>
    <row r="662" customFormat="1" s="21">
      <c r="A662" s="20" t="inlineStr">
        <is>
          <t>Planted Tropical moist deciduous forest</t>
        </is>
      </c>
      <c r="B662" s="41" t="n">
        <v>5.9</v>
      </c>
      <c r="C662" s="471" t="n">
        <v>8</v>
      </c>
    </row>
    <row r="663" customFormat="1" s="21">
      <c r="A663" s="20" t="inlineStr">
        <is>
          <t>Planted Tropical dry forest</t>
        </is>
      </c>
      <c r="B663" s="41" t="n">
        <v>2.4</v>
      </c>
      <c r="C663" s="471" t="n">
        <v>9</v>
      </c>
    </row>
    <row r="664" customFormat="1" s="21">
      <c r="A664" s="20" t="inlineStr">
        <is>
          <t>Planted  Tropical shrubland</t>
        </is>
      </c>
      <c r="B664" s="163" t="n">
        <v>0</v>
      </c>
      <c r="C664" s="163" t="n">
        <v>0</v>
      </c>
    </row>
    <row r="665" customFormat="1" s="21">
      <c r="A665" s="20" t="inlineStr">
        <is>
          <t>Planted Subtropical humid forest</t>
        </is>
      </c>
      <c r="B665" s="41" t="n">
        <v>8.699999999999999</v>
      </c>
      <c r="C665" s="41" t="n">
        <v>13.2</v>
      </c>
    </row>
    <row r="666" customFormat="1" s="21">
      <c r="A666" s="20" t="inlineStr">
        <is>
          <t>Planted Subtropical dry forest</t>
        </is>
      </c>
      <c r="B666" s="163" t="n">
        <v>0</v>
      </c>
      <c r="C666" s="512" t="n">
        <v>64.40000000000001</v>
      </c>
    </row>
    <row r="667" customFormat="1" s="21">
      <c r="A667" s="20" t="inlineStr">
        <is>
          <t>Planted Subtropical steppe</t>
        </is>
      </c>
      <c r="B667" s="163" t="n">
        <v>0</v>
      </c>
      <c r="C667" s="41" t="n">
        <v>6.8</v>
      </c>
    </row>
    <row r="668" customFormat="1" s="21">
      <c r="A668" s="20" t="inlineStr">
        <is>
          <t>Planted Subtropical mountain systems</t>
        </is>
      </c>
      <c r="B668" s="163" t="n">
        <v>0</v>
      </c>
      <c r="C668" s="41" t="n">
        <v>11.8</v>
      </c>
    </row>
    <row r="669" customFormat="1" s="21">
      <c r="A669" s="20" t="inlineStr">
        <is>
          <t>Planted Temperate oceanic forest</t>
        </is>
      </c>
      <c r="B669" s="41" t="n">
        <v>2.9</v>
      </c>
      <c r="C669" s="41" t="n">
        <v>36.8</v>
      </c>
    </row>
    <row r="670" customFormat="1" s="21">
      <c r="A670" s="20" t="inlineStr">
        <is>
          <t>Planted Temperate continental forest</t>
        </is>
      </c>
      <c r="B670" s="41" t="n">
        <v>47.8</v>
      </c>
      <c r="C670" s="41" t="n">
        <v>23</v>
      </c>
    </row>
    <row r="671" customFormat="1" s="21">
      <c r="A671" s="20" t="inlineStr">
        <is>
          <t>Planted Temperate mountain systems</t>
        </is>
      </c>
      <c r="B671" s="41" t="n">
        <v>3.7</v>
      </c>
      <c r="C671" s="41" t="n">
        <v>37.6</v>
      </c>
    </row>
    <row r="672" customFormat="1" s="21">
      <c r="A672" s="20" t="inlineStr">
        <is>
          <t>Planted Temperate desert</t>
        </is>
      </c>
      <c r="B672" s="163" t="n">
        <v>0</v>
      </c>
      <c r="C672" s="41" t="n">
        <v>10.5</v>
      </c>
    </row>
    <row r="673" customFormat="1" s="21">
      <c r="A673" s="20" t="inlineStr">
        <is>
          <t>Planted Temperate steppe</t>
        </is>
      </c>
      <c r="B673" s="41" t="n">
        <v>28.7</v>
      </c>
      <c r="C673" s="41" t="n">
        <v>21.7</v>
      </c>
    </row>
    <row r="674" customFormat="1" s="21">
      <c r="A674" s="20" t="inlineStr">
        <is>
          <t>Planted Boreal coniferous forest</t>
        </is>
      </c>
      <c r="B674" s="41" t="n">
        <v>31.4</v>
      </c>
      <c r="C674" s="41" t="n">
        <v>19.7</v>
      </c>
    </row>
    <row r="675" customFormat="1" s="21">
      <c r="A675" s="20" t="inlineStr">
        <is>
          <t>Planted Boreal tundra woodland</t>
        </is>
      </c>
      <c r="B675" s="41" t="n">
        <v>49.5</v>
      </c>
      <c r="C675" s="41" t="n">
        <v>3.1</v>
      </c>
    </row>
    <row r="676" customFormat="1" s="21">
      <c r="A676" s="20" t="inlineStr">
        <is>
          <t>Planted Boreal mountain systems</t>
        </is>
      </c>
      <c r="B676" s="163" t="n">
        <v>0</v>
      </c>
      <c r="C676" s="163" t="n">
        <v>0</v>
      </c>
    </row>
    <row r="677" customFormat="1" s="21">
      <c r="A677" s="37" t="inlineStr">
        <is>
          <t>Planted Tropical mountain systems</t>
        </is>
      </c>
      <c r="B677" s="466" t="n">
        <v>0</v>
      </c>
      <c r="C677" s="42" t="n">
        <v>3.3</v>
      </c>
    </row>
    <row r="678" customFormat="1" s="21">
      <c r="B678" s="465" t="n"/>
      <c r="C678" s="453" t="n"/>
    </row>
    <row r="679" ht="9.75" customHeight="1"/>
    <row r="680" ht="16.25" customHeight="1">
      <c r="A680" s="753" t="inlineStr">
        <is>
          <t>This is the total biomass (AGB + BGB) of land uses one year after DEFORESTATION!!!! The 1st  year after the deforestation. To be used for the 'Defo' Sheet and for the Other land-use changes</t>
        </is>
      </c>
      <c r="B680" s="532" t="n"/>
      <c r="C680" s="532" t="n"/>
      <c r="D680" s="532" t="n"/>
      <c r="E680" s="532" t="n"/>
      <c r="F680" s="532" t="n"/>
      <c r="G680" s="532" t="n"/>
      <c r="H680" s="532" t="n"/>
      <c r="I680" s="532" t="n"/>
      <c r="J680" s="532" t="n"/>
      <c r="K680" s="532" t="n"/>
      <c r="L680" s="532" t="n"/>
      <c r="M680" s="532" t="n"/>
      <c r="N680" s="532" t="n"/>
      <c r="O680" s="532" t="n"/>
      <c r="P680" s="532" t="n"/>
      <c r="Q680" s="533" t="n"/>
      <c r="R680" s="533" t="n"/>
      <c r="S680" s="533" t="n"/>
      <c r="T680" s="533" t="n"/>
      <c r="U680" s="533" t="n"/>
      <c r="V680" s="533" t="n"/>
      <c r="W680" s="533" t="n"/>
      <c r="X680" s="533" t="n"/>
      <c r="Y680" s="533" t="n"/>
    </row>
    <row r="681">
      <c r="A681" s="529" t="inlineStr">
        <is>
          <t>TABLE 5. 9 (UPDATED), in IPCC 2019, Chapter 5, page 5.47</t>
        </is>
      </c>
      <c r="B681" s="528" t="n"/>
      <c r="C681" s="375" t="n"/>
      <c r="D681" s="754" t="inlineStr">
        <is>
          <t>TABLE 5. 9 (UPDATED)</t>
        </is>
      </c>
      <c r="E681" s="531" t="inlineStr">
        <is>
          <t>TABLE 5. 9 (UPDATED)</t>
        </is>
      </c>
      <c r="F681" s="531" t="inlineStr">
        <is>
          <t>TABLE 5. 9 (UPDATED)</t>
        </is>
      </c>
      <c r="G681" s="531" t="inlineStr">
        <is>
          <t>TABLE 6.4 (in IPCC 2006)</t>
        </is>
      </c>
      <c r="H681" s="530" t="n"/>
      <c r="I681" s="531" t="inlineStr">
        <is>
          <t>TABLE 5.2 (UPDATED)</t>
        </is>
      </c>
      <c r="J681" s="531" t="inlineStr">
        <is>
          <t>TABLE 5.2 (UPDATED)</t>
        </is>
      </c>
      <c r="K681" s="531" t="inlineStr">
        <is>
          <t>TABLE 5.2 (UPDATED)</t>
        </is>
      </c>
      <c r="L681" s="531" t="inlineStr">
        <is>
          <t>TABLE 5.2 (UPDATED)</t>
        </is>
      </c>
      <c r="M681" s="531" t="inlineStr">
        <is>
          <t>TABLE 5.2 (UPDATED)</t>
        </is>
      </c>
      <c r="N681" s="531" t="inlineStr">
        <is>
          <t>TABLE 5.2 (UPDATED)</t>
        </is>
      </c>
      <c r="O681" s="531" t="inlineStr">
        <is>
          <t>TABLE 5.2 (UPDATED)</t>
        </is>
      </c>
      <c r="P681" s="531" t="inlineStr">
        <is>
          <t>TABLE 5.2 (UPDATED)</t>
        </is>
      </c>
      <c r="Q681" s="531" t="inlineStr">
        <is>
          <t>TABLE 5.2 (UPDATED)</t>
        </is>
      </c>
      <c r="R681" s="748" t="inlineStr">
        <is>
          <t>From EX-ACT v.7</t>
        </is>
      </c>
      <c r="S681" s="378" t="inlineStr">
        <is>
          <t>TABLE 5. 3 (UPDATED)</t>
        </is>
      </c>
      <c r="T681" s="378" t="inlineStr">
        <is>
          <t>TABLE 5. 3 (UPDATED)</t>
        </is>
      </c>
      <c r="U681" s="378" t="inlineStr">
        <is>
          <t>TABLE 5. 3 (UPDATED)</t>
        </is>
      </c>
      <c r="V681" s="378" t="inlineStr">
        <is>
          <t>TABLE 5. 3 (UPDATED)</t>
        </is>
      </c>
      <c r="W681" s="378" t="inlineStr">
        <is>
          <t>TABLE 5. 3 (UPDATED)</t>
        </is>
      </c>
      <c r="X681" s="378" t="inlineStr">
        <is>
          <t>TABLE 5. 3 (UPDATED)</t>
        </is>
      </c>
      <c r="Y681" s="378" t="inlineStr">
        <is>
          <t>TABLE 5. 3 (UPDATED)</t>
        </is>
      </c>
    </row>
    <row r="682" customFormat="1" s="4608">
      <c r="A682" s="524" t="n"/>
      <c r="B682" s="525" t="n"/>
      <c r="C682" s="526" t="n"/>
      <c r="D682" s="378" t="inlineStr">
        <is>
          <t>Annual cropland</t>
        </is>
      </c>
      <c r="E682" s="371" t="inlineStr">
        <is>
          <t>Annual fallow</t>
        </is>
      </c>
      <c r="F682" s="371" t="inlineStr">
        <is>
          <t>Flooded rice</t>
        </is>
      </c>
      <c r="G682" s="371" t="inlineStr">
        <is>
          <t>Grassland</t>
        </is>
      </c>
      <c r="H682" s="294" t="inlineStr">
        <is>
          <t>Other land (non-vegetated)</t>
        </is>
      </c>
      <c r="I682" s="371" t="inlineStr">
        <is>
          <t>Agroforestry - default</t>
        </is>
      </c>
      <c r="J682" s="371" t="inlineStr">
        <is>
          <t>Alley cropping</t>
        </is>
      </c>
      <c r="K682" s="371" t="inlineStr">
        <is>
          <t>Perennial fallow</t>
        </is>
      </c>
      <c r="L682" s="531" t="inlineStr">
        <is>
          <t>Hedgerow</t>
        </is>
      </c>
      <c r="M682" s="531" t="inlineStr">
        <is>
          <t>Multistrata</t>
        </is>
      </c>
      <c r="N682" s="531" t="inlineStr">
        <is>
          <t>Parkland</t>
        </is>
      </c>
      <c r="O682" s="531" t="inlineStr">
        <is>
          <t>Shaded Perennial</t>
        </is>
      </c>
      <c r="P682" s="531" t="inlineStr">
        <is>
          <t>Silvoarable</t>
        </is>
      </c>
      <c r="Q682" s="531" t="inlineStr">
        <is>
          <t>Silvopasture</t>
        </is>
      </c>
      <c r="R682" s="378" t="inlineStr">
        <is>
          <t>Degraded land</t>
        </is>
      </c>
      <c r="S682" s="378" t="inlineStr">
        <is>
          <t>Olive</t>
        </is>
      </c>
      <c r="T682" s="378" t="inlineStr">
        <is>
          <t>Orchard</t>
        </is>
      </c>
      <c r="U682" s="378" t="inlineStr">
        <is>
          <t>Short Rotation Coppice</t>
        </is>
      </c>
      <c r="V682" s="378" t="inlineStr">
        <is>
          <t>Tea</t>
        </is>
      </c>
      <c r="W682" s="378" t="inlineStr">
        <is>
          <t>Vine</t>
        </is>
      </c>
      <c r="X682" s="378" t="inlineStr">
        <is>
          <t>Oil palm</t>
        </is>
      </c>
      <c r="Y682" s="378" t="inlineStr">
        <is>
          <t>Rubber</t>
        </is>
      </c>
    </row>
    <row r="683" customFormat="1" s="341">
      <c r="A683" s="293" t="n"/>
      <c r="B683" s="533" t="n"/>
      <c r="C683" s="533" t="n"/>
      <c r="D683" s="378" t="inlineStr">
        <is>
          <t>(ΔCG)</t>
        </is>
      </c>
      <c r="E683" s="378" t="inlineStr">
        <is>
          <t>(ΔCG)</t>
        </is>
      </c>
      <c r="F683" s="378" t="inlineStr">
        <is>
          <t>(ΔCG)</t>
        </is>
      </c>
      <c r="G683" s="378" t="inlineStr">
        <is>
          <t>(ΔCG)</t>
        </is>
      </c>
      <c r="H683" s="378" t="inlineStr">
        <is>
          <t>(ΔCG)</t>
        </is>
      </c>
      <c r="I683" s="378" t="inlineStr">
        <is>
          <t>(ΔCG)</t>
        </is>
      </c>
      <c r="J683" s="378" t="inlineStr">
        <is>
          <t>(ΔCG)</t>
        </is>
      </c>
      <c r="K683" s="378" t="inlineStr">
        <is>
          <t>(ΔCG)</t>
        </is>
      </c>
      <c r="L683" s="378" t="inlineStr">
        <is>
          <t>(ΔCG)</t>
        </is>
      </c>
      <c r="M683" s="378" t="inlineStr">
        <is>
          <t>(ΔCG)</t>
        </is>
      </c>
      <c r="N683" s="378" t="inlineStr">
        <is>
          <t>(ΔCG)</t>
        </is>
      </c>
      <c r="O683" s="378" t="inlineStr">
        <is>
          <t>(ΔCG)</t>
        </is>
      </c>
      <c r="P683" s="378" t="inlineStr">
        <is>
          <t>(ΔCG)</t>
        </is>
      </c>
      <c r="Q683" s="378" t="inlineStr">
        <is>
          <t>(ΔCG)</t>
        </is>
      </c>
      <c r="R683" s="378" t="inlineStr">
        <is>
          <t>(ΔCG)</t>
        </is>
      </c>
      <c r="S683" s="378" t="inlineStr">
        <is>
          <t>(ΔCG)</t>
        </is>
      </c>
      <c r="T683" s="378" t="inlineStr">
        <is>
          <t>(ΔCG)</t>
        </is>
      </c>
      <c r="U683" s="378" t="inlineStr">
        <is>
          <t>(ΔCG)</t>
        </is>
      </c>
      <c r="V683" s="378" t="inlineStr">
        <is>
          <t>(ΔCG)</t>
        </is>
      </c>
      <c r="W683" s="378" t="inlineStr">
        <is>
          <t>(ΔCG)</t>
        </is>
      </c>
      <c r="X683" s="378" t="inlineStr">
        <is>
          <t>(ΔCG)</t>
        </is>
      </c>
      <c r="Y683" s="378" t="inlineStr">
        <is>
          <t>(ΔCG)</t>
        </is>
      </c>
    </row>
    <row r="684">
      <c r="A684" s="522" t="inlineStr">
        <is>
          <t>Climate Region</t>
        </is>
      </c>
      <c r="B684" s="522" t="inlineStr">
        <is>
          <t>Region</t>
        </is>
      </c>
      <c r="C684" s="522" t="inlineStr">
        <is>
          <t>Chain_climate_region</t>
        </is>
      </c>
      <c r="D684" s="42" t="inlineStr">
        <is>
          <t>(tonnes C/ha/yr)</t>
        </is>
      </c>
      <c r="E684" s="42" t="inlineStr">
        <is>
          <t>(tonnes C/ha/yr)</t>
        </is>
      </c>
      <c r="F684" s="42" t="inlineStr">
        <is>
          <t>(tonnes C/ha/yr)</t>
        </is>
      </c>
      <c r="G684" s="42" t="inlineStr">
        <is>
          <t>(tonnes C/ha/yr)</t>
        </is>
      </c>
      <c r="H684" s="42" t="inlineStr">
        <is>
          <t>(tonnes C/ha/yr)</t>
        </is>
      </c>
      <c r="I684" s="42" t="inlineStr">
        <is>
          <t>(tonnes C/ha/yr)</t>
        </is>
      </c>
      <c r="J684" s="42" t="inlineStr">
        <is>
          <t>(tonnes C/ha/yr)</t>
        </is>
      </c>
      <c r="K684" s="42" t="inlineStr">
        <is>
          <t>(tonnes C/ha/yr)</t>
        </is>
      </c>
      <c r="L684" s="42" t="inlineStr">
        <is>
          <t>(tonnes C/ha/yr)</t>
        </is>
      </c>
      <c r="M684" s="42" t="inlineStr">
        <is>
          <t>(tonnes C/ha/yr)</t>
        </is>
      </c>
      <c r="N684" s="42" t="inlineStr">
        <is>
          <t>(tonnes C/ha/yr)</t>
        </is>
      </c>
      <c r="O684" s="42" t="inlineStr">
        <is>
          <t>(tonnes C/ha/yr)</t>
        </is>
      </c>
      <c r="P684" s="42" t="inlineStr">
        <is>
          <t>(tonnes C/ha/yr)</t>
        </is>
      </c>
      <c r="Q684" s="42" t="inlineStr">
        <is>
          <t>(tonnes C/ha/yr)</t>
        </is>
      </c>
      <c r="R684" s="42" t="inlineStr">
        <is>
          <t>(tonnes C/ha/yr)</t>
        </is>
      </c>
      <c r="S684" s="42" t="inlineStr">
        <is>
          <t>(tonnes C/ha/yr)</t>
        </is>
      </c>
      <c r="T684" s="42" t="inlineStr">
        <is>
          <t>(tonnes C/ha/yr)</t>
        </is>
      </c>
      <c r="U684" s="42" t="inlineStr">
        <is>
          <t>(tonnes C/ha/yr)</t>
        </is>
      </c>
      <c r="V684" s="42" t="inlineStr">
        <is>
          <t>(tonnes C/ha/yr)</t>
        </is>
      </c>
      <c r="W684" s="42" t="inlineStr">
        <is>
          <t>(tonnes C/ha/yr)</t>
        </is>
      </c>
      <c r="X684" s="42" t="inlineStr">
        <is>
          <t>(tonnes C/ha/yr)</t>
        </is>
      </c>
      <c r="Y684" s="42" t="inlineStr">
        <is>
          <t>(tonnes C/ha/yr)</t>
        </is>
      </c>
    </row>
    <row r="685">
      <c r="A685" s="296" t="inlineStr">
        <is>
          <t>Please select</t>
        </is>
      </c>
      <c r="B685" s="296" t="inlineStr">
        <is>
          <t>Please select</t>
        </is>
      </c>
      <c r="C685" s="296" t="inlineStr">
        <is>
          <t>??</t>
        </is>
      </c>
      <c r="D685" s="62" t="inlineStr">
        <is>
          <t>1st year</t>
        </is>
      </c>
      <c r="E685" s="62" t="inlineStr">
        <is>
          <t>1st year</t>
        </is>
      </c>
      <c r="F685" s="62" t="inlineStr">
        <is>
          <t>1st year</t>
        </is>
      </c>
      <c r="G685" s="62" t="inlineStr">
        <is>
          <t>1st year</t>
        </is>
      </c>
      <c r="H685" s="62" t="inlineStr">
        <is>
          <t>1st year</t>
        </is>
      </c>
      <c r="I685" s="62" t="inlineStr">
        <is>
          <t>1st year</t>
        </is>
      </c>
      <c r="J685" s="62" t="inlineStr">
        <is>
          <t>1st year</t>
        </is>
      </c>
      <c r="K685" s="62" t="inlineStr">
        <is>
          <t>1st year</t>
        </is>
      </c>
      <c r="L685" s="62" t="inlineStr">
        <is>
          <t>1st year</t>
        </is>
      </c>
      <c r="M685" s="62" t="inlineStr">
        <is>
          <t>1st year</t>
        </is>
      </c>
      <c r="N685" s="62" t="inlineStr">
        <is>
          <t>1st year</t>
        </is>
      </c>
      <c r="O685" s="62" t="inlineStr">
        <is>
          <t>1st year</t>
        </is>
      </c>
      <c r="P685" s="62" t="inlineStr">
        <is>
          <t>1st year</t>
        </is>
      </c>
      <c r="Q685" s="62" t="inlineStr">
        <is>
          <t>1st year</t>
        </is>
      </c>
      <c r="R685" s="62" t="inlineStr">
        <is>
          <t>1st year</t>
        </is>
      </c>
      <c r="S685" s="62" t="inlineStr">
        <is>
          <t>1st year</t>
        </is>
      </c>
      <c r="T685" s="62" t="inlineStr">
        <is>
          <t>1st year</t>
        </is>
      </c>
      <c r="U685" s="62" t="inlineStr">
        <is>
          <t>1st year</t>
        </is>
      </c>
      <c r="V685" s="62" t="inlineStr">
        <is>
          <t>1st year</t>
        </is>
      </c>
      <c r="W685" s="62" t="inlineStr">
        <is>
          <t>1st year</t>
        </is>
      </c>
      <c r="X685" s="62" t="inlineStr">
        <is>
          <t>1st year</t>
        </is>
      </c>
      <c r="Y685" s="62" t="inlineStr">
        <is>
          <t>1st year</t>
        </is>
      </c>
    </row>
    <row r="686" customFormat="1" s="2780">
      <c r="A686" s="2773" t="inlineStr">
        <is>
          <t>Cool Temperate Dry</t>
        </is>
      </c>
      <c r="B686" s="2774" t="inlineStr">
        <is>
          <t>Eastern Africa</t>
        </is>
      </c>
      <c r="C686" s="2773">
        <f>CONCATENATE(A686,B686)</f>
        <v/>
      </c>
      <c r="D686" s="2775" t="n">
        <v>4.7</v>
      </c>
      <c r="E686" s="2775">
        <f>D686</f>
        <v/>
      </c>
      <c r="F686" s="2775">
        <f>E686</f>
        <v/>
      </c>
      <c r="G686" s="2776">
        <f>6.5*0.47</f>
        <v/>
      </c>
      <c r="H686" s="2777" t="n">
        <v>0</v>
      </c>
      <c r="I686" s="2778">
        <f>E107+E310</f>
        <v/>
      </c>
      <c r="J686" s="490" t="n"/>
      <c r="K686" s="490" t="n"/>
      <c r="L686" s="490">
        <f>H107+H310</f>
        <v/>
      </c>
      <c r="M686" s="490" t="n"/>
      <c r="N686" s="490" t="n"/>
      <c r="O686" s="490" t="n"/>
      <c r="P686" s="490">
        <f>L107+L310</f>
        <v/>
      </c>
      <c r="Q686" s="490">
        <f>M107+M310</f>
        <v/>
      </c>
      <c r="R686" s="749" t="n">
        <v>1</v>
      </c>
      <c r="S686" s="491">
        <f>N107+N310</f>
        <v/>
      </c>
      <c r="T686" s="2773">
        <f>O107+O310</f>
        <v/>
      </c>
      <c r="U686" s="2773">
        <f>Q107+Q310</f>
        <v/>
      </c>
      <c r="V686" s="2773">
        <f>T107+T310</f>
        <v/>
      </c>
      <c r="W686" s="2779">
        <f>P107+P310</f>
        <v/>
      </c>
      <c r="X686" s="2773" t="n">
        <v>0</v>
      </c>
      <c r="Y686" s="2773" t="n">
        <v>0</v>
      </c>
    </row>
    <row r="687" customFormat="1" s="16">
      <c r="A687" s="392" t="inlineStr">
        <is>
          <t>Cool Temperate Dry</t>
        </is>
      </c>
      <c r="B687" s="2781" t="inlineStr">
        <is>
          <t>Central Africa</t>
        </is>
      </c>
      <c r="C687" s="392">
        <f>CONCATENATE(A687,B687)</f>
        <v/>
      </c>
      <c r="D687" s="2782" t="n">
        <v>4.7</v>
      </c>
      <c r="E687" s="2782">
        <f>D687</f>
        <v/>
      </c>
      <c r="F687" s="2782">
        <f>E687</f>
        <v/>
      </c>
      <c r="G687" s="2776">
        <f>6.5*0.47</f>
        <v/>
      </c>
      <c r="H687" s="2776" t="n">
        <v>0</v>
      </c>
      <c r="I687" s="492">
        <f>E108+E311</f>
        <v/>
      </c>
      <c r="J687" s="492" t="n"/>
      <c r="K687" s="492" t="n"/>
      <c r="L687" s="492">
        <f>H108+H311</f>
        <v/>
      </c>
      <c r="M687" s="492" t="n"/>
      <c r="N687" s="492" t="n"/>
      <c r="O687" s="492" t="n"/>
      <c r="P687" s="492">
        <f>L108+L311</f>
        <v/>
      </c>
      <c r="Q687" s="492">
        <f>M108+M311</f>
        <v/>
      </c>
      <c r="R687" s="749" t="n">
        <v>1</v>
      </c>
      <c r="S687" s="471">
        <f>N108+N311</f>
        <v/>
      </c>
      <c r="T687" s="392">
        <f>O108+O311</f>
        <v/>
      </c>
      <c r="U687" s="392">
        <f>Q108+Q311</f>
        <v/>
      </c>
      <c r="V687" s="392">
        <f>T108+T311</f>
        <v/>
      </c>
      <c r="W687" s="2783">
        <f>P108+P311</f>
        <v/>
      </c>
      <c r="X687" s="392" t="n">
        <v>0</v>
      </c>
      <c r="Y687" s="392" t="n">
        <v>0</v>
      </c>
    </row>
    <row r="688" customFormat="1" s="16">
      <c r="A688" s="392" t="inlineStr">
        <is>
          <t>Cool Temperate Dry</t>
        </is>
      </c>
      <c r="B688" s="2781" t="inlineStr">
        <is>
          <t>Northern Africa</t>
        </is>
      </c>
      <c r="C688" s="392">
        <f>CONCATENATE(A688,B688)</f>
        <v/>
      </c>
      <c r="D688" s="2782" t="n">
        <v>4.7</v>
      </c>
      <c r="E688" s="2782">
        <f>D688</f>
        <v/>
      </c>
      <c r="F688" s="2782">
        <f>E688</f>
        <v/>
      </c>
      <c r="G688" s="2776">
        <f>6.5*0.47</f>
        <v/>
      </c>
      <c r="H688" s="2776" t="n">
        <v>0</v>
      </c>
      <c r="I688" s="492">
        <f>E109+E312</f>
        <v/>
      </c>
      <c r="J688" s="492" t="n"/>
      <c r="K688" s="492" t="n"/>
      <c r="L688" s="492">
        <f>H109+H312</f>
        <v/>
      </c>
      <c r="M688" s="492" t="n"/>
      <c r="N688" s="492" t="n"/>
      <c r="O688" s="492" t="n"/>
      <c r="P688" s="492">
        <f>L109+L312</f>
        <v/>
      </c>
      <c r="Q688" s="492">
        <f>M109+M312</f>
        <v/>
      </c>
      <c r="R688" s="749" t="n">
        <v>1</v>
      </c>
      <c r="S688" s="471">
        <f>N109+N312</f>
        <v/>
      </c>
      <c r="T688" s="392">
        <f>O109+O312</f>
        <v/>
      </c>
      <c r="U688" s="392">
        <f>Q109+Q312</f>
        <v/>
      </c>
      <c r="V688" s="392">
        <f>T109+T312</f>
        <v/>
      </c>
      <c r="W688" s="2783">
        <f>P109+P312</f>
        <v/>
      </c>
      <c r="X688" s="392" t="n">
        <v>0</v>
      </c>
      <c r="Y688" s="392" t="n">
        <v>0</v>
      </c>
    </row>
    <row r="689" customFormat="1" s="16">
      <c r="A689" s="392" t="inlineStr">
        <is>
          <t>Cool Temperate Dry</t>
        </is>
      </c>
      <c r="B689" s="2781" t="inlineStr">
        <is>
          <t>Southern Africa</t>
        </is>
      </c>
      <c r="C689" s="392">
        <f>CONCATENATE(A689,B689)</f>
        <v/>
      </c>
      <c r="D689" s="2782" t="n">
        <v>4.7</v>
      </c>
      <c r="E689" s="2782">
        <f>D689</f>
        <v/>
      </c>
      <c r="F689" s="2782">
        <f>E689</f>
        <v/>
      </c>
      <c r="G689" s="2776">
        <f>6.5*0.47</f>
        <v/>
      </c>
      <c r="H689" s="2776" t="n">
        <v>0</v>
      </c>
      <c r="I689" s="492">
        <f>E110+E313</f>
        <v/>
      </c>
      <c r="J689" s="492" t="n"/>
      <c r="K689" s="492" t="n"/>
      <c r="L689" s="492">
        <f>H110+H313</f>
        <v/>
      </c>
      <c r="M689" s="492" t="n"/>
      <c r="N689" s="492" t="n"/>
      <c r="O689" s="492" t="n"/>
      <c r="P689" s="492">
        <f>L110+L313</f>
        <v/>
      </c>
      <c r="Q689" s="492">
        <f>M110+M313</f>
        <v/>
      </c>
      <c r="R689" s="749" t="n">
        <v>1</v>
      </c>
      <c r="S689" s="471">
        <f>N110+N313</f>
        <v/>
      </c>
      <c r="T689" s="392">
        <f>O110+O313</f>
        <v/>
      </c>
      <c r="U689" s="392">
        <f>Q110+Q313</f>
        <v/>
      </c>
      <c r="V689" s="392">
        <f>T110+T313</f>
        <v/>
      </c>
      <c r="W689" s="2783">
        <f>P110+P313</f>
        <v/>
      </c>
      <c r="X689" s="392" t="n">
        <v>0</v>
      </c>
      <c r="Y689" s="392" t="n">
        <v>0</v>
      </c>
    </row>
    <row r="690" customFormat="1" s="16">
      <c r="A690" s="392" t="inlineStr">
        <is>
          <t>Cool Temperate Dry</t>
        </is>
      </c>
      <c r="B690" s="2781" t="inlineStr">
        <is>
          <t>Western Africa</t>
        </is>
      </c>
      <c r="C690" s="392">
        <f>CONCATENATE(A690,B690)</f>
        <v/>
      </c>
      <c r="D690" s="2782" t="n">
        <v>4.7</v>
      </c>
      <c r="E690" s="2782">
        <f>D690</f>
        <v/>
      </c>
      <c r="F690" s="2782">
        <f>E690</f>
        <v/>
      </c>
      <c r="G690" s="2776">
        <f>6.5*0.47</f>
        <v/>
      </c>
      <c r="H690" s="2776" t="n">
        <v>0</v>
      </c>
      <c r="I690" s="492">
        <f>E111+E314</f>
        <v/>
      </c>
      <c r="J690" s="492" t="n"/>
      <c r="K690" s="492" t="n"/>
      <c r="L690" s="492">
        <f>H111+H314</f>
        <v/>
      </c>
      <c r="M690" s="492" t="n"/>
      <c r="N690" s="492" t="n"/>
      <c r="O690" s="492" t="n"/>
      <c r="P690" s="492">
        <f>L111+L314</f>
        <v/>
      </c>
      <c r="Q690" s="492">
        <f>M111+M314</f>
        <v/>
      </c>
      <c r="R690" s="749" t="n">
        <v>1</v>
      </c>
      <c r="S690" s="471">
        <f>N111+N314</f>
        <v/>
      </c>
      <c r="T690" s="392">
        <f>O111+O314</f>
        <v/>
      </c>
      <c r="U690" s="392">
        <f>Q111+Q314</f>
        <v/>
      </c>
      <c r="V690" s="392">
        <f>T111+T314</f>
        <v/>
      </c>
      <c r="W690" s="2783">
        <f>P111+P314</f>
        <v/>
      </c>
      <c r="X690" s="392" t="n">
        <v>0</v>
      </c>
      <c r="Y690" s="392" t="n">
        <v>0</v>
      </c>
    </row>
    <row r="691" customFormat="1" s="16">
      <c r="A691" s="392" t="inlineStr">
        <is>
          <t>Cool Temperate Dry</t>
        </is>
      </c>
      <c r="B691" s="2781" t="inlineStr">
        <is>
          <t>Central Asia</t>
        </is>
      </c>
      <c r="C691" s="392">
        <f>CONCATENATE(A691,B691)</f>
        <v/>
      </c>
      <c r="D691" s="2782" t="n">
        <v>4.7</v>
      </c>
      <c r="E691" s="2782">
        <f>D691</f>
        <v/>
      </c>
      <c r="F691" s="2782">
        <f>E691</f>
        <v/>
      </c>
      <c r="G691" s="2776">
        <f>6.5*0.47</f>
        <v/>
      </c>
      <c r="H691" s="2776" t="n">
        <v>0</v>
      </c>
      <c r="I691" s="492">
        <f>E112+E315</f>
        <v/>
      </c>
      <c r="J691" s="492" t="n"/>
      <c r="K691" s="492" t="n"/>
      <c r="L691" s="492">
        <f>H112+H315</f>
        <v/>
      </c>
      <c r="M691" s="492" t="n"/>
      <c r="N691" s="492" t="n"/>
      <c r="O691" s="492" t="n"/>
      <c r="P691" s="492">
        <f>L112+L315</f>
        <v/>
      </c>
      <c r="Q691" s="492">
        <f>M112+M315</f>
        <v/>
      </c>
      <c r="R691" s="749" t="n">
        <v>1</v>
      </c>
      <c r="S691" s="471">
        <f>N112+N315</f>
        <v/>
      </c>
      <c r="T691" s="392">
        <f>O112+O315</f>
        <v/>
      </c>
      <c r="U691" s="392">
        <f>Q112+Q315</f>
        <v/>
      </c>
      <c r="V691" s="392">
        <f>T112+T315</f>
        <v/>
      </c>
      <c r="W691" s="2783">
        <f>P112+P315</f>
        <v/>
      </c>
      <c r="X691" s="392" t="n">
        <v>0</v>
      </c>
      <c r="Y691" s="392" t="n">
        <v>0</v>
      </c>
    </row>
    <row r="692" customFormat="1" s="16">
      <c r="A692" s="392" t="inlineStr">
        <is>
          <t>Cool Temperate Dry</t>
        </is>
      </c>
      <c r="B692" s="2781" t="inlineStr">
        <is>
          <t>Eastern Asia</t>
        </is>
      </c>
      <c r="C692" s="392">
        <f>CONCATENATE(A692,B692)</f>
        <v/>
      </c>
      <c r="D692" s="2782" t="n">
        <v>4.7</v>
      </c>
      <c r="E692" s="2782">
        <f>D692</f>
        <v/>
      </c>
      <c r="F692" s="2782">
        <f>E692</f>
        <v/>
      </c>
      <c r="G692" s="2776">
        <f>6.5*0.47</f>
        <v/>
      </c>
      <c r="H692" s="2776" t="n">
        <v>0</v>
      </c>
      <c r="I692" s="492">
        <f>E113+E316</f>
        <v/>
      </c>
      <c r="J692" s="492" t="n"/>
      <c r="K692" s="492" t="n"/>
      <c r="L692" s="492">
        <f>H113+H316</f>
        <v/>
      </c>
      <c r="M692" s="492" t="n"/>
      <c r="N692" s="492" t="n"/>
      <c r="O692" s="492" t="n"/>
      <c r="P692" s="492">
        <f>L113+L316</f>
        <v/>
      </c>
      <c r="Q692" s="492">
        <f>M113+M316</f>
        <v/>
      </c>
      <c r="R692" s="749" t="n">
        <v>1</v>
      </c>
      <c r="S692" s="471">
        <f>N113+N316</f>
        <v/>
      </c>
      <c r="T692" s="392">
        <f>O113+O316</f>
        <v/>
      </c>
      <c r="U692" s="392">
        <f>Q113+Q316</f>
        <v/>
      </c>
      <c r="V692" s="392">
        <f>T113+T316</f>
        <v/>
      </c>
      <c r="W692" s="2783">
        <f>P113+P316</f>
        <v/>
      </c>
      <c r="X692" s="392" t="n">
        <v>0</v>
      </c>
      <c r="Y692" s="392" t="n">
        <v>0</v>
      </c>
    </row>
    <row r="693" customFormat="1" s="16">
      <c r="A693" s="392" t="inlineStr">
        <is>
          <t>Cool Temperate Dry</t>
        </is>
      </c>
      <c r="B693" s="2781" t="inlineStr">
        <is>
          <t>South-eastern Asia</t>
        </is>
      </c>
      <c r="C693" s="392">
        <f>CONCATENATE(A693,B693)</f>
        <v/>
      </c>
      <c r="D693" s="2782" t="n">
        <v>4.7</v>
      </c>
      <c r="E693" s="2782">
        <f>D693</f>
        <v/>
      </c>
      <c r="F693" s="2782">
        <f>E693</f>
        <v/>
      </c>
      <c r="G693" s="2776">
        <f>6.5*0.47</f>
        <v/>
      </c>
      <c r="H693" s="2776" t="n">
        <v>0</v>
      </c>
      <c r="I693" s="492">
        <f>E114+E317</f>
        <v/>
      </c>
      <c r="J693" s="492" t="n"/>
      <c r="K693" s="492" t="n"/>
      <c r="L693" s="492">
        <f>H114+H317</f>
        <v/>
      </c>
      <c r="M693" s="492" t="n"/>
      <c r="N693" s="492" t="n"/>
      <c r="O693" s="492" t="n"/>
      <c r="P693" s="492">
        <f>L114+L317</f>
        <v/>
      </c>
      <c r="Q693" s="492">
        <f>M114+M317</f>
        <v/>
      </c>
      <c r="R693" s="749" t="n">
        <v>1</v>
      </c>
      <c r="S693" s="471">
        <f>N114+N317</f>
        <v/>
      </c>
      <c r="T693" s="392">
        <f>O114+O317</f>
        <v/>
      </c>
      <c r="U693" s="392">
        <f>Q114+Q317</f>
        <v/>
      </c>
      <c r="V693" s="392">
        <f>T114+T317</f>
        <v/>
      </c>
      <c r="W693" s="2783">
        <f>P114+P317</f>
        <v/>
      </c>
      <c r="X693" s="392" t="n">
        <v>0</v>
      </c>
      <c r="Y693" s="392" t="n">
        <v>0</v>
      </c>
    </row>
    <row r="694" customFormat="1" s="16">
      <c r="A694" s="392" t="inlineStr">
        <is>
          <t>Cool Temperate Dry</t>
        </is>
      </c>
      <c r="B694" s="2781" t="inlineStr">
        <is>
          <t>Southern Asia</t>
        </is>
      </c>
      <c r="C694" s="392">
        <f>CONCATENATE(A694,B694)</f>
        <v/>
      </c>
      <c r="D694" s="2782" t="n">
        <v>4.7</v>
      </c>
      <c r="E694" s="2782">
        <f>D694</f>
        <v/>
      </c>
      <c r="F694" s="2782">
        <f>E694</f>
        <v/>
      </c>
      <c r="G694" s="2776">
        <f>6.5*0.47</f>
        <v/>
      </c>
      <c r="H694" s="2776" t="n">
        <v>0</v>
      </c>
      <c r="I694" s="492">
        <f>E115+E318</f>
        <v/>
      </c>
      <c r="J694" s="492" t="n"/>
      <c r="K694" s="492" t="n"/>
      <c r="L694" s="492">
        <f>H115+H318</f>
        <v/>
      </c>
      <c r="M694" s="492" t="n"/>
      <c r="N694" s="492" t="n"/>
      <c r="O694" s="492" t="n"/>
      <c r="P694" s="492">
        <f>L115+L318</f>
        <v/>
      </c>
      <c r="Q694" s="492">
        <f>M115+M318</f>
        <v/>
      </c>
      <c r="R694" s="749" t="n">
        <v>1</v>
      </c>
      <c r="S694" s="471">
        <f>N115+N318</f>
        <v/>
      </c>
      <c r="T694" s="392">
        <f>O115+O318</f>
        <v/>
      </c>
      <c r="U694" s="392">
        <f>Q115+Q318</f>
        <v/>
      </c>
      <c r="V694" s="392">
        <f>T115+T318</f>
        <v/>
      </c>
      <c r="W694" s="2783">
        <f>P115+P318</f>
        <v/>
      </c>
      <c r="X694" s="392" t="n">
        <v>0</v>
      </c>
      <c r="Y694" s="392" t="n">
        <v>0</v>
      </c>
    </row>
    <row r="695" customFormat="1" s="16">
      <c r="A695" s="392" t="inlineStr">
        <is>
          <t>Cool Temperate Dry</t>
        </is>
      </c>
      <c r="B695" s="2781" t="inlineStr">
        <is>
          <t>Western Asia</t>
        </is>
      </c>
      <c r="C695" s="392">
        <f>CONCATENATE(A695,B695)</f>
        <v/>
      </c>
      <c r="D695" s="2782" t="n">
        <v>4.7</v>
      </c>
      <c r="E695" s="2782">
        <f>D695</f>
        <v/>
      </c>
      <c r="F695" s="2782">
        <f>E695</f>
        <v/>
      </c>
      <c r="G695" s="2776">
        <f>6.5*0.47</f>
        <v/>
      </c>
      <c r="H695" s="2776" t="n">
        <v>0</v>
      </c>
      <c r="I695" s="492">
        <f>E116+E319</f>
        <v/>
      </c>
      <c r="J695" s="492" t="n"/>
      <c r="K695" s="492" t="n"/>
      <c r="L695" s="492">
        <f>H116+H319</f>
        <v/>
      </c>
      <c r="M695" s="492" t="n"/>
      <c r="N695" s="492" t="n"/>
      <c r="O695" s="492" t="n"/>
      <c r="P695" s="492">
        <f>L116+L319</f>
        <v/>
      </c>
      <c r="Q695" s="492">
        <f>M116+M319</f>
        <v/>
      </c>
      <c r="R695" s="749" t="n">
        <v>1</v>
      </c>
      <c r="S695" s="471">
        <f>N116+N319</f>
        <v/>
      </c>
      <c r="T695" s="392">
        <f>O116+O319</f>
        <v/>
      </c>
      <c r="U695" s="392">
        <f>Q116+Q319</f>
        <v/>
      </c>
      <c r="V695" s="392">
        <f>T116+T319</f>
        <v/>
      </c>
      <c r="W695" s="2783">
        <f>P116+P319</f>
        <v/>
      </c>
      <c r="X695" s="392" t="n">
        <v>0</v>
      </c>
      <c r="Y695" s="392" t="n">
        <v>0</v>
      </c>
    </row>
    <row r="696" customFormat="1" s="16">
      <c r="A696" s="392" t="inlineStr">
        <is>
          <t>Cool Temperate Dry</t>
        </is>
      </c>
      <c r="B696" s="2781" t="inlineStr">
        <is>
          <t>Europe</t>
        </is>
      </c>
      <c r="C696" s="392">
        <f>CONCATENATE(A696,B696)</f>
        <v/>
      </c>
      <c r="D696" s="2782" t="n">
        <v>4.7</v>
      </c>
      <c r="E696" s="2782">
        <f>D696</f>
        <v/>
      </c>
      <c r="F696" s="2782">
        <f>E696</f>
        <v/>
      </c>
      <c r="G696" s="2776">
        <f>6.5*0.47</f>
        <v/>
      </c>
      <c r="H696" s="2776" t="n">
        <v>0</v>
      </c>
      <c r="I696" s="492">
        <f>E117+E320</f>
        <v/>
      </c>
      <c r="J696" s="492" t="n"/>
      <c r="K696" s="492" t="n"/>
      <c r="L696" s="492">
        <f>H117+H320</f>
        <v/>
      </c>
      <c r="M696" s="492" t="n"/>
      <c r="N696" s="492" t="n"/>
      <c r="O696" s="492" t="n"/>
      <c r="P696" s="492">
        <f>L117+L320</f>
        <v/>
      </c>
      <c r="Q696" s="492">
        <f>M117+M320</f>
        <v/>
      </c>
      <c r="R696" s="749" t="n">
        <v>1</v>
      </c>
      <c r="S696" s="471">
        <f>N117+N320</f>
        <v/>
      </c>
      <c r="T696" s="392">
        <f>O117+O320</f>
        <v/>
      </c>
      <c r="U696" s="392">
        <f>Q117+Q320</f>
        <v/>
      </c>
      <c r="V696" s="392">
        <f>T117+T320</f>
        <v/>
      </c>
      <c r="W696" s="2783">
        <f>P117+P320</f>
        <v/>
      </c>
      <c r="X696" s="392" t="n">
        <v>0</v>
      </c>
      <c r="Y696" s="392" t="n">
        <v>0</v>
      </c>
    </row>
    <row r="697" customFormat="1" s="16">
      <c r="A697" s="392" t="inlineStr">
        <is>
          <t>Cool Temperate Dry</t>
        </is>
      </c>
      <c r="B697" s="2781" t="inlineStr">
        <is>
          <t>Oceania</t>
        </is>
      </c>
      <c r="C697" s="392">
        <f>CONCATENATE(A697,B697)</f>
        <v/>
      </c>
      <c r="D697" s="2782" t="n">
        <v>4.7</v>
      </c>
      <c r="E697" s="2782">
        <f>D697</f>
        <v/>
      </c>
      <c r="F697" s="2782">
        <f>E697</f>
        <v/>
      </c>
      <c r="G697" s="2776">
        <f>6.5*0.47</f>
        <v/>
      </c>
      <c r="H697" s="2776" t="n">
        <v>0</v>
      </c>
      <c r="I697" s="492">
        <f>E118+E321</f>
        <v/>
      </c>
      <c r="J697" s="492" t="n"/>
      <c r="K697" s="492" t="n"/>
      <c r="L697" s="492">
        <f>H118+H321</f>
        <v/>
      </c>
      <c r="M697" s="492" t="n"/>
      <c r="N697" s="492" t="n"/>
      <c r="O697" s="492" t="n"/>
      <c r="P697" s="492">
        <f>L118+L321</f>
        <v/>
      </c>
      <c r="Q697" s="492">
        <f>M118+M321</f>
        <v/>
      </c>
      <c r="R697" s="749" t="n">
        <v>1</v>
      </c>
      <c r="S697" s="471">
        <f>N118+N321</f>
        <v/>
      </c>
      <c r="T697" s="392">
        <f>O118+O321</f>
        <v/>
      </c>
      <c r="U697" s="392">
        <f>Q118+Q321</f>
        <v/>
      </c>
      <c r="V697" s="392">
        <f>T118+T321</f>
        <v/>
      </c>
      <c r="W697" s="2783">
        <f>P118+P321</f>
        <v/>
      </c>
      <c r="X697" s="392" t="n">
        <v>0</v>
      </c>
      <c r="Y697" s="392" t="n">
        <v>0</v>
      </c>
    </row>
    <row r="698" customFormat="1" s="16">
      <c r="A698" s="392" t="inlineStr">
        <is>
          <t>Cool Temperate Dry</t>
        </is>
      </c>
      <c r="B698" s="2781" t="inlineStr">
        <is>
          <t>North America</t>
        </is>
      </c>
      <c r="C698" s="392">
        <f>CONCATENATE(A698,B698)</f>
        <v/>
      </c>
      <c r="D698" s="2782" t="n">
        <v>4.7</v>
      </c>
      <c r="E698" s="2782">
        <f>D698</f>
        <v/>
      </c>
      <c r="F698" s="2782">
        <f>E698</f>
        <v/>
      </c>
      <c r="G698" s="2776">
        <f>6.5*0.47</f>
        <v/>
      </c>
      <c r="H698" s="2776" t="n">
        <v>0</v>
      </c>
      <c r="I698" s="492">
        <f>E119+E322</f>
        <v/>
      </c>
      <c r="J698" s="492" t="n"/>
      <c r="K698" s="492" t="n"/>
      <c r="L698" s="492">
        <f>H119+H322</f>
        <v/>
      </c>
      <c r="M698" s="492" t="n"/>
      <c r="N698" s="492" t="n"/>
      <c r="O698" s="492" t="n"/>
      <c r="P698" s="492">
        <f>L119+L322</f>
        <v/>
      </c>
      <c r="Q698" s="492">
        <f>M119+M322</f>
        <v/>
      </c>
      <c r="R698" s="749" t="n">
        <v>1</v>
      </c>
      <c r="S698" s="471">
        <f>N119+N322</f>
        <v/>
      </c>
      <c r="T698" s="392">
        <f>O119+O322</f>
        <v/>
      </c>
      <c r="U698" s="392">
        <f>Q119+Q322</f>
        <v/>
      </c>
      <c r="V698" s="392">
        <f>T119+T322</f>
        <v/>
      </c>
      <c r="W698" s="2783">
        <f>P119+P322</f>
        <v/>
      </c>
      <c r="X698" s="392" t="n">
        <v>0</v>
      </c>
      <c r="Y698" s="392" t="n">
        <v>0</v>
      </c>
    </row>
    <row r="699" customFormat="1" s="16">
      <c r="A699" s="392" t="inlineStr">
        <is>
          <t>Cool Temperate Dry</t>
        </is>
      </c>
      <c r="B699" s="2781" t="inlineStr">
        <is>
          <t>South America</t>
        </is>
      </c>
      <c r="C699" s="392">
        <f>CONCATENATE(A699,B699)</f>
        <v/>
      </c>
      <c r="D699" s="2782" t="n">
        <v>4.7</v>
      </c>
      <c r="E699" s="2782">
        <f>D699</f>
        <v/>
      </c>
      <c r="F699" s="2782">
        <f>E699</f>
        <v/>
      </c>
      <c r="G699" s="2776">
        <f>6.5*0.47</f>
        <v/>
      </c>
      <c r="H699" s="2776" t="n">
        <v>0</v>
      </c>
      <c r="I699" s="492">
        <f>E120+E323</f>
        <v/>
      </c>
      <c r="J699" s="492" t="n"/>
      <c r="K699" s="492" t="n"/>
      <c r="L699" s="492">
        <f>H120+H323</f>
        <v/>
      </c>
      <c r="M699" s="492" t="n"/>
      <c r="N699" s="492" t="n"/>
      <c r="O699" s="492" t="n"/>
      <c r="P699" s="492">
        <f>L120+L323</f>
        <v/>
      </c>
      <c r="Q699" s="492">
        <f>M120+M323</f>
        <v/>
      </c>
      <c r="R699" s="749" t="n">
        <v>1</v>
      </c>
      <c r="S699" s="471">
        <f>N120+N323</f>
        <v/>
      </c>
      <c r="T699" s="392">
        <f>O120+O323</f>
        <v/>
      </c>
      <c r="U699" s="392">
        <f>Q120+Q323</f>
        <v/>
      </c>
      <c r="V699" s="392">
        <f>T120+T323</f>
        <v/>
      </c>
      <c r="W699" s="2783">
        <f>P120+P323</f>
        <v/>
      </c>
      <c r="X699" s="392" t="n">
        <v>0</v>
      </c>
      <c r="Y699" s="392" t="n">
        <v>0</v>
      </c>
    </row>
    <row r="700" customFormat="1" s="16">
      <c r="A700" s="392" t="inlineStr">
        <is>
          <t>Cool Temperate Dry</t>
        </is>
      </c>
      <c r="B700" s="2781" t="inlineStr">
        <is>
          <t>Central America</t>
        </is>
      </c>
      <c r="C700" s="392">
        <f>CONCATENATE(A700,B700)</f>
        <v/>
      </c>
      <c r="D700" s="2782" t="n">
        <v>4.7</v>
      </c>
      <c r="E700" s="2782">
        <f>D700</f>
        <v/>
      </c>
      <c r="F700" s="2782">
        <f>E700</f>
        <v/>
      </c>
      <c r="G700" s="2776">
        <f>6.5*0.47</f>
        <v/>
      </c>
      <c r="H700" s="2776" t="n">
        <v>0</v>
      </c>
      <c r="I700" s="492">
        <f>E121+E324</f>
        <v/>
      </c>
      <c r="J700" s="492" t="n"/>
      <c r="K700" s="492" t="n"/>
      <c r="L700" s="492">
        <f>H121+H324</f>
        <v/>
      </c>
      <c r="M700" s="492" t="n"/>
      <c r="N700" s="492" t="n"/>
      <c r="O700" s="492" t="n"/>
      <c r="P700" s="492">
        <f>L121+L324</f>
        <v/>
      </c>
      <c r="Q700" s="492">
        <f>M121+M324</f>
        <v/>
      </c>
      <c r="R700" s="749" t="n">
        <v>1</v>
      </c>
      <c r="S700" s="471">
        <f>N121+N324</f>
        <v/>
      </c>
      <c r="T700" s="392">
        <f>O121+O324</f>
        <v/>
      </c>
      <c r="U700" s="392">
        <f>Q121+Q324</f>
        <v/>
      </c>
      <c r="V700" s="392">
        <f>T121+T324</f>
        <v/>
      </c>
      <c r="W700" s="2783">
        <f>P121+P324</f>
        <v/>
      </c>
      <c r="X700" s="392" t="n">
        <v>0</v>
      </c>
      <c r="Y700" s="392" t="n">
        <v>0</v>
      </c>
    </row>
    <row r="701" customFormat="1" s="2790">
      <c r="A701" s="2784" t="inlineStr">
        <is>
          <t>Cool Temperate Dry</t>
        </is>
      </c>
      <c r="B701" s="2785" t="inlineStr">
        <is>
          <t>Caribbean</t>
        </is>
      </c>
      <c r="C701" s="2784">
        <f>CONCATENATE(A701,B701)</f>
        <v/>
      </c>
      <c r="D701" s="2786" t="n">
        <v>4.7</v>
      </c>
      <c r="E701" s="2786">
        <f>D701</f>
        <v/>
      </c>
      <c r="F701" s="2786">
        <f>E701</f>
        <v/>
      </c>
      <c r="G701" s="2776">
        <f>6.5*0.47</f>
        <v/>
      </c>
      <c r="H701" s="2787" t="n">
        <v>0</v>
      </c>
      <c r="I701" s="2788">
        <f>E122+E325</f>
        <v/>
      </c>
      <c r="J701" s="492" t="n"/>
      <c r="K701" s="492" t="n"/>
      <c r="L701" s="492">
        <f>H122+H325</f>
        <v/>
      </c>
      <c r="M701" s="492" t="n"/>
      <c r="N701" s="492" t="n"/>
      <c r="O701" s="492" t="n"/>
      <c r="P701" s="492">
        <f>L122+L325</f>
        <v/>
      </c>
      <c r="Q701" s="492">
        <f>M122+M325</f>
        <v/>
      </c>
      <c r="R701" s="749" t="n">
        <v>1</v>
      </c>
      <c r="S701" s="536">
        <f>N122+N325</f>
        <v/>
      </c>
      <c r="T701" s="2784">
        <f>O122+O325</f>
        <v/>
      </c>
      <c r="U701" s="2784">
        <f>Q122+Q325</f>
        <v/>
      </c>
      <c r="V701" s="2784">
        <f>T122+T325</f>
        <v/>
      </c>
      <c r="W701" s="2789">
        <f>P122+P325</f>
        <v/>
      </c>
      <c r="X701" s="392" t="n">
        <v>0</v>
      </c>
      <c r="Y701" s="392" t="n">
        <v>0</v>
      </c>
    </row>
    <row r="702" customFormat="1" s="2780">
      <c r="A702" s="2773" t="inlineStr">
        <is>
          <t>Cool Temperate Moist</t>
        </is>
      </c>
      <c r="B702" s="2791" t="inlineStr">
        <is>
          <t>Eastern Africa</t>
        </is>
      </c>
      <c r="C702" s="2773">
        <f>CONCATENATE(A702,B702)</f>
        <v/>
      </c>
      <c r="D702" s="2775" t="n">
        <v>4.7</v>
      </c>
      <c r="E702" s="2775">
        <f>D702</f>
        <v/>
      </c>
      <c r="F702" s="2775">
        <f>E702</f>
        <v/>
      </c>
      <c r="G702" s="2792">
        <f>13.6*0.47</f>
        <v/>
      </c>
      <c r="H702" s="2777" t="n">
        <v>0</v>
      </c>
      <c r="I702" s="492">
        <f>E123+E326</f>
        <v/>
      </c>
      <c r="J702" s="490" t="n"/>
      <c r="K702" s="490" t="n"/>
      <c r="L702" s="490">
        <f>H123+H326</f>
        <v/>
      </c>
      <c r="M702" s="490" t="n"/>
      <c r="N702" s="490" t="n"/>
      <c r="O702" s="490" t="n"/>
      <c r="P702" s="490">
        <f>L123+L326</f>
        <v/>
      </c>
      <c r="Q702" s="491">
        <f>M123+M326</f>
        <v/>
      </c>
      <c r="R702" s="552" t="n">
        <v>1</v>
      </c>
      <c r="S702" s="491">
        <f>N123+N326</f>
        <v/>
      </c>
      <c r="T702" s="2773">
        <f>O123+O326</f>
        <v/>
      </c>
      <c r="U702" s="392">
        <f>Q123+Q326</f>
        <v/>
      </c>
      <c r="V702" s="392">
        <f>T187+T326</f>
        <v/>
      </c>
      <c r="W702" s="2783">
        <f>P123+P326</f>
        <v/>
      </c>
      <c r="X702" s="2773" t="n">
        <v>0</v>
      </c>
      <c r="Y702" s="2773" t="n">
        <v>0</v>
      </c>
    </row>
    <row r="703" customFormat="1" s="16">
      <c r="A703" s="392" t="inlineStr">
        <is>
          <t>Cool Temperate Moist</t>
        </is>
      </c>
      <c r="B703" s="2793" t="inlineStr">
        <is>
          <t>Central Africa</t>
        </is>
      </c>
      <c r="C703" s="392">
        <f>CONCATENATE(A703,B703)</f>
        <v/>
      </c>
      <c r="D703" s="2782" t="n">
        <v>4.7</v>
      </c>
      <c r="E703" s="2782">
        <f>D703</f>
        <v/>
      </c>
      <c r="F703" s="2782">
        <f>E703</f>
        <v/>
      </c>
      <c r="G703" s="2794">
        <f>13.6*0.47</f>
        <v/>
      </c>
      <c r="H703" s="2776" t="n">
        <v>0</v>
      </c>
      <c r="I703" s="492">
        <f>E124+E327</f>
        <v/>
      </c>
      <c r="J703" s="492" t="n"/>
      <c r="K703" s="492" t="n"/>
      <c r="L703" s="492">
        <f>H124+H327</f>
        <v/>
      </c>
      <c r="M703" s="492" t="n"/>
      <c r="N703" s="492" t="n"/>
      <c r="O703" s="492" t="n"/>
      <c r="P703" s="492">
        <f>L124+L327</f>
        <v/>
      </c>
      <c r="Q703" s="471">
        <f>M124+M327</f>
        <v/>
      </c>
      <c r="R703" s="553" t="n">
        <v>1</v>
      </c>
      <c r="S703" s="471">
        <f>N124+N327</f>
        <v/>
      </c>
      <c r="T703" s="392">
        <f>O124+O327</f>
        <v/>
      </c>
      <c r="U703" s="392">
        <f>Q124+Q327</f>
        <v/>
      </c>
      <c r="V703" s="392">
        <f>T188+T327</f>
        <v/>
      </c>
      <c r="W703" s="2783">
        <f>P124+P327</f>
        <v/>
      </c>
      <c r="X703" s="392" t="n">
        <v>0</v>
      </c>
      <c r="Y703" s="392" t="n">
        <v>0</v>
      </c>
    </row>
    <row r="704" customFormat="1" s="16">
      <c r="A704" s="392" t="inlineStr">
        <is>
          <t>Cool Temperate Moist</t>
        </is>
      </c>
      <c r="B704" s="2793" t="inlineStr">
        <is>
          <t>Northern Africa</t>
        </is>
      </c>
      <c r="C704" s="392">
        <f>CONCATENATE(A704,B704)</f>
        <v/>
      </c>
      <c r="D704" s="2782" t="n">
        <v>4.7</v>
      </c>
      <c r="E704" s="2782">
        <f>D704</f>
        <v/>
      </c>
      <c r="F704" s="2782">
        <f>E704</f>
        <v/>
      </c>
      <c r="G704" s="2794">
        <f>13.6*0.47</f>
        <v/>
      </c>
      <c r="H704" s="2776" t="n">
        <v>0</v>
      </c>
      <c r="I704" s="492">
        <f>E125+E328</f>
        <v/>
      </c>
      <c r="J704" s="492" t="n"/>
      <c r="K704" s="492" t="n"/>
      <c r="L704" s="492">
        <f>H125+H328</f>
        <v/>
      </c>
      <c r="M704" s="492" t="n"/>
      <c r="N704" s="492" t="n"/>
      <c r="O704" s="492" t="n"/>
      <c r="P704" s="492">
        <f>L125+L328</f>
        <v/>
      </c>
      <c r="Q704" s="471">
        <f>M125+M328</f>
        <v/>
      </c>
      <c r="R704" s="553" t="n">
        <v>1</v>
      </c>
      <c r="S704" s="471">
        <f>N125+N328</f>
        <v/>
      </c>
      <c r="T704" s="392">
        <f>O125+O328</f>
        <v/>
      </c>
      <c r="U704" s="392">
        <f>Q125+Q328</f>
        <v/>
      </c>
      <c r="V704" s="392">
        <f>T189+T328</f>
        <v/>
      </c>
      <c r="W704" s="2783">
        <f>P125+P328</f>
        <v/>
      </c>
      <c r="X704" s="392" t="n">
        <v>0</v>
      </c>
      <c r="Y704" s="392" t="n">
        <v>0</v>
      </c>
    </row>
    <row r="705" customFormat="1" s="16">
      <c r="A705" s="392" t="inlineStr">
        <is>
          <t>Cool Temperate Moist</t>
        </is>
      </c>
      <c r="B705" s="2793" t="inlineStr">
        <is>
          <t>Southern Africa</t>
        </is>
      </c>
      <c r="C705" s="392">
        <f>CONCATENATE(A705,B705)</f>
        <v/>
      </c>
      <c r="D705" s="2782" t="n">
        <v>4.7</v>
      </c>
      <c r="E705" s="2782">
        <f>D705</f>
        <v/>
      </c>
      <c r="F705" s="2782">
        <f>E705</f>
        <v/>
      </c>
      <c r="G705" s="2794">
        <f>13.6*0.47</f>
        <v/>
      </c>
      <c r="H705" s="2776" t="n">
        <v>0</v>
      </c>
      <c r="I705" s="492">
        <f>E126+E329</f>
        <v/>
      </c>
      <c r="J705" s="492" t="n"/>
      <c r="K705" s="492" t="n"/>
      <c r="L705" s="492">
        <f>H126+H329</f>
        <v/>
      </c>
      <c r="M705" s="492" t="n"/>
      <c r="N705" s="492" t="n"/>
      <c r="O705" s="492" t="n"/>
      <c r="P705" s="492">
        <f>L126+L329</f>
        <v/>
      </c>
      <c r="Q705" s="471">
        <f>M126+M329</f>
        <v/>
      </c>
      <c r="R705" s="553" t="n">
        <v>1</v>
      </c>
      <c r="S705" s="471">
        <f>N126+N329</f>
        <v/>
      </c>
      <c r="T705" s="392">
        <f>O126+O329</f>
        <v/>
      </c>
      <c r="U705" s="392">
        <f>Q126+Q329</f>
        <v/>
      </c>
      <c r="V705" s="392">
        <f>T190+T329</f>
        <v/>
      </c>
      <c r="W705" s="2783">
        <f>P126+P329</f>
        <v/>
      </c>
      <c r="X705" s="392" t="n">
        <v>0</v>
      </c>
      <c r="Y705" s="392" t="n">
        <v>0</v>
      </c>
    </row>
    <row r="706" customFormat="1" s="16">
      <c r="A706" s="392" t="inlineStr">
        <is>
          <t>Cool Temperate Moist</t>
        </is>
      </c>
      <c r="B706" s="2793" t="inlineStr">
        <is>
          <t>Western Africa</t>
        </is>
      </c>
      <c r="C706" s="392">
        <f>CONCATENATE(A706,B706)</f>
        <v/>
      </c>
      <c r="D706" s="2782" t="n">
        <v>4.7</v>
      </c>
      <c r="E706" s="2782">
        <f>D706</f>
        <v/>
      </c>
      <c r="F706" s="2782">
        <f>E706</f>
        <v/>
      </c>
      <c r="G706" s="2794">
        <f>13.6*0.47</f>
        <v/>
      </c>
      <c r="H706" s="2776" t="n">
        <v>0</v>
      </c>
      <c r="I706" s="492">
        <f>E127+E330</f>
        <v/>
      </c>
      <c r="J706" s="492" t="n"/>
      <c r="K706" s="492" t="n"/>
      <c r="L706" s="492">
        <f>H127+H330</f>
        <v/>
      </c>
      <c r="M706" s="492" t="n"/>
      <c r="N706" s="492" t="n"/>
      <c r="O706" s="492" t="n"/>
      <c r="P706" s="492">
        <f>L127+L330</f>
        <v/>
      </c>
      <c r="Q706" s="471">
        <f>M127+M330</f>
        <v/>
      </c>
      <c r="R706" s="553" t="n">
        <v>1</v>
      </c>
      <c r="S706" s="471">
        <f>N127+N330</f>
        <v/>
      </c>
      <c r="T706" s="392">
        <f>O127+O330</f>
        <v/>
      </c>
      <c r="U706" s="392">
        <f>Q127+Q330</f>
        <v/>
      </c>
      <c r="V706" s="392">
        <f>T191+T330</f>
        <v/>
      </c>
      <c r="W706" s="2783">
        <f>P127+P330</f>
        <v/>
      </c>
      <c r="X706" s="392" t="n">
        <v>0</v>
      </c>
      <c r="Y706" s="392" t="n">
        <v>0</v>
      </c>
    </row>
    <row r="707" customFormat="1" s="16">
      <c r="A707" s="392" t="inlineStr">
        <is>
          <t>Cool Temperate Moist</t>
        </is>
      </c>
      <c r="B707" s="2793" t="inlineStr">
        <is>
          <t>Central Asia</t>
        </is>
      </c>
      <c r="C707" s="392">
        <f>CONCATENATE(A707,B707)</f>
        <v/>
      </c>
      <c r="D707" s="2782" t="n">
        <v>4.7</v>
      </c>
      <c r="E707" s="2782">
        <f>D707</f>
        <v/>
      </c>
      <c r="F707" s="2782">
        <f>E707</f>
        <v/>
      </c>
      <c r="G707" s="2794">
        <f>13.6*0.47</f>
        <v/>
      </c>
      <c r="H707" s="2776" t="n">
        <v>0</v>
      </c>
      <c r="I707" s="492">
        <f>E128+E331</f>
        <v/>
      </c>
      <c r="J707" s="492" t="n"/>
      <c r="K707" s="492" t="n"/>
      <c r="L707" s="492">
        <f>H128+H331</f>
        <v/>
      </c>
      <c r="M707" s="492" t="n"/>
      <c r="N707" s="492" t="n"/>
      <c r="O707" s="492" t="n"/>
      <c r="P707" s="492">
        <f>L128+L331</f>
        <v/>
      </c>
      <c r="Q707" s="471">
        <f>M128+M331</f>
        <v/>
      </c>
      <c r="R707" s="553" t="n">
        <v>1</v>
      </c>
      <c r="S707" s="471">
        <f>N128+N331</f>
        <v/>
      </c>
      <c r="T707" s="392">
        <f>O128+O331</f>
        <v/>
      </c>
      <c r="U707" s="392">
        <f>Q128+Q331</f>
        <v/>
      </c>
      <c r="V707" s="392">
        <f>T192+T331</f>
        <v/>
      </c>
      <c r="W707" s="2783">
        <f>P128+P331</f>
        <v/>
      </c>
      <c r="X707" s="392" t="n">
        <v>0</v>
      </c>
      <c r="Y707" s="392" t="n">
        <v>0</v>
      </c>
    </row>
    <row r="708" customFormat="1" s="16">
      <c r="A708" s="392" t="inlineStr">
        <is>
          <t>Cool Temperate Moist</t>
        </is>
      </c>
      <c r="B708" s="2793" t="inlineStr">
        <is>
          <t>Eastern Asia</t>
        </is>
      </c>
      <c r="C708" s="392">
        <f>CONCATENATE(A708,B708)</f>
        <v/>
      </c>
      <c r="D708" s="2782" t="n">
        <v>4.7</v>
      </c>
      <c r="E708" s="2782">
        <f>D708</f>
        <v/>
      </c>
      <c r="F708" s="2782">
        <f>E708</f>
        <v/>
      </c>
      <c r="G708" s="2794">
        <f>13.6*0.47</f>
        <v/>
      </c>
      <c r="H708" s="2776" t="n">
        <v>0</v>
      </c>
      <c r="I708" s="492">
        <f>E129+E332</f>
        <v/>
      </c>
      <c r="J708" s="492" t="n"/>
      <c r="K708" s="492" t="n"/>
      <c r="L708" s="492">
        <f>H129+H332</f>
        <v/>
      </c>
      <c r="M708" s="492" t="n"/>
      <c r="N708" s="492" t="n"/>
      <c r="O708" s="492" t="n"/>
      <c r="P708" s="492">
        <f>L129+L332</f>
        <v/>
      </c>
      <c r="Q708" s="471">
        <f>M129+M332</f>
        <v/>
      </c>
      <c r="R708" s="553" t="n">
        <v>1</v>
      </c>
      <c r="S708" s="471">
        <f>N129+N332</f>
        <v/>
      </c>
      <c r="T708" s="392">
        <f>O129+O332</f>
        <v/>
      </c>
      <c r="U708" s="392">
        <f>Q129+Q332</f>
        <v/>
      </c>
      <c r="V708" s="392">
        <f>T193+T332</f>
        <v/>
      </c>
      <c r="W708" s="2783">
        <f>P129+P332</f>
        <v/>
      </c>
      <c r="X708" s="392" t="n">
        <v>0</v>
      </c>
      <c r="Y708" s="392" t="n">
        <v>0</v>
      </c>
    </row>
    <row r="709" customFormat="1" s="16">
      <c r="A709" s="392" t="inlineStr">
        <is>
          <t>Cool Temperate Moist</t>
        </is>
      </c>
      <c r="B709" s="2793" t="inlineStr">
        <is>
          <t>South-eastern Asia</t>
        </is>
      </c>
      <c r="C709" s="392">
        <f>CONCATENATE(A709,B709)</f>
        <v/>
      </c>
      <c r="D709" s="2782" t="n">
        <v>4.7</v>
      </c>
      <c r="E709" s="2782">
        <f>D709</f>
        <v/>
      </c>
      <c r="F709" s="2782">
        <f>E709</f>
        <v/>
      </c>
      <c r="G709" s="2794">
        <f>13.6*0.47</f>
        <v/>
      </c>
      <c r="H709" s="2776" t="n">
        <v>0</v>
      </c>
      <c r="I709" s="492">
        <f>E130+E333</f>
        <v/>
      </c>
      <c r="J709" s="492" t="n"/>
      <c r="K709" s="492" t="n"/>
      <c r="L709" s="492">
        <f>H130+H333</f>
        <v/>
      </c>
      <c r="M709" s="492" t="n"/>
      <c r="N709" s="492" t="n"/>
      <c r="O709" s="492" t="n"/>
      <c r="P709" s="492">
        <f>L130+L333</f>
        <v/>
      </c>
      <c r="Q709" s="471">
        <f>M130+M333</f>
        <v/>
      </c>
      <c r="R709" s="553" t="n">
        <v>1</v>
      </c>
      <c r="S709" s="471">
        <f>N130+N333</f>
        <v/>
      </c>
      <c r="T709" s="392">
        <f>O130+O333</f>
        <v/>
      </c>
      <c r="U709" s="392">
        <f>Q130+Q333</f>
        <v/>
      </c>
      <c r="V709" s="392">
        <f>T194+T333</f>
        <v/>
      </c>
      <c r="W709" s="2783">
        <f>P130+P333</f>
        <v/>
      </c>
      <c r="X709" s="392" t="n">
        <v>0</v>
      </c>
      <c r="Y709" s="392" t="n">
        <v>0</v>
      </c>
    </row>
    <row r="710" customFormat="1" s="16">
      <c r="A710" s="392" t="inlineStr">
        <is>
          <t>Cool Temperate Moist</t>
        </is>
      </c>
      <c r="B710" s="2793" t="inlineStr">
        <is>
          <t>Southern Asia</t>
        </is>
      </c>
      <c r="C710" s="392">
        <f>CONCATENATE(A710,B710)</f>
        <v/>
      </c>
      <c r="D710" s="2782" t="n">
        <v>4.7</v>
      </c>
      <c r="E710" s="2782">
        <f>D710</f>
        <v/>
      </c>
      <c r="F710" s="2782">
        <f>E710</f>
        <v/>
      </c>
      <c r="G710" s="2794">
        <f>13.6*0.47</f>
        <v/>
      </c>
      <c r="H710" s="2776" t="n">
        <v>0</v>
      </c>
      <c r="I710" s="492">
        <f>E131+E334</f>
        <v/>
      </c>
      <c r="J710" s="492" t="n"/>
      <c r="K710" s="492" t="n"/>
      <c r="L710" s="492">
        <f>H131+H334</f>
        <v/>
      </c>
      <c r="M710" s="492" t="n"/>
      <c r="N710" s="492" t="n"/>
      <c r="O710" s="492" t="n"/>
      <c r="P710" s="492">
        <f>L131+L334</f>
        <v/>
      </c>
      <c r="Q710" s="471">
        <f>M131+M334</f>
        <v/>
      </c>
      <c r="R710" s="553" t="n">
        <v>1</v>
      </c>
      <c r="S710" s="471">
        <f>N131+N334</f>
        <v/>
      </c>
      <c r="T710" s="392">
        <f>O131+O334</f>
        <v/>
      </c>
      <c r="U710" s="392">
        <f>Q131+Q334</f>
        <v/>
      </c>
      <c r="V710" s="392">
        <f>T195+T334</f>
        <v/>
      </c>
      <c r="W710" s="2783">
        <f>P131+P334</f>
        <v/>
      </c>
      <c r="X710" s="392" t="n">
        <v>0</v>
      </c>
      <c r="Y710" s="392" t="n">
        <v>0</v>
      </c>
    </row>
    <row r="711" customFormat="1" s="16">
      <c r="A711" s="392" t="inlineStr">
        <is>
          <t>Cool Temperate Moist</t>
        </is>
      </c>
      <c r="B711" s="2793" t="inlineStr">
        <is>
          <t>Western Asia</t>
        </is>
      </c>
      <c r="C711" s="392">
        <f>CONCATENATE(A711,B711)</f>
        <v/>
      </c>
      <c r="D711" s="2782" t="n">
        <v>4.7</v>
      </c>
      <c r="E711" s="2782">
        <f>D711</f>
        <v/>
      </c>
      <c r="F711" s="2782">
        <f>E711</f>
        <v/>
      </c>
      <c r="G711" s="2794">
        <f>13.6*0.47</f>
        <v/>
      </c>
      <c r="H711" s="2776" t="n">
        <v>0</v>
      </c>
      <c r="I711" s="492">
        <f>E132+E335</f>
        <v/>
      </c>
      <c r="J711" s="492" t="n"/>
      <c r="K711" s="492" t="n"/>
      <c r="L711" s="492">
        <f>H132+H335</f>
        <v/>
      </c>
      <c r="M711" s="492" t="n"/>
      <c r="N711" s="492" t="n"/>
      <c r="O711" s="492" t="n"/>
      <c r="P711" s="492">
        <f>L132+L335</f>
        <v/>
      </c>
      <c r="Q711" s="471">
        <f>M132+M335</f>
        <v/>
      </c>
      <c r="R711" s="553" t="n">
        <v>1</v>
      </c>
      <c r="S711" s="471">
        <f>N132+N335</f>
        <v/>
      </c>
      <c r="T711" s="392">
        <f>O132+O335</f>
        <v/>
      </c>
      <c r="U711" s="392">
        <f>Q132+Q335</f>
        <v/>
      </c>
      <c r="V711" s="392">
        <f>T196+T335</f>
        <v/>
      </c>
      <c r="W711" s="2783">
        <f>P132+P335</f>
        <v/>
      </c>
      <c r="X711" s="392" t="n">
        <v>0</v>
      </c>
      <c r="Y711" s="392" t="n">
        <v>0</v>
      </c>
    </row>
    <row r="712" customFormat="1" s="16">
      <c r="A712" s="392" t="inlineStr">
        <is>
          <t>Cool Temperate Moist</t>
        </is>
      </c>
      <c r="B712" s="2793" t="inlineStr">
        <is>
          <t>Europe</t>
        </is>
      </c>
      <c r="C712" s="392">
        <f>CONCATENATE(A712,B712)</f>
        <v/>
      </c>
      <c r="D712" s="2782" t="n">
        <v>4.7</v>
      </c>
      <c r="E712" s="2782">
        <f>D712</f>
        <v/>
      </c>
      <c r="F712" s="2782">
        <f>E712</f>
        <v/>
      </c>
      <c r="G712" s="2794">
        <f>13.6*0.47</f>
        <v/>
      </c>
      <c r="H712" s="2776" t="n">
        <v>0</v>
      </c>
      <c r="I712" s="492">
        <f>E133+E336</f>
        <v/>
      </c>
      <c r="J712" s="492" t="n"/>
      <c r="K712" s="492" t="n"/>
      <c r="L712" s="492">
        <f>H133+H336</f>
        <v/>
      </c>
      <c r="M712" s="492" t="n"/>
      <c r="N712" s="492" t="n"/>
      <c r="O712" s="492" t="n"/>
      <c r="P712" s="492">
        <f>L133+L336</f>
        <v/>
      </c>
      <c r="Q712" s="471">
        <f>M133+M336</f>
        <v/>
      </c>
      <c r="R712" s="553" t="n">
        <v>1</v>
      </c>
      <c r="S712" s="471">
        <f>N133+N336</f>
        <v/>
      </c>
      <c r="T712" s="392">
        <f>O133+O336</f>
        <v/>
      </c>
      <c r="U712" s="392">
        <f>Q133+Q336</f>
        <v/>
      </c>
      <c r="V712" s="392">
        <f>T197+T336</f>
        <v/>
      </c>
      <c r="W712" s="2783">
        <f>P133+P336</f>
        <v/>
      </c>
      <c r="X712" s="392" t="n">
        <v>0</v>
      </c>
      <c r="Y712" s="392" t="n">
        <v>0</v>
      </c>
    </row>
    <row r="713" customFormat="1" s="16">
      <c r="A713" s="392" t="inlineStr">
        <is>
          <t>Cool Temperate Moist</t>
        </is>
      </c>
      <c r="B713" s="2793" t="inlineStr">
        <is>
          <t>Oceania</t>
        </is>
      </c>
      <c r="C713" s="392">
        <f>CONCATENATE(A713,B713)</f>
        <v/>
      </c>
      <c r="D713" s="2782" t="n">
        <v>4.7</v>
      </c>
      <c r="E713" s="2782">
        <f>D713</f>
        <v/>
      </c>
      <c r="F713" s="2782">
        <f>E713</f>
        <v/>
      </c>
      <c r="G713" s="2794">
        <f>13.6*0.47</f>
        <v/>
      </c>
      <c r="H713" s="2776" t="n">
        <v>0</v>
      </c>
      <c r="I713" s="492">
        <f>E134+E337</f>
        <v/>
      </c>
      <c r="J713" s="492" t="n"/>
      <c r="K713" s="492" t="n"/>
      <c r="L713" s="492">
        <f>H134+H337</f>
        <v/>
      </c>
      <c r="M713" s="492" t="n"/>
      <c r="N713" s="492" t="n"/>
      <c r="O713" s="492" t="n"/>
      <c r="P713" s="492">
        <f>L134+L337</f>
        <v/>
      </c>
      <c r="Q713" s="471">
        <f>M134+M337</f>
        <v/>
      </c>
      <c r="R713" s="553" t="n">
        <v>1</v>
      </c>
      <c r="S713" s="471">
        <f>N134+N337</f>
        <v/>
      </c>
      <c r="T713" s="392">
        <f>O134+O337</f>
        <v/>
      </c>
      <c r="U713" s="392">
        <f>Q134+Q337</f>
        <v/>
      </c>
      <c r="V713" s="392">
        <f>T198+T337</f>
        <v/>
      </c>
      <c r="W713" s="2783">
        <f>P134+P337</f>
        <v/>
      </c>
      <c r="X713" s="392" t="n">
        <v>0</v>
      </c>
      <c r="Y713" s="392" t="n">
        <v>0</v>
      </c>
    </row>
    <row r="714" customFormat="1" s="16">
      <c r="A714" s="392" t="inlineStr">
        <is>
          <t>Cool Temperate Moist</t>
        </is>
      </c>
      <c r="B714" s="2793" t="inlineStr">
        <is>
          <t>North America</t>
        </is>
      </c>
      <c r="C714" s="392">
        <f>CONCATENATE(A714,B714)</f>
        <v/>
      </c>
      <c r="D714" s="2782" t="n">
        <v>4.7</v>
      </c>
      <c r="E714" s="2782">
        <f>D714</f>
        <v/>
      </c>
      <c r="F714" s="2782">
        <f>E714</f>
        <v/>
      </c>
      <c r="G714" s="2794">
        <f>13.6*0.47</f>
        <v/>
      </c>
      <c r="H714" s="2776" t="n">
        <v>0</v>
      </c>
      <c r="I714" s="492">
        <f>E135+E338</f>
        <v/>
      </c>
      <c r="J714" s="492" t="n"/>
      <c r="K714" s="492" t="n"/>
      <c r="L714" s="492">
        <f>H135+H338</f>
        <v/>
      </c>
      <c r="M714" s="492" t="n"/>
      <c r="N714" s="492" t="n"/>
      <c r="O714" s="492" t="n"/>
      <c r="P714" s="492">
        <f>L135+L338</f>
        <v/>
      </c>
      <c r="Q714" s="471">
        <f>M135+M338</f>
        <v/>
      </c>
      <c r="R714" s="553" t="n">
        <v>1</v>
      </c>
      <c r="S714" s="471">
        <f>N135+N338</f>
        <v/>
      </c>
      <c r="T714" s="392">
        <f>O135+O338</f>
        <v/>
      </c>
      <c r="U714" s="392">
        <f>Q135+Q338</f>
        <v/>
      </c>
      <c r="V714" s="392">
        <f>T199+T338</f>
        <v/>
      </c>
      <c r="W714" s="2783">
        <f>P135+P338</f>
        <v/>
      </c>
      <c r="X714" s="392" t="n">
        <v>0</v>
      </c>
      <c r="Y714" s="392" t="n">
        <v>0</v>
      </c>
    </row>
    <row r="715" customFormat="1" s="16">
      <c r="A715" s="392" t="inlineStr">
        <is>
          <t>Cool Temperate Moist</t>
        </is>
      </c>
      <c r="B715" s="2793" t="inlineStr">
        <is>
          <t>South America</t>
        </is>
      </c>
      <c r="C715" s="392">
        <f>CONCATENATE(A715,B715)</f>
        <v/>
      </c>
      <c r="D715" s="2782" t="n">
        <v>4.7</v>
      </c>
      <c r="E715" s="2782">
        <f>D715</f>
        <v/>
      </c>
      <c r="F715" s="2782">
        <f>E715</f>
        <v/>
      </c>
      <c r="G715" s="2794">
        <f>13.6*0.47</f>
        <v/>
      </c>
      <c r="H715" s="2776" t="n">
        <v>0</v>
      </c>
      <c r="I715" s="492">
        <f>E136+E339</f>
        <v/>
      </c>
      <c r="J715" s="492" t="n"/>
      <c r="K715" s="492" t="n"/>
      <c r="L715" s="492">
        <f>H136+H339</f>
        <v/>
      </c>
      <c r="M715" s="492" t="n"/>
      <c r="N715" s="492" t="n"/>
      <c r="O715" s="492" t="n"/>
      <c r="P715" s="492">
        <f>L136+L339</f>
        <v/>
      </c>
      <c r="Q715" s="471">
        <f>M136+M339</f>
        <v/>
      </c>
      <c r="R715" s="553" t="n">
        <v>1</v>
      </c>
      <c r="S715" s="471">
        <f>N136+N339</f>
        <v/>
      </c>
      <c r="T715" s="392">
        <f>O136+O339</f>
        <v/>
      </c>
      <c r="U715" s="392">
        <f>Q136+Q339</f>
        <v/>
      </c>
      <c r="V715" s="392">
        <f>T200+T339</f>
        <v/>
      </c>
      <c r="W715" s="2783">
        <f>P136+P339</f>
        <v/>
      </c>
      <c r="X715" s="392" t="n">
        <v>0</v>
      </c>
      <c r="Y715" s="392" t="n">
        <v>0</v>
      </c>
    </row>
    <row r="716" customFormat="1" s="16">
      <c r="A716" s="392" t="inlineStr">
        <is>
          <t>Cool Temperate Moist</t>
        </is>
      </c>
      <c r="B716" s="2793" t="inlineStr">
        <is>
          <t>Central America</t>
        </is>
      </c>
      <c r="C716" s="392">
        <f>CONCATENATE(A716,B716)</f>
        <v/>
      </c>
      <c r="D716" s="2782" t="n">
        <v>4.7</v>
      </c>
      <c r="E716" s="2782">
        <f>D716</f>
        <v/>
      </c>
      <c r="F716" s="2782">
        <f>E716</f>
        <v/>
      </c>
      <c r="G716" s="2794">
        <f>13.6*0.47</f>
        <v/>
      </c>
      <c r="H716" s="2776" t="n">
        <v>0</v>
      </c>
      <c r="I716" s="492">
        <f>E137+E340</f>
        <v/>
      </c>
      <c r="J716" s="492" t="n"/>
      <c r="K716" s="492" t="n"/>
      <c r="L716" s="492">
        <f>H137+H340</f>
        <v/>
      </c>
      <c r="M716" s="492" t="n"/>
      <c r="N716" s="492" t="n"/>
      <c r="O716" s="492" t="n"/>
      <c r="P716" s="492">
        <f>L137+L340</f>
        <v/>
      </c>
      <c r="Q716" s="471">
        <f>M137+M340</f>
        <v/>
      </c>
      <c r="R716" s="553" t="n">
        <v>1</v>
      </c>
      <c r="S716" s="471">
        <f>N137+N340</f>
        <v/>
      </c>
      <c r="T716" s="392">
        <f>O137+O340</f>
        <v/>
      </c>
      <c r="U716" s="392">
        <f>Q137+Q340</f>
        <v/>
      </c>
      <c r="V716" s="392">
        <f>T201+T340</f>
        <v/>
      </c>
      <c r="W716" s="2783">
        <f>P137+P340</f>
        <v/>
      </c>
      <c r="X716" s="392" t="n">
        <v>0</v>
      </c>
      <c r="Y716" s="392" t="n">
        <v>0</v>
      </c>
    </row>
    <row r="717" customFormat="1" s="2790">
      <c r="A717" s="2784" t="inlineStr">
        <is>
          <t>Cool Temperate Moist</t>
        </is>
      </c>
      <c r="B717" s="2795" t="inlineStr">
        <is>
          <t>Caribbean</t>
        </is>
      </c>
      <c r="C717" s="2784">
        <f>CONCATENATE(A717,B717)</f>
        <v/>
      </c>
      <c r="D717" s="2786" t="n">
        <v>4.7</v>
      </c>
      <c r="E717" s="2786">
        <f>D717</f>
        <v/>
      </c>
      <c r="F717" s="2786">
        <f>E717</f>
        <v/>
      </c>
      <c r="G717" s="2796">
        <f>13.6*0.47</f>
        <v/>
      </c>
      <c r="H717" s="2787" t="n">
        <v>0</v>
      </c>
      <c r="I717" s="492">
        <f>E138+E341</f>
        <v/>
      </c>
      <c r="J717" s="492" t="n"/>
      <c r="K717" s="492" t="n"/>
      <c r="L717" s="492">
        <f>H138+H341</f>
        <v/>
      </c>
      <c r="M717" s="492" t="n"/>
      <c r="N717" s="492" t="n"/>
      <c r="O717" s="492" t="n"/>
      <c r="P717" s="492">
        <f>L138+L341</f>
        <v/>
      </c>
      <c r="Q717" s="471">
        <f>M138+M341</f>
        <v/>
      </c>
      <c r="R717" s="554" t="n">
        <v>1</v>
      </c>
      <c r="S717" s="471">
        <f>N138+N341</f>
        <v/>
      </c>
      <c r="T717" s="392">
        <f>O138+O341</f>
        <v/>
      </c>
      <c r="U717" s="392">
        <f>Q138+Q341</f>
        <v/>
      </c>
      <c r="V717" s="392">
        <f>T202+T341</f>
        <v/>
      </c>
      <c r="W717" s="2783">
        <f>P138+P341</f>
        <v/>
      </c>
      <c r="X717" s="392" t="n">
        <v>0</v>
      </c>
      <c r="Y717" s="392" t="n">
        <v>0</v>
      </c>
    </row>
    <row r="718" customFormat="1" s="2780">
      <c r="A718" s="2773" t="inlineStr">
        <is>
          <t>Warm Temperate Dry</t>
        </is>
      </c>
      <c r="B718" s="2797" t="inlineStr">
        <is>
          <t>Eastern Africa</t>
        </is>
      </c>
      <c r="C718" s="2773">
        <f>CONCATENATE(A718,B718)</f>
        <v/>
      </c>
      <c r="D718" s="2775" t="n">
        <v>4.7</v>
      </c>
      <c r="E718" s="2775">
        <f>D718</f>
        <v/>
      </c>
      <c r="F718" s="2775">
        <f>E718</f>
        <v/>
      </c>
      <c r="G718" s="2794">
        <f>6.1*0.47</f>
        <v/>
      </c>
      <c r="H718" s="2777" t="n">
        <v>0</v>
      </c>
      <c r="I718" s="490">
        <f>E139+E342</f>
        <v/>
      </c>
      <c r="J718" s="490" t="n"/>
      <c r="K718" s="490" t="n"/>
      <c r="L718" s="490">
        <f>H139+H342</f>
        <v/>
      </c>
      <c r="M718" s="490" t="n"/>
      <c r="N718" s="490" t="n"/>
      <c r="O718" s="490" t="n"/>
      <c r="P718" s="490">
        <f>L139+L342</f>
        <v/>
      </c>
      <c r="Q718" s="491">
        <f>M139+M342</f>
        <v/>
      </c>
      <c r="R718" s="750" t="n">
        <v>1</v>
      </c>
      <c r="S718" s="2779">
        <f>N139+N342</f>
        <v/>
      </c>
      <c r="T718" s="2773">
        <f>O139+O342</f>
        <v/>
      </c>
      <c r="U718" s="2773">
        <f>Q139+Q342</f>
        <v/>
      </c>
      <c r="V718" s="2773">
        <f>T139+T342</f>
        <v/>
      </c>
      <c r="W718" s="2779">
        <f>P139+P342</f>
        <v/>
      </c>
      <c r="X718" s="2773" t="n">
        <v>0</v>
      </c>
      <c r="Y718" s="2773" t="n">
        <v>0</v>
      </c>
    </row>
    <row r="719" customFormat="1" s="16">
      <c r="A719" s="392" t="inlineStr">
        <is>
          <t>Warm Temperate Dry</t>
        </is>
      </c>
      <c r="B719" s="2798" t="inlineStr">
        <is>
          <t>Central Africa</t>
        </is>
      </c>
      <c r="C719" s="392">
        <f>CONCATENATE(A719,B719)</f>
        <v/>
      </c>
      <c r="D719" s="2782" t="n">
        <v>4.7</v>
      </c>
      <c r="E719" s="2782">
        <f>D719</f>
        <v/>
      </c>
      <c r="F719" s="2782">
        <f>E719</f>
        <v/>
      </c>
      <c r="G719" s="2794">
        <f>6.1*0.47</f>
        <v/>
      </c>
      <c r="H719" s="2776" t="n">
        <v>0</v>
      </c>
      <c r="I719" s="492">
        <f>E140+E343</f>
        <v/>
      </c>
      <c r="J719" s="492" t="n"/>
      <c r="K719" s="492" t="n"/>
      <c r="L719" s="492">
        <f>H140+H343</f>
        <v/>
      </c>
      <c r="M719" s="492" t="n"/>
      <c r="N719" s="492" t="n"/>
      <c r="O719" s="492" t="n"/>
      <c r="P719" s="492">
        <f>L140+L343</f>
        <v/>
      </c>
      <c r="Q719" s="471">
        <f>M140+M343</f>
        <v/>
      </c>
      <c r="R719" s="751" t="n">
        <v>1</v>
      </c>
      <c r="S719" s="2783">
        <f>N140+N343</f>
        <v/>
      </c>
      <c r="T719" s="392">
        <f>O140+O343</f>
        <v/>
      </c>
      <c r="U719" s="392">
        <f>Q140+Q343</f>
        <v/>
      </c>
      <c r="V719" s="392">
        <f>T140+T343</f>
        <v/>
      </c>
      <c r="W719" s="2783">
        <f>P140+P343</f>
        <v/>
      </c>
      <c r="X719" s="392" t="n">
        <v>0</v>
      </c>
      <c r="Y719" s="392" t="n">
        <v>0</v>
      </c>
    </row>
    <row r="720" customFormat="1" s="16">
      <c r="A720" s="392" t="inlineStr">
        <is>
          <t>Warm Temperate Dry</t>
        </is>
      </c>
      <c r="B720" s="2798" t="inlineStr">
        <is>
          <t>Northern Africa</t>
        </is>
      </c>
      <c r="C720" s="392">
        <f>CONCATENATE(A720,B720)</f>
        <v/>
      </c>
      <c r="D720" s="2782" t="n">
        <v>4.7</v>
      </c>
      <c r="E720" s="2782">
        <f>D720</f>
        <v/>
      </c>
      <c r="F720" s="2782">
        <f>E720</f>
        <v/>
      </c>
      <c r="G720" s="2794">
        <f>6.1*0.47</f>
        <v/>
      </c>
      <c r="H720" s="2776" t="n">
        <v>0</v>
      </c>
      <c r="I720" s="492">
        <f>E141+E344</f>
        <v/>
      </c>
      <c r="J720" s="492" t="n"/>
      <c r="K720" s="492" t="n"/>
      <c r="L720" s="492">
        <f>H141+H344</f>
        <v/>
      </c>
      <c r="M720" s="492" t="n"/>
      <c r="N720" s="492" t="n"/>
      <c r="O720" s="492" t="n"/>
      <c r="P720" s="492">
        <f>L141+L344</f>
        <v/>
      </c>
      <c r="Q720" s="471">
        <f>M141+M344</f>
        <v/>
      </c>
      <c r="R720" s="751" t="n">
        <v>1</v>
      </c>
      <c r="S720" s="2783">
        <f>N141+N344</f>
        <v/>
      </c>
      <c r="T720" s="392">
        <f>O141+O344</f>
        <v/>
      </c>
      <c r="U720" s="392">
        <f>Q141+Q344</f>
        <v/>
      </c>
      <c r="V720" s="392">
        <f>T141+T344</f>
        <v/>
      </c>
      <c r="W720" s="2783">
        <f>P141+P344</f>
        <v/>
      </c>
      <c r="X720" s="392" t="n">
        <v>0</v>
      </c>
      <c r="Y720" s="392" t="n">
        <v>0</v>
      </c>
    </row>
    <row r="721" customFormat="1" s="16">
      <c r="A721" s="392" t="inlineStr">
        <is>
          <t>Warm Temperate Dry</t>
        </is>
      </c>
      <c r="B721" s="2798" t="inlineStr">
        <is>
          <t>Southern Africa</t>
        </is>
      </c>
      <c r="C721" s="392">
        <f>CONCATENATE(A721,B721)</f>
        <v/>
      </c>
      <c r="D721" s="2782" t="n">
        <v>4.7</v>
      </c>
      <c r="E721" s="2782">
        <f>D721</f>
        <v/>
      </c>
      <c r="F721" s="2782">
        <f>E721</f>
        <v/>
      </c>
      <c r="G721" s="2794">
        <f>6.1*0.47</f>
        <v/>
      </c>
      <c r="H721" s="2776" t="n">
        <v>0</v>
      </c>
      <c r="I721" s="492">
        <f>E142+E345</f>
        <v/>
      </c>
      <c r="J721" s="492" t="n"/>
      <c r="K721" s="492" t="n"/>
      <c r="L721" s="492">
        <f>H142+H345</f>
        <v/>
      </c>
      <c r="M721" s="492" t="n"/>
      <c r="N721" s="492" t="n"/>
      <c r="O721" s="492" t="n"/>
      <c r="P721" s="492">
        <f>L142+L345</f>
        <v/>
      </c>
      <c r="Q721" s="471">
        <f>M142+M345</f>
        <v/>
      </c>
      <c r="R721" s="751" t="n">
        <v>1</v>
      </c>
      <c r="S721" s="2783">
        <f>N142+N345</f>
        <v/>
      </c>
      <c r="T721" s="392">
        <f>O142+O345</f>
        <v/>
      </c>
      <c r="U721" s="392">
        <f>Q142+Q345</f>
        <v/>
      </c>
      <c r="V721" s="392">
        <f>T142+T345</f>
        <v/>
      </c>
      <c r="W721" s="2783">
        <f>P142+P345</f>
        <v/>
      </c>
      <c r="X721" s="392" t="n">
        <v>0</v>
      </c>
      <c r="Y721" s="392" t="n">
        <v>0</v>
      </c>
    </row>
    <row r="722" customFormat="1" s="16">
      <c r="A722" s="392" t="inlineStr">
        <is>
          <t>Warm Temperate Dry</t>
        </is>
      </c>
      <c r="B722" s="2798" t="inlineStr">
        <is>
          <t>Western Africa</t>
        </is>
      </c>
      <c r="C722" s="392">
        <f>CONCATENATE(A722,B722)</f>
        <v/>
      </c>
      <c r="D722" s="2782" t="n">
        <v>4.7</v>
      </c>
      <c r="E722" s="2782">
        <f>D722</f>
        <v/>
      </c>
      <c r="F722" s="2782">
        <f>E722</f>
        <v/>
      </c>
      <c r="G722" s="2794">
        <f>6.1*0.47</f>
        <v/>
      </c>
      <c r="H722" s="2776" t="n">
        <v>0</v>
      </c>
      <c r="I722" s="492">
        <f>E143+E346</f>
        <v/>
      </c>
      <c r="J722" s="492" t="n"/>
      <c r="K722" s="492" t="n"/>
      <c r="L722" s="492">
        <f>H143+H346</f>
        <v/>
      </c>
      <c r="M722" s="492" t="n"/>
      <c r="N722" s="492" t="n"/>
      <c r="O722" s="492" t="n"/>
      <c r="P722" s="492">
        <f>L143+L346</f>
        <v/>
      </c>
      <c r="Q722" s="471">
        <f>M143+M346</f>
        <v/>
      </c>
      <c r="R722" s="751" t="n">
        <v>1</v>
      </c>
      <c r="S722" s="2783">
        <f>N143+N346</f>
        <v/>
      </c>
      <c r="T722" s="392">
        <f>O143+O346</f>
        <v/>
      </c>
      <c r="U722" s="392">
        <f>Q143+Q346</f>
        <v/>
      </c>
      <c r="V722" s="392">
        <f>T143+T346</f>
        <v/>
      </c>
      <c r="W722" s="2783">
        <f>P143+P346</f>
        <v/>
      </c>
      <c r="X722" s="392" t="n">
        <v>0</v>
      </c>
      <c r="Y722" s="392" t="n">
        <v>0</v>
      </c>
    </row>
    <row r="723" customFormat="1" s="16">
      <c r="A723" s="392" t="inlineStr">
        <is>
          <t>Warm Temperate Dry</t>
        </is>
      </c>
      <c r="B723" s="2798" t="inlineStr">
        <is>
          <t>Central Asia</t>
        </is>
      </c>
      <c r="C723" s="392">
        <f>CONCATENATE(A723,B723)</f>
        <v/>
      </c>
      <c r="D723" s="2782" t="n">
        <v>4.7</v>
      </c>
      <c r="E723" s="2782">
        <f>D723</f>
        <v/>
      </c>
      <c r="F723" s="2782">
        <f>E723</f>
        <v/>
      </c>
      <c r="G723" s="2794">
        <f>6.1*0.47</f>
        <v/>
      </c>
      <c r="H723" s="2776" t="n">
        <v>0</v>
      </c>
      <c r="I723" s="492">
        <f>E144+E347</f>
        <v/>
      </c>
      <c r="J723" s="492" t="n"/>
      <c r="K723" s="492" t="n"/>
      <c r="L723" s="492">
        <f>H144+H347</f>
        <v/>
      </c>
      <c r="M723" s="492" t="n"/>
      <c r="N723" s="492" t="n"/>
      <c r="O723" s="492" t="n"/>
      <c r="P723" s="492">
        <f>L144+L347</f>
        <v/>
      </c>
      <c r="Q723" s="471">
        <f>M144+M347</f>
        <v/>
      </c>
      <c r="R723" s="751" t="n">
        <v>1</v>
      </c>
      <c r="S723" s="2783">
        <f>N144+N347</f>
        <v/>
      </c>
      <c r="T723" s="392">
        <f>O144+O347</f>
        <v/>
      </c>
      <c r="U723" s="392">
        <f>Q144+Q347</f>
        <v/>
      </c>
      <c r="V723" s="392">
        <f>T144+T347</f>
        <v/>
      </c>
      <c r="W723" s="2783">
        <f>P144+P347</f>
        <v/>
      </c>
      <c r="X723" s="392" t="n">
        <v>0</v>
      </c>
      <c r="Y723" s="392" t="n">
        <v>0</v>
      </c>
    </row>
    <row r="724" customFormat="1" s="16">
      <c r="A724" s="392" t="inlineStr">
        <is>
          <t>Warm Temperate Dry</t>
        </is>
      </c>
      <c r="B724" s="2798" t="inlineStr">
        <is>
          <t>Eastern Asia</t>
        </is>
      </c>
      <c r="C724" s="392">
        <f>CONCATENATE(A724,B724)</f>
        <v/>
      </c>
      <c r="D724" s="2782" t="n">
        <v>4.7</v>
      </c>
      <c r="E724" s="2782">
        <f>D724</f>
        <v/>
      </c>
      <c r="F724" s="2782">
        <f>E724</f>
        <v/>
      </c>
      <c r="G724" s="2794">
        <f>6.1*0.47</f>
        <v/>
      </c>
      <c r="H724" s="2776" t="n">
        <v>0</v>
      </c>
      <c r="I724" s="492">
        <f>E145+E348</f>
        <v/>
      </c>
      <c r="J724" s="492" t="n"/>
      <c r="K724" s="492" t="n"/>
      <c r="L724" s="492">
        <f>H145+H348</f>
        <v/>
      </c>
      <c r="M724" s="492" t="n"/>
      <c r="N724" s="492" t="n"/>
      <c r="O724" s="492" t="n"/>
      <c r="P724" s="492">
        <f>L145+L348</f>
        <v/>
      </c>
      <c r="Q724" s="471">
        <f>M145+M348</f>
        <v/>
      </c>
      <c r="R724" s="751" t="n">
        <v>1</v>
      </c>
      <c r="S724" s="2783">
        <f>N145+N348</f>
        <v/>
      </c>
      <c r="T724" s="392">
        <f>O145+O348</f>
        <v/>
      </c>
      <c r="U724" s="392">
        <f>Q145+Q348</f>
        <v/>
      </c>
      <c r="V724" s="392">
        <f>T145+T348</f>
        <v/>
      </c>
      <c r="W724" s="2783">
        <f>P145+P348</f>
        <v/>
      </c>
      <c r="X724" s="392" t="n">
        <v>0</v>
      </c>
      <c r="Y724" s="392" t="n">
        <v>0</v>
      </c>
    </row>
    <row r="725" customFormat="1" s="16">
      <c r="A725" s="392" t="inlineStr">
        <is>
          <t>Warm Temperate Dry</t>
        </is>
      </c>
      <c r="B725" s="2798" t="inlineStr">
        <is>
          <t>South-eastern Asia</t>
        </is>
      </c>
      <c r="C725" s="392">
        <f>CONCATENATE(A725,B725)</f>
        <v/>
      </c>
      <c r="D725" s="2782" t="n">
        <v>4.7</v>
      </c>
      <c r="E725" s="2782">
        <f>D725</f>
        <v/>
      </c>
      <c r="F725" s="2782">
        <f>E725</f>
        <v/>
      </c>
      <c r="G725" s="2794">
        <f>6.1*0.47</f>
        <v/>
      </c>
      <c r="H725" s="2776" t="n">
        <v>0</v>
      </c>
      <c r="I725" s="492">
        <f>E146+E349</f>
        <v/>
      </c>
      <c r="J725" s="492" t="n"/>
      <c r="K725" s="492" t="n"/>
      <c r="L725" s="492">
        <f>H146+H349</f>
        <v/>
      </c>
      <c r="M725" s="492" t="n"/>
      <c r="N725" s="492" t="n"/>
      <c r="O725" s="492" t="n"/>
      <c r="P725" s="492">
        <f>L146+L349</f>
        <v/>
      </c>
      <c r="Q725" s="471">
        <f>M146+M349</f>
        <v/>
      </c>
      <c r="R725" s="751" t="n">
        <v>1</v>
      </c>
      <c r="S725" s="2783">
        <f>N146+N349</f>
        <v/>
      </c>
      <c r="T725" s="392">
        <f>O146+O349</f>
        <v/>
      </c>
      <c r="U725" s="392">
        <f>Q146+Q349</f>
        <v/>
      </c>
      <c r="V725" s="392">
        <f>T146+T349</f>
        <v/>
      </c>
      <c r="W725" s="2783">
        <f>P146+P349</f>
        <v/>
      </c>
      <c r="X725" s="392" t="n">
        <v>0</v>
      </c>
      <c r="Y725" s="392" t="n">
        <v>0</v>
      </c>
    </row>
    <row r="726" customFormat="1" s="16">
      <c r="A726" s="392" t="inlineStr">
        <is>
          <t>Warm Temperate Dry</t>
        </is>
      </c>
      <c r="B726" s="2798" t="inlineStr">
        <is>
          <t>Southern Asia</t>
        </is>
      </c>
      <c r="C726" s="392">
        <f>CONCATENATE(A726,B726)</f>
        <v/>
      </c>
      <c r="D726" s="2782" t="n">
        <v>4.7</v>
      </c>
      <c r="E726" s="2782">
        <f>D726</f>
        <v/>
      </c>
      <c r="F726" s="2782">
        <f>E726</f>
        <v/>
      </c>
      <c r="G726" s="2794">
        <f>6.1*0.47</f>
        <v/>
      </c>
      <c r="H726" s="2776" t="n">
        <v>0</v>
      </c>
      <c r="I726" s="492">
        <f>E147+E350</f>
        <v/>
      </c>
      <c r="J726" s="492" t="n"/>
      <c r="K726" s="492" t="n"/>
      <c r="L726" s="492">
        <f>H147+H350</f>
        <v/>
      </c>
      <c r="M726" s="492" t="n"/>
      <c r="N726" s="492" t="n"/>
      <c r="O726" s="492" t="n"/>
      <c r="P726" s="492">
        <f>L147+L350</f>
        <v/>
      </c>
      <c r="Q726" s="471">
        <f>M147+M350</f>
        <v/>
      </c>
      <c r="R726" s="751" t="n">
        <v>1</v>
      </c>
      <c r="S726" s="2783">
        <f>N147+N350</f>
        <v/>
      </c>
      <c r="T726" s="392">
        <f>O147+O350</f>
        <v/>
      </c>
      <c r="U726" s="392">
        <f>Q147+Q350</f>
        <v/>
      </c>
      <c r="V726" s="392">
        <f>T147+T350</f>
        <v/>
      </c>
      <c r="W726" s="2783">
        <f>P147+P350</f>
        <v/>
      </c>
      <c r="X726" s="392" t="n">
        <v>0</v>
      </c>
      <c r="Y726" s="392" t="n">
        <v>0</v>
      </c>
    </row>
    <row r="727" customFormat="1" s="16">
      <c r="A727" s="392" t="inlineStr">
        <is>
          <t>Warm Temperate Dry</t>
        </is>
      </c>
      <c r="B727" s="2798" t="inlineStr">
        <is>
          <t>Western Asia</t>
        </is>
      </c>
      <c r="C727" s="392">
        <f>CONCATENATE(A727,B727)</f>
        <v/>
      </c>
      <c r="D727" s="2782" t="n">
        <v>4.7</v>
      </c>
      <c r="E727" s="2782">
        <f>D727</f>
        <v/>
      </c>
      <c r="F727" s="2782">
        <f>E727</f>
        <v/>
      </c>
      <c r="G727" s="2794">
        <f>6.1*0.47</f>
        <v/>
      </c>
      <c r="H727" s="2776" t="n">
        <v>0</v>
      </c>
      <c r="I727" s="492">
        <f>E148+E351</f>
        <v/>
      </c>
      <c r="J727" s="492" t="n"/>
      <c r="K727" s="492" t="n"/>
      <c r="L727" s="492">
        <f>H148+H351</f>
        <v/>
      </c>
      <c r="M727" s="492" t="n"/>
      <c r="N727" s="492" t="n"/>
      <c r="O727" s="492" t="n"/>
      <c r="P727" s="492">
        <f>L148+L351</f>
        <v/>
      </c>
      <c r="Q727" s="471">
        <f>M148+M351</f>
        <v/>
      </c>
      <c r="R727" s="751" t="n">
        <v>1</v>
      </c>
      <c r="S727" s="2783">
        <f>N148+N351</f>
        <v/>
      </c>
      <c r="T727" s="392">
        <f>O148+O351</f>
        <v/>
      </c>
      <c r="U727" s="392">
        <f>Q148+Q351</f>
        <v/>
      </c>
      <c r="V727" s="392">
        <f>T148+T351</f>
        <v/>
      </c>
      <c r="W727" s="2783">
        <f>P148+P351</f>
        <v/>
      </c>
      <c r="X727" s="392" t="n">
        <v>0</v>
      </c>
      <c r="Y727" s="392" t="n">
        <v>0</v>
      </c>
    </row>
    <row r="728" customFormat="1" s="16">
      <c r="A728" s="392" t="inlineStr">
        <is>
          <t>Warm Temperate Dry</t>
        </is>
      </c>
      <c r="B728" s="2798" t="inlineStr">
        <is>
          <t>Europe</t>
        </is>
      </c>
      <c r="C728" s="392">
        <f>CONCATENATE(A728,B728)</f>
        <v/>
      </c>
      <c r="D728" s="2782" t="n">
        <v>4.7</v>
      </c>
      <c r="E728" s="2782">
        <f>D728</f>
        <v/>
      </c>
      <c r="F728" s="2782">
        <f>E728</f>
        <v/>
      </c>
      <c r="G728" s="2794">
        <f>6.1*0.47</f>
        <v/>
      </c>
      <c r="H728" s="2776" t="n">
        <v>0</v>
      </c>
      <c r="I728" s="492">
        <f>E149+E352</f>
        <v/>
      </c>
      <c r="J728" s="492" t="n"/>
      <c r="K728" s="492" t="n"/>
      <c r="L728" s="492">
        <f>H149+H352</f>
        <v/>
      </c>
      <c r="M728" s="492" t="n"/>
      <c r="N728" s="492" t="n"/>
      <c r="O728" s="492" t="n"/>
      <c r="P728" s="492">
        <f>L149+L352</f>
        <v/>
      </c>
      <c r="Q728" s="471">
        <f>M149+M352</f>
        <v/>
      </c>
      <c r="R728" s="751" t="n">
        <v>1</v>
      </c>
      <c r="S728" s="2783">
        <f>N149+N352</f>
        <v/>
      </c>
      <c r="T728" s="392">
        <f>O149+O352</f>
        <v/>
      </c>
      <c r="U728" s="392">
        <f>Q149+Q352</f>
        <v/>
      </c>
      <c r="V728" s="392">
        <f>T149+T352</f>
        <v/>
      </c>
      <c r="W728" s="2783">
        <f>P149+P352</f>
        <v/>
      </c>
      <c r="X728" s="392" t="n">
        <v>0</v>
      </c>
      <c r="Y728" s="392" t="n">
        <v>0</v>
      </c>
    </row>
    <row r="729" customFormat="1" s="16">
      <c r="A729" s="392" t="inlineStr">
        <is>
          <t>Warm Temperate Dry</t>
        </is>
      </c>
      <c r="B729" s="2798" t="inlineStr">
        <is>
          <t>Oceania</t>
        </is>
      </c>
      <c r="C729" s="392">
        <f>CONCATENATE(A729,B729)</f>
        <v/>
      </c>
      <c r="D729" s="2782" t="n">
        <v>4.7</v>
      </c>
      <c r="E729" s="2782">
        <f>D729</f>
        <v/>
      </c>
      <c r="F729" s="2782">
        <f>E729</f>
        <v/>
      </c>
      <c r="G729" s="2794">
        <f>6.1*0.47</f>
        <v/>
      </c>
      <c r="H729" s="2776" t="n">
        <v>0</v>
      </c>
      <c r="I729" s="492">
        <f>E150+E353</f>
        <v/>
      </c>
      <c r="J729" s="492" t="n"/>
      <c r="K729" s="492" t="n"/>
      <c r="L729" s="492">
        <f>H150+H353</f>
        <v/>
      </c>
      <c r="M729" s="492" t="n"/>
      <c r="N729" s="492" t="n"/>
      <c r="O729" s="492" t="n"/>
      <c r="P729" s="492">
        <f>L150+L353</f>
        <v/>
      </c>
      <c r="Q729" s="471">
        <f>M150+M353</f>
        <v/>
      </c>
      <c r="R729" s="751" t="n">
        <v>1</v>
      </c>
      <c r="S729" s="2783">
        <f>N150+N353</f>
        <v/>
      </c>
      <c r="T729" s="392">
        <f>O150+O353</f>
        <v/>
      </c>
      <c r="U729" s="392">
        <f>Q150+Q353</f>
        <v/>
      </c>
      <c r="V729" s="392">
        <f>T150+T353</f>
        <v/>
      </c>
      <c r="W729" s="2783">
        <f>P150+P353</f>
        <v/>
      </c>
      <c r="X729" s="392" t="n">
        <v>0</v>
      </c>
      <c r="Y729" s="392" t="n">
        <v>0</v>
      </c>
    </row>
    <row r="730" customFormat="1" s="16">
      <c r="A730" s="392" t="inlineStr">
        <is>
          <t>Warm Temperate Dry</t>
        </is>
      </c>
      <c r="B730" s="2798" t="inlineStr">
        <is>
          <t>North America</t>
        </is>
      </c>
      <c r="C730" s="392">
        <f>CONCATENATE(A730,B730)</f>
        <v/>
      </c>
      <c r="D730" s="2782" t="n">
        <v>4.7</v>
      </c>
      <c r="E730" s="2782">
        <f>D730</f>
        <v/>
      </c>
      <c r="F730" s="2782">
        <f>E730</f>
        <v/>
      </c>
      <c r="G730" s="2794">
        <f>6.1*0.47</f>
        <v/>
      </c>
      <c r="H730" s="2776" t="n">
        <v>0</v>
      </c>
      <c r="I730" s="492">
        <f>E151+E354</f>
        <v/>
      </c>
      <c r="J730" s="492" t="n"/>
      <c r="K730" s="492" t="n"/>
      <c r="L730" s="492">
        <f>H151+H354</f>
        <v/>
      </c>
      <c r="M730" s="492" t="n"/>
      <c r="N730" s="492" t="n"/>
      <c r="O730" s="492" t="n"/>
      <c r="P730" s="492">
        <f>L151+L354</f>
        <v/>
      </c>
      <c r="Q730" s="471">
        <f>M151+M354</f>
        <v/>
      </c>
      <c r="R730" s="751" t="n">
        <v>1</v>
      </c>
      <c r="S730" s="2783">
        <f>N151+N354</f>
        <v/>
      </c>
      <c r="T730" s="392">
        <f>O151+O354</f>
        <v/>
      </c>
      <c r="U730" s="392">
        <f>Q151+Q354</f>
        <v/>
      </c>
      <c r="V730" s="392">
        <f>T151+T354</f>
        <v/>
      </c>
      <c r="W730" s="2783">
        <f>P151+P354</f>
        <v/>
      </c>
      <c r="X730" s="392" t="n">
        <v>0</v>
      </c>
      <c r="Y730" s="392" t="n">
        <v>0</v>
      </c>
    </row>
    <row r="731" customFormat="1" s="16">
      <c r="A731" s="392" t="inlineStr">
        <is>
          <t>Warm Temperate Dry</t>
        </is>
      </c>
      <c r="B731" s="2798" t="inlineStr">
        <is>
          <t>South America</t>
        </is>
      </c>
      <c r="C731" s="392">
        <f>CONCATENATE(A731,B731)</f>
        <v/>
      </c>
      <c r="D731" s="2782" t="n">
        <v>4.7</v>
      </c>
      <c r="E731" s="2782">
        <f>D731</f>
        <v/>
      </c>
      <c r="F731" s="2782">
        <f>E731</f>
        <v/>
      </c>
      <c r="G731" s="2794">
        <f>6.1*0.47</f>
        <v/>
      </c>
      <c r="H731" s="2776" t="n">
        <v>0</v>
      </c>
      <c r="I731" s="492">
        <f>E152+E355</f>
        <v/>
      </c>
      <c r="J731" s="492" t="n"/>
      <c r="K731" s="492" t="n"/>
      <c r="L731" s="492">
        <f>H152+H355</f>
        <v/>
      </c>
      <c r="M731" s="492" t="n"/>
      <c r="N731" s="492" t="n"/>
      <c r="O731" s="492" t="n"/>
      <c r="P731" s="492">
        <f>L152+L355</f>
        <v/>
      </c>
      <c r="Q731" s="471">
        <f>M152+M355</f>
        <v/>
      </c>
      <c r="R731" s="751" t="n">
        <v>1</v>
      </c>
      <c r="S731" s="2783">
        <f>N152+N355</f>
        <v/>
      </c>
      <c r="T731" s="392">
        <f>O152+O355</f>
        <v/>
      </c>
      <c r="U731" s="392">
        <f>Q152+Q355</f>
        <v/>
      </c>
      <c r="V731" s="392">
        <f>T152+T355</f>
        <v/>
      </c>
      <c r="W731" s="2783">
        <f>P152+P355</f>
        <v/>
      </c>
      <c r="X731" s="392" t="n">
        <v>0</v>
      </c>
      <c r="Y731" s="392" t="n">
        <v>0</v>
      </c>
    </row>
    <row r="732" customFormat="1" s="16">
      <c r="A732" s="392" t="inlineStr">
        <is>
          <t>Warm Temperate Dry</t>
        </is>
      </c>
      <c r="B732" s="2798" t="inlineStr">
        <is>
          <t>Central America</t>
        </is>
      </c>
      <c r="C732" s="392">
        <f>CONCATENATE(A732,B732)</f>
        <v/>
      </c>
      <c r="D732" s="2782" t="n">
        <v>4.7</v>
      </c>
      <c r="E732" s="2782">
        <f>D732</f>
        <v/>
      </c>
      <c r="F732" s="2782">
        <f>E732</f>
        <v/>
      </c>
      <c r="G732" s="2794">
        <f>6.1*0.47</f>
        <v/>
      </c>
      <c r="H732" s="2776" t="n">
        <v>0</v>
      </c>
      <c r="I732" s="492">
        <f>E153+E356</f>
        <v/>
      </c>
      <c r="J732" s="492" t="n"/>
      <c r="K732" s="492" t="n"/>
      <c r="L732" s="492">
        <f>H153+H356</f>
        <v/>
      </c>
      <c r="M732" s="492" t="n"/>
      <c r="N732" s="492" t="n"/>
      <c r="O732" s="492" t="n"/>
      <c r="P732" s="492">
        <f>L153+L356</f>
        <v/>
      </c>
      <c r="Q732" s="471">
        <f>M153+M356</f>
        <v/>
      </c>
      <c r="R732" s="751" t="n">
        <v>1</v>
      </c>
      <c r="S732" s="2783">
        <f>N153+N356</f>
        <v/>
      </c>
      <c r="T732" s="392">
        <f>O153+O356</f>
        <v/>
      </c>
      <c r="U732" s="392">
        <f>Q153+Q356</f>
        <v/>
      </c>
      <c r="V732" s="392">
        <f>T153+T356</f>
        <v/>
      </c>
      <c r="W732" s="2783">
        <f>P153+P356</f>
        <v/>
      </c>
      <c r="X732" s="392" t="n">
        <v>0</v>
      </c>
      <c r="Y732" s="392" t="n">
        <v>0</v>
      </c>
    </row>
    <row r="733" customFormat="1" s="2790">
      <c r="A733" s="2784" t="inlineStr">
        <is>
          <t>Warm Temperate Dry</t>
        </is>
      </c>
      <c r="B733" s="2799" t="inlineStr">
        <is>
          <t>Caribbean</t>
        </is>
      </c>
      <c r="C733" s="2784">
        <f>CONCATENATE(A733,B733)</f>
        <v/>
      </c>
      <c r="D733" s="2786" t="n">
        <v>4.7</v>
      </c>
      <c r="E733" s="2786">
        <f>D733</f>
        <v/>
      </c>
      <c r="F733" s="2786">
        <f>E733</f>
        <v/>
      </c>
      <c r="G733" s="2794">
        <f>6.1*0.47</f>
        <v/>
      </c>
      <c r="H733" s="2787" t="n">
        <v>0</v>
      </c>
      <c r="I733" s="492">
        <f>E154+E357</f>
        <v/>
      </c>
      <c r="J733" s="492" t="n"/>
      <c r="K733" s="492" t="n"/>
      <c r="L733" s="492">
        <f>H154+H357</f>
        <v/>
      </c>
      <c r="M733" s="492" t="n"/>
      <c r="N733" s="492" t="n"/>
      <c r="O733" s="492" t="n"/>
      <c r="P733" s="492">
        <f>L154+L357</f>
        <v/>
      </c>
      <c r="Q733" s="471">
        <f>M154+M357</f>
        <v/>
      </c>
      <c r="R733" s="752" t="n">
        <v>1</v>
      </c>
      <c r="S733" s="2789">
        <f>N154+N357</f>
        <v/>
      </c>
      <c r="T733" s="2784">
        <f>O154+O357</f>
        <v/>
      </c>
      <c r="U733" s="2784">
        <f>Q154+Q357</f>
        <v/>
      </c>
      <c r="V733" s="2784">
        <f>T154+T357</f>
        <v/>
      </c>
      <c r="W733" s="2789">
        <f>P154+P357</f>
        <v/>
      </c>
      <c r="X733" s="392" t="n">
        <v>0</v>
      </c>
      <c r="Y733" s="392" t="n">
        <v>0</v>
      </c>
    </row>
    <row r="734" customFormat="1" s="2780">
      <c r="A734" s="2773" t="inlineStr">
        <is>
          <t>Warm Temperate Moist</t>
        </is>
      </c>
      <c r="B734" s="2797" t="inlineStr">
        <is>
          <t>Eastern Africa</t>
        </is>
      </c>
      <c r="C734" s="2773">
        <f>CONCATENATE(A734,B734)</f>
        <v/>
      </c>
      <c r="D734" s="2775" t="n">
        <v>4.7</v>
      </c>
      <c r="E734" s="2775">
        <f>D734</f>
        <v/>
      </c>
      <c r="F734" s="2775">
        <f>E734</f>
        <v/>
      </c>
      <c r="G734" s="2792">
        <f>13.5*0.47</f>
        <v/>
      </c>
      <c r="H734" s="2777" t="n">
        <v>0</v>
      </c>
      <c r="I734" s="490">
        <f>E155+E358</f>
        <v/>
      </c>
      <c r="J734" s="490" t="n"/>
      <c r="K734" s="490" t="n"/>
      <c r="L734" s="490">
        <f>H155+H358</f>
        <v/>
      </c>
      <c r="M734" s="490" t="n"/>
      <c r="N734" s="490" t="n"/>
      <c r="O734" s="490" t="n"/>
      <c r="P734" s="490">
        <f>L155+L358</f>
        <v/>
      </c>
      <c r="Q734" s="491">
        <f>M155+M358</f>
        <v/>
      </c>
      <c r="R734" s="552" t="n">
        <v>1</v>
      </c>
      <c r="S734" s="2783">
        <f>N155+N358</f>
        <v/>
      </c>
      <c r="T734" s="392">
        <f>O155+O358</f>
        <v/>
      </c>
      <c r="U734" s="392">
        <f>Q155+Q358</f>
        <v/>
      </c>
      <c r="V734" s="392">
        <f>T155+T358</f>
        <v/>
      </c>
      <c r="W734" s="2783">
        <f>P155+P358</f>
        <v/>
      </c>
      <c r="X734" s="2773" t="n">
        <v>0</v>
      </c>
      <c r="Y734" s="2773" t="n">
        <v>0</v>
      </c>
    </row>
    <row r="735" customFormat="1" s="16">
      <c r="A735" s="392" t="inlineStr">
        <is>
          <t>Warm Temperate Moist</t>
        </is>
      </c>
      <c r="B735" s="2798" t="inlineStr">
        <is>
          <t>Central Africa</t>
        </is>
      </c>
      <c r="C735" s="392">
        <f>CONCATENATE(A735,B735)</f>
        <v/>
      </c>
      <c r="D735" s="2782" t="n">
        <v>4.7</v>
      </c>
      <c r="E735" s="2782">
        <f>D735</f>
        <v/>
      </c>
      <c r="F735" s="2782">
        <f>E735</f>
        <v/>
      </c>
      <c r="G735" s="2794">
        <f>13.5*0.47</f>
        <v/>
      </c>
      <c r="H735" s="2776" t="n">
        <v>0</v>
      </c>
      <c r="I735" s="492">
        <f>E156+E359</f>
        <v/>
      </c>
      <c r="J735" s="492" t="n"/>
      <c r="K735" s="492" t="n"/>
      <c r="L735" s="492">
        <f>H156+H359</f>
        <v/>
      </c>
      <c r="M735" s="492" t="n"/>
      <c r="N735" s="492" t="n"/>
      <c r="O735" s="492" t="n"/>
      <c r="P735" s="492">
        <f>L156+L359</f>
        <v/>
      </c>
      <c r="Q735" s="471">
        <f>M156+M359</f>
        <v/>
      </c>
      <c r="R735" s="553" t="n">
        <v>1</v>
      </c>
      <c r="S735" s="2783">
        <f>N156+N359</f>
        <v/>
      </c>
      <c r="T735" s="392">
        <f>O156+O359</f>
        <v/>
      </c>
      <c r="U735" s="392">
        <f>Q156+Q359</f>
        <v/>
      </c>
      <c r="V735" s="392">
        <f>T156+T359</f>
        <v/>
      </c>
      <c r="W735" s="2783">
        <f>P156+P359</f>
        <v/>
      </c>
      <c r="X735" s="392" t="n">
        <v>0</v>
      </c>
      <c r="Y735" s="392" t="n">
        <v>0</v>
      </c>
    </row>
    <row r="736" customFormat="1" s="16">
      <c r="A736" s="392" t="inlineStr">
        <is>
          <t>Warm Temperate Moist</t>
        </is>
      </c>
      <c r="B736" s="2798" t="inlineStr">
        <is>
          <t>Northern Africa</t>
        </is>
      </c>
      <c r="C736" s="392">
        <f>CONCATENATE(A736,B736)</f>
        <v/>
      </c>
      <c r="D736" s="2782" t="n">
        <v>4.7</v>
      </c>
      <c r="E736" s="2782">
        <f>D736</f>
        <v/>
      </c>
      <c r="F736" s="2782">
        <f>E736</f>
        <v/>
      </c>
      <c r="G736" s="2794">
        <f>13.5*0.47</f>
        <v/>
      </c>
      <c r="H736" s="2776" t="n">
        <v>0</v>
      </c>
      <c r="I736" s="492">
        <f>E157+E360</f>
        <v/>
      </c>
      <c r="J736" s="492" t="n"/>
      <c r="K736" s="492" t="n"/>
      <c r="L736" s="492">
        <f>H157+H360</f>
        <v/>
      </c>
      <c r="M736" s="492" t="n"/>
      <c r="N736" s="492" t="n"/>
      <c r="O736" s="492" t="n"/>
      <c r="P736" s="492">
        <f>L157+L360</f>
        <v/>
      </c>
      <c r="Q736" s="471">
        <f>M157+M360</f>
        <v/>
      </c>
      <c r="R736" s="553" t="n">
        <v>1</v>
      </c>
      <c r="S736" s="2783">
        <f>N157+N360</f>
        <v/>
      </c>
      <c r="T736" s="392">
        <f>O157+O360</f>
        <v/>
      </c>
      <c r="U736" s="392">
        <f>Q157+Q360</f>
        <v/>
      </c>
      <c r="V736" s="392">
        <f>T157+T360</f>
        <v/>
      </c>
      <c r="W736" s="2783">
        <f>P157+P360</f>
        <v/>
      </c>
      <c r="X736" s="392" t="n">
        <v>0</v>
      </c>
      <c r="Y736" s="392" t="n">
        <v>0</v>
      </c>
    </row>
    <row r="737" customFormat="1" s="16">
      <c r="A737" s="392" t="inlineStr">
        <is>
          <t>Warm Temperate Moist</t>
        </is>
      </c>
      <c r="B737" s="2798" t="inlineStr">
        <is>
          <t>Southern Africa</t>
        </is>
      </c>
      <c r="C737" s="392">
        <f>CONCATENATE(A737,B737)</f>
        <v/>
      </c>
      <c r="D737" s="2782" t="n">
        <v>4.7</v>
      </c>
      <c r="E737" s="2782">
        <f>D737</f>
        <v/>
      </c>
      <c r="F737" s="2782">
        <f>E737</f>
        <v/>
      </c>
      <c r="G737" s="2794">
        <f>13.5*0.47</f>
        <v/>
      </c>
      <c r="H737" s="2776" t="n">
        <v>0</v>
      </c>
      <c r="I737" s="492">
        <f>E158+E361</f>
        <v/>
      </c>
      <c r="J737" s="492" t="n"/>
      <c r="K737" s="492" t="n"/>
      <c r="L737" s="492">
        <f>H158+H361</f>
        <v/>
      </c>
      <c r="M737" s="492" t="n"/>
      <c r="N737" s="492" t="n"/>
      <c r="O737" s="492" t="n"/>
      <c r="P737" s="492">
        <f>L158+L361</f>
        <v/>
      </c>
      <c r="Q737" s="471">
        <f>M158+M361</f>
        <v/>
      </c>
      <c r="R737" s="553" t="n">
        <v>1</v>
      </c>
      <c r="S737" s="2783">
        <f>N158+N361</f>
        <v/>
      </c>
      <c r="T737" s="392">
        <f>O158+O361</f>
        <v/>
      </c>
      <c r="U737" s="392">
        <f>Q158+Q361</f>
        <v/>
      </c>
      <c r="V737" s="392">
        <f>T158+T361</f>
        <v/>
      </c>
      <c r="W737" s="2783">
        <f>P158+P361</f>
        <v/>
      </c>
      <c r="X737" s="392" t="n">
        <v>0</v>
      </c>
      <c r="Y737" s="392" t="n">
        <v>0</v>
      </c>
    </row>
    <row r="738" customFormat="1" s="16">
      <c r="A738" s="392" t="inlineStr">
        <is>
          <t>Warm Temperate Moist</t>
        </is>
      </c>
      <c r="B738" s="2798" t="inlineStr">
        <is>
          <t>Western Africa</t>
        </is>
      </c>
      <c r="C738" s="392">
        <f>CONCATENATE(A738,B738)</f>
        <v/>
      </c>
      <c r="D738" s="2782" t="n">
        <v>4.7</v>
      </c>
      <c r="E738" s="2782">
        <f>D738</f>
        <v/>
      </c>
      <c r="F738" s="2782">
        <f>E738</f>
        <v/>
      </c>
      <c r="G738" s="2794">
        <f>13.5*0.47</f>
        <v/>
      </c>
      <c r="H738" s="2776" t="n">
        <v>0</v>
      </c>
      <c r="I738" s="492">
        <f>E159+E362</f>
        <v/>
      </c>
      <c r="J738" s="492" t="n"/>
      <c r="K738" s="492" t="n"/>
      <c r="L738" s="492">
        <f>H159+H362</f>
        <v/>
      </c>
      <c r="M738" s="492" t="n"/>
      <c r="N738" s="492" t="n"/>
      <c r="O738" s="492" t="n"/>
      <c r="P738" s="492">
        <f>L159+L362</f>
        <v/>
      </c>
      <c r="Q738" s="471">
        <f>M159+M362</f>
        <v/>
      </c>
      <c r="R738" s="553" t="n">
        <v>1</v>
      </c>
      <c r="S738" s="2783">
        <f>N159+N362</f>
        <v/>
      </c>
      <c r="T738" s="392">
        <f>O159+O362</f>
        <v/>
      </c>
      <c r="U738" s="392">
        <f>Q159+Q362</f>
        <v/>
      </c>
      <c r="V738" s="392">
        <f>T159+T362</f>
        <v/>
      </c>
      <c r="W738" s="2783">
        <f>P159+P362</f>
        <v/>
      </c>
      <c r="X738" s="392" t="n">
        <v>0</v>
      </c>
      <c r="Y738" s="392" t="n">
        <v>0</v>
      </c>
    </row>
    <row r="739" customFormat="1" s="16">
      <c r="A739" s="392" t="inlineStr">
        <is>
          <t>Warm Temperate Moist</t>
        </is>
      </c>
      <c r="B739" s="2798" t="inlineStr">
        <is>
          <t>Central Asia</t>
        </is>
      </c>
      <c r="C739" s="392">
        <f>CONCATENATE(A739,B739)</f>
        <v/>
      </c>
      <c r="D739" s="2782" t="n">
        <v>4.7</v>
      </c>
      <c r="E739" s="2782">
        <f>D739</f>
        <v/>
      </c>
      <c r="F739" s="2782">
        <f>E739</f>
        <v/>
      </c>
      <c r="G739" s="2794">
        <f>13.5*0.47</f>
        <v/>
      </c>
      <c r="H739" s="2776" t="n">
        <v>0</v>
      </c>
      <c r="I739" s="492">
        <f>E160+E363</f>
        <v/>
      </c>
      <c r="J739" s="492" t="n"/>
      <c r="K739" s="492" t="n"/>
      <c r="L739" s="492">
        <f>H160+H363</f>
        <v/>
      </c>
      <c r="M739" s="492" t="n"/>
      <c r="N739" s="492" t="n"/>
      <c r="O739" s="492" t="n"/>
      <c r="P739" s="492">
        <f>L160+L363</f>
        <v/>
      </c>
      <c r="Q739" s="471">
        <f>M160+M363</f>
        <v/>
      </c>
      <c r="R739" s="553" t="n">
        <v>1</v>
      </c>
      <c r="S739" s="2783">
        <f>N160+N363</f>
        <v/>
      </c>
      <c r="T739" s="392">
        <f>O160+O363</f>
        <v/>
      </c>
      <c r="U739" s="392">
        <f>Q160+Q363</f>
        <v/>
      </c>
      <c r="V739" s="392">
        <f>T160+T363</f>
        <v/>
      </c>
      <c r="W739" s="2783">
        <f>P160+P363</f>
        <v/>
      </c>
      <c r="X739" s="392" t="n">
        <v>0</v>
      </c>
      <c r="Y739" s="392" t="n">
        <v>0</v>
      </c>
    </row>
    <row r="740" customFormat="1" s="16">
      <c r="A740" s="392" t="inlineStr">
        <is>
          <t>Warm Temperate Moist</t>
        </is>
      </c>
      <c r="B740" s="2798" t="inlineStr">
        <is>
          <t>Eastern Asia</t>
        </is>
      </c>
      <c r="C740" s="392">
        <f>CONCATENATE(A740,B740)</f>
        <v/>
      </c>
      <c r="D740" s="2782" t="n">
        <v>4.7</v>
      </c>
      <c r="E740" s="2782">
        <f>D740</f>
        <v/>
      </c>
      <c r="F740" s="2782">
        <f>E740</f>
        <v/>
      </c>
      <c r="G740" s="2794">
        <f>13.5*0.47</f>
        <v/>
      </c>
      <c r="H740" s="2776" t="n">
        <v>0</v>
      </c>
      <c r="I740" s="492">
        <f>E161+E364</f>
        <v/>
      </c>
      <c r="J740" s="492" t="n"/>
      <c r="K740" s="492" t="n"/>
      <c r="L740" s="492">
        <f>H161+H364</f>
        <v/>
      </c>
      <c r="M740" s="492" t="n"/>
      <c r="N740" s="492" t="n"/>
      <c r="O740" s="492" t="n"/>
      <c r="P740" s="492">
        <f>L161+L364</f>
        <v/>
      </c>
      <c r="Q740" s="471">
        <f>M161+M364</f>
        <v/>
      </c>
      <c r="R740" s="553" t="n">
        <v>1</v>
      </c>
      <c r="S740" s="2783">
        <f>N161+N364</f>
        <v/>
      </c>
      <c r="T740" s="392">
        <f>O161+O364</f>
        <v/>
      </c>
      <c r="U740" s="392">
        <f>Q161+Q364</f>
        <v/>
      </c>
      <c r="V740" s="392">
        <f>T161+T364</f>
        <v/>
      </c>
      <c r="W740" s="2783">
        <f>P161+P364</f>
        <v/>
      </c>
      <c r="X740" s="392" t="n">
        <v>0</v>
      </c>
      <c r="Y740" s="392" t="n">
        <v>0</v>
      </c>
    </row>
    <row r="741" customFormat="1" s="16">
      <c r="A741" s="392" t="inlineStr">
        <is>
          <t>Warm Temperate Moist</t>
        </is>
      </c>
      <c r="B741" s="2798" t="inlineStr">
        <is>
          <t>South-eastern Asia</t>
        </is>
      </c>
      <c r="C741" s="392">
        <f>CONCATENATE(A741,B741)</f>
        <v/>
      </c>
      <c r="D741" s="2782" t="n">
        <v>4.7</v>
      </c>
      <c r="E741" s="2782">
        <f>D741</f>
        <v/>
      </c>
      <c r="F741" s="2782">
        <f>E741</f>
        <v/>
      </c>
      <c r="G741" s="2794">
        <f>13.5*0.47</f>
        <v/>
      </c>
      <c r="H741" s="2776" t="n">
        <v>0</v>
      </c>
      <c r="I741" s="492">
        <f>E162+E365</f>
        <v/>
      </c>
      <c r="J741" s="492" t="n"/>
      <c r="K741" s="492" t="n"/>
      <c r="L741" s="492">
        <f>H162+H365</f>
        <v/>
      </c>
      <c r="M741" s="492" t="n"/>
      <c r="N741" s="492" t="n"/>
      <c r="O741" s="492" t="n"/>
      <c r="P741" s="492">
        <f>L162+L365</f>
        <v/>
      </c>
      <c r="Q741" s="471">
        <f>M162+M365</f>
        <v/>
      </c>
      <c r="R741" s="553" t="n">
        <v>1</v>
      </c>
      <c r="S741" s="2783">
        <f>N162+N365</f>
        <v/>
      </c>
      <c r="T741" s="392">
        <f>O162+O365</f>
        <v/>
      </c>
      <c r="U741" s="392">
        <f>Q162+Q365</f>
        <v/>
      </c>
      <c r="V741" s="392">
        <f>T162+T365</f>
        <v/>
      </c>
      <c r="W741" s="2783">
        <f>P162+P365</f>
        <v/>
      </c>
      <c r="X741" s="392" t="n">
        <v>0</v>
      </c>
      <c r="Y741" s="392" t="n">
        <v>0</v>
      </c>
    </row>
    <row r="742" customFormat="1" s="16">
      <c r="A742" s="392" t="inlineStr">
        <is>
          <t>Warm Temperate Moist</t>
        </is>
      </c>
      <c r="B742" s="2798" t="inlineStr">
        <is>
          <t>Southern Asia</t>
        </is>
      </c>
      <c r="C742" s="392">
        <f>CONCATENATE(A742,B742)</f>
        <v/>
      </c>
      <c r="D742" s="2782" t="n">
        <v>4.7</v>
      </c>
      <c r="E742" s="2782">
        <f>D742</f>
        <v/>
      </c>
      <c r="F742" s="2782">
        <f>E742</f>
        <v/>
      </c>
      <c r="G742" s="2794">
        <f>13.5*0.47</f>
        <v/>
      </c>
      <c r="H742" s="2776" t="n">
        <v>0</v>
      </c>
      <c r="I742" s="492">
        <f>E163+E366</f>
        <v/>
      </c>
      <c r="J742" s="492" t="n"/>
      <c r="K742" s="492" t="n"/>
      <c r="L742" s="492">
        <f>H163+H366</f>
        <v/>
      </c>
      <c r="M742" s="492" t="n"/>
      <c r="N742" s="492" t="n"/>
      <c r="O742" s="492" t="n"/>
      <c r="P742" s="492">
        <f>L163+L366</f>
        <v/>
      </c>
      <c r="Q742" s="471">
        <f>M163+M366</f>
        <v/>
      </c>
      <c r="R742" s="553" t="n">
        <v>1</v>
      </c>
      <c r="S742" s="2783">
        <f>N163+N366</f>
        <v/>
      </c>
      <c r="T742" s="392">
        <f>O163+O366</f>
        <v/>
      </c>
      <c r="U742" s="392">
        <f>Q163+Q366</f>
        <v/>
      </c>
      <c r="V742" s="392">
        <f>T163+T366</f>
        <v/>
      </c>
      <c r="W742" s="2783">
        <f>P163+P366</f>
        <v/>
      </c>
      <c r="X742" s="392" t="n">
        <v>0</v>
      </c>
      <c r="Y742" s="392" t="n">
        <v>0</v>
      </c>
    </row>
    <row r="743" customFormat="1" s="16">
      <c r="A743" s="392" t="inlineStr">
        <is>
          <t>Warm Temperate Moist</t>
        </is>
      </c>
      <c r="B743" s="2798" t="inlineStr">
        <is>
          <t>Western Asia</t>
        </is>
      </c>
      <c r="C743" s="392">
        <f>CONCATENATE(A743,B743)</f>
        <v/>
      </c>
      <c r="D743" s="2782" t="n">
        <v>4.7</v>
      </c>
      <c r="E743" s="2782">
        <f>D743</f>
        <v/>
      </c>
      <c r="F743" s="2782">
        <f>E743</f>
        <v/>
      </c>
      <c r="G743" s="2794">
        <f>13.5*0.47</f>
        <v/>
      </c>
      <c r="H743" s="2776" t="n">
        <v>0</v>
      </c>
      <c r="I743" s="492">
        <f>E164+E367</f>
        <v/>
      </c>
      <c r="J743" s="492" t="n"/>
      <c r="K743" s="492" t="n"/>
      <c r="L743" s="492">
        <f>H164+H367</f>
        <v/>
      </c>
      <c r="M743" s="492" t="n"/>
      <c r="N743" s="492" t="n"/>
      <c r="O743" s="492" t="n"/>
      <c r="P743" s="492">
        <f>L164+L367</f>
        <v/>
      </c>
      <c r="Q743" s="471">
        <f>M164+M367</f>
        <v/>
      </c>
      <c r="R743" s="553" t="n">
        <v>1</v>
      </c>
      <c r="S743" s="2783">
        <f>N164+N367</f>
        <v/>
      </c>
      <c r="T743" s="392">
        <f>O164+O367</f>
        <v/>
      </c>
      <c r="U743" s="392">
        <f>Q164+Q367</f>
        <v/>
      </c>
      <c r="V743" s="392">
        <f>T164+T367</f>
        <v/>
      </c>
      <c r="W743" s="2783">
        <f>P164+P367</f>
        <v/>
      </c>
      <c r="X743" s="392" t="n">
        <v>0</v>
      </c>
      <c r="Y743" s="392" t="n">
        <v>0</v>
      </c>
    </row>
    <row r="744" customFormat="1" s="16">
      <c r="A744" s="392" t="inlineStr">
        <is>
          <t>Warm Temperate Moist</t>
        </is>
      </c>
      <c r="B744" s="2798" t="inlineStr">
        <is>
          <t>Europe</t>
        </is>
      </c>
      <c r="C744" s="392">
        <f>CONCATENATE(A744,B744)</f>
        <v/>
      </c>
      <c r="D744" s="2782" t="n">
        <v>4.7</v>
      </c>
      <c r="E744" s="2782">
        <f>D744</f>
        <v/>
      </c>
      <c r="F744" s="2782">
        <f>E744</f>
        <v/>
      </c>
      <c r="G744" s="2794">
        <f>13.5*0.47</f>
        <v/>
      </c>
      <c r="H744" s="2776" t="n">
        <v>0</v>
      </c>
      <c r="I744" s="492">
        <f>E165+E368</f>
        <v/>
      </c>
      <c r="J744" s="492" t="n"/>
      <c r="K744" s="492" t="n"/>
      <c r="L744" s="492">
        <f>H165+H368</f>
        <v/>
      </c>
      <c r="M744" s="492" t="n"/>
      <c r="N744" s="492" t="n"/>
      <c r="O744" s="492" t="n"/>
      <c r="P744" s="492">
        <f>L165+L368</f>
        <v/>
      </c>
      <c r="Q744" s="471">
        <f>M165+M368</f>
        <v/>
      </c>
      <c r="R744" s="553" t="n">
        <v>1</v>
      </c>
      <c r="S744" s="2783">
        <f>N165+N368</f>
        <v/>
      </c>
      <c r="T744" s="392">
        <f>O165+O368</f>
        <v/>
      </c>
      <c r="U744" s="392">
        <f>Q165+Q368</f>
        <v/>
      </c>
      <c r="V744" s="392">
        <f>T165+T368</f>
        <v/>
      </c>
      <c r="W744" s="2783">
        <f>P165+P368</f>
        <v/>
      </c>
      <c r="X744" s="392" t="n">
        <v>0</v>
      </c>
      <c r="Y744" s="392" t="n">
        <v>0</v>
      </c>
    </row>
    <row r="745" customFormat="1" s="16">
      <c r="A745" s="392" t="inlineStr">
        <is>
          <t>Warm Temperate Moist</t>
        </is>
      </c>
      <c r="B745" s="2798" t="inlineStr">
        <is>
          <t>Oceania</t>
        </is>
      </c>
      <c r="C745" s="392">
        <f>CONCATENATE(A745,B745)</f>
        <v/>
      </c>
      <c r="D745" s="2782" t="n">
        <v>4.7</v>
      </c>
      <c r="E745" s="2782">
        <f>D745</f>
        <v/>
      </c>
      <c r="F745" s="2782">
        <f>E745</f>
        <v/>
      </c>
      <c r="G745" s="2794">
        <f>13.5*0.47</f>
        <v/>
      </c>
      <c r="H745" s="2776" t="n">
        <v>0</v>
      </c>
      <c r="I745" s="492">
        <f>E166+E369</f>
        <v/>
      </c>
      <c r="J745" s="492" t="n"/>
      <c r="K745" s="492" t="n"/>
      <c r="L745" s="492">
        <f>H166+H369</f>
        <v/>
      </c>
      <c r="M745" s="492" t="n"/>
      <c r="N745" s="492" t="n"/>
      <c r="O745" s="492" t="n"/>
      <c r="P745" s="492">
        <f>L166+L369</f>
        <v/>
      </c>
      <c r="Q745" s="471">
        <f>M166+M369</f>
        <v/>
      </c>
      <c r="R745" s="553" t="n">
        <v>1</v>
      </c>
      <c r="S745" s="2783">
        <f>N166+N369</f>
        <v/>
      </c>
      <c r="T745" s="392">
        <f>O166+O369</f>
        <v/>
      </c>
      <c r="U745" s="392">
        <f>Q166+Q369</f>
        <v/>
      </c>
      <c r="V745" s="392">
        <f>T166+T369</f>
        <v/>
      </c>
      <c r="W745" s="2783">
        <f>P166+P369</f>
        <v/>
      </c>
      <c r="X745" s="392" t="n">
        <v>0</v>
      </c>
      <c r="Y745" s="392" t="n">
        <v>0</v>
      </c>
    </row>
    <row r="746" customFormat="1" s="16">
      <c r="A746" s="392" t="inlineStr">
        <is>
          <t>Warm Temperate Moist</t>
        </is>
      </c>
      <c r="B746" s="2798" t="inlineStr">
        <is>
          <t>North America</t>
        </is>
      </c>
      <c r="C746" s="392">
        <f>CONCATENATE(A746,B746)</f>
        <v/>
      </c>
      <c r="D746" s="2782" t="n">
        <v>4.7</v>
      </c>
      <c r="E746" s="2782">
        <f>D746</f>
        <v/>
      </c>
      <c r="F746" s="2782">
        <f>E746</f>
        <v/>
      </c>
      <c r="G746" s="2794">
        <f>13.5*0.47</f>
        <v/>
      </c>
      <c r="H746" s="2776" t="n">
        <v>0</v>
      </c>
      <c r="I746" s="492">
        <f>E167+E370</f>
        <v/>
      </c>
      <c r="J746" s="492" t="n"/>
      <c r="K746" s="492" t="n"/>
      <c r="L746" s="492">
        <f>H167+H370</f>
        <v/>
      </c>
      <c r="M746" s="492" t="n"/>
      <c r="N746" s="492" t="n"/>
      <c r="O746" s="492" t="n"/>
      <c r="P746" s="492">
        <f>L167+L370</f>
        <v/>
      </c>
      <c r="Q746" s="471">
        <f>M167+M370</f>
        <v/>
      </c>
      <c r="R746" s="553" t="n">
        <v>1</v>
      </c>
      <c r="S746" s="2783">
        <f>N167+N370</f>
        <v/>
      </c>
      <c r="T746" s="392">
        <f>O167+O370</f>
        <v/>
      </c>
      <c r="U746" s="392">
        <f>Q167+Q370</f>
        <v/>
      </c>
      <c r="V746" s="392">
        <f>T167+T370</f>
        <v/>
      </c>
      <c r="W746" s="2783">
        <f>P167+P370</f>
        <v/>
      </c>
      <c r="X746" s="392" t="n">
        <v>0</v>
      </c>
      <c r="Y746" s="392" t="n">
        <v>0</v>
      </c>
    </row>
    <row r="747" customFormat="1" s="16">
      <c r="A747" s="392" t="inlineStr">
        <is>
          <t>Warm Temperate Moist</t>
        </is>
      </c>
      <c r="B747" s="2798" t="inlineStr">
        <is>
          <t>South America</t>
        </is>
      </c>
      <c r="C747" s="392">
        <f>CONCATENATE(A747,B747)</f>
        <v/>
      </c>
      <c r="D747" s="2782" t="n">
        <v>4.7</v>
      </c>
      <c r="E747" s="2782">
        <f>D747</f>
        <v/>
      </c>
      <c r="F747" s="2782">
        <f>E747</f>
        <v/>
      </c>
      <c r="G747" s="2794">
        <f>13.5*0.47</f>
        <v/>
      </c>
      <c r="H747" s="2776" t="n">
        <v>0</v>
      </c>
      <c r="I747" s="492">
        <f>E168+E371</f>
        <v/>
      </c>
      <c r="J747" s="492" t="n"/>
      <c r="K747" s="492" t="n"/>
      <c r="L747" s="492">
        <f>H168+H371</f>
        <v/>
      </c>
      <c r="M747" s="492" t="n"/>
      <c r="N747" s="492" t="n"/>
      <c r="O747" s="492" t="n"/>
      <c r="P747" s="492">
        <f>L168+L371</f>
        <v/>
      </c>
      <c r="Q747" s="471">
        <f>M168+M371</f>
        <v/>
      </c>
      <c r="R747" s="553" t="n">
        <v>1</v>
      </c>
      <c r="S747" s="2783">
        <f>N168+N371</f>
        <v/>
      </c>
      <c r="T747" s="392">
        <f>O168+O371</f>
        <v/>
      </c>
      <c r="U747" s="392">
        <f>Q168+Q371</f>
        <v/>
      </c>
      <c r="V747" s="392">
        <f>T168+T371</f>
        <v/>
      </c>
      <c r="W747" s="2783">
        <f>P168+P371</f>
        <v/>
      </c>
      <c r="X747" s="392" t="n">
        <v>0</v>
      </c>
      <c r="Y747" s="392" t="n">
        <v>0</v>
      </c>
    </row>
    <row r="748" customFormat="1" s="16">
      <c r="A748" s="392" t="inlineStr">
        <is>
          <t>Warm Temperate Moist</t>
        </is>
      </c>
      <c r="B748" s="2798" t="inlineStr">
        <is>
          <t>Central America</t>
        </is>
      </c>
      <c r="C748" s="392">
        <f>CONCATENATE(A748,B748)</f>
        <v/>
      </c>
      <c r="D748" s="2782" t="n">
        <v>4.7</v>
      </c>
      <c r="E748" s="2782">
        <f>D748</f>
        <v/>
      </c>
      <c r="F748" s="2782">
        <f>E748</f>
        <v/>
      </c>
      <c r="G748" s="2794">
        <f>13.5*0.47</f>
        <v/>
      </c>
      <c r="H748" s="2776" t="n">
        <v>0</v>
      </c>
      <c r="I748" s="492">
        <f>E169+E372</f>
        <v/>
      </c>
      <c r="J748" s="492" t="n"/>
      <c r="K748" s="492" t="n"/>
      <c r="L748" s="492">
        <f>H169+H372</f>
        <v/>
      </c>
      <c r="M748" s="492" t="n"/>
      <c r="N748" s="492" t="n"/>
      <c r="O748" s="492" t="n"/>
      <c r="P748" s="492">
        <f>L169+L372</f>
        <v/>
      </c>
      <c r="Q748" s="471">
        <f>M169+M372</f>
        <v/>
      </c>
      <c r="R748" s="553" t="n">
        <v>1</v>
      </c>
      <c r="S748" s="2783">
        <f>N169+N372</f>
        <v/>
      </c>
      <c r="T748" s="392">
        <f>O169+O372</f>
        <v/>
      </c>
      <c r="U748" s="392">
        <f>Q169+Q372</f>
        <v/>
      </c>
      <c r="V748" s="392">
        <f>T169+T372</f>
        <v/>
      </c>
      <c r="W748" s="2783">
        <f>P169+P372</f>
        <v/>
      </c>
      <c r="X748" s="392" t="n">
        <v>0</v>
      </c>
      <c r="Y748" s="392" t="n">
        <v>0</v>
      </c>
    </row>
    <row r="749" customFormat="1" s="2790">
      <c r="A749" s="2784" t="inlineStr">
        <is>
          <t>Warm Temperate Moist</t>
        </is>
      </c>
      <c r="B749" s="2799" t="inlineStr">
        <is>
          <t>Caribbean</t>
        </is>
      </c>
      <c r="C749" s="2784">
        <f>CONCATENATE(A749,B749)</f>
        <v/>
      </c>
      <c r="D749" s="2786" t="n">
        <v>4.7</v>
      </c>
      <c r="E749" s="2786">
        <f>D749</f>
        <v/>
      </c>
      <c r="F749" s="2786">
        <f>E749</f>
        <v/>
      </c>
      <c r="G749" s="2796">
        <f>13.5*0.47</f>
        <v/>
      </c>
      <c r="H749" s="2787" t="n">
        <v>0</v>
      </c>
      <c r="I749" s="492">
        <f>E170+E373</f>
        <v/>
      </c>
      <c r="J749" s="492" t="n"/>
      <c r="K749" s="2788" t="n"/>
      <c r="L749" s="2788">
        <f>H170+H373</f>
        <v/>
      </c>
      <c r="M749" s="2788" t="n"/>
      <c r="N749" s="492" t="n"/>
      <c r="O749" s="492" t="n"/>
      <c r="P749" s="492">
        <f>L170+L373</f>
        <v/>
      </c>
      <c r="Q749" s="471">
        <f>M170+M373</f>
        <v/>
      </c>
      <c r="R749" s="554" t="n">
        <v>1</v>
      </c>
      <c r="S749" s="2783">
        <f>N170+N373</f>
        <v/>
      </c>
      <c r="T749" s="392">
        <f>O170+O373</f>
        <v/>
      </c>
      <c r="U749" s="392">
        <f>Q170+Q373</f>
        <v/>
      </c>
      <c r="V749" s="392">
        <f>T170+T373</f>
        <v/>
      </c>
      <c r="W749" s="2783">
        <f>P170+P373</f>
        <v/>
      </c>
      <c r="X749" s="2784" t="n">
        <v>0</v>
      </c>
      <c r="Y749" s="2784" t="n">
        <v>0</v>
      </c>
    </row>
    <row r="750" customFormat="1" s="2780">
      <c r="A750" s="2773" t="inlineStr">
        <is>
          <t>Tropical Dry</t>
        </is>
      </c>
      <c r="B750" s="2791" t="inlineStr">
        <is>
          <t>Eastern Africa</t>
        </is>
      </c>
      <c r="C750" s="2773">
        <f>CONCATENATE(A750,B750)</f>
        <v/>
      </c>
      <c r="D750" s="2775" t="n">
        <v>4.7</v>
      </c>
      <c r="E750" s="2775">
        <f>D750</f>
        <v/>
      </c>
      <c r="F750" s="2775">
        <f>E750</f>
        <v/>
      </c>
      <c r="G750" s="2792">
        <f>8.7*0.47</f>
        <v/>
      </c>
      <c r="H750" s="2777" t="n">
        <v>0</v>
      </c>
      <c r="I750" s="490">
        <f>E171+E390</f>
        <v/>
      </c>
      <c r="J750" s="491">
        <f>F171+F390</f>
        <v/>
      </c>
      <c r="K750" s="491">
        <f>G171+G390</f>
        <v/>
      </c>
      <c r="L750" s="491">
        <f>H171+H390</f>
        <v/>
      </c>
      <c r="M750" s="490">
        <f>I171+I390</f>
        <v/>
      </c>
      <c r="N750" s="490">
        <f>J171+J390</f>
        <v/>
      </c>
      <c r="O750" s="490">
        <f>K171+K390</f>
        <v/>
      </c>
      <c r="P750" s="490">
        <f>L171+L390</f>
        <v/>
      </c>
      <c r="Q750" s="491">
        <f>M171+M390</f>
        <v/>
      </c>
      <c r="R750" s="750" t="n">
        <v>1</v>
      </c>
      <c r="S750" s="2773">
        <f>N171+N390</f>
        <v/>
      </c>
      <c r="T750" s="2773">
        <f>O171+O390</f>
        <v/>
      </c>
      <c r="U750" s="2773">
        <f>Q171+Q390</f>
        <v/>
      </c>
      <c r="V750" s="2773">
        <f>T171+T390</f>
        <v/>
      </c>
      <c r="W750" s="2779">
        <f>P171+P390</f>
        <v/>
      </c>
      <c r="X750" s="2783">
        <f>R171+R390</f>
        <v/>
      </c>
      <c r="Y750" s="392">
        <f>S171+S390</f>
        <v/>
      </c>
    </row>
    <row r="751" customFormat="1" s="16">
      <c r="A751" s="392" t="inlineStr">
        <is>
          <t>Tropical Dry</t>
        </is>
      </c>
      <c r="B751" s="2793" t="inlineStr">
        <is>
          <t>Central Africa</t>
        </is>
      </c>
      <c r="C751" s="392">
        <f>CONCATENATE(A751,B751)</f>
        <v/>
      </c>
      <c r="D751" s="2782" t="n">
        <v>4.7</v>
      </c>
      <c r="E751" s="2782">
        <f>D751</f>
        <v/>
      </c>
      <c r="F751" s="2782">
        <f>E751</f>
        <v/>
      </c>
      <c r="G751" s="2794">
        <f>8.7*0.47</f>
        <v/>
      </c>
      <c r="H751" s="2776" t="n">
        <v>0</v>
      </c>
      <c r="I751" s="492">
        <f>E172+E391</f>
        <v/>
      </c>
      <c r="J751" s="471">
        <f>F172+F391</f>
        <v/>
      </c>
      <c r="K751" s="471">
        <f>G172+G391</f>
        <v/>
      </c>
      <c r="L751" s="471">
        <f>H172+H391</f>
        <v/>
      </c>
      <c r="M751" s="492">
        <f>I172+I391</f>
        <v/>
      </c>
      <c r="N751" s="492">
        <f>J172+J391</f>
        <v/>
      </c>
      <c r="O751" s="492">
        <f>K172+K391</f>
        <v/>
      </c>
      <c r="P751" s="492">
        <f>L172+L391</f>
        <v/>
      </c>
      <c r="Q751" s="471">
        <f>M172+M391</f>
        <v/>
      </c>
      <c r="R751" s="751" t="n">
        <v>1</v>
      </c>
      <c r="S751" s="392">
        <f>N172+N391</f>
        <v/>
      </c>
      <c r="T751" s="392">
        <f>O172+O391</f>
        <v/>
      </c>
      <c r="U751" s="392">
        <f>Q172+Q391</f>
        <v/>
      </c>
      <c r="V751" s="392">
        <f>T172+T391</f>
        <v/>
      </c>
      <c r="W751" s="2783">
        <f>P172+P391</f>
        <v/>
      </c>
      <c r="X751" s="2783">
        <f>R172+R391</f>
        <v/>
      </c>
      <c r="Y751" s="392">
        <f>S172+S391</f>
        <v/>
      </c>
    </row>
    <row r="752" customFormat="1" s="16">
      <c r="A752" s="392" t="inlineStr">
        <is>
          <t>Tropical Dry</t>
        </is>
      </c>
      <c r="B752" s="2793" t="inlineStr">
        <is>
          <t>Northern Africa</t>
        </is>
      </c>
      <c r="C752" s="392">
        <f>CONCATENATE(A752,B752)</f>
        <v/>
      </c>
      <c r="D752" s="2782" t="n">
        <v>4.7</v>
      </c>
      <c r="E752" s="2782">
        <f>D752</f>
        <v/>
      </c>
      <c r="F752" s="2782">
        <f>E752</f>
        <v/>
      </c>
      <c r="G752" s="2794">
        <f>8.7*0.47</f>
        <v/>
      </c>
      <c r="H752" s="2776" t="n">
        <v>0</v>
      </c>
      <c r="I752" s="492">
        <f>E173+E392</f>
        <v/>
      </c>
      <c r="J752" s="471">
        <f>F173+F392</f>
        <v/>
      </c>
      <c r="K752" s="471">
        <f>G173+G392</f>
        <v/>
      </c>
      <c r="L752" s="471">
        <f>H173+H392</f>
        <v/>
      </c>
      <c r="M752" s="492">
        <f>I173+I392</f>
        <v/>
      </c>
      <c r="N752" s="492">
        <f>J173+J392</f>
        <v/>
      </c>
      <c r="O752" s="492">
        <f>K173+K392</f>
        <v/>
      </c>
      <c r="P752" s="492">
        <f>L173+L392</f>
        <v/>
      </c>
      <c r="Q752" s="471">
        <f>M173+M392</f>
        <v/>
      </c>
      <c r="R752" s="751" t="n">
        <v>1</v>
      </c>
      <c r="S752" s="392">
        <f>N173+N392</f>
        <v/>
      </c>
      <c r="T752" s="392">
        <f>O173+O392</f>
        <v/>
      </c>
      <c r="U752" s="392">
        <f>Q173+Q392</f>
        <v/>
      </c>
      <c r="V752" s="392">
        <f>T173+T392</f>
        <v/>
      </c>
      <c r="W752" s="2783">
        <f>P173+P392</f>
        <v/>
      </c>
      <c r="X752" s="2783">
        <f>R173+R392</f>
        <v/>
      </c>
      <c r="Y752" s="392">
        <f>S173+S392</f>
        <v/>
      </c>
    </row>
    <row r="753" customFormat="1" s="16">
      <c r="A753" s="392" t="inlineStr">
        <is>
          <t>Tropical Dry</t>
        </is>
      </c>
      <c r="B753" s="2793" t="inlineStr">
        <is>
          <t>Southern Africa</t>
        </is>
      </c>
      <c r="C753" s="392">
        <f>CONCATENATE(A753,B753)</f>
        <v/>
      </c>
      <c r="D753" s="2782" t="n">
        <v>4.7</v>
      </c>
      <c r="E753" s="2782">
        <f>D753</f>
        <v/>
      </c>
      <c r="F753" s="2782">
        <f>E753</f>
        <v/>
      </c>
      <c r="G753" s="2794">
        <f>8.7*0.47</f>
        <v/>
      </c>
      <c r="H753" s="2776" t="n">
        <v>0</v>
      </c>
      <c r="I753" s="492">
        <f>E174+E393</f>
        <v/>
      </c>
      <c r="J753" s="471">
        <f>F174+F393</f>
        <v/>
      </c>
      <c r="K753" s="471">
        <f>G174+G393</f>
        <v/>
      </c>
      <c r="L753" s="471">
        <f>H174+H393</f>
        <v/>
      </c>
      <c r="M753" s="492">
        <f>I174+I393</f>
        <v/>
      </c>
      <c r="N753" s="492">
        <f>J174+J393</f>
        <v/>
      </c>
      <c r="O753" s="492">
        <f>K174+K393</f>
        <v/>
      </c>
      <c r="P753" s="492">
        <f>L174+L393</f>
        <v/>
      </c>
      <c r="Q753" s="471">
        <f>M174+M393</f>
        <v/>
      </c>
      <c r="R753" s="751" t="n">
        <v>1</v>
      </c>
      <c r="S753" s="392">
        <f>N174+N393</f>
        <v/>
      </c>
      <c r="T753" s="392">
        <f>O174+O393</f>
        <v/>
      </c>
      <c r="U753" s="392">
        <f>Q174+Q393</f>
        <v/>
      </c>
      <c r="V753" s="392">
        <f>T174+T393</f>
        <v/>
      </c>
      <c r="W753" s="2783">
        <f>P174+P393</f>
        <v/>
      </c>
      <c r="X753" s="2783">
        <f>R174+R393</f>
        <v/>
      </c>
      <c r="Y753" s="392">
        <f>S174+S393</f>
        <v/>
      </c>
    </row>
    <row r="754" customFormat="1" s="16">
      <c r="A754" s="392" t="inlineStr">
        <is>
          <t>Tropical Dry</t>
        </is>
      </c>
      <c r="B754" s="2793" t="inlineStr">
        <is>
          <t>Western Africa</t>
        </is>
      </c>
      <c r="C754" s="392">
        <f>CONCATENATE(A754,B754)</f>
        <v/>
      </c>
      <c r="D754" s="2782" t="n">
        <v>4.7</v>
      </c>
      <c r="E754" s="2782">
        <f>D754</f>
        <v/>
      </c>
      <c r="F754" s="2782">
        <f>E754</f>
        <v/>
      </c>
      <c r="G754" s="2794">
        <f>8.7*0.47</f>
        <v/>
      </c>
      <c r="H754" s="2776" t="n">
        <v>0</v>
      </c>
      <c r="I754" s="492">
        <f>E175+E394</f>
        <v/>
      </c>
      <c r="J754" s="471">
        <f>F175+F394</f>
        <v/>
      </c>
      <c r="K754" s="471">
        <f>G175+G394</f>
        <v/>
      </c>
      <c r="L754" s="471">
        <f>H175+H394</f>
        <v/>
      </c>
      <c r="M754" s="492">
        <f>I175+I394</f>
        <v/>
      </c>
      <c r="N754" s="492">
        <f>J175+J394</f>
        <v/>
      </c>
      <c r="O754" s="492">
        <f>K175+K394</f>
        <v/>
      </c>
      <c r="P754" s="492">
        <f>L175+L394</f>
        <v/>
      </c>
      <c r="Q754" s="471">
        <f>M175+M394</f>
        <v/>
      </c>
      <c r="R754" s="751" t="n">
        <v>1</v>
      </c>
      <c r="S754" s="392">
        <f>N175+N394</f>
        <v/>
      </c>
      <c r="T754" s="392">
        <f>O175+O394</f>
        <v/>
      </c>
      <c r="U754" s="392">
        <f>Q175+Q394</f>
        <v/>
      </c>
      <c r="V754" s="392">
        <f>T175+T394</f>
        <v/>
      </c>
      <c r="W754" s="2783">
        <f>P175+P394</f>
        <v/>
      </c>
      <c r="X754" s="2783">
        <f>R175+R394</f>
        <v/>
      </c>
      <c r="Y754" s="392">
        <f>S175+S394</f>
        <v/>
      </c>
    </row>
    <row r="755" customFormat="1" s="16">
      <c r="A755" s="392" t="inlineStr">
        <is>
          <t>Tropical Dry</t>
        </is>
      </c>
      <c r="B755" s="2793" t="inlineStr">
        <is>
          <t>Central Asia</t>
        </is>
      </c>
      <c r="C755" s="392">
        <f>CONCATENATE(A755,B755)</f>
        <v/>
      </c>
      <c r="D755" s="2782" t="n">
        <v>4.7</v>
      </c>
      <c r="E755" s="2782">
        <f>D755</f>
        <v/>
      </c>
      <c r="F755" s="2782">
        <f>E755</f>
        <v/>
      </c>
      <c r="G755" s="2794">
        <f>8.7*0.47</f>
        <v/>
      </c>
      <c r="H755" s="2776" t="n">
        <v>0</v>
      </c>
      <c r="I755" s="492">
        <f>E176+E395</f>
        <v/>
      </c>
      <c r="J755" s="471">
        <f>F176+F395</f>
        <v/>
      </c>
      <c r="K755" s="471">
        <f>G176+G395</f>
        <v/>
      </c>
      <c r="L755" s="471">
        <f>H176+H395</f>
        <v/>
      </c>
      <c r="M755" s="492">
        <f>I176+I395</f>
        <v/>
      </c>
      <c r="N755" s="492">
        <f>J176+J395</f>
        <v/>
      </c>
      <c r="O755" s="492">
        <f>K176+K395</f>
        <v/>
      </c>
      <c r="P755" s="492">
        <f>L176+L395</f>
        <v/>
      </c>
      <c r="Q755" s="471">
        <f>M176+M395</f>
        <v/>
      </c>
      <c r="R755" s="751" t="n">
        <v>1</v>
      </c>
      <c r="S755" s="392">
        <f>N176+N395</f>
        <v/>
      </c>
      <c r="T755" s="392">
        <f>O176+O395</f>
        <v/>
      </c>
      <c r="U755" s="392">
        <f>Q176+Q395</f>
        <v/>
      </c>
      <c r="V755" s="392">
        <f>T176+T395</f>
        <v/>
      </c>
      <c r="W755" s="2783">
        <f>P176+P395</f>
        <v/>
      </c>
      <c r="X755" s="2783">
        <f>R176+R395</f>
        <v/>
      </c>
      <c r="Y755" s="392">
        <f>S176+S395</f>
        <v/>
      </c>
    </row>
    <row r="756" customFormat="1" s="16">
      <c r="A756" s="392" t="inlineStr">
        <is>
          <t>Tropical Dry</t>
        </is>
      </c>
      <c r="B756" s="2793" t="inlineStr">
        <is>
          <t>Eastern Asia</t>
        </is>
      </c>
      <c r="C756" s="392">
        <f>CONCATENATE(A756,B756)</f>
        <v/>
      </c>
      <c r="D756" s="2782" t="n">
        <v>4.7</v>
      </c>
      <c r="E756" s="2782">
        <f>D756</f>
        <v/>
      </c>
      <c r="F756" s="2782">
        <f>E756</f>
        <v/>
      </c>
      <c r="G756" s="2794">
        <f>8.7*0.47</f>
        <v/>
      </c>
      <c r="H756" s="2776" t="n">
        <v>0</v>
      </c>
      <c r="I756" s="492">
        <f>E177+E396</f>
        <v/>
      </c>
      <c r="J756" s="471">
        <f>F177+F396</f>
        <v/>
      </c>
      <c r="K756" s="471">
        <f>G177+G396</f>
        <v/>
      </c>
      <c r="L756" s="471">
        <f>H177+H396</f>
        <v/>
      </c>
      <c r="M756" s="492">
        <f>I177+I396</f>
        <v/>
      </c>
      <c r="N756" s="492">
        <f>J177+J396</f>
        <v/>
      </c>
      <c r="O756" s="492">
        <f>K177+K396</f>
        <v/>
      </c>
      <c r="P756" s="492">
        <f>L177+L396</f>
        <v/>
      </c>
      <c r="Q756" s="471">
        <f>M177+M396</f>
        <v/>
      </c>
      <c r="R756" s="751" t="n">
        <v>1</v>
      </c>
      <c r="S756" s="392">
        <f>N177+N396</f>
        <v/>
      </c>
      <c r="T756" s="392">
        <f>O177+O396</f>
        <v/>
      </c>
      <c r="U756" s="392">
        <f>Q177+Q396</f>
        <v/>
      </c>
      <c r="V756" s="392">
        <f>T177+T396</f>
        <v/>
      </c>
      <c r="W756" s="2783">
        <f>P177+P396</f>
        <v/>
      </c>
      <c r="X756" s="2783">
        <f>R177+R396</f>
        <v/>
      </c>
      <c r="Y756" s="392">
        <f>S177+S396</f>
        <v/>
      </c>
    </row>
    <row r="757" customFormat="1" s="16">
      <c r="A757" s="392" t="inlineStr">
        <is>
          <t>Tropical Dry</t>
        </is>
      </c>
      <c r="B757" s="2793" t="inlineStr">
        <is>
          <t>South-eastern Asia</t>
        </is>
      </c>
      <c r="C757" s="392">
        <f>CONCATENATE(A757,B757)</f>
        <v/>
      </c>
      <c r="D757" s="2782" t="n">
        <v>4.7</v>
      </c>
      <c r="E757" s="2782">
        <f>D757</f>
        <v/>
      </c>
      <c r="F757" s="2782">
        <f>E757</f>
        <v/>
      </c>
      <c r="G757" s="2794">
        <f>8.7*0.47</f>
        <v/>
      </c>
      <c r="H757" s="2776" t="n">
        <v>0</v>
      </c>
      <c r="I757" s="492">
        <f>E178+E397</f>
        <v/>
      </c>
      <c r="J757" s="471">
        <f>F178+F397</f>
        <v/>
      </c>
      <c r="K757" s="471">
        <f>G178+G397</f>
        <v/>
      </c>
      <c r="L757" s="471">
        <f>H178+H397</f>
        <v/>
      </c>
      <c r="M757" s="492">
        <f>I178+I397</f>
        <v/>
      </c>
      <c r="N757" s="492">
        <f>J178+J397</f>
        <v/>
      </c>
      <c r="O757" s="492">
        <f>K178+K397</f>
        <v/>
      </c>
      <c r="P757" s="492">
        <f>L178+L397</f>
        <v/>
      </c>
      <c r="Q757" s="471">
        <f>M178+M397</f>
        <v/>
      </c>
      <c r="R757" s="751" t="n">
        <v>1</v>
      </c>
      <c r="S757" s="392">
        <f>N178+N397</f>
        <v/>
      </c>
      <c r="T757" s="392">
        <f>O178+O397</f>
        <v/>
      </c>
      <c r="U757" s="392">
        <f>Q178+Q397</f>
        <v/>
      </c>
      <c r="V757" s="392">
        <f>T178+T397</f>
        <v/>
      </c>
      <c r="W757" s="2783">
        <f>P178+P397</f>
        <v/>
      </c>
      <c r="X757" s="2783">
        <f>R178+R397</f>
        <v/>
      </c>
      <c r="Y757" s="392">
        <f>S178+S397</f>
        <v/>
      </c>
    </row>
    <row r="758" customFormat="1" s="16">
      <c r="A758" s="392" t="inlineStr">
        <is>
          <t>Tropical Dry</t>
        </is>
      </c>
      <c r="B758" s="2793" t="inlineStr">
        <is>
          <t>Southern Asia</t>
        </is>
      </c>
      <c r="C758" s="392">
        <f>CONCATENATE(A758,B758)</f>
        <v/>
      </c>
      <c r="D758" s="2782" t="n">
        <v>4.7</v>
      </c>
      <c r="E758" s="2782">
        <f>D758</f>
        <v/>
      </c>
      <c r="F758" s="2782">
        <f>E758</f>
        <v/>
      </c>
      <c r="G758" s="2794">
        <f>8.7*0.47</f>
        <v/>
      </c>
      <c r="H758" s="2776" t="n">
        <v>0</v>
      </c>
      <c r="I758" s="492">
        <f>E179+E398</f>
        <v/>
      </c>
      <c r="J758" s="471">
        <f>F179+F398</f>
        <v/>
      </c>
      <c r="K758" s="471">
        <f>G179+G398</f>
        <v/>
      </c>
      <c r="L758" s="471">
        <f>H179+H398</f>
        <v/>
      </c>
      <c r="M758" s="492">
        <f>I179+I398</f>
        <v/>
      </c>
      <c r="N758" s="492">
        <f>J179+J398</f>
        <v/>
      </c>
      <c r="O758" s="492">
        <f>K179+K398</f>
        <v/>
      </c>
      <c r="P758" s="492">
        <f>L179+L398</f>
        <v/>
      </c>
      <c r="Q758" s="471">
        <f>M179+M398</f>
        <v/>
      </c>
      <c r="R758" s="751" t="n">
        <v>1</v>
      </c>
      <c r="S758" s="392">
        <f>N179+N398</f>
        <v/>
      </c>
      <c r="T758" s="392">
        <f>O179+O398</f>
        <v/>
      </c>
      <c r="U758" s="392">
        <f>Q179+Q398</f>
        <v/>
      </c>
      <c r="V758" s="392">
        <f>T179+T398</f>
        <v/>
      </c>
      <c r="W758" s="2783">
        <f>P179+P398</f>
        <v/>
      </c>
      <c r="X758" s="2783">
        <f>R179+R398</f>
        <v/>
      </c>
      <c r="Y758" s="392">
        <f>S179+S398</f>
        <v/>
      </c>
    </row>
    <row r="759" customFormat="1" s="16">
      <c r="A759" s="392" t="inlineStr">
        <is>
          <t>Tropical Dry</t>
        </is>
      </c>
      <c r="B759" s="2793" t="inlineStr">
        <is>
          <t>Western Asia</t>
        </is>
      </c>
      <c r="C759" s="392">
        <f>CONCATENATE(A759,B759)</f>
        <v/>
      </c>
      <c r="D759" s="2782" t="n">
        <v>4.7</v>
      </c>
      <c r="E759" s="2782">
        <f>D759</f>
        <v/>
      </c>
      <c r="F759" s="2782">
        <f>E759</f>
        <v/>
      </c>
      <c r="G759" s="2794">
        <f>8.7*0.47</f>
        <v/>
      </c>
      <c r="H759" s="2776" t="n">
        <v>0</v>
      </c>
      <c r="I759" s="492">
        <f>E180+E399</f>
        <v/>
      </c>
      <c r="J759" s="471">
        <f>F180+F399</f>
        <v/>
      </c>
      <c r="K759" s="471">
        <f>G180+G399</f>
        <v/>
      </c>
      <c r="L759" s="471">
        <f>H180+H399</f>
        <v/>
      </c>
      <c r="M759" s="492">
        <f>I180+I399</f>
        <v/>
      </c>
      <c r="N759" s="492">
        <f>J180+J399</f>
        <v/>
      </c>
      <c r="O759" s="492">
        <f>K180+K399</f>
        <v/>
      </c>
      <c r="P759" s="492">
        <f>L180+L399</f>
        <v/>
      </c>
      <c r="Q759" s="471">
        <f>M180+M399</f>
        <v/>
      </c>
      <c r="R759" s="751" t="n">
        <v>1</v>
      </c>
      <c r="S759" s="392">
        <f>N180+N399</f>
        <v/>
      </c>
      <c r="T759" s="392">
        <f>O180+O399</f>
        <v/>
      </c>
      <c r="U759" s="392">
        <f>Q180+Q399</f>
        <v/>
      </c>
      <c r="V759" s="392">
        <f>T180+T399</f>
        <v/>
      </c>
      <c r="W759" s="2783">
        <f>P180+P399</f>
        <v/>
      </c>
      <c r="X759" s="2783">
        <f>R180+R399</f>
        <v/>
      </c>
      <c r="Y759" s="392">
        <f>S180+S399</f>
        <v/>
      </c>
    </row>
    <row r="760" customFormat="1" s="16">
      <c r="A760" s="392" t="inlineStr">
        <is>
          <t>Tropical Dry</t>
        </is>
      </c>
      <c r="B760" s="2793" t="inlineStr">
        <is>
          <t>Europe</t>
        </is>
      </c>
      <c r="C760" s="392">
        <f>CONCATENATE(A760,B760)</f>
        <v/>
      </c>
      <c r="D760" s="2782" t="n">
        <v>4.7</v>
      </c>
      <c r="E760" s="2782">
        <f>D760</f>
        <v/>
      </c>
      <c r="F760" s="2782">
        <f>E760</f>
        <v/>
      </c>
      <c r="G760" s="2794">
        <f>8.7*0.47</f>
        <v/>
      </c>
      <c r="H760" s="2776" t="n">
        <v>0</v>
      </c>
      <c r="I760" s="492">
        <f>E181+E400</f>
        <v/>
      </c>
      <c r="J760" s="471">
        <f>F181+F400</f>
        <v/>
      </c>
      <c r="K760" s="471">
        <f>G181+G400</f>
        <v/>
      </c>
      <c r="L760" s="471">
        <f>H181+H400</f>
        <v/>
      </c>
      <c r="M760" s="492">
        <f>I181+I400</f>
        <v/>
      </c>
      <c r="N760" s="492">
        <f>J181+J400</f>
        <v/>
      </c>
      <c r="O760" s="492">
        <f>K181+K400</f>
        <v/>
      </c>
      <c r="P760" s="492">
        <f>L181+L400</f>
        <v/>
      </c>
      <c r="Q760" s="471">
        <f>M181+M400</f>
        <v/>
      </c>
      <c r="R760" s="751" t="n">
        <v>1</v>
      </c>
      <c r="S760" s="392">
        <f>N181+N400</f>
        <v/>
      </c>
      <c r="T760" s="392">
        <f>O181+O400</f>
        <v/>
      </c>
      <c r="U760" s="392">
        <f>Q181+Q400</f>
        <v/>
      </c>
      <c r="V760" s="392">
        <f>T181+T400</f>
        <v/>
      </c>
      <c r="W760" s="2783">
        <f>P181+P400</f>
        <v/>
      </c>
      <c r="X760" s="2783">
        <f>R181+R400</f>
        <v/>
      </c>
      <c r="Y760" s="392">
        <f>S181+S400</f>
        <v/>
      </c>
    </row>
    <row r="761" customFormat="1" s="16">
      <c r="A761" s="392" t="inlineStr">
        <is>
          <t>Tropical Dry</t>
        </is>
      </c>
      <c r="B761" s="2793" t="inlineStr">
        <is>
          <t>Oceania</t>
        </is>
      </c>
      <c r="C761" s="392">
        <f>CONCATENATE(A761,B761)</f>
        <v/>
      </c>
      <c r="D761" s="2782" t="n">
        <v>4.7</v>
      </c>
      <c r="E761" s="2782">
        <f>D761</f>
        <v/>
      </c>
      <c r="F761" s="2782">
        <f>E761</f>
        <v/>
      </c>
      <c r="G761" s="2794">
        <f>8.7*0.47</f>
        <v/>
      </c>
      <c r="H761" s="2776" t="n">
        <v>0</v>
      </c>
      <c r="I761" s="492">
        <f>E182+E401</f>
        <v/>
      </c>
      <c r="J761" s="471">
        <f>F182+F401</f>
        <v/>
      </c>
      <c r="K761" s="471">
        <f>G182+G401</f>
        <v/>
      </c>
      <c r="L761" s="471">
        <f>H182+H401</f>
        <v/>
      </c>
      <c r="M761" s="492">
        <f>I182+I401</f>
        <v/>
      </c>
      <c r="N761" s="492">
        <f>J182+J401</f>
        <v/>
      </c>
      <c r="O761" s="492">
        <f>K182+K401</f>
        <v/>
      </c>
      <c r="P761" s="492">
        <f>L182+L401</f>
        <v/>
      </c>
      <c r="Q761" s="471">
        <f>M182+M401</f>
        <v/>
      </c>
      <c r="R761" s="751" t="n">
        <v>1</v>
      </c>
      <c r="S761" s="392">
        <f>N182+N401</f>
        <v/>
      </c>
      <c r="T761" s="392">
        <f>O182+O401</f>
        <v/>
      </c>
      <c r="U761" s="392">
        <f>Q182+Q401</f>
        <v/>
      </c>
      <c r="V761" s="392">
        <f>T182+T401</f>
        <v/>
      </c>
      <c r="W761" s="2783">
        <f>P182+P401</f>
        <v/>
      </c>
      <c r="X761" s="2783">
        <f>R182+R401</f>
        <v/>
      </c>
      <c r="Y761" s="392">
        <f>S182+S401</f>
        <v/>
      </c>
    </row>
    <row r="762" customFormat="1" s="16">
      <c r="A762" s="392" t="inlineStr">
        <is>
          <t>Tropical Dry</t>
        </is>
      </c>
      <c r="B762" s="2793" t="inlineStr">
        <is>
          <t>North America</t>
        </is>
      </c>
      <c r="C762" s="392">
        <f>CONCATENATE(A762,B762)</f>
        <v/>
      </c>
      <c r="D762" s="2782" t="n">
        <v>4.7</v>
      </c>
      <c r="E762" s="2782">
        <f>D762</f>
        <v/>
      </c>
      <c r="F762" s="2782">
        <f>E762</f>
        <v/>
      </c>
      <c r="G762" s="2794">
        <f>8.7*0.47</f>
        <v/>
      </c>
      <c r="H762" s="2776" t="n">
        <v>0</v>
      </c>
      <c r="I762" s="492">
        <f>E183+E402</f>
        <v/>
      </c>
      <c r="J762" s="471">
        <f>F183+F402</f>
        <v/>
      </c>
      <c r="K762" s="471">
        <f>G183+G402</f>
        <v/>
      </c>
      <c r="L762" s="471">
        <f>H183+H402</f>
        <v/>
      </c>
      <c r="M762" s="492">
        <f>I183+I402</f>
        <v/>
      </c>
      <c r="N762" s="492">
        <f>J183+J402</f>
        <v/>
      </c>
      <c r="O762" s="492">
        <f>K183+K402</f>
        <v/>
      </c>
      <c r="P762" s="492">
        <f>L183+L402</f>
        <v/>
      </c>
      <c r="Q762" s="471">
        <f>M183+M402</f>
        <v/>
      </c>
      <c r="R762" s="751" t="n">
        <v>1</v>
      </c>
      <c r="S762" s="392">
        <f>N183+N402</f>
        <v/>
      </c>
      <c r="T762" s="392">
        <f>O183+O402</f>
        <v/>
      </c>
      <c r="U762" s="392">
        <f>Q183+Q402</f>
        <v/>
      </c>
      <c r="V762" s="392">
        <f>T183+T402</f>
        <v/>
      </c>
      <c r="W762" s="2783">
        <f>P183+P402</f>
        <v/>
      </c>
      <c r="X762" s="2783">
        <f>R183+R402</f>
        <v/>
      </c>
      <c r="Y762" s="392">
        <f>S183+S402</f>
        <v/>
      </c>
    </row>
    <row r="763" customFormat="1" s="16">
      <c r="A763" s="392" t="inlineStr">
        <is>
          <t>Tropical Dry</t>
        </is>
      </c>
      <c r="B763" s="2793" t="inlineStr">
        <is>
          <t>South America</t>
        </is>
      </c>
      <c r="C763" s="392">
        <f>CONCATENATE(A763,B763)</f>
        <v/>
      </c>
      <c r="D763" s="2782" t="n">
        <v>4.7</v>
      </c>
      <c r="E763" s="2782">
        <f>D763</f>
        <v/>
      </c>
      <c r="F763" s="2782">
        <f>E763</f>
        <v/>
      </c>
      <c r="G763" s="2794">
        <f>8.7*0.47</f>
        <v/>
      </c>
      <c r="H763" s="2776" t="n">
        <v>0</v>
      </c>
      <c r="I763" s="492">
        <f>E184+E403</f>
        <v/>
      </c>
      <c r="J763" s="471">
        <f>F184+F403</f>
        <v/>
      </c>
      <c r="K763" s="471">
        <f>G184+G403</f>
        <v/>
      </c>
      <c r="L763" s="471">
        <f>H184+H403</f>
        <v/>
      </c>
      <c r="M763" s="492">
        <f>I184+I403</f>
        <v/>
      </c>
      <c r="N763" s="492">
        <f>J184+J403</f>
        <v/>
      </c>
      <c r="O763" s="492">
        <f>K184+K403</f>
        <v/>
      </c>
      <c r="P763" s="492">
        <f>L184+L403</f>
        <v/>
      </c>
      <c r="Q763" s="471">
        <f>M184+M403</f>
        <v/>
      </c>
      <c r="R763" s="751" t="n">
        <v>1</v>
      </c>
      <c r="S763" s="392">
        <f>N184+N403</f>
        <v/>
      </c>
      <c r="T763" s="392">
        <f>O184+O403</f>
        <v/>
      </c>
      <c r="U763" s="392">
        <f>Q184+Q403</f>
        <v/>
      </c>
      <c r="V763" s="392">
        <f>T184+T403</f>
        <v/>
      </c>
      <c r="W763" s="2783">
        <f>P184+P403</f>
        <v/>
      </c>
      <c r="X763" s="2783">
        <f>R184+R403</f>
        <v/>
      </c>
      <c r="Y763" s="392">
        <f>S184+S403</f>
        <v/>
      </c>
    </row>
    <row r="764" customFormat="1" s="16">
      <c r="A764" s="392" t="inlineStr">
        <is>
          <t>Tropical Dry</t>
        </is>
      </c>
      <c r="B764" s="2793" t="inlineStr">
        <is>
          <t>Central America</t>
        </is>
      </c>
      <c r="C764" s="392">
        <f>CONCATENATE(A764,B764)</f>
        <v/>
      </c>
      <c r="D764" s="2782" t="n">
        <v>4.7</v>
      </c>
      <c r="E764" s="2782">
        <f>D764</f>
        <v/>
      </c>
      <c r="F764" s="2782">
        <f>E764</f>
        <v/>
      </c>
      <c r="G764" s="2794">
        <f>8.7*0.47</f>
        <v/>
      </c>
      <c r="H764" s="2776" t="n">
        <v>0</v>
      </c>
      <c r="I764" s="492">
        <f>E185+E404</f>
        <v/>
      </c>
      <c r="J764" s="471">
        <f>F185+F404</f>
        <v/>
      </c>
      <c r="K764" s="471">
        <f>G185+G404</f>
        <v/>
      </c>
      <c r="L764" s="471">
        <f>H185+H404</f>
        <v/>
      </c>
      <c r="M764" s="492">
        <f>I185+I404</f>
        <v/>
      </c>
      <c r="N764" s="492">
        <f>J185+J404</f>
        <v/>
      </c>
      <c r="O764" s="492">
        <f>K185+K404</f>
        <v/>
      </c>
      <c r="P764" s="492">
        <f>L185+L404</f>
        <v/>
      </c>
      <c r="Q764" s="471">
        <f>M185+M404</f>
        <v/>
      </c>
      <c r="R764" s="751" t="n">
        <v>1</v>
      </c>
      <c r="S764" s="392">
        <f>N185+N404</f>
        <v/>
      </c>
      <c r="T764" s="392">
        <f>O185+O404</f>
        <v/>
      </c>
      <c r="U764" s="392">
        <f>Q185+Q404</f>
        <v/>
      </c>
      <c r="V764" s="392">
        <f>T185+T404</f>
        <v/>
      </c>
      <c r="W764" s="2783">
        <f>P185+P404</f>
        <v/>
      </c>
      <c r="X764" s="2783">
        <f>R185+R404</f>
        <v/>
      </c>
      <c r="Y764" s="392">
        <f>S185+S404</f>
        <v/>
      </c>
    </row>
    <row r="765" customFormat="1" s="2790">
      <c r="A765" s="2784" t="inlineStr">
        <is>
          <t>Tropical Dry</t>
        </is>
      </c>
      <c r="B765" s="2795" t="inlineStr">
        <is>
          <t>Caribbean</t>
        </is>
      </c>
      <c r="C765" s="2784">
        <f>CONCATENATE(A765,B765)</f>
        <v/>
      </c>
      <c r="D765" s="2786" t="n">
        <v>4.7</v>
      </c>
      <c r="E765" s="2786">
        <f>D765</f>
        <v/>
      </c>
      <c r="F765" s="2786">
        <f>E765</f>
        <v/>
      </c>
      <c r="G765" s="2796">
        <f>8.7*0.47</f>
        <v/>
      </c>
      <c r="H765" s="2787" t="n">
        <v>0</v>
      </c>
      <c r="I765" s="2788">
        <f>E186+E405</f>
        <v/>
      </c>
      <c r="J765" s="471">
        <f>F186+F405</f>
        <v/>
      </c>
      <c r="K765" s="471">
        <f>G186+G405</f>
        <v/>
      </c>
      <c r="L765" s="471">
        <f>H186+H405</f>
        <v/>
      </c>
      <c r="M765" s="492">
        <f>I186+I405</f>
        <v/>
      </c>
      <c r="N765" s="492">
        <f>J186+J405</f>
        <v/>
      </c>
      <c r="O765" s="492">
        <f>K186+K405</f>
        <v/>
      </c>
      <c r="P765" s="492">
        <f>L186+L405</f>
        <v/>
      </c>
      <c r="Q765" s="471">
        <f>M186+M405</f>
        <v/>
      </c>
      <c r="R765" s="752" t="n">
        <v>1</v>
      </c>
      <c r="S765" s="392">
        <f>N186+N405</f>
        <v/>
      </c>
      <c r="T765" s="392">
        <f>O186+O405</f>
        <v/>
      </c>
      <c r="U765" s="392">
        <f>Q186+Q405</f>
        <v/>
      </c>
      <c r="V765" s="392">
        <f>T186+T405</f>
        <v/>
      </c>
      <c r="W765" s="2783">
        <f>P186+P405</f>
        <v/>
      </c>
      <c r="X765" s="2789">
        <f>R186+R405</f>
        <v/>
      </c>
      <c r="Y765" s="2784">
        <f>S186+S405</f>
        <v/>
      </c>
    </row>
    <row r="766" customFormat="1" s="2780">
      <c r="A766" s="2773" t="inlineStr">
        <is>
          <t>Tropical Moist</t>
        </is>
      </c>
      <c r="B766" s="2791" t="inlineStr">
        <is>
          <t>Eastern Africa</t>
        </is>
      </c>
      <c r="C766" s="2773">
        <f>CONCATENATE(A766,B766)</f>
        <v/>
      </c>
      <c r="D766" s="2775" t="n">
        <v>4.7</v>
      </c>
      <c r="E766" s="2775">
        <f>D766</f>
        <v/>
      </c>
      <c r="F766" s="2775">
        <f>E766</f>
        <v/>
      </c>
      <c r="G766" s="2794">
        <f>16.1*0.47</f>
        <v/>
      </c>
      <c r="H766" s="2777" t="n">
        <v>0</v>
      </c>
      <c r="I766" s="492">
        <f>E187+E406</f>
        <v/>
      </c>
      <c r="J766" s="490">
        <f>F187+F406</f>
        <v/>
      </c>
      <c r="K766" s="490">
        <f>G187+G406</f>
        <v/>
      </c>
      <c r="L766" s="490">
        <f>H187+H406</f>
        <v/>
      </c>
      <c r="M766" s="490">
        <f>I187+I406</f>
        <v/>
      </c>
      <c r="N766" s="490">
        <f>J187+J406</f>
        <v/>
      </c>
      <c r="O766" s="490">
        <f>K187+K406</f>
        <v/>
      </c>
      <c r="P766" s="490">
        <f>L187+L406</f>
        <v/>
      </c>
      <c r="Q766" s="491">
        <f>M187+M406</f>
        <v/>
      </c>
      <c r="R766" s="750" t="n">
        <v>1</v>
      </c>
      <c r="S766" s="2773">
        <f>N187+N406</f>
        <v/>
      </c>
      <c r="T766" s="2773">
        <f>O187+O406</f>
        <v/>
      </c>
      <c r="U766" s="2773">
        <f>Q187+Q406</f>
        <v/>
      </c>
      <c r="V766" s="2773">
        <f>T187+T406</f>
        <v/>
      </c>
      <c r="W766" s="2773">
        <f>P187+P406</f>
        <v/>
      </c>
      <c r="X766" s="2773">
        <f>R187+R406</f>
        <v/>
      </c>
      <c r="Y766" s="2773">
        <f>S187+S406</f>
        <v/>
      </c>
    </row>
    <row r="767" customFormat="1" s="16">
      <c r="A767" s="392" t="inlineStr">
        <is>
          <t>Tropical Moist</t>
        </is>
      </c>
      <c r="B767" s="2793" t="inlineStr">
        <is>
          <t>Central Africa</t>
        </is>
      </c>
      <c r="C767" s="392">
        <f>CONCATENATE(A767,B767)</f>
        <v/>
      </c>
      <c r="D767" s="2782" t="n">
        <v>4.7</v>
      </c>
      <c r="E767" s="2782">
        <f>D767</f>
        <v/>
      </c>
      <c r="F767" s="2782">
        <f>E767</f>
        <v/>
      </c>
      <c r="G767" s="2794">
        <f>16.1*0.47</f>
        <v/>
      </c>
      <c r="H767" s="2776" t="n">
        <v>0</v>
      </c>
      <c r="I767" s="492">
        <f>E188+E407</f>
        <v/>
      </c>
      <c r="J767" s="492">
        <f>F188+F407</f>
        <v/>
      </c>
      <c r="K767" s="492">
        <f>G188+G407</f>
        <v/>
      </c>
      <c r="L767" s="492">
        <f>H188+H407</f>
        <v/>
      </c>
      <c r="M767" s="492">
        <f>I188+I407</f>
        <v/>
      </c>
      <c r="N767" s="492">
        <f>J188+J407</f>
        <v/>
      </c>
      <c r="O767" s="492">
        <f>K188+K407</f>
        <v/>
      </c>
      <c r="P767" s="492">
        <f>L188+L407</f>
        <v/>
      </c>
      <c r="Q767" s="471">
        <f>M188+M407</f>
        <v/>
      </c>
      <c r="R767" s="751" t="n">
        <v>1</v>
      </c>
      <c r="S767" s="392">
        <f>N188+N407</f>
        <v/>
      </c>
      <c r="T767" s="392">
        <f>O188+O407</f>
        <v/>
      </c>
      <c r="U767" s="392">
        <f>Q188+Q407</f>
        <v/>
      </c>
      <c r="V767" s="392">
        <f>T188+T407</f>
        <v/>
      </c>
      <c r="W767" s="392">
        <f>P188+P407</f>
        <v/>
      </c>
      <c r="X767" s="392">
        <f>R188+R407</f>
        <v/>
      </c>
      <c r="Y767" s="392">
        <f>S188+S407</f>
        <v/>
      </c>
    </row>
    <row r="768" customFormat="1" s="16">
      <c r="A768" s="392" t="inlineStr">
        <is>
          <t>Tropical Moist</t>
        </is>
      </c>
      <c r="B768" s="2793" t="inlineStr">
        <is>
          <t>Northern Africa</t>
        </is>
      </c>
      <c r="C768" s="392">
        <f>CONCATENATE(A768,B768)</f>
        <v/>
      </c>
      <c r="D768" s="2782" t="n">
        <v>4.7</v>
      </c>
      <c r="E768" s="2782">
        <f>D768</f>
        <v/>
      </c>
      <c r="F768" s="2782">
        <f>E768</f>
        <v/>
      </c>
      <c r="G768" s="2794">
        <f>16.1*0.47</f>
        <v/>
      </c>
      <c r="H768" s="2776" t="n">
        <v>0</v>
      </c>
      <c r="I768" s="492">
        <f>E189+E408</f>
        <v/>
      </c>
      <c r="J768" s="492">
        <f>F189+F408</f>
        <v/>
      </c>
      <c r="K768" s="492">
        <f>G189+G408</f>
        <v/>
      </c>
      <c r="L768" s="492">
        <f>H189+H408</f>
        <v/>
      </c>
      <c r="M768" s="492">
        <f>I189+I408</f>
        <v/>
      </c>
      <c r="N768" s="492">
        <f>J189+J408</f>
        <v/>
      </c>
      <c r="O768" s="492">
        <f>K189+K408</f>
        <v/>
      </c>
      <c r="P768" s="492">
        <f>L189+L408</f>
        <v/>
      </c>
      <c r="Q768" s="471">
        <f>M189+M408</f>
        <v/>
      </c>
      <c r="R768" s="751" t="n">
        <v>1</v>
      </c>
      <c r="S768" s="392">
        <f>N189+N408</f>
        <v/>
      </c>
      <c r="T768" s="392">
        <f>O189+O408</f>
        <v/>
      </c>
      <c r="U768" s="392">
        <f>Q189+Q408</f>
        <v/>
      </c>
      <c r="V768" s="392">
        <f>T189+T408</f>
        <v/>
      </c>
      <c r="W768" s="392">
        <f>P189+P408</f>
        <v/>
      </c>
      <c r="X768" s="392">
        <f>R189+R408</f>
        <v/>
      </c>
      <c r="Y768" s="392">
        <f>S189+S408</f>
        <v/>
      </c>
    </row>
    <row r="769" customFormat="1" s="16">
      <c r="A769" s="392" t="inlineStr">
        <is>
          <t>Tropical Moist</t>
        </is>
      </c>
      <c r="B769" s="2793" t="inlineStr">
        <is>
          <t>Southern Africa</t>
        </is>
      </c>
      <c r="C769" s="392">
        <f>CONCATENATE(A769,B769)</f>
        <v/>
      </c>
      <c r="D769" s="2782" t="n">
        <v>4.7</v>
      </c>
      <c r="E769" s="2782">
        <f>D769</f>
        <v/>
      </c>
      <c r="F769" s="2782">
        <f>E769</f>
        <v/>
      </c>
      <c r="G769" s="2794">
        <f>16.1*0.47</f>
        <v/>
      </c>
      <c r="H769" s="2776" t="n">
        <v>0</v>
      </c>
      <c r="I769" s="492">
        <f>E190+E409</f>
        <v/>
      </c>
      <c r="J769" s="492">
        <f>F190+F409</f>
        <v/>
      </c>
      <c r="K769" s="492">
        <f>G190+G409</f>
        <v/>
      </c>
      <c r="L769" s="492">
        <f>H190+H409</f>
        <v/>
      </c>
      <c r="M769" s="492">
        <f>I190+I409</f>
        <v/>
      </c>
      <c r="N769" s="492">
        <f>J190+J409</f>
        <v/>
      </c>
      <c r="O769" s="492">
        <f>K190+K409</f>
        <v/>
      </c>
      <c r="P769" s="492">
        <f>L190+L409</f>
        <v/>
      </c>
      <c r="Q769" s="471">
        <f>M190+M409</f>
        <v/>
      </c>
      <c r="R769" s="751" t="n">
        <v>1</v>
      </c>
      <c r="S769" s="392">
        <f>N190+N409</f>
        <v/>
      </c>
      <c r="T769" s="392">
        <f>O190+O409</f>
        <v/>
      </c>
      <c r="U769" s="392">
        <f>Q190+Q409</f>
        <v/>
      </c>
      <c r="V769" s="392">
        <f>T190+T409</f>
        <v/>
      </c>
      <c r="W769" s="392">
        <f>P190+P409</f>
        <v/>
      </c>
      <c r="X769" s="392">
        <f>R190+R409</f>
        <v/>
      </c>
      <c r="Y769" s="392">
        <f>S190+S409</f>
        <v/>
      </c>
    </row>
    <row r="770" customFormat="1" s="16">
      <c r="A770" s="392" t="inlineStr">
        <is>
          <t>Tropical Moist</t>
        </is>
      </c>
      <c r="B770" s="2793" t="inlineStr">
        <is>
          <t>Western Africa</t>
        </is>
      </c>
      <c r="C770" s="392">
        <f>CONCATENATE(A770,B770)</f>
        <v/>
      </c>
      <c r="D770" s="2782" t="n">
        <v>4.7</v>
      </c>
      <c r="E770" s="2782">
        <f>D770</f>
        <v/>
      </c>
      <c r="F770" s="2782">
        <f>E770</f>
        <v/>
      </c>
      <c r="G770" s="2794">
        <f>16.1*0.47</f>
        <v/>
      </c>
      <c r="H770" s="2776" t="n">
        <v>0</v>
      </c>
      <c r="I770" s="492">
        <f>E191+E410</f>
        <v/>
      </c>
      <c r="J770" s="492">
        <f>F191+F410</f>
        <v/>
      </c>
      <c r="K770" s="492">
        <f>G191+G410</f>
        <v/>
      </c>
      <c r="L770" s="492">
        <f>H191+H410</f>
        <v/>
      </c>
      <c r="M770" s="492">
        <f>I191+I410</f>
        <v/>
      </c>
      <c r="N770" s="492">
        <f>J191+J410</f>
        <v/>
      </c>
      <c r="O770" s="492">
        <f>K191+K410</f>
        <v/>
      </c>
      <c r="P770" s="492">
        <f>L191+L410</f>
        <v/>
      </c>
      <c r="Q770" s="471">
        <f>M191+M410</f>
        <v/>
      </c>
      <c r="R770" s="751" t="n">
        <v>1</v>
      </c>
      <c r="S770" s="392">
        <f>N191+N410</f>
        <v/>
      </c>
      <c r="T770" s="392">
        <f>O191+O410</f>
        <v/>
      </c>
      <c r="U770" s="392">
        <f>Q191+Q410</f>
        <v/>
      </c>
      <c r="V770" s="392">
        <f>T191+T410</f>
        <v/>
      </c>
      <c r="W770" s="392">
        <f>P191+P410</f>
        <v/>
      </c>
      <c r="X770" s="392">
        <f>R191+R410</f>
        <v/>
      </c>
      <c r="Y770" s="392">
        <f>S191+S410</f>
        <v/>
      </c>
    </row>
    <row r="771" customFormat="1" s="16">
      <c r="A771" s="392" t="inlineStr">
        <is>
          <t>Tropical Moist</t>
        </is>
      </c>
      <c r="B771" s="2793" t="inlineStr">
        <is>
          <t>Central Asia</t>
        </is>
      </c>
      <c r="C771" s="392">
        <f>CONCATENATE(A771,B771)</f>
        <v/>
      </c>
      <c r="D771" s="2782" t="n">
        <v>4.7</v>
      </c>
      <c r="E771" s="2782">
        <f>D771</f>
        <v/>
      </c>
      <c r="F771" s="2782">
        <f>E771</f>
        <v/>
      </c>
      <c r="G771" s="2794">
        <f>16.1*0.47</f>
        <v/>
      </c>
      <c r="H771" s="2776" t="n">
        <v>0</v>
      </c>
      <c r="I771" s="492">
        <f>E192+E411</f>
        <v/>
      </c>
      <c r="J771" s="492">
        <f>F192+F411</f>
        <v/>
      </c>
      <c r="K771" s="492">
        <f>G192+G411</f>
        <v/>
      </c>
      <c r="L771" s="492">
        <f>H192+H411</f>
        <v/>
      </c>
      <c r="M771" s="492">
        <f>I192+I411</f>
        <v/>
      </c>
      <c r="N771" s="492">
        <f>J192+J411</f>
        <v/>
      </c>
      <c r="O771" s="492">
        <f>K192+K411</f>
        <v/>
      </c>
      <c r="P771" s="492">
        <f>L192+L411</f>
        <v/>
      </c>
      <c r="Q771" s="471">
        <f>M192+M411</f>
        <v/>
      </c>
      <c r="R771" s="751" t="n">
        <v>1</v>
      </c>
      <c r="S771" s="392">
        <f>N192+N411</f>
        <v/>
      </c>
      <c r="T771" s="392">
        <f>O192+O411</f>
        <v/>
      </c>
      <c r="U771" s="392">
        <f>Q192+Q411</f>
        <v/>
      </c>
      <c r="V771" s="392">
        <f>T192+T411</f>
        <v/>
      </c>
      <c r="W771" s="392">
        <f>P192+P411</f>
        <v/>
      </c>
      <c r="X771" s="392">
        <f>R192+R411</f>
        <v/>
      </c>
      <c r="Y771" s="392">
        <f>S192+S411</f>
        <v/>
      </c>
    </row>
    <row r="772" customFormat="1" s="16">
      <c r="A772" s="392" t="inlineStr">
        <is>
          <t>Tropical Moist</t>
        </is>
      </c>
      <c r="B772" s="2793" t="inlineStr">
        <is>
          <t>Eastern Asia</t>
        </is>
      </c>
      <c r="C772" s="392">
        <f>CONCATENATE(A772,B772)</f>
        <v/>
      </c>
      <c r="D772" s="2782" t="n">
        <v>4.7</v>
      </c>
      <c r="E772" s="2782">
        <f>D772</f>
        <v/>
      </c>
      <c r="F772" s="2782">
        <f>E772</f>
        <v/>
      </c>
      <c r="G772" s="2794">
        <f>16.1*0.47</f>
        <v/>
      </c>
      <c r="H772" s="2776" t="n">
        <v>0</v>
      </c>
      <c r="I772" s="492">
        <f>E193+E412</f>
        <v/>
      </c>
      <c r="J772" s="492">
        <f>F193+F412</f>
        <v/>
      </c>
      <c r="K772" s="492">
        <f>G193+G412</f>
        <v/>
      </c>
      <c r="L772" s="492">
        <f>H193+H412</f>
        <v/>
      </c>
      <c r="M772" s="492">
        <f>I193+I412</f>
        <v/>
      </c>
      <c r="N772" s="492">
        <f>J193+J412</f>
        <v/>
      </c>
      <c r="O772" s="492">
        <f>K193+K412</f>
        <v/>
      </c>
      <c r="P772" s="492">
        <f>L193+L412</f>
        <v/>
      </c>
      <c r="Q772" s="471">
        <f>M193+M412</f>
        <v/>
      </c>
      <c r="R772" s="751" t="n">
        <v>1</v>
      </c>
      <c r="S772" s="392">
        <f>N193+N412</f>
        <v/>
      </c>
      <c r="T772" s="392">
        <f>O193+O412</f>
        <v/>
      </c>
      <c r="U772" s="392">
        <f>Q193+Q412</f>
        <v/>
      </c>
      <c r="V772" s="392">
        <f>T193+T412</f>
        <v/>
      </c>
      <c r="W772" s="392">
        <f>P193+P412</f>
        <v/>
      </c>
      <c r="X772" s="392">
        <f>R193+R412</f>
        <v/>
      </c>
      <c r="Y772" s="392">
        <f>S193+S412</f>
        <v/>
      </c>
    </row>
    <row r="773" customFormat="1" s="16">
      <c r="A773" s="392" t="inlineStr">
        <is>
          <t>Tropical Moist</t>
        </is>
      </c>
      <c r="B773" s="2793" t="inlineStr">
        <is>
          <t>South-eastern Asia</t>
        </is>
      </c>
      <c r="C773" s="392">
        <f>CONCATENATE(A773,B773)</f>
        <v/>
      </c>
      <c r="D773" s="2782" t="n">
        <v>4.7</v>
      </c>
      <c r="E773" s="2782">
        <f>D773</f>
        <v/>
      </c>
      <c r="F773" s="2782">
        <f>E773</f>
        <v/>
      </c>
      <c r="G773" s="2794">
        <f>16.1*0.47</f>
        <v/>
      </c>
      <c r="H773" s="2776" t="n">
        <v>0</v>
      </c>
      <c r="I773" s="492">
        <f>E194+E413</f>
        <v/>
      </c>
      <c r="J773" s="492">
        <f>F194+F413</f>
        <v/>
      </c>
      <c r="K773" s="492">
        <f>G194+G413</f>
        <v/>
      </c>
      <c r="L773" s="492">
        <f>H194+H413</f>
        <v/>
      </c>
      <c r="M773" s="492">
        <f>I194+I413</f>
        <v/>
      </c>
      <c r="N773" s="492">
        <f>J194+J413</f>
        <v/>
      </c>
      <c r="O773" s="492">
        <f>K194+K413</f>
        <v/>
      </c>
      <c r="P773" s="492">
        <f>L194+L413</f>
        <v/>
      </c>
      <c r="Q773" s="471">
        <f>M194+M413</f>
        <v/>
      </c>
      <c r="R773" s="751" t="n">
        <v>1</v>
      </c>
      <c r="S773" s="392">
        <f>N194+N413</f>
        <v/>
      </c>
      <c r="T773" s="392">
        <f>O194+O413</f>
        <v/>
      </c>
      <c r="U773" s="392">
        <f>Q194+Q413</f>
        <v/>
      </c>
      <c r="V773" s="392">
        <f>T194+T413</f>
        <v/>
      </c>
      <c r="W773" s="392">
        <f>P194+P413</f>
        <v/>
      </c>
      <c r="X773" s="392">
        <f>R194+R413</f>
        <v/>
      </c>
      <c r="Y773" s="392">
        <f>S194+S413</f>
        <v/>
      </c>
    </row>
    <row r="774" customFormat="1" s="16">
      <c r="A774" s="392" t="inlineStr">
        <is>
          <t>Tropical Moist</t>
        </is>
      </c>
      <c r="B774" s="2793" t="inlineStr">
        <is>
          <t>Southern Asia</t>
        </is>
      </c>
      <c r="C774" s="392">
        <f>CONCATENATE(A774,B774)</f>
        <v/>
      </c>
      <c r="D774" s="2782" t="n">
        <v>4.7</v>
      </c>
      <c r="E774" s="2782">
        <f>D774</f>
        <v/>
      </c>
      <c r="F774" s="2782">
        <f>E774</f>
        <v/>
      </c>
      <c r="G774" s="2794">
        <f>16.1*0.47</f>
        <v/>
      </c>
      <c r="H774" s="2776" t="n">
        <v>0</v>
      </c>
      <c r="I774" s="492">
        <f>E195+E414</f>
        <v/>
      </c>
      <c r="J774" s="492">
        <f>F195+F414</f>
        <v/>
      </c>
      <c r="K774" s="492">
        <f>G195+G414</f>
        <v/>
      </c>
      <c r="L774" s="492">
        <f>H195+H414</f>
        <v/>
      </c>
      <c r="M774" s="492">
        <f>I195+I414</f>
        <v/>
      </c>
      <c r="N774" s="492">
        <f>J195+J414</f>
        <v/>
      </c>
      <c r="O774" s="492">
        <f>K195+K414</f>
        <v/>
      </c>
      <c r="P774" s="492">
        <f>L195+L414</f>
        <v/>
      </c>
      <c r="Q774" s="471">
        <f>M195+M414</f>
        <v/>
      </c>
      <c r="R774" s="751" t="n">
        <v>1</v>
      </c>
      <c r="S774" s="392">
        <f>N195+N414</f>
        <v/>
      </c>
      <c r="T774" s="392">
        <f>O195+O414</f>
        <v/>
      </c>
      <c r="U774" s="392">
        <f>Q195+Q414</f>
        <v/>
      </c>
      <c r="V774" s="392">
        <f>T195+T414</f>
        <v/>
      </c>
      <c r="W774" s="392">
        <f>P195+P414</f>
        <v/>
      </c>
      <c r="X774" s="392">
        <f>R195+R414</f>
        <v/>
      </c>
      <c r="Y774" s="392">
        <f>S195+S414</f>
        <v/>
      </c>
    </row>
    <row r="775" customFormat="1" s="16">
      <c r="A775" s="392" t="inlineStr">
        <is>
          <t>Tropical Moist</t>
        </is>
      </c>
      <c r="B775" s="2793" t="inlineStr">
        <is>
          <t>Western Asia</t>
        </is>
      </c>
      <c r="C775" s="392">
        <f>CONCATENATE(A775,B775)</f>
        <v/>
      </c>
      <c r="D775" s="2782" t="n">
        <v>4.7</v>
      </c>
      <c r="E775" s="2782">
        <f>D775</f>
        <v/>
      </c>
      <c r="F775" s="2782">
        <f>E775</f>
        <v/>
      </c>
      <c r="G775" s="2794">
        <f>16.1*0.47</f>
        <v/>
      </c>
      <c r="H775" s="2776" t="n">
        <v>0</v>
      </c>
      <c r="I775" s="492">
        <f>E196+E415</f>
        <v/>
      </c>
      <c r="J775" s="492">
        <f>F196+F415</f>
        <v/>
      </c>
      <c r="K775" s="492">
        <f>G196+G415</f>
        <v/>
      </c>
      <c r="L775" s="492">
        <f>H196+H415</f>
        <v/>
      </c>
      <c r="M775" s="492">
        <f>I196+I415</f>
        <v/>
      </c>
      <c r="N775" s="492">
        <f>J196+J415</f>
        <v/>
      </c>
      <c r="O775" s="492">
        <f>K196+K415</f>
        <v/>
      </c>
      <c r="P775" s="492">
        <f>L196+L415</f>
        <v/>
      </c>
      <c r="Q775" s="471">
        <f>M196+M415</f>
        <v/>
      </c>
      <c r="R775" s="751" t="n">
        <v>1</v>
      </c>
      <c r="S775" s="392">
        <f>N196+N415</f>
        <v/>
      </c>
      <c r="T775" s="392">
        <f>O196+O415</f>
        <v/>
      </c>
      <c r="U775" s="392">
        <f>Q196+Q415</f>
        <v/>
      </c>
      <c r="V775" s="392">
        <f>T196+T415</f>
        <v/>
      </c>
      <c r="W775" s="392">
        <f>P196+P415</f>
        <v/>
      </c>
      <c r="X775" s="392">
        <f>R196+R415</f>
        <v/>
      </c>
      <c r="Y775" s="392">
        <f>S196+S415</f>
        <v/>
      </c>
    </row>
    <row r="776" customFormat="1" s="16">
      <c r="A776" s="392" t="inlineStr">
        <is>
          <t>Tropical Moist</t>
        </is>
      </c>
      <c r="B776" s="2793" t="inlineStr">
        <is>
          <t>Europe</t>
        </is>
      </c>
      <c r="C776" s="392">
        <f>CONCATENATE(A776,B776)</f>
        <v/>
      </c>
      <c r="D776" s="2782" t="n">
        <v>4.7</v>
      </c>
      <c r="E776" s="2782">
        <f>D776</f>
        <v/>
      </c>
      <c r="F776" s="2782">
        <f>E776</f>
        <v/>
      </c>
      <c r="G776" s="2794">
        <f>16.1*0.47</f>
        <v/>
      </c>
      <c r="H776" s="2776" t="n">
        <v>0</v>
      </c>
      <c r="I776" s="492">
        <f>E197+E416</f>
        <v/>
      </c>
      <c r="J776" s="492">
        <f>F197+F416</f>
        <v/>
      </c>
      <c r="K776" s="492">
        <f>G197+G416</f>
        <v/>
      </c>
      <c r="L776" s="492">
        <f>H197+H416</f>
        <v/>
      </c>
      <c r="M776" s="492">
        <f>I197+I416</f>
        <v/>
      </c>
      <c r="N776" s="492">
        <f>J197+J416</f>
        <v/>
      </c>
      <c r="O776" s="492">
        <f>K197+K416</f>
        <v/>
      </c>
      <c r="P776" s="492">
        <f>L197+L416</f>
        <v/>
      </c>
      <c r="Q776" s="471">
        <f>M197+M416</f>
        <v/>
      </c>
      <c r="R776" s="751" t="n">
        <v>1</v>
      </c>
      <c r="S776" s="392">
        <f>N197+N416</f>
        <v/>
      </c>
      <c r="T776" s="392">
        <f>O197+O416</f>
        <v/>
      </c>
      <c r="U776" s="392">
        <f>Q197+Q416</f>
        <v/>
      </c>
      <c r="V776" s="392">
        <f>T197+T416</f>
        <v/>
      </c>
      <c r="W776" s="392">
        <f>P197+P416</f>
        <v/>
      </c>
      <c r="X776" s="392">
        <f>R197+R416</f>
        <v/>
      </c>
      <c r="Y776" s="392">
        <f>S197+S416</f>
        <v/>
      </c>
    </row>
    <row r="777" customFormat="1" s="16">
      <c r="A777" s="392" t="inlineStr">
        <is>
          <t>Tropical Moist</t>
        </is>
      </c>
      <c r="B777" s="2793" t="inlineStr">
        <is>
          <t>Oceania</t>
        </is>
      </c>
      <c r="C777" s="392">
        <f>CONCATENATE(A777,B777)</f>
        <v/>
      </c>
      <c r="D777" s="2782" t="n">
        <v>4.7</v>
      </c>
      <c r="E777" s="2782">
        <f>D777</f>
        <v/>
      </c>
      <c r="F777" s="2782">
        <f>E777</f>
        <v/>
      </c>
      <c r="G777" s="2794">
        <f>16.1*0.47</f>
        <v/>
      </c>
      <c r="H777" s="2776" t="n">
        <v>0</v>
      </c>
      <c r="I777" s="492">
        <f>E198+E417</f>
        <v/>
      </c>
      <c r="J777" s="492">
        <f>F198+F417</f>
        <v/>
      </c>
      <c r="K777" s="492">
        <f>G198+G417</f>
        <v/>
      </c>
      <c r="L777" s="492">
        <f>H198+H417</f>
        <v/>
      </c>
      <c r="M777" s="492">
        <f>I198+I417</f>
        <v/>
      </c>
      <c r="N777" s="492">
        <f>J198+J417</f>
        <v/>
      </c>
      <c r="O777" s="492">
        <f>K198+K417</f>
        <v/>
      </c>
      <c r="P777" s="492">
        <f>L198+L417</f>
        <v/>
      </c>
      <c r="Q777" s="471">
        <f>M198+M417</f>
        <v/>
      </c>
      <c r="R777" s="751" t="n">
        <v>1</v>
      </c>
      <c r="S777" s="392">
        <f>N198+N417</f>
        <v/>
      </c>
      <c r="T777" s="392">
        <f>O198+O417</f>
        <v/>
      </c>
      <c r="U777" s="392">
        <f>Q198+Q417</f>
        <v/>
      </c>
      <c r="V777" s="392">
        <f>T198+T417</f>
        <v/>
      </c>
      <c r="W777" s="392">
        <f>P198+P417</f>
        <v/>
      </c>
      <c r="X777" s="392">
        <f>R198+R417</f>
        <v/>
      </c>
      <c r="Y777" s="392">
        <f>S198+S417</f>
        <v/>
      </c>
    </row>
    <row r="778" customFormat="1" s="16">
      <c r="A778" s="392" t="inlineStr">
        <is>
          <t>Tropical Moist</t>
        </is>
      </c>
      <c r="B778" s="2793" t="inlineStr">
        <is>
          <t>North America</t>
        </is>
      </c>
      <c r="C778" s="392">
        <f>CONCATENATE(A778,B778)</f>
        <v/>
      </c>
      <c r="D778" s="2782" t="n">
        <v>4.7</v>
      </c>
      <c r="E778" s="2782">
        <f>D778</f>
        <v/>
      </c>
      <c r="F778" s="2782">
        <f>E778</f>
        <v/>
      </c>
      <c r="G778" s="2794">
        <f>16.1*0.47</f>
        <v/>
      </c>
      <c r="H778" s="2776" t="n">
        <v>0</v>
      </c>
      <c r="I778" s="492">
        <f>E199+E418</f>
        <v/>
      </c>
      <c r="J778" s="492">
        <f>F199+F418</f>
        <v/>
      </c>
      <c r="K778" s="492">
        <f>G199+G418</f>
        <v/>
      </c>
      <c r="L778" s="492">
        <f>H199+H418</f>
        <v/>
      </c>
      <c r="M778" s="492">
        <f>I199+I418</f>
        <v/>
      </c>
      <c r="N778" s="492">
        <f>J199+J418</f>
        <v/>
      </c>
      <c r="O778" s="492">
        <f>K199+K418</f>
        <v/>
      </c>
      <c r="P778" s="492">
        <f>L199+L418</f>
        <v/>
      </c>
      <c r="Q778" s="471">
        <f>M199+M418</f>
        <v/>
      </c>
      <c r="R778" s="751" t="n">
        <v>1</v>
      </c>
      <c r="S778" s="392">
        <f>N199+N418</f>
        <v/>
      </c>
      <c r="T778" s="392">
        <f>O199+O418</f>
        <v/>
      </c>
      <c r="U778" s="392">
        <f>Q199+Q418</f>
        <v/>
      </c>
      <c r="V778" s="392">
        <f>T199+T418</f>
        <v/>
      </c>
      <c r="W778" s="392">
        <f>P199+P418</f>
        <v/>
      </c>
      <c r="X778" s="392">
        <f>R199+R418</f>
        <v/>
      </c>
      <c r="Y778" s="392">
        <f>S199+S418</f>
        <v/>
      </c>
    </row>
    <row r="779" customFormat="1" s="16">
      <c r="A779" s="392" t="inlineStr">
        <is>
          <t>Tropical Moist</t>
        </is>
      </c>
      <c r="B779" s="2793" t="inlineStr">
        <is>
          <t>South America</t>
        </is>
      </c>
      <c r="C779" s="392">
        <f>CONCATENATE(A779,B779)</f>
        <v/>
      </c>
      <c r="D779" s="2782" t="n">
        <v>4.7</v>
      </c>
      <c r="E779" s="2782">
        <f>D779</f>
        <v/>
      </c>
      <c r="F779" s="2782">
        <f>E779</f>
        <v/>
      </c>
      <c r="G779" s="2794">
        <f>16.1*0.47</f>
        <v/>
      </c>
      <c r="H779" s="2776" t="n">
        <v>0</v>
      </c>
      <c r="I779" s="492">
        <f>E200+E419</f>
        <v/>
      </c>
      <c r="J779" s="492">
        <f>F200+F419</f>
        <v/>
      </c>
      <c r="K779" s="492">
        <f>G200+G419</f>
        <v/>
      </c>
      <c r="L779" s="492">
        <f>H200+H419</f>
        <v/>
      </c>
      <c r="M779" s="492">
        <f>I200+I419</f>
        <v/>
      </c>
      <c r="N779" s="492">
        <f>J200+J419</f>
        <v/>
      </c>
      <c r="O779" s="492">
        <f>K200+K419</f>
        <v/>
      </c>
      <c r="P779" s="492">
        <f>L200+L419</f>
        <v/>
      </c>
      <c r="Q779" s="471">
        <f>M200+M419</f>
        <v/>
      </c>
      <c r="R779" s="751" t="n">
        <v>1</v>
      </c>
      <c r="S779" s="392">
        <f>N200+N419</f>
        <v/>
      </c>
      <c r="T779" s="392">
        <f>O200+O419</f>
        <v/>
      </c>
      <c r="U779" s="392">
        <f>Q200+Q419</f>
        <v/>
      </c>
      <c r="V779" s="392">
        <f>T200+T419</f>
        <v/>
      </c>
      <c r="W779" s="392">
        <f>P200+P419</f>
        <v/>
      </c>
      <c r="X779" s="392">
        <f>R200+R419</f>
        <v/>
      </c>
      <c r="Y779" s="392">
        <f>S200+S419</f>
        <v/>
      </c>
    </row>
    <row r="780" customFormat="1" s="16">
      <c r="A780" s="392" t="inlineStr">
        <is>
          <t>Tropical Moist</t>
        </is>
      </c>
      <c r="B780" s="2793" t="inlineStr">
        <is>
          <t>Central America</t>
        </is>
      </c>
      <c r="C780" s="392">
        <f>CONCATENATE(A780,B780)</f>
        <v/>
      </c>
      <c r="D780" s="2782" t="n">
        <v>4.7</v>
      </c>
      <c r="E780" s="2782">
        <f>D780</f>
        <v/>
      </c>
      <c r="F780" s="2782">
        <f>E780</f>
        <v/>
      </c>
      <c r="G780" s="2794">
        <f>16.1*0.47</f>
        <v/>
      </c>
      <c r="H780" s="2776" t="n">
        <v>0</v>
      </c>
      <c r="I780" s="492">
        <f>E201+E420</f>
        <v/>
      </c>
      <c r="J780" s="492">
        <f>F201+F420</f>
        <v/>
      </c>
      <c r="K780" s="492">
        <f>G201+G420</f>
        <v/>
      </c>
      <c r="L780" s="492">
        <f>H201+H420</f>
        <v/>
      </c>
      <c r="M780" s="492">
        <f>I201+I420</f>
        <v/>
      </c>
      <c r="N780" s="492">
        <f>J201+J420</f>
        <v/>
      </c>
      <c r="O780" s="492">
        <f>K201+K420</f>
        <v/>
      </c>
      <c r="P780" s="492">
        <f>L201+L420</f>
        <v/>
      </c>
      <c r="Q780" s="471">
        <f>M201+M420</f>
        <v/>
      </c>
      <c r="R780" s="751" t="n">
        <v>1</v>
      </c>
      <c r="S780" s="392">
        <f>N201+N420</f>
        <v/>
      </c>
      <c r="T780" s="392">
        <f>O201+O420</f>
        <v/>
      </c>
      <c r="U780" s="392">
        <f>Q201+Q420</f>
        <v/>
      </c>
      <c r="V780" s="392">
        <f>T201+T420</f>
        <v/>
      </c>
      <c r="W780" s="392">
        <f>P201+P420</f>
        <v/>
      </c>
      <c r="X780" s="392">
        <f>R201+R420</f>
        <v/>
      </c>
      <c r="Y780" s="392">
        <f>S201+S420</f>
        <v/>
      </c>
    </row>
    <row r="781" customFormat="1" s="2790">
      <c r="A781" s="2784" t="inlineStr">
        <is>
          <t>Tropical Moist</t>
        </is>
      </c>
      <c r="B781" s="2795" t="inlineStr">
        <is>
          <t>Caribbean</t>
        </is>
      </c>
      <c r="C781" s="2784">
        <f>CONCATENATE(A781,B781)</f>
        <v/>
      </c>
      <c r="D781" s="2786" t="n">
        <v>4.7</v>
      </c>
      <c r="E781" s="2786">
        <f>D781</f>
        <v/>
      </c>
      <c r="F781" s="2786">
        <f>E781</f>
        <v/>
      </c>
      <c r="G781" s="2794">
        <f>16.1*0.47</f>
        <v/>
      </c>
      <c r="H781" s="2787" t="n">
        <v>0</v>
      </c>
      <c r="I781" s="492">
        <f>E202+E421</f>
        <v/>
      </c>
      <c r="J781" s="492">
        <f>F202+F421</f>
        <v/>
      </c>
      <c r="K781" s="492">
        <f>G202+G421</f>
        <v/>
      </c>
      <c r="L781" s="492">
        <f>H202+H421</f>
        <v/>
      </c>
      <c r="M781" s="492">
        <f>I202+I421</f>
        <v/>
      </c>
      <c r="N781" s="492">
        <f>J202+J421</f>
        <v/>
      </c>
      <c r="O781" s="492">
        <f>K202+K421</f>
        <v/>
      </c>
      <c r="P781" s="492">
        <f>L202+L421</f>
        <v/>
      </c>
      <c r="Q781" s="471">
        <f>M202+M421</f>
        <v/>
      </c>
      <c r="R781" s="752" t="n">
        <v>1</v>
      </c>
      <c r="S781" s="392">
        <f>N202+N421</f>
        <v/>
      </c>
      <c r="T781" s="392">
        <f>O202+O421</f>
        <v/>
      </c>
      <c r="U781" s="392">
        <f>Q202+Q421</f>
        <v/>
      </c>
      <c r="V781" s="392">
        <f>T202+T421</f>
        <v/>
      </c>
      <c r="W781" s="392">
        <f>P202+P421</f>
        <v/>
      </c>
      <c r="X781" s="2784">
        <f>R202+R421</f>
        <v/>
      </c>
      <c r="Y781" s="2784">
        <f>S202+S421</f>
        <v/>
      </c>
    </row>
    <row r="782" customFormat="1" s="2780">
      <c r="A782" s="2773">
        <f>list!$G$11</f>
        <v/>
      </c>
      <c r="B782" s="2797" t="inlineStr">
        <is>
          <t>Eastern Africa</t>
        </is>
      </c>
      <c r="C782" s="2773">
        <f>CONCATENATE(A782,B782)</f>
        <v/>
      </c>
      <c r="D782" s="2775" t="n">
        <v>4.7</v>
      </c>
      <c r="E782" s="2775">
        <f>D782</f>
        <v/>
      </c>
      <c r="F782" s="2775">
        <f>E782</f>
        <v/>
      </c>
      <c r="G782" s="2792" t="n">
        <v>4.09</v>
      </c>
      <c r="H782" s="2777" t="n">
        <v>0</v>
      </c>
      <c r="I782" s="490">
        <f>E203+E422</f>
        <v/>
      </c>
      <c r="J782" s="490">
        <f>F203+F422</f>
        <v/>
      </c>
      <c r="K782" s="490">
        <f>G203+G422</f>
        <v/>
      </c>
      <c r="L782" s="490">
        <f>H203+H422</f>
        <v/>
      </c>
      <c r="M782" s="490">
        <f>I203+I422</f>
        <v/>
      </c>
      <c r="N782" s="490">
        <f>J203+J422</f>
        <v/>
      </c>
      <c r="O782" s="490">
        <f>K203+K422</f>
        <v/>
      </c>
      <c r="P782" s="490">
        <f>L203+L422</f>
        <v/>
      </c>
      <c r="Q782" s="491">
        <f>M203+M422</f>
        <v/>
      </c>
      <c r="R782" s="750" t="n">
        <v>1</v>
      </c>
      <c r="S782" s="2773">
        <f>N203+N422</f>
        <v/>
      </c>
      <c r="T782" s="2779">
        <f>O203+O422</f>
        <v/>
      </c>
      <c r="U782" s="2773">
        <f>Q203+Q422</f>
        <v/>
      </c>
      <c r="V782" s="2773">
        <f>T203+T422</f>
        <v/>
      </c>
      <c r="W782" s="2773">
        <f>P203+P422</f>
        <v/>
      </c>
      <c r="X782" s="2783">
        <f>R203+R422</f>
        <v/>
      </c>
      <c r="Y782" s="392">
        <f>S203+S422</f>
        <v/>
      </c>
    </row>
    <row r="783" customFormat="1" s="16">
      <c r="A783" s="392">
        <f>list!$G$11</f>
        <v/>
      </c>
      <c r="B783" s="2798" t="inlineStr">
        <is>
          <t>Central Africa</t>
        </is>
      </c>
      <c r="C783" s="392">
        <f>CONCATENATE(A783,B783)</f>
        <v/>
      </c>
      <c r="D783" s="2782" t="n">
        <v>4.7</v>
      </c>
      <c r="E783" s="2782">
        <f>D783</f>
        <v/>
      </c>
      <c r="F783" s="2782">
        <f>E783</f>
        <v/>
      </c>
      <c r="G783" s="2794" t="n">
        <v>4.09</v>
      </c>
      <c r="H783" s="2776" t="n">
        <v>0</v>
      </c>
      <c r="I783" s="492">
        <f>E204+E423</f>
        <v/>
      </c>
      <c r="J783" s="492">
        <f>F204+F423</f>
        <v/>
      </c>
      <c r="K783" s="492">
        <f>G204+G423</f>
        <v/>
      </c>
      <c r="L783" s="492">
        <f>H204+H423</f>
        <v/>
      </c>
      <c r="M783" s="492">
        <f>I204+I423</f>
        <v/>
      </c>
      <c r="N783" s="492">
        <f>J204+J423</f>
        <v/>
      </c>
      <c r="O783" s="492">
        <f>K204+K423</f>
        <v/>
      </c>
      <c r="P783" s="492">
        <f>L204+L423</f>
        <v/>
      </c>
      <c r="Q783" s="471">
        <f>M204+M423</f>
        <v/>
      </c>
      <c r="R783" s="751" t="n">
        <v>1</v>
      </c>
      <c r="S783" s="392">
        <f>N204+N423</f>
        <v/>
      </c>
      <c r="T783" s="2783">
        <f>O204+O423</f>
        <v/>
      </c>
      <c r="U783" s="392">
        <f>Q204+Q423</f>
        <v/>
      </c>
      <c r="V783" s="392">
        <f>T204+T423</f>
        <v/>
      </c>
      <c r="W783" s="392">
        <f>P204+P423</f>
        <v/>
      </c>
      <c r="X783" s="2783">
        <f>R204+R423</f>
        <v/>
      </c>
      <c r="Y783" s="392">
        <f>S204+S423</f>
        <v/>
      </c>
    </row>
    <row r="784" customFormat="1" s="16">
      <c r="A784" s="392">
        <f>list!$G$11</f>
        <v/>
      </c>
      <c r="B784" s="2798" t="inlineStr">
        <is>
          <t>Northern Africa</t>
        </is>
      </c>
      <c r="C784" s="392">
        <f>CONCATENATE(A784,B784)</f>
        <v/>
      </c>
      <c r="D784" s="2782" t="n">
        <v>4.7</v>
      </c>
      <c r="E784" s="2782">
        <f>D784</f>
        <v/>
      </c>
      <c r="F784" s="2782">
        <f>E784</f>
        <v/>
      </c>
      <c r="G784" s="2794" t="n">
        <v>4.09</v>
      </c>
      <c r="H784" s="2776" t="n">
        <v>0</v>
      </c>
      <c r="I784" s="492">
        <f>E205+E424</f>
        <v/>
      </c>
      <c r="J784" s="492">
        <f>F205+F424</f>
        <v/>
      </c>
      <c r="K784" s="492">
        <f>G205+G424</f>
        <v/>
      </c>
      <c r="L784" s="492">
        <f>H205+H424</f>
        <v/>
      </c>
      <c r="M784" s="492">
        <f>I205+I424</f>
        <v/>
      </c>
      <c r="N784" s="492">
        <f>J205+J424</f>
        <v/>
      </c>
      <c r="O784" s="492">
        <f>K205+K424</f>
        <v/>
      </c>
      <c r="P784" s="492">
        <f>L205+L424</f>
        <v/>
      </c>
      <c r="Q784" s="471">
        <f>M205+M424</f>
        <v/>
      </c>
      <c r="R784" s="751" t="n">
        <v>1</v>
      </c>
      <c r="S784" s="392">
        <f>N205+N424</f>
        <v/>
      </c>
      <c r="T784" s="2783">
        <f>O205+O424</f>
        <v/>
      </c>
      <c r="U784" s="392">
        <f>Q205+Q424</f>
        <v/>
      </c>
      <c r="V784" s="392">
        <f>T205+T424</f>
        <v/>
      </c>
      <c r="W784" s="392">
        <f>P205+P424</f>
        <v/>
      </c>
      <c r="X784" s="2783">
        <f>R205+R424</f>
        <v/>
      </c>
      <c r="Y784" s="392">
        <f>S205+S424</f>
        <v/>
      </c>
    </row>
    <row r="785" customFormat="1" s="16">
      <c r="A785" s="392">
        <f>list!$G$11</f>
        <v/>
      </c>
      <c r="B785" s="2798" t="inlineStr">
        <is>
          <t>Southern Africa</t>
        </is>
      </c>
      <c r="C785" s="392">
        <f>CONCATENATE(A785,B785)</f>
        <v/>
      </c>
      <c r="D785" s="2782" t="n">
        <v>4.7</v>
      </c>
      <c r="E785" s="2782">
        <f>D785</f>
        <v/>
      </c>
      <c r="F785" s="2782">
        <f>E785</f>
        <v/>
      </c>
      <c r="G785" s="2794" t="n">
        <v>4.09</v>
      </c>
      <c r="H785" s="2776" t="n">
        <v>0</v>
      </c>
      <c r="I785" s="492">
        <f>E206+E425</f>
        <v/>
      </c>
      <c r="J785" s="492">
        <f>F206+F425</f>
        <v/>
      </c>
      <c r="K785" s="492">
        <f>G206+G425</f>
        <v/>
      </c>
      <c r="L785" s="492">
        <f>H206+H425</f>
        <v/>
      </c>
      <c r="M785" s="492">
        <f>I206+I425</f>
        <v/>
      </c>
      <c r="N785" s="492">
        <f>J206+J425</f>
        <v/>
      </c>
      <c r="O785" s="492">
        <f>K206+K425</f>
        <v/>
      </c>
      <c r="P785" s="492">
        <f>L206+L425</f>
        <v/>
      </c>
      <c r="Q785" s="471">
        <f>M206+M425</f>
        <v/>
      </c>
      <c r="R785" s="751" t="n">
        <v>1</v>
      </c>
      <c r="S785" s="392">
        <f>N206+N425</f>
        <v/>
      </c>
      <c r="T785" s="2783">
        <f>O206+O425</f>
        <v/>
      </c>
      <c r="U785" s="392">
        <f>Q206+Q425</f>
        <v/>
      </c>
      <c r="V785" s="392">
        <f>T206+T425</f>
        <v/>
      </c>
      <c r="W785" s="392">
        <f>P206+P425</f>
        <v/>
      </c>
      <c r="X785" s="2783">
        <f>R206+R425</f>
        <v/>
      </c>
      <c r="Y785" s="392">
        <f>S206+S425</f>
        <v/>
      </c>
    </row>
    <row r="786" customFormat="1" s="16">
      <c r="A786" s="392">
        <f>list!$G$11</f>
        <v/>
      </c>
      <c r="B786" s="2798" t="inlineStr">
        <is>
          <t>Western Africa</t>
        </is>
      </c>
      <c r="C786" s="392">
        <f>CONCATENATE(A786,B786)</f>
        <v/>
      </c>
      <c r="D786" s="2782" t="n">
        <v>4.7</v>
      </c>
      <c r="E786" s="2782">
        <f>D786</f>
        <v/>
      </c>
      <c r="F786" s="2782">
        <f>E786</f>
        <v/>
      </c>
      <c r="G786" s="2794" t="n">
        <v>4.09</v>
      </c>
      <c r="H786" s="2776" t="n">
        <v>0</v>
      </c>
      <c r="I786" s="492">
        <f>E207+E426</f>
        <v/>
      </c>
      <c r="J786" s="492">
        <f>F207+F426</f>
        <v/>
      </c>
      <c r="K786" s="492">
        <f>G207+G426</f>
        <v/>
      </c>
      <c r="L786" s="492">
        <f>H207+H426</f>
        <v/>
      </c>
      <c r="M786" s="492">
        <f>I207+I426</f>
        <v/>
      </c>
      <c r="N786" s="492">
        <f>J207+J426</f>
        <v/>
      </c>
      <c r="O786" s="492">
        <f>K207+K426</f>
        <v/>
      </c>
      <c r="P786" s="492">
        <f>L207+L426</f>
        <v/>
      </c>
      <c r="Q786" s="471">
        <f>M207+M426</f>
        <v/>
      </c>
      <c r="R786" s="751" t="n">
        <v>1</v>
      </c>
      <c r="S786" s="392">
        <f>N207+N426</f>
        <v/>
      </c>
      <c r="T786" s="2783">
        <f>O207+O426</f>
        <v/>
      </c>
      <c r="U786" s="392">
        <f>Q207+Q426</f>
        <v/>
      </c>
      <c r="V786" s="392">
        <f>T207+T426</f>
        <v/>
      </c>
      <c r="W786" s="392">
        <f>P207+P426</f>
        <v/>
      </c>
      <c r="X786" s="2783">
        <f>R207+R426</f>
        <v/>
      </c>
      <c r="Y786" s="392">
        <f>S207+S426</f>
        <v/>
      </c>
    </row>
    <row r="787" customFormat="1" s="16">
      <c r="A787" s="392">
        <f>list!$G$11</f>
        <v/>
      </c>
      <c r="B787" s="2798" t="inlineStr">
        <is>
          <t>Central Asia</t>
        </is>
      </c>
      <c r="C787" s="392">
        <f>CONCATENATE(A787,B787)</f>
        <v/>
      </c>
      <c r="D787" s="2782" t="n">
        <v>4.7</v>
      </c>
      <c r="E787" s="2782">
        <f>D787</f>
        <v/>
      </c>
      <c r="F787" s="2782">
        <f>E787</f>
        <v/>
      </c>
      <c r="G787" s="2794" t="n">
        <v>4.09</v>
      </c>
      <c r="H787" s="2776" t="n">
        <v>0</v>
      </c>
      <c r="I787" s="492">
        <f>E208+E427</f>
        <v/>
      </c>
      <c r="J787" s="492">
        <f>F208+F427</f>
        <v/>
      </c>
      <c r="K787" s="492">
        <f>G208+G427</f>
        <v/>
      </c>
      <c r="L787" s="492">
        <f>H208+H427</f>
        <v/>
      </c>
      <c r="M787" s="492">
        <f>I208+I427</f>
        <v/>
      </c>
      <c r="N787" s="492">
        <f>J208+J427</f>
        <v/>
      </c>
      <c r="O787" s="492">
        <f>K208+K427</f>
        <v/>
      </c>
      <c r="P787" s="492">
        <f>L208+L427</f>
        <v/>
      </c>
      <c r="Q787" s="471">
        <f>M208+M427</f>
        <v/>
      </c>
      <c r="R787" s="751" t="n">
        <v>1</v>
      </c>
      <c r="S787" s="392">
        <f>N208+N427</f>
        <v/>
      </c>
      <c r="T787" s="2783">
        <f>O208+O427</f>
        <v/>
      </c>
      <c r="U787" s="392">
        <f>Q208+Q427</f>
        <v/>
      </c>
      <c r="V787" s="392">
        <f>T208+T427</f>
        <v/>
      </c>
      <c r="W787" s="392">
        <f>P208+P427</f>
        <v/>
      </c>
      <c r="X787" s="2783">
        <f>R208+R427</f>
        <v/>
      </c>
      <c r="Y787" s="392">
        <f>S208+S427</f>
        <v/>
      </c>
    </row>
    <row r="788" customFormat="1" s="16">
      <c r="A788" s="392">
        <f>list!$G$11</f>
        <v/>
      </c>
      <c r="B788" s="2798" t="inlineStr">
        <is>
          <t>Eastern Asia</t>
        </is>
      </c>
      <c r="C788" s="392">
        <f>CONCATENATE(A788,B788)</f>
        <v/>
      </c>
      <c r="D788" s="2782" t="n">
        <v>4.7</v>
      </c>
      <c r="E788" s="2782">
        <f>D788</f>
        <v/>
      </c>
      <c r="F788" s="2782">
        <f>E788</f>
        <v/>
      </c>
      <c r="G788" s="2794" t="n">
        <v>4.09</v>
      </c>
      <c r="H788" s="2776" t="n">
        <v>0</v>
      </c>
      <c r="I788" s="492">
        <f>E209+E428</f>
        <v/>
      </c>
      <c r="J788" s="492">
        <f>F209+F428</f>
        <v/>
      </c>
      <c r="K788" s="492">
        <f>G209+G428</f>
        <v/>
      </c>
      <c r="L788" s="492">
        <f>H209+H428</f>
        <v/>
      </c>
      <c r="M788" s="492">
        <f>I209+I428</f>
        <v/>
      </c>
      <c r="N788" s="492">
        <f>J209+J428</f>
        <v/>
      </c>
      <c r="O788" s="492">
        <f>K209+K428</f>
        <v/>
      </c>
      <c r="P788" s="492">
        <f>L209+L428</f>
        <v/>
      </c>
      <c r="Q788" s="471">
        <f>M209+M428</f>
        <v/>
      </c>
      <c r="R788" s="751" t="n">
        <v>1</v>
      </c>
      <c r="S788" s="392">
        <f>N209+N428</f>
        <v/>
      </c>
      <c r="T788" s="2783">
        <f>O209+O428</f>
        <v/>
      </c>
      <c r="U788" s="392">
        <f>Q209+Q428</f>
        <v/>
      </c>
      <c r="V788" s="392">
        <f>T209+T428</f>
        <v/>
      </c>
      <c r="W788" s="392">
        <f>P209+P428</f>
        <v/>
      </c>
      <c r="X788" s="2783">
        <f>R209+R428</f>
        <v/>
      </c>
      <c r="Y788" s="392">
        <f>S209+S428</f>
        <v/>
      </c>
    </row>
    <row r="789" customFormat="1" s="16">
      <c r="A789" s="392">
        <f>list!$G$11</f>
        <v/>
      </c>
      <c r="B789" s="2798" t="inlineStr">
        <is>
          <t>South-eastern Asia</t>
        </is>
      </c>
      <c r="C789" s="392">
        <f>CONCATENATE(A789,B789)</f>
        <v/>
      </c>
      <c r="D789" s="2782" t="n">
        <v>4.7</v>
      </c>
      <c r="E789" s="2782">
        <f>D789</f>
        <v/>
      </c>
      <c r="F789" s="2782">
        <f>E789</f>
        <v/>
      </c>
      <c r="G789" s="2794" t="n">
        <v>4.09</v>
      </c>
      <c r="H789" s="2776" t="n">
        <v>0</v>
      </c>
      <c r="I789" s="492">
        <f>E210+E429</f>
        <v/>
      </c>
      <c r="J789" s="492">
        <f>F210+F429</f>
        <v/>
      </c>
      <c r="K789" s="492">
        <f>G210+G429</f>
        <v/>
      </c>
      <c r="L789" s="492">
        <f>H210+H429</f>
        <v/>
      </c>
      <c r="M789" s="492">
        <f>I210+I429</f>
        <v/>
      </c>
      <c r="N789" s="492">
        <f>J210+J429</f>
        <v/>
      </c>
      <c r="O789" s="492">
        <f>K210+K429</f>
        <v/>
      </c>
      <c r="P789" s="492">
        <f>L210+L429</f>
        <v/>
      </c>
      <c r="Q789" s="471">
        <f>M210+M429</f>
        <v/>
      </c>
      <c r="R789" s="751" t="n">
        <v>1</v>
      </c>
      <c r="S789" s="392">
        <f>N210+N429</f>
        <v/>
      </c>
      <c r="T789" s="2783">
        <f>O210+O429</f>
        <v/>
      </c>
      <c r="U789" s="392">
        <f>Q210+Q429</f>
        <v/>
      </c>
      <c r="V789" s="392">
        <f>T210+T429</f>
        <v/>
      </c>
      <c r="W789" s="392">
        <f>P210+P429</f>
        <v/>
      </c>
      <c r="X789" s="2783">
        <f>R210+R429</f>
        <v/>
      </c>
      <c r="Y789" s="392">
        <f>S210+S429</f>
        <v/>
      </c>
    </row>
    <row r="790" customFormat="1" s="16">
      <c r="A790" s="392">
        <f>list!$G$11</f>
        <v/>
      </c>
      <c r="B790" s="2798" t="inlineStr">
        <is>
          <t>Southern Asia</t>
        </is>
      </c>
      <c r="C790" s="392">
        <f>CONCATENATE(A790,B790)</f>
        <v/>
      </c>
      <c r="D790" s="2782" t="n">
        <v>4.7</v>
      </c>
      <c r="E790" s="2782">
        <f>D790</f>
        <v/>
      </c>
      <c r="F790" s="2782">
        <f>E790</f>
        <v/>
      </c>
      <c r="G790" s="2794" t="n">
        <v>4.09</v>
      </c>
      <c r="H790" s="2776" t="n">
        <v>0</v>
      </c>
      <c r="I790" s="492">
        <f>E211+E430</f>
        <v/>
      </c>
      <c r="J790" s="492">
        <f>F211+F430</f>
        <v/>
      </c>
      <c r="K790" s="492">
        <f>G211+G430</f>
        <v/>
      </c>
      <c r="L790" s="492">
        <f>H211+H430</f>
        <v/>
      </c>
      <c r="M790" s="492">
        <f>I211+I430</f>
        <v/>
      </c>
      <c r="N790" s="492">
        <f>J211+J430</f>
        <v/>
      </c>
      <c r="O790" s="492">
        <f>K211+K430</f>
        <v/>
      </c>
      <c r="P790" s="492">
        <f>L211+L430</f>
        <v/>
      </c>
      <c r="Q790" s="471">
        <f>M211+M430</f>
        <v/>
      </c>
      <c r="R790" s="751" t="n">
        <v>1</v>
      </c>
      <c r="S790" s="392">
        <f>N211+N430</f>
        <v/>
      </c>
      <c r="T790" s="2783">
        <f>O211+O430</f>
        <v/>
      </c>
      <c r="U790" s="392">
        <f>Q211+Q430</f>
        <v/>
      </c>
      <c r="V790" s="392">
        <f>T211+T430</f>
        <v/>
      </c>
      <c r="W790" s="392">
        <f>P211+P430</f>
        <v/>
      </c>
      <c r="X790" s="2783">
        <f>R211+R430</f>
        <v/>
      </c>
      <c r="Y790" s="392">
        <f>S211+S430</f>
        <v/>
      </c>
    </row>
    <row r="791" customFormat="1" s="16">
      <c r="A791" s="392">
        <f>list!$G$11</f>
        <v/>
      </c>
      <c r="B791" s="2798" t="inlineStr">
        <is>
          <t>Western Asia</t>
        </is>
      </c>
      <c r="C791" s="392">
        <f>CONCATENATE(A791,B791)</f>
        <v/>
      </c>
      <c r="D791" s="2782" t="n">
        <v>4.7</v>
      </c>
      <c r="E791" s="2782">
        <f>D791</f>
        <v/>
      </c>
      <c r="F791" s="2782">
        <f>E791</f>
        <v/>
      </c>
      <c r="G791" s="2794" t="n">
        <v>4.09</v>
      </c>
      <c r="H791" s="2776" t="n">
        <v>0</v>
      </c>
      <c r="I791" s="492">
        <f>E212+E431</f>
        <v/>
      </c>
      <c r="J791" s="492">
        <f>F212+F431</f>
        <v/>
      </c>
      <c r="K791" s="492">
        <f>G212+G431</f>
        <v/>
      </c>
      <c r="L791" s="492">
        <f>H212+H431</f>
        <v/>
      </c>
      <c r="M791" s="492">
        <f>I212+I431</f>
        <v/>
      </c>
      <c r="N791" s="492">
        <f>J212+J431</f>
        <v/>
      </c>
      <c r="O791" s="492">
        <f>K212+K431</f>
        <v/>
      </c>
      <c r="P791" s="492">
        <f>L212+L431</f>
        <v/>
      </c>
      <c r="Q791" s="471">
        <f>M212+M431</f>
        <v/>
      </c>
      <c r="R791" s="751" t="n">
        <v>1</v>
      </c>
      <c r="S791" s="392">
        <f>N212+N431</f>
        <v/>
      </c>
      <c r="T791" s="2783">
        <f>O212+O431</f>
        <v/>
      </c>
      <c r="U791" s="392">
        <f>Q212+Q431</f>
        <v/>
      </c>
      <c r="V791" s="392">
        <f>T212+T431</f>
        <v/>
      </c>
      <c r="W791" s="392">
        <f>P212+P431</f>
        <v/>
      </c>
      <c r="X791" s="2783">
        <f>R212+R431</f>
        <v/>
      </c>
      <c r="Y791" s="392">
        <f>S212+S431</f>
        <v/>
      </c>
    </row>
    <row r="792" customFormat="1" s="16">
      <c r="A792" s="392">
        <f>list!$G$11</f>
        <v/>
      </c>
      <c r="B792" s="2798" t="inlineStr">
        <is>
          <t>Europe</t>
        </is>
      </c>
      <c r="C792" s="392">
        <f>CONCATENATE(A792,B792)</f>
        <v/>
      </c>
      <c r="D792" s="2782" t="n">
        <v>4.7</v>
      </c>
      <c r="E792" s="2782">
        <f>D792</f>
        <v/>
      </c>
      <c r="F792" s="2782">
        <f>E792</f>
        <v/>
      </c>
      <c r="G792" s="2794" t="n">
        <v>4.09</v>
      </c>
      <c r="H792" s="2776" t="n">
        <v>0</v>
      </c>
      <c r="I792" s="492">
        <f>E213+E432</f>
        <v/>
      </c>
      <c r="J792" s="492">
        <f>F213+F432</f>
        <v/>
      </c>
      <c r="K792" s="492">
        <f>G213+G432</f>
        <v/>
      </c>
      <c r="L792" s="492">
        <f>H213+H432</f>
        <v/>
      </c>
      <c r="M792" s="492">
        <f>I213+I432</f>
        <v/>
      </c>
      <c r="N792" s="492">
        <f>J213+J432</f>
        <v/>
      </c>
      <c r="O792" s="492">
        <f>K213+K432</f>
        <v/>
      </c>
      <c r="P792" s="492">
        <f>L213+L432</f>
        <v/>
      </c>
      <c r="Q792" s="471">
        <f>M213+M432</f>
        <v/>
      </c>
      <c r="R792" s="751" t="n">
        <v>1</v>
      </c>
      <c r="S792" s="392">
        <f>N213+N432</f>
        <v/>
      </c>
      <c r="T792" s="2783">
        <f>O213+O432</f>
        <v/>
      </c>
      <c r="U792" s="392">
        <f>Q213+Q432</f>
        <v/>
      </c>
      <c r="V792" s="392">
        <f>T213+T432</f>
        <v/>
      </c>
      <c r="W792" s="392">
        <f>P213+P432</f>
        <v/>
      </c>
      <c r="X792" s="2783">
        <f>R213+R432</f>
        <v/>
      </c>
      <c r="Y792" s="392">
        <f>S213+S432</f>
        <v/>
      </c>
    </row>
    <row r="793" customFormat="1" s="16">
      <c r="A793" s="392">
        <f>list!$G$11</f>
        <v/>
      </c>
      <c r="B793" s="2798" t="inlineStr">
        <is>
          <t>Oceania</t>
        </is>
      </c>
      <c r="C793" s="392">
        <f>CONCATENATE(A793,B793)</f>
        <v/>
      </c>
      <c r="D793" s="2782" t="n">
        <v>4.7</v>
      </c>
      <c r="E793" s="2782">
        <f>D793</f>
        <v/>
      </c>
      <c r="F793" s="2782">
        <f>E793</f>
        <v/>
      </c>
      <c r="G793" s="2794" t="n">
        <v>4.09</v>
      </c>
      <c r="H793" s="2776" t="n">
        <v>0</v>
      </c>
      <c r="I793" s="492">
        <f>E214+E433</f>
        <v/>
      </c>
      <c r="J793" s="492">
        <f>F214+F433</f>
        <v/>
      </c>
      <c r="K793" s="492">
        <f>G214+G433</f>
        <v/>
      </c>
      <c r="L793" s="492">
        <f>H214+H433</f>
        <v/>
      </c>
      <c r="M793" s="492">
        <f>I214+I433</f>
        <v/>
      </c>
      <c r="N793" s="492">
        <f>J214+J433</f>
        <v/>
      </c>
      <c r="O793" s="492">
        <f>K214+K433</f>
        <v/>
      </c>
      <c r="P793" s="492">
        <f>L214+L433</f>
        <v/>
      </c>
      <c r="Q793" s="471">
        <f>M214+M433</f>
        <v/>
      </c>
      <c r="R793" s="751" t="n">
        <v>1</v>
      </c>
      <c r="S793" s="392">
        <f>N214+N433</f>
        <v/>
      </c>
      <c r="T793" s="2783">
        <f>O214+O433</f>
        <v/>
      </c>
      <c r="U793" s="392">
        <f>Q214+Q433</f>
        <v/>
      </c>
      <c r="V793" s="392">
        <f>T214+T433</f>
        <v/>
      </c>
      <c r="W793" s="392">
        <f>P214+P433</f>
        <v/>
      </c>
      <c r="X793" s="2783">
        <f>R214+R433</f>
        <v/>
      </c>
      <c r="Y793" s="392">
        <f>S214+S433</f>
        <v/>
      </c>
    </row>
    <row r="794" customFormat="1" s="16">
      <c r="A794" s="392">
        <f>list!$G$11</f>
        <v/>
      </c>
      <c r="B794" s="2798" t="inlineStr">
        <is>
          <t>North America</t>
        </is>
      </c>
      <c r="C794" s="392">
        <f>CONCATENATE(A794,B794)</f>
        <v/>
      </c>
      <c r="D794" s="2782" t="n">
        <v>4.7</v>
      </c>
      <c r="E794" s="2782">
        <f>D794</f>
        <v/>
      </c>
      <c r="F794" s="2782">
        <f>E794</f>
        <v/>
      </c>
      <c r="G794" s="2794" t="n">
        <v>4.09</v>
      </c>
      <c r="H794" s="2776" t="n">
        <v>0</v>
      </c>
      <c r="I794" s="492">
        <f>E215+E434</f>
        <v/>
      </c>
      <c r="J794" s="492">
        <f>F215+F434</f>
        <v/>
      </c>
      <c r="K794" s="492">
        <f>G215+G434</f>
        <v/>
      </c>
      <c r="L794" s="492">
        <f>H215+H434</f>
        <v/>
      </c>
      <c r="M794" s="492">
        <f>I215+I434</f>
        <v/>
      </c>
      <c r="N794" s="492">
        <f>J215+J434</f>
        <v/>
      </c>
      <c r="O794" s="492">
        <f>K215+K434</f>
        <v/>
      </c>
      <c r="P794" s="492">
        <f>L215+L434</f>
        <v/>
      </c>
      <c r="Q794" s="471">
        <f>M215+M434</f>
        <v/>
      </c>
      <c r="R794" s="751" t="n">
        <v>1</v>
      </c>
      <c r="S794" s="392">
        <f>N215+N434</f>
        <v/>
      </c>
      <c r="T794" s="2783">
        <f>O215+O434</f>
        <v/>
      </c>
      <c r="U794" s="392">
        <f>Q215+Q434</f>
        <v/>
      </c>
      <c r="V794" s="392">
        <f>T215+T434</f>
        <v/>
      </c>
      <c r="W794" s="392">
        <f>P215+P434</f>
        <v/>
      </c>
      <c r="X794" s="2783">
        <f>R215+R434</f>
        <v/>
      </c>
      <c r="Y794" s="392">
        <f>S215+S434</f>
        <v/>
      </c>
    </row>
    <row r="795" customFormat="1" s="16">
      <c r="A795" s="392">
        <f>list!$G$11</f>
        <v/>
      </c>
      <c r="B795" s="2798" t="inlineStr">
        <is>
          <t>South America</t>
        </is>
      </c>
      <c r="C795" s="392">
        <f>CONCATENATE(A795,B795)</f>
        <v/>
      </c>
      <c r="D795" s="2782" t="n">
        <v>4.7</v>
      </c>
      <c r="E795" s="2782">
        <f>D795</f>
        <v/>
      </c>
      <c r="F795" s="2782">
        <f>E795</f>
        <v/>
      </c>
      <c r="G795" s="2794" t="n">
        <v>4.09</v>
      </c>
      <c r="H795" s="2776" t="n">
        <v>0</v>
      </c>
      <c r="I795" s="492">
        <f>E216+E435</f>
        <v/>
      </c>
      <c r="J795" s="492">
        <f>F216+F435</f>
        <v/>
      </c>
      <c r="K795" s="492">
        <f>G216+G435</f>
        <v/>
      </c>
      <c r="L795" s="492">
        <f>H216+H435</f>
        <v/>
      </c>
      <c r="M795" s="492">
        <f>I216+I435</f>
        <v/>
      </c>
      <c r="N795" s="492">
        <f>J216+J435</f>
        <v/>
      </c>
      <c r="O795" s="492">
        <f>K216+K435</f>
        <v/>
      </c>
      <c r="P795" s="492">
        <f>L216+L435</f>
        <v/>
      </c>
      <c r="Q795" s="471">
        <f>M216+M435</f>
        <v/>
      </c>
      <c r="R795" s="751" t="n">
        <v>1</v>
      </c>
      <c r="S795" s="392">
        <f>N216+N435</f>
        <v/>
      </c>
      <c r="T795" s="2783">
        <f>O216+O435</f>
        <v/>
      </c>
      <c r="U795" s="392">
        <f>Q216+Q435</f>
        <v/>
      </c>
      <c r="V795" s="392">
        <f>T216+T435</f>
        <v/>
      </c>
      <c r="W795" s="392">
        <f>P216+P435</f>
        <v/>
      </c>
      <c r="X795" s="2783">
        <f>R216+R435</f>
        <v/>
      </c>
      <c r="Y795" s="392">
        <f>S216+S435</f>
        <v/>
      </c>
    </row>
    <row r="796" customFormat="1" s="16">
      <c r="A796" s="392">
        <f>list!$G$11</f>
        <v/>
      </c>
      <c r="B796" s="2798" t="inlineStr">
        <is>
          <t>Central America</t>
        </is>
      </c>
      <c r="C796" s="392">
        <f>CONCATENATE(A796,B796)</f>
        <v/>
      </c>
      <c r="D796" s="2782" t="n">
        <v>4.7</v>
      </c>
      <c r="E796" s="2782">
        <f>D796</f>
        <v/>
      </c>
      <c r="F796" s="2782">
        <f>E796</f>
        <v/>
      </c>
      <c r="G796" s="2794" t="n">
        <v>4.09</v>
      </c>
      <c r="H796" s="2776" t="n">
        <v>0</v>
      </c>
      <c r="I796" s="492">
        <f>E217+E436</f>
        <v/>
      </c>
      <c r="J796" s="492">
        <f>F217+F436</f>
        <v/>
      </c>
      <c r="K796" s="492">
        <f>G217+G436</f>
        <v/>
      </c>
      <c r="L796" s="492">
        <f>H217+H436</f>
        <v/>
      </c>
      <c r="M796" s="492">
        <f>I217+I436</f>
        <v/>
      </c>
      <c r="N796" s="492">
        <f>J217+J436</f>
        <v/>
      </c>
      <c r="O796" s="492">
        <f>K217+K436</f>
        <v/>
      </c>
      <c r="P796" s="492">
        <f>L217+L436</f>
        <v/>
      </c>
      <c r="Q796" s="471">
        <f>M217+M436</f>
        <v/>
      </c>
      <c r="R796" s="751" t="n">
        <v>1</v>
      </c>
      <c r="S796" s="392">
        <f>N217+N436</f>
        <v/>
      </c>
      <c r="T796" s="2783">
        <f>O217+O436</f>
        <v/>
      </c>
      <c r="U796" s="392">
        <f>Q217+Q436</f>
        <v/>
      </c>
      <c r="V796" s="392">
        <f>T217+T436</f>
        <v/>
      </c>
      <c r="W796" s="392">
        <f>P217+P436</f>
        <v/>
      </c>
      <c r="X796" s="2783">
        <f>R217+R436</f>
        <v/>
      </c>
      <c r="Y796" s="392">
        <f>S217+S436</f>
        <v/>
      </c>
    </row>
    <row r="797" customFormat="1" s="2790">
      <c r="A797" s="2784">
        <f>list!$G$11</f>
        <v/>
      </c>
      <c r="B797" s="2799" t="inlineStr">
        <is>
          <t>Caribbean</t>
        </is>
      </c>
      <c r="C797" s="2784">
        <f>CONCATENATE(A797,B797)</f>
        <v/>
      </c>
      <c r="D797" s="2786" t="n">
        <v>4.7</v>
      </c>
      <c r="E797" s="2786">
        <f>D797</f>
        <v/>
      </c>
      <c r="F797" s="2786">
        <f>E797</f>
        <v/>
      </c>
      <c r="G797" s="2796" t="n">
        <v>4.09</v>
      </c>
      <c r="H797" s="2787" t="n">
        <v>0</v>
      </c>
      <c r="I797" s="2788">
        <f>E218+E437</f>
        <v/>
      </c>
      <c r="J797" s="492">
        <f>F218+F437</f>
        <v/>
      </c>
      <c r="K797" s="492">
        <f>G218+G437</f>
        <v/>
      </c>
      <c r="L797" s="492">
        <f>H218+H437</f>
        <v/>
      </c>
      <c r="M797" s="492">
        <f>I218+I437</f>
        <v/>
      </c>
      <c r="N797" s="492">
        <f>J218+J437</f>
        <v/>
      </c>
      <c r="O797" s="492">
        <f>K218+K437</f>
        <v/>
      </c>
      <c r="P797" s="492">
        <f>L218+L437</f>
        <v/>
      </c>
      <c r="Q797" s="471">
        <f>M218+M437</f>
        <v/>
      </c>
      <c r="R797" s="752" t="n">
        <v>1</v>
      </c>
      <c r="S797" s="392">
        <f>N218+N437</f>
        <v/>
      </c>
      <c r="T797" s="2783">
        <f>O218+O437</f>
        <v/>
      </c>
      <c r="U797" s="392">
        <f>Q218+Q437</f>
        <v/>
      </c>
      <c r="V797" s="392">
        <f>T218+T437</f>
        <v/>
      </c>
      <c r="W797" s="392">
        <f>P218+P437</f>
        <v/>
      </c>
      <c r="X797" s="2783">
        <f>R218+R437</f>
        <v/>
      </c>
      <c r="Y797" s="392">
        <f>S218+S437</f>
        <v/>
      </c>
    </row>
    <row r="798" customFormat="1" s="2780">
      <c r="A798" s="2773" t="inlineStr">
        <is>
          <t>Tropical Wet</t>
        </is>
      </c>
      <c r="B798" s="2774" t="inlineStr">
        <is>
          <t>Eastern Africa</t>
        </is>
      </c>
      <c r="C798" s="2773">
        <f>CONCATENATE(A798,B798)</f>
        <v/>
      </c>
      <c r="D798" s="2775" t="n">
        <v>4.7</v>
      </c>
      <c r="E798" s="2775">
        <f>D798</f>
        <v/>
      </c>
      <c r="F798" s="2775">
        <f>E798</f>
        <v/>
      </c>
      <c r="G798" s="2794">
        <f>16.1*0.47</f>
        <v/>
      </c>
      <c r="H798" s="2777" t="n">
        <v>0</v>
      </c>
      <c r="I798" s="492">
        <f>E219+E438</f>
        <v/>
      </c>
      <c r="J798" s="490">
        <f>F219+F438</f>
        <v/>
      </c>
      <c r="K798" s="490">
        <f>G219+G438</f>
        <v/>
      </c>
      <c r="L798" s="490">
        <f>H219+H438</f>
        <v/>
      </c>
      <c r="M798" s="490">
        <f>I219+I438</f>
        <v/>
      </c>
      <c r="N798" s="490">
        <f>J219+J438</f>
        <v/>
      </c>
      <c r="O798" s="490">
        <f>K219+K438</f>
        <v/>
      </c>
      <c r="P798" s="490">
        <f>L219+L438</f>
        <v/>
      </c>
      <c r="Q798" s="491">
        <f>M219+M438</f>
        <v/>
      </c>
      <c r="R798" s="750" t="n">
        <v>1</v>
      </c>
      <c r="S798" s="2773">
        <f>N219+N438</f>
        <v/>
      </c>
      <c r="T798" s="2773">
        <f>O219+O438</f>
        <v/>
      </c>
      <c r="U798" s="2773">
        <f>Q219+Q438</f>
        <v/>
      </c>
      <c r="V798" s="2773">
        <f>T219+T438</f>
        <v/>
      </c>
      <c r="W798" s="2773">
        <f>P219+P438</f>
        <v/>
      </c>
      <c r="X798" s="2773">
        <f>R219+R438</f>
        <v/>
      </c>
      <c r="Y798" s="2773">
        <f>S219+S438</f>
        <v/>
      </c>
    </row>
    <row r="799" customFormat="1" s="16">
      <c r="A799" s="392" t="inlineStr">
        <is>
          <t>Tropical Wet</t>
        </is>
      </c>
      <c r="B799" s="2781" t="inlineStr">
        <is>
          <t>Central Africa</t>
        </is>
      </c>
      <c r="C799" s="392">
        <f>CONCATENATE(A799,B799)</f>
        <v/>
      </c>
      <c r="D799" s="2782" t="n">
        <v>4.7</v>
      </c>
      <c r="E799" s="2782">
        <f>D799</f>
        <v/>
      </c>
      <c r="F799" s="2782">
        <f>E799</f>
        <v/>
      </c>
      <c r="G799" s="2794">
        <f>16.1*0.47</f>
        <v/>
      </c>
      <c r="H799" s="2776" t="n">
        <v>0</v>
      </c>
      <c r="I799" s="492">
        <f>E220+E439</f>
        <v/>
      </c>
      <c r="J799" s="492">
        <f>F220+F439</f>
        <v/>
      </c>
      <c r="K799" s="492">
        <f>G220+G439</f>
        <v/>
      </c>
      <c r="L799" s="492">
        <f>H220+H439</f>
        <v/>
      </c>
      <c r="M799" s="492">
        <f>I220+I439</f>
        <v/>
      </c>
      <c r="N799" s="492">
        <f>J220+J439</f>
        <v/>
      </c>
      <c r="O799" s="492">
        <f>K220+K439</f>
        <v/>
      </c>
      <c r="P799" s="492">
        <f>L220+L439</f>
        <v/>
      </c>
      <c r="Q799" s="471">
        <f>M220+M439</f>
        <v/>
      </c>
      <c r="R799" s="751" t="n">
        <v>1</v>
      </c>
      <c r="S799" s="392">
        <f>N220+N439</f>
        <v/>
      </c>
      <c r="T799" s="392">
        <f>O220+O439</f>
        <v/>
      </c>
      <c r="U799" s="392">
        <f>Q220+Q439</f>
        <v/>
      </c>
      <c r="V799" s="392">
        <f>T220+T439</f>
        <v/>
      </c>
      <c r="W799" s="392">
        <f>P220+P439</f>
        <v/>
      </c>
      <c r="X799" s="392">
        <f>R220+R439</f>
        <v/>
      </c>
      <c r="Y799" s="392">
        <f>S220+S439</f>
        <v/>
      </c>
    </row>
    <row r="800" customFormat="1" s="16">
      <c r="A800" s="392" t="inlineStr">
        <is>
          <t>Tropical Wet</t>
        </is>
      </c>
      <c r="B800" s="2781" t="inlineStr">
        <is>
          <t>Northern Africa</t>
        </is>
      </c>
      <c r="C800" s="392">
        <f>CONCATENATE(A800,B800)</f>
        <v/>
      </c>
      <c r="D800" s="2782" t="n">
        <v>4.7</v>
      </c>
      <c r="E800" s="2782">
        <f>D800</f>
        <v/>
      </c>
      <c r="F800" s="2782">
        <f>E800</f>
        <v/>
      </c>
      <c r="G800" s="2794">
        <f>16.1*0.47</f>
        <v/>
      </c>
      <c r="H800" s="2776" t="n">
        <v>0</v>
      </c>
      <c r="I800" s="492">
        <f>E221+E440</f>
        <v/>
      </c>
      <c r="J800" s="492">
        <f>F221+F440</f>
        <v/>
      </c>
      <c r="K800" s="492">
        <f>G221+G440</f>
        <v/>
      </c>
      <c r="L800" s="492">
        <f>H221+H440</f>
        <v/>
      </c>
      <c r="M800" s="492">
        <f>I221+I440</f>
        <v/>
      </c>
      <c r="N800" s="492">
        <f>J221+J440</f>
        <v/>
      </c>
      <c r="O800" s="492">
        <f>K221+K440</f>
        <v/>
      </c>
      <c r="P800" s="492">
        <f>L221+L440</f>
        <v/>
      </c>
      <c r="Q800" s="471">
        <f>M221+M440</f>
        <v/>
      </c>
      <c r="R800" s="751" t="n">
        <v>1</v>
      </c>
      <c r="S800" s="392">
        <f>N221+N440</f>
        <v/>
      </c>
      <c r="T800" s="392">
        <f>O221+O440</f>
        <v/>
      </c>
      <c r="U800" s="392">
        <f>Q221+Q440</f>
        <v/>
      </c>
      <c r="V800" s="392">
        <f>T221+T440</f>
        <v/>
      </c>
      <c r="W800" s="392">
        <f>P221+P440</f>
        <v/>
      </c>
      <c r="X800" s="392">
        <f>R221+R440</f>
        <v/>
      </c>
      <c r="Y800" s="392">
        <f>S221+S440</f>
        <v/>
      </c>
    </row>
    <row r="801" customFormat="1" s="16">
      <c r="A801" s="392" t="inlineStr">
        <is>
          <t>Tropical Wet</t>
        </is>
      </c>
      <c r="B801" s="2781" t="inlineStr">
        <is>
          <t>Southern Africa</t>
        </is>
      </c>
      <c r="C801" s="392">
        <f>CONCATENATE(A801,B801)</f>
        <v/>
      </c>
      <c r="D801" s="2782" t="n">
        <v>4.7</v>
      </c>
      <c r="E801" s="2782">
        <f>D801</f>
        <v/>
      </c>
      <c r="F801" s="2782">
        <f>E801</f>
        <v/>
      </c>
      <c r="G801" s="2794">
        <f>16.1*0.47</f>
        <v/>
      </c>
      <c r="H801" s="2776" t="n">
        <v>0</v>
      </c>
      <c r="I801" s="492">
        <f>E222+E441</f>
        <v/>
      </c>
      <c r="J801" s="492">
        <f>F222+F441</f>
        <v/>
      </c>
      <c r="K801" s="492">
        <f>G222+G441</f>
        <v/>
      </c>
      <c r="L801" s="492">
        <f>H222+H441</f>
        <v/>
      </c>
      <c r="M801" s="492">
        <f>I222+I441</f>
        <v/>
      </c>
      <c r="N801" s="492">
        <f>J222+J441</f>
        <v/>
      </c>
      <c r="O801" s="492">
        <f>K222+K441</f>
        <v/>
      </c>
      <c r="P801" s="492">
        <f>L222+L441</f>
        <v/>
      </c>
      <c r="Q801" s="471">
        <f>M222+M441</f>
        <v/>
      </c>
      <c r="R801" s="751" t="n">
        <v>1</v>
      </c>
      <c r="S801" s="392">
        <f>N222+N441</f>
        <v/>
      </c>
      <c r="T801" s="392">
        <f>O222+O441</f>
        <v/>
      </c>
      <c r="U801" s="392">
        <f>Q222+Q441</f>
        <v/>
      </c>
      <c r="V801" s="392">
        <f>T222+T441</f>
        <v/>
      </c>
      <c r="W801" s="392">
        <f>P222+P441</f>
        <v/>
      </c>
      <c r="X801" s="392">
        <f>R222+R441</f>
        <v/>
      </c>
      <c r="Y801" s="392">
        <f>S222+S441</f>
        <v/>
      </c>
    </row>
    <row r="802" customFormat="1" s="16">
      <c r="A802" s="392" t="inlineStr">
        <is>
          <t>Tropical Wet</t>
        </is>
      </c>
      <c r="B802" s="2781" t="inlineStr">
        <is>
          <t>Western Africa</t>
        </is>
      </c>
      <c r="C802" s="392">
        <f>CONCATENATE(A802,B802)</f>
        <v/>
      </c>
      <c r="D802" s="2782" t="n">
        <v>4.7</v>
      </c>
      <c r="E802" s="2782">
        <f>D802</f>
        <v/>
      </c>
      <c r="F802" s="2782">
        <f>E802</f>
        <v/>
      </c>
      <c r="G802" s="2794">
        <f>16.1*0.47</f>
        <v/>
      </c>
      <c r="H802" s="2776" t="n">
        <v>0</v>
      </c>
      <c r="I802" s="492">
        <f>E223+E442</f>
        <v/>
      </c>
      <c r="J802" s="492">
        <f>F223+F442</f>
        <v/>
      </c>
      <c r="K802" s="492">
        <f>G223+G442</f>
        <v/>
      </c>
      <c r="L802" s="492">
        <f>H223+H442</f>
        <v/>
      </c>
      <c r="M802" s="492">
        <f>I223+I442</f>
        <v/>
      </c>
      <c r="N802" s="492">
        <f>J223+J442</f>
        <v/>
      </c>
      <c r="O802" s="492">
        <f>K223+K442</f>
        <v/>
      </c>
      <c r="P802" s="492">
        <f>L223+L442</f>
        <v/>
      </c>
      <c r="Q802" s="471">
        <f>M223+M442</f>
        <v/>
      </c>
      <c r="R802" s="751" t="n">
        <v>1</v>
      </c>
      <c r="S802" s="392">
        <f>N223+N442</f>
        <v/>
      </c>
      <c r="T802" s="392">
        <f>O223+O442</f>
        <v/>
      </c>
      <c r="U802" s="392">
        <f>Q223+Q442</f>
        <v/>
      </c>
      <c r="V802" s="392">
        <f>T223+T442</f>
        <v/>
      </c>
      <c r="W802" s="392">
        <f>P223+P442</f>
        <v/>
      </c>
      <c r="X802" s="392">
        <f>R223+R442</f>
        <v/>
      </c>
      <c r="Y802" s="392">
        <f>S223+S442</f>
        <v/>
      </c>
    </row>
    <row r="803" customFormat="1" s="16">
      <c r="A803" s="392" t="inlineStr">
        <is>
          <t>Tropical Wet</t>
        </is>
      </c>
      <c r="B803" s="2781" t="inlineStr">
        <is>
          <t>Central Asia</t>
        </is>
      </c>
      <c r="C803" s="392">
        <f>CONCATENATE(A803,B803)</f>
        <v/>
      </c>
      <c r="D803" s="2782" t="n">
        <v>4.7</v>
      </c>
      <c r="E803" s="2782">
        <f>D803</f>
        <v/>
      </c>
      <c r="F803" s="2782">
        <f>E803</f>
        <v/>
      </c>
      <c r="G803" s="2794">
        <f>16.1*0.47</f>
        <v/>
      </c>
      <c r="H803" s="2776" t="n">
        <v>0</v>
      </c>
      <c r="I803" s="492">
        <f>E224+E443</f>
        <v/>
      </c>
      <c r="J803" s="492">
        <f>F224+F443</f>
        <v/>
      </c>
      <c r="K803" s="492">
        <f>G224+G443</f>
        <v/>
      </c>
      <c r="L803" s="492">
        <f>H224+H443</f>
        <v/>
      </c>
      <c r="M803" s="492">
        <f>I224+I443</f>
        <v/>
      </c>
      <c r="N803" s="492">
        <f>J224+J443</f>
        <v/>
      </c>
      <c r="O803" s="492">
        <f>K224+K443</f>
        <v/>
      </c>
      <c r="P803" s="492">
        <f>L224+L443</f>
        <v/>
      </c>
      <c r="Q803" s="471">
        <f>M224+M443</f>
        <v/>
      </c>
      <c r="R803" s="751" t="n">
        <v>1</v>
      </c>
      <c r="S803" s="392">
        <f>N224+N443</f>
        <v/>
      </c>
      <c r="T803" s="392">
        <f>O224+O443</f>
        <v/>
      </c>
      <c r="U803" s="392">
        <f>Q224+Q443</f>
        <v/>
      </c>
      <c r="V803" s="392">
        <f>T224+T443</f>
        <v/>
      </c>
      <c r="W803" s="392">
        <f>P224+P443</f>
        <v/>
      </c>
      <c r="X803" s="392">
        <f>R224+R443</f>
        <v/>
      </c>
      <c r="Y803" s="392">
        <f>S224+S443</f>
        <v/>
      </c>
    </row>
    <row r="804" customFormat="1" s="16">
      <c r="A804" s="392" t="inlineStr">
        <is>
          <t>Tropical Wet</t>
        </is>
      </c>
      <c r="B804" s="2781" t="inlineStr">
        <is>
          <t>Eastern Asia</t>
        </is>
      </c>
      <c r="C804" s="392">
        <f>CONCATENATE(A804,B804)</f>
        <v/>
      </c>
      <c r="D804" s="2782" t="n">
        <v>4.7</v>
      </c>
      <c r="E804" s="2782">
        <f>D804</f>
        <v/>
      </c>
      <c r="F804" s="2782">
        <f>E804</f>
        <v/>
      </c>
      <c r="G804" s="2794">
        <f>16.1*0.47</f>
        <v/>
      </c>
      <c r="H804" s="2776" t="n">
        <v>0</v>
      </c>
      <c r="I804" s="492">
        <f>E225+E444</f>
        <v/>
      </c>
      <c r="J804" s="492">
        <f>F225+F444</f>
        <v/>
      </c>
      <c r="K804" s="492">
        <f>G225+G444</f>
        <v/>
      </c>
      <c r="L804" s="492">
        <f>H225+H444</f>
        <v/>
      </c>
      <c r="M804" s="492">
        <f>I225+I444</f>
        <v/>
      </c>
      <c r="N804" s="492">
        <f>J225+J444</f>
        <v/>
      </c>
      <c r="O804" s="492">
        <f>K225+K444</f>
        <v/>
      </c>
      <c r="P804" s="492">
        <f>L225+L444</f>
        <v/>
      </c>
      <c r="Q804" s="471">
        <f>M225+M444</f>
        <v/>
      </c>
      <c r="R804" s="751" t="n">
        <v>1</v>
      </c>
      <c r="S804" s="392">
        <f>N225+N444</f>
        <v/>
      </c>
      <c r="T804" s="392">
        <f>O225+O444</f>
        <v/>
      </c>
      <c r="U804" s="392">
        <f>Q225+Q444</f>
        <v/>
      </c>
      <c r="V804" s="392">
        <f>T225+T444</f>
        <v/>
      </c>
      <c r="W804" s="392">
        <f>P225+P444</f>
        <v/>
      </c>
      <c r="X804" s="392">
        <f>R225+R444</f>
        <v/>
      </c>
      <c r="Y804" s="392">
        <f>S225+S444</f>
        <v/>
      </c>
    </row>
    <row r="805" customFormat="1" s="16">
      <c r="A805" s="392" t="inlineStr">
        <is>
          <t>Tropical Wet</t>
        </is>
      </c>
      <c r="B805" s="2781" t="inlineStr">
        <is>
          <t>South-eastern Asia</t>
        </is>
      </c>
      <c r="C805" s="392">
        <f>CONCATENATE(A805,B805)</f>
        <v/>
      </c>
      <c r="D805" s="2782" t="n">
        <v>4.7</v>
      </c>
      <c r="E805" s="2782">
        <f>D805</f>
        <v/>
      </c>
      <c r="F805" s="2782">
        <f>E805</f>
        <v/>
      </c>
      <c r="G805" s="2794">
        <f>16.1*0.47</f>
        <v/>
      </c>
      <c r="H805" s="2776" t="n">
        <v>0</v>
      </c>
      <c r="I805" s="492">
        <f>E226+E445</f>
        <v/>
      </c>
      <c r="J805" s="492">
        <f>F226+F445</f>
        <v/>
      </c>
      <c r="K805" s="492">
        <f>G226+G445</f>
        <v/>
      </c>
      <c r="L805" s="492">
        <f>H226+H445</f>
        <v/>
      </c>
      <c r="M805" s="492">
        <f>I226+I445</f>
        <v/>
      </c>
      <c r="N805" s="492">
        <f>J226+J445</f>
        <v/>
      </c>
      <c r="O805" s="492">
        <f>K226+K445</f>
        <v/>
      </c>
      <c r="P805" s="492">
        <f>L226+L445</f>
        <v/>
      </c>
      <c r="Q805" s="471">
        <f>M226+M445</f>
        <v/>
      </c>
      <c r="R805" s="751" t="n">
        <v>1</v>
      </c>
      <c r="S805" s="392">
        <f>N226+N445</f>
        <v/>
      </c>
      <c r="T805" s="392">
        <f>O226+O445</f>
        <v/>
      </c>
      <c r="U805" s="392">
        <f>Q226+Q445</f>
        <v/>
      </c>
      <c r="V805" s="392">
        <f>T226+T445</f>
        <v/>
      </c>
      <c r="W805" s="392">
        <f>P226+P445</f>
        <v/>
      </c>
      <c r="X805" s="392">
        <f>R226+R445</f>
        <v/>
      </c>
      <c r="Y805" s="392">
        <f>S226+S445</f>
        <v/>
      </c>
    </row>
    <row r="806" customFormat="1" s="16">
      <c r="A806" s="392" t="inlineStr">
        <is>
          <t>Tropical Wet</t>
        </is>
      </c>
      <c r="B806" s="2781" t="inlineStr">
        <is>
          <t>Southern Asia</t>
        </is>
      </c>
      <c r="C806" s="392">
        <f>CONCATENATE(A806,B806)</f>
        <v/>
      </c>
      <c r="D806" s="2782" t="n">
        <v>4.7</v>
      </c>
      <c r="E806" s="2782">
        <f>D806</f>
        <v/>
      </c>
      <c r="F806" s="2782">
        <f>E806</f>
        <v/>
      </c>
      <c r="G806" s="2794">
        <f>16.1*0.47</f>
        <v/>
      </c>
      <c r="H806" s="2776" t="n">
        <v>0</v>
      </c>
      <c r="I806" s="492">
        <f>E227+E446</f>
        <v/>
      </c>
      <c r="J806" s="492">
        <f>F227+F446</f>
        <v/>
      </c>
      <c r="K806" s="492">
        <f>G227+G446</f>
        <v/>
      </c>
      <c r="L806" s="492">
        <f>H227+H446</f>
        <v/>
      </c>
      <c r="M806" s="492">
        <f>I227+I446</f>
        <v/>
      </c>
      <c r="N806" s="492">
        <f>J227+J446</f>
        <v/>
      </c>
      <c r="O806" s="492">
        <f>K227+K446</f>
        <v/>
      </c>
      <c r="P806" s="492">
        <f>L227+L446</f>
        <v/>
      </c>
      <c r="Q806" s="471">
        <f>M227+M446</f>
        <v/>
      </c>
      <c r="R806" s="751" t="n">
        <v>1</v>
      </c>
      <c r="S806" s="392">
        <f>N227+N446</f>
        <v/>
      </c>
      <c r="T806" s="392">
        <f>O227+O446</f>
        <v/>
      </c>
      <c r="U806" s="392">
        <f>Q227+Q446</f>
        <v/>
      </c>
      <c r="V806" s="392">
        <f>T227+T446</f>
        <v/>
      </c>
      <c r="W806" s="392">
        <f>P227+P446</f>
        <v/>
      </c>
      <c r="X806" s="392">
        <f>R227+R446</f>
        <v/>
      </c>
      <c r="Y806" s="392">
        <f>S227+S446</f>
        <v/>
      </c>
    </row>
    <row r="807" customFormat="1" s="16">
      <c r="A807" s="392" t="inlineStr">
        <is>
          <t>Tropical Wet</t>
        </is>
      </c>
      <c r="B807" s="2781" t="inlineStr">
        <is>
          <t>Western Asia</t>
        </is>
      </c>
      <c r="C807" s="392">
        <f>CONCATENATE(A807,B807)</f>
        <v/>
      </c>
      <c r="D807" s="2782" t="n">
        <v>4.7</v>
      </c>
      <c r="E807" s="2782">
        <f>D807</f>
        <v/>
      </c>
      <c r="F807" s="2782">
        <f>E807</f>
        <v/>
      </c>
      <c r="G807" s="2794">
        <f>16.1*0.47</f>
        <v/>
      </c>
      <c r="H807" s="2776" t="n">
        <v>0</v>
      </c>
      <c r="I807" s="492">
        <f>E228+E447</f>
        <v/>
      </c>
      <c r="J807" s="492">
        <f>F228+F447</f>
        <v/>
      </c>
      <c r="K807" s="492">
        <f>G228+G447</f>
        <v/>
      </c>
      <c r="L807" s="492">
        <f>H228+H447</f>
        <v/>
      </c>
      <c r="M807" s="492">
        <f>I228+I447</f>
        <v/>
      </c>
      <c r="N807" s="492">
        <f>J228+J447</f>
        <v/>
      </c>
      <c r="O807" s="492">
        <f>K228+K447</f>
        <v/>
      </c>
      <c r="P807" s="492">
        <f>L228+L447</f>
        <v/>
      </c>
      <c r="Q807" s="471">
        <f>M228+M447</f>
        <v/>
      </c>
      <c r="R807" s="751" t="n">
        <v>1</v>
      </c>
      <c r="S807" s="392">
        <f>N228+N447</f>
        <v/>
      </c>
      <c r="T807" s="392">
        <f>O228+O447</f>
        <v/>
      </c>
      <c r="U807" s="392">
        <f>Q228+Q447</f>
        <v/>
      </c>
      <c r="V807" s="392">
        <f>T228+T447</f>
        <v/>
      </c>
      <c r="W807" s="392">
        <f>P228+P447</f>
        <v/>
      </c>
      <c r="X807" s="392">
        <f>R228+R447</f>
        <v/>
      </c>
      <c r="Y807" s="392">
        <f>S228+S447</f>
        <v/>
      </c>
    </row>
    <row r="808" customFormat="1" s="16">
      <c r="A808" s="392" t="inlineStr">
        <is>
          <t>Tropical Wet</t>
        </is>
      </c>
      <c r="B808" s="2781" t="inlineStr">
        <is>
          <t>Europe</t>
        </is>
      </c>
      <c r="C808" s="392">
        <f>CONCATENATE(A808,B808)</f>
        <v/>
      </c>
      <c r="D808" s="2782" t="n">
        <v>4.7</v>
      </c>
      <c r="E808" s="2782">
        <f>D808</f>
        <v/>
      </c>
      <c r="F808" s="2782">
        <f>E808</f>
        <v/>
      </c>
      <c r="G808" s="2794">
        <f>16.1*0.47</f>
        <v/>
      </c>
      <c r="H808" s="2776" t="n">
        <v>0</v>
      </c>
      <c r="I808" s="492">
        <f>E229+E448</f>
        <v/>
      </c>
      <c r="J808" s="492">
        <f>F229+F448</f>
        <v/>
      </c>
      <c r="K808" s="492">
        <f>G229+G448</f>
        <v/>
      </c>
      <c r="L808" s="492">
        <f>H229+H448</f>
        <v/>
      </c>
      <c r="M808" s="492">
        <f>I229+I448</f>
        <v/>
      </c>
      <c r="N808" s="492">
        <f>J229+J448</f>
        <v/>
      </c>
      <c r="O808" s="492">
        <f>K229+K448</f>
        <v/>
      </c>
      <c r="P808" s="492">
        <f>L229+L448</f>
        <v/>
      </c>
      <c r="Q808" s="471">
        <f>M229+M448</f>
        <v/>
      </c>
      <c r="R808" s="751" t="n">
        <v>1</v>
      </c>
      <c r="S808" s="392">
        <f>N229+N448</f>
        <v/>
      </c>
      <c r="T808" s="392">
        <f>O229+O448</f>
        <v/>
      </c>
      <c r="U808" s="392">
        <f>Q229+Q448</f>
        <v/>
      </c>
      <c r="V808" s="392">
        <f>T229+T448</f>
        <v/>
      </c>
      <c r="W808" s="392">
        <f>P229+P448</f>
        <v/>
      </c>
      <c r="X808" s="392">
        <f>R229+R448</f>
        <v/>
      </c>
      <c r="Y808" s="392">
        <f>S229+S448</f>
        <v/>
      </c>
    </row>
    <row r="809" customFormat="1" s="16">
      <c r="A809" s="392" t="inlineStr">
        <is>
          <t>Tropical Wet</t>
        </is>
      </c>
      <c r="B809" s="2781" t="inlineStr">
        <is>
          <t>Oceania</t>
        </is>
      </c>
      <c r="C809" s="392">
        <f>CONCATENATE(A809,B809)</f>
        <v/>
      </c>
      <c r="D809" s="2782" t="n">
        <v>4.7</v>
      </c>
      <c r="E809" s="2782">
        <f>D809</f>
        <v/>
      </c>
      <c r="F809" s="2782">
        <f>E809</f>
        <v/>
      </c>
      <c r="G809" s="2794">
        <f>16.1*0.47</f>
        <v/>
      </c>
      <c r="H809" s="2776" t="n">
        <v>0</v>
      </c>
      <c r="I809" s="492">
        <f>E230+E449</f>
        <v/>
      </c>
      <c r="J809" s="492">
        <f>F230+F449</f>
        <v/>
      </c>
      <c r="K809" s="492">
        <f>G230+G449</f>
        <v/>
      </c>
      <c r="L809" s="492">
        <f>H230+H449</f>
        <v/>
      </c>
      <c r="M809" s="492">
        <f>I230+I449</f>
        <v/>
      </c>
      <c r="N809" s="492">
        <f>J230+J449</f>
        <v/>
      </c>
      <c r="O809" s="492">
        <f>K230+K449</f>
        <v/>
      </c>
      <c r="P809" s="492">
        <f>L230+L449</f>
        <v/>
      </c>
      <c r="Q809" s="471">
        <f>M230+M449</f>
        <v/>
      </c>
      <c r="R809" s="751" t="n">
        <v>1</v>
      </c>
      <c r="S809" s="392">
        <f>N230+N449</f>
        <v/>
      </c>
      <c r="T809" s="392">
        <f>O230+O449</f>
        <v/>
      </c>
      <c r="U809" s="392">
        <f>Q230+Q449</f>
        <v/>
      </c>
      <c r="V809" s="392">
        <f>T230+T449</f>
        <v/>
      </c>
      <c r="W809" s="392">
        <f>P230+P449</f>
        <v/>
      </c>
      <c r="X809" s="392">
        <f>R230+R449</f>
        <v/>
      </c>
      <c r="Y809" s="392">
        <f>S230+S449</f>
        <v/>
      </c>
    </row>
    <row r="810" customFormat="1" s="16">
      <c r="A810" s="392" t="inlineStr">
        <is>
          <t>Tropical Wet</t>
        </is>
      </c>
      <c r="B810" s="2781" t="inlineStr">
        <is>
          <t>North America</t>
        </is>
      </c>
      <c r="C810" s="392">
        <f>CONCATENATE(A810,B810)</f>
        <v/>
      </c>
      <c r="D810" s="2782" t="n">
        <v>4.7</v>
      </c>
      <c r="E810" s="2782">
        <f>D810</f>
        <v/>
      </c>
      <c r="F810" s="2782">
        <f>E810</f>
        <v/>
      </c>
      <c r="G810" s="2794">
        <f>16.1*0.47</f>
        <v/>
      </c>
      <c r="H810" s="2776" t="n">
        <v>0</v>
      </c>
      <c r="I810" s="492">
        <f>E231+E450</f>
        <v/>
      </c>
      <c r="J810" s="492">
        <f>F231+F450</f>
        <v/>
      </c>
      <c r="K810" s="492">
        <f>G231+G450</f>
        <v/>
      </c>
      <c r="L810" s="492">
        <f>H231+H450</f>
        <v/>
      </c>
      <c r="M810" s="492">
        <f>I231+I450</f>
        <v/>
      </c>
      <c r="N810" s="492">
        <f>J231+J450</f>
        <v/>
      </c>
      <c r="O810" s="492">
        <f>K231+K450</f>
        <v/>
      </c>
      <c r="P810" s="492">
        <f>L231+L450</f>
        <v/>
      </c>
      <c r="Q810" s="471">
        <f>M231+M450</f>
        <v/>
      </c>
      <c r="R810" s="751" t="n">
        <v>1</v>
      </c>
      <c r="S810" s="392">
        <f>N231+N450</f>
        <v/>
      </c>
      <c r="T810" s="392">
        <f>O231+O450</f>
        <v/>
      </c>
      <c r="U810" s="392">
        <f>Q231+Q450</f>
        <v/>
      </c>
      <c r="V810" s="392">
        <f>T231+T450</f>
        <v/>
      </c>
      <c r="W810" s="392">
        <f>P231+P450</f>
        <v/>
      </c>
      <c r="X810" s="392">
        <f>R231+R450</f>
        <v/>
      </c>
      <c r="Y810" s="392">
        <f>S231+S450</f>
        <v/>
      </c>
    </row>
    <row r="811" customFormat="1" s="16">
      <c r="A811" s="392" t="inlineStr">
        <is>
          <t>Tropical Wet</t>
        </is>
      </c>
      <c r="B811" s="2781" t="inlineStr">
        <is>
          <t>South America</t>
        </is>
      </c>
      <c r="C811" s="392">
        <f>CONCATENATE(A811,B811)</f>
        <v/>
      </c>
      <c r="D811" s="2782" t="n">
        <v>4.7</v>
      </c>
      <c r="E811" s="2782">
        <f>D811</f>
        <v/>
      </c>
      <c r="F811" s="2782">
        <f>E811</f>
        <v/>
      </c>
      <c r="G811" s="2794">
        <f>16.1*0.47</f>
        <v/>
      </c>
      <c r="H811" s="2776" t="n">
        <v>0</v>
      </c>
      <c r="I811" s="492">
        <f>E232+E451</f>
        <v/>
      </c>
      <c r="J811" s="492">
        <f>F232+F451</f>
        <v/>
      </c>
      <c r="K811" s="492">
        <f>G232+G451</f>
        <v/>
      </c>
      <c r="L811" s="492">
        <f>H232+H451</f>
        <v/>
      </c>
      <c r="M811" s="492">
        <f>I232+I451</f>
        <v/>
      </c>
      <c r="N811" s="492">
        <f>J232+J451</f>
        <v/>
      </c>
      <c r="O811" s="492">
        <f>K232+K451</f>
        <v/>
      </c>
      <c r="P811" s="492">
        <f>L232+L451</f>
        <v/>
      </c>
      <c r="Q811" s="471">
        <f>M232+M451</f>
        <v/>
      </c>
      <c r="R811" s="751" t="n">
        <v>1</v>
      </c>
      <c r="S811" s="392">
        <f>N232+N451</f>
        <v/>
      </c>
      <c r="T811" s="392">
        <f>O232+O451</f>
        <v/>
      </c>
      <c r="U811" s="392">
        <f>Q232+Q451</f>
        <v/>
      </c>
      <c r="V811" s="392">
        <f>T232+T451</f>
        <v/>
      </c>
      <c r="W811" s="392">
        <f>P232+P451</f>
        <v/>
      </c>
      <c r="X811" s="392">
        <f>R232+R451</f>
        <v/>
      </c>
      <c r="Y811" s="392">
        <f>S232+S451</f>
        <v/>
      </c>
    </row>
    <row r="812" customFormat="1" s="16">
      <c r="A812" s="392" t="inlineStr">
        <is>
          <t>Tropical Wet</t>
        </is>
      </c>
      <c r="B812" s="2781" t="inlineStr">
        <is>
          <t>Central America</t>
        </is>
      </c>
      <c r="C812" s="392">
        <f>CONCATENATE(A812,B812)</f>
        <v/>
      </c>
      <c r="D812" s="2782" t="n">
        <v>4.7</v>
      </c>
      <c r="E812" s="2782">
        <f>D812</f>
        <v/>
      </c>
      <c r="F812" s="2782">
        <f>E812</f>
        <v/>
      </c>
      <c r="G812" s="2794">
        <f>16.1*0.47</f>
        <v/>
      </c>
      <c r="H812" s="2776" t="n">
        <v>0</v>
      </c>
      <c r="I812" s="492">
        <f>E233+E452</f>
        <v/>
      </c>
      <c r="J812" s="492">
        <f>F233+F452</f>
        <v/>
      </c>
      <c r="K812" s="492">
        <f>G233+G452</f>
        <v/>
      </c>
      <c r="L812" s="492">
        <f>H233+H452</f>
        <v/>
      </c>
      <c r="M812" s="492">
        <f>I233+I452</f>
        <v/>
      </c>
      <c r="N812" s="492">
        <f>J233+J452</f>
        <v/>
      </c>
      <c r="O812" s="492">
        <f>K233+K452</f>
        <v/>
      </c>
      <c r="P812" s="492">
        <f>L233+L452</f>
        <v/>
      </c>
      <c r="Q812" s="471">
        <f>M233+M452</f>
        <v/>
      </c>
      <c r="R812" s="751" t="n">
        <v>1</v>
      </c>
      <c r="S812" s="392">
        <f>N233+N452</f>
        <v/>
      </c>
      <c r="T812" s="392">
        <f>O233+O452</f>
        <v/>
      </c>
      <c r="U812" s="392">
        <f>Q233+Q452</f>
        <v/>
      </c>
      <c r="V812" s="392">
        <f>T233+T452</f>
        <v/>
      </c>
      <c r="W812" s="392">
        <f>P233+P452</f>
        <v/>
      </c>
      <c r="X812" s="392">
        <f>R233+R452</f>
        <v/>
      </c>
      <c r="Y812" s="392">
        <f>S233+S452</f>
        <v/>
      </c>
    </row>
    <row r="813" customFormat="1" s="2790">
      <c r="A813" s="2784" t="inlineStr">
        <is>
          <t>Tropical Wet</t>
        </is>
      </c>
      <c r="B813" s="2785" t="inlineStr">
        <is>
          <t>Caribbean</t>
        </is>
      </c>
      <c r="C813" s="2784">
        <f>CONCATENATE(A813,B813)</f>
        <v/>
      </c>
      <c r="D813" s="2786" t="n">
        <v>4.7</v>
      </c>
      <c r="E813" s="2786">
        <f>D813</f>
        <v/>
      </c>
      <c r="F813" s="2786">
        <f>E813</f>
        <v/>
      </c>
      <c r="G813" s="2794">
        <f>16.1*0.47</f>
        <v/>
      </c>
      <c r="H813" s="2787" t="n">
        <v>0</v>
      </c>
      <c r="I813" s="492">
        <f>E234+E453</f>
        <v/>
      </c>
      <c r="J813" s="2788">
        <f>F234+F453</f>
        <v/>
      </c>
      <c r="K813" s="2788">
        <f>G234+G453</f>
        <v/>
      </c>
      <c r="L813" s="492">
        <f>H234+H453</f>
        <v/>
      </c>
      <c r="M813" s="2788">
        <f>I234+I453</f>
        <v/>
      </c>
      <c r="N813" s="2788">
        <f>J234+J453</f>
        <v/>
      </c>
      <c r="O813" s="2788">
        <f>K234+K453</f>
        <v/>
      </c>
      <c r="P813" s="492">
        <f>L234+L453</f>
        <v/>
      </c>
      <c r="Q813" s="471">
        <f>M234+M453</f>
        <v/>
      </c>
      <c r="R813" s="752" t="n">
        <v>1</v>
      </c>
      <c r="S813" s="2784">
        <f>N234+N453</f>
        <v/>
      </c>
      <c r="T813" s="2784">
        <f>O234+O453</f>
        <v/>
      </c>
      <c r="U813" s="2784">
        <f>Q234+Q453</f>
        <v/>
      </c>
      <c r="V813" s="2784">
        <f>T234+T453</f>
        <v/>
      </c>
      <c r="W813" s="2784">
        <f>P234+P453</f>
        <v/>
      </c>
      <c r="X813" s="2784">
        <f>R234+R453</f>
        <v/>
      </c>
      <c r="Y813" s="2784">
        <f>S234+S453</f>
        <v/>
      </c>
    </row>
    <row r="814" customFormat="1" s="2780">
      <c r="A814" s="2773" t="inlineStr">
        <is>
          <t>Boreal Dry</t>
        </is>
      </c>
      <c r="B814" s="2800" t="inlineStr">
        <is>
          <t>Eastern Africa</t>
        </is>
      </c>
      <c r="C814" s="2773">
        <f>CONCATENATE(A814,B814)</f>
        <v/>
      </c>
      <c r="D814" s="2775" t="n">
        <v>4.7</v>
      </c>
      <c r="E814" s="2775">
        <f>D814</f>
        <v/>
      </c>
      <c r="F814" s="2775">
        <f>E814</f>
        <v/>
      </c>
      <c r="G814" s="2792">
        <f>8.5*0.47</f>
        <v/>
      </c>
      <c r="H814" s="2777" t="n">
        <v>0</v>
      </c>
      <c r="I814" s="491">
        <f>E235+E470</f>
        <v/>
      </c>
      <c r="J814" s="2801" t="n"/>
      <c r="K814" s="2779" t="n"/>
      <c r="L814" s="491">
        <f>H235+H470</f>
        <v/>
      </c>
      <c r="M814" s="2801" t="n"/>
      <c r="N814" s="2773" t="n"/>
      <c r="O814" s="2779" t="n"/>
      <c r="P814" s="490">
        <f>L235+L470</f>
        <v/>
      </c>
      <c r="Q814" s="491">
        <f>M235+M470</f>
        <v/>
      </c>
      <c r="R814" s="552" t="n">
        <v>1</v>
      </c>
      <c r="S814" s="392">
        <f>N235+N470</f>
        <v/>
      </c>
      <c r="T814" s="392">
        <f>O235+O470</f>
        <v/>
      </c>
      <c r="U814" s="392">
        <f>Q235+Q470</f>
        <v/>
      </c>
      <c r="V814" s="392">
        <f>T235+T470</f>
        <v/>
      </c>
      <c r="W814" s="392">
        <f>P235+P470</f>
        <v/>
      </c>
      <c r="X814" s="392">
        <f>R235+R470</f>
        <v/>
      </c>
      <c r="Y814" s="2802">
        <f>S235+S470</f>
        <v/>
      </c>
    </row>
    <row r="815" customFormat="1" s="16">
      <c r="A815" s="392" t="inlineStr">
        <is>
          <t>Boreal Dry</t>
        </is>
      </c>
      <c r="B815" s="2803" t="inlineStr">
        <is>
          <t>Central Africa</t>
        </is>
      </c>
      <c r="C815" s="392">
        <f>CONCATENATE(A815,B815)</f>
        <v/>
      </c>
      <c r="D815" s="2782" t="n">
        <v>4.7</v>
      </c>
      <c r="E815" s="2782">
        <f>D815</f>
        <v/>
      </c>
      <c r="F815" s="2782">
        <f>E815</f>
        <v/>
      </c>
      <c r="G815" s="2794">
        <f>8.5*0.47</f>
        <v/>
      </c>
      <c r="H815" s="2776" t="n">
        <v>0</v>
      </c>
      <c r="I815" s="471">
        <f>E236+E471</f>
        <v/>
      </c>
      <c r="J815" s="2802" t="n"/>
      <c r="K815" s="2783" t="n"/>
      <c r="L815" s="471">
        <f>H236+H471</f>
        <v/>
      </c>
      <c r="M815" s="2802" t="n"/>
      <c r="N815" s="392" t="n"/>
      <c r="O815" s="2783" t="n"/>
      <c r="P815" s="492">
        <f>L236+L471</f>
        <v/>
      </c>
      <c r="Q815" s="471">
        <f>M236+M471</f>
        <v/>
      </c>
      <c r="R815" s="553" t="n">
        <v>1</v>
      </c>
      <c r="S815" s="392">
        <f>N236+N471</f>
        <v/>
      </c>
      <c r="T815" s="392">
        <f>O236+O471</f>
        <v/>
      </c>
      <c r="U815" s="392">
        <f>Q236+Q471</f>
        <v/>
      </c>
      <c r="V815" s="392">
        <f>T236+T471</f>
        <v/>
      </c>
      <c r="W815" s="392">
        <f>P236+P471</f>
        <v/>
      </c>
      <c r="X815" s="392">
        <f>R236+R471</f>
        <v/>
      </c>
      <c r="Y815" s="2802">
        <f>S236+S471</f>
        <v/>
      </c>
    </row>
    <row r="816" customFormat="1" s="16">
      <c r="A816" s="392" t="inlineStr">
        <is>
          <t>Boreal Dry</t>
        </is>
      </c>
      <c r="B816" s="2803" t="inlineStr">
        <is>
          <t>Northern Africa</t>
        </is>
      </c>
      <c r="C816" s="392">
        <f>CONCATENATE(A816,B816)</f>
        <v/>
      </c>
      <c r="D816" s="2782" t="n">
        <v>4.7</v>
      </c>
      <c r="E816" s="2782">
        <f>D816</f>
        <v/>
      </c>
      <c r="F816" s="2782">
        <f>E816</f>
        <v/>
      </c>
      <c r="G816" s="2794">
        <f>8.5*0.47</f>
        <v/>
      </c>
      <c r="H816" s="2776" t="n">
        <v>0</v>
      </c>
      <c r="I816" s="471">
        <f>E237+E472</f>
        <v/>
      </c>
      <c r="J816" s="2802" t="n"/>
      <c r="K816" s="2783" t="n"/>
      <c r="L816" s="471">
        <f>H237+H472</f>
        <v/>
      </c>
      <c r="M816" s="2802" t="n"/>
      <c r="N816" s="392" t="n"/>
      <c r="O816" s="2783" t="n"/>
      <c r="P816" s="492">
        <f>L237+L472</f>
        <v/>
      </c>
      <c r="Q816" s="471">
        <f>M237+M472</f>
        <v/>
      </c>
      <c r="R816" s="553" t="n">
        <v>1</v>
      </c>
      <c r="S816" s="392">
        <f>N237+N472</f>
        <v/>
      </c>
      <c r="T816" s="392">
        <f>O237+O472</f>
        <v/>
      </c>
      <c r="U816" s="392">
        <f>Q237+Q472</f>
        <v/>
      </c>
      <c r="V816" s="392">
        <f>T237+T472</f>
        <v/>
      </c>
      <c r="W816" s="392">
        <f>P237+P472</f>
        <v/>
      </c>
      <c r="X816" s="392">
        <f>R237+R472</f>
        <v/>
      </c>
      <c r="Y816" s="2802">
        <f>S237+S472</f>
        <v/>
      </c>
    </row>
    <row r="817" customFormat="1" s="16">
      <c r="A817" s="392" t="inlineStr">
        <is>
          <t>Boreal Dry</t>
        </is>
      </c>
      <c r="B817" s="2803" t="inlineStr">
        <is>
          <t>Southern Africa</t>
        </is>
      </c>
      <c r="C817" s="392">
        <f>CONCATENATE(A817,B817)</f>
        <v/>
      </c>
      <c r="D817" s="2782" t="n">
        <v>4.7</v>
      </c>
      <c r="E817" s="2782">
        <f>D817</f>
        <v/>
      </c>
      <c r="F817" s="2782">
        <f>E817</f>
        <v/>
      </c>
      <c r="G817" s="2794">
        <f>8.5*0.47</f>
        <v/>
      </c>
      <c r="H817" s="2776" t="n">
        <v>0</v>
      </c>
      <c r="I817" s="471">
        <f>E238+E473</f>
        <v/>
      </c>
      <c r="J817" s="2802" t="n"/>
      <c r="K817" s="2783" t="n"/>
      <c r="L817" s="471">
        <f>H238+H473</f>
        <v/>
      </c>
      <c r="M817" s="2802" t="n"/>
      <c r="N817" s="392" t="n"/>
      <c r="O817" s="2783" t="n"/>
      <c r="P817" s="492">
        <f>L238+L473</f>
        <v/>
      </c>
      <c r="Q817" s="471">
        <f>M238+M473</f>
        <v/>
      </c>
      <c r="R817" s="553" t="n">
        <v>1</v>
      </c>
      <c r="S817" s="392">
        <f>N238+N473</f>
        <v/>
      </c>
      <c r="T817" s="392">
        <f>O238+O473</f>
        <v/>
      </c>
      <c r="U817" s="392">
        <f>Q238+Q473</f>
        <v/>
      </c>
      <c r="V817" s="392">
        <f>T238+T473</f>
        <v/>
      </c>
      <c r="W817" s="392">
        <f>P238+P473</f>
        <v/>
      </c>
      <c r="X817" s="392">
        <f>R238+R473</f>
        <v/>
      </c>
      <c r="Y817" s="2802">
        <f>S238+S473</f>
        <v/>
      </c>
    </row>
    <row r="818" customFormat="1" s="16">
      <c r="A818" s="392" t="inlineStr">
        <is>
          <t>Boreal Dry</t>
        </is>
      </c>
      <c r="B818" s="2803" t="inlineStr">
        <is>
          <t>Western Africa</t>
        </is>
      </c>
      <c r="C818" s="392">
        <f>CONCATENATE(A818,B818)</f>
        <v/>
      </c>
      <c r="D818" s="2782" t="n">
        <v>4.7</v>
      </c>
      <c r="E818" s="2782">
        <f>D818</f>
        <v/>
      </c>
      <c r="F818" s="2782">
        <f>E818</f>
        <v/>
      </c>
      <c r="G818" s="2794">
        <f>8.5*0.47</f>
        <v/>
      </c>
      <c r="H818" s="2776" t="n">
        <v>0</v>
      </c>
      <c r="I818" s="471">
        <f>E239+E474</f>
        <v/>
      </c>
      <c r="J818" s="2802" t="n"/>
      <c r="K818" s="2783" t="n"/>
      <c r="L818" s="471">
        <f>H239+H474</f>
        <v/>
      </c>
      <c r="M818" s="2802" t="n"/>
      <c r="N818" s="392" t="n"/>
      <c r="O818" s="2783" t="n"/>
      <c r="P818" s="492">
        <f>L239+L474</f>
        <v/>
      </c>
      <c r="Q818" s="471">
        <f>M239+M474</f>
        <v/>
      </c>
      <c r="R818" s="553" t="n">
        <v>1</v>
      </c>
      <c r="S818" s="392">
        <f>N239+N474</f>
        <v/>
      </c>
      <c r="T818" s="392">
        <f>O239+O474</f>
        <v/>
      </c>
      <c r="U818" s="392">
        <f>Q239+Q474</f>
        <v/>
      </c>
      <c r="V818" s="392">
        <f>T239+T474</f>
        <v/>
      </c>
      <c r="W818" s="392">
        <f>P239+P474</f>
        <v/>
      </c>
      <c r="X818" s="392">
        <f>R239+R474</f>
        <v/>
      </c>
      <c r="Y818" s="2802">
        <f>S239+S474</f>
        <v/>
      </c>
    </row>
    <row r="819" customFormat="1" s="16">
      <c r="A819" s="392" t="inlineStr">
        <is>
          <t>Boreal Dry</t>
        </is>
      </c>
      <c r="B819" s="2803" t="inlineStr">
        <is>
          <t>Central Asia</t>
        </is>
      </c>
      <c r="C819" s="392">
        <f>CONCATENATE(A819,B819)</f>
        <v/>
      </c>
      <c r="D819" s="2782" t="n">
        <v>4.7</v>
      </c>
      <c r="E819" s="2782">
        <f>D819</f>
        <v/>
      </c>
      <c r="F819" s="2782">
        <f>E819</f>
        <v/>
      </c>
      <c r="G819" s="2794">
        <f>8.5*0.47</f>
        <v/>
      </c>
      <c r="H819" s="2776" t="n">
        <v>0</v>
      </c>
      <c r="I819" s="471">
        <f>E240+E475</f>
        <v/>
      </c>
      <c r="J819" s="2802" t="n"/>
      <c r="K819" s="2783" t="n"/>
      <c r="L819" s="471">
        <f>H240+H475</f>
        <v/>
      </c>
      <c r="M819" s="2802" t="n"/>
      <c r="N819" s="392" t="n"/>
      <c r="O819" s="2783" t="n"/>
      <c r="P819" s="492">
        <f>L240+L475</f>
        <v/>
      </c>
      <c r="Q819" s="471">
        <f>M240+M475</f>
        <v/>
      </c>
      <c r="R819" s="553" t="n">
        <v>1</v>
      </c>
      <c r="S819" s="392">
        <f>N240+N475</f>
        <v/>
      </c>
      <c r="T819" s="392">
        <f>O240+O475</f>
        <v/>
      </c>
      <c r="U819" s="392">
        <f>Q240+Q475</f>
        <v/>
      </c>
      <c r="V819" s="392">
        <f>T240+T475</f>
        <v/>
      </c>
      <c r="W819" s="392">
        <f>P240+P475</f>
        <v/>
      </c>
      <c r="X819" s="392">
        <f>R240+R475</f>
        <v/>
      </c>
      <c r="Y819" s="2802">
        <f>S240+S475</f>
        <v/>
      </c>
    </row>
    <row r="820" customFormat="1" s="16">
      <c r="A820" s="392" t="inlineStr">
        <is>
          <t>Boreal Dry</t>
        </is>
      </c>
      <c r="B820" s="2803" t="inlineStr">
        <is>
          <t>Eastern Asia</t>
        </is>
      </c>
      <c r="C820" s="392">
        <f>CONCATENATE(A820,B820)</f>
        <v/>
      </c>
      <c r="D820" s="2782" t="n">
        <v>4.7</v>
      </c>
      <c r="E820" s="2782">
        <f>D820</f>
        <v/>
      </c>
      <c r="F820" s="2782">
        <f>E820</f>
        <v/>
      </c>
      <c r="G820" s="2794">
        <f>8.5*0.47</f>
        <v/>
      </c>
      <c r="H820" s="2776" t="n">
        <v>0</v>
      </c>
      <c r="I820" s="471">
        <f>E241+E476</f>
        <v/>
      </c>
      <c r="J820" s="2802" t="n"/>
      <c r="K820" s="2783" t="n"/>
      <c r="L820" s="471">
        <f>H241+H476</f>
        <v/>
      </c>
      <c r="M820" s="2802" t="n"/>
      <c r="N820" s="392" t="n"/>
      <c r="O820" s="2783" t="n"/>
      <c r="P820" s="492">
        <f>L241+L476</f>
        <v/>
      </c>
      <c r="Q820" s="471">
        <f>M241+M476</f>
        <v/>
      </c>
      <c r="R820" s="553" t="n">
        <v>1</v>
      </c>
      <c r="S820" s="392">
        <f>N241+N476</f>
        <v/>
      </c>
      <c r="T820" s="392">
        <f>O241+O476</f>
        <v/>
      </c>
      <c r="U820" s="392">
        <f>Q241+Q476</f>
        <v/>
      </c>
      <c r="V820" s="392">
        <f>T241+T476</f>
        <v/>
      </c>
      <c r="W820" s="392">
        <f>P241+P476</f>
        <v/>
      </c>
      <c r="X820" s="392">
        <f>R241+R476</f>
        <v/>
      </c>
      <c r="Y820" s="2802">
        <f>S241+S476</f>
        <v/>
      </c>
    </row>
    <row r="821" customFormat="1" s="16">
      <c r="A821" s="392" t="inlineStr">
        <is>
          <t>Boreal Dry</t>
        </is>
      </c>
      <c r="B821" s="2803" t="inlineStr">
        <is>
          <t>South-eastern Asia</t>
        </is>
      </c>
      <c r="C821" s="392">
        <f>CONCATENATE(A821,B821)</f>
        <v/>
      </c>
      <c r="D821" s="2782" t="n">
        <v>4.7</v>
      </c>
      <c r="E821" s="2782">
        <f>D821</f>
        <v/>
      </c>
      <c r="F821" s="2782">
        <f>E821</f>
        <v/>
      </c>
      <c r="G821" s="2794">
        <f>8.5*0.47</f>
        <v/>
      </c>
      <c r="H821" s="2776" t="n">
        <v>0</v>
      </c>
      <c r="I821" s="471">
        <f>E242+E477</f>
        <v/>
      </c>
      <c r="J821" s="2802" t="n"/>
      <c r="K821" s="2783" t="n"/>
      <c r="L821" s="471">
        <f>H242+H477</f>
        <v/>
      </c>
      <c r="M821" s="2802" t="n"/>
      <c r="N821" s="392" t="n"/>
      <c r="O821" s="2783" t="n"/>
      <c r="P821" s="492">
        <f>L242+L477</f>
        <v/>
      </c>
      <c r="Q821" s="471">
        <f>M242+M477</f>
        <v/>
      </c>
      <c r="R821" s="553" t="n">
        <v>1</v>
      </c>
      <c r="S821" s="392">
        <f>N242+N477</f>
        <v/>
      </c>
      <c r="T821" s="392">
        <f>O242+O477</f>
        <v/>
      </c>
      <c r="U821" s="392">
        <f>Q242+Q477</f>
        <v/>
      </c>
      <c r="V821" s="392">
        <f>T242+T477</f>
        <v/>
      </c>
      <c r="W821" s="392">
        <f>P242+P477</f>
        <v/>
      </c>
      <c r="X821" s="392">
        <f>R242+R477</f>
        <v/>
      </c>
      <c r="Y821" s="2802">
        <f>S242+S477</f>
        <v/>
      </c>
    </row>
    <row r="822" customFormat="1" s="16">
      <c r="A822" s="392" t="inlineStr">
        <is>
          <t>Boreal Dry</t>
        </is>
      </c>
      <c r="B822" s="2803" t="inlineStr">
        <is>
          <t>Southern Asia</t>
        </is>
      </c>
      <c r="C822" s="392">
        <f>CONCATENATE(A822,B822)</f>
        <v/>
      </c>
      <c r="D822" s="2782" t="n">
        <v>4.7</v>
      </c>
      <c r="E822" s="2782">
        <f>D822</f>
        <v/>
      </c>
      <c r="F822" s="2782">
        <f>E822</f>
        <v/>
      </c>
      <c r="G822" s="2794">
        <f>8.5*0.47</f>
        <v/>
      </c>
      <c r="H822" s="2776" t="n">
        <v>0</v>
      </c>
      <c r="I822" s="471">
        <f>E243+E478</f>
        <v/>
      </c>
      <c r="J822" s="2802" t="n"/>
      <c r="K822" s="2783" t="n"/>
      <c r="L822" s="471">
        <f>H243+H478</f>
        <v/>
      </c>
      <c r="M822" s="2802" t="n"/>
      <c r="N822" s="392" t="n"/>
      <c r="O822" s="2783" t="n"/>
      <c r="P822" s="492">
        <f>L243+L478</f>
        <v/>
      </c>
      <c r="Q822" s="471">
        <f>M243+M478</f>
        <v/>
      </c>
      <c r="R822" s="553" t="n">
        <v>1</v>
      </c>
      <c r="S822" s="392">
        <f>N243+N478</f>
        <v/>
      </c>
      <c r="T822" s="392">
        <f>O243+O478</f>
        <v/>
      </c>
      <c r="U822" s="392">
        <f>Q243+Q478</f>
        <v/>
      </c>
      <c r="V822" s="392">
        <f>T243+T478</f>
        <v/>
      </c>
      <c r="W822" s="392">
        <f>P243+P478</f>
        <v/>
      </c>
      <c r="X822" s="392">
        <f>R243+R478</f>
        <v/>
      </c>
      <c r="Y822" s="2802">
        <f>S243+S478</f>
        <v/>
      </c>
    </row>
    <row r="823" customFormat="1" s="16">
      <c r="A823" s="392" t="inlineStr">
        <is>
          <t>Boreal Dry</t>
        </is>
      </c>
      <c r="B823" s="2803" t="inlineStr">
        <is>
          <t>Western Asia</t>
        </is>
      </c>
      <c r="C823" s="392">
        <f>CONCATENATE(A823,B823)</f>
        <v/>
      </c>
      <c r="D823" s="2782" t="n">
        <v>4.7</v>
      </c>
      <c r="E823" s="2782">
        <f>D823</f>
        <v/>
      </c>
      <c r="F823" s="2782">
        <f>E823</f>
        <v/>
      </c>
      <c r="G823" s="2794">
        <f>8.5*0.47</f>
        <v/>
      </c>
      <c r="H823" s="2776" t="n">
        <v>0</v>
      </c>
      <c r="I823" s="471">
        <f>E244+E479</f>
        <v/>
      </c>
      <c r="J823" s="2802" t="n"/>
      <c r="K823" s="2783" t="n"/>
      <c r="L823" s="471">
        <f>H244+H479</f>
        <v/>
      </c>
      <c r="M823" s="2802" t="n"/>
      <c r="N823" s="392" t="n"/>
      <c r="O823" s="2783" t="n"/>
      <c r="P823" s="492">
        <f>L244+L479</f>
        <v/>
      </c>
      <c r="Q823" s="471">
        <f>M244+M479</f>
        <v/>
      </c>
      <c r="R823" s="553" t="n">
        <v>1</v>
      </c>
      <c r="S823" s="392">
        <f>N244+N479</f>
        <v/>
      </c>
      <c r="T823" s="392">
        <f>O244+O479</f>
        <v/>
      </c>
      <c r="U823" s="392">
        <f>Q244+Q479</f>
        <v/>
      </c>
      <c r="V823" s="392">
        <f>T244+T479</f>
        <v/>
      </c>
      <c r="W823" s="392">
        <f>P244+P479</f>
        <v/>
      </c>
      <c r="X823" s="392">
        <f>R244+R479</f>
        <v/>
      </c>
      <c r="Y823" s="2802">
        <f>S244+S479</f>
        <v/>
      </c>
    </row>
    <row r="824" customFormat="1" s="16">
      <c r="A824" s="392" t="inlineStr">
        <is>
          <t>Boreal Dry</t>
        </is>
      </c>
      <c r="B824" s="2803" t="inlineStr">
        <is>
          <t>Europe</t>
        </is>
      </c>
      <c r="C824" s="392">
        <f>CONCATENATE(A824,B824)</f>
        <v/>
      </c>
      <c r="D824" s="2782" t="n">
        <v>4.7</v>
      </c>
      <c r="E824" s="2782">
        <f>D824</f>
        <v/>
      </c>
      <c r="F824" s="2782">
        <f>E824</f>
        <v/>
      </c>
      <c r="G824" s="2794">
        <f>8.5*0.47</f>
        <v/>
      </c>
      <c r="H824" s="2776" t="n">
        <v>0</v>
      </c>
      <c r="I824" s="471">
        <f>E245+E480</f>
        <v/>
      </c>
      <c r="J824" s="2802" t="n"/>
      <c r="K824" s="2783" t="n"/>
      <c r="L824" s="471">
        <f>H245+H480</f>
        <v/>
      </c>
      <c r="M824" s="2802" t="n"/>
      <c r="N824" s="392" t="n"/>
      <c r="O824" s="2783" t="n"/>
      <c r="P824" s="492">
        <f>L245+L480</f>
        <v/>
      </c>
      <c r="Q824" s="471">
        <f>M245+M480</f>
        <v/>
      </c>
      <c r="R824" s="553" t="n">
        <v>1</v>
      </c>
      <c r="S824" s="392">
        <f>N245+N480</f>
        <v/>
      </c>
      <c r="T824" s="392">
        <f>O245+O480</f>
        <v/>
      </c>
      <c r="U824" s="392">
        <f>Q245+Q480</f>
        <v/>
      </c>
      <c r="V824" s="392">
        <f>T245+T480</f>
        <v/>
      </c>
      <c r="W824" s="392">
        <f>P245+P480</f>
        <v/>
      </c>
      <c r="X824" s="392">
        <f>R245+R480</f>
        <v/>
      </c>
      <c r="Y824" s="2802">
        <f>S245+S480</f>
        <v/>
      </c>
    </row>
    <row r="825" customFormat="1" s="16">
      <c r="A825" s="392" t="inlineStr">
        <is>
          <t>Boreal Dry</t>
        </is>
      </c>
      <c r="B825" s="2803" t="inlineStr">
        <is>
          <t>Oceania</t>
        </is>
      </c>
      <c r="C825" s="392">
        <f>CONCATENATE(A825,B825)</f>
        <v/>
      </c>
      <c r="D825" s="2782" t="n">
        <v>4.7</v>
      </c>
      <c r="E825" s="2782">
        <f>D825</f>
        <v/>
      </c>
      <c r="F825" s="2782">
        <f>E825</f>
        <v/>
      </c>
      <c r="G825" s="2794">
        <f>8.5*0.47</f>
        <v/>
      </c>
      <c r="H825" s="2776" t="n">
        <v>0</v>
      </c>
      <c r="I825" s="471">
        <f>E246+E481</f>
        <v/>
      </c>
      <c r="J825" s="2802" t="n"/>
      <c r="K825" s="2783" t="n"/>
      <c r="L825" s="471">
        <f>H246+H481</f>
        <v/>
      </c>
      <c r="M825" s="2802" t="n"/>
      <c r="N825" s="392" t="n"/>
      <c r="O825" s="2783" t="n"/>
      <c r="P825" s="492">
        <f>L246+L481</f>
        <v/>
      </c>
      <c r="Q825" s="471">
        <f>M246+M481</f>
        <v/>
      </c>
      <c r="R825" s="553" t="n">
        <v>1</v>
      </c>
      <c r="S825" s="392">
        <f>N246+N481</f>
        <v/>
      </c>
      <c r="T825" s="392">
        <f>O246+O481</f>
        <v/>
      </c>
      <c r="U825" s="392">
        <f>Q246+Q481</f>
        <v/>
      </c>
      <c r="V825" s="392">
        <f>T246+T481</f>
        <v/>
      </c>
      <c r="W825" s="392">
        <f>P246+P481</f>
        <v/>
      </c>
      <c r="X825" s="392">
        <f>R246+R481</f>
        <v/>
      </c>
      <c r="Y825" s="2802">
        <f>S246+S481</f>
        <v/>
      </c>
    </row>
    <row r="826" customFormat="1" s="16">
      <c r="A826" s="392" t="inlineStr">
        <is>
          <t>Boreal Dry</t>
        </is>
      </c>
      <c r="B826" s="2803" t="inlineStr">
        <is>
          <t>North America</t>
        </is>
      </c>
      <c r="C826" s="392">
        <f>CONCATENATE(A826,B826)</f>
        <v/>
      </c>
      <c r="D826" s="2782" t="n">
        <v>4.7</v>
      </c>
      <c r="E826" s="2782">
        <f>D826</f>
        <v/>
      </c>
      <c r="F826" s="2782">
        <f>E826</f>
        <v/>
      </c>
      <c r="G826" s="2794">
        <f>8.5*0.47</f>
        <v/>
      </c>
      <c r="H826" s="2776" t="n">
        <v>0</v>
      </c>
      <c r="I826" s="471">
        <f>E247+E482</f>
        <v/>
      </c>
      <c r="J826" s="2802" t="n"/>
      <c r="K826" s="2783" t="n"/>
      <c r="L826" s="471">
        <f>H247+H482</f>
        <v/>
      </c>
      <c r="M826" s="2802" t="n"/>
      <c r="N826" s="392" t="n"/>
      <c r="O826" s="2783" t="n"/>
      <c r="P826" s="492">
        <f>L247+L482</f>
        <v/>
      </c>
      <c r="Q826" s="471">
        <f>M247+M482</f>
        <v/>
      </c>
      <c r="R826" s="553" t="n">
        <v>1</v>
      </c>
      <c r="S826" s="392">
        <f>N247+N482</f>
        <v/>
      </c>
      <c r="T826" s="392">
        <f>O247+O482</f>
        <v/>
      </c>
      <c r="U826" s="392">
        <f>Q247+Q482</f>
        <v/>
      </c>
      <c r="V826" s="392">
        <f>T247+T482</f>
        <v/>
      </c>
      <c r="W826" s="392">
        <f>P247+P482</f>
        <v/>
      </c>
      <c r="X826" s="392">
        <f>R247+R482</f>
        <v/>
      </c>
      <c r="Y826" s="2802">
        <f>S247+S482</f>
        <v/>
      </c>
    </row>
    <row r="827" customFormat="1" s="16">
      <c r="A827" s="392" t="inlineStr">
        <is>
          <t>Boreal Dry</t>
        </is>
      </c>
      <c r="B827" s="2803" t="inlineStr">
        <is>
          <t>South America</t>
        </is>
      </c>
      <c r="C827" s="392">
        <f>CONCATENATE(A827,B827)</f>
        <v/>
      </c>
      <c r="D827" s="2782" t="n">
        <v>4.7</v>
      </c>
      <c r="E827" s="2782">
        <f>D827</f>
        <v/>
      </c>
      <c r="F827" s="2782">
        <f>E827</f>
        <v/>
      </c>
      <c r="G827" s="2794">
        <f>8.5*0.47</f>
        <v/>
      </c>
      <c r="H827" s="2776" t="n">
        <v>0</v>
      </c>
      <c r="I827" s="471">
        <f>E248+E483</f>
        <v/>
      </c>
      <c r="J827" s="2802" t="n"/>
      <c r="K827" s="2783" t="n"/>
      <c r="L827" s="471">
        <f>H248+H483</f>
        <v/>
      </c>
      <c r="M827" s="2802" t="n"/>
      <c r="N827" s="392" t="n"/>
      <c r="O827" s="2783" t="n"/>
      <c r="P827" s="492">
        <f>L248+L483</f>
        <v/>
      </c>
      <c r="Q827" s="471">
        <f>M248+M483</f>
        <v/>
      </c>
      <c r="R827" s="553" t="n">
        <v>1</v>
      </c>
      <c r="S827" s="392">
        <f>N248+N483</f>
        <v/>
      </c>
      <c r="T827" s="392">
        <f>O248+O483</f>
        <v/>
      </c>
      <c r="U827" s="392">
        <f>Q248+Q483</f>
        <v/>
      </c>
      <c r="V827" s="392">
        <f>T248+T483</f>
        <v/>
      </c>
      <c r="W827" s="392">
        <f>P248+P483</f>
        <v/>
      </c>
      <c r="X827" s="392">
        <f>R248+R483</f>
        <v/>
      </c>
      <c r="Y827" s="2802">
        <f>S248+S483</f>
        <v/>
      </c>
    </row>
    <row r="828" customFormat="1" s="16">
      <c r="A828" s="392" t="inlineStr">
        <is>
          <t>Boreal Dry</t>
        </is>
      </c>
      <c r="B828" s="2803" t="inlineStr">
        <is>
          <t>Central America</t>
        </is>
      </c>
      <c r="C828" s="392">
        <f>CONCATENATE(A828,B828)</f>
        <v/>
      </c>
      <c r="D828" s="2782" t="n">
        <v>4.7</v>
      </c>
      <c r="E828" s="2782">
        <f>D828</f>
        <v/>
      </c>
      <c r="F828" s="2782">
        <f>E828</f>
        <v/>
      </c>
      <c r="G828" s="2794">
        <f>8.5*0.47</f>
        <v/>
      </c>
      <c r="H828" s="2776" t="n">
        <v>0</v>
      </c>
      <c r="I828" s="471">
        <f>E249+E484</f>
        <v/>
      </c>
      <c r="J828" s="2802" t="n"/>
      <c r="K828" s="2783" t="n"/>
      <c r="L828" s="471">
        <f>H249+H484</f>
        <v/>
      </c>
      <c r="M828" s="2802" t="n"/>
      <c r="N828" s="392" t="n"/>
      <c r="O828" s="2783" t="n"/>
      <c r="P828" s="492">
        <f>L249+L484</f>
        <v/>
      </c>
      <c r="Q828" s="471">
        <f>M249+M484</f>
        <v/>
      </c>
      <c r="R828" s="553" t="n">
        <v>1</v>
      </c>
      <c r="S828" s="392">
        <f>N249+N484</f>
        <v/>
      </c>
      <c r="T828" s="392">
        <f>O249+O484</f>
        <v/>
      </c>
      <c r="U828" s="392">
        <f>Q249+Q484</f>
        <v/>
      </c>
      <c r="V828" s="392">
        <f>T249+T484</f>
        <v/>
      </c>
      <c r="W828" s="392">
        <f>P249+P484</f>
        <v/>
      </c>
      <c r="X828" s="392">
        <f>R249+R484</f>
        <v/>
      </c>
      <c r="Y828" s="2802">
        <f>S249+S484</f>
        <v/>
      </c>
    </row>
    <row r="829" customFormat="1" s="2790">
      <c r="A829" s="2784" t="inlineStr">
        <is>
          <t>Boreal Dry</t>
        </is>
      </c>
      <c r="B829" s="2804" t="inlineStr">
        <is>
          <t>Caribbean</t>
        </is>
      </c>
      <c r="C829" s="2784">
        <f>CONCATENATE(A829,B829)</f>
        <v/>
      </c>
      <c r="D829" s="2786" t="n">
        <v>4.7</v>
      </c>
      <c r="E829" s="2786">
        <f>D829</f>
        <v/>
      </c>
      <c r="F829" s="2786">
        <f>E829</f>
        <v/>
      </c>
      <c r="G829" s="2796">
        <f>8.5*0.47</f>
        <v/>
      </c>
      <c r="H829" s="2787" t="n">
        <v>0</v>
      </c>
      <c r="I829" s="536">
        <f>E250+E485</f>
        <v/>
      </c>
      <c r="J829" s="2805" t="n"/>
      <c r="K829" s="2789" t="n"/>
      <c r="L829" s="536">
        <f>H250+H485</f>
        <v/>
      </c>
      <c r="M829" s="2805" t="n"/>
      <c r="N829" s="2784" t="n"/>
      <c r="O829" s="2789" t="n"/>
      <c r="P829" s="2788">
        <f>L250+L485</f>
        <v/>
      </c>
      <c r="Q829" s="536">
        <f>M250+M485</f>
        <v/>
      </c>
      <c r="R829" s="554" t="n">
        <v>1</v>
      </c>
      <c r="S829" s="392">
        <f>N250+N485</f>
        <v/>
      </c>
      <c r="T829" s="392">
        <f>O250+O485</f>
        <v/>
      </c>
      <c r="U829" s="392">
        <f>Q250+Q485</f>
        <v/>
      </c>
      <c r="V829" s="392">
        <f>T250+T485</f>
        <v/>
      </c>
      <c r="W829" s="392">
        <f>P250+P485</f>
        <v/>
      </c>
      <c r="X829" s="392">
        <f>R250+R485</f>
        <v/>
      </c>
      <c r="Y829" s="2802">
        <f>S250+S485</f>
        <v/>
      </c>
    </row>
    <row r="830" customFormat="1" s="2780">
      <c r="A830" s="2773" t="inlineStr">
        <is>
          <t>Boreal Moist</t>
        </is>
      </c>
      <c r="B830" s="2800" t="inlineStr">
        <is>
          <t>Eastern Africa</t>
        </is>
      </c>
      <c r="C830" s="2773">
        <f>CONCATENATE(A830,B830)</f>
        <v/>
      </c>
      <c r="D830" s="2775" t="n">
        <v>4.7</v>
      </c>
      <c r="E830" s="2775">
        <f>D830</f>
        <v/>
      </c>
      <c r="F830" s="2775">
        <f>E830</f>
        <v/>
      </c>
      <c r="G830" s="2792">
        <f>8.5*0.47</f>
        <v/>
      </c>
      <c r="H830" s="2777" t="n">
        <v>0</v>
      </c>
      <c r="I830" s="491">
        <f>E251+E486</f>
        <v/>
      </c>
      <c r="J830" s="2801" t="n"/>
      <c r="K830" s="2779" t="n"/>
      <c r="L830" s="491">
        <f>H251+H486</f>
        <v/>
      </c>
      <c r="M830" s="2801" t="n"/>
      <c r="N830" s="2773" t="n"/>
      <c r="O830" s="2779" t="n"/>
      <c r="P830" s="490">
        <f>L251+L486</f>
        <v/>
      </c>
      <c r="Q830" s="491">
        <f>M251+M486</f>
        <v/>
      </c>
      <c r="R830" s="750" t="n">
        <v>1</v>
      </c>
      <c r="S830" s="2779">
        <f>N251+N486</f>
        <v/>
      </c>
      <c r="T830" s="2779">
        <f>O251+O486</f>
        <v/>
      </c>
      <c r="U830" s="2779">
        <f>Q251+Q486</f>
        <v/>
      </c>
      <c r="V830" s="2779">
        <f>T251+T486</f>
        <v/>
      </c>
      <c r="W830" s="2779">
        <f>P251+P486</f>
        <v/>
      </c>
      <c r="X830" s="2779">
        <f>R251+R486</f>
        <v/>
      </c>
      <c r="Y830" s="2773">
        <f>S251+S486</f>
        <v/>
      </c>
    </row>
    <row r="831" customFormat="1" s="16">
      <c r="A831" s="392" t="inlineStr">
        <is>
          <t>Boreal Moist</t>
        </is>
      </c>
      <c r="B831" s="2803" t="inlineStr">
        <is>
          <t>Central Africa</t>
        </is>
      </c>
      <c r="C831" s="392">
        <f>CONCATENATE(A831,B831)</f>
        <v/>
      </c>
      <c r="D831" s="2782" t="n">
        <v>4.7</v>
      </c>
      <c r="E831" s="2782">
        <f>D831</f>
        <v/>
      </c>
      <c r="F831" s="2782">
        <f>E831</f>
        <v/>
      </c>
      <c r="G831" s="2794">
        <f>8.5*0.47</f>
        <v/>
      </c>
      <c r="H831" s="2776" t="n">
        <v>0</v>
      </c>
      <c r="I831" s="471">
        <f>E252+E487</f>
        <v/>
      </c>
      <c r="J831" s="2802" t="n"/>
      <c r="K831" s="2783" t="n"/>
      <c r="L831" s="471">
        <f>H252+H487</f>
        <v/>
      </c>
      <c r="M831" s="2802" t="n"/>
      <c r="N831" s="392" t="n"/>
      <c r="O831" s="2783" t="n"/>
      <c r="P831" s="492">
        <f>L252+L487</f>
        <v/>
      </c>
      <c r="Q831" s="471">
        <f>M252+M487</f>
        <v/>
      </c>
      <c r="R831" s="751" t="n">
        <v>1</v>
      </c>
      <c r="S831" s="2783">
        <f>N252+N487</f>
        <v/>
      </c>
      <c r="T831" s="2783">
        <f>O252+O487</f>
        <v/>
      </c>
      <c r="U831" s="2783">
        <f>Q252+Q487</f>
        <v/>
      </c>
      <c r="V831" s="2783">
        <f>T252+T487</f>
        <v/>
      </c>
      <c r="W831" s="2783">
        <f>P252+P487</f>
        <v/>
      </c>
      <c r="X831" s="2783">
        <f>R252+R487</f>
        <v/>
      </c>
      <c r="Y831" s="392">
        <f>S252+S487</f>
        <v/>
      </c>
    </row>
    <row r="832" customFormat="1" s="16">
      <c r="A832" s="392" t="inlineStr">
        <is>
          <t>Boreal Moist</t>
        </is>
      </c>
      <c r="B832" s="2803" t="inlineStr">
        <is>
          <t>Northern Africa</t>
        </is>
      </c>
      <c r="C832" s="392">
        <f>CONCATENATE(A832,B832)</f>
        <v/>
      </c>
      <c r="D832" s="2782" t="n">
        <v>4.7</v>
      </c>
      <c r="E832" s="2782">
        <f>D832</f>
        <v/>
      </c>
      <c r="F832" s="2782">
        <f>E832</f>
        <v/>
      </c>
      <c r="G832" s="2794">
        <f>8.5*0.47</f>
        <v/>
      </c>
      <c r="H832" s="2776" t="n">
        <v>0</v>
      </c>
      <c r="I832" s="471">
        <f>E253+E488</f>
        <v/>
      </c>
      <c r="J832" s="2802" t="n"/>
      <c r="K832" s="2783" t="n"/>
      <c r="L832" s="471">
        <f>H253+H488</f>
        <v/>
      </c>
      <c r="M832" s="2802" t="n"/>
      <c r="N832" s="392" t="n"/>
      <c r="O832" s="2783" t="n"/>
      <c r="P832" s="492">
        <f>L253+L488</f>
        <v/>
      </c>
      <c r="Q832" s="471">
        <f>M253+M488</f>
        <v/>
      </c>
      <c r="R832" s="751" t="n">
        <v>1</v>
      </c>
      <c r="S832" s="2783">
        <f>N253+N488</f>
        <v/>
      </c>
      <c r="T832" s="2783">
        <f>O253+O488</f>
        <v/>
      </c>
      <c r="U832" s="2783">
        <f>Q253+Q488</f>
        <v/>
      </c>
      <c r="V832" s="2783">
        <f>T253+T488</f>
        <v/>
      </c>
      <c r="W832" s="2783">
        <f>P253+P488</f>
        <v/>
      </c>
      <c r="X832" s="2783">
        <f>R253+R488</f>
        <v/>
      </c>
      <c r="Y832" s="392">
        <f>S253+S488</f>
        <v/>
      </c>
    </row>
    <row r="833" customFormat="1" s="16">
      <c r="A833" s="392" t="inlineStr">
        <is>
          <t>Boreal Moist</t>
        </is>
      </c>
      <c r="B833" s="2803" t="inlineStr">
        <is>
          <t>Southern Africa</t>
        </is>
      </c>
      <c r="C833" s="392">
        <f>CONCATENATE(A833,B833)</f>
        <v/>
      </c>
      <c r="D833" s="2782" t="n">
        <v>4.7</v>
      </c>
      <c r="E833" s="2782">
        <f>D833</f>
        <v/>
      </c>
      <c r="F833" s="2782">
        <f>E833</f>
        <v/>
      </c>
      <c r="G833" s="2794">
        <f>8.5*0.47</f>
        <v/>
      </c>
      <c r="H833" s="2776" t="n">
        <v>0</v>
      </c>
      <c r="I833" s="471">
        <f>E254+E489</f>
        <v/>
      </c>
      <c r="J833" s="2802" t="n"/>
      <c r="K833" s="2783" t="n"/>
      <c r="L833" s="471">
        <f>H254+H489</f>
        <v/>
      </c>
      <c r="M833" s="2802" t="n"/>
      <c r="N833" s="392" t="n"/>
      <c r="O833" s="2783" t="n"/>
      <c r="P833" s="492">
        <f>L254+L489</f>
        <v/>
      </c>
      <c r="Q833" s="471">
        <f>M254+M489</f>
        <v/>
      </c>
      <c r="R833" s="751" t="n">
        <v>1</v>
      </c>
      <c r="S833" s="2783">
        <f>N254+N489</f>
        <v/>
      </c>
      <c r="T833" s="2783">
        <f>O254+O489</f>
        <v/>
      </c>
      <c r="U833" s="2783">
        <f>Q254+Q489</f>
        <v/>
      </c>
      <c r="V833" s="2783">
        <f>T254+T489</f>
        <v/>
      </c>
      <c r="W833" s="2783">
        <f>P254+P489</f>
        <v/>
      </c>
      <c r="X833" s="2783">
        <f>R254+R489</f>
        <v/>
      </c>
      <c r="Y833" s="392">
        <f>S254+S489</f>
        <v/>
      </c>
    </row>
    <row r="834" customFormat="1" s="16">
      <c r="A834" s="392" t="inlineStr">
        <is>
          <t>Boreal Moist</t>
        </is>
      </c>
      <c r="B834" s="2803" t="inlineStr">
        <is>
          <t>Western Africa</t>
        </is>
      </c>
      <c r="C834" s="392">
        <f>CONCATENATE(A834,B834)</f>
        <v/>
      </c>
      <c r="D834" s="2782" t="n">
        <v>4.7</v>
      </c>
      <c r="E834" s="2782">
        <f>D834</f>
        <v/>
      </c>
      <c r="F834" s="2782">
        <f>E834</f>
        <v/>
      </c>
      <c r="G834" s="2794">
        <f>8.5*0.47</f>
        <v/>
      </c>
      <c r="H834" s="2776" t="n">
        <v>0</v>
      </c>
      <c r="I834" s="471">
        <f>E255+E490</f>
        <v/>
      </c>
      <c r="J834" s="2802" t="n"/>
      <c r="K834" s="2783" t="n"/>
      <c r="L834" s="471">
        <f>H255+H490</f>
        <v/>
      </c>
      <c r="M834" s="2802" t="n"/>
      <c r="N834" s="392" t="n"/>
      <c r="O834" s="2783" t="n"/>
      <c r="P834" s="492">
        <f>L255+L490</f>
        <v/>
      </c>
      <c r="Q834" s="471">
        <f>M255+M490</f>
        <v/>
      </c>
      <c r="R834" s="751" t="n">
        <v>1</v>
      </c>
      <c r="S834" s="2783">
        <f>N255+N490</f>
        <v/>
      </c>
      <c r="T834" s="2783">
        <f>O255+O490</f>
        <v/>
      </c>
      <c r="U834" s="2783">
        <f>Q255+Q490</f>
        <v/>
      </c>
      <c r="V834" s="2783">
        <f>T255+T490</f>
        <v/>
      </c>
      <c r="W834" s="2783">
        <f>P255+P490</f>
        <v/>
      </c>
      <c r="X834" s="2783">
        <f>R255+R490</f>
        <v/>
      </c>
      <c r="Y834" s="392">
        <f>S255+S490</f>
        <v/>
      </c>
    </row>
    <row r="835" customFormat="1" s="16">
      <c r="A835" s="392" t="inlineStr">
        <is>
          <t>Boreal Moist</t>
        </is>
      </c>
      <c r="B835" s="2803" t="inlineStr">
        <is>
          <t>Central Asia</t>
        </is>
      </c>
      <c r="C835" s="392">
        <f>CONCATENATE(A835,B835)</f>
        <v/>
      </c>
      <c r="D835" s="2782" t="n">
        <v>4.7</v>
      </c>
      <c r="E835" s="2782">
        <f>D835</f>
        <v/>
      </c>
      <c r="F835" s="2782">
        <f>E835</f>
        <v/>
      </c>
      <c r="G835" s="2794">
        <f>8.5*0.47</f>
        <v/>
      </c>
      <c r="H835" s="2776" t="n">
        <v>0</v>
      </c>
      <c r="I835" s="471">
        <f>E256+E491</f>
        <v/>
      </c>
      <c r="J835" s="2802" t="n"/>
      <c r="K835" s="2783" t="n"/>
      <c r="L835" s="471">
        <f>H256+H491</f>
        <v/>
      </c>
      <c r="M835" s="2802" t="n"/>
      <c r="N835" s="392" t="n"/>
      <c r="O835" s="2783" t="n"/>
      <c r="P835" s="492">
        <f>L256+L491</f>
        <v/>
      </c>
      <c r="Q835" s="471">
        <f>M256+M491</f>
        <v/>
      </c>
      <c r="R835" s="751" t="n">
        <v>1</v>
      </c>
      <c r="S835" s="2783">
        <f>N256+N491</f>
        <v/>
      </c>
      <c r="T835" s="2783">
        <f>O256+O491</f>
        <v/>
      </c>
      <c r="U835" s="2783">
        <f>Q256+Q491</f>
        <v/>
      </c>
      <c r="V835" s="2783">
        <f>T256+T491</f>
        <v/>
      </c>
      <c r="W835" s="2783">
        <f>P256+P491</f>
        <v/>
      </c>
      <c r="X835" s="2783">
        <f>R256+R491</f>
        <v/>
      </c>
      <c r="Y835" s="392">
        <f>S256+S491</f>
        <v/>
      </c>
    </row>
    <row r="836" customFormat="1" s="16">
      <c r="A836" s="392" t="inlineStr">
        <is>
          <t>Boreal Moist</t>
        </is>
      </c>
      <c r="B836" s="2803" t="inlineStr">
        <is>
          <t>Eastern Asia</t>
        </is>
      </c>
      <c r="C836" s="392">
        <f>CONCATENATE(A836,B836)</f>
        <v/>
      </c>
      <c r="D836" s="2782" t="n">
        <v>4.7</v>
      </c>
      <c r="E836" s="2782">
        <f>D836</f>
        <v/>
      </c>
      <c r="F836" s="2782">
        <f>E836</f>
        <v/>
      </c>
      <c r="G836" s="2794">
        <f>8.5*0.47</f>
        <v/>
      </c>
      <c r="H836" s="2776" t="n">
        <v>0</v>
      </c>
      <c r="I836" s="471">
        <f>E257+E492</f>
        <v/>
      </c>
      <c r="J836" s="2802" t="n"/>
      <c r="K836" s="2783" t="n"/>
      <c r="L836" s="471">
        <f>H257+H492</f>
        <v/>
      </c>
      <c r="M836" s="2802" t="n"/>
      <c r="N836" s="392" t="n"/>
      <c r="O836" s="2783" t="n"/>
      <c r="P836" s="492">
        <f>L257+L492</f>
        <v/>
      </c>
      <c r="Q836" s="471">
        <f>M257+M492</f>
        <v/>
      </c>
      <c r="R836" s="751" t="n">
        <v>1</v>
      </c>
      <c r="S836" s="2783">
        <f>N257+N492</f>
        <v/>
      </c>
      <c r="T836" s="2783">
        <f>O257+O492</f>
        <v/>
      </c>
      <c r="U836" s="2783">
        <f>Q257+Q492</f>
        <v/>
      </c>
      <c r="V836" s="2783">
        <f>T257+T492</f>
        <v/>
      </c>
      <c r="W836" s="2783">
        <f>P257+P492</f>
        <v/>
      </c>
      <c r="X836" s="2783">
        <f>R257+R492</f>
        <v/>
      </c>
      <c r="Y836" s="392">
        <f>S257+S492</f>
        <v/>
      </c>
    </row>
    <row r="837" customFormat="1" s="16">
      <c r="A837" s="392" t="inlineStr">
        <is>
          <t>Boreal Moist</t>
        </is>
      </c>
      <c r="B837" s="2803" t="inlineStr">
        <is>
          <t>South-eastern Asia</t>
        </is>
      </c>
      <c r="C837" s="392">
        <f>CONCATENATE(A837,B837)</f>
        <v/>
      </c>
      <c r="D837" s="2782" t="n">
        <v>4.7</v>
      </c>
      <c r="E837" s="2782">
        <f>D837</f>
        <v/>
      </c>
      <c r="F837" s="2782">
        <f>E837</f>
        <v/>
      </c>
      <c r="G837" s="2794">
        <f>8.5*0.47</f>
        <v/>
      </c>
      <c r="H837" s="2776" t="n">
        <v>0</v>
      </c>
      <c r="I837" s="471">
        <f>E258+E493</f>
        <v/>
      </c>
      <c r="J837" s="2802" t="n"/>
      <c r="K837" s="2783" t="n"/>
      <c r="L837" s="471">
        <f>H258+H493</f>
        <v/>
      </c>
      <c r="M837" s="2802" t="n"/>
      <c r="N837" s="392" t="n"/>
      <c r="O837" s="2783" t="n"/>
      <c r="P837" s="492">
        <f>L258+L493</f>
        <v/>
      </c>
      <c r="Q837" s="471">
        <f>M258+M493</f>
        <v/>
      </c>
      <c r="R837" s="751" t="n">
        <v>1</v>
      </c>
      <c r="S837" s="2783">
        <f>N258+N493</f>
        <v/>
      </c>
      <c r="T837" s="2783">
        <f>O258+O493</f>
        <v/>
      </c>
      <c r="U837" s="2783">
        <f>Q258+Q493</f>
        <v/>
      </c>
      <c r="V837" s="2783">
        <f>T258+T493</f>
        <v/>
      </c>
      <c r="W837" s="2783">
        <f>P258+P493</f>
        <v/>
      </c>
      <c r="X837" s="2783">
        <f>R258+R493</f>
        <v/>
      </c>
      <c r="Y837" s="392">
        <f>S258+S493</f>
        <v/>
      </c>
    </row>
    <row r="838" customFormat="1" s="16">
      <c r="A838" s="392" t="inlineStr">
        <is>
          <t>Boreal Moist</t>
        </is>
      </c>
      <c r="B838" s="2803" t="inlineStr">
        <is>
          <t>Southern Asia</t>
        </is>
      </c>
      <c r="C838" s="392">
        <f>CONCATENATE(A838,B838)</f>
        <v/>
      </c>
      <c r="D838" s="2782" t="n">
        <v>4.7</v>
      </c>
      <c r="E838" s="2782">
        <f>D838</f>
        <v/>
      </c>
      <c r="F838" s="2782">
        <f>E838</f>
        <v/>
      </c>
      <c r="G838" s="2794">
        <f>8.5*0.47</f>
        <v/>
      </c>
      <c r="H838" s="2776" t="n">
        <v>0</v>
      </c>
      <c r="I838" s="471">
        <f>E259+E494</f>
        <v/>
      </c>
      <c r="J838" s="2802" t="n"/>
      <c r="K838" s="2783" t="n"/>
      <c r="L838" s="471">
        <f>H259+H494</f>
        <v/>
      </c>
      <c r="M838" s="2802" t="n"/>
      <c r="N838" s="392" t="n"/>
      <c r="O838" s="2783" t="n"/>
      <c r="P838" s="492">
        <f>L259+L494</f>
        <v/>
      </c>
      <c r="Q838" s="471">
        <f>M259+M494</f>
        <v/>
      </c>
      <c r="R838" s="751" t="n">
        <v>1</v>
      </c>
      <c r="S838" s="2783">
        <f>N259+N494</f>
        <v/>
      </c>
      <c r="T838" s="2783">
        <f>O259+O494</f>
        <v/>
      </c>
      <c r="U838" s="2783">
        <f>Q259+Q494</f>
        <v/>
      </c>
      <c r="V838" s="2783">
        <f>T259+T494</f>
        <v/>
      </c>
      <c r="W838" s="2783">
        <f>P259+P494</f>
        <v/>
      </c>
      <c r="X838" s="2783">
        <f>R259+R494</f>
        <v/>
      </c>
      <c r="Y838" s="392">
        <f>S259+S494</f>
        <v/>
      </c>
    </row>
    <row r="839" customFormat="1" s="16">
      <c r="A839" s="392" t="inlineStr">
        <is>
          <t>Boreal Moist</t>
        </is>
      </c>
      <c r="B839" s="2803" t="inlineStr">
        <is>
          <t>Western Asia</t>
        </is>
      </c>
      <c r="C839" s="392">
        <f>CONCATENATE(A839,B839)</f>
        <v/>
      </c>
      <c r="D839" s="2782" t="n">
        <v>4.7</v>
      </c>
      <c r="E839" s="2782">
        <f>D839</f>
        <v/>
      </c>
      <c r="F839" s="2782">
        <f>E839</f>
        <v/>
      </c>
      <c r="G839" s="2794">
        <f>8.5*0.47</f>
        <v/>
      </c>
      <c r="H839" s="2776" t="n">
        <v>0</v>
      </c>
      <c r="I839" s="471">
        <f>E260+E495</f>
        <v/>
      </c>
      <c r="J839" s="2802" t="n"/>
      <c r="K839" s="2783" t="n"/>
      <c r="L839" s="471">
        <f>H260+H495</f>
        <v/>
      </c>
      <c r="M839" s="2802" t="n"/>
      <c r="N839" s="392" t="n"/>
      <c r="O839" s="2783" t="n"/>
      <c r="P839" s="492">
        <f>L260+L495</f>
        <v/>
      </c>
      <c r="Q839" s="471">
        <f>M260+M495</f>
        <v/>
      </c>
      <c r="R839" s="751" t="n">
        <v>1</v>
      </c>
      <c r="S839" s="2783">
        <f>N260+N495</f>
        <v/>
      </c>
      <c r="T839" s="2783">
        <f>O260+O495</f>
        <v/>
      </c>
      <c r="U839" s="2783">
        <f>Q260+Q495</f>
        <v/>
      </c>
      <c r="V839" s="2783">
        <f>T260+T495</f>
        <v/>
      </c>
      <c r="W839" s="2783">
        <f>P260+P495</f>
        <v/>
      </c>
      <c r="X839" s="2783">
        <f>R260+R495</f>
        <v/>
      </c>
      <c r="Y839" s="392">
        <f>S260+S495</f>
        <v/>
      </c>
    </row>
    <row r="840" customFormat="1" s="16">
      <c r="A840" s="392" t="inlineStr">
        <is>
          <t>Boreal Moist</t>
        </is>
      </c>
      <c r="B840" s="2803" t="inlineStr">
        <is>
          <t>Europe</t>
        </is>
      </c>
      <c r="C840" s="392">
        <f>CONCATENATE(A840,B840)</f>
        <v/>
      </c>
      <c r="D840" s="2782" t="n">
        <v>4.7</v>
      </c>
      <c r="E840" s="2782">
        <f>D840</f>
        <v/>
      </c>
      <c r="F840" s="2782">
        <f>E840</f>
        <v/>
      </c>
      <c r="G840" s="2794">
        <f>8.5*0.47</f>
        <v/>
      </c>
      <c r="H840" s="2776" t="n">
        <v>0</v>
      </c>
      <c r="I840" s="471">
        <f>E261+E496</f>
        <v/>
      </c>
      <c r="J840" s="2802" t="n"/>
      <c r="K840" s="2783" t="n"/>
      <c r="L840" s="471">
        <f>H261+H496</f>
        <v/>
      </c>
      <c r="M840" s="2802" t="n"/>
      <c r="N840" s="392" t="n"/>
      <c r="O840" s="2783" t="n"/>
      <c r="P840" s="492">
        <f>L261+L496</f>
        <v/>
      </c>
      <c r="Q840" s="471">
        <f>M261+M496</f>
        <v/>
      </c>
      <c r="R840" s="751" t="n">
        <v>1</v>
      </c>
      <c r="S840" s="2783">
        <f>N261+N496</f>
        <v/>
      </c>
      <c r="T840" s="2783">
        <f>O261+O496</f>
        <v/>
      </c>
      <c r="U840" s="2783">
        <f>Q261+Q496</f>
        <v/>
      </c>
      <c r="V840" s="2783">
        <f>T261+T496</f>
        <v/>
      </c>
      <c r="W840" s="2783">
        <f>P261+P496</f>
        <v/>
      </c>
      <c r="X840" s="2783">
        <f>R261+R496</f>
        <v/>
      </c>
      <c r="Y840" s="392">
        <f>S261+S496</f>
        <v/>
      </c>
    </row>
    <row r="841" customFormat="1" s="16">
      <c r="A841" s="392" t="inlineStr">
        <is>
          <t>Boreal Moist</t>
        </is>
      </c>
      <c r="B841" s="2803" t="inlineStr">
        <is>
          <t>Oceania</t>
        </is>
      </c>
      <c r="C841" s="392">
        <f>CONCATENATE(A841,B841)</f>
        <v/>
      </c>
      <c r="D841" s="2782" t="n">
        <v>4.7</v>
      </c>
      <c r="E841" s="2782">
        <f>D841</f>
        <v/>
      </c>
      <c r="F841" s="2782">
        <f>E841</f>
        <v/>
      </c>
      <c r="G841" s="2794">
        <f>8.5*0.47</f>
        <v/>
      </c>
      <c r="H841" s="2776" t="n">
        <v>0</v>
      </c>
      <c r="I841" s="471">
        <f>E262+E497</f>
        <v/>
      </c>
      <c r="J841" s="2802" t="n"/>
      <c r="K841" s="2783" t="n"/>
      <c r="L841" s="471">
        <f>H262+H497</f>
        <v/>
      </c>
      <c r="M841" s="2802" t="n"/>
      <c r="N841" s="392" t="n"/>
      <c r="O841" s="2783" t="n"/>
      <c r="P841" s="492">
        <f>L262+L497</f>
        <v/>
      </c>
      <c r="Q841" s="471">
        <f>M262+M497</f>
        <v/>
      </c>
      <c r="R841" s="751" t="n">
        <v>1</v>
      </c>
      <c r="S841" s="2783">
        <f>N262+N497</f>
        <v/>
      </c>
      <c r="T841" s="2783">
        <f>O262+O497</f>
        <v/>
      </c>
      <c r="U841" s="2783">
        <f>Q262+Q497</f>
        <v/>
      </c>
      <c r="V841" s="2783">
        <f>T262+T497</f>
        <v/>
      </c>
      <c r="W841" s="2783">
        <f>P262+P497</f>
        <v/>
      </c>
      <c r="X841" s="2783">
        <f>R262+R497</f>
        <v/>
      </c>
      <c r="Y841" s="392">
        <f>S262+S497</f>
        <v/>
      </c>
    </row>
    <row r="842" customFormat="1" s="16">
      <c r="A842" s="392" t="inlineStr">
        <is>
          <t>Boreal Moist</t>
        </is>
      </c>
      <c r="B842" s="2803" t="inlineStr">
        <is>
          <t>North America</t>
        </is>
      </c>
      <c r="C842" s="392">
        <f>CONCATENATE(A842,B842)</f>
        <v/>
      </c>
      <c r="D842" s="2782" t="n">
        <v>4.7</v>
      </c>
      <c r="E842" s="2782">
        <f>D842</f>
        <v/>
      </c>
      <c r="F842" s="2782">
        <f>E842</f>
        <v/>
      </c>
      <c r="G842" s="2794">
        <f>8.5*0.47</f>
        <v/>
      </c>
      <c r="H842" s="2776" t="n">
        <v>0</v>
      </c>
      <c r="I842" s="471">
        <f>E263+E498</f>
        <v/>
      </c>
      <c r="J842" s="2802" t="n"/>
      <c r="K842" s="2783" t="n"/>
      <c r="L842" s="471">
        <f>H263+H498</f>
        <v/>
      </c>
      <c r="M842" s="2802" t="n"/>
      <c r="N842" s="392" t="n"/>
      <c r="O842" s="2783" t="n"/>
      <c r="P842" s="492">
        <f>L263+L498</f>
        <v/>
      </c>
      <c r="Q842" s="471">
        <f>M263+M498</f>
        <v/>
      </c>
      <c r="R842" s="751" t="n">
        <v>1</v>
      </c>
      <c r="S842" s="2783">
        <f>N263+N498</f>
        <v/>
      </c>
      <c r="T842" s="2783">
        <f>O263+O498</f>
        <v/>
      </c>
      <c r="U842" s="2783">
        <f>Q263+Q498</f>
        <v/>
      </c>
      <c r="V842" s="2783">
        <f>T263+T498</f>
        <v/>
      </c>
      <c r="W842" s="2783">
        <f>P263+P498</f>
        <v/>
      </c>
      <c r="X842" s="2783">
        <f>R263+R498</f>
        <v/>
      </c>
      <c r="Y842" s="392">
        <f>S263+S498</f>
        <v/>
      </c>
    </row>
    <row r="843" customFormat="1" s="16">
      <c r="A843" s="392" t="inlineStr">
        <is>
          <t>Boreal Moist</t>
        </is>
      </c>
      <c r="B843" s="2803" t="inlineStr">
        <is>
          <t>South America</t>
        </is>
      </c>
      <c r="C843" s="392">
        <f>CONCATENATE(A843,B843)</f>
        <v/>
      </c>
      <c r="D843" s="2782" t="n">
        <v>4.7</v>
      </c>
      <c r="E843" s="2782">
        <f>D843</f>
        <v/>
      </c>
      <c r="F843" s="2782">
        <f>E843</f>
        <v/>
      </c>
      <c r="G843" s="2794">
        <f>8.5*0.47</f>
        <v/>
      </c>
      <c r="H843" s="2776" t="n">
        <v>0</v>
      </c>
      <c r="I843" s="471">
        <f>E264+E499</f>
        <v/>
      </c>
      <c r="J843" s="2802" t="n"/>
      <c r="K843" s="2783" t="n"/>
      <c r="L843" s="471">
        <f>H264+H499</f>
        <v/>
      </c>
      <c r="M843" s="2802" t="n"/>
      <c r="N843" s="392" t="n"/>
      <c r="O843" s="2783" t="n"/>
      <c r="P843" s="492">
        <f>L264+L499</f>
        <v/>
      </c>
      <c r="Q843" s="471">
        <f>M264+M499</f>
        <v/>
      </c>
      <c r="R843" s="751" t="n">
        <v>1</v>
      </c>
      <c r="S843" s="2783">
        <f>N264+N499</f>
        <v/>
      </c>
      <c r="T843" s="2783">
        <f>O264+O499</f>
        <v/>
      </c>
      <c r="U843" s="2783">
        <f>Q264+Q499</f>
        <v/>
      </c>
      <c r="V843" s="2783">
        <f>T264+T499</f>
        <v/>
      </c>
      <c r="W843" s="2783">
        <f>P264+P499</f>
        <v/>
      </c>
      <c r="X843" s="2783">
        <f>R264+R499</f>
        <v/>
      </c>
      <c r="Y843" s="392">
        <f>S264+S499</f>
        <v/>
      </c>
    </row>
    <row r="844" customFormat="1" s="16">
      <c r="A844" s="392" t="inlineStr">
        <is>
          <t>Boreal Moist</t>
        </is>
      </c>
      <c r="B844" s="2803" t="inlineStr">
        <is>
          <t>Central America</t>
        </is>
      </c>
      <c r="C844" s="392">
        <f>CONCATENATE(A844,B844)</f>
        <v/>
      </c>
      <c r="D844" s="2782" t="n">
        <v>4.7</v>
      </c>
      <c r="E844" s="2782">
        <f>D844</f>
        <v/>
      </c>
      <c r="F844" s="2782">
        <f>E844</f>
        <v/>
      </c>
      <c r="G844" s="2794">
        <f>8.5*0.47</f>
        <v/>
      </c>
      <c r="H844" s="2776" t="n">
        <v>0</v>
      </c>
      <c r="I844" s="471">
        <f>E265+E500</f>
        <v/>
      </c>
      <c r="J844" s="2802" t="n"/>
      <c r="K844" s="2783" t="n"/>
      <c r="L844" s="471">
        <f>H265+H500</f>
        <v/>
      </c>
      <c r="M844" s="2802" t="n"/>
      <c r="N844" s="392" t="n"/>
      <c r="O844" s="2783" t="n"/>
      <c r="P844" s="492">
        <f>L265+L500</f>
        <v/>
      </c>
      <c r="Q844" s="471">
        <f>M265+M500</f>
        <v/>
      </c>
      <c r="R844" s="751" t="n">
        <v>1</v>
      </c>
      <c r="S844" s="2783">
        <f>N265+N500</f>
        <v/>
      </c>
      <c r="T844" s="2783">
        <f>O265+O500</f>
        <v/>
      </c>
      <c r="U844" s="2783">
        <f>Q265+Q500</f>
        <v/>
      </c>
      <c r="V844" s="2783">
        <f>T265+T500</f>
        <v/>
      </c>
      <c r="W844" s="2783">
        <f>P265+P500</f>
        <v/>
      </c>
      <c r="X844" s="2783">
        <f>R265+R500</f>
        <v/>
      </c>
      <c r="Y844" s="392">
        <f>S265+S500</f>
        <v/>
      </c>
    </row>
    <row r="845" customFormat="1" s="2790">
      <c r="A845" s="2784" t="inlineStr">
        <is>
          <t>Boreal Moist</t>
        </is>
      </c>
      <c r="B845" s="2804" t="inlineStr">
        <is>
          <t>Caribbean</t>
        </is>
      </c>
      <c r="C845" s="2784">
        <f>CONCATENATE(A845,B845)</f>
        <v/>
      </c>
      <c r="D845" s="2786" t="n">
        <v>4.7</v>
      </c>
      <c r="E845" s="2786">
        <f>D845</f>
        <v/>
      </c>
      <c r="F845" s="2786">
        <f>E845</f>
        <v/>
      </c>
      <c r="G845" s="2796">
        <f>8.5*0.47</f>
        <v/>
      </c>
      <c r="H845" s="2787" t="n">
        <v>0</v>
      </c>
      <c r="I845" s="536">
        <f>E266+E501</f>
        <v/>
      </c>
      <c r="J845" s="2805" t="n"/>
      <c r="K845" s="2789" t="n"/>
      <c r="L845" s="536">
        <f>H266+H501</f>
        <v/>
      </c>
      <c r="M845" s="2805" t="n"/>
      <c r="N845" s="2784" t="n"/>
      <c r="O845" s="2789" t="n"/>
      <c r="P845" s="2788">
        <f>L266+L501</f>
        <v/>
      </c>
      <c r="Q845" s="536">
        <f>M266+M501</f>
        <v/>
      </c>
      <c r="R845" s="752" t="n">
        <v>1</v>
      </c>
      <c r="S845" s="2789">
        <f>N266+N501</f>
        <v/>
      </c>
      <c r="T845" s="2789">
        <f>O266+O501</f>
        <v/>
      </c>
      <c r="U845" s="2789">
        <f>Q266+Q501</f>
        <v/>
      </c>
      <c r="V845" s="2789">
        <f>T266+T501</f>
        <v/>
      </c>
      <c r="W845" s="2789">
        <f>P266+P501</f>
        <v/>
      </c>
      <c r="X845" s="2789">
        <f>R266+R501</f>
        <v/>
      </c>
      <c r="Y845" s="2784">
        <f>S266+S501</f>
        <v/>
      </c>
    </row>
    <row r="846">
      <c r="A846" s="527" t="inlineStr">
        <is>
          <t>Notes</t>
        </is>
      </c>
      <c r="B846" s="291" t="n"/>
      <c r="C846" s="291" t="n"/>
      <c r="D846" s="291" t="n"/>
      <c r="E846" s="291" t="n"/>
      <c r="F846" s="291" t="n"/>
      <c r="G846" s="266" t="n"/>
      <c r="H846" s="63" t="n"/>
      <c r="I846" s="20" t="n"/>
      <c r="J846" s="63" t="n"/>
      <c r="K846" s="63" t="n"/>
      <c r="L846" s="63" t="n"/>
      <c r="M846" s="63" t="n"/>
      <c r="N846" s="63" t="n"/>
      <c r="O846" s="63" t="n"/>
      <c r="P846" s="63" t="n"/>
      <c r="Q846" s="63" t="n"/>
      <c r="R846" s="552" t="n"/>
      <c r="S846" s="20" t="n"/>
      <c r="T846" s="20" t="n"/>
      <c r="U846" s="20" t="n"/>
      <c r="V846" s="20" t="n"/>
      <c r="W846" s="20" t="n"/>
      <c r="X846" s="20" t="n"/>
      <c r="Y846" s="269" t="n"/>
    </row>
    <row r="847">
      <c r="A847" s="264" t="inlineStr">
        <is>
          <t>Values in red from IPCC 2006</t>
        </is>
      </c>
      <c r="B847" s="21" t="n"/>
      <c r="C847" s="21" t="n"/>
      <c r="D847" s="21" t="n"/>
      <c r="E847" s="21" t="n"/>
      <c r="F847" s="21" t="n"/>
      <c r="G847" s="269" t="n"/>
      <c r="H847" s="20" t="n"/>
      <c r="I847" s="20" t="n"/>
      <c r="J847" s="20" t="n"/>
      <c r="K847" s="20" t="n"/>
      <c r="L847" s="20" t="n"/>
      <c r="M847" s="20" t="n"/>
      <c r="N847" s="20" t="n"/>
      <c r="O847" s="20" t="n"/>
      <c r="P847" s="20" t="n"/>
      <c r="Q847" s="20" t="n"/>
      <c r="R847" s="553" t="n"/>
      <c r="S847" s="20" t="n"/>
      <c r="T847" s="20" t="n"/>
      <c r="U847" s="20" t="n"/>
      <c r="V847" s="20" t="n"/>
      <c r="W847" s="20" t="n"/>
      <c r="X847" s="20" t="n"/>
      <c r="Y847" s="269" t="n"/>
    </row>
    <row r="848">
      <c r="A848" s="265" t="inlineStr">
        <is>
          <t xml:space="preserve">For Boreal climate,  the default values of Temperate were used </t>
        </is>
      </c>
      <c r="B848" s="292" t="n"/>
      <c r="C848" s="292" t="n"/>
      <c r="D848" s="292" t="n"/>
      <c r="E848" s="292" t="n"/>
      <c r="F848" s="292" t="n"/>
      <c r="G848" s="272" t="n"/>
      <c r="H848" s="37" t="n"/>
      <c r="I848" s="37" t="n"/>
      <c r="J848" s="37" t="n"/>
      <c r="K848" s="37" t="n"/>
      <c r="L848" s="37" t="n"/>
      <c r="M848" s="37" t="n"/>
      <c r="N848" s="37" t="n"/>
      <c r="O848" s="37" t="n"/>
      <c r="P848" s="37" t="n"/>
      <c r="Q848" s="37" t="n"/>
      <c r="R848" s="554" t="n"/>
      <c r="S848" s="37" t="n"/>
      <c r="T848" s="37" t="n"/>
      <c r="U848" s="37" t="n"/>
      <c r="V848" s="37" t="n"/>
      <c r="W848" s="37" t="n"/>
      <c r="X848" s="20" t="n"/>
      <c r="Y848" s="269" t="n"/>
    </row>
    <row r="850" customFormat="1" s="125">
      <c r="A850" s="377" t="inlineStr">
        <is>
          <t>Relative stock change factor for land use (FLU) dimensionless, TABLE 5.5 (UPDATED), in IPCC 2019. To be used for the DEFORESTATION Sheet</t>
        </is>
      </c>
    </row>
    <row r="851" ht="16.25" customHeight="1">
      <c r="A851" s="374" t="n"/>
      <c r="B851" s="522" t="inlineStr">
        <is>
          <t>TABLE 5.5 (UPDATED)</t>
        </is>
      </c>
      <c r="C851" s="531" t="inlineStr">
        <is>
          <t>TABLE 5.5 (UPDATED)</t>
        </is>
      </c>
      <c r="D851" s="531" t="inlineStr">
        <is>
          <t>TABLE 5.5 (UPDATED)</t>
        </is>
      </c>
      <c r="E851" s="539" t="inlineStr">
        <is>
          <t>TABLE 6.2 (UPDATED)</t>
        </is>
      </c>
      <c r="F851" s="538" t="n"/>
      <c r="G851" s="531" t="inlineStr">
        <is>
          <t>TABLE 5.5 (UPDATED)</t>
        </is>
      </c>
      <c r="H851" s="531" t="inlineStr">
        <is>
          <t>TABLE 5.5 (UPDATED)</t>
        </is>
      </c>
      <c r="I851" s="531" t="inlineStr">
        <is>
          <t>TABLE 5.5 (UPDATED)</t>
        </is>
      </c>
      <c r="J851" s="531" t="inlineStr">
        <is>
          <t>TABLE 5.5 (UPDATED)</t>
        </is>
      </c>
      <c r="K851" s="531" t="inlineStr">
        <is>
          <t>TABLE 5.5 (UPDATED)</t>
        </is>
      </c>
      <c r="L851" s="531" t="inlineStr">
        <is>
          <t>TABLE 5.5 (UPDATED)</t>
        </is>
      </c>
      <c r="M851" s="531" t="inlineStr">
        <is>
          <t>TABLE 5.5 (UPDATED)</t>
        </is>
      </c>
      <c r="N851" s="531" t="inlineStr">
        <is>
          <t>TABLE 5.5 (UPDATED)</t>
        </is>
      </c>
      <c r="O851" s="531" t="inlineStr">
        <is>
          <t>TABLE 5.5 (UPDATED)</t>
        </is>
      </c>
      <c r="P851" s="555" t="n"/>
      <c r="Q851" s="531" t="inlineStr">
        <is>
          <t>TABLE 5.5 (UPDATED)</t>
        </is>
      </c>
      <c r="R851" s="531" t="inlineStr">
        <is>
          <t>TABLE 5.5 (UPDATED)</t>
        </is>
      </c>
      <c r="S851" s="531" t="inlineStr">
        <is>
          <t>TABLE 5.5 (UPDATED)</t>
        </is>
      </c>
      <c r="T851" s="531" t="inlineStr">
        <is>
          <t>TABLE 5.5 (UPDATED)</t>
        </is>
      </c>
      <c r="U851" s="531" t="inlineStr">
        <is>
          <t>TABLE 5.5 (UPDATED)</t>
        </is>
      </c>
      <c r="V851" s="531" t="inlineStr">
        <is>
          <t>TABLE 5.5 (UPDATED)</t>
        </is>
      </c>
      <c r="W851" s="531" t="inlineStr">
        <is>
          <t>TABLE 5.5 (UPDATED)</t>
        </is>
      </c>
    </row>
    <row r="852" customFormat="1" s="291">
      <c r="A852" s="293" t="inlineStr">
        <is>
          <t>IPCC Climate Region</t>
        </is>
      </c>
      <c r="B852" s="426" t="inlineStr">
        <is>
          <t>Annual cropland</t>
        </is>
      </c>
      <c r="C852" s="426" t="inlineStr">
        <is>
          <t>Annual fallow</t>
        </is>
      </c>
      <c r="D852" s="44" t="inlineStr">
        <is>
          <t>Flooded rice</t>
        </is>
      </c>
      <c r="E852" s="426" t="inlineStr">
        <is>
          <t>Grassland</t>
        </is>
      </c>
      <c r="F852" s="774" t="inlineStr">
        <is>
          <t>Other land (non-vegetated)</t>
        </is>
      </c>
      <c r="G852" s="426" t="inlineStr">
        <is>
          <t>Agroforestry - default</t>
        </is>
      </c>
      <c r="H852" s="426" t="inlineStr">
        <is>
          <t>Alley cropping</t>
        </is>
      </c>
      <c r="I852" s="426" t="inlineStr">
        <is>
          <t>Perennial fallow</t>
        </is>
      </c>
      <c r="J852" s="426" t="inlineStr">
        <is>
          <t>Hedgerow</t>
        </is>
      </c>
      <c r="K852" s="426" t="inlineStr">
        <is>
          <t>Multistrata</t>
        </is>
      </c>
      <c r="L852" s="426" t="inlineStr">
        <is>
          <t>Parkland</t>
        </is>
      </c>
      <c r="M852" s="426" t="inlineStr">
        <is>
          <t>Shaded Perennial</t>
        </is>
      </c>
      <c r="N852" s="426" t="inlineStr">
        <is>
          <t>Silvoarable</t>
        </is>
      </c>
      <c r="O852" s="537" t="inlineStr">
        <is>
          <t>Silvopasture</t>
        </is>
      </c>
      <c r="P852" s="656" t="inlineStr">
        <is>
          <t>Degraded land</t>
        </is>
      </c>
      <c r="Q852" s="537" t="inlineStr">
        <is>
          <t>Oil palm</t>
        </is>
      </c>
      <c r="R852" s="537" t="inlineStr">
        <is>
          <t>Rubber</t>
        </is>
      </c>
      <c r="S852" s="537" t="inlineStr">
        <is>
          <t>Tea</t>
        </is>
      </c>
      <c r="T852" s="537" t="inlineStr">
        <is>
          <t>Olive</t>
        </is>
      </c>
      <c r="U852" s="537" t="inlineStr">
        <is>
          <t>Orchard</t>
        </is>
      </c>
      <c r="V852" s="537" t="inlineStr">
        <is>
          <t>Short Rotation Coppice</t>
        </is>
      </c>
      <c r="W852" s="537" t="inlineStr">
        <is>
          <t>Vine</t>
        </is>
      </c>
    </row>
    <row r="853" customFormat="1" s="21">
      <c r="A853" s="255" t="inlineStr">
        <is>
          <t>Please select</t>
        </is>
      </c>
      <c r="B853" s="426" t="inlineStr">
        <is>
          <t>FLU</t>
        </is>
      </c>
      <c r="C853" s="426" t="inlineStr">
        <is>
          <t>FLU</t>
        </is>
      </c>
      <c r="D853" s="426" t="inlineStr">
        <is>
          <t>FLU</t>
        </is>
      </c>
      <c r="E853" s="426" t="inlineStr">
        <is>
          <t>FLU</t>
        </is>
      </c>
      <c r="F853" s="630" t="inlineStr">
        <is>
          <t xml:space="preserve">FLU </t>
        </is>
      </c>
      <c r="G853" s="426" t="inlineStr">
        <is>
          <t>FLU</t>
        </is>
      </c>
      <c r="H853" s="426" t="inlineStr">
        <is>
          <t>FLU</t>
        </is>
      </c>
      <c r="I853" s="426" t="inlineStr">
        <is>
          <t>FLU</t>
        </is>
      </c>
      <c r="J853" s="426" t="inlineStr">
        <is>
          <t>FLU</t>
        </is>
      </c>
      <c r="K853" s="426" t="inlineStr">
        <is>
          <t>FLU</t>
        </is>
      </c>
      <c r="L853" s="426" t="inlineStr">
        <is>
          <t>FLU</t>
        </is>
      </c>
      <c r="M853" s="426" t="inlineStr">
        <is>
          <t>FLU</t>
        </is>
      </c>
      <c r="N853" s="426" t="inlineStr">
        <is>
          <t>FLU</t>
        </is>
      </c>
      <c r="O853" s="426" t="inlineStr">
        <is>
          <t>FLU</t>
        </is>
      </c>
      <c r="P853" s="426" t="inlineStr">
        <is>
          <t>FLU</t>
        </is>
      </c>
      <c r="Q853" s="426" t="inlineStr">
        <is>
          <t>FLU</t>
        </is>
      </c>
      <c r="R853" s="426" t="inlineStr">
        <is>
          <t>FLU</t>
        </is>
      </c>
      <c r="S853" s="426" t="inlineStr">
        <is>
          <t>FLU</t>
        </is>
      </c>
      <c r="T853" s="426" t="inlineStr">
        <is>
          <t>FLU</t>
        </is>
      </c>
      <c r="U853" s="426" t="inlineStr">
        <is>
          <t>FLU</t>
        </is>
      </c>
      <c r="V853" s="426" t="inlineStr">
        <is>
          <t>FLU</t>
        </is>
      </c>
      <c r="W853" s="426" t="inlineStr">
        <is>
          <t>FLU</t>
        </is>
      </c>
    </row>
    <row r="854" customFormat="1" s="21">
      <c r="A854" s="20" t="inlineStr">
        <is>
          <t>Boreal Dry</t>
        </is>
      </c>
      <c r="B854" s="41" t="n">
        <v>0.77</v>
      </c>
      <c r="C854" s="44" t="n">
        <v>0.93</v>
      </c>
      <c r="D854" s="451" t="n">
        <v>1.35</v>
      </c>
      <c r="E854" s="491" t="n">
        <v>1</v>
      </c>
      <c r="F854" s="658" t="n">
        <v>1</v>
      </c>
      <c r="G854" s="44" t="n">
        <v>0.72</v>
      </c>
      <c r="H854" s="44" t="n">
        <v>0.72</v>
      </c>
      <c r="I854" s="44" t="n">
        <v>0.72</v>
      </c>
      <c r="J854" s="44" t="n">
        <v>0.72</v>
      </c>
      <c r="K854" s="44" t="n">
        <v>0.72</v>
      </c>
      <c r="L854" s="44" t="n">
        <v>0.72</v>
      </c>
      <c r="M854" s="44" t="n">
        <v>0.72</v>
      </c>
      <c r="N854" s="44" t="n">
        <v>0.72</v>
      </c>
      <c r="O854" s="44" t="n">
        <v>0.72</v>
      </c>
      <c r="P854" s="657">
        <f>B854*50%</f>
        <v/>
      </c>
      <c r="Q854" s="44" t="n">
        <v>0.72</v>
      </c>
      <c r="R854" s="44" t="n">
        <v>0.72</v>
      </c>
      <c r="S854" s="44" t="n">
        <v>0.72</v>
      </c>
      <c r="T854" s="44" t="n">
        <v>0.72</v>
      </c>
      <c r="U854" s="44" t="n">
        <v>0.72</v>
      </c>
      <c r="V854" s="44" t="n">
        <v>0.72</v>
      </c>
      <c r="W854" s="44" t="n">
        <v>0.72</v>
      </c>
    </row>
    <row r="855" customFormat="1" s="21">
      <c r="A855" s="20" t="inlineStr">
        <is>
          <t>Boreal Moist</t>
        </is>
      </c>
      <c r="B855" s="41" t="n">
        <v>0.7</v>
      </c>
      <c r="C855" s="41" t="n">
        <v>0.82</v>
      </c>
      <c r="D855" s="451" t="n">
        <v>1.35</v>
      </c>
      <c r="E855" s="471" t="n">
        <v>1</v>
      </c>
      <c r="F855" s="659" t="n">
        <v>1</v>
      </c>
      <c r="G855" s="41" t="n">
        <v>0.72</v>
      </c>
      <c r="H855" s="41" t="n">
        <v>0.72</v>
      </c>
      <c r="I855" s="41" t="n">
        <v>0.72</v>
      </c>
      <c r="J855" s="41" t="n">
        <v>0.72</v>
      </c>
      <c r="K855" s="41" t="n">
        <v>0.72</v>
      </c>
      <c r="L855" s="41" t="n">
        <v>0.72</v>
      </c>
      <c r="M855" s="41" t="n">
        <v>0.72</v>
      </c>
      <c r="N855" s="41" t="n">
        <v>0.72</v>
      </c>
      <c r="O855" s="41" t="n">
        <v>0.72</v>
      </c>
      <c r="P855" s="657">
        <f>B855*50%</f>
        <v/>
      </c>
      <c r="Q855" s="41" t="n">
        <v>0.72</v>
      </c>
      <c r="R855" s="41" t="n">
        <v>0.72</v>
      </c>
      <c r="S855" s="41" t="n">
        <v>0.72</v>
      </c>
      <c r="T855" s="41" t="n">
        <v>0.72</v>
      </c>
      <c r="U855" s="41" t="n">
        <v>0.72</v>
      </c>
      <c r="V855" s="41" t="n">
        <v>0.72</v>
      </c>
      <c r="W855" s="41" t="n">
        <v>0.72</v>
      </c>
    </row>
    <row r="856" customFormat="1" s="21">
      <c r="A856" s="20" t="inlineStr">
        <is>
          <t>Cool Temperate Dry</t>
        </is>
      </c>
      <c r="B856" s="41" t="n">
        <v>0.77</v>
      </c>
      <c r="C856" s="41" t="n">
        <v>0.93</v>
      </c>
      <c r="D856" s="451" t="n">
        <v>1.35</v>
      </c>
      <c r="E856" s="471" t="n">
        <v>1</v>
      </c>
      <c r="F856" s="659" t="n">
        <v>1</v>
      </c>
      <c r="G856" s="41" t="n">
        <v>0.72</v>
      </c>
      <c r="H856" s="41" t="n">
        <v>0.72</v>
      </c>
      <c r="I856" s="41" t="n">
        <v>0.72</v>
      </c>
      <c r="J856" s="41" t="n">
        <v>0.72</v>
      </c>
      <c r="K856" s="41" t="n">
        <v>0.72</v>
      </c>
      <c r="L856" s="41" t="n">
        <v>0.72</v>
      </c>
      <c r="M856" s="41" t="n">
        <v>0.72</v>
      </c>
      <c r="N856" s="41" t="n">
        <v>0.72</v>
      </c>
      <c r="O856" s="41" t="n">
        <v>0.72</v>
      </c>
      <c r="P856" s="657">
        <f>B856*50%</f>
        <v/>
      </c>
      <c r="Q856" s="41" t="n">
        <v>0.72</v>
      </c>
      <c r="R856" s="41" t="n">
        <v>0.72</v>
      </c>
      <c r="S856" s="41" t="n">
        <v>0.72</v>
      </c>
      <c r="T856" s="41" t="n">
        <v>0.72</v>
      </c>
      <c r="U856" s="41" t="n">
        <v>0.72</v>
      </c>
      <c r="V856" s="41" t="n">
        <v>0.72</v>
      </c>
      <c r="W856" s="41" t="n">
        <v>0.72</v>
      </c>
    </row>
    <row r="857" customFormat="1" s="21">
      <c r="A857" s="20" t="inlineStr">
        <is>
          <t>Cool Temperate Moist</t>
        </is>
      </c>
      <c r="B857" s="41" t="n">
        <v>0.7</v>
      </c>
      <c r="C857" s="41" t="n">
        <v>0.82</v>
      </c>
      <c r="D857" s="451" t="n">
        <v>1.35</v>
      </c>
      <c r="E857" s="471" t="n">
        <v>1</v>
      </c>
      <c r="F857" s="659" t="n">
        <v>1</v>
      </c>
      <c r="G857" s="41" t="n">
        <v>0.72</v>
      </c>
      <c r="H857" s="41" t="n">
        <v>0.72</v>
      </c>
      <c r="I857" s="41" t="n">
        <v>0.72</v>
      </c>
      <c r="J857" s="41" t="n">
        <v>0.72</v>
      </c>
      <c r="K857" s="41" t="n">
        <v>0.72</v>
      </c>
      <c r="L857" s="41" t="n">
        <v>0.72</v>
      </c>
      <c r="M857" s="41" t="n">
        <v>0.72</v>
      </c>
      <c r="N857" s="41" t="n">
        <v>0.72</v>
      </c>
      <c r="O857" s="41" t="n">
        <v>0.72</v>
      </c>
      <c r="P857" s="657">
        <f>B857*50%</f>
        <v/>
      </c>
      <c r="Q857" s="41" t="n">
        <v>0.72</v>
      </c>
      <c r="R857" s="41" t="n">
        <v>0.72</v>
      </c>
      <c r="S857" s="41" t="n">
        <v>0.72</v>
      </c>
      <c r="T857" s="41" t="n">
        <v>0.72</v>
      </c>
      <c r="U857" s="41" t="n">
        <v>0.72</v>
      </c>
      <c r="V857" s="41" t="n">
        <v>0.72</v>
      </c>
      <c r="W857" s="41" t="n">
        <v>0.72</v>
      </c>
    </row>
    <row r="858" customFormat="1" s="21">
      <c r="A858" s="20" t="inlineStr">
        <is>
          <t>Tropical Dry</t>
        </is>
      </c>
      <c r="B858" s="41" t="n">
        <v>0.92</v>
      </c>
      <c r="C858" s="41" t="n">
        <v>0.93</v>
      </c>
      <c r="D858" s="451" t="n">
        <v>1.35</v>
      </c>
      <c r="E858" s="471" t="n">
        <v>1</v>
      </c>
      <c r="F858" s="659" t="n">
        <v>1</v>
      </c>
      <c r="G858" s="41" t="n">
        <v>1.01</v>
      </c>
      <c r="H858" s="41" t="n">
        <v>1.01</v>
      </c>
      <c r="I858" s="41" t="n">
        <v>1.01</v>
      </c>
      <c r="J858" s="41" t="n">
        <v>1.01</v>
      </c>
      <c r="K858" s="41" t="n">
        <v>1.01</v>
      </c>
      <c r="L858" s="41" t="n">
        <v>1.01</v>
      </c>
      <c r="M858" s="41" t="n">
        <v>1.01</v>
      </c>
      <c r="N858" s="41" t="n">
        <v>1.01</v>
      </c>
      <c r="O858" s="41" t="n">
        <v>1.01</v>
      </c>
      <c r="P858" s="657">
        <f>B858*50%</f>
        <v/>
      </c>
      <c r="Q858" s="41" t="n">
        <v>1.01</v>
      </c>
      <c r="R858" s="41" t="n">
        <v>1.01</v>
      </c>
      <c r="S858" s="41" t="n">
        <v>1.01</v>
      </c>
      <c r="T858" s="41" t="n">
        <v>1.01</v>
      </c>
      <c r="U858" s="41" t="n">
        <v>1.01</v>
      </c>
      <c r="V858" s="41" t="n">
        <v>1.01</v>
      </c>
      <c r="W858" s="41" t="n">
        <v>1.01</v>
      </c>
    </row>
    <row r="859" customFormat="1" s="21">
      <c r="A859" s="20" t="inlineStr">
        <is>
          <t>Tropical Moist</t>
        </is>
      </c>
      <c r="B859" s="41" t="n">
        <v>0.83</v>
      </c>
      <c r="C859" s="41" t="n">
        <v>0.82</v>
      </c>
      <c r="D859" s="451" t="n">
        <v>1.35</v>
      </c>
      <c r="E859" s="471" t="n">
        <v>1</v>
      </c>
      <c r="F859" s="659" t="n">
        <v>1</v>
      </c>
      <c r="G859" s="41" t="n">
        <v>1.01</v>
      </c>
      <c r="H859" s="41" t="n">
        <v>1.01</v>
      </c>
      <c r="I859" s="41" t="n">
        <v>1.01</v>
      </c>
      <c r="J859" s="41" t="n">
        <v>1.01</v>
      </c>
      <c r="K859" s="41" t="n">
        <v>1.01</v>
      </c>
      <c r="L859" s="41" t="n">
        <v>1.01</v>
      </c>
      <c r="M859" s="41" t="n">
        <v>1.01</v>
      </c>
      <c r="N859" s="41" t="n">
        <v>1.01</v>
      </c>
      <c r="O859" s="41" t="n">
        <v>1.01</v>
      </c>
      <c r="P859" s="657">
        <f>B859*50%</f>
        <v/>
      </c>
      <c r="Q859" s="41" t="n">
        <v>1.01</v>
      </c>
      <c r="R859" s="41" t="n">
        <v>1.01</v>
      </c>
      <c r="S859" s="41" t="n">
        <v>1.01</v>
      </c>
      <c r="T859" s="41" t="n">
        <v>1.01</v>
      </c>
      <c r="U859" s="41" t="n">
        <v>1.01</v>
      </c>
      <c r="V859" s="41" t="n">
        <v>1.01</v>
      </c>
      <c r="W859" s="41" t="n">
        <v>1.01</v>
      </c>
    </row>
    <row r="860" customFormat="1" s="21">
      <c r="A860" s="20" t="inlineStr">
        <is>
          <t>Tropical Wet</t>
        </is>
      </c>
      <c r="B860" s="41" t="n">
        <v>0.83</v>
      </c>
      <c r="C860" s="41" t="n">
        <v>0.82</v>
      </c>
      <c r="D860" s="451" t="n">
        <v>1.35</v>
      </c>
      <c r="E860" s="471" t="n">
        <v>1</v>
      </c>
      <c r="F860" s="659" t="n">
        <v>1</v>
      </c>
      <c r="G860" s="41" t="n">
        <v>1.01</v>
      </c>
      <c r="H860" s="41" t="n">
        <v>1.01</v>
      </c>
      <c r="I860" s="41" t="n">
        <v>1.01</v>
      </c>
      <c r="J860" s="41" t="n">
        <v>1.01</v>
      </c>
      <c r="K860" s="41" t="n">
        <v>1.01</v>
      </c>
      <c r="L860" s="41" t="n">
        <v>1.01</v>
      </c>
      <c r="M860" s="41" t="n">
        <v>1.01</v>
      </c>
      <c r="N860" s="41" t="n">
        <v>1.01</v>
      </c>
      <c r="O860" s="41" t="n">
        <v>1.01</v>
      </c>
      <c r="P860" s="657">
        <f>B860*50%</f>
        <v/>
      </c>
      <c r="Q860" s="41" t="n">
        <v>1.01</v>
      </c>
      <c r="R860" s="41" t="n">
        <v>1.01</v>
      </c>
      <c r="S860" s="41" t="n">
        <v>1.01</v>
      </c>
      <c r="T860" s="41" t="n">
        <v>1.01</v>
      </c>
      <c r="U860" s="41" t="n">
        <v>1.01</v>
      </c>
      <c r="V860" s="41" t="n">
        <v>1.01</v>
      </c>
      <c r="W860" s="41" t="n">
        <v>1.01</v>
      </c>
    </row>
    <row r="861" customFormat="1" s="21">
      <c r="A861" s="20" t="inlineStr">
        <is>
          <t>Tropical Montane</t>
        </is>
      </c>
      <c r="B861" s="164" t="n">
        <v>0.64</v>
      </c>
      <c r="C861" s="41" t="n">
        <v>0.88</v>
      </c>
      <c r="D861" s="451" t="n">
        <v>1.35</v>
      </c>
      <c r="E861" s="471" t="n">
        <v>1</v>
      </c>
      <c r="F861" s="659" t="n">
        <v>1</v>
      </c>
      <c r="G861" s="164" t="n">
        <v>1</v>
      </c>
      <c r="H861" s="164" t="n">
        <v>1</v>
      </c>
      <c r="I861" s="164" t="n">
        <v>1</v>
      </c>
      <c r="J861" s="164" t="n">
        <v>1</v>
      </c>
      <c r="K861" s="164" t="n">
        <v>1</v>
      </c>
      <c r="L861" s="164" t="n">
        <v>1</v>
      </c>
      <c r="M861" s="164" t="n">
        <v>1</v>
      </c>
      <c r="N861" s="164" t="n">
        <v>1</v>
      </c>
      <c r="O861" s="164" t="n">
        <v>1</v>
      </c>
      <c r="P861" s="657">
        <f>B861*50%</f>
        <v/>
      </c>
      <c r="Q861" s="164" t="n">
        <v>1</v>
      </c>
      <c r="R861" s="164" t="n">
        <v>1</v>
      </c>
      <c r="S861" s="164" t="n">
        <v>1</v>
      </c>
      <c r="T861" s="164" t="n">
        <v>1</v>
      </c>
      <c r="U861" s="164" t="n">
        <v>1</v>
      </c>
      <c r="V861" s="164" t="n">
        <v>1</v>
      </c>
      <c r="W861" s="164" t="n">
        <v>1</v>
      </c>
    </row>
    <row r="862" customFormat="1" s="21">
      <c r="A862" s="20" t="inlineStr">
        <is>
          <t>Warm Temperate Dry</t>
        </is>
      </c>
      <c r="B862" s="41" t="n">
        <v>0.76</v>
      </c>
      <c r="C862" s="41" t="n">
        <v>0.93</v>
      </c>
      <c r="D862" s="451" t="n">
        <v>1.35</v>
      </c>
      <c r="E862" s="471" t="n">
        <v>1</v>
      </c>
      <c r="F862" s="659" t="n">
        <v>1</v>
      </c>
      <c r="G862" s="41" t="n">
        <v>0.72</v>
      </c>
      <c r="H862" s="41" t="n">
        <v>0.72</v>
      </c>
      <c r="I862" s="41" t="n">
        <v>0.72</v>
      </c>
      <c r="J862" s="41" t="n">
        <v>0.72</v>
      </c>
      <c r="K862" s="41" t="n">
        <v>0.72</v>
      </c>
      <c r="L862" s="41" t="n">
        <v>0.72</v>
      </c>
      <c r="M862" s="41" t="n">
        <v>0.72</v>
      </c>
      <c r="N862" s="41" t="n">
        <v>0.72</v>
      </c>
      <c r="O862" s="41" t="n">
        <v>0.72</v>
      </c>
      <c r="P862" s="657">
        <f>B862*50%</f>
        <v/>
      </c>
      <c r="Q862" s="41" t="n">
        <v>0.72</v>
      </c>
      <c r="R862" s="41" t="n">
        <v>0.72</v>
      </c>
      <c r="S862" s="41" t="n">
        <v>0.72</v>
      </c>
      <c r="T862" s="41" t="n">
        <v>0.72</v>
      </c>
      <c r="U862" s="41" t="n">
        <v>0.72</v>
      </c>
      <c r="V862" s="41" t="n">
        <v>0.72</v>
      </c>
      <c r="W862" s="41" t="n">
        <v>0.72</v>
      </c>
    </row>
    <row r="863" customFormat="1" s="21">
      <c r="A863" s="20" t="inlineStr">
        <is>
          <t>Warm Temperate Moist</t>
        </is>
      </c>
      <c r="B863" s="41" t="n">
        <v>0.6899999999999999</v>
      </c>
      <c r="C863" s="42" t="n">
        <v>0.82</v>
      </c>
      <c r="D863" s="451" t="n">
        <v>1.35</v>
      </c>
      <c r="E863" s="536" t="n">
        <v>1</v>
      </c>
      <c r="F863" s="660" t="n">
        <v>1</v>
      </c>
      <c r="G863" s="42" t="n">
        <v>0.72</v>
      </c>
      <c r="H863" s="42" t="n">
        <v>0.72</v>
      </c>
      <c r="I863" s="42" t="n">
        <v>0.72</v>
      </c>
      <c r="J863" s="42" t="n">
        <v>0.72</v>
      </c>
      <c r="K863" s="42" t="n">
        <v>0.72</v>
      </c>
      <c r="L863" s="42" t="n">
        <v>0.72</v>
      </c>
      <c r="M863" s="42" t="n">
        <v>0.72</v>
      </c>
      <c r="N863" s="42" t="n">
        <v>0.72</v>
      </c>
      <c r="O863" s="42" t="n">
        <v>0.72</v>
      </c>
      <c r="P863" s="657">
        <f>B863*50%</f>
        <v/>
      </c>
      <c r="Q863" s="42" t="n">
        <v>0.72</v>
      </c>
      <c r="R863" s="42" t="n">
        <v>0.72</v>
      </c>
      <c r="S863" s="42" t="n">
        <v>0.72</v>
      </c>
      <c r="T863" s="42" t="n">
        <v>0.72</v>
      </c>
      <c r="U863" s="42" t="n">
        <v>0.72</v>
      </c>
      <c r="V863" s="42" t="n">
        <v>0.72</v>
      </c>
      <c r="W863" s="42" t="n">
        <v>0.72</v>
      </c>
    </row>
    <row r="864" customFormat="1" s="535">
      <c r="A864" s="518" t="inlineStr">
        <is>
          <t>Notes</t>
        </is>
      </c>
      <c r="E864" s="292" t="n"/>
      <c r="G864" s="292" t="n"/>
    </row>
    <row r="865" customFormat="1" s="535">
      <c r="A865" s="534" t="inlineStr">
        <is>
          <t>Values in red are obtained from IPCC 2006</t>
        </is>
      </c>
    </row>
    <row r="866" customFormat="1" s="535">
      <c r="A866" s="534" t="n"/>
    </row>
    <row r="868" ht="13" customFormat="1" customHeight="1" s="532">
      <c r="A868" s="541" t="inlineStr">
        <is>
          <t>Combustion factor values (proportion of prefire fuel biomass consumed) for fires in a range of vegetation types</t>
        </is>
      </c>
      <c r="B868" s="523" t="n"/>
      <c r="C868" s="523" t="n"/>
      <c r="D868" s="523" t="n"/>
      <c r="E868" s="523" t="n"/>
    </row>
    <row r="869" ht="13" customFormat="1" customHeight="1" s="532">
      <c r="A869" s="540" t="inlineStr">
        <is>
          <t>Table 2.6 , in IPCC 2019, Chapter 2</t>
        </is>
      </c>
      <c r="B869" s="544" t="n"/>
      <c r="C869" s="555" t="inlineStr">
        <is>
          <t>Gef for CO2 Table 2.5</t>
        </is>
      </c>
      <c r="D869" s="555" t="inlineStr">
        <is>
          <t>Gef for CH4 Table 2.5</t>
        </is>
      </c>
      <c r="E869" s="555" t="inlineStr">
        <is>
          <t>Gef for N2O Table 2.5</t>
        </is>
      </c>
    </row>
    <row r="870" customFormat="1" s="452">
      <c r="A870" s="542" t="inlineStr">
        <is>
          <t xml:space="preserve">Forest types stratified by IPCC climate </t>
        </is>
      </c>
      <c r="B870" s="524" t="inlineStr">
        <is>
          <t>Cf</t>
        </is>
      </c>
      <c r="C870" s="813" t="inlineStr">
        <is>
          <t>(g kg-1 dry matter burnt)</t>
        </is>
      </c>
      <c r="D870" s="813" t="inlineStr">
        <is>
          <t>(g kg-1 dry matter burnt)</t>
        </is>
      </c>
      <c r="E870" s="813" t="inlineStr">
        <is>
          <t>(g kg-1 dry matter burnt)</t>
        </is>
      </c>
    </row>
    <row r="871" customFormat="1" s="21">
      <c r="A871" s="63" t="inlineStr">
        <is>
          <t>Tropical rainforest</t>
        </is>
      </c>
      <c r="B871" s="567" t="n">
        <v>0.32</v>
      </c>
      <c r="C871" s="567" t="n">
        <v>1580</v>
      </c>
      <c r="D871" s="567" t="n">
        <v>6.8</v>
      </c>
      <c r="E871" s="567" t="n">
        <v>0.2</v>
      </c>
    </row>
    <row r="872" customFormat="1" s="21">
      <c r="A872" s="20" t="inlineStr">
        <is>
          <t>Tropical moist deciduous forest</t>
        </is>
      </c>
      <c r="B872" s="55" t="n">
        <v>0.36</v>
      </c>
      <c r="C872" s="55" t="n">
        <v>1580</v>
      </c>
      <c r="D872" s="55" t="n">
        <v>6.8</v>
      </c>
      <c r="E872" s="55" t="n">
        <v>0.2</v>
      </c>
    </row>
    <row r="873" customFormat="1" s="21">
      <c r="A873" s="20" t="inlineStr">
        <is>
          <t>Tropical dry forest</t>
        </is>
      </c>
      <c r="B873" s="55" t="n">
        <v>0.36</v>
      </c>
      <c r="C873" s="55" t="n">
        <v>1580</v>
      </c>
      <c r="D873" s="55" t="n">
        <v>6.8</v>
      </c>
      <c r="E873" s="55" t="n">
        <v>0.2</v>
      </c>
    </row>
    <row r="874" customFormat="1" s="21">
      <c r="A874" s="20" t="inlineStr">
        <is>
          <t>Tropical shrubland</t>
        </is>
      </c>
      <c r="B874" s="55" t="n">
        <v>0.72</v>
      </c>
      <c r="C874" s="55" t="n">
        <v>1580</v>
      </c>
      <c r="D874" s="55" t="n">
        <v>6.8</v>
      </c>
      <c r="E874" s="55" t="n">
        <v>0.2</v>
      </c>
    </row>
    <row r="875" customFormat="1" s="21">
      <c r="A875" s="20" t="inlineStr">
        <is>
          <t>Mangrove Forest</t>
        </is>
      </c>
      <c r="B875" s="55" t="n">
        <v>0.32</v>
      </c>
      <c r="C875" s="812" t="n">
        <v>1580</v>
      </c>
      <c r="D875" s="812" t="n">
        <v>6.8</v>
      </c>
      <c r="E875" s="812" t="n">
        <v>0.2</v>
      </c>
    </row>
    <row r="876" customFormat="1" s="21">
      <c r="A876" s="20" t="inlineStr">
        <is>
          <t>Planted Tropical rainforest</t>
        </is>
      </c>
      <c r="B876" s="55" t="n">
        <v>0.32</v>
      </c>
      <c r="C876" s="55" t="n">
        <v>1580</v>
      </c>
      <c r="D876" s="55" t="n">
        <v>6.8</v>
      </c>
      <c r="E876" s="55" t="n">
        <v>0.2</v>
      </c>
    </row>
    <row r="877" customFormat="1" s="21">
      <c r="A877" s="20" t="inlineStr">
        <is>
          <t>Planted Tropical moist deciduous forest</t>
        </is>
      </c>
      <c r="B877" s="55" t="n">
        <v>0.36</v>
      </c>
      <c r="C877" s="55" t="n">
        <v>1580</v>
      </c>
      <c r="D877" s="55" t="n">
        <v>6.8</v>
      </c>
      <c r="E877" s="55" t="n">
        <v>0.2</v>
      </c>
    </row>
    <row r="878" customFormat="1" s="21">
      <c r="A878" s="20" t="inlineStr">
        <is>
          <t>Planted Tropical dry forest</t>
        </is>
      </c>
      <c r="B878" s="55" t="n">
        <v>0.36</v>
      </c>
      <c r="C878" s="55" t="n">
        <v>1580</v>
      </c>
      <c r="D878" s="55" t="n">
        <v>6.8</v>
      </c>
      <c r="E878" s="55" t="n">
        <v>0.2</v>
      </c>
    </row>
    <row r="879" customFormat="1" s="21">
      <c r="A879" s="20" t="inlineStr">
        <is>
          <t>Planted  Tropical shrubland</t>
        </is>
      </c>
      <c r="B879" s="55" t="n">
        <v>0.72</v>
      </c>
      <c r="C879" s="55" t="n">
        <v>1580</v>
      </c>
      <c r="D879" s="55" t="n">
        <v>6.8</v>
      </c>
      <c r="E879" s="55" t="n">
        <v>0.2</v>
      </c>
    </row>
    <row r="880" customFormat="1" s="21">
      <c r="A880" s="20" t="inlineStr">
        <is>
          <t>Subtropical humid forest</t>
        </is>
      </c>
      <c r="B880" s="55" t="n">
        <v>0.36</v>
      </c>
      <c r="C880" s="55" t="n">
        <v>1569</v>
      </c>
      <c r="D880" s="55" t="n">
        <v>4.7</v>
      </c>
      <c r="E880" s="55" t="n">
        <v>0.26</v>
      </c>
    </row>
    <row r="881" customFormat="1" s="21">
      <c r="A881" s="20" t="inlineStr">
        <is>
          <t>Subtropical dry forest</t>
        </is>
      </c>
      <c r="B881" s="55" t="n">
        <v>0.36</v>
      </c>
      <c r="C881" s="55" t="n">
        <v>1569</v>
      </c>
      <c r="D881" s="55" t="n">
        <v>4.7</v>
      </c>
      <c r="E881" s="55" t="n">
        <v>0.26</v>
      </c>
    </row>
    <row r="882" customFormat="1" s="21">
      <c r="A882" s="20" t="inlineStr">
        <is>
          <t>Subtropical steppe</t>
        </is>
      </c>
      <c r="B882" s="55" t="n">
        <v>0.74</v>
      </c>
      <c r="C882" s="55" t="n">
        <v>1569</v>
      </c>
      <c r="D882" s="55" t="n">
        <v>4.7</v>
      </c>
      <c r="E882" s="55" t="n">
        <v>0.26</v>
      </c>
    </row>
    <row r="883" customFormat="1" s="21">
      <c r="A883" s="20" t="inlineStr">
        <is>
          <t>Subtropical mountain systems</t>
        </is>
      </c>
      <c r="B883" s="55" t="n">
        <v>0.36</v>
      </c>
      <c r="C883" s="55" t="n">
        <v>1569</v>
      </c>
      <c r="D883" s="55" t="n">
        <v>4.7</v>
      </c>
      <c r="E883" s="55" t="n">
        <v>0.26</v>
      </c>
    </row>
    <row r="884" customFormat="1" s="21">
      <c r="A884" s="20" t="inlineStr">
        <is>
          <t>Planted Subtropical humid forest</t>
        </is>
      </c>
      <c r="B884" s="55" t="n">
        <v>0.36</v>
      </c>
      <c r="C884" s="55" t="n">
        <v>1569</v>
      </c>
      <c r="D884" s="55" t="n">
        <v>4.7</v>
      </c>
      <c r="E884" s="55" t="n">
        <v>0.26</v>
      </c>
    </row>
    <row r="885" customFormat="1" s="21">
      <c r="A885" s="20" t="inlineStr">
        <is>
          <t>Planted Subtropical dry forest</t>
        </is>
      </c>
      <c r="B885" s="55" t="n">
        <v>0.36</v>
      </c>
      <c r="C885" s="55" t="n">
        <v>1569</v>
      </c>
      <c r="D885" s="55" t="n">
        <v>4.7</v>
      </c>
      <c r="E885" s="55" t="n">
        <v>0.26</v>
      </c>
    </row>
    <row r="886" customFormat="1" s="21">
      <c r="A886" s="20" t="inlineStr">
        <is>
          <t>Planted Subtropical steppe</t>
        </is>
      </c>
      <c r="B886" s="55" t="n">
        <v>0.74</v>
      </c>
      <c r="C886" s="55" t="n">
        <v>1569</v>
      </c>
      <c r="D886" s="55" t="n">
        <v>4.7</v>
      </c>
      <c r="E886" s="55" t="n">
        <v>0.26</v>
      </c>
    </row>
    <row r="887" customFormat="1" s="21">
      <c r="A887" s="20" t="inlineStr">
        <is>
          <t>Planted Subtropical mountain systems</t>
        </is>
      </c>
      <c r="B887" s="55" t="n">
        <v>0.36</v>
      </c>
      <c r="C887" s="55" t="n">
        <v>1569</v>
      </c>
      <c r="D887" s="55" t="n">
        <v>4.7</v>
      </c>
      <c r="E887" s="55" t="n">
        <v>0.26</v>
      </c>
    </row>
    <row r="888" customFormat="1" s="21">
      <c r="A888" s="20" t="inlineStr">
        <is>
          <t>Mangrove Forest</t>
        </is>
      </c>
      <c r="B888" s="55" t="n">
        <v>0.32</v>
      </c>
      <c r="C888" s="812" t="n"/>
      <c r="D888" s="812" t="n">
        <v>6.8</v>
      </c>
      <c r="E888" s="812" t="n"/>
    </row>
    <row r="889" customFormat="1" s="21">
      <c r="A889" s="55" t="inlineStr">
        <is>
          <t>Temperate oceanic forest</t>
        </is>
      </c>
      <c r="B889" s="55" t="n">
        <v>0.45</v>
      </c>
      <c r="C889" s="55" t="n">
        <v>1569</v>
      </c>
      <c r="D889" s="55" t="n">
        <v>4.7</v>
      </c>
      <c r="E889" s="55" t="n">
        <v>0.26</v>
      </c>
    </row>
    <row r="890" customFormat="1" s="21">
      <c r="A890" s="55" t="inlineStr">
        <is>
          <t>Temperate continental forest</t>
        </is>
      </c>
      <c r="B890" s="55" t="n">
        <v>0.45</v>
      </c>
      <c r="C890" s="55" t="n">
        <v>1569</v>
      </c>
      <c r="D890" s="55" t="n">
        <v>4.7</v>
      </c>
      <c r="E890" s="55" t="n">
        <v>0.26</v>
      </c>
    </row>
    <row r="891" customFormat="1" s="21">
      <c r="A891" s="55" t="inlineStr">
        <is>
          <t>Temperate mountain systems</t>
        </is>
      </c>
      <c r="B891" s="55" t="n">
        <v>0.45</v>
      </c>
      <c r="C891" s="55" t="n">
        <v>1569</v>
      </c>
      <c r="D891" s="55" t="n">
        <v>4.7</v>
      </c>
      <c r="E891" s="55" t="n">
        <v>0.26</v>
      </c>
    </row>
    <row r="892" customFormat="1" s="21">
      <c r="A892" s="20" t="inlineStr">
        <is>
          <t>Temperate desert</t>
        </is>
      </c>
      <c r="B892" s="55" t="n">
        <v>0.45</v>
      </c>
      <c r="C892" s="55" t="n">
        <v>1569</v>
      </c>
      <c r="D892" s="55" t="n">
        <v>4.7</v>
      </c>
      <c r="E892" s="55" t="n">
        <v>0.26</v>
      </c>
    </row>
    <row r="893" customFormat="1" s="21">
      <c r="A893" s="20" t="inlineStr">
        <is>
          <t>Temperate steppe</t>
        </is>
      </c>
      <c r="B893" s="55" t="n">
        <v>0.45</v>
      </c>
      <c r="C893" s="55" t="n">
        <v>1569</v>
      </c>
      <c r="D893" s="55" t="n">
        <v>4.7</v>
      </c>
      <c r="E893" s="55" t="n">
        <v>0.26</v>
      </c>
    </row>
    <row r="894" customFormat="1" s="21">
      <c r="A894" s="20" t="inlineStr">
        <is>
          <t>Planted Temperate oceanic forest</t>
        </is>
      </c>
      <c r="B894" s="55" t="n">
        <v>0.45</v>
      </c>
      <c r="C894" s="55" t="n">
        <v>1569</v>
      </c>
      <c r="D894" s="55" t="n">
        <v>4.7</v>
      </c>
      <c r="E894" s="55" t="n">
        <v>0.26</v>
      </c>
    </row>
    <row r="895" customFormat="1" s="21">
      <c r="A895" s="20" t="inlineStr">
        <is>
          <t>Planted Temperate continental forest</t>
        </is>
      </c>
      <c r="B895" s="55" t="n">
        <v>0.45</v>
      </c>
      <c r="C895" s="55" t="n">
        <v>1569</v>
      </c>
      <c r="D895" s="55" t="n">
        <v>4.7</v>
      </c>
      <c r="E895" s="55" t="n">
        <v>0.26</v>
      </c>
    </row>
    <row r="896" customFormat="1" s="21">
      <c r="A896" s="20" t="inlineStr">
        <is>
          <t>Planted Temperate mountain systems</t>
        </is>
      </c>
      <c r="B896" s="55" t="n">
        <v>0.45</v>
      </c>
      <c r="C896" s="55" t="n">
        <v>1569</v>
      </c>
      <c r="D896" s="55" t="n">
        <v>4.7</v>
      </c>
      <c r="E896" s="55" t="n">
        <v>0.26</v>
      </c>
    </row>
    <row r="897" customFormat="1" s="21">
      <c r="A897" s="20" t="inlineStr">
        <is>
          <t>Planted Temperate desert</t>
        </is>
      </c>
      <c r="B897" s="55" t="n">
        <v>0.45</v>
      </c>
      <c r="C897" s="55" t="n">
        <v>1569</v>
      </c>
      <c r="D897" s="55" t="n">
        <v>4.7</v>
      </c>
      <c r="E897" s="55" t="n">
        <v>0.26</v>
      </c>
    </row>
    <row r="898" customFormat="1" s="21">
      <c r="A898" s="20" t="inlineStr">
        <is>
          <t>Planted Temperate steppe</t>
        </is>
      </c>
      <c r="B898" s="55" t="n">
        <v>0.45</v>
      </c>
      <c r="C898" s="55" t="n">
        <v>1569</v>
      </c>
      <c r="D898" s="55" t="n">
        <v>4.7</v>
      </c>
      <c r="E898" s="55" t="n">
        <v>0.26</v>
      </c>
    </row>
    <row r="899" customFormat="1" s="21">
      <c r="A899" s="20" t="inlineStr">
        <is>
          <t>Boreal coniferous forest</t>
        </is>
      </c>
      <c r="B899" s="55" t="n">
        <v>0.34</v>
      </c>
      <c r="C899" s="55" t="n">
        <v>1569</v>
      </c>
      <c r="D899" s="55" t="n">
        <v>4.7</v>
      </c>
      <c r="E899" s="55" t="n">
        <v>0.26</v>
      </c>
    </row>
    <row r="900" customFormat="1" s="21">
      <c r="A900" s="20" t="inlineStr">
        <is>
          <t>Boreal tundra woodland</t>
        </is>
      </c>
      <c r="B900" s="55" t="n">
        <v>0.34</v>
      </c>
      <c r="C900" s="55" t="n">
        <v>1569</v>
      </c>
      <c r="D900" s="55" t="n">
        <v>4.7</v>
      </c>
      <c r="E900" s="55" t="n">
        <v>0.26</v>
      </c>
    </row>
    <row r="901" customFormat="1" s="21">
      <c r="A901" s="20" t="inlineStr">
        <is>
          <t>Boreal mountain systems</t>
        </is>
      </c>
      <c r="B901" s="55" t="n">
        <v>0.34</v>
      </c>
      <c r="C901" s="55" t="n">
        <v>1569</v>
      </c>
      <c r="D901" s="55" t="n">
        <v>4.7</v>
      </c>
      <c r="E901" s="55" t="n">
        <v>0.26</v>
      </c>
    </row>
    <row r="902" customFormat="1" s="21">
      <c r="A902" s="20" t="inlineStr">
        <is>
          <t>Planted Boreal coniferous forest</t>
        </is>
      </c>
      <c r="B902" s="55" t="n">
        <v>0.34</v>
      </c>
      <c r="C902" s="55" t="n">
        <v>1569</v>
      </c>
      <c r="D902" s="55" t="n">
        <v>4.7</v>
      </c>
      <c r="E902" s="55" t="n">
        <v>0.26</v>
      </c>
    </row>
    <row r="903" customFormat="1" s="21">
      <c r="A903" s="20" t="inlineStr">
        <is>
          <t>Planted Boreal tundra woodland</t>
        </is>
      </c>
      <c r="B903" s="55" t="n">
        <v>0.34</v>
      </c>
      <c r="C903" s="55" t="n">
        <v>1569</v>
      </c>
      <c r="D903" s="55" t="n">
        <v>4.7</v>
      </c>
      <c r="E903" s="55" t="n">
        <v>0.26</v>
      </c>
    </row>
    <row r="904" customFormat="1" s="21">
      <c r="A904" s="20" t="inlineStr">
        <is>
          <t>Planted Boreal mountain systems</t>
        </is>
      </c>
      <c r="B904" s="55" t="n">
        <v>0.34</v>
      </c>
      <c r="C904" s="55" t="n">
        <v>1569</v>
      </c>
      <c r="D904" s="55" t="n">
        <v>4.7</v>
      </c>
      <c r="E904" s="55" t="n">
        <v>0.26</v>
      </c>
    </row>
    <row r="905" customFormat="1" s="21">
      <c r="A905" s="20" t="inlineStr">
        <is>
          <t>Tropical mountain systems</t>
        </is>
      </c>
      <c r="B905" s="55" t="n">
        <v>0.36</v>
      </c>
      <c r="C905" s="55" t="n">
        <v>1580</v>
      </c>
      <c r="D905" s="55" t="n">
        <v>6.8</v>
      </c>
      <c r="E905" s="55" t="n">
        <v>0.2</v>
      </c>
    </row>
    <row r="906" customFormat="1" s="21">
      <c r="A906" s="37" t="inlineStr">
        <is>
          <t>Planted Tropical mountain systems</t>
        </is>
      </c>
      <c r="B906" s="579" t="n">
        <v>0.36</v>
      </c>
      <c r="C906" s="579" t="n">
        <v>1580</v>
      </c>
      <c r="D906" s="579" t="n">
        <v>6.8</v>
      </c>
      <c r="E906" s="579" t="n">
        <v>0.2</v>
      </c>
    </row>
    <row r="908" customFormat="1" s="329">
      <c r="A908" s="545" t="inlineStr">
        <is>
          <t>Equation 11.8, in IPCC 2006, page 11.16</t>
        </is>
      </c>
    </row>
    <row r="909" customFormat="1" s="18">
      <c r="A909" s="544" t="inlineStr">
        <is>
          <t>Default C:N ratio of soil organic matter</t>
        </is>
      </c>
      <c r="B909" s="15" t="n"/>
      <c r="C909" s="15" t="n"/>
      <c r="D909" s="15" t="n"/>
      <c r="E909" s="437" t="n"/>
      <c r="F909" s="437" t="n"/>
      <c r="G909" s="15" t="n"/>
      <c r="I909" s="437" t="n"/>
    </row>
    <row r="910" customFormat="1" s="106">
      <c r="A910" s="377" t="inlineStr">
        <is>
          <t>N Mineralization in Mineral Soils as a result of Loss of Soil C through change in Land Use or Management</t>
        </is>
      </c>
      <c r="B910" s="377" t="n"/>
      <c r="C910" s="547" t="n"/>
      <c r="D910" s="547" t="n"/>
      <c r="E910" s="548" t="n"/>
      <c r="F910" s="548" t="n"/>
      <c r="G910" s="547" t="n"/>
      <c r="I910" s="548" t="n"/>
    </row>
    <row r="911" customFormat="1" s="21">
      <c r="A911" s="264" t="n"/>
      <c r="B911" s="546" t="inlineStr">
        <is>
          <t>C:N ratio</t>
        </is>
      </c>
      <c r="C911" s="453" t="n"/>
      <c r="D911" s="453" t="n"/>
      <c r="E911" s="453" t="n"/>
      <c r="F911" s="453" t="n"/>
      <c r="G911" s="23" t="n"/>
    </row>
    <row r="912" customFormat="1" s="21">
      <c r="A912" s="633" t="inlineStr">
        <is>
          <t>Type of Land Conversion</t>
        </is>
      </c>
      <c r="B912" s="453" t="n"/>
      <c r="C912" s="453" t="n"/>
      <c r="D912" s="453" t="n"/>
      <c r="E912" s="453" t="n"/>
      <c r="F912" s="453" t="n"/>
      <c r="G912" s="23" t="n"/>
    </row>
    <row r="913" customFormat="1" s="21">
      <c r="A913" s="264" t="inlineStr">
        <is>
          <t>Forest Land or Grassland to Cropland</t>
        </is>
      </c>
      <c r="B913" s="453" t="n">
        <v>15</v>
      </c>
      <c r="C913" s="453" t="n"/>
      <c r="D913" s="453" t="n"/>
      <c r="E913" s="453" t="n"/>
      <c r="F913" s="453" t="n"/>
      <c r="G913" s="23" t="n"/>
    </row>
    <row r="914" customFormat="1" s="292">
      <c r="A914" s="265" t="inlineStr">
        <is>
          <t>Cropland remaining Cropland</t>
        </is>
      </c>
      <c r="B914" s="421" t="n">
        <v>10</v>
      </c>
      <c r="C914" s="421" t="n"/>
      <c r="D914" s="421" t="n"/>
      <c r="E914" s="421" t="n"/>
      <c r="F914" s="421" t="n"/>
      <c r="G914" s="634" t="n"/>
    </row>
    <row r="916" customFormat="1" s="635"/>
    <row r="917" customFormat="1" s="635">
      <c r="A917" s="642" t="inlineStr">
        <is>
          <t>Values for natural forest are taken from  TABLE 4.12 (UPDATED) ] Values for plantations are taken from TABLE 4.12. (UPDATED)</t>
        </is>
      </c>
      <c r="G917" s="509" t="n"/>
      <c r="H917" s="480" t="n"/>
    </row>
    <row r="918" customFormat="1" s="635">
      <c r="A918" s="642" t="inlineStr">
        <is>
          <t>Values in red are from TABLE 4.12 in IPCC 2006 (page 4.63)</t>
        </is>
      </c>
    </row>
    <row r="919" customFormat="1" s="635">
      <c r="A919" s="642" t="inlineStr">
        <is>
          <t>For Central America and Caribbean the same values as South America were used  (values in grey)</t>
        </is>
      </c>
    </row>
    <row r="920" customFormat="1" s="635">
      <c r="A920" s="636" t="inlineStr">
        <is>
          <t>Above-ground net biomass growth in natural forests (tonnes dry matter per ha per year)</t>
        </is>
      </c>
      <c r="B920" s="637" t="n"/>
      <c r="C920" s="637" t="n"/>
      <c r="D920" s="481" t="inlineStr">
        <is>
          <t>TABLE 4.12. (UPDATED)</t>
        </is>
      </c>
      <c r="E920" s="487" t="inlineStr">
        <is>
          <t>TABLE 4.12. (UPDATED)</t>
        </is>
      </c>
      <c r="G920" s="188" t="inlineStr">
        <is>
          <t>Eastern Asia</t>
        </is>
      </c>
      <c r="H920" s="646" t="inlineStr">
        <is>
          <t>Asia (Continental)</t>
        </is>
      </c>
    </row>
    <row r="921" customFormat="1" s="635">
      <c r="A921" s="636" t="inlineStr">
        <is>
          <t>Climate Region</t>
        </is>
      </c>
      <c r="B921" s="636" t="inlineStr">
        <is>
          <t>Region</t>
        </is>
      </c>
      <c r="C921" s="636" t="inlineStr">
        <is>
          <t>Chain_climate_region</t>
        </is>
      </c>
      <c r="D921" s="487" t="inlineStr">
        <is>
          <t>AGB</t>
        </is>
      </c>
      <c r="E921" s="487" t="inlineStr">
        <is>
          <t>AGB</t>
        </is>
      </c>
      <c r="G921" s="188" t="inlineStr">
        <is>
          <t>South-eastern Asia</t>
        </is>
      </c>
      <c r="H921" s="209" t="inlineStr">
        <is>
          <t>Asia (Insular)</t>
        </is>
      </c>
    </row>
    <row r="922" customFormat="1" s="479">
      <c r="A922" s="638" t="inlineStr">
        <is>
          <t>Please select</t>
        </is>
      </c>
      <c r="B922" s="638" t="inlineStr">
        <is>
          <t>Please select</t>
        </is>
      </c>
      <c r="C922" s="638" t="inlineStr">
        <is>
          <t>??</t>
        </is>
      </c>
      <c r="D922" s="639" t="inlineStr">
        <is>
          <t>&gt; 20 years</t>
        </is>
      </c>
      <c r="E922" s="639" t="inlineStr">
        <is>
          <t>≤ 20 years</t>
        </is>
      </c>
      <c r="G922" s="188" t="inlineStr">
        <is>
          <t>Southern Asia</t>
        </is>
      </c>
      <c r="H922" s="647" t="inlineStr">
        <is>
          <t>Asia (Indian Subcontinent)</t>
        </is>
      </c>
    </row>
    <row r="923" customFormat="1" s="21">
      <c r="A923" s="640" t="inlineStr">
        <is>
          <t>Ecological Zone</t>
        </is>
      </c>
      <c r="B923" s="640" t="inlineStr">
        <is>
          <t>Continent</t>
        </is>
      </c>
      <c r="C923" s="640" t="inlineStr">
        <is>
          <t>eco_zone_continent</t>
        </is>
      </c>
      <c r="D923" s="641" t="inlineStr">
        <is>
          <t>t dm/ha/yr</t>
        </is>
      </c>
      <c r="E923" s="641" t="inlineStr">
        <is>
          <t>t dm/ha/yr</t>
        </is>
      </c>
      <c r="G923" s="188" t="inlineStr">
        <is>
          <t>Western Asia</t>
        </is>
      </c>
      <c r="H923" s="209" t="inlineStr">
        <is>
          <t>Middle East</t>
        </is>
      </c>
    </row>
    <row r="924" customFormat="1" s="291">
      <c r="A924" s="63" t="inlineStr">
        <is>
          <t>Tropical rainforest</t>
        </is>
      </c>
      <c r="B924" s="408" t="inlineStr">
        <is>
          <t>Eastern Africa</t>
        </is>
      </c>
      <c r="C924" s="63">
        <f>CONCATENATE(A924,B924)</f>
        <v/>
      </c>
      <c r="D924" s="44" t="n">
        <v>3.5</v>
      </c>
      <c r="E924" s="44" t="n">
        <v>7.6</v>
      </c>
    </row>
    <row r="925" customFormat="1" s="21">
      <c r="A925" s="20" t="inlineStr">
        <is>
          <t>Tropical rainforest</t>
        </is>
      </c>
      <c r="B925" s="401" t="inlineStr">
        <is>
          <t>Central Africa</t>
        </is>
      </c>
      <c r="C925" s="20">
        <f>CONCATENATE(A925,B925)</f>
        <v/>
      </c>
      <c r="D925" s="41" t="n">
        <v>3.5</v>
      </c>
      <c r="E925" s="41" t="n">
        <v>7.6</v>
      </c>
    </row>
    <row r="926" customFormat="1" s="21">
      <c r="A926" s="20" t="inlineStr">
        <is>
          <t>Tropical rainforest</t>
        </is>
      </c>
      <c r="B926" s="401" t="inlineStr">
        <is>
          <t>Northern Africa</t>
        </is>
      </c>
      <c r="C926" s="20">
        <f>CONCATENATE(A926,B926)</f>
        <v/>
      </c>
      <c r="D926" s="41" t="n">
        <v>3.5</v>
      </c>
      <c r="E926" s="41" t="n">
        <v>7.6</v>
      </c>
    </row>
    <row r="927" customFormat="1" s="21">
      <c r="A927" s="20" t="inlineStr">
        <is>
          <t>Tropical rainforest</t>
        </is>
      </c>
      <c r="B927" s="401" t="inlineStr">
        <is>
          <t>Southern Africa</t>
        </is>
      </c>
      <c r="C927" s="20">
        <f>CONCATENATE(A927,B927)</f>
        <v/>
      </c>
      <c r="D927" s="41" t="n">
        <v>3.5</v>
      </c>
      <c r="E927" s="41" t="n">
        <v>7.6</v>
      </c>
    </row>
    <row r="928" customFormat="1" s="21">
      <c r="A928" s="20" t="inlineStr">
        <is>
          <t>Tropical rainforest</t>
        </is>
      </c>
      <c r="B928" s="401" t="inlineStr">
        <is>
          <t>Western Africa</t>
        </is>
      </c>
      <c r="C928" s="20">
        <f>CONCATENATE(A928,B928)</f>
        <v/>
      </c>
      <c r="D928" s="41" t="n">
        <v>3.5</v>
      </c>
      <c r="E928" s="41" t="n">
        <v>7.6</v>
      </c>
    </row>
    <row r="929" customFormat="1" s="21">
      <c r="A929" s="20" t="inlineStr">
        <is>
          <t>Tropical rainforest</t>
        </is>
      </c>
      <c r="B929" s="401" t="inlineStr">
        <is>
          <t>Central Asia</t>
        </is>
      </c>
      <c r="C929" s="20">
        <f>CONCATENATE(A929,B929)</f>
        <v/>
      </c>
      <c r="D929" s="41" t="n">
        <v>2.7</v>
      </c>
      <c r="E929" s="41" t="n">
        <v>3.4</v>
      </c>
    </row>
    <row r="930" customFormat="1" s="21">
      <c r="A930" s="20" t="inlineStr">
        <is>
          <t>Tropical rainforest</t>
        </is>
      </c>
      <c r="B930" s="401" t="inlineStr">
        <is>
          <t>Eastern Asia</t>
        </is>
      </c>
      <c r="C930" s="20">
        <f>CONCATENATE(A930,B930)</f>
        <v/>
      </c>
      <c r="D930" s="41" t="n">
        <v>2.7</v>
      </c>
      <c r="E930" s="41" t="n">
        <v>3.4</v>
      </c>
    </row>
    <row r="931" customFormat="1" s="21">
      <c r="A931" s="20" t="inlineStr">
        <is>
          <t>Tropical rainforest</t>
        </is>
      </c>
      <c r="B931" s="401" t="inlineStr">
        <is>
          <t>South-eastern Asia</t>
        </is>
      </c>
      <c r="C931" s="20">
        <f>CONCATENATE(A931,B931)</f>
        <v/>
      </c>
      <c r="D931" s="41" t="n">
        <v>2.7</v>
      </c>
      <c r="E931" s="41" t="n">
        <v>3.4</v>
      </c>
    </row>
    <row r="932" customFormat="1" s="21">
      <c r="A932" s="20" t="inlineStr">
        <is>
          <t>Tropical rainforest</t>
        </is>
      </c>
      <c r="B932" s="401" t="inlineStr">
        <is>
          <t>Southern Asia</t>
        </is>
      </c>
      <c r="C932" s="20">
        <f>CONCATENATE(A932,B932)</f>
        <v/>
      </c>
      <c r="D932" s="41" t="n">
        <v>2.7</v>
      </c>
      <c r="E932" s="41" t="n">
        <v>3.4</v>
      </c>
    </row>
    <row r="933" customFormat="1" s="21">
      <c r="A933" s="20" t="inlineStr">
        <is>
          <t>Tropical rainforest</t>
        </is>
      </c>
      <c r="B933" s="401" t="inlineStr">
        <is>
          <t>Western Asia</t>
        </is>
      </c>
      <c r="C933" s="20">
        <f>CONCATENATE(A933,B933)</f>
        <v/>
      </c>
      <c r="D933" s="41" t="n">
        <v>2.7</v>
      </c>
      <c r="E933" s="41" t="n">
        <v>3.4</v>
      </c>
    </row>
    <row r="934" customFormat="1" s="21">
      <c r="A934" s="20" t="inlineStr">
        <is>
          <t>Tropical rainforest</t>
        </is>
      </c>
      <c r="B934" s="401" t="inlineStr">
        <is>
          <t>Europe</t>
        </is>
      </c>
      <c r="C934" s="20">
        <f>CONCATENATE(A934,B934)</f>
        <v/>
      </c>
      <c r="D934" s="163" t="n">
        <v>7</v>
      </c>
      <c r="E934" s="163" t="n">
        <v>7</v>
      </c>
    </row>
    <row r="935" customFormat="1" s="21">
      <c r="A935" s="20" t="inlineStr">
        <is>
          <t>Tropical rainforest</t>
        </is>
      </c>
      <c r="B935" s="401" t="inlineStr">
        <is>
          <t>Oceania</t>
        </is>
      </c>
      <c r="C935" s="20">
        <f>CONCATENATE(A935,B935)</f>
        <v/>
      </c>
      <c r="D935" s="163" t="n">
        <v>7</v>
      </c>
      <c r="E935" s="163" t="n">
        <v>7</v>
      </c>
    </row>
    <row r="936" customFormat="1" s="21">
      <c r="A936" s="20" t="inlineStr">
        <is>
          <t>Tropical rainforest</t>
        </is>
      </c>
      <c r="B936" s="401" t="inlineStr">
        <is>
          <t>North America</t>
        </is>
      </c>
      <c r="C936" s="20">
        <f>CONCATENATE(A936,B936)</f>
        <v/>
      </c>
      <c r="D936" s="41" t="n">
        <v>2.3</v>
      </c>
      <c r="E936" s="41" t="n">
        <v>5.9</v>
      </c>
    </row>
    <row r="937" customFormat="1" s="21">
      <c r="A937" s="20" t="inlineStr">
        <is>
          <t>Tropical rainforest</t>
        </is>
      </c>
      <c r="B937" s="401" t="inlineStr">
        <is>
          <t>South America</t>
        </is>
      </c>
      <c r="C937" s="20">
        <f>CONCATENATE(A937,B937)</f>
        <v/>
      </c>
      <c r="D937" s="41" t="n">
        <v>2.3</v>
      </c>
      <c r="E937" s="41" t="n">
        <v>5.9</v>
      </c>
    </row>
    <row r="938" customFormat="1" s="21">
      <c r="A938" s="20" t="inlineStr">
        <is>
          <t>Tropical rainforest</t>
        </is>
      </c>
      <c r="B938" s="401" t="inlineStr">
        <is>
          <t>Central America</t>
        </is>
      </c>
      <c r="C938" s="20">
        <f>CONCATENATE(A938,B938)</f>
        <v/>
      </c>
      <c r="D938" s="363" t="n">
        <v>2.3</v>
      </c>
      <c r="E938" s="363" t="n">
        <v>5.9</v>
      </c>
    </row>
    <row r="939" customFormat="1" s="292">
      <c r="A939" s="37" t="inlineStr">
        <is>
          <t>Tropical rainforest</t>
        </is>
      </c>
      <c r="B939" s="402" t="inlineStr">
        <is>
          <t>Caribbean</t>
        </is>
      </c>
      <c r="C939" s="37">
        <f>CONCATENATE(A939,B939)</f>
        <v/>
      </c>
      <c r="D939" s="363" t="n">
        <v>2.3</v>
      </c>
      <c r="E939" s="363" t="n">
        <v>5.9</v>
      </c>
    </row>
    <row r="940" customFormat="1" s="291">
      <c r="A940" s="63" t="inlineStr">
        <is>
          <t>Tropical moist deciduous forest</t>
        </is>
      </c>
      <c r="B940" s="408" t="inlineStr">
        <is>
          <t>Eastern Africa</t>
        </is>
      </c>
      <c r="C940" s="63">
        <f>CONCATENATE(A940,B940)</f>
        <v/>
      </c>
      <c r="D940" s="44" t="n">
        <v>0.9</v>
      </c>
      <c r="E940" s="44" t="n">
        <v>2.9</v>
      </c>
    </row>
    <row r="941" customFormat="1" s="21">
      <c r="A941" s="20" t="inlineStr">
        <is>
          <t>Tropical moist deciduous forest</t>
        </is>
      </c>
      <c r="B941" s="401" t="inlineStr">
        <is>
          <t>Central Africa</t>
        </is>
      </c>
      <c r="C941" s="20">
        <f>CONCATENATE(A941,B941)</f>
        <v/>
      </c>
      <c r="D941" s="41" t="n">
        <v>0.9</v>
      </c>
      <c r="E941" s="41" t="n">
        <v>2.9</v>
      </c>
    </row>
    <row r="942" customFormat="1" s="21">
      <c r="A942" s="20" t="inlineStr">
        <is>
          <t>Tropical moist deciduous forest</t>
        </is>
      </c>
      <c r="B942" s="401" t="inlineStr">
        <is>
          <t>Northern Africa</t>
        </is>
      </c>
      <c r="C942" s="20">
        <f>CONCATENATE(A942,B942)</f>
        <v/>
      </c>
      <c r="D942" s="41" t="n">
        <v>0.9</v>
      </c>
      <c r="E942" s="41" t="n">
        <v>2.9</v>
      </c>
    </row>
    <row r="943" customFormat="1" s="21">
      <c r="A943" s="20" t="inlineStr">
        <is>
          <t>Tropical moist deciduous forest</t>
        </is>
      </c>
      <c r="B943" s="401" t="inlineStr">
        <is>
          <t>Southern Africa</t>
        </is>
      </c>
      <c r="C943" s="20">
        <f>CONCATENATE(A943,B943)</f>
        <v/>
      </c>
      <c r="D943" s="41" t="n">
        <v>0.9</v>
      </c>
      <c r="E943" s="41" t="n">
        <v>2.9</v>
      </c>
    </row>
    <row r="944" customFormat="1" s="21">
      <c r="A944" s="20" t="inlineStr">
        <is>
          <t>Tropical moist deciduous forest</t>
        </is>
      </c>
      <c r="B944" s="401" t="inlineStr">
        <is>
          <t>Western Africa</t>
        </is>
      </c>
      <c r="C944" s="20">
        <f>CONCATENATE(A944,B944)</f>
        <v/>
      </c>
      <c r="D944" s="41" t="n">
        <v>0.9</v>
      </c>
      <c r="E944" s="41" t="n">
        <v>2.9</v>
      </c>
    </row>
    <row r="945" customFormat="1" s="21">
      <c r="A945" s="20" t="inlineStr">
        <is>
          <t>Tropical moist deciduous forest</t>
        </is>
      </c>
      <c r="B945" s="401" t="inlineStr">
        <is>
          <t>Central Asia</t>
        </is>
      </c>
      <c r="C945" s="20">
        <f>CONCATENATE(A945,B945)</f>
        <v/>
      </c>
      <c r="D945" s="41" t="n">
        <v>0.9</v>
      </c>
      <c r="E945" s="41" t="n">
        <v>2.4</v>
      </c>
    </row>
    <row r="946" customFormat="1" s="21">
      <c r="A946" s="20" t="inlineStr">
        <is>
          <t>Tropical moist deciduous forest</t>
        </is>
      </c>
      <c r="B946" s="401" t="inlineStr">
        <is>
          <t>Eastern Asia</t>
        </is>
      </c>
      <c r="C946" s="20">
        <f>CONCATENATE(A946,B946)</f>
        <v/>
      </c>
      <c r="D946" s="41" t="n">
        <v>0.9</v>
      </c>
      <c r="E946" s="41" t="n">
        <v>2.4</v>
      </c>
    </row>
    <row r="947" customFormat="1" s="21">
      <c r="A947" s="20" t="inlineStr">
        <is>
          <t>Tropical moist deciduous forest</t>
        </is>
      </c>
      <c r="B947" s="401" t="inlineStr">
        <is>
          <t>South-eastern Asia</t>
        </is>
      </c>
      <c r="C947" s="20">
        <f>CONCATENATE(A947,B947)</f>
        <v/>
      </c>
      <c r="D947" s="41" t="n">
        <v>0.9</v>
      </c>
      <c r="E947" s="41" t="n">
        <v>2.4</v>
      </c>
    </row>
    <row r="948" customFormat="1" s="21">
      <c r="A948" s="20" t="inlineStr">
        <is>
          <t>Tropical moist deciduous forest</t>
        </is>
      </c>
      <c r="B948" s="401" t="inlineStr">
        <is>
          <t>Southern Asia</t>
        </is>
      </c>
      <c r="C948" s="20">
        <f>CONCATENATE(A948,B948)</f>
        <v/>
      </c>
      <c r="D948" s="41" t="n">
        <v>0.9</v>
      </c>
      <c r="E948" s="41" t="n">
        <v>2.4</v>
      </c>
    </row>
    <row r="949" customFormat="1" s="21">
      <c r="A949" s="20" t="inlineStr">
        <is>
          <t>Tropical moist deciduous forest</t>
        </is>
      </c>
      <c r="B949" s="401" t="inlineStr">
        <is>
          <t>Western Asia</t>
        </is>
      </c>
      <c r="C949" s="20">
        <f>CONCATENATE(A949,B949)</f>
        <v/>
      </c>
      <c r="D949" s="41" t="n">
        <v>0.9</v>
      </c>
      <c r="E949" s="41" t="n">
        <v>2.4</v>
      </c>
    </row>
    <row r="950" customFormat="1" s="21">
      <c r="A950" s="20" t="inlineStr">
        <is>
          <t>Tropical moist deciduous forest</t>
        </is>
      </c>
      <c r="B950" s="401" t="inlineStr">
        <is>
          <t>Europe</t>
        </is>
      </c>
      <c r="C950" s="20">
        <f>CONCATENATE(A950,B950)</f>
        <v/>
      </c>
      <c r="D950" s="163" t="n">
        <v>5</v>
      </c>
      <c r="E950" s="163" t="n">
        <v>5</v>
      </c>
    </row>
    <row r="951" customFormat="1" s="21">
      <c r="A951" s="20" t="inlineStr">
        <is>
          <t>Tropical moist deciduous forest</t>
        </is>
      </c>
      <c r="B951" s="401" t="inlineStr">
        <is>
          <t>Oceania</t>
        </is>
      </c>
      <c r="C951" s="20">
        <f>CONCATENATE(A951,B951)</f>
        <v/>
      </c>
      <c r="D951" s="163" t="n">
        <v>5</v>
      </c>
      <c r="E951" s="163" t="n">
        <v>5</v>
      </c>
    </row>
    <row r="952" customFormat="1" s="21">
      <c r="A952" s="20" t="inlineStr">
        <is>
          <t>Tropical moist deciduous forest</t>
        </is>
      </c>
      <c r="B952" s="401" t="inlineStr">
        <is>
          <t>North America</t>
        </is>
      </c>
      <c r="C952" s="20">
        <f>CONCATENATE(A952,B952)</f>
        <v/>
      </c>
      <c r="D952" s="41" t="n">
        <v>2.7</v>
      </c>
      <c r="E952" s="41" t="n">
        <v>5.2</v>
      </c>
    </row>
    <row r="953" customFormat="1" s="21">
      <c r="A953" s="20" t="inlineStr">
        <is>
          <t>Tropical moist deciduous forest</t>
        </is>
      </c>
      <c r="B953" s="401" t="inlineStr">
        <is>
          <t>South America</t>
        </is>
      </c>
      <c r="C953" s="20">
        <f>CONCATENATE(A953,B953)</f>
        <v/>
      </c>
      <c r="D953" s="41" t="n">
        <v>2.7</v>
      </c>
      <c r="E953" s="41" t="n">
        <v>5.2</v>
      </c>
    </row>
    <row r="954" customFormat="1" s="21">
      <c r="A954" s="20" t="inlineStr">
        <is>
          <t>Tropical moist deciduous forest</t>
        </is>
      </c>
      <c r="B954" s="401" t="inlineStr">
        <is>
          <t>Central America</t>
        </is>
      </c>
      <c r="C954" s="20">
        <f>CONCATENATE(A954,B954)</f>
        <v/>
      </c>
      <c r="D954" s="363" t="n">
        <v>2.7</v>
      </c>
      <c r="E954" s="363" t="n">
        <v>5.2</v>
      </c>
    </row>
    <row r="955" customFormat="1" s="292">
      <c r="A955" s="37" t="inlineStr">
        <is>
          <t>Tropical moist deciduous forest</t>
        </is>
      </c>
      <c r="B955" s="402" t="inlineStr">
        <is>
          <t>Caribbean</t>
        </is>
      </c>
      <c r="C955" s="37">
        <f>CONCATENATE(A955,B955)</f>
        <v/>
      </c>
      <c r="D955" s="363" t="n">
        <v>2.7</v>
      </c>
      <c r="E955" s="363" t="n">
        <v>5.2</v>
      </c>
    </row>
    <row r="956" customFormat="1" s="291">
      <c r="A956" s="63" t="inlineStr">
        <is>
          <t>Tropical dry forest</t>
        </is>
      </c>
      <c r="B956" s="408" t="inlineStr">
        <is>
          <t>Eastern Africa</t>
        </is>
      </c>
      <c r="C956" s="63">
        <f>CONCATENATE(A956,B956)</f>
        <v/>
      </c>
      <c r="D956" s="44" t="n">
        <v>1.6</v>
      </c>
      <c r="E956" s="44" t="n">
        <v>3.9</v>
      </c>
    </row>
    <row r="957" customFormat="1" s="21">
      <c r="A957" s="20" t="inlineStr">
        <is>
          <t>Tropical dry forest</t>
        </is>
      </c>
      <c r="B957" s="401" t="inlineStr">
        <is>
          <t>Central Africa</t>
        </is>
      </c>
      <c r="C957" s="20">
        <f>CONCATENATE(A957,B957)</f>
        <v/>
      </c>
      <c r="D957" s="41" t="n">
        <v>1.6</v>
      </c>
      <c r="E957" s="41" t="n">
        <v>3.9</v>
      </c>
    </row>
    <row r="958" customFormat="1" s="21">
      <c r="A958" s="20" t="inlineStr">
        <is>
          <t>Tropical dry forest</t>
        </is>
      </c>
      <c r="B958" s="401" t="inlineStr">
        <is>
          <t>Northern Africa</t>
        </is>
      </c>
      <c r="C958" s="20">
        <f>CONCATENATE(A958,B958)</f>
        <v/>
      </c>
      <c r="D958" s="41" t="n">
        <v>1.6</v>
      </c>
      <c r="E958" s="41" t="n">
        <v>3.9</v>
      </c>
    </row>
    <row r="959" customFormat="1" s="21">
      <c r="A959" s="20" t="inlineStr">
        <is>
          <t>Tropical dry forest</t>
        </is>
      </c>
      <c r="B959" s="401" t="inlineStr">
        <is>
          <t>Southern Africa</t>
        </is>
      </c>
      <c r="C959" s="20">
        <f>CONCATENATE(A959,B959)</f>
        <v/>
      </c>
      <c r="D959" s="41" t="n">
        <v>1.6</v>
      </c>
      <c r="E959" s="41" t="n">
        <v>3.9</v>
      </c>
    </row>
    <row r="960" customFormat="1" s="21">
      <c r="A960" s="20" t="inlineStr">
        <is>
          <t>Tropical dry forest</t>
        </is>
      </c>
      <c r="B960" s="401" t="inlineStr">
        <is>
          <t>Western Africa</t>
        </is>
      </c>
      <c r="C960" s="20">
        <f>CONCATENATE(A960,B960)</f>
        <v/>
      </c>
      <c r="D960" s="41" t="n">
        <v>1.6</v>
      </c>
      <c r="E960" s="41" t="n">
        <v>3.9</v>
      </c>
    </row>
    <row r="961" customFormat="1" s="21">
      <c r="A961" s="20" t="inlineStr">
        <is>
          <t>Tropical dry forest</t>
        </is>
      </c>
      <c r="B961" s="401" t="inlineStr">
        <is>
          <t>Central Asia</t>
        </is>
      </c>
      <c r="C961" s="20">
        <f>CONCATENATE(A961,B961)</f>
        <v/>
      </c>
      <c r="D961" s="41" t="n">
        <v>1.6</v>
      </c>
      <c r="E961" s="41" t="n">
        <v>3.9</v>
      </c>
    </row>
    <row r="962" customFormat="1" s="21">
      <c r="A962" s="20" t="inlineStr">
        <is>
          <t>Tropical dry forest</t>
        </is>
      </c>
      <c r="B962" s="401" t="inlineStr">
        <is>
          <t>Eastern Asia</t>
        </is>
      </c>
      <c r="C962" s="20">
        <f>CONCATENATE(A962,B962)</f>
        <v/>
      </c>
      <c r="D962" s="41" t="n">
        <v>1.6</v>
      </c>
      <c r="E962" s="41" t="n">
        <v>3.9</v>
      </c>
    </row>
    <row r="963" customFormat="1" s="21">
      <c r="A963" s="20" t="inlineStr">
        <is>
          <t>Tropical dry forest</t>
        </is>
      </c>
      <c r="B963" s="401" t="inlineStr">
        <is>
          <t>South-eastern Asia</t>
        </is>
      </c>
      <c r="C963" s="20">
        <f>CONCATENATE(A963,B963)</f>
        <v/>
      </c>
      <c r="D963" s="41" t="n">
        <v>1.6</v>
      </c>
      <c r="E963" s="41" t="n">
        <v>3.9</v>
      </c>
    </row>
    <row r="964" customFormat="1" s="21">
      <c r="A964" s="20" t="inlineStr">
        <is>
          <t>Tropical dry forest</t>
        </is>
      </c>
      <c r="B964" s="401" t="inlineStr">
        <is>
          <t>Southern Asia</t>
        </is>
      </c>
      <c r="C964" s="20">
        <f>CONCATENATE(A964,B964)</f>
        <v/>
      </c>
      <c r="D964" s="41" t="n">
        <v>1.6</v>
      </c>
      <c r="E964" s="41" t="n">
        <v>3.9</v>
      </c>
    </row>
    <row r="965" customFormat="1" s="21">
      <c r="A965" s="20" t="inlineStr">
        <is>
          <t>Tropical dry forest</t>
        </is>
      </c>
      <c r="B965" s="401" t="inlineStr">
        <is>
          <t>Western Asia</t>
        </is>
      </c>
      <c r="C965" s="20">
        <f>CONCATENATE(A965,B965)</f>
        <v/>
      </c>
      <c r="D965" s="41" t="n">
        <v>1.6</v>
      </c>
      <c r="E965" s="41" t="n">
        <v>3.9</v>
      </c>
    </row>
    <row r="966" customFormat="1" s="21">
      <c r="A966" s="20" t="inlineStr">
        <is>
          <t>Tropical dry forest</t>
        </is>
      </c>
      <c r="B966" s="401" t="inlineStr">
        <is>
          <t>Europe</t>
        </is>
      </c>
      <c r="C966" s="20">
        <f>CONCATENATE(A966,B966)</f>
        <v/>
      </c>
      <c r="D966" s="163" t="n">
        <v>2.4</v>
      </c>
      <c r="E966" s="163" t="n">
        <v>2.4</v>
      </c>
    </row>
    <row r="967" customFormat="1" s="21">
      <c r="A967" s="20" t="inlineStr">
        <is>
          <t>Tropical dry forest</t>
        </is>
      </c>
      <c r="B967" s="401" t="inlineStr">
        <is>
          <t>Oceania</t>
        </is>
      </c>
      <c r="C967" s="20">
        <f>CONCATENATE(A967,B967)</f>
        <v/>
      </c>
      <c r="D967" s="163" t="n">
        <v>2.4</v>
      </c>
      <c r="E967" s="163" t="n">
        <v>2.4</v>
      </c>
    </row>
    <row r="968" customFormat="1" s="21">
      <c r="A968" s="20" t="inlineStr">
        <is>
          <t>Tropical dry forest</t>
        </is>
      </c>
      <c r="B968" s="401" t="inlineStr">
        <is>
          <t>North America</t>
        </is>
      </c>
      <c r="C968" s="20">
        <f>CONCATENATE(A968,B968)</f>
        <v/>
      </c>
      <c r="D968" s="41" t="n">
        <v>1.6</v>
      </c>
      <c r="E968" s="41" t="n">
        <v>3.9</v>
      </c>
    </row>
    <row r="969" customFormat="1" s="21">
      <c r="A969" s="20" t="inlineStr">
        <is>
          <t>Tropical dry forest</t>
        </is>
      </c>
      <c r="B969" s="401" t="inlineStr">
        <is>
          <t>South America</t>
        </is>
      </c>
      <c r="C969" s="20">
        <f>CONCATENATE(A969,B969)</f>
        <v/>
      </c>
      <c r="D969" s="41" t="n">
        <v>1.6</v>
      </c>
      <c r="E969" s="41" t="n">
        <v>3.9</v>
      </c>
    </row>
    <row r="970" customFormat="1" s="21">
      <c r="A970" s="20" t="inlineStr">
        <is>
          <t>Tropical dry forest</t>
        </is>
      </c>
      <c r="B970" s="401" t="inlineStr">
        <is>
          <t>Central America</t>
        </is>
      </c>
      <c r="C970" s="20">
        <f>CONCATENATE(A970,B970)</f>
        <v/>
      </c>
      <c r="D970" s="363" t="n">
        <v>1.6</v>
      </c>
      <c r="E970" s="363" t="n">
        <v>3.9</v>
      </c>
    </row>
    <row r="971" customFormat="1" s="292">
      <c r="A971" s="37" t="inlineStr">
        <is>
          <t>Tropical dry forest</t>
        </is>
      </c>
      <c r="B971" s="402" t="inlineStr">
        <is>
          <t>Caribbean</t>
        </is>
      </c>
      <c r="C971" s="37">
        <f>CONCATENATE(A971,B971)</f>
        <v/>
      </c>
      <c r="D971" s="363" t="n">
        <v>1.6</v>
      </c>
      <c r="E971" s="363" t="n">
        <v>3.9</v>
      </c>
    </row>
    <row r="972" customFormat="1" s="291">
      <c r="A972" s="63" t="inlineStr">
        <is>
          <t>Tropical shrubland</t>
        </is>
      </c>
      <c r="B972" s="408" t="inlineStr">
        <is>
          <t>Eastern Africa</t>
        </is>
      </c>
      <c r="C972" s="63">
        <f>CONCATENATE(A972,B972)</f>
        <v/>
      </c>
      <c r="D972" s="490" t="n">
        <v>0.9</v>
      </c>
      <c r="E972" s="491">
        <f>AVERAGE(0.2,0.7)</f>
        <v/>
      </c>
    </row>
    <row r="973" customFormat="1" s="21">
      <c r="A973" s="20" t="inlineStr">
        <is>
          <t>Tropical shrubland</t>
        </is>
      </c>
      <c r="B973" s="401" t="inlineStr">
        <is>
          <t>Central Africa</t>
        </is>
      </c>
      <c r="C973" s="20">
        <f>CONCATENATE(A973,B973)</f>
        <v/>
      </c>
      <c r="D973" s="492" t="n">
        <v>0.9</v>
      </c>
      <c r="E973" s="471">
        <f>AVERAGE(0.2,0.7)</f>
        <v/>
      </c>
    </row>
    <row r="974" customFormat="1" s="21">
      <c r="A974" s="20" t="inlineStr">
        <is>
          <t>Tropical shrubland</t>
        </is>
      </c>
      <c r="B974" s="401" t="inlineStr">
        <is>
          <t>Northern Africa</t>
        </is>
      </c>
      <c r="C974" s="20">
        <f>CONCATENATE(A974,B974)</f>
        <v/>
      </c>
      <c r="D974" s="492" t="n">
        <v>0.9</v>
      </c>
      <c r="E974" s="471">
        <f>AVERAGE(0.2,0.7)</f>
        <v/>
      </c>
    </row>
    <row r="975" customFormat="1" s="21">
      <c r="A975" s="20" t="inlineStr">
        <is>
          <t>Tropical shrubland</t>
        </is>
      </c>
      <c r="B975" s="401" t="inlineStr">
        <is>
          <t>Southern Africa</t>
        </is>
      </c>
      <c r="C975" s="20">
        <f>CONCATENATE(A975,B975)</f>
        <v/>
      </c>
      <c r="D975" s="492" t="n">
        <v>0.9</v>
      </c>
      <c r="E975" s="471">
        <f>AVERAGE(0.2,0.7)</f>
        <v/>
      </c>
    </row>
    <row r="976" customFormat="1" s="21">
      <c r="A976" s="20" t="inlineStr">
        <is>
          <t>Tropical shrubland</t>
        </is>
      </c>
      <c r="B976" s="401" t="inlineStr">
        <is>
          <t>Western Africa</t>
        </is>
      </c>
      <c r="C976" s="20">
        <f>CONCATENATE(A976,B976)</f>
        <v/>
      </c>
      <c r="D976" s="492" t="n">
        <v>0.9</v>
      </c>
      <c r="E976" s="471">
        <f>AVERAGE(0.2,0.7)</f>
        <v/>
      </c>
    </row>
    <row r="977" customFormat="1" s="21">
      <c r="A977" s="20" t="inlineStr">
        <is>
          <t>Tropical shrubland</t>
        </is>
      </c>
      <c r="B977" s="401" t="inlineStr">
        <is>
          <t>Central Asia</t>
        </is>
      </c>
      <c r="C977" s="20">
        <f>CONCATENATE(A977,B977)</f>
        <v/>
      </c>
      <c r="D977" s="492">
        <f>AVERAGE(1,1.3)</f>
        <v/>
      </c>
      <c r="E977" s="471">
        <f>AVERAGE(2,5)</f>
        <v/>
      </c>
    </row>
    <row r="978" customFormat="1" s="21">
      <c r="A978" s="20" t="inlineStr">
        <is>
          <t>Tropical shrubland</t>
        </is>
      </c>
      <c r="B978" s="401" t="inlineStr">
        <is>
          <t>Eastern Asia</t>
        </is>
      </c>
      <c r="C978" s="20">
        <f>CONCATENATE(A978,B978)</f>
        <v/>
      </c>
      <c r="D978" s="492">
        <f>AVERAGE(1,1.3)</f>
        <v/>
      </c>
      <c r="E978" s="471">
        <f>AVERAGE(2,5)</f>
        <v/>
      </c>
    </row>
    <row r="979" customFormat="1" s="21">
      <c r="A979" s="20" t="inlineStr">
        <is>
          <t>Tropical shrubland</t>
        </is>
      </c>
      <c r="B979" s="401" t="inlineStr">
        <is>
          <t>South-eastern Asia</t>
        </is>
      </c>
      <c r="C979" s="20">
        <f>CONCATENATE(A979,B979)</f>
        <v/>
      </c>
      <c r="D979" s="492">
        <f>AVERAGE(1,1.3)</f>
        <v/>
      </c>
      <c r="E979" s="471">
        <f>AVERAGE(2,5)</f>
        <v/>
      </c>
    </row>
    <row r="980" customFormat="1" s="21">
      <c r="A980" s="20" t="inlineStr">
        <is>
          <t>Tropical shrubland</t>
        </is>
      </c>
      <c r="B980" s="401" t="inlineStr">
        <is>
          <t>Southern Asia</t>
        </is>
      </c>
      <c r="C980" s="20">
        <f>CONCATENATE(A980,B980)</f>
        <v/>
      </c>
      <c r="D980" s="492">
        <f>AVERAGE(1,1.3)</f>
        <v/>
      </c>
      <c r="E980" s="471">
        <f>AVERAGE(2,5)</f>
        <v/>
      </c>
    </row>
    <row r="981" customFormat="1" s="21">
      <c r="A981" s="20" t="inlineStr">
        <is>
          <t>Tropical shrubland</t>
        </is>
      </c>
      <c r="B981" s="401" t="inlineStr">
        <is>
          <t>Western Asia</t>
        </is>
      </c>
      <c r="C981" s="20">
        <f>CONCATENATE(A981,B981)</f>
        <v/>
      </c>
      <c r="D981" s="492">
        <f>AVERAGE(1,1.3)</f>
        <v/>
      </c>
      <c r="E981" s="471">
        <f>AVERAGE(2,5)</f>
        <v/>
      </c>
    </row>
    <row r="982" customFormat="1" s="21">
      <c r="A982" s="20" t="inlineStr">
        <is>
          <t>Tropical shrubland</t>
        </is>
      </c>
      <c r="B982" s="401" t="inlineStr">
        <is>
          <t>Europe</t>
        </is>
      </c>
      <c r="C982" s="20">
        <f>CONCATENATE(A982,B982)</f>
        <v/>
      </c>
      <c r="D982" s="644" t="n">
        <v>1</v>
      </c>
      <c r="E982" s="643" t="n">
        <v>1</v>
      </c>
    </row>
    <row r="983" customFormat="1" s="21">
      <c r="A983" s="20" t="inlineStr">
        <is>
          <t>Tropical shrubland</t>
        </is>
      </c>
      <c r="B983" s="401" t="inlineStr">
        <is>
          <t>Oceania</t>
        </is>
      </c>
      <c r="C983" s="20">
        <f>CONCATENATE(A983,B983)</f>
        <v/>
      </c>
      <c r="D983" s="644" t="n">
        <v>1</v>
      </c>
      <c r="E983" s="643" t="n">
        <v>1</v>
      </c>
    </row>
    <row r="984" customFormat="1" s="21">
      <c r="A984" s="20" t="inlineStr">
        <is>
          <t>Tropical shrubland</t>
        </is>
      </c>
      <c r="B984" s="401" t="inlineStr">
        <is>
          <t>North America</t>
        </is>
      </c>
      <c r="C984" s="20">
        <f>CONCATENATE(A984,B984)</f>
        <v/>
      </c>
      <c r="D984" s="492" t="n">
        <v>1</v>
      </c>
      <c r="E984" s="471" t="n">
        <v>4</v>
      </c>
    </row>
    <row r="985" customFormat="1" s="21">
      <c r="A985" s="20" t="inlineStr">
        <is>
          <t>Tropical shrubland</t>
        </is>
      </c>
      <c r="B985" s="401" t="inlineStr">
        <is>
          <t>South America</t>
        </is>
      </c>
      <c r="C985" s="20">
        <f>CONCATENATE(A985,B985)</f>
        <v/>
      </c>
      <c r="D985" s="492" t="n">
        <v>1</v>
      </c>
      <c r="E985" s="471" t="n">
        <v>4</v>
      </c>
    </row>
    <row r="986" customFormat="1" s="21">
      <c r="A986" s="20" t="inlineStr">
        <is>
          <t>Tropical shrubland</t>
        </is>
      </c>
      <c r="B986" s="401" t="inlineStr">
        <is>
          <t>Central America</t>
        </is>
      </c>
      <c r="C986" s="20">
        <f>CONCATENATE(A986,B986)</f>
        <v/>
      </c>
      <c r="D986" s="648" t="n">
        <v>1</v>
      </c>
      <c r="E986" s="649" t="n">
        <v>4</v>
      </c>
    </row>
    <row r="987" customFormat="1" s="292">
      <c r="A987" s="37" t="inlineStr">
        <is>
          <t>Tropical shrubland</t>
        </is>
      </c>
      <c r="B987" s="402" t="inlineStr">
        <is>
          <t>Caribbean</t>
        </is>
      </c>
      <c r="C987" s="37">
        <f>CONCATENATE(A987,B987)</f>
        <v/>
      </c>
      <c r="D987" s="648" t="n">
        <v>1</v>
      </c>
      <c r="E987" s="649" t="n">
        <v>4</v>
      </c>
    </row>
    <row r="988" customFormat="1" s="291">
      <c r="A988" s="63" t="inlineStr">
        <is>
          <t>Subtropical humid forest</t>
        </is>
      </c>
      <c r="B988" s="408" t="inlineStr">
        <is>
          <t>Eastern Africa</t>
        </is>
      </c>
      <c r="C988" s="63">
        <f>CONCATENATE(A988,B988)</f>
        <v/>
      </c>
      <c r="D988" s="44" t="n">
        <v>1</v>
      </c>
      <c r="E988" s="44" t="n">
        <v>2.5</v>
      </c>
    </row>
    <row r="989" customFormat="1" s="21">
      <c r="A989" s="20" t="inlineStr">
        <is>
          <t>Subtropical humid forest</t>
        </is>
      </c>
      <c r="B989" s="401" t="inlineStr">
        <is>
          <t>Central Africa</t>
        </is>
      </c>
      <c r="C989" s="20">
        <f>CONCATENATE(A989,B989)</f>
        <v/>
      </c>
      <c r="D989" s="41" t="n">
        <v>1</v>
      </c>
      <c r="E989" s="41" t="n">
        <v>2.5</v>
      </c>
    </row>
    <row r="990" customFormat="1" s="21">
      <c r="A990" s="20" t="inlineStr">
        <is>
          <t>Subtropical humid forest</t>
        </is>
      </c>
      <c r="B990" s="401" t="inlineStr">
        <is>
          <t>Northern Africa</t>
        </is>
      </c>
      <c r="C990" s="20">
        <f>CONCATENATE(A990,B990)</f>
        <v/>
      </c>
      <c r="D990" s="41" t="n">
        <v>1</v>
      </c>
      <c r="E990" s="41" t="n">
        <v>2.5</v>
      </c>
    </row>
    <row r="991" customFormat="1" s="21">
      <c r="A991" s="20" t="inlineStr">
        <is>
          <t>Subtropical humid forest</t>
        </is>
      </c>
      <c r="B991" s="401" t="inlineStr">
        <is>
          <t>Southern Africa</t>
        </is>
      </c>
      <c r="C991" s="20">
        <f>CONCATENATE(A991,B991)</f>
        <v/>
      </c>
      <c r="D991" s="41" t="n">
        <v>1</v>
      </c>
      <c r="E991" s="41" t="n">
        <v>2.5</v>
      </c>
    </row>
    <row r="992" customFormat="1" s="21">
      <c r="A992" s="20" t="inlineStr">
        <is>
          <t>Subtropical humid forest</t>
        </is>
      </c>
      <c r="B992" s="401" t="inlineStr">
        <is>
          <t>Western Africa</t>
        </is>
      </c>
      <c r="C992" s="20">
        <f>CONCATENATE(A992,B992)</f>
        <v/>
      </c>
      <c r="D992" s="41" t="n">
        <v>1</v>
      </c>
      <c r="E992" s="41" t="n">
        <v>2.5</v>
      </c>
    </row>
    <row r="993" customFormat="1" s="21">
      <c r="A993" s="20" t="inlineStr">
        <is>
          <t>Subtropical humid forest</t>
        </is>
      </c>
      <c r="B993" s="401" t="inlineStr">
        <is>
          <t>Central Asia</t>
        </is>
      </c>
      <c r="C993" s="20">
        <f>CONCATENATE(A993,B993)</f>
        <v/>
      </c>
      <c r="D993" s="41" t="n">
        <v>1</v>
      </c>
      <c r="E993" s="41" t="n">
        <v>2.5</v>
      </c>
    </row>
    <row r="994" customFormat="1" s="21">
      <c r="A994" s="20" t="inlineStr">
        <is>
          <t>Subtropical humid forest</t>
        </is>
      </c>
      <c r="B994" s="401" t="inlineStr">
        <is>
          <t>Eastern Asia</t>
        </is>
      </c>
      <c r="C994" s="20">
        <f>CONCATENATE(A994,B994)</f>
        <v/>
      </c>
      <c r="D994" s="41" t="n">
        <v>1</v>
      </c>
      <c r="E994" s="41" t="n">
        <v>2.5</v>
      </c>
    </row>
    <row r="995" customFormat="1" s="21">
      <c r="A995" s="20" t="inlineStr">
        <is>
          <t>Subtropical humid forest</t>
        </is>
      </c>
      <c r="B995" s="401" t="inlineStr">
        <is>
          <t>South-eastern Asia</t>
        </is>
      </c>
      <c r="C995" s="20">
        <f>CONCATENATE(A995,B995)</f>
        <v/>
      </c>
      <c r="D995" s="41" t="n">
        <v>1</v>
      </c>
      <c r="E995" s="41" t="n">
        <v>2.5</v>
      </c>
    </row>
    <row r="996" customFormat="1" s="21">
      <c r="A996" s="20" t="inlineStr">
        <is>
          <t>Subtropical humid forest</t>
        </is>
      </c>
      <c r="B996" s="401" t="inlineStr">
        <is>
          <t>Southern Asia</t>
        </is>
      </c>
      <c r="C996" s="20">
        <f>CONCATENATE(A996,B996)</f>
        <v/>
      </c>
      <c r="D996" s="41" t="n">
        <v>1</v>
      </c>
      <c r="E996" s="41" t="n">
        <v>2.5</v>
      </c>
    </row>
    <row r="997" customFormat="1" s="21">
      <c r="A997" s="20" t="inlineStr">
        <is>
          <t>Subtropical humid forest</t>
        </is>
      </c>
      <c r="B997" s="401" t="inlineStr">
        <is>
          <t>Western Asia</t>
        </is>
      </c>
      <c r="C997" s="20">
        <f>CONCATENATE(A997,B997)</f>
        <v/>
      </c>
      <c r="D997" s="41" t="n">
        <v>1</v>
      </c>
      <c r="E997" s="41" t="n">
        <v>2.5</v>
      </c>
    </row>
    <row r="998" customFormat="1" s="21">
      <c r="A998" s="20" t="inlineStr">
        <is>
          <t>Subtropical humid forest</t>
        </is>
      </c>
      <c r="B998" s="401" t="inlineStr">
        <is>
          <t>Europe</t>
        </is>
      </c>
      <c r="C998" s="20">
        <f>CONCATENATE(A998,B998)</f>
        <v/>
      </c>
      <c r="D998" s="163" t="n">
        <v>5</v>
      </c>
      <c r="E998" s="163" t="n">
        <v>5</v>
      </c>
    </row>
    <row r="999" customFormat="1" s="21">
      <c r="A999" s="20" t="inlineStr">
        <is>
          <t>Subtropical humid forest</t>
        </is>
      </c>
      <c r="B999" s="401" t="inlineStr">
        <is>
          <t>Oceania</t>
        </is>
      </c>
      <c r="C999" s="20">
        <f>CONCATENATE(A999,B999)</f>
        <v/>
      </c>
      <c r="D999" s="163" t="n">
        <v>5</v>
      </c>
      <c r="E999" s="163" t="n">
        <v>5</v>
      </c>
    </row>
    <row r="1000" customFormat="1" s="21">
      <c r="A1000" s="20" t="inlineStr">
        <is>
          <t>Subtropical humid forest</t>
        </is>
      </c>
      <c r="B1000" s="401" t="inlineStr">
        <is>
          <t>North America</t>
        </is>
      </c>
      <c r="C1000" s="20">
        <f>CONCATENATE(A1000,B1000)</f>
        <v/>
      </c>
      <c r="D1000" s="41" t="n">
        <v>1</v>
      </c>
      <c r="E1000" s="41" t="n">
        <v>2.5</v>
      </c>
    </row>
    <row r="1001" customFormat="1" s="21">
      <c r="A1001" s="20" t="inlineStr">
        <is>
          <t>Subtropical humid forest</t>
        </is>
      </c>
      <c r="B1001" s="401" t="inlineStr">
        <is>
          <t>South America</t>
        </is>
      </c>
      <c r="C1001" s="20">
        <f>CONCATENATE(A1001,B1001)</f>
        <v/>
      </c>
      <c r="D1001" s="41" t="n">
        <v>1</v>
      </c>
      <c r="E1001" s="41" t="n">
        <v>2.5</v>
      </c>
    </row>
    <row r="1002" customFormat="1" s="21">
      <c r="A1002" s="20" t="inlineStr">
        <is>
          <t>Subtropical humid forest</t>
        </is>
      </c>
      <c r="B1002" s="401" t="inlineStr">
        <is>
          <t>Central America</t>
        </is>
      </c>
      <c r="C1002" s="20">
        <f>CONCATENATE(A1002,B1002)</f>
        <v/>
      </c>
      <c r="D1002" s="363" t="n">
        <v>1</v>
      </c>
      <c r="E1002" s="363" t="n">
        <v>2.5</v>
      </c>
    </row>
    <row r="1003" customFormat="1" s="292">
      <c r="A1003" s="37" t="inlineStr">
        <is>
          <t>Subtropical humid forest</t>
        </is>
      </c>
      <c r="B1003" s="402" t="inlineStr">
        <is>
          <t>Caribbean</t>
        </is>
      </c>
      <c r="C1003" s="37">
        <f>CONCATENATE(A1003,B1003)</f>
        <v/>
      </c>
      <c r="D1003" s="363" t="n">
        <v>1</v>
      </c>
      <c r="E1003" s="363" t="n">
        <v>2.5</v>
      </c>
    </row>
    <row r="1004" customFormat="1" s="291">
      <c r="A1004" s="63" t="inlineStr">
        <is>
          <t>Subtropical dry forest</t>
        </is>
      </c>
      <c r="B1004" s="408" t="inlineStr">
        <is>
          <t>Eastern Africa</t>
        </is>
      </c>
      <c r="C1004" s="63">
        <f>CONCATENATE(A1004,B1004)</f>
        <v/>
      </c>
      <c r="D1004" s="491" t="n">
        <v>1.8</v>
      </c>
      <c r="E1004" s="491" t="n">
        <v>2.4</v>
      </c>
    </row>
    <row r="1005" customFormat="1" s="21">
      <c r="A1005" s="20" t="inlineStr">
        <is>
          <t>Subtropical dry forest</t>
        </is>
      </c>
      <c r="B1005" s="401" t="inlineStr">
        <is>
          <t>Central Africa</t>
        </is>
      </c>
      <c r="C1005" s="20">
        <f>CONCATENATE(A1005,B1005)</f>
        <v/>
      </c>
      <c r="D1005" s="471" t="n">
        <v>1.8</v>
      </c>
      <c r="E1005" s="471" t="n">
        <v>2.4</v>
      </c>
    </row>
    <row r="1006" customFormat="1" s="21">
      <c r="A1006" s="20" t="inlineStr">
        <is>
          <t>Subtropical dry forest</t>
        </is>
      </c>
      <c r="B1006" s="401" t="inlineStr">
        <is>
          <t>Northern Africa</t>
        </is>
      </c>
      <c r="C1006" s="20">
        <f>CONCATENATE(A1006,B1006)</f>
        <v/>
      </c>
      <c r="D1006" s="471" t="n">
        <v>1.8</v>
      </c>
      <c r="E1006" s="471" t="n">
        <v>2.4</v>
      </c>
    </row>
    <row r="1007" customFormat="1" s="21">
      <c r="A1007" s="20" t="inlineStr">
        <is>
          <t>Subtropical dry forest</t>
        </is>
      </c>
      <c r="B1007" s="401" t="inlineStr">
        <is>
          <t>Southern Africa</t>
        </is>
      </c>
      <c r="C1007" s="20">
        <f>CONCATENATE(A1007,B1007)</f>
        <v/>
      </c>
      <c r="D1007" s="471" t="n">
        <v>1.8</v>
      </c>
      <c r="E1007" s="471" t="n">
        <v>2.4</v>
      </c>
    </row>
    <row r="1008" customFormat="1" s="21">
      <c r="A1008" s="20" t="inlineStr">
        <is>
          <t>Subtropical dry forest</t>
        </is>
      </c>
      <c r="B1008" s="401" t="inlineStr">
        <is>
          <t>Western Africa</t>
        </is>
      </c>
      <c r="C1008" s="20">
        <f>CONCATENATE(A1008,B1008)</f>
        <v/>
      </c>
      <c r="D1008" s="471" t="n">
        <v>1.8</v>
      </c>
      <c r="E1008" s="471" t="n">
        <v>2.4</v>
      </c>
    </row>
    <row r="1009" customFormat="1" s="21">
      <c r="A1009" s="20" t="inlineStr">
        <is>
          <t>Subtropical dry forest</t>
        </is>
      </c>
      <c r="B1009" s="401" t="inlineStr">
        <is>
          <t>Central Asia</t>
        </is>
      </c>
      <c r="C1009" s="20">
        <f>CONCATENATE(A1009,B1009)</f>
        <v/>
      </c>
      <c r="D1009" s="471">
        <f>AVERAGE(1.5,2)</f>
        <v/>
      </c>
      <c r="E1009" s="471">
        <f>AVERAGE(6,7)</f>
        <v/>
      </c>
    </row>
    <row r="1010" customFormat="1" s="21">
      <c r="A1010" s="20" t="inlineStr">
        <is>
          <t>Subtropical dry forest</t>
        </is>
      </c>
      <c r="B1010" s="401" t="inlineStr">
        <is>
          <t>Eastern Asia</t>
        </is>
      </c>
      <c r="C1010" s="20">
        <f>CONCATENATE(A1010,B1010)</f>
        <v/>
      </c>
      <c r="D1010" s="471">
        <f>AVERAGE(1.5,2)</f>
        <v/>
      </c>
      <c r="E1010" s="471">
        <f>AVERAGE(6,7)</f>
        <v/>
      </c>
    </row>
    <row r="1011" customFormat="1" s="21">
      <c r="A1011" s="20" t="inlineStr">
        <is>
          <t>Subtropical dry forest</t>
        </is>
      </c>
      <c r="B1011" s="401" t="inlineStr">
        <is>
          <t>South-eastern Asia</t>
        </is>
      </c>
      <c r="C1011" s="20">
        <f>CONCATENATE(A1011,B1011)</f>
        <v/>
      </c>
      <c r="D1011" s="471">
        <f>AVERAGE(1.5,2)</f>
        <v/>
      </c>
      <c r="E1011" s="471">
        <f>AVERAGE(6,7)</f>
        <v/>
      </c>
    </row>
    <row r="1012" customFormat="1" s="21">
      <c r="A1012" s="20" t="inlineStr">
        <is>
          <t>Subtropical dry forest</t>
        </is>
      </c>
      <c r="B1012" s="401" t="inlineStr">
        <is>
          <t>Southern Asia</t>
        </is>
      </c>
      <c r="C1012" s="20">
        <f>CONCATENATE(A1012,B1012)</f>
        <v/>
      </c>
      <c r="D1012" s="471">
        <f>AVERAGE(1.5,2)</f>
        <v/>
      </c>
      <c r="E1012" s="471">
        <f>AVERAGE(6,7)</f>
        <v/>
      </c>
    </row>
    <row r="1013" customFormat="1" s="21">
      <c r="A1013" s="20" t="inlineStr">
        <is>
          <t>Subtropical dry forest</t>
        </is>
      </c>
      <c r="B1013" s="401" t="inlineStr">
        <is>
          <t>Western Asia</t>
        </is>
      </c>
      <c r="C1013" s="20">
        <f>CONCATENATE(A1013,B1013)</f>
        <v/>
      </c>
      <c r="D1013" s="471">
        <f>AVERAGE(1.5,2)</f>
        <v/>
      </c>
      <c r="E1013" s="471">
        <f>AVERAGE(6,7)</f>
        <v/>
      </c>
    </row>
    <row r="1014" customFormat="1" s="21">
      <c r="A1014" s="20" t="inlineStr">
        <is>
          <t>Subtropical dry forest</t>
        </is>
      </c>
      <c r="B1014" s="401" t="inlineStr">
        <is>
          <t>Europe</t>
        </is>
      </c>
      <c r="C1014" s="20">
        <f>CONCATENATE(A1014,B1014)</f>
        <v/>
      </c>
      <c r="D1014" s="643" t="n">
        <v>2.4</v>
      </c>
      <c r="E1014" s="643" t="n">
        <v>2.4</v>
      </c>
    </row>
    <row r="1015" customFormat="1" s="21">
      <c r="A1015" s="20" t="inlineStr">
        <is>
          <t>Subtropical dry forest</t>
        </is>
      </c>
      <c r="B1015" s="401" t="inlineStr">
        <is>
          <t>Oceania</t>
        </is>
      </c>
      <c r="C1015" s="20">
        <f>CONCATENATE(A1015,B1015)</f>
        <v/>
      </c>
      <c r="D1015" s="643" t="n">
        <v>2.4</v>
      </c>
      <c r="E1015" s="643" t="n">
        <v>2.4</v>
      </c>
    </row>
    <row r="1016" customFormat="1" s="21">
      <c r="A1016" s="20" t="inlineStr">
        <is>
          <t>Subtropical dry forest</t>
        </is>
      </c>
      <c r="B1016" s="401" t="inlineStr">
        <is>
          <t>North America</t>
        </is>
      </c>
      <c r="C1016" s="20">
        <f>CONCATENATE(A1016,B1016)</f>
        <v/>
      </c>
      <c r="D1016" s="471" t="n">
        <v>1</v>
      </c>
      <c r="E1016" s="471" t="n">
        <v>4</v>
      </c>
    </row>
    <row r="1017" customFormat="1" s="21">
      <c r="A1017" s="20" t="inlineStr">
        <is>
          <t>Subtropical dry forest</t>
        </is>
      </c>
      <c r="B1017" s="401" t="inlineStr">
        <is>
          <t>South America</t>
        </is>
      </c>
      <c r="C1017" s="20">
        <f>CONCATENATE(A1017,B1017)</f>
        <v/>
      </c>
      <c r="D1017" s="471" t="n">
        <v>1</v>
      </c>
      <c r="E1017" s="471" t="n">
        <v>4</v>
      </c>
    </row>
    <row r="1018" customFormat="1" s="21">
      <c r="A1018" s="20" t="inlineStr">
        <is>
          <t>Subtropical dry forest</t>
        </is>
      </c>
      <c r="B1018" s="401" t="inlineStr">
        <is>
          <t>Central America</t>
        </is>
      </c>
      <c r="C1018" s="20">
        <f>CONCATENATE(A1018,B1018)</f>
        <v/>
      </c>
      <c r="D1018" s="649" t="n">
        <v>1</v>
      </c>
      <c r="E1018" s="649" t="n">
        <v>4</v>
      </c>
    </row>
    <row r="1019" customFormat="1" s="292">
      <c r="A1019" s="37" t="inlineStr">
        <is>
          <t>Subtropical dry forest</t>
        </is>
      </c>
      <c r="B1019" s="402" t="inlineStr">
        <is>
          <t>Caribbean</t>
        </is>
      </c>
      <c r="C1019" s="37">
        <f>CONCATENATE(A1019,B1019)</f>
        <v/>
      </c>
      <c r="D1019" s="649" t="n">
        <v>1</v>
      </c>
      <c r="E1019" s="649" t="n">
        <v>4</v>
      </c>
    </row>
    <row r="1020" customFormat="1" s="291">
      <c r="A1020" s="63" t="inlineStr">
        <is>
          <t>Subtropical steppe</t>
        </is>
      </c>
      <c r="B1020" s="408" t="inlineStr">
        <is>
          <t>Eastern Africa</t>
        </is>
      </c>
      <c r="C1020" s="63">
        <f>CONCATENATE(A1020,B1020)</f>
        <v/>
      </c>
      <c r="D1020" s="491" t="n">
        <v>0.9</v>
      </c>
      <c r="E1020" s="491" t="n">
        <v>1.2</v>
      </c>
    </row>
    <row r="1021" customFormat="1" s="21">
      <c r="A1021" s="20" t="inlineStr">
        <is>
          <t>Subtropical steppe</t>
        </is>
      </c>
      <c r="B1021" s="401" t="inlineStr">
        <is>
          <t>Central Africa</t>
        </is>
      </c>
      <c r="C1021" s="20">
        <f>CONCATENATE(A1021,B1021)</f>
        <v/>
      </c>
      <c r="D1021" s="471" t="n">
        <v>0.9</v>
      </c>
      <c r="E1021" s="471" t="n">
        <v>1.2</v>
      </c>
    </row>
    <row r="1022" customFormat="1" s="21">
      <c r="A1022" s="20" t="inlineStr">
        <is>
          <t>Subtropical steppe</t>
        </is>
      </c>
      <c r="B1022" s="401" t="inlineStr">
        <is>
          <t>Northern Africa</t>
        </is>
      </c>
      <c r="C1022" s="20">
        <f>CONCATENATE(A1022,B1022)</f>
        <v/>
      </c>
      <c r="D1022" s="471" t="n">
        <v>0.9</v>
      </c>
      <c r="E1022" s="471" t="n">
        <v>1.2</v>
      </c>
    </row>
    <row r="1023" customFormat="1" s="21">
      <c r="A1023" s="20" t="inlineStr">
        <is>
          <t>Subtropical steppe</t>
        </is>
      </c>
      <c r="B1023" s="401" t="inlineStr">
        <is>
          <t>Southern Africa</t>
        </is>
      </c>
      <c r="C1023" s="20">
        <f>CONCATENATE(A1023,B1023)</f>
        <v/>
      </c>
      <c r="D1023" s="471" t="n">
        <v>0.9</v>
      </c>
      <c r="E1023" s="471" t="n">
        <v>1.2</v>
      </c>
    </row>
    <row r="1024" customFormat="1" s="21">
      <c r="A1024" s="20" t="inlineStr">
        <is>
          <t>Subtropical steppe</t>
        </is>
      </c>
      <c r="B1024" s="401" t="inlineStr">
        <is>
          <t>Western Africa</t>
        </is>
      </c>
      <c r="C1024" s="20">
        <f>CONCATENATE(A1024,B1024)</f>
        <v/>
      </c>
      <c r="D1024" s="471" t="n">
        <v>0.9</v>
      </c>
      <c r="E1024" s="471" t="n">
        <v>1.2</v>
      </c>
    </row>
    <row r="1025" customFormat="1" s="21">
      <c r="A1025" s="20" t="inlineStr">
        <is>
          <t>Subtropical steppe</t>
        </is>
      </c>
      <c r="B1025" s="401" t="inlineStr">
        <is>
          <t>Central Asia</t>
        </is>
      </c>
      <c r="C1025" s="20">
        <f>CONCATENATE(A1025,B1025)</f>
        <v/>
      </c>
      <c r="D1025" s="471">
        <f>AVERAGE(1,1.3)</f>
        <v/>
      </c>
      <c r="E1025" s="471">
        <f>AVERAGE(2,5)</f>
        <v/>
      </c>
    </row>
    <row r="1026" customFormat="1" s="21">
      <c r="A1026" s="20" t="inlineStr">
        <is>
          <t>Subtropical steppe</t>
        </is>
      </c>
      <c r="B1026" s="401" t="inlineStr">
        <is>
          <t>Eastern Asia</t>
        </is>
      </c>
      <c r="C1026" s="20">
        <f>CONCATENATE(A1026,B1026)</f>
        <v/>
      </c>
      <c r="D1026" s="471">
        <f>AVERAGE(1,1.3)</f>
        <v/>
      </c>
      <c r="E1026" s="471">
        <f>AVERAGE(2,5)</f>
        <v/>
      </c>
    </row>
    <row r="1027" customFormat="1" s="21">
      <c r="A1027" s="20" t="inlineStr">
        <is>
          <t>Subtropical steppe</t>
        </is>
      </c>
      <c r="B1027" s="401" t="inlineStr">
        <is>
          <t>South-eastern Asia</t>
        </is>
      </c>
      <c r="C1027" s="20">
        <f>CONCATENATE(A1027,B1027)</f>
        <v/>
      </c>
      <c r="D1027" s="471">
        <f>AVERAGE(1,1.3)</f>
        <v/>
      </c>
      <c r="E1027" s="471">
        <f>AVERAGE(2,5)</f>
        <v/>
      </c>
    </row>
    <row r="1028" customFormat="1" s="21">
      <c r="A1028" s="20" t="inlineStr">
        <is>
          <t>Subtropical steppe</t>
        </is>
      </c>
      <c r="B1028" s="401" t="inlineStr">
        <is>
          <t>Southern Asia</t>
        </is>
      </c>
      <c r="C1028" s="20">
        <f>CONCATENATE(A1028,B1028)</f>
        <v/>
      </c>
      <c r="D1028" s="471">
        <f>AVERAGE(1,1.3)</f>
        <v/>
      </c>
      <c r="E1028" s="471">
        <f>AVERAGE(2,5)</f>
        <v/>
      </c>
    </row>
    <row r="1029" customFormat="1" s="21">
      <c r="A1029" s="20" t="inlineStr">
        <is>
          <t>Subtropical steppe</t>
        </is>
      </c>
      <c r="B1029" s="401" t="inlineStr">
        <is>
          <t>Western Asia</t>
        </is>
      </c>
      <c r="C1029" s="20">
        <f>CONCATENATE(A1029,B1029)</f>
        <v/>
      </c>
      <c r="D1029" s="471">
        <f>AVERAGE(1,1.3)</f>
        <v/>
      </c>
      <c r="E1029" s="471">
        <f>AVERAGE(2,5)</f>
        <v/>
      </c>
    </row>
    <row r="1030" customFormat="1" s="21">
      <c r="A1030" s="20" t="inlineStr">
        <is>
          <t>Subtropical steppe</t>
        </is>
      </c>
      <c r="B1030" s="401" t="inlineStr">
        <is>
          <t>Europe</t>
        </is>
      </c>
      <c r="C1030" s="20">
        <f>CONCATENATE(A1030,B1030)</f>
        <v/>
      </c>
      <c r="D1030" s="643" t="n">
        <v>1</v>
      </c>
      <c r="E1030" s="643" t="n">
        <v>1</v>
      </c>
    </row>
    <row r="1031" customFormat="1" s="21">
      <c r="A1031" s="20" t="inlineStr">
        <is>
          <t>Subtropical steppe</t>
        </is>
      </c>
      <c r="B1031" s="401" t="inlineStr">
        <is>
          <t>Oceania</t>
        </is>
      </c>
      <c r="C1031" s="20">
        <f>CONCATENATE(A1031,B1031)</f>
        <v/>
      </c>
      <c r="D1031" s="643" t="n">
        <v>1</v>
      </c>
      <c r="E1031" s="643" t="n">
        <v>1</v>
      </c>
    </row>
    <row r="1032" customFormat="1" s="21">
      <c r="A1032" s="20" t="inlineStr">
        <is>
          <t>Subtropical steppe</t>
        </is>
      </c>
      <c r="B1032" s="401" t="inlineStr">
        <is>
          <t>North America</t>
        </is>
      </c>
      <c r="C1032" s="20">
        <f>CONCATENATE(A1032,B1032)</f>
        <v/>
      </c>
      <c r="D1032" s="471" t="n">
        <v>1</v>
      </c>
      <c r="E1032" s="471" t="n">
        <v>4</v>
      </c>
    </row>
    <row r="1033" customFormat="1" s="21">
      <c r="A1033" s="20" t="inlineStr">
        <is>
          <t>Subtropical steppe</t>
        </is>
      </c>
      <c r="B1033" s="401" t="inlineStr">
        <is>
          <t>South America</t>
        </is>
      </c>
      <c r="C1033" s="20">
        <f>CONCATENATE(A1033,B1033)</f>
        <v/>
      </c>
      <c r="D1033" s="471" t="n">
        <v>1</v>
      </c>
      <c r="E1033" s="471" t="n">
        <v>4</v>
      </c>
    </row>
    <row r="1034" customFormat="1" s="21">
      <c r="A1034" s="20" t="inlineStr">
        <is>
          <t>Subtropical steppe</t>
        </is>
      </c>
      <c r="B1034" s="401" t="inlineStr">
        <is>
          <t>Central America</t>
        </is>
      </c>
      <c r="C1034" s="20">
        <f>CONCATENATE(A1034,B1034)</f>
        <v/>
      </c>
      <c r="D1034" s="649" t="n">
        <v>1</v>
      </c>
      <c r="E1034" s="649" t="n">
        <v>4</v>
      </c>
    </row>
    <row r="1035" customFormat="1" s="292">
      <c r="A1035" s="37" t="inlineStr">
        <is>
          <t>Subtropical steppe</t>
        </is>
      </c>
      <c r="B1035" s="402" t="inlineStr">
        <is>
          <t>Caribbean</t>
        </is>
      </c>
      <c r="C1035" s="37">
        <f>CONCATENATE(A1035,B1035)</f>
        <v/>
      </c>
      <c r="D1035" s="649" t="n">
        <v>1</v>
      </c>
      <c r="E1035" s="649" t="n">
        <v>4</v>
      </c>
    </row>
    <row r="1036" customFormat="1" s="291">
      <c r="A1036" s="63" t="inlineStr">
        <is>
          <t>Subtropical mountain systems</t>
        </is>
      </c>
      <c r="B1036" s="408" t="inlineStr">
        <is>
          <t>Eastern Africa</t>
        </is>
      </c>
      <c r="C1036" s="63">
        <f>CONCATENATE(A1036,B1036)</f>
        <v/>
      </c>
      <c r="D1036" s="44" t="n">
        <v>0.5</v>
      </c>
      <c r="E1036" s="44" t="n">
        <v>2.5</v>
      </c>
    </row>
    <row r="1037" customFormat="1" s="21">
      <c r="A1037" s="20" t="inlineStr">
        <is>
          <t>Subtropical mountain systems</t>
        </is>
      </c>
      <c r="B1037" s="401" t="inlineStr">
        <is>
          <t>Central Africa</t>
        </is>
      </c>
      <c r="C1037" s="20">
        <f>CONCATENATE(A1037,B1037)</f>
        <v/>
      </c>
      <c r="D1037" s="41" t="n">
        <v>0.5</v>
      </c>
      <c r="E1037" s="41" t="n">
        <v>2.5</v>
      </c>
    </row>
    <row r="1038" customFormat="1" s="21">
      <c r="A1038" s="20" t="inlineStr">
        <is>
          <t>Subtropical mountain systems</t>
        </is>
      </c>
      <c r="B1038" s="401" t="inlineStr">
        <is>
          <t>Northern Africa</t>
        </is>
      </c>
      <c r="C1038" s="20">
        <f>CONCATENATE(A1038,B1038)</f>
        <v/>
      </c>
      <c r="D1038" s="41" t="n">
        <v>0.5</v>
      </c>
      <c r="E1038" s="41" t="n">
        <v>2.5</v>
      </c>
    </row>
    <row r="1039" customFormat="1" s="21">
      <c r="A1039" s="20" t="inlineStr">
        <is>
          <t>Subtropical mountain systems</t>
        </is>
      </c>
      <c r="B1039" s="401" t="inlineStr">
        <is>
          <t>Southern Africa</t>
        </is>
      </c>
      <c r="C1039" s="20">
        <f>CONCATENATE(A1039,B1039)</f>
        <v/>
      </c>
      <c r="D1039" s="41" t="n">
        <v>0.5</v>
      </c>
      <c r="E1039" s="41" t="n">
        <v>2.5</v>
      </c>
    </row>
    <row r="1040" customFormat="1" s="21">
      <c r="A1040" s="20" t="inlineStr">
        <is>
          <t>Subtropical mountain systems</t>
        </is>
      </c>
      <c r="B1040" s="401" t="inlineStr">
        <is>
          <t>Western Africa</t>
        </is>
      </c>
      <c r="C1040" s="20">
        <f>CONCATENATE(A1040,B1040)</f>
        <v/>
      </c>
      <c r="D1040" s="41" t="n">
        <v>0.5</v>
      </c>
      <c r="E1040" s="41" t="n">
        <v>2.5</v>
      </c>
    </row>
    <row r="1041" customFormat="1" s="21">
      <c r="A1041" s="20" t="inlineStr">
        <is>
          <t>Subtropical mountain systems</t>
        </is>
      </c>
      <c r="B1041" s="401" t="inlineStr">
        <is>
          <t>Central Asia</t>
        </is>
      </c>
      <c r="C1041" s="20">
        <f>CONCATENATE(A1041,B1041)</f>
        <v/>
      </c>
      <c r="D1041" s="41" t="n">
        <v>0.5</v>
      </c>
      <c r="E1041" s="41" t="n">
        <v>2.5</v>
      </c>
    </row>
    <row r="1042" customFormat="1" s="21">
      <c r="A1042" s="20" t="inlineStr">
        <is>
          <t>Subtropical mountain systems</t>
        </is>
      </c>
      <c r="B1042" s="401" t="inlineStr">
        <is>
          <t>Eastern Asia</t>
        </is>
      </c>
      <c r="C1042" s="20">
        <f>CONCATENATE(A1042,B1042)</f>
        <v/>
      </c>
      <c r="D1042" s="41" t="n">
        <v>0.5</v>
      </c>
      <c r="E1042" s="41" t="n">
        <v>2.5</v>
      </c>
    </row>
    <row r="1043" customFormat="1" s="21">
      <c r="A1043" s="20" t="inlineStr">
        <is>
          <t>Subtropical mountain systems</t>
        </is>
      </c>
      <c r="B1043" s="401" t="inlineStr">
        <is>
          <t>South-eastern Asia</t>
        </is>
      </c>
      <c r="C1043" s="20">
        <f>CONCATENATE(A1043,B1043)</f>
        <v/>
      </c>
      <c r="D1043" s="41" t="n">
        <v>0.5</v>
      </c>
      <c r="E1043" s="41" t="n">
        <v>2.5</v>
      </c>
    </row>
    <row r="1044" customFormat="1" s="21">
      <c r="A1044" s="20" t="inlineStr">
        <is>
          <t>Subtropical mountain systems</t>
        </is>
      </c>
      <c r="B1044" s="401" t="inlineStr">
        <is>
          <t>Southern Asia</t>
        </is>
      </c>
      <c r="C1044" s="20">
        <f>CONCATENATE(A1044,B1044)</f>
        <v/>
      </c>
      <c r="D1044" s="41" t="n">
        <v>0.5</v>
      </c>
      <c r="E1044" s="41" t="n">
        <v>2.5</v>
      </c>
    </row>
    <row r="1045" customFormat="1" s="21">
      <c r="A1045" s="20" t="inlineStr">
        <is>
          <t>Subtropical mountain systems</t>
        </is>
      </c>
      <c r="B1045" s="401" t="inlineStr">
        <is>
          <t>Western Asia</t>
        </is>
      </c>
      <c r="C1045" s="20">
        <f>CONCATENATE(A1045,B1045)</f>
        <v/>
      </c>
      <c r="D1045" s="41" t="n">
        <v>0.5</v>
      </c>
      <c r="E1045" s="41" t="n">
        <v>2.5</v>
      </c>
    </row>
    <row r="1046" customFormat="1" s="21">
      <c r="A1046" s="20" t="inlineStr">
        <is>
          <t>Subtropical mountain systems</t>
        </is>
      </c>
      <c r="B1046" s="401" t="inlineStr">
        <is>
          <t>Europe</t>
        </is>
      </c>
      <c r="C1046" s="20">
        <f>CONCATENATE(A1046,B1046)</f>
        <v/>
      </c>
      <c r="D1046" s="163" t="n">
        <v>1</v>
      </c>
      <c r="E1046" s="163" t="n">
        <v>1</v>
      </c>
    </row>
    <row r="1047" customFormat="1" s="21">
      <c r="A1047" s="20" t="inlineStr">
        <is>
          <t>Subtropical mountain systems</t>
        </is>
      </c>
      <c r="B1047" s="401" t="inlineStr">
        <is>
          <t>Oceania</t>
        </is>
      </c>
      <c r="C1047" s="20">
        <f>CONCATENATE(A1047,B1047)</f>
        <v/>
      </c>
      <c r="D1047" s="163" t="n">
        <v>1</v>
      </c>
      <c r="E1047" s="163" t="n">
        <v>1</v>
      </c>
    </row>
    <row r="1048" customFormat="1" s="21">
      <c r="A1048" s="20" t="inlineStr">
        <is>
          <t>Subtropical mountain systems</t>
        </is>
      </c>
      <c r="B1048" s="401" t="inlineStr">
        <is>
          <t>North America</t>
        </is>
      </c>
      <c r="C1048" s="20">
        <f>CONCATENATE(A1048,B1048)</f>
        <v/>
      </c>
      <c r="D1048" s="41" t="n">
        <v>0.5</v>
      </c>
      <c r="E1048" s="41" t="n">
        <v>2.5</v>
      </c>
    </row>
    <row r="1049" customFormat="1" s="21">
      <c r="A1049" s="20" t="inlineStr">
        <is>
          <t>Subtropical mountain systems</t>
        </is>
      </c>
      <c r="B1049" s="401" t="inlineStr">
        <is>
          <t>South America</t>
        </is>
      </c>
      <c r="C1049" s="20">
        <f>CONCATENATE(A1049,B1049)</f>
        <v/>
      </c>
      <c r="D1049" s="41" t="n">
        <v>0.5</v>
      </c>
      <c r="E1049" s="41" t="n">
        <v>2.5</v>
      </c>
    </row>
    <row r="1050" customFormat="1" s="21">
      <c r="A1050" s="20" t="inlineStr">
        <is>
          <t>Subtropical mountain systems</t>
        </is>
      </c>
      <c r="B1050" s="401" t="inlineStr">
        <is>
          <t>Central America</t>
        </is>
      </c>
      <c r="C1050" s="20">
        <f>CONCATENATE(A1050,B1050)</f>
        <v/>
      </c>
      <c r="D1050" s="363" t="n">
        <v>0.5</v>
      </c>
      <c r="E1050" s="363" t="n">
        <v>2.5</v>
      </c>
    </row>
    <row r="1051" customFormat="1" s="292">
      <c r="A1051" s="37" t="inlineStr">
        <is>
          <t>Subtropical mountain systems</t>
        </is>
      </c>
      <c r="B1051" s="402" t="inlineStr">
        <is>
          <t>Caribbean</t>
        </is>
      </c>
      <c r="C1051" s="37">
        <f>CONCATENATE(A1051,B1051)</f>
        <v/>
      </c>
      <c r="D1051" s="363" t="n">
        <v>0.5</v>
      </c>
      <c r="E1051" s="363" t="n">
        <v>2.5</v>
      </c>
    </row>
    <row r="1052" customFormat="1" s="291">
      <c r="A1052" s="63" t="inlineStr">
        <is>
          <t>Temperate oceanic forest</t>
        </is>
      </c>
      <c r="B1052" s="408" t="inlineStr">
        <is>
          <t>Eastern Africa</t>
        </is>
      </c>
      <c r="C1052" s="263">
        <f>CONCATENATE(A1052,B1052)</f>
        <v/>
      </c>
      <c r="D1052" s="464" t="n">
        <v>4.4</v>
      </c>
      <c r="E1052" s="464" t="n">
        <v>4.4</v>
      </c>
    </row>
    <row r="1053" customFormat="1" s="21">
      <c r="A1053" s="20" t="inlineStr">
        <is>
          <t>Temperate oceanic forest</t>
        </is>
      </c>
      <c r="B1053" s="401" t="inlineStr">
        <is>
          <t>Central Africa</t>
        </is>
      </c>
      <c r="C1053" s="264">
        <f>CONCATENATE(A1053,B1053)</f>
        <v/>
      </c>
      <c r="D1053" s="163" t="n">
        <v>4.4</v>
      </c>
      <c r="E1053" s="163" t="n">
        <v>4.4</v>
      </c>
    </row>
    <row r="1054" customFormat="1" s="21">
      <c r="A1054" s="20" t="inlineStr">
        <is>
          <t>Temperate oceanic forest</t>
        </is>
      </c>
      <c r="B1054" s="401" t="inlineStr">
        <is>
          <t>Northern Africa</t>
        </is>
      </c>
      <c r="C1054" s="264">
        <f>CONCATENATE(A1054,B1054)</f>
        <v/>
      </c>
      <c r="D1054" s="163" t="n">
        <v>4.4</v>
      </c>
      <c r="E1054" s="163" t="n">
        <v>4.4</v>
      </c>
    </row>
    <row r="1055" customFormat="1" s="21">
      <c r="A1055" s="20" t="inlineStr">
        <is>
          <t>Temperate oceanic forest</t>
        </is>
      </c>
      <c r="B1055" s="401" t="inlineStr">
        <is>
          <t>Southern Africa</t>
        </is>
      </c>
      <c r="C1055" s="264">
        <f>CONCATENATE(A1055,B1055)</f>
        <v/>
      </c>
      <c r="D1055" s="163" t="n">
        <v>4.4</v>
      </c>
      <c r="E1055" s="163" t="n">
        <v>4.4</v>
      </c>
    </row>
    <row r="1056" customFormat="1" s="21">
      <c r="A1056" s="20" t="inlineStr">
        <is>
          <t>Temperate oceanic forest</t>
        </is>
      </c>
      <c r="B1056" s="401" t="inlineStr">
        <is>
          <t>Western Africa</t>
        </is>
      </c>
      <c r="C1056" s="264">
        <f>CONCATENATE(A1056,B1056)</f>
        <v/>
      </c>
      <c r="D1056" s="163" t="n">
        <v>4.4</v>
      </c>
      <c r="E1056" s="163" t="n">
        <v>4.4</v>
      </c>
    </row>
    <row r="1057" customFormat="1" s="21">
      <c r="A1057" s="20" t="inlineStr">
        <is>
          <t>Temperate oceanic forest</t>
        </is>
      </c>
      <c r="B1057" s="401" t="inlineStr">
        <is>
          <t>Central Asia</t>
        </is>
      </c>
      <c r="C1057" s="264">
        <f>CONCATENATE(A1057,B1057)</f>
        <v/>
      </c>
      <c r="D1057" s="163" t="n">
        <v>4.4</v>
      </c>
      <c r="E1057" s="163" t="n">
        <v>4.4</v>
      </c>
    </row>
    <row r="1058" customFormat="1" s="21">
      <c r="A1058" s="20" t="inlineStr">
        <is>
          <t>Temperate oceanic forest</t>
        </is>
      </c>
      <c r="B1058" s="401" t="inlineStr">
        <is>
          <t>Eastern Asia</t>
        </is>
      </c>
      <c r="C1058" s="264">
        <f>CONCATENATE(A1058,B1058)</f>
        <v/>
      </c>
      <c r="D1058" s="163" t="n">
        <v>4.4</v>
      </c>
      <c r="E1058" s="163" t="n">
        <v>4.4</v>
      </c>
    </row>
    <row r="1059" customFormat="1" s="21">
      <c r="A1059" s="20" t="inlineStr">
        <is>
          <t>Temperate oceanic forest</t>
        </is>
      </c>
      <c r="B1059" s="401" t="inlineStr">
        <is>
          <t>South-eastern Asia</t>
        </is>
      </c>
      <c r="C1059" s="264">
        <f>CONCATENATE(A1059,B1059)</f>
        <v/>
      </c>
      <c r="D1059" s="163" t="n">
        <v>4.4</v>
      </c>
      <c r="E1059" s="163" t="n">
        <v>4.4</v>
      </c>
    </row>
    <row r="1060" customFormat="1" s="21">
      <c r="A1060" s="20" t="inlineStr">
        <is>
          <t>Temperate oceanic forest</t>
        </is>
      </c>
      <c r="B1060" s="401" t="inlineStr">
        <is>
          <t>Southern Asia</t>
        </is>
      </c>
      <c r="C1060" s="264">
        <f>CONCATENATE(A1060,B1060)</f>
        <v/>
      </c>
      <c r="D1060" s="163" t="n">
        <v>4.4</v>
      </c>
      <c r="E1060" s="163" t="n">
        <v>4.4</v>
      </c>
    </row>
    <row r="1061" customFormat="1" s="21">
      <c r="A1061" s="20" t="inlineStr">
        <is>
          <t>Temperate oceanic forest</t>
        </is>
      </c>
      <c r="B1061" s="401" t="inlineStr">
        <is>
          <t>Western Asia</t>
        </is>
      </c>
      <c r="C1061" s="264">
        <f>CONCATENATE(A1061,B1061)</f>
        <v/>
      </c>
      <c r="D1061" s="163" t="n">
        <v>4.4</v>
      </c>
      <c r="E1061" s="163" t="n">
        <v>4.4</v>
      </c>
    </row>
    <row r="1062" customFormat="1" s="21">
      <c r="A1062" s="20" t="inlineStr">
        <is>
          <t>Temperate oceanic forest</t>
        </is>
      </c>
      <c r="B1062" s="401" t="inlineStr">
        <is>
          <t>Europe</t>
        </is>
      </c>
      <c r="C1062" s="264">
        <f>CONCATENATE(A1062,B1062)</f>
        <v/>
      </c>
      <c r="D1062" s="41" t="n">
        <v>2.3</v>
      </c>
      <c r="E1062" s="169" t="n">
        <v>2.3</v>
      </c>
    </row>
    <row r="1063" customFormat="1" s="21">
      <c r="A1063" s="20" t="inlineStr">
        <is>
          <t>Temperate oceanic forest</t>
        </is>
      </c>
      <c r="B1063" s="401" t="inlineStr">
        <is>
          <t>Oceania</t>
        </is>
      </c>
      <c r="C1063" s="264">
        <f>CONCATENATE(A1063,B1063)</f>
        <v/>
      </c>
      <c r="D1063" s="41" t="n">
        <v>2.12</v>
      </c>
      <c r="E1063" s="169" t="n">
        <v>3.12</v>
      </c>
    </row>
    <row r="1064" customFormat="1" s="21">
      <c r="A1064" s="20" t="inlineStr">
        <is>
          <t>Temperate oceanic forest</t>
        </is>
      </c>
      <c r="B1064" s="401" t="inlineStr">
        <is>
          <t>North America</t>
        </is>
      </c>
      <c r="C1064" s="264">
        <f>CONCATENATE(A1064,B1064)</f>
        <v/>
      </c>
      <c r="D1064" s="41" t="n">
        <v>9.1</v>
      </c>
      <c r="E1064" s="169" t="n">
        <v>6.3</v>
      </c>
    </row>
    <row r="1065" customFormat="1" s="21">
      <c r="A1065" s="20" t="inlineStr">
        <is>
          <t>Temperate oceanic forest</t>
        </is>
      </c>
      <c r="B1065" s="401" t="inlineStr">
        <is>
          <t>South America</t>
        </is>
      </c>
      <c r="C1065" s="264">
        <f>CONCATENATE(A1065,B1065)</f>
        <v/>
      </c>
      <c r="D1065" s="41" t="n">
        <v>9.1</v>
      </c>
      <c r="E1065" s="169" t="n">
        <v>6.3</v>
      </c>
    </row>
    <row r="1066" customFormat="1" s="21">
      <c r="A1066" s="20" t="inlineStr">
        <is>
          <t>Temperate oceanic forest</t>
        </is>
      </c>
      <c r="B1066" s="401" t="inlineStr">
        <is>
          <t>Central America</t>
        </is>
      </c>
      <c r="C1066" s="264">
        <f>CONCATENATE(A1066,B1066)</f>
        <v/>
      </c>
      <c r="D1066" s="363" t="n">
        <v>9.1</v>
      </c>
      <c r="E1066" s="650" t="n">
        <v>6.3</v>
      </c>
    </row>
    <row r="1067" customFormat="1" s="292">
      <c r="A1067" s="37" t="inlineStr">
        <is>
          <t>Temperate oceanic forest</t>
        </is>
      </c>
      <c r="B1067" s="402" t="inlineStr">
        <is>
          <t>Caribbean</t>
        </is>
      </c>
      <c r="C1067" s="265">
        <f>CONCATENATE(A1067,B1067)</f>
        <v/>
      </c>
      <c r="D1067" s="364" t="n">
        <v>9.1</v>
      </c>
      <c r="E1067" s="2812" t="n">
        <v>6.3</v>
      </c>
    </row>
    <row r="1068" customFormat="1" s="291">
      <c r="A1068" s="63" t="inlineStr">
        <is>
          <t>Temperate continental forest</t>
        </is>
      </c>
      <c r="B1068" s="408" t="inlineStr">
        <is>
          <t>Eastern Africa</t>
        </is>
      </c>
      <c r="C1068" s="63">
        <f>CONCATENATE(A1068,B1068)</f>
        <v/>
      </c>
      <c r="D1068" s="163" t="n">
        <v>4</v>
      </c>
      <c r="E1068" s="163" t="n">
        <v>4</v>
      </c>
    </row>
    <row r="1069" customFormat="1" s="21">
      <c r="A1069" s="20" t="inlineStr">
        <is>
          <t>Temperate continental forest</t>
        </is>
      </c>
      <c r="B1069" s="401" t="inlineStr">
        <is>
          <t>Central Africa</t>
        </is>
      </c>
      <c r="C1069" s="20">
        <f>CONCATENATE(A1069,B1069)</f>
        <v/>
      </c>
      <c r="D1069" s="163" t="n">
        <v>4</v>
      </c>
      <c r="E1069" s="163" t="n">
        <v>4</v>
      </c>
    </row>
    <row r="1070" customFormat="1" s="21">
      <c r="A1070" s="20" t="inlineStr">
        <is>
          <t>Temperate continental forest</t>
        </is>
      </c>
      <c r="B1070" s="401" t="inlineStr">
        <is>
          <t>Northern Africa</t>
        </is>
      </c>
      <c r="C1070" s="20">
        <f>CONCATENATE(A1070,B1070)</f>
        <v/>
      </c>
      <c r="D1070" s="163" t="n">
        <v>4</v>
      </c>
      <c r="E1070" s="163" t="n">
        <v>4</v>
      </c>
    </row>
    <row r="1071" customFormat="1" s="21">
      <c r="A1071" s="20" t="inlineStr">
        <is>
          <t>Temperate continental forest</t>
        </is>
      </c>
      <c r="B1071" s="401" t="inlineStr">
        <is>
          <t>Southern Africa</t>
        </is>
      </c>
      <c r="C1071" s="20">
        <f>CONCATENATE(A1071,B1071)</f>
        <v/>
      </c>
      <c r="D1071" s="163" t="n">
        <v>4</v>
      </c>
      <c r="E1071" s="163" t="n">
        <v>4</v>
      </c>
    </row>
    <row r="1072" customFormat="1" s="21">
      <c r="A1072" s="20" t="inlineStr">
        <is>
          <t>Temperate continental forest</t>
        </is>
      </c>
      <c r="B1072" s="401" t="inlineStr">
        <is>
          <t>Western Africa</t>
        </is>
      </c>
      <c r="C1072" s="20">
        <f>CONCATENATE(A1072,B1072)</f>
        <v/>
      </c>
      <c r="D1072" s="163" t="n">
        <v>4</v>
      </c>
      <c r="E1072" s="163" t="n">
        <v>4</v>
      </c>
    </row>
    <row r="1073" customFormat="1" s="21">
      <c r="A1073" s="20" t="inlineStr">
        <is>
          <t>Temperate continental forest</t>
        </is>
      </c>
      <c r="B1073" s="401" t="inlineStr">
        <is>
          <t>Central Asia</t>
        </is>
      </c>
      <c r="C1073" s="20">
        <f>CONCATENATE(A1073,B1073)</f>
        <v/>
      </c>
      <c r="D1073" s="163" t="n">
        <v>4</v>
      </c>
      <c r="E1073" s="163" t="n">
        <v>4</v>
      </c>
    </row>
    <row r="1074" customFormat="1" s="21">
      <c r="A1074" s="20" t="inlineStr">
        <is>
          <t>Temperate continental forest</t>
        </is>
      </c>
      <c r="B1074" s="401" t="inlineStr">
        <is>
          <t>Eastern Asia</t>
        </is>
      </c>
      <c r="C1074" s="20">
        <f>CONCATENATE(A1074,B1074)</f>
        <v/>
      </c>
      <c r="D1074" s="163" t="n">
        <v>4</v>
      </c>
      <c r="E1074" s="163" t="n">
        <v>4</v>
      </c>
    </row>
    <row r="1075" customFormat="1" s="21">
      <c r="A1075" s="20" t="inlineStr">
        <is>
          <t>Temperate continental forest</t>
        </is>
      </c>
      <c r="B1075" s="401" t="inlineStr">
        <is>
          <t>South-eastern Asia</t>
        </is>
      </c>
      <c r="C1075" s="20">
        <f>CONCATENATE(A1075,B1075)</f>
        <v/>
      </c>
      <c r="D1075" s="163" t="n">
        <v>4</v>
      </c>
      <c r="E1075" s="163" t="n">
        <v>4</v>
      </c>
    </row>
    <row r="1076" customFormat="1" s="21">
      <c r="A1076" s="20" t="inlineStr">
        <is>
          <t>Temperate continental forest</t>
        </is>
      </c>
      <c r="B1076" s="401" t="inlineStr">
        <is>
          <t>Southern Asia</t>
        </is>
      </c>
      <c r="C1076" s="20">
        <f>CONCATENATE(A1076,B1076)</f>
        <v/>
      </c>
      <c r="D1076" s="163" t="n">
        <v>4</v>
      </c>
      <c r="E1076" s="163" t="n">
        <v>4</v>
      </c>
    </row>
    <row r="1077" customFormat="1" s="21">
      <c r="A1077" s="20" t="inlineStr">
        <is>
          <t>Temperate continental forest</t>
        </is>
      </c>
      <c r="B1077" s="401" t="inlineStr">
        <is>
          <t>Western Asia</t>
        </is>
      </c>
      <c r="C1077" s="20">
        <f>CONCATENATE(A1077,B1077)</f>
        <v/>
      </c>
      <c r="D1077" s="163" t="n">
        <v>4</v>
      </c>
      <c r="E1077" s="163" t="n">
        <v>4</v>
      </c>
    </row>
    <row r="1078" customFormat="1" s="21">
      <c r="A1078" s="20" t="inlineStr">
        <is>
          <t>Temperate continental forest</t>
        </is>
      </c>
      <c r="B1078" s="401" t="inlineStr">
        <is>
          <t>Europe</t>
        </is>
      </c>
      <c r="C1078" s="20">
        <f>CONCATENATE(A1078,B1078)</f>
        <v/>
      </c>
      <c r="D1078" s="163" t="n">
        <v>4</v>
      </c>
      <c r="E1078" s="163" t="n">
        <v>4</v>
      </c>
    </row>
    <row r="1079" customFormat="1" s="21">
      <c r="A1079" s="20" t="inlineStr">
        <is>
          <t>Temperate continental forest</t>
        </is>
      </c>
      <c r="B1079" s="401" t="inlineStr">
        <is>
          <t>Oceania</t>
        </is>
      </c>
      <c r="C1079" s="20">
        <f>CONCATENATE(A1079,B1079)</f>
        <v/>
      </c>
      <c r="D1079" s="163" t="n">
        <v>4</v>
      </c>
      <c r="E1079" s="163" t="n">
        <v>4</v>
      </c>
    </row>
    <row r="1080" customFormat="1" s="21">
      <c r="A1080" s="20" t="inlineStr">
        <is>
          <t>Temperate continental forest</t>
        </is>
      </c>
      <c r="B1080" s="401" t="inlineStr">
        <is>
          <t>North America</t>
        </is>
      </c>
      <c r="C1080" s="20">
        <f>CONCATENATE(A1080,B1080)</f>
        <v/>
      </c>
      <c r="D1080" s="41" t="n">
        <v>3.6</v>
      </c>
      <c r="E1080" s="41" t="n">
        <v>3.3</v>
      </c>
    </row>
    <row r="1081" customFormat="1" s="21">
      <c r="A1081" s="20" t="inlineStr">
        <is>
          <t>Temperate continental forest</t>
        </is>
      </c>
      <c r="B1081" s="401" t="inlineStr">
        <is>
          <t>South America</t>
        </is>
      </c>
      <c r="C1081" s="20">
        <f>CONCATENATE(A1081,B1081)</f>
        <v/>
      </c>
      <c r="D1081" s="41" t="n">
        <v>3.6</v>
      </c>
      <c r="E1081" s="41" t="n">
        <v>3.3</v>
      </c>
    </row>
    <row r="1082" customFormat="1" s="21">
      <c r="A1082" s="20" t="inlineStr">
        <is>
          <t>Temperate continental forest</t>
        </is>
      </c>
      <c r="B1082" s="401" t="inlineStr">
        <is>
          <t>Central America</t>
        </is>
      </c>
      <c r="C1082" s="20">
        <f>CONCATENATE(A1082,B1082)</f>
        <v/>
      </c>
      <c r="D1082" s="363" t="n">
        <v>3.6</v>
      </c>
      <c r="E1082" s="363" t="n">
        <v>3.3</v>
      </c>
    </row>
    <row r="1083" customFormat="1" s="292">
      <c r="A1083" s="37" t="inlineStr">
        <is>
          <t>Temperate continental forest</t>
        </is>
      </c>
      <c r="B1083" s="402" t="inlineStr">
        <is>
          <t>Caribbean</t>
        </is>
      </c>
      <c r="C1083" s="37">
        <f>CONCATENATE(A1083,B1083)</f>
        <v/>
      </c>
      <c r="D1083" s="363" t="n">
        <v>3.6</v>
      </c>
      <c r="E1083" s="363" t="n">
        <v>3.3</v>
      </c>
    </row>
    <row r="1084" customFormat="1" s="291">
      <c r="A1084" s="63" t="inlineStr">
        <is>
          <t>Temperate mountain systems</t>
        </is>
      </c>
      <c r="B1084" s="408" t="inlineStr">
        <is>
          <t>Eastern Africa</t>
        </is>
      </c>
      <c r="C1084" s="263">
        <f>CONCATENATE(A1084,B1084)</f>
        <v/>
      </c>
      <c r="D1084" s="464" t="n">
        <v>3</v>
      </c>
      <c r="E1084" s="464" t="n">
        <v>3</v>
      </c>
    </row>
    <row r="1085" customFormat="1" s="21">
      <c r="A1085" s="20" t="inlineStr">
        <is>
          <t>Temperate mountain systems</t>
        </is>
      </c>
      <c r="B1085" s="401" t="inlineStr">
        <is>
          <t>Central Africa</t>
        </is>
      </c>
      <c r="C1085" s="264">
        <f>CONCATENATE(A1085,B1085)</f>
        <v/>
      </c>
      <c r="D1085" s="163" t="n">
        <v>3</v>
      </c>
      <c r="E1085" s="163" t="n">
        <v>3</v>
      </c>
    </row>
    <row r="1086" customFormat="1" s="21">
      <c r="A1086" s="20" t="inlineStr">
        <is>
          <t>Temperate mountain systems</t>
        </is>
      </c>
      <c r="B1086" s="401" t="inlineStr">
        <is>
          <t>Northern Africa</t>
        </is>
      </c>
      <c r="C1086" s="264">
        <f>CONCATENATE(A1086,B1086)</f>
        <v/>
      </c>
      <c r="D1086" s="163" t="n">
        <v>3</v>
      </c>
      <c r="E1086" s="163" t="n">
        <v>3</v>
      </c>
    </row>
    <row r="1087" customFormat="1" s="21">
      <c r="A1087" s="20" t="inlineStr">
        <is>
          <t>Temperate mountain systems</t>
        </is>
      </c>
      <c r="B1087" s="401" t="inlineStr">
        <is>
          <t>Southern Africa</t>
        </is>
      </c>
      <c r="C1087" s="264">
        <f>CONCATENATE(A1087,B1087)</f>
        <v/>
      </c>
      <c r="D1087" s="163" t="n">
        <v>3</v>
      </c>
      <c r="E1087" s="163" t="n">
        <v>3</v>
      </c>
    </row>
    <row r="1088" customFormat="1" s="21">
      <c r="A1088" s="20" t="inlineStr">
        <is>
          <t>Temperate mountain systems</t>
        </is>
      </c>
      <c r="B1088" s="401" t="inlineStr">
        <is>
          <t>Western Africa</t>
        </is>
      </c>
      <c r="C1088" s="264">
        <f>CONCATENATE(A1088,B1088)</f>
        <v/>
      </c>
      <c r="D1088" s="163" t="n">
        <v>3</v>
      </c>
      <c r="E1088" s="163" t="n">
        <v>3</v>
      </c>
    </row>
    <row r="1089" customFormat="1" s="21">
      <c r="A1089" s="20" t="inlineStr">
        <is>
          <t>Temperate mountain systems</t>
        </is>
      </c>
      <c r="B1089" s="401" t="inlineStr">
        <is>
          <t>Central Asia</t>
        </is>
      </c>
      <c r="C1089" s="264">
        <f>CONCATENATE(A1089,B1089)</f>
        <v/>
      </c>
      <c r="D1089" s="163" t="n">
        <v>3</v>
      </c>
      <c r="E1089" s="163" t="n">
        <v>3</v>
      </c>
    </row>
    <row r="1090" customFormat="1" s="21">
      <c r="A1090" s="20" t="inlineStr">
        <is>
          <t>Temperate mountain systems</t>
        </is>
      </c>
      <c r="B1090" s="401" t="inlineStr">
        <is>
          <t>Eastern Asia</t>
        </is>
      </c>
      <c r="C1090" s="264">
        <f>CONCATENATE(A1090,B1090)</f>
        <v/>
      </c>
      <c r="D1090" s="163" t="n">
        <v>3</v>
      </c>
      <c r="E1090" s="163" t="n">
        <v>3</v>
      </c>
    </row>
    <row r="1091" customFormat="1" s="21">
      <c r="A1091" s="20" t="inlineStr">
        <is>
          <t>Temperate mountain systems</t>
        </is>
      </c>
      <c r="B1091" s="401" t="inlineStr">
        <is>
          <t>South-eastern Asia</t>
        </is>
      </c>
      <c r="C1091" s="264">
        <f>CONCATENATE(A1091,B1091)</f>
        <v/>
      </c>
      <c r="D1091" s="163" t="n">
        <v>3</v>
      </c>
      <c r="E1091" s="163" t="n">
        <v>3</v>
      </c>
    </row>
    <row r="1092" customFormat="1" s="21">
      <c r="A1092" s="20" t="inlineStr">
        <is>
          <t>Temperate mountain systems</t>
        </is>
      </c>
      <c r="B1092" s="401" t="inlineStr">
        <is>
          <t>Southern Asia</t>
        </is>
      </c>
      <c r="C1092" s="264">
        <f>CONCATENATE(A1092,B1092)</f>
        <v/>
      </c>
      <c r="D1092" s="163" t="n">
        <v>3</v>
      </c>
      <c r="E1092" s="163" t="n">
        <v>3</v>
      </c>
    </row>
    <row r="1093" customFormat="1" s="21">
      <c r="A1093" s="20" t="inlineStr">
        <is>
          <t>Temperate mountain systems</t>
        </is>
      </c>
      <c r="B1093" s="401" t="inlineStr">
        <is>
          <t>Western Asia</t>
        </is>
      </c>
      <c r="C1093" s="264">
        <f>CONCATENATE(A1093,B1093)</f>
        <v/>
      </c>
      <c r="D1093" s="163" t="n">
        <v>3</v>
      </c>
      <c r="E1093" s="163" t="n">
        <v>3</v>
      </c>
    </row>
    <row r="1094" customFormat="1" s="21">
      <c r="A1094" s="20" t="inlineStr">
        <is>
          <t>Temperate mountain systems</t>
        </is>
      </c>
      <c r="B1094" s="401" t="inlineStr">
        <is>
          <t>Europe</t>
        </is>
      </c>
      <c r="C1094" s="264">
        <f>CONCATENATE(A1094,B1094)</f>
        <v/>
      </c>
      <c r="D1094" s="163" t="n">
        <v>3</v>
      </c>
      <c r="E1094" s="163" t="n">
        <v>3</v>
      </c>
    </row>
    <row r="1095" customFormat="1" s="21">
      <c r="A1095" s="20" t="inlineStr">
        <is>
          <t>Temperate mountain systems</t>
        </is>
      </c>
      <c r="B1095" s="401" t="inlineStr">
        <is>
          <t>Oceania</t>
        </is>
      </c>
      <c r="C1095" s="264">
        <f>CONCATENATE(A1095,B1095)</f>
        <v/>
      </c>
      <c r="D1095" s="163" t="n">
        <v>3</v>
      </c>
      <c r="E1095" s="163" t="n">
        <v>3</v>
      </c>
    </row>
    <row r="1096" customFormat="1" s="21">
      <c r="A1096" s="20" t="inlineStr">
        <is>
          <t>Temperate mountain systems</t>
        </is>
      </c>
      <c r="B1096" s="401" t="inlineStr">
        <is>
          <t>North America</t>
        </is>
      </c>
      <c r="C1096" s="264">
        <f>CONCATENATE(A1096,B1096)</f>
        <v/>
      </c>
      <c r="D1096" s="41" t="n">
        <v>4.4</v>
      </c>
      <c r="E1096" s="41" t="n">
        <v>3.1</v>
      </c>
    </row>
    <row r="1097" customFormat="1" s="21">
      <c r="A1097" s="20" t="inlineStr">
        <is>
          <t>Temperate mountain systems</t>
        </is>
      </c>
      <c r="B1097" s="401" t="inlineStr">
        <is>
          <t>South America</t>
        </is>
      </c>
      <c r="C1097" s="264">
        <f>CONCATENATE(A1097,B1097)</f>
        <v/>
      </c>
      <c r="D1097" s="41" t="n">
        <v>4.4</v>
      </c>
      <c r="E1097" s="41" t="n">
        <v>3.1</v>
      </c>
    </row>
    <row r="1098" customFormat="1" s="21">
      <c r="A1098" s="20" t="inlineStr">
        <is>
          <t>Temperate mountain systems</t>
        </is>
      </c>
      <c r="B1098" s="401" t="inlineStr">
        <is>
          <t>Central America</t>
        </is>
      </c>
      <c r="C1098" s="264">
        <f>CONCATENATE(A1098,B1098)</f>
        <v/>
      </c>
      <c r="D1098" s="363" t="n">
        <v>4.4</v>
      </c>
      <c r="E1098" s="363" t="n">
        <v>3.1</v>
      </c>
    </row>
    <row r="1099" customFormat="1" s="292">
      <c r="A1099" s="37" t="inlineStr">
        <is>
          <t>Temperate mountain systems</t>
        </is>
      </c>
      <c r="B1099" s="402" t="inlineStr">
        <is>
          <t>Caribbean</t>
        </is>
      </c>
      <c r="C1099" s="265">
        <f>CONCATENATE(A1099,B1099)</f>
        <v/>
      </c>
      <c r="D1099" s="364" t="n">
        <v>4.4</v>
      </c>
      <c r="E1099" s="364" t="n">
        <v>3.1</v>
      </c>
    </row>
    <row r="1100" customFormat="1" s="291">
      <c r="A1100" s="63" t="inlineStr">
        <is>
          <t>Temperate desert</t>
        </is>
      </c>
      <c r="B1100" s="408" t="inlineStr">
        <is>
          <t>Eastern Africa</t>
        </is>
      </c>
      <c r="C1100" s="63">
        <f>CONCATENATE(A1100,B1100)</f>
        <v/>
      </c>
      <c r="D1100" s="163" t="n">
        <v>0.6</v>
      </c>
      <c r="E1100" s="163" t="n">
        <v>0.5</v>
      </c>
    </row>
    <row r="1101" customFormat="1" s="21">
      <c r="A1101" s="20" t="inlineStr">
        <is>
          <t>Temperate desert</t>
        </is>
      </c>
      <c r="B1101" s="401" t="inlineStr">
        <is>
          <t>Central Africa</t>
        </is>
      </c>
      <c r="C1101" s="20">
        <f>CONCATENATE(A1101,B1101)</f>
        <v/>
      </c>
      <c r="D1101" s="163" t="n">
        <v>0.6</v>
      </c>
      <c r="E1101" s="163" t="n">
        <v>0.5</v>
      </c>
    </row>
    <row r="1102" customFormat="1" s="21">
      <c r="A1102" s="20" t="inlineStr">
        <is>
          <t>Temperate desert</t>
        </is>
      </c>
      <c r="B1102" s="401" t="inlineStr">
        <is>
          <t>Northern Africa</t>
        </is>
      </c>
      <c r="C1102" s="20">
        <f>CONCATENATE(A1102,B1102)</f>
        <v/>
      </c>
      <c r="D1102" s="163" t="n">
        <v>0.6</v>
      </c>
      <c r="E1102" s="163" t="n">
        <v>0.5</v>
      </c>
    </row>
    <row r="1103" customFormat="1" s="21">
      <c r="A1103" s="20" t="inlineStr">
        <is>
          <t>Temperate desert</t>
        </is>
      </c>
      <c r="B1103" s="401" t="inlineStr">
        <is>
          <t>Southern Africa</t>
        </is>
      </c>
      <c r="C1103" s="20">
        <f>CONCATENATE(A1103,B1103)</f>
        <v/>
      </c>
      <c r="D1103" s="163" t="n">
        <v>0.6</v>
      </c>
      <c r="E1103" s="163" t="n">
        <v>0.5</v>
      </c>
    </row>
    <row r="1104" customFormat="1" s="21">
      <c r="A1104" s="20" t="inlineStr">
        <is>
          <t>Temperate desert</t>
        </is>
      </c>
      <c r="B1104" s="401" t="inlineStr">
        <is>
          <t>Western Africa</t>
        </is>
      </c>
      <c r="C1104" s="20">
        <f>CONCATENATE(A1104,B1104)</f>
        <v/>
      </c>
      <c r="D1104" s="163" t="n">
        <v>0.6</v>
      </c>
      <c r="E1104" s="163" t="n">
        <v>0.5</v>
      </c>
    </row>
    <row r="1105" customFormat="1" s="21">
      <c r="A1105" s="20" t="inlineStr">
        <is>
          <t>Temperate desert</t>
        </is>
      </c>
      <c r="B1105" s="401" t="inlineStr">
        <is>
          <t>Central Asia</t>
        </is>
      </c>
      <c r="C1105" s="20">
        <f>CONCATENATE(A1105,B1105)</f>
        <v/>
      </c>
      <c r="D1105" s="163" t="n">
        <v>0.6</v>
      </c>
      <c r="E1105" s="163" t="n">
        <v>0.5</v>
      </c>
    </row>
    <row r="1106" customFormat="1" s="21">
      <c r="A1106" s="20" t="inlineStr">
        <is>
          <t>Temperate desert</t>
        </is>
      </c>
      <c r="B1106" s="401" t="inlineStr">
        <is>
          <t>Eastern Asia</t>
        </is>
      </c>
      <c r="C1106" s="20">
        <f>CONCATENATE(A1106,B1106)</f>
        <v/>
      </c>
      <c r="D1106" s="163" t="n">
        <v>0.6</v>
      </c>
      <c r="E1106" s="163" t="n">
        <v>0.5</v>
      </c>
    </row>
    <row r="1107" customFormat="1" s="21">
      <c r="A1107" s="20" t="inlineStr">
        <is>
          <t>Temperate desert</t>
        </is>
      </c>
      <c r="B1107" s="401" t="inlineStr">
        <is>
          <t>South-eastern Asia</t>
        </is>
      </c>
      <c r="C1107" s="20">
        <f>CONCATENATE(A1107,B1107)</f>
        <v/>
      </c>
      <c r="D1107" s="163" t="n">
        <v>0.6</v>
      </c>
      <c r="E1107" s="163" t="n">
        <v>0.5</v>
      </c>
    </row>
    <row r="1108" customFormat="1" s="21">
      <c r="A1108" s="20" t="inlineStr">
        <is>
          <t>Temperate desert</t>
        </is>
      </c>
      <c r="B1108" s="401" t="inlineStr">
        <is>
          <t>Southern Asia</t>
        </is>
      </c>
      <c r="C1108" s="20">
        <f>CONCATENATE(A1108,B1108)</f>
        <v/>
      </c>
      <c r="D1108" s="163" t="n">
        <v>0.6</v>
      </c>
      <c r="E1108" s="163" t="n">
        <v>0.5</v>
      </c>
    </row>
    <row r="1109" customFormat="1" s="21">
      <c r="A1109" s="20" t="inlineStr">
        <is>
          <t>Temperate desert</t>
        </is>
      </c>
      <c r="B1109" s="401" t="inlineStr">
        <is>
          <t>Western Asia</t>
        </is>
      </c>
      <c r="C1109" s="20">
        <f>CONCATENATE(A1109,B1109)</f>
        <v/>
      </c>
      <c r="D1109" s="163" t="n">
        <v>0.6</v>
      </c>
      <c r="E1109" s="163" t="n">
        <v>0.5</v>
      </c>
    </row>
    <row r="1110" customFormat="1" s="21">
      <c r="A1110" s="20" t="inlineStr">
        <is>
          <t>Temperate desert</t>
        </is>
      </c>
      <c r="B1110" s="401" t="inlineStr">
        <is>
          <t>Europe</t>
        </is>
      </c>
      <c r="C1110" s="20">
        <f>CONCATENATE(A1110,B1110)</f>
        <v/>
      </c>
      <c r="D1110" s="163" t="n">
        <v>0.6</v>
      </c>
      <c r="E1110" s="163" t="n">
        <v>0.5</v>
      </c>
    </row>
    <row r="1111" customFormat="1" s="21">
      <c r="A1111" s="20" t="inlineStr">
        <is>
          <t>Temperate desert</t>
        </is>
      </c>
      <c r="B1111" s="401" t="inlineStr">
        <is>
          <t>Oceania</t>
        </is>
      </c>
      <c r="C1111" s="20">
        <f>CONCATENATE(A1111,B1111)</f>
        <v/>
      </c>
      <c r="D1111" s="163" t="n">
        <v>0.6</v>
      </c>
      <c r="E1111" s="163" t="n">
        <v>0.5</v>
      </c>
    </row>
    <row r="1112" customFormat="1" s="21">
      <c r="A1112" s="20" t="inlineStr">
        <is>
          <t>Temperate desert</t>
        </is>
      </c>
      <c r="B1112" s="401" t="inlineStr">
        <is>
          <t>North America</t>
        </is>
      </c>
      <c r="C1112" s="20">
        <f>CONCATENATE(A1112,B1112)</f>
        <v/>
      </c>
      <c r="D1112" s="41" t="n">
        <v>0.6</v>
      </c>
      <c r="E1112" s="41" t="n">
        <v>0.5</v>
      </c>
    </row>
    <row r="1113" customFormat="1" s="21">
      <c r="A1113" s="20" t="inlineStr">
        <is>
          <t>Temperate desert</t>
        </is>
      </c>
      <c r="B1113" s="401" t="inlineStr">
        <is>
          <t>South America</t>
        </is>
      </c>
      <c r="C1113" s="20">
        <f>CONCATENATE(A1113,B1113)</f>
        <v/>
      </c>
      <c r="D1113" s="41" t="n">
        <v>0.6</v>
      </c>
      <c r="E1113" s="41" t="n">
        <v>0.5</v>
      </c>
    </row>
    <row r="1114" customFormat="1" s="21">
      <c r="A1114" s="20" t="inlineStr">
        <is>
          <t>Temperate desert</t>
        </is>
      </c>
      <c r="B1114" s="401" t="inlineStr">
        <is>
          <t>Central America</t>
        </is>
      </c>
      <c r="C1114" s="20">
        <f>CONCATENATE(A1114,B1114)</f>
        <v/>
      </c>
      <c r="D1114" s="163" t="n">
        <v>0.6</v>
      </c>
      <c r="E1114" s="163" t="n">
        <v>0.5</v>
      </c>
    </row>
    <row r="1115" customFormat="1" s="292">
      <c r="A1115" s="37" t="inlineStr">
        <is>
          <t>Temperate desert</t>
        </is>
      </c>
      <c r="B1115" s="402" t="inlineStr">
        <is>
          <t>Caribbean</t>
        </is>
      </c>
      <c r="C1115" s="37">
        <f>CONCATENATE(A1115,B1115)</f>
        <v/>
      </c>
      <c r="D1115" s="163" t="n">
        <v>0.6</v>
      </c>
      <c r="E1115" s="163" t="n">
        <v>0.5</v>
      </c>
    </row>
    <row r="1116" customFormat="1" s="291">
      <c r="A1116" s="63" t="inlineStr">
        <is>
          <t>Temperate steppe</t>
        </is>
      </c>
      <c r="B1116" s="408" t="inlineStr">
        <is>
          <t>Eastern Africa</t>
        </is>
      </c>
      <c r="C1116" s="567">
        <f>CONCATENATE(A1116,B1116)</f>
        <v/>
      </c>
      <c r="D1116" s="464" t="n">
        <v>3.5</v>
      </c>
      <c r="E1116" s="464" t="n">
        <v>2.3</v>
      </c>
    </row>
    <row r="1117" customFormat="1" s="21">
      <c r="A1117" s="20" t="inlineStr">
        <is>
          <t>Temperate steppe</t>
        </is>
      </c>
      <c r="B1117" s="401" t="inlineStr">
        <is>
          <t>Central Africa</t>
        </is>
      </c>
      <c r="C1117" s="55">
        <f>CONCATENATE(A1117,B1117)</f>
        <v/>
      </c>
      <c r="D1117" s="163" t="n">
        <v>3.5</v>
      </c>
      <c r="E1117" s="163" t="n">
        <v>2.3</v>
      </c>
    </row>
    <row r="1118" customFormat="1" s="21">
      <c r="A1118" s="20" t="inlineStr">
        <is>
          <t>Temperate steppe</t>
        </is>
      </c>
      <c r="B1118" s="401" t="inlineStr">
        <is>
          <t>Northern Africa</t>
        </is>
      </c>
      <c r="C1118" s="55">
        <f>CONCATENATE(A1118,B1118)</f>
        <v/>
      </c>
      <c r="D1118" s="163" t="n">
        <v>3.5</v>
      </c>
      <c r="E1118" s="163" t="n">
        <v>2.3</v>
      </c>
    </row>
    <row r="1119" customFormat="1" s="21">
      <c r="A1119" s="20" t="inlineStr">
        <is>
          <t>Temperate steppe</t>
        </is>
      </c>
      <c r="B1119" s="401" t="inlineStr">
        <is>
          <t>Southern Africa</t>
        </is>
      </c>
      <c r="C1119" s="55">
        <f>CONCATENATE(A1119,B1119)</f>
        <v/>
      </c>
      <c r="D1119" s="163" t="n">
        <v>3.5</v>
      </c>
      <c r="E1119" s="163" t="n">
        <v>2.3</v>
      </c>
    </row>
    <row r="1120" customFormat="1" s="21">
      <c r="A1120" s="20" t="inlineStr">
        <is>
          <t>Temperate steppe</t>
        </is>
      </c>
      <c r="B1120" s="401" t="inlineStr">
        <is>
          <t>Western Africa</t>
        </is>
      </c>
      <c r="C1120" s="55">
        <f>CONCATENATE(A1120,B1120)</f>
        <v/>
      </c>
      <c r="D1120" s="163" t="n">
        <v>3.5</v>
      </c>
      <c r="E1120" s="163" t="n">
        <v>2.3</v>
      </c>
    </row>
    <row r="1121" customFormat="1" s="21">
      <c r="A1121" s="20" t="inlineStr">
        <is>
          <t>Temperate steppe</t>
        </is>
      </c>
      <c r="B1121" s="401" t="inlineStr">
        <is>
          <t>Central Asia</t>
        </is>
      </c>
      <c r="C1121" s="55">
        <f>CONCATENATE(A1121,B1121)</f>
        <v/>
      </c>
      <c r="D1121" s="163" t="n">
        <v>3.5</v>
      </c>
      <c r="E1121" s="163" t="n">
        <v>2.3</v>
      </c>
    </row>
    <row r="1122" customFormat="1" s="21">
      <c r="A1122" s="20" t="inlineStr">
        <is>
          <t>Temperate steppe</t>
        </is>
      </c>
      <c r="B1122" s="401" t="inlineStr">
        <is>
          <t>Eastern Asia</t>
        </is>
      </c>
      <c r="C1122" s="55">
        <f>CONCATENATE(A1122,B1122)</f>
        <v/>
      </c>
      <c r="D1122" s="163" t="n">
        <v>3.5</v>
      </c>
      <c r="E1122" s="163" t="n">
        <v>2.3</v>
      </c>
    </row>
    <row r="1123" customFormat="1" s="21">
      <c r="A1123" s="20" t="inlineStr">
        <is>
          <t>Temperate steppe</t>
        </is>
      </c>
      <c r="B1123" s="401" t="inlineStr">
        <is>
          <t>South-eastern Asia</t>
        </is>
      </c>
      <c r="C1123" s="55">
        <f>CONCATENATE(A1123,B1123)</f>
        <v/>
      </c>
      <c r="D1123" s="163" t="n">
        <v>3.5</v>
      </c>
      <c r="E1123" s="163" t="n">
        <v>2.3</v>
      </c>
    </row>
    <row r="1124" customFormat="1" s="21">
      <c r="A1124" s="20" t="inlineStr">
        <is>
          <t>Temperate steppe</t>
        </is>
      </c>
      <c r="B1124" s="401" t="inlineStr">
        <is>
          <t>Southern Asia</t>
        </is>
      </c>
      <c r="C1124" s="55">
        <f>CONCATENATE(A1124,B1124)</f>
        <v/>
      </c>
      <c r="D1124" s="163" t="n">
        <v>3.5</v>
      </c>
      <c r="E1124" s="163" t="n">
        <v>2.3</v>
      </c>
    </row>
    <row r="1125" customFormat="1" s="21">
      <c r="A1125" s="20" t="inlineStr">
        <is>
          <t>Temperate steppe</t>
        </is>
      </c>
      <c r="B1125" s="401" t="inlineStr">
        <is>
          <t>Western Asia</t>
        </is>
      </c>
      <c r="C1125" s="55">
        <f>CONCATENATE(A1125,B1125)</f>
        <v/>
      </c>
      <c r="D1125" s="163" t="n">
        <v>3.5</v>
      </c>
      <c r="E1125" s="163" t="n">
        <v>2.3</v>
      </c>
    </row>
    <row r="1126" customFormat="1" s="21">
      <c r="A1126" s="20" t="inlineStr">
        <is>
          <t>Temperate steppe</t>
        </is>
      </c>
      <c r="B1126" s="401" t="inlineStr">
        <is>
          <t>Europe</t>
        </is>
      </c>
      <c r="C1126" s="55">
        <f>CONCATENATE(A1126,B1126)</f>
        <v/>
      </c>
      <c r="D1126" s="163" t="n">
        <v>3.5</v>
      </c>
      <c r="E1126" s="163" t="n">
        <v>2.3</v>
      </c>
    </row>
    <row r="1127" customFormat="1" s="21">
      <c r="A1127" s="20" t="inlineStr">
        <is>
          <t>Temperate steppe</t>
        </is>
      </c>
      <c r="B1127" s="401" t="inlineStr">
        <is>
          <t>Oceania</t>
        </is>
      </c>
      <c r="C1127" s="55">
        <f>CONCATENATE(A1127,B1127)</f>
        <v/>
      </c>
      <c r="D1127" s="163" t="n">
        <v>3.5</v>
      </c>
      <c r="E1127" s="163" t="n">
        <v>2.3</v>
      </c>
    </row>
    <row r="1128" customFormat="1" s="21">
      <c r="A1128" s="20" t="inlineStr">
        <is>
          <t>Temperate steppe</t>
        </is>
      </c>
      <c r="B1128" s="401" t="inlineStr">
        <is>
          <t>North America</t>
        </is>
      </c>
      <c r="C1128" s="55">
        <f>CONCATENATE(A1128,B1128)</f>
        <v/>
      </c>
      <c r="D1128" s="41" t="n">
        <v>3.5</v>
      </c>
      <c r="E1128" s="41" t="n">
        <v>2.3</v>
      </c>
    </row>
    <row r="1129" customFormat="1" s="21">
      <c r="A1129" s="20" t="inlineStr">
        <is>
          <t>Temperate steppe</t>
        </is>
      </c>
      <c r="B1129" s="401" t="inlineStr">
        <is>
          <t>South America</t>
        </is>
      </c>
      <c r="C1129" s="55">
        <f>CONCATENATE(A1129,B1129)</f>
        <v/>
      </c>
      <c r="D1129" s="41" t="n">
        <v>3.5</v>
      </c>
      <c r="E1129" s="41" t="n">
        <v>2.3</v>
      </c>
    </row>
    <row r="1130" customFormat="1" s="21">
      <c r="A1130" s="20" t="inlineStr">
        <is>
          <t>Temperate steppe</t>
        </is>
      </c>
      <c r="B1130" s="401" t="inlineStr">
        <is>
          <t>Central America</t>
        </is>
      </c>
      <c r="C1130" s="55">
        <f>CONCATENATE(A1130,B1130)</f>
        <v/>
      </c>
      <c r="D1130" s="163" t="n">
        <v>3.5</v>
      </c>
      <c r="E1130" s="163" t="n">
        <v>2.3</v>
      </c>
    </row>
    <row r="1131" customFormat="1" s="292">
      <c r="A1131" s="37" t="inlineStr">
        <is>
          <t>Temperate steppe</t>
        </is>
      </c>
      <c r="B1131" s="402" t="inlineStr">
        <is>
          <t>Caribbean</t>
        </is>
      </c>
      <c r="C1131" s="579">
        <f>CONCATENATE(A1131,B1131)</f>
        <v/>
      </c>
      <c r="D1131" s="466" t="n">
        <v>3.5</v>
      </c>
      <c r="E1131" s="466" t="n">
        <v>2.3</v>
      </c>
    </row>
    <row r="1132" customFormat="1" s="291">
      <c r="A1132" s="63" t="inlineStr">
        <is>
          <t>Boreal coniferous forest</t>
        </is>
      </c>
      <c r="B1132" s="408" t="inlineStr">
        <is>
          <t>Eastern Africa</t>
        </is>
      </c>
      <c r="C1132" s="567">
        <f>CONCATENATE(A1132,B1132)</f>
        <v/>
      </c>
      <c r="D1132" s="471" t="n">
        <v>0</v>
      </c>
      <c r="E1132" s="471" t="n">
        <v>0</v>
      </c>
    </row>
    <row r="1133" customFormat="1" s="21">
      <c r="A1133" s="20" t="inlineStr">
        <is>
          <t>Boreal coniferous forest</t>
        </is>
      </c>
      <c r="B1133" s="401" t="inlineStr">
        <is>
          <t>Central Africa</t>
        </is>
      </c>
      <c r="C1133" s="55">
        <f>CONCATENATE(A1133,B1133)</f>
        <v/>
      </c>
      <c r="D1133" s="471" t="n">
        <v>0</v>
      </c>
      <c r="E1133" s="471" t="n">
        <v>0</v>
      </c>
    </row>
    <row r="1134" customFormat="1" s="21">
      <c r="A1134" s="20" t="inlineStr">
        <is>
          <t>Boreal coniferous forest</t>
        </is>
      </c>
      <c r="B1134" s="401" t="inlineStr">
        <is>
          <t>Northern Africa</t>
        </is>
      </c>
      <c r="C1134" s="55">
        <f>CONCATENATE(A1134,B1134)</f>
        <v/>
      </c>
      <c r="D1134" s="471" t="n">
        <v>0</v>
      </c>
      <c r="E1134" s="471" t="n">
        <v>0</v>
      </c>
    </row>
    <row r="1135" customFormat="1" s="21">
      <c r="A1135" s="20" t="inlineStr">
        <is>
          <t>Boreal coniferous forest</t>
        </is>
      </c>
      <c r="B1135" s="401" t="inlineStr">
        <is>
          <t>Southern Africa</t>
        </is>
      </c>
      <c r="C1135" s="55">
        <f>CONCATENATE(A1135,B1135)</f>
        <v/>
      </c>
      <c r="D1135" s="471" t="n">
        <v>0</v>
      </c>
      <c r="E1135" s="471" t="n">
        <v>0</v>
      </c>
    </row>
    <row r="1136" customFormat="1" s="21">
      <c r="A1136" s="20" t="inlineStr">
        <is>
          <t>Boreal coniferous forest</t>
        </is>
      </c>
      <c r="B1136" s="401" t="inlineStr">
        <is>
          <t>Western Africa</t>
        </is>
      </c>
      <c r="C1136" s="55">
        <f>CONCATENATE(A1136,B1136)</f>
        <v/>
      </c>
      <c r="D1136" s="471" t="n">
        <v>0</v>
      </c>
      <c r="E1136" s="471" t="n">
        <v>0</v>
      </c>
    </row>
    <row r="1137" customFormat="1" s="21">
      <c r="A1137" s="20" t="inlineStr">
        <is>
          <t>Boreal coniferous forest</t>
        </is>
      </c>
      <c r="B1137" s="401" t="inlineStr">
        <is>
          <t>Central Asia</t>
        </is>
      </c>
      <c r="C1137" s="55">
        <f>CONCATENATE(A1137,B1137)</f>
        <v/>
      </c>
      <c r="D1137" s="471">
        <f>AVERAGE(0.1,2.2)</f>
        <v/>
      </c>
      <c r="E1137" s="41">
        <f>AVERAGE(0.1,2.3)</f>
        <v/>
      </c>
    </row>
    <row r="1138" customFormat="1" s="21">
      <c r="A1138" s="20" t="inlineStr">
        <is>
          <t>Boreal coniferous forest</t>
        </is>
      </c>
      <c r="B1138" s="401" t="inlineStr">
        <is>
          <t>Eastern Asia</t>
        </is>
      </c>
      <c r="C1138" s="55">
        <f>CONCATENATE(A1138,B1138)</f>
        <v/>
      </c>
      <c r="D1138" s="471">
        <f>AVERAGE(0.1,2.2)</f>
        <v/>
      </c>
      <c r="E1138" s="41">
        <f>AVERAGE(0.1,2.3)</f>
        <v/>
      </c>
    </row>
    <row r="1139" customFormat="1" s="21">
      <c r="A1139" s="20" t="inlineStr">
        <is>
          <t>Boreal coniferous forest</t>
        </is>
      </c>
      <c r="B1139" s="401" t="inlineStr">
        <is>
          <t>South-eastern Asia</t>
        </is>
      </c>
      <c r="C1139" s="55">
        <f>CONCATENATE(A1139,B1139)</f>
        <v/>
      </c>
      <c r="D1139" s="471">
        <f>AVERAGE(0.1,2.2)</f>
        <v/>
      </c>
      <c r="E1139" s="41">
        <f>AVERAGE(0.1,2.3)</f>
        <v/>
      </c>
    </row>
    <row r="1140" customFormat="1" s="21">
      <c r="A1140" s="20" t="inlineStr">
        <is>
          <t>Boreal coniferous forest</t>
        </is>
      </c>
      <c r="B1140" s="401" t="inlineStr">
        <is>
          <t>Southern Asia</t>
        </is>
      </c>
      <c r="C1140" s="55">
        <f>CONCATENATE(A1140,B1140)</f>
        <v/>
      </c>
      <c r="D1140" s="471">
        <f>AVERAGE(0.1,2.2)</f>
        <v/>
      </c>
      <c r="E1140" s="41">
        <f>AVERAGE(0.1,2.3)</f>
        <v/>
      </c>
    </row>
    <row r="1141" customFormat="1" s="21">
      <c r="A1141" s="20" t="inlineStr">
        <is>
          <t>Boreal coniferous forest</t>
        </is>
      </c>
      <c r="B1141" s="401" t="inlineStr">
        <is>
          <t>Western Asia</t>
        </is>
      </c>
      <c r="C1141" s="55">
        <f>CONCATENATE(A1141,B1141)</f>
        <v/>
      </c>
      <c r="D1141" s="471">
        <f>AVERAGE(0.1,2.2)</f>
        <v/>
      </c>
      <c r="E1141" s="41">
        <f>AVERAGE(0.1,2.3)</f>
        <v/>
      </c>
    </row>
    <row r="1142" customFormat="1" s="21">
      <c r="A1142" s="20" t="inlineStr">
        <is>
          <t>Boreal coniferous forest</t>
        </is>
      </c>
      <c r="B1142" s="401" t="inlineStr">
        <is>
          <t>Europe</t>
        </is>
      </c>
      <c r="C1142" s="55">
        <f>CONCATENATE(A1142,B1142)</f>
        <v/>
      </c>
      <c r="D1142" s="471">
        <f>AVERAGE(0.1,2.2)</f>
        <v/>
      </c>
      <c r="E1142" s="41">
        <f>AVERAGE(0.1,2.3)</f>
        <v/>
      </c>
    </row>
    <row r="1143" customFormat="1" s="21">
      <c r="A1143" s="20" t="inlineStr">
        <is>
          <t>Boreal coniferous forest</t>
        </is>
      </c>
      <c r="B1143" s="401" t="inlineStr">
        <is>
          <t>Oceania</t>
        </is>
      </c>
      <c r="C1143" s="55">
        <f>CONCATENATE(A1143,B1143)</f>
        <v/>
      </c>
      <c r="D1143" s="471">
        <f>AVERAGE(0.1,2.2)</f>
        <v/>
      </c>
      <c r="E1143" s="41">
        <f>AVERAGE(0.1,2.3)</f>
        <v/>
      </c>
    </row>
    <row r="1144" customFormat="1" s="21">
      <c r="A1144" s="20" t="inlineStr">
        <is>
          <t>Boreal coniferous forest</t>
        </is>
      </c>
      <c r="B1144" s="401" t="inlineStr">
        <is>
          <t>North America</t>
        </is>
      </c>
      <c r="C1144" s="55">
        <f>CONCATENATE(A1144,B1144)</f>
        <v/>
      </c>
      <c r="D1144" s="471">
        <f>AVERAGE(0.1,2.2)</f>
        <v/>
      </c>
      <c r="E1144" s="41">
        <f>AVERAGE(0.1,2.3)</f>
        <v/>
      </c>
    </row>
    <row r="1145" customFormat="1" s="21">
      <c r="A1145" s="20" t="inlineStr">
        <is>
          <t>Boreal coniferous forest</t>
        </is>
      </c>
      <c r="B1145" s="401" t="inlineStr">
        <is>
          <t>South America</t>
        </is>
      </c>
      <c r="C1145" s="55">
        <f>CONCATENATE(A1145,B1145)</f>
        <v/>
      </c>
      <c r="D1145" s="471">
        <f>AVERAGE(0.1,2.2)</f>
        <v/>
      </c>
      <c r="E1145" s="41">
        <f>AVERAGE(0.1,2.3)</f>
        <v/>
      </c>
    </row>
    <row r="1146" customFormat="1" s="21">
      <c r="A1146" s="20" t="inlineStr">
        <is>
          <t>Boreal coniferous forest</t>
        </is>
      </c>
      <c r="B1146" s="401" t="inlineStr">
        <is>
          <t>Central America</t>
        </is>
      </c>
      <c r="C1146" s="55">
        <f>CONCATENATE(A1146,B1146)</f>
        <v/>
      </c>
      <c r="D1146" s="471">
        <f>AVERAGE(0.1,2.2)</f>
        <v/>
      </c>
      <c r="E1146" s="41">
        <f>AVERAGE(0.1,2.3)</f>
        <v/>
      </c>
    </row>
    <row r="1147" customFormat="1" s="292">
      <c r="A1147" s="37" t="inlineStr">
        <is>
          <t>Boreal coniferous forest</t>
        </is>
      </c>
      <c r="B1147" s="402" t="inlineStr">
        <is>
          <t>Caribbean</t>
        </is>
      </c>
      <c r="C1147" s="579">
        <f>CONCATENATE(A1147,B1147)</f>
        <v/>
      </c>
      <c r="D1147" s="471">
        <f>AVERAGE(0.1,2.2)</f>
        <v/>
      </c>
      <c r="E1147" s="41">
        <f>AVERAGE(0.1,2.3)</f>
        <v/>
      </c>
    </row>
    <row r="1148" customFormat="1" s="291">
      <c r="A1148" s="63" t="inlineStr">
        <is>
          <t>Boreal tundra woodland</t>
        </is>
      </c>
      <c r="B1148" s="408" t="inlineStr">
        <is>
          <t>Eastern Africa</t>
        </is>
      </c>
      <c r="C1148" s="567">
        <f>CONCATENATE(A1148,B1148)</f>
        <v/>
      </c>
      <c r="D1148" s="44" t="n">
        <v>0</v>
      </c>
      <c r="E1148" s="44" t="n">
        <v>0</v>
      </c>
    </row>
    <row r="1149" customFormat="1" s="21">
      <c r="A1149" s="20" t="inlineStr">
        <is>
          <t>Boreal tundra woodland</t>
        </is>
      </c>
      <c r="B1149" s="401" t="inlineStr">
        <is>
          <t>Central Africa</t>
        </is>
      </c>
      <c r="C1149" s="55">
        <f>CONCATENATE(A1149,B1149)</f>
        <v/>
      </c>
      <c r="D1149" s="41" t="n">
        <v>0</v>
      </c>
      <c r="E1149" s="41" t="n">
        <v>0</v>
      </c>
    </row>
    <row r="1150" customFormat="1" s="21">
      <c r="A1150" s="20" t="inlineStr">
        <is>
          <t>Boreal tundra woodland</t>
        </is>
      </c>
      <c r="B1150" s="401" t="inlineStr">
        <is>
          <t>Northern Africa</t>
        </is>
      </c>
      <c r="C1150" s="55">
        <f>CONCATENATE(A1150,B1150)</f>
        <v/>
      </c>
      <c r="D1150" s="41" t="n">
        <v>0</v>
      </c>
      <c r="E1150" s="41" t="n">
        <v>0</v>
      </c>
    </row>
    <row r="1151" customFormat="1" s="21">
      <c r="A1151" s="20" t="inlineStr">
        <is>
          <t>Boreal tundra woodland</t>
        </is>
      </c>
      <c r="B1151" s="401" t="inlineStr">
        <is>
          <t>Southern Africa</t>
        </is>
      </c>
      <c r="C1151" s="55">
        <f>CONCATENATE(A1151,B1151)</f>
        <v/>
      </c>
      <c r="D1151" s="41" t="n">
        <v>0</v>
      </c>
      <c r="E1151" s="41" t="n">
        <v>0</v>
      </c>
    </row>
    <row r="1152" customFormat="1" s="21">
      <c r="A1152" s="20" t="inlineStr">
        <is>
          <t>Boreal tundra woodland</t>
        </is>
      </c>
      <c r="B1152" s="401" t="inlineStr">
        <is>
          <t>Western Africa</t>
        </is>
      </c>
      <c r="C1152" s="55">
        <f>CONCATENATE(A1152,B1152)</f>
        <v/>
      </c>
      <c r="D1152" s="41" t="n">
        <v>0</v>
      </c>
      <c r="E1152" s="41" t="n">
        <v>0</v>
      </c>
    </row>
    <row r="1153" customFormat="1" s="21">
      <c r="A1153" s="20" t="inlineStr">
        <is>
          <t>Boreal tundra woodland</t>
        </is>
      </c>
      <c r="B1153" s="401" t="inlineStr">
        <is>
          <t>Central Asia</t>
        </is>
      </c>
      <c r="C1153" s="55">
        <f>CONCATENATE(A1153,B1153)</f>
        <v/>
      </c>
      <c r="D1153" s="41" t="n">
        <v>0.4</v>
      </c>
      <c r="E1153" s="41" t="n">
        <v>0.4</v>
      </c>
    </row>
    <row r="1154" customFormat="1" s="21">
      <c r="A1154" s="20" t="inlineStr">
        <is>
          <t>Boreal tundra woodland</t>
        </is>
      </c>
      <c r="B1154" s="401" t="inlineStr">
        <is>
          <t>Eastern Asia</t>
        </is>
      </c>
      <c r="C1154" s="55">
        <f>CONCATENATE(A1154,B1154)</f>
        <v/>
      </c>
      <c r="D1154" s="41" t="n">
        <v>0.4</v>
      </c>
      <c r="E1154" s="41" t="n">
        <v>0.4</v>
      </c>
    </row>
    <row r="1155" customFormat="1" s="21">
      <c r="A1155" s="20" t="inlineStr">
        <is>
          <t>Boreal tundra woodland</t>
        </is>
      </c>
      <c r="B1155" s="401" t="inlineStr">
        <is>
          <t>South-eastern Asia</t>
        </is>
      </c>
      <c r="C1155" s="55">
        <f>CONCATENATE(A1155,B1155)</f>
        <v/>
      </c>
      <c r="D1155" s="41" t="n">
        <v>0.4</v>
      </c>
      <c r="E1155" s="41" t="n">
        <v>0.4</v>
      </c>
    </row>
    <row r="1156" customFormat="1" s="21">
      <c r="A1156" s="20" t="inlineStr">
        <is>
          <t>Boreal tundra woodland</t>
        </is>
      </c>
      <c r="B1156" s="401" t="inlineStr">
        <is>
          <t>Southern Asia</t>
        </is>
      </c>
      <c r="C1156" s="55">
        <f>CONCATENATE(A1156,B1156)</f>
        <v/>
      </c>
      <c r="D1156" s="41" t="n">
        <v>0.4</v>
      </c>
      <c r="E1156" s="41" t="n">
        <v>0.4</v>
      </c>
    </row>
    <row r="1157" customFormat="1" s="21">
      <c r="A1157" s="20" t="inlineStr">
        <is>
          <t>Boreal tundra woodland</t>
        </is>
      </c>
      <c r="B1157" s="401" t="inlineStr">
        <is>
          <t>Western Asia</t>
        </is>
      </c>
      <c r="C1157" s="55">
        <f>CONCATENATE(A1157,B1157)</f>
        <v/>
      </c>
      <c r="D1157" s="41" t="n">
        <v>0.4</v>
      </c>
      <c r="E1157" s="41" t="n">
        <v>0.4</v>
      </c>
    </row>
    <row r="1158" customFormat="1" s="21">
      <c r="A1158" s="20" t="inlineStr">
        <is>
          <t>Boreal tundra woodland</t>
        </is>
      </c>
      <c r="B1158" s="401" t="inlineStr">
        <is>
          <t>Europe</t>
        </is>
      </c>
      <c r="C1158" s="55">
        <f>CONCATENATE(A1158,B1158)</f>
        <v/>
      </c>
      <c r="D1158" s="41" t="n">
        <v>0.4</v>
      </c>
      <c r="E1158" s="41" t="n">
        <v>0.4</v>
      </c>
    </row>
    <row r="1159" customFormat="1" s="21">
      <c r="A1159" s="20" t="inlineStr">
        <is>
          <t>Boreal tundra woodland</t>
        </is>
      </c>
      <c r="B1159" s="401" t="inlineStr">
        <is>
          <t>Oceania</t>
        </is>
      </c>
      <c r="C1159" s="55">
        <f>CONCATENATE(A1159,B1159)</f>
        <v/>
      </c>
      <c r="D1159" s="41" t="n">
        <v>0.4</v>
      </c>
      <c r="E1159" s="41" t="n">
        <v>0.4</v>
      </c>
    </row>
    <row r="1160" customFormat="1" s="21">
      <c r="A1160" s="20" t="inlineStr">
        <is>
          <t>Boreal tundra woodland</t>
        </is>
      </c>
      <c r="B1160" s="401" t="inlineStr">
        <is>
          <t>North America</t>
        </is>
      </c>
      <c r="C1160" s="55">
        <f>CONCATENATE(A1160,B1160)</f>
        <v/>
      </c>
      <c r="D1160" s="41" t="n">
        <v>0.4</v>
      </c>
      <c r="E1160" s="41" t="n">
        <v>0.4</v>
      </c>
    </row>
    <row r="1161" customFormat="1" s="21">
      <c r="A1161" s="20" t="inlineStr">
        <is>
          <t>Boreal tundra woodland</t>
        </is>
      </c>
      <c r="B1161" s="401" t="inlineStr">
        <is>
          <t>South America</t>
        </is>
      </c>
      <c r="C1161" s="55">
        <f>CONCATENATE(A1161,B1161)</f>
        <v/>
      </c>
      <c r="D1161" s="41" t="n">
        <v>0.4</v>
      </c>
      <c r="E1161" s="41" t="n">
        <v>0.4</v>
      </c>
    </row>
    <row r="1162" customFormat="1" s="21">
      <c r="A1162" s="20" t="inlineStr">
        <is>
          <t>Boreal tundra woodland</t>
        </is>
      </c>
      <c r="B1162" s="401" t="inlineStr">
        <is>
          <t>Central America</t>
        </is>
      </c>
      <c r="C1162" s="55">
        <f>CONCATENATE(A1162,B1162)</f>
        <v/>
      </c>
      <c r="D1162" s="41" t="n">
        <v>0.4</v>
      </c>
      <c r="E1162" s="41" t="n">
        <v>0.4</v>
      </c>
    </row>
    <row r="1163" customFormat="1" s="292">
      <c r="A1163" s="37" t="inlineStr">
        <is>
          <t>Boreal tundra woodland</t>
        </is>
      </c>
      <c r="B1163" s="402" t="inlineStr">
        <is>
          <t>Caribbean</t>
        </is>
      </c>
      <c r="C1163" s="579">
        <f>CONCATENATE(A1163,B1163)</f>
        <v/>
      </c>
      <c r="D1163" s="42" t="n">
        <v>0.4</v>
      </c>
      <c r="E1163" s="42" t="n">
        <v>0.4</v>
      </c>
    </row>
    <row r="1164" customFormat="1" s="291">
      <c r="A1164" s="63" t="inlineStr">
        <is>
          <t>Boreal mountain systems</t>
        </is>
      </c>
      <c r="B1164" s="408" t="inlineStr">
        <is>
          <t>Eastern Africa</t>
        </is>
      </c>
      <c r="C1164" s="567">
        <f>CONCATENATE(A1164,B1164)</f>
        <v/>
      </c>
      <c r="D1164" s="163" t="n">
        <v>0</v>
      </c>
      <c r="E1164" s="163" t="n">
        <v>0</v>
      </c>
    </row>
    <row r="1165" customFormat="1" s="21">
      <c r="A1165" s="20" t="inlineStr">
        <is>
          <t>Boreal mountain systems</t>
        </is>
      </c>
      <c r="B1165" s="401" t="inlineStr">
        <is>
          <t>Central Africa</t>
        </is>
      </c>
      <c r="C1165" s="55">
        <f>CONCATENATE(A1165,B1165)</f>
        <v/>
      </c>
      <c r="D1165" s="163" t="n">
        <v>0</v>
      </c>
      <c r="E1165" s="163" t="n">
        <v>0</v>
      </c>
    </row>
    <row r="1166" customFormat="1" s="21">
      <c r="A1166" s="20" t="inlineStr">
        <is>
          <t>Boreal mountain systems</t>
        </is>
      </c>
      <c r="B1166" s="401" t="inlineStr">
        <is>
          <t>Northern Africa</t>
        </is>
      </c>
      <c r="C1166" s="55">
        <f>CONCATENATE(A1166,B1166)</f>
        <v/>
      </c>
      <c r="D1166" s="163" t="n">
        <v>0</v>
      </c>
      <c r="E1166" s="163" t="n">
        <v>0</v>
      </c>
    </row>
    <row r="1167" customFormat="1" s="21">
      <c r="A1167" s="20" t="inlineStr">
        <is>
          <t>Boreal mountain systems</t>
        </is>
      </c>
      <c r="B1167" s="401" t="inlineStr">
        <is>
          <t>Southern Africa</t>
        </is>
      </c>
      <c r="C1167" s="55">
        <f>CONCATENATE(A1167,B1167)</f>
        <v/>
      </c>
      <c r="D1167" s="163" t="n">
        <v>0</v>
      </c>
      <c r="E1167" s="163" t="n">
        <v>0</v>
      </c>
    </row>
    <row r="1168" customFormat="1" s="21">
      <c r="A1168" s="20" t="inlineStr">
        <is>
          <t>Boreal mountain systems</t>
        </is>
      </c>
      <c r="B1168" s="401" t="inlineStr">
        <is>
          <t>Western Africa</t>
        </is>
      </c>
      <c r="C1168" s="55">
        <f>CONCATENATE(A1168,B1168)</f>
        <v/>
      </c>
      <c r="D1168" s="163" t="n">
        <v>0</v>
      </c>
      <c r="E1168" s="163" t="n">
        <v>0</v>
      </c>
    </row>
    <row r="1169" customFormat="1" s="21">
      <c r="A1169" s="20" t="inlineStr">
        <is>
          <t>Boreal mountain systems</t>
        </is>
      </c>
      <c r="B1169" s="401" t="inlineStr">
        <is>
          <t>Central Asia</t>
        </is>
      </c>
      <c r="C1169" s="55">
        <f>CONCATENATE(A1169,B1169)</f>
        <v/>
      </c>
      <c r="D1169" s="41">
        <f>AVERAGE(1.1,1.5)</f>
        <v/>
      </c>
      <c r="E1169" s="471">
        <f>AVERAGE(1,1.1)</f>
        <v/>
      </c>
    </row>
    <row r="1170" customFormat="1" s="21">
      <c r="A1170" s="20" t="inlineStr">
        <is>
          <t>Boreal mountain systems</t>
        </is>
      </c>
      <c r="B1170" s="401" t="inlineStr">
        <is>
          <t>Eastern Asia</t>
        </is>
      </c>
      <c r="C1170" s="55">
        <f>CONCATENATE(A1170,B1170)</f>
        <v/>
      </c>
      <c r="D1170" s="41">
        <f>AVERAGE(1.1,1.5)</f>
        <v/>
      </c>
      <c r="E1170" s="471">
        <f>AVERAGE(1,1.1)</f>
        <v/>
      </c>
    </row>
    <row r="1171" customFormat="1" s="21">
      <c r="A1171" s="20" t="inlineStr">
        <is>
          <t>Boreal mountain systems</t>
        </is>
      </c>
      <c r="B1171" s="401" t="inlineStr">
        <is>
          <t>South-eastern Asia</t>
        </is>
      </c>
      <c r="C1171" s="55">
        <f>CONCATENATE(A1171,B1171)</f>
        <v/>
      </c>
      <c r="D1171" s="41">
        <f>AVERAGE(1.1,1.5)</f>
        <v/>
      </c>
      <c r="E1171" s="471">
        <f>AVERAGE(1,1.1)</f>
        <v/>
      </c>
    </row>
    <row r="1172" customFormat="1" s="21">
      <c r="A1172" s="20" t="inlineStr">
        <is>
          <t>Boreal mountain systems</t>
        </is>
      </c>
      <c r="B1172" s="401" t="inlineStr">
        <is>
          <t>Southern Asia</t>
        </is>
      </c>
      <c r="C1172" s="55">
        <f>CONCATENATE(A1172,B1172)</f>
        <v/>
      </c>
      <c r="D1172" s="41">
        <f>AVERAGE(1.1,1.5)</f>
        <v/>
      </c>
      <c r="E1172" s="471">
        <f>AVERAGE(1,1.1)</f>
        <v/>
      </c>
    </row>
    <row r="1173" customFormat="1" s="21">
      <c r="A1173" s="20" t="inlineStr">
        <is>
          <t>Boreal mountain systems</t>
        </is>
      </c>
      <c r="B1173" s="401" t="inlineStr">
        <is>
          <t>Western Asia</t>
        </is>
      </c>
      <c r="C1173" s="55">
        <f>CONCATENATE(A1173,B1173)</f>
        <v/>
      </c>
      <c r="D1173" s="41">
        <f>AVERAGE(1.1,1.5)</f>
        <v/>
      </c>
      <c r="E1173" s="471">
        <f>AVERAGE(1,1.1)</f>
        <v/>
      </c>
    </row>
    <row r="1174" customFormat="1" s="21">
      <c r="A1174" s="20" t="inlineStr">
        <is>
          <t>Boreal mountain systems</t>
        </is>
      </c>
      <c r="B1174" s="401" t="inlineStr">
        <is>
          <t>Europe</t>
        </is>
      </c>
      <c r="C1174" s="55">
        <f>CONCATENATE(A1174,B1174)</f>
        <v/>
      </c>
      <c r="D1174" s="41">
        <f>AVERAGE(1.1,1.5)</f>
        <v/>
      </c>
      <c r="E1174" s="471">
        <f>AVERAGE(1,1.1)</f>
        <v/>
      </c>
    </row>
    <row r="1175" customFormat="1" s="21">
      <c r="A1175" s="20" t="inlineStr">
        <is>
          <t>Boreal mountain systems</t>
        </is>
      </c>
      <c r="B1175" s="401" t="inlineStr">
        <is>
          <t>Oceania</t>
        </is>
      </c>
      <c r="C1175" s="55">
        <f>CONCATENATE(A1175,B1175)</f>
        <v/>
      </c>
      <c r="D1175" s="467">
        <f>AVERAGE(1.1,1.5)</f>
        <v/>
      </c>
      <c r="E1175" s="2809">
        <f>AVERAGE(1,1.1)</f>
        <v/>
      </c>
    </row>
    <row r="1176" customFormat="1" s="21">
      <c r="A1176" s="20" t="inlineStr">
        <is>
          <t>Boreal mountain systems</t>
        </is>
      </c>
      <c r="B1176" s="401" t="inlineStr">
        <is>
          <t>North America</t>
        </is>
      </c>
      <c r="C1176" s="55">
        <f>CONCATENATE(A1176,B1176)</f>
        <v/>
      </c>
      <c r="D1176" s="467">
        <f>AVERAGE(1.1,1.5)</f>
        <v/>
      </c>
      <c r="E1176" s="2809">
        <f>AVERAGE(1,1.1)</f>
        <v/>
      </c>
    </row>
    <row r="1177" customFormat="1" s="21">
      <c r="A1177" s="20" t="inlineStr">
        <is>
          <t>Boreal mountain systems</t>
        </is>
      </c>
      <c r="B1177" s="401" t="inlineStr">
        <is>
          <t>South America</t>
        </is>
      </c>
      <c r="C1177" s="55">
        <f>CONCATENATE(A1177,B1177)</f>
        <v/>
      </c>
      <c r="D1177" s="467">
        <f>AVERAGE(1.1,1.5)</f>
        <v/>
      </c>
      <c r="E1177" s="2809">
        <f>AVERAGE(1,1.1)</f>
        <v/>
      </c>
    </row>
    <row r="1178" customFormat="1" s="21">
      <c r="A1178" s="20" t="inlineStr">
        <is>
          <t>Boreal mountain systems</t>
        </is>
      </c>
      <c r="B1178" s="401" t="inlineStr">
        <is>
          <t>Central America</t>
        </is>
      </c>
      <c r="C1178" s="55">
        <f>CONCATENATE(A1178,B1178)</f>
        <v/>
      </c>
      <c r="D1178" s="467">
        <f>AVERAGE(1.1,1.5)</f>
        <v/>
      </c>
      <c r="E1178" s="2809">
        <f>AVERAGE(1,1.1)</f>
        <v/>
      </c>
    </row>
    <row r="1179" customFormat="1" s="292">
      <c r="A1179" s="37" t="inlineStr">
        <is>
          <t>Boreal mountain systems</t>
        </is>
      </c>
      <c r="B1179" s="402" t="inlineStr">
        <is>
          <t>Caribbean</t>
        </is>
      </c>
      <c r="C1179" s="579">
        <f>CONCATENATE(A1179,B1179)</f>
        <v/>
      </c>
      <c r="D1179" s="467">
        <f>AVERAGE(1.1,1.5)</f>
        <v/>
      </c>
      <c r="E1179" s="2809">
        <f>AVERAGE(1,1.1)</f>
        <v/>
      </c>
    </row>
    <row r="1180" customFormat="1" s="291">
      <c r="A1180" s="63" t="inlineStr">
        <is>
          <t>Tropical mountain systems</t>
        </is>
      </c>
      <c r="B1180" s="408" t="inlineStr">
        <is>
          <t>Eastern Africa</t>
        </is>
      </c>
      <c r="C1180" s="567">
        <f>CONCATENATE(A1180,B1180)</f>
        <v/>
      </c>
      <c r="D1180" s="491" t="n">
        <v>1.8</v>
      </c>
      <c r="E1180" s="491" t="n">
        <v>5.5</v>
      </c>
    </row>
    <row r="1181" customFormat="1" s="21">
      <c r="A1181" s="20" t="inlineStr">
        <is>
          <t>Tropical mountain systems</t>
        </is>
      </c>
      <c r="B1181" s="401" t="inlineStr">
        <is>
          <t>Central Africa</t>
        </is>
      </c>
      <c r="C1181" s="55">
        <f>CONCATENATE(A1181,B1181)</f>
        <v/>
      </c>
      <c r="D1181" s="471" t="n">
        <v>1.8</v>
      </c>
      <c r="E1181" s="471" t="n">
        <v>5.5</v>
      </c>
    </row>
    <row r="1182" customFormat="1" s="21">
      <c r="A1182" s="20" t="inlineStr">
        <is>
          <t>Tropical mountain systems</t>
        </is>
      </c>
      <c r="B1182" s="401" t="inlineStr">
        <is>
          <t>Northern Africa</t>
        </is>
      </c>
      <c r="C1182" s="55">
        <f>CONCATENATE(A1182,B1182)</f>
        <v/>
      </c>
      <c r="D1182" s="471" t="n">
        <v>1.8</v>
      </c>
      <c r="E1182" s="471" t="n">
        <v>5.5</v>
      </c>
    </row>
    <row r="1183" customFormat="1" s="21">
      <c r="A1183" s="20" t="inlineStr">
        <is>
          <t>Tropical mountain systems</t>
        </is>
      </c>
      <c r="B1183" s="401" t="inlineStr">
        <is>
          <t>Southern Africa</t>
        </is>
      </c>
      <c r="C1183" s="55">
        <f>CONCATENATE(A1183,B1183)</f>
        <v/>
      </c>
      <c r="D1183" s="471" t="n">
        <v>1.8</v>
      </c>
      <c r="E1183" s="471" t="n">
        <v>5.5</v>
      </c>
    </row>
    <row r="1184" customFormat="1" s="21">
      <c r="A1184" s="20" t="inlineStr">
        <is>
          <t>Tropical mountain systems</t>
        </is>
      </c>
      <c r="B1184" s="401" t="inlineStr">
        <is>
          <t>Western Africa</t>
        </is>
      </c>
      <c r="C1184" s="55">
        <f>CONCATENATE(A1184,B1184)</f>
        <v/>
      </c>
      <c r="D1184" s="471" t="n">
        <v>1.8</v>
      </c>
      <c r="E1184" s="471" t="n">
        <v>5.5</v>
      </c>
    </row>
    <row r="1185" customFormat="1" s="21">
      <c r="A1185" s="20" t="inlineStr">
        <is>
          <t>Tropical mountain systems</t>
        </is>
      </c>
      <c r="B1185" s="401" t="inlineStr">
        <is>
          <t>Central Asia</t>
        </is>
      </c>
      <c r="C1185" s="55">
        <f>CONCATENATE(A1185,B1185)</f>
        <v/>
      </c>
      <c r="D1185" s="471" t="n">
        <v>1.1</v>
      </c>
      <c r="E1185" s="471" t="n">
        <v>2.9</v>
      </c>
    </row>
    <row r="1186" customFormat="1" s="21">
      <c r="A1186" s="20" t="inlineStr">
        <is>
          <t>Tropical mountain systems</t>
        </is>
      </c>
      <c r="B1186" s="401" t="inlineStr">
        <is>
          <t>Eastern Asia</t>
        </is>
      </c>
      <c r="C1186" s="55">
        <f>CONCATENATE(A1186,B1186)</f>
        <v/>
      </c>
      <c r="D1186" s="471" t="n">
        <v>1.1</v>
      </c>
      <c r="E1186" s="471" t="n">
        <v>2.9</v>
      </c>
    </row>
    <row r="1187" customFormat="1" s="21">
      <c r="A1187" s="20" t="inlineStr">
        <is>
          <t>Tropical mountain systems</t>
        </is>
      </c>
      <c r="B1187" s="401" t="inlineStr">
        <is>
          <t>South-eastern Asia</t>
        </is>
      </c>
      <c r="C1187" s="55">
        <f>CONCATENATE(A1187,B1187)</f>
        <v/>
      </c>
      <c r="D1187" s="471" t="n">
        <v>1.1</v>
      </c>
      <c r="E1187" s="471" t="n">
        <v>2.9</v>
      </c>
    </row>
    <row r="1188" customFormat="1" s="21">
      <c r="A1188" s="20" t="inlineStr">
        <is>
          <t>Tropical mountain systems</t>
        </is>
      </c>
      <c r="B1188" s="401" t="inlineStr">
        <is>
          <t>Southern Asia</t>
        </is>
      </c>
      <c r="C1188" s="55">
        <f>CONCATENATE(A1188,B1188)</f>
        <v/>
      </c>
      <c r="D1188" s="471" t="n">
        <v>1.1</v>
      </c>
      <c r="E1188" s="471" t="n">
        <v>2.9</v>
      </c>
    </row>
    <row r="1189" customFormat="1" s="21">
      <c r="A1189" s="20" t="inlineStr">
        <is>
          <t>Tropical mountain systems</t>
        </is>
      </c>
      <c r="B1189" s="401" t="inlineStr">
        <is>
          <t>Western Asia</t>
        </is>
      </c>
      <c r="C1189" s="55">
        <f>CONCATENATE(A1189,B1189)</f>
        <v/>
      </c>
      <c r="D1189" s="471" t="n">
        <v>1.1</v>
      </c>
      <c r="E1189" s="471" t="n">
        <v>2.9</v>
      </c>
    </row>
    <row r="1190" customFormat="1" s="21">
      <c r="A1190" s="20" t="inlineStr">
        <is>
          <t>Tropical mountain systems</t>
        </is>
      </c>
      <c r="B1190" s="401" t="inlineStr">
        <is>
          <t>Europe</t>
        </is>
      </c>
      <c r="C1190" s="55">
        <f>CONCATENATE(A1190,B1190)</f>
        <v/>
      </c>
      <c r="D1190" s="643" t="n">
        <v>1</v>
      </c>
      <c r="E1190" s="643" t="n">
        <v>1</v>
      </c>
    </row>
    <row r="1191" customFormat="1" s="21">
      <c r="A1191" s="20" t="inlineStr">
        <is>
          <t>Tropical mountain systems</t>
        </is>
      </c>
      <c r="B1191" s="401" t="inlineStr">
        <is>
          <t>Oceania</t>
        </is>
      </c>
      <c r="C1191" s="55">
        <f>CONCATENATE(A1191,B1191)</f>
        <v/>
      </c>
      <c r="D1191" s="643" t="n">
        <v>1</v>
      </c>
      <c r="E1191" s="643" t="n">
        <v>1</v>
      </c>
    </row>
    <row r="1192" customFormat="1" s="21">
      <c r="A1192" s="20" t="inlineStr">
        <is>
          <t>Tropical mountain systems</t>
        </is>
      </c>
      <c r="B1192" s="401" t="inlineStr">
        <is>
          <t>North America</t>
        </is>
      </c>
      <c r="C1192" s="55">
        <f>CONCATENATE(A1192,B1192)</f>
        <v/>
      </c>
      <c r="D1192" s="471" t="n">
        <v>1.8</v>
      </c>
      <c r="E1192" s="471" t="n">
        <v>4.4</v>
      </c>
    </row>
    <row r="1193" customFormat="1" s="21">
      <c r="A1193" s="20" t="inlineStr">
        <is>
          <t>Tropical mountain systems</t>
        </is>
      </c>
      <c r="B1193" s="401" t="inlineStr">
        <is>
          <t>South America</t>
        </is>
      </c>
      <c r="C1193" s="55">
        <f>CONCATENATE(A1193,B1193)</f>
        <v/>
      </c>
      <c r="D1193" s="471" t="n">
        <v>1.8</v>
      </c>
      <c r="E1193" s="471" t="n">
        <v>4.4</v>
      </c>
    </row>
    <row r="1194" customFormat="1" s="21">
      <c r="A1194" s="20" t="inlineStr">
        <is>
          <t>Tropical mountain systems</t>
        </is>
      </c>
      <c r="B1194" s="401" t="inlineStr">
        <is>
          <t>Central America</t>
        </is>
      </c>
      <c r="C1194" s="55">
        <f>CONCATENATE(A1194,B1194)</f>
        <v/>
      </c>
      <c r="D1194" s="649" t="n">
        <v>1.8</v>
      </c>
      <c r="E1194" s="649" t="n">
        <v>4.4</v>
      </c>
    </row>
    <row r="1195" customFormat="1" s="292">
      <c r="A1195" s="37" t="inlineStr">
        <is>
          <t>Tropical mountain systems</t>
        </is>
      </c>
      <c r="B1195" s="402" t="inlineStr">
        <is>
          <t>Caribbean</t>
        </is>
      </c>
      <c r="C1195" s="579">
        <f>CONCATENATE(A1195,B1195)</f>
        <v/>
      </c>
      <c r="D1195" s="649" t="n">
        <v>1.8</v>
      </c>
      <c r="E1195" s="649" t="n">
        <v>4.4</v>
      </c>
    </row>
    <row r="1196" customFormat="1" s="291">
      <c r="A1196" s="63" t="inlineStr">
        <is>
          <t>Planted Tropical rainforest</t>
        </is>
      </c>
      <c r="B1196" s="408" t="inlineStr">
        <is>
          <t>Eastern Africa</t>
        </is>
      </c>
      <c r="C1196" s="569">
        <f>CONCATENATE(A1196,B1196)</f>
        <v/>
      </c>
      <c r="D1196" s="645" t="n">
        <v>15</v>
      </c>
      <c r="E1196" s="491">
        <f>AVERAGE(5,8)</f>
        <v/>
      </c>
    </row>
    <row r="1197" customFormat="1" s="21">
      <c r="A1197" s="20" t="inlineStr">
        <is>
          <t>Planted Tropical rainforest</t>
        </is>
      </c>
      <c r="B1197" s="401" t="inlineStr">
        <is>
          <t>Central Africa</t>
        </is>
      </c>
      <c r="C1197" s="572">
        <f>CONCATENATE(A1197,B1197)</f>
        <v/>
      </c>
      <c r="D1197" s="643" t="n">
        <v>15</v>
      </c>
      <c r="E1197" s="471">
        <f>AVERAGE(5,8)</f>
        <v/>
      </c>
    </row>
    <row r="1198" customFormat="1" s="21">
      <c r="A1198" s="20" t="inlineStr">
        <is>
          <t>Planted Tropical rainforest</t>
        </is>
      </c>
      <c r="B1198" s="401" t="inlineStr">
        <is>
          <t>Northern Africa</t>
        </is>
      </c>
      <c r="C1198" s="572">
        <f>CONCATENATE(A1198,B1198)</f>
        <v/>
      </c>
      <c r="D1198" s="643" t="n">
        <v>15</v>
      </c>
      <c r="E1198" s="471">
        <f>AVERAGE(5,8)</f>
        <v/>
      </c>
    </row>
    <row r="1199" customFormat="1" s="21">
      <c r="A1199" s="20" t="inlineStr">
        <is>
          <t>Planted Tropical rainforest</t>
        </is>
      </c>
      <c r="B1199" s="401" t="inlineStr">
        <is>
          <t>Southern Africa</t>
        </is>
      </c>
      <c r="C1199" s="572">
        <f>CONCATENATE(A1199,B1199)</f>
        <v/>
      </c>
      <c r="D1199" s="643" t="n">
        <v>15</v>
      </c>
      <c r="E1199" s="471">
        <f>AVERAGE(5,8)</f>
        <v/>
      </c>
    </row>
    <row r="1200" customFormat="1" s="21">
      <c r="A1200" s="20" t="inlineStr">
        <is>
          <t>Planted Tropical rainforest</t>
        </is>
      </c>
      <c r="B1200" s="401" t="inlineStr">
        <is>
          <t>Western Africa</t>
        </is>
      </c>
      <c r="C1200" s="572">
        <f>CONCATENATE(A1200,B1200)</f>
        <v/>
      </c>
      <c r="D1200" s="643" t="n">
        <v>15</v>
      </c>
      <c r="E1200" s="471">
        <f>AVERAGE(5,8)</f>
        <v/>
      </c>
    </row>
    <row r="1201" customFormat="1" s="21">
      <c r="A1201" s="20" t="inlineStr">
        <is>
          <t>Planted Tropical rainforest</t>
        </is>
      </c>
      <c r="B1201" s="401" t="inlineStr">
        <is>
          <t>Central Asia</t>
        </is>
      </c>
      <c r="C1201" s="572">
        <f>CONCATENATE(A1201,B1201)</f>
        <v/>
      </c>
      <c r="D1201" s="471">
        <f>AVERAGE(2,8)</f>
        <v/>
      </c>
      <c r="E1201" s="471">
        <f>AVERAGE(2,8)</f>
        <v/>
      </c>
    </row>
    <row r="1202" customFormat="1" s="21">
      <c r="A1202" s="20" t="inlineStr">
        <is>
          <t>Planted Tropical rainforest</t>
        </is>
      </c>
      <c r="B1202" s="401" t="inlineStr">
        <is>
          <t>Eastern Asia</t>
        </is>
      </c>
      <c r="C1202" s="572">
        <f>CONCATENATE(A1202,B1202)</f>
        <v/>
      </c>
      <c r="D1202" s="471">
        <f>AVERAGE(2,8)</f>
        <v/>
      </c>
      <c r="E1202" s="471">
        <f>AVERAGE(2,8)</f>
        <v/>
      </c>
    </row>
    <row r="1203" customFormat="1" s="21">
      <c r="A1203" s="20" t="inlineStr">
        <is>
          <t>Planted Tropical rainforest</t>
        </is>
      </c>
      <c r="B1203" s="401" t="inlineStr">
        <is>
          <t>South-eastern Asia</t>
        </is>
      </c>
      <c r="C1203" s="572">
        <f>CONCATENATE(A1203,B1203)</f>
        <v/>
      </c>
      <c r="D1203" s="471">
        <f>AVERAGE(2,8)</f>
        <v/>
      </c>
      <c r="E1203" s="471">
        <f>AVERAGE(2,8)</f>
        <v/>
      </c>
    </row>
    <row r="1204" customFormat="1" s="21">
      <c r="A1204" s="20" t="inlineStr">
        <is>
          <t>Planted Tropical rainforest</t>
        </is>
      </c>
      <c r="B1204" s="401" t="inlineStr">
        <is>
          <t>Southern Asia</t>
        </is>
      </c>
      <c r="C1204" s="572">
        <f>CONCATENATE(A1204,B1204)</f>
        <v/>
      </c>
      <c r="D1204" s="471">
        <f>AVERAGE(2,8)</f>
        <v/>
      </c>
      <c r="E1204" s="471">
        <f>AVERAGE(2,8)</f>
        <v/>
      </c>
    </row>
    <row r="1205" customFormat="1" s="21">
      <c r="A1205" s="20" t="inlineStr">
        <is>
          <t>Planted Tropical rainforest</t>
        </is>
      </c>
      <c r="B1205" s="401" t="inlineStr">
        <is>
          <t>Western Asia</t>
        </is>
      </c>
      <c r="C1205" s="572">
        <f>CONCATENATE(A1205,B1205)</f>
        <v/>
      </c>
      <c r="D1205" s="471">
        <f>AVERAGE(2,8)</f>
        <v/>
      </c>
      <c r="E1205" s="471">
        <f>AVERAGE(2,8)</f>
        <v/>
      </c>
    </row>
    <row r="1206" customFormat="1" s="21">
      <c r="A1206" s="20" t="inlineStr">
        <is>
          <t>Planted Tropical rainforest</t>
        </is>
      </c>
      <c r="B1206" s="401" t="inlineStr">
        <is>
          <t>Europe</t>
        </is>
      </c>
      <c r="C1206" s="572">
        <f>CONCATENATE(A1206,B1206)</f>
        <v/>
      </c>
      <c r="D1206" s="643" t="n">
        <v>15</v>
      </c>
      <c r="E1206" s="643" t="n">
        <v>15</v>
      </c>
    </row>
    <row r="1207" customFormat="1" s="21">
      <c r="A1207" s="20" t="inlineStr">
        <is>
          <t>Planted Tropical rainforest</t>
        </is>
      </c>
      <c r="B1207" s="401" t="inlineStr">
        <is>
          <t>Oceania</t>
        </is>
      </c>
      <c r="C1207" s="572">
        <f>CONCATENATE(A1207,B1207)</f>
        <v/>
      </c>
      <c r="D1207" s="643" t="n">
        <v>15</v>
      </c>
      <c r="E1207" s="643" t="n">
        <v>15</v>
      </c>
    </row>
    <row r="1208" customFormat="1" s="21">
      <c r="A1208" s="20" t="inlineStr">
        <is>
          <t>Planted Tropical rainforest</t>
        </is>
      </c>
      <c r="B1208" s="401" t="inlineStr">
        <is>
          <t>North America</t>
        </is>
      </c>
      <c r="C1208" s="572">
        <f>CONCATENATE(A1208,B1208)</f>
        <v/>
      </c>
      <c r="D1208" s="471">
        <f>AVERAGE(5,40)</f>
        <v/>
      </c>
      <c r="E1208" s="471">
        <f>AVERAGE(5,40)</f>
        <v/>
      </c>
    </row>
    <row r="1209" customFormat="1" s="21">
      <c r="A1209" s="20" t="inlineStr">
        <is>
          <t>Planted Tropical rainforest</t>
        </is>
      </c>
      <c r="B1209" s="401" t="inlineStr">
        <is>
          <t>South America</t>
        </is>
      </c>
      <c r="C1209" s="572">
        <f>CONCATENATE(A1209,B1209)</f>
        <v/>
      </c>
      <c r="D1209" s="471">
        <f>AVERAGE(5,40)</f>
        <v/>
      </c>
      <c r="E1209" s="471">
        <f>AVERAGE(5,40)</f>
        <v/>
      </c>
    </row>
    <row r="1210" customFormat="1" s="21">
      <c r="A1210" s="20" t="inlineStr">
        <is>
          <t>Planted Tropical rainforest</t>
        </is>
      </c>
      <c r="B1210" s="401" t="inlineStr">
        <is>
          <t>Central America</t>
        </is>
      </c>
      <c r="C1210" s="572">
        <f>CONCATENATE(A1210,B1210)</f>
        <v/>
      </c>
      <c r="D1210" s="649">
        <f>AVERAGE(5,40)</f>
        <v/>
      </c>
      <c r="E1210" s="649">
        <f>AVERAGE(5,40)</f>
        <v/>
      </c>
    </row>
    <row r="1211" customFormat="1" s="292">
      <c r="A1211" s="37" t="inlineStr">
        <is>
          <t>Planted Tropical rainforest</t>
        </is>
      </c>
      <c r="B1211" s="402" t="inlineStr">
        <is>
          <t>Caribbean</t>
        </is>
      </c>
      <c r="C1211" s="420">
        <f>CONCATENATE(A1211,B1211)</f>
        <v/>
      </c>
      <c r="D1211" s="2810">
        <f>AVERAGE(5,40)</f>
        <v/>
      </c>
      <c r="E1211" s="2810">
        <f>AVERAGE(5,40)</f>
        <v/>
      </c>
    </row>
    <row r="1212" customFormat="1" s="291">
      <c r="A1212" s="63" t="inlineStr">
        <is>
          <t>Planted Tropical moist deciduous forest</t>
        </is>
      </c>
      <c r="B1212" s="408" t="inlineStr">
        <is>
          <t>Eastern Africa</t>
        </is>
      </c>
      <c r="C1212" s="567">
        <f>CONCATENATE(A1212,B1212)</f>
        <v/>
      </c>
      <c r="D1212" s="643" t="n">
        <v>10</v>
      </c>
      <c r="E1212" s="471">
        <f>AVERAGE(3,15)</f>
        <v/>
      </c>
    </row>
    <row r="1213" customFormat="1" s="21">
      <c r="A1213" s="20" t="inlineStr">
        <is>
          <t>Planted Tropical moist deciduous forest</t>
        </is>
      </c>
      <c r="B1213" s="401" t="inlineStr">
        <is>
          <t>Central Africa</t>
        </is>
      </c>
      <c r="C1213" s="55">
        <f>CONCATENATE(A1213,B1213)</f>
        <v/>
      </c>
      <c r="D1213" s="643" t="n">
        <v>10</v>
      </c>
      <c r="E1213" s="471">
        <f>AVERAGE(3,15)</f>
        <v/>
      </c>
    </row>
    <row r="1214" customFormat="1" s="21">
      <c r="A1214" s="20" t="inlineStr">
        <is>
          <t>Planted Tropical moist deciduous forest</t>
        </is>
      </c>
      <c r="B1214" s="401" t="inlineStr">
        <is>
          <t>Northern Africa</t>
        </is>
      </c>
      <c r="C1214" s="55">
        <f>CONCATENATE(A1214,B1214)</f>
        <v/>
      </c>
      <c r="D1214" s="643" t="n">
        <v>10</v>
      </c>
      <c r="E1214" s="471">
        <f>AVERAGE(3,15)</f>
        <v/>
      </c>
    </row>
    <row r="1215" customFormat="1" s="21">
      <c r="A1215" s="20" t="inlineStr">
        <is>
          <t>Planted Tropical moist deciduous forest</t>
        </is>
      </c>
      <c r="B1215" s="401" t="inlineStr">
        <is>
          <t>Southern Africa</t>
        </is>
      </c>
      <c r="C1215" s="55">
        <f>CONCATENATE(A1215,B1215)</f>
        <v/>
      </c>
      <c r="D1215" s="643" t="n">
        <v>10</v>
      </c>
      <c r="E1215" s="471">
        <f>AVERAGE(3,15)</f>
        <v/>
      </c>
    </row>
    <row r="1216" customFormat="1" s="21">
      <c r="A1216" s="20" t="inlineStr">
        <is>
          <t>Planted Tropical moist deciduous forest</t>
        </is>
      </c>
      <c r="B1216" s="401" t="inlineStr">
        <is>
          <t>Western Africa</t>
        </is>
      </c>
      <c r="C1216" s="55">
        <f>CONCATENATE(A1216,B1216)</f>
        <v/>
      </c>
      <c r="D1216" s="643" t="n">
        <v>10</v>
      </c>
      <c r="E1216" s="471">
        <f>AVERAGE(3,15)</f>
        <v/>
      </c>
    </row>
    <row r="1217" customFormat="1" s="21">
      <c r="A1217" s="20" t="inlineStr">
        <is>
          <t>Planted Tropical moist deciduous forest</t>
        </is>
      </c>
      <c r="B1217" s="401" t="inlineStr">
        <is>
          <t>Central Asia</t>
        </is>
      </c>
      <c r="C1217" s="55">
        <f>CONCATENATE(A1217,B1217)</f>
        <v/>
      </c>
      <c r="D1217" s="471" t="n">
        <v>8</v>
      </c>
      <c r="E1217" s="471" t="n">
        <v>8</v>
      </c>
    </row>
    <row r="1218" customFormat="1" s="21">
      <c r="A1218" s="20" t="inlineStr">
        <is>
          <t>Planted Tropical moist deciduous forest</t>
        </is>
      </c>
      <c r="B1218" s="401" t="inlineStr">
        <is>
          <t>Eastern Asia</t>
        </is>
      </c>
      <c r="C1218" s="55">
        <f>CONCATENATE(A1218,B1218)</f>
        <v/>
      </c>
      <c r="D1218" s="471" t="n">
        <v>8</v>
      </c>
      <c r="E1218" s="471" t="n">
        <v>8</v>
      </c>
    </row>
    <row r="1219" customFormat="1" s="21">
      <c r="A1219" s="20" t="inlineStr">
        <is>
          <t>Planted Tropical moist deciduous forest</t>
        </is>
      </c>
      <c r="B1219" s="401" t="inlineStr">
        <is>
          <t>South-eastern Asia</t>
        </is>
      </c>
      <c r="C1219" s="55">
        <f>CONCATENATE(A1219,B1219)</f>
        <v/>
      </c>
      <c r="D1219" s="471" t="n">
        <v>8</v>
      </c>
      <c r="E1219" s="471" t="n">
        <v>8</v>
      </c>
    </row>
    <row r="1220" customFormat="1" s="21">
      <c r="A1220" s="20" t="inlineStr">
        <is>
          <t>Planted Tropical moist deciduous forest</t>
        </is>
      </c>
      <c r="B1220" s="401" t="inlineStr">
        <is>
          <t>Southern Asia</t>
        </is>
      </c>
      <c r="C1220" s="55">
        <f>CONCATENATE(A1220,B1220)</f>
        <v/>
      </c>
      <c r="D1220" s="471" t="n">
        <v>8</v>
      </c>
      <c r="E1220" s="471" t="n">
        <v>8</v>
      </c>
    </row>
    <row r="1221" customFormat="1" s="21">
      <c r="A1221" s="20" t="inlineStr">
        <is>
          <t>Planted Tropical moist deciduous forest</t>
        </is>
      </c>
      <c r="B1221" s="401" t="inlineStr">
        <is>
          <t>Western Asia</t>
        </is>
      </c>
      <c r="C1221" s="55">
        <f>CONCATENATE(A1221,B1221)</f>
        <v/>
      </c>
      <c r="D1221" s="471" t="n">
        <v>8</v>
      </c>
      <c r="E1221" s="471" t="n">
        <v>8</v>
      </c>
    </row>
    <row r="1222" customFormat="1" s="21">
      <c r="A1222" s="20" t="inlineStr">
        <is>
          <t>Planted Tropical moist deciduous forest</t>
        </is>
      </c>
      <c r="B1222" s="401" t="inlineStr">
        <is>
          <t>Europe</t>
        </is>
      </c>
      <c r="C1222" s="55">
        <f>CONCATENATE(A1222,B1222)</f>
        <v/>
      </c>
      <c r="D1222" s="643" t="n">
        <v>10</v>
      </c>
      <c r="E1222" s="643" t="n">
        <v>10</v>
      </c>
    </row>
    <row r="1223" customFormat="1" s="21">
      <c r="A1223" s="20" t="inlineStr">
        <is>
          <t>Planted Tropical moist deciduous forest</t>
        </is>
      </c>
      <c r="B1223" s="401" t="inlineStr">
        <is>
          <t>Oceania</t>
        </is>
      </c>
      <c r="C1223" s="55">
        <f>CONCATENATE(A1223,B1223)</f>
        <v/>
      </c>
      <c r="D1223" s="643" t="n">
        <v>10</v>
      </c>
      <c r="E1223" s="643" t="n">
        <v>10</v>
      </c>
    </row>
    <row r="1224" customFormat="1" s="21">
      <c r="A1224" s="20" t="inlineStr">
        <is>
          <t>Planted Tropical moist deciduous forest</t>
        </is>
      </c>
      <c r="B1224" s="401" t="inlineStr">
        <is>
          <t>North America</t>
        </is>
      </c>
      <c r="C1224" s="55">
        <f>CONCATENATE(A1224,B1224)</f>
        <v/>
      </c>
      <c r="D1224" s="471">
        <f>AVERAGE(4,20)</f>
        <v/>
      </c>
      <c r="E1224" s="471">
        <f>AVERAGE(4,20)</f>
        <v/>
      </c>
    </row>
    <row r="1225" customFormat="1" s="21">
      <c r="A1225" s="20" t="inlineStr">
        <is>
          <t>Planted Tropical moist deciduous forest</t>
        </is>
      </c>
      <c r="B1225" s="401" t="inlineStr">
        <is>
          <t>South America</t>
        </is>
      </c>
      <c r="C1225" s="55">
        <f>CONCATENATE(A1225,B1225)</f>
        <v/>
      </c>
      <c r="D1225" s="471">
        <f>AVERAGE(4,20)</f>
        <v/>
      </c>
      <c r="E1225" s="471">
        <f>AVERAGE(4,20)</f>
        <v/>
      </c>
    </row>
    <row r="1226" customFormat="1" s="21">
      <c r="A1226" s="20" t="inlineStr">
        <is>
          <t>Planted Tropical moist deciduous forest</t>
        </is>
      </c>
      <c r="B1226" s="401" t="inlineStr">
        <is>
          <t>Central America</t>
        </is>
      </c>
      <c r="C1226" s="55">
        <f>CONCATENATE(A1226,B1226)</f>
        <v/>
      </c>
      <c r="D1226" s="649">
        <f>AVERAGE(4,20)</f>
        <v/>
      </c>
      <c r="E1226" s="649">
        <f>AVERAGE(4,20)</f>
        <v/>
      </c>
    </row>
    <row r="1227" customFormat="1" s="292">
      <c r="A1227" s="37" t="inlineStr">
        <is>
          <t>Planted Tropical moist deciduous forest</t>
        </is>
      </c>
      <c r="B1227" s="402" t="inlineStr">
        <is>
          <t>Caribbean</t>
        </is>
      </c>
      <c r="C1227" s="579">
        <f>CONCATENATE(A1227,B1227)</f>
        <v/>
      </c>
      <c r="D1227" s="649">
        <f>AVERAGE(4,20)</f>
        <v/>
      </c>
      <c r="E1227" s="649">
        <f>AVERAGE(4,20)</f>
        <v/>
      </c>
    </row>
    <row r="1228" customFormat="1" s="291">
      <c r="A1228" s="63" t="inlineStr">
        <is>
          <t>Planted Tropical dry forest</t>
        </is>
      </c>
      <c r="B1228" s="408" t="inlineStr">
        <is>
          <t>Eastern Africa</t>
        </is>
      </c>
      <c r="C1228" s="567">
        <f>CONCATENATE(A1228,B1228)</f>
        <v/>
      </c>
      <c r="D1228" s="491">
        <f>AVERAGE(6,13)</f>
        <v/>
      </c>
      <c r="E1228" s="491">
        <f>AVERAGE(4,20)</f>
        <v/>
      </c>
    </row>
    <row r="1229" customFormat="1" s="21">
      <c r="A1229" s="20" t="inlineStr">
        <is>
          <t>Planted Tropical dry forest</t>
        </is>
      </c>
      <c r="B1229" s="401" t="inlineStr">
        <is>
          <t>Central Africa</t>
        </is>
      </c>
      <c r="C1229" s="55">
        <f>CONCATENATE(A1229,B1229)</f>
        <v/>
      </c>
      <c r="D1229" s="471">
        <f>AVERAGE(6,13)</f>
        <v/>
      </c>
      <c r="E1229" s="471">
        <f>AVERAGE(4,20)</f>
        <v/>
      </c>
    </row>
    <row r="1230" customFormat="1" s="21">
      <c r="A1230" s="20" t="inlineStr">
        <is>
          <t>Planted Tropical dry forest</t>
        </is>
      </c>
      <c r="B1230" s="401" t="inlineStr">
        <is>
          <t>Northern Africa</t>
        </is>
      </c>
      <c r="C1230" s="55">
        <f>CONCATENATE(A1230,B1230)</f>
        <v/>
      </c>
      <c r="D1230" s="471">
        <f>AVERAGE(6,13)</f>
        <v/>
      </c>
      <c r="E1230" s="471">
        <f>AVERAGE(4,20)</f>
        <v/>
      </c>
    </row>
    <row r="1231" customFormat="1" s="21">
      <c r="A1231" s="20" t="inlineStr">
        <is>
          <t>Planted Tropical dry forest</t>
        </is>
      </c>
      <c r="B1231" s="401" t="inlineStr">
        <is>
          <t>Southern Africa</t>
        </is>
      </c>
      <c r="C1231" s="55">
        <f>CONCATENATE(A1231,B1231)</f>
        <v/>
      </c>
      <c r="D1231" s="471">
        <f>AVERAGE(6,13)</f>
        <v/>
      </c>
      <c r="E1231" s="471">
        <f>AVERAGE(4,20)</f>
        <v/>
      </c>
    </row>
    <row r="1232" customFormat="1" s="21">
      <c r="A1232" s="20" t="inlineStr">
        <is>
          <t>Planted Tropical dry forest</t>
        </is>
      </c>
      <c r="B1232" s="401" t="inlineStr">
        <is>
          <t>Western Africa</t>
        </is>
      </c>
      <c r="C1232" s="55">
        <f>CONCATENATE(A1232,B1232)</f>
        <v/>
      </c>
      <c r="D1232" s="471">
        <f>AVERAGE(6,13)</f>
        <v/>
      </c>
      <c r="E1232" s="471">
        <f>AVERAGE(4,20)</f>
        <v/>
      </c>
    </row>
    <row r="1233" customFormat="1" s="21">
      <c r="A1233" s="20" t="inlineStr">
        <is>
          <t>Planted Tropical dry forest</t>
        </is>
      </c>
      <c r="B1233" s="401" t="inlineStr">
        <is>
          <t>Central Asia</t>
        </is>
      </c>
      <c r="C1233" s="55">
        <f>CONCATENATE(A1233,B1233)</f>
        <v/>
      </c>
      <c r="D1233" s="471">
        <f>AVERAGE(2,25)</f>
        <v/>
      </c>
      <c r="E1233" s="471">
        <f>AVERAGE(2,25)</f>
        <v/>
      </c>
    </row>
    <row r="1234" customFormat="1" s="21">
      <c r="A1234" s="20" t="inlineStr">
        <is>
          <t>Planted Tropical dry forest</t>
        </is>
      </c>
      <c r="B1234" s="401" t="inlineStr">
        <is>
          <t>Eastern Asia</t>
        </is>
      </c>
      <c r="C1234" s="55">
        <f>CONCATENATE(A1234,B1234)</f>
        <v/>
      </c>
      <c r="D1234" s="471">
        <f>AVERAGE(2,25)</f>
        <v/>
      </c>
      <c r="E1234" s="471">
        <f>AVERAGE(2,25)</f>
        <v/>
      </c>
    </row>
    <row r="1235" customFormat="1" s="21">
      <c r="A1235" s="20" t="inlineStr">
        <is>
          <t>Planted Tropical dry forest</t>
        </is>
      </c>
      <c r="B1235" s="401" t="inlineStr">
        <is>
          <t>South-eastern Asia</t>
        </is>
      </c>
      <c r="C1235" s="55">
        <f>CONCATENATE(A1235,B1235)</f>
        <v/>
      </c>
      <c r="D1235" s="471">
        <f>AVERAGE(2,25)</f>
        <v/>
      </c>
      <c r="E1235" s="471">
        <f>AVERAGE(2,25)</f>
        <v/>
      </c>
    </row>
    <row r="1236" customFormat="1" s="21">
      <c r="A1236" s="20" t="inlineStr">
        <is>
          <t>Planted Tropical dry forest</t>
        </is>
      </c>
      <c r="B1236" s="401" t="inlineStr">
        <is>
          <t>Southern Asia</t>
        </is>
      </c>
      <c r="C1236" s="55">
        <f>CONCATENATE(A1236,B1236)</f>
        <v/>
      </c>
      <c r="D1236" s="471">
        <f>AVERAGE(2,25)</f>
        <v/>
      </c>
      <c r="E1236" s="471">
        <f>AVERAGE(2,25)</f>
        <v/>
      </c>
    </row>
    <row r="1237" customFormat="1" s="21">
      <c r="A1237" s="20" t="inlineStr">
        <is>
          <t>Planted Tropical dry forest</t>
        </is>
      </c>
      <c r="B1237" s="401" t="inlineStr">
        <is>
          <t>Western Asia</t>
        </is>
      </c>
      <c r="C1237" s="55">
        <f>CONCATENATE(A1237,B1237)</f>
        <v/>
      </c>
      <c r="D1237" s="471">
        <f>AVERAGE(2,25)</f>
        <v/>
      </c>
      <c r="E1237" s="471">
        <f>AVERAGE(2,25)</f>
        <v/>
      </c>
    </row>
    <row r="1238" customFormat="1" s="21">
      <c r="A1238" s="20" t="inlineStr">
        <is>
          <t>Planted Tropical dry forest</t>
        </is>
      </c>
      <c r="B1238" s="401" t="inlineStr">
        <is>
          <t>Europe</t>
        </is>
      </c>
      <c r="C1238" s="55">
        <f>CONCATENATE(A1238,B1238)</f>
        <v/>
      </c>
      <c r="D1238" s="643" t="n">
        <v>8</v>
      </c>
      <c r="E1238" s="643" t="n">
        <v>8</v>
      </c>
    </row>
    <row r="1239" customFormat="1" s="21">
      <c r="A1239" s="20" t="inlineStr">
        <is>
          <t>Planted Tropical dry forest</t>
        </is>
      </c>
      <c r="B1239" s="401" t="inlineStr">
        <is>
          <t>Oceania</t>
        </is>
      </c>
      <c r="C1239" s="55">
        <f>CONCATENATE(A1239,B1239)</f>
        <v/>
      </c>
      <c r="D1239" s="643" t="n">
        <v>8</v>
      </c>
      <c r="E1239" s="643" t="n">
        <v>8</v>
      </c>
    </row>
    <row r="1240" customFormat="1" s="21">
      <c r="A1240" s="20" t="inlineStr">
        <is>
          <t>Planted Tropical dry forest</t>
        </is>
      </c>
      <c r="B1240" s="401" t="inlineStr">
        <is>
          <t>North America</t>
        </is>
      </c>
      <c r="C1240" s="55">
        <f>CONCATENATE(A1240,B1240)</f>
        <v/>
      </c>
      <c r="D1240" s="471">
        <f>AVERAGE(4,30)</f>
        <v/>
      </c>
      <c r="E1240" s="471">
        <f>AVERAGE(4,30)</f>
        <v/>
      </c>
    </row>
    <row r="1241" customFormat="1" s="21">
      <c r="A1241" s="20" t="inlineStr">
        <is>
          <t>Planted Tropical dry forest</t>
        </is>
      </c>
      <c r="B1241" s="401" t="inlineStr">
        <is>
          <t>South America</t>
        </is>
      </c>
      <c r="C1241" s="55">
        <f>CONCATENATE(A1241,B1241)</f>
        <v/>
      </c>
      <c r="D1241" s="471">
        <f>AVERAGE(4,30)</f>
        <v/>
      </c>
      <c r="E1241" s="471">
        <f>AVERAGE(4,30)</f>
        <v/>
      </c>
    </row>
    <row r="1242" customFormat="1" s="21">
      <c r="A1242" s="20" t="inlineStr">
        <is>
          <t>Planted Tropical dry forest</t>
        </is>
      </c>
      <c r="B1242" s="401" t="inlineStr">
        <is>
          <t>Central America</t>
        </is>
      </c>
      <c r="C1242" s="55">
        <f>CONCATENATE(A1242,B1242)</f>
        <v/>
      </c>
      <c r="D1242" s="649">
        <f>AVERAGE(4,30)</f>
        <v/>
      </c>
      <c r="E1242" s="649">
        <f>AVERAGE(4,30)</f>
        <v/>
      </c>
    </row>
    <row r="1243" customFormat="1" s="292">
      <c r="A1243" s="37" t="inlineStr">
        <is>
          <t>Planted Tropical dry forest</t>
        </is>
      </c>
      <c r="B1243" s="402" t="inlineStr">
        <is>
          <t>Caribbean</t>
        </is>
      </c>
      <c r="C1243" s="579">
        <f>CONCATENATE(A1243,B1243)</f>
        <v/>
      </c>
      <c r="D1243" s="649">
        <f>AVERAGE(4,30)</f>
        <v/>
      </c>
      <c r="E1243" s="649">
        <f>AVERAGE(4,30)</f>
        <v/>
      </c>
    </row>
    <row r="1244" customFormat="1" s="291">
      <c r="A1244" s="63" t="inlineStr">
        <is>
          <t>Planted  Tropical shrubland</t>
        </is>
      </c>
      <c r="B1244" s="408" t="inlineStr">
        <is>
          <t>Eastern Africa</t>
        </is>
      </c>
      <c r="C1244" s="567">
        <f>CONCATENATE(A1244,B1244)</f>
        <v/>
      </c>
      <c r="D1244" s="491">
        <f>AVERAGE(2.5,14)</f>
        <v/>
      </c>
      <c r="E1244" s="491">
        <f>AVERAGE(3,7)</f>
        <v/>
      </c>
    </row>
    <row r="1245" customFormat="1" s="21">
      <c r="A1245" s="20" t="inlineStr">
        <is>
          <t>Planted  Tropical shrubland</t>
        </is>
      </c>
      <c r="B1245" s="401" t="inlineStr">
        <is>
          <t>Central Africa</t>
        </is>
      </c>
      <c r="C1245" s="55">
        <f>CONCATENATE(A1245,B1245)</f>
        <v/>
      </c>
      <c r="D1245" s="471">
        <f>AVERAGE(2.5,14)</f>
        <v/>
      </c>
      <c r="E1245" s="471">
        <f>AVERAGE(3,7)</f>
        <v/>
      </c>
    </row>
    <row r="1246" customFormat="1" s="21">
      <c r="A1246" s="20" t="inlineStr">
        <is>
          <t>Planted  Tropical shrubland</t>
        </is>
      </c>
      <c r="B1246" s="401" t="inlineStr">
        <is>
          <t>Northern Africa</t>
        </is>
      </c>
      <c r="C1246" s="55">
        <f>CONCATENATE(A1246,B1246)</f>
        <v/>
      </c>
      <c r="D1246" s="471">
        <f>AVERAGE(2.5,14)</f>
        <v/>
      </c>
      <c r="E1246" s="471">
        <f>AVERAGE(3,7)</f>
        <v/>
      </c>
    </row>
    <row r="1247" customFormat="1" s="21">
      <c r="A1247" s="20" t="inlineStr">
        <is>
          <t>Planted  Tropical shrubland</t>
        </is>
      </c>
      <c r="B1247" s="401" t="inlineStr">
        <is>
          <t>Southern Africa</t>
        </is>
      </c>
      <c r="C1247" s="55">
        <f>CONCATENATE(A1247,B1247)</f>
        <v/>
      </c>
      <c r="D1247" s="471">
        <f>AVERAGE(2.5,14)</f>
        <v/>
      </c>
      <c r="E1247" s="471">
        <f>AVERAGE(3,7)</f>
        <v/>
      </c>
    </row>
    <row r="1248" customFormat="1" s="21">
      <c r="A1248" s="20" t="inlineStr">
        <is>
          <t>Planted  Tropical shrubland</t>
        </is>
      </c>
      <c r="B1248" s="401" t="inlineStr">
        <is>
          <t>Western Africa</t>
        </is>
      </c>
      <c r="C1248" s="55">
        <f>CONCATENATE(A1248,B1248)</f>
        <v/>
      </c>
      <c r="D1248" s="471">
        <f>AVERAGE(2.5,14)</f>
        <v/>
      </c>
      <c r="E1248" s="471">
        <f>AVERAGE(3,7)</f>
        <v/>
      </c>
    </row>
    <row r="1249" customFormat="1" s="21">
      <c r="A1249" s="20" t="inlineStr">
        <is>
          <t>Planted  Tropical shrubland</t>
        </is>
      </c>
      <c r="B1249" s="401" t="inlineStr">
        <is>
          <t>Central Asia</t>
        </is>
      </c>
      <c r="C1249" s="55">
        <f>CONCATENATE(A1249,B1249)</f>
        <v/>
      </c>
      <c r="D1249" s="471">
        <f>AVERAGE(1,12)</f>
        <v/>
      </c>
      <c r="E1249" s="471">
        <f>AVERAGE(1,12)</f>
        <v/>
      </c>
    </row>
    <row r="1250" customFormat="1" s="21">
      <c r="A1250" s="20" t="inlineStr">
        <is>
          <t>Planted  Tropical shrubland</t>
        </is>
      </c>
      <c r="B1250" s="401" t="inlineStr">
        <is>
          <t>Eastern Asia</t>
        </is>
      </c>
      <c r="C1250" s="55">
        <f>CONCATENATE(A1250,B1250)</f>
        <v/>
      </c>
      <c r="D1250" s="471">
        <f>AVERAGE(1,12)</f>
        <v/>
      </c>
      <c r="E1250" s="471">
        <f>AVERAGE(1,12)</f>
        <v/>
      </c>
    </row>
    <row r="1251" customFormat="1" s="21">
      <c r="A1251" s="20" t="inlineStr">
        <is>
          <t>Planted  Tropical shrubland</t>
        </is>
      </c>
      <c r="B1251" s="401" t="inlineStr">
        <is>
          <t>South-eastern Asia</t>
        </is>
      </c>
      <c r="C1251" s="55">
        <f>CONCATENATE(A1251,B1251)</f>
        <v/>
      </c>
      <c r="D1251" s="471">
        <f>AVERAGE(1,12)</f>
        <v/>
      </c>
      <c r="E1251" s="471">
        <f>AVERAGE(1,12)</f>
        <v/>
      </c>
    </row>
    <row r="1252" customFormat="1" s="21">
      <c r="A1252" s="20" t="inlineStr">
        <is>
          <t>Planted  Tropical shrubland</t>
        </is>
      </c>
      <c r="B1252" s="401" t="inlineStr">
        <is>
          <t>Southern Asia</t>
        </is>
      </c>
      <c r="C1252" s="55">
        <f>CONCATENATE(A1252,B1252)</f>
        <v/>
      </c>
      <c r="D1252" s="471">
        <f>AVERAGE(1,12)</f>
        <v/>
      </c>
      <c r="E1252" s="471">
        <f>AVERAGE(1,12)</f>
        <v/>
      </c>
    </row>
    <row r="1253" customFormat="1" s="21">
      <c r="A1253" s="20" t="inlineStr">
        <is>
          <t>Planted  Tropical shrubland</t>
        </is>
      </c>
      <c r="B1253" s="401" t="inlineStr">
        <is>
          <t>Western Asia</t>
        </is>
      </c>
      <c r="C1253" s="55">
        <f>CONCATENATE(A1253,B1253)</f>
        <v/>
      </c>
      <c r="D1253" s="471">
        <f>AVERAGE(1,12)</f>
        <v/>
      </c>
      <c r="E1253" s="471">
        <f>AVERAGE(1,12)</f>
        <v/>
      </c>
    </row>
    <row r="1254" customFormat="1" s="21">
      <c r="A1254" s="20" t="inlineStr">
        <is>
          <t>Planted  Tropical shrubland</t>
        </is>
      </c>
      <c r="B1254" s="401" t="inlineStr">
        <is>
          <t>Europe</t>
        </is>
      </c>
      <c r="C1254" s="55">
        <f>CONCATENATE(A1254,B1254)</f>
        <v/>
      </c>
      <c r="D1254" s="643" t="n">
        <v>5</v>
      </c>
      <c r="E1254" s="643" t="n">
        <v>5</v>
      </c>
    </row>
    <row r="1255" customFormat="1" s="21">
      <c r="A1255" s="20" t="inlineStr">
        <is>
          <t>Planted  Tropical shrubland</t>
        </is>
      </c>
      <c r="B1255" s="401" t="inlineStr">
        <is>
          <t>Oceania</t>
        </is>
      </c>
      <c r="C1255" s="55">
        <f>CONCATENATE(A1255,B1255)</f>
        <v/>
      </c>
      <c r="D1255" s="643" t="n">
        <v>5</v>
      </c>
      <c r="E1255" s="643" t="n">
        <v>5</v>
      </c>
    </row>
    <row r="1256" customFormat="1" s="21">
      <c r="A1256" s="20" t="inlineStr">
        <is>
          <t>Planted  Tropical shrubland</t>
        </is>
      </c>
      <c r="B1256" s="401" t="inlineStr">
        <is>
          <t>North America</t>
        </is>
      </c>
      <c r="C1256" s="55">
        <f>CONCATENATE(A1256,B1256)</f>
        <v/>
      </c>
      <c r="D1256" s="471">
        <f>AVERAGE(5,20)</f>
        <v/>
      </c>
      <c r="E1256" s="471">
        <f>AVERAGE(5,20)</f>
        <v/>
      </c>
    </row>
    <row r="1257" customFormat="1" s="21">
      <c r="A1257" s="20" t="inlineStr">
        <is>
          <t>Planted  Tropical shrubland</t>
        </is>
      </c>
      <c r="B1257" s="401" t="inlineStr">
        <is>
          <t>South America</t>
        </is>
      </c>
      <c r="C1257" s="55">
        <f>CONCATENATE(A1257,B1257)</f>
        <v/>
      </c>
      <c r="D1257" s="471">
        <f>AVERAGE(5,20)</f>
        <v/>
      </c>
      <c r="E1257" s="471">
        <f>AVERAGE(5,20)</f>
        <v/>
      </c>
    </row>
    <row r="1258" customFormat="1" s="21">
      <c r="A1258" s="20" t="inlineStr">
        <is>
          <t>Planted  Tropical shrubland</t>
        </is>
      </c>
      <c r="B1258" s="401" t="inlineStr">
        <is>
          <t>Central America</t>
        </is>
      </c>
      <c r="C1258" s="55">
        <f>CONCATENATE(A1258,B1258)</f>
        <v/>
      </c>
      <c r="D1258" s="649">
        <f>AVERAGE(5,20)</f>
        <v/>
      </c>
      <c r="E1258" s="649">
        <f>AVERAGE(5,20)</f>
        <v/>
      </c>
    </row>
    <row r="1259" customFormat="1" s="292">
      <c r="A1259" s="37" t="inlineStr">
        <is>
          <t>Planted  Tropical shrubland</t>
        </is>
      </c>
      <c r="B1259" s="402" t="inlineStr">
        <is>
          <t>Caribbean</t>
        </is>
      </c>
      <c r="C1259" s="579">
        <f>CONCATENATE(A1259,B1259)</f>
        <v/>
      </c>
      <c r="D1259" s="649">
        <f>AVERAGE(5,20)</f>
        <v/>
      </c>
      <c r="E1259" s="649">
        <f>AVERAGE(5,20)</f>
        <v/>
      </c>
    </row>
    <row r="1260" customFormat="1" s="291">
      <c r="A1260" s="63" t="inlineStr">
        <is>
          <t>Planted Tropical mountain systems</t>
        </is>
      </c>
      <c r="B1260" s="408" t="inlineStr">
        <is>
          <t>Eastern Africa</t>
        </is>
      </c>
      <c r="C1260" s="567">
        <f>CONCATENATE(A1260,B1260)</f>
        <v/>
      </c>
      <c r="D1260" s="44" t="n">
        <v>10</v>
      </c>
      <c r="E1260" s="44" t="n">
        <v>10</v>
      </c>
    </row>
    <row r="1261" customFormat="1" s="21">
      <c r="A1261" s="20" t="inlineStr">
        <is>
          <t>Planted Tropical mountain systems</t>
        </is>
      </c>
      <c r="B1261" s="401" t="inlineStr">
        <is>
          <t>Central Africa</t>
        </is>
      </c>
      <c r="C1261" s="55">
        <f>CONCATENATE(A1261,B1261)</f>
        <v/>
      </c>
      <c r="D1261" s="41" t="n">
        <v>10</v>
      </c>
      <c r="E1261" s="41" t="n">
        <v>10</v>
      </c>
    </row>
    <row r="1262" customFormat="1" s="21">
      <c r="A1262" s="20" t="inlineStr">
        <is>
          <t>Planted Tropical mountain systems</t>
        </is>
      </c>
      <c r="B1262" s="401" t="inlineStr">
        <is>
          <t>Northern Africa</t>
        </is>
      </c>
      <c r="C1262" s="55">
        <f>CONCATENATE(A1262,B1262)</f>
        <v/>
      </c>
      <c r="D1262" s="41" t="n">
        <v>10</v>
      </c>
      <c r="E1262" s="41" t="n">
        <v>10</v>
      </c>
    </row>
    <row r="1263" customFormat="1" s="21">
      <c r="A1263" s="20" t="inlineStr">
        <is>
          <t>Planted Tropical mountain systems</t>
        </is>
      </c>
      <c r="B1263" s="401" t="inlineStr">
        <is>
          <t>Southern Africa</t>
        </is>
      </c>
      <c r="C1263" s="55">
        <f>CONCATENATE(A1263,B1263)</f>
        <v/>
      </c>
      <c r="D1263" s="41" t="n">
        <v>10</v>
      </c>
      <c r="E1263" s="41" t="n">
        <v>10</v>
      </c>
    </row>
    <row r="1264" customFormat="1" s="21">
      <c r="A1264" s="20" t="inlineStr">
        <is>
          <t>Planted Tropical mountain systems</t>
        </is>
      </c>
      <c r="B1264" s="401" t="inlineStr">
        <is>
          <t>Western Africa</t>
        </is>
      </c>
      <c r="C1264" s="55">
        <f>CONCATENATE(A1264,B1264)</f>
        <v/>
      </c>
      <c r="D1264" s="41" t="n">
        <v>10</v>
      </c>
      <c r="E1264" s="41" t="n">
        <v>10</v>
      </c>
    </row>
    <row r="1265" customFormat="1" s="21">
      <c r="A1265" s="20" t="inlineStr">
        <is>
          <t>Planted Tropical mountain systems</t>
        </is>
      </c>
      <c r="B1265" s="401" t="inlineStr">
        <is>
          <t>Central Asia</t>
        </is>
      </c>
      <c r="C1265" s="55">
        <f>CONCATENATE(A1265,B1265)</f>
        <v/>
      </c>
      <c r="D1265" s="41">
        <f>AVERAGE(1,10)</f>
        <v/>
      </c>
      <c r="E1265" s="41">
        <f>AVERAGE(1,10)</f>
        <v/>
      </c>
    </row>
    <row r="1266" customFormat="1" s="21">
      <c r="A1266" s="20" t="inlineStr">
        <is>
          <t>Planted Tropical mountain systems</t>
        </is>
      </c>
      <c r="B1266" s="401" t="inlineStr">
        <is>
          <t>Eastern Asia</t>
        </is>
      </c>
      <c r="C1266" s="55">
        <f>CONCATENATE(A1266,B1266)</f>
        <v/>
      </c>
      <c r="D1266" s="41">
        <f>AVERAGE(1,10)</f>
        <v/>
      </c>
      <c r="E1266" s="41">
        <f>AVERAGE(1,10)</f>
        <v/>
      </c>
    </row>
    <row r="1267" customFormat="1" s="21">
      <c r="A1267" s="20" t="inlineStr">
        <is>
          <t>Planted Tropical mountain systems</t>
        </is>
      </c>
      <c r="B1267" s="401" t="inlineStr">
        <is>
          <t>South-eastern Asia</t>
        </is>
      </c>
      <c r="C1267" s="55">
        <f>CONCATENATE(A1267,B1267)</f>
        <v/>
      </c>
      <c r="D1267" s="41">
        <f>AVERAGE(1,10)</f>
        <v/>
      </c>
      <c r="E1267" s="41">
        <f>AVERAGE(1,10)</f>
        <v/>
      </c>
    </row>
    <row r="1268" customFormat="1" s="21">
      <c r="A1268" s="20" t="inlineStr">
        <is>
          <t>Planted Tropical mountain systems</t>
        </is>
      </c>
      <c r="B1268" s="401" t="inlineStr">
        <is>
          <t>Southern Asia</t>
        </is>
      </c>
      <c r="C1268" s="55">
        <f>CONCATENATE(A1268,B1268)</f>
        <v/>
      </c>
      <c r="D1268" s="41">
        <f>AVERAGE(1,10)</f>
        <v/>
      </c>
      <c r="E1268" s="41">
        <f>AVERAGE(1,10)</f>
        <v/>
      </c>
    </row>
    <row r="1269" customFormat="1" s="21">
      <c r="A1269" s="20" t="inlineStr">
        <is>
          <t>Planted Tropical mountain systems</t>
        </is>
      </c>
      <c r="B1269" s="401" t="inlineStr">
        <is>
          <t>Western Asia</t>
        </is>
      </c>
      <c r="C1269" s="55">
        <f>CONCATENATE(A1269,B1269)</f>
        <v/>
      </c>
      <c r="D1269" s="41">
        <f>AVERAGE(1,10)</f>
        <v/>
      </c>
      <c r="E1269" s="41">
        <f>AVERAGE(1,10)</f>
        <v/>
      </c>
    </row>
    <row r="1270" customFormat="1" s="21">
      <c r="A1270" s="20" t="inlineStr">
        <is>
          <t>Planted Tropical mountain systems</t>
        </is>
      </c>
      <c r="B1270" s="401" t="inlineStr">
        <is>
          <t>Europe</t>
        </is>
      </c>
      <c r="C1270" s="55">
        <f>CONCATENATE(A1270,B1270)</f>
        <v/>
      </c>
      <c r="D1270" s="163" t="n">
        <v>5</v>
      </c>
      <c r="E1270" s="163" t="n">
        <v>5</v>
      </c>
    </row>
    <row r="1271" customFormat="1" s="21">
      <c r="A1271" s="20" t="inlineStr">
        <is>
          <t>Planted Tropical mountain systems</t>
        </is>
      </c>
      <c r="B1271" s="401" t="inlineStr">
        <is>
          <t>Oceania</t>
        </is>
      </c>
      <c r="C1271" s="55">
        <f>CONCATENATE(A1271,B1271)</f>
        <v/>
      </c>
      <c r="D1271" s="163" t="n">
        <v>5</v>
      </c>
      <c r="E1271" s="163" t="n">
        <v>5</v>
      </c>
    </row>
    <row r="1272" ht="14.25" customFormat="1" customHeight="1" s="21">
      <c r="A1272" s="20" t="inlineStr">
        <is>
          <t>Planted Tropical mountain systems</t>
        </is>
      </c>
      <c r="B1272" s="401" t="inlineStr">
        <is>
          <t>North America</t>
        </is>
      </c>
      <c r="C1272" s="55">
        <f>CONCATENATE(A1272,B1272)</f>
        <v/>
      </c>
      <c r="D1272" s="41">
        <f>AVERAGE(8,18)</f>
        <v/>
      </c>
      <c r="E1272" s="41">
        <f>AVERAGE(8,18)</f>
        <v/>
      </c>
    </row>
    <row r="1273" ht="14.25" customFormat="1" customHeight="1" s="21">
      <c r="A1273" s="20" t="inlineStr">
        <is>
          <t>Planted Tropical mountain systems</t>
        </is>
      </c>
      <c r="B1273" s="401" t="inlineStr">
        <is>
          <t>South America</t>
        </is>
      </c>
      <c r="C1273" s="55">
        <f>CONCATENATE(A1273,B1273)</f>
        <v/>
      </c>
      <c r="D1273" s="41">
        <f>AVERAGE(8,18)</f>
        <v/>
      </c>
      <c r="E1273" s="41">
        <f>AVERAGE(8,18)</f>
        <v/>
      </c>
    </row>
    <row r="1274" ht="14.25" customFormat="1" customHeight="1" s="21">
      <c r="A1274" s="20" t="inlineStr">
        <is>
          <t>Planted Tropical mountain systems</t>
        </is>
      </c>
      <c r="B1274" s="401" t="inlineStr">
        <is>
          <t>Central America</t>
        </is>
      </c>
      <c r="C1274" s="55">
        <f>CONCATENATE(A1274,B1274)</f>
        <v/>
      </c>
      <c r="D1274" s="363">
        <f>AVERAGE(8,18)</f>
        <v/>
      </c>
      <c r="E1274" s="363">
        <f>AVERAGE(8,18)</f>
        <v/>
      </c>
    </row>
    <row r="1275" customFormat="1" s="292">
      <c r="A1275" s="37" t="inlineStr">
        <is>
          <t>Planted Tropical mountain systems</t>
        </is>
      </c>
      <c r="B1275" s="402" t="inlineStr">
        <is>
          <t>Caribbean</t>
        </is>
      </c>
      <c r="C1275" s="579">
        <f>CONCATENATE(A1275,B1275)</f>
        <v/>
      </c>
      <c r="D1275" s="363">
        <f>AVERAGE(8,18)</f>
        <v/>
      </c>
      <c r="E1275" s="363">
        <f>AVERAGE(8,18)</f>
        <v/>
      </c>
    </row>
    <row r="1276" customFormat="1" s="291">
      <c r="A1276" s="63" t="inlineStr">
        <is>
          <t>Planted Subtropical humid forest</t>
        </is>
      </c>
      <c r="B1276" s="408" t="inlineStr">
        <is>
          <t>Eastern Africa</t>
        </is>
      </c>
      <c r="C1276" s="569">
        <f>CONCATENATE(A1276,B1276)</f>
        <v/>
      </c>
      <c r="D1276" s="464" t="n">
        <v>10</v>
      </c>
      <c r="E1276" s="464" t="n">
        <v>10</v>
      </c>
    </row>
    <row r="1277" customFormat="1" s="21">
      <c r="A1277" s="20" t="inlineStr">
        <is>
          <t>Planted Subtropical humid forest</t>
        </is>
      </c>
      <c r="B1277" s="401" t="inlineStr">
        <is>
          <t>Central Africa</t>
        </is>
      </c>
      <c r="C1277" s="572">
        <f>CONCATENATE(A1277,B1277)</f>
        <v/>
      </c>
      <c r="D1277" s="163" t="n">
        <v>10</v>
      </c>
      <c r="E1277" s="163" t="n">
        <v>10</v>
      </c>
    </row>
    <row r="1278" customFormat="1" s="21">
      <c r="A1278" s="20" t="inlineStr">
        <is>
          <t>Planted Subtropical humid forest</t>
        </is>
      </c>
      <c r="B1278" s="401" t="inlineStr">
        <is>
          <t>Northern Africa</t>
        </is>
      </c>
      <c r="C1278" s="572">
        <f>CONCATENATE(A1278,B1278)</f>
        <v/>
      </c>
      <c r="D1278" s="163" t="n">
        <v>10</v>
      </c>
      <c r="E1278" s="163" t="n">
        <v>10</v>
      </c>
    </row>
    <row r="1279" customFormat="1" s="21">
      <c r="A1279" s="20" t="inlineStr">
        <is>
          <t>Planted Subtropical humid forest</t>
        </is>
      </c>
      <c r="B1279" s="401" t="inlineStr">
        <is>
          <t>Southern Africa</t>
        </is>
      </c>
      <c r="C1279" s="572">
        <f>CONCATENATE(A1279,B1279)</f>
        <v/>
      </c>
      <c r="D1279" s="163" t="n">
        <v>10</v>
      </c>
      <c r="E1279" s="163" t="n">
        <v>10</v>
      </c>
    </row>
    <row r="1280" customFormat="1" s="21">
      <c r="A1280" s="20" t="inlineStr">
        <is>
          <t>Planted Subtropical humid forest</t>
        </is>
      </c>
      <c r="B1280" s="401" t="inlineStr">
        <is>
          <t>Western Africa</t>
        </is>
      </c>
      <c r="C1280" s="572">
        <f>CONCATENATE(A1280,B1280)</f>
        <v/>
      </c>
      <c r="D1280" s="163" t="n">
        <v>10</v>
      </c>
      <c r="E1280" s="163" t="n">
        <v>10</v>
      </c>
    </row>
    <row r="1281" customFormat="1" s="21">
      <c r="A1281" s="20" t="inlineStr">
        <is>
          <t>Planted Subtropical humid forest</t>
        </is>
      </c>
      <c r="B1281" s="401" t="inlineStr">
        <is>
          <t>Central Asia</t>
        </is>
      </c>
      <c r="C1281" s="572">
        <f>CONCATENATE(A1281,B1281)</f>
        <v/>
      </c>
      <c r="D1281" s="41" t="n">
        <v>8</v>
      </c>
      <c r="E1281" s="41" t="n">
        <v>8</v>
      </c>
    </row>
    <row r="1282" customFormat="1" s="21">
      <c r="A1282" s="20" t="inlineStr">
        <is>
          <t>Planted Subtropical humid forest</t>
        </is>
      </c>
      <c r="B1282" s="401" t="inlineStr">
        <is>
          <t>Eastern Asia</t>
        </is>
      </c>
      <c r="C1282" s="572">
        <f>CONCATENATE(A1282,B1282)</f>
        <v/>
      </c>
      <c r="D1282" s="41" t="n">
        <v>8</v>
      </c>
      <c r="E1282" s="41" t="n">
        <v>8</v>
      </c>
    </row>
    <row r="1283" customFormat="1" s="21">
      <c r="A1283" s="20" t="inlineStr">
        <is>
          <t>Planted Subtropical humid forest</t>
        </is>
      </c>
      <c r="B1283" s="401" t="inlineStr">
        <is>
          <t>South-eastern Asia</t>
        </is>
      </c>
      <c r="C1283" s="572">
        <f>CONCATENATE(A1283,B1283)</f>
        <v/>
      </c>
      <c r="D1283" s="41" t="n">
        <v>8</v>
      </c>
      <c r="E1283" s="41" t="n">
        <v>8</v>
      </c>
    </row>
    <row r="1284" customFormat="1" s="21">
      <c r="A1284" s="20" t="inlineStr">
        <is>
          <t>Planted Subtropical humid forest</t>
        </is>
      </c>
      <c r="B1284" s="401" t="inlineStr">
        <is>
          <t>Southern Asia</t>
        </is>
      </c>
      <c r="C1284" s="572">
        <f>CONCATENATE(A1284,B1284)</f>
        <v/>
      </c>
      <c r="D1284" s="41" t="n">
        <v>8</v>
      </c>
      <c r="E1284" s="41" t="n">
        <v>8</v>
      </c>
    </row>
    <row r="1285" customFormat="1" s="21">
      <c r="A1285" s="20" t="inlineStr">
        <is>
          <t>Planted Subtropical humid forest</t>
        </is>
      </c>
      <c r="B1285" s="401" t="inlineStr">
        <is>
          <t>Western Asia</t>
        </is>
      </c>
      <c r="C1285" s="572">
        <f>CONCATENATE(A1285,B1285)</f>
        <v/>
      </c>
      <c r="D1285" s="41" t="n">
        <v>8</v>
      </c>
      <c r="E1285" s="41" t="n">
        <v>8</v>
      </c>
    </row>
    <row r="1286" customFormat="1" s="21">
      <c r="A1286" s="20" t="inlineStr">
        <is>
          <t>Planted Subtropical humid forest</t>
        </is>
      </c>
      <c r="B1286" s="401" t="inlineStr">
        <is>
          <t>Europe</t>
        </is>
      </c>
      <c r="C1286" s="572">
        <f>CONCATENATE(A1286,B1286)</f>
        <v/>
      </c>
      <c r="D1286" s="163" t="n">
        <v>10</v>
      </c>
      <c r="E1286" s="163" t="n">
        <v>10</v>
      </c>
    </row>
    <row r="1287" customFormat="1" s="21">
      <c r="A1287" s="20" t="inlineStr">
        <is>
          <t>Planted Subtropical humid forest</t>
        </is>
      </c>
      <c r="B1287" s="401" t="inlineStr">
        <is>
          <t>Oceania</t>
        </is>
      </c>
      <c r="C1287" s="572">
        <f>CONCATENATE(A1287,B1287)</f>
        <v/>
      </c>
      <c r="D1287" s="163" t="n">
        <v>10</v>
      </c>
      <c r="E1287" s="163" t="n">
        <v>10</v>
      </c>
    </row>
    <row r="1288" customFormat="1" s="21">
      <c r="A1288" s="20" t="inlineStr">
        <is>
          <t>Planted Subtropical humid forest</t>
        </is>
      </c>
      <c r="B1288" s="401" t="inlineStr">
        <is>
          <t>North America</t>
        </is>
      </c>
      <c r="C1288" s="572">
        <f>CONCATENATE(A1288,B1288)</f>
        <v/>
      </c>
      <c r="D1288" s="41">
        <f>AVERAGE(3,32)</f>
        <v/>
      </c>
      <c r="E1288" s="41">
        <f>AVERAGE(3,32)</f>
        <v/>
      </c>
    </row>
    <row r="1289" customFormat="1" s="21">
      <c r="A1289" s="20" t="inlineStr">
        <is>
          <t>Planted Subtropical humid forest</t>
        </is>
      </c>
      <c r="B1289" s="401" t="inlineStr">
        <is>
          <t>South America</t>
        </is>
      </c>
      <c r="C1289" s="572">
        <f>CONCATENATE(A1289,B1289)</f>
        <v/>
      </c>
      <c r="D1289" s="41">
        <f>AVERAGE(3,32)</f>
        <v/>
      </c>
      <c r="E1289" s="41">
        <f>AVERAGE(3,32)</f>
        <v/>
      </c>
    </row>
    <row r="1290" customFormat="1" s="21">
      <c r="A1290" s="20" t="inlineStr">
        <is>
          <t>Planted Subtropical humid forest</t>
        </is>
      </c>
      <c r="B1290" s="401" t="inlineStr">
        <is>
          <t>Central America</t>
        </is>
      </c>
      <c r="C1290" s="572">
        <f>CONCATENATE(A1290,B1290)</f>
        <v/>
      </c>
      <c r="D1290" s="363">
        <f>AVERAGE(3,32)</f>
        <v/>
      </c>
      <c r="E1290" s="363">
        <f>AVERAGE(3,32)</f>
        <v/>
      </c>
    </row>
    <row r="1291" customFormat="1" s="292">
      <c r="A1291" s="37" t="inlineStr">
        <is>
          <t>Planted Subtropical humid forest</t>
        </is>
      </c>
      <c r="B1291" s="402" t="inlineStr">
        <is>
          <t>Caribbean</t>
        </is>
      </c>
      <c r="C1291" s="420">
        <f>CONCATENATE(A1291,B1291)</f>
        <v/>
      </c>
      <c r="D1291" s="363">
        <f>AVERAGE(3,32)</f>
        <v/>
      </c>
      <c r="E1291" s="363">
        <f>AVERAGE(3,32)</f>
        <v/>
      </c>
    </row>
    <row r="1292" customFormat="1" s="291">
      <c r="A1292" s="63" t="inlineStr">
        <is>
          <t>Planted Subtropical dry forest</t>
        </is>
      </c>
      <c r="B1292" s="408" t="inlineStr">
        <is>
          <t>Eastern Africa</t>
        </is>
      </c>
      <c r="C1292" s="567">
        <f>CONCATENATE(A1292,B1292)</f>
        <v/>
      </c>
      <c r="D1292" s="491" t="n">
        <v>8</v>
      </c>
      <c r="E1292" s="491">
        <f>AVERAGE(4,20)</f>
        <v/>
      </c>
    </row>
    <row r="1293" customFormat="1" s="21">
      <c r="A1293" s="20" t="inlineStr">
        <is>
          <t>Planted Subtropical dry forest</t>
        </is>
      </c>
      <c r="B1293" s="401" t="inlineStr">
        <is>
          <t>Central Africa</t>
        </is>
      </c>
      <c r="C1293" s="55">
        <f>CONCATENATE(A1293,B1293)</f>
        <v/>
      </c>
      <c r="D1293" s="471" t="n">
        <v>8</v>
      </c>
      <c r="E1293" s="471">
        <f>AVERAGE(4,20)</f>
        <v/>
      </c>
    </row>
    <row r="1294" customFormat="1" s="21">
      <c r="A1294" s="20" t="inlineStr">
        <is>
          <t>Planted Subtropical dry forest</t>
        </is>
      </c>
      <c r="B1294" s="401" t="inlineStr">
        <is>
          <t>Northern Africa</t>
        </is>
      </c>
      <c r="C1294" s="55">
        <f>CONCATENATE(A1294,B1294)</f>
        <v/>
      </c>
      <c r="D1294" s="471" t="n">
        <v>8</v>
      </c>
      <c r="E1294" s="471">
        <f>AVERAGE(4,20)</f>
        <v/>
      </c>
    </row>
    <row r="1295" customFormat="1" s="21">
      <c r="A1295" s="20" t="inlineStr">
        <is>
          <t>Planted Subtropical dry forest</t>
        </is>
      </c>
      <c r="B1295" s="401" t="inlineStr">
        <is>
          <t>Southern Africa</t>
        </is>
      </c>
      <c r="C1295" s="55">
        <f>CONCATENATE(A1295,B1295)</f>
        <v/>
      </c>
      <c r="D1295" s="471" t="n">
        <v>8</v>
      </c>
      <c r="E1295" s="471">
        <f>AVERAGE(4,20)</f>
        <v/>
      </c>
    </row>
    <row r="1296" customFormat="1" s="21">
      <c r="A1296" s="20" t="inlineStr">
        <is>
          <t>Planted Subtropical dry forest</t>
        </is>
      </c>
      <c r="B1296" s="401" t="inlineStr">
        <is>
          <t>Western Africa</t>
        </is>
      </c>
      <c r="C1296" s="55">
        <f>CONCATENATE(A1296,B1296)</f>
        <v/>
      </c>
      <c r="D1296" s="471" t="n">
        <v>8</v>
      </c>
      <c r="E1296" s="471">
        <f>AVERAGE(4,20)</f>
        <v/>
      </c>
    </row>
    <row r="1297" customFormat="1" s="21">
      <c r="A1297" s="20" t="inlineStr">
        <is>
          <t>Planted Subtropical dry forest</t>
        </is>
      </c>
      <c r="B1297" s="401" t="inlineStr">
        <is>
          <t>Central Asia</t>
        </is>
      </c>
      <c r="C1297" s="55">
        <f>CONCATENATE(A1297,B1297)</f>
        <v/>
      </c>
      <c r="D1297" s="471">
        <f>AVERAGE(2,25)</f>
        <v/>
      </c>
      <c r="E1297" s="471">
        <f>AVERAGE(2,25)</f>
        <v/>
      </c>
    </row>
    <row r="1298" customFormat="1" s="21">
      <c r="A1298" s="20" t="inlineStr">
        <is>
          <t>Planted Subtropical dry forest</t>
        </is>
      </c>
      <c r="B1298" s="401" t="inlineStr">
        <is>
          <t>Eastern Asia</t>
        </is>
      </c>
      <c r="C1298" s="55">
        <f>CONCATENATE(A1298,B1298)</f>
        <v/>
      </c>
      <c r="D1298" s="471">
        <f>AVERAGE(2,25)</f>
        <v/>
      </c>
      <c r="E1298" s="471">
        <f>AVERAGE(2,25)</f>
        <v/>
      </c>
    </row>
    <row r="1299" customFormat="1" s="21">
      <c r="A1299" s="20" t="inlineStr">
        <is>
          <t>Planted Subtropical dry forest</t>
        </is>
      </c>
      <c r="B1299" s="401" t="inlineStr">
        <is>
          <t>South-eastern Asia</t>
        </is>
      </c>
      <c r="C1299" s="55">
        <f>CONCATENATE(A1299,B1299)</f>
        <v/>
      </c>
      <c r="D1299" s="471">
        <f>AVERAGE(2,25)</f>
        <v/>
      </c>
      <c r="E1299" s="471">
        <f>AVERAGE(2,25)</f>
        <v/>
      </c>
    </row>
    <row r="1300" customFormat="1" s="21">
      <c r="A1300" s="20" t="inlineStr">
        <is>
          <t>Planted Subtropical dry forest</t>
        </is>
      </c>
      <c r="B1300" s="401" t="inlineStr">
        <is>
          <t>Southern Asia</t>
        </is>
      </c>
      <c r="C1300" s="55">
        <f>CONCATENATE(A1300,B1300)</f>
        <v/>
      </c>
      <c r="D1300" s="471">
        <f>AVERAGE(2,25)</f>
        <v/>
      </c>
      <c r="E1300" s="471">
        <f>AVERAGE(2,25)</f>
        <v/>
      </c>
    </row>
    <row r="1301" customFormat="1" s="21">
      <c r="A1301" s="20" t="inlineStr">
        <is>
          <t>Planted Subtropical dry forest</t>
        </is>
      </c>
      <c r="B1301" s="401" t="inlineStr">
        <is>
          <t>Western Asia</t>
        </is>
      </c>
      <c r="C1301" s="55">
        <f>CONCATENATE(A1301,B1301)</f>
        <v/>
      </c>
      <c r="D1301" s="471">
        <f>AVERAGE(2,25)</f>
        <v/>
      </c>
      <c r="E1301" s="471">
        <f>AVERAGE(2,25)</f>
        <v/>
      </c>
    </row>
    <row r="1302" customFormat="1" s="21">
      <c r="A1302" s="20" t="inlineStr">
        <is>
          <t>Planted Subtropical dry forest</t>
        </is>
      </c>
      <c r="B1302" s="401" t="inlineStr">
        <is>
          <t>Europe</t>
        </is>
      </c>
      <c r="C1302" s="55">
        <f>CONCATENATE(A1302,B1302)</f>
        <v/>
      </c>
      <c r="D1302" s="643" t="n">
        <v>8</v>
      </c>
      <c r="E1302" s="643" t="n">
        <v>8</v>
      </c>
    </row>
    <row r="1303" customFormat="1" s="21">
      <c r="A1303" s="20" t="inlineStr">
        <is>
          <t>Planted Subtropical dry forest</t>
        </is>
      </c>
      <c r="B1303" s="401" t="inlineStr">
        <is>
          <t>Oceania</t>
        </is>
      </c>
      <c r="C1303" s="55">
        <f>CONCATENATE(A1303,B1303)</f>
        <v/>
      </c>
      <c r="D1303" s="643" t="n">
        <v>8</v>
      </c>
      <c r="E1303" s="643" t="n">
        <v>8</v>
      </c>
    </row>
    <row r="1304" customFormat="1" s="21">
      <c r="A1304" s="20" t="inlineStr">
        <is>
          <t>Planted Subtropical dry forest</t>
        </is>
      </c>
      <c r="B1304" s="401" t="inlineStr">
        <is>
          <t>North America</t>
        </is>
      </c>
      <c r="C1304" s="55">
        <f>CONCATENATE(A1304,B1304)</f>
        <v/>
      </c>
      <c r="D1304" s="471">
        <f>AVERAGE(3,30)</f>
        <v/>
      </c>
      <c r="E1304" s="471">
        <f>AVERAGE(3,30)</f>
        <v/>
      </c>
    </row>
    <row r="1305" customFormat="1" s="21">
      <c r="A1305" s="20" t="inlineStr">
        <is>
          <t>Planted Subtropical dry forest</t>
        </is>
      </c>
      <c r="B1305" s="401" t="inlineStr">
        <is>
          <t>South America</t>
        </is>
      </c>
      <c r="C1305" s="55">
        <f>CONCATENATE(A1305,B1305)</f>
        <v/>
      </c>
      <c r="D1305" s="471">
        <f>AVERAGE(3,30)</f>
        <v/>
      </c>
      <c r="E1305" s="471">
        <f>AVERAGE(3,30)</f>
        <v/>
      </c>
    </row>
    <row r="1306" customFormat="1" s="21">
      <c r="A1306" s="20" t="inlineStr">
        <is>
          <t>Planted Subtropical dry forest</t>
        </is>
      </c>
      <c r="B1306" s="401" t="inlineStr">
        <is>
          <t>Central America</t>
        </is>
      </c>
      <c r="C1306" s="55">
        <f>CONCATENATE(A1306,B1306)</f>
        <v/>
      </c>
      <c r="D1306" s="649">
        <f>AVERAGE(3,30)</f>
        <v/>
      </c>
      <c r="E1306" s="649">
        <f>AVERAGE(3,30)</f>
        <v/>
      </c>
    </row>
    <row r="1307" customFormat="1" s="292">
      <c r="A1307" s="37" t="inlineStr">
        <is>
          <t>Planted Subtropical dry forest</t>
        </is>
      </c>
      <c r="B1307" s="402" t="inlineStr">
        <is>
          <t>Caribbean</t>
        </is>
      </c>
      <c r="C1307" s="579">
        <f>CONCATENATE(A1307,B1307)</f>
        <v/>
      </c>
      <c r="D1307" s="649">
        <f>AVERAGE(3,30)</f>
        <v/>
      </c>
      <c r="E1307" s="649">
        <f>AVERAGE(3,30)</f>
        <v/>
      </c>
    </row>
    <row r="1308" customFormat="1" s="291">
      <c r="A1308" s="63" t="inlineStr">
        <is>
          <t>Planted Subtropical steppe</t>
        </is>
      </c>
      <c r="B1308" s="408" t="inlineStr">
        <is>
          <t>Eastern Africa</t>
        </is>
      </c>
      <c r="C1308" s="567">
        <f>CONCATENATE(A1308,B1308)</f>
        <v/>
      </c>
      <c r="D1308" s="44">
        <f>AVERAGE(2.5,14)</f>
        <v/>
      </c>
      <c r="E1308" s="44">
        <f>AVERAGE(0.5,15)</f>
        <v/>
      </c>
    </row>
    <row r="1309" customFormat="1" s="21">
      <c r="A1309" s="20" t="inlineStr">
        <is>
          <t>Planted Subtropical steppe</t>
        </is>
      </c>
      <c r="B1309" s="401" t="inlineStr">
        <is>
          <t>Central Africa</t>
        </is>
      </c>
      <c r="C1309" s="55">
        <f>CONCATENATE(A1309,B1309)</f>
        <v/>
      </c>
      <c r="D1309" s="41">
        <f>AVERAGE(2.5,14)</f>
        <v/>
      </c>
      <c r="E1309" s="41">
        <f>AVERAGE(0.5,15)</f>
        <v/>
      </c>
    </row>
    <row r="1310" customFormat="1" s="21">
      <c r="A1310" s="20" t="inlineStr">
        <is>
          <t>Planted Subtropical steppe</t>
        </is>
      </c>
      <c r="B1310" s="401" t="inlineStr">
        <is>
          <t>Northern Africa</t>
        </is>
      </c>
      <c r="C1310" s="55">
        <f>CONCATENATE(A1310,B1310)</f>
        <v/>
      </c>
      <c r="D1310" s="41">
        <f>AVERAGE(2.5,14)</f>
        <v/>
      </c>
      <c r="E1310" s="41">
        <f>AVERAGE(0.5,15)</f>
        <v/>
      </c>
    </row>
    <row r="1311" customFormat="1" s="21">
      <c r="A1311" s="20" t="inlineStr">
        <is>
          <t>Planted Subtropical steppe</t>
        </is>
      </c>
      <c r="B1311" s="401" t="inlineStr">
        <is>
          <t>Southern Africa</t>
        </is>
      </c>
      <c r="C1311" s="55">
        <f>CONCATENATE(A1311,B1311)</f>
        <v/>
      </c>
      <c r="D1311" s="41">
        <f>AVERAGE(2.5,14)</f>
        <v/>
      </c>
      <c r="E1311" s="41">
        <f>AVERAGE(0.5,15)</f>
        <v/>
      </c>
    </row>
    <row r="1312" customFormat="1" s="21">
      <c r="A1312" s="20" t="inlineStr">
        <is>
          <t>Planted Subtropical steppe</t>
        </is>
      </c>
      <c r="B1312" s="401" t="inlineStr">
        <is>
          <t>Western Africa</t>
        </is>
      </c>
      <c r="C1312" s="55">
        <f>CONCATENATE(A1312,B1312)</f>
        <v/>
      </c>
      <c r="D1312" s="41">
        <f>AVERAGE(2.5,14)</f>
        <v/>
      </c>
      <c r="E1312" s="41">
        <f>AVERAGE(0.5,15)</f>
        <v/>
      </c>
    </row>
    <row r="1313" customFormat="1" s="21">
      <c r="A1313" s="20" t="inlineStr">
        <is>
          <t>Planted Subtropical steppe</t>
        </is>
      </c>
      <c r="B1313" s="401" t="inlineStr">
        <is>
          <t>Central Asia</t>
        </is>
      </c>
      <c r="C1313" s="55">
        <f>CONCATENATE(A1313,B1313)</f>
        <v/>
      </c>
      <c r="D1313" s="41">
        <f>AVERAGE(1,12)</f>
        <v/>
      </c>
      <c r="E1313" s="41">
        <f>AVERAGE(1,12)</f>
        <v/>
      </c>
    </row>
    <row r="1314" customFormat="1" s="21">
      <c r="A1314" s="20" t="inlineStr">
        <is>
          <t>Planted Subtropical steppe</t>
        </is>
      </c>
      <c r="B1314" s="401" t="inlineStr">
        <is>
          <t>Eastern Asia</t>
        </is>
      </c>
      <c r="C1314" s="55">
        <f>CONCATENATE(A1314,B1314)</f>
        <v/>
      </c>
      <c r="D1314" s="41">
        <f>AVERAGE(1,12)</f>
        <v/>
      </c>
      <c r="E1314" s="41">
        <f>AVERAGE(1,12)</f>
        <v/>
      </c>
    </row>
    <row r="1315" customFormat="1" s="21">
      <c r="A1315" s="20" t="inlineStr">
        <is>
          <t>Planted Subtropical steppe</t>
        </is>
      </c>
      <c r="B1315" s="401" t="inlineStr">
        <is>
          <t>South-eastern Asia</t>
        </is>
      </c>
      <c r="C1315" s="55">
        <f>CONCATENATE(A1315,B1315)</f>
        <v/>
      </c>
      <c r="D1315" s="41">
        <f>AVERAGE(1,12)</f>
        <v/>
      </c>
      <c r="E1315" s="41">
        <f>AVERAGE(1,12)</f>
        <v/>
      </c>
    </row>
    <row r="1316" customFormat="1" s="21">
      <c r="A1316" s="20" t="inlineStr">
        <is>
          <t>Planted Subtropical steppe</t>
        </is>
      </c>
      <c r="B1316" s="401" t="inlineStr">
        <is>
          <t>Southern Asia</t>
        </is>
      </c>
      <c r="C1316" s="55">
        <f>CONCATENATE(A1316,B1316)</f>
        <v/>
      </c>
      <c r="D1316" s="41">
        <f>AVERAGE(1,12)</f>
        <v/>
      </c>
      <c r="E1316" s="41">
        <f>AVERAGE(1,12)</f>
        <v/>
      </c>
    </row>
    <row r="1317" customFormat="1" s="21">
      <c r="A1317" s="20" t="inlineStr">
        <is>
          <t>Planted Subtropical steppe</t>
        </is>
      </c>
      <c r="B1317" s="401" t="inlineStr">
        <is>
          <t>Western Asia</t>
        </is>
      </c>
      <c r="C1317" s="55">
        <f>CONCATENATE(A1317,B1317)</f>
        <v/>
      </c>
      <c r="D1317" s="41">
        <f>AVERAGE(1,12)</f>
        <v/>
      </c>
      <c r="E1317" s="41">
        <f>AVERAGE(1,12)</f>
        <v/>
      </c>
    </row>
    <row r="1318" customFormat="1" s="21">
      <c r="A1318" s="20" t="inlineStr">
        <is>
          <t>Planted Subtropical steppe</t>
        </is>
      </c>
      <c r="B1318" s="401" t="inlineStr">
        <is>
          <t>Europe</t>
        </is>
      </c>
      <c r="C1318" s="55">
        <f>CONCATENATE(A1318,B1318)</f>
        <v/>
      </c>
      <c r="D1318" s="163" t="n">
        <v>5</v>
      </c>
      <c r="E1318" s="163" t="n">
        <v>5</v>
      </c>
    </row>
    <row r="1319" customFormat="1" s="21">
      <c r="A1319" s="20" t="inlineStr">
        <is>
          <t>Planted Subtropical steppe</t>
        </is>
      </c>
      <c r="B1319" s="401" t="inlineStr">
        <is>
          <t>Oceania</t>
        </is>
      </c>
      <c r="C1319" s="55">
        <f>CONCATENATE(A1319,B1319)</f>
        <v/>
      </c>
      <c r="D1319" s="163" t="n">
        <v>5</v>
      </c>
      <c r="E1319" s="163" t="n">
        <v>5</v>
      </c>
    </row>
    <row r="1320" customFormat="1" s="21">
      <c r="A1320" s="20" t="inlineStr">
        <is>
          <t>Planted Subtropical steppe</t>
        </is>
      </c>
      <c r="B1320" s="401" t="inlineStr">
        <is>
          <t>North America</t>
        </is>
      </c>
      <c r="C1320" s="55">
        <f>CONCATENATE(A1320,B1320)</f>
        <v/>
      </c>
      <c r="D1320" s="41">
        <f>AVERAGE(5,20)</f>
        <v/>
      </c>
      <c r="E1320" s="41">
        <f>AVERAGE(5,20)</f>
        <v/>
      </c>
    </row>
    <row r="1321" customFormat="1" s="21">
      <c r="A1321" s="20" t="inlineStr">
        <is>
          <t>Planted Subtropical steppe</t>
        </is>
      </c>
      <c r="B1321" s="401" t="inlineStr">
        <is>
          <t>South America</t>
        </is>
      </c>
      <c r="C1321" s="55">
        <f>CONCATENATE(A1321,B1321)</f>
        <v/>
      </c>
      <c r="D1321" s="41">
        <f>AVERAGE(5,20)</f>
        <v/>
      </c>
      <c r="E1321" s="41">
        <f>AVERAGE(5,20)</f>
        <v/>
      </c>
    </row>
    <row r="1322" customFormat="1" s="21">
      <c r="A1322" s="20" t="inlineStr">
        <is>
          <t>Planted Subtropical steppe</t>
        </is>
      </c>
      <c r="B1322" s="401" t="inlineStr">
        <is>
          <t>Central America</t>
        </is>
      </c>
      <c r="C1322" s="55">
        <f>CONCATENATE(A1322,B1322)</f>
        <v/>
      </c>
      <c r="D1322" s="363">
        <f>AVERAGE(5,20)</f>
        <v/>
      </c>
      <c r="E1322" s="363">
        <f>AVERAGE(5,20)</f>
        <v/>
      </c>
    </row>
    <row r="1323" customFormat="1" s="292">
      <c r="A1323" s="37" t="inlineStr">
        <is>
          <t>Planted Subtropical steppe</t>
        </is>
      </c>
      <c r="B1323" s="402" t="inlineStr">
        <is>
          <t>Caribbean</t>
        </is>
      </c>
      <c r="C1323" s="579">
        <f>CONCATENATE(A1323,B1323)</f>
        <v/>
      </c>
      <c r="D1323" s="363">
        <f>AVERAGE(5,20)</f>
        <v/>
      </c>
      <c r="E1323" s="363">
        <f>AVERAGE(5,20)</f>
        <v/>
      </c>
    </row>
    <row r="1324" customFormat="1" s="291">
      <c r="A1324" s="63" t="inlineStr">
        <is>
          <t>Planted Subtropical mountain systems</t>
        </is>
      </c>
      <c r="B1324" s="408" t="inlineStr">
        <is>
          <t>Eastern Africa</t>
        </is>
      </c>
      <c r="C1324" s="567">
        <f>CONCATENATE(A1324,B1324)</f>
        <v/>
      </c>
      <c r="D1324" s="44" t="n">
        <v>10</v>
      </c>
      <c r="E1324" s="44" t="n">
        <v>10</v>
      </c>
    </row>
    <row r="1325" customFormat="1" s="21">
      <c r="A1325" s="20" t="inlineStr">
        <is>
          <t>Planted Subtropical mountain systems</t>
        </is>
      </c>
      <c r="B1325" s="401" t="inlineStr">
        <is>
          <t>Central Africa</t>
        </is>
      </c>
      <c r="C1325" s="55">
        <f>CONCATENATE(A1325,B1325)</f>
        <v/>
      </c>
      <c r="D1325" s="41" t="n">
        <v>10</v>
      </c>
      <c r="E1325" s="41" t="n">
        <v>10</v>
      </c>
    </row>
    <row r="1326" customFormat="1" s="21">
      <c r="A1326" s="20" t="inlineStr">
        <is>
          <t>Planted Subtropical mountain systems</t>
        </is>
      </c>
      <c r="B1326" s="401" t="inlineStr">
        <is>
          <t>Northern Africa</t>
        </is>
      </c>
      <c r="C1326" s="55">
        <f>CONCATENATE(A1326,B1326)</f>
        <v/>
      </c>
      <c r="D1326" s="41" t="n">
        <v>10</v>
      </c>
      <c r="E1326" s="41" t="n">
        <v>10</v>
      </c>
    </row>
    <row r="1327" customFormat="1" s="21">
      <c r="A1327" s="20" t="inlineStr">
        <is>
          <t>Planted Subtropical mountain systems</t>
        </is>
      </c>
      <c r="B1327" s="401" t="inlineStr">
        <is>
          <t>Southern Africa</t>
        </is>
      </c>
      <c r="C1327" s="55">
        <f>CONCATENATE(A1327,B1327)</f>
        <v/>
      </c>
      <c r="D1327" s="41" t="n">
        <v>10</v>
      </c>
      <c r="E1327" s="41" t="n">
        <v>10</v>
      </c>
    </row>
    <row r="1328" customFormat="1" s="21">
      <c r="A1328" s="20" t="inlineStr">
        <is>
          <t>Planted Subtropical mountain systems</t>
        </is>
      </c>
      <c r="B1328" s="401" t="inlineStr">
        <is>
          <t>Western Africa</t>
        </is>
      </c>
      <c r="C1328" s="55">
        <f>CONCATENATE(A1328,B1328)</f>
        <v/>
      </c>
      <c r="D1328" s="41" t="n">
        <v>10</v>
      </c>
      <c r="E1328" s="41" t="n">
        <v>10</v>
      </c>
    </row>
    <row r="1329" customFormat="1" s="21">
      <c r="A1329" s="20" t="inlineStr">
        <is>
          <t>Planted Subtropical mountain systems</t>
        </is>
      </c>
      <c r="B1329" s="401" t="inlineStr">
        <is>
          <t>Central Asia</t>
        </is>
      </c>
      <c r="C1329" s="55">
        <f>CONCATENATE(A1329,B1329)</f>
        <v/>
      </c>
      <c r="D1329" s="41">
        <f>AVERAGE(1,12)</f>
        <v/>
      </c>
      <c r="E1329" s="41">
        <f>AVERAGE(1,12)</f>
        <v/>
      </c>
    </row>
    <row r="1330" customFormat="1" s="21">
      <c r="A1330" s="20" t="inlineStr">
        <is>
          <t>Planted Subtropical mountain systems</t>
        </is>
      </c>
      <c r="B1330" s="401" t="inlineStr">
        <is>
          <t>Eastern Asia</t>
        </is>
      </c>
      <c r="C1330" s="55">
        <f>CONCATENATE(A1330,B1330)</f>
        <v/>
      </c>
      <c r="D1330" s="41">
        <f>AVERAGE(1,12)</f>
        <v/>
      </c>
      <c r="E1330" s="41">
        <f>AVERAGE(1,12)</f>
        <v/>
      </c>
    </row>
    <row r="1331" customFormat="1" s="21">
      <c r="A1331" s="20" t="inlineStr">
        <is>
          <t>Planted Subtropical mountain systems</t>
        </is>
      </c>
      <c r="B1331" s="401" t="inlineStr">
        <is>
          <t>South-eastern Asia</t>
        </is>
      </c>
      <c r="C1331" s="55">
        <f>CONCATENATE(A1331,B1331)</f>
        <v/>
      </c>
      <c r="D1331" s="41">
        <f>AVERAGE(1,12)</f>
        <v/>
      </c>
      <c r="E1331" s="41">
        <f>AVERAGE(1,12)</f>
        <v/>
      </c>
    </row>
    <row r="1332" customFormat="1" s="21">
      <c r="A1332" s="20" t="inlineStr">
        <is>
          <t>Planted Subtropical mountain systems</t>
        </is>
      </c>
      <c r="B1332" s="401" t="inlineStr">
        <is>
          <t>Southern Asia</t>
        </is>
      </c>
      <c r="C1332" s="55">
        <f>CONCATENATE(A1332,B1332)</f>
        <v/>
      </c>
      <c r="D1332" s="41">
        <f>AVERAGE(1,12)</f>
        <v/>
      </c>
      <c r="E1332" s="41">
        <f>AVERAGE(1,12)</f>
        <v/>
      </c>
    </row>
    <row r="1333" customFormat="1" s="21">
      <c r="A1333" s="20" t="inlineStr">
        <is>
          <t>Planted Subtropical mountain systems</t>
        </is>
      </c>
      <c r="B1333" s="401" t="inlineStr">
        <is>
          <t>Western Asia</t>
        </is>
      </c>
      <c r="C1333" s="55">
        <f>CONCATENATE(A1333,B1333)</f>
        <v/>
      </c>
      <c r="D1333" s="41">
        <f>AVERAGE(1,12)</f>
        <v/>
      </c>
      <c r="E1333" s="41">
        <f>AVERAGE(1,12)</f>
        <v/>
      </c>
    </row>
    <row r="1334" customFormat="1" s="21">
      <c r="A1334" s="20" t="inlineStr">
        <is>
          <t>Planted Subtropical mountain systems</t>
        </is>
      </c>
      <c r="B1334" s="401" t="inlineStr">
        <is>
          <t>Europe</t>
        </is>
      </c>
      <c r="C1334" s="55">
        <f>CONCATENATE(A1334,B1334)</f>
        <v/>
      </c>
      <c r="D1334" s="163" t="n">
        <v>5</v>
      </c>
      <c r="E1334" s="163" t="n">
        <v>5</v>
      </c>
    </row>
    <row r="1335" customFormat="1" s="21">
      <c r="A1335" s="20" t="inlineStr">
        <is>
          <t>Planted Subtropical mountain systems</t>
        </is>
      </c>
      <c r="B1335" s="401" t="inlineStr">
        <is>
          <t>Oceania</t>
        </is>
      </c>
      <c r="C1335" s="55">
        <f>CONCATENATE(A1335,B1335)</f>
        <v/>
      </c>
      <c r="D1335" s="163" t="n">
        <v>5</v>
      </c>
      <c r="E1335" s="163" t="n">
        <v>5</v>
      </c>
    </row>
    <row r="1336" customFormat="1" s="21">
      <c r="A1336" s="20" t="inlineStr">
        <is>
          <t>Planted Subtropical mountain systems</t>
        </is>
      </c>
      <c r="B1336" s="401" t="inlineStr">
        <is>
          <t>North America</t>
        </is>
      </c>
      <c r="C1336" s="55">
        <f>CONCATENATE(A1336,B1336)</f>
        <v/>
      </c>
      <c r="D1336" s="41">
        <f>AVERAGE(2,18)</f>
        <v/>
      </c>
      <c r="E1336" s="41">
        <f>AVERAGE(2,18)</f>
        <v/>
      </c>
    </row>
    <row r="1337" customFormat="1" s="21">
      <c r="A1337" s="20" t="inlineStr">
        <is>
          <t>Planted Subtropical mountain systems</t>
        </is>
      </c>
      <c r="B1337" s="401" t="inlineStr">
        <is>
          <t>South America</t>
        </is>
      </c>
      <c r="C1337" s="55">
        <f>CONCATENATE(A1337,B1337)</f>
        <v/>
      </c>
      <c r="D1337" s="41">
        <f>AVERAGE(2,18)</f>
        <v/>
      </c>
      <c r="E1337" s="41">
        <f>AVERAGE(2,18)</f>
        <v/>
      </c>
    </row>
    <row r="1338" customFormat="1" s="21">
      <c r="A1338" s="20" t="inlineStr">
        <is>
          <t>Planted Subtropical mountain systems</t>
        </is>
      </c>
      <c r="B1338" s="401" t="inlineStr">
        <is>
          <t>Central America</t>
        </is>
      </c>
      <c r="C1338" s="55">
        <f>CONCATENATE(A1338,B1338)</f>
        <v/>
      </c>
      <c r="D1338" s="363">
        <f>AVERAGE(2,18)</f>
        <v/>
      </c>
      <c r="E1338" s="363">
        <f>AVERAGE(2,18)</f>
        <v/>
      </c>
    </row>
    <row r="1339" customFormat="1" s="292">
      <c r="A1339" s="37" t="inlineStr">
        <is>
          <t>Planted Subtropical mountain systems</t>
        </is>
      </c>
      <c r="B1339" s="402" t="inlineStr">
        <is>
          <t>Caribbean</t>
        </is>
      </c>
      <c r="C1339" s="579">
        <f>CONCATENATE(A1339,B1339)</f>
        <v/>
      </c>
      <c r="D1339" s="363">
        <f>AVERAGE(2,18)</f>
        <v/>
      </c>
      <c r="E1339" s="363">
        <f>AVERAGE(2,18)</f>
        <v/>
      </c>
    </row>
    <row r="1340" customFormat="1" s="291">
      <c r="A1340" s="63" t="inlineStr">
        <is>
          <t>Planted Temperate mountain systems</t>
        </is>
      </c>
      <c r="B1340" s="408" t="inlineStr">
        <is>
          <t>Eastern Africa</t>
        </is>
      </c>
      <c r="C1340" s="569">
        <f>CONCATENATE(A1340,B1340)</f>
        <v/>
      </c>
      <c r="D1340" s="645" t="n">
        <v>3</v>
      </c>
      <c r="E1340" s="476" t="n">
        <v>3</v>
      </c>
    </row>
    <row r="1341" customFormat="1" s="21">
      <c r="A1341" s="20" t="inlineStr">
        <is>
          <t>Planted Temperate mountain systems</t>
        </is>
      </c>
      <c r="B1341" s="401" t="inlineStr">
        <is>
          <t>Central Africa</t>
        </is>
      </c>
      <c r="C1341" s="572">
        <f>CONCATENATE(A1341,B1341)</f>
        <v/>
      </c>
      <c r="D1341" s="643" t="n">
        <v>3</v>
      </c>
      <c r="E1341" s="477" t="n">
        <v>3</v>
      </c>
    </row>
    <row r="1342" customFormat="1" s="21">
      <c r="A1342" s="20" t="inlineStr">
        <is>
          <t>Planted Temperate mountain systems</t>
        </is>
      </c>
      <c r="B1342" s="401" t="inlineStr">
        <is>
          <t>Northern Africa</t>
        </is>
      </c>
      <c r="C1342" s="572">
        <f>CONCATENATE(A1342,B1342)</f>
        <v/>
      </c>
      <c r="D1342" s="643" t="n">
        <v>3</v>
      </c>
      <c r="E1342" s="477" t="n">
        <v>3</v>
      </c>
    </row>
    <row r="1343" customFormat="1" s="21">
      <c r="A1343" s="20" t="inlineStr">
        <is>
          <t>Planted Temperate mountain systems</t>
        </is>
      </c>
      <c r="B1343" s="401" t="inlineStr">
        <is>
          <t>Southern Africa</t>
        </is>
      </c>
      <c r="C1343" s="572">
        <f>CONCATENATE(A1343,B1343)</f>
        <v/>
      </c>
      <c r="D1343" s="643" t="n">
        <v>3</v>
      </c>
      <c r="E1343" s="477" t="n">
        <v>3</v>
      </c>
    </row>
    <row r="1344" customFormat="1" s="21">
      <c r="A1344" s="20" t="inlineStr">
        <is>
          <t>Planted Temperate mountain systems</t>
        </is>
      </c>
      <c r="B1344" s="401" t="inlineStr">
        <is>
          <t>Western Africa</t>
        </is>
      </c>
      <c r="C1344" s="572">
        <f>CONCATENATE(A1344,B1344)</f>
        <v/>
      </c>
      <c r="D1344" s="643" t="n">
        <v>3</v>
      </c>
      <c r="E1344" s="477" t="n">
        <v>3</v>
      </c>
    </row>
    <row r="1345" customFormat="1" s="21">
      <c r="A1345" s="20" t="inlineStr">
        <is>
          <t>Planted Temperate mountain systems</t>
        </is>
      </c>
      <c r="B1345" s="401" t="inlineStr">
        <is>
          <t>Central Asia</t>
        </is>
      </c>
      <c r="C1345" s="572">
        <f>CONCATENATE(A1345,B1345)</f>
        <v/>
      </c>
      <c r="D1345" s="471" t="n">
        <v>3</v>
      </c>
      <c r="E1345" s="651" t="n">
        <v>3</v>
      </c>
    </row>
    <row r="1346" customFormat="1" s="21">
      <c r="A1346" s="20" t="inlineStr">
        <is>
          <t>Planted Temperate mountain systems</t>
        </is>
      </c>
      <c r="B1346" s="401" t="inlineStr">
        <is>
          <t>Eastern Asia</t>
        </is>
      </c>
      <c r="C1346" s="572">
        <f>CONCATENATE(A1346,B1346)</f>
        <v/>
      </c>
      <c r="D1346" s="471" t="n">
        <v>3</v>
      </c>
      <c r="E1346" s="651" t="n">
        <v>3</v>
      </c>
    </row>
    <row r="1347" customFormat="1" s="21">
      <c r="A1347" s="20" t="inlineStr">
        <is>
          <t>Planted Temperate mountain systems</t>
        </is>
      </c>
      <c r="B1347" s="401" t="inlineStr">
        <is>
          <t>South-eastern Asia</t>
        </is>
      </c>
      <c r="C1347" s="572">
        <f>CONCATENATE(A1347,B1347)</f>
        <v/>
      </c>
      <c r="D1347" s="471" t="n">
        <v>3</v>
      </c>
      <c r="E1347" s="651" t="n">
        <v>3</v>
      </c>
    </row>
    <row r="1348" customFormat="1" s="21">
      <c r="A1348" s="20" t="inlineStr">
        <is>
          <t>Planted Temperate mountain systems</t>
        </is>
      </c>
      <c r="B1348" s="401" t="inlineStr">
        <is>
          <t>Southern Asia</t>
        </is>
      </c>
      <c r="C1348" s="572">
        <f>CONCATENATE(A1348,B1348)</f>
        <v/>
      </c>
      <c r="D1348" s="471" t="n">
        <v>3</v>
      </c>
      <c r="E1348" s="651" t="n">
        <v>3</v>
      </c>
    </row>
    <row r="1349" customFormat="1" s="21">
      <c r="A1349" s="20" t="inlineStr">
        <is>
          <t>Planted Temperate mountain systems</t>
        </is>
      </c>
      <c r="B1349" s="401" t="inlineStr">
        <is>
          <t>Western Asia</t>
        </is>
      </c>
      <c r="C1349" s="572">
        <f>CONCATENATE(A1349,B1349)</f>
        <v/>
      </c>
      <c r="D1349" s="471" t="n">
        <v>3</v>
      </c>
      <c r="E1349" s="651" t="n">
        <v>3</v>
      </c>
    </row>
    <row r="1350" customFormat="1" s="21">
      <c r="A1350" s="20" t="inlineStr">
        <is>
          <t>Planted Temperate mountain systems</t>
        </is>
      </c>
      <c r="B1350" s="401" t="inlineStr">
        <is>
          <t>Europe</t>
        </is>
      </c>
      <c r="C1350" s="572">
        <f>CONCATENATE(A1350,B1350)</f>
        <v/>
      </c>
      <c r="D1350" s="471" t="n">
        <v>3</v>
      </c>
      <c r="E1350" s="651" t="n">
        <v>3</v>
      </c>
    </row>
    <row r="1351" customFormat="1" s="21">
      <c r="A1351" s="20" t="inlineStr">
        <is>
          <t>Planted Temperate mountain systems</t>
        </is>
      </c>
      <c r="B1351" s="401" t="inlineStr">
        <is>
          <t>Oceania</t>
        </is>
      </c>
      <c r="C1351" s="572">
        <f>CONCATENATE(A1351,B1351)</f>
        <v/>
      </c>
      <c r="D1351" s="643" t="n">
        <v>3</v>
      </c>
      <c r="E1351" s="477" t="n">
        <v>3</v>
      </c>
    </row>
    <row r="1352" customFormat="1" s="21">
      <c r="A1352" s="20" t="inlineStr">
        <is>
          <t>Planted Temperate mountain systems</t>
        </is>
      </c>
      <c r="B1352" s="401" t="inlineStr">
        <is>
          <t>North America</t>
        </is>
      </c>
      <c r="C1352" s="572">
        <f>CONCATENATE(A1352,B1352)</f>
        <v/>
      </c>
      <c r="D1352" s="471" t="n">
        <v>9</v>
      </c>
      <c r="E1352" s="651" t="n">
        <v>10</v>
      </c>
    </row>
    <row r="1353" customFormat="1" s="21">
      <c r="A1353" s="20" t="inlineStr">
        <is>
          <t>Planted Temperate mountain systems</t>
        </is>
      </c>
      <c r="B1353" s="401" t="inlineStr">
        <is>
          <t>South America</t>
        </is>
      </c>
      <c r="C1353" s="572">
        <f>CONCATENATE(A1353,B1353)</f>
        <v/>
      </c>
      <c r="D1353" s="471" t="n">
        <v>9</v>
      </c>
      <c r="E1353" s="651" t="n">
        <v>10</v>
      </c>
    </row>
    <row r="1354" customFormat="1" s="21">
      <c r="A1354" s="20" t="inlineStr">
        <is>
          <t>Planted Temperate mountain systems</t>
        </is>
      </c>
      <c r="B1354" s="401" t="inlineStr">
        <is>
          <t>Central America</t>
        </is>
      </c>
      <c r="C1354" s="572">
        <f>CONCATENATE(A1354,B1354)</f>
        <v/>
      </c>
      <c r="D1354" s="649" t="n">
        <v>9</v>
      </c>
      <c r="E1354" s="652" t="n">
        <v>10</v>
      </c>
    </row>
    <row r="1355" customFormat="1" s="292">
      <c r="A1355" s="37" t="inlineStr">
        <is>
          <t>Planted Temperate mountain systems</t>
        </is>
      </c>
      <c r="B1355" s="402" t="inlineStr">
        <is>
          <t>Caribbean</t>
        </is>
      </c>
      <c r="C1355" s="420">
        <f>CONCATENATE(A1355,B1355)</f>
        <v/>
      </c>
      <c r="D1355" s="2810" t="n">
        <v>9</v>
      </c>
      <c r="E1355" s="2811" t="n">
        <v>10</v>
      </c>
    </row>
    <row r="1356" customFormat="1" s="291">
      <c r="A1356" s="63" t="inlineStr">
        <is>
          <t>Planted Temperate continental forest</t>
        </is>
      </c>
      <c r="B1356" s="408" t="inlineStr">
        <is>
          <t>Eastern Africa</t>
        </is>
      </c>
      <c r="C1356" s="567">
        <f>CONCATENATE(A1356,B1356)</f>
        <v/>
      </c>
      <c r="D1356" s="643" t="n">
        <v>4</v>
      </c>
      <c r="E1356" s="643" t="n">
        <v>4</v>
      </c>
    </row>
    <row r="1357" customFormat="1" s="21">
      <c r="A1357" s="20" t="inlineStr">
        <is>
          <t>Planted Temperate continental forest</t>
        </is>
      </c>
      <c r="B1357" s="401" t="inlineStr">
        <is>
          <t>Central Africa</t>
        </is>
      </c>
      <c r="C1357" s="55">
        <f>CONCATENATE(A1357,B1357)</f>
        <v/>
      </c>
      <c r="D1357" s="643" t="n">
        <v>4</v>
      </c>
      <c r="E1357" s="643" t="n">
        <v>4</v>
      </c>
    </row>
    <row r="1358" customFormat="1" s="21">
      <c r="A1358" s="20" t="inlineStr">
        <is>
          <t>Planted Temperate continental forest</t>
        </is>
      </c>
      <c r="B1358" s="401" t="inlineStr">
        <is>
          <t>Northern Africa</t>
        </is>
      </c>
      <c r="C1358" s="55">
        <f>CONCATENATE(A1358,B1358)</f>
        <v/>
      </c>
      <c r="D1358" s="643" t="n">
        <v>4</v>
      </c>
      <c r="E1358" s="643" t="n">
        <v>4</v>
      </c>
    </row>
    <row r="1359" customFormat="1" s="21">
      <c r="A1359" s="20" t="inlineStr">
        <is>
          <t>Planted Temperate continental forest</t>
        </is>
      </c>
      <c r="B1359" s="401" t="inlineStr">
        <is>
          <t>Southern Africa</t>
        </is>
      </c>
      <c r="C1359" s="55">
        <f>CONCATENATE(A1359,B1359)</f>
        <v/>
      </c>
      <c r="D1359" s="643" t="n">
        <v>4</v>
      </c>
      <c r="E1359" s="643" t="n">
        <v>4</v>
      </c>
    </row>
    <row r="1360" customFormat="1" s="21">
      <c r="A1360" s="20" t="inlineStr">
        <is>
          <t>Planted Temperate continental forest</t>
        </is>
      </c>
      <c r="B1360" s="401" t="inlineStr">
        <is>
          <t>Western Africa</t>
        </is>
      </c>
      <c r="C1360" s="55">
        <f>CONCATENATE(A1360,B1360)</f>
        <v/>
      </c>
      <c r="D1360" s="643" t="n">
        <v>4</v>
      </c>
      <c r="E1360" s="643" t="n">
        <v>4</v>
      </c>
    </row>
    <row r="1361" customFormat="1" s="21">
      <c r="A1361" s="20" t="inlineStr">
        <is>
          <t>Planted Temperate continental forest</t>
        </is>
      </c>
      <c r="B1361" s="401" t="inlineStr">
        <is>
          <t>Central Asia</t>
        </is>
      </c>
      <c r="C1361" s="55">
        <f>CONCATENATE(A1361,B1361)</f>
        <v/>
      </c>
      <c r="D1361" s="471" t="n">
        <v>4</v>
      </c>
      <c r="E1361" s="471" t="n">
        <v>4</v>
      </c>
    </row>
    <row r="1362" customFormat="1" s="21">
      <c r="A1362" s="20" t="inlineStr">
        <is>
          <t>Planted Temperate continental forest</t>
        </is>
      </c>
      <c r="B1362" s="401" t="inlineStr">
        <is>
          <t>Eastern Asia</t>
        </is>
      </c>
      <c r="C1362" s="55">
        <f>CONCATENATE(A1362,B1362)</f>
        <v/>
      </c>
      <c r="D1362" s="471" t="n">
        <v>4</v>
      </c>
      <c r="E1362" s="471" t="n">
        <v>4</v>
      </c>
    </row>
    <row r="1363" customFormat="1" s="21">
      <c r="A1363" s="20" t="inlineStr">
        <is>
          <t>Planted Temperate continental forest</t>
        </is>
      </c>
      <c r="B1363" s="401" t="inlineStr">
        <is>
          <t>South-eastern Asia</t>
        </is>
      </c>
      <c r="C1363" s="55">
        <f>CONCATENATE(A1363,B1363)</f>
        <v/>
      </c>
      <c r="D1363" s="471" t="n">
        <v>4</v>
      </c>
      <c r="E1363" s="471" t="n">
        <v>4</v>
      </c>
    </row>
    <row r="1364" customFormat="1" s="21">
      <c r="A1364" s="20" t="inlineStr">
        <is>
          <t>Planted Temperate continental forest</t>
        </is>
      </c>
      <c r="B1364" s="401" t="inlineStr">
        <is>
          <t>Southern Asia</t>
        </is>
      </c>
      <c r="C1364" s="55">
        <f>CONCATENATE(A1364,B1364)</f>
        <v/>
      </c>
      <c r="D1364" s="471" t="n">
        <v>4</v>
      </c>
      <c r="E1364" s="471" t="n">
        <v>4</v>
      </c>
    </row>
    <row r="1365" customFormat="1" s="21">
      <c r="A1365" s="20" t="inlineStr">
        <is>
          <t>Planted Temperate continental forest</t>
        </is>
      </c>
      <c r="B1365" s="401" t="inlineStr">
        <is>
          <t>Western Asia</t>
        </is>
      </c>
      <c r="C1365" s="55">
        <f>CONCATENATE(A1365,B1365)</f>
        <v/>
      </c>
      <c r="D1365" s="471" t="n">
        <v>4</v>
      </c>
      <c r="E1365" s="471" t="n">
        <v>4</v>
      </c>
    </row>
    <row r="1366" customFormat="1" s="21">
      <c r="A1366" s="20" t="inlineStr">
        <is>
          <t>Planted Temperate continental forest</t>
        </is>
      </c>
      <c r="B1366" s="401" t="inlineStr">
        <is>
          <t>Europe</t>
        </is>
      </c>
      <c r="C1366" s="55">
        <f>CONCATENATE(A1366,B1366)</f>
        <v/>
      </c>
      <c r="D1366" s="471" t="n">
        <v>4</v>
      </c>
      <c r="E1366" s="471" t="n">
        <v>4</v>
      </c>
    </row>
    <row r="1367" customFormat="1" s="21">
      <c r="A1367" s="20" t="inlineStr">
        <is>
          <t>Planted Temperate continental forest</t>
        </is>
      </c>
      <c r="B1367" s="401" t="inlineStr">
        <is>
          <t>Oceania</t>
        </is>
      </c>
      <c r="C1367" s="55">
        <f>CONCATENATE(A1367,B1367)</f>
        <v/>
      </c>
      <c r="D1367" s="643" t="n">
        <v>4</v>
      </c>
      <c r="E1367" s="643" t="n">
        <v>4</v>
      </c>
    </row>
    <row r="1368" customFormat="1" s="21">
      <c r="A1368" s="20" t="inlineStr">
        <is>
          <t>Planted Temperate continental forest</t>
        </is>
      </c>
      <c r="B1368" s="401" t="inlineStr">
        <is>
          <t>North America</t>
        </is>
      </c>
      <c r="C1368" s="55">
        <f>CONCATENATE(A1368,B1368)</f>
        <v/>
      </c>
      <c r="D1368" s="471" t="n">
        <v>4</v>
      </c>
      <c r="E1368" s="471" t="n">
        <v>5</v>
      </c>
    </row>
    <row r="1369" customFormat="1" s="21">
      <c r="A1369" s="20" t="inlineStr">
        <is>
          <t>Planted Temperate continental forest</t>
        </is>
      </c>
      <c r="B1369" s="401" t="inlineStr">
        <is>
          <t>South America</t>
        </is>
      </c>
      <c r="C1369" s="55">
        <f>CONCATENATE(A1369,B1369)</f>
        <v/>
      </c>
      <c r="D1369" s="471" t="n">
        <v>4</v>
      </c>
      <c r="E1369" s="471" t="n">
        <v>5</v>
      </c>
    </row>
    <row r="1370" customFormat="1" s="21">
      <c r="A1370" s="20" t="inlineStr">
        <is>
          <t>Planted Temperate continental forest</t>
        </is>
      </c>
      <c r="B1370" s="401" t="inlineStr">
        <is>
          <t>Central America</t>
        </is>
      </c>
      <c r="C1370" s="55">
        <f>CONCATENATE(A1370,B1370)</f>
        <v/>
      </c>
      <c r="D1370" s="649" t="n">
        <v>4</v>
      </c>
      <c r="E1370" s="649" t="n">
        <v>5</v>
      </c>
    </row>
    <row r="1371" customFormat="1" s="292">
      <c r="A1371" s="37" t="inlineStr">
        <is>
          <t>Planted Temperate continental forest</t>
        </is>
      </c>
      <c r="B1371" s="402" t="inlineStr">
        <is>
          <t>Caribbean</t>
        </is>
      </c>
      <c r="C1371" s="579">
        <f>CONCATENATE(A1371,B1371)</f>
        <v/>
      </c>
      <c r="D1371" s="649" t="n">
        <v>4</v>
      </c>
      <c r="E1371" s="649" t="n">
        <v>5</v>
      </c>
    </row>
    <row r="1372" customFormat="1" s="291">
      <c r="A1372" s="63" t="inlineStr">
        <is>
          <t>Planted Temperate oceanic forest</t>
        </is>
      </c>
      <c r="B1372" s="408" t="inlineStr">
        <is>
          <t>Eastern Africa</t>
        </is>
      </c>
      <c r="C1372" s="569">
        <f>CONCATENATE(A1372,B1372)</f>
        <v/>
      </c>
      <c r="D1372" s="464" t="n">
        <v>4.4</v>
      </c>
      <c r="E1372" s="464" t="n">
        <v>4.4</v>
      </c>
    </row>
    <row r="1373" customFormat="1" s="21">
      <c r="A1373" s="20" t="inlineStr">
        <is>
          <t>Planted Temperate oceanic forest</t>
        </is>
      </c>
      <c r="B1373" s="401" t="inlineStr">
        <is>
          <t>Central Africa</t>
        </is>
      </c>
      <c r="C1373" s="572">
        <f>CONCATENATE(A1373,B1373)</f>
        <v/>
      </c>
      <c r="D1373" s="163" t="n">
        <v>4.4</v>
      </c>
      <c r="E1373" s="163" t="n">
        <v>4.4</v>
      </c>
    </row>
    <row r="1374" customFormat="1" s="21">
      <c r="A1374" s="20" t="inlineStr">
        <is>
          <t>Planted Temperate oceanic forest</t>
        </is>
      </c>
      <c r="B1374" s="401" t="inlineStr">
        <is>
          <t>Northern Africa</t>
        </is>
      </c>
      <c r="C1374" s="572">
        <f>CONCATENATE(A1374,B1374)</f>
        <v/>
      </c>
      <c r="D1374" s="163" t="n">
        <v>4.4</v>
      </c>
      <c r="E1374" s="163" t="n">
        <v>4.4</v>
      </c>
    </row>
    <row r="1375" customFormat="1" s="21">
      <c r="A1375" s="20" t="inlineStr">
        <is>
          <t>Planted Temperate oceanic forest</t>
        </is>
      </c>
      <c r="B1375" s="401" t="inlineStr">
        <is>
          <t>Southern Africa</t>
        </is>
      </c>
      <c r="C1375" s="572">
        <f>CONCATENATE(A1375,B1375)</f>
        <v/>
      </c>
      <c r="D1375" s="163" t="n">
        <v>4.4</v>
      </c>
      <c r="E1375" s="163" t="n">
        <v>4.4</v>
      </c>
    </row>
    <row r="1376" customFormat="1" s="21">
      <c r="A1376" s="20" t="inlineStr">
        <is>
          <t>Planted Temperate oceanic forest</t>
        </is>
      </c>
      <c r="B1376" s="401" t="inlineStr">
        <is>
          <t>Western Africa</t>
        </is>
      </c>
      <c r="C1376" s="572">
        <f>CONCATENATE(A1376,B1376)</f>
        <v/>
      </c>
      <c r="D1376" s="163" t="n">
        <v>4.4</v>
      </c>
      <c r="E1376" s="163" t="n">
        <v>4.4</v>
      </c>
    </row>
    <row r="1377" customFormat="1" s="21">
      <c r="A1377" s="20" t="inlineStr">
        <is>
          <t>Planted Temperate oceanic forest</t>
        </is>
      </c>
      <c r="B1377" s="401" t="inlineStr">
        <is>
          <t>Central Asia</t>
        </is>
      </c>
      <c r="C1377" s="572">
        <f>CONCATENATE(A1377,B1377)</f>
        <v/>
      </c>
      <c r="D1377" s="41" t="n">
        <v>4.4</v>
      </c>
      <c r="E1377" s="41" t="n">
        <v>4.4</v>
      </c>
    </row>
    <row r="1378" customFormat="1" s="21">
      <c r="A1378" s="20" t="inlineStr">
        <is>
          <t>Planted Temperate oceanic forest</t>
        </is>
      </c>
      <c r="B1378" s="401" t="inlineStr">
        <is>
          <t>Eastern Asia</t>
        </is>
      </c>
      <c r="C1378" s="572">
        <f>CONCATENATE(A1378,B1378)</f>
        <v/>
      </c>
      <c r="D1378" s="41" t="n">
        <v>4.4</v>
      </c>
      <c r="E1378" s="41" t="n">
        <v>4.4</v>
      </c>
    </row>
    <row r="1379" customFormat="1" s="21">
      <c r="A1379" s="20" t="inlineStr">
        <is>
          <t>Planted Temperate oceanic forest</t>
        </is>
      </c>
      <c r="B1379" s="401" t="inlineStr">
        <is>
          <t>South-eastern Asia</t>
        </is>
      </c>
      <c r="C1379" s="572">
        <f>CONCATENATE(A1379,B1379)</f>
        <v/>
      </c>
      <c r="D1379" s="41" t="n">
        <v>4.4</v>
      </c>
      <c r="E1379" s="41" t="n">
        <v>4.4</v>
      </c>
    </row>
    <row r="1380" customFormat="1" s="21">
      <c r="A1380" s="20" t="inlineStr">
        <is>
          <t>Planted Temperate oceanic forest</t>
        </is>
      </c>
      <c r="B1380" s="401" t="inlineStr">
        <is>
          <t>Southern Asia</t>
        </is>
      </c>
      <c r="C1380" s="572">
        <f>CONCATENATE(A1380,B1380)</f>
        <v/>
      </c>
      <c r="D1380" s="41" t="n">
        <v>4.4</v>
      </c>
      <c r="E1380" s="41" t="n">
        <v>4.4</v>
      </c>
    </row>
    <row r="1381" customFormat="1" s="21">
      <c r="A1381" s="20" t="inlineStr">
        <is>
          <t>Planted Temperate oceanic forest</t>
        </is>
      </c>
      <c r="B1381" s="401" t="inlineStr">
        <is>
          <t>Western Asia</t>
        </is>
      </c>
      <c r="C1381" s="572">
        <f>CONCATENATE(A1381,B1381)</f>
        <v/>
      </c>
      <c r="D1381" s="41" t="n">
        <v>4.4</v>
      </c>
      <c r="E1381" s="41" t="n">
        <v>4.4</v>
      </c>
    </row>
    <row r="1382" customFormat="1" s="21">
      <c r="A1382" s="20" t="inlineStr">
        <is>
          <t>Planted Temperate oceanic forest</t>
        </is>
      </c>
      <c r="B1382" s="401" t="inlineStr">
        <is>
          <t>Europe</t>
        </is>
      </c>
      <c r="C1382" s="572">
        <f>CONCATENATE(A1382,B1382)</f>
        <v/>
      </c>
      <c r="D1382" s="41" t="n">
        <v>4.4</v>
      </c>
      <c r="E1382" s="41" t="n">
        <v>4.4</v>
      </c>
    </row>
    <row r="1383" customFormat="1" s="21">
      <c r="A1383" s="20" t="inlineStr">
        <is>
          <t>Planted Temperate oceanic forest</t>
        </is>
      </c>
      <c r="B1383" s="401" t="inlineStr">
        <is>
          <t>Oceania</t>
        </is>
      </c>
      <c r="C1383" s="572">
        <f>CONCATENATE(A1383,B1383)</f>
        <v/>
      </c>
      <c r="D1383" s="41" t="n">
        <v>4.4</v>
      </c>
      <c r="E1383" s="41" t="n">
        <v>4.4</v>
      </c>
    </row>
    <row r="1384" customFormat="1" s="21">
      <c r="A1384" s="20" t="inlineStr">
        <is>
          <t>Planted Temperate oceanic forest</t>
        </is>
      </c>
      <c r="B1384" s="401" t="inlineStr">
        <is>
          <t>North America</t>
        </is>
      </c>
      <c r="C1384" s="572">
        <f>CONCATENATE(A1384,B1384)</f>
        <v/>
      </c>
      <c r="D1384" s="41" t="n">
        <v>10</v>
      </c>
      <c r="E1384" s="41" t="n">
        <v>6</v>
      </c>
    </row>
    <row r="1385" customFormat="1" s="21">
      <c r="A1385" s="20" t="inlineStr">
        <is>
          <t>Planted Temperate oceanic forest</t>
        </is>
      </c>
      <c r="B1385" s="401" t="inlineStr">
        <is>
          <t>South America</t>
        </is>
      </c>
      <c r="C1385" s="572">
        <f>CONCATENATE(A1385,B1385)</f>
        <v/>
      </c>
      <c r="D1385" s="41" t="n">
        <v>10</v>
      </c>
      <c r="E1385" s="41" t="n">
        <v>6</v>
      </c>
    </row>
    <row r="1386" customFormat="1" s="21">
      <c r="A1386" s="20" t="inlineStr">
        <is>
          <t>Planted Temperate oceanic forest</t>
        </is>
      </c>
      <c r="B1386" s="401" t="inlineStr">
        <is>
          <t>Central America</t>
        </is>
      </c>
      <c r="C1386" s="572">
        <f>CONCATENATE(A1386,B1386)</f>
        <v/>
      </c>
      <c r="D1386" s="363" t="n">
        <v>10</v>
      </c>
      <c r="E1386" s="363" t="n">
        <v>6</v>
      </c>
    </row>
    <row r="1387" customFormat="1" s="292">
      <c r="A1387" s="37" t="inlineStr">
        <is>
          <t>Planted Temperate oceanic forest</t>
        </is>
      </c>
      <c r="B1387" s="402" t="inlineStr">
        <is>
          <t>Caribbean</t>
        </is>
      </c>
      <c r="C1387" s="420">
        <f>CONCATENATE(A1387,B1387)</f>
        <v/>
      </c>
      <c r="D1387" s="363" t="n">
        <v>10</v>
      </c>
      <c r="E1387" s="363" t="n">
        <v>6</v>
      </c>
    </row>
    <row r="1388" customFormat="1" s="291">
      <c r="A1388" s="63" t="inlineStr">
        <is>
          <t>Planted Temperate desert</t>
        </is>
      </c>
      <c r="B1388" s="408" t="inlineStr">
        <is>
          <t>Eastern Africa</t>
        </is>
      </c>
      <c r="C1388" s="569">
        <f>CONCATENATE(A1388,B1388)</f>
        <v/>
      </c>
      <c r="D1388" s="470" t="n">
        <v>0</v>
      </c>
      <c r="E1388" s="474" t="n">
        <v>0</v>
      </c>
    </row>
    <row r="1389" customFormat="1" s="21">
      <c r="A1389" s="20" t="inlineStr">
        <is>
          <t>Planted Temperate desert</t>
        </is>
      </c>
      <c r="B1389" s="401" t="inlineStr">
        <is>
          <t>Central Africa</t>
        </is>
      </c>
      <c r="C1389" s="572">
        <f>CONCATENATE(A1389,B1389)</f>
        <v/>
      </c>
      <c r="D1389" s="467" t="n">
        <v>0</v>
      </c>
      <c r="E1389" s="469" t="n">
        <v>0</v>
      </c>
    </row>
    <row r="1390" customFormat="1" s="21">
      <c r="A1390" s="20" t="inlineStr">
        <is>
          <t>Planted Temperate desert</t>
        </is>
      </c>
      <c r="B1390" s="401" t="inlineStr">
        <is>
          <t>Northern Africa</t>
        </is>
      </c>
      <c r="C1390" s="572">
        <f>CONCATENATE(A1390,B1390)</f>
        <v/>
      </c>
      <c r="D1390" s="467" t="n">
        <v>0</v>
      </c>
      <c r="E1390" s="469" t="n">
        <v>0</v>
      </c>
    </row>
    <row r="1391" customFormat="1" s="21">
      <c r="A1391" s="20" t="inlineStr">
        <is>
          <t>Planted Temperate desert</t>
        </is>
      </c>
      <c r="B1391" s="401" t="inlineStr">
        <is>
          <t>Southern Africa</t>
        </is>
      </c>
      <c r="C1391" s="572">
        <f>CONCATENATE(A1391,B1391)</f>
        <v/>
      </c>
      <c r="D1391" s="467" t="n">
        <v>0</v>
      </c>
      <c r="E1391" s="469" t="n">
        <v>0</v>
      </c>
    </row>
    <row r="1392" customFormat="1" s="21">
      <c r="A1392" s="20" t="inlineStr">
        <is>
          <t>Planted Temperate desert</t>
        </is>
      </c>
      <c r="B1392" s="401" t="inlineStr">
        <is>
          <t>Western Africa</t>
        </is>
      </c>
      <c r="C1392" s="572">
        <f>CONCATENATE(A1392,B1392)</f>
        <v/>
      </c>
      <c r="D1392" s="467" t="n">
        <v>0</v>
      </c>
      <c r="E1392" s="469" t="n">
        <v>0</v>
      </c>
    </row>
    <row r="1393" customFormat="1" s="21">
      <c r="A1393" s="20" t="inlineStr">
        <is>
          <t>Planted Temperate desert</t>
        </is>
      </c>
      <c r="B1393" s="401" t="inlineStr">
        <is>
          <t>Central Asia</t>
        </is>
      </c>
      <c r="C1393" s="572">
        <f>CONCATENATE(A1393,B1393)</f>
        <v/>
      </c>
      <c r="D1393" s="467" t="n">
        <v>0</v>
      </c>
      <c r="E1393" s="469" t="n">
        <v>0</v>
      </c>
    </row>
    <row r="1394" customFormat="1" s="21">
      <c r="A1394" s="20" t="inlineStr">
        <is>
          <t>Planted Temperate desert</t>
        </is>
      </c>
      <c r="B1394" s="401" t="inlineStr">
        <is>
          <t>Eastern Asia</t>
        </is>
      </c>
      <c r="C1394" s="572">
        <f>CONCATENATE(A1394,B1394)</f>
        <v/>
      </c>
      <c r="D1394" s="467" t="n">
        <v>0</v>
      </c>
      <c r="E1394" s="469" t="n">
        <v>0</v>
      </c>
    </row>
    <row r="1395" customFormat="1" s="21">
      <c r="A1395" s="20" t="inlineStr">
        <is>
          <t>Planted Temperate desert</t>
        </is>
      </c>
      <c r="B1395" s="401" t="inlineStr">
        <is>
          <t>South-eastern Asia</t>
        </is>
      </c>
      <c r="C1395" s="572">
        <f>CONCATENATE(A1395,B1395)</f>
        <v/>
      </c>
      <c r="D1395" s="467" t="n">
        <v>0</v>
      </c>
      <c r="E1395" s="469" t="n">
        <v>0</v>
      </c>
    </row>
    <row r="1396" customFormat="1" s="21">
      <c r="A1396" s="20" t="inlineStr">
        <is>
          <t>Planted Temperate desert</t>
        </is>
      </c>
      <c r="B1396" s="401" t="inlineStr">
        <is>
          <t>Southern Asia</t>
        </is>
      </c>
      <c r="C1396" s="572">
        <f>CONCATENATE(A1396,B1396)</f>
        <v/>
      </c>
      <c r="D1396" s="467" t="n">
        <v>0</v>
      </c>
      <c r="E1396" s="469" t="n">
        <v>0</v>
      </c>
    </row>
    <row r="1397" customFormat="1" s="21">
      <c r="A1397" s="20" t="inlineStr">
        <is>
          <t>Planted Temperate desert</t>
        </is>
      </c>
      <c r="B1397" s="401" t="inlineStr">
        <is>
          <t>Western Asia</t>
        </is>
      </c>
      <c r="C1397" s="572">
        <f>CONCATENATE(A1397,B1397)</f>
        <v/>
      </c>
      <c r="D1397" s="467" t="n">
        <v>0</v>
      </c>
      <c r="E1397" s="469" t="n">
        <v>0</v>
      </c>
    </row>
    <row r="1398" customFormat="1" s="21">
      <c r="A1398" s="20" t="inlineStr">
        <is>
          <t>Planted Temperate desert</t>
        </is>
      </c>
      <c r="B1398" s="401" t="inlineStr">
        <is>
          <t>Europe</t>
        </is>
      </c>
      <c r="C1398" s="572">
        <f>CONCATENATE(A1398,B1398)</f>
        <v/>
      </c>
      <c r="D1398" s="467" t="n">
        <v>0</v>
      </c>
      <c r="E1398" s="469" t="n">
        <v>0</v>
      </c>
    </row>
    <row r="1399" customFormat="1" s="21">
      <c r="A1399" s="20" t="inlineStr">
        <is>
          <t>Planted Temperate desert</t>
        </is>
      </c>
      <c r="B1399" s="401" t="inlineStr">
        <is>
          <t>Oceania</t>
        </is>
      </c>
      <c r="C1399" s="572">
        <f>CONCATENATE(A1399,B1399)</f>
        <v/>
      </c>
      <c r="D1399" s="467" t="n">
        <v>0</v>
      </c>
      <c r="E1399" s="469" t="n">
        <v>0</v>
      </c>
    </row>
    <row r="1400" customFormat="1" s="21">
      <c r="A1400" s="20" t="inlineStr">
        <is>
          <t>Planted Temperate desert</t>
        </is>
      </c>
      <c r="B1400" s="401" t="inlineStr">
        <is>
          <t>North America</t>
        </is>
      </c>
      <c r="C1400" s="572">
        <f>CONCATENATE(A1400,B1400)</f>
        <v/>
      </c>
      <c r="D1400" s="467" t="n">
        <v>0</v>
      </c>
      <c r="E1400" s="469" t="n">
        <v>0</v>
      </c>
    </row>
    <row r="1401" customFormat="1" s="21">
      <c r="A1401" s="20" t="inlineStr">
        <is>
          <t>Planted Temperate desert</t>
        </is>
      </c>
      <c r="B1401" s="401" t="inlineStr">
        <is>
          <t>South America</t>
        </is>
      </c>
      <c r="C1401" s="572">
        <f>CONCATENATE(A1401,B1401)</f>
        <v/>
      </c>
      <c r="D1401" s="467" t="n">
        <v>0</v>
      </c>
      <c r="E1401" s="469" t="n">
        <v>0</v>
      </c>
    </row>
    <row r="1402" customFormat="1" s="21">
      <c r="A1402" s="20" t="inlineStr">
        <is>
          <t>Planted Temperate desert</t>
        </is>
      </c>
      <c r="B1402" s="401" t="inlineStr">
        <is>
          <t>Central America</t>
        </is>
      </c>
      <c r="C1402" s="572">
        <f>CONCATENATE(A1402,B1402)</f>
        <v/>
      </c>
      <c r="D1402" s="467" t="n">
        <v>0</v>
      </c>
      <c r="E1402" s="469" t="n">
        <v>0</v>
      </c>
    </row>
    <row r="1403" customFormat="1" s="292">
      <c r="A1403" s="37" t="inlineStr">
        <is>
          <t>Planted Temperate desert</t>
        </is>
      </c>
      <c r="B1403" s="402" t="inlineStr">
        <is>
          <t>Caribbean</t>
        </is>
      </c>
      <c r="C1403" s="420">
        <f>CONCATENATE(A1403,B1403)</f>
        <v/>
      </c>
      <c r="D1403" s="654" t="n">
        <v>0</v>
      </c>
      <c r="E1403" s="653" t="n">
        <v>0</v>
      </c>
    </row>
    <row r="1404" customFormat="1" s="291">
      <c r="A1404" s="63" t="inlineStr">
        <is>
          <t>Planted Temperate steppe</t>
        </is>
      </c>
      <c r="B1404" s="408" t="inlineStr">
        <is>
          <t>Eastern Africa</t>
        </is>
      </c>
      <c r="C1404" s="567">
        <f>CONCATENATE(A1404,B1404)</f>
        <v/>
      </c>
      <c r="D1404" s="471" t="n">
        <v>11</v>
      </c>
      <c r="E1404" s="471" t="n">
        <v>4</v>
      </c>
    </row>
    <row r="1405" customFormat="1" s="21">
      <c r="A1405" s="20" t="inlineStr">
        <is>
          <t>Planted Temperate steppe</t>
        </is>
      </c>
      <c r="B1405" s="401" t="inlineStr">
        <is>
          <t>Central Africa</t>
        </is>
      </c>
      <c r="C1405" s="55">
        <f>CONCATENATE(A1405,B1405)</f>
        <v/>
      </c>
      <c r="D1405" s="471" t="n">
        <v>11</v>
      </c>
      <c r="E1405" s="471" t="n">
        <v>4</v>
      </c>
    </row>
    <row r="1406" customFormat="1" s="21">
      <c r="A1406" s="20" t="inlineStr">
        <is>
          <t>Planted Temperate steppe</t>
        </is>
      </c>
      <c r="B1406" s="401" t="inlineStr">
        <is>
          <t>Northern Africa</t>
        </is>
      </c>
      <c r="C1406" s="55">
        <f>CONCATENATE(A1406,B1406)</f>
        <v/>
      </c>
      <c r="D1406" s="471" t="n">
        <v>11</v>
      </c>
      <c r="E1406" s="471" t="n">
        <v>4</v>
      </c>
    </row>
    <row r="1407" customFormat="1" s="21">
      <c r="A1407" s="20" t="inlineStr">
        <is>
          <t>Planted Temperate steppe</t>
        </is>
      </c>
      <c r="B1407" s="401" t="inlineStr">
        <is>
          <t>Southern Africa</t>
        </is>
      </c>
      <c r="C1407" s="55">
        <f>CONCATENATE(A1407,B1407)</f>
        <v/>
      </c>
      <c r="D1407" s="471" t="n">
        <v>11</v>
      </c>
      <c r="E1407" s="471" t="n">
        <v>4</v>
      </c>
    </row>
    <row r="1408" customFormat="1" s="21">
      <c r="A1408" s="20" t="inlineStr">
        <is>
          <t>Planted Temperate steppe</t>
        </is>
      </c>
      <c r="B1408" s="401" t="inlineStr">
        <is>
          <t>Western Africa</t>
        </is>
      </c>
      <c r="C1408" s="55">
        <f>CONCATENATE(A1408,B1408)</f>
        <v/>
      </c>
      <c r="D1408" s="471" t="n">
        <v>11</v>
      </c>
      <c r="E1408" s="471" t="n">
        <v>4</v>
      </c>
    </row>
    <row r="1409" customFormat="1" s="21">
      <c r="A1409" s="20" t="inlineStr">
        <is>
          <t>Planted Temperate steppe</t>
        </is>
      </c>
      <c r="B1409" s="401" t="inlineStr">
        <is>
          <t>Central Asia</t>
        </is>
      </c>
      <c r="C1409" s="55">
        <f>CONCATENATE(A1409,B1409)</f>
        <v/>
      </c>
      <c r="D1409" s="471" t="n">
        <v>11</v>
      </c>
      <c r="E1409" s="471" t="n">
        <v>4</v>
      </c>
    </row>
    <row r="1410" customFormat="1" s="21">
      <c r="A1410" s="20" t="inlineStr">
        <is>
          <t>Planted Temperate steppe</t>
        </is>
      </c>
      <c r="B1410" s="401" t="inlineStr">
        <is>
          <t>Eastern Asia</t>
        </is>
      </c>
      <c r="C1410" s="55">
        <f>CONCATENATE(A1410,B1410)</f>
        <v/>
      </c>
      <c r="D1410" s="471" t="n">
        <v>11</v>
      </c>
      <c r="E1410" s="471" t="n">
        <v>4</v>
      </c>
    </row>
    <row r="1411" customFormat="1" s="21">
      <c r="A1411" s="20" t="inlineStr">
        <is>
          <t>Planted Temperate steppe</t>
        </is>
      </c>
      <c r="B1411" s="401" t="inlineStr">
        <is>
          <t>South-eastern Asia</t>
        </is>
      </c>
      <c r="C1411" s="55">
        <f>CONCATENATE(A1411,B1411)</f>
        <v/>
      </c>
      <c r="D1411" s="471" t="n">
        <v>11</v>
      </c>
      <c r="E1411" s="471" t="n">
        <v>4</v>
      </c>
    </row>
    <row r="1412" customFormat="1" s="21">
      <c r="A1412" s="20" t="inlineStr">
        <is>
          <t>Planted Temperate steppe</t>
        </is>
      </c>
      <c r="B1412" s="401" t="inlineStr">
        <is>
          <t>Southern Asia</t>
        </is>
      </c>
      <c r="C1412" s="55">
        <f>CONCATENATE(A1412,B1412)</f>
        <v/>
      </c>
      <c r="D1412" s="471" t="n">
        <v>11</v>
      </c>
      <c r="E1412" s="471" t="n">
        <v>4</v>
      </c>
    </row>
    <row r="1413" customFormat="1" s="21">
      <c r="A1413" s="20" t="inlineStr">
        <is>
          <t>Planted Temperate steppe</t>
        </is>
      </c>
      <c r="B1413" s="401" t="inlineStr">
        <is>
          <t>Western Asia</t>
        </is>
      </c>
      <c r="C1413" s="55">
        <f>CONCATENATE(A1413,B1413)</f>
        <v/>
      </c>
      <c r="D1413" s="471" t="n">
        <v>11</v>
      </c>
      <c r="E1413" s="471" t="n">
        <v>4</v>
      </c>
    </row>
    <row r="1414" customFormat="1" s="21">
      <c r="A1414" s="20" t="inlineStr">
        <is>
          <t>Planted Temperate steppe</t>
        </is>
      </c>
      <c r="B1414" s="401" t="inlineStr">
        <is>
          <t>Europe</t>
        </is>
      </c>
      <c r="C1414" s="55">
        <f>CONCATENATE(A1414,B1414)</f>
        <v/>
      </c>
      <c r="D1414" s="471" t="n">
        <v>11</v>
      </c>
      <c r="E1414" s="471" t="n">
        <v>4</v>
      </c>
    </row>
    <row r="1415" customFormat="1" s="21">
      <c r="A1415" s="20" t="inlineStr">
        <is>
          <t>Planted Temperate steppe</t>
        </is>
      </c>
      <c r="B1415" s="401" t="inlineStr">
        <is>
          <t>Oceania</t>
        </is>
      </c>
      <c r="C1415" s="55">
        <f>CONCATENATE(A1415,B1415)</f>
        <v/>
      </c>
      <c r="D1415" s="471" t="n">
        <v>11</v>
      </c>
      <c r="E1415" s="471" t="n">
        <v>4</v>
      </c>
    </row>
    <row r="1416" customFormat="1" s="21">
      <c r="A1416" s="20" t="inlineStr">
        <is>
          <t>Planted Temperate steppe</t>
        </is>
      </c>
      <c r="B1416" s="401" t="inlineStr">
        <is>
          <t>North America</t>
        </is>
      </c>
      <c r="C1416" s="55">
        <f>CONCATENATE(A1416,B1416)</f>
        <v/>
      </c>
      <c r="D1416" s="471" t="n">
        <v>11</v>
      </c>
      <c r="E1416" s="471" t="n">
        <v>4</v>
      </c>
    </row>
    <row r="1417" customFormat="1" s="21">
      <c r="A1417" s="20" t="inlineStr">
        <is>
          <t>Planted Temperate steppe</t>
        </is>
      </c>
      <c r="B1417" s="401" t="inlineStr">
        <is>
          <t>South America</t>
        </is>
      </c>
      <c r="C1417" s="55">
        <f>CONCATENATE(A1417,B1417)</f>
        <v/>
      </c>
      <c r="D1417" s="471" t="n">
        <v>11</v>
      </c>
      <c r="E1417" s="471" t="n">
        <v>4</v>
      </c>
    </row>
    <row r="1418" customFormat="1" s="21">
      <c r="A1418" s="20" t="inlineStr">
        <is>
          <t>Planted Temperate steppe</t>
        </is>
      </c>
      <c r="B1418" s="401" t="inlineStr">
        <is>
          <t>Central America</t>
        </is>
      </c>
      <c r="C1418" s="55">
        <f>CONCATENATE(A1418,B1418)</f>
        <v/>
      </c>
      <c r="D1418" s="471" t="n">
        <v>11</v>
      </c>
      <c r="E1418" s="471" t="n">
        <v>4</v>
      </c>
    </row>
    <row r="1419" customFormat="1" s="292">
      <c r="A1419" s="37" t="inlineStr">
        <is>
          <t>Planted Temperate steppe</t>
        </is>
      </c>
      <c r="B1419" s="402" t="inlineStr">
        <is>
          <t>Caribbean</t>
        </is>
      </c>
      <c r="C1419" s="579">
        <f>CONCATENATE(A1419,B1419)</f>
        <v/>
      </c>
      <c r="D1419" s="471" t="n">
        <v>11</v>
      </c>
      <c r="E1419" s="471" t="n">
        <v>4</v>
      </c>
    </row>
    <row r="1420" customFormat="1" s="291">
      <c r="A1420" s="63" t="inlineStr">
        <is>
          <t>Planted Boreal coniferous forest</t>
        </is>
      </c>
      <c r="B1420" s="408" t="inlineStr">
        <is>
          <t>Eastern Africa</t>
        </is>
      </c>
      <c r="C1420" s="567">
        <f>CONCATENATE(A1420,B1420)</f>
        <v/>
      </c>
      <c r="D1420" s="491" t="n">
        <v>1</v>
      </c>
      <c r="E1420" s="491" t="n">
        <v>1</v>
      </c>
    </row>
    <row r="1421" customFormat="1" s="21">
      <c r="A1421" s="20" t="inlineStr">
        <is>
          <t>Planted Boreal coniferous forest</t>
        </is>
      </c>
      <c r="B1421" s="401" t="inlineStr">
        <is>
          <t>Central Africa</t>
        </is>
      </c>
      <c r="C1421" s="55">
        <f>CONCATENATE(A1421,B1421)</f>
        <v/>
      </c>
      <c r="D1421" s="471" t="n">
        <v>1</v>
      </c>
      <c r="E1421" s="471" t="n">
        <v>1</v>
      </c>
    </row>
    <row r="1422" customFormat="1" s="21">
      <c r="A1422" s="20" t="inlineStr">
        <is>
          <t>Planted Boreal coniferous forest</t>
        </is>
      </c>
      <c r="B1422" s="401" t="inlineStr">
        <is>
          <t>Northern Africa</t>
        </is>
      </c>
      <c r="C1422" s="55">
        <f>CONCATENATE(A1422,B1422)</f>
        <v/>
      </c>
      <c r="D1422" s="471" t="n">
        <v>1</v>
      </c>
      <c r="E1422" s="471" t="n">
        <v>1</v>
      </c>
    </row>
    <row r="1423" customFormat="1" s="21">
      <c r="A1423" s="20" t="inlineStr">
        <is>
          <t>Planted Boreal coniferous forest</t>
        </is>
      </c>
      <c r="B1423" s="401" t="inlineStr">
        <is>
          <t>Southern Africa</t>
        </is>
      </c>
      <c r="C1423" s="55">
        <f>CONCATENATE(A1423,B1423)</f>
        <v/>
      </c>
      <c r="D1423" s="471" t="n">
        <v>1</v>
      </c>
      <c r="E1423" s="471" t="n">
        <v>1</v>
      </c>
    </row>
    <row r="1424" customFormat="1" s="21">
      <c r="A1424" s="20" t="inlineStr">
        <is>
          <t>Planted Boreal coniferous forest</t>
        </is>
      </c>
      <c r="B1424" s="401" t="inlineStr">
        <is>
          <t>Western Africa</t>
        </is>
      </c>
      <c r="C1424" s="55">
        <f>CONCATENATE(A1424,B1424)</f>
        <v/>
      </c>
      <c r="D1424" s="471" t="n">
        <v>1</v>
      </c>
      <c r="E1424" s="471" t="n">
        <v>1</v>
      </c>
    </row>
    <row r="1425" customFormat="1" s="21">
      <c r="A1425" s="20" t="inlineStr">
        <is>
          <t>Planted Boreal coniferous forest</t>
        </is>
      </c>
      <c r="B1425" s="401" t="inlineStr">
        <is>
          <t>Central Asia</t>
        </is>
      </c>
      <c r="C1425" s="55">
        <f>CONCATENATE(A1425,B1425)</f>
        <v/>
      </c>
      <c r="D1425" s="471" t="n">
        <v>1</v>
      </c>
      <c r="E1425" s="471" t="n">
        <v>1</v>
      </c>
    </row>
    <row r="1426" customFormat="1" s="21">
      <c r="A1426" s="20" t="inlineStr">
        <is>
          <t>Planted Boreal coniferous forest</t>
        </is>
      </c>
      <c r="B1426" s="401" t="inlineStr">
        <is>
          <t>Eastern Asia</t>
        </is>
      </c>
      <c r="C1426" s="55">
        <f>CONCATENATE(A1426,B1426)</f>
        <v/>
      </c>
      <c r="D1426" s="471" t="n">
        <v>1</v>
      </c>
      <c r="E1426" s="471" t="n">
        <v>1</v>
      </c>
    </row>
    <row r="1427" customFormat="1" s="21">
      <c r="A1427" s="20" t="inlineStr">
        <is>
          <t>Planted Boreal coniferous forest</t>
        </is>
      </c>
      <c r="B1427" s="401" t="inlineStr">
        <is>
          <t>South-eastern Asia</t>
        </is>
      </c>
      <c r="C1427" s="55">
        <f>CONCATENATE(A1427,B1427)</f>
        <v/>
      </c>
      <c r="D1427" s="471" t="n">
        <v>1</v>
      </c>
      <c r="E1427" s="471" t="n">
        <v>1</v>
      </c>
    </row>
    <row r="1428" customFormat="1" s="21">
      <c r="A1428" s="20" t="inlineStr">
        <is>
          <t>Planted Boreal coniferous forest</t>
        </is>
      </c>
      <c r="B1428" s="401" t="inlineStr">
        <is>
          <t>Southern Asia</t>
        </is>
      </c>
      <c r="C1428" s="55">
        <f>CONCATENATE(A1428,B1428)</f>
        <v/>
      </c>
      <c r="D1428" s="471" t="n">
        <v>1</v>
      </c>
      <c r="E1428" s="471" t="n">
        <v>1</v>
      </c>
    </row>
    <row r="1429" customFormat="1" s="21">
      <c r="A1429" s="20" t="inlineStr">
        <is>
          <t>Planted Boreal coniferous forest</t>
        </is>
      </c>
      <c r="B1429" s="401" t="inlineStr">
        <is>
          <t>Western Asia</t>
        </is>
      </c>
      <c r="C1429" s="55">
        <f>CONCATENATE(A1429,B1429)</f>
        <v/>
      </c>
      <c r="D1429" s="471" t="n">
        <v>1</v>
      </c>
      <c r="E1429" s="471" t="n">
        <v>1</v>
      </c>
    </row>
    <row r="1430" customFormat="1" s="21">
      <c r="A1430" s="20" t="inlineStr">
        <is>
          <t>Planted Boreal coniferous forest</t>
        </is>
      </c>
      <c r="B1430" s="401" t="inlineStr">
        <is>
          <t>Europe</t>
        </is>
      </c>
      <c r="C1430" s="55">
        <f>CONCATENATE(A1430,B1430)</f>
        <v/>
      </c>
      <c r="D1430" s="471" t="n">
        <v>1</v>
      </c>
      <c r="E1430" s="471" t="n">
        <v>1</v>
      </c>
    </row>
    <row r="1431" customFormat="1" s="21">
      <c r="A1431" s="20" t="inlineStr">
        <is>
          <t>Planted Boreal coniferous forest</t>
        </is>
      </c>
      <c r="B1431" s="401" t="inlineStr">
        <is>
          <t>Oceania</t>
        </is>
      </c>
      <c r="C1431" s="55">
        <f>CONCATENATE(A1431,B1431)</f>
        <v/>
      </c>
      <c r="D1431" s="471" t="n">
        <v>1</v>
      </c>
      <c r="E1431" s="471" t="n">
        <v>1</v>
      </c>
    </row>
    <row r="1432" customFormat="1" s="21">
      <c r="A1432" s="20" t="inlineStr">
        <is>
          <t>Planted Boreal coniferous forest</t>
        </is>
      </c>
      <c r="B1432" s="401" t="inlineStr">
        <is>
          <t>North America</t>
        </is>
      </c>
      <c r="C1432" s="55">
        <f>CONCATENATE(A1432,B1432)</f>
        <v/>
      </c>
      <c r="D1432" s="471" t="n">
        <v>1</v>
      </c>
      <c r="E1432" s="471" t="n">
        <v>1</v>
      </c>
    </row>
    <row r="1433" customFormat="1" s="21">
      <c r="A1433" s="20" t="inlineStr">
        <is>
          <t>Planted Boreal coniferous forest</t>
        </is>
      </c>
      <c r="B1433" s="401" t="inlineStr">
        <is>
          <t>South America</t>
        </is>
      </c>
      <c r="C1433" s="55">
        <f>CONCATENATE(A1433,B1433)</f>
        <v/>
      </c>
      <c r="D1433" s="471" t="n">
        <v>1</v>
      </c>
      <c r="E1433" s="471" t="n">
        <v>1</v>
      </c>
    </row>
    <row r="1434" customFormat="1" s="21">
      <c r="A1434" s="20" t="inlineStr">
        <is>
          <t>Planted Boreal coniferous forest</t>
        </is>
      </c>
      <c r="B1434" s="401" t="inlineStr">
        <is>
          <t>Central America</t>
        </is>
      </c>
      <c r="C1434" s="55">
        <f>CONCATENATE(A1434,B1434)</f>
        <v/>
      </c>
      <c r="D1434" s="471" t="n">
        <v>1</v>
      </c>
      <c r="E1434" s="471" t="n">
        <v>1</v>
      </c>
    </row>
    <row r="1435" customFormat="1" s="292">
      <c r="A1435" s="37" t="inlineStr">
        <is>
          <t>Planted Boreal coniferous forest</t>
        </is>
      </c>
      <c r="B1435" s="402" t="inlineStr">
        <is>
          <t>Caribbean</t>
        </is>
      </c>
      <c r="C1435" s="579">
        <f>CONCATENATE(A1435,B1435)</f>
        <v/>
      </c>
      <c r="D1435" s="536" t="n">
        <v>1</v>
      </c>
      <c r="E1435" s="536" t="n">
        <v>1</v>
      </c>
    </row>
    <row r="1436" customFormat="1" s="291">
      <c r="A1436" s="63" t="inlineStr">
        <is>
          <t>Planted Boreal tundra woodland</t>
        </is>
      </c>
      <c r="B1436" s="408" t="inlineStr">
        <is>
          <t>Eastern Africa</t>
        </is>
      </c>
      <c r="C1436" s="567">
        <f>CONCATENATE(A1436,B1436)</f>
        <v/>
      </c>
      <c r="D1436" s="44" t="n">
        <v>0.4</v>
      </c>
      <c r="E1436" s="44" t="n">
        <v>0.4</v>
      </c>
    </row>
    <row r="1437" customFormat="1" s="21">
      <c r="A1437" s="20" t="inlineStr">
        <is>
          <t>Planted Boreal tundra woodland</t>
        </is>
      </c>
      <c r="B1437" s="401" t="inlineStr">
        <is>
          <t>Central Africa</t>
        </is>
      </c>
      <c r="C1437" s="55">
        <f>CONCATENATE(A1437,B1437)</f>
        <v/>
      </c>
      <c r="D1437" s="41" t="n">
        <v>0.4</v>
      </c>
      <c r="E1437" s="41" t="n">
        <v>0.4</v>
      </c>
    </row>
    <row r="1438" customFormat="1" s="21">
      <c r="A1438" s="20" t="inlineStr">
        <is>
          <t>Planted Boreal tundra woodland</t>
        </is>
      </c>
      <c r="B1438" s="401" t="inlineStr">
        <is>
          <t>Northern Africa</t>
        </is>
      </c>
      <c r="C1438" s="55">
        <f>CONCATENATE(A1438,B1438)</f>
        <v/>
      </c>
      <c r="D1438" s="41" t="n">
        <v>0.4</v>
      </c>
      <c r="E1438" s="41" t="n">
        <v>0.4</v>
      </c>
    </row>
    <row r="1439" customFormat="1" s="21">
      <c r="A1439" s="20" t="inlineStr">
        <is>
          <t>Planted Boreal tundra woodland</t>
        </is>
      </c>
      <c r="B1439" s="401" t="inlineStr">
        <is>
          <t>Southern Africa</t>
        </is>
      </c>
      <c r="C1439" s="55">
        <f>CONCATENATE(A1439,B1439)</f>
        <v/>
      </c>
      <c r="D1439" s="41" t="n">
        <v>0.4</v>
      </c>
      <c r="E1439" s="41" t="n">
        <v>0.4</v>
      </c>
    </row>
    <row r="1440" customFormat="1" s="21">
      <c r="A1440" s="20" t="inlineStr">
        <is>
          <t>Planted Boreal tundra woodland</t>
        </is>
      </c>
      <c r="B1440" s="401" t="inlineStr">
        <is>
          <t>Western Africa</t>
        </is>
      </c>
      <c r="C1440" s="55">
        <f>CONCATENATE(A1440,B1440)</f>
        <v/>
      </c>
      <c r="D1440" s="41" t="n">
        <v>0.4</v>
      </c>
      <c r="E1440" s="41" t="n">
        <v>0.4</v>
      </c>
    </row>
    <row r="1441" customFormat="1" s="21">
      <c r="A1441" s="20" t="inlineStr">
        <is>
          <t>Planted Boreal tundra woodland</t>
        </is>
      </c>
      <c r="B1441" s="401" t="inlineStr">
        <is>
          <t>Central Asia</t>
        </is>
      </c>
      <c r="C1441" s="55">
        <f>CONCATENATE(A1441,B1441)</f>
        <v/>
      </c>
      <c r="D1441" s="41" t="n">
        <v>0.4</v>
      </c>
      <c r="E1441" s="41" t="n">
        <v>0.4</v>
      </c>
    </row>
    <row r="1442" customFormat="1" s="21">
      <c r="A1442" s="20" t="inlineStr">
        <is>
          <t>Planted Boreal tundra woodland</t>
        </is>
      </c>
      <c r="B1442" s="401" t="inlineStr">
        <is>
          <t>Eastern Asia</t>
        </is>
      </c>
      <c r="C1442" s="55">
        <f>CONCATENATE(A1442,B1442)</f>
        <v/>
      </c>
      <c r="D1442" s="41" t="n">
        <v>0.4</v>
      </c>
      <c r="E1442" s="41" t="n">
        <v>0.4</v>
      </c>
    </row>
    <row r="1443" customFormat="1" s="21">
      <c r="A1443" s="20" t="inlineStr">
        <is>
          <t>Planted Boreal tundra woodland</t>
        </is>
      </c>
      <c r="B1443" s="401" t="inlineStr">
        <is>
          <t>South-eastern Asia</t>
        </is>
      </c>
      <c r="C1443" s="55">
        <f>CONCATENATE(A1443,B1443)</f>
        <v/>
      </c>
      <c r="D1443" s="41" t="n">
        <v>0.4</v>
      </c>
      <c r="E1443" s="41" t="n">
        <v>0.4</v>
      </c>
    </row>
    <row r="1444" customFormat="1" s="21">
      <c r="A1444" s="20" t="inlineStr">
        <is>
          <t>Planted Boreal tundra woodland</t>
        </is>
      </c>
      <c r="B1444" s="401" t="inlineStr">
        <is>
          <t>Southern Asia</t>
        </is>
      </c>
      <c r="C1444" s="55">
        <f>CONCATENATE(A1444,B1444)</f>
        <v/>
      </c>
      <c r="D1444" s="41" t="n">
        <v>0.4</v>
      </c>
      <c r="E1444" s="41" t="n">
        <v>0.4</v>
      </c>
    </row>
    <row r="1445" customFormat="1" s="21">
      <c r="A1445" s="20" t="inlineStr">
        <is>
          <t>Planted Boreal tundra woodland</t>
        </is>
      </c>
      <c r="B1445" s="401" t="inlineStr">
        <is>
          <t>Western Asia</t>
        </is>
      </c>
      <c r="C1445" s="55">
        <f>CONCATENATE(A1445,B1445)</f>
        <v/>
      </c>
      <c r="D1445" s="41" t="n">
        <v>0.4</v>
      </c>
      <c r="E1445" s="41" t="n">
        <v>0.4</v>
      </c>
    </row>
    <row r="1446" customFormat="1" s="21">
      <c r="A1446" s="20" t="inlineStr">
        <is>
          <t>Planted Boreal tundra woodland</t>
        </is>
      </c>
      <c r="B1446" s="401" t="inlineStr">
        <is>
          <t>Europe</t>
        </is>
      </c>
      <c r="C1446" s="55">
        <f>CONCATENATE(A1446,B1446)</f>
        <v/>
      </c>
      <c r="D1446" s="41" t="n">
        <v>0.4</v>
      </c>
      <c r="E1446" s="41" t="n">
        <v>0.4</v>
      </c>
    </row>
    <row r="1447" customFormat="1" s="21">
      <c r="A1447" s="20" t="inlineStr">
        <is>
          <t>Planted Boreal tundra woodland</t>
        </is>
      </c>
      <c r="B1447" s="401" t="inlineStr">
        <is>
          <t>Oceania</t>
        </is>
      </c>
      <c r="C1447" s="55">
        <f>CONCATENATE(A1447,B1447)</f>
        <v/>
      </c>
      <c r="D1447" s="41" t="n">
        <v>0.4</v>
      </c>
      <c r="E1447" s="41" t="n">
        <v>0.4</v>
      </c>
    </row>
    <row r="1448" customFormat="1" s="21">
      <c r="A1448" s="20" t="inlineStr">
        <is>
          <t>Planted Boreal tundra woodland</t>
        </is>
      </c>
      <c r="B1448" s="401" t="inlineStr">
        <is>
          <t>North America</t>
        </is>
      </c>
      <c r="C1448" s="55">
        <f>CONCATENATE(A1448,B1448)</f>
        <v/>
      </c>
      <c r="D1448" s="41" t="n">
        <v>0.4</v>
      </c>
      <c r="E1448" s="41" t="n">
        <v>0.4</v>
      </c>
    </row>
    <row r="1449" customFormat="1" s="21">
      <c r="A1449" s="20" t="inlineStr">
        <is>
          <t>Planted Boreal tundra woodland</t>
        </is>
      </c>
      <c r="B1449" s="401" t="inlineStr">
        <is>
          <t>South America</t>
        </is>
      </c>
      <c r="C1449" s="55">
        <f>CONCATENATE(A1449,B1449)</f>
        <v/>
      </c>
      <c r="D1449" s="41" t="n">
        <v>0.4</v>
      </c>
      <c r="E1449" s="41" t="n">
        <v>0.4</v>
      </c>
    </row>
    <row r="1450" customFormat="1" s="21">
      <c r="A1450" s="20" t="inlineStr">
        <is>
          <t>Planted Boreal tundra woodland</t>
        </is>
      </c>
      <c r="B1450" s="401" t="inlineStr">
        <is>
          <t>Central America</t>
        </is>
      </c>
      <c r="C1450" s="55">
        <f>CONCATENATE(A1450,B1450)</f>
        <v/>
      </c>
      <c r="D1450" s="41" t="n">
        <v>0.4</v>
      </c>
      <c r="E1450" s="41" t="n">
        <v>0.4</v>
      </c>
    </row>
    <row r="1451" customFormat="1" s="292">
      <c r="A1451" s="37" t="inlineStr">
        <is>
          <t>Planted Boreal tundra woodland</t>
        </is>
      </c>
      <c r="B1451" s="402" t="inlineStr">
        <is>
          <t>Caribbean</t>
        </is>
      </c>
      <c r="C1451" s="579">
        <f>CONCATENATE(A1451,B1451)</f>
        <v/>
      </c>
      <c r="D1451" s="42" t="n">
        <v>0.4</v>
      </c>
      <c r="E1451" s="42" t="n">
        <v>0.4</v>
      </c>
    </row>
    <row r="1452" ht="19.5" customFormat="1" customHeight="1" s="291">
      <c r="A1452" s="63" t="inlineStr">
        <is>
          <t>Planted Boreal mountain systems</t>
        </is>
      </c>
      <c r="B1452" s="408" t="inlineStr">
        <is>
          <t>Eastern Africa</t>
        </is>
      </c>
      <c r="C1452" s="567">
        <f>CONCATENATE(A1452,B1452)</f>
        <v/>
      </c>
      <c r="D1452" s="491" t="n">
        <v>1</v>
      </c>
      <c r="E1452" s="491" t="n">
        <v>1</v>
      </c>
    </row>
    <row r="1453" customFormat="1" s="21">
      <c r="A1453" s="20" t="inlineStr">
        <is>
          <t>Planted Boreal mountain systems</t>
        </is>
      </c>
      <c r="B1453" s="401" t="inlineStr">
        <is>
          <t>Central Africa</t>
        </is>
      </c>
      <c r="C1453" s="55">
        <f>CONCATENATE(A1453,B1453)</f>
        <v/>
      </c>
      <c r="D1453" s="471" t="n">
        <v>1</v>
      </c>
      <c r="E1453" s="471" t="n">
        <v>1</v>
      </c>
    </row>
    <row r="1454" customFormat="1" s="21">
      <c r="A1454" s="20" t="inlineStr">
        <is>
          <t>Planted Boreal mountain systems</t>
        </is>
      </c>
      <c r="B1454" s="401" t="inlineStr">
        <is>
          <t>Northern Africa</t>
        </is>
      </c>
      <c r="C1454" s="55">
        <f>CONCATENATE(A1454,B1454)</f>
        <v/>
      </c>
      <c r="D1454" s="471" t="n">
        <v>1</v>
      </c>
      <c r="E1454" s="471" t="n">
        <v>1</v>
      </c>
    </row>
    <row r="1455" customFormat="1" s="21">
      <c r="A1455" s="20" t="inlineStr">
        <is>
          <t>Planted Boreal mountain systems</t>
        </is>
      </c>
      <c r="B1455" s="401" t="inlineStr">
        <is>
          <t>Southern Africa</t>
        </is>
      </c>
      <c r="C1455" s="55">
        <f>CONCATENATE(A1455,B1455)</f>
        <v/>
      </c>
      <c r="D1455" s="471" t="n">
        <v>1</v>
      </c>
      <c r="E1455" s="471" t="n">
        <v>1</v>
      </c>
    </row>
    <row r="1456" customFormat="1" s="21">
      <c r="A1456" s="20" t="inlineStr">
        <is>
          <t>Planted Boreal mountain systems</t>
        </is>
      </c>
      <c r="B1456" s="401" t="inlineStr">
        <is>
          <t>Western Africa</t>
        </is>
      </c>
      <c r="C1456" s="55">
        <f>CONCATENATE(A1456,B1456)</f>
        <v/>
      </c>
      <c r="D1456" s="471" t="n">
        <v>1</v>
      </c>
      <c r="E1456" s="471" t="n">
        <v>1</v>
      </c>
    </row>
    <row r="1457" customFormat="1" s="21">
      <c r="A1457" s="20" t="inlineStr">
        <is>
          <t>Planted Boreal mountain systems</t>
        </is>
      </c>
      <c r="B1457" s="401" t="inlineStr">
        <is>
          <t>Central Asia</t>
        </is>
      </c>
      <c r="C1457" s="55">
        <f>CONCATENATE(A1457,B1457)</f>
        <v/>
      </c>
      <c r="D1457" s="471" t="n">
        <v>1</v>
      </c>
      <c r="E1457" s="471" t="n">
        <v>1</v>
      </c>
    </row>
    <row r="1458" customFormat="1" s="21">
      <c r="A1458" s="20" t="inlineStr">
        <is>
          <t>Planted Boreal mountain systems</t>
        </is>
      </c>
      <c r="B1458" s="401" t="inlineStr">
        <is>
          <t>Eastern Asia</t>
        </is>
      </c>
      <c r="C1458" s="55">
        <f>CONCATENATE(A1458,B1458)</f>
        <v/>
      </c>
      <c r="D1458" s="471" t="n">
        <v>1</v>
      </c>
      <c r="E1458" s="471" t="n">
        <v>1</v>
      </c>
    </row>
    <row r="1459" customFormat="1" s="21">
      <c r="A1459" s="20" t="inlineStr">
        <is>
          <t>Planted Boreal mountain systems</t>
        </is>
      </c>
      <c r="B1459" s="401" t="inlineStr">
        <is>
          <t>South-eastern Asia</t>
        </is>
      </c>
      <c r="C1459" s="55">
        <f>CONCATENATE(A1459,B1459)</f>
        <v/>
      </c>
      <c r="D1459" s="471" t="n">
        <v>1</v>
      </c>
      <c r="E1459" s="471" t="n">
        <v>1</v>
      </c>
    </row>
    <row r="1460" customFormat="1" s="21">
      <c r="A1460" s="20" t="inlineStr">
        <is>
          <t>Planted Boreal mountain systems</t>
        </is>
      </c>
      <c r="B1460" s="401" t="inlineStr">
        <is>
          <t>Southern Asia</t>
        </is>
      </c>
      <c r="C1460" s="55">
        <f>CONCATENATE(A1460,B1460)</f>
        <v/>
      </c>
      <c r="D1460" s="471" t="n">
        <v>1</v>
      </c>
      <c r="E1460" s="471" t="n">
        <v>1</v>
      </c>
    </row>
    <row r="1461" customFormat="1" s="21">
      <c r="A1461" s="20" t="inlineStr">
        <is>
          <t>Planted Boreal mountain systems</t>
        </is>
      </c>
      <c r="B1461" s="401" t="inlineStr">
        <is>
          <t>Western Asia</t>
        </is>
      </c>
      <c r="C1461" s="55">
        <f>CONCATENATE(A1461,B1461)</f>
        <v/>
      </c>
      <c r="D1461" s="471" t="n">
        <v>1</v>
      </c>
      <c r="E1461" s="471" t="n">
        <v>1</v>
      </c>
    </row>
    <row r="1462" customFormat="1" s="21">
      <c r="A1462" s="20" t="inlineStr">
        <is>
          <t>Planted Boreal mountain systems</t>
        </is>
      </c>
      <c r="B1462" s="401" t="inlineStr">
        <is>
          <t>Europe</t>
        </is>
      </c>
      <c r="C1462" s="55">
        <f>CONCATENATE(A1462,B1462)</f>
        <v/>
      </c>
      <c r="D1462" s="471" t="n">
        <v>1</v>
      </c>
      <c r="E1462" s="471" t="n">
        <v>1</v>
      </c>
    </row>
    <row r="1463" customFormat="1" s="21">
      <c r="A1463" s="20" t="inlineStr">
        <is>
          <t>Planted Boreal mountain systems</t>
        </is>
      </c>
      <c r="B1463" s="401" t="inlineStr">
        <is>
          <t>Oceania</t>
        </is>
      </c>
      <c r="C1463" s="55">
        <f>CONCATENATE(A1463,B1463)</f>
        <v/>
      </c>
      <c r="D1463" s="471" t="n">
        <v>1</v>
      </c>
      <c r="E1463" s="471" t="n">
        <v>1</v>
      </c>
    </row>
    <row r="1464" customFormat="1" s="21">
      <c r="A1464" s="20" t="inlineStr">
        <is>
          <t>Planted Boreal mountain systems</t>
        </is>
      </c>
      <c r="B1464" s="401" t="inlineStr">
        <is>
          <t>North America</t>
        </is>
      </c>
      <c r="C1464" s="55">
        <f>CONCATENATE(A1464,B1464)</f>
        <v/>
      </c>
      <c r="D1464" s="471" t="n">
        <v>1</v>
      </c>
      <c r="E1464" s="471" t="n">
        <v>1</v>
      </c>
    </row>
    <row r="1465" customFormat="1" s="21">
      <c r="A1465" s="20" t="inlineStr">
        <is>
          <t>Planted Boreal mountain systems</t>
        </is>
      </c>
      <c r="B1465" s="401" t="inlineStr">
        <is>
          <t>South America</t>
        </is>
      </c>
      <c r="C1465" s="55">
        <f>CONCATENATE(A1465,B1465)</f>
        <v/>
      </c>
      <c r="D1465" s="471" t="n">
        <v>1</v>
      </c>
      <c r="E1465" s="471" t="n">
        <v>1</v>
      </c>
    </row>
    <row r="1466" customFormat="1" s="21">
      <c r="A1466" s="20" t="inlineStr">
        <is>
          <t>Planted Boreal mountain systems</t>
        </is>
      </c>
      <c r="B1466" s="401" t="inlineStr">
        <is>
          <t>Central America</t>
        </is>
      </c>
      <c r="C1466" s="55">
        <f>CONCATENATE(A1466,B1466)</f>
        <v/>
      </c>
      <c r="D1466" s="471" t="n">
        <v>1</v>
      </c>
      <c r="E1466" s="471" t="n">
        <v>1</v>
      </c>
    </row>
    <row r="1467" customFormat="1" s="292">
      <c r="A1467" s="37" t="inlineStr">
        <is>
          <t>Planted Boreal mountain systems</t>
        </is>
      </c>
      <c r="B1467" s="402" t="inlineStr">
        <is>
          <t>Caribbean</t>
        </is>
      </c>
      <c r="C1467" s="579">
        <f>CONCATENATE(A1467,B1467)</f>
        <v/>
      </c>
      <c r="D1467" s="536" t="n">
        <v>1</v>
      </c>
      <c r="E1467" s="536" t="n">
        <v>1</v>
      </c>
    </row>
    <row r="1469" customFormat="1" s="635">
      <c r="A1469" s="671" t="inlineStr">
        <is>
          <t>Combustion factor values (proportion of prefire fuel biomass consumed) for fires in a range of vegetation types</t>
        </is>
      </c>
      <c r="B1469" s="509" t="n"/>
      <c r="C1469" s="509" t="n"/>
      <c r="D1469" s="509" t="n"/>
      <c r="E1469" s="509" t="n"/>
    </row>
    <row r="1470" ht="16" customFormat="1" customHeight="1" s="635">
      <c r="A1470" s="734" t="n"/>
      <c r="B1470" s="737" t="inlineStr">
        <is>
          <t xml:space="preserve">TABLE 2.6 (UPDATED) </t>
        </is>
      </c>
      <c r="C1470" s="736" t="inlineStr">
        <is>
          <t>Emission factors (g kg-1 dry matter burnt) for various types of burning (Gef)</t>
        </is>
      </c>
      <c r="D1470" s="62" t="n"/>
      <c r="E1470" s="62" t="n"/>
    </row>
    <row r="1471" customFormat="1" s="635">
      <c r="A1471" s="735" t="inlineStr">
        <is>
          <t>LUs converted to FL</t>
        </is>
      </c>
      <c r="B1471" s="737" t="inlineStr">
        <is>
          <t>in IPCC 2019</t>
        </is>
      </c>
      <c r="C1471" s="737" t="inlineStr">
        <is>
          <t xml:space="preserve">TABLE 2.5 in IPCC 2019 </t>
        </is>
      </c>
      <c r="D1471" s="733" t="inlineStr">
        <is>
          <t xml:space="preserve">TABLE 2.5 in IPCC 2019 </t>
        </is>
      </c>
      <c r="E1471" s="733" t="inlineStr">
        <is>
          <t xml:space="preserve">TABLE 2.5 in IPCC 2019 </t>
        </is>
      </c>
    </row>
    <row r="1472" ht="17" customFormat="1" customHeight="1" s="21">
      <c r="A1472" s="264" t="inlineStr">
        <is>
          <t>Please select</t>
        </is>
      </c>
      <c r="B1472" s="737" t="inlineStr">
        <is>
          <t>Cf</t>
        </is>
      </c>
      <c r="C1472" s="325" t="inlineStr">
        <is>
          <t>Gef for CO2</t>
        </is>
      </c>
      <c r="D1472" s="322" t="inlineStr">
        <is>
          <t>Gef for CH4</t>
        </is>
      </c>
      <c r="E1472" s="322" t="inlineStr">
        <is>
          <t>Gef for N2O</t>
        </is>
      </c>
    </row>
    <row r="1473" customFormat="1" s="21">
      <c r="A1473" s="820" t="inlineStr">
        <is>
          <t>Annual cropland</t>
        </is>
      </c>
      <c r="B1473" s="821" t="n">
        <v>0.4</v>
      </c>
      <c r="C1473" s="822" t="n">
        <v>1515</v>
      </c>
      <c r="D1473" s="823" t="n">
        <v>2.7</v>
      </c>
      <c r="E1473" s="823" t="n">
        <v>0.07000000000000001</v>
      </c>
    </row>
    <row r="1474" customFormat="1" s="21">
      <c r="A1474" s="20" t="inlineStr">
        <is>
          <t>Agroforestry - default</t>
        </is>
      </c>
      <c r="B1474" s="41" t="n">
        <v>0.8</v>
      </c>
      <c r="C1474" s="663" t="n">
        <v>1613</v>
      </c>
      <c r="D1474" s="55" t="n">
        <v>2.3</v>
      </c>
      <c r="E1474" s="55" t="n">
        <v>0.21</v>
      </c>
    </row>
    <row r="1475" customFormat="1" s="21">
      <c r="A1475" s="824" t="inlineStr">
        <is>
          <t>Annual fallow</t>
        </is>
      </c>
      <c r="B1475" s="821" t="n">
        <v>0.4</v>
      </c>
      <c r="C1475" s="822" t="n">
        <v>1515</v>
      </c>
      <c r="D1475" s="812" t="n">
        <v>2.7</v>
      </c>
      <c r="E1475" s="812" t="n">
        <v>0.07000000000000001</v>
      </c>
    </row>
    <row r="1476" customFormat="1" s="21">
      <c r="A1476" s="20" t="inlineStr">
        <is>
          <t>Degraded land</t>
        </is>
      </c>
      <c r="B1476" s="41" t="n">
        <v>0.8</v>
      </c>
      <c r="C1476" s="663" t="n">
        <v>1613</v>
      </c>
      <c r="D1476" s="55" t="n">
        <v>2.3</v>
      </c>
      <c r="E1476" s="55" t="n">
        <v>0.21</v>
      </c>
    </row>
    <row r="1477" customFormat="1" s="21">
      <c r="A1477" s="20" t="inlineStr">
        <is>
          <t>Other land (non-vegetated)</t>
        </is>
      </c>
      <c r="B1477" s="41" t="n">
        <v>0</v>
      </c>
      <c r="C1477" s="663" t="n">
        <v>0</v>
      </c>
      <c r="D1477" s="55" t="n">
        <v>0</v>
      </c>
      <c r="E1477" s="55" t="n">
        <v>0</v>
      </c>
    </row>
    <row r="1478" customFormat="1" s="21">
      <c r="A1478" s="824" t="inlineStr">
        <is>
          <t>Flooded rice</t>
        </is>
      </c>
      <c r="B1478" s="501" t="n">
        <v>0.4</v>
      </c>
      <c r="C1478" s="825" t="n">
        <v>1515</v>
      </c>
      <c r="D1478" s="812" t="n">
        <v>2.7</v>
      </c>
      <c r="E1478" s="812" t="n">
        <v>0.07000000000000001</v>
      </c>
    </row>
    <row r="1479" customFormat="1" s="21">
      <c r="A1479" s="20" t="inlineStr">
        <is>
          <t>Grassland</t>
        </is>
      </c>
      <c r="B1479" s="41" t="n">
        <v>0.8</v>
      </c>
      <c r="C1479" s="663" t="n">
        <v>1613</v>
      </c>
      <c r="D1479" s="55" t="n">
        <v>2.3</v>
      </c>
      <c r="E1479" s="55" t="n">
        <v>0.21</v>
      </c>
    </row>
    <row r="1480" customFormat="1" s="21">
      <c r="A1480" s="670" t="inlineStr">
        <is>
          <t>Alley cropping</t>
        </is>
      </c>
      <c r="B1480" s="41" t="n">
        <v>0.8</v>
      </c>
      <c r="C1480" s="663" t="n">
        <v>1613</v>
      </c>
      <c r="D1480" s="55" t="n">
        <v>2.3</v>
      </c>
      <c r="E1480" s="55" t="n">
        <v>0.21</v>
      </c>
    </row>
    <row r="1481" customFormat="1" s="21">
      <c r="A1481" s="670" t="inlineStr">
        <is>
          <t>Perennial fallow</t>
        </is>
      </c>
      <c r="B1481" s="41" t="n">
        <v>0.8</v>
      </c>
      <c r="C1481" s="663" t="n">
        <v>1613</v>
      </c>
      <c r="D1481" s="55" t="n">
        <v>2.3</v>
      </c>
      <c r="E1481" s="55" t="n">
        <v>0.21</v>
      </c>
    </row>
    <row r="1482" customFormat="1" s="21">
      <c r="A1482" s="670" t="inlineStr">
        <is>
          <t>Hedgerow</t>
        </is>
      </c>
      <c r="B1482" s="41" t="n">
        <v>0.8</v>
      </c>
      <c r="C1482" s="663" t="n">
        <v>1613</v>
      </c>
      <c r="D1482" s="55" t="n">
        <v>2.3</v>
      </c>
      <c r="E1482" s="55" t="n">
        <v>0.21</v>
      </c>
    </row>
    <row r="1483" customFormat="1" s="21">
      <c r="A1483" s="670" t="inlineStr">
        <is>
          <t>Multistrata</t>
        </is>
      </c>
      <c r="B1483" s="41" t="n">
        <v>0.8</v>
      </c>
      <c r="C1483" s="663" t="n">
        <v>1613</v>
      </c>
      <c r="D1483" s="55" t="n">
        <v>2.3</v>
      </c>
      <c r="E1483" s="55" t="n">
        <v>0.21</v>
      </c>
    </row>
    <row r="1484" customFormat="1" s="21">
      <c r="A1484" s="670" t="inlineStr">
        <is>
          <t>Parkland</t>
        </is>
      </c>
      <c r="B1484" s="41" t="n">
        <v>0.8</v>
      </c>
      <c r="C1484" s="663" t="n">
        <v>1613</v>
      </c>
      <c r="D1484" s="663" t="n">
        <v>2.3</v>
      </c>
      <c r="E1484" s="663" t="n">
        <v>0.21</v>
      </c>
    </row>
    <row r="1485" customFormat="1" s="21">
      <c r="A1485" s="670" t="inlineStr">
        <is>
          <t>Shaded Perennial</t>
        </is>
      </c>
      <c r="B1485" s="41" t="n">
        <v>0.8</v>
      </c>
      <c r="C1485" s="663" t="n">
        <v>1613</v>
      </c>
      <c r="D1485" s="663" t="n">
        <v>2.3</v>
      </c>
      <c r="E1485" s="663" t="n">
        <v>0.21</v>
      </c>
    </row>
    <row r="1486" customFormat="1" s="21">
      <c r="A1486" s="670" t="inlineStr">
        <is>
          <t>Silvoarable</t>
        </is>
      </c>
      <c r="B1486" s="41" t="n">
        <v>0.8</v>
      </c>
      <c r="C1486" s="663" t="n">
        <v>1613</v>
      </c>
      <c r="D1486" s="663" t="n">
        <v>2.3</v>
      </c>
      <c r="E1486" s="663" t="n">
        <v>0.21</v>
      </c>
    </row>
    <row r="1487" customFormat="1" s="21">
      <c r="A1487" s="670" t="inlineStr">
        <is>
          <t>Silvopasture</t>
        </is>
      </c>
      <c r="B1487" s="41" t="n">
        <v>0.8</v>
      </c>
      <c r="C1487" s="663" t="n">
        <v>1613</v>
      </c>
      <c r="D1487" s="663" t="n">
        <v>2.3</v>
      </c>
      <c r="E1487" s="663" t="n">
        <v>0.21</v>
      </c>
    </row>
    <row r="1488" customFormat="1" s="21">
      <c r="A1488" s="670" t="inlineStr">
        <is>
          <t>Degraded land</t>
        </is>
      </c>
      <c r="B1488" s="41" t="n">
        <v>0.8</v>
      </c>
      <c r="C1488" s="663" t="n">
        <v>1613</v>
      </c>
      <c r="D1488" s="663" t="n">
        <v>2.3</v>
      </c>
      <c r="E1488" s="663" t="n">
        <v>0.21</v>
      </c>
    </row>
    <row r="1489" customFormat="1" s="21">
      <c r="A1489" s="670" t="inlineStr">
        <is>
          <t>Olive</t>
        </is>
      </c>
      <c r="B1489" s="41" t="n">
        <v>0.8</v>
      </c>
      <c r="C1489" s="663" t="n">
        <v>1613</v>
      </c>
      <c r="D1489" s="663" t="n">
        <v>2.3</v>
      </c>
      <c r="E1489" s="663" t="n">
        <v>0.21</v>
      </c>
    </row>
    <row r="1490" customFormat="1" s="21">
      <c r="A1490" s="670" t="inlineStr">
        <is>
          <t>Orchard</t>
        </is>
      </c>
      <c r="B1490" s="41" t="n">
        <v>0.8</v>
      </c>
      <c r="C1490" s="663" t="n">
        <v>1613</v>
      </c>
      <c r="D1490" s="663" t="n">
        <v>2.3</v>
      </c>
      <c r="E1490" s="663" t="n">
        <v>0.21</v>
      </c>
    </row>
    <row r="1491" customFormat="1" s="21">
      <c r="A1491" s="670" t="inlineStr">
        <is>
          <t>Short Rotation Coppice</t>
        </is>
      </c>
      <c r="B1491" s="41" t="n">
        <v>0.8</v>
      </c>
      <c r="C1491" s="663" t="n">
        <v>1613</v>
      </c>
      <c r="D1491" s="663" t="n">
        <v>2.3</v>
      </c>
      <c r="E1491" s="663" t="n">
        <v>0.21</v>
      </c>
    </row>
    <row r="1492" customFormat="1" s="21">
      <c r="A1492" s="670" t="inlineStr">
        <is>
          <t>Tea</t>
        </is>
      </c>
      <c r="B1492" s="41" t="n">
        <v>0.8</v>
      </c>
      <c r="C1492" s="663" t="n">
        <v>1613</v>
      </c>
      <c r="D1492" s="663" t="n">
        <v>2.3</v>
      </c>
      <c r="E1492" s="663" t="n">
        <v>0.21</v>
      </c>
    </row>
    <row r="1493" customFormat="1" s="21">
      <c r="A1493" s="670" t="inlineStr">
        <is>
          <t>Vine</t>
        </is>
      </c>
      <c r="B1493" s="41" t="n">
        <v>0.8</v>
      </c>
      <c r="C1493" s="663" t="n">
        <v>1613</v>
      </c>
      <c r="D1493" s="663" t="n">
        <v>2.3</v>
      </c>
      <c r="E1493" s="663" t="n">
        <v>0.21</v>
      </c>
    </row>
    <row r="1494" customFormat="1" s="21">
      <c r="A1494" s="670" t="inlineStr">
        <is>
          <t>Oil palm</t>
        </is>
      </c>
      <c r="B1494" s="41" t="n">
        <v>0.8</v>
      </c>
      <c r="C1494" s="663" t="n">
        <v>1613</v>
      </c>
      <c r="D1494" s="663" t="n">
        <v>2.3</v>
      </c>
      <c r="E1494" s="663" t="n">
        <v>0.21</v>
      </c>
    </row>
    <row r="1495" customFormat="1" s="21">
      <c r="A1495" s="670" t="inlineStr">
        <is>
          <t>Rubber</t>
        </is>
      </c>
      <c r="B1495" s="41" t="n">
        <v>0.8</v>
      </c>
      <c r="C1495" s="663" t="n">
        <v>1613</v>
      </c>
      <c r="D1495" s="663" t="n">
        <v>2.3</v>
      </c>
      <c r="E1495" s="663" t="n">
        <v>0.21</v>
      </c>
    </row>
    <row r="1496" customFormat="1" s="21">
      <c r="A1496" s="37" t="n"/>
      <c r="B1496" s="819" t="n"/>
      <c r="C1496" s="672" t="n"/>
      <c r="D1496" s="672" t="n"/>
      <c r="E1496" s="672" t="n"/>
    </row>
    <row r="1498" customFormat="1" s="740">
      <c r="A1498" s="740" t="inlineStr">
        <is>
          <t>Data on MANGROVES</t>
        </is>
      </c>
    </row>
    <row r="1499" customFormat="1" s="292">
      <c r="A1499" s="631" t="n"/>
      <c r="B1499" s="426" t="inlineStr">
        <is>
          <t>TABLE 4.3 in IPCC 2014</t>
        </is>
      </c>
      <c r="C1499" s="1173" t="inlineStr">
        <is>
          <t>TABLE 4.2 in IPCC 2014</t>
        </is>
      </c>
      <c r="D1499" s="371" t="inlineStr">
        <is>
          <t>AGB</t>
        </is>
      </c>
      <c r="E1499" s="426" t="inlineStr">
        <is>
          <t>TABLE 4.4 in IPCC 2014</t>
        </is>
      </c>
      <c r="F1499" s="1173" t="inlineStr">
        <is>
          <t>TABLE 4.5 in IPCC 2014</t>
        </is>
      </c>
      <c r="G1499" s="631" t="n"/>
      <c r="H1499" s="631" t="inlineStr">
        <is>
          <t>TABLE 4.7 in IPCC 2014</t>
        </is>
      </c>
      <c r="I1499" s="426" t="inlineStr">
        <is>
          <t>TABLE 4.7 in IPCC 2014</t>
        </is>
      </c>
      <c r="J1499" s="631" t="inlineStr">
        <is>
          <t>TABLE 5.2  in IPCC 2014</t>
        </is>
      </c>
    </row>
    <row r="1500" customFormat="1" s="21">
      <c r="A1500" s="293" t="inlineStr">
        <is>
          <t>IPCC Climate Region</t>
        </is>
      </c>
      <c r="B1500" s="371" t="inlineStr">
        <is>
          <t>AGB</t>
        </is>
      </c>
      <c r="C1500" s="371" t="inlineStr">
        <is>
          <t>Carbon fraction</t>
        </is>
      </c>
      <c r="D1500" s="345" t="inlineStr">
        <is>
          <t>tC/ha</t>
        </is>
      </c>
      <c r="E1500" s="371" t="inlineStr">
        <is>
          <t>AGB growth</t>
        </is>
      </c>
      <c r="F1500" s="371" t="inlineStr">
        <is>
          <t>R</t>
        </is>
      </c>
      <c r="G1500" s="371" t="inlineStr">
        <is>
          <t>BGB</t>
        </is>
      </c>
      <c r="H1500" s="371" t="inlineStr">
        <is>
          <t>Litter</t>
        </is>
      </c>
      <c r="I1500" s="371" t="inlineStr">
        <is>
          <t>Dead wood</t>
        </is>
      </c>
      <c r="J1500" s="371" t="inlineStr">
        <is>
          <t>SOCREF</t>
        </is>
      </c>
    </row>
    <row r="1501" customFormat="1" s="21">
      <c r="A1501" s="296" t="inlineStr">
        <is>
          <t>Please select</t>
        </is>
      </c>
      <c r="B1501" s="345" t="inlineStr">
        <is>
          <t>tonnes  dry matter/ha</t>
        </is>
      </c>
      <c r="C1501" s="345" t="inlineStr">
        <is>
          <t>tonnes C/ (tonnes d.m)</t>
        </is>
      </c>
      <c r="D1501" s="345" t="inlineStr">
        <is>
          <t>Mangrove Forest</t>
        </is>
      </c>
      <c r="E1501" s="345" t="inlineStr">
        <is>
          <t>tonnes  dry matter/ha/year</t>
        </is>
      </c>
      <c r="F1501" s="345" t="inlineStr">
        <is>
          <t>[tonne root d.m. (tonne shoot d.m.)-1]</t>
        </is>
      </c>
      <c r="G1501" s="345" t="inlineStr">
        <is>
          <t>tC/ha</t>
        </is>
      </c>
      <c r="H1501" s="345" t="inlineStr">
        <is>
          <t>tC/ha</t>
        </is>
      </c>
      <c r="I1501" s="345" t="inlineStr">
        <is>
          <t>tC/ha</t>
        </is>
      </c>
      <c r="J1501" s="345" t="inlineStr">
        <is>
          <t>tC/ha</t>
        </is>
      </c>
    </row>
    <row r="1502" customFormat="1" s="21">
      <c r="A1502" s="63" t="inlineStr">
        <is>
          <t>Tropical Dry</t>
        </is>
      </c>
      <c r="B1502" s="44" t="n">
        <v>92</v>
      </c>
      <c r="C1502" s="44">
        <f>45.1/100</f>
        <v/>
      </c>
      <c r="D1502" s="1678">
        <f>B1502*$C1502</f>
        <v/>
      </c>
      <c r="E1502" s="44" t="n">
        <v>3.3</v>
      </c>
      <c r="F1502" s="44" t="n">
        <v>0.29</v>
      </c>
      <c r="G1502" s="1678">
        <f>$D1502*$F1502</f>
        <v/>
      </c>
      <c r="H1502" s="44" t="n">
        <v>0.7</v>
      </c>
      <c r="I1502" s="44" t="n">
        <v>10.7</v>
      </c>
      <c r="J1502" s="44" t="n">
        <v>22</v>
      </c>
    </row>
    <row r="1503" customFormat="1" s="21">
      <c r="A1503" s="20" t="inlineStr">
        <is>
          <t>Tropical Moist</t>
        </is>
      </c>
      <c r="B1503" s="41" t="n">
        <v>192</v>
      </c>
      <c r="C1503" s="41">
        <f>45.1/100</f>
        <v/>
      </c>
      <c r="D1503" s="1679">
        <f>B1503*$C1503</f>
        <v/>
      </c>
      <c r="E1503" s="41" t="n">
        <v>9.9</v>
      </c>
      <c r="F1503" s="41" t="n">
        <v>0.49</v>
      </c>
      <c r="G1503" s="1679">
        <f>$D1503*$F1503</f>
        <v/>
      </c>
      <c r="H1503" s="41" t="n">
        <v>0.7</v>
      </c>
      <c r="I1503" s="41" t="n">
        <v>10.7</v>
      </c>
      <c r="J1503" s="41" t="n">
        <v>68</v>
      </c>
    </row>
    <row r="1504" customFormat="1" s="21">
      <c r="A1504" s="20" t="inlineStr">
        <is>
          <t>Tropical Wet</t>
        </is>
      </c>
      <c r="B1504" s="41" t="n">
        <v>192</v>
      </c>
      <c r="C1504" s="41">
        <f>45.1/100</f>
        <v/>
      </c>
      <c r="D1504" s="1679">
        <f>B1504*$C1504</f>
        <v/>
      </c>
      <c r="E1504" s="41" t="n">
        <v>9.9</v>
      </c>
      <c r="F1504" s="41" t="n">
        <v>0.49</v>
      </c>
      <c r="G1504" s="1679">
        <f>$D1504*$F1504</f>
        <v/>
      </c>
      <c r="H1504" s="41" t="n">
        <v>0.7</v>
      </c>
      <c r="I1504" s="41" t="n">
        <v>10.7</v>
      </c>
      <c r="J1504" s="41" t="n">
        <v>49</v>
      </c>
    </row>
    <row r="1505" customFormat="1" s="21">
      <c r="A1505" s="20" t="inlineStr">
        <is>
          <t>Warm Temperate Dry</t>
        </is>
      </c>
      <c r="B1505" s="41" t="n">
        <v>75</v>
      </c>
      <c r="C1505" s="41">
        <f>45.1/100</f>
        <v/>
      </c>
      <c r="D1505" s="1679">
        <f>B1505*$C1505</f>
        <v/>
      </c>
      <c r="E1505" s="41" t="n">
        <v>18.1</v>
      </c>
      <c r="F1505" s="41" t="n">
        <v>0.96</v>
      </c>
      <c r="G1505" s="1679">
        <f>$D1505*$F1505</f>
        <v/>
      </c>
      <c r="H1505" s="41" t="n">
        <v>0.7</v>
      </c>
      <c r="I1505" s="41" t="n">
        <v>10.7</v>
      </c>
      <c r="J1505" s="41" t="n">
        <v>74</v>
      </c>
    </row>
    <row r="1506" customFormat="1" s="21">
      <c r="A1506" s="20" t="inlineStr">
        <is>
          <t>Warm Temperate Moist</t>
        </is>
      </c>
      <c r="B1506" s="41" t="n">
        <v>75</v>
      </c>
      <c r="C1506" s="41">
        <f>45.1/100</f>
        <v/>
      </c>
      <c r="D1506" s="1679">
        <f>B1506*$C1506</f>
        <v/>
      </c>
      <c r="E1506" s="41" t="n">
        <v>18.1</v>
      </c>
      <c r="F1506" s="41" t="n">
        <v>0.96</v>
      </c>
      <c r="G1506" s="1679">
        <f>$D1506*$F1506</f>
        <v/>
      </c>
      <c r="H1506" s="41" t="n">
        <v>0.7</v>
      </c>
      <c r="I1506" s="41" t="n">
        <v>10.7</v>
      </c>
      <c r="J1506" s="41" t="n">
        <v>135</v>
      </c>
    </row>
    <row r="1507" customFormat="1" s="21">
      <c r="A1507" s="20" t="inlineStr">
        <is>
          <t>Boreal Moist</t>
        </is>
      </c>
      <c r="B1507" s="41" t="n">
        <v>0</v>
      </c>
      <c r="C1507" s="41" t="n">
        <v>0</v>
      </c>
      <c r="D1507" s="41" t="n">
        <v>0</v>
      </c>
      <c r="E1507" s="41" t="n">
        <v>0</v>
      </c>
      <c r="F1507" s="41" t="n">
        <v>0</v>
      </c>
      <c r="G1507" s="41" t="n">
        <v>0</v>
      </c>
      <c r="H1507" s="41" t="n">
        <v>0.7</v>
      </c>
      <c r="I1507" s="41" t="n">
        <v>10.7</v>
      </c>
      <c r="J1507" s="41" t="n">
        <v>116</v>
      </c>
    </row>
    <row r="1508" customFormat="1" s="21">
      <c r="A1508" s="20" t="inlineStr">
        <is>
          <t>Boreal Dry</t>
        </is>
      </c>
      <c r="B1508" s="41" t="n">
        <v>0</v>
      </c>
      <c r="C1508" s="41" t="n">
        <v>0</v>
      </c>
      <c r="D1508" s="41" t="n">
        <v>0</v>
      </c>
      <c r="E1508" s="41" t="n">
        <v>0</v>
      </c>
      <c r="F1508" s="41" t="n">
        <v>0</v>
      </c>
      <c r="G1508" s="41" t="n">
        <v>0</v>
      </c>
      <c r="H1508" s="41" t="n">
        <v>0.7</v>
      </c>
      <c r="I1508" s="41" t="n">
        <v>10.7</v>
      </c>
      <c r="J1508" s="41" t="n">
        <v>116</v>
      </c>
    </row>
    <row r="1509" customFormat="1" s="21">
      <c r="A1509" s="20" t="inlineStr">
        <is>
          <t>Cool Temperate Dry</t>
        </is>
      </c>
      <c r="B1509" s="41" t="n">
        <v>0</v>
      </c>
      <c r="C1509" s="41" t="n">
        <v>0</v>
      </c>
      <c r="D1509" s="41" t="n">
        <v>0</v>
      </c>
      <c r="E1509" s="41" t="n">
        <v>0</v>
      </c>
      <c r="F1509" s="41" t="n">
        <v>0</v>
      </c>
      <c r="G1509" s="41" t="n">
        <v>0</v>
      </c>
      <c r="H1509" s="41" t="n">
        <v>0.7</v>
      </c>
      <c r="I1509" s="41" t="n">
        <v>10.7</v>
      </c>
      <c r="J1509" s="41" t="n">
        <v>87</v>
      </c>
    </row>
    <row r="1510" customFormat="1" s="21">
      <c r="A1510" s="20" t="inlineStr">
        <is>
          <t>Cool Temperate Moist</t>
        </is>
      </c>
      <c r="B1510" s="41" t="n">
        <v>0</v>
      </c>
      <c r="C1510" s="41" t="n">
        <v>0</v>
      </c>
      <c r="D1510" s="41" t="n">
        <v>0</v>
      </c>
      <c r="E1510" s="41" t="n">
        <v>0</v>
      </c>
      <c r="F1510" s="41" t="n">
        <v>0</v>
      </c>
      <c r="G1510" s="41" t="n">
        <v>0</v>
      </c>
      <c r="H1510" s="41" t="n">
        <v>0.7</v>
      </c>
      <c r="I1510" s="41" t="n">
        <v>10.7</v>
      </c>
      <c r="J1510" s="41" t="n">
        <v>128</v>
      </c>
    </row>
    <row r="1511" customFormat="1" s="21">
      <c r="A1511" s="37" t="inlineStr">
        <is>
          <t>Tropical Montane</t>
        </is>
      </c>
      <c r="B1511" s="42" t="n">
        <v>0</v>
      </c>
      <c r="C1511" s="42" t="n">
        <v>0</v>
      </c>
      <c r="D1511" s="42" t="n">
        <v>0</v>
      </c>
      <c r="E1511" s="42" t="n">
        <v>0</v>
      </c>
      <c r="F1511" s="42" t="n">
        <v>0</v>
      </c>
      <c r="G1511" s="42" t="n">
        <v>0</v>
      </c>
      <c r="H1511" s="42" t="n">
        <v>0.7</v>
      </c>
      <c r="I1511" s="42" t="n">
        <v>10.7</v>
      </c>
      <c r="J1511" s="42" t="n">
        <v>82</v>
      </c>
    </row>
    <row r="1512" customFormat="1" s="21"/>
    <row r="1513" customFormat="1" s="284"/>
    <row r="1515" ht="22.25" customFormat="1" customHeight="1" s="773">
      <c r="A1515" s="770" t="inlineStr">
        <is>
          <t>Biomass (above + below ) of Land uses converted to FOREST. To be used  in Afforestation/reforestation Module</t>
        </is>
      </c>
      <c r="B1515" s="532" t="n"/>
      <c r="C1515" s="532" t="n"/>
      <c r="D1515" s="532" t="n"/>
      <c r="E1515" s="772" t="n"/>
      <c r="F1515" s="532" t="n"/>
      <c r="G1515" s="532" t="n"/>
      <c r="H1515" s="532" t="n"/>
      <c r="I1515" s="532" t="n"/>
      <c r="J1515" s="532" t="n"/>
      <c r="K1515" s="532" t="n"/>
      <c r="L1515" s="532" t="n"/>
      <c r="M1515" s="532" t="n"/>
      <c r="N1515" s="532" t="n"/>
      <c r="O1515" s="532" t="n"/>
      <c r="P1515" s="532" t="n"/>
      <c r="Q1515" s="533" t="n"/>
      <c r="R1515" s="533" t="n"/>
      <c r="S1515" s="533" t="n"/>
      <c r="T1515" s="533" t="n"/>
      <c r="U1515" s="533" t="n"/>
      <c r="V1515" s="533" t="n"/>
      <c r="W1515" s="533" t="n"/>
      <c r="X1515" s="533" t="n"/>
      <c r="Y1515" s="533" t="n"/>
    </row>
    <row r="1516">
      <c r="A1516" s="347" t="n"/>
      <c r="B1516" s="348" t="n"/>
      <c r="C1516" s="348" t="n"/>
      <c r="D1516" s="754" t="inlineStr">
        <is>
          <t>TABLE 5. 9 (UPDATED)</t>
        </is>
      </c>
      <c r="E1516" s="531" t="inlineStr">
        <is>
          <t>TABLE 5. 9 (UPDATED)</t>
        </is>
      </c>
      <c r="F1516" s="531" t="inlineStr">
        <is>
          <t>TABLE 5. 9 (UPDATED)</t>
        </is>
      </c>
      <c r="G1516" s="531" t="inlineStr">
        <is>
          <t>TABLE 6.4 (in IPCC 2006)</t>
        </is>
      </c>
      <c r="H1516" s="530" t="n"/>
      <c r="I1516" s="531" t="inlineStr">
        <is>
          <t>Table 5.2 (Updated)</t>
        </is>
      </c>
      <c r="J1516" s="531" t="inlineStr">
        <is>
          <t>TABLE 5.1 (UPDATED)</t>
        </is>
      </c>
      <c r="K1516" s="531" t="inlineStr">
        <is>
          <t>TABLE 5.1 (UPDATED)</t>
        </is>
      </c>
      <c r="L1516" s="531" t="inlineStr">
        <is>
          <t>TABLE 5.1 (UPDATED)</t>
        </is>
      </c>
      <c r="M1516" s="531" t="inlineStr">
        <is>
          <t>TABLE 5.1 (UPDATED)</t>
        </is>
      </c>
      <c r="N1516" s="531" t="inlineStr">
        <is>
          <t>TABLE 5.1 (UPDATED)</t>
        </is>
      </c>
      <c r="O1516" s="531" t="inlineStr">
        <is>
          <t>TABLE 5.1 (UPDATED)</t>
        </is>
      </c>
      <c r="P1516" s="531" t="inlineStr">
        <is>
          <t>TABLE 5.1 (UPDATED)</t>
        </is>
      </c>
      <c r="Q1516" s="531" t="inlineStr">
        <is>
          <t>TABLE 5.1 (UPDATED)</t>
        </is>
      </c>
      <c r="R1516" s="754" t="inlineStr">
        <is>
          <t>From EX-ACT v.7</t>
        </is>
      </c>
      <c r="S1516" s="754" t="inlineStr">
        <is>
          <t>TABLE 5. 3 (UPDATED)</t>
        </is>
      </c>
      <c r="T1516" s="754" t="inlineStr">
        <is>
          <t>TABLE 5. 3 (UPDATED)</t>
        </is>
      </c>
      <c r="U1516" s="754" t="inlineStr">
        <is>
          <t>TABLE 5. 3 (UPDATED)</t>
        </is>
      </c>
      <c r="V1516" s="754" t="inlineStr">
        <is>
          <t>TABLE 5. 3 (UPDATED)</t>
        </is>
      </c>
      <c r="W1516" s="754" t="inlineStr">
        <is>
          <t>TABLE 5. 3 (UPDATED)</t>
        </is>
      </c>
      <c r="X1516" s="754" t="inlineStr">
        <is>
          <t>TABLE 5. 3 (UPDATED)</t>
        </is>
      </c>
      <c r="Y1516" s="754" t="inlineStr">
        <is>
          <t>TABLE 5. 3 (UPDATED)</t>
        </is>
      </c>
    </row>
    <row r="1517">
      <c r="A1517" s="347" t="n"/>
      <c r="B1517" s="347" t="n"/>
      <c r="C1517" s="347" t="n"/>
      <c r="D1517" s="378" t="inlineStr">
        <is>
          <t>Annual cropland</t>
        </is>
      </c>
      <c r="E1517" s="371" t="inlineStr">
        <is>
          <t>Annual fallow</t>
        </is>
      </c>
      <c r="F1517" s="371" t="inlineStr">
        <is>
          <t>Flooded rice</t>
        </is>
      </c>
      <c r="G1517" s="371" t="inlineStr">
        <is>
          <t>Grassland</t>
        </is>
      </c>
      <c r="H1517" s="371" t="inlineStr">
        <is>
          <t>Other land (non-vegetated)</t>
        </is>
      </c>
      <c r="I1517" s="371" t="inlineStr">
        <is>
          <t>Agroforestry - default</t>
        </is>
      </c>
      <c r="J1517" s="371" t="inlineStr">
        <is>
          <t>Alley cropping</t>
        </is>
      </c>
      <c r="K1517" s="371" t="inlineStr">
        <is>
          <t>Perennial fallow</t>
        </is>
      </c>
      <c r="L1517" s="508" t="inlineStr">
        <is>
          <t>Hedgerow</t>
        </is>
      </c>
      <c r="M1517" s="371" t="inlineStr">
        <is>
          <t>Multistrata</t>
        </is>
      </c>
      <c r="N1517" s="508" t="inlineStr">
        <is>
          <t>Parkland</t>
        </is>
      </c>
      <c r="O1517" s="371" t="inlineStr">
        <is>
          <t>Shaded Perennial</t>
        </is>
      </c>
      <c r="P1517" s="508" t="inlineStr">
        <is>
          <t>Silvoarable</t>
        </is>
      </c>
      <c r="Q1517" s="508" t="inlineStr">
        <is>
          <t>Silvopasture</t>
        </is>
      </c>
      <c r="R1517" s="378" t="inlineStr">
        <is>
          <t>Degraded land</t>
        </is>
      </c>
      <c r="S1517" s="378" t="inlineStr">
        <is>
          <t>Olive</t>
        </is>
      </c>
      <c r="T1517" s="378" t="inlineStr">
        <is>
          <t>Orchard</t>
        </is>
      </c>
      <c r="U1517" s="378" t="inlineStr">
        <is>
          <t>Short Rotation Coppice</t>
        </is>
      </c>
      <c r="V1517" s="378" t="inlineStr">
        <is>
          <t>Tea</t>
        </is>
      </c>
      <c r="W1517" s="378" t="inlineStr">
        <is>
          <t>Vine</t>
        </is>
      </c>
      <c r="X1517" s="378" t="inlineStr">
        <is>
          <t>Oil palm</t>
        </is>
      </c>
      <c r="Y1517" s="378" t="inlineStr">
        <is>
          <t>Rubber</t>
        </is>
      </c>
    </row>
    <row r="1518">
      <c r="A1518" s="347" t="n"/>
      <c r="B1518" s="347" t="n"/>
      <c r="C1518" s="347" t="n"/>
      <c r="D1518" s="378" t="n"/>
      <c r="E1518" s="378" t="n"/>
      <c r="F1518" s="533" t="n"/>
      <c r="G1518" s="533" t="n"/>
      <c r="H1518" s="533" t="n"/>
      <c r="I1518" s="533" t="n"/>
      <c r="J1518" s="378" t="inlineStr">
        <is>
          <t>(Lmean)</t>
        </is>
      </c>
      <c r="K1518" s="378" t="inlineStr">
        <is>
          <t>(Lmean)</t>
        </is>
      </c>
      <c r="L1518" s="378" t="inlineStr">
        <is>
          <t>(Lmean)</t>
        </is>
      </c>
      <c r="M1518" s="378" t="inlineStr">
        <is>
          <t>(Lmean)</t>
        </is>
      </c>
      <c r="N1518" s="378" t="inlineStr">
        <is>
          <t>(Lmean)</t>
        </is>
      </c>
      <c r="O1518" s="378" t="inlineStr">
        <is>
          <t>(Lmean)</t>
        </is>
      </c>
      <c r="P1518" s="378" t="inlineStr">
        <is>
          <t>(Lmean)</t>
        </is>
      </c>
      <c r="Q1518" s="378" t="inlineStr">
        <is>
          <t>(Lmean)</t>
        </is>
      </c>
      <c r="R1518" s="533" t="n"/>
      <c r="S1518" s="378" t="inlineStr">
        <is>
          <t>(Lmean)</t>
        </is>
      </c>
      <c r="T1518" s="378" t="inlineStr">
        <is>
          <t>(Lmean)</t>
        </is>
      </c>
      <c r="U1518" s="378" t="inlineStr">
        <is>
          <t>(Lmean)</t>
        </is>
      </c>
      <c r="V1518" s="378" t="inlineStr">
        <is>
          <t>(Lmean)</t>
        </is>
      </c>
      <c r="W1518" s="378" t="inlineStr">
        <is>
          <t>(Lmean)</t>
        </is>
      </c>
      <c r="X1518" s="378" t="inlineStr">
        <is>
          <t>(Lmean)</t>
        </is>
      </c>
      <c r="Y1518" s="378" t="inlineStr">
        <is>
          <t>(Lmean)</t>
        </is>
      </c>
    </row>
    <row r="1519" ht="16" customHeight="1">
      <c r="A1519" s="771" t="inlineStr">
        <is>
          <t>Climate Region</t>
        </is>
      </c>
      <c r="B1519" s="771" t="inlineStr">
        <is>
          <t>Region</t>
        </is>
      </c>
      <c r="C1519" s="771" t="inlineStr">
        <is>
          <t>Chain_climate_region</t>
        </is>
      </c>
      <c r="D1519" s="169" t="inlineStr">
        <is>
          <t>(tonnes C/ha)</t>
        </is>
      </c>
      <c r="E1519" s="169" t="inlineStr">
        <is>
          <t>(tonnes C/ha)</t>
        </is>
      </c>
      <c r="F1519" s="169" t="inlineStr">
        <is>
          <t>(tonnes C/ha)</t>
        </is>
      </c>
      <c r="G1519" s="169" t="inlineStr">
        <is>
          <t>(tonnes C/ha)</t>
        </is>
      </c>
      <c r="H1519" s="169" t="inlineStr">
        <is>
          <t>(tonnes C/ha)</t>
        </is>
      </c>
      <c r="I1519" s="169" t="inlineStr">
        <is>
          <t>(tonnes C/ha)</t>
        </is>
      </c>
      <c r="J1519" s="169" t="inlineStr">
        <is>
          <t>(tonnes C/ha)</t>
        </is>
      </c>
      <c r="K1519" s="169" t="inlineStr">
        <is>
          <t>(tonnes C/ha)</t>
        </is>
      </c>
      <c r="L1519" s="169" t="inlineStr">
        <is>
          <t>(tonnes C/ha)</t>
        </is>
      </c>
      <c r="M1519" s="169" t="inlineStr">
        <is>
          <t>(tonnes C/ha)</t>
        </is>
      </c>
      <c r="N1519" s="169" t="inlineStr">
        <is>
          <t>(tonnes C/ha)</t>
        </is>
      </c>
      <c r="O1519" s="169" t="inlineStr">
        <is>
          <t>(tonnes C/ha)</t>
        </is>
      </c>
      <c r="P1519" s="169" t="inlineStr">
        <is>
          <t>(tonnes C/ha)</t>
        </is>
      </c>
      <c r="Q1519" s="169" t="inlineStr">
        <is>
          <t>(tonnes C/ha)</t>
        </is>
      </c>
      <c r="R1519" s="169" t="inlineStr">
        <is>
          <t>(tonnes C/ha)</t>
        </is>
      </c>
      <c r="S1519" s="169" t="inlineStr">
        <is>
          <t>(tonnes C/ha)</t>
        </is>
      </c>
      <c r="T1519" s="169" t="inlineStr">
        <is>
          <t>(tonnes C/ha)</t>
        </is>
      </c>
      <c r="U1519" s="169" t="inlineStr">
        <is>
          <t>(tonnes C/ha)</t>
        </is>
      </c>
      <c r="V1519" s="169" t="inlineStr">
        <is>
          <t>(tonnes C/ha)</t>
        </is>
      </c>
      <c r="W1519" s="169" t="inlineStr">
        <is>
          <t>(tonnes C/ha)</t>
        </is>
      </c>
      <c r="X1519" s="169" t="inlineStr">
        <is>
          <t>(tonnes C/ha)</t>
        </is>
      </c>
      <c r="Y1519" s="169" t="inlineStr">
        <is>
          <t>(tonnes C/ha)</t>
        </is>
      </c>
    </row>
    <row r="1520">
      <c r="A1520" s="296" t="inlineStr">
        <is>
          <t>Please select</t>
        </is>
      </c>
      <c r="B1520" s="296" t="inlineStr">
        <is>
          <t>Please select</t>
        </is>
      </c>
      <c r="C1520" s="296" t="inlineStr">
        <is>
          <t>??</t>
        </is>
      </c>
      <c r="D1520" s="378" t="inlineStr">
        <is>
          <t>Annual cropland</t>
        </is>
      </c>
      <c r="E1520" s="62" t="inlineStr">
        <is>
          <t>Annual fallow</t>
        </is>
      </c>
      <c r="F1520" s="371" t="inlineStr">
        <is>
          <t>Flooded rice</t>
        </is>
      </c>
      <c r="G1520" s="62" t="inlineStr">
        <is>
          <t>Grassland</t>
        </is>
      </c>
      <c r="H1520" s="371" t="inlineStr">
        <is>
          <t>Other land (non-vegetated)</t>
        </is>
      </c>
      <c r="I1520" s="371" t="inlineStr">
        <is>
          <t>Agroforestry - default</t>
        </is>
      </c>
      <c r="J1520" s="371" t="inlineStr">
        <is>
          <t>Alley cropping</t>
        </is>
      </c>
      <c r="K1520" s="371" t="inlineStr">
        <is>
          <t>Perennial fallow</t>
        </is>
      </c>
      <c r="L1520" s="54" t="inlineStr">
        <is>
          <t>Hedgerow</t>
        </is>
      </c>
      <c r="M1520" s="371" t="inlineStr">
        <is>
          <t>Multistrata</t>
        </is>
      </c>
      <c r="N1520" s="54" t="inlineStr">
        <is>
          <t>Parkland</t>
        </is>
      </c>
      <c r="O1520" s="371" t="inlineStr">
        <is>
          <t>Shaded Perennial</t>
        </is>
      </c>
      <c r="P1520" s="371" t="inlineStr">
        <is>
          <t>Silvoarable</t>
        </is>
      </c>
      <c r="Q1520" s="371" t="inlineStr">
        <is>
          <t>Silvopasture</t>
        </is>
      </c>
      <c r="R1520" s="54" t="inlineStr">
        <is>
          <t>Degraded land</t>
        </is>
      </c>
      <c r="S1520" s="54" t="inlineStr">
        <is>
          <t>Olive</t>
        </is>
      </c>
      <c r="T1520" s="378" t="inlineStr">
        <is>
          <t>Orchard</t>
        </is>
      </c>
      <c r="U1520" s="378" t="inlineStr">
        <is>
          <t>Short Rotation Coppice</t>
        </is>
      </c>
      <c r="V1520" s="378" t="inlineStr">
        <is>
          <t>Tea</t>
        </is>
      </c>
      <c r="W1520" s="378" t="inlineStr">
        <is>
          <t>Vine</t>
        </is>
      </c>
      <c r="X1520" s="378" t="inlineStr">
        <is>
          <t>Oil palm</t>
        </is>
      </c>
      <c r="Y1520" s="378" t="inlineStr">
        <is>
          <t>Rubber</t>
        </is>
      </c>
    </row>
    <row r="1521">
      <c r="A1521" s="63" t="inlineStr">
        <is>
          <t>Cool Temperate Dry</t>
        </is>
      </c>
      <c r="B1521" s="408" t="inlineStr">
        <is>
          <t>Eastern Africa</t>
        </is>
      </c>
      <c r="C1521" s="63">
        <f>CONCATENATE(A1521,B1521)</f>
        <v/>
      </c>
      <c r="D1521" s="569" t="n">
        <v>4.7</v>
      </c>
      <c r="E1521" s="569" t="n">
        <v>4.7</v>
      </c>
      <c r="F1521" s="569" t="n">
        <v>4.7</v>
      </c>
      <c r="G1521" s="566">
        <f>6.5*0.47</f>
        <v/>
      </c>
      <c r="H1521" s="729" t="n">
        <v>0</v>
      </c>
      <c r="I1521" s="755">
        <f>AVERAGE(J1521:Q1521)</f>
        <v/>
      </c>
      <c r="J1521" s="591" t="n"/>
      <c r="K1521" s="584" t="n"/>
      <c r="L1521" s="583" t="n">
        <v>13.1</v>
      </c>
      <c r="M1521" s="756" t="n"/>
      <c r="N1521" s="756" t="n"/>
      <c r="O1521" s="756" t="n"/>
      <c r="P1521" s="583" t="n">
        <v>13.7</v>
      </c>
      <c r="Q1521" s="585" t="n">
        <v>35</v>
      </c>
      <c r="R1521" s="757" t="n">
        <v>1</v>
      </c>
      <c r="S1521" s="569" t="n">
        <v>6.9</v>
      </c>
      <c r="T1521" s="567" t="n">
        <v>6.4</v>
      </c>
      <c r="U1521" s="570" t="n">
        <v>6.35</v>
      </c>
      <c r="V1521" s="567" t="n">
        <v>18.3</v>
      </c>
      <c r="W1521" s="569" t="n">
        <v>2.8</v>
      </c>
      <c r="X1521" s="567" t="n"/>
      <c r="Y1521" s="567" t="n"/>
    </row>
    <row r="1522">
      <c r="A1522" s="20" t="inlineStr">
        <is>
          <t>Cool Temperate Dry</t>
        </is>
      </c>
      <c r="B1522" s="401" t="inlineStr">
        <is>
          <t>Central Africa</t>
        </is>
      </c>
      <c r="C1522" s="20">
        <f>CONCATENATE(A1522,B1522)</f>
        <v/>
      </c>
      <c r="D1522" s="572" t="n">
        <v>4.7</v>
      </c>
      <c r="E1522" s="572" t="n">
        <v>4.7</v>
      </c>
      <c r="F1522" s="572" t="n">
        <v>4.7</v>
      </c>
      <c r="G1522" s="566">
        <f>6.5*0.47</f>
        <v/>
      </c>
      <c r="H1522" s="730" t="n">
        <v>0</v>
      </c>
      <c r="I1522" s="758">
        <f>AVERAGE(J1522:Q1522)</f>
        <v/>
      </c>
      <c r="J1522" s="588" t="n"/>
      <c r="K1522" s="574" t="n"/>
      <c r="L1522" s="564" t="n">
        <v>13.1</v>
      </c>
      <c r="M1522" s="759" t="n"/>
      <c r="N1522" s="759" t="n"/>
      <c r="O1522" s="759" t="n"/>
      <c r="P1522" s="564" t="n">
        <v>13.7</v>
      </c>
      <c r="Q1522" s="563" t="n">
        <v>35</v>
      </c>
      <c r="R1522" s="757" t="n">
        <v>1</v>
      </c>
      <c r="S1522" s="572" t="n">
        <v>6.9</v>
      </c>
      <c r="T1522" s="55" t="n">
        <v>6.4</v>
      </c>
      <c r="U1522" s="573" t="n">
        <v>6.35</v>
      </c>
      <c r="V1522" s="55" t="n">
        <v>18.3</v>
      </c>
      <c r="W1522" s="572" t="n">
        <v>2.8</v>
      </c>
      <c r="X1522" s="55" t="n"/>
      <c r="Y1522" s="55" t="n"/>
    </row>
    <row r="1523">
      <c r="A1523" s="20" t="inlineStr">
        <is>
          <t>Cool Temperate Dry</t>
        </is>
      </c>
      <c r="B1523" s="401" t="inlineStr">
        <is>
          <t>Northern Africa</t>
        </is>
      </c>
      <c r="C1523" s="20">
        <f>CONCATENATE(A1523,B1523)</f>
        <v/>
      </c>
      <c r="D1523" s="572" t="n">
        <v>4.7</v>
      </c>
      <c r="E1523" s="572" t="n">
        <v>4.7</v>
      </c>
      <c r="F1523" s="572" t="n">
        <v>4.7</v>
      </c>
      <c r="G1523" s="566">
        <f>6.5*0.47</f>
        <v/>
      </c>
      <c r="H1523" s="730" t="n">
        <v>0</v>
      </c>
      <c r="I1523" s="758">
        <f>AVERAGE(J1523:Q1523)</f>
        <v/>
      </c>
      <c r="J1523" s="588" t="n"/>
      <c r="K1523" s="574" t="n"/>
      <c r="L1523" s="564" t="n">
        <v>13.1</v>
      </c>
      <c r="M1523" s="759" t="n"/>
      <c r="N1523" s="759" t="n"/>
      <c r="O1523" s="759" t="n"/>
      <c r="P1523" s="564" t="n">
        <v>13.7</v>
      </c>
      <c r="Q1523" s="563" t="n">
        <v>35</v>
      </c>
      <c r="R1523" s="757" t="n">
        <v>1</v>
      </c>
      <c r="S1523" s="572" t="n">
        <v>6.9</v>
      </c>
      <c r="T1523" s="55" t="n">
        <v>6.4</v>
      </c>
      <c r="U1523" s="573" t="n">
        <v>6.35</v>
      </c>
      <c r="V1523" s="55" t="n">
        <v>18.3</v>
      </c>
      <c r="W1523" s="572" t="n">
        <v>2.8</v>
      </c>
      <c r="X1523" s="55" t="n"/>
      <c r="Y1523" s="55" t="n"/>
    </row>
    <row r="1524">
      <c r="A1524" s="20" t="inlineStr">
        <is>
          <t>Cool Temperate Dry</t>
        </is>
      </c>
      <c r="B1524" s="401" t="inlineStr">
        <is>
          <t>Southern Africa</t>
        </is>
      </c>
      <c r="C1524" s="20">
        <f>CONCATENATE(A1524,B1524)</f>
        <v/>
      </c>
      <c r="D1524" s="572" t="n">
        <v>4.7</v>
      </c>
      <c r="E1524" s="572" t="n">
        <v>4.7</v>
      </c>
      <c r="F1524" s="572" t="n">
        <v>4.7</v>
      </c>
      <c r="G1524" s="566">
        <f>6.5*0.47</f>
        <v/>
      </c>
      <c r="H1524" s="730" t="n">
        <v>0</v>
      </c>
      <c r="I1524" s="758">
        <f>AVERAGE(J1524:Q1524)</f>
        <v/>
      </c>
      <c r="J1524" s="588" t="n"/>
      <c r="K1524" s="574" t="n"/>
      <c r="L1524" s="564" t="n">
        <v>13.1</v>
      </c>
      <c r="M1524" s="759" t="n"/>
      <c r="N1524" s="759" t="n"/>
      <c r="O1524" s="759" t="n"/>
      <c r="P1524" s="564" t="n">
        <v>13.7</v>
      </c>
      <c r="Q1524" s="563" t="n">
        <v>35</v>
      </c>
      <c r="R1524" s="757" t="n">
        <v>1</v>
      </c>
      <c r="S1524" s="572" t="n">
        <v>6.9</v>
      </c>
      <c r="T1524" s="55" t="n">
        <v>6.4</v>
      </c>
      <c r="U1524" s="573" t="n">
        <v>6.35</v>
      </c>
      <c r="V1524" s="55" t="n">
        <v>18.3</v>
      </c>
      <c r="W1524" s="572" t="n">
        <v>2.8</v>
      </c>
      <c r="X1524" s="55" t="n"/>
      <c r="Y1524" s="55" t="n"/>
    </row>
    <row r="1525">
      <c r="A1525" s="20" t="inlineStr">
        <is>
          <t>Cool Temperate Dry</t>
        </is>
      </c>
      <c r="B1525" s="401" t="inlineStr">
        <is>
          <t>Western Africa</t>
        </is>
      </c>
      <c r="C1525" s="20">
        <f>CONCATENATE(A1525,B1525)</f>
        <v/>
      </c>
      <c r="D1525" s="572" t="n">
        <v>4.7</v>
      </c>
      <c r="E1525" s="572" t="n">
        <v>4.7</v>
      </c>
      <c r="F1525" s="572" t="n">
        <v>4.7</v>
      </c>
      <c r="G1525" s="566">
        <f>6.5*0.47</f>
        <v/>
      </c>
      <c r="H1525" s="730" t="n">
        <v>0</v>
      </c>
      <c r="I1525" s="758">
        <f>AVERAGE(J1525:Q1525)</f>
        <v/>
      </c>
      <c r="J1525" s="588" t="n"/>
      <c r="K1525" s="574" t="n"/>
      <c r="L1525" s="564" t="n">
        <v>13.1</v>
      </c>
      <c r="M1525" s="759" t="n"/>
      <c r="N1525" s="759" t="n"/>
      <c r="O1525" s="759" t="n"/>
      <c r="P1525" s="564" t="n">
        <v>13.7</v>
      </c>
      <c r="Q1525" s="563" t="n">
        <v>35</v>
      </c>
      <c r="R1525" s="757" t="n">
        <v>1</v>
      </c>
      <c r="S1525" s="572" t="n">
        <v>6.9</v>
      </c>
      <c r="T1525" s="55" t="n">
        <v>6.4</v>
      </c>
      <c r="U1525" s="573" t="n">
        <v>6.35</v>
      </c>
      <c r="V1525" s="55" t="n">
        <v>18.3</v>
      </c>
      <c r="W1525" s="572" t="n">
        <v>2.8</v>
      </c>
      <c r="X1525" s="55" t="n"/>
      <c r="Y1525" s="55" t="n"/>
    </row>
    <row r="1526">
      <c r="A1526" s="20" t="inlineStr">
        <is>
          <t>Cool Temperate Dry</t>
        </is>
      </c>
      <c r="B1526" s="401" t="inlineStr">
        <is>
          <t>Central Asia</t>
        </is>
      </c>
      <c r="C1526" s="20">
        <f>CONCATENATE(A1526,B1526)</f>
        <v/>
      </c>
      <c r="D1526" s="572" t="n">
        <v>4.7</v>
      </c>
      <c r="E1526" s="572" t="n">
        <v>4.7</v>
      </c>
      <c r="F1526" s="572" t="n">
        <v>4.7</v>
      </c>
      <c r="G1526" s="566">
        <f>6.5*0.47</f>
        <v/>
      </c>
      <c r="H1526" s="730" t="n">
        <v>0</v>
      </c>
      <c r="I1526" s="758">
        <f>AVERAGE(J1526:Q1526)</f>
        <v/>
      </c>
      <c r="J1526" s="588" t="n"/>
      <c r="K1526" s="574" t="n"/>
      <c r="L1526" s="564" t="n">
        <v>13.1</v>
      </c>
      <c r="M1526" s="759" t="n"/>
      <c r="N1526" s="759" t="n"/>
      <c r="O1526" s="759" t="n"/>
      <c r="P1526" s="564" t="n">
        <v>13.7</v>
      </c>
      <c r="Q1526" s="563" t="n">
        <v>35</v>
      </c>
      <c r="R1526" s="757" t="n">
        <v>1</v>
      </c>
      <c r="S1526" s="572" t="n">
        <v>6.9</v>
      </c>
      <c r="T1526" s="55" t="n">
        <v>6.4</v>
      </c>
      <c r="U1526" s="573" t="n">
        <v>6.35</v>
      </c>
      <c r="V1526" s="55" t="n">
        <v>18.3</v>
      </c>
      <c r="W1526" s="572" t="n">
        <v>2.8</v>
      </c>
      <c r="X1526" s="55" t="n"/>
      <c r="Y1526" s="55" t="n"/>
    </row>
    <row r="1527">
      <c r="A1527" s="20" t="inlineStr">
        <is>
          <t>Cool Temperate Dry</t>
        </is>
      </c>
      <c r="B1527" s="401" t="inlineStr">
        <is>
          <t>Eastern Asia</t>
        </is>
      </c>
      <c r="C1527" s="20">
        <f>CONCATENATE(A1527,B1527)</f>
        <v/>
      </c>
      <c r="D1527" s="572" t="n">
        <v>4.7</v>
      </c>
      <c r="E1527" s="572" t="n">
        <v>4.7</v>
      </c>
      <c r="F1527" s="572" t="n">
        <v>4.7</v>
      </c>
      <c r="G1527" s="566">
        <f>6.5*0.47</f>
        <v/>
      </c>
      <c r="H1527" s="730" t="n">
        <v>0</v>
      </c>
      <c r="I1527" s="758">
        <f>AVERAGE(J1527:Q1527)</f>
        <v/>
      </c>
      <c r="J1527" s="588" t="n"/>
      <c r="K1527" s="574" t="n"/>
      <c r="L1527" s="564" t="n">
        <v>13.1</v>
      </c>
      <c r="M1527" s="759" t="n"/>
      <c r="N1527" s="759" t="n"/>
      <c r="O1527" s="759" t="n"/>
      <c r="P1527" s="564" t="n">
        <v>13.7</v>
      </c>
      <c r="Q1527" s="563" t="n">
        <v>35</v>
      </c>
      <c r="R1527" s="757" t="n">
        <v>1</v>
      </c>
      <c r="S1527" s="572" t="n">
        <v>6.9</v>
      </c>
      <c r="T1527" s="55" t="n">
        <v>6.4</v>
      </c>
      <c r="U1527" s="573" t="n">
        <v>6.35</v>
      </c>
      <c r="V1527" s="55" t="n">
        <v>18.3</v>
      </c>
      <c r="W1527" s="572" t="n">
        <v>2.8</v>
      </c>
      <c r="X1527" s="55" t="n"/>
      <c r="Y1527" s="55" t="n"/>
    </row>
    <row r="1528">
      <c r="A1528" s="20" t="inlineStr">
        <is>
          <t>Cool Temperate Dry</t>
        </is>
      </c>
      <c r="B1528" s="401" t="inlineStr">
        <is>
          <t>South-eastern Asia</t>
        </is>
      </c>
      <c r="C1528" s="20">
        <f>CONCATENATE(A1528,B1528)</f>
        <v/>
      </c>
      <c r="D1528" s="572" t="n">
        <v>4.7</v>
      </c>
      <c r="E1528" s="572" t="n">
        <v>4.7</v>
      </c>
      <c r="F1528" s="572" t="n">
        <v>4.7</v>
      </c>
      <c r="G1528" s="566">
        <f>6.5*0.47</f>
        <v/>
      </c>
      <c r="H1528" s="730" t="n">
        <v>0</v>
      </c>
      <c r="I1528" s="758">
        <f>AVERAGE(J1528:Q1528)</f>
        <v/>
      </c>
      <c r="J1528" s="588" t="n"/>
      <c r="K1528" s="574" t="n"/>
      <c r="L1528" s="564" t="n">
        <v>13.1</v>
      </c>
      <c r="M1528" s="759" t="n"/>
      <c r="N1528" s="759" t="n"/>
      <c r="O1528" s="759" t="n"/>
      <c r="P1528" s="564" t="n">
        <v>13.7</v>
      </c>
      <c r="Q1528" s="563" t="n">
        <v>35</v>
      </c>
      <c r="R1528" s="757" t="n">
        <v>1</v>
      </c>
      <c r="S1528" s="572" t="n">
        <v>6.9</v>
      </c>
      <c r="T1528" s="55" t="n">
        <v>6.4</v>
      </c>
      <c r="U1528" s="573" t="n">
        <v>6.35</v>
      </c>
      <c r="V1528" s="55" t="n">
        <v>18.3</v>
      </c>
      <c r="W1528" s="572" t="n">
        <v>2.8</v>
      </c>
      <c r="X1528" s="55" t="n"/>
      <c r="Y1528" s="55" t="n"/>
    </row>
    <row r="1529">
      <c r="A1529" s="20" t="inlineStr">
        <is>
          <t>Cool Temperate Dry</t>
        </is>
      </c>
      <c r="B1529" s="401" t="inlineStr">
        <is>
          <t>Southern Asia</t>
        </is>
      </c>
      <c r="C1529" s="20">
        <f>CONCATENATE(A1529,B1529)</f>
        <v/>
      </c>
      <c r="D1529" s="572" t="n">
        <v>4.7</v>
      </c>
      <c r="E1529" s="572" t="n">
        <v>4.7</v>
      </c>
      <c r="F1529" s="572" t="n">
        <v>4.7</v>
      </c>
      <c r="G1529" s="566">
        <f>6.5*0.47</f>
        <v/>
      </c>
      <c r="H1529" s="730" t="n">
        <v>0</v>
      </c>
      <c r="I1529" s="758">
        <f>AVERAGE(J1529:Q1529)</f>
        <v/>
      </c>
      <c r="J1529" s="588" t="n"/>
      <c r="K1529" s="574" t="n"/>
      <c r="L1529" s="564" t="n">
        <v>13.1</v>
      </c>
      <c r="M1529" s="759" t="n"/>
      <c r="N1529" s="759" t="n"/>
      <c r="O1529" s="759" t="n"/>
      <c r="P1529" s="564" t="n">
        <v>13.7</v>
      </c>
      <c r="Q1529" s="563" t="n">
        <v>35</v>
      </c>
      <c r="R1529" s="757" t="n">
        <v>1</v>
      </c>
      <c r="S1529" s="572" t="n">
        <v>6.9</v>
      </c>
      <c r="T1529" s="55" t="n">
        <v>6.4</v>
      </c>
      <c r="U1529" s="573" t="n">
        <v>6.35</v>
      </c>
      <c r="V1529" s="55" t="n">
        <v>18.3</v>
      </c>
      <c r="W1529" s="572" t="n">
        <v>2.8</v>
      </c>
      <c r="X1529" s="55" t="n"/>
      <c r="Y1529" s="55" t="n"/>
    </row>
    <row r="1530">
      <c r="A1530" s="20" t="inlineStr">
        <is>
          <t>Cool Temperate Dry</t>
        </is>
      </c>
      <c r="B1530" s="401" t="inlineStr">
        <is>
          <t>Western Asia</t>
        </is>
      </c>
      <c r="C1530" s="20">
        <f>CONCATENATE(A1530,B1530)</f>
        <v/>
      </c>
      <c r="D1530" s="572" t="n">
        <v>4.7</v>
      </c>
      <c r="E1530" s="572" t="n">
        <v>4.7</v>
      </c>
      <c r="F1530" s="572" t="n">
        <v>4.7</v>
      </c>
      <c r="G1530" s="566">
        <f>6.5*0.47</f>
        <v/>
      </c>
      <c r="H1530" s="730" t="n">
        <v>0</v>
      </c>
      <c r="I1530" s="758">
        <f>AVERAGE(J1530:Q1530)</f>
        <v/>
      </c>
      <c r="J1530" s="588" t="n"/>
      <c r="K1530" s="574" t="n"/>
      <c r="L1530" s="564" t="n">
        <v>13.1</v>
      </c>
      <c r="M1530" s="759" t="n"/>
      <c r="N1530" s="759" t="n"/>
      <c r="O1530" s="759" t="n"/>
      <c r="P1530" s="564" t="n">
        <v>13.7</v>
      </c>
      <c r="Q1530" s="563" t="n">
        <v>35</v>
      </c>
      <c r="R1530" s="757" t="n">
        <v>1</v>
      </c>
      <c r="S1530" s="572" t="n">
        <v>6.9</v>
      </c>
      <c r="T1530" s="55" t="n">
        <v>6.4</v>
      </c>
      <c r="U1530" s="573" t="n">
        <v>6.35</v>
      </c>
      <c r="V1530" s="55" t="n">
        <v>18.3</v>
      </c>
      <c r="W1530" s="572" t="n">
        <v>2.8</v>
      </c>
      <c r="X1530" s="55" t="n"/>
      <c r="Y1530" s="55" t="n"/>
    </row>
    <row r="1531">
      <c r="A1531" s="20" t="inlineStr">
        <is>
          <t>Cool Temperate Dry</t>
        </is>
      </c>
      <c r="B1531" s="401" t="inlineStr">
        <is>
          <t>Europe</t>
        </is>
      </c>
      <c r="C1531" s="20">
        <f>CONCATENATE(A1531,B1531)</f>
        <v/>
      </c>
      <c r="D1531" s="572" t="n">
        <v>4.7</v>
      </c>
      <c r="E1531" s="572" t="n">
        <v>4.7</v>
      </c>
      <c r="F1531" s="572" t="n">
        <v>4.7</v>
      </c>
      <c r="G1531" s="566">
        <f>6.5*0.47</f>
        <v/>
      </c>
      <c r="H1531" s="730" t="n">
        <v>0</v>
      </c>
      <c r="I1531" s="758">
        <f>AVERAGE(J1531:Q1531)</f>
        <v/>
      </c>
      <c r="J1531" s="588" t="n"/>
      <c r="K1531" s="574" t="n"/>
      <c r="L1531" s="564" t="n">
        <v>13.1</v>
      </c>
      <c r="M1531" s="759" t="n"/>
      <c r="N1531" s="759" t="n"/>
      <c r="O1531" s="759" t="n"/>
      <c r="P1531" s="564" t="n">
        <v>13.7</v>
      </c>
      <c r="Q1531" s="563" t="n">
        <v>35</v>
      </c>
      <c r="R1531" s="757" t="n">
        <v>1</v>
      </c>
      <c r="S1531" s="572" t="n">
        <v>6.9</v>
      </c>
      <c r="T1531" s="55" t="n">
        <v>6.4</v>
      </c>
      <c r="U1531" s="573" t="n">
        <v>6.35</v>
      </c>
      <c r="V1531" s="55" t="n">
        <v>18.3</v>
      </c>
      <c r="W1531" s="572" t="n">
        <v>2.8</v>
      </c>
      <c r="X1531" s="55" t="n"/>
      <c r="Y1531" s="55" t="n"/>
    </row>
    <row r="1532">
      <c r="A1532" s="20" t="inlineStr">
        <is>
          <t>Cool Temperate Dry</t>
        </is>
      </c>
      <c r="B1532" s="401" t="inlineStr">
        <is>
          <t>Oceania</t>
        </is>
      </c>
      <c r="C1532" s="20">
        <f>CONCATENATE(A1532,B1532)</f>
        <v/>
      </c>
      <c r="D1532" s="572" t="n">
        <v>4.7</v>
      </c>
      <c r="E1532" s="572" t="n">
        <v>4.7</v>
      </c>
      <c r="F1532" s="572" t="n">
        <v>4.7</v>
      </c>
      <c r="G1532" s="566">
        <f>6.5*0.47</f>
        <v/>
      </c>
      <c r="H1532" s="730" t="n">
        <v>0</v>
      </c>
      <c r="I1532" s="758">
        <f>AVERAGE(J1532:Q1532)</f>
        <v/>
      </c>
      <c r="J1532" s="588" t="n"/>
      <c r="K1532" s="574" t="n"/>
      <c r="L1532" s="564" t="n">
        <v>13.1</v>
      </c>
      <c r="M1532" s="759" t="n"/>
      <c r="N1532" s="759" t="n"/>
      <c r="O1532" s="759" t="n"/>
      <c r="P1532" s="564" t="n">
        <v>13.7</v>
      </c>
      <c r="Q1532" s="563" t="n">
        <v>35</v>
      </c>
      <c r="R1532" s="757" t="n">
        <v>1</v>
      </c>
      <c r="S1532" s="572" t="n">
        <v>6.9</v>
      </c>
      <c r="T1532" s="55" t="n">
        <v>6.4</v>
      </c>
      <c r="U1532" s="573" t="n">
        <v>6.35</v>
      </c>
      <c r="V1532" s="55" t="n">
        <v>18.3</v>
      </c>
      <c r="W1532" s="572" t="n">
        <v>2.8</v>
      </c>
      <c r="X1532" s="55" t="n"/>
      <c r="Y1532" s="55" t="n"/>
    </row>
    <row r="1533">
      <c r="A1533" s="20" t="inlineStr">
        <is>
          <t>Cool Temperate Dry</t>
        </is>
      </c>
      <c r="B1533" s="401" t="inlineStr">
        <is>
          <t>North America</t>
        </is>
      </c>
      <c r="C1533" s="20">
        <f>CONCATENATE(A1533,B1533)</f>
        <v/>
      </c>
      <c r="D1533" s="572" t="n">
        <v>4.7</v>
      </c>
      <c r="E1533" s="572" t="n">
        <v>4.7</v>
      </c>
      <c r="F1533" s="572" t="n">
        <v>4.7</v>
      </c>
      <c r="G1533" s="566">
        <f>6.5*0.47</f>
        <v/>
      </c>
      <c r="H1533" s="730" t="n">
        <v>0</v>
      </c>
      <c r="I1533" s="758">
        <f>AVERAGE(J1533:Q1533)</f>
        <v/>
      </c>
      <c r="J1533" s="588" t="n"/>
      <c r="K1533" s="574" t="n"/>
      <c r="L1533" s="564" t="n">
        <v>13.1</v>
      </c>
      <c r="M1533" s="759" t="n"/>
      <c r="N1533" s="759" t="n"/>
      <c r="O1533" s="759" t="n"/>
      <c r="P1533" s="564" t="n">
        <v>13.7</v>
      </c>
      <c r="Q1533" s="563" t="n">
        <v>35</v>
      </c>
      <c r="R1533" s="757" t="n">
        <v>1</v>
      </c>
      <c r="S1533" s="572" t="n">
        <v>6.9</v>
      </c>
      <c r="T1533" s="55" t="n">
        <v>6.4</v>
      </c>
      <c r="U1533" s="573" t="n">
        <v>6.35</v>
      </c>
      <c r="V1533" s="55" t="n">
        <v>18.3</v>
      </c>
      <c r="W1533" s="572" t="n">
        <v>2.8</v>
      </c>
      <c r="X1533" s="55" t="n"/>
      <c r="Y1533" s="55" t="n"/>
    </row>
    <row r="1534">
      <c r="A1534" s="20" t="inlineStr">
        <is>
          <t>Cool Temperate Dry</t>
        </is>
      </c>
      <c r="B1534" s="401" t="inlineStr">
        <is>
          <t>South America</t>
        </is>
      </c>
      <c r="C1534" s="20">
        <f>CONCATENATE(A1534,B1534)</f>
        <v/>
      </c>
      <c r="D1534" s="572" t="n">
        <v>4.7</v>
      </c>
      <c r="E1534" s="572" t="n">
        <v>4.7</v>
      </c>
      <c r="F1534" s="572" t="n">
        <v>4.7</v>
      </c>
      <c r="G1534" s="566">
        <f>6.5*0.47</f>
        <v/>
      </c>
      <c r="H1534" s="730" t="n">
        <v>0</v>
      </c>
      <c r="I1534" s="758">
        <f>AVERAGE(J1534:Q1534)</f>
        <v/>
      </c>
      <c r="J1534" s="588" t="n"/>
      <c r="K1534" s="574" t="n"/>
      <c r="L1534" s="564" t="n">
        <v>13.1</v>
      </c>
      <c r="M1534" s="759" t="n"/>
      <c r="N1534" s="759" t="n"/>
      <c r="O1534" s="759" t="n"/>
      <c r="P1534" s="564" t="n">
        <v>13.7</v>
      </c>
      <c r="Q1534" s="563" t="n">
        <v>35</v>
      </c>
      <c r="R1534" s="757" t="n">
        <v>1</v>
      </c>
      <c r="S1534" s="572" t="n">
        <v>6.9</v>
      </c>
      <c r="T1534" s="55" t="n">
        <v>6.4</v>
      </c>
      <c r="U1534" s="573" t="n">
        <v>6.35</v>
      </c>
      <c r="V1534" s="55" t="n">
        <v>18.3</v>
      </c>
      <c r="W1534" s="572" t="n">
        <v>2.8</v>
      </c>
      <c r="X1534" s="55" t="n"/>
      <c r="Y1534" s="55" t="n"/>
    </row>
    <row r="1535">
      <c r="A1535" s="20" t="inlineStr">
        <is>
          <t>Cool Temperate Dry</t>
        </is>
      </c>
      <c r="B1535" s="401" t="inlineStr">
        <is>
          <t>Central America</t>
        </is>
      </c>
      <c r="C1535" s="20">
        <f>CONCATENATE(A1535,B1535)</f>
        <v/>
      </c>
      <c r="D1535" s="572" t="n">
        <v>4.7</v>
      </c>
      <c r="E1535" s="572" t="n">
        <v>4.7</v>
      </c>
      <c r="F1535" s="572" t="n">
        <v>4.7</v>
      </c>
      <c r="G1535" s="566">
        <f>6.5*0.47</f>
        <v/>
      </c>
      <c r="H1535" s="730" t="n">
        <v>0</v>
      </c>
      <c r="I1535" s="758">
        <f>AVERAGE(J1535:Q1535)</f>
        <v/>
      </c>
      <c r="J1535" s="588" t="n"/>
      <c r="K1535" s="574" t="n"/>
      <c r="L1535" s="564" t="n">
        <v>13.1</v>
      </c>
      <c r="M1535" s="759" t="n"/>
      <c r="N1535" s="759" t="n"/>
      <c r="O1535" s="759" t="n"/>
      <c r="P1535" s="564" t="n">
        <v>13.7</v>
      </c>
      <c r="Q1535" s="563" t="n">
        <v>35</v>
      </c>
      <c r="R1535" s="757" t="n">
        <v>1</v>
      </c>
      <c r="S1535" s="572" t="n">
        <v>6.9</v>
      </c>
      <c r="T1535" s="55" t="n">
        <v>6.4</v>
      </c>
      <c r="U1535" s="573" t="n">
        <v>6.35</v>
      </c>
      <c r="V1535" s="55" t="n">
        <v>18.3</v>
      </c>
      <c r="W1535" s="572" t="n">
        <v>2.8</v>
      </c>
      <c r="X1535" s="55" t="n"/>
      <c r="Y1535" s="55" t="n"/>
    </row>
    <row r="1536">
      <c r="A1536" s="37" t="inlineStr">
        <is>
          <t>Cool Temperate Dry</t>
        </is>
      </c>
      <c r="B1536" s="402" t="inlineStr">
        <is>
          <t>Caribbean</t>
        </is>
      </c>
      <c r="C1536" s="37">
        <f>CONCATENATE(A1536,B1536)</f>
        <v/>
      </c>
      <c r="D1536" s="420" t="n">
        <v>4.7</v>
      </c>
      <c r="E1536" s="420" t="n">
        <v>4.7</v>
      </c>
      <c r="F1536" s="420" t="n">
        <v>4.7</v>
      </c>
      <c r="G1536" s="566">
        <f>6.5*0.47</f>
        <v/>
      </c>
      <c r="H1536" s="731" t="n">
        <v>0</v>
      </c>
      <c r="I1536" s="760">
        <f>AVERAGE(J1536:Q1536)</f>
        <v/>
      </c>
      <c r="J1536" s="588" t="n"/>
      <c r="K1536" s="574" t="n"/>
      <c r="L1536" s="577" t="n">
        <v>13.1</v>
      </c>
      <c r="M1536" s="761" t="n"/>
      <c r="N1536" s="761" t="n"/>
      <c r="O1536" s="761" t="n"/>
      <c r="P1536" s="577" t="n">
        <v>13.7</v>
      </c>
      <c r="Q1536" s="576" t="n">
        <v>35</v>
      </c>
      <c r="R1536" s="757" t="n">
        <v>1</v>
      </c>
      <c r="S1536" s="420" t="n">
        <v>6.9</v>
      </c>
      <c r="T1536" s="579" t="n">
        <v>6.4</v>
      </c>
      <c r="U1536" s="581" t="n">
        <v>6.35</v>
      </c>
      <c r="V1536" s="579" t="n">
        <v>18.3</v>
      </c>
      <c r="W1536" s="420" t="n">
        <v>2.8</v>
      </c>
      <c r="X1536" s="55" t="n"/>
      <c r="Y1536" s="55" t="n"/>
    </row>
    <row r="1537">
      <c r="A1537" s="63" t="inlineStr">
        <is>
          <t>Cool Temperate Moist</t>
        </is>
      </c>
      <c r="B1537" s="413" t="inlineStr">
        <is>
          <t>Eastern Africa</t>
        </is>
      </c>
      <c r="C1537" s="63">
        <f>CONCATENATE(A1537,B1537)</f>
        <v/>
      </c>
      <c r="D1537" s="569" t="n">
        <v>4.7</v>
      </c>
      <c r="E1537" s="569" t="n">
        <v>4.7</v>
      </c>
      <c r="F1537" s="569" t="n">
        <v>4.7</v>
      </c>
      <c r="G1537" s="582">
        <f>13.6*0.47</f>
        <v/>
      </c>
      <c r="H1537" s="729" t="n">
        <v>0</v>
      </c>
      <c r="I1537" s="755">
        <f>AVERAGE(J1537:Q1537)</f>
        <v/>
      </c>
      <c r="J1537" s="591" t="n"/>
      <c r="K1537" s="584" t="n"/>
      <c r="L1537" s="583" t="n">
        <v>13.1</v>
      </c>
      <c r="M1537" s="756" t="n"/>
      <c r="N1537" s="756" t="n"/>
      <c r="O1537" s="756" t="n"/>
      <c r="P1537" s="583" t="n">
        <v>13.7</v>
      </c>
      <c r="Q1537" s="585" t="n">
        <v>35</v>
      </c>
      <c r="R1537" s="757" t="n">
        <v>1</v>
      </c>
      <c r="S1537" s="569" t="n">
        <v>6.9</v>
      </c>
      <c r="T1537" s="567" t="n">
        <v>6.4</v>
      </c>
      <c r="U1537" s="570" t="n">
        <v>6.35</v>
      </c>
      <c r="V1537" s="567" t="n">
        <v>18.3</v>
      </c>
      <c r="W1537" s="569" t="n">
        <v>2.8</v>
      </c>
      <c r="X1537" s="567" t="n"/>
      <c r="Y1537" s="567" t="n"/>
    </row>
    <row r="1538">
      <c r="A1538" s="20" t="inlineStr">
        <is>
          <t>Cool Temperate Moist</t>
        </is>
      </c>
      <c r="B1538" s="403" t="inlineStr">
        <is>
          <t>Central Africa</t>
        </is>
      </c>
      <c r="C1538" s="20">
        <f>CONCATENATE(A1538,B1538)</f>
        <v/>
      </c>
      <c r="D1538" s="572" t="n">
        <v>4.7</v>
      </c>
      <c r="E1538" s="572" t="n">
        <v>4.7</v>
      </c>
      <c r="F1538" s="572" t="n">
        <v>4.7</v>
      </c>
      <c r="G1538" s="565">
        <f>13.6*0.47</f>
        <v/>
      </c>
      <c r="H1538" s="730" t="n">
        <v>0</v>
      </c>
      <c r="I1538" s="758">
        <f>AVERAGE(J1538:Q1538)</f>
        <v/>
      </c>
      <c r="J1538" s="588" t="n"/>
      <c r="K1538" s="574" t="n"/>
      <c r="L1538" s="564" t="n">
        <v>13.1</v>
      </c>
      <c r="M1538" s="759" t="n"/>
      <c r="N1538" s="759" t="n"/>
      <c r="O1538" s="759" t="n"/>
      <c r="P1538" s="564" t="n">
        <v>13.7</v>
      </c>
      <c r="Q1538" s="563" t="n">
        <v>35</v>
      </c>
      <c r="R1538" s="757" t="n">
        <v>1</v>
      </c>
      <c r="S1538" s="572" t="n">
        <v>6.9</v>
      </c>
      <c r="T1538" s="55" t="n">
        <v>6.4</v>
      </c>
      <c r="U1538" s="573" t="n">
        <v>6.35</v>
      </c>
      <c r="V1538" s="55" t="n">
        <v>18.3</v>
      </c>
      <c r="W1538" s="572" t="n">
        <v>2.8</v>
      </c>
      <c r="X1538" s="55" t="n"/>
      <c r="Y1538" s="55" t="n"/>
    </row>
    <row r="1539">
      <c r="A1539" s="20" t="inlineStr">
        <is>
          <t>Cool Temperate Moist</t>
        </is>
      </c>
      <c r="B1539" s="403" t="inlineStr">
        <is>
          <t>Northern Africa</t>
        </is>
      </c>
      <c r="C1539" s="20">
        <f>CONCATENATE(A1539,B1539)</f>
        <v/>
      </c>
      <c r="D1539" s="572" t="n">
        <v>4.7</v>
      </c>
      <c r="E1539" s="572" t="n">
        <v>4.7</v>
      </c>
      <c r="F1539" s="572" t="n">
        <v>4.7</v>
      </c>
      <c r="G1539" s="565">
        <f>13.6*0.47</f>
        <v/>
      </c>
      <c r="H1539" s="730" t="n">
        <v>0</v>
      </c>
      <c r="I1539" s="758">
        <f>AVERAGE(J1539:Q1539)</f>
        <v/>
      </c>
      <c r="J1539" s="588" t="n"/>
      <c r="K1539" s="574" t="n"/>
      <c r="L1539" s="564" t="n">
        <v>13.1</v>
      </c>
      <c r="M1539" s="759" t="n"/>
      <c r="N1539" s="759" t="n"/>
      <c r="O1539" s="759" t="n"/>
      <c r="P1539" s="564" t="n">
        <v>13.7</v>
      </c>
      <c r="Q1539" s="563" t="n">
        <v>35</v>
      </c>
      <c r="R1539" s="757" t="n">
        <v>1</v>
      </c>
      <c r="S1539" s="572" t="n">
        <v>6.9</v>
      </c>
      <c r="T1539" s="55" t="n">
        <v>6.4</v>
      </c>
      <c r="U1539" s="573" t="n">
        <v>6.35</v>
      </c>
      <c r="V1539" s="55" t="n">
        <v>18.3</v>
      </c>
      <c r="W1539" s="572" t="n">
        <v>2.8</v>
      </c>
      <c r="X1539" s="55" t="n"/>
      <c r="Y1539" s="55" t="n"/>
    </row>
    <row r="1540">
      <c r="A1540" s="20" t="inlineStr">
        <is>
          <t>Cool Temperate Moist</t>
        </is>
      </c>
      <c r="B1540" s="403" t="inlineStr">
        <is>
          <t>Southern Africa</t>
        </is>
      </c>
      <c r="C1540" s="20">
        <f>CONCATENATE(A1540,B1540)</f>
        <v/>
      </c>
      <c r="D1540" s="572" t="n">
        <v>4.7</v>
      </c>
      <c r="E1540" s="572" t="n">
        <v>4.7</v>
      </c>
      <c r="F1540" s="572" t="n">
        <v>4.7</v>
      </c>
      <c r="G1540" s="565">
        <f>13.6*0.47</f>
        <v/>
      </c>
      <c r="H1540" s="730" t="n">
        <v>0</v>
      </c>
      <c r="I1540" s="758">
        <f>AVERAGE(J1540:Q1540)</f>
        <v/>
      </c>
      <c r="J1540" s="588" t="n"/>
      <c r="K1540" s="574" t="n"/>
      <c r="L1540" s="564" t="n">
        <v>13.1</v>
      </c>
      <c r="M1540" s="759" t="n"/>
      <c r="N1540" s="759" t="n"/>
      <c r="O1540" s="759" t="n"/>
      <c r="P1540" s="564" t="n">
        <v>13.7</v>
      </c>
      <c r="Q1540" s="563" t="n">
        <v>35</v>
      </c>
      <c r="R1540" s="757" t="n">
        <v>1</v>
      </c>
      <c r="S1540" s="572" t="n">
        <v>6.9</v>
      </c>
      <c r="T1540" s="55" t="n">
        <v>6.4</v>
      </c>
      <c r="U1540" s="573" t="n">
        <v>6.35</v>
      </c>
      <c r="V1540" s="55" t="n">
        <v>18.3</v>
      </c>
      <c r="W1540" s="572" t="n">
        <v>2.8</v>
      </c>
      <c r="X1540" s="55" t="n"/>
      <c r="Y1540" s="55" t="n"/>
    </row>
    <row r="1541">
      <c r="A1541" s="20" t="inlineStr">
        <is>
          <t>Cool Temperate Moist</t>
        </is>
      </c>
      <c r="B1541" s="403" t="inlineStr">
        <is>
          <t>Western Africa</t>
        </is>
      </c>
      <c r="C1541" s="20">
        <f>CONCATENATE(A1541,B1541)</f>
        <v/>
      </c>
      <c r="D1541" s="572" t="n">
        <v>4.7</v>
      </c>
      <c r="E1541" s="572" t="n">
        <v>4.7</v>
      </c>
      <c r="F1541" s="572" t="n">
        <v>4.7</v>
      </c>
      <c r="G1541" s="565">
        <f>13.6*0.47</f>
        <v/>
      </c>
      <c r="H1541" s="730" t="n">
        <v>0</v>
      </c>
      <c r="I1541" s="758">
        <f>AVERAGE(J1541:Q1541)</f>
        <v/>
      </c>
      <c r="J1541" s="588" t="n"/>
      <c r="K1541" s="574" t="n"/>
      <c r="L1541" s="564" t="n">
        <v>13.1</v>
      </c>
      <c r="M1541" s="759" t="n"/>
      <c r="N1541" s="759" t="n"/>
      <c r="O1541" s="759" t="n"/>
      <c r="P1541" s="564" t="n">
        <v>13.7</v>
      </c>
      <c r="Q1541" s="563" t="n">
        <v>35</v>
      </c>
      <c r="R1541" s="757" t="n">
        <v>1</v>
      </c>
      <c r="S1541" s="572" t="n">
        <v>6.9</v>
      </c>
      <c r="T1541" s="55" t="n">
        <v>6.4</v>
      </c>
      <c r="U1541" s="573" t="n">
        <v>6.35</v>
      </c>
      <c r="V1541" s="55" t="n">
        <v>18.3</v>
      </c>
      <c r="W1541" s="572" t="n">
        <v>2.8</v>
      </c>
      <c r="X1541" s="55" t="n"/>
      <c r="Y1541" s="55" t="n"/>
    </row>
    <row r="1542">
      <c r="A1542" s="20" t="inlineStr">
        <is>
          <t>Cool Temperate Moist</t>
        </is>
      </c>
      <c r="B1542" s="403" t="inlineStr">
        <is>
          <t>Central Asia</t>
        </is>
      </c>
      <c r="C1542" s="20">
        <f>CONCATENATE(A1542,B1542)</f>
        <v/>
      </c>
      <c r="D1542" s="572" t="n">
        <v>4.7</v>
      </c>
      <c r="E1542" s="572" t="n">
        <v>4.7</v>
      </c>
      <c r="F1542" s="572" t="n">
        <v>4.7</v>
      </c>
      <c r="G1542" s="565">
        <f>13.6*0.47</f>
        <v/>
      </c>
      <c r="H1542" s="730" t="n">
        <v>0</v>
      </c>
      <c r="I1542" s="758">
        <f>AVERAGE(J1542:Q1542)</f>
        <v/>
      </c>
      <c r="J1542" s="588" t="n"/>
      <c r="K1542" s="574" t="n"/>
      <c r="L1542" s="564" t="n">
        <v>13.1</v>
      </c>
      <c r="M1542" s="759" t="n"/>
      <c r="N1542" s="759" t="n"/>
      <c r="O1542" s="759" t="n"/>
      <c r="P1542" s="564" t="n">
        <v>13.7</v>
      </c>
      <c r="Q1542" s="563" t="n">
        <v>35</v>
      </c>
      <c r="R1542" s="757" t="n">
        <v>1</v>
      </c>
      <c r="S1542" s="572" t="n">
        <v>6.9</v>
      </c>
      <c r="T1542" s="55" t="n">
        <v>6.4</v>
      </c>
      <c r="U1542" s="573" t="n">
        <v>6.35</v>
      </c>
      <c r="V1542" s="55" t="n">
        <v>18.3</v>
      </c>
      <c r="W1542" s="572" t="n">
        <v>2.8</v>
      </c>
      <c r="X1542" s="55" t="n"/>
      <c r="Y1542" s="55" t="n"/>
    </row>
    <row r="1543">
      <c r="A1543" s="20" t="inlineStr">
        <is>
          <t>Cool Temperate Moist</t>
        </is>
      </c>
      <c r="B1543" s="403" t="inlineStr">
        <is>
          <t>Eastern Asia</t>
        </is>
      </c>
      <c r="C1543" s="20">
        <f>CONCATENATE(A1543,B1543)</f>
        <v/>
      </c>
      <c r="D1543" s="572" t="n">
        <v>4.7</v>
      </c>
      <c r="E1543" s="572" t="n">
        <v>4.7</v>
      </c>
      <c r="F1543" s="572" t="n">
        <v>4.7</v>
      </c>
      <c r="G1543" s="565">
        <f>13.6*0.47</f>
        <v/>
      </c>
      <c r="H1543" s="730" t="n">
        <v>0</v>
      </c>
      <c r="I1543" s="758">
        <f>AVERAGE(J1543:Q1543)</f>
        <v/>
      </c>
      <c r="J1543" s="588" t="n"/>
      <c r="K1543" s="574" t="n"/>
      <c r="L1543" s="564" t="n">
        <v>13.1</v>
      </c>
      <c r="M1543" s="759" t="n"/>
      <c r="N1543" s="759" t="n"/>
      <c r="O1543" s="759" t="n"/>
      <c r="P1543" s="564" t="n">
        <v>13.7</v>
      </c>
      <c r="Q1543" s="563" t="n">
        <v>35</v>
      </c>
      <c r="R1543" s="757" t="n">
        <v>1</v>
      </c>
      <c r="S1543" s="572" t="n">
        <v>6.9</v>
      </c>
      <c r="T1543" s="55" t="n">
        <v>6.4</v>
      </c>
      <c r="U1543" s="573" t="n">
        <v>6.35</v>
      </c>
      <c r="V1543" s="55" t="n">
        <v>18.3</v>
      </c>
      <c r="W1543" s="572" t="n">
        <v>2.8</v>
      </c>
      <c r="X1543" s="55" t="n"/>
      <c r="Y1543" s="55" t="n"/>
    </row>
    <row r="1544">
      <c r="A1544" s="20" t="inlineStr">
        <is>
          <t>Cool Temperate Moist</t>
        </is>
      </c>
      <c r="B1544" s="403" t="inlineStr">
        <is>
          <t>South-eastern Asia</t>
        </is>
      </c>
      <c r="C1544" s="20">
        <f>CONCATENATE(A1544,B1544)</f>
        <v/>
      </c>
      <c r="D1544" s="572" t="n">
        <v>4.7</v>
      </c>
      <c r="E1544" s="572" t="n">
        <v>4.7</v>
      </c>
      <c r="F1544" s="572" t="n">
        <v>4.7</v>
      </c>
      <c r="G1544" s="565">
        <f>13.6*0.47</f>
        <v/>
      </c>
      <c r="H1544" s="730" t="n">
        <v>0</v>
      </c>
      <c r="I1544" s="758">
        <f>AVERAGE(J1544:Q1544)</f>
        <v/>
      </c>
      <c r="J1544" s="588" t="n"/>
      <c r="K1544" s="574" t="n"/>
      <c r="L1544" s="564" t="n">
        <v>13.1</v>
      </c>
      <c r="M1544" s="759" t="n"/>
      <c r="N1544" s="759" t="n"/>
      <c r="O1544" s="759" t="n"/>
      <c r="P1544" s="564" t="n">
        <v>13.7</v>
      </c>
      <c r="Q1544" s="563" t="n">
        <v>35</v>
      </c>
      <c r="R1544" s="757" t="n">
        <v>1</v>
      </c>
      <c r="S1544" s="572" t="n">
        <v>6.9</v>
      </c>
      <c r="T1544" s="55" t="n">
        <v>6.4</v>
      </c>
      <c r="U1544" s="573" t="n">
        <v>6.35</v>
      </c>
      <c r="V1544" s="55" t="n">
        <v>18.3</v>
      </c>
      <c r="W1544" s="572" t="n">
        <v>2.8</v>
      </c>
      <c r="X1544" s="55" t="n"/>
      <c r="Y1544" s="55" t="n"/>
    </row>
    <row r="1545">
      <c r="A1545" s="20" t="inlineStr">
        <is>
          <t>Cool Temperate Moist</t>
        </is>
      </c>
      <c r="B1545" s="403" t="inlineStr">
        <is>
          <t>Southern Asia</t>
        </is>
      </c>
      <c r="C1545" s="20">
        <f>CONCATENATE(A1545,B1545)</f>
        <v/>
      </c>
      <c r="D1545" s="572" t="n">
        <v>4.7</v>
      </c>
      <c r="E1545" s="572" t="n">
        <v>4.7</v>
      </c>
      <c r="F1545" s="572" t="n">
        <v>4.7</v>
      </c>
      <c r="G1545" s="565">
        <f>13.6*0.47</f>
        <v/>
      </c>
      <c r="H1545" s="730" t="n">
        <v>0</v>
      </c>
      <c r="I1545" s="758">
        <f>AVERAGE(J1545:Q1545)</f>
        <v/>
      </c>
      <c r="J1545" s="588" t="n"/>
      <c r="K1545" s="574" t="n"/>
      <c r="L1545" s="564" t="n">
        <v>13.1</v>
      </c>
      <c r="M1545" s="759" t="n"/>
      <c r="N1545" s="759" t="n"/>
      <c r="O1545" s="759" t="n"/>
      <c r="P1545" s="564" t="n">
        <v>13.7</v>
      </c>
      <c r="Q1545" s="563" t="n">
        <v>35</v>
      </c>
      <c r="R1545" s="757" t="n">
        <v>1</v>
      </c>
      <c r="S1545" s="572" t="n">
        <v>6.9</v>
      </c>
      <c r="T1545" s="55" t="n">
        <v>6.4</v>
      </c>
      <c r="U1545" s="573" t="n">
        <v>6.35</v>
      </c>
      <c r="V1545" s="55" t="n">
        <v>18.3</v>
      </c>
      <c r="W1545" s="572" t="n">
        <v>2.8</v>
      </c>
      <c r="X1545" s="55" t="n"/>
      <c r="Y1545" s="55" t="n"/>
    </row>
    <row r="1546">
      <c r="A1546" s="20" t="inlineStr">
        <is>
          <t>Cool Temperate Moist</t>
        </is>
      </c>
      <c r="B1546" s="403" t="inlineStr">
        <is>
          <t>Western Asia</t>
        </is>
      </c>
      <c r="C1546" s="20">
        <f>CONCATENATE(A1546,B1546)</f>
        <v/>
      </c>
      <c r="D1546" s="572" t="n">
        <v>4.7</v>
      </c>
      <c r="E1546" s="572" t="n">
        <v>4.7</v>
      </c>
      <c r="F1546" s="572" t="n">
        <v>4.7</v>
      </c>
      <c r="G1546" s="565">
        <f>13.6*0.47</f>
        <v/>
      </c>
      <c r="H1546" s="730" t="n">
        <v>0</v>
      </c>
      <c r="I1546" s="758">
        <f>AVERAGE(J1546:Q1546)</f>
        <v/>
      </c>
      <c r="J1546" s="588" t="n"/>
      <c r="K1546" s="574" t="n"/>
      <c r="L1546" s="564" t="n">
        <v>13.1</v>
      </c>
      <c r="M1546" s="759" t="n"/>
      <c r="N1546" s="759" t="n"/>
      <c r="O1546" s="759" t="n"/>
      <c r="P1546" s="564" t="n">
        <v>13.7</v>
      </c>
      <c r="Q1546" s="563" t="n">
        <v>35</v>
      </c>
      <c r="R1546" s="757" t="n">
        <v>1</v>
      </c>
      <c r="S1546" s="572" t="n">
        <v>6.9</v>
      </c>
      <c r="T1546" s="55" t="n">
        <v>6.4</v>
      </c>
      <c r="U1546" s="573" t="n">
        <v>6.35</v>
      </c>
      <c r="V1546" s="55" t="n">
        <v>18.3</v>
      </c>
      <c r="W1546" s="572" t="n">
        <v>2.8</v>
      </c>
      <c r="X1546" s="55" t="n"/>
      <c r="Y1546" s="55" t="n"/>
    </row>
    <row r="1547">
      <c r="A1547" s="20" t="inlineStr">
        <is>
          <t>Cool Temperate Moist</t>
        </is>
      </c>
      <c r="B1547" s="403" t="inlineStr">
        <is>
          <t>Europe</t>
        </is>
      </c>
      <c r="C1547" s="20">
        <f>CONCATENATE(A1547,B1547)</f>
        <v/>
      </c>
      <c r="D1547" s="572" t="n">
        <v>4.7</v>
      </c>
      <c r="E1547" s="572" t="n">
        <v>4.7</v>
      </c>
      <c r="F1547" s="572" t="n">
        <v>4.7</v>
      </c>
      <c r="G1547" s="565">
        <f>13.6*0.47</f>
        <v/>
      </c>
      <c r="H1547" s="730" t="n">
        <v>0</v>
      </c>
      <c r="I1547" s="758">
        <f>AVERAGE(J1547:Q1547)</f>
        <v/>
      </c>
      <c r="J1547" s="588" t="n"/>
      <c r="K1547" s="574" t="n"/>
      <c r="L1547" s="564" t="n">
        <v>13.1</v>
      </c>
      <c r="M1547" s="759" t="n"/>
      <c r="N1547" s="759" t="n"/>
      <c r="O1547" s="759" t="n"/>
      <c r="P1547" s="564" t="n">
        <v>13.7</v>
      </c>
      <c r="Q1547" s="563" t="n">
        <v>35</v>
      </c>
      <c r="R1547" s="757" t="n">
        <v>1</v>
      </c>
      <c r="S1547" s="572" t="n">
        <v>6.9</v>
      </c>
      <c r="T1547" s="55" t="n">
        <v>6.4</v>
      </c>
      <c r="U1547" s="573" t="n">
        <v>6.35</v>
      </c>
      <c r="V1547" s="55" t="n">
        <v>18.3</v>
      </c>
      <c r="W1547" s="572" t="n">
        <v>2.8</v>
      </c>
      <c r="X1547" s="55" t="n"/>
      <c r="Y1547" s="55" t="n"/>
    </row>
    <row r="1548">
      <c r="A1548" s="20" t="inlineStr">
        <is>
          <t>Cool Temperate Moist</t>
        </is>
      </c>
      <c r="B1548" s="403" t="inlineStr">
        <is>
          <t>Oceania</t>
        </is>
      </c>
      <c r="C1548" s="20">
        <f>CONCATENATE(A1548,B1548)</f>
        <v/>
      </c>
      <c r="D1548" s="572" t="n">
        <v>4.7</v>
      </c>
      <c r="E1548" s="572" t="n">
        <v>4.7</v>
      </c>
      <c r="F1548" s="572" t="n">
        <v>4.7</v>
      </c>
      <c r="G1548" s="565">
        <f>13.6*0.47</f>
        <v/>
      </c>
      <c r="H1548" s="730" t="n">
        <v>0</v>
      </c>
      <c r="I1548" s="758">
        <f>AVERAGE(J1548:Q1548)</f>
        <v/>
      </c>
      <c r="J1548" s="588" t="n"/>
      <c r="K1548" s="574" t="n"/>
      <c r="L1548" s="564" t="n">
        <v>13.1</v>
      </c>
      <c r="M1548" s="759" t="n"/>
      <c r="N1548" s="759" t="n"/>
      <c r="O1548" s="759" t="n"/>
      <c r="P1548" s="564" t="n">
        <v>13.7</v>
      </c>
      <c r="Q1548" s="563" t="n">
        <v>35</v>
      </c>
      <c r="R1548" s="757" t="n">
        <v>1</v>
      </c>
      <c r="S1548" s="572" t="n">
        <v>6.9</v>
      </c>
      <c r="T1548" s="55" t="n">
        <v>6.4</v>
      </c>
      <c r="U1548" s="573" t="n">
        <v>6.35</v>
      </c>
      <c r="V1548" s="55" t="n">
        <v>18.3</v>
      </c>
      <c r="W1548" s="572" t="n">
        <v>2.8</v>
      </c>
      <c r="X1548" s="55" t="n"/>
      <c r="Y1548" s="55" t="n"/>
    </row>
    <row r="1549">
      <c r="A1549" s="20" t="inlineStr">
        <is>
          <t>Cool Temperate Moist</t>
        </is>
      </c>
      <c r="B1549" s="403" t="inlineStr">
        <is>
          <t>North America</t>
        </is>
      </c>
      <c r="C1549" s="20">
        <f>CONCATENATE(A1549,B1549)</f>
        <v/>
      </c>
      <c r="D1549" s="572" t="n">
        <v>4.7</v>
      </c>
      <c r="E1549" s="572" t="n">
        <v>4.7</v>
      </c>
      <c r="F1549" s="572" t="n">
        <v>4.7</v>
      </c>
      <c r="G1549" s="565">
        <f>13.6*0.47</f>
        <v/>
      </c>
      <c r="H1549" s="730" t="n">
        <v>0</v>
      </c>
      <c r="I1549" s="758">
        <f>AVERAGE(J1549:Q1549)</f>
        <v/>
      </c>
      <c r="J1549" s="588" t="n"/>
      <c r="K1549" s="574" t="n"/>
      <c r="L1549" s="564" t="n">
        <v>13.1</v>
      </c>
      <c r="M1549" s="759" t="n"/>
      <c r="N1549" s="759" t="n"/>
      <c r="O1549" s="759" t="n"/>
      <c r="P1549" s="564" t="n">
        <v>13.7</v>
      </c>
      <c r="Q1549" s="563" t="n">
        <v>35</v>
      </c>
      <c r="R1549" s="757" t="n">
        <v>1</v>
      </c>
      <c r="S1549" s="572" t="n">
        <v>6.9</v>
      </c>
      <c r="T1549" s="55" t="n">
        <v>6.4</v>
      </c>
      <c r="U1549" s="573" t="n">
        <v>6.35</v>
      </c>
      <c r="V1549" s="55" t="n">
        <v>18.3</v>
      </c>
      <c r="W1549" s="572" t="n">
        <v>2.8</v>
      </c>
      <c r="X1549" s="55" t="n"/>
      <c r="Y1549" s="55" t="n"/>
    </row>
    <row r="1550">
      <c r="A1550" s="20" t="inlineStr">
        <is>
          <t>Cool Temperate Moist</t>
        </is>
      </c>
      <c r="B1550" s="403" t="inlineStr">
        <is>
          <t>South America</t>
        </is>
      </c>
      <c r="C1550" s="20">
        <f>CONCATENATE(A1550,B1550)</f>
        <v/>
      </c>
      <c r="D1550" s="572" t="n">
        <v>4.7</v>
      </c>
      <c r="E1550" s="572" t="n">
        <v>4.7</v>
      </c>
      <c r="F1550" s="572" t="n">
        <v>4.7</v>
      </c>
      <c r="G1550" s="565">
        <f>13.6*0.47</f>
        <v/>
      </c>
      <c r="H1550" s="730" t="n">
        <v>0</v>
      </c>
      <c r="I1550" s="758">
        <f>AVERAGE(J1550:Q1550)</f>
        <v/>
      </c>
      <c r="J1550" s="588" t="n"/>
      <c r="K1550" s="574" t="n"/>
      <c r="L1550" s="564" t="n">
        <v>13.1</v>
      </c>
      <c r="M1550" s="759" t="n"/>
      <c r="N1550" s="759" t="n"/>
      <c r="O1550" s="759" t="n"/>
      <c r="P1550" s="564" t="n">
        <v>13.7</v>
      </c>
      <c r="Q1550" s="563" t="n">
        <v>35</v>
      </c>
      <c r="R1550" s="757" t="n">
        <v>1</v>
      </c>
      <c r="S1550" s="572" t="n">
        <v>6.9</v>
      </c>
      <c r="T1550" s="55" t="n">
        <v>6.4</v>
      </c>
      <c r="U1550" s="573" t="n">
        <v>6.35</v>
      </c>
      <c r="V1550" s="55" t="n">
        <v>18.3</v>
      </c>
      <c r="W1550" s="572" t="n">
        <v>2.8</v>
      </c>
      <c r="X1550" s="55" t="n"/>
      <c r="Y1550" s="55" t="n"/>
    </row>
    <row r="1551">
      <c r="A1551" s="20" t="inlineStr">
        <is>
          <t>Cool Temperate Moist</t>
        </is>
      </c>
      <c r="B1551" s="403" t="inlineStr">
        <is>
          <t>Central America</t>
        </is>
      </c>
      <c r="C1551" s="20">
        <f>CONCATENATE(A1551,B1551)</f>
        <v/>
      </c>
      <c r="D1551" s="572" t="n">
        <v>4.7</v>
      </c>
      <c r="E1551" s="572" t="n">
        <v>4.7</v>
      </c>
      <c r="F1551" s="572" t="n">
        <v>4.7</v>
      </c>
      <c r="G1551" s="565">
        <f>13.6*0.47</f>
        <v/>
      </c>
      <c r="H1551" s="730" t="n">
        <v>0</v>
      </c>
      <c r="I1551" s="758">
        <f>AVERAGE(J1551:Q1551)</f>
        <v/>
      </c>
      <c r="J1551" s="588" t="n"/>
      <c r="K1551" s="574" t="n"/>
      <c r="L1551" s="564" t="n">
        <v>13.1</v>
      </c>
      <c r="M1551" s="759" t="n"/>
      <c r="N1551" s="759" t="n"/>
      <c r="O1551" s="759" t="n"/>
      <c r="P1551" s="564" t="n">
        <v>13.7</v>
      </c>
      <c r="Q1551" s="563" t="n">
        <v>35</v>
      </c>
      <c r="R1551" s="757" t="n">
        <v>1</v>
      </c>
      <c r="S1551" s="572" t="n">
        <v>6.9</v>
      </c>
      <c r="T1551" s="55" t="n">
        <v>6.4</v>
      </c>
      <c r="U1551" s="573" t="n">
        <v>6.35</v>
      </c>
      <c r="V1551" s="55" t="n">
        <v>18.3</v>
      </c>
      <c r="W1551" s="572" t="n">
        <v>2.8</v>
      </c>
      <c r="X1551" s="55" t="n"/>
      <c r="Y1551" s="55" t="n"/>
    </row>
    <row r="1552">
      <c r="A1552" s="37" t="inlineStr">
        <is>
          <t>Cool Temperate Moist</t>
        </is>
      </c>
      <c r="B1552" s="404" t="inlineStr">
        <is>
          <t>Caribbean</t>
        </is>
      </c>
      <c r="C1552" s="37">
        <f>CONCATENATE(A1552,B1552)</f>
        <v/>
      </c>
      <c r="D1552" s="420" t="n">
        <v>4.7</v>
      </c>
      <c r="E1552" s="420" t="n">
        <v>4.7</v>
      </c>
      <c r="F1552" s="420" t="n">
        <v>4.7</v>
      </c>
      <c r="G1552" s="578">
        <f>13.6*0.47</f>
        <v/>
      </c>
      <c r="H1552" s="731" t="n">
        <v>0</v>
      </c>
      <c r="I1552" s="760">
        <f>AVERAGE(J1552:Q1552)</f>
        <v/>
      </c>
      <c r="J1552" s="588" t="n"/>
      <c r="K1552" s="574" t="n"/>
      <c r="L1552" s="577" t="n">
        <v>13.1</v>
      </c>
      <c r="M1552" s="761" t="n"/>
      <c r="N1552" s="761" t="n"/>
      <c r="O1552" s="761" t="n"/>
      <c r="P1552" s="577" t="n">
        <v>13.7</v>
      </c>
      <c r="Q1552" s="576" t="n">
        <v>35</v>
      </c>
      <c r="R1552" s="757" t="n">
        <v>1</v>
      </c>
      <c r="S1552" s="420" t="n">
        <v>6.9</v>
      </c>
      <c r="T1552" s="579" t="n">
        <v>6.4</v>
      </c>
      <c r="U1552" s="581" t="n">
        <v>6.35</v>
      </c>
      <c r="V1552" s="579" t="n">
        <v>18.3</v>
      </c>
      <c r="W1552" s="420" t="n">
        <v>2.8</v>
      </c>
      <c r="X1552" s="55" t="n"/>
      <c r="Y1552" s="55" t="n"/>
    </row>
    <row r="1553">
      <c r="A1553" s="63" t="inlineStr">
        <is>
          <t>Warm Temperate Dry</t>
        </is>
      </c>
      <c r="B1553" s="407" t="inlineStr">
        <is>
          <t>Eastern Africa</t>
        </is>
      </c>
      <c r="C1553" s="63">
        <f>CONCATENATE(A1553,B1553)</f>
        <v/>
      </c>
      <c r="D1553" s="569" t="n">
        <v>4.7</v>
      </c>
      <c r="E1553" s="569" t="n">
        <v>4.7</v>
      </c>
      <c r="F1553" s="569" t="n">
        <v>4.7</v>
      </c>
      <c r="G1553" s="565">
        <f>6.1*0.47</f>
        <v/>
      </c>
      <c r="H1553" s="729" t="n">
        <v>0</v>
      </c>
      <c r="I1553" s="755">
        <f>AVERAGE(J1553:Q1553)</f>
        <v/>
      </c>
      <c r="J1553" s="591" t="n"/>
      <c r="K1553" s="584" t="n"/>
      <c r="L1553" s="583" t="n">
        <v>13.1</v>
      </c>
      <c r="M1553" s="756" t="n"/>
      <c r="N1553" s="756" t="n"/>
      <c r="O1553" s="756" t="n"/>
      <c r="P1553" s="583" t="n">
        <v>13.7</v>
      </c>
      <c r="Q1553" s="585" t="n">
        <v>35</v>
      </c>
      <c r="R1553" s="757" t="n">
        <v>1</v>
      </c>
      <c r="S1553" s="569" t="n">
        <v>6.9</v>
      </c>
      <c r="T1553" s="567" t="n">
        <v>6.4</v>
      </c>
      <c r="U1553" s="570" t="n">
        <v>6.35</v>
      </c>
      <c r="V1553" s="567" t="n">
        <v>18.3</v>
      </c>
      <c r="W1553" s="569" t="n">
        <v>2.8</v>
      </c>
      <c r="X1553" s="567" t="n"/>
      <c r="Y1553" s="567" t="n"/>
    </row>
    <row r="1554">
      <c r="A1554" s="20" t="inlineStr">
        <is>
          <t>Warm Temperate Dry</t>
        </is>
      </c>
      <c r="B1554" s="405" t="inlineStr">
        <is>
          <t>Central Africa</t>
        </is>
      </c>
      <c r="C1554" s="20">
        <f>CONCATENATE(A1554,B1554)</f>
        <v/>
      </c>
      <c r="D1554" s="572" t="n">
        <v>4.7</v>
      </c>
      <c r="E1554" s="572" t="n">
        <v>4.7</v>
      </c>
      <c r="F1554" s="572" t="n">
        <v>4.7</v>
      </c>
      <c r="G1554" s="565">
        <f>6.1*0.47</f>
        <v/>
      </c>
      <c r="H1554" s="730" t="n">
        <v>0</v>
      </c>
      <c r="I1554" s="758">
        <f>AVERAGE(J1554:Q1554)</f>
        <v/>
      </c>
      <c r="J1554" s="588" t="n"/>
      <c r="K1554" s="574" t="n"/>
      <c r="L1554" s="564" t="n">
        <v>13.1</v>
      </c>
      <c r="M1554" s="759" t="n"/>
      <c r="N1554" s="759" t="n"/>
      <c r="O1554" s="759" t="n"/>
      <c r="P1554" s="564" t="n">
        <v>13.7</v>
      </c>
      <c r="Q1554" s="563" t="n">
        <v>35</v>
      </c>
      <c r="R1554" s="757" t="n">
        <v>1</v>
      </c>
      <c r="S1554" s="572" t="n">
        <v>6.9</v>
      </c>
      <c r="T1554" s="55" t="n">
        <v>6.4</v>
      </c>
      <c r="U1554" s="573" t="n">
        <v>6.35</v>
      </c>
      <c r="V1554" s="55" t="n">
        <v>18.3</v>
      </c>
      <c r="W1554" s="572" t="n">
        <v>2.8</v>
      </c>
      <c r="X1554" s="55" t="n"/>
      <c r="Y1554" s="55" t="n"/>
    </row>
    <row r="1555">
      <c r="A1555" s="20" t="inlineStr">
        <is>
          <t>Warm Temperate Dry</t>
        </is>
      </c>
      <c r="B1555" s="405" t="inlineStr">
        <is>
          <t>Northern Africa</t>
        </is>
      </c>
      <c r="C1555" s="20">
        <f>CONCATENATE(A1555,B1555)</f>
        <v/>
      </c>
      <c r="D1555" s="572" t="n">
        <v>4.7</v>
      </c>
      <c r="E1555" s="572" t="n">
        <v>4.7</v>
      </c>
      <c r="F1555" s="572" t="n">
        <v>4.7</v>
      </c>
      <c r="G1555" s="565">
        <f>6.1*0.47</f>
        <v/>
      </c>
      <c r="H1555" s="730" t="n">
        <v>0</v>
      </c>
      <c r="I1555" s="758">
        <f>AVERAGE(J1555:Q1555)</f>
        <v/>
      </c>
      <c r="J1555" s="588" t="n"/>
      <c r="K1555" s="574" t="n"/>
      <c r="L1555" s="564" t="n">
        <v>13.1</v>
      </c>
      <c r="M1555" s="759" t="n"/>
      <c r="N1555" s="759" t="n"/>
      <c r="O1555" s="759" t="n"/>
      <c r="P1555" s="564" t="n">
        <v>13.7</v>
      </c>
      <c r="Q1555" s="563" t="n">
        <v>35</v>
      </c>
      <c r="R1555" s="757" t="n">
        <v>1</v>
      </c>
      <c r="S1555" s="572" t="n">
        <v>6.9</v>
      </c>
      <c r="T1555" s="55" t="n">
        <v>6.4</v>
      </c>
      <c r="U1555" s="573" t="n">
        <v>6.35</v>
      </c>
      <c r="V1555" s="55" t="n">
        <v>18.3</v>
      </c>
      <c r="W1555" s="572" t="n">
        <v>2.8</v>
      </c>
      <c r="X1555" s="55" t="n"/>
      <c r="Y1555" s="55" t="n"/>
    </row>
    <row r="1556">
      <c r="A1556" s="20" t="inlineStr">
        <is>
          <t>Warm Temperate Dry</t>
        </is>
      </c>
      <c r="B1556" s="405" t="inlineStr">
        <is>
          <t>Southern Africa</t>
        </is>
      </c>
      <c r="C1556" s="20">
        <f>CONCATENATE(A1556,B1556)</f>
        <v/>
      </c>
      <c r="D1556" s="572" t="n">
        <v>4.7</v>
      </c>
      <c r="E1556" s="572" t="n">
        <v>4.7</v>
      </c>
      <c r="F1556" s="572" t="n">
        <v>4.7</v>
      </c>
      <c r="G1556" s="565">
        <f>6.1*0.47</f>
        <v/>
      </c>
      <c r="H1556" s="730" t="n">
        <v>0</v>
      </c>
      <c r="I1556" s="758">
        <f>AVERAGE(J1556:Q1556)</f>
        <v/>
      </c>
      <c r="J1556" s="588" t="n"/>
      <c r="K1556" s="574" t="n"/>
      <c r="L1556" s="564" t="n">
        <v>13.1</v>
      </c>
      <c r="M1556" s="759" t="n"/>
      <c r="N1556" s="759" t="n"/>
      <c r="O1556" s="759" t="n"/>
      <c r="P1556" s="564" t="n">
        <v>13.7</v>
      </c>
      <c r="Q1556" s="563" t="n">
        <v>35</v>
      </c>
      <c r="R1556" s="757" t="n">
        <v>1</v>
      </c>
      <c r="S1556" s="572" t="n">
        <v>6.9</v>
      </c>
      <c r="T1556" s="55" t="n">
        <v>6.4</v>
      </c>
      <c r="U1556" s="573" t="n">
        <v>6.35</v>
      </c>
      <c r="V1556" s="55" t="n">
        <v>18.3</v>
      </c>
      <c r="W1556" s="572" t="n">
        <v>2.8</v>
      </c>
      <c r="X1556" s="55" t="n"/>
      <c r="Y1556" s="55" t="n"/>
    </row>
    <row r="1557">
      <c r="A1557" s="20" t="inlineStr">
        <is>
          <t>Warm Temperate Dry</t>
        </is>
      </c>
      <c r="B1557" s="405" t="inlineStr">
        <is>
          <t>Western Africa</t>
        </is>
      </c>
      <c r="C1557" s="20">
        <f>CONCATENATE(A1557,B1557)</f>
        <v/>
      </c>
      <c r="D1557" s="572" t="n">
        <v>4.7</v>
      </c>
      <c r="E1557" s="572" t="n">
        <v>4.7</v>
      </c>
      <c r="F1557" s="572" t="n">
        <v>4.7</v>
      </c>
      <c r="G1557" s="565">
        <f>6.1*0.47</f>
        <v/>
      </c>
      <c r="H1557" s="730" t="n">
        <v>0</v>
      </c>
      <c r="I1557" s="758">
        <f>AVERAGE(J1557:Q1557)</f>
        <v/>
      </c>
      <c r="J1557" s="588" t="n"/>
      <c r="K1557" s="574" t="n"/>
      <c r="L1557" s="564" t="n">
        <v>13.1</v>
      </c>
      <c r="M1557" s="759" t="n"/>
      <c r="N1557" s="759" t="n"/>
      <c r="O1557" s="759" t="n"/>
      <c r="P1557" s="564" t="n">
        <v>13.7</v>
      </c>
      <c r="Q1557" s="563" t="n">
        <v>35</v>
      </c>
      <c r="R1557" s="757" t="n">
        <v>1</v>
      </c>
      <c r="S1557" s="572" t="n">
        <v>6.9</v>
      </c>
      <c r="T1557" s="55" t="n">
        <v>6.4</v>
      </c>
      <c r="U1557" s="573" t="n">
        <v>6.35</v>
      </c>
      <c r="V1557" s="55" t="n">
        <v>18.3</v>
      </c>
      <c r="W1557" s="572" t="n">
        <v>2.8</v>
      </c>
      <c r="X1557" s="55" t="n"/>
      <c r="Y1557" s="55" t="n"/>
    </row>
    <row r="1558">
      <c r="A1558" s="20" t="inlineStr">
        <is>
          <t>Warm Temperate Dry</t>
        </is>
      </c>
      <c r="B1558" s="405" t="inlineStr">
        <is>
          <t>Central Asia</t>
        </is>
      </c>
      <c r="C1558" s="20">
        <f>CONCATENATE(A1558,B1558)</f>
        <v/>
      </c>
      <c r="D1558" s="572" t="n">
        <v>4.7</v>
      </c>
      <c r="E1558" s="572" t="n">
        <v>4.7</v>
      </c>
      <c r="F1558" s="572" t="n">
        <v>4.7</v>
      </c>
      <c r="G1558" s="565">
        <f>6.1*0.47</f>
        <v/>
      </c>
      <c r="H1558" s="730" t="n">
        <v>0</v>
      </c>
      <c r="I1558" s="758">
        <f>AVERAGE(J1558:Q1558)</f>
        <v/>
      </c>
      <c r="J1558" s="588" t="n"/>
      <c r="K1558" s="574" t="n"/>
      <c r="L1558" s="564" t="n">
        <v>13.1</v>
      </c>
      <c r="M1558" s="759" t="n"/>
      <c r="N1558" s="759" t="n"/>
      <c r="O1558" s="759" t="n"/>
      <c r="P1558" s="564" t="n">
        <v>13.7</v>
      </c>
      <c r="Q1558" s="563" t="n">
        <v>35</v>
      </c>
      <c r="R1558" s="757" t="n">
        <v>1</v>
      </c>
      <c r="S1558" s="572" t="n">
        <v>6.9</v>
      </c>
      <c r="T1558" s="55" t="n">
        <v>6.4</v>
      </c>
      <c r="U1558" s="573" t="n">
        <v>6.35</v>
      </c>
      <c r="V1558" s="55" t="n">
        <v>18.3</v>
      </c>
      <c r="W1558" s="572" t="n">
        <v>2.8</v>
      </c>
      <c r="X1558" s="55" t="n"/>
      <c r="Y1558" s="55" t="n"/>
    </row>
    <row r="1559">
      <c r="A1559" s="20" t="inlineStr">
        <is>
          <t>Warm Temperate Dry</t>
        </is>
      </c>
      <c r="B1559" s="405" t="inlineStr">
        <is>
          <t>Eastern Asia</t>
        </is>
      </c>
      <c r="C1559" s="20">
        <f>CONCATENATE(A1559,B1559)</f>
        <v/>
      </c>
      <c r="D1559" s="572" t="n">
        <v>4.7</v>
      </c>
      <c r="E1559" s="572" t="n">
        <v>4.7</v>
      </c>
      <c r="F1559" s="572" t="n">
        <v>4.7</v>
      </c>
      <c r="G1559" s="565">
        <f>6.1*0.47</f>
        <v/>
      </c>
      <c r="H1559" s="730" t="n">
        <v>0</v>
      </c>
      <c r="I1559" s="758">
        <f>AVERAGE(J1559:Q1559)</f>
        <v/>
      </c>
      <c r="J1559" s="588" t="n"/>
      <c r="K1559" s="574" t="n"/>
      <c r="L1559" s="564" t="n">
        <v>13.1</v>
      </c>
      <c r="M1559" s="759" t="n"/>
      <c r="N1559" s="759" t="n"/>
      <c r="O1559" s="759" t="n"/>
      <c r="P1559" s="564" t="n">
        <v>13.7</v>
      </c>
      <c r="Q1559" s="563" t="n">
        <v>35</v>
      </c>
      <c r="R1559" s="757" t="n">
        <v>1</v>
      </c>
      <c r="S1559" s="572" t="n">
        <v>6.9</v>
      </c>
      <c r="T1559" s="55" t="n">
        <v>6.4</v>
      </c>
      <c r="U1559" s="573" t="n">
        <v>6.35</v>
      </c>
      <c r="V1559" s="55" t="n">
        <v>18.3</v>
      </c>
      <c r="W1559" s="572" t="n">
        <v>2.8</v>
      </c>
      <c r="X1559" s="55" t="n"/>
      <c r="Y1559" s="55" t="n"/>
    </row>
    <row r="1560">
      <c r="A1560" s="20" t="inlineStr">
        <is>
          <t>Warm Temperate Dry</t>
        </is>
      </c>
      <c r="B1560" s="405" t="inlineStr">
        <is>
          <t>South-eastern Asia</t>
        </is>
      </c>
      <c r="C1560" s="20">
        <f>CONCATENATE(A1560,B1560)</f>
        <v/>
      </c>
      <c r="D1560" s="572" t="n">
        <v>4.7</v>
      </c>
      <c r="E1560" s="572" t="n">
        <v>4.7</v>
      </c>
      <c r="F1560" s="572" t="n">
        <v>4.7</v>
      </c>
      <c r="G1560" s="565">
        <f>6.1*0.47</f>
        <v/>
      </c>
      <c r="H1560" s="730" t="n">
        <v>0</v>
      </c>
      <c r="I1560" s="758">
        <f>AVERAGE(J1560:Q1560)</f>
        <v/>
      </c>
      <c r="J1560" s="588" t="n"/>
      <c r="K1560" s="574" t="n"/>
      <c r="L1560" s="564" t="n">
        <v>13.1</v>
      </c>
      <c r="M1560" s="759" t="n"/>
      <c r="N1560" s="759" t="n"/>
      <c r="O1560" s="759" t="n"/>
      <c r="P1560" s="564" t="n">
        <v>13.7</v>
      </c>
      <c r="Q1560" s="563" t="n">
        <v>35</v>
      </c>
      <c r="R1560" s="757" t="n">
        <v>1</v>
      </c>
      <c r="S1560" s="572" t="n">
        <v>6.9</v>
      </c>
      <c r="T1560" s="55" t="n">
        <v>6.4</v>
      </c>
      <c r="U1560" s="573" t="n">
        <v>6.35</v>
      </c>
      <c r="V1560" s="55" t="n">
        <v>18.3</v>
      </c>
      <c r="W1560" s="572" t="n">
        <v>2.8</v>
      </c>
      <c r="X1560" s="55" t="n"/>
      <c r="Y1560" s="55" t="n"/>
    </row>
    <row r="1561">
      <c r="A1561" s="20" t="inlineStr">
        <is>
          <t>Warm Temperate Dry</t>
        </is>
      </c>
      <c r="B1561" s="405" t="inlineStr">
        <is>
          <t>Southern Asia</t>
        </is>
      </c>
      <c r="C1561" s="20">
        <f>CONCATENATE(A1561,B1561)</f>
        <v/>
      </c>
      <c r="D1561" s="572" t="n">
        <v>4.7</v>
      </c>
      <c r="E1561" s="572" t="n">
        <v>4.7</v>
      </c>
      <c r="F1561" s="572" t="n">
        <v>4.7</v>
      </c>
      <c r="G1561" s="565">
        <f>6.1*0.47</f>
        <v/>
      </c>
      <c r="H1561" s="730" t="n">
        <v>0</v>
      </c>
      <c r="I1561" s="758">
        <f>AVERAGE(J1561:Q1561)</f>
        <v/>
      </c>
      <c r="J1561" s="588" t="n"/>
      <c r="K1561" s="574" t="n"/>
      <c r="L1561" s="564" t="n">
        <v>13.1</v>
      </c>
      <c r="M1561" s="759" t="n"/>
      <c r="N1561" s="759" t="n"/>
      <c r="O1561" s="759" t="n"/>
      <c r="P1561" s="564" t="n">
        <v>13.7</v>
      </c>
      <c r="Q1561" s="563" t="n">
        <v>35</v>
      </c>
      <c r="R1561" s="757" t="n">
        <v>1</v>
      </c>
      <c r="S1561" s="572" t="n">
        <v>6.9</v>
      </c>
      <c r="T1561" s="55" t="n">
        <v>6.4</v>
      </c>
      <c r="U1561" s="573" t="n">
        <v>6.35</v>
      </c>
      <c r="V1561" s="55" t="n">
        <v>18.3</v>
      </c>
      <c r="W1561" s="572" t="n">
        <v>2.8</v>
      </c>
      <c r="X1561" s="55" t="n"/>
      <c r="Y1561" s="55" t="n"/>
    </row>
    <row r="1562">
      <c r="A1562" s="20" t="inlineStr">
        <is>
          <t>Warm Temperate Dry</t>
        </is>
      </c>
      <c r="B1562" s="405" t="inlineStr">
        <is>
          <t>Western Asia</t>
        </is>
      </c>
      <c r="C1562" s="20">
        <f>CONCATENATE(A1562,B1562)</f>
        <v/>
      </c>
      <c r="D1562" s="572" t="n">
        <v>4.7</v>
      </c>
      <c r="E1562" s="572" t="n">
        <v>4.7</v>
      </c>
      <c r="F1562" s="572" t="n">
        <v>4.7</v>
      </c>
      <c r="G1562" s="565">
        <f>6.1*0.47</f>
        <v/>
      </c>
      <c r="H1562" s="730" t="n">
        <v>0</v>
      </c>
      <c r="I1562" s="758">
        <f>AVERAGE(J1562:Q1562)</f>
        <v/>
      </c>
      <c r="J1562" s="588" t="n"/>
      <c r="K1562" s="574" t="n"/>
      <c r="L1562" s="564" t="n">
        <v>13.1</v>
      </c>
      <c r="M1562" s="759" t="n"/>
      <c r="N1562" s="759" t="n"/>
      <c r="O1562" s="759" t="n"/>
      <c r="P1562" s="564" t="n">
        <v>13.7</v>
      </c>
      <c r="Q1562" s="563" t="n">
        <v>35</v>
      </c>
      <c r="R1562" s="757" t="n">
        <v>1</v>
      </c>
      <c r="S1562" s="572" t="n">
        <v>6.9</v>
      </c>
      <c r="T1562" s="55" t="n">
        <v>6.4</v>
      </c>
      <c r="U1562" s="573" t="n">
        <v>6.35</v>
      </c>
      <c r="V1562" s="55" t="n">
        <v>18.3</v>
      </c>
      <c r="W1562" s="572" t="n">
        <v>2.8</v>
      </c>
      <c r="X1562" s="55" t="n"/>
      <c r="Y1562" s="55" t="n"/>
    </row>
    <row r="1563">
      <c r="A1563" s="20" t="inlineStr">
        <is>
          <t>Warm Temperate Dry</t>
        </is>
      </c>
      <c r="B1563" s="405" t="inlineStr">
        <is>
          <t>Europe</t>
        </is>
      </c>
      <c r="C1563" s="20">
        <f>CONCATENATE(A1563,B1563)</f>
        <v/>
      </c>
      <c r="D1563" s="572" t="n">
        <v>4.7</v>
      </c>
      <c r="E1563" s="572" t="n">
        <v>4.7</v>
      </c>
      <c r="F1563" s="572" t="n">
        <v>4.7</v>
      </c>
      <c r="G1563" s="565">
        <f>6.1*0.47</f>
        <v/>
      </c>
      <c r="H1563" s="730" t="n">
        <v>0</v>
      </c>
      <c r="I1563" s="758">
        <f>AVERAGE(J1563:Q1563)</f>
        <v/>
      </c>
      <c r="J1563" s="588" t="n"/>
      <c r="K1563" s="574" t="n"/>
      <c r="L1563" s="564" t="n">
        <v>13.1</v>
      </c>
      <c r="M1563" s="759" t="n"/>
      <c r="N1563" s="759" t="n"/>
      <c r="O1563" s="759" t="n"/>
      <c r="P1563" s="564" t="n">
        <v>13.7</v>
      </c>
      <c r="Q1563" s="563" t="n">
        <v>35</v>
      </c>
      <c r="R1563" s="757" t="n">
        <v>1</v>
      </c>
      <c r="S1563" s="572" t="n">
        <v>6.9</v>
      </c>
      <c r="T1563" s="55" t="n">
        <v>6.4</v>
      </c>
      <c r="U1563" s="573" t="n">
        <v>6.35</v>
      </c>
      <c r="V1563" s="55" t="n">
        <v>18.3</v>
      </c>
      <c r="W1563" s="572" t="n">
        <v>2.8</v>
      </c>
      <c r="X1563" s="55" t="n"/>
      <c r="Y1563" s="55" t="n"/>
    </row>
    <row r="1564">
      <c r="A1564" s="20" t="inlineStr">
        <is>
          <t>Warm Temperate Dry</t>
        </is>
      </c>
      <c r="B1564" s="405" t="inlineStr">
        <is>
          <t>Oceania</t>
        </is>
      </c>
      <c r="C1564" s="20">
        <f>CONCATENATE(A1564,B1564)</f>
        <v/>
      </c>
      <c r="D1564" s="572" t="n">
        <v>4.7</v>
      </c>
      <c r="E1564" s="572" t="n">
        <v>4.7</v>
      </c>
      <c r="F1564" s="572" t="n">
        <v>4.7</v>
      </c>
      <c r="G1564" s="565">
        <f>6.1*0.47</f>
        <v/>
      </c>
      <c r="H1564" s="730" t="n">
        <v>0</v>
      </c>
      <c r="I1564" s="758">
        <f>AVERAGE(J1564:Q1564)</f>
        <v/>
      </c>
      <c r="J1564" s="588" t="n"/>
      <c r="K1564" s="574" t="n"/>
      <c r="L1564" s="564" t="n">
        <v>13.1</v>
      </c>
      <c r="M1564" s="759" t="n"/>
      <c r="N1564" s="759" t="n"/>
      <c r="O1564" s="759" t="n"/>
      <c r="P1564" s="564" t="n">
        <v>13.7</v>
      </c>
      <c r="Q1564" s="563" t="n">
        <v>35</v>
      </c>
      <c r="R1564" s="757" t="n">
        <v>1</v>
      </c>
      <c r="S1564" s="572" t="n">
        <v>6.9</v>
      </c>
      <c r="T1564" s="55" t="n">
        <v>6.4</v>
      </c>
      <c r="U1564" s="573" t="n">
        <v>6.35</v>
      </c>
      <c r="V1564" s="55" t="n">
        <v>18.3</v>
      </c>
      <c r="W1564" s="572" t="n">
        <v>2.8</v>
      </c>
      <c r="X1564" s="55" t="n"/>
      <c r="Y1564" s="55" t="n"/>
    </row>
    <row r="1565">
      <c r="A1565" s="20" t="inlineStr">
        <is>
          <t>Warm Temperate Dry</t>
        </is>
      </c>
      <c r="B1565" s="405" t="inlineStr">
        <is>
          <t>North America</t>
        </is>
      </c>
      <c r="C1565" s="20">
        <f>CONCATENATE(A1565,B1565)</f>
        <v/>
      </c>
      <c r="D1565" s="572" t="n">
        <v>4.7</v>
      </c>
      <c r="E1565" s="572" t="n">
        <v>4.7</v>
      </c>
      <c r="F1565" s="572" t="n">
        <v>4.7</v>
      </c>
      <c r="G1565" s="565">
        <f>6.1*0.47</f>
        <v/>
      </c>
      <c r="H1565" s="730" t="n">
        <v>0</v>
      </c>
      <c r="I1565" s="758">
        <f>AVERAGE(J1565:Q1565)</f>
        <v/>
      </c>
      <c r="J1565" s="588" t="n"/>
      <c r="K1565" s="574" t="n"/>
      <c r="L1565" s="564" t="n">
        <v>13.1</v>
      </c>
      <c r="M1565" s="759" t="n"/>
      <c r="N1565" s="759" t="n"/>
      <c r="O1565" s="759" t="n"/>
      <c r="P1565" s="564" t="n">
        <v>13.7</v>
      </c>
      <c r="Q1565" s="563" t="n">
        <v>35</v>
      </c>
      <c r="R1565" s="757" t="n">
        <v>1</v>
      </c>
      <c r="S1565" s="572" t="n">
        <v>6.9</v>
      </c>
      <c r="T1565" s="55" t="n">
        <v>6.4</v>
      </c>
      <c r="U1565" s="573" t="n">
        <v>6.35</v>
      </c>
      <c r="V1565" s="55" t="n">
        <v>18.3</v>
      </c>
      <c r="W1565" s="572" t="n">
        <v>2.8</v>
      </c>
      <c r="X1565" s="55" t="n"/>
      <c r="Y1565" s="55" t="n"/>
    </row>
    <row r="1566">
      <c r="A1566" s="20" t="inlineStr">
        <is>
          <t>Warm Temperate Dry</t>
        </is>
      </c>
      <c r="B1566" s="405" t="inlineStr">
        <is>
          <t>South America</t>
        </is>
      </c>
      <c r="C1566" s="20">
        <f>CONCATENATE(A1566,B1566)</f>
        <v/>
      </c>
      <c r="D1566" s="572" t="n">
        <v>4.7</v>
      </c>
      <c r="E1566" s="572" t="n">
        <v>4.7</v>
      </c>
      <c r="F1566" s="572" t="n">
        <v>4.7</v>
      </c>
      <c r="G1566" s="565">
        <f>6.1*0.47</f>
        <v/>
      </c>
      <c r="H1566" s="730" t="n">
        <v>0</v>
      </c>
      <c r="I1566" s="758">
        <f>AVERAGE(J1566:Q1566)</f>
        <v/>
      </c>
      <c r="J1566" s="588" t="n"/>
      <c r="K1566" s="574" t="n"/>
      <c r="L1566" s="564" t="n">
        <v>13.1</v>
      </c>
      <c r="M1566" s="759" t="n"/>
      <c r="N1566" s="759" t="n"/>
      <c r="O1566" s="759" t="n"/>
      <c r="P1566" s="564" t="n">
        <v>13.7</v>
      </c>
      <c r="Q1566" s="563" t="n">
        <v>35</v>
      </c>
      <c r="R1566" s="757" t="n">
        <v>1</v>
      </c>
      <c r="S1566" s="572" t="n">
        <v>6.9</v>
      </c>
      <c r="T1566" s="55" t="n">
        <v>6.4</v>
      </c>
      <c r="U1566" s="573" t="n">
        <v>6.35</v>
      </c>
      <c r="V1566" s="55" t="n">
        <v>18.3</v>
      </c>
      <c r="W1566" s="572" t="n">
        <v>2.8</v>
      </c>
      <c r="X1566" s="55" t="n"/>
      <c r="Y1566" s="55" t="n"/>
    </row>
    <row r="1567">
      <c r="A1567" s="20" t="inlineStr">
        <is>
          <t>Warm Temperate Dry</t>
        </is>
      </c>
      <c r="B1567" s="405" t="inlineStr">
        <is>
          <t>Central America</t>
        </is>
      </c>
      <c r="C1567" s="20">
        <f>CONCATENATE(A1567,B1567)</f>
        <v/>
      </c>
      <c r="D1567" s="572" t="n">
        <v>4.7</v>
      </c>
      <c r="E1567" s="572" t="n">
        <v>4.7</v>
      </c>
      <c r="F1567" s="572" t="n">
        <v>4.7</v>
      </c>
      <c r="G1567" s="565">
        <f>6.1*0.47</f>
        <v/>
      </c>
      <c r="H1567" s="730" t="n">
        <v>0</v>
      </c>
      <c r="I1567" s="758">
        <f>AVERAGE(J1567:Q1567)</f>
        <v/>
      </c>
      <c r="J1567" s="588" t="n"/>
      <c r="K1567" s="574" t="n"/>
      <c r="L1567" s="564" t="n">
        <v>13.1</v>
      </c>
      <c r="M1567" s="759" t="n"/>
      <c r="N1567" s="759" t="n"/>
      <c r="O1567" s="759" t="n"/>
      <c r="P1567" s="564" t="n">
        <v>13.7</v>
      </c>
      <c r="Q1567" s="563" t="n">
        <v>35</v>
      </c>
      <c r="R1567" s="757" t="n">
        <v>1</v>
      </c>
      <c r="S1567" s="572" t="n">
        <v>6.9</v>
      </c>
      <c r="T1567" s="55" t="n">
        <v>6.4</v>
      </c>
      <c r="U1567" s="573" t="n">
        <v>6.35</v>
      </c>
      <c r="V1567" s="55" t="n">
        <v>18.3</v>
      </c>
      <c r="W1567" s="572" t="n">
        <v>2.8</v>
      </c>
      <c r="X1567" s="55" t="n"/>
      <c r="Y1567" s="55" t="n"/>
    </row>
    <row r="1568">
      <c r="A1568" s="37" t="inlineStr">
        <is>
          <t>Warm Temperate Dry</t>
        </is>
      </c>
      <c r="B1568" s="406" t="inlineStr">
        <is>
          <t>Caribbean</t>
        </is>
      </c>
      <c r="C1568" s="37">
        <f>CONCATENATE(A1568,B1568)</f>
        <v/>
      </c>
      <c r="D1568" s="420" t="n">
        <v>4.7</v>
      </c>
      <c r="E1568" s="420" t="n">
        <v>4.7</v>
      </c>
      <c r="F1568" s="420" t="n">
        <v>4.7</v>
      </c>
      <c r="G1568" s="565">
        <f>6.1*0.47</f>
        <v/>
      </c>
      <c r="H1568" s="731" t="n">
        <v>0</v>
      </c>
      <c r="I1568" s="760">
        <f>AVERAGE(J1568:Q1568)</f>
        <v/>
      </c>
      <c r="J1568" s="588" t="n"/>
      <c r="K1568" s="574" t="n"/>
      <c r="L1568" s="577" t="n">
        <v>13.1</v>
      </c>
      <c r="M1568" s="761" t="n"/>
      <c r="N1568" s="761" t="n"/>
      <c r="O1568" s="761" t="n"/>
      <c r="P1568" s="577" t="n">
        <v>13.7</v>
      </c>
      <c r="Q1568" s="576" t="n">
        <v>35</v>
      </c>
      <c r="R1568" s="757" t="n">
        <v>1</v>
      </c>
      <c r="S1568" s="420" t="n">
        <v>6.9</v>
      </c>
      <c r="T1568" s="579" t="n">
        <v>6.4</v>
      </c>
      <c r="U1568" s="581" t="n">
        <v>6.35</v>
      </c>
      <c r="V1568" s="579" t="n">
        <v>18.3</v>
      </c>
      <c r="W1568" s="420" t="n">
        <v>2.8</v>
      </c>
      <c r="X1568" s="55" t="n"/>
      <c r="Y1568" s="55" t="n"/>
    </row>
    <row r="1569">
      <c r="A1569" s="63" t="inlineStr">
        <is>
          <t>Warm Temperate Moist</t>
        </is>
      </c>
      <c r="B1569" s="407" t="inlineStr">
        <is>
          <t>Eastern Africa</t>
        </is>
      </c>
      <c r="C1569" s="63">
        <f>CONCATENATE(A1569,B1569)</f>
        <v/>
      </c>
      <c r="D1569" s="569" t="n">
        <v>4.7</v>
      </c>
      <c r="E1569" s="569" t="n">
        <v>4.7</v>
      </c>
      <c r="F1569" s="569" t="n">
        <v>4.7</v>
      </c>
      <c r="G1569" s="582">
        <f>13.5*0.47</f>
        <v/>
      </c>
      <c r="H1569" s="729" t="n">
        <v>0</v>
      </c>
      <c r="I1569" s="755">
        <f>AVERAGE(J1569:Q1569)</f>
        <v/>
      </c>
      <c r="J1569" s="591" t="n"/>
      <c r="K1569" s="584" t="n"/>
      <c r="L1569" s="583" t="n">
        <v>13.1</v>
      </c>
      <c r="M1569" s="756" t="n"/>
      <c r="N1569" s="756" t="n"/>
      <c r="O1569" s="756" t="n"/>
      <c r="P1569" s="583" t="n">
        <v>13.7</v>
      </c>
      <c r="Q1569" s="585" t="n">
        <v>35</v>
      </c>
      <c r="R1569" s="757" t="n">
        <v>1</v>
      </c>
      <c r="S1569" s="569" t="n">
        <v>6.9</v>
      </c>
      <c r="T1569" s="567" t="n">
        <v>6.4</v>
      </c>
      <c r="U1569" s="570" t="n">
        <v>6.35</v>
      </c>
      <c r="V1569" s="567" t="n">
        <v>18.3</v>
      </c>
      <c r="W1569" s="569" t="n">
        <v>2.8</v>
      </c>
      <c r="X1569" s="567" t="n"/>
      <c r="Y1569" s="567" t="n"/>
    </row>
    <row r="1570">
      <c r="A1570" s="20" t="inlineStr">
        <is>
          <t>Warm Temperate Moist</t>
        </is>
      </c>
      <c r="B1570" s="405" t="inlineStr">
        <is>
          <t>Central Africa</t>
        </is>
      </c>
      <c r="C1570" s="20">
        <f>CONCATENATE(A1570,B1570)</f>
        <v/>
      </c>
      <c r="D1570" s="572" t="n">
        <v>4.7</v>
      </c>
      <c r="E1570" s="572" t="n">
        <v>4.7</v>
      </c>
      <c r="F1570" s="572" t="n">
        <v>4.7</v>
      </c>
      <c r="G1570" s="565">
        <f>13.5*0.47</f>
        <v/>
      </c>
      <c r="H1570" s="730" t="n">
        <v>0</v>
      </c>
      <c r="I1570" s="758">
        <f>AVERAGE(J1570:Q1570)</f>
        <v/>
      </c>
      <c r="J1570" s="588" t="n"/>
      <c r="K1570" s="574" t="n"/>
      <c r="L1570" s="564" t="n">
        <v>13.1</v>
      </c>
      <c r="M1570" s="759" t="n"/>
      <c r="N1570" s="759" t="n"/>
      <c r="O1570" s="759" t="n"/>
      <c r="P1570" s="564" t="n">
        <v>13.7</v>
      </c>
      <c r="Q1570" s="563" t="n">
        <v>35</v>
      </c>
      <c r="R1570" s="757" t="n">
        <v>1</v>
      </c>
      <c r="S1570" s="572" t="n">
        <v>6.9</v>
      </c>
      <c r="T1570" s="55" t="n">
        <v>6.4</v>
      </c>
      <c r="U1570" s="573" t="n">
        <v>6.35</v>
      </c>
      <c r="V1570" s="55" t="n">
        <v>18.3</v>
      </c>
      <c r="W1570" s="572" t="n">
        <v>2.8</v>
      </c>
      <c r="X1570" s="55" t="n"/>
      <c r="Y1570" s="55" t="n"/>
    </row>
    <row r="1571">
      <c r="A1571" s="20" t="inlineStr">
        <is>
          <t>Warm Temperate Moist</t>
        </is>
      </c>
      <c r="B1571" s="405" t="inlineStr">
        <is>
          <t>Northern Africa</t>
        </is>
      </c>
      <c r="C1571" s="20">
        <f>CONCATENATE(A1571,B1571)</f>
        <v/>
      </c>
      <c r="D1571" s="572" t="n">
        <v>4.7</v>
      </c>
      <c r="E1571" s="572" t="n">
        <v>4.7</v>
      </c>
      <c r="F1571" s="572" t="n">
        <v>4.7</v>
      </c>
      <c r="G1571" s="565">
        <f>13.5*0.47</f>
        <v/>
      </c>
      <c r="H1571" s="730" t="n">
        <v>0</v>
      </c>
      <c r="I1571" s="758">
        <f>AVERAGE(J1571:Q1571)</f>
        <v/>
      </c>
      <c r="J1571" s="588" t="n"/>
      <c r="K1571" s="574" t="n"/>
      <c r="L1571" s="564" t="n">
        <v>13.1</v>
      </c>
      <c r="M1571" s="759" t="n"/>
      <c r="N1571" s="759" t="n"/>
      <c r="O1571" s="759" t="n"/>
      <c r="P1571" s="564" t="n">
        <v>13.7</v>
      </c>
      <c r="Q1571" s="563" t="n">
        <v>35</v>
      </c>
      <c r="R1571" s="757" t="n">
        <v>1</v>
      </c>
      <c r="S1571" s="572" t="n">
        <v>6.9</v>
      </c>
      <c r="T1571" s="55" t="n">
        <v>6.4</v>
      </c>
      <c r="U1571" s="573" t="n">
        <v>6.35</v>
      </c>
      <c r="V1571" s="55" t="n">
        <v>18.3</v>
      </c>
      <c r="W1571" s="572" t="n">
        <v>2.8</v>
      </c>
      <c r="X1571" s="55" t="n"/>
      <c r="Y1571" s="55" t="n"/>
    </row>
    <row r="1572">
      <c r="A1572" s="20" t="inlineStr">
        <is>
          <t>Warm Temperate Moist</t>
        </is>
      </c>
      <c r="B1572" s="405" t="inlineStr">
        <is>
          <t>Southern Africa</t>
        </is>
      </c>
      <c r="C1572" s="20">
        <f>CONCATENATE(A1572,B1572)</f>
        <v/>
      </c>
      <c r="D1572" s="572" t="n">
        <v>4.7</v>
      </c>
      <c r="E1572" s="572" t="n">
        <v>4.7</v>
      </c>
      <c r="F1572" s="572" t="n">
        <v>4.7</v>
      </c>
      <c r="G1572" s="565">
        <f>13.5*0.47</f>
        <v/>
      </c>
      <c r="H1572" s="730" t="n">
        <v>0</v>
      </c>
      <c r="I1572" s="758">
        <f>AVERAGE(J1572:Q1572)</f>
        <v/>
      </c>
      <c r="J1572" s="588" t="n"/>
      <c r="K1572" s="574" t="n"/>
      <c r="L1572" s="564" t="n">
        <v>13.1</v>
      </c>
      <c r="M1572" s="759" t="n"/>
      <c r="N1572" s="759" t="n"/>
      <c r="O1572" s="759" t="n"/>
      <c r="P1572" s="564" t="n">
        <v>13.7</v>
      </c>
      <c r="Q1572" s="563" t="n">
        <v>35</v>
      </c>
      <c r="R1572" s="757" t="n">
        <v>1</v>
      </c>
      <c r="S1572" s="572" t="n">
        <v>6.9</v>
      </c>
      <c r="T1572" s="55" t="n">
        <v>6.4</v>
      </c>
      <c r="U1572" s="573" t="n">
        <v>6.35</v>
      </c>
      <c r="V1572" s="55" t="n">
        <v>18.3</v>
      </c>
      <c r="W1572" s="572" t="n">
        <v>2.8</v>
      </c>
      <c r="X1572" s="55" t="n"/>
      <c r="Y1572" s="55" t="n"/>
    </row>
    <row r="1573">
      <c r="A1573" s="20" t="inlineStr">
        <is>
          <t>Warm Temperate Moist</t>
        </is>
      </c>
      <c r="B1573" s="405" t="inlineStr">
        <is>
          <t>Western Africa</t>
        </is>
      </c>
      <c r="C1573" s="20">
        <f>CONCATENATE(A1573,B1573)</f>
        <v/>
      </c>
      <c r="D1573" s="572" t="n">
        <v>4.7</v>
      </c>
      <c r="E1573" s="572" t="n">
        <v>4.7</v>
      </c>
      <c r="F1573" s="572" t="n">
        <v>4.7</v>
      </c>
      <c r="G1573" s="565">
        <f>13.5*0.47</f>
        <v/>
      </c>
      <c r="H1573" s="730" t="n">
        <v>0</v>
      </c>
      <c r="I1573" s="758">
        <f>AVERAGE(J1573:Q1573)</f>
        <v/>
      </c>
      <c r="J1573" s="588" t="n"/>
      <c r="K1573" s="574" t="n"/>
      <c r="L1573" s="564" t="n">
        <v>13.1</v>
      </c>
      <c r="M1573" s="759" t="n"/>
      <c r="N1573" s="759" t="n"/>
      <c r="O1573" s="759" t="n"/>
      <c r="P1573" s="564" t="n">
        <v>13.7</v>
      </c>
      <c r="Q1573" s="563" t="n">
        <v>35</v>
      </c>
      <c r="R1573" s="757" t="n">
        <v>1</v>
      </c>
      <c r="S1573" s="572" t="n">
        <v>6.9</v>
      </c>
      <c r="T1573" s="55" t="n">
        <v>6.4</v>
      </c>
      <c r="U1573" s="573" t="n">
        <v>6.35</v>
      </c>
      <c r="V1573" s="55" t="n">
        <v>18.3</v>
      </c>
      <c r="W1573" s="572" t="n">
        <v>2.8</v>
      </c>
      <c r="X1573" s="55" t="n"/>
      <c r="Y1573" s="55" t="n"/>
    </row>
    <row r="1574">
      <c r="A1574" s="20" t="inlineStr">
        <is>
          <t>Warm Temperate Moist</t>
        </is>
      </c>
      <c r="B1574" s="405" t="inlineStr">
        <is>
          <t>Central Asia</t>
        </is>
      </c>
      <c r="C1574" s="20">
        <f>CONCATENATE(A1574,B1574)</f>
        <v/>
      </c>
      <c r="D1574" s="572" t="n">
        <v>4.7</v>
      </c>
      <c r="E1574" s="572" t="n">
        <v>4.7</v>
      </c>
      <c r="F1574" s="572" t="n">
        <v>4.7</v>
      </c>
      <c r="G1574" s="565">
        <f>13.5*0.47</f>
        <v/>
      </c>
      <c r="H1574" s="730" t="n">
        <v>0</v>
      </c>
      <c r="I1574" s="758">
        <f>AVERAGE(J1574:Q1574)</f>
        <v/>
      </c>
      <c r="J1574" s="588" t="n"/>
      <c r="K1574" s="574" t="n"/>
      <c r="L1574" s="564" t="n">
        <v>13.1</v>
      </c>
      <c r="M1574" s="759" t="n"/>
      <c r="N1574" s="759" t="n"/>
      <c r="O1574" s="759" t="n"/>
      <c r="P1574" s="564" t="n">
        <v>13.7</v>
      </c>
      <c r="Q1574" s="563" t="n">
        <v>35</v>
      </c>
      <c r="R1574" s="757" t="n">
        <v>1</v>
      </c>
      <c r="S1574" s="572" t="n">
        <v>6.9</v>
      </c>
      <c r="T1574" s="55" t="n">
        <v>6.4</v>
      </c>
      <c r="U1574" s="573" t="n">
        <v>6.35</v>
      </c>
      <c r="V1574" s="55" t="n">
        <v>18.3</v>
      </c>
      <c r="W1574" s="572" t="n">
        <v>2.8</v>
      </c>
      <c r="X1574" s="55" t="n"/>
      <c r="Y1574" s="55" t="n"/>
    </row>
    <row r="1575">
      <c r="A1575" s="20" t="inlineStr">
        <is>
          <t>Warm Temperate Moist</t>
        </is>
      </c>
      <c r="B1575" s="405" t="inlineStr">
        <is>
          <t>Eastern Asia</t>
        </is>
      </c>
      <c r="C1575" s="20">
        <f>CONCATENATE(A1575,B1575)</f>
        <v/>
      </c>
      <c r="D1575" s="572" t="n">
        <v>4.7</v>
      </c>
      <c r="E1575" s="572" t="n">
        <v>4.7</v>
      </c>
      <c r="F1575" s="572" t="n">
        <v>4.7</v>
      </c>
      <c r="G1575" s="565">
        <f>13.5*0.47</f>
        <v/>
      </c>
      <c r="H1575" s="730" t="n">
        <v>0</v>
      </c>
      <c r="I1575" s="758">
        <f>AVERAGE(J1575:Q1575)</f>
        <v/>
      </c>
      <c r="J1575" s="588" t="n"/>
      <c r="K1575" s="574" t="n"/>
      <c r="L1575" s="564" t="n">
        <v>13.1</v>
      </c>
      <c r="M1575" s="759" t="n"/>
      <c r="N1575" s="759" t="n"/>
      <c r="O1575" s="759" t="n"/>
      <c r="P1575" s="564" t="n">
        <v>13.7</v>
      </c>
      <c r="Q1575" s="563" t="n">
        <v>35</v>
      </c>
      <c r="R1575" s="757" t="n">
        <v>1</v>
      </c>
      <c r="S1575" s="572" t="n">
        <v>6.9</v>
      </c>
      <c r="T1575" s="55" t="n">
        <v>6.4</v>
      </c>
      <c r="U1575" s="573" t="n">
        <v>6.35</v>
      </c>
      <c r="V1575" s="55" t="n">
        <v>18.3</v>
      </c>
      <c r="W1575" s="572" t="n">
        <v>2.8</v>
      </c>
      <c r="X1575" s="55" t="n"/>
      <c r="Y1575" s="55" t="n"/>
    </row>
    <row r="1576">
      <c r="A1576" s="20" t="inlineStr">
        <is>
          <t>Warm Temperate Moist</t>
        </is>
      </c>
      <c r="B1576" s="405" t="inlineStr">
        <is>
          <t>South-eastern Asia</t>
        </is>
      </c>
      <c r="C1576" s="20">
        <f>CONCATENATE(A1576,B1576)</f>
        <v/>
      </c>
      <c r="D1576" s="572" t="n">
        <v>4.7</v>
      </c>
      <c r="E1576" s="572" t="n">
        <v>4.7</v>
      </c>
      <c r="F1576" s="572" t="n">
        <v>4.7</v>
      </c>
      <c r="G1576" s="565">
        <f>13.5*0.47</f>
        <v/>
      </c>
      <c r="H1576" s="730" t="n">
        <v>0</v>
      </c>
      <c r="I1576" s="758">
        <f>AVERAGE(J1576:Q1576)</f>
        <v/>
      </c>
      <c r="J1576" s="588" t="n"/>
      <c r="K1576" s="574" t="n"/>
      <c r="L1576" s="564" t="n">
        <v>13.1</v>
      </c>
      <c r="M1576" s="759" t="n"/>
      <c r="N1576" s="759" t="n"/>
      <c r="O1576" s="759" t="n"/>
      <c r="P1576" s="564" t="n">
        <v>13.7</v>
      </c>
      <c r="Q1576" s="563" t="n">
        <v>35</v>
      </c>
      <c r="R1576" s="757" t="n">
        <v>1</v>
      </c>
      <c r="S1576" s="572" t="n">
        <v>6.9</v>
      </c>
      <c r="T1576" s="55" t="n">
        <v>6.4</v>
      </c>
      <c r="U1576" s="573" t="n">
        <v>6.35</v>
      </c>
      <c r="V1576" s="55" t="n">
        <v>18.3</v>
      </c>
      <c r="W1576" s="572" t="n">
        <v>2.8</v>
      </c>
      <c r="X1576" s="55" t="n"/>
      <c r="Y1576" s="55" t="n"/>
    </row>
    <row r="1577">
      <c r="A1577" s="20" t="inlineStr">
        <is>
          <t>Warm Temperate Moist</t>
        </is>
      </c>
      <c r="B1577" s="405" t="inlineStr">
        <is>
          <t>Southern Asia</t>
        </is>
      </c>
      <c r="C1577" s="20">
        <f>CONCATENATE(A1577,B1577)</f>
        <v/>
      </c>
      <c r="D1577" s="572" t="n">
        <v>4.7</v>
      </c>
      <c r="E1577" s="572" t="n">
        <v>4.7</v>
      </c>
      <c r="F1577" s="572" t="n">
        <v>4.7</v>
      </c>
      <c r="G1577" s="565">
        <f>13.5*0.47</f>
        <v/>
      </c>
      <c r="H1577" s="730" t="n">
        <v>0</v>
      </c>
      <c r="I1577" s="758">
        <f>AVERAGE(J1577:Q1577)</f>
        <v/>
      </c>
      <c r="J1577" s="588" t="n"/>
      <c r="K1577" s="574" t="n"/>
      <c r="L1577" s="564" t="n">
        <v>13.1</v>
      </c>
      <c r="M1577" s="759" t="n"/>
      <c r="N1577" s="759" t="n"/>
      <c r="O1577" s="759" t="n"/>
      <c r="P1577" s="564" t="n">
        <v>13.7</v>
      </c>
      <c r="Q1577" s="563" t="n">
        <v>35</v>
      </c>
      <c r="R1577" s="757" t="n">
        <v>1</v>
      </c>
      <c r="S1577" s="572" t="n">
        <v>6.9</v>
      </c>
      <c r="T1577" s="55" t="n">
        <v>6.4</v>
      </c>
      <c r="U1577" s="573" t="n">
        <v>6.35</v>
      </c>
      <c r="V1577" s="55" t="n">
        <v>18.3</v>
      </c>
      <c r="W1577" s="572" t="n">
        <v>2.8</v>
      </c>
      <c r="X1577" s="55" t="n"/>
      <c r="Y1577" s="55" t="n"/>
    </row>
    <row r="1578">
      <c r="A1578" s="20" t="inlineStr">
        <is>
          <t>Warm Temperate Moist</t>
        </is>
      </c>
      <c r="B1578" s="405" t="inlineStr">
        <is>
          <t>Western Asia</t>
        </is>
      </c>
      <c r="C1578" s="20">
        <f>CONCATENATE(A1578,B1578)</f>
        <v/>
      </c>
      <c r="D1578" s="572" t="n">
        <v>4.7</v>
      </c>
      <c r="E1578" s="572" t="n">
        <v>4.7</v>
      </c>
      <c r="F1578" s="572" t="n">
        <v>4.7</v>
      </c>
      <c r="G1578" s="565">
        <f>13.5*0.47</f>
        <v/>
      </c>
      <c r="H1578" s="730" t="n">
        <v>0</v>
      </c>
      <c r="I1578" s="758">
        <f>AVERAGE(J1578:Q1578)</f>
        <v/>
      </c>
      <c r="J1578" s="588" t="n"/>
      <c r="K1578" s="574" t="n"/>
      <c r="L1578" s="564" t="n">
        <v>13.1</v>
      </c>
      <c r="M1578" s="759" t="n"/>
      <c r="N1578" s="759" t="n"/>
      <c r="O1578" s="759" t="n"/>
      <c r="P1578" s="564" t="n">
        <v>13.7</v>
      </c>
      <c r="Q1578" s="563" t="n">
        <v>35</v>
      </c>
      <c r="R1578" s="757" t="n">
        <v>1</v>
      </c>
      <c r="S1578" s="572" t="n">
        <v>6.9</v>
      </c>
      <c r="T1578" s="55" t="n">
        <v>6.4</v>
      </c>
      <c r="U1578" s="573" t="n">
        <v>6.35</v>
      </c>
      <c r="V1578" s="55" t="n">
        <v>18.3</v>
      </c>
      <c r="W1578" s="572" t="n">
        <v>2.8</v>
      </c>
      <c r="X1578" s="55" t="n"/>
      <c r="Y1578" s="55" t="n"/>
    </row>
    <row r="1579">
      <c r="A1579" s="20" t="inlineStr">
        <is>
          <t>Warm Temperate Moist</t>
        </is>
      </c>
      <c r="B1579" s="405" t="inlineStr">
        <is>
          <t>Europe</t>
        </is>
      </c>
      <c r="C1579" s="20">
        <f>CONCATENATE(A1579,B1579)</f>
        <v/>
      </c>
      <c r="D1579" s="572" t="n">
        <v>4.7</v>
      </c>
      <c r="E1579" s="572" t="n">
        <v>4.7</v>
      </c>
      <c r="F1579" s="572" t="n">
        <v>4.7</v>
      </c>
      <c r="G1579" s="565">
        <f>13.5*0.47</f>
        <v/>
      </c>
      <c r="H1579" s="730" t="n">
        <v>0</v>
      </c>
      <c r="I1579" s="758">
        <f>AVERAGE(J1579:Q1579)</f>
        <v/>
      </c>
      <c r="J1579" s="588" t="n"/>
      <c r="K1579" s="574" t="n"/>
      <c r="L1579" s="564" t="n">
        <v>13.1</v>
      </c>
      <c r="M1579" s="759" t="n"/>
      <c r="N1579" s="759" t="n"/>
      <c r="O1579" s="759" t="n"/>
      <c r="P1579" s="564" t="n">
        <v>13.7</v>
      </c>
      <c r="Q1579" s="563" t="n">
        <v>35</v>
      </c>
      <c r="R1579" s="757" t="n">
        <v>1</v>
      </c>
      <c r="S1579" s="572" t="n">
        <v>6.9</v>
      </c>
      <c r="T1579" s="55" t="n">
        <v>6.4</v>
      </c>
      <c r="U1579" s="573" t="n">
        <v>6.35</v>
      </c>
      <c r="V1579" s="55" t="n">
        <v>18.3</v>
      </c>
      <c r="W1579" s="572" t="n">
        <v>2.8</v>
      </c>
      <c r="X1579" s="55" t="n"/>
      <c r="Y1579" s="55" t="n"/>
    </row>
    <row r="1580">
      <c r="A1580" s="20" t="inlineStr">
        <is>
          <t>Warm Temperate Moist</t>
        </is>
      </c>
      <c r="B1580" s="405" t="inlineStr">
        <is>
          <t>Oceania</t>
        </is>
      </c>
      <c r="C1580" s="20">
        <f>CONCATENATE(A1580,B1580)</f>
        <v/>
      </c>
      <c r="D1580" s="572" t="n">
        <v>4.7</v>
      </c>
      <c r="E1580" s="572" t="n">
        <v>4.7</v>
      </c>
      <c r="F1580" s="572" t="n">
        <v>4.7</v>
      </c>
      <c r="G1580" s="565">
        <f>13.5*0.47</f>
        <v/>
      </c>
      <c r="H1580" s="730" t="n">
        <v>0</v>
      </c>
      <c r="I1580" s="758">
        <f>AVERAGE(J1580:Q1580)</f>
        <v/>
      </c>
      <c r="J1580" s="588" t="n"/>
      <c r="K1580" s="574" t="n"/>
      <c r="L1580" s="564" t="n">
        <v>13.1</v>
      </c>
      <c r="M1580" s="759" t="n"/>
      <c r="N1580" s="759" t="n"/>
      <c r="O1580" s="759" t="n"/>
      <c r="P1580" s="564" t="n">
        <v>13.7</v>
      </c>
      <c r="Q1580" s="563" t="n">
        <v>35</v>
      </c>
      <c r="R1580" s="757" t="n">
        <v>1</v>
      </c>
      <c r="S1580" s="572" t="n">
        <v>6.9</v>
      </c>
      <c r="T1580" s="55" t="n">
        <v>6.4</v>
      </c>
      <c r="U1580" s="573" t="n">
        <v>6.35</v>
      </c>
      <c r="V1580" s="55" t="n">
        <v>18.3</v>
      </c>
      <c r="W1580" s="572" t="n">
        <v>2.8</v>
      </c>
      <c r="X1580" s="55" t="n"/>
      <c r="Y1580" s="55" t="n"/>
    </row>
    <row r="1581">
      <c r="A1581" s="20" t="inlineStr">
        <is>
          <t>Warm Temperate Moist</t>
        </is>
      </c>
      <c r="B1581" s="405" t="inlineStr">
        <is>
          <t>North America</t>
        </is>
      </c>
      <c r="C1581" s="20">
        <f>CONCATENATE(A1581,B1581)</f>
        <v/>
      </c>
      <c r="D1581" s="572" t="n">
        <v>4.7</v>
      </c>
      <c r="E1581" s="572" t="n">
        <v>4.7</v>
      </c>
      <c r="F1581" s="572" t="n">
        <v>4.7</v>
      </c>
      <c r="G1581" s="565">
        <f>13.5*0.47</f>
        <v/>
      </c>
      <c r="H1581" s="730" t="n">
        <v>0</v>
      </c>
      <c r="I1581" s="758">
        <f>AVERAGE(J1581:Q1581)</f>
        <v/>
      </c>
      <c r="J1581" s="588" t="n"/>
      <c r="K1581" s="574" t="n"/>
      <c r="L1581" s="564" t="n">
        <v>13.1</v>
      </c>
      <c r="M1581" s="759" t="n"/>
      <c r="N1581" s="759" t="n"/>
      <c r="O1581" s="759" t="n"/>
      <c r="P1581" s="564" t="n">
        <v>13.7</v>
      </c>
      <c r="Q1581" s="563" t="n">
        <v>35</v>
      </c>
      <c r="R1581" s="757" t="n">
        <v>1</v>
      </c>
      <c r="S1581" s="572" t="n">
        <v>6.9</v>
      </c>
      <c r="T1581" s="55" t="n">
        <v>6.4</v>
      </c>
      <c r="U1581" s="573" t="n">
        <v>6.35</v>
      </c>
      <c r="V1581" s="55" t="n">
        <v>18.3</v>
      </c>
      <c r="W1581" s="572" t="n">
        <v>2.8</v>
      </c>
      <c r="X1581" s="55" t="n"/>
      <c r="Y1581" s="55" t="n"/>
    </row>
    <row r="1582">
      <c r="A1582" s="20" t="inlineStr">
        <is>
          <t>Warm Temperate Moist</t>
        </is>
      </c>
      <c r="B1582" s="405" t="inlineStr">
        <is>
          <t>South America</t>
        </is>
      </c>
      <c r="C1582" s="20">
        <f>CONCATENATE(A1582,B1582)</f>
        <v/>
      </c>
      <c r="D1582" s="572" t="n">
        <v>4.7</v>
      </c>
      <c r="E1582" s="572" t="n">
        <v>4.7</v>
      </c>
      <c r="F1582" s="572" t="n">
        <v>4.7</v>
      </c>
      <c r="G1582" s="565">
        <f>13.5*0.47</f>
        <v/>
      </c>
      <c r="H1582" s="730" t="n">
        <v>0</v>
      </c>
      <c r="I1582" s="758">
        <f>AVERAGE(J1582:Q1582)</f>
        <v/>
      </c>
      <c r="J1582" s="588" t="n"/>
      <c r="K1582" s="574" t="n"/>
      <c r="L1582" s="564" t="n">
        <v>13.1</v>
      </c>
      <c r="M1582" s="759" t="n"/>
      <c r="N1582" s="759" t="n"/>
      <c r="O1582" s="759" t="n"/>
      <c r="P1582" s="564" t="n">
        <v>13.7</v>
      </c>
      <c r="Q1582" s="563" t="n">
        <v>35</v>
      </c>
      <c r="R1582" s="757" t="n">
        <v>1</v>
      </c>
      <c r="S1582" s="572" t="n">
        <v>6.9</v>
      </c>
      <c r="T1582" s="55" t="n">
        <v>6.4</v>
      </c>
      <c r="U1582" s="573" t="n">
        <v>6.35</v>
      </c>
      <c r="V1582" s="55" t="n">
        <v>18.3</v>
      </c>
      <c r="W1582" s="572" t="n">
        <v>2.8</v>
      </c>
      <c r="X1582" s="55" t="n"/>
      <c r="Y1582" s="55" t="n"/>
    </row>
    <row r="1583">
      <c r="A1583" s="20" t="inlineStr">
        <is>
          <t>Warm Temperate Moist</t>
        </is>
      </c>
      <c r="B1583" s="405" t="inlineStr">
        <is>
          <t>Central America</t>
        </is>
      </c>
      <c r="C1583" s="20">
        <f>CONCATENATE(A1583,B1583)</f>
        <v/>
      </c>
      <c r="D1583" s="572" t="n">
        <v>4.7</v>
      </c>
      <c r="E1583" s="572" t="n">
        <v>4.7</v>
      </c>
      <c r="F1583" s="572" t="n">
        <v>4.7</v>
      </c>
      <c r="G1583" s="565">
        <f>13.5*0.47</f>
        <v/>
      </c>
      <c r="H1583" s="730" t="n">
        <v>0</v>
      </c>
      <c r="I1583" s="758">
        <f>AVERAGE(J1583:Q1583)</f>
        <v/>
      </c>
      <c r="J1583" s="588" t="n"/>
      <c r="K1583" s="574" t="n"/>
      <c r="L1583" s="564" t="n">
        <v>13.1</v>
      </c>
      <c r="M1583" s="759" t="n"/>
      <c r="N1583" s="759" t="n"/>
      <c r="O1583" s="759" t="n"/>
      <c r="P1583" s="564" t="n">
        <v>13.7</v>
      </c>
      <c r="Q1583" s="563" t="n">
        <v>35</v>
      </c>
      <c r="R1583" s="757" t="n">
        <v>1</v>
      </c>
      <c r="S1583" s="572" t="n">
        <v>6.9</v>
      </c>
      <c r="T1583" s="55" t="n">
        <v>6.4</v>
      </c>
      <c r="U1583" s="573" t="n">
        <v>6.35</v>
      </c>
      <c r="V1583" s="55" t="n">
        <v>18.3</v>
      </c>
      <c r="W1583" s="572" t="n">
        <v>2.8</v>
      </c>
      <c r="X1583" s="55" t="n"/>
      <c r="Y1583" s="55" t="n"/>
    </row>
    <row r="1584">
      <c r="A1584" s="37" t="inlineStr">
        <is>
          <t>Warm Temperate Moist</t>
        </is>
      </c>
      <c r="B1584" s="406" t="inlineStr">
        <is>
          <t>Caribbean</t>
        </is>
      </c>
      <c r="C1584" s="37">
        <f>CONCATENATE(A1584,B1584)</f>
        <v/>
      </c>
      <c r="D1584" s="420" t="n">
        <v>4.7</v>
      </c>
      <c r="E1584" s="420" t="n">
        <v>4.7</v>
      </c>
      <c r="F1584" s="420" t="n">
        <v>4.7</v>
      </c>
      <c r="G1584" s="578">
        <f>13.5*0.47</f>
        <v/>
      </c>
      <c r="H1584" s="731" t="n">
        <v>0</v>
      </c>
      <c r="I1584" s="760">
        <f>AVERAGE(J1584:Q1584)</f>
        <v/>
      </c>
      <c r="J1584" s="588" t="n"/>
      <c r="K1584" s="616" t="n"/>
      <c r="L1584" s="577" t="n">
        <v>13.1</v>
      </c>
      <c r="M1584" s="761" t="n"/>
      <c r="N1584" s="761" t="n"/>
      <c r="O1584" s="761" t="n"/>
      <c r="P1584" s="577" t="n">
        <v>13.7</v>
      </c>
      <c r="Q1584" s="563" t="n">
        <v>35</v>
      </c>
      <c r="R1584" s="757" t="n">
        <v>1</v>
      </c>
      <c r="S1584" s="420" t="n">
        <v>6.9</v>
      </c>
      <c r="T1584" s="579" t="n">
        <v>6.4</v>
      </c>
      <c r="U1584" s="581" t="n">
        <v>6.35</v>
      </c>
      <c r="V1584" s="579" t="n">
        <v>18.3</v>
      </c>
      <c r="W1584" s="420" t="n">
        <v>2.8</v>
      </c>
      <c r="X1584" s="579" t="n"/>
      <c r="Y1584" s="579" t="n"/>
    </row>
    <row r="1585">
      <c r="A1585" s="63" t="inlineStr">
        <is>
          <t>Tropical Dry</t>
        </is>
      </c>
      <c r="B1585" s="413" t="inlineStr">
        <is>
          <t>Eastern Africa</t>
        </is>
      </c>
      <c r="C1585" s="63">
        <f>CONCATENATE(A1585,B1585)</f>
        <v/>
      </c>
      <c r="D1585" s="569" t="n">
        <v>4.7</v>
      </c>
      <c r="E1585" s="569" t="n">
        <v>4.7</v>
      </c>
      <c r="F1585" s="569" t="n">
        <v>4.7</v>
      </c>
      <c r="G1585" s="582">
        <f>8.7*0.47</f>
        <v/>
      </c>
      <c r="H1585" s="729" t="n">
        <v>0</v>
      </c>
      <c r="I1585" s="755">
        <f>AVERAGE(J1585:Q1585)</f>
        <v/>
      </c>
      <c r="J1585" s="585" t="n">
        <v>23.7</v>
      </c>
      <c r="K1585" s="583" t="n">
        <v>11.1</v>
      </c>
      <c r="L1585" s="583" t="n">
        <v>4.7</v>
      </c>
      <c r="M1585" s="584" t="n">
        <v>32.5</v>
      </c>
      <c r="N1585" s="584" t="n">
        <v>5.9</v>
      </c>
      <c r="O1585" s="584" t="n">
        <v>24</v>
      </c>
      <c r="P1585" s="584" t="n">
        <v>36.1</v>
      </c>
      <c r="Q1585" s="583" t="n">
        <v>29.1</v>
      </c>
      <c r="R1585" s="762" t="n">
        <v>1</v>
      </c>
      <c r="S1585" s="567" t="n"/>
      <c r="T1585" s="567" t="n"/>
      <c r="U1585" s="567" t="n"/>
      <c r="V1585" s="567" t="n">
        <v>18.3</v>
      </c>
      <c r="W1585" s="569" t="n"/>
      <c r="X1585" s="572" t="n">
        <v>30</v>
      </c>
      <c r="Y1585" s="55" t="n">
        <v>40.1</v>
      </c>
    </row>
    <row r="1586">
      <c r="A1586" s="20" t="inlineStr">
        <is>
          <t>Tropical Dry</t>
        </is>
      </c>
      <c r="B1586" s="403" t="inlineStr">
        <is>
          <t>Central Africa</t>
        </is>
      </c>
      <c r="C1586" s="20">
        <f>CONCATENATE(A1586,B1586)</f>
        <v/>
      </c>
      <c r="D1586" s="572" t="n">
        <v>4.7</v>
      </c>
      <c r="E1586" s="572" t="n">
        <v>4.7</v>
      </c>
      <c r="F1586" s="572" t="n">
        <v>4.7</v>
      </c>
      <c r="G1586" s="565">
        <f>8.7*0.47</f>
        <v/>
      </c>
      <c r="H1586" s="730" t="n">
        <v>0</v>
      </c>
      <c r="I1586" s="758">
        <f>AVERAGE(J1586:Q1586)</f>
        <v/>
      </c>
      <c r="J1586" s="563" t="n">
        <v>23.7</v>
      </c>
      <c r="K1586" s="564" t="n">
        <v>11.1</v>
      </c>
      <c r="L1586" s="564" t="n">
        <v>4.7</v>
      </c>
      <c r="M1586" s="574" t="n">
        <v>32.5</v>
      </c>
      <c r="N1586" s="574" t="n">
        <v>5.9</v>
      </c>
      <c r="O1586" s="574" t="n">
        <v>24</v>
      </c>
      <c r="P1586" s="574" t="n">
        <v>36.1</v>
      </c>
      <c r="Q1586" s="564" t="n">
        <v>29.1</v>
      </c>
      <c r="R1586" s="757" t="n">
        <v>1</v>
      </c>
      <c r="S1586" s="55" t="n"/>
      <c r="T1586" s="55" t="n"/>
      <c r="U1586" s="55" t="n"/>
      <c r="V1586" s="55" t="n">
        <v>18.3</v>
      </c>
      <c r="W1586" s="572" t="n"/>
      <c r="X1586" s="572" t="n">
        <v>30</v>
      </c>
      <c r="Y1586" s="55" t="n">
        <v>40.1</v>
      </c>
    </row>
    <row r="1587">
      <c r="A1587" s="20" t="inlineStr">
        <is>
          <t>Tropical Dry</t>
        </is>
      </c>
      <c r="B1587" s="403" t="inlineStr">
        <is>
          <t>Northern Africa</t>
        </is>
      </c>
      <c r="C1587" s="20">
        <f>CONCATENATE(A1587,B1587)</f>
        <v/>
      </c>
      <c r="D1587" s="572" t="n">
        <v>4.7</v>
      </c>
      <c r="E1587" s="572" t="n">
        <v>4.7</v>
      </c>
      <c r="F1587" s="572" t="n">
        <v>4.7</v>
      </c>
      <c r="G1587" s="565">
        <f>8.7*0.47</f>
        <v/>
      </c>
      <c r="H1587" s="730" t="n">
        <v>0</v>
      </c>
      <c r="I1587" s="758">
        <f>AVERAGE(J1587:Q1587)</f>
        <v/>
      </c>
      <c r="J1587" s="563" t="n">
        <v>23.7</v>
      </c>
      <c r="K1587" s="564" t="n">
        <v>11.1</v>
      </c>
      <c r="L1587" s="564" t="n">
        <v>4.7</v>
      </c>
      <c r="M1587" s="574" t="n">
        <v>32.5</v>
      </c>
      <c r="N1587" s="574" t="n">
        <v>5.9</v>
      </c>
      <c r="O1587" s="574" t="n">
        <v>24</v>
      </c>
      <c r="P1587" s="574" t="n">
        <v>36.1</v>
      </c>
      <c r="Q1587" s="564" t="n">
        <v>29.1</v>
      </c>
      <c r="R1587" s="757" t="n">
        <v>1</v>
      </c>
      <c r="S1587" s="55" t="n"/>
      <c r="T1587" s="55" t="n"/>
      <c r="U1587" s="55" t="n"/>
      <c r="V1587" s="55" t="n">
        <v>18.3</v>
      </c>
      <c r="W1587" s="572" t="n"/>
      <c r="X1587" s="572" t="n">
        <v>30</v>
      </c>
      <c r="Y1587" s="55" t="n">
        <v>40.1</v>
      </c>
    </row>
    <row r="1588">
      <c r="A1588" s="20" t="inlineStr">
        <is>
          <t>Tropical Dry</t>
        </is>
      </c>
      <c r="B1588" s="403" t="inlineStr">
        <is>
          <t>Southern Africa</t>
        </is>
      </c>
      <c r="C1588" s="20">
        <f>CONCATENATE(A1588,B1588)</f>
        <v/>
      </c>
      <c r="D1588" s="572" t="n">
        <v>4.7</v>
      </c>
      <c r="E1588" s="572" t="n">
        <v>4.7</v>
      </c>
      <c r="F1588" s="572" t="n">
        <v>4.7</v>
      </c>
      <c r="G1588" s="565">
        <f>8.7*0.47</f>
        <v/>
      </c>
      <c r="H1588" s="730" t="n">
        <v>0</v>
      </c>
      <c r="I1588" s="758">
        <f>AVERAGE(J1588:Q1588)</f>
        <v/>
      </c>
      <c r="J1588" s="563" t="n">
        <v>23.7</v>
      </c>
      <c r="K1588" s="564" t="n">
        <v>11.1</v>
      </c>
      <c r="L1588" s="564" t="n">
        <v>4.7</v>
      </c>
      <c r="M1588" s="574" t="n">
        <v>32.5</v>
      </c>
      <c r="N1588" s="574" t="n">
        <v>5.9</v>
      </c>
      <c r="O1588" s="574" t="n">
        <v>24</v>
      </c>
      <c r="P1588" s="574" t="n">
        <v>36.1</v>
      </c>
      <c r="Q1588" s="564" t="n">
        <v>29.1</v>
      </c>
      <c r="R1588" s="757" t="n">
        <v>1</v>
      </c>
      <c r="S1588" s="55" t="n"/>
      <c r="T1588" s="55" t="n"/>
      <c r="U1588" s="55" t="n"/>
      <c r="V1588" s="55" t="n">
        <v>18.3</v>
      </c>
      <c r="W1588" s="572" t="n"/>
      <c r="X1588" s="572" t="n">
        <v>30</v>
      </c>
      <c r="Y1588" s="55" t="n">
        <v>40.1</v>
      </c>
    </row>
    <row r="1589">
      <c r="A1589" s="20" t="inlineStr">
        <is>
          <t>Tropical Dry</t>
        </is>
      </c>
      <c r="B1589" s="403" t="inlineStr">
        <is>
          <t>Western Africa</t>
        </is>
      </c>
      <c r="C1589" s="20">
        <f>CONCATENATE(A1589,B1589)</f>
        <v/>
      </c>
      <c r="D1589" s="572" t="n">
        <v>4.7</v>
      </c>
      <c r="E1589" s="572" t="n">
        <v>4.7</v>
      </c>
      <c r="F1589" s="572" t="n">
        <v>4.7</v>
      </c>
      <c r="G1589" s="565">
        <f>8.7*0.47</f>
        <v/>
      </c>
      <c r="H1589" s="730" t="n">
        <v>0</v>
      </c>
      <c r="I1589" s="758">
        <f>AVERAGE(J1589:Q1589)</f>
        <v/>
      </c>
      <c r="J1589" s="563" t="n">
        <v>23.7</v>
      </c>
      <c r="K1589" s="564" t="n">
        <v>11.1</v>
      </c>
      <c r="L1589" s="564" t="n">
        <v>4.7</v>
      </c>
      <c r="M1589" s="574" t="n">
        <v>32.5</v>
      </c>
      <c r="N1589" s="574" t="n">
        <v>5.9</v>
      </c>
      <c r="O1589" s="574" t="n">
        <v>24</v>
      </c>
      <c r="P1589" s="574" t="n">
        <v>36.1</v>
      </c>
      <c r="Q1589" s="564" t="n">
        <v>29.1</v>
      </c>
      <c r="R1589" s="757" t="n">
        <v>1</v>
      </c>
      <c r="S1589" s="55" t="n"/>
      <c r="T1589" s="55" t="n"/>
      <c r="U1589" s="55" t="n"/>
      <c r="V1589" s="55" t="n">
        <v>18.3</v>
      </c>
      <c r="W1589" s="572" t="n"/>
      <c r="X1589" s="572" t="n">
        <v>30</v>
      </c>
      <c r="Y1589" s="55" t="n">
        <v>40.1</v>
      </c>
    </row>
    <row r="1590">
      <c r="A1590" s="20" t="inlineStr">
        <is>
          <t>Tropical Dry</t>
        </is>
      </c>
      <c r="B1590" s="403" t="inlineStr">
        <is>
          <t>Central Asia</t>
        </is>
      </c>
      <c r="C1590" s="20">
        <f>CONCATENATE(A1590,B1590)</f>
        <v/>
      </c>
      <c r="D1590" s="572" t="n">
        <v>4.7</v>
      </c>
      <c r="E1590" s="572" t="n">
        <v>4.7</v>
      </c>
      <c r="F1590" s="572" t="n">
        <v>4.7</v>
      </c>
      <c r="G1590" s="565">
        <f>8.7*0.47</f>
        <v/>
      </c>
      <c r="H1590" s="730" t="n">
        <v>0</v>
      </c>
      <c r="I1590" s="758">
        <f>AVERAGE(J1590:Q1590)</f>
        <v/>
      </c>
      <c r="J1590" s="563" t="n">
        <v>23.7</v>
      </c>
      <c r="K1590" s="564" t="n">
        <v>11.1</v>
      </c>
      <c r="L1590" s="564" t="n">
        <v>4.7</v>
      </c>
      <c r="M1590" s="574" t="n">
        <v>32.5</v>
      </c>
      <c r="N1590" s="574" t="n">
        <v>5.9</v>
      </c>
      <c r="O1590" s="574" t="n">
        <v>24</v>
      </c>
      <c r="P1590" s="574" t="n">
        <v>36.1</v>
      </c>
      <c r="Q1590" s="564" t="n">
        <v>29.1</v>
      </c>
      <c r="R1590" s="757" t="n">
        <v>1</v>
      </c>
      <c r="S1590" s="55" t="n"/>
      <c r="T1590" s="55" t="n"/>
      <c r="U1590" s="55" t="n"/>
      <c r="V1590" s="55" t="n">
        <v>18.3</v>
      </c>
      <c r="W1590" s="572" t="n"/>
      <c r="X1590" s="572" t="n">
        <v>30</v>
      </c>
      <c r="Y1590" s="55" t="n">
        <v>40.1</v>
      </c>
    </row>
    <row r="1591">
      <c r="A1591" s="20" t="inlineStr">
        <is>
          <t>Tropical Dry</t>
        </is>
      </c>
      <c r="B1591" s="403" t="inlineStr">
        <is>
          <t>Eastern Asia</t>
        </is>
      </c>
      <c r="C1591" s="20">
        <f>CONCATENATE(A1591,B1591)</f>
        <v/>
      </c>
      <c r="D1591" s="572" t="n">
        <v>4.7</v>
      </c>
      <c r="E1591" s="572" t="n">
        <v>4.7</v>
      </c>
      <c r="F1591" s="572" t="n">
        <v>4.7</v>
      </c>
      <c r="G1591" s="565">
        <f>8.7*0.47</f>
        <v/>
      </c>
      <c r="H1591" s="730" t="n">
        <v>0</v>
      </c>
      <c r="I1591" s="758">
        <f>AVERAGE(J1591:Q1591)</f>
        <v/>
      </c>
      <c r="J1591" s="563" t="n">
        <v>23.7</v>
      </c>
      <c r="K1591" s="564" t="n">
        <v>11.1</v>
      </c>
      <c r="L1591" s="564" t="n">
        <v>4.7</v>
      </c>
      <c r="M1591" s="574" t="n">
        <v>32.5</v>
      </c>
      <c r="N1591" s="574" t="n">
        <v>5.9</v>
      </c>
      <c r="O1591" s="574" t="n">
        <v>24</v>
      </c>
      <c r="P1591" s="574" t="n">
        <v>36.1</v>
      </c>
      <c r="Q1591" s="564" t="n">
        <v>29.1</v>
      </c>
      <c r="R1591" s="757" t="n">
        <v>1</v>
      </c>
      <c r="S1591" s="55" t="n"/>
      <c r="T1591" s="55" t="n"/>
      <c r="U1591" s="55" t="n"/>
      <c r="V1591" s="55" t="n">
        <v>18.3</v>
      </c>
      <c r="W1591" s="572" t="n"/>
      <c r="X1591" s="572" t="n">
        <v>30</v>
      </c>
      <c r="Y1591" s="55" t="n">
        <v>40.1</v>
      </c>
    </row>
    <row r="1592">
      <c r="A1592" s="20" t="inlineStr">
        <is>
          <t>Tropical Dry</t>
        </is>
      </c>
      <c r="B1592" s="403" t="inlineStr">
        <is>
          <t>South-eastern Asia</t>
        </is>
      </c>
      <c r="C1592" s="20">
        <f>CONCATENATE(A1592,B1592)</f>
        <v/>
      </c>
      <c r="D1592" s="572" t="n">
        <v>4.7</v>
      </c>
      <c r="E1592" s="572" t="n">
        <v>4.7</v>
      </c>
      <c r="F1592" s="572" t="n">
        <v>4.7</v>
      </c>
      <c r="G1592" s="565">
        <f>8.7*0.47</f>
        <v/>
      </c>
      <c r="H1592" s="730" t="n">
        <v>0</v>
      </c>
      <c r="I1592" s="758">
        <f>AVERAGE(J1592:Q1592)</f>
        <v/>
      </c>
      <c r="J1592" s="563" t="n">
        <v>23.7</v>
      </c>
      <c r="K1592" s="564" t="n">
        <v>11.1</v>
      </c>
      <c r="L1592" s="564" t="n">
        <v>4.7</v>
      </c>
      <c r="M1592" s="574" t="n">
        <v>32.5</v>
      </c>
      <c r="N1592" s="574" t="n">
        <v>5.9</v>
      </c>
      <c r="O1592" s="574" t="n">
        <v>24</v>
      </c>
      <c r="P1592" s="574" t="n">
        <v>36.1</v>
      </c>
      <c r="Q1592" s="564" t="n">
        <v>29.1</v>
      </c>
      <c r="R1592" s="757" t="n">
        <v>1</v>
      </c>
      <c r="S1592" s="55" t="n"/>
      <c r="T1592" s="55" t="n"/>
      <c r="U1592" s="55" t="n"/>
      <c r="V1592" s="55" t="n">
        <v>18.3</v>
      </c>
      <c r="W1592" s="572" t="n"/>
      <c r="X1592" s="572" t="n">
        <v>30</v>
      </c>
      <c r="Y1592" s="55" t="n">
        <v>40.1</v>
      </c>
    </row>
    <row r="1593">
      <c r="A1593" s="20" t="inlineStr">
        <is>
          <t>Tropical Dry</t>
        </is>
      </c>
      <c r="B1593" s="403" t="inlineStr">
        <is>
          <t>Southern Asia</t>
        </is>
      </c>
      <c r="C1593" s="20">
        <f>CONCATENATE(A1593,B1593)</f>
        <v/>
      </c>
      <c r="D1593" s="572" t="n">
        <v>4.7</v>
      </c>
      <c r="E1593" s="572" t="n">
        <v>4.7</v>
      </c>
      <c r="F1593" s="572" t="n">
        <v>4.7</v>
      </c>
      <c r="G1593" s="565">
        <f>8.7*0.47</f>
        <v/>
      </c>
      <c r="H1593" s="730" t="n">
        <v>0</v>
      </c>
      <c r="I1593" s="758">
        <f>AVERAGE(J1593:Q1593)</f>
        <v/>
      </c>
      <c r="J1593" s="563" t="n">
        <v>23.7</v>
      </c>
      <c r="K1593" s="564" t="n">
        <v>11.1</v>
      </c>
      <c r="L1593" s="564" t="n">
        <v>4.7</v>
      </c>
      <c r="M1593" s="574" t="n">
        <v>32.5</v>
      </c>
      <c r="N1593" s="574" t="n">
        <v>5.9</v>
      </c>
      <c r="O1593" s="574" t="n">
        <v>24</v>
      </c>
      <c r="P1593" s="574" t="n">
        <v>36.1</v>
      </c>
      <c r="Q1593" s="564" t="n">
        <v>29.1</v>
      </c>
      <c r="R1593" s="757" t="n">
        <v>1</v>
      </c>
      <c r="S1593" s="55" t="n"/>
      <c r="T1593" s="55" t="n"/>
      <c r="U1593" s="55" t="n"/>
      <c r="V1593" s="55" t="n">
        <v>18.3</v>
      </c>
      <c r="W1593" s="572" t="n"/>
      <c r="X1593" s="572" t="n">
        <v>30</v>
      </c>
      <c r="Y1593" s="55" t="n">
        <v>40.1</v>
      </c>
    </row>
    <row r="1594">
      <c r="A1594" s="20" t="inlineStr">
        <is>
          <t>Tropical Dry</t>
        </is>
      </c>
      <c r="B1594" s="403" t="inlineStr">
        <is>
          <t>Western Asia</t>
        </is>
      </c>
      <c r="C1594" s="20">
        <f>CONCATENATE(A1594,B1594)</f>
        <v/>
      </c>
      <c r="D1594" s="572" t="n">
        <v>4.7</v>
      </c>
      <c r="E1594" s="572" t="n">
        <v>4.7</v>
      </c>
      <c r="F1594" s="572" t="n">
        <v>4.7</v>
      </c>
      <c r="G1594" s="565">
        <f>8.7*0.47</f>
        <v/>
      </c>
      <c r="H1594" s="730" t="n">
        <v>0</v>
      </c>
      <c r="I1594" s="758">
        <f>AVERAGE(J1594:Q1594)</f>
        <v/>
      </c>
      <c r="J1594" s="563" t="n">
        <v>23.7</v>
      </c>
      <c r="K1594" s="564" t="n">
        <v>11.1</v>
      </c>
      <c r="L1594" s="564" t="n">
        <v>4.7</v>
      </c>
      <c r="M1594" s="574" t="n">
        <v>32.5</v>
      </c>
      <c r="N1594" s="574" t="n">
        <v>5.9</v>
      </c>
      <c r="O1594" s="574" t="n">
        <v>24</v>
      </c>
      <c r="P1594" s="574" t="n">
        <v>36.1</v>
      </c>
      <c r="Q1594" s="564" t="n">
        <v>29.1</v>
      </c>
      <c r="R1594" s="757" t="n">
        <v>1</v>
      </c>
      <c r="S1594" s="55" t="n"/>
      <c r="T1594" s="55" t="n"/>
      <c r="U1594" s="55" t="n"/>
      <c r="V1594" s="55" t="n">
        <v>18.3</v>
      </c>
      <c r="W1594" s="572" t="n"/>
      <c r="X1594" s="572" t="n">
        <v>30</v>
      </c>
      <c r="Y1594" s="55" t="n">
        <v>40.1</v>
      </c>
    </row>
    <row r="1595">
      <c r="A1595" s="20" t="inlineStr">
        <is>
          <t>Tropical Dry</t>
        </is>
      </c>
      <c r="B1595" s="403" t="inlineStr">
        <is>
          <t>Europe</t>
        </is>
      </c>
      <c r="C1595" s="20">
        <f>CONCATENATE(A1595,B1595)</f>
        <v/>
      </c>
      <c r="D1595" s="572" t="n">
        <v>4.7</v>
      </c>
      <c r="E1595" s="572" t="n">
        <v>4.7</v>
      </c>
      <c r="F1595" s="572" t="n">
        <v>4.7</v>
      </c>
      <c r="G1595" s="565">
        <f>8.7*0.47</f>
        <v/>
      </c>
      <c r="H1595" s="730" t="n">
        <v>0</v>
      </c>
      <c r="I1595" s="758">
        <f>AVERAGE(J1595:Q1595)</f>
        <v/>
      </c>
      <c r="J1595" s="563" t="n">
        <v>23.7</v>
      </c>
      <c r="K1595" s="564" t="n">
        <v>11.1</v>
      </c>
      <c r="L1595" s="564" t="n">
        <v>4.7</v>
      </c>
      <c r="M1595" s="574" t="n">
        <v>32.5</v>
      </c>
      <c r="N1595" s="574" t="n">
        <v>5.9</v>
      </c>
      <c r="O1595" s="574" t="n">
        <v>24</v>
      </c>
      <c r="P1595" s="574" t="n">
        <v>36.1</v>
      </c>
      <c r="Q1595" s="564" t="n">
        <v>29.1</v>
      </c>
      <c r="R1595" s="757" t="n">
        <v>1</v>
      </c>
      <c r="S1595" s="55" t="n"/>
      <c r="T1595" s="55" t="n"/>
      <c r="U1595" s="55" t="n"/>
      <c r="V1595" s="55" t="n">
        <v>18.3</v>
      </c>
      <c r="W1595" s="572" t="n"/>
      <c r="X1595" s="572" t="n">
        <v>30</v>
      </c>
      <c r="Y1595" s="55" t="n">
        <v>40.1</v>
      </c>
    </row>
    <row r="1596">
      <c r="A1596" s="20" t="inlineStr">
        <is>
          <t>Tropical Dry</t>
        </is>
      </c>
      <c r="B1596" s="403" t="inlineStr">
        <is>
          <t>Oceania</t>
        </is>
      </c>
      <c r="C1596" s="20">
        <f>CONCATENATE(A1596,B1596)</f>
        <v/>
      </c>
      <c r="D1596" s="572" t="n">
        <v>4.7</v>
      </c>
      <c r="E1596" s="572" t="n">
        <v>4.7</v>
      </c>
      <c r="F1596" s="572" t="n">
        <v>4.7</v>
      </c>
      <c r="G1596" s="565">
        <f>8.7*0.47</f>
        <v/>
      </c>
      <c r="H1596" s="730" t="n">
        <v>0</v>
      </c>
      <c r="I1596" s="758">
        <f>AVERAGE(J1596:Q1596)</f>
        <v/>
      </c>
      <c r="J1596" s="563" t="n">
        <v>23.7</v>
      </c>
      <c r="K1596" s="564" t="n">
        <v>11.1</v>
      </c>
      <c r="L1596" s="564" t="n">
        <v>4.7</v>
      </c>
      <c r="M1596" s="574" t="n">
        <v>32.5</v>
      </c>
      <c r="N1596" s="574" t="n">
        <v>5.9</v>
      </c>
      <c r="O1596" s="574" t="n">
        <v>24</v>
      </c>
      <c r="P1596" s="574" t="n">
        <v>36.1</v>
      </c>
      <c r="Q1596" s="564" t="n">
        <v>29.1</v>
      </c>
      <c r="R1596" s="757" t="n">
        <v>1</v>
      </c>
      <c r="S1596" s="55" t="n"/>
      <c r="T1596" s="55" t="n"/>
      <c r="U1596" s="55" t="n"/>
      <c r="V1596" s="55" t="n">
        <v>18.3</v>
      </c>
      <c r="W1596" s="572" t="n"/>
      <c r="X1596" s="572" t="n">
        <v>30</v>
      </c>
      <c r="Y1596" s="55" t="n">
        <v>40.1</v>
      </c>
    </row>
    <row r="1597">
      <c r="A1597" s="20" t="inlineStr">
        <is>
          <t>Tropical Dry</t>
        </is>
      </c>
      <c r="B1597" s="403" t="inlineStr">
        <is>
          <t>North America</t>
        </is>
      </c>
      <c r="C1597" s="20">
        <f>CONCATENATE(A1597,B1597)</f>
        <v/>
      </c>
      <c r="D1597" s="572" t="n">
        <v>4.7</v>
      </c>
      <c r="E1597" s="572" t="n">
        <v>4.7</v>
      </c>
      <c r="F1597" s="572" t="n">
        <v>4.7</v>
      </c>
      <c r="G1597" s="565">
        <f>8.7*0.47</f>
        <v/>
      </c>
      <c r="H1597" s="730" t="n">
        <v>0</v>
      </c>
      <c r="I1597" s="758">
        <f>AVERAGE(J1597:Q1597)</f>
        <v/>
      </c>
      <c r="J1597" s="563" t="n">
        <v>23.7</v>
      </c>
      <c r="K1597" s="564" t="n">
        <v>11.1</v>
      </c>
      <c r="L1597" s="564" t="n">
        <v>4.7</v>
      </c>
      <c r="M1597" s="574" t="n">
        <v>32.5</v>
      </c>
      <c r="N1597" s="574" t="n">
        <v>5.9</v>
      </c>
      <c r="O1597" s="574" t="n">
        <v>24</v>
      </c>
      <c r="P1597" s="574" t="n">
        <v>36.1</v>
      </c>
      <c r="Q1597" s="564" t="n">
        <v>29.1</v>
      </c>
      <c r="R1597" s="757" t="n">
        <v>1</v>
      </c>
      <c r="S1597" s="55" t="n"/>
      <c r="T1597" s="55" t="n"/>
      <c r="U1597" s="55" t="n"/>
      <c r="V1597" s="55" t="n">
        <v>18.3</v>
      </c>
      <c r="W1597" s="572" t="n"/>
      <c r="X1597" s="572" t="n">
        <v>30</v>
      </c>
      <c r="Y1597" s="55" t="n">
        <v>40.1</v>
      </c>
    </row>
    <row r="1598">
      <c r="A1598" s="20" t="inlineStr">
        <is>
          <t>Tropical Dry</t>
        </is>
      </c>
      <c r="B1598" s="403" t="inlineStr">
        <is>
          <t>South America</t>
        </is>
      </c>
      <c r="C1598" s="20">
        <f>CONCATENATE(A1598,B1598)</f>
        <v/>
      </c>
      <c r="D1598" s="572" t="n">
        <v>4.7</v>
      </c>
      <c r="E1598" s="572" t="n">
        <v>4.7</v>
      </c>
      <c r="F1598" s="572" t="n">
        <v>4.7</v>
      </c>
      <c r="G1598" s="565">
        <f>8.7*0.47</f>
        <v/>
      </c>
      <c r="H1598" s="730" t="n">
        <v>0</v>
      </c>
      <c r="I1598" s="758">
        <f>AVERAGE(J1598:Q1598)</f>
        <v/>
      </c>
      <c r="J1598" s="563" t="n">
        <v>23.7</v>
      </c>
      <c r="K1598" s="564" t="n">
        <v>11.1</v>
      </c>
      <c r="L1598" s="564" t="n">
        <v>4.7</v>
      </c>
      <c r="M1598" s="574" t="n">
        <v>32.5</v>
      </c>
      <c r="N1598" s="574" t="n">
        <v>5.9</v>
      </c>
      <c r="O1598" s="574" t="n">
        <v>24</v>
      </c>
      <c r="P1598" s="574" t="n">
        <v>36.1</v>
      </c>
      <c r="Q1598" s="564" t="n">
        <v>29.1</v>
      </c>
      <c r="R1598" s="757" t="n">
        <v>1</v>
      </c>
      <c r="S1598" s="55" t="n"/>
      <c r="T1598" s="55" t="n"/>
      <c r="U1598" s="55" t="n"/>
      <c r="V1598" s="55" t="n">
        <v>18.3</v>
      </c>
      <c r="W1598" s="572" t="n"/>
      <c r="X1598" s="572" t="n">
        <v>30</v>
      </c>
      <c r="Y1598" s="55" t="n">
        <v>40.1</v>
      </c>
    </row>
    <row r="1599">
      <c r="A1599" s="20" t="inlineStr">
        <is>
          <t>Tropical Dry</t>
        </is>
      </c>
      <c r="B1599" s="403" t="inlineStr">
        <is>
          <t>Central America</t>
        </is>
      </c>
      <c r="C1599" s="20">
        <f>CONCATENATE(A1599,B1599)</f>
        <v/>
      </c>
      <c r="D1599" s="572" t="n">
        <v>4.7</v>
      </c>
      <c r="E1599" s="572" t="n">
        <v>4.7</v>
      </c>
      <c r="F1599" s="572" t="n">
        <v>4.7</v>
      </c>
      <c r="G1599" s="565">
        <f>8.7*0.47</f>
        <v/>
      </c>
      <c r="H1599" s="730" t="n">
        <v>0</v>
      </c>
      <c r="I1599" s="758">
        <f>AVERAGE(J1599:Q1599)</f>
        <v/>
      </c>
      <c r="J1599" s="563" t="n">
        <v>23.7</v>
      </c>
      <c r="K1599" s="564" t="n">
        <v>11.1</v>
      </c>
      <c r="L1599" s="564" t="n">
        <v>4.7</v>
      </c>
      <c r="M1599" s="574" t="n">
        <v>32.5</v>
      </c>
      <c r="N1599" s="574" t="n">
        <v>5.9</v>
      </c>
      <c r="O1599" s="574" t="n">
        <v>24</v>
      </c>
      <c r="P1599" s="574" t="n">
        <v>36.1</v>
      </c>
      <c r="Q1599" s="564" t="n">
        <v>29.1</v>
      </c>
      <c r="R1599" s="757" t="n">
        <v>1</v>
      </c>
      <c r="S1599" s="55" t="n"/>
      <c r="T1599" s="55" t="n"/>
      <c r="U1599" s="55" t="n"/>
      <c r="V1599" s="55" t="n">
        <v>18.3</v>
      </c>
      <c r="W1599" s="572" t="n"/>
      <c r="X1599" s="572" t="n">
        <v>30</v>
      </c>
      <c r="Y1599" s="55" t="n">
        <v>40.1</v>
      </c>
    </row>
    <row r="1600">
      <c r="A1600" s="37" t="inlineStr">
        <is>
          <t>Tropical Dry</t>
        </is>
      </c>
      <c r="B1600" s="404" t="inlineStr">
        <is>
          <t>Caribbean</t>
        </is>
      </c>
      <c r="C1600" s="37">
        <f>CONCATENATE(A1600,B1600)</f>
        <v/>
      </c>
      <c r="D1600" s="420" t="n">
        <v>4.7</v>
      </c>
      <c r="E1600" s="420" t="n">
        <v>4.7</v>
      </c>
      <c r="F1600" s="420" t="n">
        <v>4.7</v>
      </c>
      <c r="G1600" s="578">
        <f>8.7*0.47</f>
        <v/>
      </c>
      <c r="H1600" s="731" t="n">
        <v>0</v>
      </c>
      <c r="I1600" s="760">
        <f>AVERAGE(J1600:Q1600)</f>
        <v/>
      </c>
      <c r="J1600" s="563" t="n">
        <v>23.7</v>
      </c>
      <c r="K1600" s="564" t="n">
        <v>11.1</v>
      </c>
      <c r="L1600" s="564" t="n">
        <v>4.7</v>
      </c>
      <c r="M1600" s="574" t="n">
        <v>32.5</v>
      </c>
      <c r="N1600" s="574" t="n">
        <v>5.9</v>
      </c>
      <c r="O1600" s="574" t="n">
        <v>24</v>
      </c>
      <c r="P1600" s="574" t="n">
        <v>36.1</v>
      </c>
      <c r="Q1600" s="577" t="n">
        <v>29.1</v>
      </c>
      <c r="R1600" s="763" t="n">
        <v>1</v>
      </c>
      <c r="S1600" s="55" t="n"/>
      <c r="T1600" s="55" t="n"/>
      <c r="U1600" s="55" t="n"/>
      <c r="V1600" s="55" t="n">
        <v>18.3</v>
      </c>
      <c r="W1600" s="572" t="n"/>
      <c r="X1600" s="420" t="n">
        <v>30</v>
      </c>
      <c r="Y1600" s="579" t="n">
        <v>40.1</v>
      </c>
    </row>
    <row r="1601">
      <c r="A1601" s="63" t="inlineStr">
        <is>
          <t>Tropical Moist</t>
        </is>
      </c>
      <c r="B1601" s="413" t="inlineStr">
        <is>
          <t>Eastern Africa</t>
        </is>
      </c>
      <c r="C1601" s="63">
        <f>CONCATENATE(A1601,B1601)</f>
        <v/>
      </c>
      <c r="D1601" s="569" t="n">
        <v>4.7</v>
      </c>
      <c r="E1601" s="569" t="n">
        <v>4.7</v>
      </c>
      <c r="F1601" s="569" t="n">
        <v>4.7</v>
      </c>
      <c r="G1601" s="565">
        <f>16.1*0.47</f>
        <v/>
      </c>
      <c r="H1601" s="729" t="n">
        <v>0</v>
      </c>
      <c r="I1601" s="755">
        <f>AVERAGE(J1601:Q1601)</f>
        <v/>
      </c>
      <c r="J1601" s="585" t="n">
        <v>23.7</v>
      </c>
      <c r="K1601" s="583" t="n">
        <v>11.1</v>
      </c>
      <c r="L1601" s="583" t="n">
        <v>4.7</v>
      </c>
      <c r="M1601" s="584" t="n">
        <v>32.5</v>
      </c>
      <c r="N1601" s="584" t="n">
        <v>5.9</v>
      </c>
      <c r="O1601" s="584" t="n">
        <v>24</v>
      </c>
      <c r="P1601" s="584" t="n">
        <v>36.1</v>
      </c>
      <c r="Q1601" s="583" t="n">
        <v>29.1</v>
      </c>
      <c r="R1601" s="762" t="n">
        <v>1</v>
      </c>
      <c r="S1601" s="567" t="n"/>
      <c r="T1601" s="567" t="n"/>
      <c r="U1601" s="567" t="n"/>
      <c r="V1601" s="567" t="n">
        <v>18.3</v>
      </c>
      <c r="W1601" s="569" t="n"/>
      <c r="X1601" s="572" t="n">
        <v>30</v>
      </c>
      <c r="Y1601" s="55" t="n">
        <v>40.1</v>
      </c>
    </row>
    <row r="1602">
      <c r="A1602" s="20" t="inlineStr">
        <is>
          <t>Tropical Moist</t>
        </is>
      </c>
      <c r="B1602" s="403" t="inlineStr">
        <is>
          <t>Central Africa</t>
        </is>
      </c>
      <c r="C1602" s="20">
        <f>CONCATENATE(A1602,B1602)</f>
        <v/>
      </c>
      <c r="D1602" s="572" t="n">
        <v>4.7</v>
      </c>
      <c r="E1602" s="572" t="n">
        <v>4.7</v>
      </c>
      <c r="F1602" s="572" t="n">
        <v>4.7</v>
      </c>
      <c r="G1602" s="565">
        <f>16.1*0.47</f>
        <v/>
      </c>
      <c r="H1602" s="730" t="n">
        <v>0</v>
      </c>
      <c r="I1602" s="758">
        <f>AVERAGE(J1602:Q1602)</f>
        <v/>
      </c>
      <c r="J1602" s="563" t="n">
        <v>23.7</v>
      </c>
      <c r="K1602" s="564" t="n">
        <v>11.1</v>
      </c>
      <c r="L1602" s="564" t="n">
        <v>4.7</v>
      </c>
      <c r="M1602" s="574" t="n">
        <v>32.5</v>
      </c>
      <c r="N1602" s="574" t="n">
        <v>5.9</v>
      </c>
      <c r="O1602" s="574" t="n">
        <v>24</v>
      </c>
      <c r="P1602" s="574" t="n">
        <v>36.1</v>
      </c>
      <c r="Q1602" s="564" t="n">
        <v>29.1</v>
      </c>
      <c r="R1602" s="757" t="n">
        <v>1</v>
      </c>
      <c r="S1602" s="55" t="n"/>
      <c r="T1602" s="55" t="n"/>
      <c r="U1602" s="55" t="n"/>
      <c r="V1602" s="55" t="n">
        <v>18.3</v>
      </c>
      <c r="W1602" s="572" t="n"/>
      <c r="X1602" s="572" t="n">
        <v>30</v>
      </c>
      <c r="Y1602" s="55" t="n">
        <v>40.1</v>
      </c>
    </row>
    <row r="1603">
      <c r="A1603" s="20" t="inlineStr">
        <is>
          <t>Tropical Moist</t>
        </is>
      </c>
      <c r="B1603" s="403" t="inlineStr">
        <is>
          <t>Northern Africa</t>
        </is>
      </c>
      <c r="C1603" s="20">
        <f>CONCATENATE(A1603,B1603)</f>
        <v/>
      </c>
      <c r="D1603" s="572" t="n">
        <v>4.7</v>
      </c>
      <c r="E1603" s="572" t="n">
        <v>4.7</v>
      </c>
      <c r="F1603" s="572" t="n">
        <v>4.7</v>
      </c>
      <c r="G1603" s="565">
        <f>16.1*0.47</f>
        <v/>
      </c>
      <c r="H1603" s="730" t="n">
        <v>0</v>
      </c>
      <c r="I1603" s="758">
        <f>AVERAGE(J1603:Q1603)</f>
        <v/>
      </c>
      <c r="J1603" s="563" t="n">
        <v>23.7</v>
      </c>
      <c r="K1603" s="564" t="n">
        <v>11.1</v>
      </c>
      <c r="L1603" s="564" t="n">
        <v>4.7</v>
      </c>
      <c r="M1603" s="574" t="n">
        <v>32.5</v>
      </c>
      <c r="N1603" s="574" t="n">
        <v>5.9</v>
      </c>
      <c r="O1603" s="574" t="n">
        <v>24</v>
      </c>
      <c r="P1603" s="574" t="n">
        <v>36.1</v>
      </c>
      <c r="Q1603" s="564" t="n">
        <v>29.1</v>
      </c>
      <c r="R1603" s="757" t="n">
        <v>1</v>
      </c>
      <c r="S1603" s="55" t="n"/>
      <c r="T1603" s="55" t="n"/>
      <c r="U1603" s="55" t="n"/>
      <c r="V1603" s="55" t="n">
        <v>18.3</v>
      </c>
      <c r="W1603" s="572" t="n"/>
      <c r="X1603" s="572" t="n">
        <v>30</v>
      </c>
      <c r="Y1603" s="55" t="n">
        <v>40.1</v>
      </c>
    </row>
    <row r="1604">
      <c r="A1604" s="20" t="inlineStr">
        <is>
          <t>Tropical Moist</t>
        </is>
      </c>
      <c r="B1604" s="403" t="inlineStr">
        <is>
          <t>Southern Africa</t>
        </is>
      </c>
      <c r="C1604" s="20">
        <f>CONCATENATE(A1604,B1604)</f>
        <v/>
      </c>
      <c r="D1604" s="572" t="n">
        <v>4.7</v>
      </c>
      <c r="E1604" s="572" t="n">
        <v>4.7</v>
      </c>
      <c r="F1604" s="572" t="n">
        <v>4.7</v>
      </c>
      <c r="G1604" s="565">
        <f>16.1*0.47</f>
        <v/>
      </c>
      <c r="H1604" s="730" t="n">
        <v>0</v>
      </c>
      <c r="I1604" s="758">
        <f>AVERAGE(J1604:Q1604)</f>
        <v/>
      </c>
      <c r="J1604" s="563" t="n">
        <v>23.7</v>
      </c>
      <c r="K1604" s="564" t="n">
        <v>11.1</v>
      </c>
      <c r="L1604" s="564" t="n">
        <v>4.7</v>
      </c>
      <c r="M1604" s="574" t="n">
        <v>32.5</v>
      </c>
      <c r="N1604" s="574" t="n">
        <v>5.9</v>
      </c>
      <c r="O1604" s="574" t="n">
        <v>24</v>
      </c>
      <c r="P1604" s="574" t="n">
        <v>36.1</v>
      </c>
      <c r="Q1604" s="564" t="n">
        <v>29.1</v>
      </c>
      <c r="R1604" s="757" t="n">
        <v>1</v>
      </c>
      <c r="S1604" s="55" t="n"/>
      <c r="T1604" s="55" t="n"/>
      <c r="U1604" s="55" t="n"/>
      <c r="V1604" s="55" t="n">
        <v>18.3</v>
      </c>
      <c r="W1604" s="572" t="n"/>
      <c r="X1604" s="572" t="n">
        <v>30</v>
      </c>
      <c r="Y1604" s="55" t="n">
        <v>40.1</v>
      </c>
    </row>
    <row r="1605">
      <c r="A1605" s="20" t="inlineStr">
        <is>
          <t>Tropical Moist</t>
        </is>
      </c>
      <c r="B1605" s="403" t="inlineStr">
        <is>
          <t>Western Africa</t>
        </is>
      </c>
      <c r="C1605" s="20">
        <f>CONCATENATE(A1605,B1605)</f>
        <v/>
      </c>
      <c r="D1605" s="572" t="n">
        <v>4.7</v>
      </c>
      <c r="E1605" s="572" t="n">
        <v>4.7</v>
      </c>
      <c r="F1605" s="572" t="n">
        <v>4.7</v>
      </c>
      <c r="G1605" s="565">
        <f>16.1*0.47</f>
        <v/>
      </c>
      <c r="H1605" s="730" t="n">
        <v>0</v>
      </c>
      <c r="I1605" s="758">
        <f>AVERAGE(J1605:Q1605)</f>
        <v/>
      </c>
      <c r="J1605" s="563" t="n">
        <v>23.7</v>
      </c>
      <c r="K1605" s="564" t="n">
        <v>11.1</v>
      </c>
      <c r="L1605" s="564" t="n">
        <v>4.7</v>
      </c>
      <c r="M1605" s="574" t="n">
        <v>32.5</v>
      </c>
      <c r="N1605" s="574" t="n">
        <v>5.9</v>
      </c>
      <c r="O1605" s="574" t="n">
        <v>24</v>
      </c>
      <c r="P1605" s="574" t="n">
        <v>36.1</v>
      </c>
      <c r="Q1605" s="564" t="n">
        <v>29.1</v>
      </c>
      <c r="R1605" s="757" t="n">
        <v>1</v>
      </c>
      <c r="S1605" s="55" t="n"/>
      <c r="T1605" s="55" t="n"/>
      <c r="U1605" s="55" t="n"/>
      <c r="V1605" s="55" t="n">
        <v>18.3</v>
      </c>
      <c r="W1605" s="572" t="n"/>
      <c r="X1605" s="572" t="n">
        <v>30</v>
      </c>
      <c r="Y1605" s="55" t="n">
        <v>40.1</v>
      </c>
    </row>
    <row r="1606">
      <c r="A1606" s="20" t="inlineStr">
        <is>
          <t>Tropical Moist</t>
        </is>
      </c>
      <c r="B1606" s="403" t="inlineStr">
        <is>
          <t>Central Asia</t>
        </is>
      </c>
      <c r="C1606" s="20">
        <f>CONCATENATE(A1606,B1606)</f>
        <v/>
      </c>
      <c r="D1606" s="572" t="n">
        <v>4.7</v>
      </c>
      <c r="E1606" s="572" t="n">
        <v>4.7</v>
      </c>
      <c r="F1606" s="572" t="n">
        <v>4.7</v>
      </c>
      <c r="G1606" s="565">
        <f>16.1*0.47</f>
        <v/>
      </c>
      <c r="H1606" s="730" t="n">
        <v>0</v>
      </c>
      <c r="I1606" s="758">
        <f>AVERAGE(J1606:Q1606)</f>
        <v/>
      </c>
      <c r="J1606" s="563" t="n">
        <v>23.7</v>
      </c>
      <c r="K1606" s="564" t="n">
        <v>11.1</v>
      </c>
      <c r="L1606" s="564" t="n">
        <v>4.7</v>
      </c>
      <c r="M1606" s="574" t="n">
        <v>32.5</v>
      </c>
      <c r="N1606" s="574" t="n">
        <v>5.9</v>
      </c>
      <c r="O1606" s="574" t="n">
        <v>24</v>
      </c>
      <c r="P1606" s="574" t="n">
        <v>36.1</v>
      </c>
      <c r="Q1606" s="564" t="n">
        <v>29.1</v>
      </c>
      <c r="R1606" s="757" t="n">
        <v>1</v>
      </c>
      <c r="S1606" s="55" t="n"/>
      <c r="T1606" s="55" t="n"/>
      <c r="U1606" s="55" t="n"/>
      <c r="V1606" s="55" t="n">
        <v>18.3</v>
      </c>
      <c r="W1606" s="572" t="n"/>
      <c r="X1606" s="572" t="n">
        <v>30</v>
      </c>
      <c r="Y1606" s="55" t="n">
        <v>40.1</v>
      </c>
    </row>
    <row r="1607">
      <c r="A1607" s="20" t="inlineStr">
        <is>
          <t>Tropical Moist</t>
        </is>
      </c>
      <c r="B1607" s="403" t="inlineStr">
        <is>
          <t>Eastern Asia</t>
        </is>
      </c>
      <c r="C1607" s="20">
        <f>CONCATENATE(A1607,B1607)</f>
        <v/>
      </c>
      <c r="D1607" s="572" t="n">
        <v>4.7</v>
      </c>
      <c r="E1607" s="572" t="n">
        <v>4.7</v>
      </c>
      <c r="F1607" s="572" t="n">
        <v>4.7</v>
      </c>
      <c r="G1607" s="565">
        <f>16.1*0.47</f>
        <v/>
      </c>
      <c r="H1607" s="730" t="n">
        <v>0</v>
      </c>
      <c r="I1607" s="758">
        <f>AVERAGE(J1607:Q1607)</f>
        <v/>
      </c>
      <c r="J1607" s="563" t="n">
        <v>23.7</v>
      </c>
      <c r="K1607" s="564" t="n">
        <v>11.1</v>
      </c>
      <c r="L1607" s="564" t="n">
        <v>4.7</v>
      </c>
      <c r="M1607" s="574" t="n">
        <v>32.5</v>
      </c>
      <c r="N1607" s="574" t="n">
        <v>5.9</v>
      </c>
      <c r="O1607" s="574" t="n">
        <v>24</v>
      </c>
      <c r="P1607" s="574" t="n">
        <v>36.1</v>
      </c>
      <c r="Q1607" s="564" t="n">
        <v>29.1</v>
      </c>
      <c r="R1607" s="757" t="n">
        <v>1</v>
      </c>
      <c r="S1607" s="55" t="n"/>
      <c r="T1607" s="55" t="n"/>
      <c r="U1607" s="55" t="n"/>
      <c r="V1607" s="55" t="n">
        <v>18.3</v>
      </c>
      <c r="W1607" s="572" t="n"/>
      <c r="X1607" s="572" t="n">
        <v>30</v>
      </c>
      <c r="Y1607" s="55" t="n">
        <v>40.1</v>
      </c>
    </row>
    <row r="1608">
      <c r="A1608" s="20" t="inlineStr">
        <is>
          <t>Tropical Moist</t>
        </is>
      </c>
      <c r="B1608" s="403" t="inlineStr">
        <is>
          <t>South-eastern Asia</t>
        </is>
      </c>
      <c r="C1608" s="20">
        <f>CONCATENATE(A1608,B1608)</f>
        <v/>
      </c>
      <c r="D1608" s="572" t="n">
        <v>4.7</v>
      </c>
      <c r="E1608" s="572" t="n">
        <v>4.7</v>
      </c>
      <c r="F1608" s="572" t="n">
        <v>4.7</v>
      </c>
      <c r="G1608" s="565">
        <f>16.1*0.47</f>
        <v/>
      </c>
      <c r="H1608" s="730" t="n">
        <v>0</v>
      </c>
      <c r="I1608" s="758">
        <f>AVERAGE(J1608:Q1608)</f>
        <v/>
      </c>
      <c r="J1608" s="563" t="n">
        <v>23.7</v>
      </c>
      <c r="K1608" s="564" t="n">
        <v>11.1</v>
      </c>
      <c r="L1608" s="564" t="n">
        <v>4.7</v>
      </c>
      <c r="M1608" s="574" t="n">
        <v>32.5</v>
      </c>
      <c r="N1608" s="574" t="n">
        <v>5.9</v>
      </c>
      <c r="O1608" s="574" t="n">
        <v>24</v>
      </c>
      <c r="P1608" s="574" t="n">
        <v>36.1</v>
      </c>
      <c r="Q1608" s="564" t="n">
        <v>29.1</v>
      </c>
      <c r="R1608" s="757" t="n">
        <v>1</v>
      </c>
      <c r="S1608" s="55" t="n"/>
      <c r="T1608" s="55" t="n"/>
      <c r="U1608" s="55" t="n"/>
      <c r="V1608" s="55" t="n">
        <v>18.3</v>
      </c>
      <c r="W1608" s="572" t="n"/>
      <c r="X1608" s="572" t="n">
        <v>30</v>
      </c>
      <c r="Y1608" s="55" t="n">
        <v>40.1</v>
      </c>
    </row>
    <row r="1609">
      <c r="A1609" s="20" t="inlineStr">
        <is>
          <t>Tropical Moist</t>
        </is>
      </c>
      <c r="B1609" s="403" t="inlineStr">
        <is>
          <t>Southern Asia</t>
        </is>
      </c>
      <c r="C1609" s="20">
        <f>CONCATENATE(A1609,B1609)</f>
        <v/>
      </c>
      <c r="D1609" s="572" t="n">
        <v>4.7</v>
      </c>
      <c r="E1609" s="572" t="n">
        <v>4.7</v>
      </c>
      <c r="F1609" s="572" t="n">
        <v>4.7</v>
      </c>
      <c r="G1609" s="565">
        <f>16.1*0.47</f>
        <v/>
      </c>
      <c r="H1609" s="730" t="n">
        <v>0</v>
      </c>
      <c r="I1609" s="758">
        <f>AVERAGE(J1609:Q1609)</f>
        <v/>
      </c>
      <c r="J1609" s="563" t="n">
        <v>23.7</v>
      </c>
      <c r="K1609" s="564" t="n">
        <v>11.1</v>
      </c>
      <c r="L1609" s="564" t="n">
        <v>4.7</v>
      </c>
      <c r="M1609" s="574" t="n">
        <v>32.5</v>
      </c>
      <c r="N1609" s="574" t="n">
        <v>5.9</v>
      </c>
      <c r="O1609" s="574" t="n">
        <v>24</v>
      </c>
      <c r="P1609" s="574" t="n">
        <v>36.1</v>
      </c>
      <c r="Q1609" s="564" t="n">
        <v>29.1</v>
      </c>
      <c r="R1609" s="757" t="n">
        <v>1</v>
      </c>
      <c r="S1609" s="55" t="n"/>
      <c r="T1609" s="55" t="n"/>
      <c r="U1609" s="55" t="n"/>
      <c r="V1609" s="55" t="n">
        <v>18.3</v>
      </c>
      <c r="W1609" s="572" t="n"/>
      <c r="X1609" s="572" t="n">
        <v>30</v>
      </c>
      <c r="Y1609" s="55" t="n">
        <v>40.1</v>
      </c>
    </row>
    <row r="1610">
      <c r="A1610" s="20" t="inlineStr">
        <is>
          <t>Tropical Moist</t>
        </is>
      </c>
      <c r="B1610" s="403" t="inlineStr">
        <is>
          <t>Western Asia</t>
        </is>
      </c>
      <c r="C1610" s="20">
        <f>CONCATENATE(A1610,B1610)</f>
        <v/>
      </c>
      <c r="D1610" s="572" t="n">
        <v>4.7</v>
      </c>
      <c r="E1610" s="572" t="n">
        <v>4.7</v>
      </c>
      <c r="F1610" s="572" t="n">
        <v>4.7</v>
      </c>
      <c r="G1610" s="565">
        <f>16.1*0.47</f>
        <v/>
      </c>
      <c r="H1610" s="730" t="n">
        <v>0</v>
      </c>
      <c r="I1610" s="758">
        <f>AVERAGE(J1610:Q1610)</f>
        <v/>
      </c>
      <c r="J1610" s="563" t="n">
        <v>23.7</v>
      </c>
      <c r="K1610" s="564" t="n">
        <v>11.1</v>
      </c>
      <c r="L1610" s="564" t="n">
        <v>4.7</v>
      </c>
      <c r="M1610" s="574" t="n">
        <v>32.5</v>
      </c>
      <c r="N1610" s="574" t="n">
        <v>5.9</v>
      </c>
      <c r="O1610" s="574" t="n">
        <v>24</v>
      </c>
      <c r="P1610" s="574" t="n">
        <v>36.1</v>
      </c>
      <c r="Q1610" s="564" t="n">
        <v>29.1</v>
      </c>
      <c r="R1610" s="757" t="n">
        <v>1</v>
      </c>
      <c r="S1610" s="55" t="n"/>
      <c r="T1610" s="55" t="n"/>
      <c r="U1610" s="55" t="n"/>
      <c r="V1610" s="55" t="n">
        <v>18.3</v>
      </c>
      <c r="W1610" s="572" t="n"/>
      <c r="X1610" s="572" t="n">
        <v>30</v>
      </c>
      <c r="Y1610" s="55" t="n">
        <v>40.1</v>
      </c>
    </row>
    <row r="1611">
      <c r="A1611" s="20" t="inlineStr">
        <is>
          <t>Tropical Moist</t>
        </is>
      </c>
      <c r="B1611" s="403" t="inlineStr">
        <is>
          <t>Europe</t>
        </is>
      </c>
      <c r="C1611" s="20">
        <f>CONCATENATE(A1611,B1611)</f>
        <v/>
      </c>
      <c r="D1611" s="572" t="n">
        <v>4.7</v>
      </c>
      <c r="E1611" s="572" t="n">
        <v>4.7</v>
      </c>
      <c r="F1611" s="572" t="n">
        <v>4.7</v>
      </c>
      <c r="G1611" s="565">
        <f>16.1*0.47</f>
        <v/>
      </c>
      <c r="H1611" s="730" t="n">
        <v>0</v>
      </c>
      <c r="I1611" s="758">
        <f>AVERAGE(J1611:Q1611)</f>
        <v/>
      </c>
      <c r="J1611" s="563" t="n">
        <v>23.7</v>
      </c>
      <c r="K1611" s="564" t="n">
        <v>11.1</v>
      </c>
      <c r="L1611" s="564" t="n">
        <v>4.7</v>
      </c>
      <c r="M1611" s="574" t="n">
        <v>32.5</v>
      </c>
      <c r="N1611" s="574" t="n">
        <v>5.9</v>
      </c>
      <c r="O1611" s="574" t="n">
        <v>24</v>
      </c>
      <c r="P1611" s="574" t="n">
        <v>36.1</v>
      </c>
      <c r="Q1611" s="564" t="n">
        <v>29.1</v>
      </c>
      <c r="R1611" s="757" t="n">
        <v>1</v>
      </c>
      <c r="S1611" s="55" t="n"/>
      <c r="T1611" s="55" t="n"/>
      <c r="U1611" s="55" t="n"/>
      <c r="V1611" s="55" t="n">
        <v>18.3</v>
      </c>
      <c r="W1611" s="572" t="n"/>
      <c r="X1611" s="572" t="n">
        <v>30</v>
      </c>
      <c r="Y1611" s="55" t="n">
        <v>40.1</v>
      </c>
    </row>
    <row r="1612">
      <c r="A1612" s="20" t="inlineStr">
        <is>
          <t>Tropical Moist</t>
        </is>
      </c>
      <c r="B1612" s="403" t="inlineStr">
        <is>
          <t>Oceania</t>
        </is>
      </c>
      <c r="C1612" s="20">
        <f>CONCATENATE(A1612,B1612)</f>
        <v/>
      </c>
      <c r="D1612" s="572" t="n">
        <v>4.7</v>
      </c>
      <c r="E1612" s="572" t="n">
        <v>4.7</v>
      </c>
      <c r="F1612" s="572" t="n">
        <v>4.7</v>
      </c>
      <c r="G1612" s="565">
        <f>16.1*0.47</f>
        <v/>
      </c>
      <c r="H1612" s="730" t="n">
        <v>0</v>
      </c>
      <c r="I1612" s="758">
        <f>AVERAGE(J1612:Q1612)</f>
        <v/>
      </c>
      <c r="J1612" s="563" t="n">
        <v>23.7</v>
      </c>
      <c r="K1612" s="564" t="n">
        <v>11.1</v>
      </c>
      <c r="L1612" s="564" t="n">
        <v>4.7</v>
      </c>
      <c r="M1612" s="574" t="n">
        <v>32.5</v>
      </c>
      <c r="N1612" s="574" t="n">
        <v>5.9</v>
      </c>
      <c r="O1612" s="574" t="n">
        <v>24</v>
      </c>
      <c r="P1612" s="574" t="n">
        <v>36.1</v>
      </c>
      <c r="Q1612" s="564" t="n">
        <v>29.1</v>
      </c>
      <c r="R1612" s="757" t="n">
        <v>1</v>
      </c>
      <c r="S1612" s="55" t="n"/>
      <c r="T1612" s="55" t="n"/>
      <c r="U1612" s="55" t="n"/>
      <c r="V1612" s="55" t="n">
        <v>18.3</v>
      </c>
      <c r="W1612" s="572" t="n"/>
      <c r="X1612" s="572" t="n">
        <v>30</v>
      </c>
      <c r="Y1612" s="55" t="n">
        <v>40.1</v>
      </c>
    </row>
    <row r="1613">
      <c r="A1613" s="20" t="inlineStr">
        <is>
          <t>Tropical Moist</t>
        </is>
      </c>
      <c r="B1613" s="403" t="inlineStr">
        <is>
          <t>North America</t>
        </is>
      </c>
      <c r="C1613" s="20">
        <f>CONCATENATE(A1613,B1613)</f>
        <v/>
      </c>
      <c r="D1613" s="572" t="n">
        <v>4.7</v>
      </c>
      <c r="E1613" s="572" t="n">
        <v>4.7</v>
      </c>
      <c r="F1613" s="572" t="n">
        <v>4.7</v>
      </c>
      <c r="G1613" s="565">
        <f>16.1*0.47</f>
        <v/>
      </c>
      <c r="H1613" s="730" t="n">
        <v>0</v>
      </c>
      <c r="I1613" s="758">
        <f>AVERAGE(J1613:Q1613)</f>
        <v/>
      </c>
      <c r="J1613" s="563" t="n">
        <v>23.7</v>
      </c>
      <c r="K1613" s="564" t="n">
        <v>11.1</v>
      </c>
      <c r="L1613" s="564" t="n">
        <v>4.7</v>
      </c>
      <c r="M1613" s="574" t="n">
        <v>32.5</v>
      </c>
      <c r="N1613" s="574" t="n">
        <v>5.9</v>
      </c>
      <c r="O1613" s="574" t="n">
        <v>24</v>
      </c>
      <c r="P1613" s="574" t="n">
        <v>36.1</v>
      </c>
      <c r="Q1613" s="564" t="n">
        <v>29.1</v>
      </c>
      <c r="R1613" s="757" t="n">
        <v>1</v>
      </c>
      <c r="S1613" s="55" t="n"/>
      <c r="T1613" s="55" t="n"/>
      <c r="U1613" s="55" t="n"/>
      <c r="V1613" s="55" t="n">
        <v>18.3</v>
      </c>
      <c r="W1613" s="572" t="n"/>
      <c r="X1613" s="572" t="n">
        <v>30</v>
      </c>
      <c r="Y1613" s="55" t="n">
        <v>40.1</v>
      </c>
    </row>
    <row r="1614">
      <c r="A1614" s="20" t="inlineStr">
        <is>
          <t>Tropical Moist</t>
        </is>
      </c>
      <c r="B1614" s="403" t="inlineStr">
        <is>
          <t>South America</t>
        </is>
      </c>
      <c r="C1614" s="20">
        <f>CONCATENATE(A1614,B1614)</f>
        <v/>
      </c>
      <c r="D1614" s="572" t="n">
        <v>4.7</v>
      </c>
      <c r="E1614" s="572" t="n">
        <v>4.7</v>
      </c>
      <c r="F1614" s="572" t="n">
        <v>4.7</v>
      </c>
      <c r="G1614" s="565">
        <f>16.1*0.47</f>
        <v/>
      </c>
      <c r="H1614" s="730" t="n">
        <v>0</v>
      </c>
      <c r="I1614" s="758">
        <f>AVERAGE(J1614:Q1614)</f>
        <v/>
      </c>
      <c r="J1614" s="563" t="n">
        <v>23.7</v>
      </c>
      <c r="K1614" s="564" t="n">
        <v>11.1</v>
      </c>
      <c r="L1614" s="564" t="n">
        <v>4.7</v>
      </c>
      <c r="M1614" s="574" t="n">
        <v>32.5</v>
      </c>
      <c r="N1614" s="574" t="n">
        <v>5.9</v>
      </c>
      <c r="O1614" s="574" t="n">
        <v>24</v>
      </c>
      <c r="P1614" s="574" t="n">
        <v>36.1</v>
      </c>
      <c r="Q1614" s="564" t="n">
        <v>29.1</v>
      </c>
      <c r="R1614" s="757" t="n">
        <v>1</v>
      </c>
      <c r="S1614" s="55" t="n"/>
      <c r="T1614" s="55" t="n"/>
      <c r="U1614" s="55" t="n"/>
      <c r="V1614" s="55" t="n">
        <v>18.3</v>
      </c>
      <c r="W1614" s="572" t="n"/>
      <c r="X1614" s="572" t="n">
        <v>30</v>
      </c>
      <c r="Y1614" s="55" t="n">
        <v>40.1</v>
      </c>
    </row>
    <row r="1615">
      <c r="A1615" s="20" t="inlineStr">
        <is>
          <t>Tropical Moist</t>
        </is>
      </c>
      <c r="B1615" s="403" t="inlineStr">
        <is>
          <t>Central America</t>
        </is>
      </c>
      <c r="C1615" s="20">
        <f>CONCATENATE(A1615,B1615)</f>
        <v/>
      </c>
      <c r="D1615" s="572" t="n">
        <v>4.7</v>
      </c>
      <c r="E1615" s="572" t="n">
        <v>4.7</v>
      </c>
      <c r="F1615" s="572" t="n">
        <v>4.7</v>
      </c>
      <c r="G1615" s="565">
        <f>16.1*0.47</f>
        <v/>
      </c>
      <c r="H1615" s="730" t="n">
        <v>0</v>
      </c>
      <c r="I1615" s="758">
        <f>AVERAGE(J1615:Q1615)</f>
        <v/>
      </c>
      <c r="J1615" s="563" t="n">
        <v>23.7</v>
      </c>
      <c r="K1615" s="564" t="n">
        <v>11.1</v>
      </c>
      <c r="L1615" s="564" t="n">
        <v>4.7</v>
      </c>
      <c r="M1615" s="574" t="n">
        <v>32.5</v>
      </c>
      <c r="N1615" s="574" t="n">
        <v>5.9</v>
      </c>
      <c r="O1615" s="574" t="n">
        <v>24</v>
      </c>
      <c r="P1615" s="574" t="n">
        <v>36.1</v>
      </c>
      <c r="Q1615" s="564" t="n">
        <v>29.1</v>
      </c>
      <c r="R1615" s="757" t="n">
        <v>1</v>
      </c>
      <c r="S1615" s="55" t="n"/>
      <c r="T1615" s="55" t="n"/>
      <c r="U1615" s="55" t="n"/>
      <c r="V1615" s="55" t="n">
        <v>18.3</v>
      </c>
      <c r="W1615" s="572" t="n"/>
      <c r="X1615" s="572" t="n">
        <v>30</v>
      </c>
      <c r="Y1615" s="55" t="n">
        <v>40.1</v>
      </c>
    </row>
    <row r="1616">
      <c r="A1616" s="37" t="inlineStr">
        <is>
          <t>Tropical Moist</t>
        </is>
      </c>
      <c r="B1616" s="404" t="inlineStr">
        <is>
          <t>Caribbean</t>
        </is>
      </c>
      <c r="C1616" s="37">
        <f>CONCATENATE(A1616,B1616)</f>
        <v/>
      </c>
      <c r="D1616" s="420" t="n">
        <v>4.7</v>
      </c>
      <c r="E1616" s="420" t="n">
        <v>4.7</v>
      </c>
      <c r="F1616" s="420" t="n">
        <v>4.7</v>
      </c>
      <c r="G1616" s="565">
        <f>16.1*0.47</f>
        <v/>
      </c>
      <c r="H1616" s="731" t="n">
        <v>0</v>
      </c>
      <c r="I1616" s="760">
        <f>AVERAGE(J1616:Q1616)</f>
        <v/>
      </c>
      <c r="J1616" s="563" t="n">
        <v>23.7</v>
      </c>
      <c r="K1616" s="564" t="n">
        <v>11.1</v>
      </c>
      <c r="L1616" s="564" t="n">
        <v>4.7</v>
      </c>
      <c r="M1616" s="574" t="n">
        <v>32.5</v>
      </c>
      <c r="N1616" s="574" t="n">
        <v>5.9</v>
      </c>
      <c r="O1616" s="574" t="n">
        <v>24</v>
      </c>
      <c r="P1616" s="574" t="n">
        <v>36.1</v>
      </c>
      <c r="Q1616" s="577" t="n">
        <v>29.1</v>
      </c>
      <c r="R1616" s="763" t="n">
        <v>1</v>
      </c>
      <c r="S1616" s="55" t="n"/>
      <c r="T1616" s="55" t="n"/>
      <c r="U1616" s="55" t="n"/>
      <c r="V1616" s="55" t="n">
        <v>18.3</v>
      </c>
      <c r="W1616" s="572" t="n"/>
      <c r="X1616" s="420" t="n">
        <v>30</v>
      </c>
      <c r="Y1616" s="579" t="n">
        <v>40.1</v>
      </c>
    </row>
    <row r="1617">
      <c r="A1617" s="20">
        <f>list!$G$11</f>
        <v/>
      </c>
      <c r="B1617" s="407" t="inlineStr">
        <is>
          <t>Eastern Africa</t>
        </is>
      </c>
      <c r="C1617" s="63">
        <f>CONCATENATE(A1617,B1617)</f>
        <v/>
      </c>
      <c r="D1617" s="569" t="n">
        <v>4.7</v>
      </c>
      <c r="E1617" s="569" t="n">
        <v>4.7</v>
      </c>
      <c r="F1617" s="569" t="n">
        <v>4.7</v>
      </c>
      <c r="G1617" s="614" t="n">
        <v>4.09</v>
      </c>
      <c r="H1617" s="729" t="n">
        <v>0</v>
      </c>
      <c r="I1617" s="755">
        <f>AVERAGE(J1617:Q1617)</f>
        <v/>
      </c>
      <c r="J1617" s="585" t="n">
        <v>23.7</v>
      </c>
      <c r="K1617" s="583" t="n">
        <v>11.1</v>
      </c>
      <c r="L1617" s="583" t="n">
        <v>4.7</v>
      </c>
      <c r="M1617" s="584" t="n">
        <v>32.5</v>
      </c>
      <c r="N1617" s="584" t="n">
        <v>5.9</v>
      </c>
      <c r="O1617" s="584" t="n">
        <v>24</v>
      </c>
      <c r="P1617" s="584" t="n">
        <v>36.1</v>
      </c>
      <c r="Q1617" s="583" t="n">
        <v>29.1</v>
      </c>
      <c r="R1617" s="762" t="n">
        <v>1</v>
      </c>
      <c r="S1617" s="567" t="n"/>
      <c r="T1617" s="569" t="n"/>
      <c r="U1617" s="567" t="n"/>
      <c r="V1617" s="567" t="n">
        <v>18.3</v>
      </c>
      <c r="W1617" s="569" t="n"/>
      <c r="X1617" s="572" t="n">
        <v>30</v>
      </c>
      <c r="Y1617" s="55" t="n">
        <v>40.1</v>
      </c>
    </row>
    <row r="1618">
      <c r="A1618" s="20">
        <f>list!$G$11</f>
        <v/>
      </c>
      <c r="B1618" s="405" t="inlineStr">
        <is>
          <t>Central Africa</t>
        </is>
      </c>
      <c r="C1618" s="20">
        <f>CONCATENATE(A1618,B1618)</f>
        <v/>
      </c>
      <c r="D1618" s="572" t="n">
        <v>4.7</v>
      </c>
      <c r="E1618" s="572" t="n">
        <v>4.7</v>
      </c>
      <c r="F1618" s="572" t="n">
        <v>4.7</v>
      </c>
      <c r="G1618" s="615" t="n">
        <v>4.09</v>
      </c>
      <c r="H1618" s="730" t="n">
        <v>0</v>
      </c>
      <c r="I1618" s="758">
        <f>AVERAGE(J1618:Q1618)</f>
        <v/>
      </c>
      <c r="J1618" s="563" t="n">
        <v>23.7</v>
      </c>
      <c r="K1618" s="564" t="n">
        <v>11.1</v>
      </c>
      <c r="L1618" s="564" t="n">
        <v>4.7</v>
      </c>
      <c r="M1618" s="574" t="n">
        <v>32.5</v>
      </c>
      <c r="N1618" s="574" t="n">
        <v>5.9</v>
      </c>
      <c r="O1618" s="574" t="n">
        <v>24</v>
      </c>
      <c r="P1618" s="574" t="n">
        <v>36.1</v>
      </c>
      <c r="Q1618" s="564" t="n">
        <v>29.1</v>
      </c>
      <c r="R1618" s="757" t="n">
        <v>1</v>
      </c>
      <c r="S1618" s="55" t="n"/>
      <c r="T1618" s="572" t="n"/>
      <c r="U1618" s="55" t="n"/>
      <c r="V1618" s="55" t="n">
        <v>18.3</v>
      </c>
      <c r="W1618" s="572" t="n"/>
      <c r="X1618" s="572" t="n">
        <v>30</v>
      </c>
      <c r="Y1618" s="55" t="n">
        <v>40.1</v>
      </c>
    </row>
    <row r="1619">
      <c r="A1619" s="20">
        <f>list!$G$11</f>
        <v/>
      </c>
      <c r="B1619" s="405" t="inlineStr">
        <is>
          <t>Northern Africa</t>
        </is>
      </c>
      <c r="C1619" s="20">
        <f>CONCATENATE(A1619,B1619)</f>
        <v/>
      </c>
      <c r="D1619" s="572" t="n">
        <v>4.7</v>
      </c>
      <c r="E1619" s="572" t="n">
        <v>4.7</v>
      </c>
      <c r="F1619" s="572" t="n">
        <v>4.7</v>
      </c>
      <c r="G1619" s="615" t="n">
        <v>4.09</v>
      </c>
      <c r="H1619" s="730" t="n">
        <v>0</v>
      </c>
      <c r="I1619" s="758">
        <f>AVERAGE(J1619:Q1619)</f>
        <v/>
      </c>
      <c r="J1619" s="563" t="n">
        <v>23.7</v>
      </c>
      <c r="K1619" s="564" t="n">
        <v>11.1</v>
      </c>
      <c r="L1619" s="564" t="n">
        <v>4.7</v>
      </c>
      <c r="M1619" s="574" t="n">
        <v>32.5</v>
      </c>
      <c r="N1619" s="574" t="n">
        <v>5.9</v>
      </c>
      <c r="O1619" s="574" t="n">
        <v>24</v>
      </c>
      <c r="P1619" s="574" t="n">
        <v>36.1</v>
      </c>
      <c r="Q1619" s="564" t="n">
        <v>29.1</v>
      </c>
      <c r="R1619" s="757" t="n">
        <v>1</v>
      </c>
      <c r="S1619" s="55" t="n"/>
      <c r="T1619" s="572" t="n"/>
      <c r="U1619" s="55" t="n"/>
      <c r="V1619" s="55" t="n">
        <v>18.3</v>
      </c>
      <c r="W1619" s="572" t="n"/>
      <c r="X1619" s="572" t="n">
        <v>30</v>
      </c>
      <c r="Y1619" s="55" t="n">
        <v>40.1</v>
      </c>
    </row>
    <row r="1620">
      <c r="A1620" s="20">
        <f>list!$G$11</f>
        <v/>
      </c>
      <c r="B1620" s="405" t="inlineStr">
        <is>
          <t>Southern Africa</t>
        </is>
      </c>
      <c r="C1620" s="20">
        <f>CONCATENATE(A1620,B1620)</f>
        <v/>
      </c>
      <c r="D1620" s="572" t="n">
        <v>4.7</v>
      </c>
      <c r="E1620" s="572" t="n">
        <v>4.7</v>
      </c>
      <c r="F1620" s="572" t="n">
        <v>4.7</v>
      </c>
      <c r="G1620" s="615" t="n">
        <v>4.09</v>
      </c>
      <c r="H1620" s="730" t="n">
        <v>0</v>
      </c>
      <c r="I1620" s="758">
        <f>AVERAGE(J1620:Q1620)</f>
        <v/>
      </c>
      <c r="J1620" s="563" t="n">
        <v>23.7</v>
      </c>
      <c r="K1620" s="564" t="n">
        <v>11.1</v>
      </c>
      <c r="L1620" s="564" t="n">
        <v>4.7</v>
      </c>
      <c r="M1620" s="574" t="n">
        <v>32.5</v>
      </c>
      <c r="N1620" s="574" t="n">
        <v>5.9</v>
      </c>
      <c r="O1620" s="574" t="n">
        <v>24</v>
      </c>
      <c r="P1620" s="574" t="n">
        <v>36.1</v>
      </c>
      <c r="Q1620" s="564" t="n">
        <v>29.1</v>
      </c>
      <c r="R1620" s="757" t="n">
        <v>1</v>
      </c>
      <c r="S1620" s="55" t="n"/>
      <c r="T1620" s="572" t="n"/>
      <c r="U1620" s="55" t="n"/>
      <c r="V1620" s="55" t="n">
        <v>18.3</v>
      </c>
      <c r="W1620" s="572" t="n"/>
      <c r="X1620" s="572" t="n">
        <v>30</v>
      </c>
      <c r="Y1620" s="55" t="n">
        <v>40.1</v>
      </c>
    </row>
    <row r="1621">
      <c r="A1621" s="20">
        <f>list!$G$11</f>
        <v/>
      </c>
      <c r="B1621" s="405" t="inlineStr">
        <is>
          <t>Western Africa</t>
        </is>
      </c>
      <c r="C1621" s="20">
        <f>CONCATENATE(A1621,B1621)</f>
        <v/>
      </c>
      <c r="D1621" s="572" t="n">
        <v>4.7</v>
      </c>
      <c r="E1621" s="572" t="n">
        <v>4.7</v>
      </c>
      <c r="F1621" s="572" t="n">
        <v>4.7</v>
      </c>
      <c r="G1621" s="615" t="n">
        <v>4.09</v>
      </c>
      <c r="H1621" s="730" t="n">
        <v>0</v>
      </c>
      <c r="I1621" s="758">
        <f>AVERAGE(J1621:Q1621)</f>
        <v/>
      </c>
      <c r="J1621" s="563" t="n">
        <v>23.7</v>
      </c>
      <c r="K1621" s="564" t="n">
        <v>11.1</v>
      </c>
      <c r="L1621" s="564" t="n">
        <v>4.7</v>
      </c>
      <c r="M1621" s="574" t="n">
        <v>32.5</v>
      </c>
      <c r="N1621" s="574" t="n">
        <v>5.9</v>
      </c>
      <c r="O1621" s="574" t="n">
        <v>24</v>
      </c>
      <c r="P1621" s="574" t="n">
        <v>36.1</v>
      </c>
      <c r="Q1621" s="564" t="n">
        <v>29.1</v>
      </c>
      <c r="R1621" s="757" t="n">
        <v>1</v>
      </c>
      <c r="S1621" s="55" t="n"/>
      <c r="T1621" s="572" t="n"/>
      <c r="U1621" s="55" t="n"/>
      <c r="V1621" s="55" t="n">
        <v>18.3</v>
      </c>
      <c r="W1621" s="572" t="n"/>
      <c r="X1621" s="572" t="n">
        <v>30</v>
      </c>
      <c r="Y1621" s="55" t="n">
        <v>40.1</v>
      </c>
    </row>
    <row r="1622">
      <c r="A1622" s="20">
        <f>list!$G$11</f>
        <v/>
      </c>
      <c r="B1622" s="405" t="inlineStr">
        <is>
          <t>Central Asia</t>
        </is>
      </c>
      <c r="C1622" s="20">
        <f>CONCATENATE(A1622,B1622)</f>
        <v/>
      </c>
      <c r="D1622" s="572" t="n">
        <v>4.7</v>
      </c>
      <c r="E1622" s="572" t="n">
        <v>4.7</v>
      </c>
      <c r="F1622" s="572" t="n">
        <v>4.7</v>
      </c>
      <c r="G1622" s="615" t="n">
        <v>4.09</v>
      </c>
      <c r="H1622" s="730" t="n">
        <v>0</v>
      </c>
      <c r="I1622" s="758">
        <f>AVERAGE(J1622:Q1622)</f>
        <v/>
      </c>
      <c r="J1622" s="563" t="n">
        <v>23.7</v>
      </c>
      <c r="K1622" s="564" t="n">
        <v>11.1</v>
      </c>
      <c r="L1622" s="564" t="n">
        <v>4.7</v>
      </c>
      <c r="M1622" s="574" t="n">
        <v>32.5</v>
      </c>
      <c r="N1622" s="574" t="n">
        <v>5.9</v>
      </c>
      <c r="O1622" s="574" t="n">
        <v>24</v>
      </c>
      <c r="P1622" s="574" t="n">
        <v>36.1</v>
      </c>
      <c r="Q1622" s="564" t="n">
        <v>29.1</v>
      </c>
      <c r="R1622" s="757" t="n">
        <v>1</v>
      </c>
      <c r="S1622" s="55" t="n"/>
      <c r="T1622" s="572" t="n"/>
      <c r="U1622" s="55" t="n"/>
      <c r="V1622" s="55" t="n">
        <v>18.3</v>
      </c>
      <c r="W1622" s="572" t="n"/>
      <c r="X1622" s="572" t="n">
        <v>30</v>
      </c>
      <c r="Y1622" s="55" t="n">
        <v>40.1</v>
      </c>
    </row>
    <row r="1623">
      <c r="A1623" s="20">
        <f>list!$G$11</f>
        <v/>
      </c>
      <c r="B1623" s="405" t="inlineStr">
        <is>
          <t>Eastern Asia</t>
        </is>
      </c>
      <c r="C1623" s="20">
        <f>CONCATENATE(A1623,B1623)</f>
        <v/>
      </c>
      <c r="D1623" s="572" t="n">
        <v>4.7</v>
      </c>
      <c r="E1623" s="572" t="n">
        <v>4.7</v>
      </c>
      <c r="F1623" s="572" t="n">
        <v>4.7</v>
      </c>
      <c r="G1623" s="615" t="n">
        <v>4.09</v>
      </c>
      <c r="H1623" s="730" t="n">
        <v>0</v>
      </c>
      <c r="I1623" s="758">
        <f>AVERAGE(J1623:Q1623)</f>
        <v/>
      </c>
      <c r="J1623" s="563" t="n">
        <v>23.7</v>
      </c>
      <c r="K1623" s="564" t="n">
        <v>11.1</v>
      </c>
      <c r="L1623" s="564" t="n">
        <v>4.7</v>
      </c>
      <c r="M1623" s="574" t="n">
        <v>32.5</v>
      </c>
      <c r="N1623" s="574" t="n">
        <v>5.9</v>
      </c>
      <c r="O1623" s="574" t="n">
        <v>24</v>
      </c>
      <c r="P1623" s="574" t="n">
        <v>36.1</v>
      </c>
      <c r="Q1623" s="564" t="n">
        <v>29.1</v>
      </c>
      <c r="R1623" s="757" t="n">
        <v>1</v>
      </c>
      <c r="S1623" s="55" t="n"/>
      <c r="T1623" s="572" t="n"/>
      <c r="U1623" s="55" t="n"/>
      <c r="V1623" s="55" t="n">
        <v>18.3</v>
      </c>
      <c r="W1623" s="572" t="n"/>
      <c r="X1623" s="572" t="n">
        <v>30</v>
      </c>
      <c r="Y1623" s="55" t="n">
        <v>40.1</v>
      </c>
    </row>
    <row r="1624">
      <c r="A1624" s="20">
        <f>list!$G$11</f>
        <v/>
      </c>
      <c r="B1624" s="405" t="inlineStr">
        <is>
          <t>South-eastern Asia</t>
        </is>
      </c>
      <c r="C1624" s="20">
        <f>CONCATENATE(A1624,B1624)</f>
        <v/>
      </c>
      <c r="D1624" s="572" t="n">
        <v>4.7</v>
      </c>
      <c r="E1624" s="572" t="n">
        <v>4.7</v>
      </c>
      <c r="F1624" s="572" t="n">
        <v>4.7</v>
      </c>
      <c r="G1624" s="615" t="n">
        <v>4.09</v>
      </c>
      <c r="H1624" s="730" t="n">
        <v>0</v>
      </c>
      <c r="I1624" s="758">
        <f>AVERAGE(J1624:Q1624)</f>
        <v/>
      </c>
      <c r="J1624" s="563" t="n">
        <v>23.7</v>
      </c>
      <c r="K1624" s="564" t="n">
        <v>11.1</v>
      </c>
      <c r="L1624" s="564" t="n">
        <v>4.7</v>
      </c>
      <c r="M1624" s="574" t="n">
        <v>32.5</v>
      </c>
      <c r="N1624" s="574" t="n">
        <v>5.9</v>
      </c>
      <c r="O1624" s="574" t="n">
        <v>24</v>
      </c>
      <c r="P1624" s="574" t="n">
        <v>36.1</v>
      </c>
      <c r="Q1624" s="564" t="n">
        <v>29.1</v>
      </c>
      <c r="R1624" s="757" t="n">
        <v>1</v>
      </c>
      <c r="S1624" s="55" t="n"/>
      <c r="T1624" s="572" t="n"/>
      <c r="U1624" s="55" t="n"/>
      <c r="V1624" s="55" t="n">
        <v>18.3</v>
      </c>
      <c r="W1624" s="572" t="n"/>
      <c r="X1624" s="572" t="n">
        <v>30</v>
      </c>
      <c r="Y1624" s="55" t="n">
        <v>40.1</v>
      </c>
    </row>
    <row r="1625">
      <c r="A1625" s="20">
        <f>list!$G$11</f>
        <v/>
      </c>
      <c r="B1625" s="405" t="inlineStr">
        <is>
          <t>Southern Asia</t>
        </is>
      </c>
      <c r="C1625" s="20">
        <f>CONCATENATE(A1625,B1625)</f>
        <v/>
      </c>
      <c r="D1625" s="572" t="n">
        <v>4.7</v>
      </c>
      <c r="E1625" s="572" t="n">
        <v>4.7</v>
      </c>
      <c r="F1625" s="572" t="n">
        <v>4.7</v>
      </c>
      <c r="G1625" s="615" t="n">
        <v>4.09</v>
      </c>
      <c r="H1625" s="730" t="n">
        <v>0</v>
      </c>
      <c r="I1625" s="758">
        <f>AVERAGE(J1625:Q1625)</f>
        <v/>
      </c>
      <c r="J1625" s="563" t="n">
        <v>23.7</v>
      </c>
      <c r="K1625" s="564" t="n">
        <v>11.1</v>
      </c>
      <c r="L1625" s="564" t="n">
        <v>4.7</v>
      </c>
      <c r="M1625" s="574" t="n">
        <v>32.5</v>
      </c>
      <c r="N1625" s="574" t="n">
        <v>5.9</v>
      </c>
      <c r="O1625" s="574" t="n">
        <v>24</v>
      </c>
      <c r="P1625" s="574" t="n">
        <v>36.1</v>
      </c>
      <c r="Q1625" s="564" t="n">
        <v>29.1</v>
      </c>
      <c r="R1625" s="757" t="n">
        <v>1</v>
      </c>
      <c r="S1625" s="55" t="n"/>
      <c r="T1625" s="572" t="n"/>
      <c r="U1625" s="55" t="n"/>
      <c r="V1625" s="55" t="n">
        <v>18.3</v>
      </c>
      <c r="W1625" s="572" t="n"/>
      <c r="X1625" s="572" t="n">
        <v>30</v>
      </c>
      <c r="Y1625" s="55" t="n">
        <v>40.1</v>
      </c>
    </row>
    <row r="1626">
      <c r="A1626" s="20">
        <f>list!$G$11</f>
        <v/>
      </c>
      <c r="B1626" s="405" t="inlineStr">
        <is>
          <t>Western Asia</t>
        </is>
      </c>
      <c r="C1626" s="20">
        <f>CONCATENATE(A1626,B1626)</f>
        <v/>
      </c>
      <c r="D1626" s="572" t="n">
        <v>4.7</v>
      </c>
      <c r="E1626" s="572" t="n">
        <v>4.7</v>
      </c>
      <c r="F1626" s="572" t="n">
        <v>4.7</v>
      </c>
      <c r="G1626" s="615" t="n">
        <v>4.09</v>
      </c>
      <c r="H1626" s="730" t="n">
        <v>0</v>
      </c>
      <c r="I1626" s="758">
        <f>AVERAGE(J1626:Q1626)</f>
        <v/>
      </c>
      <c r="J1626" s="563" t="n">
        <v>23.7</v>
      </c>
      <c r="K1626" s="564" t="n">
        <v>11.1</v>
      </c>
      <c r="L1626" s="564" t="n">
        <v>4.7</v>
      </c>
      <c r="M1626" s="574" t="n">
        <v>32.5</v>
      </c>
      <c r="N1626" s="574" t="n">
        <v>5.9</v>
      </c>
      <c r="O1626" s="574" t="n">
        <v>24</v>
      </c>
      <c r="P1626" s="574" t="n">
        <v>36.1</v>
      </c>
      <c r="Q1626" s="564" t="n">
        <v>29.1</v>
      </c>
      <c r="R1626" s="757" t="n">
        <v>1</v>
      </c>
      <c r="S1626" s="55" t="n"/>
      <c r="T1626" s="572" t="n"/>
      <c r="U1626" s="55" t="n"/>
      <c r="V1626" s="55" t="n">
        <v>18.3</v>
      </c>
      <c r="W1626" s="572" t="n"/>
      <c r="X1626" s="572" t="n">
        <v>30</v>
      </c>
      <c r="Y1626" s="55" t="n">
        <v>40.1</v>
      </c>
    </row>
    <row r="1627">
      <c r="A1627" s="20">
        <f>list!$G$11</f>
        <v/>
      </c>
      <c r="B1627" s="405" t="inlineStr">
        <is>
          <t>Europe</t>
        </is>
      </c>
      <c r="C1627" s="20">
        <f>CONCATENATE(A1627,B1627)</f>
        <v/>
      </c>
      <c r="D1627" s="572" t="n">
        <v>4.7</v>
      </c>
      <c r="E1627" s="572" t="n">
        <v>4.7</v>
      </c>
      <c r="F1627" s="572" t="n">
        <v>4.7</v>
      </c>
      <c r="G1627" s="615" t="n">
        <v>4.09</v>
      </c>
      <c r="H1627" s="730" t="n">
        <v>0</v>
      </c>
      <c r="I1627" s="758">
        <f>AVERAGE(J1627:Q1627)</f>
        <v/>
      </c>
      <c r="J1627" s="563" t="n">
        <v>23.7</v>
      </c>
      <c r="K1627" s="564" t="n">
        <v>11.1</v>
      </c>
      <c r="L1627" s="564" t="n">
        <v>4.7</v>
      </c>
      <c r="M1627" s="574" t="n">
        <v>32.5</v>
      </c>
      <c r="N1627" s="574" t="n">
        <v>5.9</v>
      </c>
      <c r="O1627" s="574" t="n">
        <v>24</v>
      </c>
      <c r="P1627" s="574" t="n">
        <v>36.1</v>
      </c>
      <c r="Q1627" s="564" t="n">
        <v>29.1</v>
      </c>
      <c r="R1627" s="757" t="n">
        <v>1</v>
      </c>
      <c r="S1627" s="55" t="n"/>
      <c r="T1627" s="572" t="n"/>
      <c r="U1627" s="55" t="n"/>
      <c r="V1627" s="55" t="n">
        <v>18.3</v>
      </c>
      <c r="W1627" s="572" t="n"/>
      <c r="X1627" s="572" t="n">
        <v>30</v>
      </c>
      <c r="Y1627" s="55" t="n">
        <v>40.1</v>
      </c>
    </row>
    <row r="1628">
      <c r="A1628" s="20">
        <f>list!$G$11</f>
        <v/>
      </c>
      <c r="B1628" s="405" t="inlineStr">
        <is>
          <t>Oceania</t>
        </is>
      </c>
      <c r="C1628" s="20">
        <f>CONCATENATE(A1628,B1628)</f>
        <v/>
      </c>
      <c r="D1628" s="572" t="n">
        <v>4.7</v>
      </c>
      <c r="E1628" s="572" t="n">
        <v>4.7</v>
      </c>
      <c r="F1628" s="572" t="n">
        <v>4.7</v>
      </c>
      <c r="G1628" s="615" t="n">
        <v>4.09</v>
      </c>
      <c r="H1628" s="730" t="n">
        <v>0</v>
      </c>
      <c r="I1628" s="758">
        <f>AVERAGE(J1628:Q1628)</f>
        <v/>
      </c>
      <c r="J1628" s="563" t="n">
        <v>23.7</v>
      </c>
      <c r="K1628" s="564" t="n">
        <v>11.1</v>
      </c>
      <c r="L1628" s="564" t="n">
        <v>4.7</v>
      </c>
      <c r="M1628" s="574" t="n">
        <v>32.5</v>
      </c>
      <c r="N1628" s="574" t="n">
        <v>5.9</v>
      </c>
      <c r="O1628" s="574" t="n">
        <v>24</v>
      </c>
      <c r="P1628" s="574" t="n">
        <v>36.1</v>
      </c>
      <c r="Q1628" s="564" t="n">
        <v>29.1</v>
      </c>
      <c r="R1628" s="757" t="n">
        <v>1</v>
      </c>
      <c r="S1628" s="55" t="n"/>
      <c r="T1628" s="572" t="n"/>
      <c r="U1628" s="55" t="n"/>
      <c r="V1628" s="55" t="n">
        <v>18.3</v>
      </c>
      <c r="W1628" s="572" t="n"/>
      <c r="X1628" s="572" t="n">
        <v>30</v>
      </c>
      <c r="Y1628" s="55" t="n">
        <v>40.1</v>
      </c>
    </row>
    <row r="1629">
      <c r="A1629" s="20">
        <f>list!$G$11</f>
        <v/>
      </c>
      <c r="B1629" s="405" t="inlineStr">
        <is>
          <t>North America</t>
        </is>
      </c>
      <c r="C1629" s="20">
        <f>CONCATENATE(A1629,B1629)</f>
        <v/>
      </c>
      <c r="D1629" s="572" t="n">
        <v>4.7</v>
      </c>
      <c r="E1629" s="572" t="n">
        <v>4.7</v>
      </c>
      <c r="F1629" s="572" t="n">
        <v>4.7</v>
      </c>
      <c r="G1629" s="615" t="n">
        <v>4.09</v>
      </c>
      <c r="H1629" s="730" t="n">
        <v>0</v>
      </c>
      <c r="I1629" s="758">
        <f>AVERAGE(J1629:Q1629)</f>
        <v/>
      </c>
      <c r="J1629" s="563" t="n">
        <v>23.7</v>
      </c>
      <c r="K1629" s="564" t="n">
        <v>11.1</v>
      </c>
      <c r="L1629" s="564" t="n">
        <v>4.7</v>
      </c>
      <c r="M1629" s="574" t="n">
        <v>32.5</v>
      </c>
      <c r="N1629" s="574" t="n">
        <v>5.9</v>
      </c>
      <c r="O1629" s="574" t="n">
        <v>24</v>
      </c>
      <c r="P1629" s="574" t="n">
        <v>36.1</v>
      </c>
      <c r="Q1629" s="564" t="n">
        <v>29.1</v>
      </c>
      <c r="R1629" s="757" t="n">
        <v>1</v>
      </c>
      <c r="S1629" s="55" t="n"/>
      <c r="T1629" s="572" t="n"/>
      <c r="U1629" s="55" t="n"/>
      <c r="V1629" s="55" t="n">
        <v>18.3</v>
      </c>
      <c r="W1629" s="572" t="n"/>
      <c r="X1629" s="572" t="n">
        <v>30</v>
      </c>
      <c r="Y1629" s="55" t="n">
        <v>40.1</v>
      </c>
    </row>
    <row r="1630">
      <c r="A1630" s="20">
        <f>list!$G$11</f>
        <v/>
      </c>
      <c r="B1630" s="405" t="inlineStr">
        <is>
          <t>South America</t>
        </is>
      </c>
      <c r="C1630" s="20">
        <f>CONCATENATE(A1630,B1630)</f>
        <v/>
      </c>
      <c r="D1630" s="572" t="n">
        <v>4.7</v>
      </c>
      <c r="E1630" s="572" t="n">
        <v>4.7</v>
      </c>
      <c r="F1630" s="572" t="n">
        <v>4.7</v>
      </c>
      <c r="G1630" s="615" t="n">
        <v>4.09</v>
      </c>
      <c r="H1630" s="730" t="n">
        <v>0</v>
      </c>
      <c r="I1630" s="758">
        <f>AVERAGE(J1630:Q1630)</f>
        <v/>
      </c>
      <c r="J1630" s="563" t="n">
        <v>23.7</v>
      </c>
      <c r="K1630" s="564" t="n">
        <v>11.1</v>
      </c>
      <c r="L1630" s="564" t="n">
        <v>4.7</v>
      </c>
      <c r="M1630" s="574" t="n">
        <v>32.5</v>
      </c>
      <c r="N1630" s="574" t="n">
        <v>5.9</v>
      </c>
      <c r="O1630" s="574" t="n">
        <v>24</v>
      </c>
      <c r="P1630" s="574" t="n">
        <v>36.1</v>
      </c>
      <c r="Q1630" s="564" t="n">
        <v>29.1</v>
      </c>
      <c r="R1630" s="757" t="n">
        <v>1</v>
      </c>
      <c r="S1630" s="55" t="n"/>
      <c r="T1630" s="572" t="n"/>
      <c r="U1630" s="55" t="n"/>
      <c r="V1630" s="55" t="n">
        <v>18.3</v>
      </c>
      <c r="W1630" s="572" t="n"/>
      <c r="X1630" s="572" t="n">
        <v>30</v>
      </c>
      <c r="Y1630" s="55" t="n">
        <v>40.1</v>
      </c>
    </row>
    <row r="1631">
      <c r="A1631" s="20">
        <f>list!$G$11</f>
        <v/>
      </c>
      <c r="B1631" s="405" t="inlineStr">
        <is>
          <t>Central America</t>
        </is>
      </c>
      <c r="C1631" s="20">
        <f>CONCATENATE(A1631,B1631)</f>
        <v/>
      </c>
      <c r="D1631" s="572" t="n">
        <v>4.7</v>
      </c>
      <c r="E1631" s="572" t="n">
        <v>4.7</v>
      </c>
      <c r="F1631" s="572" t="n">
        <v>4.7</v>
      </c>
      <c r="G1631" s="615" t="n">
        <v>4.09</v>
      </c>
      <c r="H1631" s="730" t="n">
        <v>0</v>
      </c>
      <c r="I1631" s="758">
        <f>AVERAGE(J1631:Q1631)</f>
        <v/>
      </c>
      <c r="J1631" s="563" t="n">
        <v>23.7</v>
      </c>
      <c r="K1631" s="564" t="n">
        <v>11.1</v>
      </c>
      <c r="L1631" s="564" t="n">
        <v>4.7</v>
      </c>
      <c r="M1631" s="574" t="n">
        <v>32.5</v>
      </c>
      <c r="N1631" s="574" t="n">
        <v>5.9</v>
      </c>
      <c r="O1631" s="574" t="n">
        <v>24</v>
      </c>
      <c r="P1631" s="574" t="n">
        <v>36.1</v>
      </c>
      <c r="Q1631" s="564" t="n">
        <v>29.1</v>
      </c>
      <c r="R1631" s="757" t="n">
        <v>1</v>
      </c>
      <c r="S1631" s="55" t="n"/>
      <c r="T1631" s="572" t="n"/>
      <c r="U1631" s="55" t="n"/>
      <c r="V1631" s="55" t="n">
        <v>18.3</v>
      </c>
      <c r="W1631" s="572" t="n"/>
      <c r="X1631" s="572" t="n">
        <v>30</v>
      </c>
      <c r="Y1631" s="55" t="n">
        <v>40.1</v>
      </c>
    </row>
    <row r="1632">
      <c r="A1632" s="20">
        <f>list!$G$11</f>
        <v/>
      </c>
      <c r="B1632" s="406" t="inlineStr">
        <is>
          <t>Caribbean</t>
        </is>
      </c>
      <c r="C1632" s="37">
        <f>CONCATENATE(A1632,B1632)</f>
        <v/>
      </c>
      <c r="D1632" s="420" t="n">
        <v>4.7</v>
      </c>
      <c r="E1632" s="420" t="n">
        <v>4.7</v>
      </c>
      <c r="F1632" s="420" t="n">
        <v>4.7</v>
      </c>
      <c r="G1632" s="617" t="n">
        <v>4.09</v>
      </c>
      <c r="H1632" s="731" t="n">
        <v>0</v>
      </c>
      <c r="I1632" s="760">
        <f>AVERAGE(J1632:Q1632)</f>
        <v/>
      </c>
      <c r="J1632" s="563" t="n">
        <v>23.7</v>
      </c>
      <c r="K1632" s="564" t="n">
        <v>11.1</v>
      </c>
      <c r="L1632" s="564" t="n">
        <v>4.7</v>
      </c>
      <c r="M1632" s="574" t="n">
        <v>32.5</v>
      </c>
      <c r="N1632" s="574" t="n">
        <v>5.9</v>
      </c>
      <c r="O1632" s="574" t="n">
        <v>24</v>
      </c>
      <c r="P1632" s="574" t="n">
        <v>36.1</v>
      </c>
      <c r="Q1632" s="577" t="n">
        <v>29.1</v>
      </c>
      <c r="R1632" s="763" t="n">
        <v>1</v>
      </c>
      <c r="S1632" s="55" t="n"/>
      <c r="T1632" s="572" t="n"/>
      <c r="U1632" s="55" t="n"/>
      <c r="V1632" s="55" t="n">
        <v>18.3</v>
      </c>
      <c r="W1632" s="572" t="n"/>
      <c r="X1632" s="420" t="n">
        <v>30</v>
      </c>
      <c r="Y1632" s="579" t="n">
        <v>40.1</v>
      </c>
    </row>
    <row r="1633">
      <c r="A1633" s="63" t="inlineStr">
        <is>
          <t>Tropical Wet</t>
        </is>
      </c>
      <c r="B1633" s="408" t="inlineStr">
        <is>
          <t>Eastern Africa</t>
        </is>
      </c>
      <c r="C1633" s="63">
        <f>CONCATENATE(A1633,B1633)</f>
        <v/>
      </c>
      <c r="D1633" s="569" t="n">
        <v>4.7</v>
      </c>
      <c r="E1633" s="569" t="n">
        <v>4.7</v>
      </c>
      <c r="F1633" s="569" t="n">
        <v>4.7</v>
      </c>
      <c r="G1633" s="565">
        <f>16.1*0.47</f>
        <v/>
      </c>
      <c r="H1633" s="729" t="n">
        <v>0</v>
      </c>
      <c r="I1633" s="755">
        <f>AVERAGE(J1633:Q1633)</f>
        <v/>
      </c>
      <c r="J1633" s="585" t="n">
        <v>23.7</v>
      </c>
      <c r="K1633" s="583" t="n">
        <v>11.1</v>
      </c>
      <c r="L1633" s="583" t="n">
        <v>4.7</v>
      </c>
      <c r="M1633" s="584" t="n">
        <v>32.5</v>
      </c>
      <c r="N1633" s="584" t="n">
        <v>5.9</v>
      </c>
      <c r="O1633" s="584" t="n">
        <v>24</v>
      </c>
      <c r="P1633" s="584" t="n">
        <v>36.1</v>
      </c>
      <c r="Q1633" s="583" t="n">
        <v>29.1</v>
      </c>
      <c r="R1633" s="762" t="n">
        <v>1</v>
      </c>
      <c r="S1633" s="567" t="n"/>
      <c r="T1633" s="567" t="n"/>
      <c r="U1633" s="567" t="n"/>
      <c r="V1633" s="567" t="n">
        <v>18.3</v>
      </c>
      <c r="W1633" s="569" t="n"/>
      <c r="X1633" s="572" t="n">
        <v>30</v>
      </c>
      <c r="Y1633" s="55" t="n">
        <v>40.1</v>
      </c>
    </row>
    <row r="1634">
      <c r="A1634" s="20" t="inlineStr">
        <is>
          <t>Tropical Wet</t>
        </is>
      </c>
      <c r="B1634" s="401" t="inlineStr">
        <is>
          <t>Central Africa</t>
        </is>
      </c>
      <c r="C1634" s="20">
        <f>CONCATENATE(A1634,B1634)</f>
        <v/>
      </c>
      <c r="D1634" s="572" t="n">
        <v>4.7</v>
      </c>
      <c r="E1634" s="572" t="n">
        <v>4.7</v>
      </c>
      <c r="F1634" s="572" t="n">
        <v>4.7</v>
      </c>
      <c r="G1634" s="565">
        <f>16.1*0.47</f>
        <v/>
      </c>
      <c r="H1634" s="730" t="n">
        <v>0</v>
      </c>
      <c r="I1634" s="758">
        <f>AVERAGE(J1634:Q1634)</f>
        <v/>
      </c>
      <c r="J1634" s="563" t="n">
        <v>23.7</v>
      </c>
      <c r="K1634" s="564" t="n">
        <v>11.1</v>
      </c>
      <c r="L1634" s="564" t="n">
        <v>4.7</v>
      </c>
      <c r="M1634" s="574" t="n">
        <v>32.5</v>
      </c>
      <c r="N1634" s="574" t="n">
        <v>5.9</v>
      </c>
      <c r="O1634" s="574" t="n">
        <v>24</v>
      </c>
      <c r="P1634" s="574" t="n">
        <v>36.1</v>
      </c>
      <c r="Q1634" s="564" t="n">
        <v>29.1</v>
      </c>
      <c r="R1634" s="757" t="n">
        <v>1</v>
      </c>
      <c r="S1634" s="55" t="n"/>
      <c r="T1634" s="55" t="n"/>
      <c r="U1634" s="55" t="n"/>
      <c r="V1634" s="55" t="n">
        <v>18.3</v>
      </c>
      <c r="W1634" s="572" t="n"/>
      <c r="X1634" s="572" t="n">
        <v>30</v>
      </c>
      <c r="Y1634" s="55" t="n">
        <v>40.1</v>
      </c>
    </row>
    <row r="1635">
      <c r="A1635" s="20" t="inlineStr">
        <is>
          <t>Tropical Wet</t>
        </is>
      </c>
      <c r="B1635" s="401" t="inlineStr">
        <is>
          <t>Northern Africa</t>
        </is>
      </c>
      <c r="C1635" s="20">
        <f>CONCATENATE(A1635,B1635)</f>
        <v/>
      </c>
      <c r="D1635" s="572" t="n">
        <v>4.7</v>
      </c>
      <c r="E1635" s="572" t="n">
        <v>4.7</v>
      </c>
      <c r="F1635" s="572" t="n">
        <v>4.7</v>
      </c>
      <c r="G1635" s="565">
        <f>16.1*0.47</f>
        <v/>
      </c>
      <c r="H1635" s="730" t="n">
        <v>0</v>
      </c>
      <c r="I1635" s="758">
        <f>AVERAGE(J1635:Q1635)</f>
        <v/>
      </c>
      <c r="J1635" s="563" t="n">
        <v>23.7</v>
      </c>
      <c r="K1635" s="564" t="n">
        <v>11.1</v>
      </c>
      <c r="L1635" s="564" t="n">
        <v>4.7</v>
      </c>
      <c r="M1635" s="574" t="n">
        <v>32.5</v>
      </c>
      <c r="N1635" s="574" t="n">
        <v>5.9</v>
      </c>
      <c r="O1635" s="574" t="n">
        <v>24</v>
      </c>
      <c r="P1635" s="574" t="n">
        <v>36.1</v>
      </c>
      <c r="Q1635" s="564" t="n">
        <v>29.1</v>
      </c>
      <c r="R1635" s="757" t="n">
        <v>1</v>
      </c>
      <c r="S1635" s="55" t="n"/>
      <c r="T1635" s="55" t="n"/>
      <c r="U1635" s="55" t="n"/>
      <c r="V1635" s="55" t="n">
        <v>18.3</v>
      </c>
      <c r="W1635" s="572" t="n"/>
      <c r="X1635" s="572" t="n">
        <v>30</v>
      </c>
      <c r="Y1635" s="55" t="n">
        <v>40.1</v>
      </c>
    </row>
    <row r="1636">
      <c r="A1636" s="20" t="inlineStr">
        <is>
          <t>Tropical Wet</t>
        </is>
      </c>
      <c r="B1636" s="401" t="inlineStr">
        <is>
          <t>Southern Africa</t>
        </is>
      </c>
      <c r="C1636" s="20">
        <f>CONCATENATE(A1636,B1636)</f>
        <v/>
      </c>
      <c r="D1636" s="572" t="n">
        <v>4.7</v>
      </c>
      <c r="E1636" s="572" t="n">
        <v>4.7</v>
      </c>
      <c r="F1636" s="572" t="n">
        <v>4.7</v>
      </c>
      <c r="G1636" s="565">
        <f>16.1*0.47</f>
        <v/>
      </c>
      <c r="H1636" s="730" t="n">
        <v>0</v>
      </c>
      <c r="I1636" s="758">
        <f>AVERAGE(J1636:Q1636)</f>
        <v/>
      </c>
      <c r="J1636" s="563" t="n">
        <v>23.7</v>
      </c>
      <c r="K1636" s="564" t="n">
        <v>11.1</v>
      </c>
      <c r="L1636" s="564" t="n">
        <v>4.7</v>
      </c>
      <c r="M1636" s="574" t="n">
        <v>32.5</v>
      </c>
      <c r="N1636" s="574" t="n">
        <v>5.9</v>
      </c>
      <c r="O1636" s="574" t="n">
        <v>24</v>
      </c>
      <c r="P1636" s="574" t="n">
        <v>36.1</v>
      </c>
      <c r="Q1636" s="564" t="n">
        <v>29.1</v>
      </c>
      <c r="R1636" s="757" t="n">
        <v>1</v>
      </c>
      <c r="S1636" s="55" t="n"/>
      <c r="T1636" s="55" t="n"/>
      <c r="U1636" s="55" t="n"/>
      <c r="V1636" s="55" t="n">
        <v>18.3</v>
      </c>
      <c r="W1636" s="572" t="n"/>
      <c r="X1636" s="572" t="n">
        <v>30</v>
      </c>
      <c r="Y1636" s="55" t="n">
        <v>40.1</v>
      </c>
    </row>
    <row r="1637">
      <c r="A1637" s="20" t="inlineStr">
        <is>
          <t>Tropical Wet</t>
        </is>
      </c>
      <c r="B1637" s="401" t="inlineStr">
        <is>
          <t>Western Africa</t>
        </is>
      </c>
      <c r="C1637" s="20">
        <f>CONCATENATE(A1637,B1637)</f>
        <v/>
      </c>
      <c r="D1637" s="572" t="n">
        <v>4.7</v>
      </c>
      <c r="E1637" s="572" t="n">
        <v>4.7</v>
      </c>
      <c r="F1637" s="572" t="n">
        <v>4.7</v>
      </c>
      <c r="G1637" s="565">
        <f>16.1*0.47</f>
        <v/>
      </c>
      <c r="H1637" s="730" t="n">
        <v>0</v>
      </c>
      <c r="I1637" s="758">
        <f>AVERAGE(J1637:Q1637)</f>
        <v/>
      </c>
      <c r="J1637" s="563" t="n">
        <v>23.7</v>
      </c>
      <c r="K1637" s="564" t="n">
        <v>11.1</v>
      </c>
      <c r="L1637" s="564" t="n">
        <v>4.7</v>
      </c>
      <c r="M1637" s="574" t="n">
        <v>32.5</v>
      </c>
      <c r="N1637" s="574" t="n">
        <v>5.9</v>
      </c>
      <c r="O1637" s="574" t="n">
        <v>24</v>
      </c>
      <c r="P1637" s="574" t="n">
        <v>36.1</v>
      </c>
      <c r="Q1637" s="564" t="n">
        <v>29.1</v>
      </c>
      <c r="R1637" s="757" t="n">
        <v>1</v>
      </c>
      <c r="S1637" s="55" t="n"/>
      <c r="T1637" s="55" t="n"/>
      <c r="U1637" s="55" t="n"/>
      <c r="V1637" s="55" t="n">
        <v>18.3</v>
      </c>
      <c r="W1637" s="572" t="n"/>
      <c r="X1637" s="572" t="n">
        <v>30</v>
      </c>
      <c r="Y1637" s="55" t="n">
        <v>40.1</v>
      </c>
    </row>
    <row r="1638">
      <c r="A1638" s="20" t="inlineStr">
        <is>
          <t>Tropical Wet</t>
        </is>
      </c>
      <c r="B1638" s="401" t="inlineStr">
        <is>
          <t>Central Asia</t>
        </is>
      </c>
      <c r="C1638" s="20">
        <f>CONCATENATE(A1638,B1638)</f>
        <v/>
      </c>
      <c r="D1638" s="572" t="n">
        <v>4.7</v>
      </c>
      <c r="E1638" s="572" t="n">
        <v>4.7</v>
      </c>
      <c r="F1638" s="572" t="n">
        <v>4.7</v>
      </c>
      <c r="G1638" s="565">
        <f>16.1*0.47</f>
        <v/>
      </c>
      <c r="H1638" s="730" t="n">
        <v>0</v>
      </c>
      <c r="I1638" s="758">
        <f>AVERAGE(J1638:Q1638)</f>
        <v/>
      </c>
      <c r="J1638" s="563" t="n">
        <v>23.7</v>
      </c>
      <c r="K1638" s="564" t="n">
        <v>11.1</v>
      </c>
      <c r="L1638" s="564" t="n">
        <v>4.7</v>
      </c>
      <c r="M1638" s="574" t="n">
        <v>32.5</v>
      </c>
      <c r="N1638" s="574" t="n">
        <v>5.9</v>
      </c>
      <c r="O1638" s="574" t="n">
        <v>24</v>
      </c>
      <c r="P1638" s="574" t="n">
        <v>36.1</v>
      </c>
      <c r="Q1638" s="564" t="n">
        <v>29.1</v>
      </c>
      <c r="R1638" s="757" t="n">
        <v>1</v>
      </c>
      <c r="S1638" s="55" t="n"/>
      <c r="T1638" s="55" t="n"/>
      <c r="U1638" s="55" t="n"/>
      <c r="V1638" s="55" t="n">
        <v>18.3</v>
      </c>
      <c r="W1638" s="572" t="n"/>
      <c r="X1638" s="572" t="n">
        <v>30</v>
      </c>
      <c r="Y1638" s="55" t="n">
        <v>40.1</v>
      </c>
    </row>
    <row r="1639">
      <c r="A1639" s="20" t="inlineStr">
        <is>
          <t>Tropical Wet</t>
        </is>
      </c>
      <c r="B1639" s="401" t="inlineStr">
        <is>
          <t>Eastern Asia</t>
        </is>
      </c>
      <c r="C1639" s="20">
        <f>CONCATENATE(A1639,B1639)</f>
        <v/>
      </c>
      <c r="D1639" s="572" t="n">
        <v>4.7</v>
      </c>
      <c r="E1639" s="572" t="n">
        <v>4.7</v>
      </c>
      <c r="F1639" s="572" t="n">
        <v>4.7</v>
      </c>
      <c r="G1639" s="565">
        <f>16.1*0.47</f>
        <v/>
      </c>
      <c r="H1639" s="730" t="n">
        <v>0</v>
      </c>
      <c r="I1639" s="758">
        <f>AVERAGE(J1639:Q1639)</f>
        <v/>
      </c>
      <c r="J1639" s="563" t="n">
        <v>23.7</v>
      </c>
      <c r="K1639" s="564" t="n">
        <v>11.1</v>
      </c>
      <c r="L1639" s="564" t="n">
        <v>4.7</v>
      </c>
      <c r="M1639" s="574" t="n">
        <v>32.5</v>
      </c>
      <c r="N1639" s="574" t="n">
        <v>5.9</v>
      </c>
      <c r="O1639" s="574" t="n">
        <v>24</v>
      </c>
      <c r="P1639" s="574" t="n">
        <v>36.1</v>
      </c>
      <c r="Q1639" s="564" t="n">
        <v>29.1</v>
      </c>
      <c r="R1639" s="757" t="n">
        <v>1</v>
      </c>
      <c r="S1639" s="55" t="n"/>
      <c r="T1639" s="55" t="n"/>
      <c r="U1639" s="55" t="n"/>
      <c r="V1639" s="55" t="n">
        <v>18.3</v>
      </c>
      <c r="W1639" s="572" t="n"/>
      <c r="X1639" s="572" t="n">
        <v>30</v>
      </c>
      <c r="Y1639" s="55" t="n">
        <v>40.1</v>
      </c>
    </row>
    <row r="1640">
      <c r="A1640" s="20" t="inlineStr">
        <is>
          <t>Tropical Wet</t>
        </is>
      </c>
      <c r="B1640" s="401" t="inlineStr">
        <is>
          <t>South-eastern Asia</t>
        </is>
      </c>
      <c r="C1640" s="20">
        <f>CONCATENATE(A1640,B1640)</f>
        <v/>
      </c>
      <c r="D1640" s="572" t="n">
        <v>4.7</v>
      </c>
      <c r="E1640" s="572" t="n">
        <v>4.7</v>
      </c>
      <c r="F1640" s="572" t="n">
        <v>4.7</v>
      </c>
      <c r="G1640" s="565">
        <f>16.1*0.47</f>
        <v/>
      </c>
      <c r="H1640" s="730" t="n">
        <v>0</v>
      </c>
      <c r="I1640" s="758">
        <f>AVERAGE(J1640:Q1640)</f>
        <v/>
      </c>
      <c r="J1640" s="563" t="n">
        <v>23.7</v>
      </c>
      <c r="K1640" s="564" t="n">
        <v>11.1</v>
      </c>
      <c r="L1640" s="564" t="n">
        <v>4.7</v>
      </c>
      <c r="M1640" s="574" t="n">
        <v>32.5</v>
      </c>
      <c r="N1640" s="574" t="n">
        <v>5.9</v>
      </c>
      <c r="O1640" s="574" t="n">
        <v>24</v>
      </c>
      <c r="P1640" s="574" t="n">
        <v>36.1</v>
      </c>
      <c r="Q1640" s="564" t="n">
        <v>29.1</v>
      </c>
      <c r="R1640" s="757" t="n">
        <v>1</v>
      </c>
      <c r="S1640" s="55" t="n"/>
      <c r="T1640" s="55" t="n"/>
      <c r="U1640" s="55" t="n"/>
      <c r="V1640" s="55" t="n">
        <v>18.3</v>
      </c>
      <c r="W1640" s="572" t="n"/>
      <c r="X1640" s="572" t="n">
        <v>30</v>
      </c>
      <c r="Y1640" s="55" t="n">
        <v>40.1</v>
      </c>
    </row>
    <row r="1641">
      <c r="A1641" s="20" t="inlineStr">
        <is>
          <t>Tropical Wet</t>
        </is>
      </c>
      <c r="B1641" s="401" t="inlineStr">
        <is>
          <t>Southern Asia</t>
        </is>
      </c>
      <c r="C1641" s="20">
        <f>CONCATENATE(A1641,B1641)</f>
        <v/>
      </c>
      <c r="D1641" s="572" t="n">
        <v>4.7</v>
      </c>
      <c r="E1641" s="572" t="n">
        <v>4.7</v>
      </c>
      <c r="F1641" s="572" t="n">
        <v>4.7</v>
      </c>
      <c r="G1641" s="565">
        <f>16.1*0.47</f>
        <v/>
      </c>
      <c r="H1641" s="730" t="n">
        <v>0</v>
      </c>
      <c r="I1641" s="758">
        <f>AVERAGE(J1641:Q1641)</f>
        <v/>
      </c>
      <c r="J1641" s="563" t="n">
        <v>23.7</v>
      </c>
      <c r="K1641" s="564" t="n">
        <v>11.1</v>
      </c>
      <c r="L1641" s="564" t="n">
        <v>4.7</v>
      </c>
      <c r="M1641" s="574" t="n">
        <v>32.5</v>
      </c>
      <c r="N1641" s="574" t="n">
        <v>5.9</v>
      </c>
      <c r="O1641" s="574" t="n">
        <v>24</v>
      </c>
      <c r="P1641" s="574" t="n">
        <v>36.1</v>
      </c>
      <c r="Q1641" s="564" t="n">
        <v>29.1</v>
      </c>
      <c r="R1641" s="757" t="n">
        <v>1</v>
      </c>
      <c r="S1641" s="55" t="n"/>
      <c r="T1641" s="55" t="n"/>
      <c r="U1641" s="55" t="n"/>
      <c r="V1641" s="55" t="n">
        <v>18.3</v>
      </c>
      <c r="W1641" s="572" t="n"/>
      <c r="X1641" s="572" t="n">
        <v>30</v>
      </c>
      <c r="Y1641" s="55" t="n">
        <v>40.1</v>
      </c>
    </row>
    <row r="1642">
      <c r="A1642" s="20" t="inlineStr">
        <is>
          <t>Tropical Wet</t>
        </is>
      </c>
      <c r="B1642" s="401" t="inlineStr">
        <is>
          <t>Western Asia</t>
        </is>
      </c>
      <c r="C1642" s="20">
        <f>CONCATENATE(A1642,B1642)</f>
        <v/>
      </c>
      <c r="D1642" s="572" t="n">
        <v>4.7</v>
      </c>
      <c r="E1642" s="572" t="n">
        <v>4.7</v>
      </c>
      <c r="F1642" s="572" t="n">
        <v>4.7</v>
      </c>
      <c r="G1642" s="565">
        <f>16.1*0.47</f>
        <v/>
      </c>
      <c r="H1642" s="730" t="n">
        <v>0</v>
      </c>
      <c r="I1642" s="758">
        <f>AVERAGE(J1642:Q1642)</f>
        <v/>
      </c>
      <c r="J1642" s="563" t="n">
        <v>23.7</v>
      </c>
      <c r="K1642" s="564" t="n">
        <v>11.1</v>
      </c>
      <c r="L1642" s="564" t="n">
        <v>4.7</v>
      </c>
      <c r="M1642" s="574" t="n">
        <v>32.5</v>
      </c>
      <c r="N1642" s="574" t="n">
        <v>5.9</v>
      </c>
      <c r="O1642" s="574" t="n">
        <v>24</v>
      </c>
      <c r="P1642" s="574" t="n">
        <v>36.1</v>
      </c>
      <c r="Q1642" s="564" t="n">
        <v>29.1</v>
      </c>
      <c r="R1642" s="757" t="n">
        <v>1</v>
      </c>
      <c r="S1642" s="55" t="n"/>
      <c r="T1642" s="55" t="n"/>
      <c r="U1642" s="55" t="n"/>
      <c r="V1642" s="55" t="n">
        <v>18.3</v>
      </c>
      <c r="W1642" s="572" t="n"/>
      <c r="X1642" s="572" t="n">
        <v>30</v>
      </c>
      <c r="Y1642" s="55" t="n">
        <v>40.1</v>
      </c>
    </row>
    <row r="1643">
      <c r="A1643" s="20" t="inlineStr">
        <is>
          <t>Tropical Wet</t>
        </is>
      </c>
      <c r="B1643" s="401" t="inlineStr">
        <is>
          <t>Europe</t>
        </is>
      </c>
      <c r="C1643" s="20">
        <f>CONCATENATE(A1643,B1643)</f>
        <v/>
      </c>
      <c r="D1643" s="572" t="n">
        <v>4.7</v>
      </c>
      <c r="E1643" s="572" t="n">
        <v>4.7</v>
      </c>
      <c r="F1643" s="572" t="n">
        <v>4.7</v>
      </c>
      <c r="G1643" s="565">
        <f>16.1*0.47</f>
        <v/>
      </c>
      <c r="H1643" s="730" t="n">
        <v>0</v>
      </c>
      <c r="I1643" s="758">
        <f>AVERAGE(J1643:Q1643)</f>
        <v/>
      </c>
      <c r="J1643" s="563" t="n">
        <v>23.7</v>
      </c>
      <c r="K1643" s="564" t="n">
        <v>11.1</v>
      </c>
      <c r="L1643" s="564" t="n">
        <v>4.7</v>
      </c>
      <c r="M1643" s="574" t="n">
        <v>32.5</v>
      </c>
      <c r="N1643" s="574" t="n">
        <v>5.9</v>
      </c>
      <c r="O1643" s="574" t="n">
        <v>24</v>
      </c>
      <c r="P1643" s="574" t="n">
        <v>36.1</v>
      </c>
      <c r="Q1643" s="564" t="n">
        <v>29.1</v>
      </c>
      <c r="R1643" s="757" t="n">
        <v>1</v>
      </c>
      <c r="S1643" s="55" t="n"/>
      <c r="T1643" s="55" t="n"/>
      <c r="U1643" s="55" t="n"/>
      <c r="V1643" s="55" t="n">
        <v>18.3</v>
      </c>
      <c r="W1643" s="572" t="n"/>
      <c r="X1643" s="572" t="n">
        <v>30</v>
      </c>
      <c r="Y1643" s="55" t="n">
        <v>40.1</v>
      </c>
    </row>
    <row r="1644">
      <c r="A1644" s="20" t="inlineStr">
        <is>
          <t>Tropical Wet</t>
        </is>
      </c>
      <c r="B1644" s="401" t="inlineStr">
        <is>
          <t>Oceania</t>
        </is>
      </c>
      <c r="C1644" s="20">
        <f>CONCATENATE(A1644,B1644)</f>
        <v/>
      </c>
      <c r="D1644" s="572" t="n">
        <v>4.7</v>
      </c>
      <c r="E1644" s="572" t="n">
        <v>4.7</v>
      </c>
      <c r="F1644" s="572" t="n">
        <v>4.7</v>
      </c>
      <c r="G1644" s="565">
        <f>16.1*0.47</f>
        <v/>
      </c>
      <c r="H1644" s="730" t="n">
        <v>0</v>
      </c>
      <c r="I1644" s="758">
        <f>AVERAGE(J1644:Q1644)</f>
        <v/>
      </c>
      <c r="J1644" s="563" t="n">
        <v>23.7</v>
      </c>
      <c r="K1644" s="564" t="n">
        <v>11.1</v>
      </c>
      <c r="L1644" s="564" t="n">
        <v>4.7</v>
      </c>
      <c r="M1644" s="574" t="n">
        <v>32.5</v>
      </c>
      <c r="N1644" s="574" t="n">
        <v>5.9</v>
      </c>
      <c r="O1644" s="574" t="n">
        <v>24</v>
      </c>
      <c r="P1644" s="574" t="n">
        <v>36.1</v>
      </c>
      <c r="Q1644" s="564" t="n">
        <v>29.1</v>
      </c>
      <c r="R1644" s="757" t="n">
        <v>1</v>
      </c>
      <c r="S1644" s="55" t="n"/>
      <c r="T1644" s="55" t="n"/>
      <c r="U1644" s="55" t="n"/>
      <c r="V1644" s="55" t="n">
        <v>18.3</v>
      </c>
      <c r="W1644" s="572" t="n"/>
      <c r="X1644" s="572" t="n">
        <v>30</v>
      </c>
      <c r="Y1644" s="55" t="n">
        <v>40.1</v>
      </c>
    </row>
    <row r="1645">
      <c r="A1645" s="20" t="inlineStr">
        <is>
          <t>Tropical Wet</t>
        </is>
      </c>
      <c r="B1645" s="401" t="inlineStr">
        <is>
          <t>North America</t>
        </is>
      </c>
      <c r="C1645" s="20">
        <f>CONCATENATE(A1645,B1645)</f>
        <v/>
      </c>
      <c r="D1645" s="572" t="n">
        <v>4.7</v>
      </c>
      <c r="E1645" s="572" t="n">
        <v>4.7</v>
      </c>
      <c r="F1645" s="572" t="n">
        <v>4.7</v>
      </c>
      <c r="G1645" s="565">
        <f>16.1*0.47</f>
        <v/>
      </c>
      <c r="H1645" s="730" t="n">
        <v>0</v>
      </c>
      <c r="I1645" s="758">
        <f>AVERAGE(J1645:Q1645)</f>
        <v/>
      </c>
      <c r="J1645" s="563" t="n">
        <v>23.7</v>
      </c>
      <c r="K1645" s="564" t="n">
        <v>11.1</v>
      </c>
      <c r="L1645" s="564" t="n">
        <v>4.7</v>
      </c>
      <c r="M1645" s="574" t="n">
        <v>32.5</v>
      </c>
      <c r="N1645" s="574" t="n">
        <v>5.9</v>
      </c>
      <c r="O1645" s="574" t="n">
        <v>24</v>
      </c>
      <c r="P1645" s="574" t="n">
        <v>36.1</v>
      </c>
      <c r="Q1645" s="564" t="n">
        <v>29.1</v>
      </c>
      <c r="R1645" s="757" t="n">
        <v>1</v>
      </c>
      <c r="S1645" s="55" t="n"/>
      <c r="T1645" s="55" t="n"/>
      <c r="U1645" s="55" t="n"/>
      <c r="V1645" s="55" t="n">
        <v>18.3</v>
      </c>
      <c r="W1645" s="572" t="n"/>
      <c r="X1645" s="572" t="n">
        <v>30</v>
      </c>
      <c r="Y1645" s="55" t="n">
        <v>40.1</v>
      </c>
    </row>
    <row r="1646">
      <c r="A1646" s="20" t="inlineStr">
        <is>
          <t>Tropical Wet</t>
        </is>
      </c>
      <c r="B1646" s="401" t="inlineStr">
        <is>
          <t>South America</t>
        </is>
      </c>
      <c r="C1646" s="20">
        <f>CONCATENATE(A1646,B1646)</f>
        <v/>
      </c>
      <c r="D1646" s="572" t="n">
        <v>4.7</v>
      </c>
      <c r="E1646" s="572" t="n">
        <v>4.7</v>
      </c>
      <c r="F1646" s="572" t="n">
        <v>4.7</v>
      </c>
      <c r="G1646" s="565">
        <f>16.1*0.47</f>
        <v/>
      </c>
      <c r="H1646" s="730" t="n">
        <v>0</v>
      </c>
      <c r="I1646" s="758">
        <f>AVERAGE(J1646:Q1646)</f>
        <v/>
      </c>
      <c r="J1646" s="563" t="n">
        <v>23.7</v>
      </c>
      <c r="K1646" s="564" t="n">
        <v>11.1</v>
      </c>
      <c r="L1646" s="564" t="n">
        <v>4.7</v>
      </c>
      <c r="M1646" s="574" t="n">
        <v>32.5</v>
      </c>
      <c r="N1646" s="574" t="n">
        <v>5.9</v>
      </c>
      <c r="O1646" s="574" t="n">
        <v>24</v>
      </c>
      <c r="P1646" s="574" t="n">
        <v>36.1</v>
      </c>
      <c r="Q1646" s="564" t="n">
        <v>29.1</v>
      </c>
      <c r="R1646" s="757" t="n">
        <v>1</v>
      </c>
      <c r="S1646" s="55" t="n"/>
      <c r="T1646" s="55" t="n"/>
      <c r="U1646" s="55" t="n"/>
      <c r="V1646" s="55" t="n">
        <v>18.3</v>
      </c>
      <c r="W1646" s="572" t="n"/>
      <c r="X1646" s="572" t="n">
        <v>30</v>
      </c>
      <c r="Y1646" s="55" t="n">
        <v>40.1</v>
      </c>
    </row>
    <row r="1647">
      <c r="A1647" s="20" t="inlineStr">
        <is>
          <t>Tropical Wet</t>
        </is>
      </c>
      <c r="B1647" s="401" t="inlineStr">
        <is>
          <t>Central America</t>
        </is>
      </c>
      <c r="C1647" s="20">
        <f>CONCATENATE(A1647,B1647)</f>
        <v/>
      </c>
      <c r="D1647" s="572" t="n">
        <v>4.7</v>
      </c>
      <c r="E1647" s="572" t="n">
        <v>4.7</v>
      </c>
      <c r="F1647" s="572" t="n">
        <v>4.7</v>
      </c>
      <c r="G1647" s="565">
        <f>16.1*0.47</f>
        <v/>
      </c>
      <c r="H1647" s="730" t="n">
        <v>0</v>
      </c>
      <c r="I1647" s="758">
        <f>AVERAGE(J1647:Q1647)</f>
        <v/>
      </c>
      <c r="J1647" s="563" t="n">
        <v>23.7</v>
      </c>
      <c r="K1647" s="564" t="n">
        <v>11.1</v>
      </c>
      <c r="L1647" s="564" t="n">
        <v>4.7</v>
      </c>
      <c r="M1647" s="574" t="n">
        <v>32.5</v>
      </c>
      <c r="N1647" s="574" t="n">
        <v>5.9</v>
      </c>
      <c r="O1647" s="574" t="n">
        <v>24</v>
      </c>
      <c r="P1647" s="574" t="n">
        <v>36.1</v>
      </c>
      <c r="Q1647" s="564" t="n">
        <v>29.1</v>
      </c>
      <c r="R1647" s="757" t="n">
        <v>1</v>
      </c>
      <c r="S1647" s="55" t="n"/>
      <c r="T1647" s="55" t="n"/>
      <c r="U1647" s="55" t="n"/>
      <c r="V1647" s="55" t="n">
        <v>18.3</v>
      </c>
      <c r="W1647" s="572" t="n"/>
      <c r="X1647" s="572" t="n">
        <v>30</v>
      </c>
      <c r="Y1647" s="55" t="n">
        <v>40.1</v>
      </c>
    </row>
    <row r="1648">
      <c r="A1648" s="37" t="inlineStr">
        <is>
          <t>Tropical Wet</t>
        </is>
      </c>
      <c r="B1648" s="402" t="inlineStr">
        <is>
          <t>Caribbean</t>
        </is>
      </c>
      <c r="C1648" s="37">
        <f>CONCATENATE(A1648,B1648)</f>
        <v/>
      </c>
      <c r="D1648" s="420" t="n">
        <v>4.7</v>
      </c>
      <c r="E1648" s="420" t="n">
        <v>4.7</v>
      </c>
      <c r="F1648" s="420" t="n">
        <v>4.7</v>
      </c>
      <c r="G1648" s="565">
        <f>16.1*0.47</f>
        <v/>
      </c>
      <c r="H1648" s="731" t="n">
        <v>0</v>
      </c>
      <c r="I1648" s="760">
        <f>AVERAGE(J1648:Q1648)</f>
        <v/>
      </c>
      <c r="J1648" s="563" t="n">
        <v>23.7</v>
      </c>
      <c r="K1648" s="564" t="n">
        <v>11.1</v>
      </c>
      <c r="L1648" s="564" t="n">
        <v>4.7</v>
      </c>
      <c r="M1648" s="574" t="n">
        <v>32.5</v>
      </c>
      <c r="N1648" s="574" t="n">
        <v>5.9</v>
      </c>
      <c r="O1648" s="574" t="n">
        <v>24</v>
      </c>
      <c r="P1648" s="574" t="n">
        <v>36.1</v>
      </c>
      <c r="Q1648" s="577" t="n">
        <v>29.1</v>
      </c>
      <c r="R1648" s="763" t="n">
        <v>1</v>
      </c>
      <c r="S1648" s="579" t="n"/>
      <c r="T1648" s="579" t="n"/>
      <c r="U1648" s="579" t="n"/>
      <c r="V1648" s="55" t="n">
        <v>18.3</v>
      </c>
      <c r="W1648" s="572" t="n"/>
      <c r="X1648" s="420" t="n">
        <v>30</v>
      </c>
      <c r="Y1648" s="579" t="n">
        <v>40.1</v>
      </c>
    </row>
    <row r="1649">
      <c r="A1649" s="63" t="inlineStr">
        <is>
          <t>Boreal Dry</t>
        </is>
      </c>
      <c r="B1649" s="410" t="inlineStr">
        <is>
          <t>Eastern Africa</t>
        </is>
      </c>
      <c r="C1649" s="63">
        <f>CONCATENATE(A1649,B1649)</f>
        <v/>
      </c>
      <c r="D1649" s="569" t="n">
        <v>4.7</v>
      </c>
      <c r="E1649" s="569" t="n">
        <v>4.7</v>
      </c>
      <c r="F1649" s="569" t="n">
        <v>4.7</v>
      </c>
      <c r="G1649" s="582">
        <f>8.5*0.47</f>
        <v/>
      </c>
      <c r="H1649" s="729" t="n">
        <v>0</v>
      </c>
      <c r="I1649" s="755">
        <f>AVERAGE(J1649:Q1649)</f>
        <v/>
      </c>
      <c r="J1649" s="570" t="n"/>
      <c r="K1649" s="569" t="n"/>
      <c r="L1649" s="583" t="n">
        <v>13.1</v>
      </c>
      <c r="M1649" s="570" t="n"/>
      <c r="N1649" s="567" t="n"/>
      <c r="O1649" s="569" t="n"/>
      <c r="P1649" s="569" t="n">
        <v>13.7</v>
      </c>
      <c r="Q1649" s="583" t="n">
        <v>35</v>
      </c>
      <c r="R1649" s="764" t="n">
        <v>1</v>
      </c>
      <c r="S1649" s="55" t="n">
        <v>6.9</v>
      </c>
      <c r="T1649" s="55" t="n">
        <v>6.4</v>
      </c>
      <c r="U1649" s="55" t="n">
        <v>6.35</v>
      </c>
      <c r="V1649" s="567" t="n">
        <v>18.3</v>
      </c>
      <c r="W1649" s="567" t="n">
        <v>2.8</v>
      </c>
      <c r="X1649" s="55" t="n"/>
      <c r="Y1649" s="573" t="n"/>
    </row>
    <row r="1650">
      <c r="A1650" s="20" t="inlineStr">
        <is>
          <t>Boreal Dry</t>
        </is>
      </c>
      <c r="B1650" s="411" t="inlineStr">
        <is>
          <t>Central Africa</t>
        </is>
      </c>
      <c r="C1650" s="20">
        <f>CONCATENATE(A1650,B1650)</f>
        <v/>
      </c>
      <c r="D1650" s="572" t="n">
        <v>4.7</v>
      </c>
      <c r="E1650" s="572" t="n">
        <v>4.7</v>
      </c>
      <c r="F1650" s="572" t="n">
        <v>4.7</v>
      </c>
      <c r="G1650" s="565">
        <f>8.5*0.47</f>
        <v/>
      </c>
      <c r="H1650" s="730" t="n">
        <v>0</v>
      </c>
      <c r="I1650" s="758">
        <f>AVERAGE(J1650:Q1650)</f>
        <v/>
      </c>
      <c r="J1650" s="573" t="n"/>
      <c r="K1650" s="572" t="n"/>
      <c r="L1650" s="564" t="n">
        <v>13.1</v>
      </c>
      <c r="M1650" s="573" t="n"/>
      <c r="N1650" s="55" t="n"/>
      <c r="O1650" s="572" t="n"/>
      <c r="P1650" s="572" t="n">
        <v>13.7</v>
      </c>
      <c r="Q1650" s="564" t="n">
        <v>35</v>
      </c>
      <c r="R1650" s="765" t="n">
        <v>1</v>
      </c>
      <c r="S1650" s="55" t="n">
        <v>6.9</v>
      </c>
      <c r="T1650" s="55" t="n">
        <v>6.4</v>
      </c>
      <c r="U1650" s="55" t="n">
        <v>6.35</v>
      </c>
      <c r="V1650" s="55" t="n">
        <v>18.3</v>
      </c>
      <c r="W1650" s="55" t="n">
        <v>2.8</v>
      </c>
      <c r="X1650" s="55" t="n"/>
      <c r="Y1650" s="573" t="n"/>
    </row>
    <row r="1651">
      <c r="A1651" s="20" t="inlineStr">
        <is>
          <t>Boreal Dry</t>
        </is>
      </c>
      <c r="B1651" s="411" t="inlineStr">
        <is>
          <t>Northern Africa</t>
        </is>
      </c>
      <c r="C1651" s="20">
        <f>CONCATENATE(A1651,B1651)</f>
        <v/>
      </c>
      <c r="D1651" s="572" t="n">
        <v>4.7</v>
      </c>
      <c r="E1651" s="572" t="n">
        <v>4.7</v>
      </c>
      <c r="F1651" s="572" t="n">
        <v>4.7</v>
      </c>
      <c r="G1651" s="565">
        <f>8.5*0.47</f>
        <v/>
      </c>
      <c r="H1651" s="730" t="n">
        <v>0</v>
      </c>
      <c r="I1651" s="758">
        <f>AVERAGE(J1651:Q1651)</f>
        <v/>
      </c>
      <c r="J1651" s="573" t="n"/>
      <c r="K1651" s="572" t="n"/>
      <c r="L1651" s="564" t="n">
        <v>13.1</v>
      </c>
      <c r="M1651" s="573" t="n"/>
      <c r="N1651" s="55" t="n"/>
      <c r="O1651" s="572" t="n"/>
      <c r="P1651" s="572" t="n">
        <v>13.7</v>
      </c>
      <c r="Q1651" s="564" t="n">
        <v>35</v>
      </c>
      <c r="R1651" s="765" t="n">
        <v>1</v>
      </c>
      <c r="S1651" s="55" t="n">
        <v>6.9</v>
      </c>
      <c r="T1651" s="55" t="n">
        <v>6.4</v>
      </c>
      <c r="U1651" s="55" t="n">
        <v>6.35</v>
      </c>
      <c r="V1651" s="55" t="n">
        <v>18.3</v>
      </c>
      <c r="W1651" s="55" t="n">
        <v>2.8</v>
      </c>
      <c r="X1651" s="55" t="n"/>
      <c r="Y1651" s="573" t="n"/>
    </row>
    <row r="1652">
      <c r="A1652" s="20" t="inlineStr">
        <is>
          <t>Boreal Dry</t>
        </is>
      </c>
      <c r="B1652" s="411" t="inlineStr">
        <is>
          <t>Southern Africa</t>
        </is>
      </c>
      <c r="C1652" s="20">
        <f>CONCATENATE(A1652,B1652)</f>
        <v/>
      </c>
      <c r="D1652" s="572" t="n">
        <v>4.7</v>
      </c>
      <c r="E1652" s="572" t="n">
        <v>4.7</v>
      </c>
      <c r="F1652" s="572" t="n">
        <v>4.7</v>
      </c>
      <c r="G1652" s="565">
        <f>8.5*0.47</f>
        <v/>
      </c>
      <c r="H1652" s="730" t="n">
        <v>0</v>
      </c>
      <c r="I1652" s="758">
        <f>AVERAGE(J1652:Q1652)</f>
        <v/>
      </c>
      <c r="J1652" s="573" t="n"/>
      <c r="K1652" s="572" t="n"/>
      <c r="L1652" s="564" t="n">
        <v>13.1</v>
      </c>
      <c r="M1652" s="573" t="n"/>
      <c r="N1652" s="55" t="n"/>
      <c r="O1652" s="572" t="n"/>
      <c r="P1652" s="572" t="n">
        <v>13.7</v>
      </c>
      <c r="Q1652" s="564" t="n">
        <v>35</v>
      </c>
      <c r="R1652" s="765" t="n">
        <v>1</v>
      </c>
      <c r="S1652" s="55" t="n">
        <v>6.9</v>
      </c>
      <c r="T1652" s="55" t="n">
        <v>6.4</v>
      </c>
      <c r="U1652" s="55" t="n">
        <v>6.35</v>
      </c>
      <c r="V1652" s="55" t="n">
        <v>18.3</v>
      </c>
      <c r="W1652" s="55" t="n">
        <v>2.8</v>
      </c>
      <c r="X1652" s="55" t="n"/>
      <c r="Y1652" s="573" t="n"/>
    </row>
    <row r="1653">
      <c r="A1653" s="20" t="inlineStr">
        <is>
          <t>Boreal Dry</t>
        </is>
      </c>
      <c r="B1653" s="411" t="inlineStr">
        <is>
          <t>Western Africa</t>
        </is>
      </c>
      <c r="C1653" s="20">
        <f>CONCATENATE(A1653,B1653)</f>
        <v/>
      </c>
      <c r="D1653" s="572" t="n">
        <v>4.7</v>
      </c>
      <c r="E1653" s="572" t="n">
        <v>4.7</v>
      </c>
      <c r="F1653" s="572" t="n">
        <v>4.7</v>
      </c>
      <c r="G1653" s="565">
        <f>8.5*0.47</f>
        <v/>
      </c>
      <c r="H1653" s="730" t="n">
        <v>0</v>
      </c>
      <c r="I1653" s="758">
        <f>AVERAGE(J1653:Q1653)</f>
        <v/>
      </c>
      <c r="J1653" s="573" t="n"/>
      <c r="K1653" s="572" t="n"/>
      <c r="L1653" s="564" t="n">
        <v>13.1</v>
      </c>
      <c r="M1653" s="573" t="n"/>
      <c r="N1653" s="55" t="n"/>
      <c r="O1653" s="572" t="n"/>
      <c r="P1653" s="572" t="n">
        <v>13.7</v>
      </c>
      <c r="Q1653" s="564" t="n">
        <v>35</v>
      </c>
      <c r="R1653" s="765" t="n">
        <v>1</v>
      </c>
      <c r="S1653" s="55" t="n">
        <v>6.9</v>
      </c>
      <c r="T1653" s="55" t="n">
        <v>6.4</v>
      </c>
      <c r="U1653" s="55" t="n">
        <v>6.35</v>
      </c>
      <c r="V1653" s="55" t="n">
        <v>18.3</v>
      </c>
      <c r="W1653" s="55" t="n">
        <v>2.8</v>
      </c>
      <c r="X1653" s="55" t="n"/>
      <c r="Y1653" s="573" t="n"/>
    </row>
    <row r="1654">
      <c r="A1654" s="20" t="inlineStr">
        <is>
          <t>Boreal Dry</t>
        </is>
      </c>
      <c r="B1654" s="411" t="inlineStr">
        <is>
          <t>Central Asia</t>
        </is>
      </c>
      <c r="C1654" s="20">
        <f>CONCATENATE(A1654,B1654)</f>
        <v/>
      </c>
      <c r="D1654" s="572" t="n">
        <v>4.7</v>
      </c>
      <c r="E1654" s="572" t="n">
        <v>4.7</v>
      </c>
      <c r="F1654" s="572" t="n">
        <v>4.7</v>
      </c>
      <c r="G1654" s="565">
        <f>8.5*0.47</f>
        <v/>
      </c>
      <c r="H1654" s="730" t="n">
        <v>0</v>
      </c>
      <c r="I1654" s="758">
        <f>AVERAGE(J1654:Q1654)</f>
        <v/>
      </c>
      <c r="J1654" s="573" t="n"/>
      <c r="K1654" s="572" t="n"/>
      <c r="L1654" s="564" t="n">
        <v>13.1</v>
      </c>
      <c r="M1654" s="573" t="n"/>
      <c r="N1654" s="55" t="n"/>
      <c r="O1654" s="572" t="n"/>
      <c r="P1654" s="572" t="n">
        <v>13.7</v>
      </c>
      <c r="Q1654" s="564" t="n">
        <v>35</v>
      </c>
      <c r="R1654" s="765" t="n">
        <v>1</v>
      </c>
      <c r="S1654" s="55" t="n">
        <v>6.9</v>
      </c>
      <c r="T1654" s="55" t="n">
        <v>6.4</v>
      </c>
      <c r="U1654" s="55" t="n">
        <v>6.35</v>
      </c>
      <c r="V1654" s="55" t="n">
        <v>18.3</v>
      </c>
      <c r="W1654" s="55" t="n">
        <v>2.8</v>
      </c>
      <c r="X1654" s="55" t="n"/>
      <c r="Y1654" s="573" t="n"/>
    </row>
    <row r="1655">
      <c r="A1655" s="20" t="inlineStr">
        <is>
          <t>Boreal Dry</t>
        </is>
      </c>
      <c r="B1655" s="411" t="inlineStr">
        <is>
          <t>Eastern Asia</t>
        </is>
      </c>
      <c r="C1655" s="20">
        <f>CONCATENATE(A1655,B1655)</f>
        <v/>
      </c>
      <c r="D1655" s="572" t="n">
        <v>4.7</v>
      </c>
      <c r="E1655" s="572" t="n">
        <v>4.7</v>
      </c>
      <c r="F1655" s="572" t="n">
        <v>4.7</v>
      </c>
      <c r="G1655" s="565">
        <f>8.5*0.47</f>
        <v/>
      </c>
      <c r="H1655" s="730" t="n">
        <v>0</v>
      </c>
      <c r="I1655" s="758">
        <f>AVERAGE(J1655:Q1655)</f>
        <v/>
      </c>
      <c r="J1655" s="573" t="n"/>
      <c r="K1655" s="572" t="n"/>
      <c r="L1655" s="564" t="n">
        <v>13.1</v>
      </c>
      <c r="M1655" s="573" t="n"/>
      <c r="N1655" s="55" t="n"/>
      <c r="O1655" s="572" t="n"/>
      <c r="P1655" s="572" t="n">
        <v>13.7</v>
      </c>
      <c r="Q1655" s="564" t="n">
        <v>35</v>
      </c>
      <c r="R1655" s="765" t="n">
        <v>1</v>
      </c>
      <c r="S1655" s="55" t="n">
        <v>6.9</v>
      </c>
      <c r="T1655" s="55" t="n">
        <v>6.4</v>
      </c>
      <c r="U1655" s="55" t="n">
        <v>6.35</v>
      </c>
      <c r="V1655" s="55" t="n">
        <v>18.3</v>
      </c>
      <c r="W1655" s="55" t="n">
        <v>2.8</v>
      </c>
      <c r="X1655" s="55" t="n"/>
      <c r="Y1655" s="573" t="n"/>
    </row>
    <row r="1656">
      <c r="A1656" s="20" t="inlineStr">
        <is>
          <t>Boreal Dry</t>
        </is>
      </c>
      <c r="B1656" s="411" t="inlineStr">
        <is>
          <t>South-eastern Asia</t>
        </is>
      </c>
      <c r="C1656" s="20">
        <f>CONCATENATE(A1656,B1656)</f>
        <v/>
      </c>
      <c r="D1656" s="572" t="n">
        <v>4.7</v>
      </c>
      <c r="E1656" s="572" t="n">
        <v>4.7</v>
      </c>
      <c r="F1656" s="572" t="n">
        <v>4.7</v>
      </c>
      <c r="G1656" s="565">
        <f>8.5*0.47</f>
        <v/>
      </c>
      <c r="H1656" s="730" t="n">
        <v>0</v>
      </c>
      <c r="I1656" s="758">
        <f>AVERAGE(J1656:Q1656)</f>
        <v/>
      </c>
      <c r="J1656" s="573" t="n"/>
      <c r="K1656" s="572" t="n"/>
      <c r="L1656" s="564" t="n">
        <v>13.1</v>
      </c>
      <c r="M1656" s="573" t="n"/>
      <c r="N1656" s="55" t="n"/>
      <c r="O1656" s="572" t="n"/>
      <c r="P1656" s="572" t="n">
        <v>13.7</v>
      </c>
      <c r="Q1656" s="564" t="n">
        <v>35</v>
      </c>
      <c r="R1656" s="765" t="n">
        <v>1</v>
      </c>
      <c r="S1656" s="55" t="n">
        <v>6.9</v>
      </c>
      <c r="T1656" s="55" t="n">
        <v>6.4</v>
      </c>
      <c r="U1656" s="55" t="n">
        <v>6.35</v>
      </c>
      <c r="V1656" s="55" t="n">
        <v>18.3</v>
      </c>
      <c r="W1656" s="55" t="n">
        <v>2.8</v>
      </c>
      <c r="X1656" s="55" t="n"/>
      <c r="Y1656" s="573" t="n"/>
    </row>
    <row r="1657">
      <c r="A1657" s="20" t="inlineStr">
        <is>
          <t>Boreal Dry</t>
        </is>
      </c>
      <c r="B1657" s="411" t="inlineStr">
        <is>
          <t>Southern Asia</t>
        </is>
      </c>
      <c r="C1657" s="20">
        <f>CONCATENATE(A1657,B1657)</f>
        <v/>
      </c>
      <c r="D1657" s="572" t="n">
        <v>4.7</v>
      </c>
      <c r="E1657" s="572" t="n">
        <v>4.7</v>
      </c>
      <c r="F1657" s="572" t="n">
        <v>4.7</v>
      </c>
      <c r="G1657" s="565">
        <f>8.5*0.47</f>
        <v/>
      </c>
      <c r="H1657" s="730" t="n">
        <v>0</v>
      </c>
      <c r="I1657" s="758">
        <f>AVERAGE(J1657:Q1657)</f>
        <v/>
      </c>
      <c r="J1657" s="573" t="n"/>
      <c r="K1657" s="572" t="n"/>
      <c r="L1657" s="564" t="n">
        <v>13.1</v>
      </c>
      <c r="M1657" s="573" t="n"/>
      <c r="N1657" s="55" t="n"/>
      <c r="O1657" s="572" t="n"/>
      <c r="P1657" s="572" t="n">
        <v>13.7</v>
      </c>
      <c r="Q1657" s="564" t="n">
        <v>35</v>
      </c>
      <c r="R1657" s="765" t="n">
        <v>1</v>
      </c>
      <c r="S1657" s="55" t="n">
        <v>6.9</v>
      </c>
      <c r="T1657" s="55" t="n">
        <v>6.4</v>
      </c>
      <c r="U1657" s="55" t="n">
        <v>6.35</v>
      </c>
      <c r="V1657" s="55" t="n">
        <v>18.3</v>
      </c>
      <c r="W1657" s="55" t="n">
        <v>2.8</v>
      </c>
      <c r="X1657" s="55" t="n"/>
      <c r="Y1657" s="573" t="n"/>
    </row>
    <row r="1658">
      <c r="A1658" s="20" t="inlineStr">
        <is>
          <t>Boreal Dry</t>
        </is>
      </c>
      <c r="B1658" s="411" t="inlineStr">
        <is>
          <t>Western Asia</t>
        </is>
      </c>
      <c r="C1658" s="20">
        <f>CONCATENATE(A1658,B1658)</f>
        <v/>
      </c>
      <c r="D1658" s="572" t="n">
        <v>4.7</v>
      </c>
      <c r="E1658" s="572" t="n">
        <v>4.7</v>
      </c>
      <c r="F1658" s="572" t="n">
        <v>4.7</v>
      </c>
      <c r="G1658" s="565">
        <f>8.5*0.47</f>
        <v/>
      </c>
      <c r="H1658" s="730" t="n">
        <v>0</v>
      </c>
      <c r="I1658" s="758">
        <f>AVERAGE(J1658:Q1658)</f>
        <v/>
      </c>
      <c r="J1658" s="573" t="n"/>
      <c r="K1658" s="572" t="n"/>
      <c r="L1658" s="564" t="n">
        <v>13.1</v>
      </c>
      <c r="M1658" s="573" t="n"/>
      <c r="N1658" s="55" t="n"/>
      <c r="O1658" s="572" t="n"/>
      <c r="P1658" s="572" t="n">
        <v>13.7</v>
      </c>
      <c r="Q1658" s="564" t="n">
        <v>35</v>
      </c>
      <c r="R1658" s="765" t="n">
        <v>1</v>
      </c>
      <c r="S1658" s="55" t="n">
        <v>6.9</v>
      </c>
      <c r="T1658" s="55" t="n">
        <v>6.4</v>
      </c>
      <c r="U1658" s="55" t="n">
        <v>6.35</v>
      </c>
      <c r="V1658" s="55" t="n">
        <v>18.3</v>
      </c>
      <c r="W1658" s="55" t="n">
        <v>2.8</v>
      </c>
      <c r="X1658" s="55" t="n"/>
      <c r="Y1658" s="573" t="n"/>
    </row>
    <row r="1659">
      <c r="A1659" s="20" t="inlineStr">
        <is>
          <t>Boreal Dry</t>
        </is>
      </c>
      <c r="B1659" s="411" t="inlineStr">
        <is>
          <t>Europe</t>
        </is>
      </c>
      <c r="C1659" s="20">
        <f>CONCATENATE(A1659,B1659)</f>
        <v/>
      </c>
      <c r="D1659" s="572" t="n">
        <v>4.7</v>
      </c>
      <c r="E1659" s="572" t="n">
        <v>4.7</v>
      </c>
      <c r="F1659" s="572" t="n">
        <v>4.7</v>
      </c>
      <c r="G1659" s="565">
        <f>8.5*0.47</f>
        <v/>
      </c>
      <c r="H1659" s="730" t="n">
        <v>0</v>
      </c>
      <c r="I1659" s="758">
        <f>AVERAGE(J1659:Q1659)</f>
        <v/>
      </c>
      <c r="J1659" s="573" t="n"/>
      <c r="K1659" s="572" t="n"/>
      <c r="L1659" s="564" t="n">
        <v>13.1</v>
      </c>
      <c r="M1659" s="573" t="n"/>
      <c r="N1659" s="55" t="n"/>
      <c r="O1659" s="572" t="n"/>
      <c r="P1659" s="572" t="n">
        <v>13.7</v>
      </c>
      <c r="Q1659" s="564" t="n">
        <v>35</v>
      </c>
      <c r="R1659" s="765" t="n">
        <v>1</v>
      </c>
      <c r="S1659" s="55" t="n">
        <v>6.9</v>
      </c>
      <c r="T1659" s="55" t="n">
        <v>6.4</v>
      </c>
      <c r="U1659" s="55" t="n">
        <v>6.35</v>
      </c>
      <c r="V1659" s="55" t="n">
        <v>18.3</v>
      </c>
      <c r="W1659" s="55" t="n">
        <v>2.8</v>
      </c>
      <c r="X1659" s="55" t="n"/>
      <c r="Y1659" s="573" t="n"/>
    </row>
    <row r="1660">
      <c r="A1660" s="20" t="inlineStr">
        <is>
          <t>Boreal Dry</t>
        </is>
      </c>
      <c r="B1660" s="411" t="inlineStr">
        <is>
          <t>Oceania</t>
        </is>
      </c>
      <c r="C1660" s="20">
        <f>CONCATENATE(A1660,B1660)</f>
        <v/>
      </c>
      <c r="D1660" s="572" t="n">
        <v>4.7</v>
      </c>
      <c r="E1660" s="572" t="n">
        <v>4.7</v>
      </c>
      <c r="F1660" s="572" t="n">
        <v>4.7</v>
      </c>
      <c r="G1660" s="565">
        <f>8.5*0.47</f>
        <v/>
      </c>
      <c r="H1660" s="730" t="n">
        <v>0</v>
      </c>
      <c r="I1660" s="758">
        <f>AVERAGE(J1660:Q1660)</f>
        <v/>
      </c>
      <c r="J1660" s="573" t="n"/>
      <c r="K1660" s="572" t="n"/>
      <c r="L1660" s="564" t="n">
        <v>13.1</v>
      </c>
      <c r="M1660" s="573" t="n"/>
      <c r="N1660" s="55" t="n"/>
      <c r="O1660" s="572" t="n"/>
      <c r="P1660" s="572" t="n">
        <v>13.7</v>
      </c>
      <c r="Q1660" s="564" t="n">
        <v>35</v>
      </c>
      <c r="R1660" s="765" t="n">
        <v>1</v>
      </c>
      <c r="S1660" s="55" t="n">
        <v>6.9</v>
      </c>
      <c r="T1660" s="55" t="n">
        <v>6.4</v>
      </c>
      <c r="U1660" s="55" t="n">
        <v>6.35</v>
      </c>
      <c r="V1660" s="55" t="n">
        <v>18.3</v>
      </c>
      <c r="W1660" s="55" t="n">
        <v>2.8</v>
      </c>
      <c r="X1660" s="55" t="n"/>
      <c r="Y1660" s="573" t="n"/>
    </row>
    <row r="1661">
      <c r="A1661" s="20" t="inlineStr">
        <is>
          <t>Boreal Dry</t>
        </is>
      </c>
      <c r="B1661" s="411" t="inlineStr">
        <is>
          <t>North America</t>
        </is>
      </c>
      <c r="C1661" s="20">
        <f>CONCATENATE(A1661,B1661)</f>
        <v/>
      </c>
      <c r="D1661" s="572" t="n">
        <v>4.7</v>
      </c>
      <c r="E1661" s="572" t="n">
        <v>4.7</v>
      </c>
      <c r="F1661" s="572" t="n">
        <v>4.7</v>
      </c>
      <c r="G1661" s="565">
        <f>8.5*0.47</f>
        <v/>
      </c>
      <c r="H1661" s="730" t="n">
        <v>0</v>
      </c>
      <c r="I1661" s="758">
        <f>AVERAGE(J1661:Q1661)</f>
        <v/>
      </c>
      <c r="J1661" s="573" t="n"/>
      <c r="K1661" s="572" t="n"/>
      <c r="L1661" s="564" t="n">
        <v>13.1</v>
      </c>
      <c r="M1661" s="573" t="n"/>
      <c r="N1661" s="55" t="n"/>
      <c r="O1661" s="572" t="n"/>
      <c r="P1661" s="572" t="n">
        <v>13.7</v>
      </c>
      <c r="Q1661" s="564" t="n">
        <v>35</v>
      </c>
      <c r="R1661" s="765" t="n">
        <v>1</v>
      </c>
      <c r="S1661" s="55" t="n">
        <v>6.9</v>
      </c>
      <c r="T1661" s="55" t="n">
        <v>6.4</v>
      </c>
      <c r="U1661" s="55" t="n">
        <v>6.35</v>
      </c>
      <c r="V1661" s="55" t="n">
        <v>18.3</v>
      </c>
      <c r="W1661" s="55" t="n">
        <v>2.8</v>
      </c>
      <c r="X1661" s="55" t="n"/>
      <c r="Y1661" s="573" t="n"/>
    </row>
    <row r="1662">
      <c r="A1662" s="20" t="inlineStr">
        <is>
          <t>Boreal Dry</t>
        </is>
      </c>
      <c r="B1662" s="411" t="inlineStr">
        <is>
          <t>South America</t>
        </is>
      </c>
      <c r="C1662" s="20">
        <f>CONCATENATE(A1662,B1662)</f>
        <v/>
      </c>
      <c r="D1662" s="572" t="n">
        <v>4.7</v>
      </c>
      <c r="E1662" s="572" t="n">
        <v>4.7</v>
      </c>
      <c r="F1662" s="572" t="n">
        <v>4.7</v>
      </c>
      <c r="G1662" s="565">
        <f>8.5*0.47</f>
        <v/>
      </c>
      <c r="H1662" s="730" t="n">
        <v>0</v>
      </c>
      <c r="I1662" s="758">
        <f>AVERAGE(J1662:Q1662)</f>
        <v/>
      </c>
      <c r="J1662" s="573" t="n"/>
      <c r="K1662" s="572" t="n"/>
      <c r="L1662" s="564" t="n">
        <v>13.1</v>
      </c>
      <c r="M1662" s="573" t="n"/>
      <c r="N1662" s="55" t="n"/>
      <c r="O1662" s="572" t="n"/>
      <c r="P1662" s="572" t="n">
        <v>13.7</v>
      </c>
      <c r="Q1662" s="564" t="n">
        <v>35</v>
      </c>
      <c r="R1662" s="765" t="n">
        <v>1</v>
      </c>
      <c r="S1662" s="55" t="n">
        <v>6.9</v>
      </c>
      <c r="T1662" s="55" t="n">
        <v>6.4</v>
      </c>
      <c r="U1662" s="55" t="n">
        <v>6.35</v>
      </c>
      <c r="V1662" s="55" t="n">
        <v>18.3</v>
      </c>
      <c r="W1662" s="55" t="n">
        <v>2.8</v>
      </c>
      <c r="X1662" s="55" t="n"/>
      <c r="Y1662" s="573" t="n"/>
    </row>
    <row r="1663">
      <c r="A1663" s="20" t="inlineStr">
        <is>
          <t>Boreal Dry</t>
        </is>
      </c>
      <c r="B1663" s="411" t="inlineStr">
        <is>
          <t>Central America</t>
        </is>
      </c>
      <c r="C1663" s="20">
        <f>CONCATENATE(A1663,B1663)</f>
        <v/>
      </c>
      <c r="D1663" s="572" t="n">
        <v>4.7</v>
      </c>
      <c r="E1663" s="572" t="n">
        <v>4.7</v>
      </c>
      <c r="F1663" s="572" t="n">
        <v>4.7</v>
      </c>
      <c r="G1663" s="565">
        <f>8.5*0.47</f>
        <v/>
      </c>
      <c r="H1663" s="730" t="n">
        <v>0</v>
      </c>
      <c r="I1663" s="758">
        <f>AVERAGE(J1663:Q1663)</f>
        <v/>
      </c>
      <c r="J1663" s="573" t="n"/>
      <c r="K1663" s="572" t="n"/>
      <c r="L1663" s="564" t="n">
        <v>13.1</v>
      </c>
      <c r="M1663" s="573" t="n"/>
      <c r="N1663" s="55" t="n"/>
      <c r="O1663" s="572" t="n"/>
      <c r="P1663" s="572" t="n">
        <v>13.7</v>
      </c>
      <c r="Q1663" s="564" t="n">
        <v>35</v>
      </c>
      <c r="R1663" s="765" t="n">
        <v>1</v>
      </c>
      <c r="S1663" s="55" t="n">
        <v>6.9</v>
      </c>
      <c r="T1663" s="55" t="n">
        <v>6.4</v>
      </c>
      <c r="U1663" s="55" t="n">
        <v>6.35</v>
      </c>
      <c r="V1663" s="55" t="n">
        <v>18.3</v>
      </c>
      <c r="W1663" s="55" t="n">
        <v>2.8</v>
      </c>
      <c r="X1663" s="55" t="n"/>
      <c r="Y1663" s="573" t="n"/>
    </row>
    <row r="1664">
      <c r="A1664" s="37" t="inlineStr">
        <is>
          <t>Boreal Dry</t>
        </is>
      </c>
      <c r="B1664" s="412" t="inlineStr">
        <is>
          <t>Caribbean</t>
        </is>
      </c>
      <c r="C1664" s="37">
        <f>CONCATENATE(A1664,B1664)</f>
        <v/>
      </c>
      <c r="D1664" s="420" t="n">
        <v>4.7</v>
      </c>
      <c r="E1664" s="420" t="n">
        <v>4.7</v>
      </c>
      <c r="F1664" s="420" t="n">
        <v>4.7</v>
      </c>
      <c r="G1664" s="578">
        <f>8.5*0.47</f>
        <v/>
      </c>
      <c r="H1664" s="731" t="n">
        <v>0</v>
      </c>
      <c r="I1664" s="760">
        <f>AVERAGE(J1664:Q1664)</f>
        <v/>
      </c>
      <c r="J1664" s="581" t="n"/>
      <c r="K1664" s="420" t="n"/>
      <c r="L1664" s="577" t="n">
        <v>13.1</v>
      </c>
      <c r="M1664" s="581" t="n"/>
      <c r="N1664" s="579" t="n"/>
      <c r="O1664" s="420" t="n"/>
      <c r="P1664" s="420" t="n">
        <v>13.7</v>
      </c>
      <c r="Q1664" s="577" t="n">
        <v>35</v>
      </c>
      <c r="R1664" s="766" t="n">
        <v>1</v>
      </c>
      <c r="S1664" s="55" t="n">
        <v>6.9</v>
      </c>
      <c r="T1664" s="55" t="n">
        <v>6.4</v>
      </c>
      <c r="U1664" s="55" t="n">
        <v>6.35</v>
      </c>
      <c r="V1664" s="55" t="n">
        <v>18.3</v>
      </c>
      <c r="W1664" s="55" t="n">
        <v>2.8</v>
      </c>
      <c r="X1664" s="55" t="n"/>
      <c r="Y1664" s="573" t="n"/>
    </row>
    <row r="1665">
      <c r="A1665" s="63" t="inlineStr">
        <is>
          <t>Boreal Moist</t>
        </is>
      </c>
      <c r="B1665" s="410" t="inlineStr">
        <is>
          <t>Eastern Africa</t>
        </is>
      </c>
      <c r="C1665" s="63">
        <f>CONCATENATE(A1665,B1665)</f>
        <v/>
      </c>
      <c r="D1665" s="569" t="n">
        <v>4.7</v>
      </c>
      <c r="E1665" s="569" t="n">
        <v>4.7</v>
      </c>
      <c r="F1665" s="569" t="n">
        <v>4.7</v>
      </c>
      <c r="G1665" s="582">
        <f>8.5*0.47</f>
        <v/>
      </c>
      <c r="H1665" s="729" t="n">
        <v>0</v>
      </c>
      <c r="I1665" s="755">
        <f>AVERAGE(J1665:Q1665)</f>
        <v/>
      </c>
      <c r="J1665" s="570" t="n"/>
      <c r="K1665" s="569" t="n"/>
      <c r="L1665" s="583" t="n">
        <v>13.1</v>
      </c>
      <c r="M1665" s="570" t="n"/>
      <c r="N1665" s="567" t="n"/>
      <c r="O1665" s="569" t="n"/>
      <c r="P1665" s="569" t="n">
        <v>13.7</v>
      </c>
      <c r="Q1665" s="583" t="n">
        <v>35</v>
      </c>
      <c r="R1665" s="767" t="n">
        <v>1</v>
      </c>
      <c r="S1665" s="569" t="n">
        <v>6.9</v>
      </c>
      <c r="T1665" s="569" t="n">
        <v>6.4</v>
      </c>
      <c r="U1665" s="569" t="n">
        <v>6.35</v>
      </c>
      <c r="V1665" s="569" t="n">
        <v>18.3</v>
      </c>
      <c r="W1665" s="569" t="n">
        <v>2.8</v>
      </c>
      <c r="X1665" s="569" t="n"/>
      <c r="Y1665" s="567" t="n"/>
    </row>
    <row r="1666">
      <c r="A1666" s="20" t="inlineStr">
        <is>
          <t>Boreal Moist</t>
        </is>
      </c>
      <c r="B1666" s="411" t="inlineStr">
        <is>
          <t>Central Africa</t>
        </is>
      </c>
      <c r="C1666" s="20">
        <f>CONCATENATE(A1666,B1666)</f>
        <v/>
      </c>
      <c r="D1666" s="572" t="n">
        <v>4.7</v>
      </c>
      <c r="E1666" s="572" t="n">
        <v>4.7</v>
      </c>
      <c r="F1666" s="572" t="n">
        <v>4.7</v>
      </c>
      <c r="G1666" s="565">
        <f>8.5*0.47</f>
        <v/>
      </c>
      <c r="H1666" s="730" t="n">
        <v>0</v>
      </c>
      <c r="I1666" s="758">
        <f>AVERAGE(J1666:Q1666)</f>
        <v/>
      </c>
      <c r="J1666" s="573" t="n"/>
      <c r="K1666" s="572" t="n"/>
      <c r="L1666" s="564" t="n">
        <v>13.1</v>
      </c>
      <c r="M1666" s="573" t="n"/>
      <c r="N1666" s="55" t="n"/>
      <c r="O1666" s="572" t="n"/>
      <c r="P1666" s="572" t="n">
        <v>13.7</v>
      </c>
      <c r="Q1666" s="564" t="n">
        <v>35</v>
      </c>
      <c r="R1666" s="768" t="n">
        <v>1</v>
      </c>
      <c r="S1666" s="572" t="n">
        <v>6.9</v>
      </c>
      <c r="T1666" s="572" t="n">
        <v>6.4</v>
      </c>
      <c r="U1666" s="572" t="n">
        <v>6.35</v>
      </c>
      <c r="V1666" s="572" t="n">
        <v>18.3</v>
      </c>
      <c r="W1666" s="572" t="n">
        <v>2.8</v>
      </c>
      <c r="X1666" s="572" t="n"/>
      <c r="Y1666" s="55" t="n"/>
    </row>
    <row r="1667">
      <c r="A1667" s="20" t="inlineStr">
        <is>
          <t>Boreal Moist</t>
        </is>
      </c>
      <c r="B1667" s="411" t="inlineStr">
        <is>
          <t>Northern Africa</t>
        </is>
      </c>
      <c r="C1667" s="20">
        <f>CONCATENATE(A1667,B1667)</f>
        <v/>
      </c>
      <c r="D1667" s="572" t="n">
        <v>4.7</v>
      </c>
      <c r="E1667" s="572" t="n">
        <v>4.7</v>
      </c>
      <c r="F1667" s="572" t="n">
        <v>4.7</v>
      </c>
      <c r="G1667" s="565">
        <f>8.5*0.47</f>
        <v/>
      </c>
      <c r="H1667" s="730" t="n">
        <v>0</v>
      </c>
      <c r="I1667" s="758">
        <f>AVERAGE(J1667:Q1667)</f>
        <v/>
      </c>
      <c r="J1667" s="573" t="n"/>
      <c r="K1667" s="572" t="n"/>
      <c r="L1667" s="564" t="n">
        <v>13.1</v>
      </c>
      <c r="M1667" s="573" t="n"/>
      <c r="N1667" s="55" t="n"/>
      <c r="O1667" s="572" t="n"/>
      <c r="P1667" s="572" t="n">
        <v>13.7</v>
      </c>
      <c r="Q1667" s="564" t="n">
        <v>35</v>
      </c>
      <c r="R1667" s="768" t="n">
        <v>1</v>
      </c>
      <c r="S1667" s="572" t="n">
        <v>6.9</v>
      </c>
      <c r="T1667" s="572" t="n">
        <v>6.4</v>
      </c>
      <c r="U1667" s="572" t="n">
        <v>6.35</v>
      </c>
      <c r="V1667" s="572" t="n">
        <v>18.3</v>
      </c>
      <c r="W1667" s="572" t="n">
        <v>2.8</v>
      </c>
      <c r="X1667" s="572" t="n"/>
      <c r="Y1667" s="55" t="n"/>
    </row>
    <row r="1668">
      <c r="A1668" s="20" t="inlineStr">
        <is>
          <t>Boreal Moist</t>
        </is>
      </c>
      <c r="B1668" s="411" t="inlineStr">
        <is>
          <t>Southern Africa</t>
        </is>
      </c>
      <c r="C1668" s="20">
        <f>CONCATENATE(A1668,B1668)</f>
        <v/>
      </c>
      <c r="D1668" s="572" t="n">
        <v>4.7</v>
      </c>
      <c r="E1668" s="572" t="n">
        <v>4.7</v>
      </c>
      <c r="F1668" s="572" t="n">
        <v>4.7</v>
      </c>
      <c r="G1668" s="565">
        <f>8.5*0.47</f>
        <v/>
      </c>
      <c r="H1668" s="730" t="n">
        <v>0</v>
      </c>
      <c r="I1668" s="758">
        <f>AVERAGE(J1668:Q1668)</f>
        <v/>
      </c>
      <c r="J1668" s="573" t="n"/>
      <c r="K1668" s="572" t="n"/>
      <c r="L1668" s="564" t="n">
        <v>13.1</v>
      </c>
      <c r="M1668" s="573" t="n"/>
      <c r="N1668" s="55" t="n"/>
      <c r="O1668" s="572" t="n"/>
      <c r="P1668" s="572" t="n">
        <v>13.7</v>
      </c>
      <c r="Q1668" s="564" t="n">
        <v>35</v>
      </c>
      <c r="R1668" s="768" t="n">
        <v>1</v>
      </c>
      <c r="S1668" s="572" t="n">
        <v>6.9</v>
      </c>
      <c r="T1668" s="572" t="n">
        <v>6.4</v>
      </c>
      <c r="U1668" s="572" t="n">
        <v>6.35</v>
      </c>
      <c r="V1668" s="572" t="n">
        <v>18.3</v>
      </c>
      <c r="W1668" s="572" t="n">
        <v>2.8</v>
      </c>
      <c r="X1668" s="572" t="n"/>
      <c r="Y1668" s="55" t="n"/>
    </row>
    <row r="1669">
      <c r="A1669" s="20" t="inlineStr">
        <is>
          <t>Boreal Moist</t>
        </is>
      </c>
      <c r="B1669" s="411" t="inlineStr">
        <is>
          <t>Western Africa</t>
        </is>
      </c>
      <c r="C1669" s="20">
        <f>CONCATENATE(A1669,B1669)</f>
        <v/>
      </c>
      <c r="D1669" s="572" t="n">
        <v>4.7</v>
      </c>
      <c r="E1669" s="572" t="n">
        <v>4.7</v>
      </c>
      <c r="F1669" s="572" t="n">
        <v>4.7</v>
      </c>
      <c r="G1669" s="565">
        <f>8.5*0.47</f>
        <v/>
      </c>
      <c r="H1669" s="730" t="n">
        <v>0</v>
      </c>
      <c r="I1669" s="758">
        <f>AVERAGE(J1669:Q1669)</f>
        <v/>
      </c>
      <c r="J1669" s="573" t="n"/>
      <c r="K1669" s="572" t="n"/>
      <c r="L1669" s="564" t="n">
        <v>13.1</v>
      </c>
      <c r="M1669" s="573" t="n"/>
      <c r="N1669" s="55" t="n"/>
      <c r="O1669" s="572" t="n"/>
      <c r="P1669" s="572" t="n">
        <v>13.7</v>
      </c>
      <c r="Q1669" s="564" t="n">
        <v>35</v>
      </c>
      <c r="R1669" s="768" t="n">
        <v>1</v>
      </c>
      <c r="S1669" s="572" t="n">
        <v>6.9</v>
      </c>
      <c r="T1669" s="572" t="n">
        <v>6.4</v>
      </c>
      <c r="U1669" s="572" t="n">
        <v>6.35</v>
      </c>
      <c r="V1669" s="572" t="n">
        <v>18.3</v>
      </c>
      <c r="W1669" s="572" t="n">
        <v>2.8</v>
      </c>
      <c r="X1669" s="572" t="n"/>
      <c r="Y1669" s="55" t="n"/>
    </row>
    <row r="1670">
      <c r="A1670" s="20" t="inlineStr">
        <is>
          <t>Boreal Moist</t>
        </is>
      </c>
      <c r="B1670" s="411" t="inlineStr">
        <is>
          <t>Central Asia</t>
        </is>
      </c>
      <c r="C1670" s="20">
        <f>CONCATENATE(A1670,B1670)</f>
        <v/>
      </c>
      <c r="D1670" s="572" t="n">
        <v>4.7</v>
      </c>
      <c r="E1670" s="572" t="n">
        <v>4.7</v>
      </c>
      <c r="F1670" s="572" t="n">
        <v>4.7</v>
      </c>
      <c r="G1670" s="565">
        <f>8.5*0.47</f>
        <v/>
      </c>
      <c r="H1670" s="730" t="n">
        <v>0</v>
      </c>
      <c r="I1670" s="758">
        <f>AVERAGE(J1670:Q1670)</f>
        <v/>
      </c>
      <c r="J1670" s="573" t="n"/>
      <c r="K1670" s="572" t="n"/>
      <c r="L1670" s="564" t="n">
        <v>13.1</v>
      </c>
      <c r="M1670" s="573" t="n"/>
      <c r="N1670" s="55" t="n"/>
      <c r="O1670" s="572" t="n"/>
      <c r="P1670" s="572" t="n">
        <v>13.7</v>
      </c>
      <c r="Q1670" s="564" t="n">
        <v>35</v>
      </c>
      <c r="R1670" s="768" t="n">
        <v>1</v>
      </c>
      <c r="S1670" s="572" t="n">
        <v>6.9</v>
      </c>
      <c r="T1670" s="572" t="n">
        <v>6.4</v>
      </c>
      <c r="U1670" s="572" t="n">
        <v>6.35</v>
      </c>
      <c r="V1670" s="572" t="n">
        <v>18.3</v>
      </c>
      <c r="W1670" s="572" t="n">
        <v>2.8</v>
      </c>
      <c r="X1670" s="572" t="n"/>
      <c r="Y1670" s="55" t="n"/>
    </row>
    <row r="1671">
      <c r="A1671" s="20" t="inlineStr">
        <is>
          <t>Boreal Moist</t>
        </is>
      </c>
      <c r="B1671" s="411" t="inlineStr">
        <is>
          <t>Eastern Asia</t>
        </is>
      </c>
      <c r="C1671" s="20">
        <f>CONCATENATE(A1671,B1671)</f>
        <v/>
      </c>
      <c r="D1671" s="572" t="n">
        <v>4.7</v>
      </c>
      <c r="E1671" s="572" t="n">
        <v>4.7</v>
      </c>
      <c r="F1671" s="572" t="n">
        <v>4.7</v>
      </c>
      <c r="G1671" s="565">
        <f>8.5*0.47</f>
        <v/>
      </c>
      <c r="H1671" s="730" t="n">
        <v>0</v>
      </c>
      <c r="I1671" s="758">
        <f>AVERAGE(J1671:Q1671)</f>
        <v/>
      </c>
      <c r="J1671" s="573" t="n"/>
      <c r="K1671" s="572" t="n"/>
      <c r="L1671" s="564" t="n">
        <v>13.1</v>
      </c>
      <c r="M1671" s="573" t="n"/>
      <c r="N1671" s="55" t="n"/>
      <c r="O1671" s="572" t="n"/>
      <c r="P1671" s="572" t="n">
        <v>13.7</v>
      </c>
      <c r="Q1671" s="564" t="n">
        <v>35</v>
      </c>
      <c r="R1671" s="768" t="n">
        <v>1</v>
      </c>
      <c r="S1671" s="572" t="n">
        <v>6.9</v>
      </c>
      <c r="T1671" s="572" t="n">
        <v>6.4</v>
      </c>
      <c r="U1671" s="572" t="n">
        <v>6.35</v>
      </c>
      <c r="V1671" s="572" t="n">
        <v>18.3</v>
      </c>
      <c r="W1671" s="572" t="n">
        <v>2.8</v>
      </c>
      <c r="X1671" s="572" t="n"/>
      <c r="Y1671" s="55" t="n"/>
    </row>
    <row r="1672">
      <c r="A1672" s="20" t="inlineStr">
        <is>
          <t>Boreal Moist</t>
        </is>
      </c>
      <c r="B1672" s="411" t="inlineStr">
        <is>
          <t>South-eastern Asia</t>
        </is>
      </c>
      <c r="C1672" s="20">
        <f>CONCATENATE(A1672,B1672)</f>
        <v/>
      </c>
      <c r="D1672" s="572" t="n">
        <v>4.7</v>
      </c>
      <c r="E1672" s="572" t="n">
        <v>4.7</v>
      </c>
      <c r="F1672" s="572" t="n">
        <v>4.7</v>
      </c>
      <c r="G1672" s="565">
        <f>8.5*0.47</f>
        <v/>
      </c>
      <c r="H1672" s="730" t="n">
        <v>0</v>
      </c>
      <c r="I1672" s="758">
        <f>AVERAGE(J1672:Q1672)</f>
        <v/>
      </c>
      <c r="J1672" s="573" t="n"/>
      <c r="K1672" s="572" t="n"/>
      <c r="L1672" s="564" t="n">
        <v>13.1</v>
      </c>
      <c r="M1672" s="573" t="n"/>
      <c r="N1672" s="55" t="n"/>
      <c r="O1672" s="572" t="n"/>
      <c r="P1672" s="572" t="n">
        <v>13.7</v>
      </c>
      <c r="Q1672" s="564" t="n">
        <v>35</v>
      </c>
      <c r="R1672" s="768" t="n">
        <v>1</v>
      </c>
      <c r="S1672" s="572" t="n">
        <v>6.9</v>
      </c>
      <c r="T1672" s="572" t="n">
        <v>6.4</v>
      </c>
      <c r="U1672" s="572" t="n">
        <v>6.35</v>
      </c>
      <c r="V1672" s="572" t="n">
        <v>18.3</v>
      </c>
      <c r="W1672" s="572" t="n">
        <v>2.8</v>
      </c>
      <c r="X1672" s="572" t="n"/>
      <c r="Y1672" s="55" t="n"/>
    </row>
    <row r="1673">
      <c r="A1673" s="20" t="inlineStr">
        <is>
          <t>Boreal Moist</t>
        </is>
      </c>
      <c r="B1673" s="411" t="inlineStr">
        <is>
          <t>Southern Asia</t>
        </is>
      </c>
      <c r="C1673" s="20">
        <f>CONCATENATE(A1673,B1673)</f>
        <v/>
      </c>
      <c r="D1673" s="572" t="n">
        <v>4.7</v>
      </c>
      <c r="E1673" s="572" t="n">
        <v>4.7</v>
      </c>
      <c r="F1673" s="572" t="n">
        <v>4.7</v>
      </c>
      <c r="G1673" s="565">
        <f>8.5*0.47</f>
        <v/>
      </c>
      <c r="H1673" s="730" t="n">
        <v>0</v>
      </c>
      <c r="I1673" s="758">
        <f>AVERAGE(J1673:Q1673)</f>
        <v/>
      </c>
      <c r="J1673" s="573" t="n"/>
      <c r="K1673" s="572" t="n"/>
      <c r="L1673" s="564" t="n">
        <v>13.1</v>
      </c>
      <c r="M1673" s="573" t="n"/>
      <c r="N1673" s="55" t="n"/>
      <c r="O1673" s="572" t="n"/>
      <c r="P1673" s="572" t="n">
        <v>13.7</v>
      </c>
      <c r="Q1673" s="564" t="n">
        <v>35</v>
      </c>
      <c r="R1673" s="768" t="n">
        <v>1</v>
      </c>
      <c r="S1673" s="572" t="n">
        <v>6.9</v>
      </c>
      <c r="T1673" s="572" t="n">
        <v>6.4</v>
      </c>
      <c r="U1673" s="572" t="n">
        <v>6.35</v>
      </c>
      <c r="V1673" s="572" t="n">
        <v>18.3</v>
      </c>
      <c r="W1673" s="572" t="n">
        <v>2.8</v>
      </c>
      <c r="X1673" s="572" t="n"/>
      <c r="Y1673" s="55" t="n"/>
    </row>
    <row r="1674">
      <c r="A1674" s="20" t="inlineStr">
        <is>
          <t>Boreal Moist</t>
        </is>
      </c>
      <c r="B1674" s="411" t="inlineStr">
        <is>
          <t>Western Asia</t>
        </is>
      </c>
      <c r="C1674" s="20">
        <f>CONCATENATE(A1674,B1674)</f>
        <v/>
      </c>
      <c r="D1674" s="572" t="n">
        <v>4.7</v>
      </c>
      <c r="E1674" s="572" t="n">
        <v>4.7</v>
      </c>
      <c r="F1674" s="572" t="n">
        <v>4.7</v>
      </c>
      <c r="G1674" s="565">
        <f>8.5*0.47</f>
        <v/>
      </c>
      <c r="H1674" s="730" t="n">
        <v>0</v>
      </c>
      <c r="I1674" s="758">
        <f>AVERAGE(J1674:Q1674)</f>
        <v/>
      </c>
      <c r="J1674" s="573" t="n"/>
      <c r="K1674" s="572" t="n"/>
      <c r="L1674" s="564" t="n">
        <v>13.1</v>
      </c>
      <c r="M1674" s="573" t="n"/>
      <c r="N1674" s="55" t="n"/>
      <c r="O1674" s="572" t="n"/>
      <c r="P1674" s="572" t="n">
        <v>13.7</v>
      </c>
      <c r="Q1674" s="564" t="n">
        <v>35</v>
      </c>
      <c r="R1674" s="768" t="n">
        <v>1</v>
      </c>
      <c r="S1674" s="572" t="n">
        <v>6.9</v>
      </c>
      <c r="T1674" s="572" t="n">
        <v>6.4</v>
      </c>
      <c r="U1674" s="572" t="n">
        <v>6.35</v>
      </c>
      <c r="V1674" s="572" t="n">
        <v>18.3</v>
      </c>
      <c r="W1674" s="572" t="n">
        <v>2.8</v>
      </c>
      <c r="X1674" s="572" t="n"/>
      <c r="Y1674" s="55" t="n"/>
    </row>
    <row r="1675">
      <c r="A1675" s="20" t="inlineStr">
        <is>
          <t>Boreal Moist</t>
        </is>
      </c>
      <c r="B1675" s="411" t="inlineStr">
        <is>
          <t>Europe</t>
        </is>
      </c>
      <c r="C1675" s="20">
        <f>CONCATENATE(A1675,B1675)</f>
        <v/>
      </c>
      <c r="D1675" s="572" t="n">
        <v>4.7</v>
      </c>
      <c r="E1675" s="572" t="n">
        <v>4.7</v>
      </c>
      <c r="F1675" s="572" t="n">
        <v>4.7</v>
      </c>
      <c r="G1675" s="565">
        <f>8.5*0.47</f>
        <v/>
      </c>
      <c r="H1675" s="730" t="n">
        <v>0</v>
      </c>
      <c r="I1675" s="758">
        <f>AVERAGE(J1675:Q1675)</f>
        <v/>
      </c>
      <c r="J1675" s="573" t="n"/>
      <c r="K1675" s="572" t="n"/>
      <c r="L1675" s="564" t="n">
        <v>13.1</v>
      </c>
      <c r="M1675" s="573" t="n"/>
      <c r="N1675" s="55" t="n"/>
      <c r="O1675" s="572" t="n"/>
      <c r="P1675" s="572" t="n">
        <v>13.7</v>
      </c>
      <c r="Q1675" s="564" t="n">
        <v>35</v>
      </c>
      <c r="R1675" s="768" t="n">
        <v>1</v>
      </c>
      <c r="S1675" s="572" t="n">
        <v>6.9</v>
      </c>
      <c r="T1675" s="572" t="n">
        <v>6.4</v>
      </c>
      <c r="U1675" s="572" t="n">
        <v>6.35</v>
      </c>
      <c r="V1675" s="572" t="n">
        <v>18.3</v>
      </c>
      <c r="W1675" s="572" t="n">
        <v>2.8</v>
      </c>
      <c r="X1675" s="572" t="n"/>
      <c r="Y1675" s="55" t="n"/>
    </row>
    <row r="1676">
      <c r="A1676" s="20" t="inlineStr">
        <is>
          <t>Boreal Moist</t>
        </is>
      </c>
      <c r="B1676" s="411" t="inlineStr">
        <is>
          <t>Oceania</t>
        </is>
      </c>
      <c r="C1676" s="20">
        <f>CONCATENATE(A1676,B1676)</f>
        <v/>
      </c>
      <c r="D1676" s="572" t="n">
        <v>4.7</v>
      </c>
      <c r="E1676" s="572" t="n">
        <v>4.7</v>
      </c>
      <c r="F1676" s="572" t="n">
        <v>4.7</v>
      </c>
      <c r="G1676" s="565">
        <f>8.5*0.47</f>
        <v/>
      </c>
      <c r="H1676" s="730" t="n">
        <v>0</v>
      </c>
      <c r="I1676" s="758">
        <f>AVERAGE(J1676:Q1676)</f>
        <v/>
      </c>
      <c r="J1676" s="573" t="n"/>
      <c r="K1676" s="572" t="n"/>
      <c r="L1676" s="564" t="n">
        <v>13.1</v>
      </c>
      <c r="M1676" s="573" t="n"/>
      <c r="N1676" s="55" t="n"/>
      <c r="O1676" s="572" t="n"/>
      <c r="P1676" s="572" t="n">
        <v>13.7</v>
      </c>
      <c r="Q1676" s="564" t="n">
        <v>35</v>
      </c>
      <c r="R1676" s="768" t="n">
        <v>1</v>
      </c>
      <c r="S1676" s="572" t="n">
        <v>6.9</v>
      </c>
      <c r="T1676" s="572" t="n">
        <v>6.4</v>
      </c>
      <c r="U1676" s="572" t="n">
        <v>6.35</v>
      </c>
      <c r="V1676" s="572" t="n">
        <v>18.3</v>
      </c>
      <c r="W1676" s="572" t="n">
        <v>2.8</v>
      </c>
      <c r="X1676" s="572" t="n"/>
      <c r="Y1676" s="55" t="n"/>
    </row>
    <row r="1677">
      <c r="A1677" s="20" t="inlineStr">
        <is>
          <t>Boreal Moist</t>
        </is>
      </c>
      <c r="B1677" s="411" t="inlineStr">
        <is>
          <t>North America</t>
        </is>
      </c>
      <c r="C1677" s="20">
        <f>CONCATENATE(A1677,B1677)</f>
        <v/>
      </c>
      <c r="D1677" s="572" t="n">
        <v>4.7</v>
      </c>
      <c r="E1677" s="572" t="n">
        <v>4.7</v>
      </c>
      <c r="F1677" s="572" t="n">
        <v>4.7</v>
      </c>
      <c r="G1677" s="565">
        <f>8.5*0.47</f>
        <v/>
      </c>
      <c r="H1677" s="730" t="n">
        <v>0</v>
      </c>
      <c r="I1677" s="758">
        <f>AVERAGE(J1677:Q1677)</f>
        <v/>
      </c>
      <c r="J1677" s="573" t="n"/>
      <c r="K1677" s="572" t="n"/>
      <c r="L1677" s="564" t="n">
        <v>13.1</v>
      </c>
      <c r="M1677" s="573" t="n"/>
      <c r="N1677" s="55" t="n"/>
      <c r="O1677" s="572" t="n"/>
      <c r="P1677" s="572" t="n">
        <v>13.7</v>
      </c>
      <c r="Q1677" s="564" t="n">
        <v>35</v>
      </c>
      <c r="R1677" s="768" t="n">
        <v>1</v>
      </c>
      <c r="S1677" s="572" t="n">
        <v>6.9</v>
      </c>
      <c r="T1677" s="572" t="n">
        <v>6.4</v>
      </c>
      <c r="U1677" s="572" t="n">
        <v>6.35</v>
      </c>
      <c r="V1677" s="572" t="n">
        <v>18.3</v>
      </c>
      <c r="W1677" s="572" t="n">
        <v>2.8</v>
      </c>
      <c r="X1677" s="572" t="n"/>
      <c r="Y1677" s="55" t="n"/>
    </row>
    <row r="1678">
      <c r="A1678" s="20" t="inlineStr">
        <is>
          <t>Boreal Moist</t>
        </is>
      </c>
      <c r="B1678" s="411" t="inlineStr">
        <is>
          <t>South America</t>
        </is>
      </c>
      <c r="C1678" s="20">
        <f>CONCATENATE(A1678,B1678)</f>
        <v/>
      </c>
      <c r="D1678" s="572" t="n">
        <v>4.7</v>
      </c>
      <c r="E1678" s="572" t="n">
        <v>4.7</v>
      </c>
      <c r="F1678" s="572" t="n">
        <v>4.7</v>
      </c>
      <c r="G1678" s="565">
        <f>8.5*0.47</f>
        <v/>
      </c>
      <c r="H1678" s="730" t="n">
        <v>0</v>
      </c>
      <c r="I1678" s="758">
        <f>AVERAGE(J1678:Q1678)</f>
        <v/>
      </c>
      <c r="J1678" s="573" t="n"/>
      <c r="K1678" s="572" t="n"/>
      <c r="L1678" s="564" t="n">
        <v>13.1</v>
      </c>
      <c r="M1678" s="573" t="n"/>
      <c r="N1678" s="55" t="n"/>
      <c r="O1678" s="572" t="n"/>
      <c r="P1678" s="572" t="n">
        <v>13.7</v>
      </c>
      <c r="Q1678" s="564" t="n">
        <v>35</v>
      </c>
      <c r="R1678" s="768" t="n">
        <v>1</v>
      </c>
      <c r="S1678" s="572" t="n">
        <v>6.9</v>
      </c>
      <c r="T1678" s="572" t="n">
        <v>6.4</v>
      </c>
      <c r="U1678" s="572" t="n">
        <v>6.35</v>
      </c>
      <c r="V1678" s="572" t="n">
        <v>18.3</v>
      </c>
      <c r="W1678" s="572" t="n">
        <v>2.8</v>
      </c>
      <c r="X1678" s="572" t="n"/>
      <c r="Y1678" s="55" t="n"/>
    </row>
    <row r="1679">
      <c r="A1679" s="20" t="inlineStr">
        <is>
          <t>Boreal Moist</t>
        </is>
      </c>
      <c r="B1679" s="411" t="inlineStr">
        <is>
          <t>Central America</t>
        </is>
      </c>
      <c r="C1679" s="20">
        <f>CONCATENATE(A1679,B1679)</f>
        <v/>
      </c>
      <c r="D1679" s="572" t="n">
        <v>4.7</v>
      </c>
      <c r="E1679" s="572" t="n">
        <v>4.7</v>
      </c>
      <c r="F1679" s="572" t="n">
        <v>4.7</v>
      </c>
      <c r="G1679" s="565">
        <f>8.5*0.47</f>
        <v/>
      </c>
      <c r="H1679" s="730" t="n">
        <v>0</v>
      </c>
      <c r="I1679" s="758">
        <f>AVERAGE(J1679:Q1679)</f>
        <v/>
      </c>
      <c r="J1679" s="573" t="n"/>
      <c r="K1679" s="572" t="n"/>
      <c r="L1679" s="564" t="n">
        <v>13.1</v>
      </c>
      <c r="M1679" s="573" t="n"/>
      <c r="N1679" s="55" t="n"/>
      <c r="O1679" s="572" t="n"/>
      <c r="P1679" s="572" t="n">
        <v>13.7</v>
      </c>
      <c r="Q1679" s="564" t="n">
        <v>35</v>
      </c>
      <c r="R1679" s="768" t="n">
        <v>1</v>
      </c>
      <c r="S1679" s="572" t="n">
        <v>6.9</v>
      </c>
      <c r="T1679" s="572" t="n">
        <v>6.4</v>
      </c>
      <c r="U1679" s="572" t="n">
        <v>6.35</v>
      </c>
      <c r="V1679" s="572" t="n">
        <v>18.3</v>
      </c>
      <c r="W1679" s="572" t="n">
        <v>2.8</v>
      </c>
      <c r="X1679" s="572" t="n"/>
      <c r="Y1679" s="55" t="n"/>
    </row>
    <row r="1680">
      <c r="A1680" s="37" t="inlineStr">
        <is>
          <t>Boreal Moist</t>
        </is>
      </c>
      <c r="B1680" s="412" t="inlineStr">
        <is>
          <t>Caribbean</t>
        </is>
      </c>
      <c r="C1680" s="37">
        <f>CONCATENATE(A1680,B1680)</f>
        <v/>
      </c>
      <c r="D1680" s="420" t="n">
        <v>4.7</v>
      </c>
      <c r="E1680" s="420" t="n">
        <v>4.7</v>
      </c>
      <c r="F1680" s="420" t="n">
        <v>4.7</v>
      </c>
      <c r="G1680" s="578">
        <f>8.5*0.47</f>
        <v/>
      </c>
      <c r="H1680" s="731" t="n">
        <v>0</v>
      </c>
      <c r="I1680" s="760">
        <f>AVERAGE(J1680:Q1680)</f>
        <v/>
      </c>
      <c r="J1680" s="581" t="n"/>
      <c r="K1680" s="420" t="n"/>
      <c r="L1680" s="577" t="n">
        <v>13.1</v>
      </c>
      <c r="M1680" s="581" t="n"/>
      <c r="N1680" s="579" t="n"/>
      <c r="O1680" s="420" t="n"/>
      <c r="P1680" s="420" t="n">
        <v>13.7</v>
      </c>
      <c r="Q1680" s="577" t="n">
        <v>35</v>
      </c>
      <c r="R1680" s="769" t="n">
        <v>1</v>
      </c>
      <c r="S1680" s="420" t="n">
        <v>6.9</v>
      </c>
      <c r="T1680" s="420" t="n">
        <v>6.4</v>
      </c>
      <c r="U1680" s="420" t="n">
        <v>6.35</v>
      </c>
      <c r="V1680" s="420" t="n">
        <v>18.3</v>
      </c>
      <c r="W1680" s="420" t="n">
        <v>2.8</v>
      </c>
      <c r="X1680" s="420" t="n"/>
      <c r="Y1680" s="579" t="n"/>
    </row>
    <row r="1681">
      <c r="A1681" s="527" t="inlineStr">
        <is>
          <t>Notes</t>
        </is>
      </c>
      <c r="B1681" s="291" t="n"/>
      <c r="C1681" s="291" t="n"/>
      <c r="D1681" s="291" t="n"/>
      <c r="E1681" s="291" t="n"/>
      <c r="F1681" s="291" t="n"/>
      <c r="G1681" s="266" t="n"/>
      <c r="H1681" s="63" t="n"/>
      <c r="I1681" s="20" t="n"/>
      <c r="J1681" s="63" t="n"/>
      <c r="K1681" s="63" t="n"/>
      <c r="L1681" s="63" t="n"/>
      <c r="M1681" s="63" t="n"/>
      <c r="N1681" s="63" t="n"/>
      <c r="O1681" s="63" t="n"/>
      <c r="P1681" s="63" t="n"/>
      <c r="Q1681" s="63" t="n"/>
      <c r="R1681" s="552" t="n"/>
      <c r="S1681" s="20" t="n"/>
      <c r="T1681" s="20" t="n"/>
      <c r="U1681" s="20" t="n"/>
      <c r="V1681" s="20" t="n"/>
      <c r="W1681" s="20" t="n"/>
      <c r="X1681" s="20" t="n"/>
      <c r="Y1681" s="269" t="n"/>
    </row>
    <row r="1682">
      <c r="A1682" s="264" t="inlineStr">
        <is>
          <t>Values in red from IPCC 2006</t>
        </is>
      </c>
      <c r="B1682" s="21" t="n"/>
      <c r="C1682" s="21" t="n"/>
      <c r="D1682" s="21" t="n"/>
      <c r="E1682" s="21" t="n"/>
      <c r="F1682" s="21" t="n"/>
      <c r="G1682" s="269" t="n"/>
      <c r="H1682" s="20" t="n"/>
      <c r="I1682" s="20" t="n"/>
      <c r="J1682" s="20" t="n"/>
      <c r="K1682" s="20" t="n"/>
      <c r="L1682" s="20" t="n"/>
      <c r="M1682" s="20" t="n"/>
      <c r="N1682" s="20" t="n"/>
      <c r="O1682" s="20" t="n"/>
      <c r="P1682" s="20" t="n"/>
      <c r="Q1682" s="20" t="n"/>
      <c r="R1682" s="553" t="n"/>
      <c r="S1682" s="20" t="n"/>
      <c r="T1682" s="20" t="n"/>
      <c r="U1682" s="20" t="n"/>
      <c r="V1682" s="20" t="n"/>
      <c r="W1682" s="20" t="n"/>
      <c r="X1682" s="20" t="n"/>
      <c r="Y1682" s="269" t="n"/>
    </row>
    <row r="1683">
      <c r="A1683" s="265" t="inlineStr">
        <is>
          <t xml:space="preserve">For Boreal climate,  the default values of Temperate were used </t>
        </is>
      </c>
      <c r="B1683" s="292" t="n"/>
      <c r="C1683" s="292" t="n"/>
      <c r="D1683" s="292" t="n"/>
      <c r="E1683" s="292" t="n"/>
      <c r="F1683" s="292" t="n"/>
      <c r="G1683" s="272" t="n"/>
      <c r="H1683" s="37" t="n"/>
      <c r="I1683" s="37" t="n"/>
      <c r="J1683" s="37" t="n"/>
      <c r="K1683" s="37" t="n"/>
      <c r="L1683" s="37" t="n"/>
      <c r="M1683" s="37" t="n"/>
      <c r="N1683" s="37" t="n"/>
      <c r="O1683" s="37" t="n"/>
      <c r="P1683" s="37" t="n"/>
      <c r="Q1683" s="37" t="n"/>
      <c r="R1683" s="554" t="n"/>
      <c r="S1683" s="37" t="n"/>
      <c r="T1683" s="37" t="n"/>
      <c r="U1683" s="37" t="n"/>
      <c r="V1683" s="37" t="n"/>
      <c r="W1683" s="37" t="n"/>
      <c r="X1683" s="20" t="n"/>
      <c r="Y1683" s="269" t="n"/>
    </row>
    <row r="1685" customFormat="1" s="125">
      <c r="A1685" s="377" t="inlineStr">
        <is>
          <t>Relative stock change factor for land use (FLU) dimensioless, TABLE 5.5 (UPDATED), in IPCC 2019. To be used for the AFFORESTATION Sheet</t>
        </is>
      </c>
    </row>
    <row r="1686" ht="16.25" customHeight="1">
      <c r="A1686" s="374" t="n"/>
      <c r="B1686" s="522" t="inlineStr">
        <is>
          <t>TABLE 5.5 (UPDATED)</t>
        </is>
      </c>
      <c r="C1686" s="531" t="inlineStr">
        <is>
          <t>TABLE 5.5 (UPDATED)</t>
        </is>
      </c>
      <c r="D1686" s="531" t="inlineStr">
        <is>
          <t>TABLE 5.5 (UPDATED)</t>
        </is>
      </c>
      <c r="E1686" s="539" t="inlineStr">
        <is>
          <t>TABLE 6.2 (UPDATED)</t>
        </is>
      </c>
      <c r="F1686" s="538" t="n"/>
      <c r="G1686" s="531" t="inlineStr">
        <is>
          <t>TABLE 5.5 (UPDATED)</t>
        </is>
      </c>
      <c r="H1686" s="531" t="inlineStr">
        <is>
          <t>TABLE 5.5 (UPDATED)</t>
        </is>
      </c>
      <c r="I1686" s="531" t="inlineStr">
        <is>
          <t>TABLE 5.5 (UPDATED)</t>
        </is>
      </c>
      <c r="J1686" s="531" t="inlineStr">
        <is>
          <t>TABLE 5.5 (UPDATED)</t>
        </is>
      </c>
      <c r="K1686" s="531" t="inlineStr">
        <is>
          <t>TABLE 5.5 (UPDATED)</t>
        </is>
      </c>
      <c r="L1686" s="531" t="inlineStr">
        <is>
          <t>TABLE 5.5 (UPDATED)</t>
        </is>
      </c>
      <c r="M1686" s="531" t="inlineStr">
        <is>
          <t>TABLE 5.5 (UPDATED)</t>
        </is>
      </c>
      <c r="N1686" s="531" t="inlineStr">
        <is>
          <t>TABLE 5.5 (UPDATED)</t>
        </is>
      </c>
      <c r="O1686" s="531" t="inlineStr">
        <is>
          <t>TABLE 5.5 (UPDATED)</t>
        </is>
      </c>
      <c r="P1686" s="555" t="n"/>
      <c r="Q1686" s="531" t="inlineStr">
        <is>
          <t>TABLE 5.5 (UPDATED)</t>
        </is>
      </c>
      <c r="R1686" s="531" t="inlineStr">
        <is>
          <t>TABLE 5.5 (UPDATED)</t>
        </is>
      </c>
      <c r="S1686" s="531" t="inlineStr">
        <is>
          <t>TABLE 5.5 (UPDATED)</t>
        </is>
      </c>
      <c r="T1686" s="531" t="inlineStr">
        <is>
          <t>TABLE 5.5 (UPDATED)</t>
        </is>
      </c>
      <c r="U1686" s="531" t="inlineStr">
        <is>
          <t>TABLE 5.5 (UPDATED)</t>
        </is>
      </c>
      <c r="V1686" s="531" t="inlineStr">
        <is>
          <t>TABLE 5.5 (UPDATED)</t>
        </is>
      </c>
      <c r="W1686" s="531" t="inlineStr">
        <is>
          <t>TABLE 5.5 (UPDATED)</t>
        </is>
      </c>
    </row>
    <row r="1687" customFormat="1" s="291">
      <c r="A1687" s="293" t="inlineStr">
        <is>
          <t>IPCC Climate Region</t>
        </is>
      </c>
      <c r="B1687" s="426" t="inlineStr">
        <is>
          <t>Annual cropland</t>
        </is>
      </c>
      <c r="C1687" s="426" t="inlineStr">
        <is>
          <t>Annual fallow</t>
        </is>
      </c>
      <c r="D1687" s="44" t="inlineStr">
        <is>
          <t>Flooded rice</t>
        </is>
      </c>
      <c r="E1687" s="426" t="inlineStr">
        <is>
          <t>Grassland</t>
        </is>
      </c>
      <c r="F1687" s="774" t="inlineStr">
        <is>
          <t>Other land (non-vegetated)</t>
        </is>
      </c>
      <c r="G1687" s="426" t="inlineStr">
        <is>
          <t>Agroforestry - default</t>
        </is>
      </c>
      <c r="H1687" s="426" t="inlineStr">
        <is>
          <t>Alley cropping</t>
        </is>
      </c>
      <c r="I1687" s="426" t="inlineStr">
        <is>
          <t>Perennial fallow</t>
        </is>
      </c>
      <c r="J1687" s="426" t="inlineStr">
        <is>
          <t>Hedgerow</t>
        </is>
      </c>
      <c r="K1687" s="426" t="inlineStr">
        <is>
          <t>Multistrata</t>
        </is>
      </c>
      <c r="L1687" s="426" t="inlineStr">
        <is>
          <t>Parkland</t>
        </is>
      </c>
      <c r="M1687" s="426" t="inlineStr">
        <is>
          <t>Shaded Perennial</t>
        </is>
      </c>
      <c r="N1687" s="426" t="inlineStr">
        <is>
          <t>Silvoarable</t>
        </is>
      </c>
      <c r="O1687" s="537" t="inlineStr">
        <is>
          <t>Silvopasture</t>
        </is>
      </c>
      <c r="P1687" s="656" t="inlineStr">
        <is>
          <t>Degraded land</t>
        </is>
      </c>
      <c r="Q1687" s="537" t="inlineStr">
        <is>
          <t>Oil palm</t>
        </is>
      </c>
      <c r="R1687" s="537" t="inlineStr">
        <is>
          <t>Rubber</t>
        </is>
      </c>
      <c r="S1687" s="537" t="inlineStr">
        <is>
          <t>Tea</t>
        </is>
      </c>
      <c r="T1687" s="537" t="inlineStr">
        <is>
          <t>Olive</t>
        </is>
      </c>
      <c r="U1687" s="537" t="inlineStr">
        <is>
          <t>Orchard</t>
        </is>
      </c>
      <c r="V1687" s="537" t="inlineStr">
        <is>
          <t>Short Rotation Coppice</t>
        </is>
      </c>
      <c r="W1687" s="537" t="inlineStr">
        <is>
          <t>Vine</t>
        </is>
      </c>
    </row>
    <row r="1688" customFormat="1" s="21">
      <c r="A1688" s="255" t="inlineStr">
        <is>
          <t>Please select</t>
        </is>
      </c>
      <c r="B1688" s="426" t="inlineStr">
        <is>
          <t>FLU</t>
        </is>
      </c>
      <c r="C1688" s="426" t="inlineStr">
        <is>
          <t>FLU</t>
        </is>
      </c>
      <c r="D1688" s="426" t="inlineStr">
        <is>
          <t>FLU</t>
        </is>
      </c>
      <c r="E1688" s="426" t="inlineStr">
        <is>
          <t>FLU</t>
        </is>
      </c>
      <c r="F1688" s="630" t="inlineStr">
        <is>
          <t xml:space="preserve">FLU </t>
        </is>
      </c>
      <c r="G1688" s="426" t="inlineStr">
        <is>
          <t>FLU</t>
        </is>
      </c>
      <c r="H1688" s="426" t="inlineStr">
        <is>
          <t>FLU</t>
        </is>
      </c>
      <c r="I1688" s="426" t="inlineStr">
        <is>
          <t>FLU</t>
        </is>
      </c>
      <c r="J1688" s="426" t="inlineStr">
        <is>
          <t>FLU</t>
        </is>
      </c>
      <c r="K1688" s="426" t="inlineStr">
        <is>
          <t>FLU</t>
        </is>
      </c>
      <c r="L1688" s="426" t="inlineStr">
        <is>
          <t>FLU</t>
        </is>
      </c>
      <c r="M1688" s="426" t="inlineStr">
        <is>
          <t>FLU</t>
        </is>
      </c>
      <c r="N1688" s="426" t="inlineStr">
        <is>
          <t>FLU</t>
        </is>
      </c>
      <c r="O1688" s="426" t="inlineStr">
        <is>
          <t>FLU</t>
        </is>
      </c>
      <c r="P1688" s="426" t="inlineStr">
        <is>
          <t>FLU</t>
        </is>
      </c>
      <c r="Q1688" s="426" t="inlineStr">
        <is>
          <t>FLU</t>
        </is>
      </c>
      <c r="R1688" s="426" t="inlineStr">
        <is>
          <t>FLU</t>
        </is>
      </c>
      <c r="S1688" s="426" t="inlineStr">
        <is>
          <t>FLU</t>
        </is>
      </c>
      <c r="T1688" s="426" t="inlineStr">
        <is>
          <t>FLU</t>
        </is>
      </c>
      <c r="U1688" s="426" t="inlineStr">
        <is>
          <t>FLU</t>
        </is>
      </c>
      <c r="V1688" s="426" t="inlineStr">
        <is>
          <t>FLU</t>
        </is>
      </c>
      <c r="W1688" s="426" t="inlineStr">
        <is>
          <t>FLU</t>
        </is>
      </c>
    </row>
    <row r="1689" customFormat="1" s="21">
      <c r="A1689" s="20" t="inlineStr">
        <is>
          <t>Boreal Dry</t>
        </is>
      </c>
      <c r="B1689" s="41" t="n">
        <v>0.77</v>
      </c>
      <c r="C1689" s="44" t="n">
        <v>0.93</v>
      </c>
      <c r="D1689" s="451" t="n">
        <v>1.35</v>
      </c>
      <c r="E1689" s="491" t="n">
        <v>1</v>
      </c>
      <c r="F1689" s="658" t="n">
        <v>1</v>
      </c>
      <c r="G1689" s="44" t="n">
        <v>0.72</v>
      </c>
      <c r="H1689" s="44" t="n">
        <v>0.72</v>
      </c>
      <c r="I1689" s="44" t="n">
        <v>0.72</v>
      </c>
      <c r="J1689" s="44" t="n">
        <v>0.72</v>
      </c>
      <c r="K1689" s="44" t="n">
        <v>0.72</v>
      </c>
      <c r="L1689" s="44" t="n">
        <v>0.72</v>
      </c>
      <c r="M1689" s="44" t="n">
        <v>0.72</v>
      </c>
      <c r="N1689" s="44" t="n">
        <v>0.72</v>
      </c>
      <c r="O1689" s="44" t="n">
        <v>0.72</v>
      </c>
      <c r="P1689" s="657" t="n">
        <v>0.33</v>
      </c>
      <c r="Q1689" s="44" t="n">
        <v>0.72</v>
      </c>
      <c r="R1689" s="44" t="n">
        <v>0.72</v>
      </c>
      <c r="S1689" s="44" t="n">
        <v>0.72</v>
      </c>
      <c r="T1689" s="44" t="n">
        <v>0.72</v>
      </c>
      <c r="U1689" s="44" t="n">
        <v>0.72</v>
      </c>
      <c r="V1689" s="44" t="n">
        <v>0.72</v>
      </c>
      <c r="W1689" s="44" t="n">
        <v>0.72</v>
      </c>
    </row>
    <row r="1690" customFormat="1" s="21">
      <c r="A1690" s="20" t="inlineStr">
        <is>
          <t>Boreal Moist</t>
        </is>
      </c>
      <c r="B1690" s="41" t="n">
        <v>0.7</v>
      </c>
      <c r="C1690" s="41" t="n">
        <v>0.82</v>
      </c>
      <c r="D1690" s="451" t="n">
        <v>1.35</v>
      </c>
      <c r="E1690" s="471" t="n">
        <v>1</v>
      </c>
      <c r="F1690" s="659" t="n">
        <v>1</v>
      </c>
      <c r="G1690" s="41" t="n">
        <v>0.72</v>
      </c>
      <c r="H1690" s="41" t="n">
        <v>0.72</v>
      </c>
      <c r="I1690" s="41" t="n">
        <v>0.72</v>
      </c>
      <c r="J1690" s="41" t="n">
        <v>0.72</v>
      </c>
      <c r="K1690" s="41" t="n">
        <v>0.72</v>
      </c>
      <c r="L1690" s="41" t="n">
        <v>0.72</v>
      </c>
      <c r="M1690" s="41" t="n">
        <v>0.72</v>
      </c>
      <c r="N1690" s="41" t="n">
        <v>0.72</v>
      </c>
      <c r="O1690" s="41" t="n">
        <v>0.72</v>
      </c>
      <c r="P1690" s="657" t="n">
        <v>0.33</v>
      </c>
      <c r="Q1690" s="41" t="n">
        <v>0.72</v>
      </c>
      <c r="R1690" s="41" t="n">
        <v>0.72</v>
      </c>
      <c r="S1690" s="41" t="n">
        <v>0.72</v>
      </c>
      <c r="T1690" s="41" t="n">
        <v>0.72</v>
      </c>
      <c r="U1690" s="41" t="n">
        <v>0.72</v>
      </c>
      <c r="V1690" s="41" t="n">
        <v>0.72</v>
      </c>
      <c r="W1690" s="41" t="n">
        <v>0.72</v>
      </c>
    </row>
    <row r="1691" customFormat="1" s="21">
      <c r="A1691" s="20" t="inlineStr">
        <is>
          <t>Cool Temperate Dry</t>
        </is>
      </c>
      <c r="B1691" s="41" t="n">
        <v>0.77</v>
      </c>
      <c r="C1691" s="41" t="n">
        <v>0.93</v>
      </c>
      <c r="D1691" s="451" t="n">
        <v>1.35</v>
      </c>
      <c r="E1691" s="471" t="n">
        <v>1</v>
      </c>
      <c r="F1691" s="659" t="n">
        <v>1</v>
      </c>
      <c r="G1691" s="41" t="n">
        <v>0.72</v>
      </c>
      <c r="H1691" s="41" t="n">
        <v>0.72</v>
      </c>
      <c r="I1691" s="41" t="n">
        <v>0.72</v>
      </c>
      <c r="J1691" s="41" t="n">
        <v>0.72</v>
      </c>
      <c r="K1691" s="41" t="n">
        <v>0.72</v>
      </c>
      <c r="L1691" s="41" t="n">
        <v>0.72</v>
      </c>
      <c r="M1691" s="41" t="n">
        <v>0.72</v>
      </c>
      <c r="N1691" s="41" t="n">
        <v>0.72</v>
      </c>
      <c r="O1691" s="41" t="n">
        <v>0.72</v>
      </c>
      <c r="P1691" s="657" t="n">
        <v>0.33</v>
      </c>
      <c r="Q1691" s="41" t="n">
        <v>0.72</v>
      </c>
      <c r="R1691" s="41" t="n">
        <v>0.72</v>
      </c>
      <c r="S1691" s="41" t="n">
        <v>0.72</v>
      </c>
      <c r="T1691" s="41" t="n">
        <v>0.72</v>
      </c>
      <c r="U1691" s="41" t="n">
        <v>0.72</v>
      </c>
      <c r="V1691" s="41" t="n">
        <v>0.72</v>
      </c>
      <c r="W1691" s="41" t="n">
        <v>0.72</v>
      </c>
    </row>
    <row r="1692" customFormat="1" s="21">
      <c r="A1692" s="20" t="inlineStr">
        <is>
          <t>Cool Temperate Moist</t>
        </is>
      </c>
      <c r="B1692" s="41" t="n">
        <v>0.7</v>
      </c>
      <c r="C1692" s="41" t="n">
        <v>0.82</v>
      </c>
      <c r="D1692" s="451" t="n">
        <v>1.35</v>
      </c>
      <c r="E1692" s="471" t="n">
        <v>1</v>
      </c>
      <c r="F1692" s="659" t="n">
        <v>1</v>
      </c>
      <c r="G1692" s="41" t="n">
        <v>0.72</v>
      </c>
      <c r="H1692" s="41" t="n">
        <v>0.72</v>
      </c>
      <c r="I1692" s="41" t="n">
        <v>0.72</v>
      </c>
      <c r="J1692" s="41" t="n">
        <v>0.72</v>
      </c>
      <c r="K1692" s="41" t="n">
        <v>0.72</v>
      </c>
      <c r="L1692" s="41" t="n">
        <v>0.72</v>
      </c>
      <c r="M1692" s="41" t="n">
        <v>0.72</v>
      </c>
      <c r="N1692" s="41" t="n">
        <v>0.72</v>
      </c>
      <c r="O1692" s="41" t="n">
        <v>0.72</v>
      </c>
      <c r="P1692" s="657" t="n">
        <v>0.33</v>
      </c>
      <c r="Q1692" s="41" t="n">
        <v>0.72</v>
      </c>
      <c r="R1692" s="41" t="n">
        <v>0.72</v>
      </c>
      <c r="S1692" s="41" t="n">
        <v>0.72</v>
      </c>
      <c r="T1692" s="41" t="n">
        <v>0.72</v>
      </c>
      <c r="U1692" s="41" t="n">
        <v>0.72</v>
      </c>
      <c r="V1692" s="41" t="n">
        <v>0.72</v>
      </c>
      <c r="W1692" s="41" t="n">
        <v>0.72</v>
      </c>
    </row>
    <row r="1693" customFormat="1" s="21">
      <c r="A1693" s="20" t="inlineStr">
        <is>
          <t>Tropical Dry</t>
        </is>
      </c>
      <c r="B1693" s="41" t="n">
        <v>0.92</v>
      </c>
      <c r="C1693" s="41" t="n">
        <v>0.93</v>
      </c>
      <c r="D1693" s="451" t="n">
        <v>1.35</v>
      </c>
      <c r="E1693" s="471" t="n">
        <v>1</v>
      </c>
      <c r="F1693" s="659" t="n">
        <v>1</v>
      </c>
      <c r="G1693" s="41" t="n">
        <v>1.01</v>
      </c>
      <c r="H1693" s="41" t="n">
        <v>1.01</v>
      </c>
      <c r="I1693" s="41" t="n">
        <v>1.01</v>
      </c>
      <c r="J1693" s="41" t="n">
        <v>1.01</v>
      </c>
      <c r="K1693" s="41" t="n">
        <v>1.01</v>
      </c>
      <c r="L1693" s="41" t="n">
        <v>1.01</v>
      </c>
      <c r="M1693" s="41" t="n">
        <v>1.01</v>
      </c>
      <c r="N1693" s="41" t="n">
        <v>1.01</v>
      </c>
      <c r="O1693" s="41" t="n">
        <v>1.01</v>
      </c>
      <c r="P1693" s="657" t="n">
        <v>0.33</v>
      </c>
      <c r="Q1693" s="41" t="n">
        <v>1.01</v>
      </c>
      <c r="R1693" s="41" t="n">
        <v>1.01</v>
      </c>
      <c r="S1693" s="41" t="n">
        <v>1.01</v>
      </c>
      <c r="T1693" s="41" t="n">
        <v>1.01</v>
      </c>
      <c r="U1693" s="41" t="n">
        <v>1.01</v>
      </c>
      <c r="V1693" s="41" t="n">
        <v>1.01</v>
      </c>
      <c r="W1693" s="41" t="n">
        <v>1.01</v>
      </c>
    </row>
    <row r="1694" customFormat="1" s="21">
      <c r="A1694" s="20" t="inlineStr">
        <is>
          <t>Tropical Moist</t>
        </is>
      </c>
      <c r="B1694" s="41" t="n">
        <v>0.83</v>
      </c>
      <c r="C1694" s="41" t="n">
        <v>0.82</v>
      </c>
      <c r="D1694" s="451" t="n">
        <v>1.35</v>
      </c>
      <c r="E1694" s="471" t="n">
        <v>1</v>
      </c>
      <c r="F1694" s="659" t="n">
        <v>1</v>
      </c>
      <c r="G1694" s="41" t="n">
        <v>1.01</v>
      </c>
      <c r="H1694" s="41" t="n">
        <v>1.01</v>
      </c>
      <c r="I1694" s="41" t="n">
        <v>1.01</v>
      </c>
      <c r="J1694" s="41" t="n">
        <v>1.01</v>
      </c>
      <c r="K1694" s="41" t="n">
        <v>1.01</v>
      </c>
      <c r="L1694" s="41" t="n">
        <v>1.01</v>
      </c>
      <c r="M1694" s="41" t="n">
        <v>1.01</v>
      </c>
      <c r="N1694" s="41" t="n">
        <v>1.01</v>
      </c>
      <c r="O1694" s="41" t="n">
        <v>1.01</v>
      </c>
      <c r="P1694" s="657" t="n">
        <v>0.33</v>
      </c>
      <c r="Q1694" s="41" t="n">
        <v>1.01</v>
      </c>
      <c r="R1694" s="41" t="n">
        <v>1.01</v>
      </c>
      <c r="S1694" s="41" t="n">
        <v>1.01</v>
      </c>
      <c r="T1694" s="41" t="n">
        <v>1.01</v>
      </c>
      <c r="U1694" s="41" t="n">
        <v>1.01</v>
      </c>
      <c r="V1694" s="41" t="n">
        <v>1.01</v>
      </c>
      <c r="W1694" s="41" t="n">
        <v>1.01</v>
      </c>
    </row>
    <row r="1695" customFormat="1" s="21">
      <c r="A1695" s="20" t="inlineStr">
        <is>
          <t>Tropical Wet</t>
        </is>
      </c>
      <c r="B1695" s="41" t="n">
        <v>0.83</v>
      </c>
      <c r="C1695" s="41" t="n">
        <v>0.82</v>
      </c>
      <c r="D1695" s="451" t="n">
        <v>1.35</v>
      </c>
      <c r="E1695" s="471" t="n">
        <v>1</v>
      </c>
      <c r="F1695" s="659" t="n">
        <v>1</v>
      </c>
      <c r="G1695" s="41" t="n">
        <v>1.01</v>
      </c>
      <c r="H1695" s="41" t="n">
        <v>1.01</v>
      </c>
      <c r="I1695" s="41" t="n">
        <v>1.01</v>
      </c>
      <c r="J1695" s="41" t="n">
        <v>1.01</v>
      </c>
      <c r="K1695" s="41" t="n">
        <v>1.01</v>
      </c>
      <c r="L1695" s="41" t="n">
        <v>1.01</v>
      </c>
      <c r="M1695" s="41" t="n">
        <v>1.01</v>
      </c>
      <c r="N1695" s="41" t="n">
        <v>1.01</v>
      </c>
      <c r="O1695" s="41" t="n">
        <v>1.01</v>
      </c>
      <c r="P1695" s="657" t="n">
        <v>0.33</v>
      </c>
      <c r="Q1695" s="41" t="n">
        <v>1.01</v>
      </c>
      <c r="R1695" s="41" t="n">
        <v>1.01</v>
      </c>
      <c r="S1695" s="41" t="n">
        <v>1.01</v>
      </c>
      <c r="T1695" s="41" t="n">
        <v>1.01</v>
      </c>
      <c r="U1695" s="41" t="n">
        <v>1.01</v>
      </c>
      <c r="V1695" s="41" t="n">
        <v>1.01</v>
      </c>
      <c r="W1695" s="41" t="n">
        <v>1.01</v>
      </c>
    </row>
    <row r="1696" customFormat="1" s="21">
      <c r="A1696" s="20" t="inlineStr">
        <is>
          <t>Tropical Montane</t>
        </is>
      </c>
      <c r="B1696" s="164" t="n">
        <v>0.64</v>
      </c>
      <c r="C1696" s="41" t="n">
        <v>0.88</v>
      </c>
      <c r="D1696" s="451" t="n">
        <v>1.35</v>
      </c>
      <c r="E1696" s="471" t="n">
        <v>1</v>
      </c>
      <c r="F1696" s="659" t="n">
        <v>1</v>
      </c>
      <c r="G1696" s="164" t="n">
        <v>1</v>
      </c>
      <c r="H1696" s="164" t="n">
        <v>1</v>
      </c>
      <c r="I1696" s="164" t="n">
        <v>1</v>
      </c>
      <c r="J1696" s="164" t="n">
        <v>1</v>
      </c>
      <c r="K1696" s="164" t="n">
        <v>1</v>
      </c>
      <c r="L1696" s="164" t="n">
        <v>1</v>
      </c>
      <c r="M1696" s="164" t="n">
        <v>1</v>
      </c>
      <c r="N1696" s="164" t="n">
        <v>1</v>
      </c>
      <c r="O1696" s="164" t="n">
        <v>1</v>
      </c>
      <c r="P1696" s="657" t="n">
        <v>0.33</v>
      </c>
      <c r="Q1696" s="164" t="n">
        <v>1</v>
      </c>
      <c r="R1696" s="164" t="n">
        <v>1</v>
      </c>
      <c r="S1696" s="164" t="n">
        <v>1</v>
      </c>
      <c r="T1696" s="164" t="n">
        <v>1</v>
      </c>
      <c r="U1696" s="164" t="n">
        <v>1</v>
      </c>
      <c r="V1696" s="164" t="n">
        <v>1</v>
      </c>
      <c r="W1696" s="164" t="n">
        <v>1</v>
      </c>
    </row>
    <row r="1697" customFormat="1" s="21">
      <c r="A1697" s="20" t="inlineStr">
        <is>
          <t>Warm Temperate Dry</t>
        </is>
      </c>
      <c r="B1697" s="41" t="n">
        <v>0.76</v>
      </c>
      <c r="C1697" s="41" t="n">
        <v>0.93</v>
      </c>
      <c r="D1697" s="451" t="n">
        <v>1.35</v>
      </c>
      <c r="E1697" s="471" t="n">
        <v>1</v>
      </c>
      <c r="F1697" s="659" t="n">
        <v>1</v>
      </c>
      <c r="G1697" s="41" t="n">
        <v>0.72</v>
      </c>
      <c r="H1697" s="41" t="n">
        <v>0.72</v>
      </c>
      <c r="I1697" s="41" t="n">
        <v>0.72</v>
      </c>
      <c r="J1697" s="41" t="n">
        <v>0.72</v>
      </c>
      <c r="K1697" s="41" t="n">
        <v>0.72</v>
      </c>
      <c r="L1697" s="41" t="n">
        <v>0.72</v>
      </c>
      <c r="M1697" s="41" t="n">
        <v>0.72</v>
      </c>
      <c r="N1697" s="41" t="n">
        <v>0.72</v>
      </c>
      <c r="O1697" s="41" t="n">
        <v>0.72</v>
      </c>
      <c r="P1697" s="657" t="n">
        <v>0.33</v>
      </c>
      <c r="Q1697" s="41" t="n">
        <v>0.72</v>
      </c>
      <c r="R1697" s="41" t="n">
        <v>0.72</v>
      </c>
      <c r="S1697" s="41" t="n">
        <v>0.72</v>
      </c>
      <c r="T1697" s="41" t="n">
        <v>0.72</v>
      </c>
      <c r="U1697" s="41" t="n">
        <v>0.72</v>
      </c>
      <c r="V1697" s="41" t="n">
        <v>0.72</v>
      </c>
      <c r="W1697" s="41" t="n">
        <v>0.72</v>
      </c>
    </row>
    <row r="1698" customFormat="1" s="21">
      <c r="A1698" s="20" t="inlineStr">
        <is>
          <t>Warm Temperate Moist</t>
        </is>
      </c>
      <c r="B1698" s="41" t="n">
        <v>0.6899999999999999</v>
      </c>
      <c r="C1698" s="42" t="n">
        <v>0.82</v>
      </c>
      <c r="D1698" s="451" t="n">
        <v>1.35</v>
      </c>
      <c r="E1698" s="536" t="n">
        <v>1</v>
      </c>
      <c r="F1698" s="660" t="n">
        <v>1</v>
      </c>
      <c r="G1698" s="42" t="n">
        <v>0.72</v>
      </c>
      <c r="H1698" s="42" t="n">
        <v>0.72</v>
      </c>
      <c r="I1698" s="42" t="n">
        <v>0.72</v>
      </c>
      <c r="J1698" s="42" t="n">
        <v>0.72</v>
      </c>
      <c r="K1698" s="42" t="n">
        <v>0.72</v>
      </c>
      <c r="L1698" s="42" t="n">
        <v>0.72</v>
      </c>
      <c r="M1698" s="42" t="n">
        <v>0.72</v>
      </c>
      <c r="N1698" s="42" t="n">
        <v>0.72</v>
      </c>
      <c r="O1698" s="42" t="n">
        <v>0.72</v>
      </c>
      <c r="P1698" s="657" t="n">
        <v>0.33</v>
      </c>
      <c r="Q1698" s="42" t="n">
        <v>0.72</v>
      </c>
      <c r="R1698" s="42" t="n">
        <v>0.72</v>
      </c>
      <c r="S1698" s="42" t="n">
        <v>0.72</v>
      </c>
      <c r="T1698" s="42" t="n">
        <v>0.72</v>
      </c>
      <c r="U1698" s="42" t="n">
        <v>0.72</v>
      </c>
      <c r="V1698" s="42" t="n">
        <v>0.72</v>
      </c>
      <c r="W1698" s="42" t="n">
        <v>0.72</v>
      </c>
    </row>
    <row r="1699" customFormat="1" s="535">
      <c r="A1699" s="518" t="inlineStr">
        <is>
          <t>Notes</t>
        </is>
      </c>
      <c r="E1699" s="292" t="n"/>
      <c r="G1699" s="292" t="n"/>
    </row>
    <row r="1700" customFormat="1" s="535">
      <c r="A1700" s="534" t="inlineStr">
        <is>
          <t>Values in red are obtained from IPCC 2006</t>
        </is>
      </c>
    </row>
    <row r="1701" customFormat="1" s="535">
      <c r="A1701" s="534" t="n"/>
    </row>
    <row r="1703" customFormat="1" s="125">
      <c r="A1703" s="377" t="inlineStr">
        <is>
          <t>Default emission factors to estimate direct N2O emissions from managed soils, TABLE 11.1 (UPDATED) in IPCC 2019</t>
        </is>
      </c>
    </row>
    <row r="1704" customFormat="1" s="21">
      <c r="A1704" s="293" t="inlineStr">
        <is>
          <t>IPCC Climate Region</t>
        </is>
      </c>
      <c r="B1704" s="426" t="inlineStr">
        <is>
          <t>EF1</t>
        </is>
      </c>
      <c r="C1704" s="426" t="inlineStr">
        <is>
          <t>EF1</t>
        </is>
      </c>
    </row>
    <row r="1705" customFormat="1" s="21">
      <c r="A1705" s="296" t="inlineStr">
        <is>
          <t>Please select</t>
        </is>
      </c>
      <c r="B1705" s="426" t="inlineStr">
        <is>
          <t>Synthetic N-fertlizer</t>
        </is>
      </c>
      <c r="C1705" s="426" t="inlineStr">
        <is>
          <t>Other N inputs</t>
        </is>
      </c>
    </row>
    <row r="1706" customFormat="1" s="21">
      <c r="A1706" s="63" t="inlineStr">
        <is>
          <t>Dry</t>
        </is>
      </c>
      <c r="B1706" s="426" t="n">
        <v>0.005</v>
      </c>
      <c r="C1706" s="426" t="n">
        <v>0.005</v>
      </c>
    </row>
    <row r="1707" customFormat="1" s="21">
      <c r="A1707" s="20" t="inlineStr">
        <is>
          <t>Wet</t>
        </is>
      </c>
      <c r="B1707" s="426" t="n">
        <v>0.016</v>
      </c>
      <c r="C1707" s="426" t="n">
        <v>0.006</v>
      </c>
    </row>
    <row r="1708" customFormat="1" s="21">
      <c r="A1708" s="20" t="inlineStr">
        <is>
          <t>Moist</t>
        </is>
      </c>
      <c r="B1708" s="1038">
        <f>AVERAGE(B1706:B1707)</f>
        <v/>
      </c>
      <c r="C1708" s="1038" t="n">
        <v>0.0055</v>
      </c>
    </row>
    <row r="1709" customFormat="1" s="21">
      <c r="A1709" s="37" t="inlineStr">
        <is>
          <t>Tropical Montane</t>
        </is>
      </c>
      <c r="B1709" s="426">
        <f>B1706</f>
        <v/>
      </c>
      <c r="C1709" s="426">
        <f>C1706</f>
        <v/>
      </c>
      <c r="D1709" s="265" t="n"/>
      <c r="E1709" s="292" t="n"/>
      <c r="F1709" s="292" t="n"/>
      <c r="G1709" s="292" t="n"/>
    </row>
    <row r="1710" customFormat="1" s="535">
      <c r="A1710" s="518" t="inlineStr">
        <is>
          <t>Notes</t>
        </is>
      </c>
      <c r="D1710" s="292" t="n"/>
      <c r="E1710" s="292" t="n"/>
      <c r="F1710" s="292" t="n"/>
      <c r="G1710" s="292" t="n"/>
    </row>
    <row r="1711" customFormat="1" s="535">
      <c r="A1711" s="534" t="inlineStr">
        <is>
          <t>Moist is the average of wet and dry EF values, for tropical montane we use the dry EF</t>
        </is>
      </c>
    </row>
    <row r="1712" customFormat="1" s="535">
      <c r="A1712" s="534" t="n"/>
    </row>
    <row r="1714" customFormat="1" s="125">
      <c r="A1714" s="377" t="inlineStr">
        <is>
          <t>Default emission factors to estimate direct N2O emissions from flooded rice fields, TABLE 11.1 (UPDATED) in IPCC 2019</t>
        </is>
      </c>
    </row>
    <row r="1715" customFormat="1" s="21">
      <c r="A1715" s="522" t="inlineStr">
        <is>
          <t>Water management regime</t>
        </is>
      </c>
      <c r="B1715" s="42" t="inlineStr">
        <is>
          <t>N-irrigated rice</t>
        </is>
      </c>
      <c r="C1715" s="453" t="n"/>
    </row>
    <row r="1716" customFormat="1" s="21">
      <c r="A1716" s="293" t="inlineStr">
        <is>
          <t>Please select</t>
        </is>
      </c>
      <c r="B1716" s="426" t="inlineStr">
        <is>
          <t>EF1RF</t>
        </is>
      </c>
      <c r="C1716" s="453" t="n"/>
    </row>
    <row r="1717" customFormat="1" s="21">
      <c r="A1717" s="20" t="inlineStr">
        <is>
          <t>Irrigated, Continuously flooded</t>
        </is>
      </c>
      <c r="B1717" s="426" t="n">
        <v>0.003</v>
      </c>
      <c r="C1717" s="453" t="n"/>
    </row>
    <row r="1718" customFormat="1" s="21">
      <c r="A1718" s="20" t="inlineStr">
        <is>
          <t>Irrigated, Single drainage period</t>
        </is>
      </c>
      <c r="B1718" s="426" t="n">
        <v>0.005</v>
      </c>
      <c r="C1718" s="453" t="n"/>
    </row>
    <row r="1719" customFormat="1" s="292">
      <c r="A1719" s="20" t="inlineStr">
        <is>
          <t>Irrigated, Multiple drainage periods</t>
        </is>
      </c>
      <c r="B1719" s="426" t="n">
        <v>0.005</v>
      </c>
      <c r="C1719" s="1010" t="n"/>
    </row>
    <row r="1720" customFormat="1" s="292">
      <c r="A1720" s="518" t="inlineStr">
        <is>
          <t>Notes</t>
        </is>
      </c>
      <c r="B1720" s="535" t="n"/>
    </row>
    <row r="1721" customFormat="1" s="535">
      <c r="A1721" s="534" t="inlineStr">
        <is>
          <t>Values in red are obtained from IPCC 2006</t>
        </is>
      </c>
    </row>
    <row r="1722" customFormat="1" s="535">
      <c r="A1722" s="534" t="n"/>
    </row>
    <row r="1724" customFormat="1" s="125">
      <c r="A1724" s="377" t="inlineStr">
        <is>
          <t>Default emission factors - IPCC volume 2. Energy</t>
        </is>
      </c>
      <c r="C1724" s="125" t="inlineStr">
        <is>
          <t>Fuel stationary Chapter 2</t>
        </is>
      </c>
      <c r="H1724" s="125" t="inlineStr">
        <is>
          <t>Fuel Mobile Chapter 3</t>
        </is>
      </c>
    </row>
    <row r="1725" customFormat="1" s="1011">
      <c r="C1725" s="1012" t="inlineStr">
        <is>
          <t>Table 1.2</t>
        </is>
      </c>
      <c r="D1725" s="1012" t="inlineStr">
        <is>
          <t>Table 2.5</t>
        </is>
      </c>
      <c r="E1725" s="1012" t="inlineStr">
        <is>
          <t>Table 2.5</t>
        </is>
      </c>
      <c r="F1725" s="1012" t="inlineStr">
        <is>
          <t>Table 2.5</t>
        </is>
      </c>
      <c r="G1725" s="4552" t="n"/>
      <c r="H1725" s="1014" t="inlineStr">
        <is>
          <t>Table 3.2.1</t>
        </is>
      </c>
      <c r="I1725" s="1014" t="inlineStr">
        <is>
          <t>table 3.2.2</t>
        </is>
      </c>
      <c r="J1725" s="1014" t="inlineStr">
        <is>
          <t>table 3.2.2</t>
        </is>
      </c>
    </row>
    <row r="1726" customFormat="1" s="1011">
      <c r="A1726" s="1015" t="inlineStr">
        <is>
          <t>Fuel Type</t>
        </is>
      </c>
      <c r="C1726" s="1016" t="inlineStr">
        <is>
          <t>Net calorific values</t>
        </is>
      </c>
      <c r="D1726" s="1017" t="inlineStr">
        <is>
          <t>CO2 emission</t>
        </is>
      </c>
      <c r="E1726" s="1018" t="inlineStr">
        <is>
          <t>CH4 emissions</t>
        </is>
      </c>
      <c r="F1726" s="1018" t="inlineStr">
        <is>
          <t>N2O emisisons</t>
        </is>
      </c>
      <c r="G1726" s="4552" t="inlineStr">
        <is>
          <t>Density</t>
        </is>
      </c>
      <c r="H1726" s="1014" t="inlineStr">
        <is>
          <t>CO2 emission</t>
        </is>
      </c>
      <c r="I1726" s="1014" t="inlineStr">
        <is>
          <t>CH4 emissions</t>
        </is>
      </c>
      <c r="J1726" s="1014" t="inlineStr">
        <is>
          <t>N2O emisisons</t>
        </is>
      </c>
    </row>
    <row r="1727" customFormat="1" s="21">
      <c r="A1727" s="1019" t="inlineStr">
        <is>
          <t>Please select</t>
        </is>
      </c>
      <c r="B1727" s="1020" t="inlineStr">
        <is>
          <t>t CO2 Eq/m3</t>
        </is>
      </c>
      <c r="C1727" s="1021" t="inlineStr">
        <is>
          <t>(Tj/Gg)</t>
        </is>
      </c>
      <c r="D1727" s="1022" t="inlineStr">
        <is>
          <t>kg CO2/TJ</t>
        </is>
      </c>
      <c r="E1727" s="1022" t="inlineStr">
        <is>
          <t>kg CH4/TJ</t>
        </is>
      </c>
      <c r="F1727" s="1022" t="inlineStr">
        <is>
          <t>kg N2O/TJ</t>
        </is>
      </c>
      <c r="G1727" s="1020" t="inlineStr">
        <is>
          <t>kg/ m3</t>
        </is>
      </c>
      <c r="H1727" s="1022" t="n"/>
      <c r="I1727" s="631" t="n"/>
      <c r="J1727" s="1023" t="n"/>
    </row>
    <row r="1728" customFormat="1" s="21">
      <c r="A1728" s="1024" t="inlineStr">
        <is>
          <t>Stationary - Motor Gasoline</t>
        </is>
      </c>
      <c r="B1728" s="4784">
        <f>(G1728/10^9)*C1728*(D1728+E1728*methane+F1728*Nitrous)</f>
        <v/>
      </c>
      <c r="C1728" s="1026" t="n">
        <v>44.3</v>
      </c>
      <c r="D1728" s="1026" t="n">
        <v>69300</v>
      </c>
      <c r="E1728" s="1026" t="n">
        <v>10</v>
      </c>
      <c r="F1728" s="1026" t="n">
        <v>0.6</v>
      </c>
      <c r="G1728" s="1026" t="n">
        <v>741</v>
      </c>
      <c r="H1728" s="1026" t="n"/>
      <c r="I1728" s="1026" t="n"/>
      <c r="J1728" s="1026" t="n"/>
    </row>
    <row r="1729" customFormat="1" s="21">
      <c r="A1729" s="1024" t="inlineStr">
        <is>
          <t>Stationary - Gasoil /Diesel Oil</t>
        </is>
      </c>
      <c r="B1729" s="4784">
        <f>(G1729/10^9)*C1729*(D1729+E1729*methane+F1729*Nitrous)</f>
        <v/>
      </c>
      <c r="C1729" s="1027" t="n">
        <v>43</v>
      </c>
      <c r="D1729" s="1026" t="n">
        <v>74100</v>
      </c>
      <c r="E1729" s="1026" t="n">
        <v>10</v>
      </c>
      <c r="F1729" s="1026" t="n">
        <v>0.6</v>
      </c>
      <c r="G1729" s="1026" t="n">
        <v>837</v>
      </c>
      <c r="H1729" s="1026" t="n"/>
      <c r="I1729" s="1026" t="n"/>
      <c r="J1729" s="1026" t="n"/>
    </row>
    <row r="1730" customFormat="1" s="21">
      <c r="A1730" s="1024" t="inlineStr">
        <is>
          <t>Stationary - Waste Oil / Lubrificants</t>
        </is>
      </c>
      <c r="B1730" s="4784">
        <f>(G1730/10^9)*C1730*(D1730+E1730*methane+F1730*Nitrous)</f>
        <v/>
      </c>
      <c r="C1730" s="1027" t="n">
        <v>40.2</v>
      </c>
      <c r="D1730" s="1026" t="n">
        <v>73300</v>
      </c>
      <c r="E1730" s="1026" t="n">
        <v>10</v>
      </c>
      <c r="F1730" s="1026" t="n">
        <v>0.6</v>
      </c>
      <c r="G1730" s="1026" t="n">
        <v>950</v>
      </c>
      <c r="H1730" s="1026" t="n"/>
      <c r="I1730" s="1026" t="n"/>
      <c r="J1730" s="1026" t="n"/>
    </row>
    <row r="1731" customFormat="1" s="21">
      <c r="A1731" s="1024" t="inlineStr">
        <is>
          <t>Stationary LPG</t>
        </is>
      </c>
      <c r="B1731" s="4784">
        <f>(G1731/10^9)*C1731*(D1731+E1731*methane+F1731*Nitrous)</f>
        <v/>
      </c>
      <c r="C1731" s="1027" t="n">
        <v>47.3</v>
      </c>
      <c r="D1731" s="1026" t="n">
        <v>63100</v>
      </c>
      <c r="E1731" s="1026" t="n">
        <v>5</v>
      </c>
      <c r="F1731" s="1026" t="n">
        <v>0.1</v>
      </c>
      <c r="G1731" s="1026" t="n">
        <v>533</v>
      </c>
      <c r="H1731" s="1026" t="n"/>
      <c r="I1731" s="1026" t="n"/>
      <c r="J1731" s="1026" t="n"/>
    </row>
    <row r="1732" customFormat="1" s="21">
      <c r="A1732" s="1024" t="inlineStr">
        <is>
          <t>Stationary - Natural Gas</t>
        </is>
      </c>
      <c r="B1732" s="4784">
        <f>(G1732/10^9)*C1732*(D1732+E1732*methane+F1732*Nitrous)</f>
        <v/>
      </c>
      <c r="C1732" s="1026" t="n">
        <v>48</v>
      </c>
      <c r="D1732" s="1026" t="n">
        <v>56100</v>
      </c>
      <c r="E1732" s="1026" t="n">
        <v>5</v>
      </c>
      <c r="F1732" s="1026" t="n">
        <v>0.1</v>
      </c>
      <c r="G1732" s="1026" t="n">
        <v>0.768</v>
      </c>
      <c r="H1732" s="1026" t="n"/>
      <c r="I1732" s="1026" t="n"/>
      <c r="J1732" s="1026" t="n"/>
    </row>
    <row r="1733" customFormat="1" s="21">
      <c r="A1733" s="1019" t="inlineStr">
        <is>
          <t>Mobile - Motor Gasoline</t>
        </is>
      </c>
      <c r="B1733" s="4784">
        <f>(G1733/10^9)*C1733*(H1733+I1733*methane+J1733*Nitrous)</f>
        <v/>
      </c>
      <c r="C1733" s="1026" t="n">
        <v>44.3</v>
      </c>
      <c r="D1733" s="1023" t="n"/>
      <c r="E1733" s="1023" t="n"/>
      <c r="F1733" s="1023" t="n"/>
      <c r="G1733" s="1026" t="n">
        <v>741</v>
      </c>
      <c r="H1733" s="1026" t="n">
        <v>69300</v>
      </c>
      <c r="I1733" s="1026" t="n">
        <v>33</v>
      </c>
      <c r="J1733" s="1026" t="n">
        <v>3.2</v>
      </c>
    </row>
    <row r="1734" customFormat="1" s="21">
      <c r="A1734" s="1019" t="inlineStr">
        <is>
          <t>Mobile - Gasoil /Diesel Oil</t>
        </is>
      </c>
      <c r="B1734" s="4784">
        <f>(G1734/10^9)*C1734*(H1734+I1734*methane+J1734*Nitrous)</f>
        <v/>
      </c>
      <c r="C1734" s="1026" t="n">
        <v>43</v>
      </c>
      <c r="D1734" s="1023" t="n"/>
      <c r="E1734" s="1023" t="n"/>
      <c r="F1734" s="1023" t="n"/>
      <c r="G1734" s="1026" t="n">
        <v>837</v>
      </c>
      <c r="H1734" s="1026" t="n">
        <v>74100</v>
      </c>
      <c r="I1734" s="1026" t="n">
        <v>3.9</v>
      </c>
      <c r="J1734" s="1026" t="n">
        <v>3.9</v>
      </c>
    </row>
    <row r="1735" customFormat="1" s="21">
      <c r="A1735" s="1019" t="inlineStr">
        <is>
          <t>Mobile - Natural Gas</t>
        </is>
      </c>
      <c r="B1735" s="4784">
        <f>(G1735/10^9)*C1735*(H1735+I1735*methane+J1735*Nitrous)</f>
        <v/>
      </c>
      <c r="C1735" s="1026" t="n">
        <v>48</v>
      </c>
      <c r="D1735" s="1023" t="n"/>
      <c r="E1735" s="1023" t="n"/>
      <c r="F1735" s="1023" t="n"/>
      <c r="G1735" s="1026" t="n">
        <v>0.768</v>
      </c>
      <c r="H1735" s="1026" t="n">
        <v>56100</v>
      </c>
      <c r="I1735" s="1026" t="n">
        <v>92</v>
      </c>
      <c r="J1735" s="1026" t="n">
        <v>3</v>
      </c>
    </row>
    <row r="1736" customFormat="1" s="21">
      <c r="A1736" s="1019" t="inlineStr">
        <is>
          <t>Mobile - LPG</t>
        </is>
      </c>
      <c r="B1736" s="4784">
        <f>(G1736/10^9)*C1736*(H1736+I1736*methane+J1736*Nitrous)</f>
        <v/>
      </c>
      <c r="C1736" s="1026" t="n">
        <v>47.3</v>
      </c>
      <c r="D1736" s="1023" t="n"/>
      <c r="E1736" s="1023" t="n"/>
      <c r="F1736" s="1023" t="n"/>
      <c r="G1736" s="1026" t="n">
        <v>533</v>
      </c>
      <c r="H1736" s="1026" t="n">
        <v>63100</v>
      </c>
      <c r="I1736" s="1026" t="n">
        <v>62</v>
      </c>
      <c r="J1736" s="1026" t="n">
        <v>0.2</v>
      </c>
    </row>
    <row r="1737" customFormat="1" s="21">
      <c r="A1737" s="1019" t="inlineStr">
        <is>
          <t>Mobile - Ethanol (cars)</t>
        </is>
      </c>
      <c r="B1737" s="4784">
        <f>(G1737/10^9)*C1737*(H1737+I1737*methane+J1737*Nitrous)</f>
        <v/>
      </c>
      <c r="C1737" s="1026" t="n">
        <v>27</v>
      </c>
      <c r="D1737" s="1023" t="n"/>
      <c r="E1737" s="1023" t="n"/>
      <c r="F1737" s="1023" t="n"/>
      <c r="G1737" s="1026" t="n">
        <v>788</v>
      </c>
      <c r="H1737" s="1026" t="n">
        <v>1508</v>
      </c>
      <c r="I1737" s="1026" t="n">
        <v>18</v>
      </c>
      <c r="J1737" s="1026" t="n"/>
    </row>
    <row r="1738" customFormat="1" s="21">
      <c r="A1738" s="1019" t="inlineStr">
        <is>
          <t>Mobile - Ethanol (trucks)</t>
        </is>
      </c>
      <c r="B1738" s="4784">
        <f>(G1738/10^9)*C1738*(H1738+I1738*methane+J1738*Nitrous)</f>
        <v/>
      </c>
      <c r="C1738" s="1026" t="n">
        <v>27</v>
      </c>
      <c r="D1738" s="1023" t="n"/>
      <c r="E1738" s="1023" t="n"/>
      <c r="F1738" s="1023" t="n"/>
      <c r="G1738" s="1026" t="n">
        <v>788</v>
      </c>
      <c r="H1738" s="1026" t="n">
        <v>1508</v>
      </c>
      <c r="I1738" s="1026" t="n">
        <v>260</v>
      </c>
      <c r="J1738" s="1026" t="n">
        <v>41</v>
      </c>
    </row>
    <row r="1739" customFormat="1" s="21">
      <c r="A1739" s="1019" t="inlineStr">
        <is>
          <t xml:space="preserve">Off-road Diesel </t>
        </is>
      </c>
      <c r="B1739" s="4784">
        <f>(G1739/10^9)*C1739*(H1739+I1739*methane+J1739*Nitrous)</f>
        <v/>
      </c>
      <c r="C1739" s="1026" t="n">
        <v>43</v>
      </c>
      <c r="D1739" s="1023" t="n"/>
      <c r="E1739" s="1023" t="n"/>
      <c r="F1739" s="1023" t="n"/>
      <c r="G1739" s="1026" t="n">
        <v>837</v>
      </c>
      <c r="H1739" s="1028" t="n">
        <v>74100</v>
      </c>
      <c r="I1739" s="1028" t="n">
        <v>4.15</v>
      </c>
      <c r="J1739" s="1028" t="n">
        <v>28.6</v>
      </c>
    </row>
    <row r="1740" customFormat="1" s="21">
      <c r="A1740" s="1019" t="inlineStr">
        <is>
          <t>Off-road Gasoline (2-stroke)</t>
        </is>
      </c>
      <c r="B1740" s="4784">
        <f>(G1740/10^9)*C1740*(H1740+I1740*methane+J1740*Nitrous)</f>
        <v/>
      </c>
      <c r="C1740" s="1026" t="n">
        <v>44.3</v>
      </c>
      <c r="D1740" s="1023" t="n"/>
      <c r="E1740" s="1023" t="n"/>
      <c r="F1740" s="1023" t="n"/>
      <c r="G1740" s="1026" t="n">
        <v>741</v>
      </c>
      <c r="H1740" s="1028" t="n">
        <v>69300</v>
      </c>
      <c r="I1740" s="1028" t="n">
        <v>140</v>
      </c>
      <c r="J1740" s="1028" t="n">
        <v>0.4</v>
      </c>
    </row>
    <row r="1741" customFormat="1" s="21">
      <c r="A1741" s="1019" t="inlineStr">
        <is>
          <t>Off-road Gasoline (4-stroke)</t>
        </is>
      </c>
      <c r="B1741" s="4784">
        <f>(G1741/10^9)*C1741*(H1741+I1741*methane+J1741*Nitrous)</f>
        <v/>
      </c>
      <c r="C1741" s="1026" t="n">
        <v>44.3</v>
      </c>
      <c r="D1741" s="1023" t="n"/>
      <c r="E1741" s="1023" t="n"/>
      <c r="F1741" s="1023" t="n"/>
      <c r="G1741" s="1026" t="n">
        <v>741</v>
      </c>
      <c r="H1741" s="1028" t="n">
        <v>69300</v>
      </c>
      <c r="I1741" s="1028" t="n">
        <v>80</v>
      </c>
      <c r="J1741" s="1028" t="n">
        <v>2</v>
      </c>
    </row>
    <row r="1742" customFormat="1" s="21">
      <c r="B1742" s="535" t="n"/>
      <c r="C1742" s="1029" t="n"/>
      <c r="D1742" s="1029" t="n"/>
      <c r="E1742" s="1029" t="n"/>
      <c r="F1742" s="1029" t="n"/>
      <c r="G1742" s="1030" t="n"/>
      <c r="H1742" s="1031" t="inlineStr">
        <is>
          <t>Table 3.3.1</t>
        </is>
      </c>
      <c r="I1742" s="1032" t="inlineStr">
        <is>
          <t>Table 3.3.1</t>
        </is>
      </c>
      <c r="J1742" s="1033" t="inlineStr">
        <is>
          <t>Table 3.3.1</t>
        </is>
      </c>
    </row>
    <row r="1743" customFormat="1" s="535">
      <c r="A1743" s="518" t="inlineStr">
        <is>
          <t>Notes</t>
        </is>
      </c>
      <c r="B1743" s="292" t="n"/>
      <c r="C1743" s="292" t="n"/>
      <c r="D1743" s="292" t="n"/>
      <c r="E1743" s="292" t="n"/>
      <c r="F1743" s="292" t="n"/>
      <c r="G1743" s="292" t="n"/>
      <c r="H1743" s="292" t="n"/>
      <c r="I1743" s="292" t="n"/>
    </row>
    <row r="1744" customFormat="1" s="535">
      <c r="A1744" s="534" t="inlineStr">
        <is>
          <t>Values in red are obtained from IPCC 2006</t>
        </is>
      </c>
    </row>
    <row r="1745" customFormat="1" s="535">
      <c r="A1745" s="534" t="n"/>
    </row>
    <row r="1747" customFormat="1" s="125">
      <c r="A1747" s="377" t="inlineStr">
        <is>
          <t>Default emission factors - IPCC volume 2. Energy</t>
        </is>
      </c>
      <c r="G1747" s="1034" t="n"/>
    </row>
    <row r="1748" customFormat="1" s="1011">
      <c r="C1748" s="1012" t="inlineStr">
        <is>
          <t>Table 1.2</t>
        </is>
      </c>
      <c r="D1748" s="1012" t="inlineStr">
        <is>
          <t>Table 2.5</t>
        </is>
      </c>
      <c r="E1748" s="1012" t="inlineStr">
        <is>
          <t>Table 2.5</t>
        </is>
      </c>
      <c r="F1748" s="1012" t="inlineStr">
        <is>
          <t>Table 2.5</t>
        </is>
      </c>
      <c r="G1748" s="447" t="n"/>
      <c r="H1748" s="447" t="n"/>
      <c r="I1748" s="1012" t="n"/>
      <c r="J1748" s="1014" t="n"/>
    </row>
    <row r="1749" customFormat="1" s="1011">
      <c r="A1749" s="1015" t="inlineStr">
        <is>
          <t>Fuel Type</t>
        </is>
      </c>
      <c r="C1749" s="1016" t="inlineStr">
        <is>
          <t>Net calorific values</t>
        </is>
      </c>
      <c r="D1749" s="1017" t="inlineStr">
        <is>
          <t>CO2</t>
        </is>
      </c>
      <c r="E1749" s="1018" t="inlineStr">
        <is>
          <t>CH4</t>
        </is>
      </c>
      <c r="F1749" s="1018" t="inlineStr">
        <is>
          <t>N2O</t>
        </is>
      </c>
      <c r="I1749" s="1017" t="n"/>
      <c r="J1749" s="1014" t="n"/>
    </row>
    <row r="1750" customFormat="1" s="291">
      <c r="A1750" s="1019" t="inlineStr">
        <is>
          <t>Please select</t>
        </is>
      </c>
      <c r="B1750" s="1020" t="inlineStr">
        <is>
          <t>tCO2eq/t fuel</t>
        </is>
      </c>
      <c r="C1750" s="1021" t="inlineStr">
        <is>
          <t>(Tj/Gg)</t>
        </is>
      </c>
      <c r="D1750" s="1022" t="inlineStr">
        <is>
          <t>kg CO2/TJ</t>
        </is>
      </c>
      <c r="E1750" s="1022" t="inlineStr">
        <is>
          <t>kg CH4/TJ</t>
        </is>
      </c>
      <c r="F1750" s="1022" t="inlineStr">
        <is>
          <t>kg N2O/TJ</t>
        </is>
      </c>
      <c r="G1750" s="2551" t="n"/>
      <c r="H1750" s="2552" t="n"/>
      <c r="I1750" s="2553" t="n"/>
      <c r="J1750" s="2556" t="n"/>
    </row>
    <row r="1751" customFormat="1" s="21">
      <c r="A1751" s="1024" t="inlineStr">
        <is>
          <t>Wood</t>
        </is>
      </c>
      <c r="B1751" s="4785">
        <f>C1751*(E1751*methane+F1751*Nitrous)/10^6</f>
        <v/>
      </c>
      <c r="C1751" s="1026" t="n">
        <v>15.6</v>
      </c>
      <c r="D1751" s="1026" t="n">
        <v>112000</v>
      </c>
      <c r="E1751" s="1026" t="n">
        <v>300</v>
      </c>
      <c r="F1751" s="1026" t="n">
        <v>4</v>
      </c>
      <c r="G1751" s="2554" t="n"/>
      <c r="H1751" s="23" t="n"/>
      <c r="I1751" s="1035" t="n"/>
      <c r="J1751" s="1035" t="n"/>
    </row>
    <row r="1752" customFormat="1" s="21">
      <c r="A1752" s="1024" t="inlineStr">
        <is>
          <t>Peat</t>
        </is>
      </c>
      <c r="B1752" s="4785">
        <f>C1752*(E1752*methane+F1752*Nitrous)/10^6</f>
        <v/>
      </c>
      <c r="C1752" s="1027" t="n">
        <v>9.76</v>
      </c>
      <c r="D1752" s="1026" t="n">
        <v>106000</v>
      </c>
      <c r="E1752" s="1026" t="n">
        <v>300</v>
      </c>
      <c r="F1752" s="1026" t="n">
        <v>1.4</v>
      </c>
      <c r="G1752" s="2555" t="n"/>
      <c r="I1752" s="1035" t="n"/>
      <c r="J1752" s="1035" t="n"/>
    </row>
    <row r="1753" customFormat="1" s="21">
      <c r="A1753" s="1024" t="inlineStr">
        <is>
          <t>Charcoal</t>
        </is>
      </c>
      <c r="B1753" s="4785">
        <f>C1753*(E1753*methane+F1753*Nitrous)/10^6</f>
        <v/>
      </c>
      <c r="C1753" s="1027" t="n">
        <v>29.5</v>
      </c>
      <c r="D1753" s="1026" t="n">
        <v>112000</v>
      </c>
      <c r="E1753" s="1026" t="n">
        <v>200</v>
      </c>
      <c r="F1753" s="1026" t="n">
        <v>1</v>
      </c>
      <c r="G1753" s="1036" t="n"/>
      <c r="H1753" s="292" t="n"/>
      <c r="I1753" s="292" t="n"/>
      <c r="J1753" s="1037" t="n"/>
    </row>
    <row r="1754" customFormat="1" s="535">
      <c r="A1754" s="518" t="inlineStr">
        <is>
          <t>Notes</t>
        </is>
      </c>
      <c r="B1754" s="292" t="n"/>
      <c r="C1754" s="292" t="n"/>
      <c r="D1754" s="292" t="n"/>
      <c r="E1754" s="292" t="n"/>
      <c r="F1754" s="292" t="n"/>
      <c r="G1754" s="292" t="n"/>
      <c r="H1754" s="292" t="n"/>
      <c r="I1754" s="292" t="n"/>
      <c r="J1754" s="292" t="n"/>
    </row>
    <row r="1755" customFormat="1" s="535">
      <c r="A1755" s="534" t="inlineStr">
        <is>
          <t>Values in red are obtained from IPCC 2006</t>
        </is>
      </c>
    </row>
    <row r="1756" customFormat="1" s="535">
      <c r="A1756" s="534" t="n"/>
    </row>
    <row r="1757" customFormat="1" s="284"/>
    <row r="1758" ht="24" customFormat="1" customHeight="1" s="1086">
      <c r="A1758" s="1086" t="inlineStr">
        <is>
          <t>Drainage of organic soils</t>
        </is>
      </c>
    </row>
    <row r="1759" customFormat="1" s="284"/>
    <row r="1760" customFormat="1" s="125">
      <c r="A1760" s="377" t="inlineStr">
        <is>
          <t>Emissions factors for CO2 on site on drained organic soils  IPCC 2013</t>
        </is>
      </c>
      <c r="D1760" s="1075" t="n"/>
      <c r="E1760" s="1075" t="n"/>
      <c r="F1760" s="1075" t="n"/>
      <c r="G1760" s="1075" t="n"/>
      <c r="H1760" s="1075" t="n"/>
      <c r="I1760" s="1075" t="n"/>
    </row>
    <row r="1761" ht="16.25" customFormat="1" customHeight="1" s="773">
      <c r="A1761" s="753" t="inlineStr">
        <is>
          <t>NUTRIENT POOR SOIL</t>
        </is>
      </c>
      <c r="B1761" s="442" t="inlineStr">
        <is>
          <t>Table 2.1</t>
        </is>
      </c>
      <c r="C1761" s="442" t="inlineStr">
        <is>
          <t>Table 2.1</t>
        </is>
      </c>
      <c r="D1761" s="442" t="inlineStr">
        <is>
          <t>Table 2.1</t>
        </is>
      </c>
      <c r="E1761" s="442" t="inlineStr">
        <is>
          <t>Table 2.1</t>
        </is>
      </c>
      <c r="F1761" s="442" t="inlineStr">
        <is>
          <t>Table 2.1</t>
        </is>
      </c>
      <c r="G1761" s="442" t="inlineStr">
        <is>
          <t>Table 2.1</t>
        </is>
      </c>
      <c r="H1761" s="442" t="inlineStr">
        <is>
          <t>Table 2.1</t>
        </is>
      </c>
      <c r="I1761" s="442" t="inlineStr">
        <is>
          <t>Table 2.1</t>
        </is>
      </c>
      <c r="J1761" s="442" t="inlineStr">
        <is>
          <t>Table 2.1</t>
        </is>
      </c>
      <c r="K1761" s="442" t="inlineStr">
        <is>
          <t>Table 2.1</t>
        </is>
      </c>
      <c r="L1761" s="442" t="n"/>
      <c r="M1761" s="442" t="n"/>
      <c r="N1761" s="442" t="n"/>
      <c r="O1761" s="442" t="n"/>
      <c r="P1761" s="532" t="n"/>
      <c r="Q1761" s="442" t="n"/>
      <c r="R1761" s="442" t="n"/>
      <c r="S1761" s="442" t="n"/>
      <c r="T1761" s="442" t="n"/>
      <c r="U1761" s="442" t="n"/>
      <c r="V1761" s="442" t="n"/>
      <c r="W1761" s="442" t="n"/>
    </row>
    <row r="1762" ht="16" customFormat="1" customHeight="1" s="291">
      <c r="A1762" s="293" t="inlineStr">
        <is>
          <t>IPCC Climate Region</t>
        </is>
      </c>
      <c r="B1762" s="426" t="inlineStr">
        <is>
          <t>Forest</t>
        </is>
      </c>
      <c r="C1762" s="426" t="inlineStr">
        <is>
          <t>Plantation</t>
        </is>
      </c>
      <c r="D1762" s="426" t="inlineStr">
        <is>
          <t>Annual</t>
        </is>
      </c>
      <c r="E1762" s="426" t="inlineStr">
        <is>
          <t>Perennial</t>
        </is>
      </c>
      <c r="F1762" s="426" t="inlineStr">
        <is>
          <t>Flooded rice</t>
        </is>
      </c>
      <c r="G1762" s="426" t="inlineStr">
        <is>
          <t>Grassland</t>
        </is>
      </c>
      <c r="H1762" s="426" t="inlineStr">
        <is>
          <t>Settlement</t>
        </is>
      </c>
      <c r="I1762" s="426" t="inlineStr">
        <is>
          <t>Other land</t>
        </is>
      </c>
      <c r="J1762" s="426" t="inlineStr">
        <is>
          <t>Degraded land</t>
        </is>
      </c>
      <c r="K1762" s="31" t="inlineStr">
        <is>
          <t>Peat extraction</t>
        </is>
      </c>
      <c r="L1762" s="453" t="n"/>
      <c r="M1762" s="453" t="n"/>
      <c r="N1762" s="453" t="n"/>
      <c r="O1762" s="453" t="n"/>
      <c r="P1762" s="1616" t="n"/>
      <c r="Q1762" s="453" t="n"/>
      <c r="R1762" s="453" t="n"/>
      <c r="S1762" s="453" t="n"/>
      <c r="T1762" s="453" t="n"/>
      <c r="U1762" s="453" t="n"/>
      <c r="V1762" s="453" t="n"/>
      <c r="W1762" s="453" t="n"/>
      <c r="X1762" s="21" t="n"/>
      <c r="Y1762" s="21" t="n"/>
    </row>
    <row r="1763" ht="16" customFormat="1" customHeight="1" s="21">
      <c r="A1763" s="255" t="inlineStr">
        <is>
          <t>Please select</t>
        </is>
      </c>
      <c r="B1763" s="426" t="inlineStr">
        <is>
          <t>tC/ha/yr</t>
        </is>
      </c>
      <c r="C1763" s="426" t="inlineStr">
        <is>
          <t>tC/ha/yr</t>
        </is>
      </c>
      <c r="D1763" s="426" t="inlineStr">
        <is>
          <t>tC/ha/yr</t>
        </is>
      </c>
      <c r="E1763" s="426" t="inlineStr">
        <is>
          <t>tC/ha/yr</t>
        </is>
      </c>
      <c r="F1763" s="426" t="inlineStr">
        <is>
          <t>tC/ha/yr</t>
        </is>
      </c>
      <c r="G1763" s="426" t="inlineStr">
        <is>
          <t>tC/ha/yr</t>
        </is>
      </c>
      <c r="H1763" s="426" t="inlineStr">
        <is>
          <t>tC/ha/yr</t>
        </is>
      </c>
      <c r="I1763" s="426" t="inlineStr">
        <is>
          <t>tC/ha/yr</t>
        </is>
      </c>
      <c r="J1763" s="426" t="inlineStr">
        <is>
          <t>tC/ha/yr</t>
        </is>
      </c>
      <c r="K1763" s="31" t="inlineStr">
        <is>
          <t>tC/ha/yr</t>
        </is>
      </c>
      <c r="L1763" s="453" t="n"/>
      <c r="M1763" s="453" t="n"/>
      <c r="N1763" s="453" t="n"/>
      <c r="O1763" s="453" t="n"/>
      <c r="P1763" s="453" t="n"/>
      <c r="Q1763" s="453" t="n"/>
      <c r="R1763" s="453" t="n"/>
      <c r="S1763" s="453" t="n"/>
      <c r="T1763" s="453" t="n"/>
      <c r="U1763" s="453" t="n"/>
      <c r="V1763" s="453" t="n"/>
      <c r="W1763" s="453" t="n"/>
    </row>
    <row r="1764" customFormat="1" s="21">
      <c r="A1764" s="20" t="inlineStr">
        <is>
          <t>Boreal Dry</t>
        </is>
      </c>
      <c r="B1764" s="41">
        <f>AVERAGE(0.37,0.25)</f>
        <v/>
      </c>
      <c r="C1764" s="41">
        <f>B1764</f>
        <v/>
      </c>
      <c r="D1764" s="41" t="n">
        <v>7.9</v>
      </c>
      <c r="E1764" s="41" t="n">
        <v>7.9</v>
      </c>
      <c r="F1764" s="163" t="n">
        <v>0</v>
      </c>
      <c r="G1764" s="41" t="n">
        <v>5.7</v>
      </c>
      <c r="H1764" s="41" t="n"/>
      <c r="I1764" s="41" t="n"/>
      <c r="J1764" s="41" t="n"/>
      <c r="K1764" s="470" t="n">
        <v>2.8</v>
      </c>
      <c r="L1764" s="453" t="n"/>
      <c r="M1764" s="453" t="n"/>
      <c r="N1764" s="453" t="n"/>
      <c r="O1764" s="453" t="n"/>
      <c r="P1764" s="1617" t="n"/>
      <c r="Q1764" s="453" t="n"/>
      <c r="R1764" s="453" t="n"/>
      <c r="S1764" s="453" t="n"/>
      <c r="T1764" s="453" t="n"/>
      <c r="U1764" s="453" t="n"/>
      <c r="V1764" s="453" t="n"/>
      <c r="W1764" s="453" t="n"/>
    </row>
    <row r="1765" customFormat="1" s="21">
      <c r="A1765" s="20" t="inlineStr">
        <is>
          <t>Boreal Moist</t>
        </is>
      </c>
      <c r="B1765" s="41">
        <f>B1764</f>
        <v/>
      </c>
      <c r="C1765" s="41">
        <f>B1765</f>
        <v/>
      </c>
      <c r="D1765" s="41" t="n">
        <v>7.9</v>
      </c>
      <c r="E1765" s="41" t="n">
        <v>7.9</v>
      </c>
      <c r="F1765" s="163" t="n">
        <v>0</v>
      </c>
      <c r="G1765" s="41" t="n">
        <v>5.7</v>
      </c>
      <c r="H1765" s="41" t="n"/>
      <c r="I1765" s="41" t="n"/>
      <c r="J1765" s="41" t="n"/>
      <c r="K1765" s="467" t="n">
        <v>2.8</v>
      </c>
      <c r="L1765" s="453" t="n"/>
      <c r="M1765" s="453" t="n"/>
      <c r="N1765" s="453" t="n"/>
      <c r="O1765" s="453" t="n"/>
      <c r="P1765" s="1617" t="n"/>
      <c r="Q1765" s="453" t="n"/>
      <c r="R1765" s="453" t="n"/>
      <c r="S1765" s="453" t="n"/>
      <c r="T1765" s="453" t="n"/>
      <c r="U1765" s="453" t="n"/>
      <c r="V1765" s="453" t="n"/>
      <c r="W1765" s="453" t="n"/>
    </row>
    <row r="1766" customFormat="1" s="21">
      <c r="A1766" s="20" t="inlineStr">
        <is>
          <t>Cool Temperate Dry</t>
        </is>
      </c>
      <c r="B1766" s="41" t="n">
        <v>2.6</v>
      </c>
      <c r="C1766" s="41">
        <f>B1766</f>
        <v/>
      </c>
      <c r="D1766" s="41" t="n">
        <v>7.9</v>
      </c>
      <c r="E1766" s="41" t="n">
        <v>7.9</v>
      </c>
      <c r="F1766" s="163" t="n">
        <v>0</v>
      </c>
      <c r="G1766" s="41" t="n">
        <v>5.3</v>
      </c>
      <c r="H1766" s="41" t="n"/>
      <c r="I1766" s="41" t="n"/>
      <c r="J1766" s="41" t="n"/>
      <c r="K1766" s="467" t="n">
        <v>2.8</v>
      </c>
      <c r="L1766" s="453" t="n"/>
      <c r="M1766" s="453" t="n"/>
      <c r="N1766" s="453" t="n"/>
      <c r="O1766" s="453" t="n"/>
      <c r="P1766" s="1617" t="n"/>
      <c r="Q1766" s="453" t="n"/>
      <c r="R1766" s="453" t="n"/>
      <c r="S1766" s="453" t="n"/>
      <c r="T1766" s="453" t="n"/>
      <c r="U1766" s="453" t="n"/>
      <c r="V1766" s="453" t="n"/>
      <c r="W1766" s="453" t="n"/>
    </row>
    <row r="1767" customFormat="1" s="21">
      <c r="A1767" s="20" t="inlineStr">
        <is>
          <t>Cool Temperate Moist</t>
        </is>
      </c>
      <c r="B1767" s="41" t="n">
        <v>2.6</v>
      </c>
      <c r="C1767" s="41">
        <f>B1767</f>
        <v/>
      </c>
      <c r="D1767" s="41" t="n">
        <v>7.9</v>
      </c>
      <c r="E1767" s="41" t="n">
        <v>7.9</v>
      </c>
      <c r="F1767" s="163" t="n">
        <v>0</v>
      </c>
      <c r="G1767" s="41" t="n">
        <v>5.3</v>
      </c>
      <c r="H1767" s="41" t="n"/>
      <c r="I1767" s="41" t="n"/>
      <c r="J1767" s="41" t="n"/>
      <c r="K1767" s="467" t="n">
        <v>2.8</v>
      </c>
      <c r="L1767" s="453" t="n"/>
      <c r="M1767" s="453" t="n"/>
      <c r="N1767" s="453" t="n"/>
      <c r="O1767" s="453" t="n"/>
      <c r="P1767" s="1617" t="n"/>
      <c r="Q1767" s="453" t="n"/>
      <c r="R1767" s="453" t="n"/>
      <c r="S1767" s="453" t="n"/>
      <c r="T1767" s="453" t="n"/>
      <c r="U1767" s="453" t="n"/>
      <c r="V1767" s="453" t="n"/>
      <c r="W1767" s="453" t="n"/>
    </row>
    <row r="1768" customFormat="1" s="21">
      <c r="A1768" s="20" t="inlineStr">
        <is>
          <t>Warm Temperate Dry</t>
        </is>
      </c>
      <c r="B1768" s="41" t="n">
        <v>2.6</v>
      </c>
      <c r="C1768" s="41">
        <f>B1768</f>
        <v/>
      </c>
      <c r="D1768" s="41" t="n">
        <v>7.9</v>
      </c>
      <c r="E1768" s="41" t="n">
        <v>7.9</v>
      </c>
      <c r="F1768" s="163" t="n">
        <v>0</v>
      </c>
      <c r="G1768" s="41" t="n">
        <v>5.3</v>
      </c>
      <c r="H1768" s="41" t="n"/>
      <c r="I1768" s="41" t="n"/>
      <c r="J1768" s="41" t="n"/>
      <c r="K1768" s="467" t="n">
        <v>2.8</v>
      </c>
      <c r="L1768" s="453" t="n"/>
      <c r="M1768" s="453" t="n"/>
      <c r="N1768" s="453" t="n"/>
      <c r="O1768" s="453" t="n"/>
      <c r="P1768" s="1617" t="n"/>
      <c r="Q1768" s="453" t="n"/>
      <c r="R1768" s="453" t="n"/>
      <c r="S1768" s="453" t="n"/>
      <c r="T1768" s="453" t="n"/>
      <c r="U1768" s="453" t="n"/>
      <c r="V1768" s="453" t="n"/>
      <c r="W1768" s="453" t="n"/>
    </row>
    <row r="1769" customFormat="1" s="21">
      <c r="A1769" s="20" t="inlineStr">
        <is>
          <t>Warm Temperate Moist</t>
        </is>
      </c>
      <c r="B1769" s="41" t="n">
        <v>2.6</v>
      </c>
      <c r="C1769" s="41">
        <f>B1769</f>
        <v/>
      </c>
      <c r="D1769" s="41" t="n">
        <v>7.9</v>
      </c>
      <c r="E1769" s="41" t="n">
        <v>7.9</v>
      </c>
      <c r="F1769" s="163" t="n">
        <v>0</v>
      </c>
      <c r="G1769" s="41" t="n">
        <v>5.3</v>
      </c>
      <c r="H1769" s="41" t="n"/>
      <c r="I1769" s="41" t="n"/>
      <c r="J1769" s="41" t="n"/>
      <c r="K1769" s="467" t="n">
        <v>2.8</v>
      </c>
      <c r="L1769" s="453" t="n"/>
      <c r="M1769" s="453" t="n"/>
      <c r="N1769" s="453" t="n"/>
      <c r="O1769" s="453" t="n"/>
      <c r="P1769" s="1617" t="n"/>
      <c r="Q1769" s="453" t="n"/>
      <c r="R1769" s="453" t="n"/>
      <c r="S1769" s="453" t="n"/>
      <c r="T1769" s="453" t="n"/>
      <c r="U1769" s="453" t="n"/>
      <c r="V1769" s="453" t="n"/>
      <c r="W1769" s="453" t="n"/>
    </row>
    <row r="1770" customFormat="1" s="21">
      <c r="A1770" s="20" t="inlineStr">
        <is>
          <t>Tropical Dry</t>
        </is>
      </c>
      <c r="B1770" s="41" t="n">
        <v>5.3</v>
      </c>
      <c r="C1770" s="471">
        <f>AVERAGE(1.5,20,11)</f>
        <v/>
      </c>
      <c r="D1770" s="471" t="n">
        <v>14</v>
      </c>
      <c r="E1770" s="471" t="n">
        <v>14</v>
      </c>
      <c r="F1770" s="471" t="n">
        <v>9.4</v>
      </c>
      <c r="G1770" s="471" t="n">
        <v>9.6</v>
      </c>
      <c r="H1770" s="41" t="n"/>
      <c r="I1770" s="41" t="n"/>
      <c r="J1770" s="41" t="n"/>
      <c r="K1770" s="467" t="n">
        <v>2</v>
      </c>
      <c r="L1770" s="453" t="n"/>
      <c r="M1770" s="453" t="n"/>
      <c r="N1770" s="453" t="n"/>
      <c r="O1770" s="453" t="n"/>
      <c r="P1770" s="1617" t="n"/>
      <c r="Q1770" s="453" t="n"/>
      <c r="R1770" s="453" t="n"/>
      <c r="S1770" s="453" t="n"/>
      <c r="T1770" s="453" t="n"/>
      <c r="U1770" s="453" t="n"/>
      <c r="V1770" s="453" t="n"/>
      <c r="W1770" s="453" t="n"/>
    </row>
    <row r="1771" customFormat="1" s="21">
      <c r="A1771" s="20" t="inlineStr">
        <is>
          <t>Tropical Moist</t>
        </is>
      </c>
      <c r="B1771" s="41" t="n">
        <v>5.3</v>
      </c>
      <c r="C1771" s="471">
        <f>AVERAGE(1.5,20,11)</f>
        <v/>
      </c>
      <c r="D1771" s="471" t="n">
        <v>14</v>
      </c>
      <c r="E1771" s="471" t="n">
        <v>14</v>
      </c>
      <c r="F1771" s="471" t="n">
        <v>9.4</v>
      </c>
      <c r="G1771" s="471" t="n">
        <v>9.6</v>
      </c>
      <c r="H1771" s="41" t="n"/>
      <c r="I1771" s="41" t="n"/>
      <c r="J1771" s="41" t="n"/>
      <c r="K1771" s="467" t="n">
        <v>2</v>
      </c>
      <c r="L1771" s="453" t="n"/>
      <c r="M1771" s="453" t="n"/>
      <c r="N1771" s="453" t="n"/>
      <c r="O1771" s="453" t="n"/>
      <c r="P1771" s="1617" t="n"/>
      <c r="Q1771" s="453" t="n"/>
      <c r="R1771" s="453" t="n"/>
      <c r="S1771" s="453" t="n"/>
      <c r="T1771" s="453" t="n"/>
      <c r="U1771" s="453" t="n"/>
      <c r="V1771" s="453" t="n"/>
      <c r="W1771" s="453" t="n"/>
    </row>
    <row r="1772" customFormat="1" s="21">
      <c r="A1772" s="20" t="inlineStr">
        <is>
          <t>Tropical Wet</t>
        </is>
      </c>
      <c r="B1772" s="41" t="n">
        <v>5.3</v>
      </c>
      <c r="C1772" s="471">
        <f>AVERAGE(1.5,20,11)</f>
        <v/>
      </c>
      <c r="D1772" s="471" t="n">
        <v>14</v>
      </c>
      <c r="E1772" s="471" t="n">
        <v>14</v>
      </c>
      <c r="F1772" s="471" t="n">
        <v>9.4</v>
      </c>
      <c r="G1772" s="471" t="n">
        <v>9.6</v>
      </c>
      <c r="H1772" s="41" t="n"/>
      <c r="I1772" s="41" t="n"/>
      <c r="J1772" s="41" t="n"/>
      <c r="K1772" s="467" t="n">
        <v>2</v>
      </c>
      <c r="L1772" s="453" t="n"/>
      <c r="M1772" s="453" t="n"/>
      <c r="N1772" s="453" t="n"/>
      <c r="O1772" s="453" t="n"/>
      <c r="P1772" s="1617" t="n"/>
      <c r="Q1772" s="453" t="n"/>
      <c r="R1772" s="453" t="n"/>
      <c r="S1772" s="453" t="n"/>
      <c r="T1772" s="453" t="n"/>
      <c r="U1772" s="453" t="n"/>
      <c r="V1772" s="453" t="n"/>
      <c r="W1772" s="453" t="n"/>
    </row>
    <row r="1773" customFormat="1" s="292">
      <c r="A1773" s="37" t="inlineStr">
        <is>
          <t>Tropical Montane</t>
        </is>
      </c>
      <c r="B1773" s="42" t="n">
        <v>5.3</v>
      </c>
      <c r="C1773" s="536">
        <f>AVERAGE(1.5,20,11)</f>
        <v/>
      </c>
      <c r="D1773" s="536" t="n">
        <v>14</v>
      </c>
      <c r="E1773" s="536" t="n">
        <v>14</v>
      </c>
      <c r="F1773" s="536" t="n">
        <v>9.4</v>
      </c>
      <c r="G1773" s="536" t="n">
        <v>9.6</v>
      </c>
      <c r="H1773" s="42" t="n"/>
      <c r="I1773" s="42" t="n"/>
      <c r="J1773" s="42" t="n"/>
      <c r="K1773" s="654" t="n">
        <v>2</v>
      </c>
      <c r="L1773" s="1074" t="n"/>
      <c r="M1773" s="1074" t="n"/>
      <c r="N1773" s="1074" t="n"/>
      <c r="O1773" s="1074" t="n"/>
      <c r="P1773" s="1618" t="n"/>
      <c r="Q1773" s="1074" t="n"/>
      <c r="R1773" s="1074" t="n"/>
      <c r="S1773" s="1074" t="n"/>
      <c r="T1773" s="1074" t="n"/>
      <c r="U1773" s="1074" t="n"/>
      <c r="V1773" s="1074" t="n"/>
      <c r="W1773" s="1074" t="n"/>
    </row>
    <row r="1774" customFormat="1" s="292">
      <c r="A1774" s="1073" t="inlineStr">
        <is>
          <t xml:space="preserve">Notes </t>
        </is>
      </c>
    </row>
    <row r="1775" customFormat="1" s="535">
      <c r="A1775" s="516" t="inlineStr">
        <is>
          <t>For Forest boreal the value by default is the average of 2 EFs.</t>
        </is>
      </c>
    </row>
    <row r="1776" ht="14.25" customFormat="1" customHeight="1" s="535">
      <c r="A1776" s="534" t="inlineStr">
        <is>
          <t>For Tropical Montane the value by default is tropical</t>
        </is>
      </c>
    </row>
    <row r="1777" ht="14.25" customFormat="1" customHeight="1" s="535">
      <c r="A1777" s="534" t="inlineStr">
        <is>
          <t>For "Settlement", "Other land" and "Degraded land" select the EF from previous land use</t>
        </is>
      </c>
    </row>
    <row r="1779" customFormat="1" s="125">
      <c r="A1779" s="377" t="inlineStr">
        <is>
          <t>Emissions factors for CO2 on site on drained organic soils  IPCC 2013</t>
        </is>
      </c>
      <c r="D1779" s="1075" t="n"/>
      <c r="E1779" s="1076" t="n"/>
      <c r="F1779" s="1076" t="n"/>
      <c r="G1779" s="1076" t="n"/>
      <c r="H1779" s="1076" t="n"/>
      <c r="I1779" s="1076" t="n"/>
    </row>
    <row r="1780" ht="16.25" customFormat="1" customHeight="1" s="773">
      <c r="A1780" s="753" t="inlineStr">
        <is>
          <t>NUTRIENT RICH SOIL</t>
        </is>
      </c>
      <c r="B1780" s="442" t="inlineStr">
        <is>
          <t>Table 2.1</t>
        </is>
      </c>
      <c r="C1780" s="442" t="inlineStr">
        <is>
          <t>Table 2.1</t>
        </is>
      </c>
      <c r="D1780" s="442" t="inlineStr">
        <is>
          <t>Table 2.1</t>
        </is>
      </c>
      <c r="E1780" s="442" t="inlineStr">
        <is>
          <t>Table 2.1</t>
        </is>
      </c>
      <c r="F1780" s="442" t="inlineStr">
        <is>
          <t>Table 2.1</t>
        </is>
      </c>
      <c r="G1780" s="442" t="inlineStr">
        <is>
          <t>Table 2.1</t>
        </is>
      </c>
      <c r="H1780" s="442" t="inlineStr">
        <is>
          <t>Table 2.1</t>
        </is>
      </c>
      <c r="I1780" s="442" t="inlineStr">
        <is>
          <t>Table 2.1</t>
        </is>
      </c>
      <c r="J1780" s="442" t="inlineStr">
        <is>
          <t>Table 2.1</t>
        </is>
      </c>
      <c r="K1780" s="442" t="inlineStr">
        <is>
          <t>Table 2.1</t>
        </is>
      </c>
      <c r="L1780" s="442" t="n"/>
      <c r="M1780" s="442" t="n"/>
      <c r="N1780" s="442" t="n"/>
      <c r="O1780" s="442" t="n"/>
      <c r="P1780" s="532" t="n"/>
      <c r="Q1780" s="442" t="n"/>
      <c r="R1780" s="442" t="n"/>
      <c r="S1780" s="442" t="n"/>
      <c r="T1780" s="442" t="n"/>
      <c r="U1780" s="442" t="n"/>
      <c r="V1780" s="442" t="n"/>
      <c r="W1780" s="442" t="n"/>
    </row>
    <row r="1781" ht="16" customFormat="1" customHeight="1" s="291">
      <c r="A1781" s="293" t="inlineStr">
        <is>
          <t>IPCC Climate Region</t>
        </is>
      </c>
      <c r="B1781" s="426" t="inlineStr">
        <is>
          <t>Forest</t>
        </is>
      </c>
      <c r="C1781" s="426" t="inlineStr">
        <is>
          <t>Plantation</t>
        </is>
      </c>
      <c r="D1781" s="426" t="inlineStr">
        <is>
          <t>Annual</t>
        </is>
      </c>
      <c r="E1781" s="426" t="inlineStr">
        <is>
          <t>Perennial</t>
        </is>
      </c>
      <c r="F1781" s="426" t="inlineStr">
        <is>
          <t>Flooded rice</t>
        </is>
      </c>
      <c r="G1781" s="426" t="inlineStr">
        <is>
          <t>Grassland</t>
        </is>
      </c>
      <c r="H1781" s="426" t="inlineStr">
        <is>
          <t>Settlement</t>
        </is>
      </c>
      <c r="I1781" s="426" t="inlineStr">
        <is>
          <t>Other land</t>
        </is>
      </c>
      <c r="J1781" s="426" t="inlineStr">
        <is>
          <t>Degraded land</t>
        </is>
      </c>
      <c r="K1781" s="31" t="inlineStr">
        <is>
          <t>Peat extraction</t>
        </is>
      </c>
      <c r="L1781" s="453" t="n"/>
      <c r="M1781" s="453" t="n"/>
      <c r="N1781" s="453" t="n"/>
      <c r="O1781" s="453" t="n"/>
      <c r="P1781" s="1616" t="n"/>
      <c r="Q1781" s="453" t="n"/>
      <c r="R1781" s="453" t="n"/>
      <c r="S1781" s="453" t="n"/>
      <c r="T1781" s="453" t="n"/>
      <c r="U1781" s="453" t="n"/>
      <c r="V1781" s="453" t="n"/>
      <c r="W1781" s="453" t="n"/>
      <c r="X1781" s="21" t="n"/>
      <c r="Y1781" s="21" t="n"/>
    </row>
    <row r="1782" ht="16" customFormat="1" customHeight="1" s="21">
      <c r="A1782" s="255" t="inlineStr">
        <is>
          <t>Please select</t>
        </is>
      </c>
      <c r="B1782" s="426" t="inlineStr">
        <is>
          <t>tC/ha/yr</t>
        </is>
      </c>
      <c r="C1782" s="426" t="inlineStr">
        <is>
          <t>tC/ha/yr</t>
        </is>
      </c>
      <c r="D1782" s="426" t="inlineStr">
        <is>
          <t>tC/ha/yr</t>
        </is>
      </c>
      <c r="E1782" s="426" t="inlineStr">
        <is>
          <t>tC/ha/yr</t>
        </is>
      </c>
      <c r="F1782" s="426" t="inlineStr">
        <is>
          <t>tC/ha/yr</t>
        </is>
      </c>
      <c r="G1782" s="426" t="inlineStr">
        <is>
          <t>tC/ha/yr</t>
        </is>
      </c>
      <c r="H1782" s="426" t="inlineStr">
        <is>
          <t>tC/ha/yr</t>
        </is>
      </c>
      <c r="I1782" s="426" t="inlineStr">
        <is>
          <t>tC/ha/yr</t>
        </is>
      </c>
      <c r="J1782" s="426" t="inlineStr">
        <is>
          <t>tC/ha/yr</t>
        </is>
      </c>
      <c r="K1782" s="31" t="inlineStr">
        <is>
          <t>tC/ha/yr</t>
        </is>
      </c>
      <c r="L1782" s="453" t="n"/>
      <c r="M1782" s="453" t="n"/>
      <c r="N1782" s="453" t="n"/>
      <c r="O1782" s="453" t="n"/>
      <c r="P1782" s="453" t="n"/>
      <c r="Q1782" s="453" t="n"/>
      <c r="R1782" s="453" t="n"/>
      <c r="S1782" s="453" t="n"/>
      <c r="T1782" s="453" t="n"/>
      <c r="U1782" s="453" t="n"/>
      <c r="V1782" s="453" t="n"/>
      <c r="W1782" s="453" t="n"/>
    </row>
    <row r="1783" customFormat="1" s="21">
      <c r="A1783" s="20" t="inlineStr">
        <is>
          <t>Boreal Dry</t>
        </is>
      </c>
      <c r="B1783" s="41" t="n">
        <v>0.93</v>
      </c>
      <c r="C1783" s="41">
        <f>B1783</f>
        <v/>
      </c>
      <c r="D1783" s="41" t="n">
        <v>7.9</v>
      </c>
      <c r="E1783" s="41" t="n">
        <v>7.9</v>
      </c>
      <c r="F1783" s="163" t="n">
        <v>0</v>
      </c>
      <c r="G1783" s="41" t="n">
        <v>5.7</v>
      </c>
      <c r="H1783" s="41" t="n"/>
      <c r="I1783" s="41" t="n"/>
      <c r="J1783" s="41" t="n"/>
      <c r="K1783" s="470" t="n">
        <v>2.8</v>
      </c>
      <c r="L1783" s="453" t="n"/>
      <c r="M1783" s="453" t="n"/>
      <c r="N1783" s="453" t="n"/>
      <c r="O1783" s="453" t="n"/>
      <c r="P1783" s="1617" t="n"/>
      <c r="Q1783" s="453" t="n"/>
      <c r="R1783" s="453" t="n"/>
      <c r="S1783" s="453" t="n"/>
      <c r="T1783" s="453" t="n"/>
      <c r="U1783" s="453" t="n"/>
      <c r="V1783" s="453" t="n"/>
      <c r="W1783" s="453" t="n"/>
    </row>
    <row r="1784" customFormat="1" s="21">
      <c r="A1784" s="20" t="inlineStr">
        <is>
          <t>Boreal Moist</t>
        </is>
      </c>
      <c r="B1784" s="41" t="n">
        <v>0.93</v>
      </c>
      <c r="C1784" s="41">
        <f>B1784</f>
        <v/>
      </c>
      <c r="D1784" s="41" t="n">
        <v>7.9</v>
      </c>
      <c r="E1784" s="41" t="n">
        <v>7.9</v>
      </c>
      <c r="F1784" s="163" t="n">
        <v>0</v>
      </c>
      <c r="G1784" s="41" t="n">
        <v>5.7</v>
      </c>
      <c r="H1784" s="41" t="n"/>
      <c r="I1784" s="41" t="n"/>
      <c r="J1784" s="41" t="n"/>
      <c r="K1784" s="467" t="n">
        <v>2.8</v>
      </c>
      <c r="L1784" s="453" t="n"/>
      <c r="M1784" s="453" t="n"/>
      <c r="N1784" s="453" t="n"/>
      <c r="O1784" s="453" t="n"/>
      <c r="P1784" s="1617" t="n"/>
      <c r="Q1784" s="453" t="n"/>
      <c r="R1784" s="453" t="n"/>
      <c r="S1784" s="453" t="n"/>
      <c r="T1784" s="453" t="n"/>
      <c r="U1784" s="453" t="n"/>
      <c r="V1784" s="453" t="n"/>
      <c r="W1784" s="453" t="n"/>
    </row>
    <row r="1785" customFormat="1" s="21">
      <c r="A1785" s="20" t="inlineStr">
        <is>
          <t>Cool Temperate Dry</t>
        </is>
      </c>
      <c r="B1785" s="41" t="n">
        <v>2.6</v>
      </c>
      <c r="C1785" s="41">
        <f>B1785</f>
        <v/>
      </c>
      <c r="D1785" s="41" t="n">
        <v>7.9</v>
      </c>
      <c r="E1785" s="41" t="n">
        <v>7.9</v>
      </c>
      <c r="F1785" s="163" t="n">
        <v>0</v>
      </c>
      <c r="G1785" s="41">
        <f>AVERAGE(6.1,3.6)</f>
        <v/>
      </c>
      <c r="H1785" s="41" t="n"/>
      <c r="I1785" s="41" t="n"/>
      <c r="J1785" s="41" t="n"/>
      <c r="K1785" s="467" t="n">
        <v>2.8</v>
      </c>
      <c r="L1785" s="453" t="n"/>
      <c r="M1785" s="453" t="n"/>
      <c r="N1785" s="453" t="n"/>
      <c r="O1785" s="453" t="n"/>
      <c r="P1785" s="1617" t="n"/>
      <c r="Q1785" s="453" t="n"/>
      <c r="R1785" s="453" t="n"/>
      <c r="S1785" s="453" t="n"/>
      <c r="T1785" s="453" t="n"/>
      <c r="U1785" s="453" t="n"/>
      <c r="V1785" s="453" t="n"/>
      <c r="W1785" s="453" t="n"/>
    </row>
    <row r="1786" customFormat="1" s="21">
      <c r="A1786" s="20" t="inlineStr">
        <is>
          <t>Cool Temperate Moist</t>
        </is>
      </c>
      <c r="B1786" s="41" t="n">
        <v>2.6</v>
      </c>
      <c r="C1786" s="41">
        <f>B1786</f>
        <v/>
      </c>
      <c r="D1786" s="41" t="n">
        <v>7.9</v>
      </c>
      <c r="E1786" s="41" t="n">
        <v>7.9</v>
      </c>
      <c r="F1786" s="163" t="n">
        <v>0</v>
      </c>
      <c r="G1786" s="41">
        <f>AVERAGE(6.1,3.6)</f>
        <v/>
      </c>
      <c r="H1786" s="41" t="n"/>
      <c r="I1786" s="41" t="n"/>
      <c r="J1786" s="41" t="n"/>
      <c r="K1786" s="467" t="n">
        <v>2.8</v>
      </c>
      <c r="L1786" s="453" t="n"/>
      <c r="M1786" s="453" t="n"/>
      <c r="N1786" s="453" t="n"/>
      <c r="O1786" s="453" t="n"/>
      <c r="P1786" s="1617" t="n"/>
      <c r="Q1786" s="453" t="n"/>
      <c r="R1786" s="453" t="n"/>
      <c r="S1786" s="453" t="n"/>
      <c r="T1786" s="453" t="n"/>
      <c r="U1786" s="453" t="n"/>
      <c r="V1786" s="453" t="n"/>
      <c r="W1786" s="453" t="n"/>
    </row>
    <row r="1787" customFormat="1" s="21">
      <c r="A1787" s="20" t="inlineStr">
        <is>
          <t>Warm Temperate Dry</t>
        </is>
      </c>
      <c r="B1787" s="41" t="n">
        <v>2.6</v>
      </c>
      <c r="C1787" s="41">
        <f>B1787</f>
        <v/>
      </c>
      <c r="D1787" s="41" t="n">
        <v>7.9</v>
      </c>
      <c r="E1787" s="41" t="n">
        <v>7.9</v>
      </c>
      <c r="F1787" s="163" t="n">
        <v>0</v>
      </c>
      <c r="G1787" s="41">
        <f>AVERAGE(6.1,3.6)</f>
        <v/>
      </c>
      <c r="H1787" s="41" t="n"/>
      <c r="I1787" s="41" t="n"/>
      <c r="J1787" s="41" t="n"/>
      <c r="K1787" s="467" t="n">
        <v>2.8</v>
      </c>
      <c r="L1787" s="453" t="n"/>
      <c r="M1787" s="453" t="n"/>
      <c r="N1787" s="453" t="n"/>
      <c r="O1787" s="453" t="n"/>
      <c r="P1787" s="1617" t="n"/>
      <c r="Q1787" s="453" t="n"/>
      <c r="R1787" s="453" t="n"/>
      <c r="S1787" s="453" t="n"/>
      <c r="T1787" s="453" t="n"/>
      <c r="U1787" s="453" t="n"/>
      <c r="V1787" s="453" t="n"/>
      <c r="W1787" s="453" t="n"/>
    </row>
    <row r="1788" customFormat="1" s="21">
      <c r="A1788" s="20" t="inlineStr">
        <is>
          <t>Warm Temperate Moist</t>
        </is>
      </c>
      <c r="B1788" s="41" t="n">
        <v>2.6</v>
      </c>
      <c r="C1788" s="41">
        <f>B1788</f>
        <v/>
      </c>
      <c r="D1788" s="41" t="n">
        <v>7.9</v>
      </c>
      <c r="E1788" s="41" t="n">
        <v>7.9</v>
      </c>
      <c r="F1788" s="163" t="n">
        <v>0</v>
      </c>
      <c r="G1788" s="41">
        <f>AVERAGE(6.1,3.6)</f>
        <v/>
      </c>
      <c r="H1788" s="41" t="n"/>
      <c r="I1788" s="41" t="n"/>
      <c r="J1788" s="41" t="n"/>
      <c r="K1788" s="467" t="n">
        <v>2.8</v>
      </c>
      <c r="L1788" s="453" t="n"/>
      <c r="M1788" s="453" t="n"/>
      <c r="N1788" s="453" t="n"/>
      <c r="O1788" s="453" t="n"/>
      <c r="P1788" s="1617" t="n"/>
      <c r="Q1788" s="453" t="n"/>
      <c r="R1788" s="453" t="n"/>
      <c r="S1788" s="453" t="n"/>
      <c r="T1788" s="453" t="n"/>
      <c r="U1788" s="453" t="n"/>
      <c r="V1788" s="453" t="n"/>
      <c r="W1788" s="453" t="n"/>
    </row>
    <row r="1789" customFormat="1" s="21">
      <c r="A1789" s="20" t="inlineStr">
        <is>
          <t>Tropical Dry</t>
        </is>
      </c>
      <c r="B1789" s="41" t="n">
        <v>5.3</v>
      </c>
      <c r="C1789" s="471">
        <f>AVERAGE(1.5,20,11)</f>
        <v/>
      </c>
      <c r="D1789" s="471" t="n">
        <v>14</v>
      </c>
      <c r="E1789" s="471" t="n">
        <v>14</v>
      </c>
      <c r="F1789" s="471" t="n">
        <v>9.4</v>
      </c>
      <c r="G1789" s="471" t="n">
        <v>9.6</v>
      </c>
      <c r="H1789" s="41" t="n"/>
      <c r="I1789" s="41" t="n"/>
      <c r="J1789" s="41" t="n"/>
      <c r="K1789" s="467" t="n">
        <v>2</v>
      </c>
      <c r="L1789" s="453" t="n"/>
      <c r="M1789" s="453" t="n"/>
      <c r="N1789" s="453" t="n"/>
      <c r="O1789" s="453" t="n"/>
      <c r="P1789" s="1617" t="n"/>
      <c r="Q1789" s="453" t="n"/>
      <c r="R1789" s="453" t="n"/>
      <c r="S1789" s="453" t="n"/>
      <c r="T1789" s="453" t="n"/>
      <c r="U1789" s="453" t="n"/>
      <c r="V1789" s="453" t="n"/>
      <c r="W1789" s="453" t="n"/>
    </row>
    <row r="1790" customFormat="1" s="21">
      <c r="A1790" s="20" t="inlineStr">
        <is>
          <t>Tropical Moist</t>
        </is>
      </c>
      <c r="B1790" s="41" t="n">
        <v>5.3</v>
      </c>
      <c r="C1790" s="471">
        <f>AVERAGE(1.5,20,11)</f>
        <v/>
      </c>
      <c r="D1790" s="471" t="n">
        <v>14</v>
      </c>
      <c r="E1790" s="471" t="n">
        <v>14</v>
      </c>
      <c r="F1790" s="471" t="n">
        <v>9.4</v>
      </c>
      <c r="G1790" s="471" t="n">
        <v>9.6</v>
      </c>
      <c r="H1790" s="41" t="n"/>
      <c r="I1790" s="41" t="n"/>
      <c r="J1790" s="41" t="n"/>
      <c r="K1790" s="467" t="n">
        <v>2</v>
      </c>
      <c r="L1790" s="453" t="n"/>
      <c r="M1790" s="453" t="n"/>
      <c r="N1790" s="453" t="n"/>
      <c r="O1790" s="453" t="n"/>
      <c r="P1790" s="1617" t="n"/>
      <c r="Q1790" s="453" t="n"/>
      <c r="R1790" s="453" t="n"/>
      <c r="S1790" s="453" t="n"/>
      <c r="T1790" s="453" t="n"/>
      <c r="U1790" s="453" t="n"/>
      <c r="V1790" s="453" t="n"/>
      <c r="W1790" s="453" t="n"/>
    </row>
    <row r="1791" customFormat="1" s="21">
      <c r="A1791" s="20" t="inlineStr">
        <is>
          <t>Tropical Wet</t>
        </is>
      </c>
      <c r="B1791" s="41" t="n">
        <v>5.3</v>
      </c>
      <c r="C1791" s="471">
        <f>AVERAGE(1.5,20,11)</f>
        <v/>
      </c>
      <c r="D1791" s="471" t="n">
        <v>14</v>
      </c>
      <c r="E1791" s="471" t="n">
        <v>14</v>
      </c>
      <c r="F1791" s="471" t="n">
        <v>9.4</v>
      </c>
      <c r="G1791" s="471" t="n">
        <v>9.6</v>
      </c>
      <c r="H1791" s="41" t="n"/>
      <c r="I1791" s="41" t="n"/>
      <c r="J1791" s="41" t="n"/>
      <c r="K1791" s="467" t="n">
        <v>2</v>
      </c>
      <c r="L1791" s="453" t="n"/>
      <c r="M1791" s="453" t="n"/>
      <c r="N1791" s="453" t="n"/>
      <c r="O1791" s="453" t="n"/>
      <c r="P1791" s="1617" t="n"/>
      <c r="Q1791" s="453" t="n"/>
      <c r="R1791" s="453" t="n"/>
      <c r="S1791" s="453" t="n"/>
      <c r="T1791" s="453" t="n"/>
      <c r="U1791" s="453" t="n"/>
      <c r="V1791" s="453" t="n"/>
      <c r="W1791" s="453" t="n"/>
    </row>
    <row r="1792" customFormat="1" s="292">
      <c r="A1792" s="37" t="inlineStr">
        <is>
          <t>Tropical Montane</t>
        </is>
      </c>
      <c r="B1792" s="42" t="n">
        <v>5.3</v>
      </c>
      <c r="C1792" s="536">
        <f>AVERAGE(1.5,20,11)</f>
        <v/>
      </c>
      <c r="D1792" s="536" t="n">
        <v>14</v>
      </c>
      <c r="E1792" s="536" t="n">
        <v>14</v>
      </c>
      <c r="F1792" s="536" t="n">
        <v>9.4</v>
      </c>
      <c r="G1792" s="536" t="n">
        <v>9.6</v>
      </c>
      <c r="H1792" s="42" t="n"/>
      <c r="I1792" s="42" t="n"/>
      <c r="J1792" s="42" t="n"/>
      <c r="K1792" s="654" t="n">
        <v>2</v>
      </c>
      <c r="L1792" s="1074" t="n"/>
      <c r="M1792" s="1074" t="n"/>
      <c r="N1792" s="1074" t="n"/>
      <c r="O1792" s="1074" t="n"/>
      <c r="P1792" s="1618" t="n"/>
      <c r="Q1792" s="1074" t="n"/>
      <c r="R1792" s="1074" t="n"/>
      <c r="S1792" s="1074" t="n"/>
      <c r="T1792" s="1074" t="n"/>
      <c r="U1792" s="1074" t="n"/>
      <c r="V1792" s="1074" t="n"/>
      <c r="W1792" s="1074" t="n"/>
    </row>
    <row r="1793" customFormat="1" s="292">
      <c r="A1793" s="1073" t="inlineStr">
        <is>
          <t xml:space="preserve">Notes </t>
        </is>
      </c>
    </row>
    <row r="1794" customFormat="1" s="535">
      <c r="A1794" s="534" t="inlineStr">
        <is>
          <t>For Tropical Montane the value by default if tropical</t>
        </is>
      </c>
    </row>
    <row r="1795" customFormat="1" s="535">
      <c r="A1795" s="534" t="inlineStr">
        <is>
          <t>For grassland temperate EF this is the average of 2 EFS</t>
        </is>
      </c>
    </row>
    <row r="1796" ht="14.25" customFormat="1" customHeight="1" s="535">
      <c r="A1796" s="534" t="inlineStr">
        <is>
          <t>For "Settlement", "Other land" and "Degraded land" select the EF from previous land use</t>
        </is>
      </c>
    </row>
    <row r="1798" customFormat="1" s="125">
      <c r="A1798" s="377" t="inlineStr">
        <is>
          <t>Emissions factors for DOC off site on drained organic soils  IPCC 2013</t>
        </is>
      </c>
      <c r="D1798" s="1075" t="n"/>
      <c r="E1798" s="1076" t="n"/>
      <c r="F1798" s="1076" t="n"/>
      <c r="G1798" s="1076" t="n"/>
      <c r="H1798" s="1076" t="n"/>
      <c r="I1798" s="1076" t="n"/>
    </row>
    <row r="1799" ht="16.25" customFormat="1" customHeight="1" s="773">
      <c r="A1799" s="377" t="n"/>
      <c r="B1799" s="442" t="inlineStr">
        <is>
          <t>Table 2.2</t>
        </is>
      </c>
      <c r="C1799" s="442" t="inlineStr">
        <is>
          <t>Table 2.2</t>
        </is>
      </c>
      <c r="D1799" s="442" t="inlineStr">
        <is>
          <t>Table 2.2</t>
        </is>
      </c>
      <c r="E1799" s="442" t="inlineStr">
        <is>
          <t>Table 2.2</t>
        </is>
      </c>
      <c r="F1799" s="442" t="inlineStr">
        <is>
          <t>Table 2.2</t>
        </is>
      </c>
      <c r="G1799" s="442" t="inlineStr">
        <is>
          <t>Table 2.2</t>
        </is>
      </c>
      <c r="H1799" s="442" t="inlineStr">
        <is>
          <t>Table 2.2</t>
        </is>
      </c>
      <c r="I1799" s="442" t="inlineStr">
        <is>
          <t>Table 2.2</t>
        </is>
      </c>
      <c r="J1799" s="442" t="inlineStr">
        <is>
          <t>Table 2.2</t>
        </is>
      </c>
      <c r="K1799" s="442" t="inlineStr">
        <is>
          <t>Table 2.2</t>
        </is>
      </c>
      <c r="L1799" s="442" t="n"/>
      <c r="M1799" s="442" t="n"/>
      <c r="N1799" s="442" t="n"/>
      <c r="O1799" s="442" t="n"/>
      <c r="P1799" s="532" t="n"/>
      <c r="Q1799" s="442" t="n"/>
      <c r="R1799" s="442" t="n"/>
      <c r="S1799" s="442" t="n"/>
      <c r="T1799" s="442" t="n"/>
      <c r="U1799" s="442" t="n"/>
      <c r="V1799" s="442" t="n"/>
      <c r="W1799" s="442" t="n"/>
    </row>
    <row r="1800" ht="16" customFormat="1" customHeight="1" s="291">
      <c r="A1800" s="293" t="inlineStr">
        <is>
          <t>IPCC Climate Region</t>
        </is>
      </c>
      <c r="B1800" s="426" t="inlineStr">
        <is>
          <t>Forest</t>
        </is>
      </c>
      <c r="C1800" s="426" t="inlineStr">
        <is>
          <t>Plantation</t>
        </is>
      </c>
      <c r="D1800" s="426" t="inlineStr">
        <is>
          <t>Annual</t>
        </is>
      </c>
      <c r="E1800" s="426" t="inlineStr">
        <is>
          <t>Perennial</t>
        </is>
      </c>
      <c r="F1800" s="426" t="inlineStr">
        <is>
          <t>Flooded rice</t>
        </is>
      </c>
      <c r="G1800" s="426" t="inlineStr">
        <is>
          <t>Grassland</t>
        </is>
      </c>
      <c r="H1800" s="426" t="inlineStr">
        <is>
          <t>Settlement</t>
        </is>
      </c>
      <c r="I1800" s="426" t="inlineStr">
        <is>
          <t>Other land</t>
        </is>
      </c>
      <c r="J1800" s="426" t="inlineStr">
        <is>
          <t>Degraded land</t>
        </is>
      </c>
      <c r="K1800" s="31" t="inlineStr">
        <is>
          <t>Peat extraction</t>
        </is>
      </c>
      <c r="L1800" s="453" t="n"/>
      <c r="M1800" s="453" t="n"/>
      <c r="N1800" s="453" t="n"/>
      <c r="O1800" s="453" t="n"/>
      <c r="P1800" s="1616" t="n"/>
      <c r="Q1800" s="453" t="n"/>
      <c r="R1800" s="453" t="n"/>
      <c r="S1800" s="453" t="n"/>
      <c r="T1800" s="453" t="n"/>
      <c r="U1800" s="453" t="n"/>
      <c r="V1800" s="453" t="n"/>
      <c r="W1800" s="453" t="n"/>
      <c r="X1800" s="21" t="n"/>
      <c r="Y1800" s="21" t="n"/>
    </row>
    <row r="1801" ht="16" customFormat="1" customHeight="1" s="21">
      <c r="A1801" s="255" t="inlineStr">
        <is>
          <t>Please select</t>
        </is>
      </c>
      <c r="B1801" s="426" t="inlineStr">
        <is>
          <t>tC/ha/yr</t>
        </is>
      </c>
      <c r="C1801" s="426" t="inlineStr">
        <is>
          <t>tC/ha/yr</t>
        </is>
      </c>
      <c r="D1801" s="426" t="inlineStr">
        <is>
          <t>tC/ha/yr</t>
        </is>
      </c>
      <c r="E1801" s="426" t="inlineStr">
        <is>
          <t>tC/ha/yr</t>
        </is>
      </c>
      <c r="F1801" s="426" t="inlineStr">
        <is>
          <t>tC/ha/yr</t>
        </is>
      </c>
      <c r="G1801" s="426" t="inlineStr">
        <is>
          <t>tC/ha/yr</t>
        </is>
      </c>
      <c r="H1801" s="426" t="inlineStr">
        <is>
          <t>tC/ha/yr</t>
        </is>
      </c>
      <c r="I1801" s="426" t="inlineStr">
        <is>
          <t>tC/ha/yr</t>
        </is>
      </c>
      <c r="J1801" s="426" t="inlineStr">
        <is>
          <t>tC/ha/yr</t>
        </is>
      </c>
      <c r="K1801" s="31" t="inlineStr">
        <is>
          <t>tC/ha/yr</t>
        </is>
      </c>
      <c r="L1801" s="453" t="n"/>
      <c r="M1801" s="453" t="n"/>
      <c r="N1801" s="453" t="n"/>
      <c r="O1801" s="453" t="n"/>
      <c r="P1801" s="453" t="n"/>
      <c r="Q1801" s="453" t="n"/>
      <c r="R1801" s="453" t="n"/>
      <c r="S1801" s="453" t="n"/>
      <c r="T1801" s="453" t="n"/>
      <c r="U1801" s="453" t="n"/>
      <c r="V1801" s="453" t="n"/>
      <c r="W1801" s="453" t="n"/>
    </row>
    <row r="1802" customFormat="1" s="21">
      <c r="A1802" s="20" t="inlineStr">
        <is>
          <t>Boreal Dry</t>
        </is>
      </c>
      <c r="B1802" s="41" t="n">
        <v>0.12</v>
      </c>
      <c r="C1802" s="41" t="n">
        <v>0.12</v>
      </c>
      <c r="D1802" s="41" t="n">
        <v>0.12</v>
      </c>
      <c r="E1802" s="41" t="n">
        <v>0.12</v>
      </c>
      <c r="F1802" s="41" t="n">
        <v>0.12</v>
      </c>
      <c r="G1802" s="41" t="n">
        <v>0.12</v>
      </c>
      <c r="H1802" s="41" t="n"/>
      <c r="I1802" s="41" t="n"/>
      <c r="J1802" s="41" t="n"/>
      <c r="K1802" s="41" t="n">
        <v>0.12</v>
      </c>
      <c r="L1802" s="453" t="n"/>
      <c r="M1802" s="453" t="n"/>
      <c r="N1802" s="453" t="n"/>
      <c r="O1802" s="453" t="n"/>
      <c r="P1802" s="1617" t="n"/>
      <c r="Q1802" s="453" t="n"/>
      <c r="R1802" s="453" t="n"/>
      <c r="S1802" s="453" t="n"/>
      <c r="T1802" s="453" t="n"/>
      <c r="U1802" s="453" t="n"/>
      <c r="V1802" s="453" t="n"/>
      <c r="W1802" s="453" t="n"/>
    </row>
    <row r="1803" customFormat="1" s="21">
      <c r="A1803" s="20" t="inlineStr">
        <is>
          <t>Boreal Moist</t>
        </is>
      </c>
      <c r="B1803" s="41" t="n">
        <v>0.12</v>
      </c>
      <c r="C1803" s="41" t="n">
        <v>0.12</v>
      </c>
      <c r="D1803" s="41" t="n">
        <v>0.12</v>
      </c>
      <c r="E1803" s="41" t="n">
        <v>0.12</v>
      </c>
      <c r="F1803" s="41" t="n">
        <v>0.12</v>
      </c>
      <c r="G1803" s="41" t="n">
        <v>0.12</v>
      </c>
      <c r="H1803" s="41" t="n"/>
      <c r="I1803" s="41" t="n"/>
      <c r="J1803" s="41" t="n"/>
      <c r="K1803" s="41" t="n">
        <v>0.12</v>
      </c>
      <c r="L1803" s="453" t="n"/>
      <c r="M1803" s="453" t="n"/>
      <c r="N1803" s="453" t="n"/>
      <c r="O1803" s="453" t="n"/>
      <c r="P1803" s="1617" t="n"/>
      <c r="Q1803" s="453" t="n"/>
      <c r="R1803" s="453" t="n"/>
      <c r="S1803" s="453" t="n"/>
      <c r="T1803" s="453" t="n"/>
      <c r="U1803" s="453" t="n"/>
      <c r="V1803" s="453" t="n"/>
      <c r="W1803" s="453" t="n"/>
    </row>
    <row r="1804" customFormat="1" s="21">
      <c r="A1804" s="20" t="inlineStr">
        <is>
          <t>Cool Temperate Dry</t>
        </is>
      </c>
      <c r="B1804" s="41" t="n">
        <v>0.31</v>
      </c>
      <c r="C1804" s="41" t="n">
        <v>0.31</v>
      </c>
      <c r="D1804" s="41" t="n">
        <v>0.31</v>
      </c>
      <c r="E1804" s="41" t="n">
        <v>0.31</v>
      </c>
      <c r="F1804" s="41" t="n">
        <v>0.31</v>
      </c>
      <c r="G1804" s="41" t="n">
        <v>0.31</v>
      </c>
      <c r="H1804" s="41" t="n"/>
      <c r="I1804" s="41" t="n"/>
      <c r="J1804" s="41" t="n"/>
      <c r="K1804" s="41" t="n">
        <v>0.31</v>
      </c>
      <c r="L1804" s="453" t="n"/>
      <c r="M1804" s="453" t="n"/>
      <c r="N1804" s="453" t="n"/>
      <c r="O1804" s="453" t="n"/>
      <c r="P1804" s="1617" t="n"/>
      <c r="Q1804" s="453" t="n"/>
      <c r="R1804" s="453" t="n"/>
      <c r="S1804" s="453" t="n"/>
      <c r="T1804" s="453" t="n"/>
      <c r="U1804" s="453" t="n"/>
      <c r="V1804" s="453" t="n"/>
      <c r="W1804" s="453" t="n"/>
    </row>
    <row r="1805" customFormat="1" s="21">
      <c r="A1805" s="20" t="inlineStr">
        <is>
          <t>Cool Temperate Moist</t>
        </is>
      </c>
      <c r="B1805" s="41" t="n">
        <v>0.31</v>
      </c>
      <c r="C1805" s="41" t="n">
        <v>0.31</v>
      </c>
      <c r="D1805" s="41" t="n">
        <v>0.31</v>
      </c>
      <c r="E1805" s="41" t="n">
        <v>0.31</v>
      </c>
      <c r="F1805" s="41" t="n">
        <v>0.31</v>
      </c>
      <c r="G1805" s="41" t="n">
        <v>0.31</v>
      </c>
      <c r="H1805" s="41" t="n"/>
      <c r="I1805" s="41" t="n"/>
      <c r="J1805" s="41" t="n"/>
      <c r="K1805" s="41" t="n">
        <v>0.31</v>
      </c>
      <c r="L1805" s="453" t="n"/>
      <c r="M1805" s="453" t="n"/>
      <c r="N1805" s="453" t="n"/>
      <c r="O1805" s="453" t="n"/>
      <c r="P1805" s="1617" t="n"/>
      <c r="Q1805" s="453" t="n"/>
      <c r="R1805" s="453" t="n"/>
      <c r="S1805" s="453" t="n"/>
      <c r="T1805" s="453" t="n"/>
      <c r="U1805" s="453" t="n"/>
      <c r="V1805" s="453" t="n"/>
      <c r="W1805" s="453" t="n"/>
    </row>
    <row r="1806" customFormat="1" s="21">
      <c r="A1806" s="20" t="inlineStr">
        <is>
          <t>Warm Temperate Dry</t>
        </is>
      </c>
      <c r="B1806" s="41" t="n">
        <v>0.31</v>
      </c>
      <c r="C1806" s="41" t="n">
        <v>0.31</v>
      </c>
      <c r="D1806" s="41" t="n">
        <v>0.31</v>
      </c>
      <c r="E1806" s="41" t="n">
        <v>0.31</v>
      </c>
      <c r="F1806" s="41" t="n">
        <v>0.31</v>
      </c>
      <c r="G1806" s="41" t="n">
        <v>0.31</v>
      </c>
      <c r="H1806" s="41" t="n"/>
      <c r="I1806" s="41" t="n"/>
      <c r="J1806" s="41" t="n"/>
      <c r="K1806" s="41" t="n">
        <v>0.31</v>
      </c>
      <c r="L1806" s="453" t="n"/>
      <c r="M1806" s="453" t="n"/>
      <c r="N1806" s="453" t="n"/>
      <c r="O1806" s="453" t="n"/>
      <c r="P1806" s="1617" t="n"/>
      <c r="Q1806" s="453" t="n"/>
      <c r="R1806" s="453" t="n"/>
      <c r="S1806" s="453" t="n"/>
      <c r="T1806" s="453" t="n"/>
      <c r="U1806" s="453" t="n"/>
      <c r="V1806" s="453" t="n"/>
      <c r="W1806" s="453" t="n"/>
    </row>
    <row r="1807" customFormat="1" s="21">
      <c r="A1807" s="20" t="inlineStr">
        <is>
          <t>Warm Temperate Moist</t>
        </is>
      </c>
      <c r="B1807" s="41" t="n">
        <v>0.31</v>
      </c>
      <c r="C1807" s="41" t="n">
        <v>0.31</v>
      </c>
      <c r="D1807" s="41" t="n">
        <v>0.31</v>
      </c>
      <c r="E1807" s="41" t="n">
        <v>0.31</v>
      </c>
      <c r="F1807" s="41" t="n">
        <v>0.31</v>
      </c>
      <c r="G1807" s="41" t="n">
        <v>0.31</v>
      </c>
      <c r="H1807" s="41" t="n"/>
      <c r="I1807" s="41" t="n"/>
      <c r="J1807" s="41" t="n"/>
      <c r="K1807" s="41" t="n">
        <v>0.31</v>
      </c>
      <c r="L1807" s="453" t="n"/>
      <c r="M1807" s="453" t="n"/>
      <c r="N1807" s="453" t="n"/>
      <c r="O1807" s="453" t="n"/>
      <c r="P1807" s="1617" t="n"/>
      <c r="Q1807" s="453" t="n"/>
      <c r="R1807" s="453" t="n"/>
      <c r="S1807" s="453" t="n"/>
      <c r="T1807" s="453" t="n"/>
      <c r="U1807" s="453" t="n"/>
      <c r="V1807" s="453" t="n"/>
      <c r="W1807" s="453" t="n"/>
    </row>
    <row r="1808" customFormat="1" s="21">
      <c r="A1808" s="20" t="inlineStr">
        <is>
          <t>Tropical Dry</t>
        </is>
      </c>
      <c r="B1808" s="41" t="n">
        <v>0.82</v>
      </c>
      <c r="C1808" s="41" t="n">
        <v>0.82</v>
      </c>
      <c r="D1808" s="41" t="n">
        <v>0.82</v>
      </c>
      <c r="E1808" s="41" t="n">
        <v>0.82</v>
      </c>
      <c r="F1808" s="41" t="n">
        <v>0.82</v>
      </c>
      <c r="G1808" s="41" t="n">
        <v>0.82</v>
      </c>
      <c r="H1808" s="41" t="n"/>
      <c r="I1808" s="41" t="n"/>
      <c r="J1808" s="41" t="n"/>
      <c r="K1808" s="41" t="n">
        <v>0.82</v>
      </c>
      <c r="L1808" s="453" t="n"/>
      <c r="M1808" s="453" t="n"/>
      <c r="N1808" s="453" t="n"/>
      <c r="O1808" s="453" t="n"/>
      <c r="P1808" s="1617" t="n"/>
      <c r="Q1808" s="453" t="n"/>
      <c r="R1808" s="453" t="n"/>
      <c r="S1808" s="453" t="n"/>
      <c r="T1808" s="453" t="n"/>
      <c r="U1808" s="453" t="n"/>
      <c r="V1808" s="453" t="n"/>
      <c r="W1808" s="453" t="n"/>
    </row>
    <row r="1809" customFormat="1" s="21">
      <c r="A1809" s="20" t="inlineStr">
        <is>
          <t>Tropical Moist</t>
        </is>
      </c>
      <c r="B1809" s="41" t="n">
        <v>0.82</v>
      </c>
      <c r="C1809" s="41" t="n">
        <v>0.82</v>
      </c>
      <c r="D1809" s="41" t="n">
        <v>0.82</v>
      </c>
      <c r="E1809" s="41" t="n">
        <v>0.82</v>
      </c>
      <c r="F1809" s="41" t="n">
        <v>0.82</v>
      </c>
      <c r="G1809" s="41" t="n">
        <v>0.82</v>
      </c>
      <c r="H1809" s="41" t="n"/>
      <c r="I1809" s="41" t="n"/>
      <c r="J1809" s="41" t="n"/>
      <c r="K1809" s="41" t="n">
        <v>0.82</v>
      </c>
      <c r="L1809" s="453" t="n"/>
      <c r="M1809" s="453" t="n"/>
      <c r="N1809" s="453" t="n"/>
      <c r="O1809" s="453" t="n"/>
      <c r="P1809" s="1617" t="n"/>
      <c r="Q1809" s="453" t="n"/>
      <c r="R1809" s="453" t="n"/>
      <c r="S1809" s="453" t="n"/>
      <c r="T1809" s="453" t="n"/>
      <c r="U1809" s="453" t="n"/>
      <c r="V1809" s="453" t="n"/>
      <c r="W1809" s="453" t="n"/>
    </row>
    <row r="1810" customFormat="1" s="21">
      <c r="A1810" s="20" t="inlineStr">
        <is>
          <t>Tropical Wet</t>
        </is>
      </c>
      <c r="B1810" s="41" t="n">
        <v>0.82</v>
      </c>
      <c r="C1810" s="41" t="n">
        <v>0.82</v>
      </c>
      <c r="D1810" s="41" t="n">
        <v>0.82</v>
      </c>
      <c r="E1810" s="41" t="n">
        <v>0.82</v>
      </c>
      <c r="F1810" s="41" t="n">
        <v>0.82</v>
      </c>
      <c r="G1810" s="41" t="n">
        <v>0.82</v>
      </c>
      <c r="H1810" s="41" t="n"/>
      <c r="I1810" s="41" t="n"/>
      <c r="J1810" s="41" t="n"/>
      <c r="K1810" s="41" t="n">
        <v>0.82</v>
      </c>
      <c r="L1810" s="453" t="n"/>
      <c r="M1810" s="453" t="n"/>
      <c r="N1810" s="453" t="n"/>
      <c r="O1810" s="453" t="n"/>
      <c r="P1810" s="1617" t="n"/>
      <c r="Q1810" s="453" t="n"/>
      <c r="R1810" s="453" t="n"/>
      <c r="S1810" s="453" t="n"/>
      <c r="T1810" s="453" t="n"/>
      <c r="U1810" s="453" t="n"/>
      <c r="V1810" s="453" t="n"/>
      <c r="W1810" s="453" t="n"/>
    </row>
    <row r="1811" customFormat="1" s="292">
      <c r="A1811" s="37" t="inlineStr">
        <is>
          <t>Tropical Montane</t>
        </is>
      </c>
      <c r="B1811" s="42" t="n">
        <v>0.82</v>
      </c>
      <c r="C1811" s="42" t="n">
        <v>0.82</v>
      </c>
      <c r="D1811" s="42" t="n">
        <v>0.82</v>
      </c>
      <c r="E1811" s="42" t="n">
        <v>0.82</v>
      </c>
      <c r="F1811" s="42" t="n">
        <v>0.82</v>
      </c>
      <c r="G1811" s="42" t="n">
        <v>0.82</v>
      </c>
      <c r="H1811" s="42" t="n"/>
      <c r="I1811" s="42" t="n"/>
      <c r="J1811" s="42" t="n"/>
      <c r="K1811" s="42" t="n">
        <v>0.82</v>
      </c>
      <c r="L1811" s="1074" t="n"/>
      <c r="M1811" s="1074" t="n"/>
      <c r="N1811" s="1074" t="n"/>
      <c r="O1811" s="1074" t="n"/>
      <c r="P1811" s="1618" t="n"/>
      <c r="Q1811" s="1074" t="n"/>
      <c r="R1811" s="1074" t="n"/>
      <c r="S1811" s="1074" t="n"/>
      <c r="T1811" s="1074" t="n"/>
      <c r="U1811" s="1074" t="n"/>
      <c r="V1811" s="1074" t="n"/>
      <c r="W1811" s="1074" t="n"/>
    </row>
    <row r="1812" customFormat="1" s="292">
      <c r="A1812" s="1073" t="inlineStr">
        <is>
          <t xml:space="preserve">Notes </t>
        </is>
      </c>
    </row>
    <row r="1813" ht="14.25" customFormat="1" customHeight="1" s="535">
      <c r="A1813" s="534" t="inlineStr">
        <is>
          <t>For "Settlement", "Other land" and "Degraded land" select the EF from previous land use</t>
        </is>
      </c>
    </row>
    <row r="1814" customFormat="1" s="535">
      <c r="A1814" s="516" t="n"/>
    </row>
    <row r="1816" customFormat="1" s="125">
      <c r="A1816" s="377" t="inlineStr">
        <is>
          <t>Emissions factors for CH4 on site on drained organic soils  IPCC 2013</t>
        </is>
      </c>
      <c r="D1816" s="1075" t="n"/>
      <c r="E1816" s="1076" t="n"/>
      <c r="F1816" s="1076" t="n"/>
      <c r="G1816" s="1076" t="n"/>
      <c r="H1816" s="1076" t="n"/>
      <c r="I1816" s="1076" t="n"/>
    </row>
    <row r="1817" ht="16.25" customFormat="1" customHeight="1" s="773">
      <c r="A1817" s="753" t="inlineStr">
        <is>
          <t>NUTRIENT POOR SOIL</t>
        </is>
      </c>
      <c r="B1817" s="442" t="inlineStr">
        <is>
          <t>Table 2.3</t>
        </is>
      </c>
      <c r="C1817" s="442" t="inlineStr">
        <is>
          <t>Table 2.3</t>
        </is>
      </c>
      <c r="D1817" s="442" t="inlineStr">
        <is>
          <t>Table 2.3</t>
        </is>
      </c>
      <c r="E1817" s="442" t="inlineStr">
        <is>
          <t>Table 2.3</t>
        </is>
      </c>
      <c r="F1817" s="442" t="inlineStr">
        <is>
          <t>Table 2.3</t>
        </is>
      </c>
      <c r="G1817" s="442" t="inlineStr">
        <is>
          <t>Table 2.3</t>
        </is>
      </c>
      <c r="H1817" s="442" t="inlineStr">
        <is>
          <t>Table 2.3</t>
        </is>
      </c>
      <c r="I1817" s="442" t="inlineStr">
        <is>
          <t>Table 2.3</t>
        </is>
      </c>
      <c r="J1817" s="442" t="inlineStr">
        <is>
          <t>Table 2.3</t>
        </is>
      </c>
      <c r="K1817" s="442" t="inlineStr">
        <is>
          <t>Table 2.3</t>
        </is>
      </c>
      <c r="L1817" s="442" t="n"/>
      <c r="M1817" s="442" t="n"/>
      <c r="N1817" s="442" t="n"/>
      <c r="O1817" s="442" t="n"/>
      <c r="P1817" s="532" t="n"/>
      <c r="Q1817" s="442" t="n"/>
      <c r="R1817" s="442" t="n"/>
      <c r="S1817" s="442" t="n"/>
      <c r="T1817" s="442" t="n"/>
      <c r="U1817" s="442" t="n"/>
      <c r="V1817" s="442" t="n"/>
      <c r="W1817" s="442" t="n"/>
    </row>
    <row r="1818" ht="16" customFormat="1" customHeight="1" s="291">
      <c r="A1818" s="293" t="inlineStr">
        <is>
          <t>IPCC Climate Region</t>
        </is>
      </c>
      <c r="B1818" s="426" t="inlineStr">
        <is>
          <t>Forest</t>
        </is>
      </c>
      <c r="C1818" s="426" t="inlineStr">
        <is>
          <t>Plantation</t>
        </is>
      </c>
      <c r="D1818" s="426" t="inlineStr">
        <is>
          <t>Annual</t>
        </is>
      </c>
      <c r="E1818" s="426" t="inlineStr">
        <is>
          <t>Perennial</t>
        </is>
      </c>
      <c r="F1818" s="426" t="inlineStr">
        <is>
          <t>Flooded rice</t>
        </is>
      </c>
      <c r="G1818" s="426" t="inlineStr">
        <is>
          <t>Grassland</t>
        </is>
      </c>
      <c r="H1818" s="426" t="inlineStr">
        <is>
          <t>Settlement</t>
        </is>
      </c>
      <c r="I1818" s="426" t="inlineStr">
        <is>
          <t>Other land</t>
        </is>
      </c>
      <c r="J1818" s="426" t="inlineStr">
        <is>
          <t>Degraded land</t>
        </is>
      </c>
      <c r="K1818" s="31" t="inlineStr">
        <is>
          <t>Peat extraction</t>
        </is>
      </c>
      <c r="L1818" s="453" t="n"/>
      <c r="M1818" s="453" t="n"/>
      <c r="N1818" s="453" t="n"/>
      <c r="O1818" s="453" t="n"/>
      <c r="P1818" s="1616" t="n"/>
      <c r="Q1818" s="453" t="n"/>
      <c r="R1818" s="453" t="n"/>
      <c r="S1818" s="453" t="n"/>
      <c r="T1818" s="453" t="n"/>
      <c r="U1818" s="453" t="n"/>
      <c r="V1818" s="453" t="n"/>
      <c r="W1818" s="453" t="n"/>
      <c r="X1818" s="21" t="n"/>
      <c r="Y1818" s="21" t="n"/>
    </row>
    <row r="1819" customFormat="1" s="21">
      <c r="A1819" s="255" t="inlineStr">
        <is>
          <t>Please select</t>
        </is>
      </c>
      <c r="B1819" s="426" t="inlineStr">
        <is>
          <t>kg CH4/ha/yr</t>
        </is>
      </c>
      <c r="C1819" s="426" t="inlineStr">
        <is>
          <t>kg CH4/ha/yr</t>
        </is>
      </c>
      <c r="D1819" s="426" t="inlineStr">
        <is>
          <t>kg CH4/ha/yr</t>
        </is>
      </c>
      <c r="E1819" s="426" t="inlineStr">
        <is>
          <t>kg CH4/ha/yr</t>
        </is>
      </c>
      <c r="F1819" s="426" t="inlineStr">
        <is>
          <t>kg CH4/ha/yr</t>
        </is>
      </c>
      <c r="G1819" s="426" t="inlineStr">
        <is>
          <t>kg CH4/ha/yr</t>
        </is>
      </c>
      <c r="H1819" s="426" t="inlineStr">
        <is>
          <t>kg CH4/ha/yr</t>
        </is>
      </c>
      <c r="I1819" s="426" t="inlineStr">
        <is>
          <t>kg CH4/ha/yr</t>
        </is>
      </c>
      <c r="J1819" s="426" t="inlineStr">
        <is>
          <t>kg CH4/ha/yr</t>
        </is>
      </c>
      <c r="K1819" s="426" t="inlineStr">
        <is>
          <t>kg CH4/ha/yr</t>
        </is>
      </c>
      <c r="L1819" s="453" t="n"/>
      <c r="M1819" s="453" t="n"/>
      <c r="N1819" s="453" t="n"/>
      <c r="O1819" s="453" t="n"/>
      <c r="P1819" s="453" t="n"/>
      <c r="Q1819" s="453" t="n"/>
      <c r="R1819" s="453" t="n"/>
      <c r="S1819" s="453" t="n"/>
      <c r="T1819" s="453" t="n"/>
      <c r="U1819" s="453" t="n"/>
      <c r="V1819" s="453" t="n"/>
      <c r="W1819" s="453" t="n"/>
    </row>
    <row r="1820" customFormat="1" s="21">
      <c r="A1820" s="20" t="inlineStr">
        <is>
          <t>Boreal Dry</t>
        </is>
      </c>
      <c r="B1820" s="41" t="n">
        <v>7</v>
      </c>
      <c r="C1820" s="41">
        <f>B1820</f>
        <v/>
      </c>
      <c r="D1820" s="41" t="n">
        <v>0</v>
      </c>
      <c r="E1820" s="41" t="n">
        <v>0</v>
      </c>
      <c r="F1820" s="41" t="n">
        <v>0</v>
      </c>
      <c r="G1820" s="41" t="n">
        <v>1.4</v>
      </c>
      <c r="H1820" s="41" t="n"/>
      <c r="I1820" s="41" t="n"/>
      <c r="J1820" s="41" t="n"/>
      <c r="K1820" s="470" t="n">
        <v>6.1</v>
      </c>
      <c r="L1820" s="453" t="n"/>
      <c r="M1820" s="453" t="n"/>
      <c r="N1820" s="453" t="n"/>
      <c r="O1820" s="453" t="n"/>
      <c r="P1820" s="1617" t="n"/>
      <c r="Q1820" s="453" t="n"/>
      <c r="R1820" s="453" t="n"/>
      <c r="S1820" s="453" t="n"/>
      <c r="T1820" s="453" t="n"/>
      <c r="U1820" s="453" t="n"/>
      <c r="V1820" s="453" t="n"/>
      <c r="W1820" s="453" t="n"/>
    </row>
    <row r="1821" customFormat="1" s="21">
      <c r="A1821" s="20" t="inlineStr">
        <is>
          <t>Boreal Moist</t>
        </is>
      </c>
      <c r="B1821" s="41" t="n">
        <v>7</v>
      </c>
      <c r="C1821" s="41">
        <f>B1821</f>
        <v/>
      </c>
      <c r="D1821" s="41" t="n">
        <v>0</v>
      </c>
      <c r="E1821" s="41" t="n">
        <v>0</v>
      </c>
      <c r="F1821" s="41" t="n">
        <v>0</v>
      </c>
      <c r="G1821" s="41" t="n">
        <v>1.4</v>
      </c>
      <c r="H1821" s="41" t="n"/>
      <c r="I1821" s="41" t="n"/>
      <c r="J1821" s="41" t="n"/>
      <c r="K1821" s="467" t="n">
        <v>6.1</v>
      </c>
      <c r="L1821" s="453" t="n"/>
      <c r="M1821" s="453" t="n"/>
      <c r="N1821" s="453" t="n"/>
      <c r="O1821" s="453" t="n"/>
      <c r="P1821" s="1617" t="n"/>
      <c r="Q1821" s="453" t="n"/>
      <c r="R1821" s="453" t="n"/>
      <c r="S1821" s="453" t="n"/>
      <c r="T1821" s="453" t="n"/>
      <c r="U1821" s="453" t="n"/>
      <c r="V1821" s="453" t="n"/>
      <c r="W1821" s="453" t="n"/>
    </row>
    <row r="1822" customFormat="1" s="21">
      <c r="A1822" s="20" t="inlineStr">
        <is>
          <t>Cool Temperate Dry</t>
        </is>
      </c>
      <c r="B1822" s="41" t="n">
        <v>2.5</v>
      </c>
      <c r="C1822" s="41">
        <f>B1822</f>
        <v/>
      </c>
      <c r="D1822" s="41" t="n">
        <v>0</v>
      </c>
      <c r="E1822" s="41" t="n">
        <v>0</v>
      </c>
      <c r="F1822" s="41" t="n">
        <v>0</v>
      </c>
      <c r="G1822" s="41" t="n">
        <v>1.8</v>
      </c>
      <c r="H1822" s="41" t="n"/>
      <c r="I1822" s="41" t="n"/>
      <c r="J1822" s="41" t="n"/>
      <c r="K1822" s="467" t="n">
        <v>6.1</v>
      </c>
      <c r="L1822" s="453" t="n"/>
      <c r="M1822" s="453" t="n"/>
      <c r="N1822" s="453" t="n"/>
      <c r="O1822" s="453" t="n"/>
      <c r="P1822" s="1617" t="n"/>
      <c r="Q1822" s="453" t="n"/>
      <c r="R1822" s="453" t="n"/>
      <c r="S1822" s="453" t="n"/>
      <c r="T1822" s="453" t="n"/>
      <c r="U1822" s="453" t="n"/>
      <c r="V1822" s="453" t="n"/>
      <c r="W1822" s="453" t="n"/>
    </row>
    <row r="1823" customFormat="1" s="21">
      <c r="A1823" s="20" t="inlineStr">
        <is>
          <t>Cool Temperate Moist</t>
        </is>
      </c>
      <c r="B1823" s="41" t="n">
        <v>2.5</v>
      </c>
      <c r="C1823" s="41">
        <f>B1823</f>
        <v/>
      </c>
      <c r="D1823" s="41" t="n">
        <v>0</v>
      </c>
      <c r="E1823" s="41" t="n">
        <v>0</v>
      </c>
      <c r="F1823" s="41" t="n">
        <v>0</v>
      </c>
      <c r="G1823" s="41" t="n">
        <v>1.8</v>
      </c>
      <c r="H1823" s="41" t="n"/>
      <c r="I1823" s="41" t="n"/>
      <c r="J1823" s="41" t="n"/>
      <c r="K1823" s="467" t="n">
        <v>6.1</v>
      </c>
      <c r="L1823" s="453" t="n"/>
      <c r="M1823" s="453" t="n"/>
      <c r="N1823" s="453" t="n"/>
      <c r="O1823" s="453" t="n"/>
      <c r="P1823" s="1617" t="n"/>
      <c r="Q1823" s="453" t="n"/>
      <c r="R1823" s="453" t="n"/>
      <c r="S1823" s="453" t="n"/>
      <c r="T1823" s="453" t="n"/>
      <c r="U1823" s="453" t="n"/>
      <c r="V1823" s="453" t="n"/>
      <c r="W1823" s="453" t="n"/>
    </row>
    <row r="1824" customFormat="1" s="21">
      <c r="A1824" s="20" t="inlineStr">
        <is>
          <t>Warm Temperate Dry</t>
        </is>
      </c>
      <c r="B1824" s="41" t="n">
        <v>2.5</v>
      </c>
      <c r="C1824" s="41">
        <f>B1824</f>
        <v/>
      </c>
      <c r="D1824" s="41" t="n">
        <v>0</v>
      </c>
      <c r="E1824" s="41" t="n">
        <v>0</v>
      </c>
      <c r="F1824" s="41" t="n">
        <v>0</v>
      </c>
      <c r="G1824" s="41" t="n">
        <v>1.8</v>
      </c>
      <c r="H1824" s="41" t="n"/>
      <c r="I1824" s="41" t="n"/>
      <c r="J1824" s="41" t="n"/>
      <c r="K1824" s="467" t="n">
        <v>6.1</v>
      </c>
      <c r="L1824" s="453" t="n"/>
      <c r="M1824" s="453" t="n"/>
      <c r="N1824" s="453" t="n"/>
      <c r="O1824" s="453" t="n"/>
      <c r="P1824" s="1617" t="n"/>
      <c r="Q1824" s="453" t="n"/>
      <c r="R1824" s="453" t="n"/>
      <c r="S1824" s="453" t="n"/>
      <c r="T1824" s="453" t="n"/>
      <c r="U1824" s="453" t="n"/>
      <c r="V1824" s="453" t="n"/>
      <c r="W1824" s="453" t="n"/>
    </row>
    <row r="1825" customFormat="1" s="21">
      <c r="A1825" s="20" t="inlineStr">
        <is>
          <t>Warm Temperate Moist</t>
        </is>
      </c>
      <c r="B1825" s="41" t="n">
        <v>2.5</v>
      </c>
      <c r="C1825" s="41">
        <f>B1825</f>
        <v/>
      </c>
      <c r="D1825" s="41" t="n">
        <v>0</v>
      </c>
      <c r="E1825" s="41" t="n">
        <v>0</v>
      </c>
      <c r="F1825" s="41" t="n">
        <v>0</v>
      </c>
      <c r="G1825" s="41" t="n">
        <v>1.8</v>
      </c>
      <c r="H1825" s="41" t="n"/>
      <c r="I1825" s="41" t="n"/>
      <c r="J1825" s="41" t="n"/>
      <c r="K1825" s="467" t="n">
        <v>6.1</v>
      </c>
      <c r="L1825" s="453" t="n"/>
      <c r="M1825" s="453" t="n"/>
      <c r="N1825" s="453" t="n"/>
      <c r="O1825" s="453" t="n"/>
      <c r="P1825" s="1617" t="n"/>
      <c r="Q1825" s="453" t="n"/>
      <c r="R1825" s="453" t="n"/>
      <c r="S1825" s="453" t="n"/>
      <c r="T1825" s="453" t="n"/>
      <c r="U1825" s="453" t="n"/>
      <c r="V1825" s="453" t="n"/>
      <c r="W1825" s="453" t="n"/>
    </row>
    <row r="1826" customFormat="1" s="21">
      <c r="A1826" s="20" t="inlineStr">
        <is>
          <t>Tropical Dry</t>
        </is>
      </c>
      <c r="B1826" s="41" t="n">
        <v>4.9</v>
      </c>
      <c r="C1826" s="471">
        <f>AVERAGE(2.7, 0, 26.2)</f>
        <v/>
      </c>
      <c r="D1826" s="41" t="n">
        <v>7</v>
      </c>
      <c r="E1826" s="41" t="n">
        <v>7</v>
      </c>
      <c r="F1826" s="41" t="n">
        <v>143.5</v>
      </c>
      <c r="G1826" s="41" t="n">
        <v>7</v>
      </c>
      <c r="H1826" s="41" t="n"/>
      <c r="I1826" s="41" t="n"/>
      <c r="J1826" s="41" t="n"/>
      <c r="K1826" s="467" t="n">
        <v>0</v>
      </c>
      <c r="L1826" s="453" t="n"/>
      <c r="M1826" s="453" t="n"/>
      <c r="N1826" s="453" t="n"/>
      <c r="O1826" s="453" t="n"/>
      <c r="P1826" s="1617" t="n"/>
      <c r="Q1826" s="453" t="n"/>
      <c r="R1826" s="453" t="n"/>
      <c r="S1826" s="453" t="n"/>
      <c r="T1826" s="453" t="n"/>
      <c r="U1826" s="453" t="n"/>
      <c r="V1826" s="453" t="n"/>
      <c r="W1826" s="453" t="n"/>
    </row>
    <row r="1827" customFormat="1" s="21">
      <c r="A1827" s="20" t="inlineStr">
        <is>
          <t>Tropical Moist</t>
        </is>
      </c>
      <c r="B1827" s="41" t="n">
        <v>4.9</v>
      </c>
      <c r="C1827" s="471">
        <f>AVERAGE(2.7, 0, 26.2)</f>
        <v/>
      </c>
      <c r="D1827" s="41" t="n">
        <v>7</v>
      </c>
      <c r="E1827" s="41" t="n">
        <v>7</v>
      </c>
      <c r="F1827" s="41" t="n">
        <v>143.5</v>
      </c>
      <c r="G1827" s="41" t="n">
        <v>7</v>
      </c>
      <c r="H1827" s="41" t="n"/>
      <c r="I1827" s="41" t="n"/>
      <c r="J1827" s="41" t="n"/>
      <c r="K1827" s="467" t="n">
        <v>0</v>
      </c>
      <c r="L1827" s="453" t="n"/>
      <c r="M1827" s="453" t="n"/>
      <c r="N1827" s="453" t="n"/>
      <c r="O1827" s="453" t="n"/>
      <c r="P1827" s="1617" t="n"/>
      <c r="Q1827" s="453" t="n"/>
      <c r="R1827" s="453" t="n"/>
      <c r="S1827" s="453" t="n"/>
      <c r="T1827" s="453" t="n"/>
      <c r="U1827" s="453" t="n"/>
      <c r="V1827" s="453" t="n"/>
      <c r="W1827" s="453" t="n"/>
    </row>
    <row r="1828" customFormat="1" s="21">
      <c r="A1828" s="20" t="inlineStr">
        <is>
          <t>Tropical Wet</t>
        </is>
      </c>
      <c r="B1828" s="41" t="n">
        <v>4.9</v>
      </c>
      <c r="C1828" s="471">
        <f>AVERAGE(2.7, 0, 26.2)</f>
        <v/>
      </c>
      <c r="D1828" s="41" t="n">
        <v>7</v>
      </c>
      <c r="E1828" s="41" t="n">
        <v>7</v>
      </c>
      <c r="F1828" s="41" t="n">
        <v>143.5</v>
      </c>
      <c r="G1828" s="41" t="n">
        <v>7</v>
      </c>
      <c r="H1828" s="41" t="n"/>
      <c r="I1828" s="41" t="n"/>
      <c r="J1828" s="41" t="n"/>
      <c r="K1828" s="467" t="n">
        <v>0</v>
      </c>
      <c r="L1828" s="453" t="n"/>
      <c r="M1828" s="453" t="n"/>
      <c r="N1828" s="453" t="n"/>
      <c r="O1828" s="453" t="n"/>
      <c r="P1828" s="1617" t="n"/>
      <c r="Q1828" s="453" t="n"/>
      <c r="R1828" s="453" t="n"/>
      <c r="S1828" s="453" t="n"/>
      <c r="T1828" s="453" t="n"/>
      <c r="U1828" s="453" t="n"/>
      <c r="V1828" s="453" t="n"/>
      <c r="W1828" s="453" t="n"/>
    </row>
    <row r="1829" customFormat="1" s="292">
      <c r="A1829" s="37" t="inlineStr">
        <is>
          <t>Tropical Montane</t>
        </is>
      </c>
      <c r="B1829" s="42" t="n">
        <v>4.9</v>
      </c>
      <c r="C1829" s="536">
        <f>AVERAGE(2.7, 0, 26.2)</f>
        <v/>
      </c>
      <c r="D1829" s="42" t="n">
        <v>7</v>
      </c>
      <c r="E1829" s="42" t="n">
        <v>7</v>
      </c>
      <c r="F1829" s="42" t="n">
        <v>143.5</v>
      </c>
      <c r="G1829" s="42" t="n">
        <v>7</v>
      </c>
      <c r="H1829" s="42" t="n"/>
      <c r="I1829" s="42" t="n"/>
      <c r="J1829" s="42" t="n"/>
      <c r="K1829" s="654" t="n">
        <v>0</v>
      </c>
      <c r="L1829" s="1074" t="n"/>
      <c r="M1829" s="1074" t="n"/>
      <c r="N1829" s="1074" t="n"/>
      <c r="O1829" s="1074" t="n"/>
      <c r="P1829" s="1618" t="n"/>
      <c r="Q1829" s="1074" t="n"/>
      <c r="R1829" s="1074" t="n"/>
      <c r="S1829" s="1074" t="n"/>
      <c r="T1829" s="1074" t="n"/>
      <c r="U1829" s="1074" t="n"/>
      <c r="V1829" s="1074" t="n"/>
      <c r="W1829" s="1074" t="n"/>
    </row>
    <row r="1830" customFormat="1" s="292">
      <c r="A1830" s="1073" t="inlineStr">
        <is>
          <t xml:space="preserve">Notes </t>
        </is>
      </c>
    </row>
    <row r="1831" ht="14.25" customFormat="1" customHeight="1" s="535">
      <c r="A1831" s="534" t="inlineStr">
        <is>
          <t>For "Settlement", "Other land" and "Degraded land" select the EF from previous land use</t>
        </is>
      </c>
    </row>
    <row r="1832" customFormat="1" s="535">
      <c r="A1832" s="516" t="n"/>
    </row>
    <row r="1834" customFormat="1" s="125">
      <c r="A1834" s="377" t="inlineStr">
        <is>
          <t>Emissions factors for CH4 on site on drained organic soils  IPCC 2013</t>
        </is>
      </c>
      <c r="D1834" s="1075" t="n"/>
      <c r="E1834" s="1076" t="n"/>
      <c r="F1834" s="1076" t="n"/>
      <c r="G1834" s="1076" t="n"/>
      <c r="H1834" s="1076" t="n"/>
      <c r="I1834" s="1076" t="n"/>
    </row>
    <row r="1835" ht="16.25" customFormat="1" customHeight="1" s="773">
      <c r="A1835" s="753" t="inlineStr">
        <is>
          <t>NUTRIENT RICH SOIL</t>
        </is>
      </c>
      <c r="B1835" s="442" t="inlineStr">
        <is>
          <t>Table 2.3</t>
        </is>
      </c>
      <c r="C1835" s="442" t="inlineStr">
        <is>
          <t>Table 2.3</t>
        </is>
      </c>
      <c r="D1835" s="442" t="inlineStr">
        <is>
          <t>Table 2.3</t>
        </is>
      </c>
      <c r="E1835" s="442" t="inlineStr">
        <is>
          <t>Table 2.3</t>
        </is>
      </c>
      <c r="F1835" s="442" t="inlineStr">
        <is>
          <t>Table 2.3</t>
        </is>
      </c>
      <c r="G1835" s="442" t="inlineStr">
        <is>
          <t>Table 2.3</t>
        </is>
      </c>
      <c r="H1835" s="442" t="inlineStr">
        <is>
          <t>Table 2.3</t>
        </is>
      </c>
      <c r="I1835" s="442" t="inlineStr">
        <is>
          <t>Table 2.3</t>
        </is>
      </c>
      <c r="J1835" s="442" t="inlineStr">
        <is>
          <t>Table 2.3</t>
        </is>
      </c>
      <c r="K1835" s="442" t="inlineStr">
        <is>
          <t>Table 2.3</t>
        </is>
      </c>
      <c r="L1835" s="442" t="n"/>
      <c r="M1835" s="442" t="n"/>
      <c r="N1835" s="442" t="n"/>
      <c r="O1835" s="442" t="n"/>
      <c r="P1835" s="532" t="n"/>
      <c r="Q1835" s="442" t="n"/>
      <c r="R1835" s="442" t="n"/>
      <c r="S1835" s="442" t="n"/>
      <c r="T1835" s="442" t="n"/>
      <c r="U1835" s="442" t="n"/>
      <c r="V1835" s="442" t="n"/>
      <c r="W1835" s="442" t="n"/>
    </row>
    <row r="1836" ht="16" customFormat="1" customHeight="1" s="291">
      <c r="A1836" s="293" t="inlineStr">
        <is>
          <t>IPCC Climate Region</t>
        </is>
      </c>
      <c r="B1836" s="426" t="inlineStr">
        <is>
          <t>Forest</t>
        </is>
      </c>
      <c r="C1836" s="426" t="inlineStr">
        <is>
          <t>Plantation</t>
        </is>
      </c>
      <c r="D1836" s="426" t="inlineStr">
        <is>
          <t>Annual</t>
        </is>
      </c>
      <c r="E1836" s="426" t="inlineStr">
        <is>
          <t>Perennial</t>
        </is>
      </c>
      <c r="F1836" s="426" t="inlineStr">
        <is>
          <t>Flooded rice</t>
        </is>
      </c>
      <c r="G1836" s="426" t="inlineStr">
        <is>
          <t>Grassland</t>
        </is>
      </c>
      <c r="H1836" s="426" t="inlineStr">
        <is>
          <t>Settlement</t>
        </is>
      </c>
      <c r="I1836" s="426" t="inlineStr">
        <is>
          <t>Other land</t>
        </is>
      </c>
      <c r="J1836" s="426" t="inlineStr">
        <is>
          <t>Degraded land</t>
        </is>
      </c>
      <c r="K1836" s="31" t="inlineStr">
        <is>
          <t>Peat extraction</t>
        </is>
      </c>
      <c r="L1836" s="453" t="n"/>
      <c r="M1836" s="453" t="n"/>
      <c r="N1836" s="453" t="n"/>
      <c r="O1836" s="453" t="n"/>
      <c r="P1836" s="1616" t="n"/>
      <c r="Q1836" s="453" t="n"/>
      <c r="R1836" s="453" t="n"/>
      <c r="S1836" s="453" t="n"/>
      <c r="T1836" s="453" t="n"/>
      <c r="U1836" s="453" t="n"/>
      <c r="V1836" s="453" t="n"/>
      <c r="W1836" s="453" t="n"/>
      <c r="X1836" s="21" t="n"/>
      <c r="Y1836" s="21" t="n"/>
    </row>
    <row r="1837" customFormat="1" s="21">
      <c r="A1837" s="255" t="inlineStr">
        <is>
          <t>Please select</t>
        </is>
      </c>
      <c r="B1837" s="426" t="inlineStr">
        <is>
          <t>kg CH4/ha/yr</t>
        </is>
      </c>
      <c r="C1837" s="426" t="inlineStr">
        <is>
          <t>kg CH4/ha/yr</t>
        </is>
      </c>
      <c r="D1837" s="426" t="inlineStr">
        <is>
          <t>kg CH4/ha/yr</t>
        </is>
      </c>
      <c r="E1837" s="426" t="inlineStr">
        <is>
          <t>kg CH4/ha/yr</t>
        </is>
      </c>
      <c r="F1837" s="426" t="inlineStr">
        <is>
          <t>kg CH4/ha/yr</t>
        </is>
      </c>
      <c r="G1837" s="426" t="inlineStr">
        <is>
          <t>kg CH4/ha/yr</t>
        </is>
      </c>
      <c r="H1837" s="426" t="inlineStr">
        <is>
          <t>kg CH4/ha/yr</t>
        </is>
      </c>
      <c r="I1837" s="426" t="inlineStr">
        <is>
          <t>kg CH4/ha/yr</t>
        </is>
      </c>
      <c r="J1837" s="426" t="inlineStr">
        <is>
          <t>kg CH4/ha/yr</t>
        </is>
      </c>
      <c r="K1837" s="426" t="inlineStr">
        <is>
          <t>kg CH4/ha/yr</t>
        </is>
      </c>
      <c r="L1837" s="453" t="n"/>
      <c r="M1837" s="453" t="n"/>
      <c r="N1837" s="453" t="n"/>
      <c r="O1837" s="453" t="n"/>
      <c r="P1837" s="453" t="n"/>
      <c r="Q1837" s="453" t="n"/>
      <c r="R1837" s="453" t="n"/>
      <c r="S1837" s="453" t="n"/>
      <c r="T1837" s="453" t="n"/>
      <c r="U1837" s="453" t="n"/>
      <c r="V1837" s="453" t="n"/>
      <c r="W1837" s="453" t="n"/>
    </row>
    <row r="1838" customFormat="1" s="21">
      <c r="A1838" s="20" t="inlineStr">
        <is>
          <t>Boreal Dry</t>
        </is>
      </c>
      <c r="B1838" s="41" t="n">
        <v>2</v>
      </c>
      <c r="C1838" s="41">
        <f>B1838</f>
        <v/>
      </c>
      <c r="D1838" s="41" t="n">
        <v>0</v>
      </c>
      <c r="E1838" s="41" t="n">
        <v>0</v>
      </c>
      <c r="F1838" s="41" t="n">
        <v>0</v>
      </c>
      <c r="G1838" s="41" t="n">
        <v>1.4</v>
      </c>
      <c r="H1838" s="41" t="n"/>
      <c r="I1838" s="41" t="n"/>
      <c r="J1838" s="41" t="n"/>
      <c r="K1838" s="470" t="n">
        <v>6.1</v>
      </c>
      <c r="L1838" s="453" t="n"/>
      <c r="M1838" s="453" t="n"/>
      <c r="N1838" s="453" t="n"/>
      <c r="O1838" s="453" t="n"/>
      <c r="P1838" s="1617" t="n"/>
      <c r="Q1838" s="453" t="n"/>
      <c r="R1838" s="453" t="n"/>
      <c r="S1838" s="453" t="n"/>
      <c r="T1838" s="453" t="n"/>
      <c r="U1838" s="453" t="n"/>
      <c r="V1838" s="453" t="n"/>
      <c r="W1838" s="453" t="n"/>
    </row>
    <row r="1839" customFormat="1" s="21">
      <c r="A1839" s="20" t="inlineStr">
        <is>
          <t>Boreal Moist</t>
        </is>
      </c>
      <c r="B1839" s="41" t="n">
        <v>2</v>
      </c>
      <c r="C1839" s="41">
        <f>B1839</f>
        <v/>
      </c>
      <c r="D1839" s="41" t="n">
        <v>0</v>
      </c>
      <c r="E1839" s="41" t="n">
        <v>0</v>
      </c>
      <c r="F1839" s="41" t="n">
        <v>0</v>
      </c>
      <c r="G1839" s="41" t="n">
        <v>1.4</v>
      </c>
      <c r="H1839" s="41" t="n"/>
      <c r="I1839" s="41" t="n"/>
      <c r="J1839" s="41" t="n"/>
      <c r="K1839" s="467" t="n">
        <v>6.1</v>
      </c>
      <c r="L1839" s="453" t="n"/>
      <c r="M1839" s="453" t="n"/>
      <c r="N1839" s="453" t="n"/>
      <c r="O1839" s="453" t="n"/>
      <c r="P1839" s="1617" t="n"/>
      <c r="Q1839" s="453" t="n"/>
      <c r="R1839" s="453" t="n"/>
      <c r="S1839" s="453" t="n"/>
      <c r="T1839" s="453" t="n"/>
      <c r="U1839" s="453" t="n"/>
      <c r="V1839" s="453" t="n"/>
      <c r="W1839" s="453" t="n"/>
    </row>
    <row r="1840" customFormat="1" s="21">
      <c r="A1840" s="20" t="inlineStr">
        <is>
          <t>Cool Temperate Dry</t>
        </is>
      </c>
      <c r="B1840" s="41" t="n">
        <v>2.5</v>
      </c>
      <c r="C1840" s="41">
        <f>B1840</f>
        <v/>
      </c>
      <c r="D1840" s="41" t="n">
        <v>0</v>
      </c>
      <c r="E1840" s="41" t="n">
        <v>0</v>
      </c>
      <c r="F1840" s="41" t="n">
        <v>0</v>
      </c>
      <c r="G1840" s="41">
        <f>AVERAGE(16,39)</f>
        <v/>
      </c>
      <c r="H1840" s="41" t="n"/>
      <c r="I1840" s="41" t="n"/>
      <c r="J1840" s="41" t="n"/>
      <c r="K1840" s="467" t="n">
        <v>6.1</v>
      </c>
      <c r="L1840" s="453" t="n"/>
      <c r="M1840" s="453" t="n"/>
      <c r="N1840" s="453" t="n"/>
      <c r="O1840" s="453" t="n"/>
      <c r="P1840" s="1617" t="n"/>
      <c r="Q1840" s="453" t="n"/>
      <c r="R1840" s="453" t="n"/>
      <c r="S1840" s="453" t="n"/>
      <c r="T1840" s="453" t="n"/>
      <c r="U1840" s="453" t="n"/>
      <c r="V1840" s="453" t="n"/>
      <c r="W1840" s="453" t="n"/>
    </row>
    <row r="1841" customFormat="1" s="21">
      <c r="A1841" s="20" t="inlineStr">
        <is>
          <t>Cool Temperate Moist</t>
        </is>
      </c>
      <c r="B1841" s="41" t="n">
        <v>2.5</v>
      </c>
      <c r="C1841" s="41">
        <f>B1841</f>
        <v/>
      </c>
      <c r="D1841" s="41" t="n">
        <v>0</v>
      </c>
      <c r="E1841" s="41" t="n">
        <v>0</v>
      </c>
      <c r="F1841" s="41" t="n">
        <v>0</v>
      </c>
      <c r="G1841" s="41">
        <f>AVERAGE(16,39)</f>
        <v/>
      </c>
      <c r="H1841" s="41" t="n"/>
      <c r="I1841" s="41" t="n"/>
      <c r="J1841" s="41" t="n"/>
      <c r="K1841" s="467" t="n">
        <v>6.1</v>
      </c>
      <c r="L1841" s="453" t="n"/>
      <c r="M1841" s="453" t="n"/>
      <c r="N1841" s="453" t="n"/>
      <c r="O1841" s="453" t="n"/>
      <c r="P1841" s="1617" t="n"/>
      <c r="Q1841" s="453" t="n"/>
      <c r="R1841" s="453" t="n"/>
      <c r="S1841" s="453" t="n"/>
      <c r="T1841" s="453" t="n"/>
      <c r="U1841" s="453" t="n"/>
      <c r="V1841" s="453" t="n"/>
      <c r="W1841" s="453" t="n"/>
    </row>
    <row r="1842" customFormat="1" s="21">
      <c r="A1842" s="20" t="inlineStr">
        <is>
          <t>Warm Temperate Dry</t>
        </is>
      </c>
      <c r="B1842" s="41" t="n">
        <v>2.5</v>
      </c>
      <c r="C1842" s="41">
        <f>B1842</f>
        <v/>
      </c>
      <c r="D1842" s="41" t="n">
        <v>0</v>
      </c>
      <c r="E1842" s="41" t="n">
        <v>0</v>
      </c>
      <c r="F1842" s="41" t="n">
        <v>0</v>
      </c>
      <c r="G1842" s="41">
        <f>AVERAGE(16,39)</f>
        <v/>
      </c>
      <c r="H1842" s="41" t="n"/>
      <c r="I1842" s="41" t="n"/>
      <c r="J1842" s="41" t="n"/>
      <c r="K1842" s="467" t="n">
        <v>6.1</v>
      </c>
      <c r="L1842" s="453" t="n"/>
      <c r="M1842" s="453" t="n"/>
      <c r="N1842" s="453" t="n"/>
      <c r="O1842" s="453" t="n"/>
      <c r="P1842" s="1617" t="n"/>
      <c r="Q1842" s="453" t="n"/>
      <c r="R1842" s="453" t="n"/>
      <c r="S1842" s="453" t="n"/>
      <c r="T1842" s="453" t="n"/>
      <c r="U1842" s="453" t="n"/>
      <c r="V1842" s="453" t="n"/>
      <c r="W1842" s="453" t="n"/>
    </row>
    <row r="1843" customFormat="1" s="21">
      <c r="A1843" s="20" t="inlineStr">
        <is>
          <t>Warm Temperate Moist</t>
        </is>
      </c>
      <c r="B1843" s="41" t="n">
        <v>2.5</v>
      </c>
      <c r="C1843" s="41">
        <f>B1843</f>
        <v/>
      </c>
      <c r="D1843" s="41" t="n">
        <v>0</v>
      </c>
      <c r="E1843" s="41" t="n">
        <v>0</v>
      </c>
      <c r="F1843" s="41" t="n">
        <v>0</v>
      </c>
      <c r="G1843" s="41">
        <f>AVERAGE(16,39)</f>
        <v/>
      </c>
      <c r="H1843" s="41" t="n"/>
      <c r="I1843" s="41" t="n"/>
      <c r="J1843" s="41" t="n"/>
      <c r="K1843" s="467" t="n">
        <v>6.1</v>
      </c>
      <c r="L1843" s="453" t="n"/>
      <c r="M1843" s="453" t="n"/>
      <c r="N1843" s="453" t="n"/>
      <c r="O1843" s="453" t="n"/>
      <c r="P1843" s="1617" t="n"/>
      <c r="Q1843" s="453" t="n"/>
      <c r="R1843" s="453" t="n"/>
      <c r="S1843" s="453" t="n"/>
      <c r="T1843" s="453" t="n"/>
      <c r="U1843" s="453" t="n"/>
      <c r="V1843" s="453" t="n"/>
      <c r="W1843" s="453" t="n"/>
    </row>
    <row r="1844" customFormat="1" s="21">
      <c r="A1844" s="20" t="inlineStr">
        <is>
          <t>Tropical Dry</t>
        </is>
      </c>
      <c r="B1844" s="41" t="n">
        <v>4.9</v>
      </c>
      <c r="C1844" s="471">
        <f>AVERAGE(2.7, 0, 26.2)</f>
        <v/>
      </c>
      <c r="D1844" s="41" t="n">
        <v>7</v>
      </c>
      <c r="E1844" s="41" t="n">
        <v>7</v>
      </c>
      <c r="F1844" s="41" t="n">
        <v>143.5</v>
      </c>
      <c r="G1844" s="41" t="n">
        <v>7</v>
      </c>
      <c r="H1844" s="41" t="n"/>
      <c r="I1844" s="41" t="n"/>
      <c r="J1844" s="41" t="n"/>
      <c r="K1844" s="467" t="n">
        <v>0</v>
      </c>
      <c r="L1844" s="453" t="n"/>
      <c r="M1844" s="453" t="n"/>
      <c r="N1844" s="453" t="n"/>
      <c r="O1844" s="453" t="n"/>
      <c r="P1844" s="1617" t="n"/>
      <c r="Q1844" s="453" t="n"/>
      <c r="R1844" s="453" t="n"/>
      <c r="S1844" s="453" t="n"/>
      <c r="T1844" s="453" t="n"/>
      <c r="U1844" s="453" t="n"/>
      <c r="V1844" s="453" t="n"/>
      <c r="W1844" s="453" t="n"/>
    </row>
    <row r="1845" customFormat="1" s="21">
      <c r="A1845" s="20" t="inlineStr">
        <is>
          <t>Tropical Moist</t>
        </is>
      </c>
      <c r="B1845" s="41" t="n">
        <v>4.9</v>
      </c>
      <c r="C1845" s="471">
        <f>AVERAGE(2.7, 0, 26.2)</f>
        <v/>
      </c>
      <c r="D1845" s="41" t="n">
        <v>7</v>
      </c>
      <c r="E1845" s="41" t="n">
        <v>7</v>
      </c>
      <c r="F1845" s="41" t="n">
        <v>143.5</v>
      </c>
      <c r="G1845" s="41" t="n">
        <v>7</v>
      </c>
      <c r="H1845" s="41" t="n"/>
      <c r="I1845" s="41" t="n"/>
      <c r="J1845" s="41" t="n"/>
      <c r="K1845" s="467" t="n">
        <v>0</v>
      </c>
      <c r="L1845" s="453" t="n"/>
      <c r="M1845" s="453" t="n"/>
      <c r="N1845" s="453" t="n"/>
      <c r="O1845" s="453" t="n"/>
      <c r="P1845" s="1617" t="n"/>
      <c r="Q1845" s="453" t="n"/>
      <c r="R1845" s="453" t="n"/>
      <c r="S1845" s="453" t="n"/>
      <c r="T1845" s="453" t="n"/>
      <c r="U1845" s="453" t="n"/>
      <c r="V1845" s="453" t="n"/>
      <c r="W1845" s="453" t="n"/>
    </row>
    <row r="1846" customFormat="1" s="21">
      <c r="A1846" s="20" t="inlineStr">
        <is>
          <t>Tropical Wet</t>
        </is>
      </c>
      <c r="B1846" s="41" t="n">
        <v>4.9</v>
      </c>
      <c r="C1846" s="471">
        <f>AVERAGE(2.7, 0, 26.2)</f>
        <v/>
      </c>
      <c r="D1846" s="41" t="n">
        <v>7</v>
      </c>
      <c r="E1846" s="41" t="n">
        <v>7</v>
      </c>
      <c r="F1846" s="41" t="n">
        <v>143.5</v>
      </c>
      <c r="G1846" s="41" t="n">
        <v>7</v>
      </c>
      <c r="H1846" s="41" t="n"/>
      <c r="I1846" s="41" t="n"/>
      <c r="J1846" s="41" t="n"/>
      <c r="K1846" s="467" t="n">
        <v>0</v>
      </c>
      <c r="L1846" s="453" t="n"/>
      <c r="M1846" s="453" t="n"/>
      <c r="N1846" s="453" t="n"/>
      <c r="O1846" s="453" t="n"/>
      <c r="P1846" s="1617" t="n"/>
      <c r="Q1846" s="453" t="n"/>
      <c r="R1846" s="453" t="n"/>
      <c r="S1846" s="453" t="n"/>
      <c r="T1846" s="453" t="n"/>
      <c r="U1846" s="453" t="n"/>
      <c r="V1846" s="453" t="n"/>
      <c r="W1846" s="453" t="n"/>
    </row>
    <row r="1847" customFormat="1" s="292">
      <c r="A1847" s="37" t="inlineStr">
        <is>
          <t>Tropical Montane</t>
        </is>
      </c>
      <c r="B1847" s="42" t="n">
        <v>4.9</v>
      </c>
      <c r="C1847" s="536">
        <f>AVERAGE(2.7, 0, 26.2)</f>
        <v/>
      </c>
      <c r="D1847" s="42" t="n">
        <v>7</v>
      </c>
      <c r="E1847" s="42" t="n">
        <v>7</v>
      </c>
      <c r="F1847" s="42" t="n">
        <v>143.5</v>
      </c>
      <c r="G1847" s="42" t="n">
        <v>7</v>
      </c>
      <c r="H1847" s="42" t="n"/>
      <c r="I1847" s="42" t="n"/>
      <c r="J1847" s="42" t="n"/>
      <c r="K1847" s="654" t="n">
        <v>0</v>
      </c>
      <c r="L1847" s="1074" t="n"/>
      <c r="M1847" s="1074" t="n"/>
      <c r="N1847" s="1074" t="n"/>
      <c r="O1847" s="1074" t="n"/>
      <c r="P1847" s="1618" t="n"/>
      <c r="Q1847" s="1074" t="n"/>
      <c r="R1847" s="1074" t="n"/>
      <c r="S1847" s="1074" t="n"/>
      <c r="T1847" s="1074" t="n"/>
      <c r="U1847" s="1074" t="n"/>
      <c r="V1847" s="1074" t="n"/>
      <c r="W1847" s="1074" t="n"/>
    </row>
    <row r="1848" customFormat="1" s="292">
      <c r="A1848" s="1073" t="inlineStr">
        <is>
          <t xml:space="preserve">Notes </t>
        </is>
      </c>
    </row>
    <row r="1849" customFormat="1" s="292">
      <c r="A1849" s="534" t="inlineStr">
        <is>
          <t>For grassland temperate EF this is the average of 2 EFS</t>
        </is>
      </c>
    </row>
    <row r="1850" ht="14.25" customFormat="1" customHeight="1" s="535">
      <c r="A1850" s="534" t="inlineStr">
        <is>
          <t>For "Settlement", "Other land" and "Degraded land" select the EF from previous land use</t>
        </is>
      </c>
    </row>
    <row r="1851" ht="17.75" customHeight="1"/>
    <row r="1852" customFormat="1" s="125">
      <c r="A1852" s="377" t="inlineStr">
        <is>
          <t>Emissions factors for CH4 off site on drained organic soils  IPCC 2013</t>
        </is>
      </c>
      <c r="D1852" s="1075" t="n"/>
      <c r="E1852" s="1076" t="n"/>
      <c r="F1852" s="1076" t="n"/>
      <c r="G1852" s="1076" t="n"/>
      <c r="H1852" s="1076" t="n"/>
      <c r="I1852" s="1076" t="n"/>
    </row>
    <row r="1853" ht="16.25" customFormat="1" customHeight="1" s="773">
      <c r="A1853" s="377" t="n"/>
      <c r="B1853" s="442" t="inlineStr">
        <is>
          <t>Table 2.4</t>
        </is>
      </c>
      <c r="C1853" s="442" t="inlineStr">
        <is>
          <t>Table 2.4</t>
        </is>
      </c>
      <c r="D1853" s="442" t="inlineStr">
        <is>
          <t>Table 2.4</t>
        </is>
      </c>
      <c r="E1853" s="442" t="inlineStr">
        <is>
          <t>Table 2.4</t>
        </is>
      </c>
      <c r="F1853" s="442" t="inlineStr">
        <is>
          <t>Table 2.4</t>
        </is>
      </c>
      <c r="G1853" s="442" t="inlineStr">
        <is>
          <t>Table 2.4</t>
        </is>
      </c>
      <c r="H1853" s="442" t="inlineStr">
        <is>
          <t>Table 2.4</t>
        </is>
      </c>
      <c r="I1853" s="442" t="inlineStr">
        <is>
          <t>Table 2.4</t>
        </is>
      </c>
      <c r="J1853" s="442" t="inlineStr">
        <is>
          <t>Table 2.4</t>
        </is>
      </c>
      <c r="K1853" s="442" t="inlineStr">
        <is>
          <t>Table 2.4</t>
        </is>
      </c>
      <c r="L1853" s="442" t="n"/>
      <c r="M1853" s="442" t="n"/>
      <c r="N1853" s="442" t="n"/>
      <c r="O1853" s="442" t="n"/>
      <c r="P1853" s="532" t="n"/>
      <c r="Q1853" s="442" t="n"/>
      <c r="R1853" s="442" t="n"/>
      <c r="S1853" s="442" t="n"/>
      <c r="T1853" s="442" t="n"/>
      <c r="U1853" s="442" t="n"/>
      <c r="V1853" s="442" t="n"/>
      <c r="W1853" s="442" t="n"/>
    </row>
    <row r="1854" ht="16" customFormat="1" customHeight="1" s="291">
      <c r="A1854" s="293" t="inlineStr">
        <is>
          <t>IPCC Climate Region</t>
        </is>
      </c>
      <c r="B1854" s="426" t="inlineStr">
        <is>
          <t>Forest</t>
        </is>
      </c>
      <c r="C1854" s="426" t="inlineStr">
        <is>
          <t>Plantation</t>
        </is>
      </c>
      <c r="D1854" s="426" t="inlineStr">
        <is>
          <t>Annual</t>
        </is>
      </c>
      <c r="E1854" s="426" t="inlineStr">
        <is>
          <t>Perennial</t>
        </is>
      </c>
      <c r="F1854" s="426" t="inlineStr">
        <is>
          <t>Flooded rice</t>
        </is>
      </c>
      <c r="G1854" s="426" t="inlineStr">
        <is>
          <t>Grassland</t>
        </is>
      </c>
      <c r="H1854" s="426" t="inlineStr">
        <is>
          <t>Settlement</t>
        </is>
      </c>
      <c r="I1854" s="426" t="inlineStr">
        <is>
          <t>Other land</t>
        </is>
      </c>
      <c r="J1854" s="426" t="inlineStr">
        <is>
          <t>Degraded land</t>
        </is>
      </c>
      <c r="K1854" s="31" t="inlineStr">
        <is>
          <t>Peat extraction</t>
        </is>
      </c>
      <c r="L1854" s="453" t="n"/>
      <c r="M1854" s="453" t="n"/>
      <c r="N1854" s="453" t="n"/>
      <c r="O1854" s="453" t="n"/>
      <c r="P1854" s="1616" t="n"/>
      <c r="Q1854" s="453" t="n"/>
      <c r="R1854" s="453" t="n"/>
      <c r="S1854" s="453" t="n"/>
      <c r="T1854" s="453" t="n"/>
      <c r="U1854" s="453" t="n"/>
      <c r="V1854" s="453" t="n"/>
      <c r="W1854" s="453" t="n"/>
      <c r="X1854" s="21" t="n"/>
      <c r="Y1854" s="21" t="n"/>
    </row>
    <row r="1855" customFormat="1" s="21">
      <c r="A1855" s="255" t="inlineStr">
        <is>
          <t>Please select</t>
        </is>
      </c>
      <c r="B1855" s="426" t="inlineStr">
        <is>
          <t>kg CH4/ha/yr</t>
        </is>
      </c>
      <c r="C1855" s="426" t="inlineStr">
        <is>
          <t>kg CH4/ha/yr</t>
        </is>
      </c>
      <c r="D1855" s="426" t="inlineStr">
        <is>
          <t>kg CH4/ha/yr</t>
        </is>
      </c>
      <c r="E1855" s="426" t="inlineStr">
        <is>
          <t>kg CH4/ha/yr</t>
        </is>
      </c>
      <c r="F1855" s="426" t="inlineStr">
        <is>
          <t>kg CH4/ha/yr</t>
        </is>
      </c>
      <c r="G1855" s="426" t="inlineStr">
        <is>
          <t>kg CH4/ha/yr</t>
        </is>
      </c>
      <c r="H1855" s="426" t="inlineStr">
        <is>
          <t>kg CH4/ha/yr</t>
        </is>
      </c>
      <c r="I1855" s="426" t="inlineStr">
        <is>
          <t>kg CH4/ha/yr</t>
        </is>
      </c>
      <c r="J1855" s="426" t="inlineStr">
        <is>
          <t>kg CH4/ha/yr</t>
        </is>
      </c>
      <c r="K1855" s="426" t="inlineStr">
        <is>
          <t>kg CH4/ha/yr</t>
        </is>
      </c>
      <c r="L1855" s="453" t="n"/>
      <c r="M1855" s="453" t="n"/>
      <c r="N1855" s="453" t="n"/>
      <c r="O1855" s="453" t="n"/>
      <c r="P1855" s="453" t="n"/>
      <c r="Q1855" s="453" t="n"/>
      <c r="R1855" s="453" t="n"/>
      <c r="S1855" s="453" t="n"/>
      <c r="T1855" s="453" t="n"/>
      <c r="U1855" s="453" t="n"/>
      <c r="V1855" s="453" t="n"/>
      <c r="W1855" s="453" t="n"/>
    </row>
    <row r="1856" customFormat="1" s="21">
      <c r="A1856" s="20" t="inlineStr">
        <is>
          <t>Boreal Dry</t>
        </is>
      </c>
      <c r="B1856" s="41" t="n">
        <v>217</v>
      </c>
      <c r="C1856" s="41">
        <f>B1856</f>
        <v/>
      </c>
      <c r="D1856" s="41" t="n">
        <v>1165</v>
      </c>
      <c r="E1856" s="41" t="n">
        <v>1165</v>
      </c>
      <c r="F1856" s="41" t="n">
        <v>0</v>
      </c>
      <c r="G1856" s="41" t="n">
        <v>527</v>
      </c>
      <c r="H1856" s="41" t="n"/>
      <c r="I1856" s="41" t="n"/>
      <c r="J1856" s="41" t="n"/>
      <c r="K1856" s="470" t="n">
        <v>542</v>
      </c>
      <c r="L1856" s="453" t="n"/>
      <c r="M1856" s="453" t="n"/>
      <c r="N1856" s="453" t="n"/>
      <c r="O1856" s="453" t="n"/>
      <c r="P1856" s="1617" t="n"/>
      <c r="Q1856" s="453" t="n"/>
      <c r="R1856" s="453" t="n"/>
      <c r="S1856" s="453" t="n"/>
      <c r="T1856" s="453" t="n"/>
      <c r="U1856" s="453" t="n"/>
      <c r="V1856" s="453" t="n"/>
      <c r="W1856" s="453" t="n"/>
    </row>
    <row r="1857" customFormat="1" s="21">
      <c r="A1857" s="20" t="inlineStr">
        <is>
          <t>Boreal Moist</t>
        </is>
      </c>
      <c r="B1857" s="41" t="n">
        <v>217</v>
      </c>
      <c r="C1857" s="41">
        <f>B1857</f>
        <v/>
      </c>
      <c r="D1857" s="41" t="n">
        <v>1165</v>
      </c>
      <c r="E1857" s="41" t="n">
        <v>1165</v>
      </c>
      <c r="F1857" s="41" t="n">
        <v>0</v>
      </c>
      <c r="G1857" s="41" t="n">
        <v>527</v>
      </c>
      <c r="H1857" s="41" t="n"/>
      <c r="I1857" s="41" t="n"/>
      <c r="J1857" s="41" t="n"/>
      <c r="K1857" s="467" t="n">
        <v>542</v>
      </c>
      <c r="L1857" s="453" t="n"/>
      <c r="M1857" s="453" t="n"/>
      <c r="N1857" s="453" t="n"/>
      <c r="O1857" s="453" t="n"/>
      <c r="P1857" s="1617" t="n"/>
      <c r="Q1857" s="453" t="n"/>
      <c r="R1857" s="453" t="n"/>
      <c r="S1857" s="453" t="n"/>
      <c r="T1857" s="453" t="n"/>
      <c r="U1857" s="453" t="n"/>
      <c r="V1857" s="453" t="n"/>
      <c r="W1857" s="453" t="n"/>
    </row>
    <row r="1858" customFormat="1" s="21">
      <c r="A1858" s="20" t="inlineStr">
        <is>
          <t>Cool Temperate Dry</t>
        </is>
      </c>
      <c r="B1858" s="41" t="n">
        <v>217</v>
      </c>
      <c r="C1858" s="41">
        <f>B1858</f>
        <v/>
      </c>
      <c r="D1858" s="41" t="n">
        <v>1165</v>
      </c>
      <c r="E1858" s="41" t="n">
        <v>1165</v>
      </c>
      <c r="F1858" s="41" t="n">
        <v>0</v>
      </c>
      <c r="G1858" s="41" t="n">
        <v>527</v>
      </c>
      <c r="H1858" s="41" t="n"/>
      <c r="I1858" s="41" t="n"/>
      <c r="J1858" s="41" t="n"/>
      <c r="K1858" s="467" t="n">
        <v>542</v>
      </c>
      <c r="L1858" s="453" t="n"/>
      <c r="M1858" s="453" t="n"/>
      <c r="N1858" s="453" t="n"/>
      <c r="O1858" s="453" t="n"/>
      <c r="P1858" s="1617" t="n"/>
      <c r="Q1858" s="453" t="n"/>
      <c r="R1858" s="453" t="n"/>
      <c r="S1858" s="453" t="n"/>
      <c r="T1858" s="453" t="n"/>
      <c r="U1858" s="453" t="n"/>
      <c r="V1858" s="453" t="n"/>
      <c r="W1858" s="453" t="n"/>
    </row>
    <row r="1859" customFormat="1" s="21">
      <c r="A1859" s="20" t="inlineStr">
        <is>
          <t>Cool Temperate Moist</t>
        </is>
      </c>
      <c r="B1859" s="41" t="n">
        <v>217</v>
      </c>
      <c r="C1859" s="41">
        <f>B1859</f>
        <v/>
      </c>
      <c r="D1859" s="41" t="n">
        <v>1165</v>
      </c>
      <c r="E1859" s="41" t="n">
        <v>1165</v>
      </c>
      <c r="F1859" s="41" t="n">
        <v>0</v>
      </c>
      <c r="G1859" s="41" t="n">
        <v>527</v>
      </c>
      <c r="H1859" s="41" t="n"/>
      <c r="I1859" s="41" t="n"/>
      <c r="J1859" s="41" t="n"/>
      <c r="K1859" s="467" t="n">
        <v>542</v>
      </c>
      <c r="L1859" s="453" t="n"/>
      <c r="M1859" s="453" t="n"/>
      <c r="N1859" s="453" t="n"/>
      <c r="O1859" s="453" t="n"/>
      <c r="P1859" s="1617" t="n"/>
      <c r="Q1859" s="453" t="n"/>
      <c r="R1859" s="453" t="n"/>
      <c r="S1859" s="453" t="n"/>
      <c r="T1859" s="453" t="n"/>
      <c r="U1859" s="453" t="n"/>
      <c r="V1859" s="453" t="n"/>
      <c r="W1859" s="453" t="n"/>
    </row>
    <row r="1860" customFormat="1" s="21">
      <c r="A1860" s="20" t="inlineStr">
        <is>
          <t>Warm Temperate Dry</t>
        </is>
      </c>
      <c r="B1860" s="41" t="n">
        <v>217</v>
      </c>
      <c r="C1860" s="41">
        <f>B1860</f>
        <v/>
      </c>
      <c r="D1860" s="41" t="n">
        <v>1165</v>
      </c>
      <c r="E1860" s="41" t="n">
        <v>1165</v>
      </c>
      <c r="F1860" s="41" t="n">
        <v>0</v>
      </c>
      <c r="G1860" s="41" t="n">
        <v>527</v>
      </c>
      <c r="H1860" s="41" t="n"/>
      <c r="I1860" s="41" t="n"/>
      <c r="J1860" s="41" t="n"/>
      <c r="K1860" s="467" t="n">
        <v>542</v>
      </c>
      <c r="L1860" s="453" t="n"/>
      <c r="M1860" s="453" t="n"/>
      <c r="N1860" s="453" t="n"/>
      <c r="O1860" s="453" t="n"/>
      <c r="P1860" s="1617" t="n"/>
      <c r="Q1860" s="453" t="n"/>
      <c r="R1860" s="453" t="n"/>
      <c r="S1860" s="453" t="n"/>
      <c r="T1860" s="453" t="n"/>
      <c r="U1860" s="453" t="n"/>
      <c r="V1860" s="453" t="n"/>
      <c r="W1860" s="453" t="n"/>
    </row>
    <row r="1861" customFormat="1" s="21">
      <c r="A1861" s="20" t="inlineStr">
        <is>
          <t>Warm Temperate Moist</t>
        </is>
      </c>
      <c r="B1861" s="41" t="n">
        <v>217</v>
      </c>
      <c r="C1861" s="41">
        <f>B1861</f>
        <v/>
      </c>
      <c r="D1861" s="41" t="n">
        <v>1165</v>
      </c>
      <c r="E1861" s="41" t="n">
        <v>1165</v>
      </c>
      <c r="F1861" s="41" t="n">
        <v>0</v>
      </c>
      <c r="G1861" s="41" t="n">
        <v>527</v>
      </c>
      <c r="H1861" s="41" t="n"/>
      <c r="I1861" s="41" t="n"/>
      <c r="J1861" s="41" t="n"/>
      <c r="K1861" s="467" t="n">
        <v>542</v>
      </c>
      <c r="L1861" s="453" t="n"/>
      <c r="M1861" s="453" t="n"/>
      <c r="N1861" s="453" t="n"/>
      <c r="O1861" s="453" t="n"/>
      <c r="P1861" s="1617" t="n"/>
      <c r="Q1861" s="453" t="n"/>
      <c r="R1861" s="453" t="n"/>
      <c r="S1861" s="453" t="n"/>
      <c r="T1861" s="453" t="n"/>
      <c r="U1861" s="453" t="n"/>
      <c r="V1861" s="453" t="n"/>
      <c r="W1861" s="453" t="n"/>
    </row>
    <row r="1862" customFormat="1" s="21">
      <c r="A1862" s="20" t="inlineStr">
        <is>
          <t>Tropical Dry</t>
        </is>
      </c>
      <c r="B1862" s="41" t="n">
        <v>2259</v>
      </c>
      <c r="C1862" s="41" t="n">
        <v>2259</v>
      </c>
      <c r="D1862" s="41" t="n">
        <v>2259</v>
      </c>
      <c r="E1862" s="41" t="n">
        <v>2259</v>
      </c>
      <c r="F1862" s="41" t="n">
        <v>2259</v>
      </c>
      <c r="G1862" s="41" t="n">
        <v>2259</v>
      </c>
      <c r="H1862" s="41" t="n"/>
      <c r="I1862" s="41" t="n"/>
      <c r="J1862" s="41" t="n"/>
      <c r="K1862" s="467" t="n">
        <v>0</v>
      </c>
      <c r="L1862" s="453" t="n"/>
      <c r="M1862" s="453" t="n"/>
      <c r="N1862" s="453" t="n"/>
      <c r="O1862" s="453" t="n"/>
      <c r="P1862" s="1617" t="n"/>
      <c r="Q1862" s="453" t="n"/>
      <c r="R1862" s="453" t="n"/>
      <c r="S1862" s="453" t="n"/>
      <c r="T1862" s="453" t="n"/>
      <c r="U1862" s="453" t="n"/>
      <c r="V1862" s="453" t="n"/>
      <c r="W1862" s="453" t="n"/>
    </row>
    <row r="1863" customFormat="1" s="21">
      <c r="A1863" s="20" t="inlineStr">
        <is>
          <t>Tropical Moist</t>
        </is>
      </c>
      <c r="B1863" s="41" t="n">
        <v>2259</v>
      </c>
      <c r="C1863" s="41" t="n">
        <v>2259</v>
      </c>
      <c r="D1863" s="41" t="n">
        <v>2259</v>
      </c>
      <c r="E1863" s="41" t="n">
        <v>2259</v>
      </c>
      <c r="F1863" s="41" t="n">
        <v>2259</v>
      </c>
      <c r="G1863" s="41" t="n">
        <v>2259</v>
      </c>
      <c r="H1863" s="41" t="n"/>
      <c r="I1863" s="41" t="n"/>
      <c r="J1863" s="41" t="n"/>
      <c r="K1863" s="467" t="n">
        <v>0</v>
      </c>
      <c r="L1863" s="453" t="n"/>
      <c r="M1863" s="453" t="n"/>
      <c r="N1863" s="453" t="n"/>
      <c r="O1863" s="453" t="n"/>
      <c r="P1863" s="1617" t="n"/>
      <c r="Q1863" s="453" t="n"/>
      <c r="R1863" s="453" t="n"/>
      <c r="S1863" s="453" t="n"/>
      <c r="T1863" s="453" t="n"/>
      <c r="U1863" s="453" t="n"/>
      <c r="V1863" s="453" t="n"/>
      <c r="W1863" s="453" t="n"/>
    </row>
    <row r="1864" customFormat="1" s="21">
      <c r="A1864" s="20" t="inlineStr">
        <is>
          <t>Tropical Wet</t>
        </is>
      </c>
      <c r="B1864" s="41" t="n">
        <v>2259</v>
      </c>
      <c r="C1864" s="41" t="n">
        <v>2259</v>
      </c>
      <c r="D1864" s="41" t="n">
        <v>2259</v>
      </c>
      <c r="E1864" s="41" t="n">
        <v>2259</v>
      </c>
      <c r="F1864" s="41" t="n">
        <v>2259</v>
      </c>
      <c r="G1864" s="41" t="n">
        <v>2259</v>
      </c>
      <c r="H1864" s="41" t="n"/>
      <c r="I1864" s="41" t="n"/>
      <c r="J1864" s="41" t="n"/>
      <c r="K1864" s="467" t="n">
        <v>0</v>
      </c>
      <c r="L1864" s="453" t="n"/>
      <c r="M1864" s="453" t="n"/>
      <c r="N1864" s="453" t="n"/>
      <c r="O1864" s="453" t="n"/>
      <c r="P1864" s="1617" t="n"/>
      <c r="Q1864" s="453" t="n"/>
      <c r="R1864" s="453" t="n"/>
      <c r="S1864" s="453" t="n"/>
      <c r="T1864" s="453" t="n"/>
      <c r="U1864" s="453" t="n"/>
      <c r="V1864" s="453" t="n"/>
      <c r="W1864" s="453" t="n"/>
    </row>
    <row r="1865" customFormat="1" s="292">
      <c r="A1865" s="37" t="inlineStr">
        <is>
          <t>Tropical Montane</t>
        </is>
      </c>
      <c r="B1865" s="42" t="n">
        <v>2259</v>
      </c>
      <c r="C1865" s="42" t="n">
        <v>2259</v>
      </c>
      <c r="D1865" s="42" t="n">
        <v>2259</v>
      </c>
      <c r="E1865" s="42" t="n">
        <v>2259</v>
      </c>
      <c r="F1865" s="42" t="n">
        <v>2259</v>
      </c>
      <c r="G1865" s="42" t="n">
        <v>2259</v>
      </c>
      <c r="H1865" s="42" t="n"/>
      <c r="I1865" s="42" t="n"/>
      <c r="J1865" s="42" t="n"/>
      <c r="K1865" s="654" t="n">
        <v>0</v>
      </c>
      <c r="L1865" s="1074" t="n"/>
      <c r="M1865" s="1074" t="n"/>
      <c r="N1865" s="1074" t="n"/>
      <c r="O1865" s="1074" t="n"/>
      <c r="P1865" s="1618" t="n"/>
      <c r="Q1865" s="1074" t="n"/>
      <c r="R1865" s="1074" t="n"/>
      <c r="S1865" s="1074" t="n"/>
      <c r="T1865" s="1074" t="n"/>
      <c r="U1865" s="1074" t="n"/>
      <c r="V1865" s="1074" t="n"/>
      <c r="W1865" s="1074" t="n"/>
    </row>
    <row r="1866" customFormat="1" s="292">
      <c r="A1866" s="1073" t="inlineStr">
        <is>
          <t xml:space="preserve">Notes </t>
        </is>
      </c>
    </row>
    <row r="1867" customFormat="1" s="292"/>
    <row r="1868" customFormat="1" s="535">
      <c r="A1868" s="516" t="n"/>
    </row>
    <row r="1870" customFormat="1" s="125">
      <c r="A1870" s="377" t="inlineStr">
        <is>
          <t>Emissions factors for N2O on site on drained organic soils  IPCC 2013</t>
        </is>
      </c>
      <c r="D1870" s="1075" t="n"/>
      <c r="E1870" s="1075" t="n"/>
      <c r="F1870" s="1075" t="n"/>
      <c r="G1870" s="1075" t="n"/>
      <c r="H1870" s="1075" t="n"/>
      <c r="I1870" s="1075" t="n"/>
      <c r="J1870" s="1075" t="n"/>
    </row>
    <row r="1871" ht="16.25" customFormat="1" customHeight="1" s="773">
      <c r="A1871" s="753" t="inlineStr">
        <is>
          <t>NUTRIENT POOR</t>
        </is>
      </c>
      <c r="B1871" s="442" t="inlineStr">
        <is>
          <t>Table 2.5</t>
        </is>
      </c>
      <c r="C1871" s="442" t="inlineStr">
        <is>
          <t>Table 2.5</t>
        </is>
      </c>
      <c r="D1871" s="442" t="inlineStr">
        <is>
          <t>Table 2.5</t>
        </is>
      </c>
      <c r="E1871" s="442" t="inlineStr">
        <is>
          <t>Table 2.5</t>
        </is>
      </c>
      <c r="F1871" s="442" t="inlineStr">
        <is>
          <t>Table 2.5</t>
        </is>
      </c>
      <c r="G1871" s="442" t="inlineStr">
        <is>
          <t>Table 2.5</t>
        </is>
      </c>
      <c r="H1871" s="442" t="inlineStr">
        <is>
          <t>Table 2.5</t>
        </is>
      </c>
      <c r="I1871" s="442" t="inlineStr">
        <is>
          <t>Table 2.5</t>
        </is>
      </c>
      <c r="J1871" s="442" t="inlineStr">
        <is>
          <t>Table 2.5</t>
        </is>
      </c>
      <c r="K1871" s="442" t="inlineStr">
        <is>
          <t>Table 2.5</t>
        </is>
      </c>
      <c r="L1871" s="442" t="n"/>
      <c r="M1871" s="442" t="n"/>
      <c r="N1871" s="442" t="n"/>
      <c r="O1871" s="442" t="n"/>
      <c r="P1871" s="532" t="n"/>
      <c r="Q1871" s="442" t="n"/>
      <c r="R1871" s="442" t="n"/>
      <c r="S1871" s="442" t="n"/>
      <c r="T1871" s="442" t="n"/>
      <c r="U1871" s="442" t="n"/>
      <c r="V1871" s="442" t="n"/>
      <c r="W1871" s="442" t="n"/>
    </row>
    <row r="1872" ht="16" customFormat="1" customHeight="1" s="291">
      <c r="A1872" s="293" t="inlineStr">
        <is>
          <t>IPCC Climate Region</t>
        </is>
      </c>
      <c r="B1872" s="426" t="inlineStr">
        <is>
          <t>Forest</t>
        </is>
      </c>
      <c r="C1872" s="426" t="inlineStr">
        <is>
          <t>Plantation</t>
        </is>
      </c>
      <c r="D1872" s="426" t="inlineStr">
        <is>
          <t>Annual</t>
        </is>
      </c>
      <c r="E1872" s="426" t="inlineStr">
        <is>
          <t>Perennial</t>
        </is>
      </c>
      <c r="F1872" s="426" t="inlineStr">
        <is>
          <t>Flooded rice</t>
        </is>
      </c>
      <c r="G1872" s="426" t="inlineStr">
        <is>
          <t>Grassland</t>
        </is>
      </c>
      <c r="H1872" s="426" t="inlineStr">
        <is>
          <t>Settlement</t>
        </is>
      </c>
      <c r="I1872" s="426" t="inlineStr">
        <is>
          <t>Other land</t>
        </is>
      </c>
      <c r="J1872" s="426" t="inlineStr">
        <is>
          <t>Degraded land</t>
        </is>
      </c>
      <c r="K1872" s="31" t="inlineStr">
        <is>
          <t>Peat extraction</t>
        </is>
      </c>
      <c r="L1872" s="453" t="n"/>
      <c r="M1872" s="453" t="n"/>
      <c r="N1872" s="453" t="n"/>
      <c r="O1872" s="453" t="n"/>
      <c r="P1872" s="1616" t="n"/>
      <c r="Q1872" s="453" t="n"/>
      <c r="R1872" s="453" t="n"/>
      <c r="S1872" s="453" t="n"/>
      <c r="T1872" s="453" t="n"/>
      <c r="U1872" s="453" t="n"/>
      <c r="V1872" s="453" t="n"/>
      <c r="W1872" s="453" t="n"/>
      <c r="X1872" s="21" t="n"/>
      <c r="Y1872" s="21" t="n"/>
    </row>
    <row r="1873" customFormat="1" s="21">
      <c r="A1873" s="255" t="inlineStr">
        <is>
          <t>Please select</t>
        </is>
      </c>
      <c r="B1873" s="426" t="inlineStr">
        <is>
          <t>kg N2O-N/ha/yr</t>
        </is>
      </c>
      <c r="C1873" s="426" t="inlineStr">
        <is>
          <t>kg N2O-N/ha/yr</t>
        </is>
      </c>
      <c r="D1873" s="426" t="inlineStr">
        <is>
          <t>kg N2O-N/ha/yr</t>
        </is>
      </c>
      <c r="E1873" s="426" t="inlineStr">
        <is>
          <t>kg N2O-N/ha/yr</t>
        </is>
      </c>
      <c r="F1873" s="426" t="inlineStr">
        <is>
          <t>kg N2O-N/ha/yr</t>
        </is>
      </c>
      <c r="G1873" s="426" t="inlineStr">
        <is>
          <t>kg N2O-N/ha/yr</t>
        </is>
      </c>
      <c r="H1873" s="426" t="inlineStr">
        <is>
          <t>kg N2O-N/ha/yr</t>
        </is>
      </c>
      <c r="I1873" s="426" t="inlineStr">
        <is>
          <t>kg N2O-N/ha/yr</t>
        </is>
      </c>
      <c r="J1873" s="426" t="inlineStr">
        <is>
          <t>kg N2O-N/ha/yr</t>
        </is>
      </c>
      <c r="K1873" s="426" t="inlineStr">
        <is>
          <t>kg N2O-N/ha/yr</t>
        </is>
      </c>
      <c r="L1873" s="453" t="n"/>
      <c r="M1873" s="453" t="n"/>
      <c r="N1873" s="453" t="n"/>
      <c r="O1873" s="453" t="n"/>
      <c r="P1873" s="453" t="n"/>
      <c r="Q1873" s="453" t="n"/>
      <c r="R1873" s="453" t="n"/>
      <c r="S1873" s="453" t="n"/>
      <c r="T1873" s="453" t="n"/>
      <c r="U1873" s="453" t="n"/>
      <c r="V1873" s="453" t="n"/>
      <c r="W1873" s="453" t="n"/>
    </row>
    <row r="1874" customFormat="1" s="21">
      <c r="A1874" s="20" t="inlineStr">
        <is>
          <t>Boreal Dry</t>
        </is>
      </c>
      <c r="B1874" s="41" t="n">
        <v>0.22</v>
      </c>
      <c r="C1874" s="41">
        <f>B1874</f>
        <v/>
      </c>
      <c r="D1874" s="41" t="n">
        <v>13</v>
      </c>
      <c r="E1874" s="41" t="n">
        <v>13</v>
      </c>
      <c r="F1874" s="41" t="n">
        <v>0</v>
      </c>
      <c r="G1874" s="41" t="n">
        <v>9.5</v>
      </c>
      <c r="H1874" s="41" t="n"/>
      <c r="I1874" s="41" t="n"/>
      <c r="J1874" s="41" t="n"/>
      <c r="K1874" s="470" t="n">
        <v>0.3</v>
      </c>
      <c r="L1874" s="453" t="n"/>
      <c r="M1874" s="453" t="n"/>
      <c r="N1874" s="453" t="n"/>
      <c r="O1874" s="453" t="n"/>
      <c r="P1874" s="1617" t="n"/>
      <c r="Q1874" s="453" t="n"/>
      <c r="R1874" s="453" t="n"/>
      <c r="S1874" s="453" t="n"/>
      <c r="T1874" s="453" t="n"/>
      <c r="U1874" s="453" t="n"/>
      <c r="V1874" s="453" t="n"/>
      <c r="W1874" s="453" t="n"/>
    </row>
    <row r="1875" customFormat="1" s="21">
      <c r="A1875" s="20" t="inlineStr">
        <is>
          <t>Boreal Moist</t>
        </is>
      </c>
      <c r="B1875" s="41" t="n">
        <v>0.22</v>
      </c>
      <c r="C1875" s="41">
        <f>B1875</f>
        <v/>
      </c>
      <c r="D1875" s="41" t="n">
        <v>13</v>
      </c>
      <c r="E1875" s="41" t="n">
        <v>13</v>
      </c>
      <c r="F1875" s="41" t="n">
        <v>0</v>
      </c>
      <c r="G1875" s="41" t="n">
        <v>9.5</v>
      </c>
      <c r="H1875" s="41" t="n"/>
      <c r="I1875" s="41" t="n"/>
      <c r="J1875" s="41" t="n"/>
      <c r="K1875" s="467" t="n">
        <v>0.3</v>
      </c>
      <c r="L1875" s="453" t="n"/>
      <c r="M1875" s="453" t="n"/>
      <c r="N1875" s="453" t="n"/>
      <c r="O1875" s="453" t="n"/>
      <c r="P1875" s="1617" t="n"/>
      <c r="Q1875" s="453" t="n"/>
      <c r="R1875" s="453" t="n"/>
      <c r="S1875" s="453" t="n"/>
      <c r="T1875" s="453" t="n"/>
      <c r="U1875" s="453" t="n"/>
      <c r="V1875" s="453" t="n"/>
      <c r="W1875" s="453" t="n"/>
    </row>
    <row r="1876" customFormat="1" s="21">
      <c r="A1876" s="20" t="inlineStr">
        <is>
          <t>Cool Temperate Dry</t>
        </is>
      </c>
      <c r="B1876" s="41" t="n">
        <v>2.8</v>
      </c>
      <c r="C1876" s="41">
        <f>B1876</f>
        <v/>
      </c>
      <c r="D1876" s="41" t="n">
        <v>13</v>
      </c>
      <c r="E1876" s="41" t="n">
        <v>13</v>
      </c>
      <c r="F1876" s="41" t="n">
        <v>0</v>
      </c>
      <c r="G1876" s="41" t="n">
        <v>4.3</v>
      </c>
      <c r="H1876" s="41" t="n"/>
      <c r="I1876" s="41" t="n"/>
      <c r="J1876" s="41" t="n"/>
      <c r="K1876" s="467" t="n">
        <v>0.3</v>
      </c>
      <c r="L1876" s="453" t="n"/>
      <c r="M1876" s="453" t="n"/>
      <c r="N1876" s="453" t="n"/>
      <c r="O1876" s="453" t="n"/>
      <c r="P1876" s="1617" t="n"/>
      <c r="Q1876" s="453" t="n"/>
      <c r="R1876" s="453" t="n"/>
      <c r="S1876" s="453" t="n"/>
      <c r="T1876" s="453" t="n"/>
      <c r="U1876" s="453" t="n"/>
      <c r="V1876" s="453" t="n"/>
      <c r="W1876" s="453" t="n"/>
    </row>
    <row r="1877" customFormat="1" s="21">
      <c r="A1877" s="20" t="inlineStr">
        <is>
          <t>Cool Temperate Moist</t>
        </is>
      </c>
      <c r="B1877" s="41" t="n">
        <v>2.8</v>
      </c>
      <c r="C1877" s="41">
        <f>B1877</f>
        <v/>
      </c>
      <c r="D1877" s="41" t="n">
        <v>13</v>
      </c>
      <c r="E1877" s="41" t="n">
        <v>13</v>
      </c>
      <c r="F1877" s="41" t="n">
        <v>0</v>
      </c>
      <c r="G1877" s="41" t="n">
        <v>4.3</v>
      </c>
      <c r="H1877" s="41" t="n"/>
      <c r="I1877" s="41" t="n"/>
      <c r="J1877" s="41" t="n"/>
      <c r="K1877" s="467" t="n">
        <v>0.3</v>
      </c>
      <c r="L1877" s="453" t="n"/>
      <c r="M1877" s="453" t="n"/>
      <c r="N1877" s="453" t="n"/>
      <c r="O1877" s="453" t="n"/>
      <c r="P1877" s="1617" t="n"/>
      <c r="Q1877" s="453" t="n"/>
      <c r="R1877" s="453" t="n"/>
      <c r="S1877" s="453" t="n"/>
      <c r="T1877" s="453" t="n"/>
      <c r="U1877" s="453" t="n"/>
      <c r="V1877" s="453" t="n"/>
      <c r="W1877" s="453" t="n"/>
    </row>
    <row r="1878" customFormat="1" s="21">
      <c r="A1878" s="20" t="inlineStr">
        <is>
          <t>Warm Temperate Dry</t>
        </is>
      </c>
      <c r="B1878" s="41" t="n">
        <v>2.8</v>
      </c>
      <c r="C1878" s="41">
        <f>B1878</f>
        <v/>
      </c>
      <c r="D1878" s="41" t="n">
        <v>13</v>
      </c>
      <c r="E1878" s="41" t="n">
        <v>13</v>
      </c>
      <c r="F1878" s="41" t="n">
        <v>0</v>
      </c>
      <c r="G1878" s="41" t="n">
        <v>4.3</v>
      </c>
      <c r="H1878" s="41" t="n"/>
      <c r="I1878" s="41" t="n"/>
      <c r="J1878" s="41" t="n"/>
      <c r="K1878" s="467" t="n">
        <v>0.3</v>
      </c>
      <c r="L1878" s="453" t="n"/>
      <c r="M1878" s="453" t="n"/>
      <c r="N1878" s="453" t="n"/>
      <c r="O1878" s="453" t="n"/>
      <c r="P1878" s="1617" t="n"/>
      <c r="Q1878" s="453" t="n"/>
      <c r="R1878" s="453" t="n"/>
      <c r="S1878" s="453" t="n"/>
      <c r="T1878" s="453" t="n"/>
      <c r="U1878" s="453" t="n"/>
      <c r="V1878" s="453" t="n"/>
      <c r="W1878" s="453" t="n"/>
    </row>
    <row r="1879" customFormat="1" s="21">
      <c r="A1879" s="20" t="inlineStr">
        <is>
          <t>Warm Temperate Moist</t>
        </is>
      </c>
      <c r="B1879" s="41" t="n">
        <v>2.8</v>
      </c>
      <c r="C1879" s="41">
        <f>B1879</f>
        <v/>
      </c>
      <c r="D1879" s="41" t="n">
        <v>13</v>
      </c>
      <c r="E1879" s="41" t="n">
        <v>13</v>
      </c>
      <c r="F1879" s="41" t="n">
        <v>0</v>
      </c>
      <c r="G1879" s="41" t="n">
        <v>4.3</v>
      </c>
      <c r="H1879" s="41" t="n"/>
      <c r="I1879" s="41" t="n"/>
      <c r="J1879" s="41" t="n"/>
      <c r="K1879" s="467" t="n">
        <v>0.3</v>
      </c>
      <c r="L1879" s="453" t="n"/>
      <c r="M1879" s="453" t="n"/>
      <c r="N1879" s="453" t="n"/>
      <c r="O1879" s="453" t="n"/>
      <c r="P1879" s="1617" t="n"/>
      <c r="Q1879" s="453" t="n"/>
      <c r="R1879" s="453" t="n"/>
      <c r="S1879" s="453" t="n"/>
      <c r="T1879" s="453" t="n"/>
      <c r="U1879" s="453" t="n"/>
      <c r="V1879" s="453" t="n"/>
      <c r="W1879" s="453" t="n"/>
    </row>
    <row r="1880" customFormat="1" s="21">
      <c r="A1880" s="20" t="inlineStr">
        <is>
          <t>Tropical Dry</t>
        </is>
      </c>
      <c r="B1880" s="41" t="n">
        <v>2.4</v>
      </c>
      <c r="C1880" s="41">
        <f>AVERAGE(3.3,1.2)</f>
        <v/>
      </c>
      <c r="D1880" s="41" t="n">
        <v>5</v>
      </c>
      <c r="E1880" s="41" t="n">
        <v>5</v>
      </c>
      <c r="F1880" s="41" t="n">
        <v>0.4</v>
      </c>
      <c r="G1880" s="41" t="n">
        <v>5</v>
      </c>
      <c r="H1880" s="41" t="n"/>
      <c r="I1880" s="41" t="n"/>
      <c r="J1880" s="41" t="n"/>
      <c r="K1880" s="467" t="n">
        <v>3.6</v>
      </c>
      <c r="L1880" s="453" t="n"/>
      <c r="M1880" s="453" t="n"/>
      <c r="N1880" s="453" t="n"/>
      <c r="O1880" s="453" t="n"/>
      <c r="P1880" s="1617" t="n"/>
      <c r="Q1880" s="453" t="n"/>
      <c r="R1880" s="453" t="n"/>
      <c r="S1880" s="453" t="n"/>
      <c r="T1880" s="453" t="n"/>
      <c r="U1880" s="453" t="n"/>
      <c r="V1880" s="453" t="n"/>
      <c r="W1880" s="453" t="n"/>
    </row>
    <row r="1881" customFormat="1" s="21">
      <c r="A1881" s="20" t="inlineStr">
        <is>
          <t>Tropical Moist</t>
        </is>
      </c>
      <c r="B1881" s="41" t="n">
        <v>2.4</v>
      </c>
      <c r="C1881" s="41">
        <f>AVERAGE(3.3,1.2)</f>
        <v/>
      </c>
      <c r="D1881" s="41" t="n">
        <v>5</v>
      </c>
      <c r="E1881" s="41" t="n">
        <v>5</v>
      </c>
      <c r="F1881" s="41" t="n">
        <v>0.4</v>
      </c>
      <c r="G1881" s="41" t="n">
        <v>5</v>
      </c>
      <c r="H1881" s="41" t="n"/>
      <c r="I1881" s="41" t="n"/>
      <c r="J1881" s="41" t="n"/>
      <c r="K1881" s="467" t="n">
        <v>3.6</v>
      </c>
      <c r="L1881" s="453" t="n"/>
      <c r="M1881" s="453" t="n"/>
      <c r="N1881" s="453" t="n"/>
      <c r="O1881" s="453" t="n"/>
      <c r="P1881" s="1617" t="n"/>
      <c r="Q1881" s="453" t="n"/>
      <c r="R1881" s="453" t="n"/>
      <c r="S1881" s="453" t="n"/>
      <c r="T1881" s="453" t="n"/>
      <c r="U1881" s="453" t="n"/>
      <c r="V1881" s="453" t="n"/>
      <c r="W1881" s="453" t="n"/>
    </row>
    <row r="1882" customFormat="1" s="21">
      <c r="A1882" s="20" t="inlineStr">
        <is>
          <t>Tropical Wet</t>
        </is>
      </c>
      <c r="B1882" s="41" t="n">
        <v>2.4</v>
      </c>
      <c r="C1882" s="41">
        <f>AVERAGE(3.3,1.2)</f>
        <v/>
      </c>
      <c r="D1882" s="41" t="n">
        <v>5</v>
      </c>
      <c r="E1882" s="41" t="n">
        <v>5</v>
      </c>
      <c r="F1882" s="41" t="n">
        <v>0.4</v>
      </c>
      <c r="G1882" s="41" t="n">
        <v>5</v>
      </c>
      <c r="H1882" s="41" t="n"/>
      <c r="I1882" s="41" t="n"/>
      <c r="J1882" s="41" t="n"/>
      <c r="K1882" s="467" t="n">
        <v>3.6</v>
      </c>
      <c r="L1882" s="453" t="n"/>
      <c r="M1882" s="453" t="n"/>
      <c r="N1882" s="453" t="n"/>
      <c r="O1882" s="453" t="n"/>
      <c r="P1882" s="1617" t="n"/>
      <c r="Q1882" s="453" t="n"/>
      <c r="R1882" s="453" t="n"/>
      <c r="S1882" s="453" t="n"/>
      <c r="T1882" s="453" t="n"/>
      <c r="U1882" s="453" t="n"/>
      <c r="V1882" s="453" t="n"/>
      <c r="W1882" s="453" t="n"/>
    </row>
    <row r="1883" customFormat="1" s="292">
      <c r="A1883" s="37" t="inlineStr">
        <is>
          <t>Tropical Montane</t>
        </is>
      </c>
      <c r="B1883" s="42" t="n">
        <v>2.4</v>
      </c>
      <c r="C1883" s="42">
        <f>AVERAGE(3.3,1.2)</f>
        <v/>
      </c>
      <c r="D1883" s="42" t="n">
        <v>5</v>
      </c>
      <c r="E1883" s="42" t="n">
        <v>5</v>
      </c>
      <c r="F1883" s="42" t="n">
        <v>0.4</v>
      </c>
      <c r="G1883" s="42" t="n">
        <v>5</v>
      </c>
      <c r="H1883" s="42" t="n"/>
      <c r="I1883" s="42" t="n"/>
      <c r="J1883" s="42" t="n"/>
      <c r="K1883" s="654" t="n">
        <v>3.6</v>
      </c>
      <c r="L1883" s="1074" t="n"/>
      <c r="M1883" s="1074" t="n"/>
      <c r="N1883" s="1074" t="n"/>
      <c r="O1883" s="1074" t="n"/>
      <c r="P1883" s="1618" t="n"/>
      <c r="Q1883" s="1074" t="n"/>
      <c r="R1883" s="1074" t="n"/>
      <c r="S1883" s="1074" t="n"/>
      <c r="T1883" s="1074" t="n"/>
      <c r="U1883" s="1074" t="n"/>
      <c r="V1883" s="1074" t="n"/>
      <c r="W1883" s="1074" t="n"/>
    </row>
    <row r="1884" customFormat="1" s="292">
      <c r="A1884" s="1073" t="inlineStr">
        <is>
          <t xml:space="preserve">Notes </t>
        </is>
      </c>
    </row>
    <row r="1885" customFormat="1" s="292"/>
    <row r="1886" customFormat="1" s="535">
      <c r="A1886" s="516" t="n"/>
    </row>
    <row r="1888" customFormat="1" s="125">
      <c r="A1888" s="377" t="inlineStr">
        <is>
          <t>Emissions factors for N2O on site on drained organic soils  IPCC 2013</t>
        </is>
      </c>
      <c r="D1888" s="1075" t="n"/>
      <c r="E1888" s="1076" t="n"/>
      <c r="F1888" s="1076" t="n"/>
      <c r="G1888" s="1076" t="n"/>
      <c r="H1888" s="1076" t="n"/>
      <c r="I1888" s="1076" t="n"/>
    </row>
    <row r="1889" ht="16.25" customFormat="1" customHeight="1" s="773">
      <c r="A1889" s="753" t="inlineStr">
        <is>
          <t>NUTRIENT RICH</t>
        </is>
      </c>
      <c r="B1889" s="442" t="inlineStr">
        <is>
          <t>Table 2.5</t>
        </is>
      </c>
      <c r="C1889" s="442" t="inlineStr">
        <is>
          <t>Table 2.5</t>
        </is>
      </c>
      <c r="D1889" s="442" t="inlineStr">
        <is>
          <t>Table 2.5</t>
        </is>
      </c>
      <c r="E1889" s="442" t="inlineStr">
        <is>
          <t>Table 2.5</t>
        </is>
      </c>
      <c r="F1889" s="442" t="inlineStr">
        <is>
          <t>Table 2.5</t>
        </is>
      </c>
      <c r="G1889" s="442" t="inlineStr">
        <is>
          <t>Table 2.5</t>
        </is>
      </c>
      <c r="H1889" s="442" t="n"/>
      <c r="I1889" s="442" t="n"/>
      <c r="J1889" s="442" t="n"/>
      <c r="K1889" s="442" t="n"/>
      <c r="L1889" s="442" t="n"/>
      <c r="M1889" s="442" t="n"/>
      <c r="N1889" s="442" t="n"/>
      <c r="O1889" s="442" t="n"/>
      <c r="P1889" s="532" t="n"/>
      <c r="Q1889" s="442" t="n"/>
      <c r="R1889" s="442" t="n"/>
      <c r="S1889" s="442" t="n"/>
      <c r="T1889" s="442" t="n"/>
      <c r="U1889" s="442" t="n"/>
      <c r="V1889" s="442" t="n"/>
      <c r="W1889" s="442" t="n"/>
    </row>
    <row r="1890" ht="16" customFormat="1" customHeight="1" s="291">
      <c r="A1890" s="293" t="inlineStr">
        <is>
          <t>IPCC Climate Region</t>
        </is>
      </c>
      <c r="B1890" s="426" t="inlineStr">
        <is>
          <t>Forest</t>
        </is>
      </c>
      <c r="C1890" s="426" t="inlineStr">
        <is>
          <t>Plantation</t>
        </is>
      </c>
      <c r="D1890" s="426" t="inlineStr">
        <is>
          <t>Annual</t>
        </is>
      </c>
      <c r="E1890" s="426" t="inlineStr">
        <is>
          <t>Perennial</t>
        </is>
      </c>
      <c r="F1890" s="426" t="inlineStr">
        <is>
          <t>Flooded rice</t>
        </is>
      </c>
      <c r="G1890" s="426" t="inlineStr">
        <is>
          <t>Grassland</t>
        </is>
      </c>
      <c r="H1890" s="426" t="inlineStr">
        <is>
          <t>Settlement</t>
        </is>
      </c>
      <c r="I1890" s="426" t="inlineStr">
        <is>
          <t>Other land</t>
        </is>
      </c>
      <c r="J1890" s="426" t="inlineStr">
        <is>
          <t>Degraded land</t>
        </is>
      </c>
      <c r="K1890" s="31" t="inlineStr">
        <is>
          <t>Peat extraction</t>
        </is>
      </c>
      <c r="L1890" s="453" t="n"/>
      <c r="M1890" s="453" t="n"/>
      <c r="N1890" s="453" t="n"/>
      <c r="O1890" s="453" t="n"/>
      <c r="P1890" s="1616" t="n"/>
      <c r="Q1890" s="453" t="n"/>
      <c r="R1890" s="453" t="n"/>
      <c r="S1890" s="453" t="n"/>
      <c r="T1890" s="453" t="n"/>
      <c r="U1890" s="453" t="n"/>
      <c r="V1890" s="453" t="n"/>
      <c r="W1890" s="453" t="n"/>
      <c r="X1890" s="21" t="n"/>
      <c r="Y1890" s="21" t="n"/>
    </row>
    <row r="1891" customFormat="1" s="21">
      <c r="A1891" s="255" t="inlineStr">
        <is>
          <t>Please select</t>
        </is>
      </c>
      <c r="B1891" s="426" t="inlineStr">
        <is>
          <t>kg N2O-N/ha/yr</t>
        </is>
      </c>
      <c r="C1891" s="426" t="inlineStr">
        <is>
          <t>kg N2O-N/ha/yr</t>
        </is>
      </c>
      <c r="D1891" s="426" t="inlineStr">
        <is>
          <t>kg N2O-N/ha/yr</t>
        </is>
      </c>
      <c r="E1891" s="426" t="inlineStr">
        <is>
          <t>kg N2O-N/ha/yr</t>
        </is>
      </c>
      <c r="F1891" s="426" t="inlineStr">
        <is>
          <t>kg N2O-N/ha/yr</t>
        </is>
      </c>
      <c r="G1891" s="426" t="inlineStr">
        <is>
          <t>kg N2O-N/ha/yr</t>
        </is>
      </c>
      <c r="H1891" s="426" t="inlineStr">
        <is>
          <t>kg N2O-N/ha/yr</t>
        </is>
      </c>
      <c r="I1891" s="426" t="inlineStr">
        <is>
          <t>kg N2O-N/ha/yr</t>
        </is>
      </c>
      <c r="J1891" s="426" t="inlineStr">
        <is>
          <t>kg N2O-N/ha/yr</t>
        </is>
      </c>
      <c r="K1891" s="426" t="inlineStr">
        <is>
          <t>kg N2O-N/ha/yr</t>
        </is>
      </c>
      <c r="L1891" s="453" t="n"/>
      <c r="M1891" s="453" t="n"/>
      <c r="N1891" s="453" t="n"/>
      <c r="O1891" s="453" t="n"/>
      <c r="P1891" s="453" t="n"/>
      <c r="Q1891" s="453" t="n"/>
      <c r="R1891" s="453" t="n"/>
      <c r="S1891" s="453" t="n"/>
      <c r="T1891" s="453" t="n"/>
      <c r="U1891" s="453" t="n"/>
      <c r="V1891" s="453" t="n"/>
      <c r="W1891" s="453" t="n"/>
    </row>
    <row r="1892" customFormat="1" s="21">
      <c r="A1892" s="20" t="inlineStr">
        <is>
          <t>Boreal Dry</t>
        </is>
      </c>
      <c r="B1892" s="41" t="n">
        <v>3.2</v>
      </c>
      <c r="C1892" s="41">
        <f>B1892</f>
        <v/>
      </c>
      <c r="D1892" s="41" t="n">
        <v>13</v>
      </c>
      <c r="E1892" s="41" t="n">
        <v>13</v>
      </c>
      <c r="F1892" s="41" t="n">
        <v>0</v>
      </c>
      <c r="G1892" s="41" t="n">
        <v>9.5</v>
      </c>
      <c r="H1892" s="41" t="n"/>
      <c r="I1892" s="41" t="n"/>
      <c r="J1892" s="41" t="n"/>
      <c r="K1892" s="470" t="n">
        <v>0.3</v>
      </c>
      <c r="L1892" s="453" t="n"/>
      <c r="M1892" s="453" t="n"/>
      <c r="N1892" s="453" t="n"/>
      <c r="O1892" s="453" t="n"/>
      <c r="P1892" s="1617" t="n"/>
      <c r="Q1892" s="453" t="n"/>
      <c r="R1892" s="453" t="n"/>
      <c r="S1892" s="453" t="n"/>
      <c r="T1892" s="453" t="n"/>
      <c r="U1892" s="453" t="n"/>
      <c r="V1892" s="453" t="n"/>
      <c r="W1892" s="453" t="n"/>
    </row>
    <row r="1893" customFormat="1" s="21">
      <c r="A1893" s="20" t="inlineStr">
        <is>
          <t>Boreal Moist</t>
        </is>
      </c>
      <c r="B1893" s="41" t="n">
        <v>3.2</v>
      </c>
      <c r="C1893" s="41">
        <f>B1893</f>
        <v/>
      </c>
      <c r="D1893" s="41" t="n">
        <v>13</v>
      </c>
      <c r="E1893" s="41" t="n">
        <v>13</v>
      </c>
      <c r="F1893" s="41" t="n">
        <v>0</v>
      </c>
      <c r="G1893" s="41" t="n">
        <v>9.5</v>
      </c>
      <c r="H1893" s="41" t="n"/>
      <c r="I1893" s="41" t="n"/>
      <c r="J1893" s="41" t="n"/>
      <c r="K1893" s="467" t="n">
        <v>0.3</v>
      </c>
      <c r="L1893" s="453" t="n"/>
      <c r="M1893" s="453" t="n"/>
      <c r="N1893" s="453" t="n"/>
      <c r="O1893" s="453" t="n"/>
      <c r="P1893" s="1617" t="n"/>
      <c r="Q1893" s="453" t="n"/>
      <c r="R1893" s="453" t="n"/>
      <c r="S1893" s="453" t="n"/>
      <c r="T1893" s="453" t="n"/>
      <c r="U1893" s="453" t="n"/>
      <c r="V1893" s="453" t="n"/>
      <c r="W1893" s="453" t="n"/>
    </row>
    <row r="1894" customFormat="1" s="21">
      <c r="A1894" s="20" t="inlineStr">
        <is>
          <t>Cool Temperate Dry</t>
        </is>
      </c>
      <c r="B1894" s="41" t="n">
        <v>2.8</v>
      </c>
      <c r="C1894" s="41">
        <f>B1894</f>
        <v/>
      </c>
      <c r="D1894" s="41" t="n">
        <v>13</v>
      </c>
      <c r="E1894" s="41" t="n">
        <v>13</v>
      </c>
      <c r="F1894" s="41" t="n">
        <v>0</v>
      </c>
      <c r="G1894" s="41">
        <f>AVERAGE(8.2,1.6)</f>
        <v/>
      </c>
      <c r="H1894" s="41" t="n"/>
      <c r="I1894" s="41" t="n"/>
      <c r="J1894" s="41" t="n"/>
      <c r="K1894" s="467" t="n">
        <v>0.3</v>
      </c>
      <c r="L1894" s="453" t="n"/>
      <c r="M1894" s="453" t="n"/>
      <c r="N1894" s="453" t="n"/>
      <c r="O1894" s="453" t="n"/>
      <c r="P1894" s="1617" t="n"/>
      <c r="Q1894" s="453" t="n"/>
      <c r="R1894" s="453" t="n"/>
      <c r="S1894" s="453" t="n"/>
      <c r="T1894" s="453" t="n"/>
      <c r="U1894" s="453" t="n"/>
      <c r="V1894" s="453" t="n"/>
      <c r="W1894" s="453" t="n"/>
    </row>
    <row r="1895" customFormat="1" s="21">
      <c r="A1895" s="20" t="inlineStr">
        <is>
          <t>Cool Temperate Moist</t>
        </is>
      </c>
      <c r="B1895" s="41" t="n">
        <v>2.8</v>
      </c>
      <c r="C1895" s="41">
        <f>B1895</f>
        <v/>
      </c>
      <c r="D1895" s="41" t="n">
        <v>13</v>
      </c>
      <c r="E1895" s="41" t="n">
        <v>13</v>
      </c>
      <c r="F1895" s="41" t="n">
        <v>0</v>
      </c>
      <c r="G1895" s="41">
        <f>AVERAGE(8.2,1.6)</f>
        <v/>
      </c>
      <c r="H1895" s="41" t="n"/>
      <c r="I1895" s="41" t="n"/>
      <c r="J1895" s="41" t="n"/>
      <c r="K1895" s="467" t="n">
        <v>0.3</v>
      </c>
      <c r="L1895" s="453" t="n"/>
      <c r="M1895" s="453" t="n"/>
      <c r="N1895" s="453" t="n"/>
      <c r="O1895" s="453" t="n"/>
      <c r="P1895" s="1617" t="n"/>
      <c r="Q1895" s="453" t="n"/>
      <c r="R1895" s="453" t="n"/>
      <c r="S1895" s="453" t="n"/>
      <c r="T1895" s="453" t="n"/>
      <c r="U1895" s="453" t="n"/>
      <c r="V1895" s="453" t="n"/>
      <c r="W1895" s="453" t="n"/>
    </row>
    <row r="1896" customFormat="1" s="21">
      <c r="A1896" s="20" t="inlineStr">
        <is>
          <t>Warm Temperate Dry</t>
        </is>
      </c>
      <c r="B1896" s="41" t="n">
        <v>2.8</v>
      </c>
      <c r="C1896" s="41">
        <f>B1896</f>
        <v/>
      </c>
      <c r="D1896" s="41" t="n">
        <v>13</v>
      </c>
      <c r="E1896" s="41" t="n">
        <v>13</v>
      </c>
      <c r="F1896" s="41" t="n">
        <v>0</v>
      </c>
      <c r="G1896" s="41">
        <f>AVERAGE(8.2,1.6)</f>
        <v/>
      </c>
      <c r="H1896" s="41" t="n"/>
      <c r="I1896" s="41" t="n"/>
      <c r="J1896" s="41" t="n"/>
      <c r="K1896" s="467" t="n">
        <v>0.3</v>
      </c>
      <c r="L1896" s="453" t="n"/>
      <c r="M1896" s="453" t="n"/>
      <c r="N1896" s="453" t="n"/>
      <c r="O1896" s="453" t="n"/>
      <c r="P1896" s="1617" t="n"/>
      <c r="Q1896" s="453" t="n"/>
      <c r="R1896" s="453" t="n"/>
      <c r="S1896" s="453" t="n"/>
      <c r="T1896" s="453" t="n"/>
      <c r="U1896" s="453" t="n"/>
      <c r="V1896" s="453" t="n"/>
      <c r="W1896" s="453" t="n"/>
    </row>
    <row r="1897" customFormat="1" s="21">
      <c r="A1897" s="20" t="inlineStr">
        <is>
          <t>Warm Temperate Moist</t>
        </is>
      </c>
      <c r="B1897" s="41" t="n">
        <v>2.8</v>
      </c>
      <c r="C1897" s="41">
        <f>B1897</f>
        <v/>
      </c>
      <c r="D1897" s="41" t="n">
        <v>13</v>
      </c>
      <c r="E1897" s="41" t="n">
        <v>13</v>
      </c>
      <c r="F1897" s="41" t="n">
        <v>0</v>
      </c>
      <c r="G1897" s="41">
        <f>AVERAGE(8.2,1.6)</f>
        <v/>
      </c>
      <c r="H1897" s="41" t="n"/>
      <c r="I1897" s="41" t="n"/>
      <c r="J1897" s="41" t="n"/>
      <c r="K1897" s="467" t="n">
        <v>0.3</v>
      </c>
      <c r="L1897" s="453" t="n"/>
      <c r="M1897" s="453" t="n"/>
      <c r="N1897" s="453" t="n"/>
      <c r="O1897" s="453" t="n"/>
      <c r="P1897" s="1617" t="n"/>
      <c r="Q1897" s="453" t="n"/>
      <c r="R1897" s="453" t="n"/>
      <c r="S1897" s="453" t="n"/>
      <c r="T1897" s="453" t="n"/>
      <c r="U1897" s="453" t="n"/>
      <c r="V1897" s="453" t="n"/>
      <c r="W1897" s="453" t="n"/>
    </row>
    <row r="1898" customFormat="1" s="21">
      <c r="A1898" s="20" t="inlineStr">
        <is>
          <t>Tropical Dry</t>
        </is>
      </c>
      <c r="B1898" s="41" t="n">
        <v>2.4</v>
      </c>
      <c r="C1898" s="41">
        <f>AVERAGE(3.3,1.2)</f>
        <v/>
      </c>
      <c r="D1898" s="41" t="n">
        <v>5</v>
      </c>
      <c r="E1898" s="41" t="n">
        <v>5</v>
      </c>
      <c r="F1898" s="41" t="n">
        <v>0.4</v>
      </c>
      <c r="G1898" s="41" t="n">
        <v>5</v>
      </c>
      <c r="H1898" s="41" t="n"/>
      <c r="I1898" s="41" t="n"/>
      <c r="J1898" s="41" t="n"/>
      <c r="K1898" s="467" t="n">
        <v>3.6</v>
      </c>
      <c r="L1898" s="453" t="n"/>
      <c r="M1898" s="453" t="n"/>
      <c r="N1898" s="453" t="n"/>
      <c r="O1898" s="453" t="n"/>
      <c r="P1898" s="1617" t="n"/>
      <c r="Q1898" s="453" t="n"/>
      <c r="R1898" s="453" t="n"/>
      <c r="S1898" s="453" t="n"/>
      <c r="T1898" s="453" t="n"/>
      <c r="U1898" s="453" t="n"/>
      <c r="V1898" s="453" t="n"/>
      <c r="W1898" s="453" t="n"/>
    </row>
    <row r="1899" customFormat="1" s="21">
      <c r="A1899" s="20" t="inlineStr">
        <is>
          <t>Tropical Moist</t>
        </is>
      </c>
      <c r="B1899" s="41" t="n">
        <v>2.4</v>
      </c>
      <c r="C1899" s="41">
        <f>AVERAGE(3.3,1.2)</f>
        <v/>
      </c>
      <c r="D1899" s="41" t="n">
        <v>5</v>
      </c>
      <c r="E1899" s="41" t="n">
        <v>5</v>
      </c>
      <c r="F1899" s="41" t="n">
        <v>0.4</v>
      </c>
      <c r="G1899" s="41" t="n">
        <v>5</v>
      </c>
      <c r="H1899" s="41" t="n"/>
      <c r="I1899" s="41" t="n"/>
      <c r="J1899" s="41" t="n"/>
      <c r="K1899" s="467" t="n">
        <v>3.6</v>
      </c>
      <c r="L1899" s="453" t="n"/>
      <c r="M1899" s="453" t="n"/>
      <c r="N1899" s="453" t="n"/>
      <c r="O1899" s="453" t="n"/>
      <c r="P1899" s="1617" t="n"/>
      <c r="Q1899" s="453" t="n"/>
      <c r="R1899" s="453" t="n"/>
      <c r="S1899" s="453" t="n"/>
      <c r="T1899" s="453" t="n"/>
      <c r="U1899" s="453" t="n"/>
      <c r="V1899" s="453" t="n"/>
      <c r="W1899" s="453" t="n"/>
    </row>
    <row r="1900" customFormat="1" s="21">
      <c r="A1900" s="20" t="inlineStr">
        <is>
          <t>Tropical Wet</t>
        </is>
      </c>
      <c r="B1900" s="41" t="n">
        <v>2.4</v>
      </c>
      <c r="C1900" s="41">
        <f>AVERAGE(3.3,1.2)</f>
        <v/>
      </c>
      <c r="D1900" s="41" t="n">
        <v>5</v>
      </c>
      <c r="E1900" s="41" t="n">
        <v>5</v>
      </c>
      <c r="F1900" s="41" t="n">
        <v>0.4</v>
      </c>
      <c r="G1900" s="41" t="n">
        <v>5</v>
      </c>
      <c r="H1900" s="41" t="n"/>
      <c r="I1900" s="41" t="n"/>
      <c r="J1900" s="41" t="n"/>
      <c r="K1900" s="467" t="n">
        <v>3.6</v>
      </c>
      <c r="L1900" s="453" t="n"/>
      <c r="M1900" s="453" t="n"/>
      <c r="N1900" s="453" t="n"/>
      <c r="O1900" s="453" t="n"/>
      <c r="P1900" s="1617" t="n"/>
      <c r="Q1900" s="453" t="n"/>
      <c r="R1900" s="453" t="n"/>
      <c r="S1900" s="453" t="n"/>
      <c r="T1900" s="453" t="n"/>
      <c r="U1900" s="453" t="n"/>
      <c r="V1900" s="453" t="n"/>
      <c r="W1900" s="453" t="n"/>
    </row>
    <row r="1901" customFormat="1" s="292">
      <c r="A1901" s="37" t="inlineStr">
        <is>
          <t>Tropical Montane</t>
        </is>
      </c>
      <c r="B1901" s="42" t="n">
        <v>2.4</v>
      </c>
      <c r="C1901" s="42">
        <f>AVERAGE(3.3,1.2)</f>
        <v/>
      </c>
      <c r="D1901" s="42" t="n">
        <v>5</v>
      </c>
      <c r="E1901" s="42" t="n">
        <v>5</v>
      </c>
      <c r="F1901" s="42" t="n">
        <v>0.4</v>
      </c>
      <c r="G1901" s="42" t="n">
        <v>5</v>
      </c>
      <c r="H1901" s="42" t="n"/>
      <c r="I1901" s="42" t="n"/>
      <c r="J1901" s="42" t="n"/>
      <c r="K1901" s="654" t="n">
        <v>3.6</v>
      </c>
      <c r="L1901" s="1074" t="n"/>
      <c r="M1901" s="1074" t="n"/>
      <c r="N1901" s="1074" t="n"/>
      <c r="O1901" s="1074" t="n"/>
      <c r="P1901" s="1618" t="n"/>
      <c r="Q1901" s="1074" t="n"/>
      <c r="R1901" s="1074" t="n"/>
      <c r="S1901" s="1074" t="n"/>
      <c r="T1901" s="1074" t="n"/>
      <c r="U1901" s="1074" t="n"/>
      <c r="V1901" s="1074" t="n"/>
      <c r="W1901" s="1074" t="n"/>
    </row>
    <row r="1902" customFormat="1" s="292">
      <c r="A1902" s="1073" t="inlineStr">
        <is>
          <t xml:space="preserve">Notes </t>
        </is>
      </c>
    </row>
    <row r="1903" customFormat="1" s="292">
      <c r="A1903" s="534" t="inlineStr">
        <is>
          <t>For grassland temperate EF this is the average of 2 EFS</t>
        </is>
      </c>
    </row>
    <row r="1904" customFormat="1" s="535">
      <c r="A1904" s="516" t="n"/>
    </row>
    <row r="1906" ht="24" customFormat="1" customHeight="1" s="1086">
      <c r="A1906" s="1086" t="inlineStr">
        <is>
          <t>Rewetting of organic soils</t>
        </is>
      </c>
    </row>
    <row r="1908" customFormat="1" s="125">
      <c r="A1908" s="377" t="inlineStr">
        <is>
          <t>Emissions factors for CO2 on rewetted organic soils  IPCC 2013</t>
        </is>
      </c>
      <c r="D1908" s="1075" t="n"/>
      <c r="E1908" s="1075" t="n"/>
      <c r="F1908" s="1075" t="n"/>
      <c r="G1908" s="1075" t="n"/>
      <c r="H1908" s="1075" t="n"/>
      <c r="I1908" s="1075" t="n"/>
    </row>
    <row r="1909" ht="16.25" customFormat="1" customHeight="1" s="773">
      <c r="A1909" s="753" t="inlineStr">
        <is>
          <t>NUTRIENT POOR SOIL</t>
        </is>
      </c>
      <c r="B1909" s="442" t="inlineStr">
        <is>
          <t>Table 3.1</t>
        </is>
      </c>
      <c r="C1909" s="442" t="inlineStr">
        <is>
          <t>Table 3.1</t>
        </is>
      </c>
      <c r="D1909" s="442" t="inlineStr">
        <is>
          <t>Table 3.1</t>
        </is>
      </c>
      <c r="E1909" s="442" t="inlineStr">
        <is>
          <t>Table 3.1</t>
        </is>
      </c>
      <c r="F1909" s="442" t="inlineStr">
        <is>
          <t>Table 3.1</t>
        </is>
      </c>
      <c r="G1909" s="442" t="inlineStr">
        <is>
          <t>Table 3.1</t>
        </is>
      </c>
      <c r="H1909" s="442" t="n"/>
      <c r="I1909" s="442" t="n"/>
      <c r="J1909" s="442" t="n"/>
      <c r="K1909" s="442" t="n"/>
      <c r="L1909" s="442" t="n"/>
      <c r="M1909" s="442" t="n"/>
      <c r="N1909" s="442" t="n"/>
      <c r="O1909" s="442" t="n"/>
      <c r="P1909" s="532" t="n"/>
      <c r="Q1909" s="442" t="n"/>
      <c r="R1909" s="442" t="n"/>
      <c r="S1909" s="442" t="n"/>
      <c r="T1909" s="442" t="n"/>
      <c r="U1909" s="442" t="n"/>
      <c r="V1909" s="442" t="n"/>
      <c r="W1909" s="442" t="n"/>
    </row>
    <row r="1910" customFormat="1" s="291">
      <c r="A1910" s="293" t="inlineStr">
        <is>
          <t>IPCC Climate Region</t>
        </is>
      </c>
      <c r="B1910" s="426" t="inlineStr">
        <is>
          <t>Forest</t>
        </is>
      </c>
      <c r="C1910" s="426" t="inlineStr">
        <is>
          <t>Plantation</t>
        </is>
      </c>
      <c r="D1910" s="426" t="inlineStr">
        <is>
          <t>Annual</t>
        </is>
      </c>
      <c r="E1910" s="426" t="inlineStr">
        <is>
          <t>Perennial</t>
        </is>
      </c>
      <c r="F1910" s="426" t="inlineStr">
        <is>
          <t>Flooded rice</t>
        </is>
      </c>
      <c r="G1910" s="426" t="inlineStr">
        <is>
          <t>Grassland</t>
        </is>
      </c>
      <c r="H1910" s="426" t="inlineStr">
        <is>
          <t>Settlement</t>
        </is>
      </c>
      <c r="I1910" s="426" t="inlineStr">
        <is>
          <t>Other land</t>
        </is>
      </c>
      <c r="J1910" s="426" t="inlineStr">
        <is>
          <t>Degraded land</t>
        </is>
      </c>
      <c r="K1910" s="453" t="n"/>
      <c r="L1910" s="453" t="n"/>
      <c r="M1910" s="453" t="n"/>
      <c r="N1910" s="453" t="n"/>
      <c r="O1910" s="453" t="n"/>
      <c r="P1910" s="1616" t="n"/>
      <c r="Q1910" s="453" t="n"/>
      <c r="R1910" s="453" t="n"/>
      <c r="S1910" s="453" t="n"/>
      <c r="T1910" s="453" t="n"/>
      <c r="U1910" s="453" t="n"/>
      <c r="V1910" s="453" t="n"/>
      <c r="W1910" s="453" t="n"/>
      <c r="X1910" s="21" t="n"/>
      <c r="Y1910" s="21" t="n"/>
    </row>
    <row r="1911" customFormat="1" s="21">
      <c r="A1911" s="255" t="inlineStr">
        <is>
          <t>Please select</t>
        </is>
      </c>
      <c r="B1911" s="426" t="inlineStr">
        <is>
          <t>tCO2-C/ha/yr</t>
        </is>
      </c>
      <c r="C1911" s="426" t="inlineStr">
        <is>
          <t>tCO2-C/ha/yr</t>
        </is>
      </c>
      <c r="D1911" s="426" t="inlineStr">
        <is>
          <t>tCO2-C/ha/yr</t>
        </is>
      </c>
      <c r="E1911" s="426" t="inlineStr">
        <is>
          <t>tCO2-C/ha/yr</t>
        </is>
      </c>
      <c r="F1911" s="426" t="inlineStr">
        <is>
          <t>tCO2-C/ha/yr</t>
        </is>
      </c>
      <c r="G1911" s="426" t="inlineStr">
        <is>
          <t>tCO2-C/ha/yr</t>
        </is>
      </c>
      <c r="H1911" s="426" t="inlineStr">
        <is>
          <t>tCO2-C/ha/yr</t>
        </is>
      </c>
      <c r="I1911" s="426" t="inlineStr">
        <is>
          <t>tCO2-C/ha/yr</t>
        </is>
      </c>
      <c r="J1911" s="426" t="inlineStr">
        <is>
          <t>tCO2-C/ha/yr</t>
        </is>
      </c>
      <c r="K1911" s="453" t="n"/>
      <c r="L1911" s="453" t="n"/>
      <c r="M1911" s="453" t="n"/>
      <c r="N1911" s="453" t="n"/>
      <c r="O1911" s="453" t="n"/>
      <c r="P1911" s="453" t="n"/>
      <c r="Q1911" s="453" t="n"/>
      <c r="R1911" s="453" t="n"/>
      <c r="S1911" s="453" t="n"/>
      <c r="T1911" s="453" t="n"/>
      <c r="U1911" s="453" t="n"/>
      <c r="V1911" s="453" t="n"/>
      <c r="W1911" s="453" t="n"/>
    </row>
    <row r="1912" customFormat="1" s="21">
      <c r="A1912" s="20" t="inlineStr">
        <is>
          <t>Boreal Dry</t>
        </is>
      </c>
      <c r="B1912" s="41" t="n">
        <v>-0.34</v>
      </c>
      <c r="C1912" s="41" t="n">
        <v>-0.34</v>
      </c>
      <c r="D1912" s="41" t="n">
        <v>-0.34</v>
      </c>
      <c r="E1912" s="41" t="n">
        <v>-0.34</v>
      </c>
      <c r="F1912" s="41" t="n">
        <v>-0.34</v>
      </c>
      <c r="G1912" s="41" t="n">
        <v>-0.34</v>
      </c>
      <c r="H1912" s="44" t="n">
        <v>0</v>
      </c>
      <c r="I1912" s="44" t="n">
        <v>0</v>
      </c>
      <c r="J1912" s="44" t="n">
        <v>0</v>
      </c>
      <c r="K1912" s="453" t="n"/>
      <c r="L1912" s="453" t="n"/>
      <c r="M1912" s="453" t="n"/>
      <c r="N1912" s="453" t="n"/>
      <c r="O1912" s="453" t="n"/>
      <c r="P1912" s="1617" t="n"/>
      <c r="Q1912" s="453" t="n"/>
      <c r="R1912" s="453" t="n"/>
      <c r="S1912" s="453" t="n"/>
      <c r="T1912" s="453" t="n"/>
      <c r="U1912" s="453" t="n"/>
      <c r="V1912" s="453" t="n"/>
      <c r="W1912" s="453" t="n"/>
    </row>
    <row r="1913" customFormat="1" s="21">
      <c r="A1913" s="20" t="inlineStr">
        <is>
          <t>Boreal Moist</t>
        </is>
      </c>
      <c r="B1913" s="41" t="n">
        <v>-0.34</v>
      </c>
      <c r="C1913" s="41" t="n">
        <v>-0.34</v>
      </c>
      <c r="D1913" s="41" t="n">
        <v>-0.34</v>
      </c>
      <c r="E1913" s="41" t="n">
        <v>-0.34</v>
      </c>
      <c r="F1913" s="41" t="n">
        <v>-0.34</v>
      </c>
      <c r="G1913" s="41" t="n">
        <v>-0.34</v>
      </c>
      <c r="H1913" s="41" t="n">
        <v>0</v>
      </c>
      <c r="I1913" s="41" t="n">
        <v>0</v>
      </c>
      <c r="J1913" s="41" t="n">
        <v>0</v>
      </c>
      <c r="K1913" s="453" t="n"/>
      <c r="L1913" s="453" t="n"/>
      <c r="M1913" s="453" t="n"/>
      <c r="N1913" s="453" t="n"/>
      <c r="O1913" s="453" t="n"/>
      <c r="P1913" s="1617" t="n"/>
      <c r="Q1913" s="453" t="n"/>
      <c r="R1913" s="453" t="n"/>
      <c r="S1913" s="453" t="n"/>
      <c r="T1913" s="453" t="n"/>
      <c r="U1913" s="453" t="n"/>
      <c r="V1913" s="453" t="n"/>
      <c r="W1913" s="453" t="n"/>
    </row>
    <row r="1914" customFormat="1" s="21">
      <c r="A1914" s="20" t="inlineStr">
        <is>
          <t>Cool Temperate Dry</t>
        </is>
      </c>
      <c r="B1914" s="41" t="n">
        <v>-0.23</v>
      </c>
      <c r="C1914" s="41" t="n">
        <v>-0.23</v>
      </c>
      <c r="D1914" s="41" t="n">
        <v>-0.23</v>
      </c>
      <c r="E1914" s="41" t="n">
        <v>-0.23</v>
      </c>
      <c r="F1914" s="41" t="n">
        <v>-0.23</v>
      </c>
      <c r="G1914" s="41" t="n">
        <v>-0.23</v>
      </c>
      <c r="H1914" s="41" t="n">
        <v>0</v>
      </c>
      <c r="I1914" s="41" t="n">
        <v>0</v>
      </c>
      <c r="J1914" s="41" t="n">
        <v>0</v>
      </c>
      <c r="K1914" s="453" t="n"/>
      <c r="L1914" s="453" t="n"/>
      <c r="M1914" s="453" t="n"/>
      <c r="N1914" s="453" t="n"/>
      <c r="O1914" s="453" t="n"/>
      <c r="P1914" s="1617" t="n"/>
      <c r="Q1914" s="453" t="n"/>
      <c r="R1914" s="453" t="n"/>
      <c r="S1914" s="453" t="n"/>
      <c r="T1914" s="453" t="n"/>
      <c r="U1914" s="453" t="n"/>
      <c r="V1914" s="453" t="n"/>
      <c r="W1914" s="453" t="n"/>
    </row>
    <row r="1915" customFormat="1" s="21">
      <c r="A1915" s="20" t="inlineStr">
        <is>
          <t>Cool Temperate Moist</t>
        </is>
      </c>
      <c r="B1915" s="41" t="n">
        <v>-0.23</v>
      </c>
      <c r="C1915" s="41" t="n">
        <v>-0.23</v>
      </c>
      <c r="D1915" s="41" t="n">
        <v>-0.23</v>
      </c>
      <c r="E1915" s="41" t="n">
        <v>-0.23</v>
      </c>
      <c r="F1915" s="41" t="n">
        <v>-0.23</v>
      </c>
      <c r="G1915" s="41" t="n">
        <v>-0.23</v>
      </c>
      <c r="H1915" s="41" t="n">
        <v>0</v>
      </c>
      <c r="I1915" s="41" t="n">
        <v>0</v>
      </c>
      <c r="J1915" s="41" t="n">
        <v>0</v>
      </c>
      <c r="K1915" s="453" t="n"/>
      <c r="L1915" s="453" t="n"/>
      <c r="M1915" s="453" t="n"/>
      <c r="N1915" s="453" t="n"/>
      <c r="O1915" s="453" t="n"/>
      <c r="P1915" s="1617" t="n"/>
      <c r="Q1915" s="453" t="n"/>
      <c r="R1915" s="453" t="n"/>
      <c r="S1915" s="453" t="n"/>
      <c r="T1915" s="453" t="n"/>
      <c r="U1915" s="453" t="n"/>
      <c r="V1915" s="453" t="n"/>
      <c r="W1915" s="453" t="n"/>
    </row>
    <row r="1916" customFormat="1" s="21">
      <c r="A1916" s="20" t="inlineStr">
        <is>
          <t>Warm Temperate Dry</t>
        </is>
      </c>
      <c r="B1916" s="41" t="n">
        <v>-0.23</v>
      </c>
      <c r="C1916" s="41" t="n">
        <v>-0.23</v>
      </c>
      <c r="D1916" s="41" t="n">
        <v>-0.23</v>
      </c>
      <c r="E1916" s="41" t="n">
        <v>-0.23</v>
      </c>
      <c r="F1916" s="41" t="n">
        <v>-0.23</v>
      </c>
      <c r="G1916" s="41" t="n">
        <v>-0.23</v>
      </c>
      <c r="H1916" s="41" t="n">
        <v>0</v>
      </c>
      <c r="I1916" s="41" t="n">
        <v>0</v>
      </c>
      <c r="J1916" s="41" t="n">
        <v>0</v>
      </c>
      <c r="K1916" s="453" t="n"/>
      <c r="L1916" s="453" t="n"/>
      <c r="M1916" s="453" t="n"/>
      <c r="N1916" s="453" t="n"/>
      <c r="O1916" s="453" t="n"/>
      <c r="P1916" s="1617" t="n"/>
      <c r="Q1916" s="453" t="n"/>
      <c r="R1916" s="453" t="n"/>
      <c r="S1916" s="453" t="n"/>
      <c r="T1916" s="453" t="n"/>
      <c r="U1916" s="453" t="n"/>
      <c r="V1916" s="453" t="n"/>
      <c r="W1916" s="453" t="n"/>
    </row>
    <row r="1917" customFormat="1" s="21">
      <c r="A1917" s="20" t="inlineStr">
        <is>
          <t>Warm Temperate Moist</t>
        </is>
      </c>
      <c r="B1917" s="41" t="n">
        <v>-0.23</v>
      </c>
      <c r="C1917" s="41" t="n">
        <v>-0.23</v>
      </c>
      <c r="D1917" s="41" t="n">
        <v>-0.23</v>
      </c>
      <c r="E1917" s="41" t="n">
        <v>-0.23</v>
      </c>
      <c r="F1917" s="41" t="n">
        <v>-0.23</v>
      </c>
      <c r="G1917" s="41" t="n">
        <v>-0.23</v>
      </c>
      <c r="H1917" s="41" t="n">
        <v>0</v>
      </c>
      <c r="I1917" s="41" t="n">
        <v>0</v>
      </c>
      <c r="J1917" s="41" t="n">
        <v>0</v>
      </c>
      <c r="K1917" s="453" t="n"/>
      <c r="L1917" s="453" t="n"/>
      <c r="M1917" s="453" t="n"/>
      <c r="N1917" s="453" t="n"/>
      <c r="O1917" s="453" t="n"/>
      <c r="P1917" s="1617" t="n"/>
      <c r="Q1917" s="453" t="n"/>
      <c r="R1917" s="453" t="n"/>
      <c r="S1917" s="453" t="n"/>
      <c r="T1917" s="453" t="n"/>
      <c r="U1917" s="453" t="n"/>
      <c r="V1917" s="453" t="n"/>
      <c r="W1917" s="453" t="n"/>
    </row>
    <row r="1918" customFormat="1" s="21">
      <c r="A1918" s="20" t="inlineStr">
        <is>
          <t>Tropical Dry</t>
        </is>
      </c>
      <c r="B1918" s="41" t="n">
        <v>0</v>
      </c>
      <c r="C1918" s="41" t="n">
        <v>0</v>
      </c>
      <c r="D1918" s="41" t="n">
        <v>0</v>
      </c>
      <c r="E1918" s="41" t="n">
        <v>0</v>
      </c>
      <c r="F1918" s="41" t="n">
        <v>0</v>
      </c>
      <c r="G1918" s="41" t="n">
        <v>0</v>
      </c>
      <c r="H1918" s="41" t="n">
        <v>0</v>
      </c>
      <c r="I1918" s="41" t="n">
        <v>0</v>
      </c>
      <c r="J1918" s="41" t="n">
        <v>0</v>
      </c>
      <c r="K1918" s="453" t="n"/>
      <c r="L1918" s="453" t="n"/>
      <c r="M1918" s="453" t="n"/>
      <c r="N1918" s="453" t="n"/>
      <c r="O1918" s="453" t="n"/>
      <c r="P1918" s="1617" t="n"/>
      <c r="Q1918" s="453" t="n"/>
      <c r="R1918" s="453" t="n"/>
      <c r="S1918" s="453" t="n"/>
      <c r="T1918" s="453" t="n"/>
      <c r="U1918" s="453" t="n"/>
      <c r="V1918" s="453" t="n"/>
      <c r="W1918" s="453" t="n"/>
    </row>
    <row r="1919" customFormat="1" s="21">
      <c r="A1919" s="20" t="inlineStr">
        <is>
          <t>Tropical Moist</t>
        </is>
      </c>
      <c r="B1919" s="41" t="n">
        <v>0</v>
      </c>
      <c r="C1919" s="41" t="n">
        <v>0</v>
      </c>
      <c r="D1919" s="41" t="n">
        <v>0</v>
      </c>
      <c r="E1919" s="41" t="n">
        <v>0</v>
      </c>
      <c r="F1919" s="41" t="n">
        <v>0</v>
      </c>
      <c r="G1919" s="41" t="n">
        <v>0</v>
      </c>
      <c r="H1919" s="41" t="n">
        <v>0</v>
      </c>
      <c r="I1919" s="41" t="n">
        <v>0</v>
      </c>
      <c r="J1919" s="41" t="n">
        <v>0</v>
      </c>
      <c r="K1919" s="453" t="n"/>
      <c r="L1919" s="453" t="n"/>
      <c r="M1919" s="453" t="n"/>
      <c r="N1919" s="453" t="n"/>
      <c r="O1919" s="453" t="n"/>
      <c r="P1919" s="1617" t="n"/>
      <c r="Q1919" s="453" t="n"/>
      <c r="R1919" s="453" t="n"/>
      <c r="S1919" s="453" t="n"/>
      <c r="T1919" s="453" t="n"/>
      <c r="U1919" s="453" t="n"/>
      <c r="V1919" s="453" t="n"/>
      <c r="W1919" s="453" t="n"/>
    </row>
    <row r="1920" customFormat="1" s="21">
      <c r="A1920" s="20" t="inlineStr">
        <is>
          <t>Tropical Wet</t>
        </is>
      </c>
      <c r="B1920" s="41" t="n">
        <v>0</v>
      </c>
      <c r="C1920" s="41" t="n">
        <v>0</v>
      </c>
      <c r="D1920" s="41" t="n">
        <v>0</v>
      </c>
      <c r="E1920" s="41" t="n">
        <v>0</v>
      </c>
      <c r="F1920" s="41" t="n">
        <v>0</v>
      </c>
      <c r="G1920" s="41" t="n">
        <v>0</v>
      </c>
      <c r="H1920" s="41" t="n">
        <v>0</v>
      </c>
      <c r="I1920" s="41" t="n">
        <v>0</v>
      </c>
      <c r="J1920" s="41" t="n">
        <v>0</v>
      </c>
      <c r="K1920" s="453" t="n"/>
      <c r="L1920" s="453" t="n"/>
      <c r="M1920" s="453" t="n"/>
      <c r="N1920" s="453" t="n"/>
      <c r="O1920" s="453" t="n"/>
      <c r="P1920" s="1617" t="n"/>
      <c r="Q1920" s="453" t="n"/>
      <c r="R1920" s="453" t="n"/>
      <c r="S1920" s="453" t="n"/>
      <c r="T1920" s="453" t="n"/>
      <c r="U1920" s="453" t="n"/>
      <c r="V1920" s="453" t="n"/>
      <c r="W1920" s="453" t="n"/>
    </row>
    <row r="1921" customFormat="1" s="292">
      <c r="A1921" s="37" t="inlineStr">
        <is>
          <t>Tropical Montane</t>
        </is>
      </c>
      <c r="B1921" s="42" t="n">
        <v>0</v>
      </c>
      <c r="C1921" s="42" t="n">
        <v>0</v>
      </c>
      <c r="D1921" s="42" t="n">
        <v>0</v>
      </c>
      <c r="E1921" s="42" t="n">
        <v>0</v>
      </c>
      <c r="F1921" s="42" t="n">
        <v>0</v>
      </c>
      <c r="G1921" s="42" t="n">
        <v>0</v>
      </c>
      <c r="H1921" s="42" t="n">
        <v>0</v>
      </c>
      <c r="I1921" s="42" t="n">
        <v>0</v>
      </c>
      <c r="J1921" s="42" t="n">
        <v>0</v>
      </c>
      <c r="K1921" s="1074" t="n"/>
      <c r="L1921" s="1074" t="n"/>
      <c r="M1921" s="1074" t="n"/>
      <c r="N1921" s="1074" t="n"/>
      <c r="O1921" s="1074" t="n"/>
      <c r="P1921" s="1618" t="n"/>
      <c r="Q1921" s="1074" t="n"/>
      <c r="R1921" s="1074" t="n"/>
      <c r="S1921" s="1074" t="n"/>
      <c r="T1921" s="1074" t="n"/>
      <c r="U1921" s="1074" t="n"/>
      <c r="V1921" s="1074" t="n"/>
      <c r="W1921" s="1074" t="n"/>
    </row>
    <row r="1922" customFormat="1" s="292">
      <c r="A1922" s="1073" t="inlineStr">
        <is>
          <t xml:space="preserve">Notes </t>
        </is>
      </c>
    </row>
    <row r="1923" customFormat="1" s="292"/>
    <row r="1924" customFormat="1" s="535">
      <c r="A1924" s="516" t="n"/>
    </row>
    <row r="1926" customFormat="1" s="125">
      <c r="A1926" s="377" t="inlineStr">
        <is>
          <t>Emissions factors for CO2 on rewetted organic soils  IPCC 2013</t>
        </is>
      </c>
      <c r="D1926" s="1075" t="n"/>
      <c r="E1926" s="1075" t="n"/>
      <c r="F1926" s="1075" t="n"/>
      <c r="G1926" s="1075" t="n"/>
      <c r="H1926" s="1075" t="n"/>
      <c r="I1926" s="1075" t="n"/>
    </row>
    <row r="1927" ht="16.25" customFormat="1" customHeight="1" s="773">
      <c r="A1927" s="753" t="inlineStr">
        <is>
          <t>NUTRIENT RICH SOIL</t>
        </is>
      </c>
      <c r="B1927" s="442" t="inlineStr">
        <is>
          <t>Table 3.1</t>
        </is>
      </c>
      <c r="C1927" s="442" t="inlineStr">
        <is>
          <t>Table 3.1</t>
        </is>
      </c>
      <c r="D1927" s="442" t="inlineStr">
        <is>
          <t>Table 3.1</t>
        </is>
      </c>
      <c r="E1927" s="442" t="inlineStr">
        <is>
          <t>Table 3.1</t>
        </is>
      </c>
      <c r="F1927" s="442" t="inlineStr">
        <is>
          <t>Table 3.1</t>
        </is>
      </c>
      <c r="G1927" s="442" t="inlineStr">
        <is>
          <t>Table 3.1</t>
        </is>
      </c>
      <c r="H1927" s="442" t="n"/>
      <c r="I1927" s="442" t="n"/>
      <c r="J1927" s="442" t="n"/>
      <c r="K1927" s="442" t="n"/>
      <c r="L1927" s="442" t="n"/>
      <c r="M1927" s="442" t="n"/>
      <c r="N1927" s="442" t="n"/>
      <c r="O1927" s="442" t="n"/>
      <c r="P1927" s="532" t="n"/>
      <c r="Q1927" s="442" t="n"/>
      <c r="R1927" s="442" t="n"/>
      <c r="S1927" s="442" t="n"/>
      <c r="T1927" s="442" t="n"/>
      <c r="U1927" s="442" t="n"/>
      <c r="V1927" s="442" t="n"/>
      <c r="W1927" s="442" t="n"/>
    </row>
    <row r="1928" customFormat="1" s="291">
      <c r="A1928" s="293" t="inlineStr">
        <is>
          <t>IPCC Climate Region</t>
        </is>
      </c>
      <c r="B1928" s="426" t="inlineStr">
        <is>
          <t>Forest</t>
        </is>
      </c>
      <c r="C1928" s="426" t="inlineStr">
        <is>
          <t>Plantation</t>
        </is>
      </c>
      <c r="D1928" s="426" t="inlineStr">
        <is>
          <t>Annual</t>
        </is>
      </c>
      <c r="E1928" s="426" t="inlineStr">
        <is>
          <t>Perennial</t>
        </is>
      </c>
      <c r="F1928" s="426" t="inlineStr">
        <is>
          <t>Flooded rice</t>
        </is>
      </c>
      <c r="G1928" s="426" t="inlineStr">
        <is>
          <t>Grassland</t>
        </is>
      </c>
      <c r="H1928" s="426" t="inlineStr">
        <is>
          <t>Settlement</t>
        </is>
      </c>
      <c r="I1928" s="426" t="inlineStr">
        <is>
          <t>Other land</t>
        </is>
      </c>
      <c r="J1928" s="426" t="inlineStr">
        <is>
          <t>Degraded land</t>
        </is>
      </c>
      <c r="K1928" s="453" t="n"/>
      <c r="L1928" s="453" t="n"/>
      <c r="M1928" s="453" t="n"/>
      <c r="N1928" s="453" t="n"/>
      <c r="O1928" s="453" t="n"/>
      <c r="P1928" s="1616" t="n"/>
      <c r="Q1928" s="453" t="n"/>
      <c r="R1928" s="453" t="n"/>
      <c r="S1928" s="453" t="n"/>
      <c r="T1928" s="453" t="n"/>
      <c r="U1928" s="453" t="n"/>
      <c r="V1928" s="453" t="n"/>
      <c r="W1928" s="453" t="n"/>
      <c r="X1928" s="21" t="n"/>
      <c r="Y1928" s="21" t="n"/>
    </row>
    <row r="1929" customFormat="1" s="21">
      <c r="A1929" s="255" t="inlineStr">
        <is>
          <t>Please select</t>
        </is>
      </c>
      <c r="B1929" s="426" t="inlineStr">
        <is>
          <t>tCO2-C/ha/yr</t>
        </is>
      </c>
      <c r="C1929" s="426" t="inlineStr">
        <is>
          <t>tCO2-C/ha/yr</t>
        </is>
      </c>
      <c r="D1929" s="426" t="inlineStr">
        <is>
          <t>tCO2-C/ha/yr</t>
        </is>
      </c>
      <c r="E1929" s="426" t="inlineStr">
        <is>
          <t>tCO2-C/ha/yr</t>
        </is>
      </c>
      <c r="F1929" s="426" t="inlineStr">
        <is>
          <t>tCO2-C/ha/yr</t>
        </is>
      </c>
      <c r="G1929" s="426" t="inlineStr">
        <is>
          <t>tCO2-C/ha/yr</t>
        </is>
      </c>
      <c r="H1929" s="426" t="inlineStr">
        <is>
          <t>tCO2-C/ha/yr</t>
        </is>
      </c>
      <c r="I1929" s="426" t="inlineStr">
        <is>
          <t>tCO2-C/ha/yr</t>
        </is>
      </c>
      <c r="J1929" s="426" t="inlineStr">
        <is>
          <t>tCO2-C/ha/yr</t>
        </is>
      </c>
      <c r="K1929" s="453" t="n"/>
      <c r="L1929" s="453" t="n"/>
      <c r="M1929" s="453" t="n"/>
      <c r="N1929" s="453" t="n"/>
      <c r="O1929" s="453" t="n"/>
      <c r="P1929" s="453" t="n"/>
      <c r="Q1929" s="453" t="n"/>
      <c r="R1929" s="453" t="n"/>
      <c r="S1929" s="453" t="n"/>
      <c r="T1929" s="453" t="n"/>
      <c r="U1929" s="453" t="n"/>
      <c r="V1929" s="453" t="n"/>
      <c r="W1929" s="453" t="n"/>
    </row>
    <row r="1930" customFormat="1" s="21">
      <c r="A1930" s="20" t="inlineStr">
        <is>
          <t>Boreal Dry</t>
        </is>
      </c>
      <c r="B1930" s="41" t="n">
        <v>-0.55</v>
      </c>
      <c r="C1930" s="41" t="n">
        <v>-0.55</v>
      </c>
      <c r="D1930" s="41" t="n">
        <v>-0.55</v>
      </c>
      <c r="E1930" s="41" t="n">
        <v>-0.55</v>
      </c>
      <c r="F1930" s="41" t="n">
        <v>-0.55</v>
      </c>
      <c r="G1930" s="41" t="n">
        <v>-0.55</v>
      </c>
      <c r="H1930" s="44" t="n">
        <v>0</v>
      </c>
      <c r="I1930" s="44" t="n">
        <v>0</v>
      </c>
      <c r="J1930" s="44" t="n">
        <v>0</v>
      </c>
      <c r="K1930" s="453" t="n"/>
      <c r="L1930" s="453" t="n"/>
      <c r="M1930" s="453" t="n"/>
      <c r="N1930" s="453" t="n"/>
      <c r="O1930" s="453" t="n"/>
      <c r="P1930" s="1617" t="n"/>
      <c r="Q1930" s="453" t="n"/>
      <c r="R1930" s="453" t="n"/>
      <c r="S1930" s="453" t="n"/>
      <c r="T1930" s="453" t="n"/>
      <c r="U1930" s="453" t="n"/>
      <c r="V1930" s="453" t="n"/>
      <c r="W1930" s="453" t="n"/>
    </row>
    <row r="1931" customFormat="1" s="21">
      <c r="A1931" s="20" t="inlineStr">
        <is>
          <t>Boreal Moist</t>
        </is>
      </c>
      <c r="B1931" s="41" t="n">
        <v>-0.55</v>
      </c>
      <c r="C1931" s="41" t="n">
        <v>-0.55</v>
      </c>
      <c r="D1931" s="41" t="n">
        <v>-0.55</v>
      </c>
      <c r="E1931" s="41" t="n">
        <v>-0.55</v>
      </c>
      <c r="F1931" s="41" t="n">
        <v>-0.55</v>
      </c>
      <c r="G1931" s="41" t="n">
        <v>-0.55</v>
      </c>
      <c r="H1931" s="41" t="n">
        <v>0</v>
      </c>
      <c r="I1931" s="41" t="n">
        <v>0</v>
      </c>
      <c r="J1931" s="41" t="n">
        <v>0</v>
      </c>
      <c r="K1931" s="453" t="n"/>
      <c r="L1931" s="453" t="n"/>
      <c r="M1931" s="453" t="n"/>
      <c r="N1931" s="453" t="n"/>
      <c r="O1931" s="453" t="n"/>
      <c r="P1931" s="1617" t="n"/>
      <c r="Q1931" s="453" t="n"/>
      <c r="R1931" s="453" t="n"/>
      <c r="S1931" s="453" t="n"/>
      <c r="T1931" s="453" t="n"/>
      <c r="U1931" s="453" t="n"/>
      <c r="V1931" s="453" t="n"/>
      <c r="W1931" s="453" t="n"/>
    </row>
    <row r="1932" customFormat="1" s="21">
      <c r="A1932" s="20" t="inlineStr">
        <is>
          <t>Cool Temperate Dry</t>
        </is>
      </c>
      <c r="B1932" s="41" t="n">
        <v>0.5</v>
      </c>
      <c r="C1932" s="41" t="n">
        <v>0.5</v>
      </c>
      <c r="D1932" s="41" t="n">
        <v>0.5</v>
      </c>
      <c r="E1932" s="41" t="n">
        <v>0.5</v>
      </c>
      <c r="F1932" s="41" t="n">
        <v>0.5</v>
      </c>
      <c r="G1932" s="41" t="n">
        <v>0.5</v>
      </c>
      <c r="H1932" s="41" t="n">
        <v>0</v>
      </c>
      <c r="I1932" s="41" t="n">
        <v>0</v>
      </c>
      <c r="J1932" s="41" t="n">
        <v>0</v>
      </c>
      <c r="K1932" s="453" t="n"/>
      <c r="L1932" s="453" t="n"/>
      <c r="M1932" s="453" t="n"/>
      <c r="N1932" s="453" t="n"/>
      <c r="O1932" s="453" t="n"/>
      <c r="P1932" s="1617" t="n"/>
      <c r="Q1932" s="453" t="n"/>
      <c r="R1932" s="453" t="n"/>
      <c r="S1932" s="453" t="n"/>
      <c r="T1932" s="453" t="n"/>
      <c r="U1932" s="453" t="n"/>
      <c r="V1932" s="453" t="n"/>
      <c r="W1932" s="453" t="n"/>
    </row>
    <row r="1933" customFormat="1" s="21">
      <c r="A1933" s="20" t="inlineStr">
        <is>
          <t>Cool Temperate Moist</t>
        </is>
      </c>
      <c r="B1933" s="41" t="n">
        <v>0.5</v>
      </c>
      <c r="C1933" s="41" t="n">
        <v>0.5</v>
      </c>
      <c r="D1933" s="41" t="n">
        <v>0.5</v>
      </c>
      <c r="E1933" s="41" t="n">
        <v>0.5</v>
      </c>
      <c r="F1933" s="41" t="n">
        <v>0.5</v>
      </c>
      <c r="G1933" s="41" t="n">
        <v>0.5</v>
      </c>
      <c r="H1933" s="41" t="n">
        <v>0</v>
      </c>
      <c r="I1933" s="41" t="n">
        <v>0</v>
      </c>
      <c r="J1933" s="41" t="n">
        <v>0</v>
      </c>
      <c r="K1933" s="453" t="n"/>
      <c r="L1933" s="453" t="n"/>
      <c r="M1933" s="453" t="n"/>
      <c r="N1933" s="453" t="n"/>
      <c r="O1933" s="453" t="n"/>
      <c r="P1933" s="1617" t="n"/>
      <c r="Q1933" s="453" t="n"/>
      <c r="R1933" s="453" t="n"/>
      <c r="S1933" s="453" t="n"/>
      <c r="T1933" s="453" t="n"/>
      <c r="U1933" s="453" t="n"/>
      <c r="V1933" s="453" t="n"/>
      <c r="W1933" s="453" t="n"/>
    </row>
    <row r="1934" customFormat="1" s="21">
      <c r="A1934" s="20" t="inlineStr">
        <is>
          <t>Warm Temperate Dry</t>
        </is>
      </c>
      <c r="B1934" s="41" t="n">
        <v>0.5</v>
      </c>
      <c r="C1934" s="41" t="n">
        <v>0.5</v>
      </c>
      <c r="D1934" s="41" t="n">
        <v>0.5</v>
      </c>
      <c r="E1934" s="41" t="n">
        <v>0.5</v>
      </c>
      <c r="F1934" s="41" t="n">
        <v>0.5</v>
      </c>
      <c r="G1934" s="41" t="n">
        <v>0.5</v>
      </c>
      <c r="H1934" s="41" t="n">
        <v>0</v>
      </c>
      <c r="I1934" s="41" t="n">
        <v>0</v>
      </c>
      <c r="J1934" s="41" t="n">
        <v>0</v>
      </c>
      <c r="K1934" s="453" t="n"/>
      <c r="L1934" s="453" t="n"/>
      <c r="M1934" s="453" t="n"/>
      <c r="N1934" s="453" t="n"/>
      <c r="O1934" s="453" t="n"/>
      <c r="P1934" s="1617" t="n"/>
      <c r="Q1934" s="453" t="n"/>
      <c r="R1934" s="453" t="n"/>
      <c r="S1934" s="453" t="n"/>
      <c r="T1934" s="453" t="n"/>
      <c r="U1934" s="453" t="n"/>
      <c r="V1934" s="453" t="n"/>
      <c r="W1934" s="453" t="n"/>
    </row>
    <row r="1935" customFormat="1" s="21">
      <c r="A1935" s="20" t="inlineStr">
        <is>
          <t>Warm Temperate Moist</t>
        </is>
      </c>
      <c r="B1935" s="41" t="n">
        <v>0.5</v>
      </c>
      <c r="C1935" s="41" t="n">
        <v>0.5</v>
      </c>
      <c r="D1935" s="41" t="n">
        <v>0.5</v>
      </c>
      <c r="E1935" s="41" t="n">
        <v>0.5</v>
      </c>
      <c r="F1935" s="41" t="n">
        <v>0.5</v>
      </c>
      <c r="G1935" s="41" t="n">
        <v>0.5</v>
      </c>
      <c r="H1935" s="41" t="n">
        <v>0</v>
      </c>
      <c r="I1935" s="41" t="n">
        <v>0</v>
      </c>
      <c r="J1935" s="41" t="n">
        <v>0</v>
      </c>
      <c r="K1935" s="453" t="n"/>
      <c r="L1935" s="453" t="n"/>
      <c r="M1935" s="453" t="n"/>
      <c r="N1935" s="453" t="n"/>
      <c r="O1935" s="453" t="n"/>
      <c r="P1935" s="1617" t="n"/>
      <c r="Q1935" s="453" t="n"/>
      <c r="R1935" s="453" t="n"/>
      <c r="S1935" s="453" t="n"/>
      <c r="T1935" s="453" t="n"/>
      <c r="U1935" s="453" t="n"/>
      <c r="V1935" s="453" t="n"/>
      <c r="W1935" s="453" t="n"/>
    </row>
    <row r="1936" customFormat="1" s="21">
      <c r="A1936" s="20" t="inlineStr">
        <is>
          <t>Tropical Dry</t>
        </is>
      </c>
      <c r="B1936" s="41" t="n">
        <v>0</v>
      </c>
      <c r="C1936" s="41" t="n">
        <v>0</v>
      </c>
      <c r="D1936" s="41" t="n">
        <v>0</v>
      </c>
      <c r="E1936" s="41" t="n">
        <v>0</v>
      </c>
      <c r="F1936" s="41" t="n">
        <v>0</v>
      </c>
      <c r="G1936" s="41" t="n">
        <v>0</v>
      </c>
      <c r="H1936" s="41" t="n">
        <v>0</v>
      </c>
      <c r="I1936" s="41" t="n">
        <v>0</v>
      </c>
      <c r="J1936" s="41" t="n">
        <v>0</v>
      </c>
      <c r="K1936" s="453" t="n"/>
      <c r="L1936" s="453" t="n"/>
      <c r="M1936" s="453" t="n"/>
      <c r="N1936" s="453" t="n"/>
      <c r="O1936" s="453" t="n"/>
      <c r="P1936" s="1617" t="n"/>
      <c r="Q1936" s="453" t="n"/>
      <c r="R1936" s="453" t="n"/>
      <c r="S1936" s="453" t="n"/>
      <c r="T1936" s="453" t="n"/>
      <c r="U1936" s="453" t="n"/>
      <c r="V1936" s="453" t="n"/>
      <c r="W1936" s="453" t="n"/>
    </row>
    <row r="1937" customFormat="1" s="21">
      <c r="A1937" s="20" t="inlineStr">
        <is>
          <t>Tropical Moist</t>
        </is>
      </c>
      <c r="B1937" s="41" t="n">
        <v>0</v>
      </c>
      <c r="C1937" s="41" t="n">
        <v>0</v>
      </c>
      <c r="D1937" s="41" t="n">
        <v>0</v>
      </c>
      <c r="E1937" s="41" t="n">
        <v>0</v>
      </c>
      <c r="F1937" s="41" t="n">
        <v>0</v>
      </c>
      <c r="G1937" s="41" t="n">
        <v>0</v>
      </c>
      <c r="H1937" s="41" t="n">
        <v>0</v>
      </c>
      <c r="I1937" s="41" t="n">
        <v>0</v>
      </c>
      <c r="J1937" s="41" t="n">
        <v>0</v>
      </c>
      <c r="K1937" s="453" t="n"/>
      <c r="L1937" s="453" t="n"/>
      <c r="M1937" s="453" t="n"/>
      <c r="N1937" s="453" t="n"/>
      <c r="O1937" s="453" t="n"/>
      <c r="P1937" s="1617" t="n"/>
      <c r="Q1937" s="453" t="n"/>
      <c r="R1937" s="453" t="n"/>
      <c r="S1937" s="453" t="n"/>
      <c r="T1937" s="453" t="n"/>
      <c r="U1937" s="453" t="n"/>
      <c r="V1937" s="453" t="n"/>
      <c r="W1937" s="453" t="n"/>
    </row>
    <row r="1938" customFormat="1" s="21">
      <c r="A1938" s="20" t="inlineStr">
        <is>
          <t>Tropical Wet</t>
        </is>
      </c>
      <c r="B1938" s="41" t="n">
        <v>0</v>
      </c>
      <c r="C1938" s="41" t="n">
        <v>0</v>
      </c>
      <c r="D1938" s="41" t="n">
        <v>0</v>
      </c>
      <c r="E1938" s="41" t="n">
        <v>0</v>
      </c>
      <c r="F1938" s="41" t="n">
        <v>0</v>
      </c>
      <c r="G1938" s="41" t="n">
        <v>0</v>
      </c>
      <c r="H1938" s="41" t="n">
        <v>0</v>
      </c>
      <c r="I1938" s="41" t="n">
        <v>0</v>
      </c>
      <c r="J1938" s="41" t="n">
        <v>0</v>
      </c>
      <c r="K1938" s="453" t="n"/>
      <c r="L1938" s="453" t="n"/>
      <c r="M1938" s="453" t="n"/>
      <c r="N1938" s="453" t="n"/>
      <c r="O1938" s="453" t="n"/>
      <c r="P1938" s="1617" t="n"/>
      <c r="Q1938" s="453" t="n"/>
      <c r="R1938" s="453" t="n"/>
      <c r="S1938" s="453" t="n"/>
      <c r="T1938" s="453" t="n"/>
      <c r="U1938" s="453" t="n"/>
      <c r="V1938" s="453" t="n"/>
      <c r="W1938" s="453" t="n"/>
    </row>
    <row r="1939" customFormat="1" s="292">
      <c r="A1939" s="37" t="inlineStr">
        <is>
          <t>Tropical Montane</t>
        </is>
      </c>
      <c r="B1939" s="42" t="n">
        <v>0</v>
      </c>
      <c r="C1939" s="42" t="n">
        <v>0</v>
      </c>
      <c r="D1939" s="42" t="n">
        <v>0</v>
      </c>
      <c r="E1939" s="42" t="n">
        <v>0</v>
      </c>
      <c r="F1939" s="42" t="n">
        <v>0</v>
      </c>
      <c r="G1939" s="42" t="n">
        <v>0</v>
      </c>
      <c r="H1939" s="42" t="n">
        <v>0</v>
      </c>
      <c r="I1939" s="42" t="n">
        <v>0</v>
      </c>
      <c r="J1939" s="42" t="n">
        <v>0</v>
      </c>
      <c r="K1939" s="1074" t="n"/>
      <c r="L1939" s="1074" t="n"/>
      <c r="M1939" s="1074" t="n"/>
      <c r="N1939" s="1074" t="n"/>
      <c r="O1939" s="1074" t="n"/>
      <c r="P1939" s="1618" t="n"/>
      <c r="Q1939" s="1074" t="n"/>
      <c r="R1939" s="1074" t="n"/>
      <c r="S1939" s="1074" t="n"/>
      <c r="T1939" s="1074" t="n"/>
      <c r="U1939" s="1074" t="n"/>
      <c r="V1939" s="1074" t="n"/>
      <c r="W1939" s="1074" t="n"/>
    </row>
    <row r="1940" customFormat="1" s="292">
      <c r="A1940" s="1073" t="inlineStr">
        <is>
          <t xml:space="preserve">Notes </t>
        </is>
      </c>
    </row>
    <row r="1941" customFormat="1" s="292"/>
    <row r="1942" customFormat="1" s="535">
      <c r="A1942" s="516" t="n"/>
    </row>
    <row r="1944" customFormat="1" s="125">
      <c r="A1944" s="377" t="inlineStr">
        <is>
          <t>Emissions factors for DOC on rewetted organic soils  IPCC 2013</t>
        </is>
      </c>
      <c r="D1944" s="1075" t="n"/>
      <c r="E1944" s="1075" t="n"/>
      <c r="F1944" s="1075" t="n"/>
      <c r="G1944" s="1075" t="n"/>
      <c r="H1944" s="1075" t="n"/>
      <c r="I1944" s="1075" t="n"/>
    </row>
    <row r="1945" ht="16.25" customFormat="1" customHeight="1" s="773">
      <c r="A1945" s="753" t="n"/>
      <c r="B1945" s="442" t="inlineStr">
        <is>
          <t>Table 3.2</t>
        </is>
      </c>
      <c r="C1945" s="442" t="inlineStr">
        <is>
          <t>Table 3.2</t>
        </is>
      </c>
      <c r="D1945" s="442" t="inlineStr">
        <is>
          <t>Table 3.2</t>
        </is>
      </c>
      <c r="E1945" s="442" t="inlineStr">
        <is>
          <t>Table 3.2</t>
        </is>
      </c>
      <c r="F1945" s="442" t="inlineStr">
        <is>
          <t>Table 3.2</t>
        </is>
      </c>
      <c r="G1945" s="442" t="inlineStr">
        <is>
          <t>Table 3.2</t>
        </is>
      </c>
      <c r="H1945" s="442" t="n"/>
      <c r="I1945" s="442" t="n"/>
      <c r="J1945" s="442" t="n"/>
      <c r="K1945" s="442" t="n"/>
      <c r="L1945" s="442" t="n"/>
      <c r="M1945" s="442" t="n"/>
      <c r="N1945" s="442" t="n"/>
      <c r="O1945" s="442" t="n"/>
      <c r="P1945" s="532" t="n"/>
      <c r="Q1945" s="442" t="n"/>
      <c r="R1945" s="442" t="n"/>
      <c r="S1945" s="442" t="n"/>
      <c r="T1945" s="442" t="n"/>
      <c r="U1945" s="442" t="n"/>
      <c r="V1945" s="442" t="n"/>
      <c r="W1945" s="442" t="n"/>
    </row>
    <row r="1946" customFormat="1" s="291">
      <c r="A1946" s="293" t="inlineStr">
        <is>
          <t>IPCC Climate Region</t>
        </is>
      </c>
      <c r="B1946" s="426" t="inlineStr">
        <is>
          <t>Forest</t>
        </is>
      </c>
      <c r="C1946" s="426" t="inlineStr">
        <is>
          <t>Plantation</t>
        </is>
      </c>
      <c r="D1946" s="426" t="inlineStr">
        <is>
          <t>Annual</t>
        </is>
      </c>
      <c r="E1946" s="426" t="inlineStr">
        <is>
          <t>Perennial</t>
        </is>
      </c>
      <c r="F1946" s="426" t="inlineStr">
        <is>
          <t>Flooded rice</t>
        </is>
      </c>
      <c r="G1946" s="426" t="inlineStr">
        <is>
          <t>Grassland</t>
        </is>
      </c>
      <c r="H1946" s="426" t="inlineStr">
        <is>
          <t>Settlement</t>
        </is>
      </c>
      <c r="I1946" s="426" t="inlineStr">
        <is>
          <t>Other land</t>
        </is>
      </c>
      <c r="J1946" s="426" t="inlineStr">
        <is>
          <t>Degraded land</t>
        </is>
      </c>
      <c r="K1946" s="453" t="n"/>
      <c r="L1946" s="453" t="n"/>
      <c r="M1946" s="453" t="n"/>
      <c r="N1946" s="453" t="n"/>
      <c r="O1946" s="453" t="n"/>
      <c r="P1946" s="1616" t="n"/>
      <c r="Q1946" s="453" t="n"/>
      <c r="R1946" s="453" t="n"/>
      <c r="S1946" s="453" t="n"/>
      <c r="T1946" s="453" t="n"/>
      <c r="U1946" s="453" t="n"/>
      <c r="V1946" s="453" t="n"/>
      <c r="W1946" s="453" t="n"/>
      <c r="X1946" s="21" t="n"/>
      <c r="Y1946" s="21" t="n"/>
    </row>
    <row r="1947" customFormat="1" s="21">
      <c r="A1947" s="255" t="inlineStr">
        <is>
          <t>Please select</t>
        </is>
      </c>
      <c r="B1947" s="426" t="inlineStr">
        <is>
          <t>tCO2-C/ha/yr</t>
        </is>
      </c>
      <c r="C1947" s="426" t="inlineStr">
        <is>
          <t>tCO2-C/ha/yr</t>
        </is>
      </c>
      <c r="D1947" s="426" t="inlineStr">
        <is>
          <t>tCO2-C/ha/yr</t>
        </is>
      </c>
      <c r="E1947" s="426" t="inlineStr">
        <is>
          <t>tCO2-C/ha/yr</t>
        </is>
      </c>
      <c r="F1947" s="426" t="inlineStr">
        <is>
          <t>tCO2-C/ha/yr</t>
        </is>
      </c>
      <c r="G1947" s="426" t="inlineStr">
        <is>
          <t>tCO2-C/ha/yr</t>
        </is>
      </c>
      <c r="H1947" s="426" t="inlineStr">
        <is>
          <t>tCO2-C/ha/yr</t>
        </is>
      </c>
      <c r="I1947" s="426" t="inlineStr">
        <is>
          <t>tCO2-C/ha/yr</t>
        </is>
      </c>
      <c r="J1947" s="426" t="inlineStr">
        <is>
          <t>tCO2-C/ha/yr</t>
        </is>
      </c>
      <c r="K1947" s="453" t="n"/>
      <c r="L1947" s="453" t="n"/>
      <c r="M1947" s="453" t="n"/>
      <c r="N1947" s="453" t="n"/>
      <c r="O1947" s="453" t="n"/>
      <c r="P1947" s="453" t="n"/>
      <c r="Q1947" s="453" t="n"/>
      <c r="R1947" s="453" t="n"/>
      <c r="S1947" s="453" t="n"/>
      <c r="T1947" s="453" t="n"/>
      <c r="U1947" s="453" t="n"/>
      <c r="V1947" s="453" t="n"/>
      <c r="W1947" s="453" t="n"/>
    </row>
    <row r="1948" customFormat="1" s="21">
      <c r="A1948" s="20" t="inlineStr">
        <is>
          <t>Boreal Dry</t>
        </is>
      </c>
      <c r="B1948" s="41" t="n">
        <v>0.08</v>
      </c>
      <c r="C1948" s="41" t="n">
        <v>0.08</v>
      </c>
      <c r="D1948" s="41" t="n">
        <v>0.08</v>
      </c>
      <c r="E1948" s="41" t="n">
        <v>0.08</v>
      </c>
      <c r="F1948" s="41" t="n">
        <v>0.08</v>
      </c>
      <c r="G1948" s="41" t="n">
        <v>0.08</v>
      </c>
      <c r="H1948" s="44" t="n">
        <v>0</v>
      </c>
      <c r="I1948" s="44" t="n">
        <v>0</v>
      </c>
      <c r="J1948" s="44" t="n">
        <v>0</v>
      </c>
      <c r="K1948" s="453" t="n"/>
      <c r="L1948" s="453" t="n"/>
      <c r="M1948" s="453" t="n"/>
      <c r="N1948" s="453" t="n"/>
      <c r="O1948" s="453" t="n"/>
      <c r="P1948" s="1617" t="n"/>
      <c r="Q1948" s="453" t="n"/>
      <c r="R1948" s="453" t="n"/>
      <c r="S1948" s="453" t="n"/>
      <c r="T1948" s="453" t="n"/>
      <c r="U1948" s="453" t="n"/>
      <c r="V1948" s="453" t="n"/>
      <c r="W1948" s="453" t="n"/>
    </row>
    <row r="1949" customFormat="1" s="21">
      <c r="A1949" s="20" t="inlineStr">
        <is>
          <t>Boreal Moist</t>
        </is>
      </c>
      <c r="B1949" s="41" t="n">
        <v>0.08</v>
      </c>
      <c r="C1949" s="41" t="n">
        <v>0.08</v>
      </c>
      <c r="D1949" s="41" t="n">
        <v>0.08</v>
      </c>
      <c r="E1949" s="41" t="n">
        <v>0.08</v>
      </c>
      <c r="F1949" s="41" t="n">
        <v>0.08</v>
      </c>
      <c r="G1949" s="41" t="n">
        <v>0.08</v>
      </c>
      <c r="H1949" s="41" t="n">
        <v>0</v>
      </c>
      <c r="I1949" s="41" t="n">
        <v>0</v>
      </c>
      <c r="J1949" s="41" t="n">
        <v>0</v>
      </c>
      <c r="K1949" s="453" t="n"/>
      <c r="L1949" s="453" t="n"/>
      <c r="M1949" s="453" t="n"/>
      <c r="N1949" s="453" t="n"/>
      <c r="O1949" s="453" t="n"/>
      <c r="P1949" s="1617" t="n"/>
      <c r="Q1949" s="453" t="n"/>
      <c r="R1949" s="453" t="n"/>
      <c r="S1949" s="453" t="n"/>
      <c r="T1949" s="453" t="n"/>
      <c r="U1949" s="453" t="n"/>
      <c r="V1949" s="453" t="n"/>
      <c r="W1949" s="453" t="n"/>
    </row>
    <row r="1950" customFormat="1" s="21">
      <c r="A1950" s="20" t="inlineStr">
        <is>
          <t>Cool Temperate Dry</t>
        </is>
      </c>
      <c r="B1950" s="41" t="n">
        <v>0.24</v>
      </c>
      <c r="C1950" s="41" t="n">
        <v>0.24</v>
      </c>
      <c r="D1950" s="41" t="n">
        <v>0.24</v>
      </c>
      <c r="E1950" s="41" t="n">
        <v>0.24</v>
      </c>
      <c r="F1950" s="41" t="n">
        <v>0.24</v>
      </c>
      <c r="G1950" s="41" t="n">
        <v>0.24</v>
      </c>
      <c r="H1950" s="41" t="n">
        <v>0</v>
      </c>
      <c r="I1950" s="41" t="n">
        <v>0</v>
      </c>
      <c r="J1950" s="41" t="n">
        <v>0</v>
      </c>
      <c r="K1950" s="453" t="n"/>
      <c r="L1950" s="453" t="n"/>
      <c r="M1950" s="453" t="n"/>
      <c r="N1950" s="453" t="n"/>
      <c r="O1950" s="453" t="n"/>
      <c r="P1950" s="1617" t="n"/>
      <c r="Q1950" s="453" t="n"/>
      <c r="R1950" s="453" t="n"/>
      <c r="S1950" s="453" t="n"/>
      <c r="T1950" s="453" t="n"/>
      <c r="U1950" s="453" t="n"/>
      <c r="V1950" s="453" t="n"/>
      <c r="W1950" s="453" t="n"/>
    </row>
    <row r="1951" customFormat="1" s="21">
      <c r="A1951" s="20" t="inlineStr">
        <is>
          <t>Cool Temperate Moist</t>
        </is>
      </c>
      <c r="B1951" s="41" t="n">
        <v>0.24</v>
      </c>
      <c r="C1951" s="41" t="n">
        <v>0.24</v>
      </c>
      <c r="D1951" s="41" t="n">
        <v>0.24</v>
      </c>
      <c r="E1951" s="41" t="n">
        <v>0.24</v>
      </c>
      <c r="F1951" s="41" t="n">
        <v>0.24</v>
      </c>
      <c r="G1951" s="41" t="n">
        <v>0.24</v>
      </c>
      <c r="H1951" s="41" t="n">
        <v>0</v>
      </c>
      <c r="I1951" s="41" t="n">
        <v>0</v>
      </c>
      <c r="J1951" s="41" t="n">
        <v>0</v>
      </c>
      <c r="K1951" s="453" t="n"/>
      <c r="L1951" s="453" t="n"/>
      <c r="M1951" s="453" t="n"/>
      <c r="N1951" s="453" t="n"/>
      <c r="O1951" s="453" t="n"/>
      <c r="P1951" s="1617" t="n"/>
      <c r="Q1951" s="453" t="n"/>
      <c r="R1951" s="453" t="n"/>
      <c r="S1951" s="453" t="n"/>
      <c r="T1951" s="453" t="n"/>
      <c r="U1951" s="453" t="n"/>
      <c r="V1951" s="453" t="n"/>
      <c r="W1951" s="453" t="n"/>
    </row>
    <row r="1952" customFormat="1" s="21">
      <c r="A1952" s="20" t="inlineStr">
        <is>
          <t>Warm Temperate Dry</t>
        </is>
      </c>
      <c r="B1952" s="41" t="n">
        <v>0.24</v>
      </c>
      <c r="C1952" s="41" t="n">
        <v>0.24</v>
      </c>
      <c r="D1952" s="41" t="n">
        <v>0.24</v>
      </c>
      <c r="E1952" s="41" t="n">
        <v>0.24</v>
      </c>
      <c r="F1952" s="41" t="n">
        <v>0.24</v>
      </c>
      <c r="G1952" s="41" t="n">
        <v>0.24</v>
      </c>
      <c r="H1952" s="41" t="n">
        <v>0</v>
      </c>
      <c r="I1952" s="41" t="n">
        <v>0</v>
      </c>
      <c r="J1952" s="41" t="n">
        <v>0</v>
      </c>
      <c r="K1952" s="453" t="n"/>
      <c r="L1952" s="453" t="n"/>
      <c r="M1952" s="453" t="n"/>
      <c r="N1952" s="453" t="n"/>
      <c r="O1952" s="453" t="n"/>
      <c r="P1952" s="1617" t="n"/>
      <c r="Q1952" s="453" t="n"/>
      <c r="R1952" s="453" t="n"/>
      <c r="S1952" s="453" t="n"/>
      <c r="T1952" s="453" t="n"/>
      <c r="U1952" s="453" t="n"/>
      <c r="V1952" s="453" t="n"/>
      <c r="W1952" s="453" t="n"/>
    </row>
    <row r="1953" customFormat="1" s="21">
      <c r="A1953" s="20" t="inlineStr">
        <is>
          <t>Warm Temperate Moist</t>
        </is>
      </c>
      <c r="B1953" s="41" t="n">
        <v>0.24</v>
      </c>
      <c r="C1953" s="41" t="n">
        <v>0.24</v>
      </c>
      <c r="D1953" s="41" t="n">
        <v>0.24</v>
      </c>
      <c r="E1953" s="41" t="n">
        <v>0.24</v>
      </c>
      <c r="F1953" s="41" t="n">
        <v>0.24</v>
      </c>
      <c r="G1953" s="41" t="n">
        <v>0.24</v>
      </c>
      <c r="H1953" s="41" t="n">
        <v>0</v>
      </c>
      <c r="I1953" s="41" t="n">
        <v>0</v>
      </c>
      <c r="J1953" s="41" t="n">
        <v>0</v>
      </c>
      <c r="K1953" s="453" t="n"/>
      <c r="L1953" s="453" t="n"/>
      <c r="M1953" s="453" t="n"/>
      <c r="N1953" s="453" t="n"/>
      <c r="O1953" s="453" t="n"/>
      <c r="P1953" s="1617" t="n"/>
      <c r="Q1953" s="453" t="n"/>
      <c r="R1953" s="453" t="n"/>
      <c r="S1953" s="453" t="n"/>
      <c r="T1953" s="453" t="n"/>
      <c r="U1953" s="453" t="n"/>
      <c r="V1953" s="453" t="n"/>
      <c r="W1953" s="453" t="n"/>
    </row>
    <row r="1954" customFormat="1" s="21">
      <c r="A1954" s="20" t="inlineStr">
        <is>
          <t>Tropical Dry</t>
        </is>
      </c>
      <c r="B1954" s="41" t="n">
        <v>0.51</v>
      </c>
      <c r="C1954" s="41" t="n">
        <v>0.51</v>
      </c>
      <c r="D1954" s="41" t="n">
        <v>0.51</v>
      </c>
      <c r="E1954" s="41" t="n">
        <v>0.51</v>
      </c>
      <c r="F1954" s="41" t="n">
        <v>0.51</v>
      </c>
      <c r="G1954" s="41" t="n">
        <v>0.51</v>
      </c>
      <c r="H1954" s="41" t="n">
        <v>0</v>
      </c>
      <c r="I1954" s="41" t="n">
        <v>0</v>
      </c>
      <c r="J1954" s="41" t="n">
        <v>0</v>
      </c>
      <c r="K1954" s="453" t="n"/>
      <c r="L1954" s="453" t="n"/>
      <c r="M1954" s="453" t="n"/>
      <c r="N1954" s="453" t="n"/>
      <c r="O1954" s="453" t="n"/>
      <c r="P1954" s="1617" t="n"/>
      <c r="Q1954" s="453" t="n"/>
      <c r="R1954" s="453" t="n"/>
      <c r="S1954" s="453" t="n"/>
      <c r="T1954" s="453" t="n"/>
      <c r="U1954" s="453" t="n"/>
      <c r="V1954" s="453" t="n"/>
      <c r="W1954" s="453" t="n"/>
    </row>
    <row r="1955" customFormat="1" s="21">
      <c r="A1955" s="20" t="inlineStr">
        <is>
          <t>Tropical Moist</t>
        </is>
      </c>
      <c r="B1955" s="41" t="n">
        <v>0.51</v>
      </c>
      <c r="C1955" s="41" t="n">
        <v>0.51</v>
      </c>
      <c r="D1955" s="41" t="n">
        <v>0.51</v>
      </c>
      <c r="E1955" s="41" t="n">
        <v>0.51</v>
      </c>
      <c r="F1955" s="41" t="n">
        <v>0.51</v>
      </c>
      <c r="G1955" s="41" t="n">
        <v>0.51</v>
      </c>
      <c r="H1955" s="41" t="n">
        <v>0</v>
      </c>
      <c r="I1955" s="41" t="n">
        <v>0</v>
      </c>
      <c r="J1955" s="41" t="n">
        <v>0</v>
      </c>
      <c r="K1955" s="453" t="n"/>
      <c r="L1955" s="453" t="n"/>
      <c r="M1955" s="453" t="n"/>
      <c r="N1955" s="453" t="n"/>
      <c r="O1955" s="453" t="n"/>
      <c r="P1955" s="1617" t="n"/>
      <c r="Q1955" s="453" t="n"/>
      <c r="R1955" s="453" t="n"/>
      <c r="S1955" s="453" t="n"/>
      <c r="T1955" s="453" t="n"/>
      <c r="U1955" s="453" t="n"/>
      <c r="V1955" s="453" t="n"/>
      <c r="W1955" s="453" t="n"/>
    </row>
    <row r="1956" customFormat="1" s="21">
      <c r="A1956" s="20" t="inlineStr">
        <is>
          <t>Tropical Wet</t>
        </is>
      </c>
      <c r="B1956" s="41" t="n">
        <v>0.51</v>
      </c>
      <c r="C1956" s="41" t="n">
        <v>0.51</v>
      </c>
      <c r="D1956" s="41" t="n">
        <v>0.51</v>
      </c>
      <c r="E1956" s="41" t="n">
        <v>0.51</v>
      </c>
      <c r="F1956" s="41" t="n">
        <v>0.51</v>
      </c>
      <c r="G1956" s="41" t="n">
        <v>0.51</v>
      </c>
      <c r="H1956" s="41" t="n">
        <v>0</v>
      </c>
      <c r="I1956" s="41" t="n">
        <v>0</v>
      </c>
      <c r="J1956" s="41" t="n">
        <v>0</v>
      </c>
      <c r="K1956" s="453" t="n"/>
      <c r="L1956" s="453" t="n"/>
      <c r="M1956" s="453" t="n"/>
      <c r="N1956" s="453" t="n"/>
      <c r="O1956" s="453" t="n"/>
      <c r="P1956" s="1617" t="n"/>
      <c r="Q1956" s="453" t="n"/>
      <c r="R1956" s="453" t="n"/>
      <c r="S1956" s="453" t="n"/>
      <c r="T1956" s="453" t="n"/>
      <c r="U1956" s="453" t="n"/>
      <c r="V1956" s="453" t="n"/>
      <c r="W1956" s="453" t="n"/>
    </row>
    <row r="1957" customFormat="1" s="292">
      <c r="A1957" s="37" t="inlineStr">
        <is>
          <t>Tropical Montane</t>
        </is>
      </c>
      <c r="B1957" s="42" t="n">
        <v>0.51</v>
      </c>
      <c r="C1957" s="42" t="n">
        <v>0.51</v>
      </c>
      <c r="D1957" s="42" t="n">
        <v>0.51</v>
      </c>
      <c r="E1957" s="42" t="n">
        <v>0.51</v>
      </c>
      <c r="F1957" s="42" t="n">
        <v>0.51</v>
      </c>
      <c r="G1957" s="42" t="n">
        <v>0.51</v>
      </c>
      <c r="H1957" s="42" t="n">
        <v>0</v>
      </c>
      <c r="I1957" s="42" t="n">
        <v>0</v>
      </c>
      <c r="J1957" s="42" t="n">
        <v>0</v>
      </c>
      <c r="K1957" s="1074" t="n"/>
      <c r="L1957" s="1074" t="n"/>
      <c r="M1957" s="1074" t="n"/>
      <c r="N1957" s="1074" t="n"/>
      <c r="O1957" s="1074" t="n"/>
      <c r="P1957" s="1618" t="n"/>
      <c r="Q1957" s="1074" t="n"/>
      <c r="R1957" s="1074" t="n"/>
      <c r="S1957" s="1074" t="n"/>
      <c r="T1957" s="1074" t="n"/>
      <c r="U1957" s="1074" t="n"/>
      <c r="V1957" s="1074" t="n"/>
      <c r="W1957" s="1074" t="n"/>
    </row>
    <row r="1958" customFormat="1" s="292">
      <c r="A1958" s="1073" t="inlineStr">
        <is>
          <t xml:space="preserve">Notes </t>
        </is>
      </c>
    </row>
    <row r="1959" customFormat="1" s="292"/>
    <row r="1960" customFormat="1" s="535">
      <c r="A1960" s="516" t="n"/>
    </row>
    <row r="1962" customFormat="1" s="125">
      <c r="A1962" s="377" t="inlineStr">
        <is>
          <t>Emissions factors for CH4 on rewetted organic soils  IPCC 2013</t>
        </is>
      </c>
      <c r="D1962" s="1075" t="n"/>
      <c r="E1962" s="1075" t="n"/>
      <c r="F1962" s="1075" t="n"/>
      <c r="G1962" s="1075" t="n"/>
      <c r="H1962" s="1075" t="n"/>
      <c r="I1962" s="1075" t="n"/>
    </row>
    <row r="1963" ht="16.25" customFormat="1" customHeight="1" s="773">
      <c r="A1963" s="753" t="inlineStr">
        <is>
          <t>NUTRIENT POOR</t>
        </is>
      </c>
      <c r="B1963" s="442" t="inlineStr">
        <is>
          <t>Table 3.3</t>
        </is>
      </c>
      <c r="C1963" s="442" t="inlineStr">
        <is>
          <t>Table 3.3</t>
        </is>
      </c>
      <c r="D1963" s="442" t="inlineStr">
        <is>
          <t>Table 3.3</t>
        </is>
      </c>
      <c r="E1963" s="442" t="inlineStr">
        <is>
          <t>Table 3.3</t>
        </is>
      </c>
      <c r="F1963" s="442" t="inlineStr">
        <is>
          <t>Table 3.3</t>
        </is>
      </c>
      <c r="G1963" s="442" t="inlineStr">
        <is>
          <t>Table 3.3</t>
        </is>
      </c>
      <c r="H1963" s="442" t="n"/>
      <c r="I1963" s="442" t="n"/>
      <c r="J1963" s="442" t="n"/>
      <c r="K1963" s="442" t="n"/>
      <c r="L1963" s="442" t="n"/>
      <c r="M1963" s="442" t="n"/>
      <c r="N1963" s="442" t="n"/>
      <c r="O1963" s="442" t="n"/>
      <c r="P1963" s="532" t="n"/>
      <c r="Q1963" s="442" t="n"/>
      <c r="R1963" s="442" t="n"/>
      <c r="S1963" s="442" t="n"/>
      <c r="T1963" s="442" t="n"/>
      <c r="U1963" s="442" t="n"/>
      <c r="V1963" s="442" t="n"/>
      <c r="W1963" s="442" t="n"/>
    </row>
    <row r="1964" customFormat="1" s="291">
      <c r="A1964" s="293" t="inlineStr">
        <is>
          <t>IPCC Climate Region</t>
        </is>
      </c>
      <c r="B1964" s="426" t="inlineStr">
        <is>
          <t>Forest</t>
        </is>
      </c>
      <c r="C1964" s="426" t="inlineStr">
        <is>
          <t>Plantation</t>
        </is>
      </c>
      <c r="D1964" s="426" t="inlineStr">
        <is>
          <t>Annual</t>
        </is>
      </c>
      <c r="E1964" s="426" t="inlineStr">
        <is>
          <t>Perennial</t>
        </is>
      </c>
      <c r="F1964" s="426" t="inlineStr">
        <is>
          <t>Flooded rice</t>
        </is>
      </c>
      <c r="G1964" s="426" t="inlineStr">
        <is>
          <t>Grassland</t>
        </is>
      </c>
      <c r="H1964" s="426" t="inlineStr">
        <is>
          <t>Settlement</t>
        </is>
      </c>
      <c r="I1964" s="426" t="inlineStr">
        <is>
          <t>Other land</t>
        </is>
      </c>
      <c r="J1964" s="426" t="inlineStr">
        <is>
          <t>Degraded land</t>
        </is>
      </c>
      <c r="K1964" s="453" t="n"/>
      <c r="L1964" s="453" t="n"/>
      <c r="M1964" s="453" t="n"/>
      <c r="N1964" s="453" t="n"/>
      <c r="O1964" s="453" t="n"/>
      <c r="P1964" s="1616" t="n"/>
      <c r="Q1964" s="453" t="n"/>
      <c r="R1964" s="453" t="n"/>
      <c r="S1964" s="453" t="n"/>
      <c r="T1964" s="453" t="n"/>
      <c r="U1964" s="453" t="n"/>
      <c r="V1964" s="453" t="n"/>
      <c r="W1964" s="453" t="n"/>
      <c r="X1964" s="21" t="n"/>
      <c r="Y1964" s="21" t="n"/>
    </row>
    <row r="1965" customFormat="1" s="21">
      <c r="A1965" s="255" t="inlineStr">
        <is>
          <t>Please select</t>
        </is>
      </c>
      <c r="B1965" s="426" t="inlineStr">
        <is>
          <t>kg CH4-C/ha/yr</t>
        </is>
      </c>
      <c r="C1965" s="426" t="inlineStr">
        <is>
          <t>kg CH4-C/ha/yr</t>
        </is>
      </c>
      <c r="D1965" s="426" t="inlineStr">
        <is>
          <t>kg CH4-C/ha/yr</t>
        </is>
      </c>
      <c r="E1965" s="426" t="inlineStr">
        <is>
          <t>kg CH4-C/ha/yr</t>
        </is>
      </c>
      <c r="F1965" s="426" t="inlineStr">
        <is>
          <t>kg CH4-C/ha/yr</t>
        </is>
      </c>
      <c r="G1965" s="426" t="inlineStr">
        <is>
          <t>kg CH4-C/ha/yr</t>
        </is>
      </c>
      <c r="H1965" s="426" t="inlineStr">
        <is>
          <t>kg CH4-C/ha/yr</t>
        </is>
      </c>
      <c r="I1965" s="426" t="inlineStr">
        <is>
          <t>kg CH4-C/ha/yr</t>
        </is>
      </c>
      <c r="J1965" s="426" t="inlineStr">
        <is>
          <t>kg CH4-C/ha/yr</t>
        </is>
      </c>
      <c r="K1965" s="453" t="n"/>
      <c r="L1965" s="453" t="n"/>
      <c r="M1965" s="453" t="n"/>
      <c r="N1965" s="453" t="n"/>
      <c r="O1965" s="453" t="n"/>
      <c r="P1965" s="453" t="n"/>
      <c r="Q1965" s="453" t="n"/>
      <c r="R1965" s="453" t="n"/>
      <c r="S1965" s="453" t="n"/>
      <c r="T1965" s="453" t="n"/>
      <c r="U1965" s="453" t="n"/>
      <c r="V1965" s="453" t="n"/>
      <c r="W1965" s="453" t="n"/>
    </row>
    <row r="1966" customFormat="1" s="21">
      <c r="A1966" s="20" t="inlineStr">
        <is>
          <t>Boreal Dry</t>
        </is>
      </c>
      <c r="B1966" s="41" t="n">
        <v>41</v>
      </c>
      <c r="C1966" s="41" t="n">
        <v>41</v>
      </c>
      <c r="D1966" s="41" t="n">
        <v>41</v>
      </c>
      <c r="E1966" s="41" t="n">
        <v>41</v>
      </c>
      <c r="F1966" s="41" t="n">
        <v>41</v>
      </c>
      <c r="G1966" s="41" t="n">
        <v>41</v>
      </c>
      <c r="H1966" s="44" t="n">
        <v>0</v>
      </c>
      <c r="I1966" s="44" t="n">
        <v>0</v>
      </c>
      <c r="J1966" s="44" t="n">
        <v>0</v>
      </c>
      <c r="K1966" s="453" t="n"/>
      <c r="L1966" s="453" t="n"/>
      <c r="M1966" s="453" t="n"/>
      <c r="N1966" s="453" t="n"/>
      <c r="O1966" s="453" t="n"/>
      <c r="P1966" s="1617" t="n"/>
      <c r="Q1966" s="453" t="n"/>
      <c r="R1966" s="453" t="n"/>
      <c r="S1966" s="453" t="n"/>
      <c r="T1966" s="453" t="n"/>
      <c r="U1966" s="453" t="n"/>
      <c r="V1966" s="453" t="n"/>
      <c r="W1966" s="453" t="n"/>
    </row>
    <row r="1967" customFormat="1" s="21">
      <c r="A1967" s="20" t="inlineStr">
        <is>
          <t>Boreal Moist</t>
        </is>
      </c>
      <c r="B1967" s="41" t="n">
        <v>41</v>
      </c>
      <c r="C1967" s="41" t="n">
        <v>41</v>
      </c>
      <c r="D1967" s="41" t="n">
        <v>41</v>
      </c>
      <c r="E1967" s="41" t="n">
        <v>41</v>
      </c>
      <c r="F1967" s="41" t="n">
        <v>41</v>
      </c>
      <c r="G1967" s="41" t="n">
        <v>41</v>
      </c>
      <c r="H1967" s="41" t="n">
        <v>0</v>
      </c>
      <c r="I1967" s="41" t="n">
        <v>0</v>
      </c>
      <c r="J1967" s="41" t="n">
        <v>0</v>
      </c>
      <c r="K1967" s="453" t="n"/>
      <c r="L1967" s="453" t="n"/>
      <c r="M1967" s="453" t="n"/>
      <c r="N1967" s="453" t="n"/>
      <c r="O1967" s="453" t="n"/>
      <c r="P1967" s="1617" t="n"/>
      <c r="Q1967" s="453" t="n"/>
      <c r="R1967" s="453" t="n"/>
      <c r="S1967" s="453" t="n"/>
      <c r="T1967" s="453" t="n"/>
      <c r="U1967" s="453" t="n"/>
      <c r="V1967" s="453" t="n"/>
      <c r="W1967" s="453" t="n"/>
    </row>
    <row r="1968" customFormat="1" s="21">
      <c r="A1968" s="20" t="inlineStr">
        <is>
          <t>Cool Temperate Dry</t>
        </is>
      </c>
      <c r="B1968" s="41" t="n">
        <v>92</v>
      </c>
      <c r="C1968" s="41" t="n">
        <v>92</v>
      </c>
      <c r="D1968" s="41" t="n">
        <v>92</v>
      </c>
      <c r="E1968" s="41" t="n">
        <v>92</v>
      </c>
      <c r="F1968" s="41" t="n">
        <v>92</v>
      </c>
      <c r="G1968" s="41" t="n">
        <v>92</v>
      </c>
      <c r="H1968" s="41" t="n">
        <v>0</v>
      </c>
      <c r="I1968" s="41" t="n">
        <v>0</v>
      </c>
      <c r="J1968" s="41" t="n">
        <v>0</v>
      </c>
      <c r="K1968" s="453" t="n"/>
      <c r="L1968" s="453" t="n"/>
      <c r="M1968" s="453" t="n"/>
      <c r="N1968" s="453" t="n"/>
      <c r="O1968" s="453" t="n"/>
      <c r="P1968" s="1617" t="n"/>
      <c r="Q1968" s="453" t="n"/>
      <c r="R1968" s="453" t="n"/>
      <c r="S1968" s="453" t="n"/>
      <c r="T1968" s="453" t="n"/>
      <c r="U1968" s="453" t="n"/>
      <c r="V1968" s="453" t="n"/>
      <c r="W1968" s="453" t="n"/>
    </row>
    <row r="1969" customFormat="1" s="21">
      <c r="A1969" s="20" t="inlineStr">
        <is>
          <t>Cool Temperate Moist</t>
        </is>
      </c>
      <c r="B1969" s="41" t="n">
        <v>92</v>
      </c>
      <c r="C1969" s="41" t="n">
        <v>92</v>
      </c>
      <c r="D1969" s="41" t="n">
        <v>92</v>
      </c>
      <c r="E1969" s="41" t="n">
        <v>92</v>
      </c>
      <c r="F1969" s="41" t="n">
        <v>92</v>
      </c>
      <c r="G1969" s="41" t="n">
        <v>92</v>
      </c>
      <c r="H1969" s="41" t="n">
        <v>0</v>
      </c>
      <c r="I1969" s="41" t="n">
        <v>0</v>
      </c>
      <c r="J1969" s="41" t="n">
        <v>0</v>
      </c>
      <c r="K1969" s="453" t="n"/>
      <c r="L1969" s="453" t="n"/>
      <c r="M1969" s="453" t="n"/>
      <c r="N1969" s="453" t="n"/>
      <c r="O1969" s="453" t="n"/>
      <c r="P1969" s="1617" t="n"/>
      <c r="Q1969" s="453" t="n"/>
      <c r="R1969" s="453" t="n"/>
      <c r="S1969" s="453" t="n"/>
      <c r="T1969" s="453" t="n"/>
      <c r="U1969" s="453" t="n"/>
      <c r="V1969" s="453" t="n"/>
      <c r="W1969" s="453" t="n"/>
    </row>
    <row r="1970" customFormat="1" s="21">
      <c r="A1970" s="20" t="inlineStr">
        <is>
          <t>Warm Temperate Dry</t>
        </is>
      </c>
      <c r="B1970" s="41" t="n">
        <v>92</v>
      </c>
      <c r="C1970" s="41" t="n">
        <v>92</v>
      </c>
      <c r="D1970" s="41" t="n">
        <v>92</v>
      </c>
      <c r="E1970" s="41" t="n">
        <v>92</v>
      </c>
      <c r="F1970" s="41" t="n">
        <v>92</v>
      </c>
      <c r="G1970" s="41" t="n">
        <v>92</v>
      </c>
      <c r="H1970" s="41" t="n">
        <v>0</v>
      </c>
      <c r="I1970" s="41" t="n">
        <v>0</v>
      </c>
      <c r="J1970" s="41" t="n">
        <v>0</v>
      </c>
      <c r="K1970" s="453" t="n"/>
      <c r="L1970" s="453" t="n"/>
      <c r="M1970" s="453" t="n"/>
      <c r="N1970" s="453" t="n"/>
      <c r="O1970" s="453" t="n"/>
      <c r="P1970" s="1617" t="n"/>
      <c r="Q1970" s="453" t="n"/>
      <c r="R1970" s="453" t="n"/>
      <c r="S1970" s="453" t="n"/>
      <c r="T1970" s="453" t="n"/>
      <c r="U1970" s="453" t="n"/>
      <c r="V1970" s="453" t="n"/>
      <c r="W1970" s="453" t="n"/>
    </row>
    <row r="1971" customFormat="1" s="21">
      <c r="A1971" s="20" t="inlineStr">
        <is>
          <t>Warm Temperate Moist</t>
        </is>
      </c>
      <c r="B1971" s="41" t="n">
        <v>92</v>
      </c>
      <c r="C1971" s="41" t="n">
        <v>92</v>
      </c>
      <c r="D1971" s="41" t="n">
        <v>92</v>
      </c>
      <c r="E1971" s="41" t="n">
        <v>92</v>
      </c>
      <c r="F1971" s="41" t="n">
        <v>92</v>
      </c>
      <c r="G1971" s="41" t="n">
        <v>92</v>
      </c>
      <c r="H1971" s="41" t="n">
        <v>0</v>
      </c>
      <c r="I1971" s="41" t="n">
        <v>0</v>
      </c>
      <c r="J1971" s="41" t="n">
        <v>0</v>
      </c>
      <c r="K1971" s="453" t="n"/>
      <c r="L1971" s="453" t="n"/>
      <c r="M1971" s="453" t="n"/>
      <c r="N1971" s="453" t="n"/>
      <c r="O1971" s="453" t="n"/>
      <c r="P1971" s="1617" t="n"/>
      <c r="Q1971" s="453" t="n"/>
      <c r="R1971" s="453" t="n"/>
      <c r="S1971" s="453" t="n"/>
      <c r="T1971" s="453" t="n"/>
      <c r="U1971" s="453" t="n"/>
      <c r="V1971" s="453" t="n"/>
      <c r="W1971" s="453" t="n"/>
    </row>
    <row r="1972" customFormat="1" s="21">
      <c r="A1972" s="20" t="inlineStr">
        <is>
          <t>Tropical Dry</t>
        </is>
      </c>
      <c r="B1972" s="41" t="n">
        <v>41</v>
      </c>
      <c r="C1972" s="41" t="n">
        <v>41</v>
      </c>
      <c r="D1972" s="41" t="n">
        <v>41</v>
      </c>
      <c r="E1972" s="41" t="n">
        <v>41</v>
      </c>
      <c r="F1972" s="41" t="n">
        <v>41</v>
      </c>
      <c r="G1972" s="41" t="n">
        <v>41</v>
      </c>
      <c r="H1972" s="41" t="n">
        <v>0</v>
      </c>
      <c r="I1972" s="41" t="n">
        <v>0</v>
      </c>
      <c r="J1972" s="41" t="n">
        <v>0</v>
      </c>
      <c r="K1972" s="453" t="n"/>
      <c r="L1972" s="453" t="n"/>
      <c r="M1972" s="453" t="n"/>
      <c r="N1972" s="453" t="n"/>
      <c r="O1972" s="453" t="n"/>
      <c r="P1972" s="1617" t="n"/>
      <c r="Q1972" s="453" t="n"/>
      <c r="R1972" s="453" t="n"/>
      <c r="S1972" s="453" t="n"/>
      <c r="T1972" s="453" t="n"/>
      <c r="U1972" s="453" t="n"/>
      <c r="V1972" s="453" t="n"/>
      <c r="W1972" s="453" t="n"/>
    </row>
    <row r="1973" customFormat="1" s="21">
      <c r="A1973" s="20" t="inlineStr">
        <is>
          <t>Tropical Moist</t>
        </is>
      </c>
      <c r="B1973" s="41" t="n">
        <v>41</v>
      </c>
      <c r="C1973" s="41" t="n">
        <v>41</v>
      </c>
      <c r="D1973" s="41" t="n">
        <v>41</v>
      </c>
      <c r="E1973" s="41" t="n">
        <v>41</v>
      </c>
      <c r="F1973" s="41" t="n">
        <v>41</v>
      </c>
      <c r="G1973" s="41" t="n">
        <v>41</v>
      </c>
      <c r="H1973" s="41" t="n">
        <v>0</v>
      </c>
      <c r="I1973" s="41" t="n">
        <v>0</v>
      </c>
      <c r="J1973" s="41" t="n">
        <v>0</v>
      </c>
      <c r="K1973" s="453" t="n"/>
      <c r="L1973" s="453" t="n"/>
      <c r="M1973" s="453" t="n"/>
      <c r="N1973" s="453" t="n"/>
      <c r="O1973" s="453" t="n"/>
      <c r="P1973" s="1617" t="n"/>
      <c r="Q1973" s="453" t="n"/>
      <c r="R1973" s="453" t="n"/>
      <c r="S1973" s="453" t="n"/>
      <c r="T1973" s="453" t="n"/>
      <c r="U1973" s="453" t="n"/>
      <c r="V1973" s="453" t="n"/>
      <c r="W1973" s="453" t="n"/>
    </row>
    <row r="1974" customFormat="1" s="21">
      <c r="A1974" s="20" t="inlineStr">
        <is>
          <t>Tropical Wet</t>
        </is>
      </c>
      <c r="B1974" s="41" t="n">
        <v>41</v>
      </c>
      <c r="C1974" s="41" t="n">
        <v>41</v>
      </c>
      <c r="D1974" s="41" t="n">
        <v>41</v>
      </c>
      <c r="E1974" s="41" t="n">
        <v>41</v>
      </c>
      <c r="F1974" s="41" t="n">
        <v>41</v>
      </c>
      <c r="G1974" s="41" t="n">
        <v>41</v>
      </c>
      <c r="H1974" s="41" t="n">
        <v>0</v>
      </c>
      <c r="I1974" s="41" t="n">
        <v>0</v>
      </c>
      <c r="J1974" s="41" t="n">
        <v>0</v>
      </c>
      <c r="K1974" s="453" t="n"/>
      <c r="L1974" s="453" t="n"/>
      <c r="M1974" s="453" t="n"/>
      <c r="N1974" s="453" t="n"/>
      <c r="O1974" s="453" t="n"/>
      <c r="P1974" s="1617" t="n"/>
      <c r="Q1974" s="453" t="n"/>
      <c r="R1974" s="453" t="n"/>
      <c r="S1974" s="453" t="n"/>
      <c r="T1974" s="453" t="n"/>
      <c r="U1974" s="453" t="n"/>
      <c r="V1974" s="453" t="n"/>
      <c r="W1974" s="453" t="n"/>
    </row>
    <row r="1975" customFormat="1" s="292">
      <c r="A1975" s="37" t="inlineStr">
        <is>
          <t>Tropical Montane</t>
        </is>
      </c>
      <c r="B1975" s="42" t="n">
        <v>41</v>
      </c>
      <c r="C1975" s="42" t="n">
        <v>41</v>
      </c>
      <c r="D1975" s="42" t="n">
        <v>41</v>
      </c>
      <c r="E1975" s="42" t="n">
        <v>41</v>
      </c>
      <c r="F1975" s="42" t="n">
        <v>41</v>
      </c>
      <c r="G1975" s="42" t="n">
        <v>41</v>
      </c>
      <c r="H1975" s="42" t="n">
        <v>0</v>
      </c>
      <c r="I1975" s="42" t="n">
        <v>0</v>
      </c>
      <c r="J1975" s="42" t="n">
        <v>0</v>
      </c>
      <c r="K1975" s="1074" t="n"/>
      <c r="L1975" s="1074" t="n"/>
      <c r="M1975" s="1074" t="n"/>
      <c r="N1975" s="1074" t="n"/>
      <c r="O1975" s="1074" t="n"/>
      <c r="P1975" s="1618" t="n"/>
      <c r="Q1975" s="1074" t="n"/>
      <c r="R1975" s="1074" t="n"/>
      <c r="S1975" s="1074" t="n"/>
      <c r="T1975" s="1074" t="n"/>
      <c r="U1975" s="1074" t="n"/>
      <c r="V1975" s="1074" t="n"/>
      <c r="W1975" s="1074" t="n"/>
    </row>
    <row r="1976" customFormat="1" s="292">
      <c r="A1976" s="1073" t="inlineStr">
        <is>
          <t xml:space="preserve">Notes </t>
        </is>
      </c>
    </row>
    <row r="1977" customFormat="1" s="292"/>
    <row r="1978" customFormat="1" s="535">
      <c r="A1978" s="516" t="n"/>
    </row>
    <row r="1980" customFormat="1" s="125">
      <c r="A1980" s="377" t="inlineStr">
        <is>
          <t>Emissions factors for CH4 on rewetted organic soils  IPCC 2013</t>
        </is>
      </c>
      <c r="D1980" s="1075" t="n"/>
      <c r="E1980" s="1075" t="n"/>
      <c r="F1980" s="1075" t="n"/>
      <c r="G1980" s="1075" t="n"/>
      <c r="H1980" s="1075" t="n"/>
      <c r="I1980" s="1075" t="n"/>
    </row>
    <row r="1981" ht="16.25" customFormat="1" customHeight="1" s="773">
      <c r="A1981" s="753" t="inlineStr">
        <is>
          <t>NUTRIENT RICH</t>
        </is>
      </c>
      <c r="B1981" s="442" t="inlineStr">
        <is>
          <t>Table 3.3</t>
        </is>
      </c>
      <c r="C1981" s="442" t="inlineStr">
        <is>
          <t>Table 3.3</t>
        </is>
      </c>
      <c r="D1981" s="442" t="inlineStr">
        <is>
          <t>Table 3.3</t>
        </is>
      </c>
      <c r="E1981" s="442" t="inlineStr">
        <is>
          <t>Table 3.3</t>
        </is>
      </c>
      <c r="F1981" s="442" t="inlineStr">
        <is>
          <t>Table 3.3</t>
        </is>
      </c>
      <c r="G1981" s="442" t="inlineStr">
        <is>
          <t>Table 3.3</t>
        </is>
      </c>
      <c r="H1981" s="442" t="n"/>
      <c r="I1981" s="442" t="n"/>
      <c r="J1981" s="442" t="n"/>
      <c r="K1981" s="442" t="n"/>
      <c r="L1981" s="442" t="n"/>
      <c r="M1981" s="442" t="n"/>
      <c r="N1981" s="442" t="n"/>
      <c r="O1981" s="442" t="n"/>
      <c r="P1981" s="532" t="n"/>
      <c r="Q1981" s="442" t="n"/>
      <c r="R1981" s="442" t="n"/>
      <c r="S1981" s="442" t="n"/>
      <c r="T1981" s="442" t="n"/>
      <c r="U1981" s="442" t="n"/>
      <c r="V1981" s="442" t="n"/>
      <c r="W1981" s="442" t="n"/>
    </row>
    <row r="1982" customFormat="1" s="291">
      <c r="A1982" s="293" t="inlineStr">
        <is>
          <t>IPCC Climate Region</t>
        </is>
      </c>
      <c r="B1982" s="426" t="inlineStr">
        <is>
          <t>Forest</t>
        </is>
      </c>
      <c r="C1982" s="426" t="inlineStr">
        <is>
          <t>Plantation</t>
        </is>
      </c>
      <c r="D1982" s="426" t="inlineStr">
        <is>
          <t>Annual</t>
        </is>
      </c>
      <c r="E1982" s="426" t="inlineStr">
        <is>
          <t>Perennial</t>
        </is>
      </c>
      <c r="F1982" s="426" t="inlineStr">
        <is>
          <t>Flooded rice</t>
        </is>
      </c>
      <c r="G1982" s="426" t="inlineStr">
        <is>
          <t>Grassland</t>
        </is>
      </c>
      <c r="H1982" s="426" t="inlineStr">
        <is>
          <t>Settlement</t>
        </is>
      </c>
      <c r="I1982" s="426" t="inlineStr">
        <is>
          <t>Other land</t>
        </is>
      </c>
      <c r="J1982" s="426" t="inlineStr">
        <is>
          <t>Degraded land</t>
        </is>
      </c>
      <c r="K1982" s="453" t="n"/>
      <c r="L1982" s="453" t="n"/>
      <c r="M1982" s="453" t="n"/>
      <c r="N1982" s="453" t="n"/>
      <c r="O1982" s="453" t="n"/>
      <c r="P1982" s="1616" t="n"/>
      <c r="Q1982" s="453" t="n"/>
      <c r="R1982" s="453" t="n"/>
      <c r="S1982" s="453" t="n"/>
      <c r="T1982" s="453" t="n"/>
      <c r="U1982" s="453" t="n"/>
      <c r="V1982" s="453" t="n"/>
      <c r="W1982" s="453" t="n"/>
      <c r="X1982" s="21" t="n"/>
      <c r="Y1982" s="21" t="n"/>
    </row>
    <row r="1983" customFormat="1" s="21">
      <c r="A1983" s="255" t="inlineStr">
        <is>
          <t>Please select</t>
        </is>
      </c>
      <c r="B1983" s="426" t="inlineStr">
        <is>
          <t>kg CH4-C/ha/yr</t>
        </is>
      </c>
      <c r="C1983" s="426" t="inlineStr">
        <is>
          <t>kg CH4-C/ha/yr</t>
        </is>
      </c>
      <c r="D1983" s="426" t="inlineStr">
        <is>
          <t>kg CH4-C/ha/yr</t>
        </is>
      </c>
      <c r="E1983" s="426" t="inlineStr">
        <is>
          <t>kg CH4-C/ha/yr</t>
        </is>
      </c>
      <c r="F1983" s="426" t="inlineStr">
        <is>
          <t>kg CH4-C/ha/yr</t>
        </is>
      </c>
      <c r="G1983" s="426" t="inlineStr">
        <is>
          <t>kg CH4-C/ha/yr</t>
        </is>
      </c>
      <c r="H1983" s="426" t="inlineStr">
        <is>
          <t>kg CH4-C/ha/yr</t>
        </is>
      </c>
      <c r="I1983" s="426" t="inlineStr">
        <is>
          <t>kg CH4-C/ha/yr</t>
        </is>
      </c>
      <c r="J1983" s="426" t="inlineStr">
        <is>
          <t>kg CH4-C/ha/yr</t>
        </is>
      </c>
      <c r="K1983" s="453" t="n"/>
      <c r="L1983" s="453" t="n"/>
      <c r="M1983" s="453" t="n"/>
      <c r="N1983" s="453" t="n"/>
      <c r="O1983" s="453" t="n"/>
      <c r="P1983" s="453" t="n"/>
      <c r="Q1983" s="453" t="n"/>
      <c r="R1983" s="453" t="n"/>
      <c r="S1983" s="453" t="n"/>
      <c r="T1983" s="453" t="n"/>
      <c r="U1983" s="453" t="n"/>
      <c r="V1983" s="453" t="n"/>
      <c r="W1983" s="453" t="n"/>
    </row>
    <row r="1984" customFormat="1" s="21">
      <c r="A1984" s="20" t="inlineStr">
        <is>
          <t>Boreal Dry</t>
        </is>
      </c>
      <c r="B1984" s="41" t="n">
        <v>137</v>
      </c>
      <c r="C1984" s="41" t="n">
        <v>137</v>
      </c>
      <c r="D1984" s="41" t="n">
        <v>137</v>
      </c>
      <c r="E1984" s="41" t="n">
        <v>137</v>
      </c>
      <c r="F1984" s="41" t="n">
        <v>137</v>
      </c>
      <c r="G1984" s="41" t="n">
        <v>137</v>
      </c>
      <c r="H1984" s="44" t="n">
        <v>0</v>
      </c>
      <c r="I1984" s="44" t="n">
        <v>0</v>
      </c>
      <c r="J1984" s="44" t="n">
        <v>0</v>
      </c>
      <c r="K1984" s="453" t="n"/>
      <c r="L1984" s="453" t="n"/>
      <c r="M1984" s="453" t="n"/>
      <c r="N1984" s="453" t="n"/>
      <c r="O1984" s="453" t="n"/>
      <c r="P1984" s="1617" t="n"/>
      <c r="Q1984" s="453" t="n"/>
      <c r="R1984" s="453" t="n"/>
      <c r="S1984" s="453" t="n"/>
      <c r="T1984" s="453" t="n"/>
      <c r="U1984" s="453" t="n"/>
      <c r="V1984" s="453" t="n"/>
      <c r="W1984" s="453" t="n"/>
    </row>
    <row r="1985" customFormat="1" s="21">
      <c r="A1985" s="20" t="inlineStr">
        <is>
          <t>Boreal Moist</t>
        </is>
      </c>
      <c r="B1985" s="41" t="n">
        <v>137</v>
      </c>
      <c r="C1985" s="41" t="n">
        <v>137</v>
      </c>
      <c r="D1985" s="41" t="n">
        <v>137</v>
      </c>
      <c r="E1985" s="41" t="n">
        <v>137</v>
      </c>
      <c r="F1985" s="41" t="n">
        <v>137</v>
      </c>
      <c r="G1985" s="41" t="n">
        <v>137</v>
      </c>
      <c r="H1985" s="41" t="n">
        <v>0</v>
      </c>
      <c r="I1985" s="41" t="n">
        <v>0</v>
      </c>
      <c r="J1985" s="41" t="n">
        <v>0</v>
      </c>
      <c r="K1985" s="453" t="n"/>
      <c r="L1985" s="453" t="n"/>
      <c r="M1985" s="453" t="n"/>
      <c r="N1985" s="453" t="n"/>
      <c r="O1985" s="453" t="n"/>
      <c r="P1985" s="1617" t="n"/>
      <c r="Q1985" s="453" t="n"/>
      <c r="R1985" s="453" t="n"/>
      <c r="S1985" s="453" t="n"/>
      <c r="T1985" s="453" t="n"/>
      <c r="U1985" s="453" t="n"/>
      <c r="V1985" s="453" t="n"/>
      <c r="W1985" s="453" t="n"/>
    </row>
    <row r="1986" customFormat="1" s="21">
      <c r="A1986" s="20" t="inlineStr">
        <is>
          <t>Cool Temperate Dry</t>
        </is>
      </c>
      <c r="B1986" s="41" t="n">
        <v>216</v>
      </c>
      <c r="C1986" s="41" t="n">
        <v>216</v>
      </c>
      <c r="D1986" s="41" t="n">
        <v>216</v>
      </c>
      <c r="E1986" s="41" t="n">
        <v>216</v>
      </c>
      <c r="F1986" s="41" t="n">
        <v>216</v>
      </c>
      <c r="G1986" s="41" t="n">
        <v>216</v>
      </c>
      <c r="H1986" s="41" t="n">
        <v>0</v>
      </c>
      <c r="I1986" s="41" t="n">
        <v>0</v>
      </c>
      <c r="J1986" s="41" t="n">
        <v>0</v>
      </c>
      <c r="K1986" s="453" t="n"/>
      <c r="L1986" s="453" t="n"/>
      <c r="M1986" s="453" t="n"/>
      <c r="N1986" s="453" t="n"/>
      <c r="O1986" s="453" t="n"/>
      <c r="P1986" s="1617" t="n"/>
      <c r="Q1986" s="453" t="n"/>
      <c r="R1986" s="453" t="n"/>
      <c r="S1986" s="453" t="n"/>
      <c r="T1986" s="453" t="n"/>
      <c r="U1986" s="453" t="n"/>
      <c r="V1986" s="453" t="n"/>
      <c r="W1986" s="453" t="n"/>
    </row>
    <row r="1987" customFormat="1" s="21">
      <c r="A1987" s="20" t="inlineStr">
        <is>
          <t>Cool Temperate Moist</t>
        </is>
      </c>
      <c r="B1987" s="41" t="n">
        <v>216</v>
      </c>
      <c r="C1987" s="41" t="n">
        <v>216</v>
      </c>
      <c r="D1987" s="41" t="n">
        <v>216</v>
      </c>
      <c r="E1987" s="41" t="n">
        <v>216</v>
      </c>
      <c r="F1987" s="41" t="n">
        <v>216</v>
      </c>
      <c r="G1987" s="41" t="n">
        <v>216</v>
      </c>
      <c r="H1987" s="41" t="n">
        <v>0</v>
      </c>
      <c r="I1987" s="41" t="n">
        <v>0</v>
      </c>
      <c r="J1987" s="41" t="n">
        <v>0</v>
      </c>
      <c r="K1987" s="453" t="n"/>
      <c r="L1987" s="453" t="n"/>
      <c r="M1987" s="453" t="n"/>
      <c r="N1987" s="453" t="n"/>
      <c r="O1987" s="453" t="n"/>
      <c r="P1987" s="1617" t="n"/>
      <c r="Q1987" s="453" t="n"/>
      <c r="R1987" s="453" t="n"/>
      <c r="S1987" s="453" t="n"/>
      <c r="T1987" s="453" t="n"/>
      <c r="U1987" s="453" t="n"/>
      <c r="V1987" s="453" t="n"/>
      <c r="W1987" s="453" t="n"/>
    </row>
    <row r="1988" customFormat="1" s="21">
      <c r="A1988" s="20" t="inlineStr">
        <is>
          <t>Warm Temperate Dry</t>
        </is>
      </c>
      <c r="B1988" s="41" t="n">
        <v>216</v>
      </c>
      <c r="C1988" s="41" t="n">
        <v>216</v>
      </c>
      <c r="D1988" s="41" t="n">
        <v>216</v>
      </c>
      <c r="E1988" s="41" t="n">
        <v>216</v>
      </c>
      <c r="F1988" s="41" t="n">
        <v>216</v>
      </c>
      <c r="G1988" s="41" t="n">
        <v>216</v>
      </c>
      <c r="H1988" s="41" t="n">
        <v>0</v>
      </c>
      <c r="I1988" s="41" t="n">
        <v>0</v>
      </c>
      <c r="J1988" s="41" t="n">
        <v>0</v>
      </c>
      <c r="K1988" s="453" t="n"/>
      <c r="L1988" s="453" t="n"/>
      <c r="M1988" s="453" t="n"/>
      <c r="N1988" s="453" t="n"/>
      <c r="O1988" s="453" t="n"/>
      <c r="P1988" s="1617" t="n"/>
      <c r="Q1988" s="453" t="n"/>
      <c r="R1988" s="453" t="n"/>
      <c r="S1988" s="453" t="n"/>
      <c r="T1988" s="453" t="n"/>
      <c r="U1988" s="453" t="n"/>
      <c r="V1988" s="453" t="n"/>
      <c r="W1988" s="453" t="n"/>
    </row>
    <row r="1989" customFormat="1" s="21">
      <c r="A1989" s="20" t="inlineStr">
        <is>
          <t>Warm Temperate Moist</t>
        </is>
      </c>
      <c r="B1989" s="41" t="n">
        <v>216</v>
      </c>
      <c r="C1989" s="41" t="n">
        <v>216</v>
      </c>
      <c r="D1989" s="41" t="n">
        <v>216</v>
      </c>
      <c r="E1989" s="41" t="n">
        <v>216</v>
      </c>
      <c r="F1989" s="41" t="n">
        <v>216</v>
      </c>
      <c r="G1989" s="41" t="n">
        <v>216</v>
      </c>
      <c r="H1989" s="41" t="n">
        <v>0</v>
      </c>
      <c r="I1989" s="41" t="n">
        <v>0</v>
      </c>
      <c r="J1989" s="41" t="n">
        <v>0</v>
      </c>
      <c r="K1989" s="453" t="n"/>
      <c r="L1989" s="453" t="n"/>
      <c r="M1989" s="453" t="n"/>
      <c r="N1989" s="453" t="n"/>
      <c r="O1989" s="453" t="n"/>
      <c r="P1989" s="1617" t="n"/>
      <c r="Q1989" s="453" t="n"/>
      <c r="R1989" s="453" t="n"/>
      <c r="S1989" s="453" t="n"/>
      <c r="T1989" s="453" t="n"/>
      <c r="U1989" s="453" t="n"/>
      <c r="V1989" s="453" t="n"/>
      <c r="W1989" s="453" t="n"/>
    </row>
    <row r="1990" customFormat="1" s="21">
      <c r="A1990" s="20" t="inlineStr">
        <is>
          <t>Tropical Dry</t>
        </is>
      </c>
      <c r="B1990" s="41" t="n">
        <v>41</v>
      </c>
      <c r="C1990" s="41" t="n">
        <v>41</v>
      </c>
      <c r="D1990" s="41" t="n">
        <v>41</v>
      </c>
      <c r="E1990" s="41" t="n">
        <v>41</v>
      </c>
      <c r="F1990" s="41" t="n">
        <v>41</v>
      </c>
      <c r="G1990" s="41" t="n">
        <v>41</v>
      </c>
      <c r="H1990" s="41" t="n">
        <v>0</v>
      </c>
      <c r="I1990" s="41" t="n">
        <v>0</v>
      </c>
      <c r="J1990" s="41" t="n">
        <v>0</v>
      </c>
      <c r="K1990" s="453" t="n"/>
      <c r="L1990" s="453" t="n"/>
      <c r="M1990" s="453" t="n"/>
      <c r="N1990" s="453" t="n"/>
      <c r="O1990" s="453" t="n"/>
      <c r="P1990" s="1617" t="n"/>
      <c r="Q1990" s="453" t="n"/>
      <c r="R1990" s="453" t="n"/>
      <c r="S1990" s="453" t="n"/>
      <c r="T1990" s="453" t="n"/>
      <c r="U1990" s="453" t="n"/>
      <c r="V1990" s="453" t="n"/>
      <c r="W1990" s="453" t="n"/>
    </row>
    <row r="1991" customFormat="1" s="21">
      <c r="A1991" s="20" t="inlineStr">
        <is>
          <t>Tropical Moist</t>
        </is>
      </c>
      <c r="B1991" s="41" t="n">
        <v>41</v>
      </c>
      <c r="C1991" s="41" t="n">
        <v>41</v>
      </c>
      <c r="D1991" s="41" t="n">
        <v>41</v>
      </c>
      <c r="E1991" s="41" t="n">
        <v>41</v>
      </c>
      <c r="F1991" s="41" t="n">
        <v>41</v>
      </c>
      <c r="G1991" s="41" t="n">
        <v>41</v>
      </c>
      <c r="H1991" s="41" t="n">
        <v>0</v>
      </c>
      <c r="I1991" s="41" t="n">
        <v>0</v>
      </c>
      <c r="J1991" s="41" t="n">
        <v>0</v>
      </c>
      <c r="K1991" s="453" t="n"/>
      <c r="L1991" s="453" t="n"/>
      <c r="M1991" s="453" t="n"/>
      <c r="N1991" s="453" t="n"/>
      <c r="O1991" s="453" t="n"/>
      <c r="P1991" s="1617" t="n"/>
      <c r="Q1991" s="453" t="n"/>
      <c r="R1991" s="453" t="n"/>
      <c r="S1991" s="453" t="n"/>
      <c r="T1991" s="453" t="n"/>
      <c r="U1991" s="453" t="n"/>
      <c r="V1991" s="453" t="n"/>
      <c r="W1991" s="453" t="n"/>
    </row>
    <row r="1992" customFormat="1" s="21">
      <c r="A1992" s="20" t="inlineStr">
        <is>
          <t>Tropical Wet</t>
        </is>
      </c>
      <c r="B1992" s="41" t="n">
        <v>41</v>
      </c>
      <c r="C1992" s="41" t="n">
        <v>41</v>
      </c>
      <c r="D1992" s="41" t="n">
        <v>41</v>
      </c>
      <c r="E1992" s="41" t="n">
        <v>41</v>
      </c>
      <c r="F1992" s="41" t="n">
        <v>41</v>
      </c>
      <c r="G1992" s="41" t="n">
        <v>41</v>
      </c>
      <c r="H1992" s="41" t="n">
        <v>0</v>
      </c>
      <c r="I1992" s="41" t="n">
        <v>0</v>
      </c>
      <c r="J1992" s="41" t="n">
        <v>0</v>
      </c>
      <c r="K1992" s="453" t="n"/>
      <c r="L1992" s="453" t="n"/>
      <c r="M1992" s="453" t="n"/>
      <c r="N1992" s="453" t="n"/>
      <c r="O1992" s="453" t="n"/>
      <c r="P1992" s="1617" t="n"/>
      <c r="Q1992" s="453" t="n"/>
      <c r="R1992" s="453" t="n"/>
      <c r="S1992" s="453" t="n"/>
      <c r="T1992" s="453" t="n"/>
      <c r="U1992" s="453" t="n"/>
      <c r="V1992" s="453" t="n"/>
      <c r="W1992" s="453" t="n"/>
    </row>
    <row r="1993" customFormat="1" s="292">
      <c r="A1993" s="37" t="inlineStr">
        <is>
          <t>Tropical Montane</t>
        </is>
      </c>
      <c r="B1993" s="42" t="n">
        <v>41</v>
      </c>
      <c r="C1993" s="42" t="n">
        <v>41</v>
      </c>
      <c r="D1993" s="42" t="n">
        <v>41</v>
      </c>
      <c r="E1993" s="42" t="n">
        <v>41</v>
      </c>
      <c r="F1993" s="42" t="n">
        <v>41</v>
      </c>
      <c r="G1993" s="42" t="n">
        <v>41</v>
      </c>
      <c r="H1993" s="42" t="n">
        <v>0</v>
      </c>
      <c r="I1993" s="42" t="n">
        <v>0</v>
      </c>
      <c r="J1993" s="42" t="n">
        <v>0</v>
      </c>
      <c r="K1993" s="1074" t="n"/>
      <c r="L1993" s="1074" t="n"/>
      <c r="M1993" s="1074" t="n"/>
      <c r="N1993" s="1074" t="n"/>
      <c r="O1993" s="1074" t="n"/>
      <c r="P1993" s="1618" t="n"/>
      <c r="Q1993" s="1074" t="n"/>
      <c r="R1993" s="1074" t="n"/>
      <c r="S1993" s="1074" t="n"/>
      <c r="T1993" s="1074" t="n"/>
      <c r="U1993" s="1074" t="n"/>
      <c r="V1993" s="1074" t="n"/>
      <c r="W1993" s="1074" t="n"/>
    </row>
    <row r="1994" customFormat="1" s="292">
      <c r="A1994" s="1073" t="inlineStr">
        <is>
          <t xml:space="preserve">Notes </t>
        </is>
      </c>
    </row>
    <row r="1995" customFormat="1" s="292"/>
    <row r="1996" customFormat="1" s="535">
      <c r="A1996" s="516" t="n"/>
    </row>
    <row r="1998" customFormat="1" s="125">
      <c r="A1998" s="377" t="inlineStr">
        <is>
          <t>Emissions factors for N2O on rewetted organic soils  IPCC 2013</t>
        </is>
      </c>
      <c r="D1998" s="1075" t="n"/>
      <c r="E1998" s="1075" t="n"/>
      <c r="F1998" s="1075" t="n"/>
      <c r="G1998" s="1075" t="n"/>
      <c r="H1998" s="1075" t="n"/>
      <c r="I1998" s="1075" t="n"/>
    </row>
    <row r="1999" ht="16.25" customFormat="1" customHeight="1" s="773">
      <c r="A1999" s="753" t="n"/>
      <c r="B1999" s="1072" t="inlineStr">
        <is>
          <t>NO TIER 1 EMISSION FACTORS</t>
        </is>
      </c>
      <c r="C1999" s="442" t="n"/>
      <c r="D1999" s="442" t="n"/>
      <c r="E1999" s="442" t="n"/>
      <c r="F1999" s="442" t="n"/>
      <c r="G1999" s="442" t="n"/>
      <c r="H1999" s="442" t="n"/>
      <c r="I1999" s="442" t="n"/>
      <c r="J1999" s="442" t="n"/>
      <c r="K1999" s="442" t="n"/>
      <c r="L1999" s="442" t="n"/>
      <c r="M1999" s="442" t="n"/>
      <c r="N1999" s="442" t="n"/>
      <c r="O1999" s="442" t="n"/>
      <c r="P1999" s="532" t="n"/>
      <c r="Q1999" s="442" t="n"/>
      <c r="R1999" s="442" t="n"/>
      <c r="S1999" s="442" t="n"/>
      <c r="T1999" s="442" t="n"/>
      <c r="U1999" s="442" t="n"/>
      <c r="V1999" s="442" t="n"/>
      <c r="W1999" s="442" t="n"/>
    </row>
    <row r="2000" customFormat="1" s="291">
      <c r="A2000" s="293" t="inlineStr">
        <is>
          <t>IPCC Climate Region</t>
        </is>
      </c>
      <c r="B2000" s="426" t="inlineStr">
        <is>
          <t>Forest</t>
        </is>
      </c>
      <c r="C2000" s="426" t="inlineStr">
        <is>
          <t>Plantation</t>
        </is>
      </c>
      <c r="D2000" s="426" t="inlineStr">
        <is>
          <t>Annual</t>
        </is>
      </c>
      <c r="E2000" s="426" t="inlineStr">
        <is>
          <t>Perennial</t>
        </is>
      </c>
      <c r="F2000" s="426" t="inlineStr">
        <is>
          <t>Flooded rice</t>
        </is>
      </c>
      <c r="G2000" s="426" t="inlineStr">
        <is>
          <t>Grassland</t>
        </is>
      </c>
      <c r="H2000" s="426" t="inlineStr">
        <is>
          <t>Settlement</t>
        </is>
      </c>
      <c r="I2000" s="426" t="inlineStr">
        <is>
          <t>Other land</t>
        </is>
      </c>
      <c r="J2000" s="426" t="inlineStr">
        <is>
          <t>Degraded land</t>
        </is>
      </c>
      <c r="K2000" s="453" t="n"/>
      <c r="L2000" s="453" t="n"/>
      <c r="M2000" s="453" t="n"/>
      <c r="N2000" s="453" t="n"/>
      <c r="O2000" s="453" t="n"/>
      <c r="P2000" s="1616" t="n"/>
      <c r="Q2000" s="453" t="n"/>
      <c r="R2000" s="453" t="n"/>
      <c r="S2000" s="453" t="n"/>
      <c r="T2000" s="453" t="n"/>
      <c r="U2000" s="453" t="n"/>
      <c r="V2000" s="453" t="n"/>
      <c r="W2000" s="453" t="n"/>
      <c r="X2000" s="21" t="n"/>
      <c r="Y2000" s="21" t="n"/>
    </row>
    <row r="2001" customFormat="1" s="21">
      <c r="A2001" s="255" t="inlineStr">
        <is>
          <t>Please select</t>
        </is>
      </c>
      <c r="B2001" s="426" t="inlineStr">
        <is>
          <t>tN2O-N/ha/yr</t>
        </is>
      </c>
      <c r="C2001" s="426" t="inlineStr">
        <is>
          <t>tN2O-N/ha/yr</t>
        </is>
      </c>
      <c r="D2001" s="426" t="inlineStr">
        <is>
          <t>tN2O-N/ha/yr</t>
        </is>
      </c>
      <c r="E2001" s="426" t="inlineStr">
        <is>
          <t>tN2O-N/ha/yr</t>
        </is>
      </c>
      <c r="F2001" s="426" t="inlineStr">
        <is>
          <t>tN2O-N/ha/yr</t>
        </is>
      </c>
      <c r="G2001" s="426" t="inlineStr">
        <is>
          <t>tN2O-N/ha/yr</t>
        </is>
      </c>
      <c r="H2001" s="426" t="inlineStr">
        <is>
          <t>tN2O-N/ha/yr</t>
        </is>
      </c>
      <c r="I2001" s="426" t="inlineStr">
        <is>
          <t>tN2O-N/ha/yr</t>
        </is>
      </c>
      <c r="J2001" s="426" t="inlineStr">
        <is>
          <t>tN2O-N/ha/yr</t>
        </is>
      </c>
      <c r="K2001" s="453" t="n"/>
      <c r="L2001" s="453" t="n"/>
      <c r="M2001" s="453" t="n"/>
      <c r="N2001" s="453" t="n"/>
      <c r="O2001" s="453" t="n"/>
      <c r="P2001" s="453" t="n"/>
      <c r="Q2001" s="453" t="n"/>
      <c r="R2001" s="453" t="n"/>
      <c r="S2001" s="453" t="n"/>
      <c r="T2001" s="453" t="n"/>
      <c r="U2001" s="453" t="n"/>
      <c r="V2001" s="453" t="n"/>
      <c r="W2001" s="453" t="n"/>
    </row>
    <row r="2002" customFormat="1" s="21">
      <c r="A2002" s="20" t="inlineStr">
        <is>
          <t>Boreal Dry</t>
        </is>
      </c>
      <c r="B2002" s="41" t="n">
        <v>0</v>
      </c>
      <c r="C2002" s="41" t="n">
        <v>0</v>
      </c>
      <c r="D2002" s="41" t="n">
        <v>0</v>
      </c>
      <c r="E2002" s="41" t="n">
        <v>0</v>
      </c>
      <c r="F2002" s="41" t="n">
        <v>0</v>
      </c>
      <c r="G2002" s="41" t="n">
        <v>0</v>
      </c>
      <c r="H2002" s="44" t="n">
        <v>0</v>
      </c>
      <c r="I2002" s="44" t="n">
        <v>0</v>
      </c>
      <c r="J2002" s="44" t="n">
        <v>0</v>
      </c>
      <c r="K2002" s="453" t="n"/>
      <c r="L2002" s="453" t="n"/>
      <c r="M2002" s="453" t="n"/>
      <c r="N2002" s="453" t="n"/>
      <c r="O2002" s="453" t="n"/>
      <c r="P2002" s="1617" t="n"/>
      <c r="Q2002" s="453" t="n"/>
      <c r="R2002" s="453" t="n"/>
      <c r="S2002" s="453" t="n"/>
      <c r="T2002" s="453" t="n"/>
      <c r="U2002" s="453" t="n"/>
      <c r="V2002" s="453" t="n"/>
      <c r="W2002" s="453" t="n"/>
    </row>
    <row r="2003" customFormat="1" s="21">
      <c r="A2003" s="20" t="inlineStr">
        <is>
          <t>Boreal Moist</t>
        </is>
      </c>
      <c r="B2003" s="41" t="n">
        <v>0</v>
      </c>
      <c r="C2003" s="41" t="n">
        <v>0</v>
      </c>
      <c r="D2003" s="41" t="n">
        <v>0</v>
      </c>
      <c r="E2003" s="41" t="n">
        <v>0</v>
      </c>
      <c r="F2003" s="41" t="n">
        <v>0</v>
      </c>
      <c r="G2003" s="41" t="n">
        <v>0</v>
      </c>
      <c r="H2003" s="41" t="n">
        <v>0</v>
      </c>
      <c r="I2003" s="41" t="n">
        <v>0</v>
      </c>
      <c r="J2003" s="41" t="n">
        <v>0</v>
      </c>
      <c r="K2003" s="453" t="n"/>
      <c r="L2003" s="453" t="n"/>
      <c r="M2003" s="453" t="n"/>
      <c r="N2003" s="453" t="n"/>
      <c r="O2003" s="453" t="n"/>
      <c r="P2003" s="1617" t="n"/>
      <c r="Q2003" s="453" t="n"/>
      <c r="R2003" s="453" t="n"/>
      <c r="S2003" s="453" t="n"/>
      <c r="T2003" s="453" t="n"/>
      <c r="U2003" s="453" t="n"/>
      <c r="V2003" s="453" t="n"/>
      <c r="W2003" s="453" t="n"/>
    </row>
    <row r="2004" customFormat="1" s="21">
      <c r="A2004" s="20" t="inlineStr">
        <is>
          <t>Cool Temperate Dry</t>
        </is>
      </c>
      <c r="B2004" s="41" t="n">
        <v>0</v>
      </c>
      <c r="C2004" s="41" t="n">
        <v>0</v>
      </c>
      <c r="D2004" s="41" t="n">
        <v>0</v>
      </c>
      <c r="E2004" s="41" t="n">
        <v>0</v>
      </c>
      <c r="F2004" s="41" t="n">
        <v>0</v>
      </c>
      <c r="G2004" s="41" t="n">
        <v>0</v>
      </c>
      <c r="H2004" s="41" t="n">
        <v>0</v>
      </c>
      <c r="I2004" s="41" t="n">
        <v>0</v>
      </c>
      <c r="J2004" s="41" t="n">
        <v>0</v>
      </c>
      <c r="K2004" s="453" t="n"/>
      <c r="L2004" s="453" t="n"/>
      <c r="M2004" s="453" t="n"/>
      <c r="N2004" s="453" t="n"/>
      <c r="O2004" s="453" t="n"/>
      <c r="P2004" s="1617" t="n"/>
      <c r="Q2004" s="453" t="n"/>
      <c r="R2004" s="453" t="n"/>
      <c r="S2004" s="453" t="n"/>
      <c r="T2004" s="453" t="n"/>
      <c r="U2004" s="453" t="n"/>
      <c r="V2004" s="453" t="n"/>
      <c r="W2004" s="453" t="n"/>
    </row>
    <row r="2005" customFormat="1" s="21">
      <c r="A2005" s="20" t="inlineStr">
        <is>
          <t>Cool Temperate Moist</t>
        </is>
      </c>
      <c r="B2005" s="41" t="n">
        <v>0</v>
      </c>
      <c r="C2005" s="41" t="n">
        <v>0</v>
      </c>
      <c r="D2005" s="41" t="n">
        <v>0</v>
      </c>
      <c r="E2005" s="41" t="n">
        <v>0</v>
      </c>
      <c r="F2005" s="41" t="n">
        <v>0</v>
      </c>
      <c r="G2005" s="41" t="n">
        <v>0</v>
      </c>
      <c r="H2005" s="41" t="n">
        <v>0</v>
      </c>
      <c r="I2005" s="41" t="n">
        <v>0</v>
      </c>
      <c r="J2005" s="41" t="n">
        <v>0</v>
      </c>
      <c r="K2005" s="453" t="n"/>
      <c r="L2005" s="453" t="n"/>
      <c r="M2005" s="453" t="n"/>
      <c r="N2005" s="453" t="n"/>
      <c r="O2005" s="453" t="n"/>
      <c r="P2005" s="1617" t="n"/>
      <c r="Q2005" s="453" t="n"/>
      <c r="R2005" s="453" t="n"/>
      <c r="S2005" s="453" t="n"/>
      <c r="T2005" s="453" t="n"/>
      <c r="U2005" s="453" t="n"/>
      <c r="V2005" s="453" t="n"/>
      <c r="W2005" s="453" t="n"/>
    </row>
    <row r="2006" customFormat="1" s="21">
      <c r="A2006" s="20" t="inlineStr">
        <is>
          <t>Warm Temperate Dry</t>
        </is>
      </c>
      <c r="B2006" s="41" t="n">
        <v>0</v>
      </c>
      <c r="C2006" s="41" t="n">
        <v>0</v>
      </c>
      <c r="D2006" s="41" t="n">
        <v>0</v>
      </c>
      <c r="E2006" s="41" t="n">
        <v>0</v>
      </c>
      <c r="F2006" s="41" t="n">
        <v>0</v>
      </c>
      <c r="G2006" s="41" t="n">
        <v>0</v>
      </c>
      <c r="H2006" s="41" t="n">
        <v>0</v>
      </c>
      <c r="I2006" s="41" t="n">
        <v>0</v>
      </c>
      <c r="J2006" s="41" t="n">
        <v>0</v>
      </c>
      <c r="K2006" s="453" t="n"/>
      <c r="L2006" s="453" t="n"/>
      <c r="M2006" s="453" t="n"/>
      <c r="N2006" s="453" t="n"/>
      <c r="O2006" s="453" t="n"/>
      <c r="P2006" s="1617" t="n"/>
      <c r="Q2006" s="453" t="n"/>
      <c r="R2006" s="453" t="n"/>
      <c r="S2006" s="453" t="n"/>
      <c r="T2006" s="453" t="n"/>
      <c r="U2006" s="453" t="n"/>
      <c r="V2006" s="453" t="n"/>
      <c r="W2006" s="453" t="n"/>
    </row>
    <row r="2007" customFormat="1" s="21">
      <c r="A2007" s="20" t="inlineStr">
        <is>
          <t>Warm Temperate Moist</t>
        </is>
      </c>
      <c r="B2007" s="41" t="n">
        <v>0</v>
      </c>
      <c r="C2007" s="41" t="n">
        <v>0</v>
      </c>
      <c r="D2007" s="41" t="n">
        <v>0</v>
      </c>
      <c r="E2007" s="41" t="n">
        <v>0</v>
      </c>
      <c r="F2007" s="41" t="n">
        <v>0</v>
      </c>
      <c r="G2007" s="41" t="n">
        <v>0</v>
      </c>
      <c r="H2007" s="41" t="n">
        <v>0</v>
      </c>
      <c r="I2007" s="41" t="n">
        <v>0</v>
      </c>
      <c r="J2007" s="41" t="n">
        <v>0</v>
      </c>
      <c r="K2007" s="453" t="n"/>
      <c r="L2007" s="453" t="n"/>
      <c r="M2007" s="453" t="n"/>
      <c r="N2007" s="453" t="n"/>
      <c r="O2007" s="453" t="n"/>
      <c r="P2007" s="1617" t="n"/>
      <c r="Q2007" s="453" t="n"/>
      <c r="R2007" s="453" t="n"/>
      <c r="S2007" s="453" t="n"/>
      <c r="T2007" s="453" t="n"/>
      <c r="U2007" s="453" t="n"/>
      <c r="V2007" s="453" t="n"/>
      <c r="W2007" s="453" t="n"/>
    </row>
    <row r="2008" customFormat="1" s="21">
      <c r="A2008" s="20" t="inlineStr">
        <is>
          <t>Tropical Dry</t>
        </is>
      </c>
      <c r="B2008" s="41" t="n">
        <v>0</v>
      </c>
      <c r="C2008" s="41" t="n">
        <v>0</v>
      </c>
      <c r="D2008" s="41" t="n">
        <v>0</v>
      </c>
      <c r="E2008" s="41" t="n">
        <v>0</v>
      </c>
      <c r="F2008" s="41" t="n">
        <v>0</v>
      </c>
      <c r="G2008" s="41" t="n">
        <v>0</v>
      </c>
      <c r="H2008" s="41" t="n">
        <v>0</v>
      </c>
      <c r="I2008" s="41" t="n">
        <v>0</v>
      </c>
      <c r="J2008" s="41" t="n">
        <v>0</v>
      </c>
      <c r="K2008" s="453" t="n"/>
      <c r="L2008" s="453" t="n"/>
      <c r="M2008" s="453" t="n"/>
      <c r="N2008" s="453" t="n"/>
      <c r="O2008" s="453" t="n"/>
      <c r="P2008" s="1617" t="n"/>
      <c r="Q2008" s="453" t="n"/>
      <c r="R2008" s="453" t="n"/>
      <c r="S2008" s="453" t="n"/>
      <c r="T2008" s="453" t="n"/>
      <c r="U2008" s="453" t="n"/>
      <c r="V2008" s="453" t="n"/>
      <c r="W2008" s="453" t="n"/>
    </row>
    <row r="2009" customFormat="1" s="21">
      <c r="A2009" s="20" t="inlineStr">
        <is>
          <t>Tropical Moist</t>
        </is>
      </c>
      <c r="B2009" s="41" t="n">
        <v>0</v>
      </c>
      <c r="C2009" s="41" t="n">
        <v>0</v>
      </c>
      <c r="D2009" s="41" t="n">
        <v>0</v>
      </c>
      <c r="E2009" s="41" t="n">
        <v>0</v>
      </c>
      <c r="F2009" s="41" t="n">
        <v>0</v>
      </c>
      <c r="G2009" s="41" t="n">
        <v>0</v>
      </c>
      <c r="H2009" s="41" t="n">
        <v>0</v>
      </c>
      <c r="I2009" s="41" t="n">
        <v>0</v>
      </c>
      <c r="J2009" s="41" t="n">
        <v>0</v>
      </c>
      <c r="K2009" s="453" t="n"/>
      <c r="L2009" s="453" t="n"/>
      <c r="M2009" s="453" t="n"/>
      <c r="N2009" s="453" t="n"/>
      <c r="O2009" s="453" t="n"/>
      <c r="P2009" s="1617" t="n"/>
      <c r="Q2009" s="453" t="n"/>
      <c r="R2009" s="453" t="n"/>
      <c r="S2009" s="453" t="n"/>
      <c r="T2009" s="453" t="n"/>
      <c r="U2009" s="453" t="n"/>
      <c r="V2009" s="453" t="n"/>
      <c r="W2009" s="453" t="n"/>
    </row>
    <row r="2010" customFormat="1" s="21">
      <c r="A2010" s="20" t="inlineStr">
        <is>
          <t>Tropical Wet</t>
        </is>
      </c>
      <c r="B2010" s="41" t="n">
        <v>0</v>
      </c>
      <c r="C2010" s="41" t="n">
        <v>0</v>
      </c>
      <c r="D2010" s="41" t="n">
        <v>0</v>
      </c>
      <c r="E2010" s="41" t="n">
        <v>0</v>
      </c>
      <c r="F2010" s="41" t="n">
        <v>0</v>
      </c>
      <c r="G2010" s="41" t="n">
        <v>0</v>
      </c>
      <c r="H2010" s="41" t="n">
        <v>0</v>
      </c>
      <c r="I2010" s="41" t="n">
        <v>0</v>
      </c>
      <c r="J2010" s="41" t="n">
        <v>0</v>
      </c>
      <c r="K2010" s="453" t="n"/>
      <c r="L2010" s="453" t="n"/>
      <c r="M2010" s="453" t="n"/>
      <c r="N2010" s="453" t="n"/>
      <c r="O2010" s="453" t="n"/>
      <c r="P2010" s="1617" t="n"/>
      <c r="Q2010" s="453" t="n"/>
      <c r="R2010" s="453" t="n"/>
      <c r="S2010" s="453" t="n"/>
      <c r="T2010" s="453" t="n"/>
      <c r="U2010" s="453" t="n"/>
      <c r="V2010" s="453" t="n"/>
      <c r="W2010" s="453" t="n"/>
    </row>
    <row r="2011" customFormat="1" s="292">
      <c r="A2011" s="37" t="inlineStr">
        <is>
          <t>Tropical Montane</t>
        </is>
      </c>
      <c r="B2011" s="42" t="n">
        <v>0</v>
      </c>
      <c r="C2011" s="42" t="n">
        <v>0</v>
      </c>
      <c r="D2011" s="42" t="n">
        <v>0</v>
      </c>
      <c r="E2011" s="42" t="n">
        <v>0</v>
      </c>
      <c r="F2011" s="42" t="n">
        <v>0</v>
      </c>
      <c r="G2011" s="42" t="n">
        <v>0</v>
      </c>
      <c r="H2011" s="42" t="n">
        <v>0</v>
      </c>
      <c r="I2011" s="42" t="n">
        <v>0</v>
      </c>
      <c r="J2011" s="42" t="n">
        <v>0</v>
      </c>
      <c r="K2011" s="1074" t="n"/>
      <c r="L2011" s="1074" t="n"/>
      <c r="M2011" s="1074" t="n"/>
      <c r="N2011" s="1074" t="n"/>
      <c r="O2011" s="1074" t="n"/>
      <c r="P2011" s="1618" t="n"/>
      <c r="Q2011" s="1074" t="n"/>
      <c r="R2011" s="1074" t="n"/>
      <c r="S2011" s="1074" t="n"/>
      <c r="T2011" s="1074" t="n"/>
      <c r="U2011" s="1074" t="n"/>
      <c r="V2011" s="1074" t="n"/>
      <c r="W2011" s="1074" t="n"/>
    </row>
    <row r="2012" customFormat="1" s="292">
      <c r="A2012" s="1073" t="inlineStr">
        <is>
          <t xml:space="preserve">Notes </t>
        </is>
      </c>
    </row>
    <row r="2013" customFormat="1" s="292"/>
    <row r="2014" customFormat="1" s="535">
      <c r="A2014" s="516" t="n"/>
    </row>
    <row r="2016" ht="24" customFormat="1" customHeight="1" s="1086">
      <c r="A2016" s="1086" t="inlineStr">
        <is>
          <t>Fire emissions factors for organic soils</t>
        </is>
      </c>
    </row>
    <row r="2018" customFormat="1" s="125">
      <c r="A2018" s="377" t="inlineStr">
        <is>
          <t>Organic soil fuel consumption values Mb     IPCC 2013</t>
        </is>
      </c>
      <c r="D2018" s="1075" t="n"/>
      <c r="E2018" s="1075" t="n"/>
      <c r="F2018" s="1075" t="n"/>
      <c r="G2018" s="1075" t="n"/>
      <c r="H2018" s="1075" t="n"/>
      <c r="I2018" s="1075" t="n"/>
    </row>
    <row r="2019" ht="16.25" customFormat="1" customHeight="1" s="773">
      <c r="A2019" s="753" t="n"/>
      <c r="B2019" s="442" t="inlineStr">
        <is>
          <t>Table 2.6</t>
        </is>
      </c>
      <c r="C2019" s="442" t="inlineStr">
        <is>
          <t>Table 2.6</t>
        </is>
      </c>
      <c r="D2019" s="442" t="inlineStr">
        <is>
          <t>Table 2.6</t>
        </is>
      </c>
      <c r="E2019" s="442" t="n"/>
      <c r="F2019" s="442" t="n"/>
      <c r="G2019" s="442" t="n"/>
      <c r="H2019" s="442" t="n"/>
      <c r="I2019" s="442" t="n"/>
      <c r="J2019" s="442" t="n"/>
      <c r="K2019" s="442" t="n"/>
      <c r="L2019" s="442" t="n"/>
      <c r="M2019" s="442" t="n"/>
      <c r="N2019" s="442" t="n"/>
      <c r="O2019" s="442" t="n"/>
      <c r="P2019" s="532" t="n"/>
      <c r="Q2019" s="442" t="n"/>
      <c r="R2019" s="442" t="n"/>
      <c r="S2019" s="442" t="n"/>
      <c r="T2019" s="442" t="n"/>
      <c r="U2019" s="442" t="n"/>
      <c r="V2019" s="442" t="n"/>
      <c r="W2019" s="442" t="n"/>
    </row>
    <row r="2020" ht="32" customFormat="1" customHeight="1" s="291">
      <c r="A2020" s="293" t="inlineStr">
        <is>
          <t>IPCC Climate Region</t>
        </is>
      </c>
      <c r="B2020" s="31" t="inlineStr">
        <is>
          <t>Wildfire undrained peat</t>
        </is>
      </c>
      <c r="C2020" s="31" t="inlineStr">
        <is>
          <t>Wildfire drained peat</t>
        </is>
      </c>
      <c r="D2020" s="31" t="inlineStr">
        <is>
          <t>Prescribed fire (e.g. Land mgnt)</t>
        </is>
      </c>
      <c r="E2020" s="418" t="n"/>
      <c r="F2020" s="419" t="n"/>
      <c r="G2020" s="419" t="n"/>
      <c r="H2020" s="453" t="n"/>
      <c r="I2020" s="453" t="n"/>
      <c r="J2020" s="453" t="n"/>
      <c r="K2020" s="453" t="n"/>
      <c r="L2020" s="453" t="n"/>
      <c r="M2020" s="453" t="n"/>
      <c r="N2020" s="453" t="n"/>
      <c r="O2020" s="453" t="n"/>
      <c r="P2020" s="1616" t="n"/>
      <c r="Q2020" s="453" t="n"/>
      <c r="R2020" s="453" t="n"/>
      <c r="S2020" s="453" t="n"/>
      <c r="T2020" s="453" t="n"/>
      <c r="U2020" s="453" t="n"/>
      <c r="V2020" s="453" t="n"/>
      <c r="W2020" s="453" t="n"/>
      <c r="X2020" s="21" t="n"/>
      <c r="Y2020" s="21" t="n"/>
    </row>
    <row r="2021" customFormat="1" s="21">
      <c r="A2021" s="255" t="inlineStr">
        <is>
          <t>Please select</t>
        </is>
      </c>
      <c r="B2021" s="426" t="inlineStr">
        <is>
          <t>t dm/ha</t>
        </is>
      </c>
      <c r="C2021" s="426" t="inlineStr">
        <is>
          <t>t dm/ha</t>
        </is>
      </c>
      <c r="D2021" s="426" t="inlineStr">
        <is>
          <t>t dm/ha</t>
        </is>
      </c>
      <c r="E2021" s="451" t="n"/>
      <c r="F2021" s="453" t="n"/>
      <c r="G2021" s="453" t="n"/>
      <c r="H2021" s="453" t="n"/>
      <c r="I2021" s="453" t="n"/>
      <c r="J2021" s="453" t="n"/>
      <c r="K2021" s="453" t="n"/>
      <c r="L2021" s="453" t="n"/>
      <c r="M2021" s="453" t="n"/>
      <c r="N2021" s="453" t="n"/>
      <c r="O2021" s="453" t="n"/>
      <c r="P2021" s="453" t="n"/>
      <c r="Q2021" s="453" t="n"/>
      <c r="R2021" s="453" t="n"/>
      <c r="S2021" s="453" t="n"/>
      <c r="T2021" s="453" t="n"/>
      <c r="U2021" s="453" t="n"/>
      <c r="V2021" s="453" t="n"/>
      <c r="W2021" s="453" t="n"/>
    </row>
    <row r="2022" customFormat="1" s="21">
      <c r="A2022" s="20" t="inlineStr">
        <is>
          <t>Boreal Dry</t>
        </is>
      </c>
      <c r="B2022" s="41" t="n">
        <v>66</v>
      </c>
      <c r="C2022" s="41" t="n">
        <v>336</v>
      </c>
      <c r="D2022" s="41" t="n">
        <v>0</v>
      </c>
      <c r="E2022" s="451" t="n"/>
      <c r="F2022" s="453" t="n"/>
      <c r="G2022" s="453" t="n"/>
      <c r="H2022" s="453" t="n"/>
      <c r="I2022" s="453" t="n"/>
      <c r="J2022" s="453" t="n"/>
      <c r="K2022" s="453" t="n"/>
      <c r="L2022" s="453" t="n"/>
      <c r="M2022" s="453" t="n"/>
      <c r="N2022" s="453" t="n"/>
      <c r="O2022" s="453" t="n"/>
      <c r="P2022" s="1617" t="n"/>
      <c r="Q2022" s="453" t="n"/>
      <c r="R2022" s="453" t="n"/>
      <c r="S2022" s="453" t="n"/>
      <c r="T2022" s="453" t="n"/>
      <c r="U2022" s="453" t="n"/>
      <c r="V2022" s="453" t="n"/>
      <c r="W2022" s="453" t="n"/>
    </row>
    <row r="2023" customFormat="1" s="21">
      <c r="A2023" s="20" t="inlineStr">
        <is>
          <t>Boreal Moist</t>
        </is>
      </c>
      <c r="B2023" s="41" t="n">
        <v>66</v>
      </c>
      <c r="C2023" s="41" t="n">
        <v>336</v>
      </c>
      <c r="D2023" s="41" t="n">
        <v>0</v>
      </c>
      <c r="E2023" s="451" t="n"/>
      <c r="F2023" s="453" t="n"/>
      <c r="G2023" s="453" t="n"/>
      <c r="H2023" s="453" t="n"/>
      <c r="I2023" s="453" t="n"/>
      <c r="J2023" s="453" t="n"/>
      <c r="K2023" s="453" t="n"/>
      <c r="L2023" s="453" t="n"/>
      <c r="M2023" s="453" t="n"/>
      <c r="N2023" s="453" t="n"/>
      <c r="O2023" s="453" t="n"/>
      <c r="P2023" s="1617" t="n"/>
      <c r="Q2023" s="453" t="n"/>
      <c r="R2023" s="453" t="n"/>
      <c r="S2023" s="453" t="n"/>
      <c r="T2023" s="453" t="n"/>
      <c r="U2023" s="453" t="n"/>
      <c r="V2023" s="453" t="n"/>
      <c r="W2023" s="453" t="n"/>
    </row>
    <row r="2024" customFormat="1" s="21">
      <c r="A2024" s="20" t="inlineStr">
        <is>
          <t>Cool Temperate Dry</t>
        </is>
      </c>
      <c r="B2024" s="41" t="n">
        <v>66</v>
      </c>
      <c r="C2024" s="41" t="n">
        <v>336</v>
      </c>
      <c r="D2024" s="41" t="n">
        <v>0</v>
      </c>
      <c r="E2024" s="451" t="n"/>
      <c r="F2024" s="453" t="n"/>
      <c r="G2024" s="453" t="n"/>
      <c r="H2024" s="453" t="n"/>
      <c r="I2024" s="453" t="n"/>
      <c r="J2024" s="453" t="n"/>
      <c r="K2024" s="453" t="n"/>
      <c r="L2024" s="453" t="n"/>
      <c r="M2024" s="453" t="n"/>
      <c r="N2024" s="453" t="n"/>
      <c r="O2024" s="453" t="n"/>
      <c r="P2024" s="1617" t="n"/>
      <c r="Q2024" s="453" t="n"/>
      <c r="R2024" s="453" t="n"/>
      <c r="S2024" s="453" t="n"/>
      <c r="T2024" s="453" t="n"/>
      <c r="U2024" s="453" t="n"/>
      <c r="V2024" s="453" t="n"/>
      <c r="W2024" s="453" t="n"/>
    </row>
    <row r="2025" customFormat="1" s="21">
      <c r="A2025" s="20" t="inlineStr">
        <is>
          <t>Cool Temperate Moist</t>
        </is>
      </c>
      <c r="B2025" s="41" t="n">
        <v>66</v>
      </c>
      <c r="C2025" s="41" t="n">
        <v>336</v>
      </c>
      <c r="D2025" s="41" t="n">
        <v>0</v>
      </c>
      <c r="E2025" s="451" t="n"/>
      <c r="F2025" s="453" t="n"/>
      <c r="G2025" s="453" t="n"/>
      <c r="H2025" s="453" t="n"/>
      <c r="I2025" s="453" t="n"/>
      <c r="J2025" s="453" t="n"/>
      <c r="K2025" s="453" t="n"/>
      <c r="L2025" s="453" t="n"/>
      <c r="M2025" s="453" t="n"/>
      <c r="N2025" s="453" t="n"/>
      <c r="O2025" s="453" t="n"/>
      <c r="P2025" s="1617" t="n"/>
      <c r="Q2025" s="453" t="n"/>
      <c r="R2025" s="453" t="n"/>
      <c r="S2025" s="453" t="n"/>
      <c r="T2025" s="453" t="n"/>
      <c r="U2025" s="453" t="n"/>
      <c r="V2025" s="453" t="n"/>
      <c r="W2025" s="453" t="n"/>
    </row>
    <row r="2026" customFormat="1" s="21">
      <c r="A2026" s="20" t="inlineStr">
        <is>
          <t>Warm Temperate Dry</t>
        </is>
      </c>
      <c r="B2026" s="41" t="n">
        <v>66</v>
      </c>
      <c r="C2026" s="41" t="n">
        <v>336</v>
      </c>
      <c r="D2026" s="41" t="n">
        <v>0</v>
      </c>
      <c r="E2026" s="451" t="n"/>
      <c r="F2026" s="453" t="n"/>
      <c r="G2026" s="453" t="n"/>
      <c r="H2026" s="453" t="n"/>
      <c r="I2026" s="453" t="n"/>
      <c r="J2026" s="453" t="n"/>
      <c r="K2026" s="453" t="n"/>
      <c r="L2026" s="453" t="n"/>
      <c r="M2026" s="453" t="n"/>
      <c r="N2026" s="453" t="n"/>
      <c r="O2026" s="453" t="n"/>
      <c r="P2026" s="1617" t="n"/>
      <c r="Q2026" s="453" t="n"/>
      <c r="R2026" s="453" t="n"/>
      <c r="S2026" s="453" t="n"/>
      <c r="T2026" s="453" t="n"/>
      <c r="U2026" s="453" t="n"/>
      <c r="V2026" s="453" t="n"/>
      <c r="W2026" s="453" t="n"/>
    </row>
    <row r="2027" customFormat="1" s="21">
      <c r="A2027" s="20" t="inlineStr">
        <is>
          <t>Warm Temperate Moist</t>
        </is>
      </c>
      <c r="B2027" s="41" t="n">
        <v>66</v>
      </c>
      <c r="C2027" s="41" t="n">
        <v>336</v>
      </c>
      <c r="D2027" s="41" t="n">
        <v>0</v>
      </c>
      <c r="E2027" s="451" t="n"/>
      <c r="F2027" s="453" t="n"/>
      <c r="G2027" s="453" t="n"/>
      <c r="H2027" s="453" t="n"/>
      <c r="I2027" s="453" t="n"/>
      <c r="J2027" s="453" t="n"/>
      <c r="K2027" s="453" t="n"/>
      <c r="L2027" s="453" t="n"/>
      <c r="M2027" s="453" t="n"/>
      <c r="N2027" s="453" t="n"/>
      <c r="O2027" s="453" t="n"/>
      <c r="P2027" s="1617" t="n"/>
      <c r="Q2027" s="453" t="n"/>
      <c r="R2027" s="453" t="n"/>
      <c r="S2027" s="453" t="n"/>
      <c r="T2027" s="453" t="n"/>
      <c r="U2027" s="453" t="n"/>
      <c r="V2027" s="453" t="n"/>
      <c r="W2027" s="453" t="n"/>
    </row>
    <row r="2028" customFormat="1" s="21">
      <c r="A2028" s="20" t="inlineStr">
        <is>
          <t>Tropical Dry</t>
        </is>
      </c>
      <c r="B2028" s="41" t="n">
        <v>0</v>
      </c>
      <c r="C2028" s="41" t="n">
        <v>353</v>
      </c>
      <c r="D2028" s="41" t="n">
        <v>155</v>
      </c>
      <c r="E2028" s="451" t="n"/>
      <c r="F2028" s="453" t="n"/>
      <c r="G2028" s="453" t="n"/>
      <c r="H2028" s="453" t="n"/>
      <c r="I2028" s="453" t="n"/>
      <c r="J2028" s="453" t="n"/>
      <c r="K2028" s="453" t="n"/>
      <c r="L2028" s="453" t="n"/>
      <c r="M2028" s="453" t="n"/>
      <c r="N2028" s="453" t="n"/>
      <c r="O2028" s="453" t="n"/>
      <c r="P2028" s="1617" t="n"/>
      <c r="Q2028" s="453" t="n"/>
      <c r="R2028" s="453" t="n"/>
      <c r="S2028" s="453" t="n"/>
      <c r="T2028" s="453" t="n"/>
      <c r="U2028" s="453" t="n"/>
      <c r="V2028" s="453" t="n"/>
      <c r="W2028" s="453" t="n"/>
    </row>
    <row r="2029" customFormat="1" s="21">
      <c r="A2029" s="20" t="inlineStr">
        <is>
          <t>Tropical Moist</t>
        </is>
      </c>
      <c r="B2029" s="41" t="n">
        <v>0</v>
      </c>
      <c r="C2029" s="41" t="n">
        <v>353</v>
      </c>
      <c r="D2029" s="41" t="n">
        <v>155</v>
      </c>
      <c r="E2029" s="451" t="n"/>
      <c r="F2029" s="453" t="n"/>
      <c r="G2029" s="453" t="n"/>
      <c r="H2029" s="453" t="n"/>
      <c r="I2029" s="453" t="n"/>
      <c r="J2029" s="453" t="n"/>
      <c r="K2029" s="453" t="n"/>
      <c r="L2029" s="453" t="n"/>
      <c r="M2029" s="453" t="n"/>
      <c r="N2029" s="453" t="n"/>
      <c r="O2029" s="453" t="n"/>
      <c r="P2029" s="1617" t="n"/>
      <c r="Q2029" s="453" t="n"/>
      <c r="R2029" s="453" t="n"/>
      <c r="S2029" s="453" t="n"/>
      <c r="T2029" s="453" t="n"/>
      <c r="U2029" s="453" t="n"/>
      <c r="V2029" s="453" t="n"/>
      <c r="W2029" s="453" t="n"/>
    </row>
    <row r="2030" customFormat="1" s="21">
      <c r="A2030" s="20" t="inlineStr">
        <is>
          <t>Tropical Wet</t>
        </is>
      </c>
      <c r="B2030" s="41" t="n">
        <v>0</v>
      </c>
      <c r="C2030" s="41" t="n">
        <v>353</v>
      </c>
      <c r="D2030" s="41" t="n">
        <v>155</v>
      </c>
      <c r="E2030" s="451" t="n"/>
      <c r="F2030" s="453" t="n"/>
      <c r="G2030" s="453" t="n"/>
      <c r="H2030" s="453" t="n"/>
      <c r="I2030" s="453" t="n"/>
      <c r="J2030" s="453" t="n"/>
      <c r="K2030" s="453" t="n"/>
      <c r="L2030" s="453" t="n"/>
      <c r="M2030" s="453" t="n"/>
      <c r="N2030" s="453" t="n"/>
      <c r="O2030" s="453" t="n"/>
      <c r="P2030" s="1617" t="n"/>
      <c r="Q2030" s="453" t="n"/>
      <c r="R2030" s="453" t="n"/>
      <c r="S2030" s="453" t="n"/>
      <c r="T2030" s="453" t="n"/>
      <c r="U2030" s="453" t="n"/>
      <c r="V2030" s="453" t="n"/>
      <c r="W2030" s="453" t="n"/>
    </row>
    <row r="2031" customFormat="1" s="292">
      <c r="A2031" s="37" t="inlineStr">
        <is>
          <t>Tropical Montane</t>
        </is>
      </c>
      <c r="B2031" s="42" t="n">
        <v>0</v>
      </c>
      <c r="C2031" s="42" t="n">
        <v>353</v>
      </c>
      <c r="D2031" s="42" t="n">
        <v>155</v>
      </c>
      <c r="E2031" s="460" t="n"/>
      <c r="F2031" s="421" t="n"/>
      <c r="G2031" s="421" t="n"/>
      <c r="H2031" s="1074" t="n"/>
      <c r="I2031" s="1074" t="n"/>
      <c r="J2031" s="1074" t="n"/>
      <c r="K2031" s="1074" t="n"/>
      <c r="L2031" s="1074" t="n"/>
      <c r="M2031" s="1074" t="n"/>
      <c r="N2031" s="1074" t="n"/>
      <c r="O2031" s="1074" t="n"/>
      <c r="P2031" s="1618" t="n"/>
      <c r="Q2031" s="1074" t="n"/>
      <c r="R2031" s="1074" t="n"/>
      <c r="S2031" s="1074" t="n"/>
      <c r="T2031" s="1074" t="n"/>
      <c r="U2031" s="1074" t="n"/>
      <c r="V2031" s="1074" t="n"/>
      <c r="W2031" s="1074" t="n"/>
    </row>
    <row r="2032" customFormat="1" s="292">
      <c r="A2032" s="1073" t="inlineStr">
        <is>
          <t xml:space="preserve">Notes </t>
        </is>
      </c>
    </row>
    <row r="2033" customFormat="1" s="292"/>
    <row r="2035" customFormat="1" s="125">
      <c r="A2035" s="377" t="inlineStr">
        <is>
          <t>Emission factor Gef for organic soil     IPCC 2013</t>
        </is>
      </c>
      <c r="D2035" s="1075" t="n"/>
      <c r="E2035" s="1075" t="n"/>
      <c r="F2035" s="1075" t="n"/>
      <c r="G2035" s="1075" t="n"/>
      <c r="H2035" s="1075" t="n"/>
      <c r="I2035" s="1075" t="n"/>
    </row>
    <row r="2036" ht="16.25" customFormat="1" customHeight="1" s="773">
      <c r="A2036" s="753" t="n"/>
      <c r="B2036" s="442" t="inlineStr">
        <is>
          <t>Table 2.7</t>
        </is>
      </c>
      <c r="C2036" s="442" t="inlineStr">
        <is>
          <t>Table 2.7</t>
        </is>
      </c>
      <c r="D2036" s="442" t="inlineStr">
        <is>
          <t>Table 2.7</t>
        </is>
      </c>
      <c r="E2036" s="442" t="n"/>
      <c r="F2036" s="442" t="n"/>
      <c r="G2036" s="442" t="n"/>
      <c r="H2036" s="442" t="n"/>
      <c r="I2036" s="442" t="n"/>
      <c r="J2036" s="442" t="n"/>
      <c r="K2036" s="442" t="n"/>
      <c r="L2036" s="442" t="n"/>
      <c r="M2036" s="442" t="n"/>
      <c r="N2036" s="442" t="n"/>
      <c r="O2036" s="442" t="n"/>
      <c r="P2036" s="532" t="n"/>
      <c r="Q2036" s="442" t="n"/>
      <c r="R2036" s="442" t="n"/>
      <c r="S2036" s="442" t="n"/>
      <c r="T2036" s="442" t="n"/>
      <c r="U2036" s="442" t="n"/>
      <c r="V2036" s="442" t="n"/>
      <c r="W2036" s="442" t="n"/>
    </row>
    <row r="2037" ht="16" customFormat="1" customHeight="1" s="291">
      <c r="A2037" s="293" t="inlineStr">
        <is>
          <t>IPCC Climate Region</t>
        </is>
      </c>
      <c r="B2037" s="31" t="inlineStr">
        <is>
          <t>CO2</t>
        </is>
      </c>
      <c r="C2037" s="31" t="inlineStr">
        <is>
          <t>CO</t>
        </is>
      </c>
      <c r="D2037" s="31" t="inlineStr">
        <is>
          <t>CH4</t>
        </is>
      </c>
      <c r="E2037" s="418" t="n"/>
      <c r="F2037" s="419" t="n"/>
      <c r="G2037" s="419" t="n"/>
      <c r="H2037" s="453" t="n"/>
      <c r="I2037" s="453" t="n"/>
      <c r="J2037" s="453" t="n"/>
      <c r="K2037" s="453" t="n"/>
      <c r="L2037" s="453" t="n"/>
      <c r="M2037" s="453" t="n"/>
      <c r="N2037" s="453" t="n"/>
      <c r="O2037" s="453" t="n"/>
      <c r="P2037" s="1616" t="n"/>
      <c r="Q2037" s="453" t="n"/>
      <c r="R2037" s="453" t="n"/>
      <c r="S2037" s="453" t="n"/>
      <c r="T2037" s="453" t="n"/>
      <c r="U2037" s="453" t="n"/>
      <c r="V2037" s="453" t="n"/>
      <c r="W2037" s="453" t="n"/>
      <c r="X2037" s="21" t="n"/>
      <c r="Y2037" s="21" t="n"/>
    </row>
    <row r="2038" ht="32" customFormat="1" customHeight="1" s="1093">
      <c r="A2038" s="1090" t="inlineStr">
        <is>
          <t>Please select</t>
        </is>
      </c>
      <c r="B2038" s="31" t="inlineStr">
        <is>
          <t>g CO2-C/kg dry matter burned</t>
        </is>
      </c>
      <c r="C2038" s="31" t="inlineStr">
        <is>
          <t>g CO/kg dry matter burned</t>
        </is>
      </c>
      <c r="D2038" s="31" t="inlineStr">
        <is>
          <t>g CH4/kg dry matter burned</t>
        </is>
      </c>
      <c r="E2038" s="1091" t="n"/>
      <c r="F2038" s="1092" t="n"/>
      <c r="G2038" s="1092" t="n"/>
      <c r="H2038" s="1092" t="n"/>
      <c r="I2038" s="1092" t="n"/>
      <c r="J2038" s="1092" t="n"/>
      <c r="K2038" s="1092" t="n"/>
      <c r="L2038" s="1092" t="n"/>
      <c r="M2038" s="1092" t="n"/>
      <c r="N2038" s="1092" t="n"/>
      <c r="O2038" s="1092" t="n"/>
      <c r="P2038" s="1092" t="n"/>
      <c r="Q2038" s="1092" t="n"/>
      <c r="R2038" s="1092" t="n"/>
      <c r="S2038" s="1092" t="n"/>
      <c r="T2038" s="1092" t="n"/>
      <c r="U2038" s="1092" t="n"/>
      <c r="V2038" s="1092" t="n"/>
      <c r="W2038" s="1092" t="n"/>
    </row>
    <row r="2039" customFormat="1" s="21">
      <c r="A2039" s="20" t="inlineStr">
        <is>
          <t>Boreal Dry</t>
        </is>
      </c>
      <c r="B2039" s="41" t="n">
        <v>362</v>
      </c>
      <c r="C2039" s="41" t="n">
        <v>207</v>
      </c>
      <c r="D2039" s="41" t="n">
        <v>9</v>
      </c>
      <c r="E2039" s="451" t="n"/>
      <c r="F2039" s="453" t="n"/>
      <c r="G2039" s="453" t="n"/>
      <c r="H2039" s="453" t="n"/>
      <c r="I2039" s="453" t="n"/>
      <c r="J2039" s="453" t="n"/>
      <c r="K2039" s="453" t="n"/>
      <c r="L2039" s="453" t="n"/>
      <c r="M2039" s="453" t="n"/>
      <c r="N2039" s="453" t="n"/>
      <c r="O2039" s="453" t="n"/>
      <c r="P2039" s="1617" t="n"/>
      <c r="Q2039" s="453" t="n"/>
      <c r="R2039" s="453" t="n"/>
      <c r="S2039" s="453" t="n"/>
      <c r="T2039" s="453" t="n"/>
      <c r="U2039" s="453" t="n"/>
      <c r="V2039" s="453" t="n"/>
      <c r="W2039" s="453" t="n"/>
    </row>
    <row r="2040" customFormat="1" s="21">
      <c r="A2040" s="20" t="inlineStr">
        <is>
          <t>Boreal Moist</t>
        </is>
      </c>
      <c r="B2040" s="41" t="n">
        <v>362</v>
      </c>
      <c r="C2040" s="41" t="n">
        <v>207</v>
      </c>
      <c r="D2040" s="41" t="n">
        <v>9</v>
      </c>
      <c r="E2040" s="451" t="n"/>
      <c r="F2040" s="453" t="n"/>
      <c r="G2040" s="453" t="n"/>
      <c r="H2040" s="453" t="n"/>
      <c r="I2040" s="453" t="n"/>
      <c r="J2040" s="453" t="n"/>
      <c r="K2040" s="453" t="n"/>
      <c r="L2040" s="453" t="n"/>
      <c r="M2040" s="453" t="n"/>
      <c r="N2040" s="453" t="n"/>
      <c r="O2040" s="453" t="n"/>
      <c r="P2040" s="1617" t="n"/>
      <c r="Q2040" s="453" t="n"/>
      <c r="R2040" s="453" t="n"/>
      <c r="S2040" s="453" t="n"/>
      <c r="T2040" s="453" t="n"/>
      <c r="U2040" s="453" t="n"/>
      <c r="V2040" s="453" t="n"/>
      <c r="W2040" s="453" t="n"/>
    </row>
    <row r="2041" customFormat="1" s="21">
      <c r="A2041" s="20" t="inlineStr">
        <is>
          <t>Cool Temperate Dry</t>
        </is>
      </c>
      <c r="B2041" s="41" t="n">
        <v>362</v>
      </c>
      <c r="C2041" s="41" t="n">
        <v>207</v>
      </c>
      <c r="D2041" s="41" t="n">
        <v>9</v>
      </c>
      <c r="E2041" s="451" t="n"/>
      <c r="F2041" s="453" t="n"/>
      <c r="G2041" s="453" t="n"/>
      <c r="H2041" s="453" t="n"/>
      <c r="I2041" s="453" t="n"/>
      <c r="J2041" s="453" t="n"/>
      <c r="K2041" s="453" t="n"/>
      <c r="L2041" s="453" t="n"/>
      <c r="M2041" s="453" t="n"/>
      <c r="N2041" s="453" t="n"/>
      <c r="O2041" s="453" t="n"/>
      <c r="P2041" s="1617" t="n"/>
      <c r="Q2041" s="453" t="n"/>
      <c r="R2041" s="453" t="n"/>
      <c r="S2041" s="453" t="n"/>
      <c r="T2041" s="453" t="n"/>
      <c r="U2041" s="453" t="n"/>
      <c r="V2041" s="453" t="n"/>
      <c r="W2041" s="453" t="n"/>
    </row>
    <row r="2042" customFormat="1" s="21">
      <c r="A2042" s="20" t="inlineStr">
        <is>
          <t>Cool Temperate Moist</t>
        </is>
      </c>
      <c r="B2042" s="41" t="n">
        <v>362</v>
      </c>
      <c r="C2042" s="41" t="n">
        <v>207</v>
      </c>
      <c r="D2042" s="41" t="n">
        <v>9</v>
      </c>
      <c r="E2042" s="451" t="n"/>
      <c r="F2042" s="453" t="n"/>
      <c r="G2042" s="453" t="n"/>
      <c r="H2042" s="453" t="n"/>
      <c r="I2042" s="453" t="n"/>
      <c r="J2042" s="453" t="n"/>
      <c r="K2042" s="453" t="n"/>
      <c r="L2042" s="453" t="n"/>
      <c r="M2042" s="453" t="n"/>
      <c r="N2042" s="453" t="n"/>
      <c r="O2042" s="453" t="n"/>
      <c r="P2042" s="1617" t="n"/>
      <c r="Q2042" s="453" t="n"/>
      <c r="R2042" s="453" t="n"/>
      <c r="S2042" s="453" t="n"/>
      <c r="T2042" s="453" t="n"/>
      <c r="U2042" s="453" t="n"/>
      <c r="V2042" s="453" t="n"/>
      <c r="W2042" s="453" t="n"/>
    </row>
    <row r="2043" customFormat="1" s="21">
      <c r="A2043" s="20" t="inlineStr">
        <is>
          <t>Warm Temperate Dry</t>
        </is>
      </c>
      <c r="B2043" s="41" t="n">
        <v>362</v>
      </c>
      <c r="C2043" s="41" t="n">
        <v>207</v>
      </c>
      <c r="D2043" s="41" t="n">
        <v>9</v>
      </c>
      <c r="E2043" s="451" t="n"/>
      <c r="F2043" s="453" t="n"/>
      <c r="G2043" s="453" t="n"/>
      <c r="H2043" s="453" t="n"/>
      <c r="I2043" s="453" t="n"/>
      <c r="J2043" s="453" t="n"/>
      <c r="K2043" s="453" t="n"/>
      <c r="L2043" s="453" t="n"/>
      <c r="M2043" s="453" t="n"/>
      <c r="N2043" s="453" t="n"/>
      <c r="O2043" s="453" t="n"/>
      <c r="P2043" s="1617" t="n"/>
      <c r="Q2043" s="453" t="n"/>
      <c r="R2043" s="453" t="n"/>
      <c r="S2043" s="453" t="n"/>
      <c r="T2043" s="453" t="n"/>
      <c r="U2043" s="453" t="n"/>
      <c r="V2043" s="453" t="n"/>
      <c r="W2043" s="453" t="n"/>
    </row>
    <row r="2044" customFormat="1" s="21">
      <c r="A2044" s="20" t="inlineStr">
        <is>
          <t>Warm Temperate Moist</t>
        </is>
      </c>
      <c r="B2044" s="41" t="n">
        <v>362</v>
      </c>
      <c r="C2044" s="41" t="n">
        <v>207</v>
      </c>
      <c r="D2044" s="41" t="n">
        <v>9</v>
      </c>
      <c r="E2044" s="451" t="n"/>
      <c r="F2044" s="453" t="n"/>
      <c r="G2044" s="453" t="n"/>
      <c r="H2044" s="453" t="n"/>
      <c r="I2044" s="453" t="n"/>
      <c r="J2044" s="453" t="n"/>
      <c r="K2044" s="453" t="n"/>
      <c r="L2044" s="453" t="n"/>
      <c r="M2044" s="453" t="n"/>
      <c r="N2044" s="453" t="n"/>
      <c r="O2044" s="453" t="n"/>
      <c r="P2044" s="1617" t="n"/>
      <c r="Q2044" s="453" t="n"/>
      <c r="R2044" s="453" t="n"/>
      <c r="S2044" s="453" t="n"/>
      <c r="T2044" s="453" t="n"/>
      <c r="U2044" s="453" t="n"/>
      <c r="V2044" s="453" t="n"/>
      <c r="W2044" s="453" t="n"/>
    </row>
    <row r="2045" customFormat="1" s="21">
      <c r="A2045" s="20" t="inlineStr">
        <is>
          <t>Tropical Dry</t>
        </is>
      </c>
      <c r="B2045" s="41" t="n">
        <v>464</v>
      </c>
      <c r="C2045" s="41" t="n">
        <v>210</v>
      </c>
      <c r="D2045" s="41" t="n">
        <v>21</v>
      </c>
      <c r="E2045" s="451" t="n"/>
      <c r="F2045" s="453" t="n"/>
      <c r="G2045" s="453" t="n"/>
      <c r="H2045" s="453" t="n"/>
      <c r="I2045" s="453" t="n"/>
      <c r="J2045" s="453" t="n"/>
      <c r="K2045" s="453" t="n"/>
      <c r="L2045" s="453" t="n"/>
      <c r="M2045" s="453" t="n"/>
      <c r="N2045" s="453" t="n"/>
      <c r="O2045" s="453" t="n"/>
      <c r="P2045" s="1617" t="n"/>
      <c r="Q2045" s="453" t="n"/>
      <c r="R2045" s="453" t="n"/>
      <c r="S2045" s="453" t="n"/>
      <c r="T2045" s="453" t="n"/>
      <c r="U2045" s="453" t="n"/>
      <c r="V2045" s="453" t="n"/>
      <c r="W2045" s="453" t="n"/>
    </row>
    <row r="2046" customFormat="1" s="21">
      <c r="A2046" s="20" t="inlineStr">
        <is>
          <t>Tropical Moist</t>
        </is>
      </c>
      <c r="B2046" s="41" t="n">
        <v>464</v>
      </c>
      <c r="C2046" s="41" t="n">
        <v>210</v>
      </c>
      <c r="D2046" s="41" t="n">
        <v>21</v>
      </c>
      <c r="E2046" s="451" t="n"/>
      <c r="F2046" s="453" t="n"/>
      <c r="G2046" s="453" t="n"/>
      <c r="H2046" s="453" t="n"/>
      <c r="I2046" s="453" t="n"/>
      <c r="J2046" s="453" t="n"/>
      <c r="K2046" s="453" t="n"/>
      <c r="L2046" s="453" t="n"/>
      <c r="M2046" s="453" t="n"/>
      <c r="N2046" s="453" t="n"/>
      <c r="O2046" s="453" t="n"/>
      <c r="P2046" s="1617" t="n"/>
      <c r="Q2046" s="453" t="n"/>
      <c r="R2046" s="453" t="n"/>
      <c r="S2046" s="453" t="n"/>
      <c r="T2046" s="453" t="n"/>
      <c r="U2046" s="453" t="n"/>
      <c r="V2046" s="453" t="n"/>
      <c r="W2046" s="453" t="n"/>
    </row>
    <row r="2047" customFormat="1" s="21">
      <c r="A2047" s="20" t="inlineStr">
        <is>
          <t>Tropical Wet</t>
        </is>
      </c>
      <c r="B2047" s="41" t="n">
        <v>464</v>
      </c>
      <c r="C2047" s="41" t="n">
        <v>210</v>
      </c>
      <c r="D2047" s="41" t="n">
        <v>21</v>
      </c>
      <c r="E2047" s="451" t="n"/>
      <c r="F2047" s="453" t="n"/>
      <c r="G2047" s="453" t="n"/>
      <c r="H2047" s="453" t="n"/>
      <c r="I2047" s="453" t="n"/>
      <c r="J2047" s="453" t="n"/>
      <c r="K2047" s="453" t="n"/>
      <c r="L2047" s="453" t="n"/>
      <c r="M2047" s="453" t="n"/>
      <c r="N2047" s="453" t="n"/>
      <c r="O2047" s="453" t="n"/>
      <c r="P2047" s="1617" t="n"/>
      <c r="Q2047" s="453" t="n"/>
      <c r="R2047" s="453" t="n"/>
      <c r="S2047" s="453" t="n"/>
      <c r="T2047" s="453" t="n"/>
      <c r="U2047" s="453" t="n"/>
      <c r="V2047" s="453" t="n"/>
      <c r="W2047" s="453" t="n"/>
    </row>
    <row r="2048" customFormat="1" s="292">
      <c r="A2048" s="37" t="inlineStr">
        <is>
          <t>Tropical Montane</t>
        </is>
      </c>
      <c r="B2048" s="42" t="n">
        <v>464</v>
      </c>
      <c r="C2048" s="42" t="n">
        <v>210</v>
      </c>
      <c r="D2048" s="42" t="n">
        <v>21</v>
      </c>
      <c r="E2048" s="460" t="n"/>
      <c r="F2048" s="421" t="n"/>
      <c r="G2048" s="421" t="n"/>
      <c r="H2048" s="1074" t="n"/>
      <c r="I2048" s="1074" t="n"/>
      <c r="J2048" s="1074" t="n"/>
      <c r="K2048" s="1074" t="n"/>
      <c r="L2048" s="1074" t="n"/>
      <c r="M2048" s="1074" t="n"/>
      <c r="N2048" s="1074" t="n"/>
      <c r="O2048" s="1074" t="n"/>
      <c r="P2048" s="1618" t="n"/>
      <c r="Q2048" s="1074" t="n"/>
      <c r="R2048" s="1074" t="n"/>
      <c r="S2048" s="1074" t="n"/>
      <c r="T2048" s="1074" t="n"/>
      <c r="U2048" s="1074" t="n"/>
      <c r="V2048" s="1074" t="n"/>
      <c r="W2048" s="1074" t="n"/>
    </row>
    <row r="2049" customFormat="1" s="292">
      <c r="A2049" s="1073" t="inlineStr">
        <is>
          <t xml:space="preserve">Notes </t>
        </is>
      </c>
    </row>
    <row r="2050" customFormat="1" s="292"/>
    <row r="2051" customFormat="1" s="284"/>
    <row r="2052" ht="24" customFormat="1" customHeight="1" s="1086">
      <c r="A2052" s="1086" t="inlineStr">
        <is>
          <t>Peat extraction</t>
        </is>
      </c>
    </row>
    <row r="2053" customFormat="1" s="284"/>
    <row r="2054" customFormat="1" s="125">
      <c r="A2054" s="377" t="inlineStr">
        <is>
          <t xml:space="preserve">Conversions factors for CO2 for volume and weight production data - CARBON FRACTION </t>
        </is>
      </c>
      <c r="D2054" s="1075" t="n"/>
      <c r="E2054" s="1075" t="n"/>
      <c r="F2054" s="1075" t="n"/>
      <c r="G2054" s="1075" t="n"/>
      <c r="H2054" s="1075" t="n"/>
      <c r="I2054" s="1075" t="n"/>
    </row>
    <row r="2055" ht="16.25" customFormat="1" customHeight="1" s="773">
      <c r="A2055" s="753" t="inlineStr">
        <is>
          <t>NUTRIENT-POOR</t>
        </is>
      </c>
      <c r="B2055" s="442" t="inlineStr">
        <is>
          <t>Table 7.5 IPCC 2006</t>
        </is>
      </c>
      <c r="C2055" s="442" t="inlineStr">
        <is>
          <t>Table 7.5 IPCC 2006</t>
        </is>
      </c>
      <c r="D2055" s="442" t="n"/>
      <c r="E2055" s="442" t="n"/>
      <c r="F2055" s="442" t="n"/>
      <c r="G2055" s="442" t="n"/>
      <c r="H2055" s="442" t="n"/>
      <c r="I2055" s="442" t="n"/>
      <c r="J2055" s="442" t="n"/>
      <c r="K2055" s="442" t="n"/>
      <c r="L2055" s="442" t="n"/>
      <c r="M2055" s="442" t="n"/>
      <c r="N2055" s="442" t="n"/>
      <c r="O2055" s="442" t="n"/>
      <c r="P2055" s="532" t="n"/>
      <c r="Q2055" s="442" t="n"/>
      <c r="R2055" s="442" t="n"/>
      <c r="S2055" s="442" t="n"/>
      <c r="T2055" s="442" t="n"/>
      <c r="U2055" s="442" t="n"/>
      <c r="V2055" s="442" t="n"/>
      <c r="W2055" s="442" t="n"/>
    </row>
    <row r="2056" ht="16" customFormat="1" customHeight="1" s="291">
      <c r="A2056" s="293" t="inlineStr">
        <is>
          <t>IPCC Climate Region</t>
        </is>
      </c>
      <c r="B2056" s="31" t="inlineStr">
        <is>
          <t>WEIGHT PEAT</t>
        </is>
      </c>
      <c r="C2056" s="31" t="inlineStr">
        <is>
          <t>VOLUME PEAT</t>
        </is>
      </c>
      <c r="D2056" s="1456" t="n"/>
      <c r="E2056" s="419" t="n"/>
      <c r="F2056" s="419" t="n"/>
      <c r="G2056" s="419" t="n"/>
      <c r="H2056" s="453" t="n"/>
      <c r="I2056" s="453" t="n"/>
      <c r="J2056" s="453" t="n"/>
      <c r="K2056" s="453" t="n"/>
      <c r="L2056" s="453" t="n"/>
      <c r="M2056" s="453" t="n"/>
      <c r="N2056" s="453" t="n"/>
      <c r="O2056" s="453" t="n"/>
      <c r="P2056" s="1616" t="n"/>
      <c r="Q2056" s="453" t="n"/>
      <c r="R2056" s="453" t="n"/>
      <c r="S2056" s="453" t="n"/>
      <c r="T2056" s="453" t="n"/>
      <c r="U2056" s="453" t="n"/>
      <c r="V2056" s="453" t="n"/>
      <c r="W2056" s="453" t="n"/>
      <c r="X2056" s="21" t="n"/>
      <c r="Y2056" s="21" t="n"/>
    </row>
    <row r="2057" ht="16" customFormat="1" customHeight="1" s="1093">
      <c r="A2057" s="1090" t="inlineStr">
        <is>
          <t>Please select</t>
        </is>
      </c>
      <c r="B2057" s="31" t="inlineStr">
        <is>
          <t>tC/t air dry peat</t>
        </is>
      </c>
      <c r="C2057" s="31" t="inlineStr">
        <is>
          <t>tC/m3 air dry peat</t>
        </is>
      </c>
      <c r="D2057" s="1092" t="n"/>
      <c r="E2057" s="1092" t="n"/>
      <c r="F2057" s="1092" t="n"/>
      <c r="G2057" s="1092" t="n"/>
      <c r="H2057" s="1092" t="n"/>
      <c r="I2057" s="1092" t="n"/>
      <c r="J2057" s="1092" t="n"/>
      <c r="K2057" s="1092" t="n"/>
      <c r="L2057" s="1092" t="n"/>
      <c r="M2057" s="1092" t="n"/>
      <c r="N2057" s="1092" t="n"/>
      <c r="O2057" s="1092" t="n"/>
      <c r="P2057" s="1092" t="n"/>
      <c r="Q2057" s="1092" t="n"/>
      <c r="R2057" s="1092" t="n"/>
      <c r="S2057" s="1092" t="n"/>
      <c r="T2057" s="1092" t="n"/>
      <c r="U2057" s="1092" t="n"/>
      <c r="V2057" s="1092" t="n"/>
      <c r="W2057" s="1092" t="n"/>
    </row>
    <row r="2058" customFormat="1" s="21">
      <c r="A2058" s="20" t="inlineStr">
        <is>
          <t>Boreal Dry</t>
        </is>
      </c>
      <c r="B2058" s="464" t="n">
        <v>0.45</v>
      </c>
      <c r="C2058" s="464" t="n">
        <v>0.07000000000000001</v>
      </c>
      <c r="D2058" s="453" t="n"/>
      <c r="E2058" s="453" t="n"/>
      <c r="F2058" s="453" t="n"/>
      <c r="G2058" s="453" t="n"/>
      <c r="H2058" s="453" t="n"/>
      <c r="I2058" s="453" t="n"/>
      <c r="J2058" s="453" t="n"/>
      <c r="K2058" s="453" t="n"/>
      <c r="L2058" s="453" t="n"/>
      <c r="M2058" s="453" t="n"/>
      <c r="N2058" s="453" t="n"/>
      <c r="O2058" s="453" t="n"/>
      <c r="P2058" s="1617" t="n"/>
      <c r="Q2058" s="453" t="n"/>
      <c r="R2058" s="453" t="n"/>
      <c r="S2058" s="453" t="n"/>
      <c r="T2058" s="453" t="n"/>
      <c r="U2058" s="453" t="n"/>
      <c r="V2058" s="453" t="n"/>
      <c r="W2058" s="453" t="n"/>
    </row>
    <row r="2059" customFormat="1" s="21">
      <c r="A2059" s="20" t="inlineStr">
        <is>
          <t>Boreal Moist</t>
        </is>
      </c>
      <c r="B2059" s="163" t="n">
        <v>0.45</v>
      </c>
      <c r="C2059" s="163" t="n">
        <v>0.07000000000000001</v>
      </c>
      <c r="D2059" s="453" t="n"/>
      <c r="E2059" s="453" t="n"/>
      <c r="F2059" s="453" t="n"/>
      <c r="G2059" s="453" t="n"/>
      <c r="H2059" s="453" t="n"/>
      <c r="I2059" s="453" t="n"/>
      <c r="J2059" s="453" t="n"/>
      <c r="K2059" s="453" t="n"/>
      <c r="L2059" s="453" t="n"/>
      <c r="M2059" s="453" t="n"/>
      <c r="N2059" s="453" t="n"/>
      <c r="O2059" s="453" t="n"/>
      <c r="P2059" s="1617" t="n"/>
      <c r="Q2059" s="453" t="n"/>
      <c r="R2059" s="453" t="n"/>
      <c r="S2059" s="453" t="n"/>
      <c r="T2059" s="453" t="n"/>
      <c r="U2059" s="453" t="n"/>
      <c r="V2059" s="453" t="n"/>
      <c r="W2059" s="453" t="n"/>
    </row>
    <row r="2060" customFormat="1" s="21">
      <c r="A2060" s="20" t="inlineStr">
        <is>
          <t>Cool Temperate Dry</t>
        </is>
      </c>
      <c r="B2060" s="163" t="n">
        <v>0.45</v>
      </c>
      <c r="C2060" s="163" t="n">
        <v>0.07000000000000001</v>
      </c>
      <c r="D2060" s="453" t="n"/>
      <c r="E2060" s="453" t="n"/>
      <c r="F2060" s="453" t="n"/>
      <c r="G2060" s="453" t="n"/>
      <c r="H2060" s="453" t="n"/>
      <c r="I2060" s="453" t="n"/>
      <c r="J2060" s="453" t="n"/>
      <c r="K2060" s="453" t="n"/>
      <c r="L2060" s="453" t="n"/>
      <c r="M2060" s="453" t="n"/>
      <c r="N2060" s="453" t="n"/>
      <c r="O2060" s="453" t="n"/>
      <c r="P2060" s="1617" t="n"/>
      <c r="Q2060" s="453" t="n"/>
      <c r="R2060" s="453" t="n"/>
      <c r="S2060" s="453" t="n"/>
      <c r="T2060" s="453" t="n"/>
      <c r="U2060" s="453" t="n"/>
      <c r="V2060" s="453" t="n"/>
      <c r="W2060" s="453" t="n"/>
    </row>
    <row r="2061" customFormat="1" s="21">
      <c r="A2061" s="20" t="inlineStr">
        <is>
          <t>Cool Temperate Moist</t>
        </is>
      </c>
      <c r="B2061" s="163" t="n">
        <v>0.45</v>
      </c>
      <c r="C2061" s="163" t="n">
        <v>0.07000000000000001</v>
      </c>
      <c r="D2061" s="453" t="n"/>
      <c r="E2061" s="453" t="n"/>
      <c r="F2061" s="453" t="n"/>
      <c r="G2061" s="453" t="n"/>
      <c r="H2061" s="453" t="n"/>
      <c r="I2061" s="453" t="n"/>
      <c r="J2061" s="453" t="n"/>
      <c r="K2061" s="453" t="n"/>
      <c r="L2061" s="453" t="n"/>
      <c r="M2061" s="453" t="n"/>
      <c r="N2061" s="453" t="n"/>
      <c r="O2061" s="453" t="n"/>
      <c r="P2061" s="1617" t="n"/>
      <c r="Q2061" s="453" t="n"/>
      <c r="R2061" s="453" t="n"/>
      <c r="S2061" s="453" t="n"/>
      <c r="T2061" s="453" t="n"/>
      <c r="U2061" s="453" t="n"/>
      <c r="V2061" s="453" t="n"/>
      <c r="W2061" s="453" t="n"/>
    </row>
    <row r="2062" customFormat="1" s="21">
      <c r="A2062" s="20" t="inlineStr">
        <is>
          <t>Warm Temperate Dry</t>
        </is>
      </c>
      <c r="B2062" s="163" t="n">
        <v>0.45</v>
      </c>
      <c r="C2062" s="163" t="n">
        <v>0.07000000000000001</v>
      </c>
      <c r="D2062" s="453" t="n"/>
      <c r="E2062" s="453" t="n"/>
      <c r="F2062" s="453" t="n"/>
      <c r="G2062" s="453" t="n"/>
      <c r="H2062" s="453" t="n"/>
      <c r="I2062" s="453" t="n"/>
      <c r="J2062" s="453" t="n"/>
      <c r="K2062" s="453" t="n"/>
      <c r="L2062" s="453" t="n"/>
      <c r="M2062" s="453" t="n"/>
      <c r="N2062" s="453" t="n"/>
      <c r="O2062" s="453" t="n"/>
      <c r="P2062" s="1617" t="n"/>
      <c r="Q2062" s="453" t="n"/>
      <c r="R2062" s="453" t="n"/>
      <c r="S2062" s="453" t="n"/>
      <c r="T2062" s="453" t="n"/>
      <c r="U2062" s="453" t="n"/>
      <c r="V2062" s="453" t="n"/>
      <c r="W2062" s="453" t="n"/>
    </row>
    <row r="2063" customFormat="1" s="21">
      <c r="A2063" s="20" t="inlineStr">
        <is>
          <t>Warm Temperate Moist</t>
        </is>
      </c>
      <c r="B2063" s="163" t="n">
        <v>0.45</v>
      </c>
      <c r="C2063" s="163" t="n">
        <v>0.07000000000000001</v>
      </c>
      <c r="D2063" s="453" t="n"/>
      <c r="E2063" s="453" t="n"/>
      <c r="F2063" s="453" t="n"/>
      <c r="G2063" s="453" t="n"/>
      <c r="H2063" s="453" t="n"/>
      <c r="I2063" s="453" t="n"/>
      <c r="J2063" s="453" t="n"/>
      <c r="K2063" s="453" t="n"/>
      <c r="L2063" s="453" t="n"/>
      <c r="M2063" s="453" t="n"/>
      <c r="N2063" s="453" t="n"/>
      <c r="O2063" s="453" t="n"/>
      <c r="P2063" s="1617" t="n"/>
      <c r="Q2063" s="453" t="n"/>
      <c r="R2063" s="453" t="n"/>
      <c r="S2063" s="453" t="n"/>
      <c r="T2063" s="453" t="n"/>
      <c r="U2063" s="453" t="n"/>
      <c r="V2063" s="453" t="n"/>
      <c r="W2063" s="453" t="n"/>
    </row>
    <row r="2064" customFormat="1" s="21">
      <c r="A2064" s="20" t="inlineStr">
        <is>
          <t>Tropical Dry</t>
        </is>
      </c>
      <c r="B2064" s="163" t="n">
        <v>0.34</v>
      </c>
      <c r="C2064" s="163" t="n">
        <v>0.26</v>
      </c>
      <c r="D2064" s="453" t="n"/>
      <c r="E2064" s="453" t="n"/>
      <c r="F2064" s="453" t="n"/>
      <c r="G2064" s="453" t="n"/>
      <c r="H2064" s="453" t="n"/>
      <c r="I2064" s="453" t="n"/>
      <c r="J2064" s="453" t="n"/>
      <c r="K2064" s="453" t="n"/>
      <c r="L2064" s="453" t="n"/>
      <c r="M2064" s="453" t="n"/>
      <c r="N2064" s="453" t="n"/>
      <c r="O2064" s="453" t="n"/>
      <c r="P2064" s="1617" t="n"/>
      <c r="Q2064" s="453" t="n"/>
      <c r="R2064" s="453" t="n"/>
      <c r="S2064" s="453" t="n"/>
      <c r="T2064" s="453" t="n"/>
      <c r="U2064" s="453" t="n"/>
      <c r="V2064" s="453" t="n"/>
      <c r="W2064" s="453" t="n"/>
    </row>
    <row r="2065" customFormat="1" s="21">
      <c r="A2065" s="20" t="inlineStr">
        <is>
          <t>Tropical Moist</t>
        </is>
      </c>
      <c r="B2065" s="163" t="n">
        <v>0.34</v>
      </c>
      <c r="C2065" s="163" t="n">
        <v>0.26</v>
      </c>
      <c r="D2065" s="453" t="n"/>
      <c r="E2065" s="453" t="n"/>
      <c r="F2065" s="453" t="n"/>
      <c r="G2065" s="453" t="n"/>
      <c r="H2065" s="453" t="n"/>
      <c r="I2065" s="453" t="n"/>
      <c r="J2065" s="453" t="n"/>
      <c r="K2065" s="453" t="n"/>
      <c r="L2065" s="453" t="n"/>
      <c r="M2065" s="453" t="n"/>
      <c r="N2065" s="453" t="n"/>
      <c r="O2065" s="453" t="n"/>
      <c r="P2065" s="1617" t="n"/>
      <c r="Q2065" s="453" t="n"/>
      <c r="R2065" s="453" t="n"/>
      <c r="S2065" s="453" t="n"/>
      <c r="T2065" s="453" t="n"/>
      <c r="U2065" s="453" t="n"/>
      <c r="V2065" s="453" t="n"/>
      <c r="W2065" s="453" t="n"/>
    </row>
    <row r="2066" customFormat="1" s="21">
      <c r="A2066" s="20" t="inlineStr">
        <is>
          <t>Tropical Wet</t>
        </is>
      </c>
      <c r="B2066" s="163" t="n">
        <v>0.34</v>
      </c>
      <c r="C2066" s="163" t="n">
        <v>0.26</v>
      </c>
      <c r="D2066" s="453" t="n"/>
      <c r="E2066" s="453" t="n"/>
      <c r="F2066" s="453" t="n"/>
      <c r="G2066" s="453" t="n"/>
      <c r="H2066" s="453" t="n"/>
      <c r="I2066" s="453" t="n"/>
      <c r="J2066" s="453" t="n"/>
      <c r="K2066" s="453" t="n"/>
      <c r="L2066" s="453" t="n"/>
      <c r="M2066" s="453" t="n"/>
      <c r="N2066" s="453" t="n"/>
      <c r="O2066" s="453" t="n"/>
      <c r="P2066" s="1617" t="n"/>
      <c r="Q2066" s="453" t="n"/>
      <c r="R2066" s="453" t="n"/>
      <c r="S2066" s="453" t="n"/>
      <c r="T2066" s="453" t="n"/>
      <c r="U2066" s="453" t="n"/>
      <c r="V2066" s="453" t="n"/>
      <c r="W2066" s="453" t="n"/>
    </row>
    <row r="2067" customFormat="1" s="292">
      <c r="A2067" s="37" t="inlineStr">
        <is>
          <t>Tropical Montane</t>
        </is>
      </c>
      <c r="B2067" s="466" t="n">
        <v>0.34</v>
      </c>
      <c r="C2067" s="466" t="n">
        <v>0.26</v>
      </c>
      <c r="D2067" s="421" t="n"/>
      <c r="E2067" s="421" t="n"/>
      <c r="F2067" s="421" t="n"/>
      <c r="G2067" s="421" t="n"/>
      <c r="H2067" s="1074" t="n"/>
      <c r="I2067" s="1074" t="n"/>
      <c r="J2067" s="1074" t="n"/>
      <c r="K2067" s="1074" t="n"/>
      <c r="L2067" s="1074" t="n"/>
      <c r="M2067" s="1074" t="n"/>
      <c r="N2067" s="1074" t="n"/>
      <c r="O2067" s="1074" t="n"/>
      <c r="P2067" s="1618" t="n"/>
      <c r="Q2067" s="1074" t="n"/>
      <c r="R2067" s="1074" t="n"/>
      <c r="S2067" s="1074" t="n"/>
      <c r="T2067" s="1074" t="n"/>
      <c r="U2067" s="1074" t="n"/>
      <c r="V2067" s="1074" t="n"/>
      <c r="W2067" s="1074" t="n"/>
    </row>
    <row r="2068" customFormat="1" s="292">
      <c r="A2068" s="1073" t="inlineStr">
        <is>
          <t xml:space="preserve">Notes </t>
        </is>
      </c>
    </row>
    <row r="2069" customFormat="1" s="292">
      <c r="A2069" s="292" t="inlineStr">
        <is>
          <t>Values in red are from IPCC 2006</t>
        </is>
      </c>
    </row>
    <row r="2070" customFormat="1" s="284"/>
    <row r="2071" customFormat="1" s="125">
      <c r="A2071" s="377" t="inlineStr">
        <is>
          <t>Conversions factors for CO2 for volume and weight production data - CARBON FRACTION VOLUME PEAT</t>
        </is>
      </c>
      <c r="D2071" s="1075" t="n"/>
      <c r="E2071" s="1075" t="n"/>
      <c r="F2071" s="1075" t="n"/>
      <c r="G2071" s="1075" t="n"/>
      <c r="H2071" s="1075" t="n"/>
      <c r="I2071" s="1075" t="n"/>
    </row>
    <row r="2072" ht="16.25" customFormat="1" customHeight="1" s="773">
      <c r="A2072" s="753" t="inlineStr">
        <is>
          <t>NUTRIENT-RICH</t>
        </is>
      </c>
      <c r="B2072" s="442" t="inlineStr">
        <is>
          <t>Table 7.5 IPCC 2006</t>
        </is>
      </c>
      <c r="C2072" s="442" t="inlineStr">
        <is>
          <t>Table 7.5 IPCC 2006</t>
        </is>
      </c>
      <c r="D2072" s="442" t="n"/>
      <c r="E2072" s="442" t="n"/>
      <c r="F2072" s="442" t="n"/>
      <c r="G2072" s="442" t="n"/>
      <c r="H2072" s="442" t="n"/>
      <c r="I2072" s="442" t="n"/>
      <c r="J2072" s="442" t="n"/>
      <c r="K2072" s="442" t="n"/>
      <c r="L2072" s="442" t="n"/>
      <c r="M2072" s="442" t="n"/>
      <c r="N2072" s="442" t="n"/>
      <c r="O2072" s="442" t="n"/>
      <c r="P2072" s="532" t="n"/>
      <c r="Q2072" s="442" t="n"/>
      <c r="R2072" s="442" t="n"/>
      <c r="S2072" s="442" t="n"/>
      <c r="T2072" s="442" t="n"/>
      <c r="U2072" s="442" t="n"/>
      <c r="V2072" s="442" t="n"/>
      <c r="W2072" s="442" t="n"/>
    </row>
    <row r="2073" ht="16" customFormat="1" customHeight="1" s="291">
      <c r="A2073" s="293" t="inlineStr">
        <is>
          <t>IPCC Climate Region</t>
        </is>
      </c>
      <c r="B2073" s="31" t="inlineStr">
        <is>
          <t>WEIGHT PEAT</t>
        </is>
      </c>
      <c r="C2073" s="31" t="inlineStr">
        <is>
          <t>VOLUME PEAT</t>
        </is>
      </c>
      <c r="D2073" s="1456" t="n"/>
      <c r="E2073" s="419" t="n"/>
      <c r="F2073" s="419" t="n"/>
      <c r="G2073" s="419" t="n"/>
      <c r="H2073" s="453" t="n"/>
      <c r="I2073" s="453" t="n"/>
      <c r="J2073" s="453" t="n"/>
      <c r="K2073" s="453" t="n"/>
      <c r="L2073" s="453" t="n"/>
      <c r="M2073" s="453" t="n"/>
      <c r="N2073" s="453" t="n"/>
      <c r="O2073" s="453" t="n"/>
      <c r="P2073" s="1616" t="n"/>
      <c r="Q2073" s="453" t="n"/>
      <c r="R2073" s="453" t="n"/>
      <c r="S2073" s="453" t="n"/>
      <c r="T2073" s="453" t="n"/>
      <c r="U2073" s="453" t="n"/>
      <c r="V2073" s="453" t="n"/>
      <c r="W2073" s="453" t="n"/>
      <c r="X2073" s="21" t="n"/>
      <c r="Y2073" s="21" t="n"/>
    </row>
    <row r="2074" ht="16" customFormat="1" customHeight="1" s="1093">
      <c r="A2074" s="1090" t="inlineStr">
        <is>
          <t>Please select</t>
        </is>
      </c>
      <c r="B2074" s="31" t="inlineStr">
        <is>
          <t>tC/t air dry peat</t>
        </is>
      </c>
      <c r="C2074" s="31" t="inlineStr">
        <is>
          <t>tC/m3 air dry peat</t>
        </is>
      </c>
      <c r="D2074" s="1092" t="n"/>
      <c r="E2074" s="1092" t="n"/>
      <c r="F2074" s="1092" t="n"/>
      <c r="G2074" s="1092" t="n"/>
      <c r="H2074" s="1092" t="n"/>
      <c r="I2074" s="1092" t="n"/>
      <c r="J2074" s="1092" t="n"/>
      <c r="K2074" s="1092" t="n"/>
      <c r="L2074" s="1092" t="n"/>
      <c r="M2074" s="1092" t="n"/>
      <c r="N2074" s="1092" t="n"/>
      <c r="O2074" s="1092" t="n"/>
      <c r="P2074" s="1092" t="n"/>
      <c r="Q2074" s="1092" t="n"/>
      <c r="R2074" s="1092" t="n"/>
      <c r="S2074" s="1092" t="n"/>
      <c r="T2074" s="1092" t="n"/>
      <c r="U2074" s="1092" t="n"/>
      <c r="V2074" s="1092" t="n"/>
      <c r="W2074" s="1092" t="n"/>
    </row>
    <row r="2075" customFormat="1" s="21">
      <c r="A2075" s="20" t="inlineStr">
        <is>
          <t>Boreal Dry</t>
        </is>
      </c>
      <c r="B2075" s="464" t="n">
        <v>0.4</v>
      </c>
      <c r="C2075" s="464" t="n">
        <v>0.24</v>
      </c>
      <c r="D2075" s="453" t="n"/>
      <c r="E2075" s="453" t="n"/>
      <c r="F2075" s="453" t="n"/>
      <c r="G2075" s="453" t="n"/>
      <c r="H2075" s="453" t="n"/>
      <c r="I2075" s="453" t="n"/>
      <c r="J2075" s="453" t="n"/>
      <c r="K2075" s="453" t="n"/>
      <c r="L2075" s="453" t="n"/>
      <c r="M2075" s="453" t="n"/>
      <c r="N2075" s="453" t="n"/>
      <c r="O2075" s="453" t="n"/>
      <c r="P2075" s="1617" t="n"/>
      <c r="Q2075" s="453" t="n"/>
      <c r="R2075" s="453" t="n"/>
      <c r="S2075" s="453" t="n"/>
      <c r="T2075" s="453" t="n"/>
      <c r="U2075" s="453" t="n"/>
      <c r="V2075" s="453" t="n"/>
      <c r="W2075" s="453" t="n"/>
    </row>
    <row r="2076" customFormat="1" s="21">
      <c r="A2076" s="20" t="inlineStr">
        <is>
          <t>Boreal Moist</t>
        </is>
      </c>
      <c r="B2076" s="163" t="n">
        <v>0.4</v>
      </c>
      <c r="C2076" s="163" t="n">
        <v>0.24</v>
      </c>
      <c r="D2076" s="453" t="n"/>
      <c r="E2076" s="453" t="n"/>
      <c r="F2076" s="453" t="n"/>
      <c r="G2076" s="453" t="n"/>
      <c r="H2076" s="453" t="n"/>
      <c r="I2076" s="453" t="n"/>
      <c r="J2076" s="453" t="n"/>
      <c r="K2076" s="453" t="n"/>
      <c r="L2076" s="453" t="n"/>
      <c r="M2076" s="453" t="n"/>
      <c r="N2076" s="453" t="n"/>
      <c r="O2076" s="453" t="n"/>
      <c r="P2076" s="1617" t="n"/>
      <c r="Q2076" s="453" t="n"/>
      <c r="R2076" s="453" t="n"/>
      <c r="S2076" s="453" t="n"/>
      <c r="T2076" s="453" t="n"/>
      <c r="U2076" s="453" t="n"/>
      <c r="V2076" s="453" t="n"/>
      <c r="W2076" s="453" t="n"/>
    </row>
    <row r="2077" customFormat="1" s="21">
      <c r="A2077" s="20" t="inlineStr">
        <is>
          <t>Cool Temperate Dry</t>
        </is>
      </c>
      <c r="B2077" s="163" t="n">
        <v>0.4</v>
      </c>
      <c r="C2077" s="163" t="n">
        <v>0.24</v>
      </c>
      <c r="D2077" s="453" t="n"/>
      <c r="E2077" s="453" t="n"/>
      <c r="F2077" s="453" t="n"/>
      <c r="G2077" s="453" t="n"/>
      <c r="H2077" s="453" t="n"/>
      <c r="I2077" s="453" t="n"/>
      <c r="J2077" s="453" t="n"/>
      <c r="K2077" s="453" t="n"/>
      <c r="L2077" s="453" t="n"/>
      <c r="M2077" s="453" t="n"/>
      <c r="N2077" s="453" t="n"/>
      <c r="O2077" s="453" t="n"/>
      <c r="P2077" s="1617" t="n"/>
      <c r="Q2077" s="453" t="n"/>
      <c r="R2077" s="453" t="n"/>
      <c r="S2077" s="453" t="n"/>
      <c r="T2077" s="453" t="n"/>
      <c r="U2077" s="453" t="n"/>
      <c r="V2077" s="453" t="n"/>
      <c r="W2077" s="453" t="n"/>
    </row>
    <row r="2078" customFormat="1" s="21">
      <c r="A2078" s="20" t="inlineStr">
        <is>
          <t>Cool Temperate Moist</t>
        </is>
      </c>
      <c r="B2078" s="163" t="n">
        <v>0.4</v>
      </c>
      <c r="C2078" s="163" t="n">
        <v>0.24</v>
      </c>
      <c r="D2078" s="453" t="n"/>
      <c r="E2078" s="453" t="n"/>
      <c r="F2078" s="453" t="n"/>
      <c r="G2078" s="453" t="n"/>
      <c r="H2078" s="453" t="n"/>
      <c r="I2078" s="453" t="n"/>
      <c r="J2078" s="453" t="n"/>
      <c r="K2078" s="453" t="n"/>
      <c r="L2078" s="453" t="n"/>
      <c r="M2078" s="453" t="n"/>
      <c r="N2078" s="453" t="n"/>
      <c r="O2078" s="453" t="n"/>
      <c r="P2078" s="1617" t="n"/>
      <c r="Q2078" s="453" t="n"/>
      <c r="R2078" s="453" t="n"/>
      <c r="S2078" s="453" t="n"/>
      <c r="T2078" s="453" t="n"/>
      <c r="U2078" s="453" t="n"/>
      <c r="V2078" s="453" t="n"/>
      <c r="W2078" s="453" t="n"/>
    </row>
    <row r="2079" customFormat="1" s="21">
      <c r="A2079" s="20" t="inlineStr">
        <is>
          <t>Warm Temperate Dry</t>
        </is>
      </c>
      <c r="B2079" s="163" t="n">
        <v>0.4</v>
      </c>
      <c r="C2079" s="163" t="n">
        <v>0.24</v>
      </c>
      <c r="D2079" s="453" t="n"/>
      <c r="E2079" s="453" t="n"/>
      <c r="F2079" s="453" t="n"/>
      <c r="G2079" s="453" t="n"/>
      <c r="H2079" s="453" t="n"/>
      <c r="I2079" s="453" t="n"/>
      <c r="J2079" s="453" t="n"/>
      <c r="K2079" s="453" t="n"/>
      <c r="L2079" s="453" t="n"/>
      <c r="M2079" s="453" t="n"/>
      <c r="N2079" s="453" t="n"/>
      <c r="O2079" s="453" t="n"/>
      <c r="P2079" s="1617" t="n"/>
      <c r="Q2079" s="453" t="n"/>
      <c r="R2079" s="453" t="n"/>
      <c r="S2079" s="453" t="n"/>
      <c r="T2079" s="453" t="n"/>
      <c r="U2079" s="453" t="n"/>
      <c r="V2079" s="453" t="n"/>
      <c r="W2079" s="453" t="n"/>
    </row>
    <row r="2080" customFormat="1" s="21">
      <c r="A2080" s="20" t="inlineStr">
        <is>
          <t>Warm Temperate Moist</t>
        </is>
      </c>
      <c r="B2080" s="163" t="n">
        <v>0.4</v>
      </c>
      <c r="C2080" s="163" t="n">
        <v>0.24</v>
      </c>
      <c r="D2080" s="453" t="n"/>
      <c r="E2080" s="453" t="n"/>
      <c r="F2080" s="453" t="n"/>
      <c r="G2080" s="453" t="n"/>
      <c r="H2080" s="453" t="n"/>
      <c r="I2080" s="453" t="n"/>
      <c r="J2080" s="453" t="n"/>
      <c r="K2080" s="453" t="n"/>
      <c r="L2080" s="453" t="n"/>
      <c r="M2080" s="453" t="n"/>
      <c r="N2080" s="453" t="n"/>
      <c r="O2080" s="453" t="n"/>
      <c r="P2080" s="1617" t="n"/>
      <c r="Q2080" s="453" t="n"/>
      <c r="R2080" s="453" t="n"/>
      <c r="S2080" s="453" t="n"/>
      <c r="T2080" s="453" t="n"/>
      <c r="U2080" s="453" t="n"/>
      <c r="V2080" s="453" t="n"/>
      <c r="W2080" s="453" t="n"/>
    </row>
    <row r="2081" customFormat="1" s="21">
      <c r="A2081" s="20" t="inlineStr">
        <is>
          <t>Tropical Dry</t>
        </is>
      </c>
      <c r="B2081" s="163" t="n">
        <v>0.34</v>
      </c>
      <c r="C2081" s="163" t="n">
        <v>0.26</v>
      </c>
      <c r="D2081" s="453" t="n"/>
      <c r="E2081" s="453" t="n"/>
      <c r="F2081" s="453" t="n"/>
      <c r="G2081" s="453" t="n"/>
      <c r="H2081" s="453" t="n"/>
      <c r="I2081" s="453" t="n"/>
      <c r="J2081" s="453" t="n"/>
      <c r="K2081" s="453" t="n"/>
      <c r="L2081" s="453" t="n"/>
      <c r="M2081" s="453" t="n"/>
      <c r="N2081" s="453" t="n"/>
      <c r="O2081" s="453" t="n"/>
      <c r="P2081" s="1617" t="n"/>
      <c r="Q2081" s="453" t="n"/>
      <c r="R2081" s="453" t="n"/>
      <c r="S2081" s="453" t="n"/>
      <c r="T2081" s="453" t="n"/>
      <c r="U2081" s="453" t="n"/>
      <c r="V2081" s="453" t="n"/>
      <c r="W2081" s="453" t="n"/>
    </row>
    <row r="2082" customFormat="1" s="21">
      <c r="A2082" s="20" t="inlineStr">
        <is>
          <t>Tropical Moist</t>
        </is>
      </c>
      <c r="B2082" s="163" t="n">
        <v>0.34</v>
      </c>
      <c r="C2082" s="163" t="n">
        <v>0.26</v>
      </c>
      <c r="D2082" s="453" t="n"/>
      <c r="E2082" s="453" t="n"/>
      <c r="F2082" s="453" t="n"/>
      <c r="G2082" s="453" t="n"/>
      <c r="H2082" s="453" t="n"/>
      <c r="I2082" s="453" t="n"/>
      <c r="J2082" s="453" t="n"/>
      <c r="K2082" s="453" t="n"/>
      <c r="L2082" s="453" t="n"/>
      <c r="M2082" s="453" t="n"/>
      <c r="N2082" s="453" t="n"/>
      <c r="O2082" s="453" t="n"/>
      <c r="P2082" s="1617" t="n"/>
      <c r="Q2082" s="453" t="n"/>
      <c r="R2082" s="453" t="n"/>
      <c r="S2082" s="453" t="n"/>
      <c r="T2082" s="453" t="n"/>
      <c r="U2082" s="453" t="n"/>
      <c r="V2082" s="453" t="n"/>
      <c r="W2082" s="453" t="n"/>
    </row>
    <row r="2083" customFormat="1" s="21">
      <c r="A2083" s="20" t="inlineStr">
        <is>
          <t>Tropical Wet</t>
        </is>
      </c>
      <c r="B2083" s="163" t="n">
        <v>0.34</v>
      </c>
      <c r="C2083" s="163" t="n">
        <v>0.26</v>
      </c>
      <c r="D2083" s="453" t="n"/>
      <c r="E2083" s="453" t="n"/>
      <c r="F2083" s="453" t="n"/>
      <c r="G2083" s="453" t="n"/>
      <c r="H2083" s="453" t="n"/>
      <c r="I2083" s="453" t="n"/>
      <c r="J2083" s="453" t="n"/>
      <c r="K2083" s="453" t="n"/>
      <c r="L2083" s="453" t="n"/>
      <c r="M2083" s="453" t="n"/>
      <c r="N2083" s="453" t="n"/>
      <c r="O2083" s="453" t="n"/>
      <c r="P2083" s="1617" t="n"/>
      <c r="Q2083" s="453" t="n"/>
      <c r="R2083" s="453" t="n"/>
      <c r="S2083" s="453" t="n"/>
      <c r="T2083" s="453" t="n"/>
      <c r="U2083" s="453" t="n"/>
      <c r="V2083" s="453" t="n"/>
      <c r="W2083" s="453" t="n"/>
    </row>
    <row r="2084" customFormat="1" s="292">
      <c r="A2084" s="37" t="inlineStr">
        <is>
          <t>Tropical Montane</t>
        </is>
      </c>
      <c r="B2084" s="466" t="n">
        <v>0.34</v>
      </c>
      <c r="C2084" s="466" t="n">
        <v>0.26</v>
      </c>
      <c r="D2084" s="421" t="n"/>
      <c r="E2084" s="421" t="n"/>
      <c r="F2084" s="421" t="n"/>
      <c r="G2084" s="421" t="n"/>
      <c r="H2084" s="1074" t="n"/>
      <c r="I2084" s="1074" t="n"/>
      <c r="J2084" s="1074" t="n"/>
      <c r="K2084" s="1074" t="n"/>
      <c r="L2084" s="1074" t="n"/>
      <c r="M2084" s="1074" t="n"/>
      <c r="N2084" s="1074" t="n"/>
      <c r="O2084" s="1074" t="n"/>
      <c r="P2084" s="1618" t="n"/>
      <c r="Q2084" s="1074" t="n"/>
      <c r="R2084" s="1074" t="n"/>
      <c r="S2084" s="1074" t="n"/>
      <c r="T2084" s="1074" t="n"/>
      <c r="U2084" s="1074" t="n"/>
      <c r="V2084" s="1074" t="n"/>
      <c r="W2084" s="1074" t="n"/>
    </row>
    <row r="2085" customFormat="1" s="292">
      <c r="A2085" s="1073" t="inlineStr">
        <is>
          <t xml:space="preserve">Notes </t>
        </is>
      </c>
    </row>
    <row r="2086" customFormat="1" s="292">
      <c r="A2086" s="292" t="inlineStr">
        <is>
          <t>Values in red are from IPCC 2006</t>
        </is>
      </c>
    </row>
    <row r="2087" customFormat="1" s="284"/>
    <row r="2088" customFormat="1" s="284"/>
    <row r="2089" ht="24" customFormat="1" customHeight="1" s="1086">
      <c r="A2089" s="1086" t="inlineStr">
        <is>
          <t>Coastal wetlands</t>
        </is>
      </c>
    </row>
    <row r="2090" ht="24" customFormat="1" customHeight="1" s="1677"/>
    <row r="2091" customFormat="1" s="125">
      <c r="A2091" s="377" t="inlineStr">
        <is>
          <t>Above ground biomass in coastal wetlands</t>
        </is>
      </c>
      <c r="C2091" s="329" t="n"/>
      <c r="D2091" s="1075" t="n"/>
      <c r="E2091" s="1075" t="n"/>
      <c r="F2091" s="1075" t="n"/>
      <c r="G2091" s="1075" t="n"/>
      <c r="H2091" s="1075" t="n"/>
      <c r="I2091" s="1075" t="n"/>
    </row>
    <row r="2092" ht="16.25" customFormat="1" customHeight="1" s="773">
      <c r="A2092" s="753" t="n"/>
      <c r="B2092" s="378" t="inlineStr">
        <is>
          <t>Table 4.3 IPCC 2014</t>
        </is>
      </c>
      <c r="C2092" s="371" t="n"/>
      <c r="D2092" s="442" t="n"/>
      <c r="E2092" s="442" t="n"/>
      <c r="F2092" s="442" t="n"/>
      <c r="G2092" s="442" t="n"/>
      <c r="H2092" s="442" t="n"/>
      <c r="I2092" s="442" t="n"/>
      <c r="J2092" s="442" t="n"/>
      <c r="K2092" s="442" t="n"/>
      <c r="L2092" s="442" t="n"/>
      <c r="M2092" s="442" t="n"/>
      <c r="N2092" s="442" t="n"/>
      <c r="O2092" s="442" t="n"/>
      <c r="P2092" s="532" t="n"/>
      <c r="Q2092" s="442" t="n"/>
      <c r="R2092" s="442" t="n"/>
      <c r="S2092" s="442" t="n"/>
      <c r="T2092" s="442" t="n"/>
      <c r="U2092" s="442" t="n"/>
      <c r="V2092" s="442" t="n"/>
      <c r="W2092" s="442" t="n"/>
    </row>
    <row r="2093" ht="16" customFormat="1" customHeight="1" s="291">
      <c r="A2093" s="293" t="inlineStr">
        <is>
          <t>IPCC Climate Region</t>
        </is>
      </c>
      <c r="B2093" s="31" t="inlineStr">
        <is>
          <t>Mangrove</t>
        </is>
      </c>
      <c r="C2093" s="31" t="inlineStr">
        <is>
          <t>Tidal marsh</t>
        </is>
      </c>
      <c r="D2093" s="31" t="inlineStr">
        <is>
          <t>Seagrass</t>
        </is>
      </c>
      <c r="E2093" s="419" t="n"/>
      <c r="F2093" s="419" t="n"/>
      <c r="G2093" s="419" t="n"/>
      <c r="H2093" s="453" t="n"/>
      <c r="I2093" s="453" t="n"/>
      <c r="J2093" s="453" t="n"/>
      <c r="K2093" s="453" t="n"/>
      <c r="L2093" s="453" t="n"/>
      <c r="M2093" s="453" t="n"/>
      <c r="N2093" s="453" t="n"/>
      <c r="O2093" s="453" t="n"/>
      <c r="P2093" s="1616" t="n"/>
      <c r="Q2093" s="453" t="n"/>
      <c r="R2093" s="453" t="n"/>
      <c r="S2093" s="453" t="n"/>
      <c r="T2093" s="453" t="n"/>
      <c r="U2093" s="453" t="n"/>
      <c r="V2093" s="453" t="n"/>
      <c r="W2093" s="453" t="n"/>
      <c r="X2093" s="21" t="n"/>
      <c r="Y2093" s="21" t="n"/>
    </row>
    <row r="2094" ht="16" customFormat="1" customHeight="1" s="1093">
      <c r="A2094" s="1090" t="inlineStr">
        <is>
          <t>Please select</t>
        </is>
      </c>
      <c r="B2094" s="31" t="inlineStr">
        <is>
          <t>t dry matter/ha</t>
        </is>
      </c>
      <c r="C2094" s="31" t="inlineStr">
        <is>
          <t>t dry matter/ha</t>
        </is>
      </c>
      <c r="D2094" s="31" t="inlineStr">
        <is>
          <t>t dry matter/ha</t>
        </is>
      </c>
      <c r="E2094" s="1092" t="n"/>
      <c r="F2094" s="1092" t="n"/>
      <c r="G2094" s="1092" t="n"/>
      <c r="H2094" s="1092" t="n"/>
      <c r="I2094" s="1092" t="n"/>
      <c r="J2094" s="1092" t="n"/>
      <c r="K2094" s="1092" t="n"/>
      <c r="L2094" s="1092" t="n"/>
      <c r="M2094" s="1092" t="n"/>
      <c r="N2094" s="1092" t="n"/>
      <c r="O2094" s="1092" t="n"/>
      <c r="P2094" s="1092" t="n"/>
      <c r="Q2094" s="1092" t="n"/>
      <c r="R2094" s="1092" t="n"/>
      <c r="S2094" s="1092" t="n"/>
      <c r="T2094" s="1092" t="n"/>
      <c r="U2094" s="1092" t="n"/>
      <c r="V2094" s="1092" t="n"/>
      <c r="W2094" s="1092" t="n"/>
    </row>
    <row r="2095" customFormat="1" s="21">
      <c r="A2095" s="20" t="inlineStr">
        <is>
          <t>Boreal Dry</t>
        </is>
      </c>
      <c r="B2095" s="470" t="n">
        <v>0</v>
      </c>
      <c r="C2095" s="470" t="n">
        <v>0</v>
      </c>
      <c r="D2095" s="470" t="n">
        <v>0</v>
      </c>
      <c r="E2095" s="453" t="n"/>
      <c r="F2095" s="453" t="n"/>
      <c r="G2095" s="453" t="n"/>
      <c r="H2095" s="453" t="n"/>
      <c r="I2095" s="453" t="n"/>
      <c r="J2095" s="453" t="n"/>
      <c r="K2095" s="453" t="n"/>
      <c r="L2095" s="453" t="n"/>
      <c r="M2095" s="453" t="n"/>
      <c r="N2095" s="453" t="n"/>
      <c r="O2095" s="453" t="n"/>
      <c r="P2095" s="1617" t="n"/>
      <c r="Q2095" s="453" t="n"/>
      <c r="R2095" s="453" t="n"/>
      <c r="S2095" s="453" t="n"/>
      <c r="T2095" s="453" t="n"/>
      <c r="U2095" s="453" t="n"/>
      <c r="V2095" s="453" t="n"/>
      <c r="W2095" s="453" t="n"/>
    </row>
    <row r="2096" customFormat="1" s="21">
      <c r="A2096" s="20" t="inlineStr">
        <is>
          <t>Boreal Moist</t>
        </is>
      </c>
      <c r="B2096" s="467" t="n">
        <v>0</v>
      </c>
      <c r="C2096" s="467" t="n">
        <v>0</v>
      </c>
      <c r="D2096" s="467" t="n">
        <v>0</v>
      </c>
      <c r="E2096" s="453" t="n"/>
      <c r="F2096" s="453" t="n"/>
      <c r="G2096" s="453" t="n"/>
      <c r="H2096" s="453" t="n"/>
      <c r="I2096" s="453" t="n"/>
      <c r="J2096" s="453" t="n"/>
      <c r="K2096" s="453" t="n"/>
      <c r="L2096" s="453" t="n"/>
      <c r="M2096" s="453" t="n"/>
      <c r="N2096" s="453" t="n"/>
      <c r="O2096" s="453" t="n"/>
      <c r="P2096" s="1617" t="n"/>
      <c r="Q2096" s="453" t="n"/>
      <c r="R2096" s="453" t="n"/>
      <c r="S2096" s="453" t="n"/>
      <c r="T2096" s="453" t="n"/>
      <c r="U2096" s="453" t="n"/>
      <c r="V2096" s="453" t="n"/>
      <c r="W2096" s="453" t="n"/>
    </row>
    <row r="2097" customFormat="1" s="21">
      <c r="A2097" s="20" t="inlineStr">
        <is>
          <t>Cool Temperate Dry</t>
        </is>
      </c>
      <c r="B2097" s="467" t="n">
        <v>0</v>
      </c>
      <c r="C2097" s="467" t="n">
        <v>0</v>
      </c>
      <c r="D2097" s="467" t="n">
        <v>0</v>
      </c>
      <c r="E2097" s="453" t="n"/>
      <c r="F2097" s="453" t="n"/>
      <c r="G2097" s="453" t="n"/>
      <c r="H2097" s="453" t="n"/>
      <c r="I2097" s="453" t="n"/>
      <c r="J2097" s="453" t="n"/>
      <c r="K2097" s="453" t="n"/>
      <c r="L2097" s="453" t="n"/>
      <c r="M2097" s="453" t="n"/>
      <c r="N2097" s="453" t="n"/>
      <c r="O2097" s="453" t="n"/>
      <c r="P2097" s="1617" t="n"/>
      <c r="Q2097" s="453" t="n"/>
      <c r="R2097" s="453" t="n"/>
      <c r="S2097" s="453" t="n"/>
      <c r="T2097" s="453" t="n"/>
      <c r="U2097" s="453" t="n"/>
      <c r="V2097" s="453" t="n"/>
      <c r="W2097" s="453" t="n"/>
    </row>
    <row r="2098" customFormat="1" s="21">
      <c r="A2098" s="20" t="inlineStr">
        <is>
          <t>Cool Temperate Moist</t>
        </is>
      </c>
      <c r="B2098" s="467" t="n">
        <v>0</v>
      </c>
      <c r="C2098" s="467" t="n">
        <v>0</v>
      </c>
      <c r="D2098" s="467" t="n">
        <v>0</v>
      </c>
      <c r="E2098" s="453" t="n"/>
      <c r="F2098" s="453" t="n"/>
      <c r="G2098" s="453" t="n"/>
      <c r="H2098" s="453" t="n"/>
      <c r="I2098" s="453" t="n"/>
      <c r="J2098" s="453" t="n"/>
      <c r="K2098" s="453" t="n"/>
      <c r="L2098" s="453" t="n"/>
      <c r="M2098" s="453" t="n"/>
      <c r="N2098" s="453" t="n"/>
      <c r="O2098" s="453" t="n"/>
      <c r="P2098" s="1617" t="n"/>
      <c r="Q2098" s="453" t="n"/>
      <c r="R2098" s="453" t="n"/>
      <c r="S2098" s="453" t="n"/>
      <c r="T2098" s="453" t="n"/>
      <c r="U2098" s="453" t="n"/>
      <c r="V2098" s="453" t="n"/>
      <c r="W2098" s="453" t="n"/>
    </row>
    <row r="2099" customFormat="1" s="21">
      <c r="A2099" s="20" t="inlineStr">
        <is>
          <t>Warm Temperate Dry</t>
        </is>
      </c>
      <c r="B2099" s="467" t="n">
        <v>75</v>
      </c>
      <c r="C2099" s="467" t="n">
        <v>0</v>
      </c>
      <c r="D2099" s="467" t="n">
        <v>0</v>
      </c>
      <c r="E2099" s="453" t="n"/>
      <c r="F2099" s="453" t="n"/>
      <c r="G2099" s="453" t="n"/>
      <c r="H2099" s="453" t="n"/>
      <c r="I2099" s="453" t="n"/>
      <c r="J2099" s="453" t="n"/>
      <c r="K2099" s="453" t="n"/>
      <c r="L2099" s="453" t="n"/>
      <c r="M2099" s="453" t="n"/>
      <c r="N2099" s="453" t="n"/>
      <c r="O2099" s="453" t="n"/>
      <c r="P2099" s="1617" t="n"/>
      <c r="Q2099" s="453" t="n"/>
      <c r="R2099" s="453" t="n"/>
      <c r="S2099" s="453" t="n"/>
      <c r="T2099" s="453" t="n"/>
      <c r="U2099" s="453" t="n"/>
      <c r="V2099" s="453" t="n"/>
      <c r="W2099" s="453" t="n"/>
    </row>
    <row r="2100" customFormat="1" s="21">
      <c r="A2100" s="20" t="inlineStr">
        <is>
          <t>Warm Temperate Moist</t>
        </is>
      </c>
      <c r="B2100" s="467" t="n">
        <v>75</v>
      </c>
      <c r="C2100" s="467" t="n">
        <v>0</v>
      </c>
      <c r="D2100" s="467" t="n">
        <v>0</v>
      </c>
      <c r="E2100" s="453" t="n"/>
      <c r="F2100" s="453" t="n"/>
      <c r="G2100" s="453" t="n"/>
      <c r="H2100" s="453" t="n"/>
      <c r="I2100" s="453" t="n"/>
      <c r="J2100" s="453" t="n"/>
      <c r="K2100" s="453" t="n"/>
      <c r="L2100" s="453" t="n"/>
      <c r="M2100" s="453" t="n"/>
      <c r="N2100" s="453" t="n"/>
      <c r="O2100" s="453" t="n"/>
      <c r="P2100" s="1617" t="n"/>
      <c r="Q2100" s="453" t="n"/>
      <c r="R2100" s="453" t="n"/>
      <c r="S2100" s="453" t="n"/>
      <c r="T2100" s="453" t="n"/>
      <c r="U2100" s="453" t="n"/>
      <c r="V2100" s="453" t="n"/>
      <c r="W2100" s="453" t="n"/>
    </row>
    <row r="2101" customFormat="1" s="21">
      <c r="A2101" s="20" t="inlineStr">
        <is>
          <t>Tropical Dry</t>
        </is>
      </c>
      <c r="B2101" s="467" t="n">
        <v>92</v>
      </c>
      <c r="C2101" s="467" t="n">
        <v>0</v>
      </c>
      <c r="D2101" s="467" t="n">
        <v>0</v>
      </c>
      <c r="E2101" s="453" t="n"/>
      <c r="F2101" s="453" t="n"/>
      <c r="G2101" s="453" t="n"/>
      <c r="H2101" s="453" t="n"/>
      <c r="I2101" s="453" t="n"/>
      <c r="J2101" s="453" t="n"/>
      <c r="K2101" s="453" t="n"/>
      <c r="L2101" s="453" t="n"/>
      <c r="M2101" s="453" t="n"/>
      <c r="N2101" s="453" t="n"/>
      <c r="O2101" s="453" t="n"/>
      <c r="P2101" s="1617" t="n"/>
      <c r="Q2101" s="453" t="n"/>
      <c r="R2101" s="453" t="n"/>
      <c r="S2101" s="453" t="n"/>
      <c r="T2101" s="453" t="n"/>
      <c r="U2101" s="453" t="n"/>
      <c r="V2101" s="453" t="n"/>
      <c r="W2101" s="453" t="n"/>
    </row>
    <row r="2102" customFormat="1" s="21">
      <c r="A2102" s="20" t="inlineStr">
        <is>
          <t>Tropical Moist</t>
        </is>
      </c>
      <c r="B2102" s="467" t="n">
        <v>192</v>
      </c>
      <c r="C2102" s="467" t="n">
        <v>0</v>
      </c>
      <c r="D2102" s="467" t="n">
        <v>0</v>
      </c>
      <c r="E2102" s="453" t="n"/>
      <c r="F2102" s="453" t="n"/>
      <c r="G2102" s="453" t="n"/>
      <c r="H2102" s="453" t="n"/>
      <c r="I2102" s="453" t="n"/>
      <c r="J2102" s="453" t="n"/>
      <c r="K2102" s="453" t="n"/>
      <c r="L2102" s="453" t="n"/>
      <c r="M2102" s="453" t="n"/>
      <c r="N2102" s="453" t="n"/>
      <c r="O2102" s="453" t="n"/>
      <c r="P2102" s="1617" t="n"/>
      <c r="Q2102" s="453" t="n"/>
      <c r="R2102" s="453" t="n"/>
      <c r="S2102" s="453" t="n"/>
      <c r="T2102" s="453" t="n"/>
      <c r="U2102" s="453" t="n"/>
      <c r="V2102" s="453" t="n"/>
      <c r="W2102" s="453" t="n"/>
    </row>
    <row r="2103" customFormat="1" s="21">
      <c r="A2103" s="20" t="inlineStr">
        <is>
          <t>Tropical Wet</t>
        </is>
      </c>
      <c r="B2103" s="467" t="n">
        <v>192</v>
      </c>
      <c r="C2103" s="467" t="n">
        <v>0</v>
      </c>
      <c r="D2103" s="467" t="n">
        <v>0</v>
      </c>
      <c r="E2103" s="453" t="n"/>
      <c r="F2103" s="453" t="n"/>
      <c r="G2103" s="453" t="n"/>
      <c r="H2103" s="453" t="n"/>
      <c r="I2103" s="453" t="n"/>
      <c r="J2103" s="453" t="n"/>
      <c r="K2103" s="453" t="n"/>
      <c r="L2103" s="453" t="n"/>
      <c r="M2103" s="453" t="n"/>
      <c r="N2103" s="453" t="n"/>
      <c r="O2103" s="453" t="n"/>
      <c r="P2103" s="1617" t="n"/>
      <c r="Q2103" s="453" t="n"/>
      <c r="R2103" s="453" t="n"/>
      <c r="S2103" s="453" t="n"/>
      <c r="T2103" s="453" t="n"/>
      <c r="U2103" s="453" t="n"/>
      <c r="V2103" s="453" t="n"/>
      <c r="W2103" s="453" t="n"/>
    </row>
    <row r="2104" customFormat="1" s="292">
      <c r="A2104" s="37" t="inlineStr">
        <is>
          <t>Tropical Montane</t>
        </is>
      </c>
      <c r="B2104" s="654" t="n">
        <v>0</v>
      </c>
      <c r="C2104" s="654" t="n">
        <v>0</v>
      </c>
      <c r="D2104" s="654" t="n">
        <v>0</v>
      </c>
      <c r="E2104" s="421" t="n"/>
      <c r="F2104" s="421" t="n"/>
      <c r="G2104" s="421" t="n"/>
      <c r="H2104" s="1074" t="n"/>
      <c r="I2104" s="1074" t="n"/>
      <c r="J2104" s="1074" t="n"/>
      <c r="K2104" s="1074" t="n"/>
      <c r="L2104" s="1074" t="n"/>
      <c r="M2104" s="1074" t="n"/>
      <c r="N2104" s="1074" t="n"/>
      <c r="O2104" s="1074" t="n"/>
      <c r="P2104" s="1618" t="n"/>
      <c r="Q2104" s="1074" t="n"/>
      <c r="R2104" s="1074" t="n"/>
      <c r="S2104" s="1074" t="n"/>
      <c r="T2104" s="1074" t="n"/>
      <c r="U2104" s="1074" t="n"/>
      <c r="V2104" s="1074" t="n"/>
      <c r="W2104" s="1074" t="n"/>
    </row>
    <row r="2105" customFormat="1" s="292">
      <c r="A2105" s="1073" t="inlineStr">
        <is>
          <t>Notes: Proxy of tropical wet used for tropical moist</t>
        </is>
      </c>
    </row>
    <row r="2106" customFormat="1" s="292"/>
    <row r="2107" customFormat="1" s="284"/>
    <row r="2108" customFormat="1" s="284"/>
    <row r="2109" customFormat="1" s="125">
      <c r="A2109" s="377" t="inlineStr">
        <is>
          <t>Ratio BG/AG Coastal wetlands</t>
        </is>
      </c>
      <c r="D2109" s="1075" t="n"/>
      <c r="E2109" s="1075" t="n"/>
      <c r="F2109" s="1075" t="n"/>
      <c r="G2109" s="1075" t="n"/>
      <c r="H2109" s="1075" t="n"/>
      <c r="I2109" s="1075" t="n"/>
    </row>
    <row r="2110" ht="16.25" customFormat="1" customHeight="1" s="773">
      <c r="A2110" s="753" t="n"/>
      <c r="B2110" s="442" t="inlineStr">
        <is>
          <t>Table 4.5 IPCC 2014</t>
        </is>
      </c>
      <c r="C2110" s="442" t="inlineStr">
        <is>
          <t>Table 4.9 IPCC 2014</t>
        </is>
      </c>
      <c r="D2110" s="442" t="inlineStr">
        <is>
          <t>Table 4.10 IPCC 2014</t>
        </is>
      </c>
      <c r="E2110" s="442" t="inlineStr">
        <is>
          <t>Table 4.9 IPCC 2014</t>
        </is>
      </c>
      <c r="F2110" s="442" t="n"/>
      <c r="G2110" s="442" t="n"/>
      <c r="H2110" s="442" t="n"/>
      <c r="I2110" s="442" t="n"/>
      <c r="J2110" s="442" t="n"/>
      <c r="K2110" s="442" t="n"/>
      <c r="L2110" s="442" t="n"/>
      <c r="M2110" s="442" t="n"/>
      <c r="N2110" s="442" t="n"/>
      <c r="O2110" s="442" t="n"/>
      <c r="P2110" s="532" t="n"/>
      <c r="Q2110" s="442" t="n"/>
      <c r="R2110" s="442" t="n"/>
      <c r="S2110" s="442" t="n"/>
      <c r="T2110" s="442" t="n"/>
      <c r="U2110" s="442" t="n"/>
      <c r="V2110" s="442" t="n"/>
      <c r="W2110" s="442" t="n"/>
    </row>
    <row r="2111" ht="32" customFormat="1" customHeight="1" s="291">
      <c r="A2111" s="293" t="inlineStr">
        <is>
          <t>IPCC Climate Region</t>
        </is>
      </c>
      <c r="B2111" s="31" t="inlineStr">
        <is>
          <t>Mangrove</t>
        </is>
      </c>
      <c r="C2111" s="31" t="inlineStr">
        <is>
          <t>Tidal marsh</t>
        </is>
      </c>
      <c r="D2111" s="31" t="inlineStr">
        <is>
          <t>Seagrass</t>
        </is>
      </c>
      <c r="E2111" s="31" t="inlineStr">
        <is>
          <t>Tidal marsh mediterranean</t>
        </is>
      </c>
      <c r="F2111" s="419" t="n"/>
      <c r="G2111" s="419" t="n"/>
      <c r="H2111" s="453" t="n"/>
      <c r="I2111" s="453" t="n"/>
      <c r="J2111" s="453" t="n"/>
      <c r="K2111" s="453" t="n"/>
      <c r="L2111" s="453" t="n"/>
      <c r="M2111" s="453" t="n"/>
      <c r="N2111" s="453" t="n"/>
      <c r="O2111" s="453" t="n"/>
      <c r="P2111" s="1616" t="n"/>
      <c r="Q2111" s="453" t="n"/>
      <c r="R2111" s="453" t="n"/>
      <c r="S2111" s="453" t="n"/>
      <c r="T2111" s="453" t="n"/>
      <c r="U2111" s="453" t="n"/>
      <c r="V2111" s="453" t="n"/>
      <c r="W2111" s="453" t="n"/>
      <c r="X2111" s="21" t="n"/>
      <c r="Y2111" s="21" t="n"/>
    </row>
    <row r="2112" ht="16" customFormat="1" customHeight="1" s="1093">
      <c r="A2112" s="1090" t="inlineStr">
        <is>
          <t>Please select</t>
        </is>
      </c>
      <c r="B2112" s="31" t="inlineStr">
        <is>
          <t>t root dm/t shoot dm</t>
        </is>
      </c>
      <c r="C2112" s="31" t="inlineStr">
        <is>
          <t>t root dm/t shoot dm</t>
        </is>
      </c>
      <c r="D2112" s="31" t="inlineStr">
        <is>
          <t>t root dm/t shoot dm</t>
        </is>
      </c>
      <c r="E2112" s="31" t="inlineStr">
        <is>
          <t>t root dm/t shoot dm</t>
        </is>
      </c>
      <c r="F2112" s="1092" t="n"/>
      <c r="G2112" s="1092" t="n"/>
      <c r="H2112" s="1092" t="n"/>
      <c r="I2112" s="1092" t="n"/>
      <c r="J2112" s="1092" t="n"/>
      <c r="K2112" s="1092" t="n"/>
      <c r="L2112" s="1092" t="n"/>
      <c r="M2112" s="1092" t="n"/>
      <c r="N2112" s="1092" t="n"/>
      <c r="O2112" s="1092" t="n"/>
      <c r="P2112" s="1092" t="n"/>
      <c r="Q2112" s="1092" t="n"/>
      <c r="R2112" s="1092" t="n"/>
      <c r="S2112" s="1092" t="n"/>
      <c r="T2112" s="1092" t="n"/>
      <c r="U2112" s="1092" t="n"/>
      <c r="V2112" s="1092" t="n"/>
      <c r="W2112" s="1092" t="n"/>
    </row>
    <row r="2113" customFormat="1" s="21">
      <c r="A2113" s="20" t="inlineStr">
        <is>
          <t>Boreal Dry</t>
        </is>
      </c>
      <c r="B2113" s="470" t="n">
        <v>0</v>
      </c>
      <c r="C2113" s="470" t="n">
        <v>0</v>
      </c>
      <c r="D2113" s="470" t="n">
        <v>0</v>
      </c>
      <c r="E2113" s="470" t="n">
        <v>0</v>
      </c>
      <c r="F2113" s="453" t="n"/>
      <c r="G2113" s="453" t="n"/>
      <c r="H2113" s="453" t="n"/>
      <c r="I2113" s="453" t="n"/>
      <c r="J2113" s="453" t="n"/>
      <c r="K2113" s="453" t="n"/>
      <c r="L2113" s="453" t="n"/>
      <c r="M2113" s="453" t="n"/>
      <c r="N2113" s="453" t="n"/>
      <c r="O2113" s="453" t="n"/>
      <c r="P2113" s="1617" t="n"/>
      <c r="Q2113" s="453" t="n"/>
      <c r="R2113" s="453" t="n"/>
      <c r="S2113" s="453" t="n"/>
      <c r="T2113" s="453" t="n"/>
      <c r="U2113" s="453" t="n"/>
      <c r="V2113" s="453" t="n"/>
      <c r="W2113" s="453" t="n"/>
    </row>
    <row r="2114" customFormat="1" s="21">
      <c r="A2114" s="20" t="inlineStr">
        <is>
          <t>Boreal Moist</t>
        </is>
      </c>
      <c r="B2114" s="467" t="n">
        <v>0</v>
      </c>
      <c r="C2114" s="467" t="n">
        <v>0</v>
      </c>
      <c r="D2114" s="467" t="n">
        <v>0</v>
      </c>
      <c r="E2114" s="467" t="n">
        <v>0</v>
      </c>
      <c r="F2114" s="453" t="n"/>
      <c r="G2114" s="453" t="n"/>
      <c r="H2114" s="453" t="n"/>
      <c r="I2114" s="453" t="n"/>
      <c r="J2114" s="453" t="n"/>
      <c r="K2114" s="453" t="n"/>
      <c r="L2114" s="453" t="n"/>
      <c r="M2114" s="453" t="n"/>
      <c r="N2114" s="453" t="n"/>
      <c r="O2114" s="453" t="n"/>
      <c r="P2114" s="1617" t="n"/>
      <c r="Q2114" s="453" t="n"/>
      <c r="R2114" s="453" t="n"/>
      <c r="S2114" s="453" t="n"/>
      <c r="T2114" s="453" t="n"/>
      <c r="U2114" s="453" t="n"/>
      <c r="V2114" s="453" t="n"/>
      <c r="W2114" s="453" t="n"/>
    </row>
    <row r="2115" customFormat="1" s="21">
      <c r="A2115" s="20" t="inlineStr">
        <is>
          <t>Cool Temperate Dry</t>
        </is>
      </c>
      <c r="B2115" s="467" t="n">
        <v>0</v>
      </c>
      <c r="C2115" s="467" t="n">
        <v>2.1</v>
      </c>
      <c r="D2115" s="467" t="n">
        <v>1.3</v>
      </c>
      <c r="E2115" s="467" t="n">
        <v>0</v>
      </c>
      <c r="F2115" s="453" t="n"/>
      <c r="G2115" s="453" t="n"/>
      <c r="H2115" s="453" t="n"/>
      <c r="I2115" s="453" t="n"/>
      <c r="J2115" s="453" t="n"/>
      <c r="K2115" s="453" t="n"/>
      <c r="L2115" s="453" t="n"/>
      <c r="M2115" s="453" t="n"/>
      <c r="N2115" s="453" t="n"/>
      <c r="O2115" s="453" t="n"/>
      <c r="P2115" s="1617" t="n"/>
      <c r="Q2115" s="453" t="n"/>
      <c r="R2115" s="453" t="n"/>
      <c r="S2115" s="453" t="n"/>
      <c r="T2115" s="453" t="n"/>
      <c r="U2115" s="453" t="n"/>
      <c r="V2115" s="453" t="n"/>
      <c r="W2115" s="453" t="n"/>
    </row>
    <row r="2116" customFormat="1" s="21">
      <c r="A2116" s="20" t="inlineStr">
        <is>
          <t>Cool Temperate Moist</t>
        </is>
      </c>
      <c r="B2116" s="467" t="n">
        <v>0</v>
      </c>
      <c r="C2116" s="467" t="n">
        <v>2.1</v>
      </c>
      <c r="D2116" s="467" t="n">
        <v>1.3</v>
      </c>
      <c r="E2116" s="467" t="n">
        <v>0</v>
      </c>
      <c r="F2116" s="453" t="n"/>
      <c r="G2116" s="453" t="n"/>
      <c r="H2116" s="453" t="n"/>
      <c r="I2116" s="453" t="n"/>
      <c r="J2116" s="453" t="n"/>
      <c r="K2116" s="453" t="n"/>
      <c r="L2116" s="453" t="n"/>
      <c r="M2116" s="453" t="n"/>
      <c r="N2116" s="453" t="n"/>
      <c r="O2116" s="453" t="n"/>
      <c r="P2116" s="1617" t="n"/>
      <c r="Q2116" s="453" t="n"/>
      <c r="R2116" s="453" t="n"/>
      <c r="S2116" s="453" t="n"/>
      <c r="T2116" s="453" t="n"/>
      <c r="U2116" s="453" t="n"/>
      <c r="V2116" s="453" t="n"/>
      <c r="W2116" s="453" t="n"/>
    </row>
    <row r="2117" customFormat="1" s="21">
      <c r="A2117" s="20" t="inlineStr">
        <is>
          <t>Warm Temperate Dry</t>
        </is>
      </c>
      <c r="B2117" s="467" t="n">
        <v>0.96</v>
      </c>
      <c r="C2117" s="467" t="n">
        <v>3.65</v>
      </c>
      <c r="D2117" s="467" t="n">
        <v>2.4</v>
      </c>
      <c r="E2117" s="467" t="n">
        <v>3.63</v>
      </c>
      <c r="F2117" s="453" t="n"/>
      <c r="G2117" s="453" t="n"/>
      <c r="H2117" s="453" t="n"/>
      <c r="I2117" s="453" t="n"/>
      <c r="J2117" s="453" t="n"/>
      <c r="K2117" s="453" t="n"/>
      <c r="L2117" s="453" t="n"/>
      <c r="M2117" s="453" t="n"/>
      <c r="N2117" s="453" t="n"/>
      <c r="O2117" s="453" t="n"/>
      <c r="P2117" s="1617" t="n"/>
      <c r="Q2117" s="453" t="n"/>
      <c r="R2117" s="453" t="n"/>
      <c r="S2117" s="453" t="n"/>
      <c r="T2117" s="453" t="n"/>
      <c r="U2117" s="453" t="n"/>
      <c r="V2117" s="453" t="n"/>
      <c r="W2117" s="453" t="n"/>
    </row>
    <row r="2118" customFormat="1" s="21">
      <c r="A2118" s="20" t="inlineStr">
        <is>
          <t>Warm Temperate Moist</t>
        </is>
      </c>
      <c r="B2118" s="467" t="n">
        <v>0.96</v>
      </c>
      <c r="C2118" s="467" t="n">
        <v>3.65</v>
      </c>
      <c r="D2118" s="467" t="n">
        <v>2.4</v>
      </c>
      <c r="E2118" s="467" t="n">
        <v>3.63</v>
      </c>
      <c r="F2118" s="453" t="n"/>
      <c r="G2118" s="453" t="n"/>
      <c r="H2118" s="453" t="n"/>
      <c r="I2118" s="453" t="n"/>
      <c r="J2118" s="453" t="n"/>
      <c r="K2118" s="453" t="n"/>
      <c r="L2118" s="453" t="n"/>
      <c r="M2118" s="453" t="n"/>
      <c r="N2118" s="453" t="n"/>
      <c r="O2118" s="453" t="n"/>
      <c r="P2118" s="1617" t="n"/>
      <c r="Q2118" s="453" t="n"/>
      <c r="R2118" s="453" t="n"/>
      <c r="S2118" s="453" t="n"/>
      <c r="T2118" s="453" t="n"/>
      <c r="U2118" s="453" t="n"/>
      <c r="V2118" s="453" t="n"/>
      <c r="W2118" s="453" t="n"/>
    </row>
    <row r="2119" customFormat="1" s="21">
      <c r="A2119" s="20" t="inlineStr">
        <is>
          <t>Tropical Dry</t>
        </is>
      </c>
      <c r="B2119" s="467" t="n">
        <v>0.29</v>
      </c>
      <c r="C2119" s="467" t="n">
        <v>3.65</v>
      </c>
      <c r="D2119" s="467" t="n">
        <v>1.7</v>
      </c>
      <c r="E2119" s="467" t="n">
        <v>3.63</v>
      </c>
      <c r="F2119" s="453" t="n"/>
      <c r="G2119" s="453" t="n"/>
      <c r="H2119" s="453" t="n"/>
      <c r="I2119" s="453" t="n"/>
      <c r="J2119" s="453" t="n"/>
      <c r="K2119" s="453" t="n"/>
      <c r="L2119" s="453" t="n"/>
      <c r="M2119" s="453" t="n"/>
      <c r="N2119" s="453" t="n"/>
      <c r="O2119" s="453" t="n"/>
      <c r="P2119" s="1617" t="n"/>
      <c r="Q2119" s="453" t="n"/>
      <c r="R2119" s="453" t="n"/>
      <c r="S2119" s="453" t="n"/>
      <c r="T2119" s="453" t="n"/>
      <c r="U2119" s="453" t="n"/>
      <c r="V2119" s="453" t="n"/>
      <c r="W2119" s="453" t="n"/>
    </row>
    <row r="2120" customFormat="1" s="21">
      <c r="A2120" s="20" t="inlineStr">
        <is>
          <t>Tropical Moist</t>
        </is>
      </c>
      <c r="B2120" s="467" t="n">
        <v>0.49</v>
      </c>
      <c r="C2120" s="467" t="n">
        <v>3.65</v>
      </c>
      <c r="D2120" s="467" t="n">
        <v>1.7</v>
      </c>
      <c r="E2120" s="467" t="n">
        <v>0</v>
      </c>
      <c r="F2120" s="453" t="n"/>
      <c r="G2120" s="453" t="n"/>
      <c r="H2120" s="453" t="n"/>
      <c r="I2120" s="453" t="n"/>
      <c r="J2120" s="453" t="n"/>
      <c r="K2120" s="453" t="n"/>
      <c r="L2120" s="453" t="n"/>
      <c r="M2120" s="453" t="n"/>
      <c r="N2120" s="453" t="n"/>
      <c r="O2120" s="453" t="n"/>
      <c r="P2120" s="1617" t="n"/>
      <c r="Q2120" s="453" t="n"/>
      <c r="R2120" s="453" t="n"/>
      <c r="S2120" s="453" t="n"/>
      <c r="T2120" s="453" t="n"/>
      <c r="U2120" s="453" t="n"/>
      <c r="V2120" s="453" t="n"/>
      <c r="W2120" s="453" t="n"/>
    </row>
    <row r="2121" customFormat="1" s="21">
      <c r="A2121" s="20" t="inlineStr">
        <is>
          <t>Tropical Wet</t>
        </is>
      </c>
      <c r="B2121" s="467" t="n">
        <v>0.49</v>
      </c>
      <c r="C2121" s="467" t="n">
        <v>3.65</v>
      </c>
      <c r="D2121" s="467" t="n">
        <v>1.7</v>
      </c>
      <c r="E2121" s="467" t="n">
        <v>0</v>
      </c>
      <c r="F2121" s="453" t="n"/>
      <c r="G2121" s="453" t="n"/>
      <c r="H2121" s="453" t="n"/>
      <c r="I2121" s="453" t="n"/>
      <c r="J2121" s="453" t="n"/>
      <c r="K2121" s="453" t="n"/>
      <c r="L2121" s="453" t="n"/>
      <c r="M2121" s="453" t="n"/>
      <c r="N2121" s="453" t="n"/>
      <c r="O2121" s="453" t="n"/>
      <c r="P2121" s="1617" t="n"/>
      <c r="Q2121" s="453" t="n"/>
      <c r="R2121" s="453" t="n"/>
      <c r="S2121" s="453" t="n"/>
      <c r="T2121" s="453" t="n"/>
      <c r="U2121" s="453" t="n"/>
      <c r="V2121" s="453" t="n"/>
      <c r="W2121" s="453" t="n"/>
    </row>
    <row r="2122" customFormat="1" s="292">
      <c r="A2122" s="37" t="inlineStr">
        <is>
          <t>Tropical Montane</t>
        </is>
      </c>
      <c r="B2122" s="654" t="n">
        <v>0</v>
      </c>
      <c r="C2122" s="654" t="n">
        <v>0</v>
      </c>
      <c r="D2122" s="654" t="n">
        <v>0</v>
      </c>
      <c r="E2122" s="654" t="n">
        <v>0</v>
      </c>
      <c r="F2122" s="421" t="n"/>
      <c r="G2122" s="421" t="n"/>
      <c r="H2122" s="1074" t="n"/>
      <c r="I2122" s="1074" t="n"/>
      <c r="J2122" s="1074" t="n"/>
      <c r="K2122" s="1074" t="n"/>
      <c r="L2122" s="1074" t="n"/>
      <c r="M2122" s="1074" t="n"/>
      <c r="N2122" s="1074" t="n"/>
      <c r="O2122" s="1074" t="n"/>
      <c r="P2122" s="1618" t="n"/>
      <c r="Q2122" s="1074" t="n"/>
      <c r="R2122" s="1074" t="n"/>
      <c r="S2122" s="1074" t="n"/>
      <c r="T2122" s="1074" t="n"/>
      <c r="U2122" s="1074" t="n"/>
      <c r="V2122" s="1074" t="n"/>
      <c r="W2122" s="1074" t="n"/>
    </row>
    <row r="2123" customFormat="1" s="292">
      <c r="A2123" s="1073" t="inlineStr">
        <is>
          <t>Notes: For mangrove proxy of tropical wet used for tropical moist</t>
        </is>
      </c>
    </row>
    <row r="2124" customFormat="1" s="292"/>
    <row r="2126" customFormat="1" s="125">
      <c r="A2126" s="377" t="inlineStr">
        <is>
          <t>Litter in coastal wetlands</t>
        </is>
      </c>
      <c r="C2126" s="329" t="n"/>
      <c r="D2126" s="1075" t="n"/>
      <c r="E2126" s="1075" t="n"/>
      <c r="F2126" s="1075" t="n"/>
      <c r="G2126" s="1075" t="n"/>
      <c r="H2126" s="1075" t="n"/>
      <c r="I2126" s="1075" t="n"/>
    </row>
    <row r="2127" ht="16.25" customFormat="1" customHeight="1" s="773">
      <c r="A2127" s="753" t="n"/>
      <c r="B2127" s="378" t="inlineStr">
        <is>
          <t>Table 4.7 IPCC 2014</t>
        </is>
      </c>
      <c r="C2127" s="371" t="n"/>
      <c r="D2127" s="442" t="n"/>
      <c r="E2127" s="442" t="n"/>
      <c r="F2127" s="442" t="n"/>
      <c r="G2127" s="442" t="n"/>
      <c r="H2127" s="442" t="n"/>
      <c r="I2127" s="442" t="n"/>
      <c r="J2127" s="442" t="n"/>
      <c r="K2127" s="442" t="n"/>
      <c r="L2127" s="442" t="n"/>
      <c r="M2127" s="442" t="n"/>
      <c r="N2127" s="442" t="n"/>
      <c r="O2127" s="442" t="n"/>
      <c r="P2127" s="532" t="n"/>
      <c r="Q2127" s="442" t="n"/>
      <c r="R2127" s="442" t="n"/>
      <c r="S2127" s="442" t="n"/>
      <c r="T2127" s="442" t="n"/>
      <c r="U2127" s="442" t="n"/>
      <c r="V2127" s="442" t="n"/>
      <c r="W2127" s="442" t="n"/>
    </row>
    <row r="2128" ht="16" customFormat="1" customHeight="1" s="291">
      <c r="A2128" s="293" t="inlineStr">
        <is>
          <t>IPCC Climate Region</t>
        </is>
      </c>
      <c r="B2128" s="31" t="inlineStr">
        <is>
          <t>Mangrove</t>
        </is>
      </c>
      <c r="C2128" s="31" t="inlineStr">
        <is>
          <t>Tidal marsh</t>
        </is>
      </c>
      <c r="D2128" s="31" t="inlineStr">
        <is>
          <t>Seagrass</t>
        </is>
      </c>
      <c r="E2128" s="419" t="n"/>
      <c r="F2128" s="419" t="n"/>
      <c r="G2128" s="419" t="n"/>
      <c r="H2128" s="453" t="n"/>
      <c r="I2128" s="453" t="n"/>
      <c r="J2128" s="453" t="n"/>
      <c r="K2128" s="453" t="n"/>
      <c r="L2128" s="453" t="n"/>
      <c r="M2128" s="453" t="n"/>
      <c r="N2128" s="453" t="n"/>
      <c r="O2128" s="453" t="n"/>
      <c r="P2128" s="1616" t="n"/>
      <c r="Q2128" s="453" t="n"/>
      <c r="R2128" s="453" t="n"/>
      <c r="S2128" s="453" t="n"/>
      <c r="T2128" s="453" t="n"/>
      <c r="U2128" s="453" t="n"/>
      <c r="V2128" s="453" t="n"/>
      <c r="W2128" s="453" t="n"/>
      <c r="X2128" s="21" t="n"/>
      <c r="Y2128" s="21" t="n"/>
    </row>
    <row r="2129" ht="16" customFormat="1" customHeight="1" s="1093">
      <c r="A2129" s="1090" t="inlineStr">
        <is>
          <t>Please select</t>
        </is>
      </c>
      <c r="B2129" s="31" t="inlineStr">
        <is>
          <t>tC/ha</t>
        </is>
      </c>
      <c r="C2129" s="31" t="inlineStr">
        <is>
          <t>tC/ha</t>
        </is>
      </c>
      <c r="D2129" s="31" t="inlineStr">
        <is>
          <t>tC/ha</t>
        </is>
      </c>
      <c r="E2129" s="1092" t="n"/>
      <c r="F2129" s="1092" t="n"/>
      <c r="G2129" s="1092" t="n"/>
      <c r="H2129" s="1092" t="n"/>
      <c r="I2129" s="1092" t="n"/>
      <c r="J2129" s="1092" t="n"/>
      <c r="K2129" s="1092" t="n"/>
      <c r="L2129" s="1092" t="n"/>
      <c r="M2129" s="1092" t="n"/>
      <c r="N2129" s="1092" t="n"/>
      <c r="O2129" s="1092" t="n"/>
      <c r="P2129" s="1092" t="n"/>
      <c r="Q2129" s="1092" t="n"/>
      <c r="R2129" s="1092" t="n"/>
      <c r="S2129" s="1092" t="n"/>
      <c r="T2129" s="1092" t="n"/>
      <c r="U2129" s="1092" t="n"/>
      <c r="V2129" s="1092" t="n"/>
      <c r="W2129" s="1092" t="n"/>
    </row>
    <row r="2130" customFormat="1" s="21">
      <c r="A2130" s="20" t="inlineStr">
        <is>
          <t>Boreal Dry</t>
        </is>
      </c>
      <c r="B2130" s="470" t="n">
        <v>0</v>
      </c>
      <c r="C2130" s="470" t="n">
        <v>0</v>
      </c>
      <c r="D2130" s="470" t="n">
        <v>0</v>
      </c>
      <c r="E2130" s="453" t="n"/>
      <c r="F2130" s="453" t="n"/>
      <c r="G2130" s="453" t="n"/>
      <c r="H2130" s="453" t="n"/>
      <c r="I2130" s="453" t="n"/>
      <c r="J2130" s="453" t="n"/>
      <c r="K2130" s="453" t="n"/>
      <c r="L2130" s="453" t="n"/>
      <c r="M2130" s="453" t="n"/>
      <c r="N2130" s="453" t="n"/>
      <c r="O2130" s="453" t="n"/>
      <c r="P2130" s="1617" t="n"/>
      <c r="Q2130" s="453" t="n"/>
      <c r="R2130" s="453" t="n"/>
      <c r="S2130" s="453" t="n"/>
      <c r="T2130" s="453" t="n"/>
      <c r="U2130" s="453" t="n"/>
      <c r="V2130" s="453" t="n"/>
      <c r="W2130" s="453" t="n"/>
    </row>
    <row r="2131" customFormat="1" s="21">
      <c r="A2131" s="20" t="inlineStr">
        <is>
          <t>Boreal Moist</t>
        </is>
      </c>
      <c r="B2131" s="467" t="n">
        <v>0</v>
      </c>
      <c r="C2131" s="467" t="n">
        <v>0</v>
      </c>
      <c r="D2131" s="467" t="n">
        <v>0</v>
      </c>
      <c r="E2131" s="453" t="n"/>
      <c r="F2131" s="453" t="n"/>
      <c r="G2131" s="453" t="n"/>
      <c r="H2131" s="453" t="n"/>
      <c r="I2131" s="453" t="n"/>
      <c r="J2131" s="453" t="n"/>
      <c r="K2131" s="453" t="n"/>
      <c r="L2131" s="453" t="n"/>
      <c r="M2131" s="453" t="n"/>
      <c r="N2131" s="453" t="n"/>
      <c r="O2131" s="453" t="n"/>
      <c r="P2131" s="1617" t="n"/>
      <c r="Q2131" s="453" t="n"/>
      <c r="R2131" s="453" t="n"/>
      <c r="S2131" s="453" t="n"/>
      <c r="T2131" s="453" t="n"/>
      <c r="U2131" s="453" t="n"/>
      <c r="V2131" s="453" t="n"/>
      <c r="W2131" s="453" t="n"/>
    </row>
    <row r="2132" customFormat="1" s="21">
      <c r="A2132" s="20" t="inlineStr">
        <is>
          <t>Cool Temperate Dry</t>
        </is>
      </c>
      <c r="B2132" s="467" t="n">
        <v>0</v>
      </c>
      <c r="C2132" s="467" t="n">
        <v>0</v>
      </c>
      <c r="D2132" s="467" t="n">
        <v>0</v>
      </c>
      <c r="E2132" s="453" t="n"/>
      <c r="F2132" s="453" t="n"/>
      <c r="G2132" s="453" t="n"/>
      <c r="H2132" s="453" t="n"/>
      <c r="I2132" s="453" t="n"/>
      <c r="J2132" s="453" t="n"/>
      <c r="K2132" s="453" t="n"/>
      <c r="L2132" s="453" t="n"/>
      <c r="M2132" s="453" t="n"/>
      <c r="N2132" s="453" t="n"/>
      <c r="O2132" s="453" t="n"/>
      <c r="P2132" s="1617" t="n"/>
      <c r="Q2132" s="453" t="n"/>
      <c r="R2132" s="453" t="n"/>
      <c r="S2132" s="453" t="n"/>
      <c r="T2132" s="453" t="n"/>
      <c r="U2132" s="453" t="n"/>
      <c r="V2132" s="453" t="n"/>
      <c r="W2132" s="453" t="n"/>
    </row>
    <row r="2133" customFormat="1" s="21">
      <c r="A2133" s="20" t="inlineStr">
        <is>
          <t>Cool Temperate Moist</t>
        </is>
      </c>
      <c r="B2133" s="467" t="n">
        <v>0</v>
      </c>
      <c r="C2133" s="467" t="n">
        <v>0</v>
      </c>
      <c r="D2133" s="467" t="n">
        <v>0</v>
      </c>
      <c r="E2133" s="453" t="n"/>
      <c r="F2133" s="453" t="n"/>
      <c r="G2133" s="453" t="n"/>
      <c r="H2133" s="453" t="n"/>
      <c r="I2133" s="453" t="n"/>
      <c r="J2133" s="453" t="n"/>
      <c r="K2133" s="453" t="n"/>
      <c r="L2133" s="453" t="n"/>
      <c r="M2133" s="453" t="n"/>
      <c r="N2133" s="453" t="n"/>
      <c r="O2133" s="453" t="n"/>
      <c r="P2133" s="1617" t="n"/>
      <c r="Q2133" s="453" t="n"/>
      <c r="R2133" s="453" t="n"/>
      <c r="S2133" s="453" t="n"/>
      <c r="T2133" s="453" t="n"/>
      <c r="U2133" s="453" t="n"/>
      <c r="V2133" s="453" t="n"/>
      <c r="W2133" s="453" t="n"/>
    </row>
    <row r="2134" customFormat="1" s="21">
      <c r="A2134" s="20" t="inlineStr">
        <is>
          <t>Warm Temperate Dry</t>
        </is>
      </c>
      <c r="B2134" s="467" t="n">
        <v>0.7</v>
      </c>
      <c r="C2134" s="467" t="n">
        <v>0</v>
      </c>
      <c r="D2134" s="467" t="n">
        <v>0</v>
      </c>
      <c r="E2134" s="453" t="n"/>
      <c r="F2134" s="453" t="n"/>
      <c r="G2134" s="453" t="n"/>
      <c r="H2134" s="453" t="n"/>
      <c r="I2134" s="453" t="n"/>
      <c r="J2134" s="453" t="n"/>
      <c r="K2134" s="453" t="n"/>
      <c r="L2134" s="453" t="n"/>
      <c r="M2134" s="453" t="n"/>
      <c r="N2134" s="453" t="n"/>
      <c r="O2134" s="453" t="n"/>
      <c r="P2134" s="1617" t="n"/>
      <c r="Q2134" s="453" t="n"/>
      <c r="R2134" s="453" t="n"/>
      <c r="S2134" s="453" t="n"/>
      <c r="T2134" s="453" t="n"/>
      <c r="U2134" s="453" t="n"/>
      <c r="V2134" s="453" t="n"/>
      <c r="W2134" s="453" t="n"/>
    </row>
    <row r="2135" customFormat="1" s="21">
      <c r="A2135" s="20" t="inlineStr">
        <is>
          <t>Warm Temperate Moist</t>
        </is>
      </c>
      <c r="B2135" s="467" t="n">
        <v>0.7</v>
      </c>
      <c r="C2135" s="467" t="n">
        <v>0</v>
      </c>
      <c r="D2135" s="467" t="n">
        <v>0</v>
      </c>
      <c r="E2135" s="453" t="n"/>
      <c r="F2135" s="453" t="n"/>
      <c r="G2135" s="453" t="n"/>
      <c r="H2135" s="453" t="n"/>
      <c r="I2135" s="453" t="n"/>
      <c r="J2135" s="453" t="n"/>
      <c r="K2135" s="453" t="n"/>
      <c r="L2135" s="453" t="n"/>
      <c r="M2135" s="453" t="n"/>
      <c r="N2135" s="453" t="n"/>
      <c r="O2135" s="453" t="n"/>
      <c r="P2135" s="1617" t="n"/>
      <c r="Q2135" s="453" t="n"/>
      <c r="R2135" s="453" t="n"/>
      <c r="S2135" s="453" t="n"/>
      <c r="T2135" s="453" t="n"/>
      <c r="U2135" s="453" t="n"/>
      <c r="V2135" s="453" t="n"/>
      <c r="W2135" s="453" t="n"/>
    </row>
    <row r="2136" customFormat="1" s="21">
      <c r="A2136" s="20" t="inlineStr">
        <is>
          <t>Tropical Dry</t>
        </is>
      </c>
      <c r="B2136" s="467" t="n">
        <v>0.7</v>
      </c>
      <c r="C2136" s="467" t="n">
        <v>0</v>
      </c>
      <c r="D2136" s="467" t="n">
        <v>0</v>
      </c>
      <c r="E2136" s="453" t="n"/>
      <c r="F2136" s="453" t="n"/>
      <c r="G2136" s="453" t="n"/>
      <c r="H2136" s="453" t="n"/>
      <c r="I2136" s="453" t="n"/>
      <c r="J2136" s="453" t="n"/>
      <c r="K2136" s="453" t="n"/>
      <c r="L2136" s="453" t="n"/>
      <c r="M2136" s="453" t="n"/>
      <c r="N2136" s="453" t="n"/>
      <c r="O2136" s="453" t="n"/>
      <c r="P2136" s="1617" t="n"/>
      <c r="Q2136" s="453" t="n"/>
      <c r="R2136" s="453" t="n"/>
      <c r="S2136" s="453" t="n"/>
      <c r="T2136" s="453" t="n"/>
      <c r="U2136" s="453" t="n"/>
      <c r="V2136" s="453" t="n"/>
      <c r="W2136" s="453" t="n"/>
    </row>
    <row r="2137" customFormat="1" s="21">
      <c r="A2137" s="20" t="inlineStr">
        <is>
          <t>Tropical Moist</t>
        </is>
      </c>
      <c r="B2137" s="467" t="n">
        <v>0.7</v>
      </c>
      <c r="C2137" s="467" t="n">
        <v>0</v>
      </c>
      <c r="D2137" s="467" t="n">
        <v>0</v>
      </c>
      <c r="E2137" s="453" t="n"/>
      <c r="F2137" s="453" t="n"/>
      <c r="G2137" s="453" t="n"/>
      <c r="H2137" s="453" t="n"/>
      <c r="I2137" s="453" t="n"/>
      <c r="J2137" s="453" t="n"/>
      <c r="K2137" s="453" t="n"/>
      <c r="L2137" s="453" t="n"/>
      <c r="M2137" s="453" t="n"/>
      <c r="N2137" s="453" t="n"/>
      <c r="O2137" s="453" t="n"/>
      <c r="P2137" s="1617" t="n"/>
      <c r="Q2137" s="453" t="n"/>
      <c r="R2137" s="453" t="n"/>
      <c r="S2137" s="453" t="n"/>
      <c r="T2137" s="453" t="n"/>
      <c r="U2137" s="453" t="n"/>
      <c r="V2137" s="453" t="n"/>
      <c r="W2137" s="453" t="n"/>
    </row>
    <row r="2138" customFormat="1" s="21">
      <c r="A2138" s="20" t="inlineStr">
        <is>
          <t>Tropical Wet</t>
        </is>
      </c>
      <c r="B2138" s="467" t="n">
        <v>0.7</v>
      </c>
      <c r="C2138" s="467" t="n">
        <v>0</v>
      </c>
      <c r="D2138" s="467" t="n">
        <v>0</v>
      </c>
      <c r="E2138" s="453" t="n"/>
      <c r="F2138" s="453" t="n"/>
      <c r="G2138" s="453" t="n"/>
      <c r="H2138" s="453" t="n"/>
      <c r="I2138" s="453" t="n"/>
      <c r="J2138" s="453" t="n"/>
      <c r="K2138" s="453" t="n"/>
      <c r="L2138" s="453" t="n"/>
      <c r="M2138" s="453" t="n"/>
      <c r="N2138" s="453" t="n"/>
      <c r="O2138" s="453" t="n"/>
      <c r="P2138" s="1617" t="n"/>
      <c r="Q2138" s="453" t="n"/>
      <c r="R2138" s="453" t="n"/>
      <c r="S2138" s="453" t="n"/>
      <c r="T2138" s="453" t="n"/>
      <c r="U2138" s="453" t="n"/>
      <c r="V2138" s="453" t="n"/>
      <c r="W2138" s="453" t="n"/>
    </row>
    <row r="2139" customFormat="1" s="292">
      <c r="A2139" s="37" t="inlineStr">
        <is>
          <t>Tropical Montane</t>
        </is>
      </c>
      <c r="B2139" s="654" t="n">
        <v>0</v>
      </c>
      <c r="C2139" s="654" t="n">
        <v>0</v>
      </c>
      <c r="D2139" s="654" t="n">
        <v>0</v>
      </c>
      <c r="E2139" s="421" t="n"/>
      <c r="F2139" s="421" t="n"/>
      <c r="G2139" s="421" t="n"/>
      <c r="H2139" s="1074" t="n"/>
      <c r="I2139" s="1074" t="n"/>
      <c r="J2139" s="1074" t="n"/>
      <c r="K2139" s="1074" t="n"/>
      <c r="L2139" s="1074" t="n"/>
      <c r="M2139" s="1074" t="n"/>
      <c r="N2139" s="1074" t="n"/>
      <c r="O2139" s="1074" t="n"/>
      <c r="P2139" s="1618" t="n"/>
      <c r="Q2139" s="1074" t="n"/>
      <c r="R2139" s="1074" t="n"/>
      <c r="S2139" s="1074" t="n"/>
      <c r="T2139" s="1074" t="n"/>
      <c r="U2139" s="1074" t="n"/>
      <c r="V2139" s="1074" t="n"/>
      <c r="W2139" s="1074" t="n"/>
    </row>
    <row r="2140" customFormat="1" s="292">
      <c r="A2140" s="1073" t="inlineStr">
        <is>
          <t xml:space="preserve">Notes </t>
        </is>
      </c>
    </row>
    <row r="2141" customFormat="1" s="292"/>
    <row r="2143" customFormat="1" s="125">
      <c r="A2143" s="377" t="inlineStr">
        <is>
          <t>Deadwood in coastal wetlands</t>
        </is>
      </c>
      <c r="C2143" s="329" t="n"/>
      <c r="D2143" s="1075" t="n"/>
      <c r="E2143" s="1075" t="n"/>
      <c r="F2143" s="1075" t="n"/>
      <c r="G2143" s="1075" t="n"/>
      <c r="H2143" s="1075" t="n"/>
      <c r="I2143" s="1075" t="n"/>
    </row>
    <row r="2144" ht="16.25" customFormat="1" customHeight="1" s="773">
      <c r="A2144" s="753" t="n"/>
      <c r="B2144" s="378" t="inlineStr">
        <is>
          <t>Table 4.7 IPCC 2014</t>
        </is>
      </c>
      <c r="C2144" s="371" t="n"/>
      <c r="D2144" s="442" t="n"/>
      <c r="E2144" s="442" t="n"/>
      <c r="F2144" s="442" t="n"/>
      <c r="G2144" s="442" t="n"/>
      <c r="H2144" s="442" t="n"/>
      <c r="I2144" s="442" t="n"/>
      <c r="J2144" s="442" t="n"/>
      <c r="K2144" s="442" t="n"/>
      <c r="L2144" s="442" t="n"/>
      <c r="M2144" s="442" t="n"/>
      <c r="N2144" s="442" t="n"/>
      <c r="O2144" s="442" t="n"/>
      <c r="P2144" s="532" t="n"/>
      <c r="Q2144" s="442" t="n"/>
      <c r="R2144" s="442" t="n"/>
      <c r="S2144" s="442" t="n"/>
      <c r="T2144" s="442" t="n"/>
      <c r="U2144" s="442" t="n"/>
      <c r="V2144" s="442" t="n"/>
      <c r="W2144" s="442" t="n"/>
    </row>
    <row r="2145" ht="16" customFormat="1" customHeight="1" s="291">
      <c r="A2145" s="293" t="inlineStr">
        <is>
          <t>IPCC Climate Region</t>
        </is>
      </c>
      <c r="B2145" s="31" t="inlineStr">
        <is>
          <t>Mangrove</t>
        </is>
      </c>
      <c r="C2145" s="31" t="inlineStr">
        <is>
          <t>Tidal marsh</t>
        </is>
      </c>
      <c r="D2145" s="31" t="inlineStr">
        <is>
          <t>Seagrass</t>
        </is>
      </c>
      <c r="E2145" s="419" t="n"/>
      <c r="F2145" s="419" t="n"/>
      <c r="G2145" s="419" t="n"/>
      <c r="H2145" s="453" t="n"/>
      <c r="I2145" s="453" t="n"/>
      <c r="J2145" s="453" t="n"/>
      <c r="K2145" s="453" t="n"/>
      <c r="L2145" s="453" t="n"/>
      <c r="M2145" s="453" t="n"/>
      <c r="N2145" s="453" t="n"/>
      <c r="O2145" s="453" t="n"/>
      <c r="P2145" s="1616" t="n"/>
      <c r="Q2145" s="453" t="n"/>
      <c r="R2145" s="453" t="n"/>
      <c r="S2145" s="453" t="n"/>
      <c r="T2145" s="453" t="n"/>
      <c r="U2145" s="453" t="n"/>
      <c r="V2145" s="453" t="n"/>
      <c r="W2145" s="453" t="n"/>
      <c r="X2145" s="21" t="n"/>
      <c r="Y2145" s="21" t="n"/>
    </row>
    <row r="2146" ht="16" customFormat="1" customHeight="1" s="1093">
      <c r="A2146" s="1090" t="inlineStr">
        <is>
          <t>Please select</t>
        </is>
      </c>
      <c r="B2146" s="31" t="inlineStr">
        <is>
          <t>tC/ha</t>
        </is>
      </c>
      <c r="C2146" s="31" t="inlineStr">
        <is>
          <t>tC/ha</t>
        </is>
      </c>
      <c r="D2146" s="31" t="inlineStr">
        <is>
          <t>tC/ha</t>
        </is>
      </c>
      <c r="E2146" s="1092" t="n"/>
      <c r="F2146" s="1092" t="n"/>
      <c r="G2146" s="1092" t="n"/>
      <c r="H2146" s="1092" t="n"/>
      <c r="I2146" s="1092" t="n"/>
      <c r="J2146" s="1092" t="n"/>
      <c r="K2146" s="1092" t="n"/>
      <c r="L2146" s="1092" t="n"/>
      <c r="M2146" s="1092" t="n"/>
      <c r="N2146" s="1092" t="n"/>
      <c r="O2146" s="1092" t="n"/>
      <c r="P2146" s="1092" t="n"/>
      <c r="Q2146" s="1092" t="n"/>
      <c r="R2146" s="1092" t="n"/>
      <c r="S2146" s="1092" t="n"/>
      <c r="T2146" s="1092" t="n"/>
      <c r="U2146" s="1092" t="n"/>
      <c r="V2146" s="1092" t="n"/>
      <c r="W2146" s="1092" t="n"/>
    </row>
    <row r="2147" customFormat="1" s="21">
      <c r="A2147" s="20" t="inlineStr">
        <is>
          <t>Boreal Dry</t>
        </is>
      </c>
      <c r="B2147" s="470" t="n">
        <v>0</v>
      </c>
      <c r="C2147" s="470" t="n">
        <v>0</v>
      </c>
      <c r="D2147" s="470" t="n">
        <v>0</v>
      </c>
      <c r="E2147" s="453" t="n"/>
      <c r="F2147" s="453" t="n"/>
      <c r="G2147" s="453" t="n"/>
      <c r="H2147" s="453" t="n"/>
      <c r="I2147" s="453" t="n"/>
      <c r="J2147" s="453" t="n"/>
      <c r="K2147" s="453" t="n"/>
      <c r="L2147" s="453" t="n"/>
      <c r="M2147" s="453" t="n"/>
      <c r="N2147" s="453" t="n"/>
      <c r="O2147" s="453" t="n"/>
      <c r="P2147" s="1617" t="n"/>
      <c r="Q2147" s="453" t="n"/>
      <c r="R2147" s="453" t="n"/>
      <c r="S2147" s="453" t="n"/>
      <c r="T2147" s="453" t="n"/>
      <c r="U2147" s="453" t="n"/>
      <c r="V2147" s="453" t="n"/>
      <c r="W2147" s="453" t="n"/>
    </row>
    <row r="2148" customFormat="1" s="21">
      <c r="A2148" s="20" t="inlineStr">
        <is>
          <t>Boreal Moist</t>
        </is>
      </c>
      <c r="B2148" s="467" t="n">
        <v>0</v>
      </c>
      <c r="C2148" s="467" t="n">
        <v>0</v>
      </c>
      <c r="D2148" s="467" t="n">
        <v>0</v>
      </c>
      <c r="E2148" s="453" t="n"/>
      <c r="F2148" s="453" t="n"/>
      <c r="G2148" s="453" t="n"/>
      <c r="H2148" s="453" t="n"/>
      <c r="I2148" s="453" t="n"/>
      <c r="J2148" s="453" t="n"/>
      <c r="K2148" s="453" t="n"/>
      <c r="L2148" s="453" t="n"/>
      <c r="M2148" s="453" t="n"/>
      <c r="N2148" s="453" t="n"/>
      <c r="O2148" s="453" t="n"/>
      <c r="P2148" s="1617" t="n"/>
      <c r="Q2148" s="453" t="n"/>
      <c r="R2148" s="453" t="n"/>
      <c r="S2148" s="453" t="n"/>
      <c r="T2148" s="453" t="n"/>
      <c r="U2148" s="453" t="n"/>
      <c r="V2148" s="453" t="n"/>
      <c r="W2148" s="453" t="n"/>
    </row>
    <row r="2149" customFormat="1" s="21">
      <c r="A2149" s="20" t="inlineStr">
        <is>
          <t>Cool Temperate Dry</t>
        </is>
      </c>
      <c r="B2149" s="467" t="n">
        <v>0</v>
      </c>
      <c r="C2149" s="467" t="n">
        <v>0</v>
      </c>
      <c r="D2149" s="467" t="n">
        <v>0</v>
      </c>
      <c r="E2149" s="453" t="n"/>
      <c r="F2149" s="453" t="n"/>
      <c r="G2149" s="453" t="n"/>
      <c r="H2149" s="453" t="n"/>
      <c r="I2149" s="453" t="n"/>
      <c r="J2149" s="453" t="n"/>
      <c r="K2149" s="453" t="n"/>
      <c r="L2149" s="453" t="n"/>
      <c r="M2149" s="453" t="n"/>
      <c r="N2149" s="453" t="n"/>
      <c r="O2149" s="453" t="n"/>
      <c r="P2149" s="1617" t="n"/>
      <c r="Q2149" s="453" t="n"/>
      <c r="R2149" s="453" t="n"/>
      <c r="S2149" s="453" t="n"/>
      <c r="T2149" s="453" t="n"/>
      <c r="U2149" s="453" t="n"/>
      <c r="V2149" s="453" t="n"/>
      <c r="W2149" s="453" t="n"/>
    </row>
    <row r="2150" customFormat="1" s="21">
      <c r="A2150" s="20" t="inlineStr">
        <is>
          <t>Cool Temperate Moist</t>
        </is>
      </c>
      <c r="B2150" s="467" t="n">
        <v>0</v>
      </c>
      <c r="C2150" s="467" t="n">
        <v>0</v>
      </c>
      <c r="D2150" s="467" t="n">
        <v>0</v>
      </c>
      <c r="E2150" s="453" t="n"/>
      <c r="F2150" s="453" t="n"/>
      <c r="G2150" s="453" t="n"/>
      <c r="H2150" s="453" t="n"/>
      <c r="I2150" s="453" t="n"/>
      <c r="J2150" s="453" t="n"/>
      <c r="K2150" s="453" t="n"/>
      <c r="L2150" s="453" t="n"/>
      <c r="M2150" s="453" t="n"/>
      <c r="N2150" s="453" t="n"/>
      <c r="O2150" s="453" t="n"/>
      <c r="P2150" s="1617" t="n"/>
      <c r="Q2150" s="453" t="n"/>
      <c r="R2150" s="453" t="n"/>
      <c r="S2150" s="453" t="n"/>
      <c r="T2150" s="453" t="n"/>
      <c r="U2150" s="453" t="n"/>
      <c r="V2150" s="453" t="n"/>
      <c r="W2150" s="453" t="n"/>
    </row>
    <row r="2151" customFormat="1" s="21">
      <c r="A2151" s="20" t="inlineStr">
        <is>
          <t>Warm Temperate Dry</t>
        </is>
      </c>
      <c r="B2151" s="467" t="n">
        <v>10.7</v>
      </c>
      <c r="C2151" s="467" t="n">
        <v>0</v>
      </c>
      <c r="D2151" s="467" t="n">
        <v>0</v>
      </c>
      <c r="E2151" s="453" t="n"/>
      <c r="F2151" s="453" t="n"/>
      <c r="G2151" s="453" t="n"/>
      <c r="H2151" s="453" t="n"/>
      <c r="I2151" s="453" t="n"/>
      <c r="J2151" s="453" t="n"/>
      <c r="K2151" s="453" t="n"/>
      <c r="L2151" s="453" t="n"/>
      <c r="M2151" s="453" t="n"/>
      <c r="N2151" s="453" t="n"/>
      <c r="O2151" s="453" t="n"/>
      <c r="P2151" s="1617" t="n"/>
      <c r="Q2151" s="453" t="n"/>
      <c r="R2151" s="453" t="n"/>
      <c r="S2151" s="453" t="n"/>
      <c r="T2151" s="453" t="n"/>
      <c r="U2151" s="453" t="n"/>
      <c r="V2151" s="453" t="n"/>
      <c r="W2151" s="453" t="n"/>
    </row>
    <row r="2152" customFormat="1" s="21">
      <c r="A2152" s="20" t="inlineStr">
        <is>
          <t>Warm Temperate Moist</t>
        </is>
      </c>
      <c r="B2152" s="467" t="n">
        <v>10.7</v>
      </c>
      <c r="C2152" s="467" t="n">
        <v>0</v>
      </c>
      <c r="D2152" s="467" t="n">
        <v>0</v>
      </c>
      <c r="E2152" s="453" t="n"/>
      <c r="F2152" s="453" t="n"/>
      <c r="G2152" s="453" t="n"/>
      <c r="H2152" s="453" t="n"/>
      <c r="I2152" s="453" t="n"/>
      <c r="J2152" s="453" t="n"/>
      <c r="K2152" s="453" t="n"/>
      <c r="L2152" s="453" t="n"/>
      <c r="M2152" s="453" t="n"/>
      <c r="N2152" s="453" t="n"/>
      <c r="O2152" s="453" t="n"/>
      <c r="P2152" s="1617" t="n"/>
      <c r="Q2152" s="453" t="n"/>
      <c r="R2152" s="453" t="n"/>
      <c r="S2152" s="453" t="n"/>
      <c r="T2152" s="453" t="n"/>
      <c r="U2152" s="453" t="n"/>
      <c r="V2152" s="453" t="n"/>
      <c r="W2152" s="453" t="n"/>
    </row>
    <row r="2153" customFormat="1" s="21">
      <c r="A2153" s="20" t="inlineStr">
        <is>
          <t>Tropical Dry</t>
        </is>
      </c>
      <c r="B2153" s="467" t="n">
        <v>10.7</v>
      </c>
      <c r="C2153" s="467" t="n">
        <v>0</v>
      </c>
      <c r="D2153" s="467" t="n">
        <v>0</v>
      </c>
      <c r="E2153" s="453" t="n"/>
      <c r="F2153" s="453" t="n"/>
      <c r="G2153" s="453" t="n"/>
      <c r="H2153" s="453" t="n"/>
      <c r="I2153" s="453" t="n"/>
      <c r="J2153" s="453" t="n"/>
      <c r="K2153" s="453" t="n"/>
      <c r="L2153" s="453" t="n"/>
      <c r="M2153" s="453" t="n"/>
      <c r="N2153" s="453" t="n"/>
      <c r="O2153" s="453" t="n"/>
      <c r="P2153" s="1617" t="n"/>
      <c r="Q2153" s="453" t="n"/>
      <c r="R2153" s="453" t="n"/>
      <c r="S2153" s="453" t="n"/>
      <c r="T2153" s="453" t="n"/>
      <c r="U2153" s="453" t="n"/>
      <c r="V2153" s="453" t="n"/>
      <c r="W2153" s="453" t="n"/>
    </row>
    <row r="2154" customFormat="1" s="21">
      <c r="A2154" s="20" t="inlineStr">
        <is>
          <t>Tropical Moist</t>
        </is>
      </c>
      <c r="B2154" s="467" t="n">
        <v>10.7</v>
      </c>
      <c r="C2154" s="467" t="n">
        <v>0</v>
      </c>
      <c r="D2154" s="467" t="n">
        <v>0</v>
      </c>
      <c r="E2154" s="453" t="n"/>
      <c r="F2154" s="453" t="n"/>
      <c r="G2154" s="453" t="n"/>
      <c r="H2154" s="453" t="n"/>
      <c r="I2154" s="453" t="n"/>
      <c r="J2154" s="453" t="n"/>
      <c r="K2154" s="453" t="n"/>
      <c r="L2154" s="453" t="n"/>
      <c r="M2154" s="453" t="n"/>
      <c r="N2154" s="453" t="n"/>
      <c r="O2154" s="453" t="n"/>
      <c r="P2154" s="1617" t="n"/>
      <c r="Q2154" s="453" t="n"/>
      <c r="R2154" s="453" t="n"/>
      <c r="S2154" s="453" t="n"/>
      <c r="T2154" s="453" t="n"/>
      <c r="U2154" s="453" t="n"/>
      <c r="V2154" s="453" t="n"/>
      <c r="W2154" s="453" t="n"/>
    </row>
    <row r="2155" customFormat="1" s="21">
      <c r="A2155" s="20" t="inlineStr">
        <is>
          <t>Tropical Wet</t>
        </is>
      </c>
      <c r="B2155" s="467" t="n">
        <v>10.7</v>
      </c>
      <c r="C2155" s="467" t="n">
        <v>0</v>
      </c>
      <c r="D2155" s="467" t="n">
        <v>0</v>
      </c>
      <c r="E2155" s="453" t="n"/>
      <c r="F2155" s="453" t="n"/>
      <c r="G2155" s="453" t="n"/>
      <c r="H2155" s="453" t="n"/>
      <c r="I2155" s="453" t="n"/>
      <c r="J2155" s="453" t="n"/>
      <c r="K2155" s="453" t="n"/>
      <c r="L2155" s="453" t="n"/>
      <c r="M2155" s="453" t="n"/>
      <c r="N2155" s="453" t="n"/>
      <c r="O2155" s="453" t="n"/>
      <c r="P2155" s="1617" t="n"/>
      <c r="Q2155" s="453" t="n"/>
      <c r="R2155" s="453" t="n"/>
      <c r="S2155" s="453" t="n"/>
      <c r="T2155" s="453" t="n"/>
      <c r="U2155" s="453" t="n"/>
      <c r="V2155" s="453" t="n"/>
      <c r="W2155" s="453" t="n"/>
    </row>
    <row r="2156" customFormat="1" s="292">
      <c r="A2156" s="37" t="inlineStr">
        <is>
          <t>Tropical Montane</t>
        </is>
      </c>
      <c r="B2156" s="654" t="n">
        <v>10.7</v>
      </c>
      <c r="C2156" s="654" t="n">
        <v>0</v>
      </c>
      <c r="D2156" s="654" t="n">
        <v>0</v>
      </c>
      <c r="E2156" s="421" t="n"/>
      <c r="F2156" s="421" t="n"/>
      <c r="G2156" s="421" t="n"/>
      <c r="H2156" s="1074" t="n"/>
      <c r="I2156" s="1074" t="n"/>
      <c r="J2156" s="1074" t="n"/>
      <c r="K2156" s="1074" t="n"/>
      <c r="L2156" s="1074" t="n"/>
      <c r="M2156" s="1074" t="n"/>
      <c r="N2156" s="1074" t="n"/>
      <c r="O2156" s="1074" t="n"/>
      <c r="P2156" s="1618" t="n"/>
      <c r="Q2156" s="1074" t="n"/>
      <c r="R2156" s="1074" t="n"/>
      <c r="S2156" s="1074" t="n"/>
      <c r="T2156" s="1074" t="n"/>
      <c r="U2156" s="1074" t="n"/>
      <c r="V2156" s="1074" t="n"/>
      <c r="W2156" s="1074" t="n"/>
    </row>
    <row r="2157" customFormat="1" s="292">
      <c r="A2157" s="1073" t="inlineStr">
        <is>
          <t xml:space="preserve">Notes </t>
        </is>
      </c>
    </row>
    <row r="2158" customFormat="1" s="292"/>
    <row r="2159" customFormat="1" s="284"/>
    <row r="2160" customFormat="1" s="125">
      <c r="A2160" s="377" t="inlineStr">
        <is>
          <t>Default soil carbon stock (1 m depth)</t>
        </is>
      </c>
      <c r="D2160" s="1075" t="n"/>
      <c r="E2160" s="1075" t="n"/>
      <c r="F2160" s="1075" t="n"/>
      <c r="G2160" s="1075" t="n"/>
      <c r="H2160" s="1075" t="n"/>
      <c r="I2160" s="1075" t="n"/>
    </row>
    <row r="2161" ht="16.25" customFormat="1" customHeight="1" s="773">
      <c r="A2161" s="753" t="inlineStr">
        <is>
          <t>Mineral soil</t>
        </is>
      </c>
      <c r="B2161" s="442" t="inlineStr">
        <is>
          <t>Table 4.11 IPCC 2014</t>
        </is>
      </c>
      <c r="C2161" s="442" t="inlineStr">
        <is>
          <t>Table 4.11 IPCC 2014</t>
        </is>
      </c>
      <c r="D2161" s="442" t="inlineStr">
        <is>
          <t>Table 4.11 IPCC 2014</t>
        </is>
      </c>
      <c r="E2161" s="442" t="n"/>
      <c r="F2161" s="442" t="n"/>
      <c r="G2161" s="442" t="n"/>
      <c r="H2161" s="442" t="n"/>
      <c r="I2161" s="442" t="n"/>
      <c r="J2161" s="442" t="n"/>
      <c r="K2161" s="442" t="n"/>
      <c r="L2161" s="442" t="n"/>
      <c r="M2161" s="442" t="n"/>
      <c r="N2161" s="442" t="n"/>
      <c r="O2161" s="442" t="n"/>
      <c r="P2161" s="532" t="n"/>
      <c r="Q2161" s="442" t="n"/>
      <c r="R2161" s="442" t="n"/>
      <c r="S2161" s="442" t="n"/>
      <c r="T2161" s="442" t="n"/>
      <c r="U2161" s="442" t="n"/>
      <c r="V2161" s="442" t="n"/>
      <c r="W2161" s="442" t="n"/>
    </row>
    <row r="2162" ht="16" customFormat="1" customHeight="1" s="291">
      <c r="A2162" s="293" t="inlineStr">
        <is>
          <t>IPCC Climate Region</t>
        </is>
      </c>
      <c r="B2162" s="31" t="inlineStr">
        <is>
          <t>Tidal marsh</t>
        </is>
      </c>
      <c r="C2162" s="31" t="inlineStr">
        <is>
          <t>Seagrass</t>
        </is>
      </c>
      <c r="D2162" s="31" t="inlineStr">
        <is>
          <t>Mangrove</t>
        </is>
      </c>
      <c r="E2162" s="419" t="n"/>
      <c r="F2162" s="419" t="n"/>
      <c r="G2162" s="419" t="n"/>
      <c r="H2162" s="453" t="n"/>
      <c r="I2162" s="453" t="n"/>
      <c r="J2162" s="453" t="n"/>
      <c r="K2162" s="453" t="n"/>
      <c r="L2162" s="453" t="n"/>
      <c r="M2162" s="453" t="n"/>
      <c r="N2162" s="453" t="n"/>
      <c r="O2162" s="453" t="n"/>
      <c r="P2162" s="1616" t="n"/>
      <c r="Q2162" s="453" t="n"/>
      <c r="R2162" s="453" t="n"/>
      <c r="S2162" s="453" t="n"/>
      <c r="T2162" s="453" t="n"/>
      <c r="U2162" s="453" t="n"/>
      <c r="V2162" s="453" t="n"/>
      <c r="W2162" s="453" t="n"/>
      <c r="X2162" s="21" t="n"/>
      <c r="Y2162" s="21" t="n"/>
    </row>
    <row r="2163" ht="16" customFormat="1" customHeight="1" s="1093">
      <c r="A2163" s="1090" t="inlineStr">
        <is>
          <t>Please select</t>
        </is>
      </c>
      <c r="B2163" s="31" t="inlineStr">
        <is>
          <t>tC/ha</t>
        </is>
      </c>
      <c r="C2163" s="31" t="inlineStr">
        <is>
          <t>tC/ha</t>
        </is>
      </c>
      <c r="D2163" s="31" t="inlineStr">
        <is>
          <t>tC/ha</t>
        </is>
      </c>
      <c r="E2163" s="1092" t="n"/>
      <c r="F2163" s="1092" t="n"/>
      <c r="G2163" s="1092" t="n"/>
      <c r="H2163" s="1092" t="n"/>
      <c r="I2163" s="1092" t="n"/>
      <c r="J2163" s="1092" t="n"/>
      <c r="K2163" s="1092" t="n"/>
      <c r="L2163" s="1092" t="n"/>
      <c r="M2163" s="1092" t="n"/>
      <c r="N2163" s="1092" t="n"/>
      <c r="O2163" s="1092" t="n"/>
      <c r="P2163" s="1092" t="n"/>
      <c r="Q2163" s="1092" t="n"/>
      <c r="R2163" s="1092" t="n"/>
      <c r="S2163" s="1092" t="n"/>
      <c r="T2163" s="1092" t="n"/>
      <c r="U2163" s="1092" t="n"/>
      <c r="V2163" s="1092" t="n"/>
      <c r="W2163" s="1092" t="n"/>
    </row>
    <row r="2164" customFormat="1" s="21">
      <c r="A2164" s="20" t="inlineStr">
        <is>
          <t>Boreal Dry</t>
        </is>
      </c>
      <c r="B2164" s="470" t="n">
        <v>226</v>
      </c>
      <c r="C2164" s="470" t="n">
        <v>108</v>
      </c>
      <c r="D2164" s="470" t="n">
        <v>0</v>
      </c>
      <c r="E2164" s="453" t="n"/>
      <c r="F2164" s="453" t="n"/>
      <c r="G2164" s="453" t="n"/>
      <c r="H2164" s="453" t="n"/>
      <c r="I2164" s="453" t="n"/>
      <c r="J2164" s="453" t="n"/>
      <c r="K2164" s="453" t="n"/>
      <c r="L2164" s="453" t="n"/>
      <c r="M2164" s="453" t="n"/>
      <c r="N2164" s="453" t="n"/>
      <c r="O2164" s="453" t="n"/>
      <c r="P2164" s="1617" t="n"/>
      <c r="Q2164" s="453" t="n"/>
      <c r="R2164" s="453" t="n"/>
      <c r="S2164" s="453" t="n"/>
      <c r="T2164" s="453" t="n"/>
      <c r="U2164" s="453" t="n"/>
      <c r="V2164" s="453" t="n"/>
      <c r="W2164" s="453" t="n"/>
    </row>
    <row r="2165" customFormat="1" s="21">
      <c r="A2165" s="20" t="inlineStr">
        <is>
          <t>Boreal Moist</t>
        </is>
      </c>
      <c r="B2165" s="467" t="n">
        <v>226</v>
      </c>
      <c r="C2165" s="467" t="n">
        <v>108</v>
      </c>
      <c r="D2165" s="467" t="n">
        <v>0</v>
      </c>
      <c r="E2165" s="453" t="n"/>
      <c r="F2165" s="453" t="n"/>
      <c r="G2165" s="453" t="n"/>
      <c r="H2165" s="453" t="n"/>
      <c r="I2165" s="453" t="n"/>
      <c r="J2165" s="453" t="n"/>
      <c r="K2165" s="453" t="n"/>
      <c r="L2165" s="453" t="n"/>
      <c r="M2165" s="453" t="n"/>
      <c r="N2165" s="453" t="n"/>
      <c r="O2165" s="453" t="n"/>
      <c r="P2165" s="1617" t="n"/>
      <c r="Q2165" s="453" t="n"/>
      <c r="R2165" s="453" t="n"/>
      <c r="S2165" s="453" t="n"/>
      <c r="T2165" s="453" t="n"/>
      <c r="U2165" s="453" t="n"/>
      <c r="V2165" s="453" t="n"/>
      <c r="W2165" s="453" t="n"/>
    </row>
    <row r="2166" customFormat="1" s="21">
      <c r="A2166" s="20" t="inlineStr">
        <is>
          <t>Cool Temperate Dry</t>
        </is>
      </c>
      <c r="B2166" s="467" t="n">
        <v>226</v>
      </c>
      <c r="C2166" s="467" t="n">
        <v>108</v>
      </c>
      <c r="D2166" s="467" t="n">
        <v>0</v>
      </c>
      <c r="E2166" s="453" t="n"/>
      <c r="F2166" s="453" t="n"/>
      <c r="G2166" s="453" t="n"/>
      <c r="H2166" s="453" t="n"/>
      <c r="I2166" s="453" t="n"/>
      <c r="J2166" s="453" t="n"/>
      <c r="K2166" s="453" t="n"/>
      <c r="L2166" s="453" t="n"/>
      <c r="M2166" s="453" t="n"/>
      <c r="N2166" s="453" t="n"/>
      <c r="O2166" s="453" t="n"/>
      <c r="P2166" s="1617" t="n"/>
      <c r="Q2166" s="453" t="n"/>
      <c r="R2166" s="453" t="n"/>
      <c r="S2166" s="453" t="n"/>
      <c r="T2166" s="453" t="n"/>
      <c r="U2166" s="453" t="n"/>
      <c r="V2166" s="453" t="n"/>
      <c r="W2166" s="453" t="n"/>
    </row>
    <row r="2167" customFormat="1" s="21">
      <c r="A2167" s="20" t="inlineStr">
        <is>
          <t>Cool Temperate Moist</t>
        </is>
      </c>
      <c r="B2167" s="467" t="n">
        <v>226</v>
      </c>
      <c r="C2167" s="467" t="n">
        <v>108</v>
      </c>
      <c r="D2167" s="467" t="n">
        <v>0</v>
      </c>
      <c r="E2167" s="453" t="n"/>
      <c r="F2167" s="453" t="n"/>
      <c r="G2167" s="453" t="n"/>
      <c r="H2167" s="453" t="n"/>
      <c r="I2167" s="453" t="n"/>
      <c r="J2167" s="453" t="n"/>
      <c r="K2167" s="453" t="n"/>
      <c r="L2167" s="453" t="n"/>
      <c r="M2167" s="453" t="n"/>
      <c r="N2167" s="453" t="n"/>
      <c r="O2167" s="453" t="n"/>
      <c r="P2167" s="1617" t="n"/>
      <c r="Q2167" s="453" t="n"/>
      <c r="R2167" s="453" t="n"/>
      <c r="S2167" s="453" t="n"/>
      <c r="T2167" s="453" t="n"/>
      <c r="U2167" s="453" t="n"/>
      <c r="V2167" s="453" t="n"/>
      <c r="W2167" s="453" t="n"/>
    </row>
    <row r="2168" customFormat="1" s="21">
      <c r="A2168" s="20" t="inlineStr">
        <is>
          <t>Warm Temperate Dry</t>
        </is>
      </c>
      <c r="B2168" s="467" t="n">
        <v>226</v>
      </c>
      <c r="C2168" s="467" t="n">
        <v>108</v>
      </c>
      <c r="D2168" s="467" t="n">
        <v>286</v>
      </c>
      <c r="E2168" s="453" t="n"/>
      <c r="F2168" s="453" t="n"/>
      <c r="G2168" s="453" t="n"/>
      <c r="H2168" s="453" t="n"/>
      <c r="I2168" s="453" t="n"/>
      <c r="J2168" s="453" t="n"/>
      <c r="K2168" s="453" t="n"/>
      <c r="L2168" s="453" t="n"/>
      <c r="M2168" s="453" t="n"/>
      <c r="N2168" s="453" t="n"/>
      <c r="O2168" s="453" t="n"/>
      <c r="P2168" s="1617" t="n"/>
      <c r="Q2168" s="453" t="n"/>
      <c r="R2168" s="453" t="n"/>
      <c r="S2168" s="453" t="n"/>
      <c r="T2168" s="453" t="n"/>
      <c r="U2168" s="453" t="n"/>
      <c r="V2168" s="453" t="n"/>
      <c r="W2168" s="453" t="n"/>
    </row>
    <row r="2169" customFormat="1" s="21">
      <c r="A2169" s="20" t="inlineStr">
        <is>
          <t>Warm Temperate Moist</t>
        </is>
      </c>
      <c r="B2169" s="467" t="n">
        <v>226</v>
      </c>
      <c r="C2169" s="467" t="n">
        <v>108</v>
      </c>
      <c r="D2169" s="467" t="n">
        <v>286</v>
      </c>
      <c r="E2169" s="453" t="n"/>
      <c r="F2169" s="453" t="n"/>
      <c r="G2169" s="453" t="n"/>
      <c r="H2169" s="453" t="n"/>
      <c r="I2169" s="453" t="n"/>
      <c r="J2169" s="453" t="n"/>
      <c r="K2169" s="453" t="n"/>
      <c r="L2169" s="453" t="n"/>
      <c r="M2169" s="453" t="n"/>
      <c r="N2169" s="453" t="n"/>
      <c r="O2169" s="453" t="n"/>
      <c r="P2169" s="1617" t="n"/>
      <c r="Q2169" s="453" t="n"/>
      <c r="R2169" s="453" t="n"/>
      <c r="S2169" s="453" t="n"/>
      <c r="T2169" s="453" t="n"/>
      <c r="U2169" s="453" t="n"/>
      <c r="V2169" s="453" t="n"/>
      <c r="W2169" s="453" t="n"/>
    </row>
    <row r="2170" customFormat="1" s="21">
      <c r="A2170" s="20" t="inlineStr">
        <is>
          <t>Tropical Dry</t>
        </is>
      </c>
      <c r="B2170" s="467" t="n">
        <v>226</v>
      </c>
      <c r="C2170" s="467" t="n">
        <v>108</v>
      </c>
      <c r="D2170" s="467" t="n">
        <v>286</v>
      </c>
      <c r="E2170" s="453" t="n"/>
      <c r="F2170" s="453" t="n"/>
      <c r="G2170" s="453" t="n"/>
      <c r="H2170" s="453" t="n"/>
      <c r="I2170" s="453" t="n"/>
      <c r="J2170" s="453" t="n"/>
      <c r="K2170" s="453" t="n"/>
      <c r="L2170" s="453" t="n"/>
      <c r="M2170" s="453" t="n"/>
      <c r="N2170" s="453" t="n"/>
      <c r="O2170" s="453" t="n"/>
      <c r="P2170" s="1617" t="n"/>
      <c r="Q2170" s="453" t="n"/>
      <c r="R2170" s="453" t="n"/>
      <c r="S2170" s="453" t="n"/>
      <c r="T2170" s="453" t="n"/>
      <c r="U2170" s="453" t="n"/>
      <c r="V2170" s="453" t="n"/>
      <c r="W2170" s="453" t="n"/>
    </row>
    <row r="2171" customFormat="1" s="21">
      <c r="A2171" s="20" t="inlineStr">
        <is>
          <t>Tropical Moist</t>
        </is>
      </c>
      <c r="B2171" s="467" t="n">
        <v>226</v>
      </c>
      <c r="C2171" s="467" t="n">
        <v>108</v>
      </c>
      <c r="D2171" s="467" t="n">
        <v>286</v>
      </c>
      <c r="E2171" s="453" t="n"/>
      <c r="F2171" s="453" t="n"/>
      <c r="G2171" s="453" t="n"/>
      <c r="H2171" s="453" t="n"/>
      <c r="I2171" s="453" t="n"/>
      <c r="J2171" s="453" t="n"/>
      <c r="K2171" s="453" t="n"/>
      <c r="L2171" s="453" t="n"/>
      <c r="M2171" s="453" t="n"/>
      <c r="N2171" s="453" t="n"/>
      <c r="O2171" s="453" t="n"/>
      <c r="P2171" s="1617" t="n"/>
      <c r="Q2171" s="453" t="n"/>
      <c r="R2171" s="453" t="n"/>
      <c r="S2171" s="453" t="n"/>
      <c r="T2171" s="453" t="n"/>
      <c r="U2171" s="453" t="n"/>
      <c r="V2171" s="453" t="n"/>
      <c r="W2171" s="453" t="n"/>
    </row>
    <row r="2172" customFormat="1" s="21">
      <c r="A2172" s="20" t="inlineStr">
        <is>
          <t>Tropical Wet</t>
        </is>
      </c>
      <c r="B2172" s="467" t="n">
        <v>226</v>
      </c>
      <c r="C2172" s="467" t="n">
        <v>108</v>
      </c>
      <c r="D2172" s="467" t="n">
        <v>286</v>
      </c>
      <c r="E2172" s="453" t="n"/>
      <c r="F2172" s="453" t="n"/>
      <c r="G2172" s="453" t="n"/>
      <c r="H2172" s="453" t="n"/>
      <c r="I2172" s="453" t="n"/>
      <c r="J2172" s="453" t="n"/>
      <c r="K2172" s="453" t="n"/>
      <c r="L2172" s="453" t="n"/>
      <c r="M2172" s="453" t="n"/>
      <c r="N2172" s="453" t="n"/>
      <c r="O2172" s="453" t="n"/>
      <c r="P2172" s="1617" t="n"/>
      <c r="Q2172" s="453" t="n"/>
      <c r="R2172" s="453" t="n"/>
      <c r="S2172" s="453" t="n"/>
      <c r="T2172" s="453" t="n"/>
      <c r="U2172" s="453" t="n"/>
      <c r="V2172" s="453" t="n"/>
      <c r="W2172" s="453" t="n"/>
    </row>
    <row r="2173" customFormat="1" s="292">
      <c r="A2173" s="37" t="inlineStr">
        <is>
          <t>Tropical Montane</t>
        </is>
      </c>
      <c r="B2173" s="654" t="n">
        <v>226</v>
      </c>
      <c r="C2173" s="654" t="n">
        <v>108</v>
      </c>
      <c r="D2173" s="654" t="n">
        <v>286</v>
      </c>
      <c r="E2173" s="421" t="n"/>
      <c r="F2173" s="421" t="n"/>
      <c r="G2173" s="421" t="n"/>
      <c r="H2173" s="1074" t="n"/>
      <c r="I2173" s="1074" t="n"/>
      <c r="J2173" s="1074" t="n"/>
      <c r="K2173" s="1074" t="n"/>
      <c r="L2173" s="1074" t="n"/>
      <c r="M2173" s="1074" t="n"/>
      <c r="N2173" s="1074" t="n"/>
      <c r="O2173" s="1074" t="n"/>
      <c r="P2173" s="1618" t="n"/>
      <c r="Q2173" s="1074" t="n"/>
      <c r="R2173" s="1074" t="n"/>
      <c r="S2173" s="1074" t="n"/>
      <c r="T2173" s="1074" t="n"/>
      <c r="U2173" s="1074" t="n"/>
      <c r="V2173" s="1074" t="n"/>
      <c r="W2173" s="1074" t="n"/>
    </row>
    <row r="2174" customFormat="1" s="292">
      <c r="A2174" s="1073" t="inlineStr">
        <is>
          <t xml:space="preserve">Notes </t>
        </is>
      </c>
    </row>
    <row r="2175" customFormat="1" s="292"/>
    <row r="2176" customFormat="1" s="284"/>
    <row r="2177" customFormat="1" s="125">
      <c r="A2177" s="377" t="inlineStr">
        <is>
          <t>Default soil carbon stock (1 m depth)</t>
        </is>
      </c>
      <c r="D2177" s="1075" t="n"/>
      <c r="E2177" s="1075" t="n"/>
      <c r="F2177" s="1075" t="n"/>
      <c r="G2177" s="1075" t="n"/>
      <c r="H2177" s="1075" t="n"/>
      <c r="I2177" s="1075" t="n"/>
    </row>
    <row r="2178" ht="16.25" customFormat="1" customHeight="1" s="773">
      <c r="A2178" s="753" t="inlineStr">
        <is>
          <t>Organic soil</t>
        </is>
      </c>
      <c r="B2178" s="442" t="inlineStr">
        <is>
          <t>Table 4.11 IPCC 2014</t>
        </is>
      </c>
      <c r="C2178" s="442" t="inlineStr">
        <is>
          <t>Table 4.11 IPCC 2014</t>
        </is>
      </c>
      <c r="D2178" s="442" t="inlineStr">
        <is>
          <t>Table 4.11 IPCC 2014</t>
        </is>
      </c>
      <c r="E2178" s="442" t="n"/>
      <c r="F2178" s="442" t="n"/>
      <c r="G2178" s="442" t="n"/>
      <c r="H2178" s="442" t="n"/>
      <c r="I2178" s="442" t="n"/>
      <c r="J2178" s="442" t="n"/>
      <c r="K2178" s="442" t="n"/>
      <c r="L2178" s="442" t="n"/>
      <c r="M2178" s="442" t="n"/>
      <c r="N2178" s="442" t="n"/>
      <c r="O2178" s="442" t="n"/>
      <c r="P2178" s="532" t="n"/>
      <c r="Q2178" s="442" t="n"/>
      <c r="R2178" s="442" t="n"/>
      <c r="S2178" s="442" t="n"/>
      <c r="T2178" s="442" t="n"/>
      <c r="U2178" s="442" t="n"/>
      <c r="V2178" s="442" t="n"/>
      <c r="W2178" s="442" t="n"/>
    </row>
    <row r="2179" ht="16" customFormat="1" customHeight="1" s="291">
      <c r="A2179" s="293" t="inlineStr">
        <is>
          <t>IPCC Climate Region</t>
        </is>
      </c>
      <c r="B2179" s="31" t="inlineStr">
        <is>
          <t>Tidal marsh</t>
        </is>
      </c>
      <c r="C2179" s="31" t="inlineStr">
        <is>
          <t>Seagrass</t>
        </is>
      </c>
      <c r="D2179" s="31" t="inlineStr">
        <is>
          <t>Mangrove</t>
        </is>
      </c>
      <c r="E2179" s="419" t="n"/>
      <c r="F2179" s="419" t="n"/>
      <c r="G2179" s="419" t="n"/>
      <c r="H2179" s="453" t="n"/>
      <c r="I2179" s="453" t="n"/>
      <c r="J2179" s="453" t="n"/>
      <c r="K2179" s="453" t="n"/>
      <c r="L2179" s="453" t="n"/>
      <c r="M2179" s="453" t="n"/>
      <c r="N2179" s="453" t="n"/>
      <c r="O2179" s="453" t="n"/>
      <c r="P2179" s="1616" t="n"/>
      <c r="Q2179" s="453" t="n"/>
      <c r="R2179" s="453" t="n"/>
      <c r="S2179" s="453" t="n"/>
      <c r="T2179" s="453" t="n"/>
      <c r="U2179" s="453" t="n"/>
      <c r="V2179" s="453" t="n"/>
      <c r="W2179" s="453" t="n"/>
      <c r="X2179" s="21" t="n"/>
      <c r="Y2179" s="21" t="n"/>
    </row>
    <row r="2180" ht="16" customFormat="1" customHeight="1" s="1093">
      <c r="A2180" s="1090" t="inlineStr">
        <is>
          <t>Please select</t>
        </is>
      </c>
      <c r="B2180" s="31" t="inlineStr">
        <is>
          <t>tC/ha</t>
        </is>
      </c>
      <c r="C2180" s="31" t="inlineStr">
        <is>
          <t>tC/ha</t>
        </is>
      </c>
      <c r="D2180" s="31" t="inlineStr">
        <is>
          <t>tC/ha</t>
        </is>
      </c>
      <c r="E2180" s="1092" t="n"/>
      <c r="F2180" s="1092" t="n"/>
      <c r="G2180" s="1092" t="n"/>
      <c r="H2180" s="1092" t="n"/>
      <c r="I2180" s="1092" t="n"/>
      <c r="J2180" s="1092" t="n"/>
      <c r="K2180" s="1092" t="n"/>
      <c r="L2180" s="1092" t="n"/>
      <c r="M2180" s="1092" t="n"/>
      <c r="N2180" s="1092" t="n"/>
      <c r="O2180" s="1092" t="n"/>
      <c r="P2180" s="1092" t="n"/>
      <c r="Q2180" s="1092" t="n"/>
      <c r="R2180" s="1092" t="n"/>
      <c r="S2180" s="1092" t="n"/>
      <c r="T2180" s="1092" t="n"/>
      <c r="U2180" s="1092" t="n"/>
      <c r="V2180" s="1092" t="n"/>
      <c r="W2180" s="1092" t="n"/>
    </row>
    <row r="2181" customFormat="1" s="21">
      <c r="A2181" s="20" t="inlineStr">
        <is>
          <t>Boreal Dry</t>
        </is>
      </c>
      <c r="B2181" s="470" t="n">
        <v>340</v>
      </c>
      <c r="C2181" s="470" t="n">
        <v>0</v>
      </c>
      <c r="D2181" s="470" t="n">
        <v>0</v>
      </c>
      <c r="E2181" s="453" t="n"/>
      <c r="F2181" s="453" t="n"/>
      <c r="G2181" s="453" t="n"/>
      <c r="H2181" s="453" t="n"/>
      <c r="I2181" s="453" t="n"/>
      <c r="J2181" s="453" t="n"/>
      <c r="K2181" s="453" t="n"/>
      <c r="L2181" s="453" t="n"/>
      <c r="M2181" s="453" t="n"/>
      <c r="N2181" s="453" t="n"/>
      <c r="O2181" s="453" t="n"/>
      <c r="P2181" s="1617" t="n"/>
      <c r="Q2181" s="453" t="n"/>
      <c r="R2181" s="453" t="n"/>
      <c r="S2181" s="453" t="n"/>
      <c r="T2181" s="453" t="n"/>
      <c r="U2181" s="453" t="n"/>
      <c r="V2181" s="453" t="n"/>
      <c r="W2181" s="453" t="n"/>
    </row>
    <row r="2182" customFormat="1" s="21">
      <c r="A2182" s="20" t="inlineStr">
        <is>
          <t>Boreal Moist</t>
        </is>
      </c>
      <c r="B2182" s="467" t="n">
        <v>340</v>
      </c>
      <c r="C2182" s="467" t="n">
        <v>0</v>
      </c>
      <c r="D2182" s="467" t="n">
        <v>0</v>
      </c>
      <c r="E2182" s="453" t="n"/>
      <c r="F2182" s="453" t="n"/>
      <c r="G2182" s="453" t="n"/>
      <c r="H2182" s="453" t="n"/>
      <c r="I2182" s="453" t="n"/>
      <c r="J2182" s="453" t="n"/>
      <c r="K2182" s="453" t="n"/>
      <c r="L2182" s="453" t="n"/>
      <c r="M2182" s="453" t="n"/>
      <c r="N2182" s="453" t="n"/>
      <c r="O2182" s="453" t="n"/>
      <c r="P2182" s="1617" t="n"/>
      <c r="Q2182" s="453" t="n"/>
      <c r="R2182" s="453" t="n"/>
      <c r="S2182" s="453" t="n"/>
      <c r="T2182" s="453" t="n"/>
      <c r="U2182" s="453" t="n"/>
      <c r="V2182" s="453" t="n"/>
      <c r="W2182" s="453" t="n"/>
    </row>
    <row r="2183" customFormat="1" s="21">
      <c r="A2183" s="20" t="inlineStr">
        <is>
          <t>Cool Temperate Dry</t>
        </is>
      </c>
      <c r="B2183" s="467" t="n">
        <v>340</v>
      </c>
      <c r="C2183" s="467" t="n">
        <v>0</v>
      </c>
      <c r="D2183" s="467" t="n">
        <v>0</v>
      </c>
      <c r="E2183" s="453" t="n"/>
      <c r="F2183" s="453" t="n"/>
      <c r="G2183" s="453" t="n"/>
      <c r="H2183" s="453" t="n"/>
      <c r="I2183" s="453" t="n"/>
      <c r="J2183" s="453" t="n"/>
      <c r="K2183" s="453" t="n"/>
      <c r="L2183" s="453" t="n"/>
      <c r="M2183" s="453" t="n"/>
      <c r="N2183" s="453" t="n"/>
      <c r="O2183" s="453" t="n"/>
      <c r="P2183" s="1617" t="n"/>
      <c r="Q2183" s="453" t="n"/>
      <c r="R2183" s="453" t="n"/>
      <c r="S2183" s="453" t="n"/>
      <c r="T2183" s="453" t="n"/>
      <c r="U2183" s="453" t="n"/>
      <c r="V2183" s="453" t="n"/>
      <c r="W2183" s="453" t="n"/>
    </row>
    <row r="2184" customFormat="1" s="21">
      <c r="A2184" s="20" t="inlineStr">
        <is>
          <t>Cool Temperate Moist</t>
        </is>
      </c>
      <c r="B2184" s="467" t="n">
        <v>340</v>
      </c>
      <c r="C2184" s="467" t="n">
        <v>0</v>
      </c>
      <c r="D2184" s="467" t="n">
        <v>0</v>
      </c>
      <c r="E2184" s="453" t="n"/>
      <c r="F2184" s="453" t="n"/>
      <c r="G2184" s="453" t="n"/>
      <c r="H2184" s="453" t="n"/>
      <c r="I2184" s="453" t="n"/>
      <c r="J2184" s="453" t="n"/>
      <c r="K2184" s="453" t="n"/>
      <c r="L2184" s="453" t="n"/>
      <c r="M2184" s="453" t="n"/>
      <c r="N2184" s="453" t="n"/>
      <c r="O2184" s="453" t="n"/>
      <c r="P2184" s="1617" t="n"/>
      <c r="Q2184" s="453" t="n"/>
      <c r="R2184" s="453" t="n"/>
      <c r="S2184" s="453" t="n"/>
      <c r="T2184" s="453" t="n"/>
      <c r="U2184" s="453" t="n"/>
      <c r="V2184" s="453" t="n"/>
      <c r="W2184" s="453" t="n"/>
    </row>
    <row r="2185" customFormat="1" s="21">
      <c r="A2185" s="20" t="inlineStr">
        <is>
          <t>Warm Temperate Dry</t>
        </is>
      </c>
      <c r="B2185" s="467" t="n">
        <v>340</v>
      </c>
      <c r="C2185" s="467" t="n">
        <v>0</v>
      </c>
      <c r="D2185" s="467" t="n">
        <v>471</v>
      </c>
      <c r="E2185" s="453" t="n"/>
      <c r="F2185" s="453" t="n"/>
      <c r="G2185" s="453" t="n"/>
      <c r="H2185" s="453" t="n"/>
      <c r="I2185" s="453" t="n"/>
      <c r="J2185" s="453" t="n"/>
      <c r="K2185" s="453" t="n"/>
      <c r="L2185" s="453" t="n"/>
      <c r="M2185" s="453" t="n"/>
      <c r="N2185" s="453" t="n"/>
      <c r="O2185" s="453" t="n"/>
      <c r="P2185" s="1617" t="n"/>
      <c r="Q2185" s="453" t="n"/>
      <c r="R2185" s="453" t="n"/>
      <c r="S2185" s="453" t="n"/>
      <c r="T2185" s="453" t="n"/>
      <c r="U2185" s="453" t="n"/>
      <c r="V2185" s="453" t="n"/>
      <c r="W2185" s="453" t="n"/>
    </row>
    <row r="2186" customFormat="1" s="21">
      <c r="A2186" s="20" t="inlineStr">
        <is>
          <t>Warm Temperate Moist</t>
        </is>
      </c>
      <c r="B2186" s="467" t="n">
        <v>340</v>
      </c>
      <c r="C2186" s="467" t="n">
        <v>0</v>
      </c>
      <c r="D2186" s="467" t="n">
        <v>471</v>
      </c>
      <c r="E2186" s="453" t="n"/>
      <c r="F2186" s="453" t="n"/>
      <c r="G2186" s="453" t="n"/>
      <c r="H2186" s="453" t="n"/>
      <c r="I2186" s="453" t="n"/>
      <c r="J2186" s="453" t="n"/>
      <c r="K2186" s="453" t="n"/>
      <c r="L2186" s="453" t="n"/>
      <c r="M2186" s="453" t="n"/>
      <c r="N2186" s="453" t="n"/>
      <c r="O2186" s="453" t="n"/>
      <c r="P2186" s="1617" t="n"/>
      <c r="Q2186" s="453" t="n"/>
      <c r="R2186" s="453" t="n"/>
      <c r="S2186" s="453" t="n"/>
      <c r="T2186" s="453" t="n"/>
      <c r="U2186" s="453" t="n"/>
      <c r="V2186" s="453" t="n"/>
      <c r="W2186" s="453" t="n"/>
    </row>
    <row r="2187" customFormat="1" s="21">
      <c r="A2187" s="20" t="inlineStr">
        <is>
          <t>Tropical Dry</t>
        </is>
      </c>
      <c r="B2187" s="467" t="n">
        <v>340</v>
      </c>
      <c r="C2187" s="467" t="n">
        <v>0</v>
      </c>
      <c r="D2187" s="467" t="n">
        <v>471</v>
      </c>
      <c r="E2187" s="453" t="n"/>
      <c r="F2187" s="453" t="n"/>
      <c r="G2187" s="453" t="n"/>
      <c r="H2187" s="453" t="n"/>
      <c r="I2187" s="453" t="n"/>
      <c r="J2187" s="453" t="n"/>
      <c r="K2187" s="453" t="n"/>
      <c r="L2187" s="453" t="n"/>
      <c r="M2187" s="453" t="n"/>
      <c r="N2187" s="453" t="n"/>
      <c r="O2187" s="453" t="n"/>
      <c r="P2187" s="1617" t="n"/>
      <c r="Q2187" s="453" t="n"/>
      <c r="R2187" s="453" t="n"/>
      <c r="S2187" s="453" t="n"/>
      <c r="T2187" s="453" t="n"/>
      <c r="U2187" s="453" t="n"/>
      <c r="V2187" s="453" t="n"/>
      <c r="W2187" s="453" t="n"/>
    </row>
    <row r="2188" customFormat="1" s="21">
      <c r="A2188" s="20" t="inlineStr">
        <is>
          <t>Tropical Moist</t>
        </is>
      </c>
      <c r="B2188" s="467" t="n">
        <v>340</v>
      </c>
      <c r="C2188" s="467" t="n">
        <v>0</v>
      </c>
      <c r="D2188" s="467" t="n">
        <v>471</v>
      </c>
      <c r="E2188" s="453" t="n"/>
      <c r="F2188" s="453" t="n"/>
      <c r="G2188" s="453" t="n"/>
      <c r="H2188" s="453" t="n"/>
      <c r="I2188" s="453" t="n"/>
      <c r="J2188" s="453" t="n"/>
      <c r="K2188" s="453" t="n"/>
      <c r="L2188" s="453" t="n"/>
      <c r="M2188" s="453" t="n"/>
      <c r="N2188" s="453" t="n"/>
      <c r="O2188" s="453" t="n"/>
      <c r="P2188" s="1617" t="n"/>
      <c r="Q2188" s="453" t="n"/>
      <c r="R2188" s="453" t="n"/>
      <c r="S2188" s="453" t="n"/>
      <c r="T2188" s="453" t="n"/>
      <c r="U2188" s="453" t="n"/>
      <c r="V2188" s="453" t="n"/>
      <c r="W2188" s="453" t="n"/>
    </row>
    <row r="2189" customFormat="1" s="21">
      <c r="A2189" s="20" t="inlineStr">
        <is>
          <t>Tropical Wet</t>
        </is>
      </c>
      <c r="B2189" s="467" t="n">
        <v>340</v>
      </c>
      <c r="C2189" s="467" t="n">
        <v>0</v>
      </c>
      <c r="D2189" s="467" t="n">
        <v>471</v>
      </c>
      <c r="E2189" s="453" t="n"/>
      <c r="F2189" s="453" t="n"/>
      <c r="G2189" s="453" t="n"/>
      <c r="H2189" s="453" t="n"/>
      <c r="I2189" s="453" t="n"/>
      <c r="J2189" s="453" t="n"/>
      <c r="K2189" s="453" t="n"/>
      <c r="L2189" s="453" t="n"/>
      <c r="M2189" s="453" t="n"/>
      <c r="N2189" s="453" t="n"/>
      <c r="O2189" s="453" t="n"/>
      <c r="P2189" s="1617" t="n"/>
      <c r="Q2189" s="453" t="n"/>
      <c r="R2189" s="453" t="n"/>
      <c r="S2189" s="453" t="n"/>
      <c r="T2189" s="453" t="n"/>
      <c r="U2189" s="453" t="n"/>
      <c r="V2189" s="453" t="n"/>
      <c r="W2189" s="453" t="n"/>
    </row>
    <row r="2190" customFormat="1" s="292">
      <c r="A2190" s="37" t="inlineStr">
        <is>
          <t>Tropical Montane</t>
        </is>
      </c>
      <c r="B2190" s="654" t="n">
        <v>340</v>
      </c>
      <c r="C2190" s="654" t="n">
        <v>0</v>
      </c>
      <c r="D2190" s="654" t="n">
        <v>471</v>
      </c>
      <c r="E2190" s="421" t="n"/>
      <c r="F2190" s="421" t="n"/>
      <c r="G2190" s="421" t="n"/>
      <c r="H2190" s="1074" t="n"/>
      <c r="I2190" s="1074" t="n"/>
      <c r="J2190" s="1074" t="n"/>
      <c r="K2190" s="1074" t="n"/>
      <c r="L2190" s="1074" t="n"/>
      <c r="M2190" s="1074" t="n"/>
      <c r="N2190" s="1074" t="n"/>
      <c r="O2190" s="1074" t="n"/>
      <c r="P2190" s="1618" t="n"/>
      <c r="Q2190" s="1074" t="n"/>
      <c r="R2190" s="1074" t="n"/>
      <c r="S2190" s="1074" t="n"/>
      <c r="T2190" s="1074" t="n"/>
      <c r="U2190" s="1074" t="n"/>
      <c r="V2190" s="1074" t="n"/>
      <c r="W2190" s="1074" t="n"/>
    </row>
    <row r="2191" customFormat="1" s="292">
      <c r="A2191" s="1073" t="inlineStr">
        <is>
          <t xml:space="preserve">Notes </t>
        </is>
      </c>
    </row>
    <row r="2192" customFormat="1" s="292"/>
    <row r="2193" customFormat="1" s="284"/>
    <row r="2194" customFormat="1" s="125">
      <c r="A2194" s="377" t="inlineStr">
        <is>
          <t>Default soil carbon stock (1 m depth)</t>
        </is>
      </c>
      <c r="D2194" s="1075" t="n"/>
      <c r="E2194" s="1075" t="n"/>
      <c r="F2194" s="1075" t="n"/>
      <c r="G2194" s="1075" t="n"/>
      <c r="H2194" s="1075" t="n"/>
      <c r="I2194" s="1075" t="n"/>
    </row>
    <row r="2195" ht="16.25" customFormat="1" customHeight="1" s="773">
      <c r="A2195" s="753" t="inlineStr">
        <is>
          <t>Aggregated soil</t>
        </is>
      </c>
      <c r="B2195" s="442" t="inlineStr">
        <is>
          <t>Table 4.11 IPCC 2014</t>
        </is>
      </c>
      <c r="C2195" s="442" t="inlineStr">
        <is>
          <t>Table 4.11 IPCC 2014</t>
        </is>
      </c>
      <c r="D2195" s="442" t="inlineStr">
        <is>
          <t>Table 4.11 IPCC 2014</t>
        </is>
      </c>
      <c r="E2195" s="442" t="n"/>
      <c r="F2195" s="442" t="n"/>
      <c r="G2195" s="442" t="n"/>
      <c r="H2195" s="442" t="n"/>
      <c r="I2195" s="442" t="n"/>
      <c r="J2195" s="442" t="n"/>
      <c r="K2195" s="442" t="n"/>
      <c r="L2195" s="442" t="n"/>
      <c r="M2195" s="442" t="n"/>
      <c r="N2195" s="442" t="n"/>
      <c r="O2195" s="442" t="n"/>
      <c r="P2195" s="532" t="n"/>
      <c r="Q2195" s="442" t="n"/>
      <c r="R2195" s="442" t="n"/>
      <c r="S2195" s="442" t="n"/>
      <c r="T2195" s="442" t="n"/>
      <c r="U2195" s="442" t="n"/>
      <c r="V2195" s="442" t="n"/>
      <c r="W2195" s="442" t="n"/>
    </row>
    <row r="2196" ht="16" customFormat="1" customHeight="1" s="291">
      <c r="A2196" s="293" t="inlineStr">
        <is>
          <t>IPCC Climate Region</t>
        </is>
      </c>
      <c r="B2196" s="31" t="inlineStr">
        <is>
          <t>Tidal marsh</t>
        </is>
      </c>
      <c r="C2196" s="31" t="inlineStr">
        <is>
          <t>Seagrass</t>
        </is>
      </c>
      <c r="D2196" s="31" t="inlineStr">
        <is>
          <t>Mangrove</t>
        </is>
      </c>
      <c r="E2196" s="419" t="n"/>
      <c r="F2196" s="419" t="n"/>
      <c r="G2196" s="419" t="n"/>
      <c r="H2196" s="453" t="n"/>
      <c r="I2196" s="453" t="n"/>
      <c r="J2196" s="453" t="n"/>
      <c r="K2196" s="453" t="n"/>
      <c r="L2196" s="453" t="n"/>
      <c r="M2196" s="453" t="n"/>
      <c r="N2196" s="453" t="n"/>
      <c r="O2196" s="453" t="n"/>
      <c r="P2196" s="1616" t="n"/>
      <c r="Q2196" s="453" t="n"/>
      <c r="R2196" s="453" t="n"/>
      <c r="S2196" s="453" t="n"/>
      <c r="T2196" s="453" t="n"/>
      <c r="U2196" s="453" t="n"/>
      <c r="V2196" s="453" t="n"/>
      <c r="W2196" s="453" t="n"/>
      <c r="X2196" s="21" t="n"/>
      <c r="Y2196" s="21" t="n"/>
    </row>
    <row r="2197" ht="16" customFormat="1" customHeight="1" s="1093">
      <c r="A2197" s="1090" t="inlineStr">
        <is>
          <t>Please select</t>
        </is>
      </c>
      <c r="B2197" s="31" t="inlineStr">
        <is>
          <t>tC/ha</t>
        </is>
      </c>
      <c r="C2197" s="31" t="inlineStr">
        <is>
          <t>tC/ha</t>
        </is>
      </c>
      <c r="D2197" s="31" t="inlineStr">
        <is>
          <t>tC/ha</t>
        </is>
      </c>
      <c r="E2197" s="1092" t="n"/>
      <c r="F2197" s="1092" t="n"/>
      <c r="G2197" s="1092" t="n"/>
      <c r="H2197" s="1092" t="n"/>
      <c r="I2197" s="1092" t="n"/>
      <c r="J2197" s="1092" t="n"/>
      <c r="K2197" s="1092" t="n"/>
      <c r="L2197" s="1092" t="n"/>
      <c r="M2197" s="1092" t="n"/>
      <c r="N2197" s="1092" t="n"/>
      <c r="O2197" s="1092" t="n"/>
      <c r="P2197" s="1092" t="n"/>
      <c r="Q2197" s="1092" t="n"/>
      <c r="R2197" s="1092" t="n"/>
      <c r="S2197" s="1092" t="n"/>
      <c r="T2197" s="1092" t="n"/>
      <c r="U2197" s="1092" t="n"/>
      <c r="V2197" s="1092" t="n"/>
      <c r="W2197" s="1092" t="n"/>
    </row>
    <row r="2198" customFormat="1" s="21">
      <c r="A2198" s="20" t="inlineStr">
        <is>
          <t>Boreal Dry</t>
        </is>
      </c>
      <c r="B2198" s="470" t="n">
        <v>255</v>
      </c>
      <c r="C2198" s="470" t="n">
        <v>0</v>
      </c>
      <c r="D2198" s="470" t="n">
        <v>0</v>
      </c>
      <c r="E2198" s="453" t="n"/>
      <c r="F2198" s="453" t="n"/>
      <c r="G2198" s="453" t="n"/>
      <c r="H2198" s="453" t="n"/>
      <c r="I2198" s="453" t="n"/>
      <c r="J2198" s="453" t="n"/>
      <c r="K2198" s="453" t="n"/>
      <c r="L2198" s="453" t="n"/>
      <c r="M2198" s="453" t="n"/>
      <c r="N2198" s="453" t="n"/>
      <c r="O2198" s="453" t="n"/>
      <c r="P2198" s="1617" t="n"/>
      <c r="Q2198" s="453" t="n"/>
      <c r="R2198" s="453" t="n"/>
      <c r="S2198" s="453" t="n"/>
      <c r="T2198" s="453" t="n"/>
      <c r="U2198" s="453" t="n"/>
      <c r="V2198" s="453" t="n"/>
      <c r="W2198" s="453" t="n"/>
    </row>
    <row r="2199" customFormat="1" s="21">
      <c r="A2199" s="20" t="inlineStr">
        <is>
          <t>Boreal Moist</t>
        </is>
      </c>
      <c r="B2199" s="467" t="n">
        <v>255</v>
      </c>
      <c r="C2199" s="467" t="n">
        <v>0</v>
      </c>
      <c r="D2199" s="467" t="n">
        <v>0</v>
      </c>
      <c r="E2199" s="453" t="n"/>
      <c r="F2199" s="453" t="n"/>
      <c r="G2199" s="453" t="n"/>
      <c r="H2199" s="453" t="n"/>
      <c r="I2199" s="453" t="n"/>
      <c r="J2199" s="453" t="n"/>
      <c r="K2199" s="453" t="n"/>
      <c r="L2199" s="453" t="n"/>
      <c r="M2199" s="453" t="n"/>
      <c r="N2199" s="453" t="n"/>
      <c r="O2199" s="453" t="n"/>
      <c r="P2199" s="1617" t="n"/>
      <c r="Q2199" s="453" t="n"/>
      <c r="R2199" s="453" t="n"/>
      <c r="S2199" s="453" t="n"/>
      <c r="T2199" s="453" t="n"/>
      <c r="U2199" s="453" t="n"/>
      <c r="V2199" s="453" t="n"/>
      <c r="W2199" s="453" t="n"/>
    </row>
    <row r="2200" customFormat="1" s="21">
      <c r="A2200" s="20" t="inlineStr">
        <is>
          <t>Cool Temperate Dry</t>
        </is>
      </c>
      <c r="B2200" s="467" t="n">
        <v>255</v>
      </c>
      <c r="C2200" s="467" t="n">
        <v>0</v>
      </c>
      <c r="D2200" s="467" t="n">
        <v>0</v>
      </c>
      <c r="E2200" s="453" t="n"/>
      <c r="F2200" s="453" t="n"/>
      <c r="G2200" s="453" t="n"/>
      <c r="H2200" s="453" t="n"/>
      <c r="I2200" s="453" t="n"/>
      <c r="J2200" s="453" t="n"/>
      <c r="K2200" s="453" t="n"/>
      <c r="L2200" s="453" t="n"/>
      <c r="M2200" s="453" t="n"/>
      <c r="N2200" s="453" t="n"/>
      <c r="O2200" s="453" t="n"/>
      <c r="P2200" s="1617" t="n"/>
      <c r="Q2200" s="453" t="n"/>
      <c r="R2200" s="453" t="n"/>
      <c r="S2200" s="453" t="n"/>
      <c r="T2200" s="453" t="n"/>
      <c r="U2200" s="453" t="n"/>
      <c r="V2200" s="453" t="n"/>
      <c r="W2200" s="453" t="n"/>
    </row>
    <row r="2201" customFormat="1" s="21">
      <c r="A2201" s="20" t="inlineStr">
        <is>
          <t>Cool Temperate Moist</t>
        </is>
      </c>
      <c r="B2201" s="467" t="n">
        <v>255</v>
      </c>
      <c r="C2201" s="467" t="n">
        <v>0</v>
      </c>
      <c r="D2201" s="467" t="n">
        <v>0</v>
      </c>
      <c r="E2201" s="453" t="n"/>
      <c r="F2201" s="453" t="n"/>
      <c r="G2201" s="453" t="n"/>
      <c r="H2201" s="453" t="n"/>
      <c r="I2201" s="453" t="n"/>
      <c r="J2201" s="453" t="n"/>
      <c r="K2201" s="453" t="n"/>
      <c r="L2201" s="453" t="n"/>
      <c r="M2201" s="453" t="n"/>
      <c r="N2201" s="453" t="n"/>
      <c r="O2201" s="453" t="n"/>
      <c r="P2201" s="1617" t="n"/>
      <c r="Q2201" s="453" t="n"/>
      <c r="R2201" s="453" t="n"/>
      <c r="S2201" s="453" t="n"/>
      <c r="T2201" s="453" t="n"/>
      <c r="U2201" s="453" t="n"/>
      <c r="V2201" s="453" t="n"/>
      <c r="W2201" s="453" t="n"/>
    </row>
    <row r="2202" customFormat="1" s="21">
      <c r="A2202" s="20" t="inlineStr">
        <is>
          <t>Warm Temperate Dry</t>
        </is>
      </c>
      <c r="B2202" s="467" t="n">
        <v>255</v>
      </c>
      <c r="C2202" s="467" t="n">
        <v>0</v>
      </c>
      <c r="D2202" s="467" t="n">
        <v>386</v>
      </c>
      <c r="E2202" s="453" t="n"/>
      <c r="F2202" s="453" t="n"/>
      <c r="G2202" s="453" t="n"/>
      <c r="H2202" s="453" t="n"/>
      <c r="I2202" s="453" t="n"/>
      <c r="J2202" s="453" t="n"/>
      <c r="K2202" s="453" t="n"/>
      <c r="L2202" s="453" t="n"/>
      <c r="M2202" s="453" t="n"/>
      <c r="N2202" s="453" t="n"/>
      <c r="O2202" s="453" t="n"/>
      <c r="P2202" s="1617" t="n"/>
      <c r="Q2202" s="453" t="n"/>
      <c r="R2202" s="453" t="n"/>
      <c r="S2202" s="453" t="n"/>
      <c r="T2202" s="453" t="n"/>
      <c r="U2202" s="453" t="n"/>
      <c r="V2202" s="453" t="n"/>
      <c r="W2202" s="453" t="n"/>
    </row>
    <row r="2203" customFormat="1" s="21">
      <c r="A2203" s="20" t="inlineStr">
        <is>
          <t>Warm Temperate Moist</t>
        </is>
      </c>
      <c r="B2203" s="467" t="n">
        <v>255</v>
      </c>
      <c r="C2203" s="467" t="n">
        <v>0</v>
      </c>
      <c r="D2203" s="467" t="n">
        <v>386</v>
      </c>
      <c r="E2203" s="453" t="n"/>
      <c r="F2203" s="453" t="n"/>
      <c r="G2203" s="453" t="n"/>
      <c r="H2203" s="453" t="n"/>
      <c r="I2203" s="453" t="n"/>
      <c r="J2203" s="453" t="n"/>
      <c r="K2203" s="453" t="n"/>
      <c r="L2203" s="453" t="n"/>
      <c r="M2203" s="453" t="n"/>
      <c r="N2203" s="453" t="n"/>
      <c r="O2203" s="453" t="n"/>
      <c r="P2203" s="1617" t="n"/>
      <c r="Q2203" s="453" t="n"/>
      <c r="R2203" s="453" t="n"/>
      <c r="S2203" s="453" t="n"/>
      <c r="T2203" s="453" t="n"/>
      <c r="U2203" s="453" t="n"/>
      <c r="V2203" s="453" t="n"/>
      <c r="W2203" s="453" t="n"/>
    </row>
    <row r="2204" customFormat="1" s="21">
      <c r="A2204" s="20" t="inlineStr">
        <is>
          <t>Tropical Dry</t>
        </is>
      </c>
      <c r="B2204" s="467" t="n">
        <v>255</v>
      </c>
      <c r="C2204" s="467" t="n">
        <v>0</v>
      </c>
      <c r="D2204" s="467" t="n">
        <v>386</v>
      </c>
      <c r="E2204" s="453" t="n"/>
      <c r="F2204" s="453" t="n"/>
      <c r="G2204" s="453" t="n"/>
      <c r="H2204" s="453" t="n"/>
      <c r="I2204" s="453" t="n"/>
      <c r="J2204" s="453" t="n"/>
      <c r="K2204" s="453" t="n"/>
      <c r="L2204" s="453" t="n"/>
      <c r="M2204" s="453" t="n"/>
      <c r="N2204" s="453" t="n"/>
      <c r="O2204" s="453" t="n"/>
      <c r="P2204" s="1617" t="n"/>
      <c r="Q2204" s="453" t="n"/>
      <c r="R2204" s="453" t="n"/>
      <c r="S2204" s="453" t="n"/>
      <c r="T2204" s="453" t="n"/>
      <c r="U2204" s="453" t="n"/>
      <c r="V2204" s="453" t="n"/>
      <c r="W2204" s="453" t="n"/>
    </row>
    <row r="2205" customFormat="1" s="21">
      <c r="A2205" s="20" t="inlineStr">
        <is>
          <t>Tropical Moist</t>
        </is>
      </c>
      <c r="B2205" s="467" t="n">
        <v>255</v>
      </c>
      <c r="C2205" s="467" t="n">
        <v>0</v>
      </c>
      <c r="D2205" s="467" t="n">
        <v>386</v>
      </c>
      <c r="E2205" s="453" t="n"/>
      <c r="F2205" s="453" t="n"/>
      <c r="G2205" s="453" t="n"/>
      <c r="H2205" s="453" t="n"/>
      <c r="I2205" s="453" t="n"/>
      <c r="J2205" s="453" t="n"/>
      <c r="K2205" s="453" t="n"/>
      <c r="L2205" s="453" t="n"/>
      <c r="M2205" s="453" t="n"/>
      <c r="N2205" s="453" t="n"/>
      <c r="O2205" s="453" t="n"/>
      <c r="P2205" s="1617" t="n"/>
      <c r="Q2205" s="453" t="n"/>
      <c r="R2205" s="453" t="n"/>
      <c r="S2205" s="453" t="n"/>
      <c r="T2205" s="453" t="n"/>
      <c r="U2205" s="453" t="n"/>
      <c r="V2205" s="453" t="n"/>
      <c r="W2205" s="453" t="n"/>
    </row>
    <row r="2206" customFormat="1" s="21">
      <c r="A2206" s="20" t="inlineStr">
        <is>
          <t>Tropical Wet</t>
        </is>
      </c>
      <c r="B2206" s="467" t="n">
        <v>255</v>
      </c>
      <c r="C2206" s="467" t="n">
        <v>0</v>
      </c>
      <c r="D2206" s="467" t="n">
        <v>386</v>
      </c>
      <c r="E2206" s="453" t="n"/>
      <c r="F2206" s="453" t="n"/>
      <c r="G2206" s="453" t="n"/>
      <c r="H2206" s="453" t="n"/>
      <c r="I2206" s="453" t="n"/>
      <c r="J2206" s="453" t="n"/>
      <c r="K2206" s="453" t="n"/>
      <c r="L2206" s="453" t="n"/>
      <c r="M2206" s="453" t="n"/>
      <c r="N2206" s="453" t="n"/>
      <c r="O2206" s="453" t="n"/>
      <c r="P2206" s="1617" t="n"/>
      <c r="Q2206" s="453" t="n"/>
      <c r="R2206" s="453" t="n"/>
      <c r="S2206" s="453" t="n"/>
      <c r="T2206" s="453" t="n"/>
      <c r="U2206" s="453" t="n"/>
      <c r="V2206" s="453" t="n"/>
      <c r="W2206" s="453" t="n"/>
    </row>
    <row r="2207" customFormat="1" s="292">
      <c r="A2207" s="37" t="inlineStr">
        <is>
          <t>Tropical Montane</t>
        </is>
      </c>
      <c r="B2207" s="654" t="n">
        <v>255</v>
      </c>
      <c r="C2207" s="654" t="n">
        <v>0</v>
      </c>
      <c r="D2207" s="654" t="n">
        <v>386</v>
      </c>
      <c r="E2207" s="421" t="n"/>
      <c r="F2207" s="421" t="n"/>
      <c r="G2207" s="421" t="n"/>
      <c r="H2207" s="1074" t="n"/>
      <c r="I2207" s="1074" t="n"/>
      <c r="J2207" s="1074" t="n"/>
      <c r="K2207" s="1074" t="n"/>
      <c r="L2207" s="1074" t="n"/>
      <c r="M2207" s="1074" t="n"/>
      <c r="N2207" s="1074" t="n"/>
      <c r="O2207" s="1074" t="n"/>
      <c r="P2207" s="1618" t="n"/>
      <c r="Q2207" s="1074" t="n"/>
      <c r="R2207" s="1074" t="n"/>
      <c r="S2207" s="1074" t="n"/>
      <c r="T2207" s="1074" t="n"/>
      <c r="U2207" s="1074" t="n"/>
      <c r="V2207" s="1074" t="n"/>
      <c r="W2207" s="1074" t="n"/>
    </row>
    <row r="2208" customFormat="1" s="292">
      <c r="A2208" s="1073" t="inlineStr">
        <is>
          <t xml:space="preserve">Notes </t>
        </is>
      </c>
    </row>
    <row r="2209" customFormat="1" s="292"/>
    <row r="2210" customFormat="1" s="284"/>
    <row r="2211" customFormat="1" s="125">
      <c r="A2211" s="377" t="inlineStr">
        <is>
          <t>Emission factors for drainage</t>
        </is>
      </c>
      <c r="D2211" s="1075" t="n"/>
      <c r="E2211" s="1075" t="n"/>
      <c r="F2211" s="1075" t="n"/>
      <c r="G2211" s="1075" t="n"/>
      <c r="H2211" s="1075" t="n"/>
      <c r="I2211" s="1075" t="n"/>
    </row>
    <row r="2212" ht="16.25" customFormat="1" customHeight="1" s="773">
      <c r="A2212" s="753" t="inlineStr">
        <is>
          <t>all type of soils</t>
        </is>
      </c>
      <c r="B2212" s="442" t="inlineStr">
        <is>
          <t>Table 4.13 IPCC 2014</t>
        </is>
      </c>
      <c r="C2212" s="442" t="inlineStr">
        <is>
          <t>Table 4.13 IPCC 2014</t>
        </is>
      </c>
      <c r="D2212" s="442" t="inlineStr">
        <is>
          <t>Table 4.13 IPCC 2014</t>
        </is>
      </c>
      <c r="E2212" s="442" t="n"/>
      <c r="F2212" s="442" t="n"/>
      <c r="G2212" s="442" t="n"/>
      <c r="H2212" s="442" t="n"/>
      <c r="I2212" s="442" t="n"/>
      <c r="J2212" s="442" t="n"/>
      <c r="K2212" s="442" t="n"/>
      <c r="L2212" s="442" t="n"/>
      <c r="M2212" s="442" t="n"/>
      <c r="N2212" s="442" t="n"/>
      <c r="O2212" s="442" t="n"/>
      <c r="P2212" s="532" t="n"/>
      <c r="Q2212" s="442" t="n"/>
      <c r="R2212" s="442" t="n"/>
      <c r="S2212" s="442" t="n"/>
      <c r="T2212" s="442" t="n"/>
      <c r="U2212" s="442" t="n"/>
      <c r="V2212" s="442" t="n"/>
      <c r="W2212" s="442" t="n"/>
    </row>
    <row r="2213" ht="16" customFormat="1" customHeight="1" s="291">
      <c r="A2213" s="293" t="inlineStr">
        <is>
          <t>IPCC Climate Region</t>
        </is>
      </c>
      <c r="B2213" s="31" t="inlineStr">
        <is>
          <t>Tidal marsh</t>
        </is>
      </c>
      <c r="C2213" s="31" t="inlineStr">
        <is>
          <t>Seagrass</t>
        </is>
      </c>
      <c r="D2213" s="31" t="inlineStr">
        <is>
          <t>Mangrove</t>
        </is>
      </c>
      <c r="E2213" s="419" t="n"/>
      <c r="F2213" s="419" t="n"/>
      <c r="G2213" s="419" t="n"/>
      <c r="H2213" s="453" t="n"/>
      <c r="I2213" s="453" t="n"/>
      <c r="J2213" s="453" t="n"/>
      <c r="K2213" s="453" t="n"/>
      <c r="L2213" s="453" t="n"/>
      <c r="M2213" s="453" t="n"/>
      <c r="N2213" s="453" t="n"/>
      <c r="O2213" s="453" t="n"/>
      <c r="P2213" s="1616" t="n"/>
      <c r="Q2213" s="453" t="n"/>
      <c r="R2213" s="453" t="n"/>
      <c r="S2213" s="453" t="n"/>
      <c r="T2213" s="453" t="n"/>
      <c r="U2213" s="453" t="n"/>
      <c r="V2213" s="453" t="n"/>
      <c r="W2213" s="453" t="n"/>
      <c r="X2213" s="21" t="n"/>
      <c r="Y2213" s="21" t="n"/>
    </row>
    <row r="2214" ht="16" customFormat="1" customHeight="1" s="1093">
      <c r="A2214" s="1090" t="inlineStr">
        <is>
          <t>Please select</t>
        </is>
      </c>
      <c r="B2214" s="31" t="inlineStr">
        <is>
          <t>tC/ha/yr</t>
        </is>
      </c>
      <c r="C2214" s="31" t="inlineStr">
        <is>
          <t>tC/ha/yr</t>
        </is>
      </c>
      <c r="D2214" s="31" t="inlineStr">
        <is>
          <t>tC/ha/yr</t>
        </is>
      </c>
      <c r="E2214" s="1092" t="n"/>
      <c r="F2214" s="1092" t="n"/>
      <c r="G2214" s="1092" t="n"/>
      <c r="H2214" s="1092" t="n"/>
      <c r="I2214" s="1092" t="n"/>
      <c r="J2214" s="1092" t="n"/>
      <c r="K2214" s="1092" t="n"/>
      <c r="L2214" s="1092" t="n"/>
      <c r="M2214" s="1092" t="n"/>
      <c r="N2214" s="1092" t="n"/>
      <c r="O2214" s="1092" t="n"/>
      <c r="P2214" s="1092" t="n"/>
      <c r="Q2214" s="1092" t="n"/>
      <c r="R2214" s="1092" t="n"/>
      <c r="S2214" s="1092" t="n"/>
      <c r="T2214" s="1092" t="n"/>
      <c r="U2214" s="1092" t="n"/>
      <c r="V2214" s="1092" t="n"/>
      <c r="W2214" s="1092" t="n"/>
    </row>
    <row r="2215" customFormat="1" s="21">
      <c r="A2215" s="20" t="inlineStr">
        <is>
          <t>Boreal Dry</t>
        </is>
      </c>
      <c r="B2215" s="470" t="n">
        <v>7.9</v>
      </c>
      <c r="C2215" s="470" t="n">
        <v>7.9</v>
      </c>
      <c r="D2215" s="470" t="n">
        <v>7.9</v>
      </c>
      <c r="E2215" s="453" t="n"/>
      <c r="F2215" s="453" t="n"/>
      <c r="G2215" s="453" t="n"/>
      <c r="H2215" s="453" t="n"/>
      <c r="I2215" s="453" t="n"/>
      <c r="J2215" s="453" t="n"/>
      <c r="K2215" s="453" t="n"/>
      <c r="L2215" s="453" t="n"/>
      <c r="M2215" s="453" t="n"/>
      <c r="N2215" s="453" t="n"/>
      <c r="O2215" s="453" t="n"/>
      <c r="P2215" s="1617" t="n"/>
      <c r="Q2215" s="453" t="n"/>
      <c r="R2215" s="453" t="n"/>
      <c r="S2215" s="453" t="n"/>
      <c r="T2215" s="453" t="n"/>
      <c r="U2215" s="453" t="n"/>
      <c r="V2215" s="453" t="n"/>
      <c r="W2215" s="453" t="n"/>
    </row>
    <row r="2216" customFormat="1" s="21">
      <c r="A2216" s="20" t="inlineStr">
        <is>
          <t>Boreal Moist</t>
        </is>
      </c>
      <c r="B2216" s="467" t="n">
        <v>7.9</v>
      </c>
      <c r="C2216" s="467" t="n">
        <v>7.9</v>
      </c>
      <c r="D2216" s="467" t="n">
        <v>7.9</v>
      </c>
      <c r="E2216" s="453" t="n"/>
      <c r="F2216" s="453" t="n"/>
      <c r="G2216" s="453" t="n"/>
      <c r="H2216" s="453" t="n"/>
      <c r="I2216" s="453" t="n"/>
      <c r="J2216" s="453" t="n"/>
      <c r="K2216" s="453" t="n"/>
      <c r="L2216" s="453" t="n"/>
      <c r="M2216" s="453" t="n"/>
      <c r="N2216" s="453" t="n"/>
      <c r="O2216" s="453" t="n"/>
      <c r="P2216" s="1617" t="n"/>
      <c r="Q2216" s="453" t="n"/>
      <c r="R2216" s="453" t="n"/>
      <c r="S2216" s="453" t="n"/>
      <c r="T2216" s="453" t="n"/>
      <c r="U2216" s="453" t="n"/>
      <c r="V2216" s="453" t="n"/>
      <c r="W2216" s="453" t="n"/>
    </row>
    <row r="2217" customFormat="1" s="21">
      <c r="A2217" s="20" t="inlineStr">
        <is>
          <t>Cool Temperate Dry</t>
        </is>
      </c>
      <c r="B2217" s="467" t="n">
        <v>7.9</v>
      </c>
      <c r="C2217" s="467" t="n">
        <v>7.9</v>
      </c>
      <c r="D2217" s="467" t="n">
        <v>7.9</v>
      </c>
      <c r="E2217" s="453" t="n"/>
      <c r="F2217" s="453" t="n"/>
      <c r="G2217" s="453" t="n"/>
      <c r="H2217" s="453" t="n"/>
      <c r="I2217" s="453" t="n"/>
      <c r="J2217" s="453" t="n"/>
      <c r="K2217" s="453" t="n"/>
      <c r="L2217" s="453" t="n"/>
      <c r="M2217" s="453" t="n"/>
      <c r="N2217" s="453" t="n"/>
      <c r="O2217" s="453" t="n"/>
      <c r="P2217" s="1617" t="n"/>
      <c r="Q2217" s="453" t="n"/>
      <c r="R2217" s="453" t="n"/>
      <c r="S2217" s="453" t="n"/>
      <c r="T2217" s="453" t="n"/>
      <c r="U2217" s="453" t="n"/>
      <c r="V2217" s="453" t="n"/>
      <c r="W2217" s="453" t="n"/>
    </row>
    <row r="2218" customFormat="1" s="21">
      <c r="A2218" s="20" t="inlineStr">
        <is>
          <t>Cool Temperate Moist</t>
        </is>
      </c>
      <c r="B2218" s="467" t="n">
        <v>7.9</v>
      </c>
      <c r="C2218" s="467" t="n">
        <v>7.9</v>
      </c>
      <c r="D2218" s="467" t="n">
        <v>7.9</v>
      </c>
      <c r="E2218" s="453" t="n"/>
      <c r="F2218" s="453" t="n"/>
      <c r="G2218" s="453" t="n"/>
      <c r="H2218" s="453" t="n"/>
      <c r="I2218" s="453" t="n"/>
      <c r="J2218" s="453" t="n"/>
      <c r="K2218" s="453" t="n"/>
      <c r="L2218" s="453" t="n"/>
      <c r="M2218" s="453" t="n"/>
      <c r="N2218" s="453" t="n"/>
      <c r="O2218" s="453" t="n"/>
      <c r="P2218" s="1617" t="n"/>
      <c r="Q2218" s="453" t="n"/>
      <c r="R2218" s="453" t="n"/>
      <c r="S2218" s="453" t="n"/>
      <c r="T2218" s="453" t="n"/>
      <c r="U2218" s="453" t="n"/>
      <c r="V2218" s="453" t="n"/>
      <c r="W2218" s="453" t="n"/>
    </row>
    <row r="2219" customFormat="1" s="21">
      <c r="A2219" s="20" t="inlineStr">
        <is>
          <t>Warm Temperate Dry</t>
        </is>
      </c>
      <c r="B2219" s="467" t="n">
        <v>7.9</v>
      </c>
      <c r="C2219" s="467" t="n">
        <v>7.9</v>
      </c>
      <c r="D2219" s="467" t="n">
        <v>7.9</v>
      </c>
      <c r="E2219" s="453" t="n"/>
      <c r="F2219" s="453" t="n"/>
      <c r="G2219" s="453" t="n"/>
      <c r="H2219" s="453" t="n"/>
      <c r="I2219" s="453" t="n"/>
      <c r="J2219" s="453" t="n"/>
      <c r="K2219" s="453" t="n"/>
      <c r="L2219" s="453" t="n"/>
      <c r="M2219" s="453" t="n"/>
      <c r="N2219" s="453" t="n"/>
      <c r="O2219" s="453" t="n"/>
      <c r="P2219" s="1617" t="n"/>
      <c r="Q2219" s="453" t="n"/>
      <c r="R2219" s="453" t="n"/>
      <c r="S2219" s="453" t="n"/>
      <c r="T2219" s="453" t="n"/>
      <c r="U2219" s="453" t="n"/>
      <c r="V2219" s="453" t="n"/>
      <c r="W2219" s="453" t="n"/>
    </row>
    <row r="2220" customFormat="1" s="21">
      <c r="A2220" s="20" t="inlineStr">
        <is>
          <t>Warm Temperate Moist</t>
        </is>
      </c>
      <c r="B2220" s="467" t="n">
        <v>7.9</v>
      </c>
      <c r="C2220" s="467" t="n">
        <v>7.9</v>
      </c>
      <c r="D2220" s="467" t="n">
        <v>7.9</v>
      </c>
      <c r="E2220" s="453" t="n"/>
      <c r="F2220" s="453" t="n"/>
      <c r="G2220" s="453" t="n"/>
      <c r="H2220" s="453" t="n"/>
      <c r="I2220" s="453" t="n"/>
      <c r="J2220" s="453" t="n"/>
      <c r="K2220" s="453" t="n"/>
      <c r="L2220" s="453" t="n"/>
      <c r="M2220" s="453" t="n"/>
      <c r="N2220" s="453" t="n"/>
      <c r="O2220" s="453" t="n"/>
      <c r="P2220" s="1617" t="n"/>
      <c r="Q2220" s="453" t="n"/>
      <c r="R2220" s="453" t="n"/>
      <c r="S2220" s="453" t="n"/>
      <c r="T2220" s="453" t="n"/>
      <c r="U2220" s="453" t="n"/>
      <c r="V2220" s="453" t="n"/>
      <c r="W2220" s="453" t="n"/>
    </row>
    <row r="2221" customFormat="1" s="21">
      <c r="A2221" s="20" t="inlineStr">
        <is>
          <t>Tropical Dry</t>
        </is>
      </c>
      <c r="B2221" s="467" t="n">
        <v>7.9</v>
      </c>
      <c r="C2221" s="467" t="n">
        <v>7.9</v>
      </c>
      <c r="D2221" s="467" t="n">
        <v>7.9</v>
      </c>
      <c r="E2221" s="453" t="n"/>
      <c r="F2221" s="453" t="n"/>
      <c r="G2221" s="453" t="n"/>
      <c r="H2221" s="453" t="n"/>
      <c r="I2221" s="453" t="n"/>
      <c r="J2221" s="453" t="n"/>
      <c r="K2221" s="453" t="n"/>
      <c r="L2221" s="453" t="n"/>
      <c r="M2221" s="453" t="n"/>
      <c r="N2221" s="453" t="n"/>
      <c r="O2221" s="453" t="n"/>
      <c r="P2221" s="1617" t="n"/>
      <c r="Q2221" s="453" t="n"/>
      <c r="R2221" s="453" t="n"/>
      <c r="S2221" s="453" t="n"/>
      <c r="T2221" s="453" t="n"/>
      <c r="U2221" s="453" t="n"/>
      <c r="V2221" s="453" t="n"/>
      <c r="W2221" s="453" t="n"/>
    </row>
    <row r="2222" customFormat="1" s="21">
      <c r="A2222" s="20" t="inlineStr">
        <is>
          <t>Tropical Moist</t>
        </is>
      </c>
      <c r="B2222" s="467" t="n">
        <v>7.9</v>
      </c>
      <c r="C2222" s="467" t="n">
        <v>7.9</v>
      </c>
      <c r="D2222" s="467" t="n">
        <v>7.9</v>
      </c>
      <c r="E2222" s="453" t="n"/>
      <c r="F2222" s="453" t="n"/>
      <c r="G2222" s="453" t="n"/>
      <c r="H2222" s="453" t="n"/>
      <c r="I2222" s="453" t="n"/>
      <c r="J2222" s="453" t="n"/>
      <c r="K2222" s="453" t="n"/>
      <c r="L2222" s="453" t="n"/>
      <c r="M2222" s="453" t="n"/>
      <c r="N2222" s="453" t="n"/>
      <c r="O2222" s="453" t="n"/>
      <c r="P2222" s="1617" t="n"/>
      <c r="Q2222" s="453" t="n"/>
      <c r="R2222" s="453" t="n"/>
      <c r="S2222" s="453" t="n"/>
      <c r="T2222" s="453" t="n"/>
      <c r="U2222" s="453" t="n"/>
      <c r="V2222" s="453" t="n"/>
      <c r="W2222" s="453" t="n"/>
    </row>
    <row r="2223" customFormat="1" s="21">
      <c r="A2223" s="20" t="inlineStr">
        <is>
          <t>Tropical Wet</t>
        </is>
      </c>
      <c r="B2223" s="467" t="n">
        <v>7.9</v>
      </c>
      <c r="C2223" s="467" t="n">
        <v>7.9</v>
      </c>
      <c r="D2223" s="467" t="n">
        <v>7.9</v>
      </c>
      <c r="E2223" s="453" t="n"/>
      <c r="F2223" s="453" t="n"/>
      <c r="G2223" s="453" t="n"/>
      <c r="H2223" s="453" t="n"/>
      <c r="I2223" s="453" t="n"/>
      <c r="J2223" s="453" t="n"/>
      <c r="K2223" s="453" t="n"/>
      <c r="L2223" s="453" t="n"/>
      <c r="M2223" s="453" t="n"/>
      <c r="N2223" s="453" t="n"/>
      <c r="O2223" s="453" t="n"/>
      <c r="P2223" s="1617" t="n"/>
      <c r="Q2223" s="453" t="n"/>
      <c r="R2223" s="453" t="n"/>
      <c r="S2223" s="453" t="n"/>
      <c r="T2223" s="453" t="n"/>
      <c r="U2223" s="453" t="n"/>
      <c r="V2223" s="453" t="n"/>
      <c r="W2223" s="453" t="n"/>
    </row>
    <row r="2224" customFormat="1" s="292">
      <c r="A2224" s="37" t="inlineStr">
        <is>
          <t>Tropical Montane</t>
        </is>
      </c>
      <c r="B2224" s="654" t="n">
        <v>7.9</v>
      </c>
      <c r="C2224" s="654" t="n">
        <v>7.9</v>
      </c>
      <c r="D2224" s="654" t="n">
        <v>7.9</v>
      </c>
      <c r="E2224" s="421" t="n"/>
      <c r="F2224" s="421" t="n"/>
      <c r="G2224" s="421" t="n"/>
      <c r="H2224" s="1074" t="n"/>
      <c r="I2224" s="1074" t="n"/>
      <c r="J2224" s="1074" t="n"/>
      <c r="K2224" s="1074" t="n"/>
      <c r="L2224" s="1074" t="n"/>
      <c r="M2224" s="1074" t="n"/>
      <c r="N2224" s="1074" t="n"/>
      <c r="O2224" s="1074" t="n"/>
      <c r="P2224" s="1618" t="n"/>
      <c r="Q2224" s="1074" t="n"/>
      <c r="R2224" s="1074" t="n"/>
      <c r="S2224" s="1074" t="n"/>
      <c r="T2224" s="1074" t="n"/>
      <c r="U2224" s="1074" t="n"/>
      <c r="V2224" s="1074" t="n"/>
      <c r="W2224" s="1074" t="n"/>
    </row>
    <row r="2225" customFormat="1" s="292">
      <c r="A2225" s="1073" t="inlineStr">
        <is>
          <t xml:space="preserve">Notes </t>
        </is>
      </c>
    </row>
    <row r="2226" customFormat="1" s="292"/>
    <row r="2228" customFormat="1" s="125">
      <c r="A2228" s="377" t="inlineStr">
        <is>
          <t>Emission factors for carbon associated to rewetting</t>
        </is>
      </c>
      <c r="D2228" s="1075" t="n"/>
      <c r="E2228" s="1075" t="n"/>
      <c r="F2228" s="1075" t="n"/>
      <c r="G2228" s="1075" t="n"/>
      <c r="H2228" s="1075" t="n"/>
      <c r="I2228" s="1075" t="n"/>
    </row>
    <row r="2229" ht="16.25" customFormat="1" customHeight="1" s="773">
      <c r="A2229" s="753" t="inlineStr">
        <is>
          <t>all type of soils</t>
        </is>
      </c>
      <c r="B2229" s="442" t="inlineStr">
        <is>
          <t>Table 4.12 IPCC 2014</t>
        </is>
      </c>
      <c r="C2229" s="442" t="inlineStr">
        <is>
          <t>Table 4.12 IPCC 2014</t>
        </is>
      </c>
      <c r="D2229" s="442" t="inlineStr">
        <is>
          <t>Table 4.12 IPCC 2014</t>
        </is>
      </c>
      <c r="E2229" s="442" t="n"/>
      <c r="F2229" s="442" t="n"/>
      <c r="G2229" s="442" t="n"/>
      <c r="H2229" s="442" t="n"/>
      <c r="I2229" s="442" t="n"/>
      <c r="J2229" s="442" t="n"/>
      <c r="K2229" s="442" t="n"/>
      <c r="L2229" s="442" t="n"/>
      <c r="M2229" s="442" t="n"/>
      <c r="N2229" s="442" t="n"/>
      <c r="O2229" s="442" t="n"/>
      <c r="P2229" s="532" t="n"/>
      <c r="Q2229" s="442" t="n"/>
      <c r="R2229" s="442" t="n"/>
      <c r="S2229" s="442" t="n"/>
      <c r="T2229" s="442" t="n"/>
      <c r="U2229" s="442" t="n"/>
      <c r="V2229" s="442" t="n"/>
      <c r="W2229" s="442" t="n"/>
    </row>
    <row r="2230" ht="16" customFormat="1" customHeight="1" s="291">
      <c r="A2230" s="293" t="inlineStr">
        <is>
          <t>IPCC Climate Region</t>
        </is>
      </c>
      <c r="B2230" s="31" t="inlineStr">
        <is>
          <t>Tidal marsh</t>
        </is>
      </c>
      <c r="C2230" s="31" t="inlineStr">
        <is>
          <t>Seagrass</t>
        </is>
      </c>
      <c r="D2230" s="31" t="inlineStr">
        <is>
          <t>Mangrove</t>
        </is>
      </c>
      <c r="E2230" s="419" t="n"/>
      <c r="F2230" s="419" t="n"/>
      <c r="G2230" s="419" t="n"/>
      <c r="H2230" s="453" t="n"/>
      <c r="I2230" s="453" t="n"/>
      <c r="J2230" s="453" t="n"/>
      <c r="K2230" s="453" t="n"/>
      <c r="L2230" s="453" t="n"/>
      <c r="M2230" s="453" t="n"/>
      <c r="N2230" s="453" t="n"/>
      <c r="O2230" s="453" t="n"/>
      <c r="P2230" s="1616" t="n"/>
      <c r="Q2230" s="453" t="n"/>
      <c r="R2230" s="453" t="n"/>
      <c r="S2230" s="453" t="n"/>
      <c r="T2230" s="453" t="n"/>
      <c r="U2230" s="453" t="n"/>
      <c r="V2230" s="453" t="n"/>
      <c r="W2230" s="453" t="n"/>
      <c r="X2230" s="21" t="n"/>
      <c r="Y2230" s="21" t="n"/>
    </row>
    <row r="2231" ht="16" customFormat="1" customHeight="1" s="1093">
      <c r="A2231" s="1090" t="inlineStr">
        <is>
          <t>Please select</t>
        </is>
      </c>
      <c r="B2231" s="31" t="inlineStr">
        <is>
          <t>tC/ha/yr</t>
        </is>
      </c>
      <c r="C2231" s="31" t="inlineStr">
        <is>
          <t>tC/ha/yr</t>
        </is>
      </c>
      <c r="D2231" s="31" t="inlineStr">
        <is>
          <t>tC/ha/yr</t>
        </is>
      </c>
      <c r="E2231" s="1092" t="n"/>
      <c r="F2231" s="1092" t="n"/>
      <c r="G2231" s="1092" t="n"/>
      <c r="H2231" s="1092" t="n"/>
      <c r="I2231" s="1092" t="n"/>
      <c r="J2231" s="1092" t="n"/>
      <c r="K2231" s="1092" t="n"/>
      <c r="L2231" s="1092" t="n"/>
      <c r="M2231" s="1092" t="n"/>
      <c r="N2231" s="1092" t="n"/>
      <c r="O2231" s="1092" t="n"/>
      <c r="P2231" s="1092" t="n"/>
      <c r="Q2231" s="1092" t="n"/>
      <c r="R2231" s="1092" t="n"/>
      <c r="S2231" s="1092" t="n"/>
      <c r="T2231" s="1092" t="n"/>
      <c r="U2231" s="1092" t="n"/>
      <c r="V2231" s="1092" t="n"/>
      <c r="W2231" s="1092" t="n"/>
    </row>
    <row r="2232" customFormat="1" s="21">
      <c r="A2232" s="20" t="inlineStr">
        <is>
          <t>Boreal Dry</t>
        </is>
      </c>
      <c r="B2232" s="470" t="n">
        <v>-0.91</v>
      </c>
      <c r="C2232" s="470" t="n">
        <v>-0.43</v>
      </c>
      <c r="D2232" s="470" t="n">
        <v>0</v>
      </c>
      <c r="E2232" s="453" t="n"/>
      <c r="F2232" s="453" t="n"/>
      <c r="G2232" s="453" t="n"/>
      <c r="H2232" s="453" t="n"/>
      <c r="I2232" s="453" t="n"/>
      <c r="J2232" s="453" t="n"/>
      <c r="K2232" s="453" t="n"/>
      <c r="L2232" s="453" t="n"/>
      <c r="M2232" s="453" t="n"/>
      <c r="N2232" s="453" t="n"/>
      <c r="O2232" s="453" t="n"/>
      <c r="P2232" s="1617" t="n"/>
      <c r="Q2232" s="453" t="n"/>
      <c r="R2232" s="453" t="n"/>
      <c r="S2232" s="453" t="n"/>
      <c r="T2232" s="453" t="n"/>
      <c r="U2232" s="453" t="n"/>
      <c r="V2232" s="453" t="n"/>
      <c r="W2232" s="453" t="n"/>
    </row>
    <row r="2233" customFormat="1" s="21">
      <c r="A2233" s="20" t="inlineStr">
        <is>
          <t>Boreal Moist</t>
        </is>
      </c>
      <c r="B2233" s="467" t="n">
        <v>-0.91</v>
      </c>
      <c r="C2233" s="467" t="n">
        <v>-0.43</v>
      </c>
      <c r="D2233" s="467" t="n">
        <v>0</v>
      </c>
      <c r="E2233" s="453" t="n"/>
      <c r="F2233" s="453" t="n"/>
      <c r="G2233" s="453" t="n"/>
      <c r="H2233" s="453" t="n"/>
      <c r="I2233" s="453" t="n"/>
      <c r="J2233" s="453" t="n"/>
      <c r="K2233" s="453" t="n"/>
      <c r="L2233" s="453" t="n"/>
      <c r="M2233" s="453" t="n"/>
      <c r="N2233" s="453" t="n"/>
      <c r="O2233" s="453" t="n"/>
      <c r="P2233" s="1617" t="n"/>
      <c r="Q2233" s="453" t="n"/>
      <c r="R2233" s="453" t="n"/>
      <c r="S2233" s="453" t="n"/>
      <c r="T2233" s="453" t="n"/>
      <c r="U2233" s="453" t="n"/>
      <c r="V2233" s="453" t="n"/>
      <c r="W2233" s="453" t="n"/>
    </row>
    <row r="2234" customFormat="1" s="21">
      <c r="A2234" s="20" t="inlineStr">
        <is>
          <t>Cool Temperate Dry</t>
        </is>
      </c>
      <c r="B2234" s="467" t="n">
        <v>-0.91</v>
      </c>
      <c r="C2234" s="467" t="n">
        <v>-0.43</v>
      </c>
      <c r="D2234" s="467" t="n">
        <v>0</v>
      </c>
      <c r="E2234" s="453" t="n"/>
      <c r="F2234" s="453" t="n"/>
      <c r="G2234" s="453" t="n"/>
      <c r="H2234" s="453" t="n"/>
      <c r="I2234" s="453" t="n"/>
      <c r="J2234" s="453" t="n"/>
      <c r="K2234" s="453" t="n"/>
      <c r="L2234" s="453" t="n"/>
      <c r="M2234" s="453" t="n"/>
      <c r="N2234" s="453" t="n"/>
      <c r="O2234" s="453" t="n"/>
      <c r="P2234" s="1617" t="n"/>
      <c r="Q2234" s="453" t="n"/>
      <c r="R2234" s="453" t="n"/>
      <c r="S2234" s="453" t="n"/>
      <c r="T2234" s="453" t="n"/>
      <c r="U2234" s="453" t="n"/>
      <c r="V2234" s="453" t="n"/>
      <c r="W2234" s="453" t="n"/>
    </row>
    <row r="2235" customFormat="1" s="21">
      <c r="A2235" s="20" t="inlineStr">
        <is>
          <t>Cool Temperate Moist</t>
        </is>
      </c>
      <c r="B2235" s="467" t="n">
        <v>-0.91</v>
      </c>
      <c r="C2235" s="467" t="n">
        <v>-0.43</v>
      </c>
      <c r="D2235" s="467" t="n">
        <v>0</v>
      </c>
      <c r="E2235" s="453" t="n"/>
      <c r="F2235" s="453" t="n"/>
      <c r="G2235" s="453" t="n"/>
      <c r="H2235" s="453" t="n"/>
      <c r="I2235" s="453" t="n"/>
      <c r="J2235" s="453" t="n"/>
      <c r="K2235" s="453" t="n"/>
      <c r="L2235" s="453" t="n"/>
      <c r="M2235" s="453" t="n"/>
      <c r="N2235" s="453" t="n"/>
      <c r="O2235" s="453" t="n"/>
      <c r="P2235" s="1617" t="n"/>
      <c r="Q2235" s="453" t="n"/>
      <c r="R2235" s="453" t="n"/>
      <c r="S2235" s="453" t="n"/>
      <c r="T2235" s="453" t="n"/>
      <c r="U2235" s="453" t="n"/>
      <c r="V2235" s="453" t="n"/>
      <c r="W2235" s="453" t="n"/>
    </row>
    <row r="2236" customFormat="1" s="21">
      <c r="A2236" s="20" t="inlineStr">
        <is>
          <t>Warm Temperate Dry</t>
        </is>
      </c>
      <c r="B2236" s="467" t="n">
        <v>-0.91</v>
      </c>
      <c r="C2236" s="467" t="n">
        <v>-0.43</v>
      </c>
      <c r="D2236" s="467" t="n">
        <v>-1.62</v>
      </c>
      <c r="E2236" s="453" t="n"/>
      <c r="F2236" s="453" t="n"/>
      <c r="G2236" s="453" t="n"/>
      <c r="H2236" s="453" t="n"/>
      <c r="I2236" s="453" t="n"/>
      <c r="J2236" s="453" t="n"/>
      <c r="K2236" s="453" t="n"/>
      <c r="L2236" s="453" t="n"/>
      <c r="M2236" s="453" t="n"/>
      <c r="N2236" s="453" t="n"/>
      <c r="O2236" s="453" t="n"/>
      <c r="P2236" s="1617" t="n"/>
      <c r="Q2236" s="453" t="n"/>
      <c r="R2236" s="453" t="n"/>
      <c r="S2236" s="453" t="n"/>
      <c r="T2236" s="453" t="n"/>
      <c r="U2236" s="453" t="n"/>
      <c r="V2236" s="453" t="n"/>
      <c r="W2236" s="453" t="n"/>
    </row>
    <row r="2237" customFormat="1" s="21">
      <c r="A2237" s="20" t="inlineStr">
        <is>
          <t>Warm Temperate Moist</t>
        </is>
      </c>
      <c r="B2237" s="467" t="n">
        <v>-0.91</v>
      </c>
      <c r="C2237" s="467" t="n">
        <v>-0.43</v>
      </c>
      <c r="D2237" s="467" t="n">
        <v>-1.62</v>
      </c>
      <c r="E2237" s="453" t="n"/>
      <c r="F2237" s="453" t="n"/>
      <c r="G2237" s="453" t="n"/>
      <c r="H2237" s="453" t="n"/>
      <c r="I2237" s="453" t="n"/>
      <c r="J2237" s="453" t="n"/>
      <c r="K2237" s="453" t="n"/>
      <c r="L2237" s="453" t="n"/>
      <c r="M2237" s="453" t="n"/>
      <c r="N2237" s="453" t="n"/>
      <c r="O2237" s="453" t="n"/>
      <c r="P2237" s="1617" t="n"/>
      <c r="Q2237" s="453" t="n"/>
      <c r="R2237" s="453" t="n"/>
      <c r="S2237" s="453" t="n"/>
      <c r="T2237" s="453" t="n"/>
      <c r="U2237" s="453" t="n"/>
      <c r="V2237" s="453" t="n"/>
      <c r="W2237" s="453" t="n"/>
    </row>
    <row r="2238" customFormat="1" s="21">
      <c r="A2238" s="20" t="inlineStr">
        <is>
          <t>Tropical Dry</t>
        </is>
      </c>
      <c r="B2238" s="467" t="n">
        <v>-0.91</v>
      </c>
      <c r="C2238" s="467" t="n">
        <v>-0.43</v>
      </c>
      <c r="D2238" s="467" t="n">
        <v>-1.62</v>
      </c>
      <c r="E2238" s="453" t="n"/>
      <c r="F2238" s="453" t="n"/>
      <c r="G2238" s="453" t="n"/>
      <c r="H2238" s="453" t="n"/>
      <c r="I2238" s="453" t="n"/>
      <c r="J2238" s="453" t="n"/>
      <c r="K2238" s="453" t="n"/>
      <c r="L2238" s="453" t="n"/>
      <c r="M2238" s="453" t="n"/>
      <c r="N2238" s="453" t="n"/>
      <c r="O2238" s="453" t="n"/>
      <c r="P2238" s="1617" t="n"/>
      <c r="Q2238" s="453" t="n"/>
      <c r="R2238" s="453" t="n"/>
      <c r="S2238" s="453" t="n"/>
      <c r="T2238" s="453" t="n"/>
      <c r="U2238" s="453" t="n"/>
      <c r="V2238" s="453" t="n"/>
      <c r="W2238" s="453" t="n"/>
    </row>
    <row r="2239" customFormat="1" s="21">
      <c r="A2239" s="20" t="inlineStr">
        <is>
          <t>Tropical Moist</t>
        </is>
      </c>
      <c r="B2239" s="467" t="n">
        <v>-0.91</v>
      </c>
      <c r="C2239" s="467" t="n">
        <v>-0.43</v>
      </c>
      <c r="D2239" s="467" t="n">
        <v>-1.62</v>
      </c>
      <c r="E2239" s="453" t="n"/>
      <c r="F2239" s="453" t="n"/>
      <c r="G2239" s="453" t="n"/>
      <c r="H2239" s="453" t="n"/>
      <c r="I2239" s="453" t="n"/>
      <c r="J2239" s="453" t="n"/>
      <c r="K2239" s="453" t="n"/>
      <c r="L2239" s="453" t="n"/>
      <c r="M2239" s="453" t="n"/>
      <c r="N2239" s="453" t="n"/>
      <c r="O2239" s="453" t="n"/>
      <c r="P2239" s="1617" t="n"/>
      <c r="Q2239" s="453" t="n"/>
      <c r="R2239" s="453" t="n"/>
      <c r="S2239" s="453" t="n"/>
      <c r="T2239" s="453" t="n"/>
      <c r="U2239" s="453" t="n"/>
      <c r="V2239" s="453" t="n"/>
      <c r="W2239" s="453" t="n"/>
    </row>
    <row r="2240" customFormat="1" s="21">
      <c r="A2240" s="20" t="inlineStr">
        <is>
          <t>Tropical Wet</t>
        </is>
      </c>
      <c r="B2240" s="467" t="n">
        <v>-0.91</v>
      </c>
      <c r="C2240" s="467" t="n">
        <v>-0.43</v>
      </c>
      <c r="D2240" s="467" t="n">
        <v>-1.62</v>
      </c>
      <c r="E2240" s="453" t="n"/>
      <c r="F2240" s="453" t="n"/>
      <c r="G2240" s="453" t="n"/>
      <c r="H2240" s="453" t="n"/>
      <c r="I2240" s="453" t="n"/>
      <c r="J2240" s="453" t="n"/>
      <c r="K2240" s="453" t="n"/>
      <c r="L2240" s="453" t="n"/>
      <c r="M2240" s="453" t="n"/>
      <c r="N2240" s="453" t="n"/>
      <c r="O2240" s="453" t="n"/>
      <c r="P2240" s="1617" t="n"/>
      <c r="Q2240" s="453" t="n"/>
      <c r="R2240" s="453" t="n"/>
      <c r="S2240" s="453" t="n"/>
      <c r="T2240" s="453" t="n"/>
      <c r="U2240" s="453" t="n"/>
      <c r="V2240" s="453" t="n"/>
      <c r="W2240" s="453" t="n"/>
    </row>
    <row r="2241" customFormat="1" s="292">
      <c r="A2241" s="37" t="inlineStr">
        <is>
          <t>Tropical Montane</t>
        </is>
      </c>
      <c r="B2241" s="654" t="n">
        <v>-0.91</v>
      </c>
      <c r="C2241" s="654" t="n">
        <v>-0.43</v>
      </c>
      <c r="D2241" s="654" t="n">
        <v>-1.62</v>
      </c>
      <c r="E2241" s="421" t="n"/>
      <c r="F2241" s="421" t="n"/>
      <c r="G2241" s="421" t="n"/>
      <c r="H2241" s="1074" t="n"/>
      <c r="I2241" s="1074" t="n"/>
      <c r="J2241" s="1074" t="n"/>
      <c r="K2241" s="1074" t="n"/>
      <c r="L2241" s="1074" t="n"/>
      <c r="M2241" s="1074" t="n"/>
      <c r="N2241" s="1074" t="n"/>
      <c r="O2241" s="1074" t="n"/>
      <c r="P2241" s="1618" t="n"/>
      <c r="Q2241" s="1074" t="n"/>
      <c r="R2241" s="1074" t="n"/>
      <c r="S2241" s="1074" t="n"/>
      <c r="T2241" s="1074" t="n"/>
      <c r="U2241" s="1074" t="n"/>
      <c r="V2241" s="1074" t="n"/>
      <c r="W2241" s="1074" t="n"/>
    </row>
    <row r="2242" customFormat="1" s="292">
      <c r="A2242" s="1073" t="inlineStr">
        <is>
          <t xml:space="preserve">Notes </t>
        </is>
      </c>
    </row>
    <row r="2243" customFormat="1" s="292"/>
    <row r="2244" customFormat="1" s="284"/>
    <row r="2245" customFormat="1" s="125">
      <c r="A2245" s="377" t="inlineStr">
        <is>
          <t>Emission factors for methane associated to rewetting</t>
        </is>
      </c>
      <c r="D2245" s="1075" t="n"/>
      <c r="E2245" s="1075" t="n"/>
      <c r="F2245" s="1075" t="n"/>
      <c r="G2245" s="1075" t="n"/>
      <c r="H2245" s="1075" t="n"/>
      <c r="I2245" s="1075" t="n"/>
    </row>
    <row r="2246" ht="16.25" customFormat="1" customHeight="1" s="773">
      <c r="A2246" s="753" t="inlineStr">
        <is>
          <t>For salinity &lt;18</t>
        </is>
      </c>
      <c r="B2246" s="442" t="inlineStr">
        <is>
          <t>Table 4.14 IPCC 2014</t>
        </is>
      </c>
      <c r="C2246" s="442" t="inlineStr">
        <is>
          <t>Table 4.14 IPCC 2014</t>
        </is>
      </c>
      <c r="D2246" s="442" t="inlineStr">
        <is>
          <t>Table 4.14 IPCC 2014</t>
        </is>
      </c>
      <c r="E2246" s="442" t="n"/>
      <c r="F2246" s="442" t="n"/>
      <c r="G2246" s="442" t="n"/>
      <c r="H2246" s="442" t="n"/>
      <c r="I2246" s="442" t="n"/>
      <c r="J2246" s="442" t="n"/>
      <c r="K2246" s="442" t="n"/>
      <c r="L2246" s="442" t="n"/>
      <c r="M2246" s="442" t="n"/>
      <c r="N2246" s="442" t="n"/>
      <c r="O2246" s="442" t="n"/>
      <c r="P2246" s="532" t="n"/>
      <c r="Q2246" s="442" t="n"/>
      <c r="R2246" s="442" t="n"/>
      <c r="S2246" s="442" t="n"/>
      <c r="T2246" s="442" t="n"/>
      <c r="U2246" s="442" t="n"/>
      <c r="V2246" s="442" t="n"/>
      <c r="W2246" s="442" t="n"/>
    </row>
    <row r="2247" ht="16" customFormat="1" customHeight="1" s="291">
      <c r="A2247" s="293" t="inlineStr">
        <is>
          <t>IPCC Climate Region</t>
        </is>
      </c>
      <c r="B2247" s="31" t="inlineStr">
        <is>
          <t>Tidal marsh</t>
        </is>
      </c>
      <c r="C2247" s="31" t="inlineStr">
        <is>
          <t>Seagrass</t>
        </is>
      </c>
      <c r="D2247" s="31" t="inlineStr">
        <is>
          <t>Mangrove</t>
        </is>
      </c>
      <c r="E2247" s="419" t="n"/>
      <c r="F2247" s="419" t="n"/>
      <c r="G2247" s="419" t="n"/>
      <c r="H2247" s="453" t="n"/>
      <c r="I2247" s="453" t="n"/>
      <c r="J2247" s="453" t="n"/>
      <c r="K2247" s="453" t="n"/>
      <c r="L2247" s="453" t="n"/>
      <c r="M2247" s="453" t="n"/>
      <c r="N2247" s="453" t="n"/>
      <c r="O2247" s="453" t="n"/>
      <c r="P2247" s="1616" t="n"/>
      <c r="Q2247" s="453" t="n"/>
      <c r="R2247" s="453" t="n"/>
      <c r="S2247" s="453" t="n"/>
      <c r="T2247" s="453" t="n"/>
      <c r="U2247" s="453" t="n"/>
      <c r="V2247" s="453" t="n"/>
      <c r="W2247" s="453" t="n"/>
      <c r="X2247" s="21" t="n"/>
      <c r="Y2247" s="21" t="n"/>
    </row>
    <row r="2248" ht="16" customFormat="1" customHeight="1" s="1093">
      <c r="A2248" s="1090" t="inlineStr">
        <is>
          <t>Please select</t>
        </is>
      </c>
      <c r="B2248" s="31" t="inlineStr">
        <is>
          <t>kgCH4/ha/yr</t>
        </is>
      </c>
      <c r="C2248" s="31" t="inlineStr">
        <is>
          <t>kgCH4/ha/yr</t>
        </is>
      </c>
      <c r="D2248" s="31" t="inlineStr">
        <is>
          <t>kgCH4/ha/yr</t>
        </is>
      </c>
      <c r="E2248" s="1092" t="n"/>
      <c r="F2248" s="1092" t="n"/>
      <c r="G2248" s="1092" t="n"/>
      <c r="H2248" s="1092" t="n"/>
      <c r="I2248" s="1092" t="n"/>
      <c r="J2248" s="1092" t="n"/>
      <c r="K2248" s="1092" t="n"/>
      <c r="L2248" s="1092" t="n"/>
      <c r="M2248" s="1092" t="n"/>
      <c r="N2248" s="1092" t="n"/>
      <c r="O2248" s="1092" t="n"/>
      <c r="P2248" s="1092" t="n"/>
      <c r="Q2248" s="1092" t="n"/>
      <c r="R2248" s="1092" t="n"/>
      <c r="S2248" s="1092" t="n"/>
      <c r="T2248" s="1092" t="n"/>
      <c r="U2248" s="1092" t="n"/>
      <c r="V2248" s="1092" t="n"/>
      <c r="W2248" s="1092" t="n"/>
    </row>
    <row r="2249" customFormat="1" s="21">
      <c r="A2249" s="20" t="inlineStr">
        <is>
          <t>Boreal Dry</t>
        </is>
      </c>
      <c r="B2249" s="470" t="n">
        <v>193.7</v>
      </c>
      <c r="C2249" s="470" t="n">
        <v>0</v>
      </c>
      <c r="D2249" s="470" t="n">
        <v>0</v>
      </c>
      <c r="E2249" s="453" t="n"/>
      <c r="F2249" s="453" t="n"/>
      <c r="G2249" s="453" t="n"/>
      <c r="H2249" s="453" t="n"/>
      <c r="I2249" s="453" t="n"/>
      <c r="J2249" s="453" t="n"/>
      <c r="K2249" s="453" t="n"/>
      <c r="L2249" s="453" t="n"/>
      <c r="M2249" s="453" t="n"/>
      <c r="N2249" s="453" t="n"/>
      <c r="O2249" s="453" t="n"/>
      <c r="P2249" s="1617" t="n"/>
      <c r="Q2249" s="453" t="n"/>
      <c r="R2249" s="453" t="n"/>
      <c r="S2249" s="453" t="n"/>
      <c r="T2249" s="453" t="n"/>
      <c r="U2249" s="453" t="n"/>
      <c r="V2249" s="453" t="n"/>
      <c r="W2249" s="453" t="n"/>
    </row>
    <row r="2250" customFormat="1" s="21">
      <c r="A2250" s="20" t="inlineStr">
        <is>
          <t>Boreal Moist</t>
        </is>
      </c>
      <c r="B2250" s="467" t="n">
        <v>193.7</v>
      </c>
      <c r="C2250" s="467" t="n">
        <v>0</v>
      </c>
      <c r="D2250" s="467" t="n">
        <v>0</v>
      </c>
      <c r="E2250" s="453" t="n"/>
      <c r="F2250" s="453" t="n"/>
      <c r="G2250" s="453" t="n"/>
      <c r="H2250" s="453" t="n"/>
      <c r="I2250" s="453" t="n"/>
      <c r="J2250" s="453" t="n"/>
      <c r="K2250" s="453" t="n"/>
      <c r="L2250" s="453" t="n"/>
      <c r="M2250" s="453" t="n"/>
      <c r="N2250" s="453" t="n"/>
      <c r="O2250" s="453" t="n"/>
      <c r="P2250" s="1617" t="n"/>
      <c r="Q2250" s="453" t="n"/>
      <c r="R2250" s="453" t="n"/>
      <c r="S2250" s="453" t="n"/>
      <c r="T2250" s="453" t="n"/>
      <c r="U2250" s="453" t="n"/>
      <c r="V2250" s="453" t="n"/>
      <c r="W2250" s="453" t="n"/>
    </row>
    <row r="2251" customFormat="1" s="21">
      <c r="A2251" s="20" t="inlineStr">
        <is>
          <t>Cool Temperate Dry</t>
        </is>
      </c>
      <c r="B2251" s="467" t="n">
        <v>193.7</v>
      </c>
      <c r="C2251" s="467" t="n">
        <v>0</v>
      </c>
      <c r="D2251" s="467" t="n">
        <v>0</v>
      </c>
      <c r="E2251" s="453" t="n"/>
      <c r="F2251" s="453" t="n"/>
      <c r="G2251" s="453" t="n"/>
      <c r="H2251" s="453" t="n"/>
      <c r="I2251" s="453" t="n"/>
      <c r="J2251" s="453" t="n"/>
      <c r="K2251" s="453" t="n"/>
      <c r="L2251" s="453" t="n"/>
      <c r="M2251" s="453" t="n"/>
      <c r="N2251" s="453" t="n"/>
      <c r="O2251" s="453" t="n"/>
      <c r="P2251" s="1617" t="n"/>
      <c r="Q2251" s="453" t="n"/>
      <c r="R2251" s="453" t="n"/>
      <c r="S2251" s="453" t="n"/>
      <c r="T2251" s="453" t="n"/>
      <c r="U2251" s="453" t="n"/>
      <c r="V2251" s="453" t="n"/>
      <c r="W2251" s="453" t="n"/>
    </row>
    <row r="2252" customFormat="1" s="21">
      <c r="A2252" s="20" t="inlineStr">
        <is>
          <t>Cool Temperate Moist</t>
        </is>
      </c>
      <c r="B2252" s="467" t="n">
        <v>193.7</v>
      </c>
      <c r="C2252" s="467" t="n">
        <v>0</v>
      </c>
      <c r="D2252" s="467" t="n">
        <v>0</v>
      </c>
      <c r="E2252" s="453" t="n"/>
      <c r="F2252" s="453" t="n"/>
      <c r="G2252" s="453" t="n"/>
      <c r="H2252" s="453" t="n"/>
      <c r="I2252" s="453" t="n"/>
      <c r="J2252" s="453" t="n"/>
      <c r="K2252" s="453" t="n"/>
      <c r="L2252" s="453" t="n"/>
      <c r="M2252" s="453" t="n"/>
      <c r="N2252" s="453" t="n"/>
      <c r="O2252" s="453" t="n"/>
      <c r="P2252" s="1617" t="n"/>
      <c r="Q2252" s="453" t="n"/>
      <c r="R2252" s="453" t="n"/>
      <c r="S2252" s="453" t="n"/>
      <c r="T2252" s="453" t="n"/>
      <c r="U2252" s="453" t="n"/>
      <c r="V2252" s="453" t="n"/>
      <c r="W2252" s="453" t="n"/>
    </row>
    <row r="2253" customFormat="1" s="21">
      <c r="A2253" s="20" t="inlineStr">
        <is>
          <t>Warm Temperate Dry</t>
        </is>
      </c>
      <c r="B2253" s="467" t="n">
        <v>193.7</v>
      </c>
      <c r="C2253" s="467" t="n">
        <v>0</v>
      </c>
      <c r="D2253" s="467" t="n">
        <v>193.7</v>
      </c>
      <c r="E2253" s="453" t="n"/>
      <c r="F2253" s="453" t="n"/>
      <c r="G2253" s="453" t="n"/>
      <c r="H2253" s="453" t="n"/>
      <c r="I2253" s="453" t="n"/>
      <c r="J2253" s="453" t="n"/>
      <c r="K2253" s="453" t="n"/>
      <c r="L2253" s="453" t="n"/>
      <c r="M2253" s="453" t="n"/>
      <c r="N2253" s="453" t="n"/>
      <c r="O2253" s="453" t="n"/>
      <c r="P2253" s="1617" t="n"/>
      <c r="Q2253" s="453" t="n"/>
      <c r="R2253" s="453" t="n"/>
      <c r="S2253" s="453" t="n"/>
      <c r="T2253" s="453" t="n"/>
      <c r="U2253" s="453" t="n"/>
      <c r="V2253" s="453" t="n"/>
      <c r="W2253" s="453" t="n"/>
    </row>
    <row r="2254" customFormat="1" s="21">
      <c r="A2254" s="20" t="inlineStr">
        <is>
          <t>Warm Temperate Moist</t>
        </is>
      </c>
      <c r="B2254" s="467" t="n">
        <v>193.7</v>
      </c>
      <c r="C2254" s="467" t="n">
        <v>0</v>
      </c>
      <c r="D2254" s="467" t="n">
        <v>193.7</v>
      </c>
      <c r="E2254" s="453" t="n"/>
      <c r="F2254" s="453" t="n"/>
      <c r="G2254" s="453" t="n"/>
      <c r="H2254" s="453" t="n"/>
      <c r="I2254" s="453" t="n"/>
      <c r="J2254" s="453" t="n"/>
      <c r="K2254" s="453" t="n"/>
      <c r="L2254" s="453" t="n"/>
      <c r="M2254" s="453" t="n"/>
      <c r="N2254" s="453" t="n"/>
      <c r="O2254" s="453" t="n"/>
      <c r="P2254" s="1617" t="n"/>
      <c r="Q2254" s="453" t="n"/>
      <c r="R2254" s="453" t="n"/>
      <c r="S2254" s="453" t="n"/>
      <c r="T2254" s="453" t="n"/>
      <c r="U2254" s="453" t="n"/>
      <c r="V2254" s="453" t="n"/>
      <c r="W2254" s="453" t="n"/>
    </row>
    <row r="2255" customFormat="1" s="21">
      <c r="A2255" s="20" t="inlineStr">
        <is>
          <t>Tropical Dry</t>
        </is>
      </c>
      <c r="B2255" s="467" t="n">
        <v>193.7</v>
      </c>
      <c r="C2255" s="467" t="n">
        <v>0</v>
      </c>
      <c r="D2255" s="467" t="n">
        <v>193.7</v>
      </c>
      <c r="E2255" s="453" t="n"/>
      <c r="F2255" s="453" t="n"/>
      <c r="G2255" s="453" t="n"/>
      <c r="H2255" s="453" t="n"/>
      <c r="I2255" s="453" t="n"/>
      <c r="J2255" s="453" t="n"/>
      <c r="K2255" s="453" t="n"/>
      <c r="L2255" s="453" t="n"/>
      <c r="M2255" s="453" t="n"/>
      <c r="N2255" s="453" t="n"/>
      <c r="O2255" s="453" t="n"/>
      <c r="P2255" s="1617" t="n"/>
      <c r="Q2255" s="453" t="n"/>
      <c r="R2255" s="453" t="n"/>
      <c r="S2255" s="453" t="n"/>
      <c r="T2255" s="453" t="n"/>
      <c r="U2255" s="453" t="n"/>
      <c r="V2255" s="453" t="n"/>
      <c r="W2255" s="453" t="n"/>
    </row>
    <row r="2256" customFormat="1" s="21">
      <c r="A2256" s="20" t="inlineStr">
        <is>
          <t>Tropical Moist</t>
        </is>
      </c>
      <c r="B2256" s="467" t="n">
        <v>193.7</v>
      </c>
      <c r="C2256" s="467" t="n">
        <v>0</v>
      </c>
      <c r="D2256" s="467" t="n">
        <v>193.7</v>
      </c>
      <c r="E2256" s="453" t="n"/>
      <c r="F2256" s="453" t="n"/>
      <c r="G2256" s="453" t="n"/>
      <c r="H2256" s="453" t="n"/>
      <c r="I2256" s="453" t="n"/>
      <c r="J2256" s="453" t="n"/>
      <c r="K2256" s="453" t="n"/>
      <c r="L2256" s="453" t="n"/>
      <c r="M2256" s="453" t="n"/>
      <c r="N2256" s="453" t="n"/>
      <c r="O2256" s="453" t="n"/>
      <c r="P2256" s="1617" t="n"/>
      <c r="Q2256" s="453" t="n"/>
      <c r="R2256" s="453" t="n"/>
      <c r="S2256" s="453" t="n"/>
      <c r="T2256" s="453" t="n"/>
      <c r="U2256" s="453" t="n"/>
      <c r="V2256" s="453" t="n"/>
      <c r="W2256" s="453" t="n"/>
    </row>
    <row r="2257" customFormat="1" s="21">
      <c r="A2257" s="20" t="inlineStr">
        <is>
          <t>Tropical Wet</t>
        </is>
      </c>
      <c r="B2257" s="467" t="n">
        <v>193.7</v>
      </c>
      <c r="C2257" s="467" t="n">
        <v>0</v>
      </c>
      <c r="D2257" s="467" t="n">
        <v>193.7</v>
      </c>
      <c r="E2257" s="453" t="n"/>
      <c r="F2257" s="453" t="n"/>
      <c r="G2257" s="453" t="n"/>
      <c r="H2257" s="453" t="n"/>
      <c r="I2257" s="453" t="n"/>
      <c r="J2257" s="453" t="n"/>
      <c r="K2257" s="453" t="n"/>
      <c r="L2257" s="453" t="n"/>
      <c r="M2257" s="453" t="n"/>
      <c r="N2257" s="453" t="n"/>
      <c r="O2257" s="453" t="n"/>
      <c r="P2257" s="1617" t="n"/>
      <c r="Q2257" s="453" t="n"/>
      <c r="R2257" s="453" t="n"/>
      <c r="S2257" s="453" t="n"/>
      <c r="T2257" s="453" t="n"/>
      <c r="U2257" s="453" t="n"/>
      <c r="V2257" s="453" t="n"/>
      <c r="W2257" s="453" t="n"/>
    </row>
    <row r="2258" customFormat="1" s="292">
      <c r="A2258" s="37" t="inlineStr">
        <is>
          <t>Tropical Montane</t>
        </is>
      </c>
      <c r="B2258" s="654" t="n">
        <v>193.7</v>
      </c>
      <c r="C2258" s="654" t="n">
        <v>0</v>
      </c>
      <c r="D2258" s="654" t="n">
        <v>193.7</v>
      </c>
      <c r="E2258" s="421" t="n"/>
      <c r="F2258" s="421" t="n"/>
      <c r="G2258" s="421" t="n"/>
      <c r="H2258" s="1074" t="n"/>
      <c r="I2258" s="1074" t="n"/>
      <c r="J2258" s="1074" t="n"/>
      <c r="K2258" s="1074" t="n"/>
      <c r="L2258" s="1074" t="n"/>
      <c r="M2258" s="1074" t="n"/>
      <c r="N2258" s="1074" t="n"/>
      <c r="O2258" s="1074" t="n"/>
      <c r="P2258" s="1618" t="n"/>
      <c r="Q2258" s="1074" t="n"/>
      <c r="R2258" s="1074" t="n"/>
      <c r="S2258" s="1074" t="n"/>
      <c r="T2258" s="1074" t="n"/>
      <c r="U2258" s="1074" t="n"/>
      <c r="V2258" s="1074" t="n"/>
      <c r="W2258" s="1074" t="n"/>
    </row>
    <row r="2259" customFormat="1" s="292">
      <c r="A2259" s="1073" t="inlineStr">
        <is>
          <t xml:space="preserve">Notes </t>
        </is>
      </c>
    </row>
    <row r="2260" customFormat="1" s="292"/>
    <row r="2262" ht="24" customFormat="1" customHeight="1" s="1086">
      <c r="A2262" s="1086" t="inlineStr">
        <is>
          <t>LIVESTOCK</t>
        </is>
      </c>
    </row>
    <row r="2264" customFormat="1" s="125">
      <c r="A2264" s="377" t="inlineStr">
        <is>
          <t>Methane emission factors from enteric fermentation</t>
        </is>
      </c>
      <c r="D2264" s="1075" t="n"/>
      <c r="E2264" s="1075" t="n"/>
      <c r="F2264" s="1075" t="n"/>
      <c r="G2264" s="1075" t="n"/>
      <c r="H2264" s="1075" t="n"/>
      <c r="I2264" s="1075" t="n"/>
    </row>
    <row r="2265" ht="16.25" customFormat="1" customHeight="1" s="773">
      <c r="A2265" s="753" t="inlineStr">
        <is>
          <t>High-productivity</t>
        </is>
      </c>
      <c r="B2265" s="442" t="inlineStr">
        <is>
          <t>Table 10.11</t>
        </is>
      </c>
      <c r="C2265" s="442" t="inlineStr">
        <is>
          <t>Table 10.11</t>
        </is>
      </c>
      <c r="D2265" s="442" t="inlineStr">
        <is>
          <t>Table 10.11</t>
        </is>
      </c>
      <c r="E2265" s="442" t="inlineStr">
        <is>
          <t>Table 10.10</t>
        </is>
      </c>
      <c r="F2265" s="442" t="inlineStr">
        <is>
          <t>Table 10.10</t>
        </is>
      </c>
      <c r="G2265" s="442" t="inlineStr">
        <is>
          <t>Table 10.10</t>
        </is>
      </c>
      <c r="H2265" s="442" t="inlineStr">
        <is>
          <t>Table 10.10</t>
        </is>
      </c>
      <c r="I2265" s="442" t="inlineStr">
        <is>
          <t>Table 10.10</t>
        </is>
      </c>
      <c r="J2265" s="442" t="inlineStr">
        <is>
          <t>Table 10.10</t>
        </is>
      </c>
      <c r="K2265" s="442" t="inlineStr">
        <is>
          <t>Table 10.10</t>
        </is>
      </c>
      <c r="L2265" s="442" t="inlineStr">
        <is>
          <t>Table 10.10</t>
        </is>
      </c>
      <c r="M2265" s="442" t="inlineStr">
        <is>
          <t>Table 10.10</t>
        </is>
      </c>
      <c r="N2265" s="442" t="inlineStr">
        <is>
          <t>Table 10.10</t>
        </is>
      </c>
      <c r="O2265" s="442" t="inlineStr">
        <is>
          <t>Table 10.10</t>
        </is>
      </c>
      <c r="P2265" s="442" t="inlineStr">
        <is>
          <t>Wang &amp; Huang 2005</t>
        </is>
      </c>
      <c r="Q2265" s="442" t="inlineStr">
        <is>
          <t>Wang &amp; Huang 2005</t>
        </is>
      </c>
      <c r="R2265" s="442" t="inlineStr">
        <is>
          <t>Table 10.10</t>
        </is>
      </c>
      <c r="S2265" s="442" t="n"/>
      <c r="T2265" s="442" t="n"/>
      <c r="U2265" s="442" t="n"/>
      <c r="V2265" s="442" t="n"/>
      <c r="W2265" s="442" t="n"/>
    </row>
    <row r="2266" ht="16" customFormat="1" customHeight="1" s="291">
      <c r="A2266" s="1632" t="inlineStr">
        <is>
          <t>Please select</t>
        </is>
      </c>
      <c r="B2266" s="1633" t="inlineStr">
        <is>
          <t>Dairy cattle</t>
        </is>
      </c>
      <c r="C2266" s="1633" t="inlineStr">
        <is>
          <t>Other cattle</t>
        </is>
      </c>
      <c r="D2266" s="1633" t="inlineStr">
        <is>
          <t>Dairy buffalo</t>
        </is>
      </c>
      <c r="E2266" s="1633" t="inlineStr">
        <is>
          <t>Other buffalo</t>
        </is>
      </c>
      <c r="F2266" s="291" t="inlineStr">
        <is>
          <t>Dairy sheep</t>
        </is>
      </c>
      <c r="G2266" s="1633" t="inlineStr">
        <is>
          <t>Other Sheep</t>
        </is>
      </c>
      <c r="H2266" s="291" t="inlineStr">
        <is>
          <t>Growing swine</t>
        </is>
      </c>
      <c r="I2266" s="1633" t="inlineStr">
        <is>
          <t>Breeding swine</t>
        </is>
      </c>
      <c r="J2266" s="1633" t="inlineStr">
        <is>
          <t>Goats</t>
        </is>
      </c>
      <c r="K2266" s="1633" t="inlineStr">
        <is>
          <t>Horses</t>
        </is>
      </c>
      <c r="L2266" s="1633" t="inlineStr">
        <is>
          <t>Camels</t>
        </is>
      </c>
      <c r="M2266" s="1633" t="inlineStr">
        <is>
          <t>Mules and Asses</t>
        </is>
      </c>
      <c r="N2266" s="1633" t="inlineStr">
        <is>
          <t>Deer</t>
        </is>
      </c>
      <c r="O2266" s="1633" t="inlineStr">
        <is>
          <t>Ostrich</t>
        </is>
      </c>
      <c r="P2266" s="1633" t="inlineStr">
        <is>
          <t>Chicken layer</t>
        </is>
      </c>
      <c r="Q2266" s="1633" t="inlineStr">
        <is>
          <t>Chicken broiler</t>
        </is>
      </c>
      <c r="R2266" s="1633" t="inlineStr">
        <is>
          <t>Llamas and Alpacas</t>
        </is>
      </c>
      <c r="S2266" s="1634" t="inlineStr">
        <is>
          <t>Other (Pls. go to Tier 2)</t>
        </is>
      </c>
      <c r="T2266" s="453" t="n"/>
      <c r="U2266" s="453" t="n"/>
      <c r="V2266" s="453" t="n"/>
      <c r="W2266" s="453" t="n"/>
      <c r="X2266" s="453" t="n"/>
      <c r="Y2266" s="453" t="n"/>
      <c r="Z2266" s="21" t="n"/>
      <c r="AA2266" s="21" t="n"/>
    </row>
    <row r="2267" ht="16" customFormat="1" customHeight="1" s="1093">
      <c r="A2267" s="533" t="inlineStr">
        <is>
          <t>IPCC Region</t>
        </is>
      </c>
      <c r="B2267" s="31" t="inlineStr">
        <is>
          <t>kgCH4/head/yr</t>
        </is>
      </c>
      <c r="C2267" s="31" t="inlineStr">
        <is>
          <t>kgCH4/head/yr</t>
        </is>
      </c>
      <c r="D2267" s="31" t="inlineStr">
        <is>
          <t>kgCH4/head/yr</t>
        </is>
      </c>
      <c r="E2267" s="31" t="inlineStr">
        <is>
          <t>kgCH4/head/yr</t>
        </is>
      </c>
      <c r="F2267" s="31" t="inlineStr">
        <is>
          <t>kgCH4/head/yr</t>
        </is>
      </c>
      <c r="G2267" s="31" t="inlineStr">
        <is>
          <t>kgCH4/head/yr</t>
        </is>
      </c>
      <c r="H2267" s="31" t="inlineStr">
        <is>
          <t>kgCH4/head/yr</t>
        </is>
      </c>
      <c r="I2267" s="31" t="inlineStr">
        <is>
          <t>kgCH4/head/yr</t>
        </is>
      </c>
      <c r="J2267" s="31" t="inlineStr">
        <is>
          <t>kgCH4/head/yr</t>
        </is>
      </c>
      <c r="K2267" s="31" t="inlineStr">
        <is>
          <t>kgCH4/head/yr</t>
        </is>
      </c>
      <c r="L2267" s="31" t="inlineStr">
        <is>
          <t>kgCH4/head/yr</t>
        </is>
      </c>
      <c r="M2267" s="31" t="inlineStr">
        <is>
          <t>kgCH4/head/yr</t>
        </is>
      </c>
      <c r="N2267" s="31" t="inlineStr">
        <is>
          <t>kgCH4/head/yr</t>
        </is>
      </c>
      <c r="O2267" s="31" t="inlineStr">
        <is>
          <t>kgCH4/head/yr</t>
        </is>
      </c>
      <c r="P2267" s="31" t="inlineStr">
        <is>
          <t>kgCH4/head/yr</t>
        </is>
      </c>
      <c r="Q2267" s="31" t="inlineStr">
        <is>
          <t>kgCH4/head/yr</t>
        </is>
      </c>
      <c r="R2267" s="31" t="inlineStr">
        <is>
          <t>kgCH4/head/yr</t>
        </is>
      </c>
      <c r="S2267" s="31" t="inlineStr">
        <is>
          <t>kgCH4/head/yr</t>
        </is>
      </c>
      <c r="T2267" s="1092" t="n"/>
      <c r="U2267" s="1092" t="n"/>
      <c r="V2267" s="1092" t="n"/>
      <c r="W2267" s="1092" t="n"/>
      <c r="X2267" s="1092" t="n"/>
      <c r="Y2267" s="1092" t="n"/>
    </row>
    <row r="2268" customFormat="1" s="21">
      <c r="A2268" s="407" t="inlineStr">
        <is>
          <t>Sub-Saharan Africa</t>
        </is>
      </c>
      <c r="B2268" s="470" t="n">
        <v>86</v>
      </c>
      <c r="C2268" s="470" t="n">
        <v>60</v>
      </c>
      <c r="D2268" s="470" t="n">
        <v>81</v>
      </c>
      <c r="E2268" s="470" t="n">
        <v>81</v>
      </c>
      <c r="F2268" s="44" t="n">
        <v>9</v>
      </c>
      <c r="G2268" s="44" t="n">
        <v>9</v>
      </c>
      <c r="H2268" s="44" t="n">
        <v>1.5</v>
      </c>
      <c r="I2268" s="44" t="n">
        <v>1.5</v>
      </c>
      <c r="J2268" s="44" t="n">
        <v>9</v>
      </c>
      <c r="K2268" s="44" t="n">
        <v>18</v>
      </c>
      <c r="L2268" s="44" t="n">
        <v>46</v>
      </c>
      <c r="M2268" s="44" t="n">
        <v>10</v>
      </c>
      <c r="N2268" s="44" t="n">
        <v>20</v>
      </c>
      <c r="O2268" s="44" t="n">
        <v>5</v>
      </c>
      <c r="P2268" s="4276">
        <f>(3.034*10^6+14.727*10^6)/(191202000+173627000)/1000</f>
        <v/>
      </c>
      <c r="Q2268" s="4276">
        <f>(3.034*10^6+14.727*10^6)/(191202000+173627000)/1000</f>
        <v/>
      </c>
      <c r="R2268" s="41" t="n">
        <v>8</v>
      </c>
      <c r="S2268" s="418" t="n"/>
      <c r="T2268" s="453" t="n"/>
      <c r="U2268" s="453" t="n"/>
      <c r="V2268" s="453" t="n"/>
      <c r="W2268" s="453" t="n"/>
      <c r="X2268" s="453" t="n"/>
      <c r="Y2268" s="453" t="n"/>
    </row>
    <row r="2269" customFormat="1" s="21">
      <c r="A2269" s="411" t="inlineStr">
        <is>
          <t>East Asia and South-East Asia</t>
        </is>
      </c>
      <c r="B2269" s="467" t="n">
        <v>96</v>
      </c>
      <c r="C2269" s="467" t="n">
        <v>43</v>
      </c>
      <c r="D2269" s="467" t="n">
        <v>76</v>
      </c>
      <c r="E2269" s="467" t="n">
        <v>76</v>
      </c>
      <c r="F2269" s="41" t="n">
        <v>9</v>
      </c>
      <c r="G2269" s="41" t="n">
        <v>9</v>
      </c>
      <c r="H2269" s="41" t="n">
        <v>1.5</v>
      </c>
      <c r="I2269" s="41" t="n">
        <v>1.5</v>
      </c>
      <c r="J2269" s="41" t="n">
        <v>9</v>
      </c>
      <c r="K2269" s="41" t="n">
        <v>18</v>
      </c>
      <c r="L2269" s="41" t="n">
        <v>46</v>
      </c>
      <c r="M2269" s="41" t="n">
        <v>10</v>
      </c>
      <c r="N2269" s="41" t="n">
        <v>20</v>
      </c>
      <c r="O2269" s="41" t="n">
        <v>5</v>
      </c>
      <c r="P2269" s="4276">
        <f>(3.034*10^6+14.727*10^6)/(191202000+173627000)/1000</f>
        <v/>
      </c>
      <c r="Q2269" s="4276">
        <f>(3.034*10^6+14.727*10^6)/(191202000+173627000)/1000</f>
        <v/>
      </c>
      <c r="R2269" s="41" t="n">
        <v>8</v>
      </c>
      <c r="S2269" s="451" t="n"/>
      <c r="T2269" s="453" t="n"/>
      <c r="U2269" s="453" t="n"/>
      <c r="V2269" s="453" t="n"/>
      <c r="W2269" s="453" t="n"/>
      <c r="X2269" s="453" t="n"/>
      <c r="Y2269" s="453" t="n"/>
    </row>
    <row r="2270" customFormat="1" s="21">
      <c r="A2270" s="411" t="inlineStr">
        <is>
          <t>North America</t>
        </is>
      </c>
      <c r="B2270" s="467" t="n">
        <v>138</v>
      </c>
      <c r="C2270" s="467" t="n">
        <v>64</v>
      </c>
      <c r="D2270" s="467" t="n">
        <v>0</v>
      </c>
      <c r="E2270" s="467" t="n">
        <v>0</v>
      </c>
      <c r="F2270" s="41" t="n">
        <v>9</v>
      </c>
      <c r="G2270" s="41" t="n">
        <v>9</v>
      </c>
      <c r="H2270" s="41" t="n">
        <v>1.5</v>
      </c>
      <c r="I2270" s="41" t="n">
        <v>1.5</v>
      </c>
      <c r="J2270" s="41" t="n">
        <v>9</v>
      </c>
      <c r="K2270" s="41" t="n">
        <v>18</v>
      </c>
      <c r="L2270" s="41" t="n">
        <v>46</v>
      </c>
      <c r="M2270" s="41" t="n">
        <v>10</v>
      </c>
      <c r="N2270" s="41" t="n">
        <v>20</v>
      </c>
      <c r="O2270" s="41" t="n">
        <v>5</v>
      </c>
      <c r="P2270" s="4276">
        <f>(3.034*10^6+14.727*10^6)/(191202000+173627000)/1000</f>
        <v/>
      </c>
      <c r="Q2270" s="4276">
        <f>(3.034*10^6+14.727*10^6)/(191202000+173627000)/1000</f>
        <v/>
      </c>
      <c r="R2270" s="41" t="n">
        <v>8</v>
      </c>
      <c r="S2270" s="451" t="n"/>
      <c r="T2270" s="453" t="n"/>
      <c r="U2270" s="453" t="n"/>
      <c r="V2270" s="453" t="n"/>
      <c r="W2270" s="453" t="n"/>
      <c r="X2270" s="453" t="n"/>
      <c r="Y2270" s="453" t="n"/>
    </row>
    <row r="2271" customFormat="1" s="21">
      <c r="A2271" s="411" t="inlineStr">
        <is>
          <t>Latin America and the Caribbean</t>
        </is>
      </c>
      <c r="B2271" s="41" t="n">
        <v>103</v>
      </c>
      <c r="C2271" s="41" t="n">
        <v>55</v>
      </c>
      <c r="D2271" s="41" t="n">
        <v>68</v>
      </c>
      <c r="E2271" s="41" t="n">
        <v>68</v>
      </c>
      <c r="F2271" s="41" t="n">
        <v>9</v>
      </c>
      <c r="G2271" s="41" t="n">
        <v>9</v>
      </c>
      <c r="H2271" s="41" t="n">
        <v>1.5</v>
      </c>
      <c r="I2271" s="41" t="n">
        <v>1.5</v>
      </c>
      <c r="J2271" s="41" t="n">
        <v>9</v>
      </c>
      <c r="K2271" s="41" t="n">
        <v>18</v>
      </c>
      <c r="L2271" s="41" t="n">
        <v>46</v>
      </c>
      <c r="M2271" s="41" t="n">
        <v>10</v>
      </c>
      <c r="N2271" s="41" t="n">
        <v>20</v>
      </c>
      <c r="O2271" s="41" t="n">
        <v>5</v>
      </c>
      <c r="P2271" s="4276">
        <f>(3.034*10^6+14.727*10^6)/(191202000+173627000)/1000</f>
        <v/>
      </c>
      <c r="Q2271" s="4276">
        <f>(3.034*10^6+14.727*10^6)/(191202000+173627000)/1000</f>
        <v/>
      </c>
      <c r="R2271" s="41" t="n">
        <v>8</v>
      </c>
      <c r="S2271" s="451" t="n"/>
      <c r="T2271" s="453" t="n"/>
      <c r="U2271" s="453" t="n"/>
      <c r="V2271" s="453" t="n"/>
      <c r="W2271" s="453" t="n"/>
      <c r="X2271" s="453" t="n"/>
      <c r="Y2271" s="453" t="n"/>
    </row>
    <row r="2272" customFormat="1" s="21">
      <c r="A2272" s="411" t="inlineStr">
        <is>
          <t>Western Europe</t>
        </is>
      </c>
      <c r="B2272" s="467" t="n">
        <v>126</v>
      </c>
      <c r="C2272" s="467" t="n">
        <v>52</v>
      </c>
      <c r="D2272" s="467" t="n">
        <v>78</v>
      </c>
      <c r="E2272" s="467" t="n">
        <v>78</v>
      </c>
      <c r="F2272" s="41" t="n">
        <v>9</v>
      </c>
      <c r="G2272" s="41" t="n">
        <v>9</v>
      </c>
      <c r="H2272" s="41" t="n">
        <v>1.5</v>
      </c>
      <c r="I2272" s="41" t="n">
        <v>1.5</v>
      </c>
      <c r="J2272" s="41" t="n">
        <v>9</v>
      </c>
      <c r="K2272" s="41" t="n">
        <v>18</v>
      </c>
      <c r="L2272" s="41" t="n">
        <v>46</v>
      </c>
      <c r="M2272" s="41" t="n">
        <v>10</v>
      </c>
      <c r="N2272" s="41" t="n">
        <v>20</v>
      </c>
      <c r="O2272" s="41" t="n">
        <v>5</v>
      </c>
      <c r="P2272" s="4276">
        <f>(3.034*10^6+14.727*10^6)/(191202000+173627000)/1000</f>
        <v/>
      </c>
      <c r="Q2272" s="4276">
        <f>(3.034*10^6+14.727*10^6)/(191202000+173627000)/1000</f>
        <v/>
      </c>
      <c r="R2272" s="41" t="n">
        <v>8</v>
      </c>
      <c r="S2272" s="451" t="n"/>
      <c r="T2272" s="453" t="n"/>
      <c r="U2272" s="4275" t="n"/>
      <c r="V2272" s="453" t="n"/>
      <c r="W2272" s="453" t="n"/>
      <c r="X2272" s="453" t="n"/>
      <c r="Y2272" s="453" t="n"/>
    </row>
    <row r="2273" customFormat="1" s="21">
      <c r="A2273" s="411" t="inlineStr">
        <is>
          <t>Eastern Europe</t>
        </is>
      </c>
      <c r="B2273" s="41" t="n">
        <v>93</v>
      </c>
      <c r="C2273" s="41" t="n">
        <v>58</v>
      </c>
      <c r="D2273" s="41" t="n">
        <v>68</v>
      </c>
      <c r="E2273" s="41" t="n">
        <v>68</v>
      </c>
      <c r="F2273" s="41" t="n">
        <v>9</v>
      </c>
      <c r="G2273" s="41" t="n">
        <v>9</v>
      </c>
      <c r="H2273" s="41" t="n">
        <v>1.5</v>
      </c>
      <c r="I2273" s="41" t="n">
        <v>1.5</v>
      </c>
      <c r="J2273" s="41" t="n">
        <v>9</v>
      </c>
      <c r="K2273" s="41" t="n">
        <v>18</v>
      </c>
      <c r="L2273" s="41" t="n">
        <v>46</v>
      </c>
      <c r="M2273" s="41" t="n">
        <v>10</v>
      </c>
      <c r="N2273" s="41" t="n">
        <v>20</v>
      </c>
      <c r="O2273" s="41" t="n">
        <v>5</v>
      </c>
      <c r="P2273" s="4276">
        <f>(3.034*10^6+14.727*10^6)/(191202000+173627000)/1000</f>
        <v/>
      </c>
      <c r="Q2273" s="4276">
        <f>(3.034*10^6+14.727*10^6)/(191202000+173627000)/1000</f>
        <v/>
      </c>
      <c r="R2273" s="41" t="n">
        <v>8</v>
      </c>
      <c r="S2273" s="451" t="n"/>
      <c r="T2273" s="453" t="n"/>
      <c r="U2273" s="4275" t="n"/>
      <c r="V2273" s="453" t="n"/>
      <c r="W2273" s="453" t="n"/>
      <c r="X2273" s="453" t="n"/>
      <c r="Y2273" s="453" t="n"/>
    </row>
    <row r="2274" customFormat="1" s="21">
      <c r="A2274" s="411" t="inlineStr">
        <is>
          <t>Russian Federation</t>
        </is>
      </c>
      <c r="B2274" s="41" t="n">
        <v>93</v>
      </c>
      <c r="C2274" s="41" t="n">
        <v>58</v>
      </c>
      <c r="D2274" s="41" t="n">
        <v>68</v>
      </c>
      <c r="E2274" s="41" t="n">
        <v>68</v>
      </c>
      <c r="F2274" s="41" t="n">
        <v>9</v>
      </c>
      <c r="G2274" s="41" t="n">
        <v>9</v>
      </c>
      <c r="H2274" s="41" t="n">
        <v>1.5</v>
      </c>
      <c r="I2274" s="41" t="n">
        <v>1.5</v>
      </c>
      <c r="J2274" s="41" t="n">
        <v>9</v>
      </c>
      <c r="K2274" s="41" t="n">
        <v>18</v>
      </c>
      <c r="L2274" s="41" t="n">
        <v>46</v>
      </c>
      <c r="M2274" s="41" t="n">
        <v>10</v>
      </c>
      <c r="N2274" s="41" t="n">
        <v>20</v>
      </c>
      <c r="O2274" s="41" t="n">
        <v>5</v>
      </c>
      <c r="P2274" s="4276">
        <f>(3.034*10^6+14.727*10^6)/(191202000+173627000)/1000</f>
        <v/>
      </c>
      <c r="Q2274" s="4276">
        <f>(3.034*10^6+14.727*10^6)/(191202000+173627000)/1000</f>
        <v/>
      </c>
      <c r="R2274" s="41" t="n">
        <v>8</v>
      </c>
      <c r="S2274" s="451" t="n"/>
      <c r="T2274" s="453" t="n"/>
      <c r="U2274" s="453" t="n"/>
      <c r="V2274" s="453" t="n"/>
      <c r="W2274" s="453" t="n"/>
      <c r="X2274" s="453" t="n"/>
      <c r="Y2274" s="453" t="n"/>
    </row>
    <row r="2275" customFormat="1" s="21">
      <c r="A2275" s="411" t="inlineStr">
        <is>
          <t>Oceania</t>
        </is>
      </c>
      <c r="B2275" s="41" t="n">
        <v>93</v>
      </c>
      <c r="C2275" s="41" t="n">
        <v>63</v>
      </c>
      <c r="D2275" s="41" t="n">
        <v>0</v>
      </c>
      <c r="E2275" s="41" t="n">
        <v>0</v>
      </c>
      <c r="F2275" s="41" t="n">
        <v>9</v>
      </c>
      <c r="G2275" s="41" t="n">
        <v>9</v>
      </c>
      <c r="H2275" s="41" t="n">
        <v>1.5</v>
      </c>
      <c r="I2275" s="41" t="n">
        <v>1.5</v>
      </c>
      <c r="J2275" s="41" t="n">
        <v>9</v>
      </c>
      <c r="K2275" s="41" t="n">
        <v>18</v>
      </c>
      <c r="L2275" s="41" t="n">
        <v>46</v>
      </c>
      <c r="M2275" s="41" t="n">
        <v>10</v>
      </c>
      <c r="N2275" s="41" t="n">
        <v>20</v>
      </c>
      <c r="O2275" s="41" t="n">
        <v>5</v>
      </c>
      <c r="P2275" s="4276">
        <f>(3.034*10^6+14.727*10^6)/(191202000+173627000)/1000</f>
        <v/>
      </c>
      <c r="Q2275" s="4276">
        <f>(3.034*10^6+14.727*10^6)/(191202000+173627000)/1000</f>
        <v/>
      </c>
      <c r="R2275" s="41" t="n">
        <v>8</v>
      </c>
      <c r="S2275" s="451" t="n"/>
    </row>
    <row r="2276" customFormat="1" s="453">
      <c r="A2276" s="411" t="inlineStr">
        <is>
          <t>NENA/Middle East</t>
        </is>
      </c>
      <c r="B2276" s="41" t="n">
        <v>94</v>
      </c>
      <c r="C2276" s="41" t="n">
        <v>61</v>
      </c>
      <c r="D2276" s="41" t="n">
        <v>67</v>
      </c>
      <c r="E2276" s="41" t="n">
        <v>67</v>
      </c>
      <c r="F2276" s="41" t="n">
        <v>9</v>
      </c>
      <c r="G2276" s="41" t="n">
        <v>9</v>
      </c>
      <c r="H2276" s="41" t="n">
        <v>1.5</v>
      </c>
      <c r="I2276" s="41" t="n">
        <v>1.5</v>
      </c>
      <c r="J2276" s="41" t="n">
        <v>9</v>
      </c>
      <c r="K2276" s="41" t="n">
        <v>18</v>
      </c>
      <c r="L2276" s="41" t="n">
        <v>46</v>
      </c>
      <c r="M2276" s="41" t="n">
        <v>10</v>
      </c>
      <c r="N2276" s="41" t="n">
        <v>20</v>
      </c>
      <c r="O2276" s="41" t="n">
        <v>5</v>
      </c>
      <c r="P2276" s="4276">
        <f>(3.034*10^6+14.727*10^6)/(191202000+173627000)/1000</f>
        <v/>
      </c>
      <c r="Q2276" s="4276">
        <f>(3.034*10^6+14.727*10^6)/(191202000+173627000)/1000</f>
        <v/>
      </c>
      <c r="R2276" s="41" t="n">
        <v>8</v>
      </c>
      <c r="S2276" s="451" t="n"/>
    </row>
    <row r="2277" customFormat="1" s="453">
      <c r="A2277" s="411" t="inlineStr">
        <is>
          <t>South Asia</t>
        </is>
      </c>
      <c r="B2277" s="42" t="n">
        <v>70</v>
      </c>
      <c r="C2277" s="42" t="n">
        <v>41</v>
      </c>
      <c r="D2277" s="42" t="n">
        <v>85</v>
      </c>
      <c r="E2277" s="42" t="n">
        <v>85</v>
      </c>
      <c r="F2277" s="42" t="n">
        <v>9</v>
      </c>
      <c r="G2277" s="42" t="n">
        <v>9</v>
      </c>
      <c r="H2277" s="42" t="n">
        <v>1.5</v>
      </c>
      <c r="I2277" s="42" t="n">
        <v>1.5</v>
      </c>
      <c r="J2277" s="42" t="n">
        <v>9</v>
      </c>
      <c r="K2277" s="42" t="n">
        <v>18</v>
      </c>
      <c r="L2277" s="42" t="n">
        <v>46</v>
      </c>
      <c r="M2277" s="42" t="n">
        <v>10</v>
      </c>
      <c r="N2277" s="42" t="n">
        <v>20</v>
      </c>
      <c r="O2277" s="42" t="n">
        <v>5</v>
      </c>
      <c r="P2277" s="4276">
        <f>(3.034*10^6+14.727*10^6)/(191202000+173627000)/1000</f>
        <v/>
      </c>
      <c r="Q2277" s="4276">
        <f>(3.034*10^6+14.727*10^6)/(191202000+173627000)/1000</f>
        <v/>
      </c>
      <c r="R2277" s="41" t="n">
        <v>8</v>
      </c>
      <c r="S2277" s="460" t="n"/>
    </row>
    <row r="2278" customFormat="1" s="535">
      <c r="A2278" s="1073" t="inlineStr">
        <is>
          <t xml:space="preserve">Notes </t>
        </is>
      </c>
      <c r="B2278" s="292" t="n"/>
      <c r="C2278" s="292" t="n"/>
      <c r="D2278" s="292" t="n"/>
      <c r="E2278" s="421" t="n"/>
      <c r="F2278" s="421" t="n"/>
      <c r="G2278" s="421" t="n"/>
      <c r="H2278" s="421" t="n"/>
      <c r="I2278" s="421" t="n"/>
      <c r="J2278" s="421" t="n"/>
      <c r="K2278" s="421" t="n"/>
      <c r="L2278" s="421" t="n"/>
      <c r="M2278" s="421" t="n"/>
      <c r="N2278" s="421" t="n"/>
      <c r="O2278" s="292" t="n"/>
    </row>
    <row r="2279" customFormat="1" s="292"/>
    <row r="2281" customFormat="1" s="125">
      <c r="A2281" s="377" t="inlineStr">
        <is>
          <t>Methane emission factors from enteric fermentation</t>
        </is>
      </c>
      <c r="D2281" s="1075" t="n"/>
      <c r="E2281" s="1075" t="n"/>
      <c r="F2281" s="1075" t="n"/>
      <c r="G2281" s="1075" t="n"/>
      <c r="H2281" s="1075" t="n"/>
      <c r="I2281" s="1075" t="n"/>
    </row>
    <row r="2282" ht="16.25" customFormat="1" customHeight="1" s="773">
      <c r="A2282" s="753" t="inlineStr">
        <is>
          <t>Low-productivity</t>
        </is>
      </c>
      <c r="B2282" s="442" t="inlineStr">
        <is>
          <t>Table 10.11</t>
        </is>
      </c>
      <c r="C2282" s="442" t="inlineStr">
        <is>
          <t>Table 10.11</t>
        </is>
      </c>
      <c r="D2282" s="442" t="inlineStr">
        <is>
          <t>Table 10.11</t>
        </is>
      </c>
      <c r="E2282" s="442" t="inlineStr">
        <is>
          <t>Table 10.10</t>
        </is>
      </c>
      <c r="F2282" s="442" t="inlineStr">
        <is>
          <t>Table 10.10</t>
        </is>
      </c>
      <c r="G2282" s="442" t="inlineStr">
        <is>
          <t>Table 10.10</t>
        </is>
      </c>
      <c r="H2282" s="442" t="inlineStr">
        <is>
          <t>Table 10.10</t>
        </is>
      </c>
      <c r="I2282" s="442" t="inlineStr">
        <is>
          <t>Table 10.10</t>
        </is>
      </c>
      <c r="J2282" s="442" t="inlineStr">
        <is>
          <t>Table 10.10</t>
        </is>
      </c>
      <c r="K2282" s="442" t="inlineStr">
        <is>
          <t>Table 10.10</t>
        </is>
      </c>
      <c r="L2282" s="442" t="inlineStr">
        <is>
          <t>Table 10.10</t>
        </is>
      </c>
      <c r="M2282" s="442" t="inlineStr">
        <is>
          <t>Table 10.10</t>
        </is>
      </c>
      <c r="N2282" s="442" t="inlineStr">
        <is>
          <t>Table 10.10</t>
        </is>
      </c>
      <c r="O2282" s="442" t="inlineStr">
        <is>
          <t>Table 10.10</t>
        </is>
      </c>
      <c r="P2282" s="442" t="inlineStr">
        <is>
          <t>Wang &amp; Huang 2005</t>
        </is>
      </c>
      <c r="Q2282" s="442" t="inlineStr">
        <is>
          <t>Wang &amp; Huang 2005</t>
        </is>
      </c>
      <c r="R2282" s="442" t="inlineStr">
        <is>
          <t>Table 10.10</t>
        </is>
      </c>
      <c r="S2282" s="442" t="n"/>
      <c r="T2282" s="442" t="n"/>
      <c r="U2282" s="442" t="n"/>
      <c r="V2282" s="442" t="n"/>
      <c r="W2282" s="442" t="n"/>
    </row>
    <row r="2283" ht="16" customFormat="1" customHeight="1" s="291">
      <c r="A2283" s="526" t="inlineStr">
        <is>
          <t>IPCC Region</t>
        </is>
      </c>
      <c r="B2283" s="1633" t="inlineStr">
        <is>
          <t>Dairy cattle</t>
        </is>
      </c>
      <c r="C2283" s="1633" t="inlineStr">
        <is>
          <t>Other cattle</t>
        </is>
      </c>
      <c r="D2283" s="1633" t="inlineStr">
        <is>
          <t>Dairy buffalo</t>
        </is>
      </c>
      <c r="E2283" s="1633" t="inlineStr">
        <is>
          <t>Other buffalo</t>
        </is>
      </c>
      <c r="F2283" s="291" t="inlineStr">
        <is>
          <t>Dairy sheep</t>
        </is>
      </c>
      <c r="G2283" s="1633" t="inlineStr">
        <is>
          <t>Other sheep</t>
        </is>
      </c>
      <c r="H2283" s="291" t="inlineStr">
        <is>
          <t>Growing swine</t>
        </is>
      </c>
      <c r="I2283" s="1633" t="inlineStr">
        <is>
          <t>Breeding swine</t>
        </is>
      </c>
      <c r="J2283" s="1633" t="inlineStr">
        <is>
          <t>Goats</t>
        </is>
      </c>
      <c r="K2283" s="1633" t="inlineStr">
        <is>
          <t>Horses</t>
        </is>
      </c>
      <c r="L2283" s="1633" t="inlineStr">
        <is>
          <t>Camels</t>
        </is>
      </c>
      <c r="M2283" s="1633" t="inlineStr">
        <is>
          <t>Mules and Asses</t>
        </is>
      </c>
      <c r="N2283" s="1633" t="inlineStr">
        <is>
          <t>Deer</t>
        </is>
      </c>
      <c r="O2283" s="1633" t="inlineStr">
        <is>
          <t>Ostrich</t>
        </is>
      </c>
      <c r="P2283" s="1633" t="inlineStr">
        <is>
          <t>Chicken layer</t>
        </is>
      </c>
      <c r="Q2283" s="1633" t="inlineStr">
        <is>
          <t>Chicken broiler</t>
        </is>
      </c>
      <c r="R2283" s="1633" t="inlineStr">
        <is>
          <t>Llamas and Alpacas</t>
        </is>
      </c>
      <c r="S2283" s="1633" t="inlineStr">
        <is>
          <t>Other (Please specify in Tier 2)</t>
        </is>
      </c>
      <c r="T2283" s="453" t="n"/>
      <c r="U2283" s="453" t="n"/>
      <c r="V2283" s="453" t="n"/>
      <c r="W2283" s="453" t="n"/>
      <c r="X2283" s="453" t="n"/>
      <c r="Y2283" s="453" t="n"/>
      <c r="Z2283" s="21" t="n"/>
      <c r="AA2283" s="21" t="n"/>
    </row>
    <row r="2284" ht="16" customFormat="1" customHeight="1" s="1093">
      <c r="A2284" s="1630" t="inlineStr">
        <is>
          <t>Please select</t>
        </is>
      </c>
      <c r="B2284" s="31" t="inlineStr">
        <is>
          <t>kgCH4/head/yr</t>
        </is>
      </c>
      <c r="C2284" s="31" t="inlineStr">
        <is>
          <t>kgCH4/head/yr</t>
        </is>
      </c>
      <c r="D2284" s="31" t="inlineStr">
        <is>
          <t>kgCH4/head/yr</t>
        </is>
      </c>
      <c r="E2284" s="31" t="inlineStr">
        <is>
          <t>kgCH4/head/yr</t>
        </is>
      </c>
      <c r="F2284" s="31" t="inlineStr">
        <is>
          <t>kgCH4/head/yr</t>
        </is>
      </c>
      <c r="G2284" s="31" t="inlineStr">
        <is>
          <t>kgCH4/head/yr</t>
        </is>
      </c>
      <c r="H2284" s="31" t="inlineStr">
        <is>
          <t>kgCH4/head/yr</t>
        </is>
      </c>
      <c r="I2284" s="31" t="inlineStr">
        <is>
          <t>kgCH4/head/yr</t>
        </is>
      </c>
      <c r="J2284" s="31" t="inlineStr">
        <is>
          <t>kgCH4/head/yr</t>
        </is>
      </c>
      <c r="K2284" s="31" t="inlineStr">
        <is>
          <t>kgCH4/head/yr</t>
        </is>
      </c>
      <c r="L2284" s="31" t="inlineStr">
        <is>
          <t>kgCH4/head/yr</t>
        </is>
      </c>
      <c r="M2284" s="31" t="inlineStr">
        <is>
          <t>kgCH4/head/yr</t>
        </is>
      </c>
      <c r="N2284" s="31" t="inlineStr">
        <is>
          <t>kgCH4/head/yr</t>
        </is>
      </c>
      <c r="O2284" s="31" t="inlineStr">
        <is>
          <t>kgCH4/head/yr</t>
        </is>
      </c>
      <c r="P2284" s="31" t="inlineStr">
        <is>
          <t>kgCH4/head/yr</t>
        </is>
      </c>
      <c r="Q2284" s="31" t="inlineStr">
        <is>
          <t>kgCH4/head/yr</t>
        </is>
      </c>
      <c r="R2284" s="31" t="inlineStr">
        <is>
          <t>kgCH4/head/yr</t>
        </is>
      </c>
      <c r="S2284" s="31" t="inlineStr">
        <is>
          <t>kgCH4/head/yr</t>
        </is>
      </c>
      <c r="T2284" s="1092" t="n"/>
      <c r="U2284" s="1092" t="n"/>
      <c r="V2284" s="1092" t="n"/>
      <c r="W2284" s="1092" t="n"/>
      <c r="X2284" s="1092" t="n"/>
      <c r="Y2284" s="1092" t="n"/>
    </row>
    <row r="2285" customFormat="1" s="21">
      <c r="A2285" s="407" t="inlineStr">
        <is>
          <t>Sub-Saharan Africa</t>
        </is>
      </c>
      <c r="B2285" s="470" t="n">
        <v>66</v>
      </c>
      <c r="C2285" s="467" t="n">
        <v>48</v>
      </c>
      <c r="D2285" s="467" t="n">
        <v>81</v>
      </c>
      <c r="E2285" s="467" t="n">
        <v>81</v>
      </c>
      <c r="F2285" s="41" t="n">
        <v>5</v>
      </c>
      <c r="G2285" s="41" t="n">
        <v>5</v>
      </c>
      <c r="H2285" s="41" t="n">
        <v>1</v>
      </c>
      <c r="I2285" s="41" t="n">
        <v>1</v>
      </c>
      <c r="J2285" s="41" t="n">
        <v>5</v>
      </c>
      <c r="K2285" s="41" t="n">
        <v>18</v>
      </c>
      <c r="L2285" s="41" t="n">
        <v>46</v>
      </c>
      <c r="M2285" s="41" t="n">
        <v>10</v>
      </c>
      <c r="N2285" s="41" t="n">
        <v>20</v>
      </c>
      <c r="O2285" s="41" t="n">
        <v>5</v>
      </c>
      <c r="P2285" s="4276">
        <f>(3.034*10^6+14.727*10^6)/(191202000+173627000)/1000</f>
        <v/>
      </c>
      <c r="Q2285" s="4276">
        <f>(3.034*10^6+14.727*10^6)/(191202000+173627000)/1000</f>
        <v/>
      </c>
      <c r="R2285" s="41" t="n">
        <v>8</v>
      </c>
      <c r="S2285" s="41" t="n"/>
      <c r="T2285" s="453" t="n"/>
      <c r="U2285" s="453" t="n"/>
      <c r="V2285" s="453" t="n"/>
      <c r="W2285" s="453" t="n"/>
      <c r="X2285" s="453" t="n"/>
      <c r="Y2285" s="453" t="n"/>
    </row>
    <row r="2286" customFormat="1" s="21">
      <c r="A2286" s="411" t="inlineStr">
        <is>
          <t>East Asia and South-East Asia</t>
        </is>
      </c>
      <c r="B2286" s="467" t="n">
        <v>71</v>
      </c>
      <c r="C2286" s="467" t="n">
        <v>56</v>
      </c>
      <c r="D2286" s="467" t="n">
        <v>76</v>
      </c>
      <c r="E2286" s="467" t="n">
        <v>76</v>
      </c>
      <c r="F2286" s="41" t="n">
        <v>5</v>
      </c>
      <c r="G2286" s="41" t="n">
        <v>5</v>
      </c>
      <c r="H2286" s="41" t="n">
        <v>1</v>
      </c>
      <c r="I2286" s="41" t="n">
        <v>1</v>
      </c>
      <c r="J2286" s="41" t="n">
        <v>5</v>
      </c>
      <c r="K2286" s="41" t="n">
        <v>18</v>
      </c>
      <c r="L2286" s="41" t="n">
        <v>46</v>
      </c>
      <c r="M2286" s="41" t="n">
        <v>10</v>
      </c>
      <c r="N2286" s="41" t="n">
        <v>20</v>
      </c>
      <c r="O2286" s="41" t="n">
        <v>5</v>
      </c>
      <c r="P2286" s="4276">
        <f>(3.034*10^6+14.727*10^6)/(191202000+173627000)/1000</f>
        <v/>
      </c>
      <c r="Q2286" s="4276">
        <f>(3.034*10^6+14.727*10^6)/(191202000+173627000)/1000</f>
        <v/>
      </c>
      <c r="R2286" s="41" t="n">
        <v>8</v>
      </c>
      <c r="S2286" s="41" t="n"/>
      <c r="T2286" s="453" t="n"/>
      <c r="U2286" s="453" t="n"/>
      <c r="V2286" s="453" t="n"/>
      <c r="W2286" s="453" t="n"/>
      <c r="X2286" s="453" t="n"/>
      <c r="Y2286" s="453" t="n"/>
    </row>
    <row r="2287" customFormat="1" s="21">
      <c r="A2287" s="411" t="inlineStr">
        <is>
          <t>North America</t>
        </is>
      </c>
      <c r="B2287" s="467" t="n">
        <v>138</v>
      </c>
      <c r="C2287" s="467" t="n">
        <v>64</v>
      </c>
      <c r="D2287" s="467" t="n">
        <v>0</v>
      </c>
      <c r="E2287" s="467" t="n">
        <v>0</v>
      </c>
      <c r="F2287" s="41" t="n">
        <v>5</v>
      </c>
      <c r="G2287" s="41" t="n">
        <v>5</v>
      </c>
      <c r="H2287" s="41" t="n">
        <v>1</v>
      </c>
      <c r="I2287" s="41" t="n">
        <v>1</v>
      </c>
      <c r="J2287" s="41" t="n">
        <v>5</v>
      </c>
      <c r="K2287" s="41" t="n">
        <v>18</v>
      </c>
      <c r="L2287" s="41" t="n">
        <v>46</v>
      </c>
      <c r="M2287" s="41" t="n">
        <v>10</v>
      </c>
      <c r="N2287" s="41" t="n">
        <v>20</v>
      </c>
      <c r="O2287" s="41" t="n">
        <v>5</v>
      </c>
      <c r="P2287" s="4276">
        <f>(3.034*10^6+14.727*10^6)/(191202000+173627000)/1000</f>
        <v/>
      </c>
      <c r="Q2287" s="4276">
        <f>(3.034*10^6+14.727*10^6)/(191202000+173627000)/1000</f>
        <v/>
      </c>
      <c r="R2287" s="41" t="n">
        <v>8</v>
      </c>
      <c r="S2287" s="41" t="n"/>
      <c r="T2287" s="453" t="n"/>
      <c r="U2287" s="453" t="n"/>
      <c r="V2287" s="453" t="n"/>
      <c r="W2287" s="453" t="n"/>
      <c r="X2287" s="453" t="n"/>
      <c r="Y2287" s="453" t="n"/>
    </row>
    <row r="2288" customFormat="1" s="21">
      <c r="A2288" s="411" t="inlineStr">
        <is>
          <t>Latin America and the Caribbean</t>
        </is>
      </c>
      <c r="B2288" s="41" t="n">
        <v>78</v>
      </c>
      <c r="C2288" s="41" t="n">
        <v>58</v>
      </c>
      <c r="D2288" s="41" t="n">
        <v>68</v>
      </c>
      <c r="E2288" s="41" t="n">
        <v>68</v>
      </c>
      <c r="F2288" s="41" t="n">
        <v>5</v>
      </c>
      <c r="G2288" s="41" t="n">
        <v>5</v>
      </c>
      <c r="H2288" s="41" t="n">
        <v>1</v>
      </c>
      <c r="I2288" s="41" t="n">
        <v>1</v>
      </c>
      <c r="J2288" s="41" t="n">
        <v>5</v>
      </c>
      <c r="K2288" s="41" t="n">
        <v>18</v>
      </c>
      <c r="L2288" s="41" t="n">
        <v>46</v>
      </c>
      <c r="M2288" s="41" t="n">
        <v>10</v>
      </c>
      <c r="N2288" s="41" t="n">
        <v>20</v>
      </c>
      <c r="O2288" s="41" t="n">
        <v>5</v>
      </c>
      <c r="P2288" s="4276">
        <f>(3.034*10^6+14.727*10^6)/(191202000+173627000)/1000</f>
        <v/>
      </c>
      <c r="Q2288" s="4276">
        <f>(3.034*10^6+14.727*10^6)/(191202000+173627000)/1000</f>
        <v/>
      </c>
      <c r="R2288" s="41" t="n">
        <v>8</v>
      </c>
      <c r="S2288" s="41" t="n"/>
      <c r="T2288" s="453" t="n"/>
      <c r="U2288" s="453" t="n"/>
      <c r="V2288" s="453" t="n"/>
      <c r="W2288" s="453" t="n"/>
      <c r="X2288" s="453" t="n"/>
      <c r="Y2288" s="453" t="n"/>
    </row>
    <row r="2289" customFormat="1" s="21">
      <c r="A2289" s="411" t="inlineStr">
        <is>
          <t>Western Europe</t>
        </is>
      </c>
      <c r="B2289" s="467" t="n">
        <v>126</v>
      </c>
      <c r="C2289" s="467" t="n">
        <v>52</v>
      </c>
      <c r="D2289" s="467" t="n">
        <v>78</v>
      </c>
      <c r="E2289" s="467" t="n">
        <v>78</v>
      </c>
      <c r="F2289" s="41" t="n">
        <v>5</v>
      </c>
      <c r="G2289" s="41" t="n">
        <v>5</v>
      </c>
      <c r="H2289" s="41" t="n">
        <v>1</v>
      </c>
      <c r="I2289" s="41" t="n">
        <v>1</v>
      </c>
      <c r="J2289" s="41" t="n">
        <v>5</v>
      </c>
      <c r="K2289" s="41" t="n">
        <v>18</v>
      </c>
      <c r="L2289" s="41" t="n">
        <v>46</v>
      </c>
      <c r="M2289" s="41" t="n">
        <v>10</v>
      </c>
      <c r="N2289" s="41" t="n">
        <v>20</v>
      </c>
      <c r="O2289" s="41" t="n">
        <v>5</v>
      </c>
      <c r="P2289" s="4276">
        <f>(3.034*10^6+14.727*10^6)/(191202000+173627000)/1000</f>
        <v/>
      </c>
      <c r="Q2289" s="4276">
        <f>(3.034*10^6+14.727*10^6)/(191202000+173627000)/1000</f>
        <v/>
      </c>
      <c r="R2289" s="41" t="n">
        <v>8</v>
      </c>
      <c r="S2289" s="41" t="n"/>
      <c r="T2289" s="453" t="n"/>
      <c r="U2289" s="453" t="n"/>
      <c r="V2289" s="453" t="n"/>
      <c r="W2289" s="453" t="n"/>
      <c r="X2289" s="453" t="n"/>
      <c r="Y2289" s="453" t="n"/>
    </row>
    <row r="2290" customFormat="1" s="21">
      <c r="A2290" s="411" t="inlineStr">
        <is>
          <t>Eastern Europe</t>
        </is>
      </c>
      <c r="B2290" s="41" t="n">
        <v>93</v>
      </c>
      <c r="C2290" s="41" t="n">
        <v>58</v>
      </c>
      <c r="D2290" s="41" t="n">
        <v>68</v>
      </c>
      <c r="E2290" s="41" t="n">
        <v>68</v>
      </c>
      <c r="F2290" s="41" t="n">
        <v>5</v>
      </c>
      <c r="G2290" s="41" t="n">
        <v>5</v>
      </c>
      <c r="H2290" s="41" t="n">
        <v>1</v>
      </c>
      <c r="I2290" s="41" t="n">
        <v>1</v>
      </c>
      <c r="J2290" s="41" t="n">
        <v>5</v>
      </c>
      <c r="K2290" s="41" t="n">
        <v>18</v>
      </c>
      <c r="L2290" s="41" t="n">
        <v>46</v>
      </c>
      <c r="M2290" s="41" t="n">
        <v>10</v>
      </c>
      <c r="N2290" s="41" t="n">
        <v>20</v>
      </c>
      <c r="O2290" s="41" t="n">
        <v>5</v>
      </c>
      <c r="P2290" s="4276">
        <f>(3.034*10^6+14.727*10^6)/(191202000+173627000)/1000</f>
        <v/>
      </c>
      <c r="Q2290" s="4276">
        <f>(3.034*10^6+14.727*10^6)/(191202000+173627000)/1000</f>
        <v/>
      </c>
      <c r="R2290" s="41" t="n">
        <v>8</v>
      </c>
      <c r="S2290" s="41" t="n"/>
      <c r="T2290" s="453" t="n"/>
      <c r="U2290" s="453" t="n"/>
      <c r="V2290" s="453" t="n"/>
      <c r="W2290" s="453" t="n"/>
      <c r="X2290" s="453" t="n"/>
      <c r="Y2290" s="453" t="n"/>
    </row>
    <row r="2291" customFormat="1" s="21">
      <c r="A2291" s="411" t="inlineStr">
        <is>
          <t>Russian Federation</t>
        </is>
      </c>
      <c r="B2291" s="41" t="n">
        <v>93</v>
      </c>
      <c r="C2291" s="41" t="n">
        <v>58</v>
      </c>
      <c r="D2291" s="41" t="n">
        <v>68</v>
      </c>
      <c r="E2291" s="41" t="n">
        <v>68</v>
      </c>
      <c r="F2291" s="41" t="n">
        <v>5</v>
      </c>
      <c r="G2291" s="41" t="n">
        <v>5</v>
      </c>
      <c r="H2291" s="41" t="n">
        <v>1</v>
      </c>
      <c r="I2291" s="41" t="n">
        <v>1</v>
      </c>
      <c r="J2291" s="41" t="n">
        <v>5</v>
      </c>
      <c r="K2291" s="41" t="n">
        <v>18</v>
      </c>
      <c r="L2291" s="41" t="n">
        <v>46</v>
      </c>
      <c r="M2291" s="41" t="n">
        <v>10</v>
      </c>
      <c r="N2291" s="41" t="n">
        <v>20</v>
      </c>
      <c r="O2291" s="41" t="n">
        <v>5</v>
      </c>
      <c r="P2291" s="4276">
        <f>(3.034*10^6+14.727*10^6)/(191202000+173627000)/1000</f>
        <v/>
      </c>
      <c r="Q2291" s="4276">
        <f>(3.034*10^6+14.727*10^6)/(191202000+173627000)/1000</f>
        <v/>
      </c>
      <c r="R2291" s="41" t="n">
        <v>8</v>
      </c>
      <c r="S2291" s="41" t="n"/>
      <c r="T2291" s="453" t="n"/>
      <c r="U2291" s="453" t="n"/>
      <c r="V2291" s="453" t="n"/>
      <c r="W2291" s="453" t="n"/>
      <c r="X2291" s="453" t="n"/>
      <c r="Y2291" s="453" t="n"/>
    </row>
    <row r="2292" customFormat="1" s="21">
      <c r="A2292" s="411" t="inlineStr">
        <is>
          <t>Oceania</t>
        </is>
      </c>
      <c r="B2292" s="41" t="n">
        <v>93</v>
      </c>
      <c r="C2292" s="41" t="n">
        <v>63</v>
      </c>
      <c r="D2292" s="41" t="n">
        <v>0</v>
      </c>
      <c r="E2292" s="41" t="n">
        <v>0</v>
      </c>
      <c r="F2292" s="41" t="n">
        <v>5</v>
      </c>
      <c r="G2292" s="41" t="n">
        <v>5</v>
      </c>
      <c r="H2292" s="41" t="n">
        <v>1</v>
      </c>
      <c r="I2292" s="41" t="n">
        <v>1</v>
      </c>
      <c r="J2292" s="41" t="n">
        <v>5</v>
      </c>
      <c r="K2292" s="41" t="n">
        <v>18</v>
      </c>
      <c r="L2292" s="41" t="n">
        <v>46</v>
      </c>
      <c r="M2292" s="41" t="n">
        <v>10</v>
      </c>
      <c r="N2292" s="41" t="n">
        <v>20</v>
      </c>
      <c r="O2292" s="41" t="n">
        <v>5</v>
      </c>
      <c r="P2292" s="4276">
        <f>(3.034*10^6+14.727*10^6)/(191202000+173627000)/1000</f>
        <v/>
      </c>
      <c r="Q2292" s="4276">
        <f>(3.034*10^6+14.727*10^6)/(191202000+173627000)/1000</f>
        <v/>
      </c>
      <c r="R2292" s="41" t="n">
        <v>8</v>
      </c>
      <c r="S2292" s="41" t="n"/>
    </row>
    <row r="2293" customFormat="1" s="453">
      <c r="A2293" s="411" t="inlineStr">
        <is>
          <t>NENA/Middle East</t>
        </is>
      </c>
      <c r="B2293" s="41" t="n">
        <v>62</v>
      </c>
      <c r="C2293" s="41" t="n">
        <v>55</v>
      </c>
      <c r="D2293" s="41" t="n">
        <v>67</v>
      </c>
      <c r="E2293" s="41" t="n">
        <v>67</v>
      </c>
      <c r="F2293" s="41" t="n">
        <v>5</v>
      </c>
      <c r="G2293" s="41" t="n">
        <v>5</v>
      </c>
      <c r="H2293" s="41" t="n">
        <v>1</v>
      </c>
      <c r="I2293" s="41" t="n">
        <v>1</v>
      </c>
      <c r="J2293" s="41" t="n">
        <v>5</v>
      </c>
      <c r="K2293" s="41" t="n">
        <v>18</v>
      </c>
      <c r="L2293" s="41" t="n">
        <v>46</v>
      </c>
      <c r="M2293" s="41" t="n">
        <v>10</v>
      </c>
      <c r="N2293" s="41" t="n">
        <v>20</v>
      </c>
      <c r="O2293" s="41" t="n">
        <v>5</v>
      </c>
      <c r="P2293" s="4276">
        <f>(3.034*10^6+14.727*10^6)/(191202000+173627000)/1000</f>
        <v/>
      </c>
      <c r="Q2293" s="4276">
        <f>(3.034*10^6+14.727*10^6)/(191202000+173627000)/1000</f>
        <v/>
      </c>
      <c r="R2293" s="41" t="n">
        <v>8</v>
      </c>
      <c r="S2293" s="41" t="n"/>
    </row>
    <row r="2294" customFormat="1" s="453">
      <c r="A2294" s="411" t="inlineStr">
        <is>
          <t>South Asia</t>
        </is>
      </c>
      <c r="B2294" s="1637" t="n">
        <v>74</v>
      </c>
      <c r="C2294" s="1637" t="n">
        <v>47</v>
      </c>
      <c r="D2294" s="1637" t="n">
        <v>85</v>
      </c>
      <c r="E2294" s="42" t="n">
        <v>85</v>
      </c>
      <c r="F2294" s="41" t="n">
        <v>5</v>
      </c>
      <c r="G2294" s="41" t="n">
        <v>5</v>
      </c>
      <c r="H2294" s="41" t="n">
        <v>1</v>
      </c>
      <c r="I2294" s="41" t="n">
        <v>1</v>
      </c>
      <c r="J2294" s="41" t="n">
        <v>5</v>
      </c>
      <c r="K2294" s="41" t="n">
        <v>18</v>
      </c>
      <c r="L2294" s="41" t="n">
        <v>46</v>
      </c>
      <c r="M2294" s="41" t="n">
        <v>10</v>
      </c>
      <c r="N2294" s="41" t="n">
        <v>20</v>
      </c>
      <c r="O2294" s="41" t="n">
        <v>5</v>
      </c>
      <c r="P2294" s="4276">
        <f>(3.034*10^6+14.727*10^6)/(191202000+173627000)/1000</f>
        <v/>
      </c>
      <c r="Q2294" s="4276">
        <f>(3.034*10^6+14.727*10^6)/(191202000+173627000)/1000</f>
        <v/>
      </c>
      <c r="R2294" s="41" t="n">
        <v>8</v>
      </c>
      <c r="S2294" s="41" t="n"/>
    </row>
    <row r="2295" customFormat="1" s="535">
      <c r="A2295" s="1073" t="inlineStr">
        <is>
          <t xml:space="preserve">Notes </t>
        </is>
      </c>
      <c r="B2295" s="292" t="n"/>
      <c r="C2295" s="292" t="n"/>
      <c r="D2295" s="292" t="n"/>
      <c r="E2295" s="421" t="n"/>
      <c r="F2295" s="421" t="n"/>
      <c r="G2295" s="421" t="n"/>
      <c r="H2295" s="421" t="n"/>
      <c r="I2295" s="421" t="n"/>
      <c r="J2295" s="421" t="n"/>
      <c r="K2295" s="421" t="n"/>
      <c r="L2295" s="421" t="n"/>
      <c r="M2295" s="421" t="n"/>
      <c r="N2295" s="421" t="n"/>
      <c r="O2295" s="292" t="n"/>
    </row>
    <row r="2296" customFormat="1" s="292"/>
    <row r="2298" customFormat="1" s="125">
      <c r="A2298" s="377" t="inlineStr">
        <is>
          <t>Methane emission factors from enteric fermentation</t>
        </is>
      </c>
      <c r="D2298" s="1075" t="n"/>
      <c r="E2298" s="1075" t="n"/>
      <c r="F2298" s="1075" t="n"/>
      <c r="G2298" s="1075" t="n"/>
      <c r="H2298" s="1075" t="n"/>
      <c r="I2298" s="1075" t="n"/>
    </row>
    <row r="2299" ht="16.25" customFormat="1" customHeight="1" s="773">
      <c r="A2299" s="753" t="inlineStr">
        <is>
          <t>Default</t>
        </is>
      </c>
      <c r="B2299" s="442" t="inlineStr">
        <is>
          <t>Table 10.11</t>
        </is>
      </c>
      <c r="C2299" s="442" t="inlineStr">
        <is>
          <t>Table 10.11</t>
        </is>
      </c>
      <c r="D2299" s="442" t="inlineStr">
        <is>
          <t>Table 10.11</t>
        </is>
      </c>
      <c r="E2299" s="442" t="inlineStr">
        <is>
          <t>Table 10.10</t>
        </is>
      </c>
      <c r="F2299" s="442" t="inlineStr">
        <is>
          <t>Table 10.10</t>
        </is>
      </c>
      <c r="G2299" s="442" t="inlineStr">
        <is>
          <t>Table 10.10</t>
        </is>
      </c>
      <c r="H2299" s="442" t="inlineStr">
        <is>
          <t>Table 10.10</t>
        </is>
      </c>
      <c r="I2299" s="442" t="inlineStr">
        <is>
          <t>Table 10.10</t>
        </is>
      </c>
      <c r="J2299" s="442" t="inlineStr">
        <is>
          <t>Table 10.10</t>
        </is>
      </c>
      <c r="K2299" s="442" t="inlineStr">
        <is>
          <t>Table 10.10</t>
        </is>
      </c>
      <c r="L2299" s="442" t="inlineStr">
        <is>
          <t>Table 10.10</t>
        </is>
      </c>
      <c r="M2299" s="442" t="inlineStr">
        <is>
          <t>Table 10.10</t>
        </is>
      </c>
      <c r="N2299" s="442" t="inlineStr">
        <is>
          <t>Table 10.10</t>
        </is>
      </c>
      <c r="O2299" s="442" t="inlineStr">
        <is>
          <t>Table 10.10</t>
        </is>
      </c>
      <c r="P2299" s="442" t="inlineStr">
        <is>
          <t>Wang &amp; Huang 2005</t>
        </is>
      </c>
      <c r="Q2299" s="442" t="inlineStr">
        <is>
          <t>Wang &amp; Huang 2005</t>
        </is>
      </c>
      <c r="R2299" s="532" t="n"/>
      <c r="S2299" s="442" t="n"/>
      <c r="T2299" s="442" t="n"/>
      <c r="U2299" s="442" t="n"/>
      <c r="V2299" s="442" t="n"/>
      <c r="W2299" s="442" t="n"/>
    </row>
    <row r="2300" ht="16" customFormat="1" customHeight="1" s="291">
      <c r="A2300" s="526" t="inlineStr">
        <is>
          <t>IPCC Region</t>
        </is>
      </c>
      <c r="B2300" s="1633" t="inlineStr">
        <is>
          <t>Dairy cattle</t>
        </is>
      </c>
      <c r="C2300" s="1633" t="inlineStr">
        <is>
          <t>Other cattle</t>
        </is>
      </c>
      <c r="D2300" s="1633" t="inlineStr">
        <is>
          <t>Dairy buffalo</t>
        </is>
      </c>
      <c r="E2300" s="1633" t="inlineStr">
        <is>
          <t>Other buffalo</t>
        </is>
      </c>
      <c r="F2300" s="291" t="inlineStr">
        <is>
          <t>Dairy sheep</t>
        </is>
      </c>
      <c r="G2300" s="1633" t="inlineStr">
        <is>
          <t>Other sheep</t>
        </is>
      </c>
      <c r="H2300" s="291" t="inlineStr">
        <is>
          <t>Growing swine</t>
        </is>
      </c>
      <c r="I2300" s="1633" t="inlineStr">
        <is>
          <t>Breeding swine</t>
        </is>
      </c>
      <c r="J2300" s="1633" t="inlineStr">
        <is>
          <t>Goats</t>
        </is>
      </c>
      <c r="K2300" s="1633" t="inlineStr">
        <is>
          <t>Horses</t>
        </is>
      </c>
      <c r="L2300" s="1633" t="inlineStr">
        <is>
          <t>Camels</t>
        </is>
      </c>
      <c r="M2300" s="1633" t="inlineStr">
        <is>
          <t>Mules and Asses</t>
        </is>
      </c>
      <c r="N2300" s="1633" t="inlineStr">
        <is>
          <t>Deer</t>
        </is>
      </c>
      <c r="O2300" s="1633" t="inlineStr">
        <is>
          <t>Ostrich</t>
        </is>
      </c>
      <c r="P2300" s="1633" t="inlineStr">
        <is>
          <t>Chicken layer</t>
        </is>
      </c>
      <c r="Q2300" s="1633" t="inlineStr">
        <is>
          <t>Chicken broiler</t>
        </is>
      </c>
      <c r="R2300" s="1633" t="inlineStr">
        <is>
          <t>Llamas and Alpacas</t>
        </is>
      </c>
      <c r="S2300" s="1633" t="inlineStr">
        <is>
          <t>Other (Please specify in Tier 2)</t>
        </is>
      </c>
      <c r="T2300" s="453" t="n"/>
      <c r="U2300" s="453" t="n"/>
      <c r="V2300" s="453" t="n"/>
      <c r="W2300" s="453" t="n"/>
      <c r="X2300" s="453" t="n"/>
      <c r="Y2300" s="21" t="n"/>
      <c r="Z2300" s="21" t="n"/>
    </row>
    <row r="2301" ht="16" customFormat="1" customHeight="1" s="1093">
      <c r="A2301" s="1630" t="inlineStr">
        <is>
          <t>Please select</t>
        </is>
      </c>
      <c r="B2301" s="31" t="inlineStr">
        <is>
          <t>kgCH4/head/yr</t>
        </is>
      </c>
      <c r="C2301" s="31" t="inlineStr">
        <is>
          <t>kgCH4/head/yr</t>
        </is>
      </c>
      <c r="D2301" s="31" t="inlineStr">
        <is>
          <t>kgCH4/head/yr</t>
        </is>
      </c>
      <c r="E2301" s="31" t="inlineStr">
        <is>
          <t>kgCH4/head/yr</t>
        </is>
      </c>
      <c r="F2301" s="31" t="inlineStr">
        <is>
          <t>kgCH4/head/yr</t>
        </is>
      </c>
      <c r="G2301" s="31" t="inlineStr">
        <is>
          <t>kgCH4/head/yr</t>
        </is>
      </c>
      <c r="H2301" s="31" t="inlineStr">
        <is>
          <t>kgCH4/head/yr</t>
        </is>
      </c>
      <c r="I2301" s="31" t="inlineStr">
        <is>
          <t>kgCH4/head/yr</t>
        </is>
      </c>
      <c r="J2301" s="31" t="inlineStr">
        <is>
          <t>kgCH4/head/yr</t>
        </is>
      </c>
      <c r="K2301" s="31" t="inlineStr">
        <is>
          <t>kgCH4/head/yr</t>
        </is>
      </c>
      <c r="L2301" s="31" t="inlineStr">
        <is>
          <t>kgCH4/head/yr</t>
        </is>
      </c>
      <c r="M2301" s="31" t="inlineStr">
        <is>
          <t>kgCH4/head/yr</t>
        </is>
      </c>
      <c r="N2301" s="31" t="inlineStr">
        <is>
          <t>kgCH4/head/yr</t>
        </is>
      </c>
      <c r="O2301" s="31" t="inlineStr">
        <is>
          <t>kgCH4/head/yr</t>
        </is>
      </c>
      <c r="P2301" s="31" t="inlineStr">
        <is>
          <t>kgCH4/head/yr</t>
        </is>
      </c>
      <c r="Q2301" s="31" t="inlineStr">
        <is>
          <t>kgCH4/head/yr</t>
        </is>
      </c>
      <c r="R2301" s="31" t="inlineStr">
        <is>
          <t>kgCH4/head/yr</t>
        </is>
      </c>
      <c r="S2301" s="31" t="inlineStr">
        <is>
          <t>kgCH4/head/yr</t>
        </is>
      </c>
      <c r="T2301" s="1092" t="n"/>
      <c r="U2301" s="1092" t="n"/>
      <c r="V2301" s="1092" t="n"/>
      <c r="W2301" s="1092" t="n"/>
      <c r="X2301" s="1092" t="n"/>
    </row>
    <row r="2302" customFormat="1" s="21">
      <c r="A2302" s="407" t="inlineStr">
        <is>
          <t>Sub-Saharan Africa</t>
        </is>
      </c>
      <c r="B2302" s="470" t="n">
        <v>76</v>
      </c>
      <c r="C2302" s="470" t="n">
        <v>52</v>
      </c>
      <c r="D2302" s="470" t="n">
        <v>81</v>
      </c>
      <c r="E2302" s="470" t="n">
        <v>81</v>
      </c>
      <c r="F2302" s="44" t="n">
        <v>5</v>
      </c>
      <c r="G2302" s="44" t="n">
        <v>5</v>
      </c>
      <c r="H2302" s="44" t="n">
        <v>1</v>
      </c>
      <c r="I2302" s="44" t="n">
        <v>1</v>
      </c>
      <c r="J2302" s="44" t="n">
        <v>5</v>
      </c>
      <c r="K2302" s="44" t="n">
        <v>18</v>
      </c>
      <c r="L2302" s="44" t="n">
        <v>46</v>
      </c>
      <c r="M2302" s="44" t="n">
        <v>10</v>
      </c>
      <c r="N2302" s="44" t="n">
        <v>20</v>
      </c>
      <c r="O2302" s="44" t="n">
        <v>5</v>
      </c>
      <c r="P2302" s="4276">
        <f>(3.034*10^6+14.727*10^6)/(191202000+173627000)/1000</f>
        <v/>
      </c>
      <c r="Q2302" s="4276">
        <f>(3.034*10^6+14.727*10^6)/(191202000+173627000)/1000</f>
        <v/>
      </c>
      <c r="R2302" s="41" t="n">
        <v>8</v>
      </c>
      <c r="S2302" s="41" t="n"/>
      <c r="T2302" s="453" t="n"/>
      <c r="U2302" s="453" t="n"/>
      <c r="V2302" s="453" t="n"/>
      <c r="W2302" s="453" t="n"/>
      <c r="X2302" s="453" t="n"/>
    </row>
    <row r="2303" customFormat="1" s="21">
      <c r="A2303" s="411" t="inlineStr">
        <is>
          <t>East Asia and South-East Asia</t>
        </is>
      </c>
      <c r="B2303" s="467" t="n">
        <v>78</v>
      </c>
      <c r="C2303" s="467" t="n">
        <v>54</v>
      </c>
      <c r="D2303" s="467" t="n">
        <v>76</v>
      </c>
      <c r="E2303" s="467" t="n">
        <v>76</v>
      </c>
      <c r="F2303" s="41" t="n">
        <v>5</v>
      </c>
      <c r="G2303" s="41" t="n">
        <v>5</v>
      </c>
      <c r="H2303" s="41" t="n">
        <v>1</v>
      </c>
      <c r="I2303" s="41" t="n">
        <v>1</v>
      </c>
      <c r="J2303" s="41" t="n">
        <v>5</v>
      </c>
      <c r="K2303" s="41" t="n">
        <v>18</v>
      </c>
      <c r="L2303" s="41" t="n">
        <v>46</v>
      </c>
      <c r="M2303" s="41" t="n">
        <v>10</v>
      </c>
      <c r="N2303" s="41" t="n">
        <v>20</v>
      </c>
      <c r="O2303" s="41" t="n">
        <v>5</v>
      </c>
      <c r="P2303" s="4276">
        <f>(3.034*10^6+14.727*10^6)/(191202000+173627000)/1000</f>
        <v/>
      </c>
      <c r="Q2303" s="4276">
        <f>(3.034*10^6+14.727*10^6)/(191202000+173627000)/1000</f>
        <v/>
      </c>
      <c r="R2303" s="41" t="n">
        <v>8</v>
      </c>
      <c r="S2303" s="41" t="n"/>
      <c r="T2303" s="453" t="n"/>
      <c r="U2303" s="453" t="n"/>
      <c r="V2303" s="453" t="n"/>
      <c r="W2303" s="453" t="n"/>
      <c r="X2303" s="453" t="n"/>
    </row>
    <row r="2304" customFormat="1" s="21">
      <c r="A2304" s="411" t="inlineStr">
        <is>
          <t>North America</t>
        </is>
      </c>
      <c r="B2304" s="467" t="n">
        <v>138</v>
      </c>
      <c r="C2304" s="467" t="n">
        <v>64</v>
      </c>
      <c r="D2304" s="467" t="n">
        <v>0</v>
      </c>
      <c r="E2304" s="467" t="n">
        <v>0</v>
      </c>
      <c r="F2304" s="41" t="n">
        <v>5</v>
      </c>
      <c r="G2304" s="41" t="n">
        <v>5</v>
      </c>
      <c r="H2304" s="41" t="n">
        <v>1</v>
      </c>
      <c r="I2304" s="41" t="n">
        <v>1</v>
      </c>
      <c r="J2304" s="41" t="n">
        <v>5</v>
      </c>
      <c r="K2304" s="41" t="n">
        <v>18</v>
      </c>
      <c r="L2304" s="41" t="n">
        <v>46</v>
      </c>
      <c r="M2304" s="41" t="n">
        <v>10</v>
      </c>
      <c r="N2304" s="41" t="n">
        <v>20</v>
      </c>
      <c r="O2304" s="41" t="n">
        <v>5</v>
      </c>
      <c r="P2304" s="4276">
        <f>(3.034*10^6+14.727*10^6)/(191202000+173627000)/1000</f>
        <v/>
      </c>
      <c r="Q2304" s="4276">
        <f>(3.034*10^6+14.727*10^6)/(191202000+173627000)/1000</f>
        <v/>
      </c>
      <c r="R2304" s="41" t="n">
        <v>8</v>
      </c>
      <c r="S2304" s="41" t="n"/>
      <c r="T2304" s="453" t="n"/>
      <c r="U2304" s="453" t="n"/>
      <c r="V2304" s="453" t="n"/>
      <c r="W2304" s="453" t="n"/>
      <c r="X2304" s="453" t="n"/>
    </row>
    <row r="2305" customFormat="1" s="21">
      <c r="A2305" s="411" t="inlineStr">
        <is>
          <t>Latin America and the Caribbean</t>
        </is>
      </c>
      <c r="B2305" s="41" t="n">
        <v>87</v>
      </c>
      <c r="C2305" s="41" t="n">
        <v>56</v>
      </c>
      <c r="D2305" s="41" t="n">
        <v>68</v>
      </c>
      <c r="E2305" s="41" t="n">
        <v>68</v>
      </c>
      <c r="F2305" s="41" t="n">
        <v>5</v>
      </c>
      <c r="G2305" s="41" t="n">
        <v>5</v>
      </c>
      <c r="H2305" s="41" t="n">
        <v>1</v>
      </c>
      <c r="I2305" s="41" t="n">
        <v>1</v>
      </c>
      <c r="J2305" s="41" t="n">
        <v>5</v>
      </c>
      <c r="K2305" s="41" t="n">
        <v>18</v>
      </c>
      <c r="L2305" s="41" t="n">
        <v>46</v>
      </c>
      <c r="M2305" s="41" t="n">
        <v>10</v>
      </c>
      <c r="N2305" s="41" t="n">
        <v>20</v>
      </c>
      <c r="O2305" s="41" t="n">
        <v>5</v>
      </c>
      <c r="P2305" s="4276">
        <f>(3.034*10^6+14.727*10^6)/(191202000+173627000)/1000</f>
        <v/>
      </c>
      <c r="Q2305" s="4276">
        <f>(3.034*10^6+14.727*10^6)/(191202000+173627000)/1000</f>
        <v/>
      </c>
      <c r="R2305" s="41" t="n">
        <v>8</v>
      </c>
      <c r="S2305" s="41" t="n"/>
      <c r="T2305" s="453" t="n"/>
      <c r="U2305" s="453" t="n"/>
      <c r="V2305" s="453" t="n"/>
      <c r="W2305" s="453" t="n"/>
      <c r="X2305" s="453" t="n"/>
    </row>
    <row r="2306" customFormat="1" s="21">
      <c r="A2306" s="411" t="inlineStr">
        <is>
          <t>Western Europe</t>
        </is>
      </c>
      <c r="B2306" s="467" t="n">
        <v>126</v>
      </c>
      <c r="C2306" s="467" t="n">
        <v>52</v>
      </c>
      <c r="D2306" s="467" t="n">
        <v>78</v>
      </c>
      <c r="E2306" s="467" t="n">
        <v>78</v>
      </c>
      <c r="F2306" s="41" t="n">
        <v>5</v>
      </c>
      <c r="G2306" s="41" t="n">
        <v>5</v>
      </c>
      <c r="H2306" s="41" t="n">
        <v>1</v>
      </c>
      <c r="I2306" s="41" t="n">
        <v>1</v>
      </c>
      <c r="J2306" s="41" t="n">
        <v>5</v>
      </c>
      <c r="K2306" s="41" t="n">
        <v>18</v>
      </c>
      <c r="L2306" s="41" t="n">
        <v>46</v>
      </c>
      <c r="M2306" s="41" t="n">
        <v>10</v>
      </c>
      <c r="N2306" s="41" t="n">
        <v>20</v>
      </c>
      <c r="O2306" s="41" t="n">
        <v>5</v>
      </c>
      <c r="P2306" s="4276">
        <f>(3.034*10^6+14.727*10^6)/(191202000+173627000)/1000</f>
        <v/>
      </c>
      <c r="Q2306" s="4276">
        <f>(3.034*10^6+14.727*10^6)/(191202000+173627000)/1000</f>
        <v/>
      </c>
      <c r="R2306" s="41" t="n">
        <v>8</v>
      </c>
      <c r="S2306" s="41" t="n"/>
      <c r="T2306" s="453" t="n"/>
      <c r="U2306" s="453" t="n"/>
      <c r="V2306" s="453" t="n"/>
      <c r="W2306" s="453" t="n"/>
      <c r="X2306" s="453" t="n"/>
    </row>
    <row r="2307" customFormat="1" s="21">
      <c r="A2307" s="411" t="inlineStr">
        <is>
          <t>Eastern Europe</t>
        </is>
      </c>
      <c r="B2307" s="41" t="n">
        <v>93</v>
      </c>
      <c r="C2307" s="41" t="n">
        <v>58</v>
      </c>
      <c r="D2307" s="41" t="n">
        <v>68</v>
      </c>
      <c r="E2307" s="41" t="n">
        <v>68</v>
      </c>
      <c r="F2307" s="41" t="n">
        <v>5</v>
      </c>
      <c r="G2307" s="41" t="n">
        <v>5</v>
      </c>
      <c r="H2307" s="41" t="n">
        <v>1</v>
      </c>
      <c r="I2307" s="41" t="n">
        <v>1</v>
      </c>
      <c r="J2307" s="41" t="n">
        <v>5</v>
      </c>
      <c r="K2307" s="41" t="n">
        <v>18</v>
      </c>
      <c r="L2307" s="41" t="n">
        <v>46</v>
      </c>
      <c r="M2307" s="41" t="n">
        <v>10</v>
      </c>
      <c r="N2307" s="41" t="n">
        <v>20</v>
      </c>
      <c r="O2307" s="41" t="n">
        <v>5</v>
      </c>
      <c r="P2307" s="4276">
        <f>(3.034*10^6+14.727*10^6)/(191202000+173627000)/1000</f>
        <v/>
      </c>
      <c r="Q2307" s="4276">
        <f>(3.034*10^6+14.727*10^6)/(191202000+173627000)/1000</f>
        <v/>
      </c>
      <c r="R2307" s="41" t="n">
        <v>8</v>
      </c>
      <c r="S2307" s="41" t="n"/>
      <c r="T2307" s="453" t="n"/>
      <c r="U2307" s="453" t="n"/>
      <c r="V2307" s="453" t="n"/>
      <c r="W2307" s="453" t="n"/>
      <c r="X2307" s="453" t="n"/>
    </row>
    <row r="2308" customFormat="1" s="21">
      <c r="A2308" s="411" t="inlineStr">
        <is>
          <t>Russian Federation</t>
        </is>
      </c>
      <c r="B2308" s="41" t="n">
        <v>93</v>
      </c>
      <c r="C2308" s="41" t="n">
        <v>58</v>
      </c>
      <c r="D2308" s="41" t="n">
        <v>68</v>
      </c>
      <c r="E2308" s="41" t="n">
        <v>68</v>
      </c>
      <c r="F2308" s="41" t="n">
        <v>5</v>
      </c>
      <c r="G2308" s="41" t="n">
        <v>5</v>
      </c>
      <c r="H2308" s="41" t="n">
        <v>1</v>
      </c>
      <c r="I2308" s="41" t="n">
        <v>1</v>
      </c>
      <c r="J2308" s="41" t="n">
        <v>5</v>
      </c>
      <c r="K2308" s="41" t="n">
        <v>18</v>
      </c>
      <c r="L2308" s="41" t="n">
        <v>46</v>
      </c>
      <c r="M2308" s="41" t="n">
        <v>10</v>
      </c>
      <c r="N2308" s="41" t="n">
        <v>20</v>
      </c>
      <c r="O2308" s="41" t="n">
        <v>5</v>
      </c>
      <c r="P2308" s="4276">
        <f>(3.034*10^6+14.727*10^6)/(191202000+173627000)/1000</f>
        <v/>
      </c>
      <c r="Q2308" s="4276">
        <f>(3.034*10^6+14.727*10^6)/(191202000+173627000)/1000</f>
        <v/>
      </c>
      <c r="R2308" s="41" t="n">
        <v>8</v>
      </c>
      <c r="S2308" s="41" t="n"/>
      <c r="T2308" s="453" t="n"/>
      <c r="U2308" s="453" t="n"/>
      <c r="V2308" s="453" t="n"/>
      <c r="W2308" s="453" t="n"/>
      <c r="X2308" s="453" t="n"/>
    </row>
    <row r="2309" customFormat="1" s="21">
      <c r="A2309" s="411" t="inlineStr">
        <is>
          <t>Oceania</t>
        </is>
      </c>
      <c r="B2309" s="41" t="n">
        <v>93</v>
      </c>
      <c r="C2309" s="41" t="n">
        <v>63</v>
      </c>
      <c r="D2309" s="41" t="n">
        <v>0</v>
      </c>
      <c r="E2309" s="41" t="n">
        <v>0</v>
      </c>
      <c r="F2309" s="41" t="n">
        <v>5</v>
      </c>
      <c r="G2309" s="41" t="n">
        <v>5</v>
      </c>
      <c r="H2309" s="41" t="n">
        <v>1</v>
      </c>
      <c r="I2309" s="41" t="n">
        <v>1</v>
      </c>
      <c r="J2309" s="41" t="n">
        <v>5</v>
      </c>
      <c r="K2309" s="41" t="n">
        <v>18</v>
      </c>
      <c r="L2309" s="41" t="n">
        <v>46</v>
      </c>
      <c r="M2309" s="41" t="n">
        <v>10</v>
      </c>
      <c r="N2309" s="41" t="n">
        <v>20</v>
      </c>
      <c r="O2309" s="41" t="n">
        <v>5</v>
      </c>
      <c r="P2309" s="4276">
        <f>(3.034*10^6+14.727*10^6)/(191202000+173627000)/1000</f>
        <v/>
      </c>
      <c r="Q2309" s="4276">
        <f>(3.034*10^6+14.727*10^6)/(191202000+173627000)/1000</f>
        <v/>
      </c>
      <c r="R2309" s="41" t="n">
        <v>8</v>
      </c>
      <c r="S2309" s="41" t="n"/>
    </row>
    <row r="2310" customFormat="1" s="453">
      <c r="A2310" s="411" t="inlineStr">
        <is>
          <t>NENA/Middle East</t>
        </is>
      </c>
      <c r="B2310" s="41" t="n">
        <v>76</v>
      </c>
      <c r="C2310" s="41" t="n">
        <v>60</v>
      </c>
      <c r="D2310" s="41" t="n">
        <v>67</v>
      </c>
      <c r="E2310" s="41" t="n">
        <v>67</v>
      </c>
      <c r="F2310" s="41" t="n">
        <v>5</v>
      </c>
      <c r="G2310" s="41" t="n">
        <v>5</v>
      </c>
      <c r="H2310" s="41" t="n">
        <v>1</v>
      </c>
      <c r="I2310" s="41" t="n">
        <v>1</v>
      </c>
      <c r="J2310" s="41" t="n">
        <v>5</v>
      </c>
      <c r="K2310" s="41" t="n">
        <v>18</v>
      </c>
      <c r="L2310" s="41" t="n">
        <v>46</v>
      </c>
      <c r="M2310" s="41" t="n">
        <v>10</v>
      </c>
      <c r="N2310" s="41" t="n">
        <v>20</v>
      </c>
      <c r="O2310" s="41" t="n">
        <v>5</v>
      </c>
      <c r="P2310" s="4276">
        <f>(3.034*10^6+14.727*10^6)/(191202000+173627000)/1000</f>
        <v/>
      </c>
      <c r="Q2310" s="4276">
        <f>(3.034*10^6+14.727*10^6)/(191202000+173627000)/1000</f>
        <v/>
      </c>
      <c r="R2310" s="41" t="n">
        <v>8</v>
      </c>
      <c r="S2310" s="41" t="n"/>
    </row>
    <row r="2311" customFormat="1" s="453">
      <c r="A2311" s="411" t="inlineStr">
        <is>
          <t>South Asia</t>
        </is>
      </c>
      <c r="B2311" s="42" t="n">
        <v>73</v>
      </c>
      <c r="C2311" s="42" t="n">
        <v>46</v>
      </c>
      <c r="D2311" s="42" t="n">
        <v>85</v>
      </c>
      <c r="E2311" s="42" t="n">
        <v>85</v>
      </c>
      <c r="F2311" s="42" t="n">
        <v>5</v>
      </c>
      <c r="G2311" s="42" t="n">
        <v>5</v>
      </c>
      <c r="H2311" s="42" t="n">
        <v>1</v>
      </c>
      <c r="I2311" s="42" t="n">
        <v>1</v>
      </c>
      <c r="J2311" s="42" t="n">
        <v>5</v>
      </c>
      <c r="K2311" s="42" t="n">
        <v>18</v>
      </c>
      <c r="L2311" s="42" t="n">
        <v>46</v>
      </c>
      <c r="M2311" s="42" t="n">
        <v>10</v>
      </c>
      <c r="N2311" s="42" t="n">
        <v>20</v>
      </c>
      <c r="O2311" s="42" t="n">
        <v>5</v>
      </c>
      <c r="P2311" s="4276">
        <f>(3.034*10^6+14.727*10^6)/(191202000+173627000)/1000</f>
        <v/>
      </c>
      <c r="Q2311" s="4276">
        <f>(3.034*10^6+14.727*10^6)/(191202000+173627000)/1000</f>
        <v/>
      </c>
      <c r="R2311" s="41" t="n">
        <v>8</v>
      </c>
      <c r="S2311" s="41" t="n"/>
    </row>
    <row r="2312" customFormat="1" s="535">
      <c r="A2312" s="1073" t="inlineStr">
        <is>
          <t>Notes: for sheep, swine and goat EFs are the one of low productivity systems</t>
        </is>
      </c>
      <c r="B2312" s="292" t="n"/>
      <c r="C2312" s="292" t="n"/>
      <c r="D2312" s="292" t="n"/>
      <c r="E2312" s="421" t="n"/>
      <c r="F2312" s="421" t="n"/>
      <c r="G2312" s="421" t="n"/>
      <c r="H2312" s="421" t="n"/>
      <c r="I2312" s="421" t="n"/>
      <c r="J2312" s="421" t="n"/>
      <c r="K2312" s="421" t="n"/>
      <c r="L2312" s="421" t="n"/>
      <c r="M2312" s="421" t="n"/>
      <c r="N2312" s="421" t="n"/>
      <c r="O2312" s="292" t="n"/>
    </row>
    <row r="2313" customFormat="1" s="292"/>
    <row r="2315" customFormat="1" s="125">
      <c r="A2315" s="377" t="inlineStr">
        <is>
          <t>TAM</t>
        </is>
      </c>
      <c r="D2315" s="1075" t="n"/>
      <c r="E2315" s="1075" t="n"/>
      <c r="F2315" s="1075" t="n"/>
      <c r="G2315" s="1075" t="n"/>
      <c r="H2315" s="1075" t="n"/>
      <c r="I2315" s="1075" t="n"/>
      <c r="J2315" s="1075" t="n"/>
    </row>
    <row r="2316" ht="16.25" customFormat="1" customHeight="1" s="773">
      <c r="A2316" s="753" t="inlineStr">
        <is>
          <t>High-productivity</t>
        </is>
      </c>
      <c r="B2316" s="442" t="inlineStr">
        <is>
          <t>Table 10A.5</t>
        </is>
      </c>
      <c r="C2316" s="442" t="inlineStr">
        <is>
          <t>Table 10A.5</t>
        </is>
      </c>
      <c r="D2316" s="442" t="inlineStr">
        <is>
          <t>Table 10A.5</t>
        </is>
      </c>
      <c r="E2316" s="442" t="inlineStr">
        <is>
          <t>Table 10A.5</t>
        </is>
      </c>
      <c r="F2316" s="442" t="inlineStr">
        <is>
          <t>Table 10A.5</t>
        </is>
      </c>
      <c r="G2316" s="442" t="inlineStr">
        <is>
          <t>Table 10A.5</t>
        </is>
      </c>
      <c r="H2316" s="442" t="inlineStr">
        <is>
          <t>Table 10A.5</t>
        </is>
      </c>
      <c r="I2316" s="442" t="inlineStr">
        <is>
          <t>Table 10A.5</t>
        </is>
      </c>
      <c r="J2316" s="442" t="inlineStr">
        <is>
          <t>Table 10A.5</t>
        </is>
      </c>
      <c r="K2316" s="442" t="inlineStr">
        <is>
          <t>Table 10A.5</t>
        </is>
      </c>
      <c r="L2316" s="442" t="inlineStr">
        <is>
          <t>Table 10A.5</t>
        </is>
      </c>
      <c r="M2316" s="442" t="inlineStr">
        <is>
          <t>Table 10A.5</t>
        </is>
      </c>
      <c r="N2316" s="442" t="inlineStr">
        <is>
          <t>Table 10.10</t>
        </is>
      </c>
      <c r="O2316" s="442" t="inlineStr">
        <is>
          <t>Table 10A.5</t>
        </is>
      </c>
      <c r="P2316" s="442" t="inlineStr">
        <is>
          <t>Table 10A.5</t>
        </is>
      </c>
      <c r="Q2316" s="442" t="inlineStr">
        <is>
          <t>Table 10A.5</t>
        </is>
      </c>
      <c r="R2316" s="442" t="inlineStr">
        <is>
          <t>Table 10.10</t>
        </is>
      </c>
      <c r="S2316" s="442" t="n"/>
      <c r="T2316" s="442" t="n"/>
      <c r="U2316" s="442" t="n"/>
      <c r="V2316" s="442" t="n"/>
      <c r="W2316" s="442" t="n"/>
      <c r="X2316" s="442" t="n"/>
    </row>
    <row r="2317" ht="16" customFormat="1" customHeight="1" s="291">
      <c r="A2317" s="1632" t="inlineStr">
        <is>
          <t>Please select</t>
        </is>
      </c>
      <c r="B2317" s="1633" t="inlineStr">
        <is>
          <t>Dairy cattle</t>
        </is>
      </c>
      <c r="C2317" s="1633" t="inlineStr">
        <is>
          <t>Other cattle</t>
        </is>
      </c>
      <c r="D2317" s="1633" t="inlineStr">
        <is>
          <t>Dairy buffalo</t>
        </is>
      </c>
      <c r="E2317" s="1633" t="inlineStr">
        <is>
          <t>Other buffalo</t>
        </is>
      </c>
      <c r="F2317" s="419" t="inlineStr">
        <is>
          <t>Dairy sheep</t>
        </is>
      </c>
      <c r="G2317" s="1633" t="inlineStr">
        <is>
          <t>Other sheep</t>
        </is>
      </c>
      <c r="H2317" s="291" t="inlineStr">
        <is>
          <t>Growing swine</t>
        </is>
      </c>
      <c r="I2317" s="1633" t="inlineStr">
        <is>
          <t>Breeding swine</t>
        </is>
      </c>
      <c r="J2317" s="1633" t="inlineStr">
        <is>
          <t>Goats</t>
        </is>
      </c>
      <c r="K2317" s="1633" t="inlineStr">
        <is>
          <t>Horses</t>
        </is>
      </c>
      <c r="L2317" s="1633" t="inlineStr">
        <is>
          <t>Camels</t>
        </is>
      </c>
      <c r="M2317" s="1633" t="inlineStr">
        <is>
          <t>Mules and Asses</t>
        </is>
      </c>
      <c r="N2317" s="1633" t="inlineStr">
        <is>
          <t>Deer</t>
        </is>
      </c>
      <c r="O2317" s="1633" t="inlineStr">
        <is>
          <t>Ostrich</t>
        </is>
      </c>
      <c r="P2317" s="1633" t="inlineStr">
        <is>
          <t>Chicken layer</t>
        </is>
      </c>
      <c r="Q2317" s="1633" t="inlineStr">
        <is>
          <t>Chicken broiler</t>
        </is>
      </c>
      <c r="R2317" s="1633" t="inlineStr">
        <is>
          <t>Llamas and Alpacas</t>
        </is>
      </c>
      <c r="S2317" s="1634" t="inlineStr">
        <is>
          <t>Other (Please specify in Tier 2)</t>
        </is>
      </c>
      <c r="T2317" s="453" t="n"/>
      <c r="U2317" s="453" t="n"/>
      <c r="V2317" s="453" t="n"/>
      <c r="W2317" s="453" t="n"/>
      <c r="X2317" s="453" t="n"/>
      <c r="Y2317" s="453" t="n"/>
      <c r="Z2317" s="21" t="n"/>
      <c r="AA2317" s="21" t="n"/>
    </row>
    <row r="2318" ht="16" customFormat="1" customHeight="1" s="1093">
      <c r="A2318" s="533" t="inlineStr">
        <is>
          <t>IPCC Region</t>
        </is>
      </c>
      <c r="B2318" s="31" t="inlineStr">
        <is>
          <t>kg</t>
        </is>
      </c>
      <c r="C2318" s="31" t="inlineStr">
        <is>
          <t>kg</t>
        </is>
      </c>
      <c r="D2318" s="31" t="inlineStr">
        <is>
          <t>kg</t>
        </is>
      </c>
      <c r="E2318" s="31" t="inlineStr">
        <is>
          <t>kg</t>
        </is>
      </c>
      <c r="F2318" s="31" t="inlineStr">
        <is>
          <t>kg</t>
        </is>
      </c>
      <c r="G2318" s="31" t="inlineStr">
        <is>
          <t>kg</t>
        </is>
      </c>
      <c r="H2318" s="31" t="inlineStr">
        <is>
          <t>kg</t>
        </is>
      </c>
      <c r="I2318" s="31" t="inlineStr">
        <is>
          <t>kg</t>
        </is>
      </c>
      <c r="J2318" s="31" t="inlineStr">
        <is>
          <t>kg</t>
        </is>
      </c>
      <c r="K2318" s="31" t="inlineStr">
        <is>
          <t>kg</t>
        </is>
      </c>
      <c r="L2318" s="31" t="inlineStr">
        <is>
          <t>kg</t>
        </is>
      </c>
      <c r="M2318" s="31" t="inlineStr">
        <is>
          <t>kg</t>
        </is>
      </c>
      <c r="N2318" s="31" t="inlineStr">
        <is>
          <t>kg</t>
        </is>
      </c>
      <c r="O2318" s="31" t="inlineStr">
        <is>
          <t>kg</t>
        </is>
      </c>
      <c r="P2318" s="31" t="inlineStr">
        <is>
          <t>kg</t>
        </is>
      </c>
      <c r="Q2318" s="31" t="inlineStr">
        <is>
          <t>kg</t>
        </is>
      </c>
      <c r="R2318" s="426" t="inlineStr">
        <is>
          <t>kg</t>
        </is>
      </c>
      <c r="S2318" s="1631" t="inlineStr">
        <is>
          <t>kg</t>
        </is>
      </c>
      <c r="T2318" s="1092" t="n"/>
      <c r="U2318" s="1092" t="n"/>
      <c r="V2318" s="1092" t="n"/>
      <c r="W2318" s="1092" t="n"/>
      <c r="X2318" s="1092" t="n"/>
      <c r="Y2318" s="1092" t="n"/>
    </row>
    <row r="2319" ht="19" customFormat="1" customHeight="1" s="21">
      <c r="A2319" s="407" t="inlineStr">
        <is>
          <t>Sub-Saharan Africa</t>
        </is>
      </c>
      <c r="B2319" s="1628" t="n">
        <v>250</v>
      </c>
      <c r="C2319" s="470" t="n">
        <v>302</v>
      </c>
      <c r="D2319" s="470" t="n">
        <v>339</v>
      </c>
      <c r="E2319" s="470" t="n">
        <v>339</v>
      </c>
      <c r="F2319" s="44" t="n">
        <v>31</v>
      </c>
      <c r="G2319" s="44" t="n">
        <v>31</v>
      </c>
      <c r="H2319" s="453" t="n">
        <v>54</v>
      </c>
      <c r="I2319" s="44" t="n">
        <v>200</v>
      </c>
      <c r="J2319" s="44" t="n">
        <v>24</v>
      </c>
      <c r="K2319" s="44" t="n">
        <v>238</v>
      </c>
      <c r="L2319" s="44" t="n">
        <v>217</v>
      </c>
      <c r="M2319" s="44" t="n">
        <v>130</v>
      </c>
      <c r="N2319" s="44" t="n">
        <v>120</v>
      </c>
      <c r="O2319" s="44" t="n">
        <v>120</v>
      </c>
      <c r="P2319" s="44" t="n">
        <v>1</v>
      </c>
      <c r="Q2319" s="44" t="n">
        <v>0.8</v>
      </c>
      <c r="R2319" s="41" t="n">
        <v>65</v>
      </c>
      <c r="S2319" s="418" t="n"/>
      <c r="T2319" s="453" t="n"/>
      <c r="U2319" s="453" t="n"/>
      <c r="V2319" s="453" t="n"/>
      <c r="W2319" s="453" t="n"/>
      <c r="X2319" s="453" t="n"/>
      <c r="Y2319" s="453" t="n"/>
    </row>
    <row r="2320" customFormat="1" s="21">
      <c r="A2320" s="411" t="inlineStr">
        <is>
          <t>East Asia and South-East Asia</t>
        </is>
      </c>
      <c r="B2320" s="467" t="n">
        <v>485</v>
      </c>
      <c r="C2320" s="467" t="n">
        <v>310</v>
      </c>
      <c r="D2320" s="467" t="n">
        <v>336</v>
      </c>
      <c r="E2320" s="467" t="n">
        <v>336</v>
      </c>
      <c r="F2320" s="41" t="n">
        <v>31</v>
      </c>
      <c r="G2320" s="41" t="n">
        <v>31</v>
      </c>
      <c r="H2320" s="453" t="n">
        <v>56</v>
      </c>
      <c r="I2320" s="41" t="n">
        <v>160</v>
      </c>
      <c r="J2320" s="41" t="n">
        <v>24</v>
      </c>
      <c r="K2320" s="41" t="n">
        <v>238</v>
      </c>
      <c r="L2320" s="41" t="n">
        <v>217</v>
      </c>
      <c r="M2320" s="41" t="n">
        <v>130</v>
      </c>
      <c r="N2320" s="41" t="n">
        <v>120</v>
      </c>
      <c r="O2320" s="41" t="n">
        <v>120</v>
      </c>
      <c r="P2320" s="41" t="n">
        <v>1.4</v>
      </c>
      <c r="Q2320" s="41" t="n">
        <v>1</v>
      </c>
      <c r="R2320" s="41" t="n">
        <v>65</v>
      </c>
      <c r="S2320" s="451" t="n"/>
      <c r="T2320" s="453" t="n"/>
      <c r="U2320" s="453" t="n"/>
      <c r="V2320" s="453" t="n"/>
      <c r="W2320" s="453" t="n"/>
      <c r="X2320" s="453" t="n"/>
      <c r="Y2320" s="453" t="n"/>
    </row>
    <row r="2321" customFormat="1" s="21">
      <c r="A2321" s="411" t="inlineStr">
        <is>
          <t>North America</t>
        </is>
      </c>
      <c r="B2321" s="467" t="n">
        <v>650</v>
      </c>
      <c r="C2321" s="467" t="n">
        <v>407</v>
      </c>
      <c r="D2321" s="467" t="n">
        <v>0</v>
      </c>
      <c r="E2321" s="467" t="n">
        <v>0</v>
      </c>
      <c r="F2321" s="41" t="n">
        <v>40</v>
      </c>
      <c r="G2321" s="41" t="n">
        <v>40</v>
      </c>
      <c r="H2321" s="453" t="n">
        <v>61</v>
      </c>
      <c r="I2321" s="41" t="n">
        <v>184</v>
      </c>
      <c r="J2321" s="41" t="n">
        <v>41</v>
      </c>
      <c r="K2321" s="41" t="n">
        <v>377</v>
      </c>
      <c r="L2321" s="41" t="n">
        <v>217</v>
      </c>
      <c r="M2321" s="41" t="n">
        <v>130</v>
      </c>
      <c r="N2321" s="41" t="n">
        <v>120</v>
      </c>
      <c r="O2321" s="41" t="n">
        <v>120</v>
      </c>
      <c r="P2321" s="41" t="n">
        <v>1.4</v>
      </c>
      <c r="Q2321" s="41" t="n">
        <v>1.4</v>
      </c>
      <c r="R2321" s="41" t="n">
        <v>65</v>
      </c>
      <c r="S2321" s="451" t="n"/>
      <c r="T2321" s="453" t="n"/>
      <c r="U2321" s="453" t="n"/>
      <c r="V2321" s="453" t="n"/>
      <c r="W2321" s="453" t="n"/>
      <c r="X2321" s="453" t="n"/>
      <c r="Y2321" s="453" t="n"/>
    </row>
    <row r="2322" customFormat="1" s="21">
      <c r="A2322" s="411" t="inlineStr">
        <is>
          <t>Latin America and the Caribbean</t>
        </is>
      </c>
      <c r="B2322" s="41" t="n">
        <v>520</v>
      </c>
      <c r="C2322" s="41" t="n">
        <v>329</v>
      </c>
      <c r="D2322" s="41" t="n">
        <v>315</v>
      </c>
      <c r="E2322" s="41" t="n">
        <v>315</v>
      </c>
      <c r="F2322" s="41" t="n">
        <v>31</v>
      </c>
      <c r="G2322" s="41" t="n">
        <v>31</v>
      </c>
      <c r="H2322" s="453" t="n">
        <v>59</v>
      </c>
      <c r="I2322" s="41" t="n">
        <v>205</v>
      </c>
      <c r="J2322" s="41" t="n">
        <v>24</v>
      </c>
      <c r="K2322" s="41" t="n">
        <v>238</v>
      </c>
      <c r="L2322" s="41" t="n">
        <v>217</v>
      </c>
      <c r="M2322" s="41" t="n">
        <v>130</v>
      </c>
      <c r="N2322" s="41" t="n">
        <v>120</v>
      </c>
      <c r="O2322" s="41" t="n">
        <v>120</v>
      </c>
      <c r="P2322" s="41" t="n">
        <v>1.3</v>
      </c>
      <c r="Q2322" s="41" t="n">
        <v>1.2</v>
      </c>
      <c r="R2322" s="41" t="n">
        <v>65</v>
      </c>
      <c r="S2322" s="451" t="n"/>
      <c r="T2322" s="453" t="n"/>
      <c r="U2322" s="453" t="n"/>
      <c r="V2322" s="453" t="n"/>
      <c r="W2322" s="453" t="n"/>
      <c r="X2322" s="453" t="n"/>
      <c r="Y2322" s="453" t="n"/>
    </row>
    <row r="2323" customFormat="1" s="21">
      <c r="A2323" s="411" t="inlineStr">
        <is>
          <t>Western Europe</t>
        </is>
      </c>
      <c r="B2323" s="467" t="n">
        <v>600</v>
      </c>
      <c r="C2323" s="467" t="n">
        <v>405</v>
      </c>
      <c r="D2323" s="467" t="n">
        <v>509</v>
      </c>
      <c r="E2323" s="467" t="n">
        <v>509</v>
      </c>
      <c r="F2323" s="41" t="n">
        <v>40</v>
      </c>
      <c r="G2323" s="41" t="n">
        <v>40</v>
      </c>
      <c r="H2323" s="453" t="n">
        <v>61</v>
      </c>
      <c r="I2323" s="41" t="n">
        <v>190</v>
      </c>
      <c r="J2323" s="41" t="n">
        <v>40</v>
      </c>
      <c r="K2323" s="41" t="n">
        <v>377</v>
      </c>
      <c r="L2323" s="41" t="n">
        <v>217</v>
      </c>
      <c r="M2323" s="41" t="n">
        <v>130</v>
      </c>
      <c r="N2323" s="41" t="n">
        <v>120</v>
      </c>
      <c r="O2323" s="41" t="n">
        <v>120</v>
      </c>
      <c r="P2323" s="41" t="n">
        <v>1.4</v>
      </c>
      <c r="Q2323" s="41" t="n">
        <v>1.2</v>
      </c>
      <c r="R2323" s="41" t="n">
        <v>65</v>
      </c>
      <c r="S2323" s="451" t="n"/>
      <c r="T2323" s="453" t="n"/>
      <c r="U2323" s="453" t="n"/>
      <c r="V2323" s="453" t="n"/>
      <c r="W2323" s="453" t="n"/>
      <c r="X2323" s="453" t="n"/>
      <c r="Y2323" s="453" t="n"/>
    </row>
    <row r="2324" customFormat="1" s="21">
      <c r="A2324" s="411" t="inlineStr">
        <is>
          <t>Eastern Europe</t>
        </is>
      </c>
      <c r="B2324" s="41" t="n">
        <v>550</v>
      </c>
      <c r="C2324" s="41" t="n">
        <v>389</v>
      </c>
      <c r="D2324" s="41" t="n">
        <v>467</v>
      </c>
      <c r="E2324" s="41" t="n">
        <v>467</v>
      </c>
      <c r="F2324" s="41" t="n">
        <v>40</v>
      </c>
      <c r="G2324" s="41" t="n">
        <v>40</v>
      </c>
      <c r="H2324" s="453" t="n">
        <v>59</v>
      </c>
      <c r="I2324" s="41" t="n">
        <v>204</v>
      </c>
      <c r="J2324" s="41" t="n">
        <v>36</v>
      </c>
      <c r="K2324" s="41" t="n">
        <v>377</v>
      </c>
      <c r="L2324" s="41" t="n">
        <v>217</v>
      </c>
      <c r="M2324" s="41" t="n">
        <v>130</v>
      </c>
      <c r="N2324" s="41" t="n">
        <v>120</v>
      </c>
      <c r="O2324" s="41" t="n">
        <v>120</v>
      </c>
      <c r="P2324" s="41" t="n">
        <v>1.3</v>
      </c>
      <c r="Q2324" s="41" t="n">
        <v>1.1</v>
      </c>
      <c r="R2324" s="41" t="n">
        <v>65</v>
      </c>
      <c r="S2324" s="451" t="n"/>
      <c r="T2324" s="453" t="n"/>
      <c r="U2324" s="453" t="n"/>
      <c r="V2324" s="453" t="n"/>
      <c r="W2324" s="453" t="n"/>
      <c r="X2324" s="453" t="n"/>
      <c r="Y2324" s="453" t="n"/>
    </row>
    <row r="2325" customFormat="1" s="21">
      <c r="A2325" s="411" t="inlineStr">
        <is>
          <t>Russian Federation</t>
        </is>
      </c>
      <c r="B2325" s="41" t="n">
        <v>550</v>
      </c>
      <c r="C2325" s="41" t="n">
        <v>389</v>
      </c>
      <c r="D2325" s="41" t="n">
        <v>467</v>
      </c>
      <c r="E2325" s="41" t="n">
        <v>467</v>
      </c>
      <c r="F2325" s="41" t="n">
        <v>40</v>
      </c>
      <c r="G2325" s="41" t="n">
        <v>40</v>
      </c>
      <c r="H2325" s="453" t="n">
        <v>59</v>
      </c>
      <c r="I2325" s="41" t="n">
        <v>204</v>
      </c>
      <c r="J2325" s="41" t="n">
        <v>36</v>
      </c>
      <c r="K2325" s="41" t="n">
        <v>377</v>
      </c>
      <c r="L2325" s="41" t="n">
        <v>217</v>
      </c>
      <c r="M2325" s="41" t="n">
        <v>130</v>
      </c>
      <c r="N2325" s="41" t="n">
        <v>120</v>
      </c>
      <c r="O2325" s="41" t="n">
        <v>120</v>
      </c>
      <c r="P2325" s="41" t="n">
        <v>1.3</v>
      </c>
      <c r="Q2325" s="41" t="n">
        <v>1.1</v>
      </c>
      <c r="R2325" s="41" t="n">
        <v>65</v>
      </c>
      <c r="S2325" s="451" t="n"/>
      <c r="T2325" s="453" t="n"/>
      <c r="U2325" s="453" t="n"/>
      <c r="V2325" s="453" t="n"/>
      <c r="W2325" s="453" t="n"/>
      <c r="X2325" s="453" t="n"/>
      <c r="Y2325" s="453" t="n"/>
    </row>
    <row r="2326" customFormat="1" s="21">
      <c r="A2326" s="411" t="inlineStr">
        <is>
          <t>Oceania</t>
        </is>
      </c>
      <c r="B2326" s="41" t="n">
        <v>488</v>
      </c>
      <c r="C2326" s="41" t="n">
        <v>359</v>
      </c>
      <c r="D2326" s="41" t="n">
        <v>0</v>
      </c>
      <c r="E2326" s="41" t="n">
        <v>0</v>
      </c>
      <c r="F2326" s="41" t="n">
        <v>40</v>
      </c>
      <c r="G2326" s="41" t="n">
        <v>40</v>
      </c>
      <c r="H2326" s="453" t="n">
        <v>41</v>
      </c>
      <c r="I2326" s="41" t="n">
        <v>163</v>
      </c>
      <c r="J2326" s="41" t="n">
        <v>33</v>
      </c>
      <c r="K2326" s="41" t="n">
        <v>377</v>
      </c>
      <c r="L2326" s="41" t="n">
        <v>217</v>
      </c>
      <c r="M2326" s="41" t="n">
        <v>130</v>
      </c>
      <c r="N2326" s="41" t="n">
        <v>120</v>
      </c>
      <c r="O2326" s="41" t="n">
        <v>120</v>
      </c>
      <c r="P2326" s="41" t="n">
        <v>1.3</v>
      </c>
      <c r="Q2326" s="41" t="n">
        <v>1.2</v>
      </c>
      <c r="R2326" s="41" t="n">
        <v>65</v>
      </c>
      <c r="S2326" s="451" t="n"/>
    </row>
    <row r="2327" customFormat="1" s="453">
      <c r="A2327" s="411" t="inlineStr">
        <is>
          <t>NENA/Middle East</t>
        </is>
      </c>
      <c r="B2327" s="41" t="n">
        <v>510</v>
      </c>
      <c r="C2327" s="41" t="n">
        <v>362</v>
      </c>
      <c r="D2327" s="41" t="n">
        <v>381</v>
      </c>
      <c r="E2327" s="41" t="n">
        <v>381</v>
      </c>
      <c r="F2327" s="41" t="n">
        <v>31</v>
      </c>
      <c r="G2327" s="41" t="n">
        <v>31</v>
      </c>
      <c r="H2327" s="453" t="n">
        <v>60</v>
      </c>
      <c r="I2327" s="41" t="n">
        <v>157</v>
      </c>
      <c r="J2327" s="41" t="n">
        <v>24</v>
      </c>
      <c r="K2327" s="41" t="n">
        <v>238</v>
      </c>
      <c r="L2327" s="41" t="n">
        <v>217</v>
      </c>
      <c r="M2327" s="41" t="n">
        <v>130</v>
      </c>
      <c r="N2327" s="41" t="n">
        <v>120</v>
      </c>
      <c r="O2327" s="41" t="n">
        <v>120</v>
      </c>
      <c r="P2327" s="41" t="n">
        <v>1.2</v>
      </c>
      <c r="Q2327" s="41" t="n">
        <v>1</v>
      </c>
      <c r="R2327" s="41" t="n">
        <v>65</v>
      </c>
      <c r="S2327" s="451" t="n"/>
    </row>
    <row r="2328" ht="19" customFormat="1" customHeight="1" s="453">
      <c r="A2328" s="411" t="inlineStr">
        <is>
          <t>South Asia</t>
        </is>
      </c>
      <c r="B2328" s="41" t="n">
        <v>350</v>
      </c>
      <c r="C2328" s="1638" t="n">
        <v>167</v>
      </c>
      <c r="D2328" s="41" t="n">
        <v>321</v>
      </c>
      <c r="E2328" s="41" t="n">
        <v>321</v>
      </c>
      <c r="F2328" s="42" t="n">
        <v>31</v>
      </c>
      <c r="G2328" s="42" t="n">
        <v>31</v>
      </c>
      <c r="H2328" s="453" t="n">
        <v>55</v>
      </c>
      <c r="I2328" s="42" t="n">
        <v>162</v>
      </c>
      <c r="J2328" s="42" t="n">
        <v>24</v>
      </c>
      <c r="K2328" s="42" t="n">
        <v>238</v>
      </c>
      <c r="L2328" s="42" t="n">
        <v>217</v>
      </c>
      <c r="M2328" s="42" t="n">
        <v>130</v>
      </c>
      <c r="N2328" s="42" t="n">
        <v>120</v>
      </c>
      <c r="O2328" s="42" t="n">
        <v>120</v>
      </c>
      <c r="P2328" s="42" t="n">
        <v>1.2</v>
      </c>
      <c r="Q2328" s="42" t="n">
        <v>1</v>
      </c>
      <c r="R2328" s="41" t="n">
        <v>65</v>
      </c>
      <c r="S2328" s="460" t="n"/>
    </row>
    <row r="2329" customFormat="1" s="535">
      <c r="A2329" s="518" t="inlineStr">
        <is>
          <t xml:space="preserve">Notes </t>
        </is>
      </c>
      <c r="F2329" s="1624" t="n"/>
      <c r="G2329" s="1624" t="n"/>
      <c r="H2329" s="1624" t="n"/>
      <c r="I2329" s="1624" t="n"/>
      <c r="J2329" s="1624" t="n"/>
      <c r="K2329" s="1624" t="n"/>
      <c r="L2329" s="1624" t="n"/>
      <c r="M2329" s="1624" t="n"/>
      <c r="N2329" s="1624" t="n"/>
      <c r="O2329" s="1624" t="n"/>
    </row>
    <row r="2330" customFormat="1" s="292"/>
    <row r="2332" customFormat="1" s="125">
      <c r="A2332" s="377" t="inlineStr">
        <is>
          <t>TAM</t>
        </is>
      </c>
      <c r="D2332" s="1075" t="n"/>
      <c r="E2332" s="1075" t="n"/>
      <c r="F2332" s="1075" t="n"/>
      <c r="G2332" s="1075" t="n"/>
      <c r="H2332" s="1075" t="n"/>
      <c r="I2332" s="1075" t="n"/>
      <c r="J2332" s="1075" t="n"/>
    </row>
    <row r="2333" ht="16.25" customFormat="1" customHeight="1" s="773">
      <c r="A2333" s="753" t="inlineStr">
        <is>
          <t>Low-productivity</t>
        </is>
      </c>
      <c r="B2333" s="442" t="inlineStr">
        <is>
          <t>Table 10A.5</t>
        </is>
      </c>
      <c r="C2333" s="442" t="inlineStr">
        <is>
          <t>Table 10A.5</t>
        </is>
      </c>
      <c r="D2333" s="442" t="inlineStr">
        <is>
          <t>Table 10A.5</t>
        </is>
      </c>
      <c r="E2333" s="442" t="inlineStr">
        <is>
          <t>Table 10A.5</t>
        </is>
      </c>
      <c r="F2333" s="442" t="inlineStr">
        <is>
          <t>Table 10A.5</t>
        </is>
      </c>
      <c r="G2333" s="442" t="inlineStr">
        <is>
          <t>Table 10A.5</t>
        </is>
      </c>
      <c r="H2333" s="442" t="inlineStr">
        <is>
          <t>Table 10A.5</t>
        </is>
      </c>
      <c r="I2333" s="442" t="inlineStr">
        <is>
          <t>Table 10A.5</t>
        </is>
      </c>
      <c r="J2333" s="442" t="inlineStr">
        <is>
          <t>Table 10A.5</t>
        </is>
      </c>
      <c r="K2333" s="442" t="inlineStr">
        <is>
          <t>Table 10A.5</t>
        </is>
      </c>
      <c r="L2333" s="442" t="inlineStr">
        <is>
          <t>Table 10A.5</t>
        </is>
      </c>
      <c r="M2333" s="442" t="inlineStr">
        <is>
          <t>Table 10A.5</t>
        </is>
      </c>
      <c r="N2333" s="442" t="inlineStr">
        <is>
          <t>Table 10.10</t>
        </is>
      </c>
      <c r="O2333" s="442" t="inlineStr">
        <is>
          <t>Table 10A.5</t>
        </is>
      </c>
      <c r="P2333" s="442" t="inlineStr">
        <is>
          <t>Table 10A.5</t>
        </is>
      </c>
      <c r="Q2333" s="442" t="inlineStr">
        <is>
          <t>Table 10A.5</t>
        </is>
      </c>
      <c r="R2333" s="442" t="inlineStr">
        <is>
          <t>Table 10.10</t>
        </is>
      </c>
      <c r="S2333" s="442" t="n"/>
      <c r="T2333" s="442" t="n"/>
      <c r="U2333" s="442" t="n"/>
      <c r="V2333" s="442" t="n"/>
      <c r="W2333" s="442" t="n"/>
    </row>
    <row r="2334" ht="16" customFormat="1" customHeight="1" s="291">
      <c r="A2334" s="1632" t="inlineStr">
        <is>
          <t>Please select</t>
        </is>
      </c>
      <c r="B2334" s="1633" t="inlineStr">
        <is>
          <t>Dairy cattle</t>
        </is>
      </c>
      <c r="C2334" s="1633" t="inlineStr">
        <is>
          <t>Other cattle</t>
        </is>
      </c>
      <c r="D2334" s="1633" t="inlineStr">
        <is>
          <t>Dairy buffalo</t>
        </is>
      </c>
      <c r="E2334" s="1633" t="inlineStr">
        <is>
          <t>Other buffalo</t>
        </is>
      </c>
      <c r="F2334" s="419" t="inlineStr">
        <is>
          <t>Dairy sheep</t>
        </is>
      </c>
      <c r="G2334" s="1633" t="inlineStr">
        <is>
          <t>Other sheep</t>
        </is>
      </c>
      <c r="H2334" s="291" t="inlineStr">
        <is>
          <t>Growing swine</t>
        </is>
      </c>
      <c r="I2334" s="1633" t="inlineStr">
        <is>
          <t>Breeding swine</t>
        </is>
      </c>
      <c r="J2334" s="1633" t="inlineStr">
        <is>
          <t>Goats</t>
        </is>
      </c>
      <c r="K2334" s="1633" t="inlineStr">
        <is>
          <t>Horses</t>
        </is>
      </c>
      <c r="L2334" s="1633" t="inlineStr">
        <is>
          <t>Camels</t>
        </is>
      </c>
      <c r="M2334" s="1633" t="inlineStr">
        <is>
          <t>Mules and Asses</t>
        </is>
      </c>
      <c r="N2334" s="1633" t="inlineStr">
        <is>
          <t>Deer</t>
        </is>
      </c>
      <c r="O2334" s="1633" t="inlineStr">
        <is>
          <t>Ostrich</t>
        </is>
      </c>
      <c r="P2334" s="1633" t="inlineStr">
        <is>
          <t>Chicken layer</t>
        </is>
      </c>
      <c r="Q2334" s="1633" t="inlineStr">
        <is>
          <t>Chicken broiler</t>
        </is>
      </c>
      <c r="R2334" s="1633" t="inlineStr">
        <is>
          <t>Llamas and Alpacas</t>
        </is>
      </c>
      <c r="S2334" s="1633" t="inlineStr">
        <is>
          <t>Other (Please specify in Tier 2)</t>
        </is>
      </c>
      <c r="T2334" s="453" t="n"/>
      <c r="U2334" s="453" t="n"/>
      <c r="V2334" s="453" t="n"/>
      <c r="W2334" s="453" t="n"/>
      <c r="X2334" s="21" t="n"/>
      <c r="Y2334" s="21" t="n"/>
    </row>
    <row r="2335" ht="16" customFormat="1" customHeight="1" s="1093">
      <c r="A2335" s="533" t="inlineStr">
        <is>
          <t>IPCC Region</t>
        </is>
      </c>
      <c r="B2335" s="31" t="inlineStr">
        <is>
          <t>kg</t>
        </is>
      </c>
      <c r="C2335" s="31" t="inlineStr">
        <is>
          <t>kg</t>
        </is>
      </c>
      <c r="D2335" s="31" t="inlineStr">
        <is>
          <t>kg</t>
        </is>
      </c>
      <c r="E2335" s="31" t="inlineStr">
        <is>
          <t>kg</t>
        </is>
      </c>
      <c r="F2335" s="31" t="inlineStr">
        <is>
          <t>kg</t>
        </is>
      </c>
      <c r="G2335" s="31" t="inlineStr">
        <is>
          <t>kg</t>
        </is>
      </c>
      <c r="H2335" s="31" t="inlineStr">
        <is>
          <t>kg</t>
        </is>
      </c>
      <c r="I2335" s="31" t="inlineStr">
        <is>
          <t>kg</t>
        </is>
      </c>
      <c r="J2335" s="31" t="inlineStr">
        <is>
          <t>kg</t>
        </is>
      </c>
      <c r="K2335" s="31" t="inlineStr">
        <is>
          <t>kg</t>
        </is>
      </c>
      <c r="L2335" s="31" t="inlineStr">
        <is>
          <t>kg</t>
        </is>
      </c>
      <c r="M2335" s="31" t="inlineStr">
        <is>
          <t>kg</t>
        </is>
      </c>
      <c r="N2335" s="31" t="inlineStr">
        <is>
          <t>kg</t>
        </is>
      </c>
      <c r="O2335" s="31" t="inlineStr">
        <is>
          <t>kg</t>
        </is>
      </c>
      <c r="P2335" s="31" t="inlineStr">
        <is>
          <t>kg</t>
        </is>
      </c>
      <c r="Q2335" s="31" t="inlineStr">
        <is>
          <t>kg</t>
        </is>
      </c>
      <c r="R2335" s="426" t="inlineStr">
        <is>
          <t>kg</t>
        </is>
      </c>
      <c r="S2335" s="41" t="inlineStr">
        <is>
          <t>kg</t>
        </is>
      </c>
      <c r="T2335" s="1092" t="n"/>
      <c r="U2335" s="1092" t="n"/>
      <c r="V2335" s="1092" t="n"/>
      <c r="W2335" s="1092" t="n"/>
    </row>
    <row r="2336" ht="19" customFormat="1" customHeight="1" s="21">
      <c r="A2336" s="407" t="inlineStr">
        <is>
          <t>Sub-Saharan Africa</t>
        </is>
      </c>
      <c r="B2336" s="1628" t="n">
        <v>270</v>
      </c>
      <c r="C2336" s="470" t="n">
        <v>208</v>
      </c>
      <c r="D2336" s="470" t="n">
        <v>339</v>
      </c>
      <c r="E2336" s="470" t="n">
        <v>339</v>
      </c>
      <c r="F2336" s="44" t="n">
        <v>31</v>
      </c>
      <c r="G2336" s="44" t="n">
        <v>31</v>
      </c>
      <c r="H2336" s="453" t="n">
        <v>33</v>
      </c>
      <c r="I2336" s="44" t="n">
        <v>61</v>
      </c>
      <c r="J2336" s="44" t="n">
        <v>24</v>
      </c>
      <c r="K2336" s="44" t="n">
        <v>238</v>
      </c>
      <c r="L2336" s="44" t="n">
        <v>217</v>
      </c>
      <c r="M2336" s="44" t="n">
        <v>130</v>
      </c>
      <c r="N2336" s="44" t="n">
        <v>120</v>
      </c>
      <c r="O2336" s="44" t="n">
        <v>120</v>
      </c>
      <c r="P2336" s="44" t="n">
        <v>0.8</v>
      </c>
      <c r="Q2336" s="44" t="n">
        <v>0.7</v>
      </c>
      <c r="R2336" s="41" t="n">
        <v>65</v>
      </c>
      <c r="S2336" s="41" t="n"/>
      <c r="T2336" s="453" t="n"/>
      <c r="U2336" s="453" t="n"/>
      <c r="V2336" s="453" t="n"/>
      <c r="W2336" s="453" t="n"/>
    </row>
    <row r="2337" customFormat="1" s="21">
      <c r="A2337" s="411" t="inlineStr">
        <is>
          <t>East Asia and South-East Asia</t>
        </is>
      </c>
      <c r="B2337" s="467" t="n">
        <v>355</v>
      </c>
      <c r="C2337" s="467" t="n">
        <v>296</v>
      </c>
      <c r="D2337" s="467" t="n">
        <v>336</v>
      </c>
      <c r="E2337" s="467" t="n">
        <v>336</v>
      </c>
      <c r="F2337" s="41" t="n">
        <v>31</v>
      </c>
      <c r="G2337" s="41" t="n">
        <v>31</v>
      </c>
      <c r="H2337" s="453" t="n">
        <v>44</v>
      </c>
      <c r="I2337" s="41" t="n">
        <v>102</v>
      </c>
      <c r="J2337" s="41" t="n">
        <v>24</v>
      </c>
      <c r="K2337" s="41" t="n">
        <v>238</v>
      </c>
      <c r="L2337" s="41" t="n">
        <v>217</v>
      </c>
      <c r="M2337" s="41" t="n">
        <v>130</v>
      </c>
      <c r="N2337" s="41" t="n">
        <v>120</v>
      </c>
      <c r="O2337" s="41" t="n">
        <v>120</v>
      </c>
      <c r="P2337" s="41" t="n">
        <v>1</v>
      </c>
      <c r="Q2337" s="41" t="n">
        <v>0.7</v>
      </c>
      <c r="R2337" s="41" t="n">
        <v>65</v>
      </c>
      <c r="S2337" s="41" t="n"/>
      <c r="T2337" s="453" t="n"/>
      <c r="U2337" s="453" t="n"/>
      <c r="V2337" s="453" t="n"/>
      <c r="W2337" s="453" t="n"/>
    </row>
    <row r="2338" customFormat="1" s="21">
      <c r="A2338" s="411" t="inlineStr">
        <is>
          <t>North America</t>
        </is>
      </c>
      <c r="B2338" s="467" t="n">
        <v>650</v>
      </c>
      <c r="C2338" s="467" t="n">
        <v>407</v>
      </c>
      <c r="D2338" s="467" t="n">
        <v>0</v>
      </c>
      <c r="E2338" s="467" t="n">
        <v>0</v>
      </c>
      <c r="F2338" s="41" t="n">
        <v>40</v>
      </c>
      <c r="G2338" s="41" t="n">
        <v>40</v>
      </c>
      <c r="H2338" s="453" t="n">
        <v>61</v>
      </c>
      <c r="I2338" s="41" t="n">
        <v>184</v>
      </c>
      <c r="J2338" s="41" t="n">
        <v>41</v>
      </c>
      <c r="K2338" s="41" t="n">
        <v>377</v>
      </c>
      <c r="L2338" s="41" t="n">
        <v>217</v>
      </c>
      <c r="M2338" s="41" t="n">
        <v>130</v>
      </c>
      <c r="N2338" s="41" t="n">
        <v>120</v>
      </c>
      <c r="O2338" s="41" t="n">
        <v>120</v>
      </c>
      <c r="P2338" s="41" t="n">
        <v>1.4</v>
      </c>
      <c r="Q2338" s="41" t="n">
        <v>1.4</v>
      </c>
      <c r="R2338" s="41" t="n">
        <v>65</v>
      </c>
      <c r="S2338" s="41" t="n"/>
      <c r="T2338" s="453" t="n"/>
      <c r="U2338" s="453" t="n"/>
      <c r="V2338" s="453" t="n"/>
      <c r="W2338" s="453" t="n"/>
    </row>
    <row r="2339" customFormat="1" s="21">
      <c r="A2339" s="411" t="inlineStr">
        <is>
          <t>Latin America and the Caribbean</t>
        </is>
      </c>
      <c r="B2339" s="41" t="n">
        <v>500</v>
      </c>
      <c r="C2339" s="41" t="n">
        <v>295</v>
      </c>
      <c r="D2339" s="41" t="n">
        <v>315</v>
      </c>
      <c r="E2339" s="41" t="n">
        <v>315</v>
      </c>
      <c r="F2339" s="41" t="n">
        <v>31</v>
      </c>
      <c r="G2339" s="41" t="n">
        <v>31</v>
      </c>
      <c r="H2339" s="453" t="n">
        <v>47</v>
      </c>
      <c r="I2339" s="41" t="n">
        <v>121</v>
      </c>
      <c r="J2339" s="41" t="n">
        <v>24</v>
      </c>
      <c r="K2339" s="41" t="n">
        <v>238</v>
      </c>
      <c r="L2339" s="41" t="n">
        <v>217</v>
      </c>
      <c r="M2339" s="41" t="n">
        <v>130</v>
      </c>
      <c r="N2339" s="41" t="n">
        <v>120</v>
      </c>
      <c r="O2339" s="41" t="n">
        <v>120</v>
      </c>
      <c r="P2339" s="41" t="n">
        <v>0.9</v>
      </c>
      <c r="Q2339" s="41" t="n">
        <v>0.7</v>
      </c>
      <c r="R2339" s="41" t="n">
        <v>65</v>
      </c>
      <c r="S2339" s="41" t="n"/>
      <c r="T2339" s="453" t="n"/>
      <c r="U2339" s="453" t="n"/>
      <c r="V2339" s="453" t="n"/>
      <c r="W2339" s="453" t="n"/>
    </row>
    <row r="2340" customFormat="1" s="21">
      <c r="A2340" s="411" t="inlineStr">
        <is>
          <t>Western Europe</t>
        </is>
      </c>
      <c r="B2340" s="467" t="n">
        <v>600</v>
      </c>
      <c r="C2340" s="467" t="n">
        <v>405</v>
      </c>
      <c r="D2340" s="467" t="n">
        <v>509</v>
      </c>
      <c r="E2340" s="467" t="n">
        <v>509</v>
      </c>
      <c r="F2340" s="41" t="n">
        <v>40</v>
      </c>
      <c r="G2340" s="41" t="n">
        <v>40</v>
      </c>
      <c r="H2340" s="453" t="n">
        <v>61</v>
      </c>
      <c r="I2340" s="41" t="n">
        <v>190</v>
      </c>
      <c r="J2340" s="41" t="n">
        <v>40</v>
      </c>
      <c r="K2340" s="41" t="n">
        <v>377</v>
      </c>
      <c r="L2340" s="41" t="n">
        <v>217</v>
      </c>
      <c r="M2340" s="41" t="n">
        <v>130</v>
      </c>
      <c r="N2340" s="41" t="n">
        <v>120</v>
      </c>
      <c r="O2340" s="41" t="n">
        <v>120</v>
      </c>
      <c r="P2340" s="41" t="n">
        <v>1.4</v>
      </c>
      <c r="Q2340" s="41" t="n">
        <v>1.2</v>
      </c>
      <c r="R2340" s="41" t="n">
        <v>65</v>
      </c>
      <c r="S2340" s="41" t="n"/>
      <c r="T2340" s="453" t="n"/>
      <c r="U2340" s="453" t="n"/>
      <c r="V2340" s="453" t="n"/>
      <c r="W2340" s="453" t="n"/>
    </row>
    <row r="2341" customFormat="1" s="21">
      <c r="A2341" s="411" t="inlineStr">
        <is>
          <t>Eastern Europe</t>
        </is>
      </c>
      <c r="B2341" s="41" t="n">
        <v>550</v>
      </c>
      <c r="C2341" s="41" t="n">
        <v>389</v>
      </c>
      <c r="D2341" s="41" t="n">
        <v>467</v>
      </c>
      <c r="E2341" s="41" t="n">
        <v>467</v>
      </c>
      <c r="F2341" s="41" t="n">
        <v>40</v>
      </c>
      <c r="G2341" s="41" t="n">
        <v>40</v>
      </c>
      <c r="H2341" s="453" t="n">
        <v>59</v>
      </c>
      <c r="I2341" s="41" t="n">
        <v>204</v>
      </c>
      <c r="J2341" s="41" t="n">
        <v>36</v>
      </c>
      <c r="K2341" s="41" t="n">
        <v>377</v>
      </c>
      <c r="L2341" s="41" t="n">
        <v>217</v>
      </c>
      <c r="M2341" s="41" t="n">
        <v>130</v>
      </c>
      <c r="N2341" s="41" t="n">
        <v>120</v>
      </c>
      <c r="O2341" s="41" t="n">
        <v>120</v>
      </c>
      <c r="P2341" s="41" t="n">
        <v>1.3</v>
      </c>
      <c r="Q2341" s="41" t="n">
        <v>1.1</v>
      </c>
      <c r="R2341" s="41" t="n">
        <v>65</v>
      </c>
      <c r="S2341" s="41" t="n"/>
      <c r="T2341" s="453" t="n"/>
      <c r="U2341" s="453" t="n"/>
      <c r="V2341" s="453" t="n"/>
      <c r="W2341" s="453" t="n"/>
    </row>
    <row r="2342" customFormat="1" s="21">
      <c r="A2342" s="411" t="inlineStr">
        <is>
          <t>Russian Federation</t>
        </is>
      </c>
      <c r="B2342" s="41" t="n">
        <v>550</v>
      </c>
      <c r="C2342" s="41" t="n">
        <v>389</v>
      </c>
      <c r="D2342" s="41" t="n">
        <v>467</v>
      </c>
      <c r="E2342" s="41" t="n">
        <v>467</v>
      </c>
      <c r="F2342" s="41" t="n">
        <v>40</v>
      </c>
      <c r="G2342" s="41" t="n">
        <v>40</v>
      </c>
      <c r="H2342" s="453" t="n">
        <v>59</v>
      </c>
      <c r="I2342" s="41" t="n">
        <v>204</v>
      </c>
      <c r="J2342" s="41" t="n">
        <v>36</v>
      </c>
      <c r="K2342" s="41" t="n">
        <v>377</v>
      </c>
      <c r="L2342" s="41" t="n">
        <v>217</v>
      </c>
      <c r="M2342" s="41" t="n">
        <v>130</v>
      </c>
      <c r="N2342" s="41" t="n">
        <v>120</v>
      </c>
      <c r="O2342" s="41" t="n">
        <v>120</v>
      </c>
      <c r="P2342" s="41" t="n">
        <v>1.3</v>
      </c>
      <c r="Q2342" s="41" t="n">
        <v>1.1</v>
      </c>
      <c r="R2342" s="41" t="n">
        <v>65</v>
      </c>
      <c r="S2342" s="41" t="n"/>
      <c r="T2342" s="453" t="n"/>
      <c r="U2342" s="453" t="n"/>
      <c r="V2342" s="453" t="n"/>
      <c r="W2342" s="453" t="n"/>
    </row>
    <row r="2343" customFormat="1" s="21">
      <c r="A2343" s="411" t="inlineStr">
        <is>
          <t>Oceania</t>
        </is>
      </c>
      <c r="B2343" s="41" t="n">
        <v>488</v>
      </c>
      <c r="C2343" s="41" t="n">
        <v>359</v>
      </c>
      <c r="D2343" s="41" t="n">
        <v>0</v>
      </c>
      <c r="E2343" s="41" t="n">
        <v>0</v>
      </c>
      <c r="F2343" s="41" t="n">
        <v>40</v>
      </c>
      <c r="G2343" s="41" t="n">
        <v>40</v>
      </c>
      <c r="H2343" s="453" t="n">
        <v>41</v>
      </c>
      <c r="I2343" s="41" t="n">
        <v>163</v>
      </c>
      <c r="J2343" s="41" t="n">
        <v>33</v>
      </c>
      <c r="K2343" s="41" t="n">
        <v>377</v>
      </c>
      <c r="L2343" s="41" t="n">
        <v>217</v>
      </c>
      <c r="M2343" s="41" t="n">
        <v>130</v>
      </c>
      <c r="N2343" s="41" t="n">
        <v>120</v>
      </c>
      <c r="O2343" s="41" t="n">
        <v>120</v>
      </c>
      <c r="P2343" s="41" t="n">
        <v>1.3</v>
      </c>
      <c r="Q2343" s="41" t="n">
        <v>1.2</v>
      </c>
      <c r="R2343" s="41" t="n">
        <v>65</v>
      </c>
      <c r="S2343" s="41" t="n"/>
    </row>
    <row r="2344" customFormat="1" s="453">
      <c r="A2344" s="411" t="inlineStr">
        <is>
          <t>NENA/Middle East</t>
        </is>
      </c>
      <c r="B2344" s="41" t="n">
        <v>270</v>
      </c>
      <c r="C2344" s="41" t="n">
        <v>232</v>
      </c>
      <c r="D2344" s="41" t="n">
        <v>381</v>
      </c>
      <c r="E2344" s="41" t="n">
        <v>381</v>
      </c>
      <c r="F2344" s="41" t="n">
        <v>31</v>
      </c>
      <c r="G2344" s="41" t="n">
        <v>31</v>
      </c>
      <c r="H2344" s="453" t="n">
        <v>48</v>
      </c>
      <c r="I2344" s="41" t="n">
        <v>99</v>
      </c>
      <c r="J2344" s="41" t="n">
        <v>24</v>
      </c>
      <c r="K2344" s="41" t="n">
        <v>238</v>
      </c>
      <c r="L2344" s="41" t="n">
        <v>217</v>
      </c>
      <c r="M2344" s="41" t="n">
        <v>130</v>
      </c>
      <c r="N2344" s="41" t="n">
        <v>120</v>
      </c>
      <c r="O2344" s="41" t="n">
        <v>120</v>
      </c>
      <c r="P2344" s="41" t="n">
        <v>0.7</v>
      </c>
      <c r="Q2344" s="41" t="n">
        <v>0.5</v>
      </c>
      <c r="R2344" s="41" t="n">
        <v>65</v>
      </c>
      <c r="S2344" s="41" t="n"/>
    </row>
    <row r="2345" ht="19" customFormat="1" customHeight="1" s="453">
      <c r="A2345" s="411" t="inlineStr">
        <is>
          <t>South Asia</t>
        </is>
      </c>
      <c r="B2345" s="41" t="n">
        <v>265</v>
      </c>
      <c r="C2345" s="1638" t="n">
        <v>236</v>
      </c>
      <c r="D2345" s="41" t="n">
        <v>321</v>
      </c>
      <c r="E2345" s="41" t="n">
        <v>321</v>
      </c>
      <c r="F2345" s="42" t="n">
        <v>31</v>
      </c>
      <c r="G2345" s="42" t="n">
        <v>31</v>
      </c>
      <c r="H2345" s="453" t="n">
        <v>48</v>
      </c>
      <c r="I2345" s="41" t="n">
        <v>99</v>
      </c>
      <c r="J2345" s="42" t="n">
        <v>24</v>
      </c>
      <c r="K2345" s="42" t="n">
        <v>238</v>
      </c>
      <c r="L2345" s="42" t="n">
        <v>217</v>
      </c>
      <c r="M2345" s="42" t="n">
        <v>130</v>
      </c>
      <c r="N2345" s="41" t="n">
        <v>120</v>
      </c>
      <c r="O2345" s="41" t="n">
        <v>120</v>
      </c>
      <c r="P2345" s="41" t="n">
        <v>0.8</v>
      </c>
      <c r="Q2345" s="42" t="n">
        <v>0.6</v>
      </c>
      <c r="R2345" s="41" t="n">
        <v>65</v>
      </c>
      <c r="S2345" s="41" t="n"/>
    </row>
    <row r="2346" customFormat="1" s="535">
      <c r="A2346" s="518" t="inlineStr">
        <is>
          <t xml:space="preserve">Notes </t>
        </is>
      </c>
      <c r="F2346" s="1624" t="n"/>
      <c r="G2346" s="1624" t="n"/>
      <c r="H2346" s="1624" t="n"/>
      <c r="I2346" s="1624" t="n"/>
      <c r="J2346" s="1624" t="n"/>
      <c r="K2346" s="1624" t="n"/>
      <c r="L2346" s="1624" t="n"/>
      <c r="M2346" s="1624" t="n"/>
      <c r="N2346" s="1624" t="n"/>
      <c r="O2346" s="1624" t="n"/>
    </row>
    <row r="2347" customFormat="1" s="292"/>
    <row r="2349" customFormat="1" s="125">
      <c r="A2349" s="377" t="inlineStr">
        <is>
          <t>TAM</t>
        </is>
      </c>
      <c r="D2349" s="1075" t="n"/>
      <c r="E2349" s="1075" t="n"/>
      <c r="F2349" s="1075" t="n"/>
      <c r="G2349" s="1075" t="n"/>
      <c r="H2349" s="1075" t="n"/>
      <c r="I2349" s="1075" t="n"/>
      <c r="J2349" s="1075" t="n"/>
    </row>
    <row r="2350" ht="16.25" customFormat="1" customHeight="1" s="773">
      <c r="A2350" s="753" t="inlineStr">
        <is>
          <t>Default</t>
        </is>
      </c>
      <c r="B2350" s="442" t="inlineStr">
        <is>
          <t>Table 10A.5</t>
        </is>
      </c>
      <c r="C2350" s="442" t="inlineStr">
        <is>
          <t>Table 10A.5</t>
        </is>
      </c>
      <c r="D2350" s="442" t="inlineStr">
        <is>
          <t>Table 10A.5</t>
        </is>
      </c>
      <c r="E2350" s="442" t="inlineStr">
        <is>
          <t>Table 10A.5</t>
        </is>
      </c>
      <c r="F2350" s="442" t="inlineStr">
        <is>
          <t>Table 10.10</t>
        </is>
      </c>
      <c r="G2350" s="442" t="inlineStr">
        <is>
          <t>Table 10.10</t>
        </is>
      </c>
      <c r="H2350" s="442" t="inlineStr">
        <is>
          <t>Table 10A.5</t>
        </is>
      </c>
      <c r="I2350" s="442" t="inlineStr">
        <is>
          <t>Table 10A.5</t>
        </is>
      </c>
      <c r="J2350" s="442" t="inlineStr">
        <is>
          <t>Table 10.10</t>
        </is>
      </c>
      <c r="K2350" s="442" t="inlineStr">
        <is>
          <t>Table 10.10</t>
        </is>
      </c>
      <c r="L2350" s="442" t="inlineStr">
        <is>
          <t>Table 10.10</t>
        </is>
      </c>
      <c r="M2350" s="442" t="inlineStr">
        <is>
          <t>Table 10.10</t>
        </is>
      </c>
      <c r="N2350" s="442" t="inlineStr">
        <is>
          <t>Table 10.10</t>
        </is>
      </c>
      <c r="O2350" s="442" t="inlineStr">
        <is>
          <t>Table 10A.5</t>
        </is>
      </c>
      <c r="P2350" s="442" t="inlineStr">
        <is>
          <t>Table 10A.5</t>
        </is>
      </c>
      <c r="Q2350" s="442" t="inlineStr">
        <is>
          <t>Table 10A.5</t>
        </is>
      </c>
      <c r="R2350" s="442" t="inlineStr">
        <is>
          <t>Table 10.10</t>
        </is>
      </c>
      <c r="S2350" s="442" t="n"/>
      <c r="T2350" s="442" t="n"/>
      <c r="U2350" s="442" t="n"/>
      <c r="V2350" s="442" t="n"/>
      <c r="W2350" s="442" t="n"/>
      <c r="X2350" s="442" t="n"/>
    </row>
    <row r="2351" ht="16" customFormat="1" customHeight="1" s="291">
      <c r="A2351" s="1632" t="inlineStr">
        <is>
          <t>Please select</t>
        </is>
      </c>
      <c r="B2351" s="1633" t="inlineStr">
        <is>
          <t>Dairy cattle</t>
        </is>
      </c>
      <c r="C2351" s="1633" t="inlineStr">
        <is>
          <t>Other cattle</t>
        </is>
      </c>
      <c r="D2351" s="1633" t="inlineStr">
        <is>
          <t>Dairy buffalo</t>
        </is>
      </c>
      <c r="E2351" s="1633" t="inlineStr">
        <is>
          <t>Other buffalo</t>
        </is>
      </c>
      <c r="F2351" s="419" t="inlineStr">
        <is>
          <t>Dairy sheep</t>
        </is>
      </c>
      <c r="G2351" s="1633" t="inlineStr">
        <is>
          <t>Other sheep</t>
        </is>
      </c>
      <c r="H2351" s="291" t="inlineStr">
        <is>
          <t>Growing swine</t>
        </is>
      </c>
      <c r="I2351" s="1633" t="inlineStr">
        <is>
          <t>Breeding swine</t>
        </is>
      </c>
      <c r="J2351" s="1633" t="inlineStr">
        <is>
          <t>Goats</t>
        </is>
      </c>
      <c r="K2351" s="1633" t="inlineStr">
        <is>
          <t>Horses</t>
        </is>
      </c>
      <c r="L2351" s="1633" t="inlineStr">
        <is>
          <t>Camels</t>
        </is>
      </c>
      <c r="M2351" s="1633" t="inlineStr">
        <is>
          <t>Mules and Asses</t>
        </is>
      </c>
      <c r="N2351" s="1633" t="inlineStr">
        <is>
          <t>Deer</t>
        </is>
      </c>
      <c r="O2351" s="1633" t="inlineStr">
        <is>
          <t>Ostrich</t>
        </is>
      </c>
      <c r="P2351" s="1633" t="inlineStr">
        <is>
          <t>Chicken layer</t>
        </is>
      </c>
      <c r="Q2351" s="1633" t="inlineStr">
        <is>
          <t>Chicken broiler</t>
        </is>
      </c>
      <c r="R2351" s="1633" t="inlineStr">
        <is>
          <t>Llamas and Alpacas</t>
        </is>
      </c>
      <c r="S2351" s="31" t="inlineStr">
        <is>
          <t>Other (Please specify in Tier 2)</t>
        </is>
      </c>
      <c r="T2351" s="453" t="n"/>
      <c r="U2351" s="453" t="n"/>
      <c r="V2351" s="453" t="n"/>
      <c r="W2351" s="453" t="n"/>
      <c r="X2351" s="453" t="n"/>
      <c r="Y2351" s="453" t="n"/>
      <c r="Z2351" s="21" t="n"/>
      <c r="AA2351" s="21" t="n"/>
    </row>
    <row r="2352" ht="16" customFormat="1" customHeight="1" s="1093">
      <c r="A2352" s="533" t="inlineStr">
        <is>
          <t>IPCC Region</t>
        </is>
      </c>
      <c r="B2352" s="31" t="inlineStr">
        <is>
          <t>kg</t>
        </is>
      </c>
      <c r="C2352" s="31" t="inlineStr">
        <is>
          <t>kg</t>
        </is>
      </c>
      <c r="D2352" s="31" t="inlineStr">
        <is>
          <t>kg</t>
        </is>
      </c>
      <c r="E2352" s="31" t="inlineStr">
        <is>
          <t>kg</t>
        </is>
      </c>
      <c r="F2352" s="31" t="inlineStr">
        <is>
          <t>kg</t>
        </is>
      </c>
      <c r="G2352" s="31" t="inlineStr">
        <is>
          <t>kg</t>
        </is>
      </c>
      <c r="H2352" s="31" t="inlineStr">
        <is>
          <t>kg</t>
        </is>
      </c>
      <c r="I2352" s="31" t="inlineStr">
        <is>
          <t>kg</t>
        </is>
      </c>
      <c r="J2352" s="31" t="inlineStr">
        <is>
          <t>kg</t>
        </is>
      </c>
      <c r="K2352" s="31" t="inlineStr">
        <is>
          <t>kg</t>
        </is>
      </c>
      <c r="L2352" s="31" t="inlineStr">
        <is>
          <t>kg</t>
        </is>
      </c>
      <c r="M2352" s="31" t="inlineStr">
        <is>
          <t>kg</t>
        </is>
      </c>
      <c r="N2352" s="31" t="inlineStr">
        <is>
          <t>kg</t>
        </is>
      </c>
      <c r="O2352" s="31" t="inlineStr">
        <is>
          <t>kg</t>
        </is>
      </c>
      <c r="P2352" s="31" t="inlineStr">
        <is>
          <t>kg</t>
        </is>
      </c>
      <c r="Q2352" s="31" t="inlineStr">
        <is>
          <t>kg</t>
        </is>
      </c>
      <c r="R2352" s="426" t="inlineStr">
        <is>
          <t>kg</t>
        </is>
      </c>
      <c r="S2352" s="31" t="inlineStr">
        <is>
          <t>kg</t>
        </is>
      </c>
      <c r="T2352" s="1092" t="n"/>
      <c r="U2352" s="1092" t="n"/>
      <c r="V2352" s="1092" t="n"/>
      <c r="W2352" s="1092" t="n"/>
      <c r="X2352" s="1092" t="n"/>
      <c r="Y2352" s="1092" t="n"/>
    </row>
    <row r="2353" customFormat="1" s="21">
      <c r="A2353" s="407" t="inlineStr">
        <is>
          <t>Sub-Saharan Africa</t>
        </is>
      </c>
      <c r="B2353" s="467" t="n">
        <v>260</v>
      </c>
      <c r="C2353" s="470" t="n">
        <v>236</v>
      </c>
      <c r="D2353" s="470" t="n">
        <v>339</v>
      </c>
      <c r="E2353" s="470" t="n">
        <v>339</v>
      </c>
      <c r="F2353" s="44" t="n">
        <v>31</v>
      </c>
      <c r="G2353" s="44" t="n">
        <v>31</v>
      </c>
      <c r="H2353" s="453" t="n">
        <v>33</v>
      </c>
      <c r="I2353" s="44" t="n">
        <v>61</v>
      </c>
      <c r="J2353" s="44" t="n">
        <v>24</v>
      </c>
      <c r="K2353" s="44" t="n">
        <v>238</v>
      </c>
      <c r="L2353" s="44" t="n">
        <v>217</v>
      </c>
      <c r="M2353" s="44" t="n">
        <v>130</v>
      </c>
      <c r="N2353" s="44" t="n">
        <v>120</v>
      </c>
      <c r="O2353" s="44" t="n">
        <v>120</v>
      </c>
      <c r="P2353" s="44" t="n">
        <v>0.9</v>
      </c>
      <c r="Q2353" s="44" t="n">
        <v>0.8</v>
      </c>
      <c r="R2353" s="41" t="n">
        <v>65</v>
      </c>
      <c r="S2353" s="44" t="n"/>
      <c r="T2353" s="453" t="n"/>
      <c r="U2353" s="453" t="n"/>
      <c r="V2353" s="453" t="n"/>
      <c r="W2353" s="453" t="n"/>
      <c r="X2353" s="453" t="n"/>
      <c r="Y2353" s="453" t="n"/>
    </row>
    <row r="2354" customFormat="1" s="21">
      <c r="A2354" s="411" t="inlineStr">
        <is>
          <t>East Asia and South-East Asia</t>
        </is>
      </c>
      <c r="B2354" s="467" t="n">
        <v>386</v>
      </c>
      <c r="C2354" s="467" t="n">
        <v>299</v>
      </c>
      <c r="D2354" s="467" t="n">
        <v>336</v>
      </c>
      <c r="E2354" s="467" t="n">
        <v>336</v>
      </c>
      <c r="F2354" s="41" t="n">
        <v>31</v>
      </c>
      <c r="G2354" s="41" t="n">
        <v>31</v>
      </c>
      <c r="H2354" s="453" t="n">
        <v>44</v>
      </c>
      <c r="I2354" s="41" t="n">
        <v>102</v>
      </c>
      <c r="J2354" s="41" t="n">
        <v>24</v>
      </c>
      <c r="K2354" s="41" t="n">
        <v>238</v>
      </c>
      <c r="L2354" s="41" t="n">
        <v>217</v>
      </c>
      <c r="M2354" s="41" t="n">
        <v>130</v>
      </c>
      <c r="N2354" s="41" t="n">
        <v>120</v>
      </c>
      <c r="O2354" s="41" t="n">
        <v>120</v>
      </c>
      <c r="P2354" s="41" t="n">
        <v>1.2</v>
      </c>
      <c r="Q2354" s="41" t="n">
        <v>0.8</v>
      </c>
      <c r="R2354" s="41" t="n">
        <v>65</v>
      </c>
      <c r="S2354" s="41" t="n"/>
      <c r="T2354" s="453" t="n"/>
      <c r="U2354" s="453" t="n"/>
      <c r="V2354" s="453" t="n"/>
      <c r="W2354" s="453" t="n"/>
      <c r="X2354" s="453" t="n"/>
      <c r="Y2354" s="453" t="n"/>
    </row>
    <row r="2355" customFormat="1" s="21">
      <c r="A2355" s="411" t="inlineStr">
        <is>
          <t>North America</t>
        </is>
      </c>
      <c r="B2355" s="467" t="n">
        <v>650</v>
      </c>
      <c r="C2355" s="467" t="n">
        <v>407</v>
      </c>
      <c r="D2355" s="467" t="n">
        <v>0</v>
      </c>
      <c r="E2355" s="467" t="n">
        <v>0</v>
      </c>
      <c r="F2355" s="41" t="n">
        <v>40</v>
      </c>
      <c r="G2355" s="41" t="n">
        <v>40</v>
      </c>
      <c r="H2355" s="453" t="n">
        <v>61</v>
      </c>
      <c r="I2355" s="41" t="n">
        <v>184</v>
      </c>
      <c r="J2355" s="41" t="n">
        <v>41</v>
      </c>
      <c r="K2355" s="41" t="n">
        <v>377</v>
      </c>
      <c r="L2355" s="41" t="n">
        <v>217</v>
      </c>
      <c r="M2355" s="41" t="n">
        <v>130</v>
      </c>
      <c r="N2355" s="41" t="n">
        <v>120</v>
      </c>
      <c r="O2355" s="41" t="n">
        <v>120</v>
      </c>
      <c r="P2355" s="41" t="n">
        <v>1.4</v>
      </c>
      <c r="Q2355" s="41" t="n">
        <v>1.4</v>
      </c>
      <c r="R2355" s="41" t="n">
        <v>65</v>
      </c>
      <c r="S2355" s="41" t="n"/>
      <c r="T2355" s="453" t="n"/>
      <c r="U2355" s="453" t="n"/>
      <c r="V2355" s="453" t="n"/>
      <c r="W2355" s="453" t="n"/>
      <c r="X2355" s="453" t="n"/>
      <c r="Y2355" s="453" t="n"/>
    </row>
    <row r="2356" customFormat="1" s="21">
      <c r="A2356" s="411" t="inlineStr">
        <is>
          <t>Latin America and the Caribbean</t>
        </is>
      </c>
      <c r="B2356" s="41" t="n">
        <v>508</v>
      </c>
      <c r="C2356" s="41" t="n">
        <v>303</v>
      </c>
      <c r="D2356" s="41" t="n">
        <v>315</v>
      </c>
      <c r="E2356" s="41" t="n">
        <v>315</v>
      </c>
      <c r="F2356" s="41" t="n">
        <v>31</v>
      </c>
      <c r="G2356" s="41" t="n">
        <v>31</v>
      </c>
      <c r="H2356" s="453" t="n">
        <v>47</v>
      </c>
      <c r="I2356" s="41" t="n">
        <v>121</v>
      </c>
      <c r="J2356" s="41" t="n">
        <v>24</v>
      </c>
      <c r="K2356" s="41" t="n">
        <v>238</v>
      </c>
      <c r="L2356" s="41" t="n">
        <v>217</v>
      </c>
      <c r="M2356" s="41" t="n">
        <v>130</v>
      </c>
      <c r="N2356" s="41" t="n">
        <v>120</v>
      </c>
      <c r="O2356" s="41" t="n">
        <v>120</v>
      </c>
      <c r="P2356" s="41" t="n">
        <v>1.1</v>
      </c>
      <c r="Q2356" s="41" t="n">
        <v>0.9</v>
      </c>
      <c r="R2356" s="41" t="n">
        <v>65</v>
      </c>
      <c r="S2356" s="41" t="n"/>
      <c r="T2356" s="453" t="n"/>
      <c r="U2356" s="453" t="n"/>
      <c r="V2356" s="453" t="n"/>
      <c r="W2356" s="453" t="n"/>
      <c r="X2356" s="453" t="n"/>
      <c r="Y2356" s="453" t="n"/>
    </row>
    <row r="2357" customFormat="1" s="21">
      <c r="A2357" s="411" t="inlineStr">
        <is>
          <t>Western Europe</t>
        </is>
      </c>
      <c r="B2357" s="467" t="n">
        <v>600</v>
      </c>
      <c r="C2357" s="467" t="n">
        <v>405</v>
      </c>
      <c r="D2357" s="467" t="n">
        <v>509</v>
      </c>
      <c r="E2357" s="467" t="n">
        <v>509</v>
      </c>
      <c r="F2357" s="41" t="n">
        <v>40</v>
      </c>
      <c r="G2357" s="41" t="n">
        <v>40</v>
      </c>
      <c r="H2357" s="453" t="n">
        <v>61</v>
      </c>
      <c r="I2357" s="41" t="n">
        <v>190</v>
      </c>
      <c r="J2357" s="41" t="n">
        <v>40</v>
      </c>
      <c r="K2357" s="41" t="n">
        <v>377</v>
      </c>
      <c r="L2357" s="41" t="n">
        <v>217</v>
      </c>
      <c r="M2357" s="41" t="n">
        <v>130</v>
      </c>
      <c r="N2357" s="41" t="n">
        <v>120</v>
      </c>
      <c r="O2357" s="41" t="n">
        <v>120</v>
      </c>
      <c r="P2357" s="41" t="n">
        <v>1.4</v>
      </c>
      <c r="Q2357" s="41" t="n">
        <v>1.2</v>
      </c>
      <c r="R2357" s="41" t="n">
        <v>65</v>
      </c>
      <c r="S2357" s="41" t="n"/>
      <c r="T2357" s="453" t="n"/>
      <c r="U2357" s="453" t="n"/>
      <c r="V2357" s="453" t="n"/>
      <c r="W2357" s="453" t="n"/>
      <c r="X2357" s="453" t="n"/>
      <c r="Y2357" s="453" t="n"/>
    </row>
    <row r="2358" customFormat="1" s="21">
      <c r="A2358" s="411" t="inlineStr">
        <is>
          <t>Eastern Europe</t>
        </is>
      </c>
      <c r="B2358" s="41" t="n">
        <v>550</v>
      </c>
      <c r="C2358" s="41" t="n">
        <v>389</v>
      </c>
      <c r="D2358" s="41" t="n">
        <v>467</v>
      </c>
      <c r="E2358" s="41" t="n">
        <v>467</v>
      </c>
      <c r="F2358" s="41" t="n">
        <v>40</v>
      </c>
      <c r="G2358" s="41" t="n">
        <v>40</v>
      </c>
      <c r="H2358" s="453" t="n">
        <v>59</v>
      </c>
      <c r="I2358" s="41" t="n">
        <v>204</v>
      </c>
      <c r="J2358" s="41" t="n">
        <v>36</v>
      </c>
      <c r="K2358" s="41" t="n">
        <v>377</v>
      </c>
      <c r="L2358" s="41" t="n">
        <v>217</v>
      </c>
      <c r="M2358" s="41" t="n">
        <v>130</v>
      </c>
      <c r="N2358" s="41" t="n">
        <v>120</v>
      </c>
      <c r="O2358" s="41" t="n">
        <v>120</v>
      </c>
      <c r="P2358" s="41" t="n">
        <v>1.3</v>
      </c>
      <c r="Q2358" s="41" t="n">
        <v>1.1</v>
      </c>
      <c r="R2358" s="41" t="n">
        <v>65</v>
      </c>
      <c r="S2358" s="41" t="n"/>
      <c r="T2358" s="453" t="n"/>
      <c r="U2358" s="453" t="n"/>
      <c r="V2358" s="453" t="n"/>
      <c r="W2358" s="453" t="n"/>
      <c r="X2358" s="453" t="n"/>
      <c r="Y2358" s="453" t="n"/>
    </row>
    <row r="2359" customFormat="1" s="21">
      <c r="A2359" s="411" t="inlineStr">
        <is>
          <t>Russian Federation</t>
        </is>
      </c>
      <c r="B2359" s="41" t="n">
        <v>550</v>
      </c>
      <c r="C2359" s="41" t="n">
        <v>389</v>
      </c>
      <c r="D2359" s="41" t="n">
        <v>467</v>
      </c>
      <c r="E2359" s="41" t="n">
        <v>467</v>
      </c>
      <c r="F2359" s="41" t="n">
        <v>40</v>
      </c>
      <c r="G2359" s="41" t="n">
        <v>40</v>
      </c>
      <c r="H2359" s="453" t="n">
        <v>59</v>
      </c>
      <c r="I2359" s="41" t="n">
        <v>204</v>
      </c>
      <c r="J2359" s="41" t="n">
        <v>36</v>
      </c>
      <c r="K2359" s="41" t="n">
        <v>377</v>
      </c>
      <c r="L2359" s="41" t="n">
        <v>217</v>
      </c>
      <c r="M2359" s="41" t="n">
        <v>130</v>
      </c>
      <c r="N2359" s="41" t="n">
        <v>120</v>
      </c>
      <c r="O2359" s="41" t="n">
        <v>120</v>
      </c>
      <c r="P2359" s="41" t="n">
        <v>1.3</v>
      </c>
      <c r="Q2359" s="41" t="n">
        <v>1.1</v>
      </c>
      <c r="R2359" s="41" t="n">
        <v>65</v>
      </c>
      <c r="S2359" s="41" t="n"/>
      <c r="T2359" s="453" t="n"/>
      <c r="U2359" s="453" t="n"/>
      <c r="V2359" s="453" t="n"/>
      <c r="W2359" s="453" t="n"/>
      <c r="X2359" s="453" t="n"/>
      <c r="Y2359" s="453" t="n"/>
    </row>
    <row r="2360" customFormat="1" s="21">
      <c r="A2360" s="411" t="inlineStr">
        <is>
          <t>Oceania</t>
        </is>
      </c>
      <c r="B2360" s="41" t="n">
        <v>488</v>
      </c>
      <c r="C2360" s="41" t="n">
        <v>359</v>
      </c>
      <c r="D2360" s="41" t="n">
        <v>0</v>
      </c>
      <c r="E2360" s="41" t="n">
        <v>0</v>
      </c>
      <c r="F2360" s="41" t="n">
        <v>40</v>
      </c>
      <c r="G2360" s="41" t="n">
        <v>40</v>
      </c>
      <c r="H2360" s="453" t="n">
        <v>41</v>
      </c>
      <c r="I2360" s="41" t="n">
        <v>163</v>
      </c>
      <c r="J2360" s="41" t="n">
        <v>33</v>
      </c>
      <c r="K2360" s="41" t="n">
        <v>377</v>
      </c>
      <c r="L2360" s="41" t="n">
        <v>217</v>
      </c>
      <c r="M2360" s="41" t="n">
        <v>130</v>
      </c>
      <c r="N2360" s="41" t="n">
        <v>120</v>
      </c>
      <c r="O2360" s="41" t="n">
        <v>120</v>
      </c>
      <c r="P2360" s="41" t="n">
        <v>1.3</v>
      </c>
      <c r="Q2360" s="41" t="n">
        <v>1.2</v>
      </c>
      <c r="R2360" s="41" t="n">
        <v>65</v>
      </c>
      <c r="S2360" s="41" t="n"/>
    </row>
    <row r="2361" customFormat="1" s="453">
      <c r="A2361" s="411" t="inlineStr">
        <is>
          <t>NENA/Middle East</t>
        </is>
      </c>
      <c r="B2361" s="41" t="n">
        <v>349</v>
      </c>
      <c r="C2361" s="41" t="n">
        <v>275</v>
      </c>
      <c r="D2361" s="41" t="n">
        <v>381</v>
      </c>
      <c r="E2361" s="41" t="n">
        <v>381</v>
      </c>
      <c r="F2361" s="41" t="n">
        <v>31</v>
      </c>
      <c r="G2361" s="41" t="n">
        <v>31</v>
      </c>
      <c r="H2361" s="453" t="n">
        <v>48</v>
      </c>
      <c r="I2361" s="41" t="n">
        <v>99</v>
      </c>
      <c r="J2361" s="41" t="n">
        <v>24</v>
      </c>
      <c r="K2361" s="41" t="n">
        <v>238</v>
      </c>
      <c r="L2361" s="41" t="n">
        <v>217</v>
      </c>
      <c r="M2361" s="41" t="n">
        <v>130</v>
      </c>
      <c r="N2361" s="41" t="n">
        <v>120</v>
      </c>
      <c r="O2361" s="41" t="n">
        <v>120</v>
      </c>
      <c r="P2361" s="41" t="n">
        <v>0.9</v>
      </c>
      <c r="Q2361" s="41" t="n">
        <v>0.7</v>
      </c>
      <c r="R2361" s="41" t="n">
        <v>65</v>
      </c>
      <c r="S2361" s="41" t="n"/>
    </row>
    <row r="2362" customFormat="1" s="453">
      <c r="A2362" s="411" t="inlineStr">
        <is>
          <t>South Asia</t>
        </is>
      </c>
      <c r="B2362" s="41" t="n">
        <v>285</v>
      </c>
      <c r="C2362" s="41" t="n">
        <v>226</v>
      </c>
      <c r="D2362" s="41" t="n">
        <v>321</v>
      </c>
      <c r="E2362" s="41" t="n">
        <v>321</v>
      </c>
      <c r="F2362" s="42" t="n">
        <v>31</v>
      </c>
      <c r="G2362" s="42" t="n">
        <v>31</v>
      </c>
      <c r="H2362" s="453" t="n">
        <v>48</v>
      </c>
      <c r="I2362" s="41" t="n">
        <v>99</v>
      </c>
      <c r="J2362" s="42" t="n">
        <v>24</v>
      </c>
      <c r="K2362" s="42" t="n">
        <v>238</v>
      </c>
      <c r="L2362" s="42" t="n">
        <v>217</v>
      </c>
      <c r="M2362" s="42" t="n">
        <v>130</v>
      </c>
      <c r="N2362" s="41" t="n">
        <v>120</v>
      </c>
      <c r="O2362" s="41" t="n">
        <v>120</v>
      </c>
      <c r="P2362" s="41" t="n">
        <v>1</v>
      </c>
      <c r="Q2362" s="42" t="n">
        <v>0.8</v>
      </c>
      <c r="R2362" s="41" t="n">
        <v>65</v>
      </c>
      <c r="S2362" s="42" t="n"/>
    </row>
    <row r="2363" customFormat="1" s="535">
      <c r="A2363" s="518" t="inlineStr">
        <is>
          <t>Notes: LP for both categories of swine and sheep</t>
        </is>
      </c>
      <c r="F2363" s="1624" t="n"/>
      <c r="G2363" s="1624" t="n"/>
      <c r="H2363" s="1624" t="n"/>
      <c r="I2363" s="1624" t="n"/>
      <c r="J2363" s="1624" t="n"/>
      <c r="K2363" s="1624" t="n"/>
      <c r="L2363" s="1624" t="n"/>
      <c r="M2363" s="1624" t="n"/>
      <c r="N2363" s="1624" t="n"/>
      <c r="O2363" s="1624" t="n"/>
    </row>
    <row r="2364" customFormat="1" s="292"/>
    <row r="2366" customFormat="1" s="125">
      <c r="A2366" s="377" t="inlineStr">
        <is>
          <t>Volatile Solid Excretion rate</t>
        </is>
      </c>
      <c r="D2366" s="1075" t="n"/>
      <c r="E2366" s="1075" t="n"/>
      <c r="F2366" s="1075" t="n"/>
      <c r="G2366" s="1075" t="n"/>
      <c r="H2366" s="1075" t="n"/>
      <c r="I2366" s="1075" t="n"/>
      <c r="J2366" s="1075" t="n"/>
    </row>
    <row r="2367" ht="16.25" customFormat="1" customHeight="1" s="773">
      <c r="A2367" s="753" t="inlineStr">
        <is>
          <t>Default</t>
        </is>
      </c>
      <c r="B2367" s="442" t="inlineStr">
        <is>
          <t>10.13A</t>
        </is>
      </c>
      <c r="C2367" s="442" t="inlineStr">
        <is>
          <t>10.13A</t>
        </is>
      </c>
      <c r="D2367" s="442" t="inlineStr">
        <is>
          <t>10.13A</t>
        </is>
      </c>
      <c r="E2367" s="442" t="inlineStr">
        <is>
          <t>10.13A</t>
        </is>
      </c>
      <c r="F2367" s="442" t="inlineStr">
        <is>
          <t>10.13A</t>
        </is>
      </c>
      <c r="G2367" s="442" t="inlineStr">
        <is>
          <t>10.13A</t>
        </is>
      </c>
      <c r="H2367" s="442" t="inlineStr">
        <is>
          <t>10.13A</t>
        </is>
      </c>
      <c r="I2367" s="442" t="inlineStr">
        <is>
          <t>10.13A</t>
        </is>
      </c>
      <c r="J2367" s="442" t="inlineStr">
        <is>
          <t>10.13A</t>
        </is>
      </c>
      <c r="K2367" s="442" t="inlineStr">
        <is>
          <t>10.13A</t>
        </is>
      </c>
      <c r="L2367" s="442" t="inlineStr">
        <is>
          <t>10.13A</t>
        </is>
      </c>
      <c r="M2367" s="442" t="inlineStr">
        <is>
          <t>10.13A</t>
        </is>
      </c>
      <c r="N2367" s="442" t="inlineStr">
        <is>
          <t>Table 10.15</t>
        </is>
      </c>
      <c r="O2367" s="442" t="inlineStr">
        <is>
          <t>Table 10.15</t>
        </is>
      </c>
      <c r="P2367" s="442" t="inlineStr">
        <is>
          <t>10.13A</t>
        </is>
      </c>
      <c r="Q2367" s="442" t="inlineStr">
        <is>
          <t>10.13A</t>
        </is>
      </c>
      <c r="R2367" s="442" t="inlineStr">
        <is>
          <t>10.13A</t>
        </is>
      </c>
      <c r="S2367" s="442" t="n"/>
      <c r="T2367" s="442" t="n"/>
      <c r="U2367" s="442" t="n"/>
      <c r="V2367" s="442" t="n"/>
      <c r="W2367" s="442" t="n"/>
    </row>
    <row r="2368" ht="16" customFormat="1" customHeight="1" s="291">
      <c r="A2368" s="1641" t="inlineStr">
        <is>
          <t>Please select</t>
        </is>
      </c>
      <c r="B2368" s="1642" t="inlineStr">
        <is>
          <t>Dairy cattle</t>
        </is>
      </c>
      <c r="C2368" s="1642" t="inlineStr">
        <is>
          <t>Other cattle</t>
        </is>
      </c>
      <c r="D2368" s="1642" t="inlineStr">
        <is>
          <t>Dairy buffalo</t>
        </is>
      </c>
      <c r="E2368" s="1642" t="inlineStr">
        <is>
          <t>Other buffalo</t>
        </is>
      </c>
      <c r="F2368" s="426" t="inlineStr">
        <is>
          <t>Dairy sheep</t>
        </is>
      </c>
      <c r="G2368" s="1633" t="inlineStr">
        <is>
          <t>Other sheep</t>
        </is>
      </c>
      <c r="H2368" s="419" t="inlineStr">
        <is>
          <t>Growing swine</t>
        </is>
      </c>
      <c r="I2368" s="1633" t="inlineStr">
        <is>
          <t>Breeding swine</t>
        </is>
      </c>
      <c r="J2368" s="1642" t="inlineStr">
        <is>
          <t>Goats</t>
        </is>
      </c>
      <c r="K2368" s="1642" t="inlineStr">
        <is>
          <t>Horses</t>
        </is>
      </c>
      <c r="L2368" s="1642" t="inlineStr">
        <is>
          <t>Camels</t>
        </is>
      </c>
      <c r="M2368" s="1642" t="inlineStr">
        <is>
          <t>Mules and Asses</t>
        </is>
      </c>
      <c r="N2368" s="1642" t="inlineStr">
        <is>
          <t>Deer</t>
        </is>
      </c>
      <c r="O2368" s="1642" t="inlineStr">
        <is>
          <t>Ostrich</t>
        </is>
      </c>
      <c r="P2368" s="1633" t="inlineStr">
        <is>
          <t>Chicken layer</t>
        </is>
      </c>
      <c r="Q2368" s="1633" t="inlineStr">
        <is>
          <t>Chicken broiler</t>
        </is>
      </c>
      <c r="R2368" s="1642" t="inlineStr">
        <is>
          <t>Llamas and Alpacas</t>
        </is>
      </c>
      <c r="S2368" s="1656" t="inlineStr">
        <is>
          <t>Other (Please specify in Tier 2)</t>
        </is>
      </c>
      <c r="T2368" s="453" t="n"/>
      <c r="U2368" s="453" t="n"/>
      <c r="V2368" s="453" t="n"/>
      <c r="W2368" s="453" t="n"/>
      <c r="X2368" s="453" t="n"/>
      <c r="Y2368" s="21" t="n"/>
      <c r="Z2368" s="21" t="n"/>
    </row>
    <row r="2369" ht="16" customFormat="1" customHeight="1" s="1093">
      <c r="A2369" s="523" t="inlineStr">
        <is>
          <t>IPCC Region</t>
        </is>
      </c>
      <c r="B2369" s="1636" t="inlineStr">
        <is>
          <t>kgVs/(1000kg TAM)/day</t>
        </is>
      </c>
      <c r="C2369" s="1636" t="inlineStr">
        <is>
          <t>kgVs/(1000kg TAM)/day</t>
        </is>
      </c>
      <c r="D2369" s="1636" t="inlineStr">
        <is>
          <t>kgVs/(1000kg TAM)/day</t>
        </is>
      </c>
      <c r="E2369" s="1636" t="inlineStr">
        <is>
          <t>kgVs/(1000kg TAM)/day</t>
        </is>
      </c>
      <c r="F2369" s="1631" t="inlineStr">
        <is>
          <t>kgVs/(1000kg TAM)/day</t>
        </is>
      </c>
      <c r="G2369" s="1631" t="inlineStr">
        <is>
          <t>kgVs/(1000kg TAM)/day</t>
        </is>
      </c>
      <c r="H2369" s="1631" t="inlineStr">
        <is>
          <t>kgVs/(1000kg TAM)/day</t>
        </is>
      </c>
      <c r="I2369" s="1631" t="inlineStr">
        <is>
          <t>kgVs/(1000kg TAM)/day</t>
        </is>
      </c>
      <c r="J2369" s="1631" t="inlineStr">
        <is>
          <t>kgVs/(1000kg TAM)/day</t>
        </is>
      </c>
      <c r="K2369" s="1631" t="inlineStr">
        <is>
          <t>kgVs/(1000kg TAM)/day</t>
        </is>
      </c>
      <c r="L2369" s="1631" t="inlineStr">
        <is>
          <t>kgVs/(1000kg TAM)/day</t>
        </is>
      </c>
      <c r="M2369" s="31" t="inlineStr">
        <is>
          <t>kgVs/(1000kg TAM)/day</t>
        </is>
      </c>
      <c r="N2369" s="31" t="inlineStr">
        <is>
          <t>EF PER HEAD</t>
        </is>
      </c>
      <c r="O2369" s="31" t="inlineStr">
        <is>
          <t>EF PER HEAD</t>
        </is>
      </c>
      <c r="P2369" s="1636" t="inlineStr">
        <is>
          <t>kgVs/(1000kg TAM)/day</t>
        </is>
      </c>
      <c r="Q2369" s="1636" t="inlineStr">
        <is>
          <t>kgVs/(1000kg TAM)/day</t>
        </is>
      </c>
      <c r="R2369" s="42" t="inlineStr">
        <is>
          <t>kgVs/(1000kg TAM)/day</t>
        </is>
      </c>
      <c r="S2369" s="1635" t="inlineStr">
        <is>
          <t>kgVs/(1000kg TAM)/day</t>
        </is>
      </c>
      <c r="T2369" s="1092" t="n"/>
      <c r="U2369" s="1092" t="n"/>
      <c r="V2369" s="1092" t="n"/>
      <c r="W2369" s="1092" t="n"/>
      <c r="X2369" s="1092" t="n"/>
    </row>
    <row r="2370" customFormat="1" s="21">
      <c r="A2370" s="407" t="inlineStr">
        <is>
          <t>Sub-Saharan Africa</t>
        </is>
      </c>
      <c r="B2370" s="1640" t="n">
        <v>18.2</v>
      </c>
      <c r="C2370" s="1640" t="n">
        <v>12</v>
      </c>
      <c r="D2370" s="1640" t="n">
        <v>12.9</v>
      </c>
      <c r="E2370" s="1640" t="n">
        <v>12.9</v>
      </c>
      <c r="F2370" s="451" t="n">
        <v>8.300000000000001</v>
      </c>
      <c r="G2370" s="451" t="n">
        <v>8.300000000000001</v>
      </c>
      <c r="H2370" s="41" t="n">
        <v>8.199999999999999</v>
      </c>
      <c r="I2370" s="451" t="n">
        <v>4.4</v>
      </c>
      <c r="J2370" s="451" t="n">
        <v>10.4</v>
      </c>
      <c r="K2370" s="451" t="n">
        <v>7.2</v>
      </c>
      <c r="L2370" s="451" t="n">
        <v>11.5</v>
      </c>
      <c r="M2370" s="451" t="n">
        <v>7.2</v>
      </c>
      <c r="N2370" s="418" t="n"/>
      <c r="O2370" s="418" t="n"/>
      <c r="P2370" s="418" t="n">
        <v>12.6</v>
      </c>
      <c r="Q2370" s="418" t="n">
        <v>15.9</v>
      </c>
      <c r="R2370" s="1655" t="n"/>
      <c r="S2370" s="44" t="n"/>
      <c r="T2370" s="453" t="n"/>
      <c r="U2370" s="453" t="n"/>
      <c r="V2370" s="453" t="n"/>
      <c r="W2370" s="453" t="n"/>
      <c r="X2370" s="453" t="n"/>
    </row>
    <row r="2371" customFormat="1" s="21">
      <c r="A2371" s="405" t="inlineStr">
        <is>
          <t>East Asia and South-East Asia</t>
        </is>
      </c>
      <c r="B2371" s="468" t="n">
        <v>9</v>
      </c>
      <c r="C2371" s="468" t="n">
        <v>9.800000000000001</v>
      </c>
      <c r="D2371" s="468" t="n">
        <v>13.5</v>
      </c>
      <c r="E2371" s="468" t="n">
        <v>13.5</v>
      </c>
      <c r="F2371" s="451" t="n">
        <v>8.300000000000001</v>
      </c>
      <c r="G2371" s="451" t="n">
        <v>8.300000000000001</v>
      </c>
      <c r="H2371" s="41" t="n">
        <v>6.8</v>
      </c>
      <c r="I2371" s="451" t="n">
        <v>3.4</v>
      </c>
      <c r="J2371" s="451" t="n">
        <v>10.4</v>
      </c>
      <c r="K2371" s="451" t="n">
        <v>7.2</v>
      </c>
      <c r="L2371" s="451" t="n">
        <v>11.5</v>
      </c>
      <c r="M2371" s="451" t="n">
        <v>7.2</v>
      </c>
      <c r="N2371" s="451" t="n"/>
      <c r="O2371" s="451" t="n"/>
      <c r="P2371" s="451" t="n">
        <v>11.2</v>
      </c>
      <c r="Q2371" s="451" t="n">
        <v>15.7</v>
      </c>
      <c r="R2371" s="1655" t="n"/>
      <c r="S2371" s="41" t="n"/>
      <c r="T2371" s="453" t="n"/>
      <c r="U2371" s="453" t="n"/>
      <c r="V2371" s="453" t="n"/>
      <c r="W2371" s="453" t="n"/>
      <c r="X2371" s="453" t="n"/>
    </row>
    <row r="2372" customFormat="1" s="21">
      <c r="A2372" s="405" t="inlineStr">
        <is>
          <t>North America</t>
        </is>
      </c>
      <c r="B2372" s="468" t="n">
        <v>9.300000000000001</v>
      </c>
      <c r="C2372" s="468" t="n">
        <v>7.6</v>
      </c>
      <c r="D2372" s="468" t="n">
        <v>0</v>
      </c>
      <c r="E2372" s="468" t="n">
        <v>0</v>
      </c>
      <c r="F2372" s="451" t="n">
        <v>8.199999999999999</v>
      </c>
      <c r="G2372" s="451" t="n">
        <v>8.199999999999999</v>
      </c>
      <c r="H2372" s="41" t="n">
        <v>3.9</v>
      </c>
      <c r="I2372" s="451" t="n">
        <v>1.8</v>
      </c>
      <c r="J2372" s="451" t="n">
        <v>9</v>
      </c>
      <c r="K2372" s="451" t="n">
        <v>5.65</v>
      </c>
      <c r="L2372" s="451" t="n">
        <v>11.5</v>
      </c>
      <c r="M2372" s="451" t="n">
        <v>7.2</v>
      </c>
      <c r="N2372" s="451" t="n"/>
      <c r="O2372" s="451" t="n"/>
      <c r="P2372" s="451" t="n">
        <v>14.5</v>
      </c>
      <c r="Q2372" s="451" t="n">
        <v>16.8</v>
      </c>
      <c r="R2372" s="1655" t="n"/>
      <c r="S2372" s="41" t="n"/>
      <c r="T2372" s="453" t="n"/>
      <c r="U2372" s="453" t="n"/>
      <c r="V2372" s="453" t="n"/>
      <c r="W2372" s="453" t="n"/>
      <c r="X2372" s="453" t="n"/>
    </row>
    <row r="2373" customFormat="1" s="21">
      <c r="A2373" s="405" t="inlineStr">
        <is>
          <t>Latin America and the Caribbean</t>
        </is>
      </c>
      <c r="B2373" s="451" t="n">
        <v>7.9</v>
      </c>
      <c r="C2373" s="451" t="n">
        <v>8.5</v>
      </c>
      <c r="D2373" s="451" t="n">
        <v>11.2</v>
      </c>
      <c r="E2373" s="451" t="n">
        <v>11.2</v>
      </c>
      <c r="F2373" s="451" t="n">
        <v>8.300000000000001</v>
      </c>
      <c r="G2373" s="451" t="n">
        <v>8.300000000000001</v>
      </c>
      <c r="H2373" s="41" t="n">
        <v>6.4</v>
      </c>
      <c r="I2373" s="451" t="n">
        <v>2.7</v>
      </c>
      <c r="J2373" s="451" t="n">
        <v>10.4</v>
      </c>
      <c r="K2373" s="451" t="n">
        <v>7.2</v>
      </c>
      <c r="L2373" s="451" t="n">
        <v>11.5</v>
      </c>
      <c r="M2373" s="451" t="n">
        <v>7.2</v>
      </c>
      <c r="N2373" s="451" t="n"/>
      <c r="O2373" s="451" t="n"/>
      <c r="P2373" s="451" t="n">
        <v>13.5</v>
      </c>
      <c r="Q2373" s="451" t="n">
        <v>15.6</v>
      </c>
      <c r="R2373" s="1655" t="n"/>
      <c r="S2373" s="41" t="n"/>
      <c r="T2373" s="453" t="n"/>
      <c r="U2373" s="453" t="n"/>
      <c r="V2373" s="453" t="n"/>
      <c r="W2373" s="453" t="n"/>
      <c r="X2373" s="453" t="n"/>
    </row>
    <row r="2374" customFormat="1" s="21">
      <c r="A2374" s="405" t="inlineStr">
        <is>
          <t>Western Europe</t>
        </is>
      </c>
      <c r="B2374" s="468" t="n">
        <v>7.5</v>
      </c>
      <c r="C2374" s="468" t="n">
        <v>5.7</v>
      </c>
      <c r="D2374" s="468" t="n">
        <v>7.7</v>
      </c>
      <c r="E2374" s="468" t="n">
        <v>7.7</v>
      </c>
      <c r="F2374" s="451" t="n">
        <v>8.199999999999999</v>
      </c>
      <c r="G2374" s="451" t="n">
        <v>8.199999999999999</v>
      </c>
      <c r="H2374" s="41" t="n">
        <v>5.3</v>
      </c>
      <c r="I2374" s="451" t="n">
        <v>2.4</v>
      </c>
      <c r="J2374" s="451" t="n">
        <v>9</v>
      </c>
      <c r="K2374" s="451" t="n">
        <v>5.65</v>
      </c>
      <c r="L2374" s="451" t="n">
        <v>11.5</v>
      </c>
      <c r="M2374" s="451" t="n">
        <v>7.2</v>
      </c>
      <c r="N2374" s="451" t="n"/>
      <c r="O2374" s="451" t="n"/>
      <c r="P2374" s="451" t="n">
        <v>12.3</v>
      </c>
      <c r="Q2374" s="451" t="n">
        <v>16.1</v>
      </c>
      <c r="R2374" s="1655" t="n"/>
      <c r="S2374" s="41" t="n"/>
      <c r="T2374" s="453" t="n"/>
      <c r="U2374" s="453" t="n"/>
      <c r="V2374" s="453" t="n"/>
      <c r="W2374" s="453" t="n"/>
      <c r="X2374" s="453" t="n"/>
    </row>
    <row r="2375" customFormat="1" s="21">
      <c r="A2375" s="405" t="inlineStr">
        <is>
          <t>Eastern Europe</t>
        </is>
      </c>
      <c r="B2375" s="451" t="n">
        <v>6.7</v>
      </c>
      <c r="C2375" s="451" t="n">
        <v>7.6</v>
      </c>
      <c r="D2375" s="451" t="n">
        <v>6.2</v>
      </c>
      <c r="E2375" s="451" t="n">
        <v>6.2</v>
      </c>
      <c r="F2375" s="451" t="n">
        <v>8.199999999999999</v>
      </c>
      <c r="G2375" s="451" t="n">
        <v>8.199999999999999</v>
      </c>
      <c r="H2375" s="41" t="n">
        <v>4.9</v>
      </c>
      <c r="I2375" s="451" t="n">
        <v>2</v>
      </c>
      <c r="J2375" s="451" t="n">
        <v>9</v>
      </c>
      <c r="K2375" s="451" t="n">
        <v>5.65</v>
      </c>
      <c r="L2375" s="451" t="n">
        <v>11.5</v>
      </c>
      <c r="M2375" s="451" t="n">
        <v>7.2</v>
      </c>
      <c r="N2375" s="451" t="n"/>
      <c r="O2375" s="451" t="n"/>
      <c r="P2375" s="451" t="n">
        <v>12.6</v>
      </c>
      <c r="Q2375" s="451" t="n">
        <v>16</v>
      </c>
      <c r="R2375" s="1655" t="n"/>
      <c r="S2375" s="41" t="n"/>
      <c r="T2375" s="453" t="n"/>
      <c r="U2375" s="453" t="n"/>
      <c r="V2375" s="453" t="n"/>
      <c r="W2375" s="453" t="n"/>
      <c r="X2375" s="453" t="n"/>
    </row>
    <row r="2376" customFormat="1" s="21">
      <c r="A2376" s="405" t="inlineStr">
        <is>
          <t>Russian Federation</t>
        </is>
      </c>
      <c r="B2376" s="451" t="n">
        <v>6.7</v>
      </c>
      <c r="C2376" s="451" t="n">
        <v>7.6</v>
      </c>
      <c r="D2376" s="451" t="n">
        <v>6.2</v>
      </c>
      <c r="E2376" s="451" t="n">
        <v>6.2</v>
      </c>
      <c r="F2376" s="451" t="n">
        <v>8.199999999999999</v>
      </c>
      <c r="G2376" s="451" t="n">
        <v>8.199999999999999</v>
      </c>
      <c r="H2376" s="41" t="n">
        <v>4.9</v>
      </c>
      <c r="I2376" s="451" t="n">
        <v>2</v>
      </c>
      <c r="J2376" s="451" t="n">
        <v>9</v>
      </c>
      <c r="K2376" s="451" t="n">
        <v>5.65</v>
      </c>
      <c r="L2376" s="451" t="n">
        <v>11.5</v>
      </c>
      <c r="M2376" s="451" t="n">
        <v>7.2</v>
      </c>
      <c r="N2376" s="451" t="n"/>
      <c r="O2376" s="451" t="n"/>
      <c r="P2376" s="451" t="n">
        <v>12.6</v>
      </c>
      <c r="Q2376" s="451" t="n">
        <v>16</v>
      </c>
      <c r="R2376" s="1655" t="n"/>
      <c r="S2376" s="41" t="n"/>
      <c r="T2376" s="453" t="n"/>
      <c r="U2376" s="453" t="n"/>
      <c r="V2376" s="453" t="n"/>
      <c r="W2376" s="453" t="n"/>
      <c r="X2376" s="453" t="n"/>
    </row>
    <row r="2377" customFormat="1" s="21">
      <c r="A2377" s="405" t="inlineStr">
        <is>
          <t>Oceania</t>
        </is>
      </c>
      <c r="B2377" s="451" t="n">
        <v>6</v>
      </c>
      <c r="C2377" s="451" t="n">
        <v>8.699999999999999</v>
      </c>
      <c r="D2377" s="451" t="n">
        <v>0</v>
      </c>
      <c r="E2377" s="451" t="n">
        <v>0</v>
      </c>
      <c r="F2377" s="451" t="n">
        <v>8.199999999999999</v>
      </c>
      <c r="G2377" s="451" t="n">
        <v>8.199999999999999</v>
      </c>
      <c r="H2377" s="41" t="n">
        <v>5.6</v>
      </c>
      <c r="I2377" s="451" t="n">
        <v>2.1</v>
      </c>
      <c r="J2377" s="451" t="n">
        <v>9</v>
      </c>
      <c r="K2377" s="451" t="n">
        <v>5.65</v>
      </c>
      <c r="L2377" s="451" t="n">
        <v>11.5</v>
      </c>
      <c r="M2377" s="451" t="n">
        <v>7.2</v>
      </c>
      <c r="N2377" s="451" t="n"/>
      <c r="O2377" s="451" t="n"/>
      <c r="P2377" s="451" t="n">
        <v>15.4</v>
      </c>
      <c r="Q2377" s="451" t="n">
        <v>18.3</v>
      </c>
      <c r="R2377" s="1655" t="n"/>
      <c r="S2377" s="41" t="n"/>
    </row>
    <row r="2378" customFormat="1" s="453">
      <c r="A2378" s="405" t="inlineStr">
        <is>
          <t>NENA/Middle East</t>
        </is>
      </c>
      <c r="B2378" s="451" t="n">
        <v>10.7</v>
      </c>
      <c r="C2378" s="451" t="n">
        <v>14.1</v>
      </c>
      <c r="D2378" s="451" t="n">
        <v>9.800000000000001</v>
      </c>
      <c r="E2378" s="451" t="n">
        <v>9.800000000000001</v>
      </c>
      <c r="F2378" s="451" t="n">
        <v>8.300000000000001</v>
      </c>
      <c r="G2378" s="451" t="n">
        <v>8.300000000000001</v>
      </c>
      <c r="H2378" s="41" t="n">
        <v>4.9</v>
      </c>
      <c r="I2378" s="451" t="n">
        <v>2.5</v>
      </c>
      <c r="J2378" s="451" t="n">
        <v>10.4</v>
      </c>
      <c r="K2378" s="451" t="n">
        <v>7.2</v>
      </c>
      <c r="L2378" s="451" t="n">
        <v>11.5</v>
      </c>
      <c r="M2378" s="451" t="n">
        <v>7.2</v>
      </c>
      <c r="N2378" s="451" t="n"/>
      <c r="O2378" s="451" t="n"/>
      <c r="P2378" s="451" t="n">
        <v>14.2</v>
      </c>
      <c r="Q2378" s="451" t="n">
        <v>17.7</v>
      </c>
      <c r="R2378" s="1655" t="n"/>
      <c r="S2378" s="41" t="n"/>
    </row>
    <row r="2379" customFormat="1" s="453">
      <c r="A2379" s="405" t="inlineStr">
        <is>
          <t>South Asia</t>
        </is>
      </c>
      <c r="B2379" s="451" t="n">
        <v>14.1</v>
      </c>
      <c r="C2379" s="451" t="n">
        <v>12.2</v>
      </c>
      <c r="D2379" s="451" t="n">
        <v>0</v>
      </c>
      <c r="E2379" s="451" t="n">
        <v>0</v>
      </c>
      <c r="F2379" s="451" t="n">
        <v>8.300000000000001</v>
      </c>
      <c r="G2379" s="451" t="n">
        <v>8.300000000000001</v>
      </c>
      <c r="H2379" s="42" t="n">
        <v>8.6</v>
      </c>
      <c r="I2379" s="451" t="n">
        <v>4.6</v>
      </c>
      <c r="J2379" s="451" t="n">
        <v>10.4</v>
      </c>
      <c r="K2379" s="451" t="n">
        <v>7.2</v>
      </c>
      <c r="L2379" s="451" t="n">
        <v>11.5</v>
      </c>
      <c r="M2379" s="451" t="n">
        <v>7.2</v>
      </c>
      <c r="N2379" s="451" t="n"/>
      <c r="O2379" s="451" t="n"/>
      <c r="P2379" s="451" t="n">
        <v>14.9</v>
      </c>
      <c r="Q2379" s="451" t="n">
        <v>17.7</v>
      </c>
      <c r="R2379" s="1655" t="n"/>
      <c r="S2379" s="42" t="n"/>
    </row>
    <row r="2380" customFormat="1" s="535">
      <c r="A2380" s="518" t="inlineStr">
        <is>
          <t xml:space="preserve">Notes : </t>
        </is>
      </c>
      <c r="F2380" s="1624" t="n"/>
      <c r="G2380" s="1624" t="n"/>
      <c r="H2380" s="1624" t="n"/>
      <c r="I2380" s="1624" t="n"/>
      <c r="J2380" s="1624" t="n"/>
      <c r="K2380" s="1624" t="n"/>
      <c r="L2380" s="1624" t="n"/>
      <c r="M2380" s="1624" t="n"/>
      <c r="N2380" s="1624" t="n"/>
      <c r="O2380" s="1624" t="n"/>
    </row>
    <row r="2381" customFormat="1" s="292"/>
    <row r="2383" customFormat="1" s="125">
      <c r="A2383" s="377" t="inlineStr">
        <is>
          <t>Volatile Solid Excretion rate</t>
        </is>
      </c>
      <c r="D2383" s="1075" t="n"/>
      <c r="E2383" s="1075" t="n"/>
      <c r="F2383" s="1075" t="n"/>
      <c r="G2383" s="1075" t="n"/>
      <c r="H2383" s="1075" t="n"/>
      <c r="I2383" s="1075" t="n"/>
      <c r="J2383" s="1075" t="n"/>
    </row>
    <row r="2384" ht="16.25" customFormat="1" customHeight="1" s="773">
      <c r="A2384" s="753" t="inlineStr">
        <is>
          <t>High-productivity</t>
        </is>
      </c>
      <c r="B2384" s="442" t="inlineStr">
        <is>
          <t>10.13A</t>
        </is>
      </c>
      <c r="C2384" s="442" t="inlineStr">
        <is>
          <t>10.13A</t>
        </is>
      </c>
      <c r="D2384" s="442" t="inlineStr">
        <is>
          <t>10.13A</t>
        </is>
      </c>
      <c r="E2384" s="442" t="inlineStr">
        <is>
          <t>10.13A</t>
        </is>
      </c>
      <c r="F2384" s="442" t="inlineStr">
        <is>
          <t>10.13A</t>
        </is>
      </c>
      <c r="G2384" s="442" t="inlineStr">
        <is>
          <t>10.13A</t>
        </is>
      </c>
      <c r="H2384" s="442" t="inlineStr">
        <is>
          <t>10.13A</t>
        </is>
      </c>
      <c r="I2384" s="442" t="inlineStr">
        <is>
          <t>10.13A</t>
        </is>
      </c>
      <c r="J2384" s="442" t="inlineStr">
        <is>
          <t>10.13A</t>
        </is>
      </c>
      <c r="K2384" s="442" t="inlineStr">
        <is>
          <t>10.13A</t>
        </is>
      </c>
      <c r="L2384" s="442" t="inlineStr">
        <is>
          <t>10.13A</t>
        </is>
      </c>
      <c r="M2384" s="442" t="inlineStr">
        <is>
          <t>10.13A</t>
        </is>
      </c>
      <c r="N2384" s="442" t="inlineStr">
        <is>
          <t>Table 10.15</t>
        </is>
      </c>
      <c r="O2384" s="442" t="inlineStr">
        <is>
          <t>Table 10.15</t>
        </is>
      </c>
      <c r="P2384" s="442" t="inlineStr">
        <is>
          <t>10.13A</t>
        </is>
      </c>
      <c r="Q2384" s="442" t="inlineStr">
        <is>
          <t>10.13A</t>
        </is>
      </c>
      <c r="R2384" s="442" t="inlineStr">
        <is>
          <t>10.13A</t>
        </is>
      </c>
      <c r="S2384" s="442" t="n"/>
      <c r="T2384" s="442" t="n"/>
      <c r="U2384" s="442" t="n"/>
      <c r="V2384" s="442" t="n"/>
      <c r="W2384" s="442" t="n"/>
    </row>
    <row r="2385" ht="16" customFormat="1" customHeight="1" s="291">
      <c r="A2385" s="1641" t="inlineStr">
        <is>
          <t>Please select</t>
        </is>
      </c>
      <c r="B2385" s="1642" t="inlineStr">
        <is>
          <t>Dairy cattle</t>
        </is>
      </c>
      <c r="C2385" s="1642" t="inlineStr">
        <is>
          <t>Other cattle</t>
        </is>
      </c>
      <c r="D2385" s="1642" t="inlineStr">
        <is>
          <t>Dairy buffalo</t>
        </is>
      </c>
      <c r="E2385" s="1642" t="inlineStr">
        <is>
          <t>Other buffalo</t>
        </is>
      </c>
      <c r="F2385" s="426" t="inlineStr">
        <is>
          <t>Dairy sheep</t>
        </is>
      </c>
      <c r="G2385" s="1633" t="inlineStr">
        <is>
          <t>Other sheep</t>
        </is>
      </c>
      <c r="H2385" s="419" t="inlineStr">
        <is>
          <t>Growing swine</t>
        </is>
      </c>
      <c r="I2385" s="1633" t="inlineStr">
        <is>
          <t>Breeding swine</t>
        </is>
      </c>
      <c r="J2385" s="1642" t="inlineStr">
        <is>
          <t>Goats</t>
        </is>
      </c>
      <c r="K2385" s="1642" t="inlineStr">
        <is>
          <t>Horses</t>
        </is>
      </c>
      <c r="L2385" s="1642" t="inlineStr">
        <is>
          <t>Camels</t>
        </is>
      </c>
      <c r="M2385" s="1642" t="inlineStr">
        <is>
          <t>Mules and Asses</t>
        </is>
      </c>
      <c r="N2385" s="1642" t="inlineStr">
        <is>
          <t>Deer</t>
        </is>
      </c>
      <c r="O2385" s="1642" t="inlineStr">
        <is>
          <t>Ostrich</t>
        </is>
      </c>
      <c r="P2385" s="1633" t="inlineStr">
        <is>
          <t>Chicken layer</t>
        </is>
      </c>
      <c r="Q2385" s="1633" t="inlineStr">
        <is>
          <t>Chicken broiler</t>
        </is>
      </c>
      <c r="R2385" s="1642" t="inlineStr">
        <is>
          <t>Llamas and Alpacas</t>
        </is>
      </c>
      <c r="S2385" s="1658" t="inlineStr">
        <is>
          <t>Other (Please specify in Tier 2)</t>
        </is>
      </c>
      <c r="T2385" s="453" t="n"/>
      <c r="U2385" s="453" t="n"/>
      <c r="V2385" s="453" t="n"/>
      <c r="W2385" s="453" t="n"/>
      <c r="X2385" s="21" t="n"/>
      <c r="Y2385" s="21" t="n"/>
    </row>
    <row r="2386" ht="16" customFormat="1" customHeight="1" s="1093">
      <c r="A2386" s="523" t="inlineStr">
        <is>
          <t>IPCC Region</t>
        </is>
      </c>
      <c r="B2386" s="1636" t="inlineStr">
        <is>
          <t>kgVs/(1000kg TAM)/day</t>
        </is>
      </c>
      <c r="C2386" s="1636" t="inlineStr">
        <is>
          <t>kgVs/(1000kg TAM)/day</t>
        </is>
      </c>
      <c r="D2386" s="1636" t="inlineStr">
        <is>
          <t>kgVs/(1000kg TAM)/day</t>
        </is>
      </c>
      <c r="E2386" s="1636" t="inlineStr">
        <is>
          <t>kgVs/(1000kg TAM)/day</t>
        </is>
      </c>
      <c r="F2386" s="1636" t="inlineStr">
        <is>
          <t>kgVs/(1000kg TAM)/day</t>
        </is>
      </c>
      <c r="G2386" s="1636" t="inlineStr">
        <is>
          <t>kgVs/(1000kg TAM)/day</t>
        </is>
      </c>
      <c r="H2386" s="1636" t="inlineStr">
        <is>
          <t>kgVs/(1000kg TAM)/day</t>
        </is>
      </c>
      <c r="I2386" s="1636" t="inlineStr">
        <is>
          <t>kgVs/(1000kg TAM)/day</t>
        </is>
      </c>
      <c r="J2386" s="1636" t="inlineStr">
        <is>
          <t>kgVs/(1000kg TAM)/day</t>
        </is>
      </c>
      <c r="K2386" s="1631" t="inlineStr">
        <is>
          <t>kgVs/(1000kg TAM)/day</t>
        </is>
      </c>
      <c r="L2386" s="1631" t="inlineStr">
        <is>
          <t>kgVs/(1000kg TAM)/day</t>
        </is>
      </c>
      <c r="M2386" s="1631" t="inlineStr">
        <is>
          <t>kgVs/(1000kg TAM)/day</t>
        </is>
      </c>
      <c r="N2386" s="31" t="n"/>
      <c r="O2386" s="1636" t="n"/>
      <c r="P2386" s="1636" t="inlineStr">
        <is>
          <t>kgVs/(1000kg TAM)/day</t>
        </is>
      </c>
      <c r="Q2386" s="1636" t="inlineStr">
        <is>
          <t>kgVs/(1000kg TAM)/day</t>
        </is>
      </c>
      <c r="R2386" s="42" t="inlineStr">
        <is>
          <t>kgVs/(1000kg TAM)/day</t>
        </is>
      </c>
      <c r="S2386" s="42" t="inlineStr">
        <is>
          <t>kgVs/(1000kg TAM)/day</t>
        </is>
      </c>
      <c r="T2386" s="1092" t="n"/>
      <c r="U2386" s="1092" t="n"/>
      <c r="V2386" s="1092" t="n"/>
      <c r="W2386" s="1092" t="n"/>
    </row>
    <row r="2387" customFormat="1" s="21">
      <c r="A2387" s="407" t="inlineStr">
        <is>
          <t>Sub-Saharan Africa</t>
        </is>
      </c>
      <c r="B2387" s="1640" t="n">
        <v>21.7</v>
      </c>
      <c r="C2387" s="1640" t="n">
        <v>10.2</v>
      </c>
      <c r="D2387" s="1640" t="n">
        <v>12.9</v>
      </c>
      <c r="E2387" s="1640" t="n">
        <v>12.9</v>
      </c>
      <c r="F2387" s="418" t="n">
        <v>8.300000000000001</v>
      </c>
      <c r="G2387" s="418" t="n">
        <v>8.300000000000001</v>
      </c>
      <c r="H2387" s="44" t="n">
        <v>5.3</v>
      </c>
      <c r="I2387" s="418" t="n">
        <v>2.4</v>
      </c>
      <c r="J2387" s="418" t="n">
        <v>10.4</v>
      </c>
      <c r="K2387" s="451" t="n">
        <v>7.2</v>
      </c>
      <c r="L2387" s="451" t="n">
        <v>11.5</v>
      </c>
      <c r="M2387" s="451" t="n">
        <v>7.2</v>
      </c>
      <c r="N2387" s="451" t="n"/>
      <c r="O2387" s="418" t="n"/>
      <c r="P2387" s="418" t="n">
        <v>12.3</v>
      </c>
      <c r="Q2387" s="418" t="n">
        <v>16</v>
      </c>
      <c r="R2387" s="1655" t="n"/>
      <c r="S2387" s="41" t="n"/>
      <c r="T2387" s="453" t="n"/>
      <c r="U2387" s="453" t="n"/>
      <c r="V2387" s="453" t="n"/>
      <c r="W2387" s="453" t="n"/>
    </row>
    <row r="2388" customFormat="1" s="21">
      <c r="A2388" s="405" t="inlineStr">
        <is>
          <t>East Asia and South-East Asia</t>
        </is>
      </c>
      <c r="B2388" s="468" t="n">
        <v>8.1</v>
      </c>
      <c r="C2388" s="468" t="n">
        <v>6.8</v>
      </c>
      <c r="D2388" s="468" t="n">
        <v>13.5</v>
      </c>
      <c r="E2388" s="468" t="n">
        <v>13.5</v>
      </c>
      <c r="F2388" s="451" t="n">
        <v>8.300000000000001</v>
      </c>
      <c r="G2388" s="451" t="n">
        <v>8.300000000000001</v>
      </c>
      <c r="H2388" s="41" t="n">
        <v>5.1</v>
      </c>
      <c r="I2388" s="451" t="n">
        <v>2.3</v>
      </c>
      <c r="J2388" s="451" t="n">
        <v>10.4</v>
      </c>
      <c r="K2388" s="451" t="n">
        <v>7.2</v>
      </c>
      <c r="L2388" s="451" t="n">
        <v>11.5</v>
      </c>
      <c r="M2388" s="451" t="n">
        <v>7.2</v>
      </c>
      <c r="N2388" s="451" t="n"/>
      <c r="O2388" s="451" t="n"/>
      <c r="P2388" s="451" t="n">
        <v>10.6</v>
      </c>
      <c r="Q2388" s="451" t="n">
        <v>15.6</v>
      </c>
      <c r="R2388" s="1655" t="n"/>
      <c r="S2388" s="41" t="n"/>
      <c r="T2388" s="453" t="n"/>
      <c r="U2388" s="453" t="n"/>
      <c r="V2388" s="453" t="n"/>
      <c r="W2388" s="453" t="n"/>
    </row>
    <row r="2389" customFormat="1" s="21">
      <c r="A2389" s="405" t="inlineStr">
        <is>
          <t>North America</t>
        </is>
      </c>
      <c r="B2389" s="468" t="n">
        <v>9.300000000000001</v>
      </c>
      <c r="C2389" s="468" t="n">
        <v>7.6</v>
      </c>
      <c r="D2389" s="468" t="n">
        <v>0</v>
      </c>
      <c r="E2389" s="468" t="n">
        <v>0</v>
      </c>
      <c r="F2389" s="451" t="n">
        <v>8.199999999999999</v>
      </c>
      <c r="G2389" s="451" t="n">
        <v>8.199999999999999</v>
      </c>
      <c r="H2389" s="41" t="n">
        <v>3.9</v>
      </c>
      <c r="I2389" s="451" t="n">
        <v>1.8</v>
      </c>
      <c r="J2389" s="451" t="n">
        <v>9</v>
      </c>
      <c r="K2389" s="451" t="n">
        <v>5.65</v>
      </c>
      <c r="L2389" s="451" t="n">
        <v>11.5</v>
      </c>
      <c r="M2389" s="451" t="n">
        <v>7.2</v>
      </c>
      <c r="N2389" s="451" t="n"/>
      <c r="O2389" s="451" t="n"/>
      <c r="P2389" s="451" t="n">
        <v>14.5</v>
      </c>
      <c r="Q2389" s="451" t="n">
        <v>16.8</v>
      </c>
      <c r="R2389" s="1655" t="n"/>
      <c r="S2389" s="41" t="n"/>
      <c r="T2389" s="453" t="n"/>
      <c r="U2389" s="453" t="n"/>
      <c r="V2389" s="453" t="n"/>
      <c r="W2389" s="453" t="n"/>
    </row>
    <row r="2390" customFormat="1" s="21">
      <c r="A2390" s="405" t="inlineStr">
        <is>
          <t>Latin America and the Caribbean</t>
        </is>
      </c>
      <c r="B2390" s="451" t="n">
        <v>9</v>
      </c>
      <c r="C2390" s="451" t="n">
        <v>8.1</v>
      </c>
      <c r="D2390" s="451" t="n">
        <v>11.2</v>
      </c>
      <c r="E2390" s="451" t="n">
        <v>11.2</v>
      </c>
      <c r="F2390" s="451" t="n">
        <v>8.300000000000001</v>
      </c>
      <c r="G2390" s="451" t="n">
        <v>8.300000000000001</v>
      </c>
      <c r="H2390" s="41" t="n">
        <v>4.3</v>
      </c>
      <c r="I2390" s="451" t="n">
        <v>1.7</v>
      </c>
      <c r="J2390" s="451" t="n">
        <v>10.4</v>
      </c>
      <c r="K2390" s="451" t="n">
        <v>7.2</v>
      </c>
      <c r="L2390" s="451" t="n">
        <v>11.5</v>
      </c>
      <c r="M2390" s="451" t="n">
        <v>7.2</v>
      </c>
      <c r="N2390" s="451" t="n"/>
      <c r="O2390" s="451" t="n"/>
      <c r="P2390" s="451" t="n">
        <v>13.3</v>
      </c>
      <c r="Q2390" s="451" t="n">
        <v>15.5</v>
      </c>
      <c r="R2390" s="1655" t="n"/>
      <c r="S2390" s="41" t="n"/>
      <c r="T2390" s="453" t="n"/>
      <c r="U2390" s="453" t="n"/>
      <c r="V2390" s="453" t="n"/>
      <c r="W2390" s="453" t="n"/>
    </row>
    <row r="2391" customFormat="1" s="21">
      <c r="A2391" s="405" t="inlineStr">
        <is>
          <t>Western Europe</t>
        </is>
      </c>
      <c r="B2391" s="468" t="n">
        <v>7.5</v>
      </c>
      <c r="C2391" s="468" t="n">
        <v>5.7</v>
      </c>
      <c r="D2391" s="468" t="n">
        <v>7.7</v>
      </c>
      <c r="E2391" s="468" t="n">
        <v>7.7</v>
      </c>
      <c r="F2391" s="451" t="n">
        <v>8.199999999999999</v>
      </c>
      <c r="G2391" s="451" t="n">
        <v>8.199999999999999</v>
      </c>
      <c r="H2391" s="41" t="n">
        <v>5.3</v>
      </c>
      <c r="I2391" s="451" t="n">
        <v>2.4</v>
      </c>
      <c r="J2391" s="451" t="n">
        <v>9</v>
      </c>
      <c r="K2391" s="451" t="n">
        <v>5.65</v>
      </c>
      <c r="L2391" s="451" t="n">
        <v>11.5</v>
      </c>
      <c r="M2391" s="451" t="n">
        <v>7.2</v>
      </c>
      <c r="N2391" s="451" t="n"/>
      <c r="O2391" s="451" t="n"/>
      <c r="P2391" s="451" t="n">
        <v>12.3</v>
      </c>
      <c r="Q2391" s="451" t="n">
        <v>16.1</v>
      </c>
      <c r="R2391" s="1655" t="n"/>
      <c r="S2391" s="41" t="n"/>
      <c r="T2391" s="453" t="n"/>
      <c r="U2391" s="453" t="n"/>
      <c r="V2391" s="453" t="n"/>
      <c r="W2391" s="453" t="n"/>
    </row>
    <row r="2392" customFormat="1" s="21">
      <c r="A2392" s="405" t="inlineStr">
        <is>
          <t>Eastern Europe</t>
        </is>
      </c>
      <c r="B2392" s="451" t="n">
        <v>6.7</v>
      </c>
      <c r="C2392" s="451" t="n">
        <v>7.6</v>
      </c>
      <c r="D2392" s="451" t="n">
        <v>6.2</v>
      </c>
      <c r="E2392" s="451" t="n">
        <v>6.2</v>
      </c>
      <c r="F2392" s="451" t="n">
        <v>8.199999999999999</v>
      </c>
      <c r="G2392" s="451" t="n">
        <v>8.199999999999999</v>
      </c>
      <c r="H2392" s="41" t="n">
        <v>4.9</v>
      </c>
      <c r="I2392" s="451" t="n">
        <v>2</v>
      </c>
      <c r="J2392" s="451" t="n">
        <v>9</v>
      </c>
      <c r="K2392" s="451" t="n">
        <v>5.65</v>
      </c>
      <c r="L2392" s="451" t="n">
        <v>11.5</v>
      </c>
      <c r="M2392" s="451" t="n">
        <v>7.2</v>
      </c>
      <c r="N2392" s="451" t="n"/>
      <c r="O2392" s="451" t="n"/>
      <c r="P2392" s="451" t="n">
        <v>12.6</v>
      </c>
      <c r="Q2392" s="451" t="n">
        <v>16</v>
      </c>
      <c r="R2392" s="1655" t="n"/>
      <c r="S2392" s="41" t="n"/>
      <c r="T2392" s="453" t="n"/>
      <c r="U2392" s="453" t="n"/>
      <c r="V2392" s="453" t="n"/>
      <c r="W2392" s="453" t="n"/>
    </row>
    <row r="2393" customFormat="1" s="21">
      <c r="A2393" s="405" t="inlineStr">
        <is>
          <t>Russian Federation</t>
        </is>
      </c>
      <c r="B2393" s="451" t="n">
        <v>6.7</v>
      </c>
      <c r="C2393" s="451" t="n">
        <v>7.6</v>
      </c>
      <c r="D2393" s="451" t="n">
        <v>6.2</v>
      </c>
      <c r="E2393" s="451" t="n">
        <v>6.2</v>
      </c>
      <c r="F2393" s="451" t="n">
        <v>8.199999999999999</v>
      </c>
      <c r="G2393" s="451" t="n">
        <v>8.199999999999999</v>
      </c>
      <c r="H2393" s="41" t="n">
        <v>4.9</v>
      </c>
      <c r="I2393" s="451" t="n">
        <v>2</v>
      </c>
      <c r="J2393" s="451" t="n">
        <v>9</v>
      </c>
      <c r="K2393" s="451" t="n">
        <v>5.65</v>
      </c>
      <c r="L2393" s="451" t="n">
        <v>11.5</v>
      </c>
      <c r="M2393" s="451" t="n">
        <v>7.2</v>
      </c>
      <c r="N2393" s="451" t="n"/>
      <c r="O2393" s="451" t="n"/>
      <c r="P2393" s="451" t="n">
        <v>12.6</v>
      </c>
      <c r="Q2393" s="451" t="n">
        <v>16</v>
      </c>
      <c r="R2393" s="1655" t="n"/>
      <c r="S2393" s="41" t="n"/>
      <c r="T2393" s="453" t="n"/>
      <c r="U2393" s="453" t="n"/>
      <c r="V2393" s="453" t="n"/>
      <c r="W2393" s="453" t="n"/>
    </row>
    <row r="2394" customFormat="1" s="21">
      <c r="A2394" s="405" t="inlineStr">
        <is>
          <t>Oceania</t>
        </is>
      </c>
      <c r="B2394" s="451" t="n">
        <v>6</v>
      </c>
      <c r="C2394" s="451" t="n">
        <v>8.699999999999999</v>
      </c>
      <c r="D2394" s="451" t="n">
        <v>0</v>
      </c>
      <c r="E2394" s="451" t="n">
        <v>0</v>
      </c>
      <c r="F2394" s="451" t="n">
        <v>8.199999999999999</v>
      </c>
      <c r="G2394" s="451" t="n">
        <v>8.199999999999999</v>
      </c>
      <c r="H2394" s="41" t="n">
        <v>5.6</v>
      </c>
      <c r="I2394" s="451" t="n">
        <v>2.1</v>
      </c>
      <c r="J2394" s="451" t="n">
        <v>9</v>
      </c>
      <c r="K2394" s="451" t="n">
        <v>5.65</v>
      </c>
      <c r="L2394" s="451" t="n">
        <v>11.5</v>
      </c>
      <c r="M2394" s="451" t="n">
        <v>7.2</v>
      </c>
      <c r="N2394" s="451" t="n"/>
      <c r="O2394" s="451" t="n"/>
      <c r="P2394" s="451" t="n">
        <v>15.4</v>
      </c>
      <c r="Q2394" s="451" t="n">
        <v>18.3</v>
      </c>
      <c r="R2394" s="1655" t="n"/>
      <c r="S2394" s="41" t="n"/>
    </row>
    <row r="2395" customFormat="1" s="453">
      <c r="A2395" s="405" t="inlineStr">
        <is>
          <t>NENA/Middle East</t>
        </is>
      </c>
      <c r="B2395" s="451" t="n">
        <v>8.4</v>
      </c>
      <c r="C2395" s="451" t="n">
        <v>10.5</v>
      </c>
      <c r="D2395" s="451" t="n">
        <v>9.800000000000001</v>
      </c>
      <c r="E2395" s="451" t="n">
        <v>9.800000000000001</v>
      </c>
      <c r="F2395" s="451" t="n">
        <v>8.300000000000001</v>
      </c>
      <c r="G2395" s="451" t="n">
        <v>8.300000000000001</v>
      </c>
      <c r="H2395" s="41" t="n">
        <v>4.4</v>
      </c>
      <c r="I2395" s="451" t="n">
        <v>2.3</v>
      </c>
      <c r="J2395" s="451" t="n">
        <v>10.4</v>
      </c>
      <c r="K2395" s="451" t="n">
        <v>7.2</v>
      </c>
      <c r="L2395" s="451" t="n">
        <v>11.5</v>
      </c>
      <c r="M2395" s="451" t="n">
        <v>7.2</v>
      </c>
      <c r="N2395" s="451" t="n"/>
      <c r="O2395" s="451" t="n"/>
      <c r="P2395" s="451" t="n">
        <v>14.1</v>
      </c>
      <c r="Q2395" s="451" t="n">
        <v>17.7</v>
      </c>
      <c r="R2395" s="1655" t="n"/>
      <c r="S2395" s="41" t="n"/>
    </row>
    <row r="2396" customFormat="1" s="453">
      <c r="A2396" s="405" t="inlineStr">
        <is>
          <t>South Asia</t>
        </is>
      </c>
      <c r="B2396" s="451" t="n">
        <v>9.1</v>
      </c>
      <c r="C2396" s="451" t="n">
        <v>13.5</v>
      </c>
      <c r="D2396" s="451" t="n">
        <v>0</v>
      </c>
      <c r="E2396" s="451" t="n">
        <v>0</v>
      </c>
      <c r="F2396" s="451" t="n">
        <v>8.300000000000001</v>
      </c>
      <c r="G2396" s="451" t="n">
        <v>8.300000000000001</v>
      </c>
      <c r="H2396" s="42" t="n">
        <v>6.5</v>
      </c>
      <c r="I2396" s="451" t="n">
        <v>3</v>
      </c>
      <c r="J2396" s="451" t="n">
        <v>10.4</v>
      </c>
      <c r="K2396" s="451" t="n">
        <v>7.2</v>
      </c>
      <c r="L2396" s="451" t="n">
        <v>11.5</v>
      </c>
      <c r="M2396" s="451" t="n">
        <v>7.2</v>
      </c>
      <c r="N2396" s="451" t="n"/>
      <c r="O2396" s="451" t="n"/>
      <c r="P2396" s="451" t="n">
        <v>14.3</v>
      </c>
      <c r="Q2396" s="451" t="n">
        <v>17.6</v>
      </c>
      <c r="R2396" s="1655" t="n"/>
      <c r="S2396" s="42" t="n"/>
    </row>
    <row r="2397" customFormat="1" s="535">
      <c r="A2397" s="518" t="inlineStr">
        <is>
          <t>Notes : Default proxy for poultry</t>
        </is>
      </c>
      <c r="F2397" s="1624" t="n"/>
      <c r="G2397" s="1624" t="n"/>
      <c r="H2397" s="1624" t="n"/>
      <c r="I2397" s="1624" t="n"/>
      <c r="J2397" s="1624" t="n"/>
      <c r="K2397" s="1624" t="n"/>
      <c r="L2397" s="1624" t="n"/>
      <c r="M2397" s="1624" t="n"/>
      <c r="N2397" s="1624" t="n"/>
      <c r="O2397" s="1624" t="n"/>
    </row>
    <row r="2398" customFormat="1" s="292"/>
    <row r="2400" customFormat="1" s="125">
      <c r="A2400" s="377" t="inlineStr">
        <is>
          <t>Volatile Solid Excretion rate</t>
        </is>
      </c>
      <c r="D2400" s="1075" t="n"/>
      <c r="E2400" s="1075" t="n"/>
      <c r="F2400" s="1075" t="n"/>
      <c r="G2400" s="1075" t="n"/>
      <c r="H2400" s="1075" t="n"/>
      <c r="I2400" s="1075" t="n"/>
      <c r="J2400" s="1075" t="n"/>
    </row>
    <row r="2401" ht="16.25" customFormat="1" customHeight="1" s="773">
      <c r="A2401" s="753" t="inlineStr">
        <is>
          <t>Low-productivity</t>
        </is>
      </c>
      <c r="B2401" s="442" t="inlineStr">
        <is>
          <t>10.13A</t>
        </is>
      </c>
      <c r="C2401" s="442" t="inlineStr">
        <is>
          <t>10.13A</t>
        </is>
      </c>
      <c r="D2401" s="442" t="inlineStr">
        <is>
          <t>10.13A</t>
        </is>
      </c>
      <c r="E2401" s="442" t="inlineStr">
        <is>
          <t>10.13A</t>
        </is>
      </c>
      <c r="F2401" s="442" t="inlineStr">
        <is>
          <t>10.13A</t>
        </is>
      </c>
      <c r="G2401" s="442" t="inlineStr">
        <is>
          <t>10.13A</t>
        </is>
      </c>
      <c r="H2401" s="442" t="inlineStr">
        <is>
          <t>10.13A</t>
        </is>
      </c>
      <c r="I2401" s="442" t="inlineStr">
        <is>
          <t>10.13A</t>
        </is>
      </c>
      <c r="J2401" s="442" t="inlineStr">
        <is>
          <t>10.13A</t>
        </is>
      </c>
      <c r="K2401" s="442" t="inlineStr">
        <is>
          <t>10.13A</t>
        </is>
      </c>
      <c r="L2401" s="442" t="inlineStr">
        <is>
          <t>10.13A</t>
        </is>
      </c>
      <c r="M2401" s="442" t="inlineStr">
        <is>
          <t>10.13A</t>
        </is>
      </c>
      <c r="N2401" s="442" t="inlineStr">
        <is>
          <t>Table 10.15</t>
        </is>
      </c>
      <c r="O2401" s="442" t="inlineStr">
        <is>
          <t>Table 10.15</t>
        </is>
      </c>
      <c r="P2401" s="442" t="inlineStr">
        <is>
          <t>10.13A</t>
        </is>
      </c>
      <c r="Q2401" s="442" t="inlineStr">
        <is>
          <t>10.13A</t>
        </is>
      </c>
      <c r="R2401" s="442" t="inlineStr">
        <is>
          <t>10.13A</t>
        </is>
      </c>
      <c r="S2401" s="442" t="n"/>
      <c r="T2401" s="442" t="n"/>
      <c r="U2401" s="442" t="n"/>
      <c r="V2401" s="442" t="n"/>
      <c r="W2401" s="442" t="n"/>
    </row>
    <row r="2402" ht="16" customFormat="1" customHeight="1" s="291">
      <c r="A2402" s="1641" t="inlineStr">
        <is>
          <t>Please select</t>
        </is>
      </c>
      <c r="B2402" s="1642" t="inlineStr">
        <is>
          <t>Dairy cattle</t>
        </is>
      </c>
      <c r="C2402" s="1642" t="inlineStr">
        <is>
          <t>Other cattle</t>
        </is>
      </c>
      <c r="D2402" s="1642" t="inlineStr">
        <is>
          <t>Dairy buffalo</t>
        </is>
      </c>
      <c r="E2402" s="1642" t="inlineStr">
        <is>
          <t>Other buffalo</t>
        </is>
      </c>
      <c r="F2402" s="426" t="inlineStr">
        <is>
          <t>Dairy sheep</t>
        </is>
      </c>
      <c r="G2402" s="1633" t="inlineStr">
        <is>
          <t>Other sheep</t>
        </is>
      </c>
      <c r="H2402" s="419" t="inlineStr">
        <is>
          <t>Growing swine</t>
        </is>
      </c>
      <c r="I2402" s="1633" t="inlineStr">
        <is>
          <t>Breeding swine</t>
        </is>
      </c>
      <c r="J2402" s="1642" t="inlineStr">
        <is>
          <t>Goats</t>
        </is>
      </c>
      <c r="K2402" s="1642" t="inlineStr">
        <is>
          <t>Horses</t>
        </is>
      </c>
      <c r="L2402" s="1642" t="inlineStr">
        <is>
          <t>Camels</t>
        </is>
      </c>
      <c r="M2402" s="1642" t="inlineStr">
        <is>
          <t>Mules and Asses</t>
        </is>
      </c>
      <c r="N2402" s="1642" t="inlineStr">
        <is>
          <t>Deer</t>
        </is>
      </c>
      <c r="O2402" s="1642" t="inlineStr">
        <is>
          <t>Ostrich</t>
        </is>
      </c>
      <c r="P2402" s="1633" t="inlineStr">
        <is>
          <t>Chicken layer</t>
        </is>
      </c>
      <c r="Q2402" s="1633" t="inlineStr">
        <is>
          <t>Chicken broiler</t>
        </is>
      </c>
      <c r="R2402" s="1642" t="inlineStr">
        <is>
          <t>Llamas and Alpacas</t>
        </is>
      </c>
      <c r="S2402" s="1658" t="inlineStr">
        <is>
          <t>Other (Please specify in Tier 2)</t>
        </is>
      </c>
      <c r="T2402" s="453" t="n"/>
      <c r="U2402" s="453" t="n"/>
      <c r="V2402" s="453" t="n"/>
      <c r="W2402" s="453" t="n"/>
      <c r="X2402" s="21" t="n"/>
      <c r="Y2402" s="21" t="n"/>
    </row>
    <row r="2403" ht="16" customFormat="1" customHeight="1" s="1093">
      <c r="A2403" s="523" t="inlineStr">
        <is>
          <t>IPCC Region</t>
        </is>
      </c>
      <c r="B2403" s="1636" t="inlineStr">
        <is>
          <t>kgVs/(1000kg TAM)/day</t>
        </is>
      </c>
      <c r="C2403" s="1636" t="inlineStr">
        <is>
          <t>kgVs/(1000kg TAM)/day</t>
        </is>
      </c>
      <c r="D2403" s="1636" t="inlineStr">
        <is>
          <t>kgVs/(1000kg TAM)/day</t>
        </is>
      </c>
      <c r="E2403" s="1636" t="inlineStr">
        <is>
          <t>kgVs/(1000kg TAM)/day</t>
        </is>
      </c>
      <c r="F2403" s="1636" t="inlineStr">
        <is>
          <t>kgVs/(1000kg TAM)/day</t>
        </is>
      </c>
      <c r="G2403" s="1636" t="inlineStr">
        <is>
          <t>kgVs/(1000kg TAM)/day</t>
        </is>
      </c>
      <c r="H2403" s="31" t="inlineStr">
        <is>
          <t>kgVs/(1000kg TAM)/day</t>
        </is>
      </c>
      <c r="I2403" s="1636" t="inlineStr">
        <is>
          <t>kgVs/(1000kg TAM)/day</t>
        </is>
      </c>
      <c r="J2403" s="1636" t="inlineStr">
        <is>
          <t>kgVs/(1000kg TAM)/day</t>
        </is>
      </c>
      <c r="K2403" s="1631" t="inlineStr">
        <is>
          <t>kgVs/(1000kg TAM)/day</t>
        </is>
      </c>
      <c r="L2403" s="1631" t="inlineStr">
        <is>
          <t>kgVs/(1000kg TAM)/day</t>
        </is>
      </c>
      <c r="M2403" s="1631" t="inlineStr">
        <is>
          <t>kgVs/(1000kg TAM)/day</t>
        </is>
      </c>
      <c r="N2403" s="31" t="n"/>
      <c r="O2403" s="1636" t="n"/>
      <c r="P2403" s="1636" t="inlineStr">
        <is>
          <t>kgVs/(1000kg TAM)/day</t>
        </is>
      </c>
      <c r="Q2403" s="1636" t="inlineStr">
        <is>
          <t>kgVs/(1000kg TAM)/day</t>
        </is>
      </c>
      <c r="R2403" s="42" t="inlineStr">
        <is>
          <t>kgVs/(1000kg TAM)/day</t>
        </is>
      </c>
      <c r="S2403" s="42" t="inlineStr">
        <is>
          <t>kgVs/(1000kg TAM)/day</t>
        </is>
      </c>
      <c r="T2403" s="1092" t="n"/>
      <c r="U2403" s="1092" t="n"/>
      <c r="V2403" s="1092" t="n"/>
      <c r="W2403" s="1092" t="n"/>
    </row>
    <row r="2404" customFormat="1" s="21">
      <c r="A2404" s="407" t="inlineStr">
        <is>
          <t>Sub-Saharan Africa</t>
        </is>
      </c>
      <c r="B2404" s="1640" t="n">
        <v>15.2</v>
      </c>
      <c r="C2404" s="1640" t="n">
        <v>12.7</v>
      </c>
      <c r="D2404" s="1640" t="n">
        <v>12.9</v>
      </c>
      <c r="E2404" s="1640" t="n">
        <v>12.9</v>
      </c>
      <c r="F2404" s="418" t="n">
        <v>8.300000000000001</v>
      </c>
      <c r="G2404" s="418" t="n">
        <v>8.300000000000001</v>
      </c>
      <c r="H2404" s="41" t="n">
        <v>9.4</v>
      </c>
      <c r="I2404" s="418" t="n">
        <v>6</v>
      </c>
      <c r="J2404" s="418" t="n">
        <v>10.4</v>
      </c>
      <c r="K2404" s="451" t="n">
        <v>7.2</v>
      </c>
      <c r="L2404" s="451" t="n">
        <v>11.5</v>
      </c>
      <c r="M2404" s="451" t="n">
        <v>7.2</v>
      </c>
      <c r="N2404" s="451" t="n"/>
      <c r="O2404" s="418" t="n"/>
      <c r="P2404" s="418" t="n">
        <v>13</v>
      </c>
      <c r="Q2404" s="418" t="n">
        <v>15.4</v>
      </c>
      <c r="R2404" s="451" t="n"/>
      <c r="S2404" s="41" t="n"/>
      <c r="T2404" s="453" t="n"/>
      <c r="U2404" s="453" t="n"/>
      <c r="V2404" s="453" t="n"/>
      <c r="W2404" s="453" t="n"/>
    </row>
    <row r="2405" customFormat="1" s="21">
      <c r="A2405" s="405" t="inlineStr">
        <is>
          <t>East Asia and South-East Asia</t>
        </is>
      </c>
      <c r="B2405" s="468" t="n">
        <v>9.199999999999999</v>
      </c>
      <c r="C2405" s="468" t="n">
        <v>10.8</v>
      </c>
      <c r="D2405" s="468" t="n">
        <v>13.5</v>
      </c>
      <c r="E2405" s="468" t="n">
        <v>13.5</v>
      </c>
      <c r="F2405" s="451" t="n">
        <v>8.300000000000001</v>
      </c>
      <c r="G2405" s="451" t="n">
        <v>8.300000000000001</v>
      </c>
      <c r="H2405" s="41" t="n">
        <v>8.1</v>
      </c>
      <c r="I2405" s="451" t="n">
        <v>4.3</v>
      </c>
      <c r="J2405" s="451" t="n">
        <v>10.4</v>
      </c>
      <c r="K2405" s="451" t="n">
        <v>7.2</v>
      </c>
      <c r="L2405" s="451" t="n">
        <v>11.5</v>
      </c>
      <c r="M2405" s="451" t="n">
        <v>7.2</v>
      </c>
      <c r="N2405" s="451" t="n"/>
      <c r="O2405" s="451" t="n"/>
      <c r="P2405" s="451" t="n">
        <v>14.3</v>
      </c>
      <c r="Q2405" s="451" t="n">
        <v>17.1</v>
      </c>
      <c r="R2405" s="451" t="n"/>
      <c r="S2405" s="41" t="n"/>
      <c r="T2405" s="453" t="n"/>
      <c r="U2405" s="453" t="n"/>
      <c r="V2405" s="453" t="n"/>
      <c r="W2405" s="453" t="n"/>
    </row>
    <row r="2406" customFormat="1" s="21">
      <c r="A2406" s="405" t="inlineStr">
        <is>
          <t>North America</t>
        </is>
      </c>
      <c r="B2406" s="468" t="n">
        <v>9.300000000000001</v>
      </c>
      <c r="C2406" s="468" t="n">
        <v>7.6</v>
      </c>
      <c r="D2406" s="468" t="n">
        <v>0</v>
      </c>
      <c r="E2406" s="468" t="n">
        <v>0</v>
      </c>
      <c r="F2406" s="451" t="n">
        <v>8.199999999999999</v>
      </c>
      <c r="G2406" s="451" t="n">
        <v>8.199999999999999</v>
      </c>
      <c r="H2406" s="41" t="n">
        <v>3.9</v>
      </c>
      <c r="I2406" s="451" t="n">
        <v>1.8</v>
      </c>
      <c r="J2406" s="451" t="n">
        <v>9</v>
      </c>
      <c r="K2406" s="451" t="n">
        <v>5.65</v>
      </c>
      <c r="L2406" s="451" t="n">
        <v>11.5</v>
      </c>
      <c r="M2406" s="451" t="n">
        <v>7.2</v>
      </c>
      <c r="N2406" s="451" t="n"/>
      <c r="O2406" s="451" t="n"/>
      <c r="P2406" s="451" t="n">
        <v>14.5</v>
      </c>
      <c r="Q2406" s="451" t="n">
        <v>16.8</v>
      </c>
      <c r="R2406" s="451" t="n"/>
      <c r="S2406" s="41" t="n"/>
      <c r="T2406" s="453" t="n"/>
      <c r="U2406" s="453" t="n"/>
      <c r="V2406" s="453" t="n"/>
      <c r="W2406" s="453" t="n"/>
    </row>
    <row r="2407" customFormat="1" s="21">
      <c r="A2407" s="405" t="inlineStr">
        <is>
          <t>Latin America and the Caribbean</t>
        </is>
      </c>
      <c r="B2407" s="451" t="n">
        <v>7.1</v>
      </c>
      <c r="C2407" s="451" t="n">
        <v>8.6</v>
      </c>
      <c r="D2407" s="451" t="n">
        <v>11.2</v>
      </c>
      <c r="E2407" s="451" t="n">
        <v>11.2</v>
      </c>
      <c r="F2407" s="451" t="n">
        <v>8.300000000000001</v>
      </c>
      <c r="G2407" s="451" t="n">
        <v>8.300000000000001</v>
      </c>
      <c r="H2407" s="41" t="n">
        <v>10</v>
      </c>
      <c r="I2407" s="451" t="n">
        <v>4.8</v>
      </c>
      <c r="J2407" s="451" t="n">
        <v>10.4</v>
      </c>
      <c r="K2407" s="451" t="n">
        <v>7.2</v>
      </c>
      <c r="L2407" s="451" t="n">
        <v>11.5</v>
      </c>
      <c r="M2407" s="451" t="n">
        <v>7.2</v>
      </c>
      <c r="N2407" s="451" t="n"/>
      <c r="O2407" s="451" t="n"/>
      <c r="P2407" s="451" t="n">
        <v>15.7</v>
      </c>
      <c r="Q2407" s="451" t="n">
        <v>17.8</v>
      </c>
      <c r="R2407" s="451" t="n"/>
      <c r="S2407" s="41" t="n"/>
      <c r="T2407" s="453" t="n"/>
      <c r="U2407" s="453" t="n"/>
      <c r="V2407" s="453" t="n"/>
      <c r="W2407" s="453" t="n"/>
    </row>
    <row r="2408" customFormat="1" s="21">
      <c r="A2408" s="405" t="inlineStr">
        <is>
          <t>Western Europe</t>
        </is>
      </c>
      <c r="B2408" s="468" t="n">
        <v>7.5</v>
      </c>
      <c r="C2408" s="468" t="n">
        <v>5.7</v>
      </c>
      <c r="D2408" s="468" t="n">
        <v>7.7</v>
      </c>
      <c r="E2408" s="468" t="n">
        <v>7.7</v>
      </c>
      <c r="F2408" s="451" t="n">
        <v>8.199999999999999</v>
      </c>
      <c r="G2408" s="451" t="n">
        <v>8.199999999999999</v>
      </c>
      <c r="H2408" s="41" t="n">
        <v>5.3</v>
      </c>
      <c r="I2408" s="451" t="n">
        <v>2.4</v>
      </c>
      <c r="J2408" s="451" t="n">
        <v>9</v>
      </c>
      <c r="K2408" s="451" t="n">
        <v>5.65</v>
      </c>
      <c r="L2408" s="451" t="n">
        <v>11.5</v>
      </c>
      <c r="M2408" s="451" t="n">
        <v>7.2</v>
      </c>
      <c r="N2408" s="451" t="n"/>
      <c r="O2408" s="451" t="n"/>
      <c r="P2408" s="451" t="n">
        <v>12.3</v>
      </c>
      <c r="Q2408" s="451" t="n">
        <v>16.1</v>
      </c>
      <c r="R2408" s="451" t="n"/>
      <c r="S2408" s="41" t="n"/>
      <c r="T2408" s="453" t="n"/>
      <c r="U2408" s="453" t="n"/>
      <c r="V2408" s="453" t="n"/>
      <c r="W2408" s="453" t="n"/>
    </row>
    <row r="2409" customFormat="1" s="21">
      <c r="A2409" s="405" t="inlineStr">
        <is>
          <t>Eastern Europe</t>
        </is>
      </c>
      <c r="B2409" s="451" t="n">
        <v>6.7</v>
      </c>
      <c r="C2409" s="451" t="n">
        <v>7.6</v>
      </c>
      <c r="D2409" s="451" t="n">
        <v>6.2</v>
      </c>
      <c r="E2409" s="451" t="n">
        <v>6.2</v>
      </c>
      <c r="F2409" s="451" t="n">
        <v>8.199999999999999</v>
      </c>
      <c r="G2409" s="451" t="n">
        <v>8.199999999999999</v>
      </c>
      <c r="H2409" s="41" t="n">
        <v>4.9</v>
      </c>
      <c r="I2409" s="451" t="n">
        <v>2</v>
      </c>
      <c r="J2409" s="451" t="n">
        <v>9</v>
      </c>
      <c r="K2409" s="451" t="n">
        <v>5.65</v>
      </c>
      <c r="L2409" s="451" t="n">
        <v>11.5</v>
      </c>
      <c r="M2409" s="451" t="n">
        <v>7.2</v>
      </c>
      <c r="N2409" s="451" t="n"/>
      <c r="O2409" s="451" t="n"/>
      <c r="P2409" s="451" t="n">
        <v>12.6</v>
      </c>
      <c r="Q2409" s="451" t="n">
        <v>16</v>
      </c>
      <c r="R2409" s="451" t="n"/>
      <c r="S2409" s="41" t="n"/>
      <c r="T2409" s="453" t="n"/>
      <c r="U2409" s="453" t="n"/>
      <c r="V2409" s="453" t="n"/>
      <c r="W2409" s="453" t="n"/>
    </row>
    <row r="2410" customFormat="1" s="21">
      <c r="A2410" s="405" t="inlineStr">
        <is>
          <t>Russian Federation</t>
        </is>
      </c>
      <c r="B2410" s="451" t="n">
        <v>6.7</v>
      </c>
      <c r="C2410" s="451" t="n">
        <v>7.6</v>
      </c>
      <c r="D2410" s="451" t="n">
        <v>6.2</v>
      </c>
      <c r="E2410" s="451" t="n">
        <v>6.2</v>
      </c>
      <c r="F2410" s="451" t="n">
        <v>8.199999999999999</v>
      </c>
      <c r="G2410" s="451" t="n">
        <v>8.199999999999999</v>
      </c>
      <c r="H2410" s="41" t="n">
        <v>4.9</v>
      </c>
      <c r="I2410" s="451" t="n">
        <v>2</v>
      </c>
      <c r="J2410" s="451" t="n">
        <v>9</v>
      </c>
      <c r="K2410" s="451" t="n">
        <v>5.65</v>
      </c>
      <c r="L2410" s="451" t="n">
        <v>11.5</v>
      </c>
      <c r="M2410" s="451" t="n">
        <v>7.2</v>
      </c>
      <c r="N2410" s="451" t="n"/>
      <c r="O2410" s="451" t="n"/>
      <c r="P2410" s="451" t="n">
        <v>12.6</v>
      </c>
      <c r="Q2410" s="451" t="n">
        <v>16</v>
      </c>
      <c r="R2410" s="451" t="n"/>
      <c r="S2410" s="41" t="n"/>
      <c r="T2410" s="453" t="n"/>
      <c r="U2410" s="453" t="n"/>
      <c r="V2410" s="453" t="n"/>
      <c r="W2410" s="453" t="n"/>
    </row>
    <row r="2411" customFormat="1" s="21">
      <c r="A2411" s="405" t="inlineStr">
        <is>
          <t>Oceania</t>
        </is>
      </c>
      <c r="B2411" s="451" t="n">
        <v>6</v>
      </c>
      <c r="C2411" s="451" t="n">
        <v>8.699999999999999</v>
      </c>
      <c r="D2411" s="451" t="n">
        <v>0</v>
      </c>
      <c r="E2411" s="451" t="n">
        <v>0</v>
      </c>
      <c r="F2411" s="451" t="n">
        <v>8.199999999999999</v>
      </c>
      <c r="G2411" s="451" t="n">
        <v>8.199999999999999</v>
      </c>
      <c r="H2411" s="41" t="n">
        <v>5.6</v>
      </c>
      <c r="I2411" s="451" t="n">
        <v>2.1</v>
      </c>
      <c r="J2411" s="451" t="n">
        <v>9</v>
      </c>
      <c r="K2411" s="451" t="n">
        <v>5.65</v>
      </c>
      <c r="L2411" s="451" t="n">
        <v>11.5</v>
      </c>
      <c r="M2411" s="451" t="n">
        <v>7.2</v>
      </c>
      <c r="N2411" s="451" t="n"/>
      <c r="O2411" s="451" t="n"/>
      <c r="P2411" s="451" t="n">
        <v>15.4</v>
      </c>
      <c r="Q2411" s="451" t="n">
        <v>15.4</v>
      </c>
      <c r="R2411" s="451" t="n"/>
      <c r="S2411" s="41" t="n"/>
    </row>
    <row r="2412" customFormat="1" s="453">
      <c r="A2412" s="405" t="inlineStr">
        <is>
          <t>NENA/Middle East</t>
        </is>
      </c>
      <c r="B2412" s="451" t="n">
        <v>11.8</v>
      </c>
      <c r="C2412" s="451" t="n">
        <v>16.8</v>
      </c>
      <c r="D2412" s="451" t="n">
        <v>9.800000000000001</v>
      </c>
      <c r="E2412" s="451" t="n">
        <v>9.800000000000001</v>
      </c>
      <c r="F2412" s="451" t="n">
        <v>8.300000000000001</v>
      </c>
      <c r="G2412" s="451" t="n">
        <v>8.300000000000001</v>
      </c>
      <c r="H2412" s="41" t="n">
        <v>7.8</v>
      </c>
      <c r="I2412" s="451" t="n">
        <v>4.6</v>
      </c>
      <c r="J2412" s="451" t="n">
        <v>10.4</v>
      </c>
      <c r="K2412" s="451" t="n">
        <v>7.2</v>
      </c>
      <c r="L2412" s="451" t="n">
        <v>11.5</v>
      </c>
      <c r="M2412" s="451" t="n">
        <v>7.2</v>
      </c>
      <c r="N2412" s="451" t="n"/>
      <c r="O2412" s="451" t="n"/>
      <c r="P2412" s="451" t="n">
        <v>16.5</v>
      </c>
      <c r="Q2412" s="451" t="n">
        <v>17.9</v>
      </c>
      <c r="R2412" s="451" t="n"/>
      <c r="S2412" s="41" t="n"/>
    </row>
    <row r="2413" customFormat="1" s="453">
      <c r="A2413" s="405" t="inlineStr">
        <is>
          <t>South Asia</t>
        </is>
      </c>
      <c r="B2413" s="451" t="n">
        <v>16.1</v>
      </c>
      <c r="C2413" s="451" t="n">
        <v>12</v>
      </c>
      <c r="D2413" s="451" t="n">
        <v>0</v>
      </c>
      <c r="E2413" s="451" t="n">
        <v>0</v>
      </c>
      <c r="F2413" s="451" t="n">
        <v>8.300000000000001</v>
      </c>
      <c r="G2413" s="451" t="n">
        <v>8.300000000000001</v>
      </c>
      <c r="H2413" s="42" t="n">
        <v>9.5</v>
      </c>
      <c r="I2413" s="451" t="n">
        <v>5.5</v>
      </c>
      <c r="J2413" s="451" t="n">
        <v>10.4</v>
      </c>
      <c r="K2413" s="451" t="n">
        <v>7.2</v>
      </c>
      <c r="L2413" s="451" t="n">
        <v>11.5</v>
      </c>
      <c r="M2413" s="451" t="n">
        <v>7.2</v>
      </c>
      <c r="N2413" s="451" t="n"/>
      <c r="O2413" s="451" t="n"/>
      <c r="P2413" s="451" t="n">
        <v>15.7</v>
      </c>
      <c r="Q2413" s="451" t="n">
        <v>18.2</v>
      </c>
      <c r="R2413" s="451" t="n"/>
      <c r="S2413" s="42" t="n"/>
    </row>
    <row r="2414" customFormat="1" s="535">
      <c r="A2414" s="518" t="inlineStr">
        <is>
          <t>Notes : Default proxy for poultry</t>
        </is>
      </c>
      <c r="F2414" s="1624" t="n"/>
      <c r="G2414" s="1624" t="n"/>
      <c r="H2414" s="1624" t="n"/>
      <c r="I2414" s="1624" t="n"/>
      <c r="J2414" s="1624" t="n"/>
      <c r="K2414" s="1624" t="n"/>
      <c r="L2414" s="1624" t="n"/>
      <c r="M2414" s="1624" t="n"/>
      <c r="N2414" s="1624" t="n"/>
      <c r="O2414" s="1624" t="n"/>
    </row>
    <row r="2415" customFormat="1" s="292"/>
    <row r="2417" customFormat="1" s="125">
      <c r="A2417" s="377" t="inlineStr">
        <is>
          <t>Animal waste management system</t>
        </is>
      </c>
      <c r="D2417" s="1075" t="n"/>
      <c r="E2417" s="1075" t="n"/>
      <c r="F2417" s="1075" t="n"/>
      <c r="G2417" s="1075" t="n"/>
      <c r="H2417" s="1075" t="n"/>
      <c r="I2417" s="1075" t="n"/>
      <c r="J2417" s="1075" t="n"/>
    </row>
    <row r="2418" ht="16.25" customFormat="1" customHeight="1" s="773">
      <c r="A2418" s="753" t="inlineStr">
        <is>
          <t>Dairy cattle</t>
        </is>
      </c>
      <c r="B2418" s="442" t="inlineStr">
        <is>
          <t>Table 10A.6</t>
        </is>
      </c>
      <c r="C2418" s="442" t="inlineStr">
        <is>
          <t>Table 10A.6</t>
        </is>
      </c>
      <c r="D2418" s="442" t="inlineStr">
        <is>
          <t>Table 10A.6</t>
        </is>
      </c>
      <c r="E2418" s="442" t="inlineStr">
        <is>
          <t>Table 10A.6</t>
        </is>
      </c>
      <c r="F2418" s="442" t="inlineStr">
        <is>
          <t>Table 10A.6</t>
        </is>
      </c>
      <c r="G2418" s="442" t="inlineStr">
        <is>
          <t>Table 10A.6</t>
        </is>
      </c>
      <c r="H2418" s="442" t="inlineStr">
        <is>
          <t>Table 10A.6</t>
        </is>
      </c>
      <c r="I2418" s="442" t="inlineStr">
        <is>
          <t>Table 10A.6</t>
        </is>
      </c>
      <c r="J2418" s="442" t="inlineStr">
        <is>
          <t>Table 10A.7</t>
        </is>
      </c>
      <c r="K2418" s="442" t="inlineStr">
        <is>
          <t>Table 10A.7</t>
        </is>
      </c>
      <c r="L2418" s="442" t="inlineStr">
        <is>
          <t>Table 10A.6</t>
        </is>
      </c>
      <c r="M2418" s="442" t="inlineStr">
        <is>
          <t>Table 10A.6</t>
        </is>
      </c>
      <c r="N2418" s="442" t="inlineStr">
        <is>
          <t>Table 10A.6</t>
        </is>
      </c>
      <c r="O2418" s="442" t="inlineStr">
        <is>
          <t>Table 10A.6</t>
        </is>
      </c>
      <c r="P2418" s="442" t="n"/>
      <c r="Q2418" s="442" t="n"/>
      <c r="R2418" s="442" t="n"/>
      <c r="S2418" s="442" t="n"/>
      <c r="T2418" s="442" t="n"/>
      <c r="U2418" s="442" t="n"/>
      <c r="V2418" s="442" t="n"/>
    </row>
    <row r="2419" ht="16" customFormat="1" customHeight="1" s="291">
      <c r="A2419" s="1641" t="inlineStr">
        <is>
          <t>Please select</t>
        </is>
      </c>
      <c r="B2419" s="1642" t="inlineStr">
        <is>
          <t>Lagoon</t>
        </is>
      </c>
      <c r="C2419" s="1642" t="inlineStr">
        <is>
          <t>Liquid/slurry</t>
        </is>
      </c>
      <c r="D2419" s="1642" t="inlineStr">
        <is>
          <t>Solid storage</t>
        </is>
      </c>
      <c r="E2419" s="1642" t="inlineStr">
        <is>
          <t>Dry lot</t>
        </is>
      </c>
      <c r="F2419" s="1642" t="inlineStr">
        <is>
          <t>Pasture/Range/Paddock</t>
        </is>
      </c>
      <c r="G2419" s="1642" t="inlineStr">
        <is>
          <t>Daily spread</t>
        </is>
      </c>
      <c r="H2419" s="1642" t="inlineStr">
        <is>
          <t>Digester</t>
        </is>
      </c>
      <c r="I2419" s="1639" t="inlineStr">
        <is>
          <t>Burned for fuel</t>
        </is>
      </c>
      <c r="J2419" s="1639" t="inlineStr">
        <is>
          <t>Pit&lt;1Month</t>
        </is>
      </c>
      <c r="K2419" s="1639" t="inlineStr">
        <is>
          <t>Pit&gt;1 month</t>
        </is>
      </c>
      <c r="L2419" s="1642" t="inlineStr">
        <is>
          <t>Poultry manure</t>
        </is>
      </c>
      <c r="M2419" s="291" t="inlineStr">
        <is>
          <t>Deep bedding</t>
        </is>
      </c>
      <c r="N2419" s="2156" t="inlineStr">
        <is>
          <t>Composting</t>
        </is>
      </c>
      <c r="O2419" s="2156" t="inlineStr">
        <is>
          <t>Aerobic treatment</t>
        </is>
      </c>
      <c r="P2419" s="1658" t="inlineStr">
        <is>
          <t>Other (pls. go Tier 2)</t>
        </is>
      </c>
      <c r="Q2419" s="453" t="n"/>
      <c r="R2419" s="453" t="n"/>
      <c r="S2419" s="453" t="n"/>
      <c r="T2419" s="453" t="n"/>
      <c r="U2419" s="453" t="n"/>
      <c r="V2419" s="453" t="n"/>
      <c r="W2419" s="453" t="n"/>
      <c r="X2419" s="21" t="n"/>
      <c r="Y2419" s="21" t="n"/>
    </row>
    <row r="2420" ht="16" customFormat="1" customHeight="1" s="1093">
      <c r="A2420" s="523" t="inlineStr">
        <is>
          <t>IPCC Region</t>
        </is>
      </c>
      <c r="B2420" s="1636" t="inlineStr">
        <is>
          <t>%</t>
        </is>
      </c>
      <c r="C2420" s="1636" t="inlineStr">
        <is>
          <t>%</t>
        </is>
      </c>
      <c r="D2420" s="1636" t="inlineStr">
        <is>
          <t>%</t>
        </is>
      </c>
      <c r="E2420" s="1636" t="inlineStr">
        <is>
          <t>%</t>
        </is>
      </c>
      <c r="F2420" s="1636" t="inlineStr">
        <is>
          <t>%</t>
        </is>
      </c>
      <c r="G2420" s="1636" t="inlineStr">
        <is>
          <t>%</t>
        </is>
      </c>
      <c r="H2420" s="1636" t="inlineStr">
        <is>
          <t>%</t>
        </is>
      </c>
      <c r="I2420" s="1636" t="inlineStr">
        <is>
          <t>%</t>
        </is>
      </c>
      <c r="J2420" s="1636" t="inlineStr">
        <is>
          <t>%</t>
        </is>
      </c>
      <c r="K2420" s="1635" t="inlineStr">
        <is>
          <t>%</t>
        </is>
      </c>
      <c r="L2420" s="1636" t="inlineStr">
        <is>
          <t>%</t>
        </is>
      </c>
      <c r="M2420" s="1657" t="inlineStr">
        <is>
          <t>%</t>
        </is>
      </c>
      <c r="N2420" s="31" t="inlineStr">
        <is>
          <t>%</t>
        </is>
      </c>
      <c r="O2420" s="31" t="inlineStr">
        <is>
          <t>%</t>
        </is>
      </c>
      <c r="P2420" s="31" t="inlineStr">
        <is>
          <t>%</t>
        </is>
      </c>
      <c r="Q2420" s="1092" t="n"/>
      <c r="R2420" s="1092" t="n"/>
      <c r="S2420" s="1092" t="n"/>
      <c r="T2420" s="1092" t="n"/>
      <c r="U2420" s="1092" t="n"/>
      <c r="V2420" s="1092" t="n"/>
      <c r="W2420" s="1092" t="n"/>
    </row>
    <row r="2421" customFormat="1" s="21">
      <c r="A2421" s="407" t="inlineStr">
        <is>
          <t>Sub-Saharan Africa</t>
        </is>
      </c>
      <c r="B2421" s="1640" t="n">
        <v>0</v>
      </c>
      <c r="C2421" s="1640" t="n">
        <v>0</v>
      </c>
      <c r="D2421" s="1640" t="n">
        <v>20</v>
      </c>
      <c r="E2421" s="1640" t="n">
        <v>29</v>
      </c>
      <c r="F2421" s="418" t="n">
        <v>45</v>
      </c>
      <c r="G2421" s="418" t="n">
        <v>0</v>
      </c>
      <c r="H2421" s="418" t="n">
        <v>0</v>
      </c>
      <c r="I2421" s="418" t="n">
        <v>6</v>
      </c>
      <c r="J2421" s="418" t="n">
        <v>0</v>
      </c>
      <c r="K2421" s="44" t="n">
        <v>0</v>
      </c>
      <c r="L2421" s="418" t="n">
        <v>0</v>
      </c>
      <c r="M2421" s="451" t="n">
        <v>0</v>
      </c>
      <c r="N2421" s="467" t="n">
        <v>0</v>
      </c>
      <c r="O2421" s="467" t="n">
        <v>0</v>
      </c>
      <c r="P2421" s="467" t="n"/>
      <c r="Q2421" s="453" t="n"/>
      <c r="R2421" s="453" t="n"/>
      <c r="S2421" s="453" t="n"/>
      <c r="T2421" s="453" t="n"/>
      <c r="U2421" s="453" t="n"/>
      <c r="V2421" s="453" t="n"/>
      <c r="W2421" s="453" t="n"/>
    </row>
    <row r="2422" customFormat="1" s="21">
      <c r="A2422" s="405" t="inlineStr">
        <is>
          <t>East Asia and South-East Asia</t>
        </is>
      </c>
      <c r="B2422" s="468" t="n">
        <v>0</v>
      </c>
      <c r="C2422" s="468" t="n">
        <v>1</v>
      </c>
      <c r="D2422" s="468" t="n">
        <v>21</v>
      </c>
      <c r="E2422" s="468" t="n">
        <v>29</v>
      </c>
      <c r="F2422" s="451" t="n">
        <v>38</v>
      </c>
      <c r="G2422" s="451" t="n">
        <v>0</v>
      </c>
      <c r="H2422" s="451" t="n">
        <v>0</v>
      </c>
      <c r="I2422" s="451" t="n">
        <v>11</v>
      </c>
      <c r="J2422" s="451" t="n">
        <v>0</v>
      </c>
      <c r="K2422" s="41" t="n">
        <v>0</v>
      </c>
      <c r="L2422" s="451" t="n">
        <v>0</v>
      </c>
      <c r="M2422" s="451" t="n">
        <v>0</v>
      </c>
      <c r="N2422" s="467" t="n">
        <v>0</v>
      </c>
      <c r="O2422" s="467" t="n">
        <v>0</v>
      </c>
      <c r="P2422" s="467" t="n"/>
      <c r="Q2422" s="453" t="n"/>
      <c r="R2422" s="453" t="n"/>
      <c r="S2422" s="453" t="n"/>
      <c r="T2422" s="453" t="n"/>
      <c r="U2422" s="453" t="n"/>
      <c r="V2422" s="453" t="n"/>
      <c r="W2422" s="453" t="n"/>
    </row>
    <row r="2423" customFormat="1" s="21">
      <c r="A2423" s="405" t="inlineStr">
        <is>
          <t>North America</t>
        </is>
      </c>
      <c r="B2423" s="468" t="n">
        <v>26</v>
      </c>
      <c r="C2423" s="468" t="n">
        <v>24</v>
      </c>
      <c r="D2423" s="468" t="n">
        <v>24</v>
      </c>
      <c r="E2423" s="468" t="n">
        <v>0</v>
      </c>
      <c r="F2423" s="451" t="n">
        <v>15</v>
      </c>
      <c r="G2423" s="451" t="n">
        <v>11</v>
      </c>
      <c r="H2423" s="451" t="n">
        <v>0</v>
      </c>
      <c r="I2423" s="451" t="n">
        <v>0</v>
      </c>
      <c r="J2423" s="451" t="n">
        <v>0</v>
      </c>
      <c r="K2423" s="41" t="n">
        <v>0</v>
      </c>
      <c r="L2423" s="451" t="n">
        <v>0</v>
      </c>
      <c r="M2423" s="451" t="n">
        <v>0</v>
      </c>
      <c r="N2423" s="467" t="n">
        <v>0</v>
      </c>
      <c r="O2423" s="467" t="n">
        <v>0</v>
      </c>
      <c r="P2423" s="467" t="n"/>
      <c r="Q2423" s="453" t="n"/>
      <c r="R2423" s="453" t="n"/>
      <c r="S2423" s="453" t="n"/>
      <c r="T2423" s="453" t="n"/>
      <c r="U2423" s="453" t="n"/>
      <c r="V2423" s="453" t="n"/>
      <c r="W2423" s="453" t="n"/>
    </row>
    <row r="2424" customFormat="1" s="21">
      <c r="A2424" s="405" t="inlineStr">
        <is>
          <t>Latin America and the Caribbean</t>
        </is>
      </c>
      <c r="B2424" s="451" t="n">
        <v>0</v>
      </c>
      <c r="C2424" s="451" t="n">
        <v>0</v>
      </c>
      <c r="D2424" s="451" t="n">
        <v>5</v>
      </c>
      <c r="E2424" s="451" t="n">
        <v>38</v>
      </c>
      <c r="F2424" s="451" t="n">
        <v>57</v>
      </c>
      <c r="G2424" s="451" t="n">
        <v>0</v>
      </c>
      <c r="H2424" s="451" t="n">
        <v>0</v>
      </c>
      <c r="I2424" s="451" t="n">
        <v>0</v>
      </c>
      <c r="J2424" s="451" t="n">
        <v>0</v>
      </c>
      <c r="K2424" s="41" t="n">
        <v>0</v>
      </c>
      <c r="L2424" s="451" t="n">
        <v>0</v>
      </c>
      <c r="M2424" s="451" t="n">
        <v>0</v>
      </c>
      <c r="N2424" s="467" t="n">
        <v>0</v>
      </c>
      <c r="O2424" s="467" t="n">
        <v>0</v>
      </c>
      <c r="P2424" s="467" t="n"/>
      <c r="Q2424" s="453" t="n"/>
      <c r="R2424" s="453" t="n"/>
      <c r="S2424" s="453" t="n"/>
      <c r="T2424" s="453" t="n"/>
      <c r="U2424" s="453" t="n"/>
      <c r="V2424" s="453" t="n"/>
      <c r="W2424" s="453" t="n"/>
    </row>
    <row r="2425" customFormat="1" s="21">
      <c r="A2425" s="405" t="inlineStr">
        <is>
          <t>Western Europe</t>
        </is>
      </c>
      <c r="B2425" s="468" t="n">
        <v>0</v>
      </c>
      <c r="C2425" s="468" t="n">
        <v>43</v>
      </c>
      <c r="D2425" s="468" t="n">
        <v>29</v>
      </c>
      <c r="E2425" s="468" t="n">
        <v>0</v>
      </c>
      <c r="F2425" s="451" t="n">
        <v>26</v>
      </c>
      <c r="G2425" s="451" t="n">
        <v>2</v>
      </c>
      <c r="H2425" s="451" t="n">
        <v>0</v>
      </c>
      <c r="I2425" s="451" t="n">
        <v>0</v>
      </c>
      <c r="J2425" s="451" t="n">
        <v>0</v>
      </c>
      <c r="K2425" s="41" t="n">
        <v>0</v>
      </c>
      <c r="L2425" s="451" t="n">
        <v>0</v>
      </c>
      <c r="M2425" s="451" t="n">
        <v>0</v>
      </c>
      <c r="N2425" s="467" t="n">
        <v>0</v>
      </c>
      <c r="O2425" s="467" t="n">
        <v>0</v>
      </c>
      <c r="P2425" s="467" t="n"/>
      <c r="Q2425" s="453" t="n"/>
      <c r="R2425" s="453" t="n"/>
      <c r="S2425" s="453" t="n"/>
      <c r="T2425" s="453" t="n"/>
      <c r="U2425" s="453" t="n"/>
      <c r="V2425" s="453" t="n"/>
      <c r="W2425" s="453" t="n"/>
    </row>
    <row r="2426" customFormat="1" s="21">
      <c r="A2426" s="405" t="inlineStr">
        <is>
          <t>Eastern Europe</t>
        </is>
      </c>
      <c r="B2426" s="451" t="n">
        <v>0</v>
      </c>
      <c r="C2426" s="451" t="n">
        <v>5</v>
      </c>
      <c r="D2426" s="451" t="n">
        <v>74</v>
      </c>
      <c r="E2426" s="451" t="n">
        <v>0</v>
      </c>
      <c r="F2426" s="451" t="n">
        <v>20</v>
      </c>
      <c r="G2426" s="451" t="n">
        <v>1</v>
      </c>
      <c r="H2426" s="451" t="n">
        <v>0</v>
      </c>
      <c r="I2426" s="451" t="n">
        <v>0</v>
      </c>
      <c r="J2426" s="451" t="n">
        <v>0</v>
      </c>
      <c r="K2426" s="41" t="n">
        <v>0</v>
      </c>
      <c r="L2426" s="451" t="n">
        <v>0</v>
      </c>
      <c r="M2426" s="451" t="n">
        <v>0</v>
      </c>
      <c r="N2426" s="467" t="n">
        <v>0</v>
      </c>
      <c r="O2426" s="467" t="n">
        <v>0</v>
      </c>
      <c r="P2426" s="467" t="n"/>
      <c r="Q2426" s="453" t="n"/>
      <c r="R2426" s="453" t="n"/>
      <c r="S2426" s="453" t="n"/>
      <c r="T2426" s="453" t="n"/>
      <c r="U2426" s="453" t="n"/>
      <c r="V2426" s="453" t="n"/>
      <c r="W2426" s="453" t="n"/>
    </row>
    <row r="2427" customFormat="1" s="21">
      <c r="A2427" s="405" t="inlineStr">
        <is>
          <t>Russian Federation</t>
        </is>
      </c>
      <c r="B2427" s="451" t="n">
        <v>0</v>
      </c>
      <c r="C2427" s="451" t="n">
        <v>5</v>
      </c>
      <c r="D2427" s="451" t="n">
        <v>74</v>
      </c>
      <c r="E2427" s="451" t="n">
        <v>0</v>
      </c>
      <c r="F2427" s="451" t="n">
        <v>20</v>
      </c>
      <c r="G2427" s="451" t="n">
        <v>1</v>
      </c>
      <c r="H2427" s="451" t="n">
        <v>0</v>
      </c>
      <c r="I2427" s="451" t="n">
        <v>0</v>
      </c>
      <c r="J2427" s="451" t="n">
        <v>0</v>
      </c>
      <c r="K2427" s="41" t="n">
        <v>0</v>
      </c>
      <c r="L2427" s="451" t="n">
        <v>0</v>
      </c>
      <c r="M2427" s="451" t="n">
        <v>0</v>
      </c>
      <c r="N2427" s="467" t="n">
        <v>0</v>
      </c>
      <c r="O2427" s="467" t="n">
        <v>0</v>
      </c>
      <c r="P2427" s="467" t="n"/>
      <c r="Q2427" s="453" t="n"/>
      <c r="R2427" s="453" t="n"/>
      <c r="S2427" s="453" t="n"/>
      <c r="T2427" s="453" t="n"/>
      <c r="U2427" s="453" t="n"/>
      <c r="V2427" s="453" t="n"/>
      <c r="W2427" s="453" t="n"/>
    </row>
    <row r="2428" customFormat="1" s="21">
      <c r="A2428" s="405" t="inlineStr">
        <is>
          <t>Oceania</t>
        </is>
      </c>
      <c r="B2428" s="451" t="n">
        <v>5</v>
      </c>
      <c r="C2428" s="451" t="n">
        <v>0</v>
      </c>
      <c r="D2428" s="451" t="n">
        <v>0</v>
      </c>
      <c r="E2428" s="451" t="n">
        <v>0</v>
      </c>
      <c r="F2428" s="451" t="n">
        <v>94</v>
      </c>
      <c r="G2428" s="451" t="n">
        <v>1</v>
      </c>
      <c r="H2428" s="451" t="n">
        <v>0</v>
      </c>
      <c r="I2428" s="451" t="n">
        <v>0</v>
      </c>
      <c r="J2428" s="451" t="n">
        <v>0</v>
      </c>
      <c r="K2428" s="41" t="n">
        <v>0</v>
      </c>
      <c r="L2428" s="451" t="n">
        <v>0</v>
      </c>
      <c r="M2428" s="451" t="n">
        <v>0</v>
      </c>
      <c r="N2428" s="467" t="n">
        <v>0</v>
      </c>
      <c r="O2428" s="467" t="n">
        <v>0</v>
      </c>
      <c r="P2428" s="467" t="n"/>
    </row>
    <row r="2429" customFormat="1" s="453">
      <c r="A2429" s="405" t="inlineStr">
        <is>
          <t>NENA/Middle East</t>
        </is>
      </c>
      <c r="B2429" s="451" t="n">
        <v>0</v>
      </c>
      <c r="C2429" s="451" t="n">
        <v>0</v>
      </c>
      <c r="D2429" s="451" t="n">
        <v>14</v>
      </c>
      <c r="E2429" s="451" t="n">
        <v>35</v>
      </c>
      <c r="F2429" s="451" t="n">
        <v>46</v>
      </c>
      <c r="G2429" s="451" t="n">
        <v>0</v>
      </c>
      <c r="H2429" s="451" t="n">
        <v>0</v>
      </c>
      <c r="I2429" s="451" t="n">
        <v>5</v>
      </c>
      <c r="J2429" s="451" t="n">
        <v>0</v>
      </c>
      <c r="K2429" s="41" t="n">
        <v>0</v>
      </c>
      <c r="L2429" s="451" t="n">
        <v>0</v>
      </c>
      <c r="M2429" s="451" t="n">
        <v>0</v>
      </c>
      <c r="N2429" s="467" t="n">
        <v>0</v>
      </c>
      <c r="O2429" s="467" t="n">
        <v>0</v>
      </c>
      <c r="P2429" s="467" t="n"/>
    </row>
    <row r="2430" customFormat="1" s="453">
      <c r="A2430" s="405" t="inlineStr">
        <is>
          <t>South Asia</t>
        </is>
      </c>
      <c r="B2430" s="451" t="n">
        <v>0</v>
      </c>
      <c r="C2430" s="451" t="n">
        <v>0</v>
      </c>
      <c r="D2430" s="451" t="n">
        <v>1</v>
      </c>
      <c r="E2430" s="451" t="n">
        <v>49</v>
      </c>
      <c r="F2430" s="451" t="n">
        <v>30</v>
      </c>
      <c r="G2430" s="451" t="n">
        <v>0</v>
      </c>
      <c r="H2430" s="451" t="n">
        <v>0</v>
      </c>
      <c r="I2430" s="451" t="n">
        <v>20</v>
      </c>
      <c r="J2430" s="451" t="n">
        <v>0</v>
      </c>
      <c r="K2430" s="41" t="n">
        <v>0</v>
      </c>
      <c r="L2430" s="451" t="n">
        <v>0</v>
      </c>
      <c r="M2430" s="451" t="n">
        <v>0</v>
      </c>
      <c r="N2430" s="467" t="n">
        <v>0</v>
      </c>
      <c r="O2430" s="467" t="n">
        <v>0</v>
      </c>
      <c r="P2430" s="467" t="n"/>
    </row>
    <row r="2431" customFormat="1" s="535">
      <c r="A2431" s="518" t="inlineStr">
        <is>
          <t>Notes : Use of proxy from Eastern Europe for Russian Federation</t>
        </is>
      </c>
      <c r="F2431" s="1624" t="n"/>
      <c r="G2431" s="1624" t="n"/>
      <c r="H2431" s="1624" t="n"/>
      <c r="I2431" s="1624" t="n"/>
      <c r="J2431" s="1624" t="n"/>
      <c r="K2431" s="1624" t="n"/>
      <c r="L2431" s="1624" t="n"/>
      <c r="M2431" s="1624" t="n"/>
      <c r="N2431" s="1624" t="n"/>
    </row>
    <row r="2432" customFormat="1" s="292"/>
    <row r="2434" customFormat="1" s="125">
      <c r="A2434" s="377" t="inlineStr">
        <is>
          <t>Animal waste management system</t>
        </is>
      </c>
      <c r="D2434" s="1075" t="n"/>
      <c r="E2434" s="1075" t="n"/>
      <c r="F2434" s="1075" t="n"/>
      <c r="G2434" s="1075" t="n"/>
      <c r="H2434" s="1075" t="n"/>
      <c r="I2434" s="1075" t="n"/>
      <c r="L2434" s="1075" t="n"/>
    </row>
    <row r="2435" ht="16.25" customFormat="1" customHeight="1" s="773">
      <c r="A2435" s="753" t="inlineStr">
        <is>
          <t>Other cattle</t>
        </is>
      </c>
      <c r="B2435" s="442" t="inlineStr">
        <is>
          <t>Table 10A.6</t>
        </is>
      </c>
      <c r="C2435" s="442" t="inlineStr">
        <is>
          <t>Table 10A.6</t>
        </is>
      </c>
      <c r="D2435" s="442" t="inlineStr">
        <is>
          <t>Table 10A.6</t>
        </is>
      </c>
      <c r="E2435" s="442" t="inlineStr">
        <is>
          <t>Table 10A.6</t>
        </is>
      </c>
      <c r="F2435" s="442" t="inlineStr">
        <is>
          <t>Table 10A.6</t>
        </is>
      </c>
      <c r="G2435" s="442" t="inlineStr">
        <is>
          <t>Table 10A.6</t>
        </is>
      </c>
      <c r="H2435" s="442" t="inlineStr">
        <is>
          <t>Table 10A.6</t>
        </is>
      </c>
      <c r="I2435" s="442" t="inlineStr">
        <is>
          <t>Table 10A.6</t>
        </is>
      </c>
      <c r="J2435" s="442" t="inlineStr">
        <is>
          <t>Table 10A.7</t>
        </is>
      </c>
      <c r="K2435" s="442" t="inlineStr">
        <is>
          <t>Table 10A.7</t>
        </is>
      </c>
      <c r="L2435" s="442" t="inlineStr">
        <is>
          <t>Table 10A.6</t>
        </is>
      </c>
      <c r="M2435" s="442" t="inlineStr">
        <is>
          <t>Table 10A.6</t>
        </is>
      </c>
      <c r="N2435" s="442" t="inlineStr">
        <is>
          <t>Table 10A.6</t>
        </is>
      </c>
      <c r="O2435" s="442" t="inlineStr">
        <is>
          <t>Table 10A.6</t>
        </is>
      </c>
      <c r="P2435" s="442" t="n"/>
      <c r="Q2435" s="442" t="n"/>
      <c r="R2435" s="442" t="n"/>
      <c r="S2435" s="442" t="n"/>
      <c r="T2435" s="442" t="n"/>
      <c r="U2435" s="442" t="n"/>
      <c r="V2435" s="442" t="n"/>
    </row>
    <row r="2436" ht="16" customFormat="1" customHeight="1" s="291">
      <c r="A2436" s="1641" t="inlineStr">
        <is>
          <t>Please select</t>
        </is>
      </c>
      <c r="B2436" s="1642" t="inlineStr">
        <is>
          <t>Lagoon</t>
        </is>
      </c>
      <c r="C2436" s="1642" t="inlineStr">
        <is>
          <t>Liquid/slurry</t>
        </is>
      </c>
      <c r="D2436" s="1642" t="inlineStr">
        <is>
          <t>Solid storage</t>
        </is>
      </c>
      <c r="E2436" s="1642" t="inlineStr">
        <is>
          <t>Dry lot</t>
        </is>
      </c>
      <c r="F2436" s="1642" t="inlineStr">
        <is>
          <t>Pasture/Range/Paddock</t>
        </is>
      </c>
      <c r="G2436" s="1642" t="inlineStr">
        <is>
          <t>Daily spread</t>
        </is>
      </c>
      <c r="H2436" s="1642" t="inlineStr">
        <is>
          <t>Digester</t>
        </is>
      </c>
      <c r="I2436" s="1639" t="inlineStr">
        <is>
          <t>Burned for fuel</t>
        </is>
      </c>
      <c r="J2436" s="1639" t="inlineStr">
        <is>
          <t>Pit&lt;1Month</t>
        </is>
      </c>
      <c r="K2436" s="1639" t="inlineStr">
        <is>
          <t>Pit&gt;1 month</t>
        </is>
      </c>
      <c r="L2436" s="1642" t="inlineStr">
        <is>
          <t>Poultry manure</t>
        </is>
      </c>
      <c r="M2436" s="291" t="inlineStr">
        <is>
          <t>Deep bedding</t>
        </is>
      </c>
      <c r="N2436" s="2156" t="inlineStr">
        <is>
          <t>Composting</t>
        </is>
      </c>
      <c r="O2436" s="2156" t="inlineStr">
        <is>
          <t>Aerobic treatment</t>
        </is>
      </c>
      <c r="P2436" s="1658" t="inlineStr">
        <is>
          <t>Other (pls. go Tier 2)</t>
        </is>
      </c>
      <c r="Q2436" s="453" t="n"/>
      <c r="R2436" s="453" t="n"/>
      <c r="S2436" s="453" t="n"/>
      <c r="T2436" s="453" t="n"/>
      <c r="U2436" s="453" t="n"/>
      <c r="V2436" s="453" t="n"/>
      <c r="W2436" s="21" t="n"/>
      <c r="X2436" s="21" t="n"/>
    </row>
    <row r="2437" ht="16" customFormat="1" customHeight="1" s="1093">
      <c r="A2437" s="523" t="inlineStr">
        <is>
          <t>IPCC Region</t>
        </is>
      </c>
      <c r="B2437" s="1636" t="inlineStr">
        <is>
          <t>%</t>
        </is>
      </c>
      <c r="C2437" s="1636" t="inlineStr">
        <is>
          <t>%</t>
        </is>
      </c>
      <c r="D2437" s="1636" t="inlineStr">
        <is>
          <t>%</t>
        </is>
      </c>
      <c r="E2437" s="1636" t="inlineStr">
        <is>
          <t>%</t>
        </is>
      </c>
      <c r="F2437" s="1636" t="inlineStr">
        <is>
          <t>%</t>
        </is>
      </c>
      <c r="G2437" s="1636" t="inlineStr">
        <is>
          <t>%</t>
        </is>
      </c>
      <c r="H2437" s="1636" t="inlineStr">
        <is>
          <t>%</t>
        </is>
      </c>
      <c r="I2437" s="1636" t="inlineStr">
        <is>
          <t>%</t>
        </is>
      </c>
      <c r="J2437" s="1636" t="inlineStr">
        <is>
          <t>%</t>
        </is>
      </c>
      <c r="K2437" s="1635" t="inlineStr">
        <is>
          <t>%</t>
        </is>
      </c>
      <c r="L2437" s="1636" t="inlineStr">
        <is>
          <t>%</t>
        </is>
      </c>
      <c r="M2437" s="1657" t="inlineStr">
        <is>
          <t>%</t>
        </is>
      </c>
      <c r="N2437" s="31" t="inlineStr">
        <is>
          <t>%</t>
        </is>
      </c>
      <c r="O2437" s="31" t="inlineStr">
        <is>
          <t>%</t>
        </is>
      </c>
      <c r="P2437" s="31" t="inlineStr">
        <is>
          <t>%</t>
        </is>
      </c>
      <c r="Q2437" s="1092" t="n"/>
      <c r="R2437" s="1092" t="n"/>
      <c r="S2437" s="1092" t="n"/>
      <c r="T2437" s="1092" t="n"/>
      <c r="U2437" s="1092" t="n"/>
      <c r="V2437" s="1092" t="n"/>
    </row>
    <row r="2438" customFormat="1" s="21">
      <c r="A2438" s="407" t="inlineStr">
        <is>
          <t>Sub-Saharan Africa</t>
        </is>
      </c>
      <c r="B2438" s="1640" t="n">
        <v>0</v>
      </c>
      <c r="C2438" s="1640" t="n">
        <v>0</v>
      </c>
      <c r="D2438" s="1640" t="n">
        <v>15</v>
      </c>
      <c r="E2438" s="1640" t="n">
        <v>30</v>
      </c>
      <c r="F2438" s="418" t="n">
        <v>50</v>
      </c>
      <c r="G2438" s="418" t="n">
        <v>0</v>
      </c>
      <c r="H2438" s="418" t="n">
        <v>0</v>
      </c>
      <c r="I2438" s="418" t="n">
        <v>5</v>
      </c>
      <c r="J2438" s="418" t="n">
        <v>0</v>
      </c>
      <c r="K2438" s="44" t="n">
        <v>0</v>
      </c>
      <c r="L2438" s="1640" t="n">
        <v>0</v>
      </c>
      <c r="M2438" s="451" t="n">
        <v>0</v>
      </c>
      <c r="N2438" s="467" t="n">
        <v>0</v>
      </c>
      <c r="O2438" s="467" t="n">
        <v>0</v>
      </c>
      <c r="P2438" s="467" t="n"/>
      <c r="Q2438" s="453" t="n"/>
      <c r="R2438" s="453" t="n"/>
      <c r="S2438" s="453" t="n"/>
      <c r="T2438" s="453" t="n"/>
      <c r="U2438" s="453" t="n"/>
      <c r="V2438" s="453" t="n"/>
    </row>
    <row r="2439" customFormat="1" s="21">
      <c r="A2439" s="405" t="inlineStr">
        <is>
          <t>East Asia and South-East Asia</t>
        </is>
      </c>
      <c r="B2439" s="468" t="n">
        <v>0</v>
      </c>
      <c r="C2439" s="468" t="n">
        <v>0</v>
      </c>
      <c r="D2439" s="468" t="n">
        <v>29</v>
      </c>
      <c r="E2439" s="468" t="n">
        <v>28</v>
      </c>
      <c r="F2439" s="451" t="n">
        <v>36</v>
      </c>
      <c r="G2439" s="451" t="n">
        <v>0</v>
      </c>
      <c r="H2439" s="451" t="n">
        <v>0</v>
      </c>
      <c r="I2439" s="451" t="n">
        <v>7</v>
      </c>
      <c r="J2439" s="451" t="n">
        <v>0</v>
      </c>
      <c r="K2439" s="41" t="n">
        <v>0</v>
      </c>
      <c r="L2439" s="451" t="n">
        <v>0</v>
      </c>
      <c r="M2439" s="451" t="n">
        <v>0</v>
      </c>
      <c r="N2439" s="467" t="n">
        <v>0</v>
      </c>
      <c r="O2439" s="467" t="n">
        <v>0</v>
      </c>
      <c r="P2439" s="467" t="n"/>
      <c r="Q2439" s="453" t="n"/>
      <c r="R2439" s="453" t="n"/>
      <c r="S2439" s="453" t="n"/>
      <c r="T2439" s="453" t="n"/>
      <c r="U2439" s="453" t="n"/>
      <c r="V2439" s="453" t="n"/>
    </row>
    <row r="2440" customFormat="1" s="21">
      <c r="A2440" s="405" t="inlineStr">
        <is>
          <t>North America</t>
        </is>
      </c>
      <c r="B2440" s="468" t="n">
        <v>0</v>
      </c>
      <c r="C2440" s="468" t="n">
        <v>1</v>
      </c>
      <c r="D2440" s="468" t="n">
        <v>43</v>
      </c>
      <c r="E2440" s="468" t="n">
        <v>14</v>
      </c>
      <c r="F2440" s="451" t="n">
        <v>42</v>
      </c>
      <c r="G2440" s="451" t="n">
        <v>0</v>
      </c>
      <c r="H2440" s="451" t="n">
        <v>0</v>
      </c>
      <c r="I2440" s="451" t="n">
        <v>0</v>
      </c>
      <c r="J2440" s="451" t="n">
        <v>0</v>
      </c>
      <c r="K2440" s="41" t="n">
        <v>0</v>
      </c>
      <c r="L2440" s="468" t="n">
        <v>0</v>
      </c>
      <c r="M2440" s="451" t="n">
        <v>0</v>
      </c>
      <c r="N2440" s="467" t="n">
        <v>0</v>
      </c>
      <c r="O2440" s="467" t="n">
        <v>0</v>
      </c>
      <c r="P2440" s="467" t="n"/>
      <c r="Q2440" s="453" t="n"/>
      <c r="R2440" s="453" t="n"/>
      <c r="S2440" s="453" t="n"/>
      <c r="T2440" s="453" t="n"/>
      <c r="U2440" s="453" t="n"/>
      <c r="V2440" s="453" t="n"/>
    </row>
    <row r="2441" customFormat="1" s="21">
      <c r="A2441" s="405" t="inlineStr">
        <is>
          <t>Latin America and the Caribbean</t>
        </is>
      </c>
      <c r="B2441" s="451" t="n">
        <v>0</v>
      </c>
      <c r="C2441" s="451" t="n">
        <v>0</v>
      </c>
      <c r="D2441" s="451" t="n">
        <v>3</v>
      </c>
      <c r="E2441" s="451" t="n">
        <v>5</v>
      </c>
      <c r="F2441" s="451" t="n">
        <v>92</v>
      </c>
      <c r="G2441" s="451" t="n">
        <v>0</v>
      </c>
      <c r="H2441" s="451" t="n">
        <v>0</v>
      </c>
      <c r="I2441" s="451" t="n">
        <v>0</v>
      </c>
      <c r="J2441" s="451" t="n">
        <v>0</v>
      </c>
      <c r="K2441" s="41" t="n">
        <v>0</v>
      </c>
      <c r="L2441" s="451" t="n">
        <v>0</v>
      </c>
      <c r="M2441" s="451" t="n">
        <v>0</v>
      </c>
      <c r="N2441" s="467" t="n">
        <v>0</v>
      </c>
      <c r="O2441" s="467" t="n">
        <v>0</v>
      </c>
      <c r="P2441" s="467" t="n"/>
      <c r="Q2441" s="453" t="n"/>
      <c r="R2441" s="453" t="n"/>
      <c r="S2441" s="453" t="n"/>
      <c r="T2441" s="453" t="n"/>
      <c r="U2441" s="453" t="n"/>
      <c r="V2441" s="453" t="n"/>
    </row>
    <row r="2442" customFormat="1" s="21">
      <c r="A2442" s="405" t="inlineStr">
        <is>
          <t>Western Europe</t>
        </is>
      </c>
      <c r="B2442" s="468" t="n">
        <v>0</v>
      </c>
      <c r="C2442" s="468" t="n">
        <v>22</v>
      </c>
      <c r="D2442" s="468" t="n">
        <v>26</v>
      </c>
      <c r="E2442" s="468" t="n">
        <v>0</v>
      </c>
      <c r="F2442" s="451" t="n">
        <v>48</v>
      </c>
      <c r="G2442" s="451" t="n">
        <v>4</v>
      </c>
      <c r="H2442" s="451" t="n">
        <v>0</v>
      </c>
      <c r="I2442" s="451" t="n">
        <v>0</v>
      </c>
      <c r="J2442" s="451" t="n">
        <v>0</v>
      </c>
      <c r="K2442" s="41" t="n">
        <v>0</v>
      </c>
      <c r="L2442" s="451" t="n">
        <v>0</v>
      </c>
      <c r="M2442" s="451" t="n">
        <v>0</v>
      </c>
      <c r="N2442" s="467" t="n">
        <v>0</v>
      </c>
      <c r="O2442" s="467" t="n">
        <v>0</v>
      </c>
      <c r="P2442" s="467" t="n"/>
      <c r="Q2442" s="453" t="n"/>
      <c r="R2442" s="453" t="n"/>
      <c r="S2442" s="453" t="n"/>
      <c r="T2442" s="453" t="n"/>
      <c r="U2442" s="453" t="n"/>
      <c r="V2442" s="453" t="n"/>
    </row>
    <row r="2443" customFormat="1" s="21">
      <c r="A2443" s="405" t="inlineStr">
        <is>
          <t>Eastern Europe</t>
        </is>
      </c>
      <c r="B2443" s="451" t="n">
        <v>0</v>
      </c>
      <c r="C2443" s="451" t="n">
        <v>64</v>
      </c>
      <c r="D2443" s="451" t="n">
        <v>5</v>
      </c>
      <c r="E2443" s="451" t="n">
        <v>0</v>
      </c>
      <c r="F2443" s="451" t="n">
        <v>31</v>
      </c>
      <c r="G2443" s="451" t="n">
        <v>0</v>
      </c>
      <c r="H2443" s="451" t="n">
        <v>0</v>
      </c>
      <c r="I2443" s="451" t="n">
        <v>0</v>
      </c>
      <c r="J2443" s="451" t="n">
        <v>0</v>
      </c>
      <c r="K2443" s="41" t="n">
        <v>0</v>
      </c>
      <c r="L2443" s="451" t="n">
        <v>0</v>
      </c>
      <c r="M2443" s="451" t="n">
        <v>0</v>
      </c>
      <c r="N2443" s="467" t="n">
        <v>0</v>
      </c>
      <c r="O2443" s="467" t="n">
        <v>0</v>
      </c>
      <c r="P2443" s="467" t="n"/>
      <c r="Q2443" s="453" t="n"/>
      <c r="R2443" s="453" t="n"/>
      <c r="S2443" s="453" t="n"/>
      <c r="T2443" s="453" t="n"/>
      <c r="U2443" s="453" t="n"/>
      <c r="V2443" s="453" t="n"/>
    </row>
    <row r="2444" customFormat="1" s="21">
      <c r="A2444" s="405" t="inlineStr">
        <is>
          <t>Russian Federation</t>
        </is>
      </c>
      <c r="B2444" s="451" t="n">
        <v>0</v>
      </c>
      <c r="C2444" s="451" t="n">
        <v>64</v>
      </c>
      <c r="D2444" s="451" t="n">
        <v>5</v>
      </c>
      <c r="E2444" s="451" t="n">
        <v>0</v>
      </c>
      <c r="F2444" s="451" t="n">
        <v>31</v>
      </c>
      <c r="G2444" s="451" t="n">
        <v>0</v>
      </c>
      <c r="H2444" s="451" t="n">
        <v>0</v>
      </c>
      <c r="I2444" s="451" t="n">
        <v>0</v>
      </c>
      <c r="J2444" s="451" t="n">
        <v>0</v>
      </c>
      <c r="K2444" s="41" t="n">
        <v>0</v>
      </c>
      <c r="L2444" s="451" t="n">
        <v>0</v>
      </c>
      <c r="M2444" s="451" t="n">
        <v>0</v>
      </c>
      <c r="N2444" s="467" t="n">
        <v>0</v>
      </c>
      <c r="O2444" s="467" t="n">
        <v>0</v>
      </c>
      <c r="P2444" s="467" t="n"/>
      <c r="Q2444" s="453" t="n"/>
      <c r="R2444" s="453" t="n"/>
      <c r="S2444" s="453" t="n"/>
      <c r="T2444" s="453" t="n"/>
      <c r="U2444" s="453" t="n"/>
      <c r="V2444" s="453" t="n"/>
    </row>
    <row r="2445" customFormat="1" s="21">
      <c r="A2445" s="405" t="inlineStr">
        <is>
          <t>Oceania</t>
        </is>
      </c>
      <c r="B2445" s="451" t="n">
        <v>0</v>
      </c>
      <c r="C2445" s="451" t="n">
        <v>0</v>
      </c>
      <c r="D2445" s="451" t="n">
        <v>0</v>
      </c>
      <c r="E2445" s="451" t="n">
        <v>0</v>
      </c>
      <c r="F2445" s="451" t="n">
        <v>100</v>
      </c>
      <c r="G2445" s="451" t="n">
        <v>0</v>
      </c>
      <c r="H2445" s="451" t="n">
        <v>0</v>
      </c>
      <c r="I2445" s="451" t="n">
        <v>0</v>
      </c>
      <c r="J2445" s="451" t="n">
        <v>0</v>
      </c>
      <c r="K2445" s="41" t="n">
        <v>0</v>
      </c>
      <c r="L2445" s="468" t="n">
        <v>0</v>
      </c>
      <c r="M2445" s="451" t="n">
        <v>0</v>
      </c>
      <c r="N2445" s="467" t="n">
        <v>0</v>
      </c>
      <c r="O2445" s="467" t="n">
        <v>0</v>
      </c>
      <c r="P2445" s="467" t="n"/>
    </row>
    <row r="2446" customFormat="1" s="453">
      <c r="A2446" s="405" t="inlineStr">
        <is>
          <t>NENA/Middle East</t>
        </is>
      </c>
      <c r="B2446" s="451" t="n">
        <v>0</v>
      </c>
      <c r="C2446" s="451" t="n">
        <v>0</v>
      </c>
      <c r="D2446" s="451" t="n">
        <v>5</v>
      </c>
      <c r="E2446" s="451" t="n">
        <v>46</v>
      </c>
      <c r="F2446" s="451" t="n">
        <v>42</v>
      </c>
      <c r="G2446" s="451" t="n">
        <v>0</v>
      </c>
      <c r="H2446" s="451" t="n">
        <v>0</v>
      </c>
      <c r="I2446" s="451" t="n">
        <v>7</v>
      </c>
      <c r="J2446" s="451" t="n">
        <v>0</v>
      </c>
      <c r="K2446" s="41" t="n">
        <v>0</v>
      </c>
      <c r="L2446" s="451" t="n">
        <v>0</v>
      </c>
      <c r="M2446" s="451" t="n">
        <v>0</v>
      </c>
      <c r="N2446" s="467" t="n">
        <v>0</v>
      </c>
      <c r="O2446" s="467" t="n">
        <v>0</v>
      </c>
      <c r="P2446" s="467" t="n"/>
    </row>
    <row r="2447" customFormat="1" s="453">
      <c r="A2447" s="405" t="inlineStr">
        <is>
          <t>South Asia</t>
        </is>
      </c>
      <c r="B2447" s="451" t="n">
        <v>0</v>
      </c>
      <c r="C2447" s="451" t="n">
        <v>0</v>
      </c>
      <c r="D2447" s="451" t="n">
        <v>1</v>
      </c>
      <c r="E2447" s="451" t="n">
        <v>49</v>
      </c>
      <c r="F2447" s="451" t="n">
        <v>30</v>
      </c>
      <c r="G2447" s="451" t="n">
        <v>0</v>
      </c>
      <c r="H2447" s="451" t="n">
        <v>0</v>
      </c>
      <c r="I2447" s="451" t="n">
        <v>20</v>
      </c>
      <c r="J2447" s="451" t="n">
        <v>0</v>
      </c>
      <c r="K2447" s="41" t="n">
        <v>0</v>
      </c>
      <c r="L2447" s="468" t="n">
        <v>0</v>
      </c>
      <c r="M2447" s="451" t="n">
        <v>0</v>
      </c>
      <c r="N2447" s="467" t="n">
        <v>0</v>
      </c>
      <c r="O2447" s="467" t="n">
        <v>0</v>
      </c>
      <c r="P2447" s="467" t="n"/>
    </row>
    <row r="2448" customFormat="1" s="535">
      <c r="A2448" s="518" t="inlineStr">
        <is>
          <t>Notes : Use of proxy from Eastern Europe for Russian Federation</t>
        </is>
      </c>
      <c r="F2448" s="1624" t="n"/>
      <c r="G2448" s="1624" t="n"/>
      <c r="H2448" s="1624" t="n"/>
      <c r="I2448" s="1624" t="n"/>
      <c r="J2448" s="1624" t="n"/>
      <c r="K2448" s="1624" t="n"/>
      <c r="L2448" s="1624" t="n"/>
      <c r="M2448" s="1624" t="n"/>
      <c r="N2448" s="1624" t="n"/>
    </row>
    <row r="2449" customFormat="1" s="292"/>
    <row r="2451" customFormat="1" s="125">
      <c r="A2451" s="377" t="inlineStr">
        <is>
          <t>Animal waste management system</t>
        </is>
      </c>
      <c r="D2451" s="1075" t="n"/>
      <c r="E2451" s="1075" t="n"/>
      <c r="F2451" s="1075" t="n"/>
      <c r="G2451" s="1075" t="n"/>
      <c r="H2451" s="1075" t="n"/>
      <c r="I2451" s="1075" t="n"/>
      <c r="L2451" s="1075" t="n"/>
    </row>
    <row r="2452" ht="16.25" customFormat="1" customHeight="1" s="773">
      <c r="A2452" s="753" t="inlineStr">
        <is>
          <t>Dairy buffalo</t>
        </is>
      </c>
      <c r="B2452" s="442" t="inlineStr">
        <is>
          <t>Table 10A.6</t>
        </is>
      </c>
      <c r="C2452" s="442" t="inlineStr">
        <is>
          <t>Table 10A.6</t>
        </is>
      </c>
      <c r="D2452" s="442" t="inlineStr">
        <is>
          <t>Table 10A.6</t>
        </is>
      </c>
      <c r="E2452" s="442" t="inlineStr">
        <is>
          <t>Table 10A.6</t>
        </is>
      </c>
      <c r="F2452" s="442" t="inlineStr">
        <is>
          <t>Table 10A.6</t>
        </is>
      </c>
      <c r="G2452" s="442" t="inlineStr">
        <is>
          <t>Table 10A.6</t>
        </is>
      </c>
      <c r="H2452" s="442" t="inlineStr">
        <is>
          <t>Table 10A.6</t>
        </is>
      </c>
      <c r="I2452" s="442" t="inlineStr">
        <is>
          <t>Table 10A.6</t>
        </is>
      </c>
      <c r="J2452" s="442" t="inlineStr">
        <is>
          <t>Table 10A.7</t>
        </is>
      </c>
      <c r="K2452" s="442" t="inlineStr">
        <is>
          <t>Table 10A.7</t>
        </is>
      </c>
      <c r="L2452" s="442" t="inlineStr">
        <is>
          <t>Table 10A.6</t>
        </is>
      </c>
      <c r="M2452" s="442" t="inlineStr">
        <is>
          <t>Table 10A.6</t>
        </is>
      </c>
      <c r="N2452" s="442" t="inlineStr">
        <is>
          <t>Table 10A.6</t>
        </is>
      </c>
      <c r="O2452" s="442" t="inlineStr">
        <is>
          <t>Table 10A.6</t>
        </is>
      </c>
      <c r="P2452" s="442" t="n"/>
      <c r="Q2452" s="442" t="n"/>
      <c r="R2452" s="442" t="n"/>
      <c r="S2452" s="442" t="n"/>
      <c r="T2452" s="442" t="n"/>
      <c r="U2452" s="442" t="n"/>
      <c r="V2452" s="442" t="n"/>
    </row>
    <row r="2453" ht="16" customFormat="1" customHeight="1" s="291">
      <c r="A2453" s="1641" t="inlineStr">
        <is>
          <t>Please select</t>
        </is>
      </c>
      <c r="B2453" s="1642" t="inlineStr">
        <is>
          <t>Lagoon</t>
        </is>
      </c>
      <c r="C2453" s="1642" t="inlineStr">
        <is>
          <t>Liquid/slurry</t>
        </is>
      </c>
      <c r="D2453" s="1642" t="inlineStr">
        <is>
          <t>Solid storage</t>
        </is>
      </c>
      <c r="E2453" s="1642" t="inlineStr">
        <is>
          <t>Dry lot</t>
        </is>
      </c>
      <c r="F2453" s="1642" t="inlineStr">
        <is>
          <t>Pasture/Range/Paddock</t>
        </is>
      </c>
      <c r="G2453" s="1642" t="inlineStr">
        <is>
          <t>Daily spread</t>
        </is>
      </c>
      <c r="H2453" s="1642" t="inlineStr">
        <is>
          <t>Digester</t>
        </is>
      </c>
      <c r="I2453" s="1639" t="inlineStr">
        <is>
          <t>Burned for fuel</t>
        </is>
      </c>
      <c r="J2453" s="1639" t="inlineStr">
        <is>
          <t>Pit&lt;1Month</t>
        </is>
      </c>
      <c r="K2453" s="1639" t="inlineStr">
        <is>
          <t>Pit&gt;1 month</t>
        </is>
      </c>
      <c r="L2453" s="1642" t="inlineStr">
        <is>
          <t>Poultry manure</t>
        </is>
      </c>
      <c r="M2453" s="291" t="inlineStr">
        <is>
          <t>Deep bedding</t>
        </is>
      </c>
      <c r="N2453" s="2156" t="inlineStr">
        <is>
          <t>Composting</t>
        </is>
      </c>
      <c r="O2453" s="2156" t="inlineStr">
        <is>
          <t>Aerobic treatment</t>
        </is>
      </c>
      <c r="P2453" s="1658" t="inlineStr">
        <is>
          <t>Other (pls. go Tier 2)</t>
        </is>
      </c>
      <c r="Q2453" s="453" t="n"/>
      <c r="R2453" s="453" t="n"/>
      <c r="S2453" s="453" t="n"/>
      <c r="T2453" s="453" t="n"/>
      <c r="U2453" s="453" t="n"/>
      <c r="V2453" s="453" t="n"/>
      <c r="W2453" s="21" t="n"/>
      <c r="X2453" s="21" t="n"/>
    </row>
    <row r="2454" ht="16" customFormat="1" customHeight="1" s="1093">
      <c r="A2454" s="523" t="inlineStr">
        <is>
          <t>IPCC Region</t>
        </is>
      </c>
      <c r="B2454" s="1636" t="inlineStr">
        <is>
          <t>%</t>
        </is>
      </c>
      <c r="C2454" s="1636" t="inlineStr">
        <is>
          <t>%</t>
        </is>
      </c>
      <c r="D2454" s="1636" t="inlineStr">
        <is>
          <t>%</t>
        </is>
      </c>
      <c r="E2454" s="1636" t="inlineStr">
        <is>
          <t>%</t>
        </is>
      </c>
      <c r="F2454" s="1636" t="inlineStr">
        <is>
          <t>%</t>
        </is>
      </c>
      <c r="G2454" s="1636" t="inlineStr">
        <is>
          <t>%</t>
        </is>
      </c>
      <c r="H2454" s="1636" t="inlineStr">
        <is>
          <t>%</t>
        </is>
      </c>
      <c r="I2454" s="1636" t="inlineStr">
        <is>
          <t>%</t>
        </is>
      </c>
      <c r="J2454" s="1636" t="inlineStr">
        <is>
          <t>%</t>
        </is>
      </c>
      <c r="K2454" s="1635" t="inlineStr">
        <is>
          <t>%</t>
        </is>
      </c>
      <c r="L2454" s="1636" t="inlineStr">
        <is>
          <t>%</t>
        </is>
      </c>
      <c r="M2454" s="1657" t="inlineStr">
        <is>
          <t>%</t>
        </is>
      </c>
      <c r="N2454" s="31" t="inlineStr">
        <is>
          <t>%</t>
        </is>
      </c>
      <c r="O2454" s="31" t="inlineStr">
        <is>
          <t>%</t>
        </is>
      </c>
      <c r="P2454" s="31" t="inlineStr">
        <is>
          <t>%</t>
        </is>
      </c>
      <c r="Q2454" s="1092" t="n"/>
      <c r="R2454" s="1092" t="n"/>
      <c r="S2454" s="1092" t="n"/>
      <c r="T2454" s="1092" t="n"/>
      <c r="U2454" s="1092" t="n"/>
      <c r="V2454" s="1092" t="n"/>
    </row>
    <row r="2455" customFormat="1" s="21">
      <c r="A2455" s="407" t="inlineStr">
        <is>
          <t>Sub-Saharan Africa</t>
        </is>
      </c>
      <c r="B2455" s="1640" t="n">
        <v>0</v>
      </c>
      <c r="C2455" s="1640" t="n">
        <v>0</v>
      </c>
      <c r="D2455" s="1640" t="n">
        <v>0</v>
      </c>
      <c r="E2455" s="1640" t="n">
        <v>0</v>
      </c>
      <c r="F2455" s="1640" t="n">
        <v>0</v>
      </c>
      <c r="G2455" s="1640" t="n">
        <v>0</v>
      </c>
      <c r="H2455" s="1640" t="n">
        <v>0</v>
      </c>
      <c r="I2455" s="1640" t="n">
        <v>0</v>
      </c>
      <c r="J2455" s="418" t="n">
        <v>0</v>
      </c>
      <c r="K2455" s="44" t="n">
        <v>0</v>
      </c>
      <c r="L2455" s="1640" t="n">
        <v>0</v>
      </c>
      <c r="M2455" s="451" t="n">
        <v>0</v>
      </c>
      <c r="N2455" s="467" t="n">
        <v>0</v>
      </c>
      <c r="O2455" s="467" t="n">
        <v>0</v>
      </c>
      <c r="P2455" s="467" t="n"/>
      <c r="Q2455" s="453" t="n"/>
      <c r="R2455" s="453" t="n"/>
      <c r="S2455" s="453" t="n"/>
      <c r="T2455" s="453" t="n"/>
      <c r="U2455" s="453" t="n"/>
      <c r="V2455" s="453" t="n"/>
    </row>
    <row r="2456" customFormat="1" s="21">
      <c r="A2456" s="405" t="inlineStr">
        <is>
          <t>East Asia and South-East Asia</t>
        </is>
      </c>
      <c r="B2456" s="468" t="n">
        <v>0</v>
      </c>
      <c r="C2456" s="468" t="n">
        <v>0</v>
      </c>
      <c r="D2456" s="468" t="n">
        <v>10</v>
      </c>
      <c r="E2456" s="468" t="n">
        <v>58</v>
      </c>
      <c r="F2456" s="451" t="n">
        <v>29</v>
      </c>
      <c r="G2456" s="451" t="n">
        <v>0</v>
      </c>
      <c r="H2456" s="451" t="n">
        <v>0</v>
      </c>
      <c r="I2456" s="451" t="n">
        <v>3</v>
      </c>
      <c r="J2456" s="451" t="n">
        <v>0</v>
      </c>
      <c r="K2456" s="41" t="n">
        <v>0</v>
      </c>
      <c r="L2456" s="451" t="n">
        <v>0</v>
      </c>
      <c r="M2456" s="451" t="n">
        <v>0</v>
      </c>
      <c r="N2456" s="467" t="n">
        <v>0</v>
      </c>
      <c r="O2456" s="467" t="n">
        <v>0</v>
      </c>
      <c r="P2456" s="467" t="n"/>
      <c r="Q2456" s="453" t="n"/>
      <c r="R2456" s="453" t="n"/>
      <c r="S2456" s="453" t="n"/>
      <c r="T2456" s="453" t="n"/>
      <c r="U2456" s="453" t="n"/>
      <c r="V2456" s="453" t="n"/>
    </row>
    <row r="2457" customFormat="1" s="21">
      <c r="A2457" s="405" t="inlineStr">
        <is>
          <t>North America</t>
        </is>
      </c>
      <c r="B2457" s="468" t="n">
        <v>0</v>
      </c>
      <c r="C2457" s="468" t="n">
        <v>43</v>
      </c>
      <c r="D2457" s="468" t="n">
        <v>40</v>
      </c>
      <c r="E2457" s="468" t="n">
        <v>0</v>
      </c>
      <c r="F2457" s="451" t="n">
        <v>17</v>
      </c>
      <c r="G2457" s="451" t="n">
        <v>0</v>
      </c>
      <c r="H2457" s="451" t="n">
        <v>0</v>
      </c>
      <c r="I2457" s="451" t="n">
        <v>0</v>
      </c>
      <c r="J2457" s="451" t="n">
        <v>0</v>
      </c>
      <c r="K2457" s="41" t="n">
        <v>0</v>
      </c>
      <c r="L2457" s="468" t="n">
        <v>0</v>
      </c>
      <c r="M2457" s="451" t="n">
        <v>0</v>
      </c>
      <c r="N2457" s="467" t="n">
        <v>0</v>
      </c>
      <c r="O2457" s="467" t="n">
        <v>0</v>
      </c>
      <c r="P2457" s="467" t="n"/>
      <c r="Q2457" s="453" t="n"/>
      <c r="R2457" s="453" t="n"/>
      <c r="S2457" s="453" t="n"/>
      <c r="T2457" s="453" t="n"/>
      <c r="U2457" s="453" t="n"/>
      <c r="V2457" s="453" t="n"/>
    </row>
    <row r="2458" customFormat="1" s="21">
      <c r="A2458" s="405" t="inlineStr">
        <is>
          <t>Latin America and the Caribbean</t>
        </is>
      </c>
      <c r="B2458" s="451" t="n">
        <v>0</v>
      </c>
      <c r="C2458" s="451" t="n">
        <v>0</v>
      </c>
      <c r="D2458" s="451" t="n">
        <v>2</v>
      </c>
      <c r="E2458" s="451" t="n">
        <v>48</v>
      </c>
      <c r="F2458" s="451" t="n">
        <v>50</v>
      </c>
      <c r="G2458" s="451" t="n">
        <v>0</v>
      </c>
      <c r="H2458" s="451" t="n">
        <v>0</v>
      </c>
      <c r="I2458" s="451" t="n">
        <v>0</v>
      </c>
      <c r="J2458" s="451" t="n">
        <v>0</v>
      </c>
      <c r="K2458" s="41" t="n">
        <v>0</v>
      </c>
      <c r="L2458" s="451" t="n">
        <v>0</v>
      </c>
      <c r="M2458" s="451" t="n">
        <v>0</v>
      </c>
      <c r="N2458" s="467" t="n">
        <v>0</v>
      </c>
      <c r="O2458" s="467" t="n">
        <v>0</v>
      </c>
      <c r="P2458" s="467" t="n"/>
      <c r="Q2458" s="453" t="n"/>
      <c r="R2458" s="453" t="n"/>
      <c r="S2458" s="453" t="n"/>
      <c r="T2458" s="453" t="n"/>
      <c r="U2458" s="453" t="n"/>
      <c r="V2458" s="453" t="n"/>
    </row>
    <row r="2459" customFormat="1" s="21">
      <c r="A2459" s="405" t="inlineStr">
        <is>
          <t>Western Europe</t>
        </is>
      </c>
      <c r="B2459" s="468" t="n">
        <v>0</v>
      </c>
      <c r="C2459" s="468" t="n">
        <v>34</v>
      </c>
      <c r="D2459" s="468" t="n">
        <v>63</v>
      </c>
      <c r="E2459" s="468" t="n">
        <v>0</v>
      </c>
      <c r="F2459" s="451" t="n">
        <v>3</v>
      </c>
      <c r="G2459" s="451" t="n">
        <v>0</v>
      </c>
      <c r="H2459" s="451" t="n">
        <v>0</v>
      </c>
      <c r="I2459" s="451" t="n">
        <v>0</v>
      </c>
      <c r="J2459" s="451" t="n">
        <v>0</v>
      </c>
      <c r="K2459" s="41" t="n">
        <v>0</v>
      </c>
      <c r="L2459" s="451" t="n">
        <v>0</v>
      </c>
      <c r="M2459" s="451" t="n">
        <v>0</v>
      </c>
      <c r="N2459" s="467" t="n">
        <v>0</v>
      </c>
      <c r="O2459" s="467" t="n">
        <v>0</v>
      </c>
      <c r="P2459" s="467" t="n"/>
      <c r="Q2459" s="453" t="n"/>
      <c r="R2459" s="453" t="n"/>
      <c r="S2459" s="453" t="n"/>
      <c r="T2459" s="453" t="n"/>
      <c r="U2459" s="453" t="n"/>
      <c r="V2459" s="453" t="n"/>
    </row>
    <row r="2460" customFormat="1" s="21">
      <c r="A2460" s="405" t="inlineStr">
        <is>
          <t>Eastern Europe</t>
        </is>
      </c>
      <c r="B2460" s="451" t="n">
        <v>0</v>
      </c>
      <c r="C2460" s="451" t="n">
        <v>18</v>
      </c>
      <c r="D2460" s="451" t="n">
        <v>68</v>
      </c>
      <c r="E2460" s="451" t="n">
        <v>0</v>
      </c>
      <c r="F2460" s="451" t="n">
        <v>13</v>
      </c>
      <c r="G2460" s="451" t="n">
        <v>1</v>
      </c>
      <c r="H2460" s="451" t="n">
        <v>0</v>
      </c>
      <c r="I2460" s="451" t="n">
        <v>0</v>
      </c>
      <c r="J2460" s="451" t="n">
        <v>0</v>
      </c>
      <c r="K2460" s="41" t="n">
        <v>0</v>
      </c>
      <c r="L2460" s="451" t="n">
        <v>0</v>
      </c>
      <c r="M2460" s="451" t="n">
        <v>0</v>
      </c>
      <c r="N2460" s="467" t="n">
        <v>0</v>
      </c>
      <c r="O2460" s="467" t="n">
        <v>0</v>
      </c>
      <c r="P2460" s="467" t="n"/>
      <c r="Q2460" s="453" t="n"/>
      <c r="R2460" s="453" t="n"/>
      <c r="S2460" s="453" t="n"/>
      <c r="T2460" s="453" t="n"/>
      <c r="U2460" s="453" t="n"/>
      <c r="V2460" s="453" t="n"/>
    </row>
    <row r="2461" customFormat="1" s="21">
      <c r="A2461" s="405" t="inlineStr">
        <is>
          <t>Russian Federation</t>
        </is>
      </c>
      <c r="B2461" s="451" t="n">
        <v>0</v>
      </c>
      <c r="C2461" s="451" t="n">
        <v>18</v>
      </c>
      <c r="D2461" s="451" t="n">
        <v>68</v>
      </c>
      <c r="E2461" s="451" t="n">
        <v>0</v>
      </c>
      <c r="F2461" s="451" t="n">
        <v>13</v>
      </c>
      <c r="G2461" s="451" t="n">
        <v>1</v>
      </c>
      <c r="H2461" s="451" t="n">
        <v>0</v>
      </c>
      <c r="I2461" s="451" t="n">
        <v>0</v>
      </c>
      <c r="J2461" s="451" t="n">
        <v>0</v>
      </c>
      <c r="K2461" s="41" t="n">
        <v>0</v>
      </c>
      <c r="L2461" s="451" t="n">
        <v>0</v>
      </c>
      <c r="M2461" s="451" t="n">
        <v>0</v>
      </c>
      <c r="N2461" s="467" t="n">
        <v>0</v>
      </c>
      <c r="O2461" s="467" t="n">
        <v>0</v>
      </c>
      <c r="P2461" s="467" t="n"/>
      <c r="Q2461" s="453" t="n"/>
      <c r="R2461" s="453" t="n"/>
      <c r="S2461" s="453" t="n"/>
      <c r="T2461" s="453" t="n"/>
      <c r="U2461" s="453" t="n"/>
      <c r="V2461" s="453" t="n"/>
    </row>
    <row r="2462" customFormat="1" s="21">
      <c r="A2462" s="405" t="inlineStr">
        <is>
          <t>Oceania</t>
        </is>
      </c>
      <c r="B2462" s="451" t="n">
        <v>0</v>
      </c>
      <c r="C2462" s="451" t="n">
        <v>0</v>
      </c>
      <c r="D2462" s="451" t="n">
        <v>0</v>
      </c>
      <c r="E2462" s="451" t="n">
        <v>0</v>
      </c>
      <c r="F2462" s="451" t="n">
        <v>0</v>
      </c>
      <c r="G2462" s="451" t="n">
        <v>0</v>
      </c>
      <c r="H2462" s="451" t="n">
        <v>0</v>
      </c>
      <c r="I2462" s="451" t="n">
        <v>0</v>
      </c>
      <c r="J2462" s="451" t="n">
        <v>0</v>
      </c>
      <c r="K2462" s="41" t="n">
        <v>0</v>
      </c>
      <c r="L2462" s="468" t="n">
        <v>0</v>
      </c>
      <c r="M2462" s="451" t="n">
        <v>0</v>
      </c>
      <c r="N2462" s="467" t="n">
        <v>0</v>
      </c>
      <c r="O2462" s="467" t="n">
        <v>0</v>
      </c>
      <c r="P2462" s="467" t="n"/>
    </row>
    <row r="2463" customFormat="1" s="453">
      <c r="A2463" s="405" t="inlineStr">
        <is>
          <t>NENA/Middle East</t>
        </is>
      </c>
      <c r="B2463" s="451" t="n">
        <v>0</v>
      </c>
      <c r="C2463" s="451" t="n">
        <v>0</v>
      </c>
      <c r="D2463" s="451" t="n">
        <v>18</v>
      </c>
      <c r="E2463" s="451" t="n">
        <v>35</v>
      </c>
      <c r="F2463" s="451" t="n">
        <v>46</v>
      </c>
      <c r="G2463" s="451" t="n">
        <v>0</v>
      </c>
      <c r="H2463" s="451" t="n">
        <v>0</v>
      </c>
      <c r="I2463" s="451" t="n">
        <v>1</v>
      </c>
      <c r="J2463" s="451" t="n">
        <v>0</v>
      </c>
      <c r="K2463" s="41" t="n">
        <v>0</v>
      </c>
      <c r="L2463" s="451" t="n">
        <v>0</v>
      </c>
      <c r="M2463" s="451" t="n">
        <v>0</v>
      </c>
      <c r="N2463" s="467" t="n">
        <v>0</v>
      </c>
      <c r="O2463" s="467" t="n">
        <v>0</v>
      </c>
      <c r="P2463" s="467" t="n"/>
    </row>
    <row r="2464" customFormat="1" s="453">
      <c r="A2464" s="405" t="inlineStr">
        <is>
          <t>South Asia</t>
        </is>
      </c>
      <c r="B2464" s="451" t="n">
        <v>0</v>
      </c>
      <c r="C2464" s="451" t="n">
        <v>0</v>
      </c>
      <c r="D2464" s="451" t="n">
        <v>1</v>
      </c>
      <c r="E2464" s="451" t="n">
        <v>41</v>
      </c>
      <c r="F2464" s="451" t="n">
        <v>38</v>
      </c>
      <c r="G2464" s="451" t="n">
        <v>0</v>
      </c>
      <c r="H2464" s="451" t="n">
        <v>0</v>
      </c>
      <c r="I2464" s="451" t="n">
        <v>20</v>
      </c>
      <c r="J2464" s="451" t="n">
        <v>0</v>
      </c>
      <c r="K2464" s="41" t="n">
        <v>0</v>
      </c>
      <c r="L2464" s="468" t="n">
        <v>0</v>
      </c>
      <c r="M2464" s="451" t="n">
        <v>0</v>
      </c>
      <c r="N2464" s="467" t="n">
        <v>0</v>
      </c>
      <c r="O2464" s="467" t="n">
        <v>0</v>
      </c>
      <c r="P2464" s="467" t="n"/>
    </row>
    <row r="2465" customFormat="1" s="535">
      <c r="A2465" s="518" t="inlineStr">
        <is>
          <t>Notes : Use of proxy from Eastern Europe for Russian Federation</t>
        </is>
      </c>
      <c r="F2465" s="1624" t="n"/>
      <c r="G2465" s="1624" t="n"/>
      <c r="H2465" s="1624" t="n"/>
      <c r="I2465" s="1624" t="n"/>
      <c r="J2465" s="1624" t="n"/>
      <c r="K2465" s="1624" t="n"/>
      <c r="L2465" s="1624" t="n"/>
      <c r="M2465" s="1624" t="n"/>
      <c r="N2465" s="1624" t="n"/>
    </row>
    <row r="2466" customFormat="1" s="292"/>
    <row r="2468" customFormat="1" s="125">
      <c r="A2468" s="377" t="inlineStr">
        <is>
          <t>Animal waste management system</t>
        </is>
      </c>
      <c r="D2468" s="1075" t="n"/>
      <c r="E2468" s="1075" t="n"/>
      <c r="F2468" s="1075" t="n"/>
      <c r="G2468" s="1075" t="n"/>
      <c r="H2468" s="1075" t="n"/>
      <c r="I2468" s="1075" t="n"/>
      <c r="L2468" s="1075" t="n"/>
    </row>
    <row r="2469" ht="16.25" customFormat="1" customHeight="1" s="773">
      <c r="A2469" s="753" t="inlineStr">
        <is>
          <t>Other buffalo</t>
        </is>
      </c>
      <c r="B2469" s="442" t="inlineStr">
        <is>
          <t>Table 10A.6</t>
        </is>
      </c>
      <c r="C2469" s="442" t="inlineStr">
        <is>
          <t>Table 10A.6</t>
        </is>
      </c>
      <c r="D2469" s="442" t="inlineStr">
        <is>
          <t>Table 10A.6</t>
        </is>
      </c>
      <c r="E2469" s="442" t="inlineStr">
        <is>
          <t>Table 10A.6</t>
        </is>
      </c>
      <c r="F2469" s="442" t="inlineStr">
        <is>
          <t>Table 10A.6</t>
        </is>
      </c>
      <c r="G2469" s="442" t="inlineStr">
        <is>
          <t>Table 10A.6</t>
        </is>
      </c>
      <c r="H2469" s="442" t="inlineStr">
        <is>
          <t>Table 10A.6</t>
        </is>
      </c>
      <c r="I2469" s="442" t="inlineStr">
        <is>
          <t>Table 10A.6</t>
        </is>
      </c>
      <c r="J2469" s="442" t="inlineStr">
        <is>
          <t>Table 10A.7</t>
        </is>
      </c>
      <c r="K2469" s="442" t="inlineStr">
        <is>
          <t>Table 10A.7</t>
        </is>
      </c>
      <c r="L2469" s="442" t="inlineStr">
        <is>
          <t>Table 10A.6</t>
        </is>
      </c>
      <c r="M2469" s="442" t="inlineStr">
        <is>
          <t>Table 10A.6</t>
        </is>
      </c>
      <c r="N2469" s="442" t="inlineStr">
        <is>
          <t>Table 10A.6</t>
        </is>
      </c>
      <c r="O2469" s="442" t="inlineStr">
        <is>
          <t>Table 10A.6</t>
        </is>
      </c>
      <c r="P2469" s="442" t="n"/>
      <c r="Q2469" s="442" t="n"/>
      <c r="R2469" s="442" t="n"/>
      <c r="S2469" s="442" t="n"/>
      <c r="T2469" s="442" t="n"/>
      <c r="U2469" s="442" t="n"/>
      <c r="V2469" s="442" t="n"/>
    </row>
    <row r="2470" ht="16" customFormat="1" customHeight="1" s="291">
      <c r="A2470" s="1641" t="inlineStr">
        <is>
          <t>Please select</t>
        </is>
      </c>
      <c r="B2470" s="1642" t="inlineStr">
        <is>
          <t>Lagoon</t>
        </is>
      </c>
      <c r="C2470" s="1642" t="inlineStr">
        <is>
          <t>Liquid/slurry</t>
        </is>
      </c>
      <c r="D2470" s="1642" t="inlineStr">
        <is>
          <t>Solid storage</t>
        </is>
      </c>
      <c r="E2470" s="1642" t="inlineStr">
        <is>
          <t>Dry lot</t>
        </is>
      </c>
      <c r="F2470" s="1642" t="inlineStr">
        <is>
          <t>Pasture/Range/Paddock</t>
        </is>
      </c>
      <c r="G2470" s="1642" t="inlineStr">
        <is>
          <t>Daily spread</t>
        </is>
      </c>
      <c r="H2470" s="1642" t="inlineStr">
        <is>
          <t>Digester</t>
        </is>
      </c>
      <c r="I2470" s="1639" t="inlineStr">
        <is>
          <t>Burned for fuel</t>
        </is>
      </c>
      <c r="J2470" s="1639" t="inlineStr">
        <is>
          <t>Pit&lt;1Month</t>
        </is>
      </c>
      <c r="K2470" s="1639" t="inlineStr">
        <is>
          <t>Pit&gt;1 month</t>
        </is>
      </c>
      <c r="L2470" s="1642" t="inlineStr">
        <is>
          <t>Poultry manure</t>
        </is>
      </c>
      <c r="M2470" s="291" t="inlineStr">
        <is>
          <t>Deep bedding</t>
        </is>
      </c>
      <c r="N2470" s="2156" t="inlineStr">
        <is>
          <t>Composting</t>
        </is>
      </c>
      <c r="O2470" s="2156" t="inlineStr">
        <is>
          <t>Aerobic treatment</t>
        </is>
      </c>
      <c r="P2470" s="1658" t="inlineStr">
        <is>
          <t>Other (pls. go Tier 2)</t>
        </is>
      </c>
      <c r="Q2470" s="453" t="n"/>
      <c r="R2470" s="453" t="n"/>
      <c r="S2470" s="453" t="n"/>
      <c r="T2470" s="453" t="n"/>
      <c r="U2470" s="453" t="n"/>
      <c r="V2470" s="453" t="n"/>
      <c r="W2470" s="21" t="n"/>
      <c r="X2470" s="21" t="n"/>
    </row>
    <row r="2471" ht="16" customFormat="1" customHeight="1" s="1093">
      <c r="A2471" s="523" t="inlineStr">
        <is>
          <t>IPCC Region</t>
        </is>
      </c>
      <c r="B2471" s="1636" t="inlineStr">
        <is>
          <t>%</t>
        </is>
      </c>
      <c r="C2471" s="1636" t="inlineStr">
        <is>
          <t>%</t>
        </is>
      </c>
      <c r="D2471" s="1636" t="inlineStr">
        <is>
          <t>%</t>
        </is>
      </c>
      <c r="E2471" s="1636" t="inlineStr">
        <is>
          <t>%</t>
        </is>
      </c>
      <c r="F2471" s="1636" t="inlineStr">
        <is>
          <t>%</t>
        </is>
      </c>
      <c r="G2471" s="1636" t="inlineStr">
        <is>
          <t>%</t>
        </is>
      </c>
      <c r="H2471" s="1636" t="inlineStr">
        <is>
          <t>%</t>
        </is>
      </c>
      <c r="I2471" s="1636" t="inlineStr">
        <is>
          <t>%</t>
        </is>
      </c>
      <c r="J2471" s="1636" t="inlineStr">
        <is>
          <t>%</t>
        </is>
      </c>
      <c r="K2471" s="1635" t="inlineStr">
        <is>
          <t>%</t>
        </is>
      </c>
      <c r="L2471" s="1636" t="inlineStr">
        <is>
          <t>%</t>
        </is>
      </c>
      <c r="M2471" s="1657" t="inlineStr">
        <is>
          <t>%</t>
        </is>
      </c>
      <c r="N2471" s="31" t="inlineStr">
        <is>
          <t>%</t>
        </is>
      </c>
      <c r="O2471" s="31" t="inlineStr">
        <is>
          <t>%</t>
        </is>
      </c>
      <c r="P2471" s="31" t="inlineStr">
        <is>
          <t>%</t>
        </is>
      </c>
      <c r="Q2471" s="1092" t="n"/>
      <c r="R2471" s="1092" t="n"/>
      <c r="S2471" s="1092" t="n"/>
      <c r="T2471" s="1092" t="n"/>
      <c r="U2471" s="1092" t="n"/>
      <c r="V2471" s="1092" t="n"/>
    </row>
    <row r="2472" customFormat="1" s="21">
      <c r="A2472" s="407" t="inlineStr">
        <is>
          <t>Sub-Saharan Africa</t>
        </is>
      </c>
      <c r="B2472" s="1640" t="n">
        <v>0</v>
      </c>
      <c r="C2472" s="1640" t="n">
        <v>0</v>
      </c>
      <c r="D2472" s="1640" t="n">
        <v>0</v>
      </c>
      <c r="E2472" s="1640" t="n">
        <v>0</v>
      </c>
      <c r="F2472" s="1640" t="n">
        <v>0</v>
      </c>
      <c r="G2472" s="1640" t="n">
        <v>0</v>
      </c>
      <c r="H2472" s="1640" t="n">
        <v>0</v>
      </c>
      <c r="I2472" s="1640" t="n">
        <v>0</v>
      </c>
      <c r="J2472" s="418" t="n">
        <v>0</v>
      </c>
      <c r="K2472" s="44" t="n">
        <v>0</v>
      </c>
      <c r="L2472" s="1640" t="n">
        <v>0</v>
      </c>
      <c r="M2472" s="451" t="n">
        <v>0</v>
      </c>
      <c r="N2472" s="467" t="n">
        <v>0</v>
      </c>
      <c r="O2472" s="467" t="n">
        <v>0</v>
      </c>
      <c r="P2472" s="467" t="n"/>
      <c r="Q2472" s="453" t="n"/>
      <c r="R2472" s="453" t="n"/>
      <c r="S2472" s="453" t="n"/>
      <c r="T2472" s="453" t="n"/>
      <c r="U2472" s="453" t="n"/>
      <c r="V2472" s="453" t="n"/>
    </row>
    <row r="2473" customFormat="1" s="21">
      <c r="A2473" s="405" t="inlineStr">
        <is>
          <t>East Asia and South-East Asia</t>
        </is>
      </c>
      <c r="B2473" s="468" t="n">
        <v>0</v>
      </c>
      <c r="C2473" s="468" t="n">
        <v>0</v>
      </c>
      <c r="D2473" s="468" t="n">
        <v>6</v>
      </c>
      <c r="E2473" s="468" t="n">
        <v>64</v>
      </c>
      <c r="F2473" s="451" t="n">
        <v>28</v>
      </c>
      <c r="G2473" s="451" t="n">
        <v>0</v>
      </c>
      <c r="H2473" s="451" t="n">
        <v>0</v>
      </c>
      <c r="I2473" s="451" t="n">
        <v>2</v>
      </c>
      <c r="J2473" s="451" t="n">
        <v>0</v>
      </c>
      <c r="K2473" s="41" t="n">
        <v>0</v>
      </c>
      <c r="L2473" s="451" t="n">
        <v>0</v>
      </c>
      <c r="M2473" s="451" t="n">
        <v>0</v>
      </c>
      <c r="N2473" s="467" t="n">
        <v>0</v>
      </c>
      <c r="O2473" s="467" t="n">
        <v>0</v>
      </c>
      <c r="P2473" s="467" t="n"/>
      <c r="Q2473" s="453" t="n"/>
      <c r="R2473" s="453" t="n"/>
      <c r="S2473" s="453" t="n"/>
      <c r="T2473" s="453" t="n"/>
      <c r="U2473" s="453" t="n"/>
      <c r="V2473" s="453" t="n"/>
    </row>
    <row r="2474" customFormat="1" s="21">
      <c r="A2474" s="405" t="inlineStr">
        <is>
          <t>North America</t>
        </is>
      </c>
      <c r="B2474" s="468" t="n">
        <v>0</v>
      </c>
      <c r="C2474" s="468" t="n">
        <v>0</v>
      </c>
      <c r="D2474" s="468" t="n">
        <v>0</v>
      </c>
      <c r="E2474" s="468" t="n">
        <v>0</v>
      </c>
      <c r="F2474" s="468" t="n">
        <v>0</v>
      </c>
      <c r="G2474" s="468" t="n">
        <v>0</v>
      </c>
      <c r="H2474" s="468" t="n">
        <v>0</v>
      </c>
      <c r="I2474" s="468" t="n">
        <v>0</v>
      </c>
      <c r="J2474" s="451" t="n">
        <v>0</v>
      </c>
      <c r="K2474" s="41" t="n">
        <v>0</v>
      </c>
      <c r="L2474" s="468" t="n">
        <v>0</v>
      </c>
      <c r="M2474" s="451" t="n">
        <v>0</v>
      </c>
      <c r="N2474" s="467" t="n">
        <v>0</v>
      </c>
      <c r="O2474" s="467" t="n">
        <v>0</v>
      </c>
      <c r="P2474" s="467" t="n"/>
      <c r="Q2474" s="453" t="n"/>
      <c r="R2474" s="453" t="n"/>
      <c r="S2474" s="453" t="n"/>
      <c r="T2474" s="453" t="n"/>
      <c r="U2474" s="453" t="n"/>
      <c r="V2474" s="453" t="n"/>
    </row>
    <row r="2475" customFormat="1" s="21">
      <c r="A2475" s="405" t="inlineStr">
        <is>
          <t>Latin America and the Caribbean</t>
        </is>
      </c>
      <c r="B2475" s="451" t="n">
        <v>0</v>
      </c>
      <c r="C2475" s="451" t="n">
        <v>0</v>
      </c>
      <c r="D2475" s="451" t="n">
        <v>2</v>
      </c>
      <c r="E2475" s="451" t="n">
        <v>5</v>
      </c>
      <c r="F2475" s="451" t="n">
        <v>93</v>
      </c>
      <c r="G2475" s="451" t="n">
        <v>0</v>
      </c>
      <c r="H2475" s="451" t="n">
        <v>0</v>
      </c>
      <c r="I2475" s="451" t="n">
        <v>0</v>
      </c>
      <c r="J2475" s="451" t="n">
        <v>0</v>
      </c>
      <c r="K2475" s="41" t="n">
        <v>0</v>
      </c>
      <c r="L2475" s="451" t="n">
        <v>0</v>
      </c>
      <c r="M2475" s="451" t="n">
        <v>0</v>
      </c>
      <c r="N2475" s="467" t="n">
        <v>0</v>
      </c>
      <c r="O2475" s="467" t="n">
        <v>0</v>
      </c>
      <c r="P2475" s="467" t="n"/>
      <c r="Q2475" s="453" t="n"/>
      <c r="R2475" s="453" t="n"/>
      <c r="S2475" s="453" t="n"/>
      <c r="T2475" s="453" t="n"/>
      <c r="U2475" s="453" t="n"/>
      <c r="V2475" s="453" t="n"/>
    </row>
    <row r="2476" customFormat="1" s="21">
      <c r="A2476" s="405" t="inlineStr">
        <is>
          <t>Western Europe</t>
        </is>
      </c>
      <c r="B2476" s="468" t="n">
        <v>0</v>
      </c>
      <c r="C2476" s="468" t="n">
        <v>0</v>
      </c>
      <c r="D2476" s="468" t="n">
        <v>0</v>
      </c>
      <c r="E2476" s="468" t="n">
        <v>0</v>
      </c>
      <c r="F2476" s="468" t="n">
        <v>0</v>
      </c>
      <c r="G2476" s="468" t="n">
        <v>0</v>
      </c>
      <c r="H2476" s="468" t="n">
        <v>0</v>
      </c>
      <c r="I2476" s="468" t="n">
        <v>0</v>
      </c>
      <c r="J2476" s="451" t="n">
        <v>0</v>
      </c>
      <c r="K2476" s="41" t="n">
        <v>0</v>
      </c>
      <c r="L2476" s="451" t="n">
        <v>0</v>
      </c>
      <c r="M2476" s="451" t="n">
        <v>0</v>
      </c>
      <c r="N2476" s="467" t="n">
        <v>0</v>
      </c>
      <c r="O2476" s="467" t="n">
        <v>0</v>
      </c>
      <c r="P2476" s="467" t="n"/>
      <c r="Q2476" s="453" t="n"/>
      <c r="R2476" s="453" t="n"/>
      <c r="S2476" s="453" t="n"/>
      <c r="T2476" s="453" t="n"/>
      <c r="U2476" s="453" t="n"/>
      <c r="V2476" s="453" t="n"/>
    </row>
    <row r="2477" customFormat="1" s="21">
      <c r="A2477" s="405" t="inlineStr">
        <is>
          <t>Eastern Europe</t>
        </is>
      </c>
      <c r="B2477" s="451" t="n">
        <v>0</v>
      </c>
      <c r="C2477" s="451" t="n">
        <v>9</v>
      </c>
      <c r="D2477" s="451" t="n">
        <v>64</v>
      </c>
      <c r="E2477" s="451" t="n">
        <v>0</v>
      </c>
      <c r="F2477" s="451" t="n">
        <v>27</v>
      </c>
      <c r="G2477" s="451" t="n">
        <v>0</v>
      </c>
      <c r="H2477" s="451" t="n">
        <v>0</v>
      </c>
      <c r="I2477" s="451" t="n">
        <v>0</v>
      </c>
      <c r="J2477" s="451" t="n">
        <v>0</v>
      </c>
      <c r="K2477" s="41" t="n">
        <v>0</v>
      </c>
      <c r="L2477" s="451" t="n">
        <v>0</v>
      </c>
      <c r="M2477" s="451" t="n">
        <v>0</v>
      </c>
      <c r="N2477" s="467" t="n">
        <v>0</v>
      </c>
      <c r="O2477" s="467" t="n">
        <v>0</v>
      </c>
      <c r="P2477" s="467" t="n"/>
      <c r="Q2477" s="453" t="n"/>
      <c r="R2477" s="453" t="n"/>
      <c r="S2477" s="453" t="n"/>
      <c r="T2477" s="453" t="n"/>
      <c r="U2477" s="453" t="n"/>
      <c r="V2477" s="453" t="n"/>
    </row>
    <row r="2478" customFormat="1" s="21">
      <c r="A2478" s="405" t="inlineStr">
        <is>
          <t>Russian Federation</t>
        </is>
      </c>
      <c r="B2478" s="451" t="n">
        <v>0</v>
      </c>
      <c r="C2478" s="451" t="n">
        <v>9</v>
      </c>
      <c r="D2478" s="451" t="n">
        <v>64</v>
      </c>
      <c r="E2478" s="451" t="n">
        <v>0</v>
      </c>
      <c r="F2478" s="451" t="n">
        <v>27</v>
      </c>
      <c r="G2478" s="451" t="n">
        <v>0</v>
      </c>
      <c r="H2478" s="451" t="n">
        <v>0</v>
      </c>
      <c r="I2478" s="451" t="n">
        <v>0</v>
      </c>
      <c r="J2478" s="451" t="n">
        <v>0</v>
      </c>
      <c r="K2478" s="41" t="n">
        <v>0</v>
      </c>
      <c r="L2478" s="451" t="n">
        <v>0</v>
      </c>
      <c r="M2478" s="451" t="n">
        <v>0</v>
      </c>
      <c r="N2478" s="467" t="n">
        <v>0</v>
      </c>
      <c r="O2478" s="467" t="n">
        <v>0</v>
      </c>
      <c r="P2478" s="467" t="n"/>
      <c r="Q2478" s="453" t="n"/>
      <c r="R2478" s="453" t="n"/>
      <c r="S2478" s="453" t="n"/>
      <c r="T2478" s="453" t="n"/>
      <c r="U2478" s="453" t="n"/>
      <c r="V2478" s="453" t="n"/>
    </row>
    <row r="2479" customFormat="1" s="21">
      <c r="A2479" s="405" t="inlineStr">
        <is>
          <t>Oceania</t>
        </is>
      </c>
      <c r="B2479" s="468" t="n">
        <v>0</v>
      </c>
      <c r="C2479" s="468" t="n">
        <v>0</v>
      </c>
      <c r="D2479" s="468" t="n">
        <v>0</v>
      </c>
      <c r="E2479" s="468" t="n">
        <v>0</v>
      </c>
      <c r="F2479" s="468" t="n">
        <v>0</v>
      </c>
      <c r="G2479" s="468" t="n">
        <v>0</v>
      </c>
      <c r="H2479" s="468" t="n">
        <v>0</v>
      </c>
      <c r="I2479" s="468" t="n">
        <v>0</v>
      </c>
      <c r="J2479" s="451" t="n">
        <v>0</v>
      </c>
      <c r="K2479" s="41" t="n">
        <v>0</v>
      </c>
      <c r="L2479" s="468" t="n">
        <v>0</v>
      </c>
      <c r="M2479" s="451" t="n">
        <v>0</v>
      </c>
      <c r="N2479" s="467" t="n">
        <v>0</v>
      </c>
      <c r="O2479" s="467" t="n">
        <v>0</v>
      </c>
      <c r="P2479" s="467" t="n"/>
    </row>
    <row r="2480" customFormat="1" s="453">
      <c r="A2480" s="405" t="inlineStr">
        <is>
          <t>NENA/Middle East</t>
        </is>
      </c>
      <c r="B2480" s="451" t="n">
        <v>0</v>
      </c>
      <c r="C2480" s="451" t="n">
        <v>0</v>
      </c>
      <c r="D2480" s="451" t="n">
        <v>16</v>
      </c>
      <c r="E2480" s="451" t="n">
        <v>12</v>
      </c>
      <c r="F2480" s="451" t="n">
        <v>57</v>
      </c>
      <c r="G2480" s="451" t="n">
        <v>0</v>
      </c>
      <c r="H2480" s="451" t="n">
        <v>0</v>
      </c>
      <c r="I2480" s="451" t="n">
        <v>15</v>
      </c>
      <c r="J2480" s="451" t="n">
        <v>0</v>
      </c>
      <c r="K2480" s="41" t="n">
        <v>0</v>
      </c>
      <c r="L2480" s="451" t="n">
        <v>0</v>
      </c>
      <c r="M2480" s="451" t="n">
        <v>0</v>
      </c>
      <c r="N2480" s="467" t="n">
        <v>0</v>
      </c>
      <c r="O2480" s="467" t="n">
        <v>0</v>
      </c>
      <c r="P2480" s="467" t="n"/>
    </row>
    <row r="2481" customFormat="1" s="453">
      <c r="A2481" s="405" t="inlineStr">
        <is>
          <t>South Asia</t>
        </is>
      </c>
      <c r="B2481" s="468" t="n">
        <v>0</v>
      </c>
      <c r="C2481" s="468" t="n">
        <v>0</v>
      </c>
      <c r="D2481" s="468" t="n">
        <v>1</v>
      </c>
      <c r="E2481" s="468" t="n">
        <v>40</v>
      </c>
      <c r="F2481" s="468" t="n">
        <v>39</v>
      </c>
      <c r="G2481" s="468" t="n">
        <v>0</v>
      </c>
      <c r="H2481" s="468" t="n">
        <v>0</v>
      </c>
      <c r="I2481" s="468" t="n">
        <v>20</v>
      </c>
      <c r="J2481" s="451" t="n">
        <v>0</v>
      </c>
      <c r="K2481" s="41" t="n">
        <v>0</v>
      </c>
      <c r="L2481" s="468" t="n">
        <v>0</v>
      </c>
      <c r="M2481" s="451" t="n">
        <v>0</v>
      </c>
      <c r="N2481" s="467" t="n">
        <v>0</v>
      </c>
      <c r="O2481" s="467" t="n">
        <v>0</v>
      </c>
      <c r="P2481" s="467" t="n"/>
    </row>
    <row r="2482" customFormat="1" s="535">
      <c r="A2482" s="518" t="inlineStr">
        <is>
          <t>Notes : Use of proxy from Eastern Europe for Russian Federation</t>
        </is>
      </c>
      <c r="F2482" s="1624" t="n"/>
      <c r="G2482" s="1624" t="n"/>
      <c r="H2482" s="1624" t="n"/>
      <c r="I2482" s="1624" t="n"/>
      <c r="J2482" s="1624" t="n"/>
      <c r="K2482" s="1624" t="n"/>
      <c r="L2482" s="1624" t="n"/>
      <c r="M2482" s="1624" t="n"/>
      <c r="N2482" s="1624" t="n"/>
    </row>
    <row r="2483" customFormat="1" s="292"/>
    <row r="2485" ht="14.25" customFormat="1" customHeight="1" s="125">
      <c r="A2485" s="377" t="inlineStr">
        <is>
          <t>Animal waste management system</t>
        </is>
      </c>
      <c r="D2485" s="1075" t="n"/>
      <c r="E2485" s="1075" t="n"/>
      <c r="F2485" s="1075" t="n"/>
      <c r="G2485" s="1075" t="n"/>
      <c r="H2485" s="1075" t="n"/>
      <c r="I2485" s="1075" t="n"/>
      <c r="L2485" s="1075" t="n"/>
    </row>
    <row r="2486" ht="16.25" customFormat="1" customHeight="1" s="773">
      <c r="A2486" s="753" t="inlineStr">
        <is>
          <t>Breeding Swine HP</t>
        </is>
      </c>
      <c r="B2486" s="442" t="inlineStr">
        <is>
          <t>Table 10A.7</t>
        </is>
      </c>
      <c r="C2486" s="442" t="inlineStr">
        <is>
          <t>Table 10A.7</t>
        </is>
      </c>
      <c r="D2486" s="442" t="inlineStr">
        <is>
          <t>Table 10A.7</t>
        </is>
      </c>
      <c r="E2486" s="442" t="inlineStr">
        <is>
          <t>Table 10A.7</t>
        </is>
      </c>
      <c r="F2486" s="442" t="inlineStr">
        <is>
          <t>Table 10A.7</t>
        </is>
      </c>
      <c r="G2486" s="442" t="inlineStr">
        <is>
          <t>Table 10A.7</t>
        </is>
      </c>
      <c r="H2486" s="442" t="inlineStr">
        <is>
          <t>Table 10A.7</t>
        </is>
      </c>
      <c r="I2486" s="442" t="inlineStr">
        <is>
          <t>Table 10A.7</t>
        </is>
      </c>
      <c r="J2486" s="442" t="inlineStr">
        <is>
          <t>Table 10A.7</t>
        </is>
      </c>
      <c r="K2486" s="442" t="inlineStr">
        <is>
          <t>Table 10A.7</t>
        </is>
      </c>
      <c r="L2486" s="442" t="inlineStr">
        <is>
          <t>Table 10A.7</t>
        </is>
      </c>
      <c r="M2486" s="442" t="inlineStr">
        <is>
          <t>Table 10A.7</t>
        </is>
      </c>
      <c r="N2486" s="442" t="inlineStr">
        <is>
          <t>Table 10A.7</t>
        </is>
      </c>
      <c r="O2486" s="442" t="inlineStr">
        <is>
          <t>Table 10A.7</t>
        </is>
      </c>
      <c r="P2486" s="442" t="n"/>
      <c r="Q2486" s="442" t="n"/>
      <c r="R2486" s="442" t="n"/>
      <c r="S2486" s="442" t="n"/>
      <c r="T2486" s="442" t="n"/>
      <c r="U2486" s="442" t="n"/>
      <c r="V2486" s="442" t="n"/>
    </row>
    <row r="2487" ht="16" customFormat="1" customHeight="1" s="291">
      <c r="A2487" s="1641" t="inlineStr">
        <is>
          <t>Please select</t>
        </is>
      </c>
      <c r="B2487" s="1642" t="inlineStr">
        <is>
          <t>Lagoon</t>
        </is>
      </c>
      <c r="C2487" s="1642" t="inlineStr">
        <is>
          <t>Liquid/slurry</t>
        </is>
      </c>
      <c r="D2487" s="1642" t="inlineStr">
        <is>
          <t>Solid storage</t>
        </is>
      </c>
      <c r="E2487" s="1642" t="inlineStr">
        <is>
          <t>Dry lot</t>
        </is>
      </c>
      <c r="F2487" s="1642" t="inlineStr">
        <is>
          <t>Pasture/Range/Paddock</t>
        </is>
      </c>
      <c r="G2487" s="1642" t="inlineStr">
        <is>
          <t>Daily spread</t>
        </is>
      </c>
      <c r="H2487" s="1642" t="inlineStr">
        <is>
          <t>Digester</t>
        </is>
      </c>
      <c r="I2487" s="1639" t="inlineStr">
        <is>
          <t>Burned for fuel</t>
        </is>
      </c>
      <c r="J2487" s="1639" t="inlineStr">
        <is>
          <t>Pit&lt;1Month</t>
        </is>
      </c>
      <c r="K2487" s="1639" t="inlineStr">
        <is>
          <t>Pit&gt;1 month</t>
        </is>
      </c>
      <c r="L2487" s="1642" t="inlineStr">
        <is>
          <t>Poultry manure</t>
        </is>
      </c>
      <c r="M2487" s="291" t="inlineStr">
        <is>
          <t>Deep bedding</t>
        </is>
      </c>
      <c r="N2487" s="2156" t="inlineStr">
        <is>
          <t>Composting</t>
        </is>
      </c>
      <c r="O2487" s="2156" t="inlineStr">
        <is>
          <t>Aerobic treatment</t>
        </is>
      </c>
      <c r="P2487" s="1658" t="inlineStr">
        <is>
          <t>Other (pls. go Tier 2)</t>
        </is>
      </c>
      <c r="Q2487" s="453" t="n"/>
      <c r="R2487" s="453" t="n"/>
      <c r="S2487" s="453" t="n"/>
      <c r="T2487" s="453" t="n"/>
      <c r="U2487" s="453" t="n"/>
      <c r="V2487" s="453" t="n"/>
      <c r="W2487" s="21" t="n"/>
      <c r="X2487" s="21" t="n"/>
    </row>
    <row r="2488" ht="16" customFormat="1" customHeight="1" s="1093">
      <c r="A2488" s="523" t="inlineStr">
        <is>
          <t>IPCC Region</t>
        </is>
      </c>
      <c r="B2488" s="1636" t="inlineStr">
        <is>
          <t>%</t>
        </is>
      </c>
      <c r="C2488" s="1636" t="inlineStr">
        <is>
          <t>%</t>
        </is>
      </c>
      <c r="D2488" s="1636" t="inlineStr">
        <is>
          <t>%</t>
        </is>
      </c>
      <c r="E2488" s="1636" t="inlineStr">
        <is>
          <t>%</t>
        </is>
      </c>
      <c r="F2488" s="1636" t="inlineStr">
        <is>
          <t>%</t>
        </is>
      </c>
      <c r="G2488" s="1636" t="inlineStr">
        <is>
          <t>%</t>
        </is>
      </c>
      <c r="H2488" s="1636" t="inlineStr">
        <is>
          <t>%</t>
        </is>
      </c>
      <c r="I2488" s="1636" t="inlineStr">
        <is>
          <t>%</t>
        </is>
      </c>
      <c r="J2488" s="31" t="inlineStr">
        <is>
          <t>%</t>
        </is>
      </c>
      <c r="K2488" s="31" t="inlineStr">
        <is>
          <t>%</t>
        </is>
      </c>
      <c r="L2488" s="1636" t="inlineStr">
        <is>
          <t>%</t>
        </is>
      </c>
      <c r="M2488" s="1657" t="inlineStr">
        <is>
          <t>%</t>
        </is>
      </c>
      <c r="N2488" s="31" t="inlineStr">
        <is>
          <t>%</t>
        </is>
      </c>
      <c r="O2488" s="31" t="inlineStr">
        <is>
          <t>%</t>
        </is>
      </c>
      <c r="P2488" s="31" t="inlineStr">
        <is>
          <t>%</t>
        </is>
      </c>
      <c r="Q2488" s="1092" t="n"/>
      <c r="R2488" s="1092" t="n"/>
      <c r="S2488" s="1092" t="n"/>
      <c r="T2488" s="1092" t="n"/>
      <c r="U2488" s="1092" t="n"/>
      <c r="V2488" s="1092" t="n"/>
    </row>
    <row r="2489" customFormat="1" s="21">
      <c r="A2489" s="407" t="inlineStr">
        <is>
          <t>Sub-Saharan Africa</t>
        </is>
      </c>
      <c r="B2489" s="1640" t="n">
        <v>0</v>
      </c>
      <c r="C2489" s="1640" t="n">
        <v>7</v>
      </c>
      <c r="D2489" s="1640" t="n">
        <v>6</v>
      </c>
      <c r="E2489" s="1640" t="n">
        <v>86</v>
      </c>
      <c r="F2489" s="1640" t="n">
        <v>0</v>
      </c>
      <c r="G2489" s="1640" t="n">
        <v>0</v>
      </c>
      <c r="H2489" s="1640" t="n">
        <v>0</v>
      </c>
      <c r="I2489" s="1640" t="n">
        <v>0</v>
      </c>
      <c r="J2489" s="41" t="n">
        <v>1</v>
      </c>
      <c r="K2489" s="41" t="n">
        <v>0</v>
      </c>
      <c r="L2489" s="1640" t="n">
        <v>0</v>
      </c>
      <c r="M2489" s="451" t="n">
        <v>0</v>
      </c>
      <c r="N2489" s="467" t="n">
        <v>0</v>
      </c>
      <c r="O2489" s="467" t="n">
        <v>0</v>
      </c>
      <c r="P2489" s="467" t="n"/>
      <c r="Q2489" s="453" t="n"/>
      <c r="R2489" s="453" t="n"/>
      <c r="S2489" s="453" t="n"/>
      <c r="T2489" s="453" t="n"/>
      <c r="U2489" s="453" t="n"/>
      <c r="V2489" s="453" t="n"/>
    </row>
    <row r="2490" customFormat="1" s="21">
      <c r="A2490" s="405" t="inlineStr">
        <is>
          <t>East Asia and South-East Asia</t>
        </is>
      </c>
      <c r="B2490" s="468" t="n">
        <v>35</v>
      </c>
      <c r="C2490" s="468" t="n">
        <v>21</v>
      </c>
      <c r="D2490" s="468" t="n">
        <v>0</v>
      </c>
      <c r="E2490" s="468" t="n">
        <v>2</v>
      </c>
      <c r="F2490" s="451" t="n">
        <v>0</v>
      </c>
      <c r="G2490" s="451" t="n">
        <v>0</v>
      </c>
      <c r="H2490" s="451" t="n">
        <v>7</v>
      </c>
      <c r="I2490" s="451" t="n">
        <v>0</v>
      </c>
      <c r="J2490" s="41" t="n">
        <v>35</v>
      </c>
      <c r="K2490" s="41" t="n">
        <v>0</v>
      </c>
      <c r="L2490" s="451" t="n">
        <v>0</v>
      </c>
      <c r="M2490" s="451" t="n">
        <v>0</v>
      </c>
      <c r="N2490" s="467" t="n">
        <v>0</v>
      </c>
      <c r="O2490" s="467" t="n">
        <v>0</v>
      </c>
      <c r="P2490" s="467" t="n"/>
      <c r="Q2490" s="453" t="n"/>
      <c r="R2490" s="453" t="n"/>
      <c r="S2490" s="453" t="n"/>
      <c r="T2490" s="453" t="n"/>
      <c r="U2490" s="453" t="n"/>
      <c r="V2490" s="453" t="n"/>
    </row>
    <row r="2491" customFormat="1" s="21">
      <c r="A2491" s="405" t="inlineStr">
        <is>
          <t>North America</t>
        </is>
      </c>
      <c r="B2491" s="468" t="n">
        <v>28</v>
      </c>
      <c r="C2491" s="468" t="n">
        <v>31</v>
      </c>
      <c r="D2491" s="468" t="n">
        <v>4</v>
      </c>
      <c r="E2491" s="468" t="n">
        <v>3</v>
      </c>
      <c r="F2491" s="468" t="n">
        <v>0</v>
      </c>
      <c r="G2491" s="468" t="n">
        <v>0</v>
      </c>
      <c r="H2491" s="468" t="n">
        <v>0</v>
      </c>
      <c r="I2491" s="468" t="n">
        <v>0</v>
      </c>
      <c r="J2491" s="41" t="n">
        <v>0</v>
      </c>
      <c r="K2491" s="41" t="n">
        <v>34</v>
      </c>
      <c r="L2491" s="468" t="n">
        <v>0</v>
      </c>
      <c r="M2491" s="451" t="n">
        <v>0</v>
      </c>
      <c r="N2491" s="467" t="n">
        <v>0</v>
      </c>
      <c r="O2491" s="467" t="n">
        <v>0</v>
      </c>
      <c r="P2491" s="467" t="n"/>
      <c r="Q2491" s="453" t="n"/>
      <c r="R2491" s="453" t="n"/>
      <c r="S2491" s="453" t="n"/>
      <c r="T2491" s="453" t="n"/>
      <c r="U2491" s="453" t="n"/>
      <c r="V2491" s="453" t="n"/>
    </row>
    <row r="2492" customFormat="1" s="21">
      <c r="A2492" s="405" t="inlineStr">
        <is>
          <t>Latin America and the Caribbean</t>
        </is>
      </c>
      <c r="B2492" s="451" t="n">
        <v>11</v>
      </c>
      <c r="C2492" s="451" t="n">
        <v>34</v>
      </c>
      <c r="D2492" s="451" t="n">
        <v>12</v>
      </c>
      <c r="E2492" s="451" t="n">
        <v>41</v>
      </c>
      <c r="F2492" s="451" t="n">
        <v>0</v>
      </c>
      <c r="G2492" s="451" t="n">
        <v>2</v>
      </c>
      <c r="H2492" s="451" t="n">
        <v>0</v>
      </c>
      <c r="I2492" s="451" t="n">
        <v>0</v>
      </c>
      <c r="J2492" s="41" t="n">
        <v>0</v>
      </c>
      <c r="K2492" s="41" t="n">
        <v>0</v>
      </c>
      <c r="L2492" s="451" t="n">
        <v>0</v>
      </c>
      <c r="M2492" s="451" t="n">
        <v>0</v>
      </c>
      <c r="N2492" s="467" t="n">
        <v>0</v>
      </c>
      <c r="O2492" s="467" t="n">
        <v>0</v>
      </c>
      <c r="P2492" s="467" t="n"/>
      <c r="Q2492" s="453" t="n"/>
      <c r="R2492" s="453" t="n"/>
      <c r="S2492" s="453" t="n"/>
      <c r="T2492" s="453" t="n"/>
      <c r="U2492" s="453" t="n"/>
      <c r="V2492" s="453" t="n"/>
    </row>
    <row r="2493" customFormat="1" s="21">
      <c r="A2493" s="405" t="inlineStr">
        <is>
          <t>Western Europe</t>
        </is>
      </c>
      <c r="B2493" s="451" t="n">
        <v>6</v>
      </c>
      <c r="C2493" s="451" t="n">
        <v>51</v>
      </c>
      <c r="D2493" s="451" t="n">
        <v>15</v>
      </c>
      <c r="E2493" s="451" t="n">
        <v>0</v>
      </c>
      <c r="F2493" s="451" t="n">
        <v>0</v>
      </c>
      <c r="G2493" s="451" t="n">
        <v>1</v>
      </c>
      <c r="H2493" s="451" t="n">
        <v>0</v>
      </c>
      <c r="I2493" s="451" t="n">
        <v>0</v>
      </c>
      <c r="J2493" s="41" t="n">
        <v>2</v>
      </c>
      <c r="K2493" s="41" t="n">
        <v>25</v>
      </c>
      <c r="L2493" s="451" t="n">
        <v>0</v>
      </c>
      <c r="M2493" s="451" t="n">
        <v>0</v>
      </c>
      <c r="N2493" s="467" t="n">
        <v>0</v>
      </c>
      <c r="O2493" s="467" t="n">
        <v>0</v>
      </c>
      <c r="P2493" s="467" t="n"/>
      <c r="Q2493" s="453" t="n"/>
      <c r="R2493" s="453" t="n"/>
      <c r="S2493" s="453" t="n"/>
      <c r="T2493" s="453" t="n"/>
      <c r="U2493" s="453" t="n"/>
      <c r="V2493" s="453" t="n"/>
    </row>
    <row r="2494" customFormat="1" s="21">
      <c r="A2494" s="405" t="inlineStr">
        <is>
          <t>Eastern Europe</t>
        </is>
      </c>
      <c r="B2494" s="451" t="n">
        <v>5</v>
      </c>
      <c r="C2494" s="451" t="n">
        <v>31</v>
      </c>
      <c r="D2494" s="451" t="n">
        <v>55</v>
      </c>
      <c r="E2494" s="451" t="n">
        <v>1</v>
      </c>
      <c r="F2494" s="451" t="n">
        <v>0</v>
      </c>
      <c r="G2494" s="451" t="n">
        <v>0</v>
      </c>
      <c r="H2494" s="451" t="n">
        <v>0</v>
      </c>
      <c r="I2494" s="451" t="n">
        <v>0</v>
      </c>
      <c r="J2494" s="41" t="n">
        <v>4</v>
      </c>
      <c r="K2494" s="41" t="n">
        <v>4</v>
      </c>
      <c r="L2494" s="451" t="n">
        <v>0</v>
      </c>
      <c r="M2494" s="451" t="n">
        <v>0</v>
      </c>
      <c r="N2494" s="467" t="n">
        <v>0</v>
      </c>
      <c r="O2494" s="467" t="n">
        <v>0</v>
      </c>
      <c r="P2494" s="467" t="n"/>
      <c r="Q2494" s="453" t="n"/>
      <c r="R2494" s="453" t="n"/>
      <c r="S2494" s="453" t="n"/>
      <c r="T2494" s="453" t="n"/>
      <c r="U2494" s="453" t="n"/>
      <c r="V2494" s="453" t="n"/>
    </row>
    <row r="2495" customFormat="1" s="21">
      <c r="A2495" s="405" t="inlineStr">
        <is>
          <t>Russian Federation</t>
        </is>
      </c>
      <c r="B2495" s="451" t="n">
        <v>0</v>
      </c>
      <c r="C2495" s="451" t="n">
        <v>24</v>
      </c>
      <c r="D2495" s="451" t="n">
        <v>76</v>
      </c>
      <c r="E2495" s="451" t="n">
        <v>0</v>
      </c>
      <c r="F2495" s="451" t="n">
        <v>0</v>
      </c>
      <c r="G2495" s="451" t="n">
        <v>0</v>
      </c>
      <c r="H2495" s="451" t="n">
        <v>0</v>
      </c>
      <c r="I2495" s="451" t="n">
        <v>0</v>
      </c>
      <c r="J2495" s="41" t="n">
        <v>0</v>
      </c>
      <c r="K2495" s="41" t="n">
        <v>0</v>
      </c>
      <c r="L2495" s="451" t="n">
        <v>0</v>
      </c>
      <c r="M2495" s="451" t="n">
        <v>0</v>
      </c>
      <c r="N2495" s="467" t="n">
        <v>0</v>
      </c>
      <c r="O2495" s="467" t="n">
        <v>0</v>
      </c>
      <c r="P2495" s="467" t="n"/>
      <c r="Q2495" s="453" t="n"/>
      <c r="R2495" s="453" t="n"/>
      <c r="S2495" s="453" t="n"/>
      <c r="T2495" s="453" t="n"/>
      <c r="U2495" s="453" t="n"/>
      <c r="V2495" s="453" t="n"/>
    </row>
    <row r="2496" customFormat="1" s="21">
      <c r="A2496" s="405" t="inlineStr">
        <is>
          <t>Oceania</t>
        </is>
      </c>
      <c r="B2496" s="468" t="n">
        <v>91</v>
      </c>
      <c r="C2496" s="468" t="n">
        <v>0</v>
      </c>
      <c r="D2496" s="468" t="n">
        <v>1</v>
      </c>
      <c r="E2496" s="468" t="n">
        <v>8</v>
      </c>
      <c r="F2496" s="468" t="n">
        <v>0</v>
      </c>
      <c r="G2496" s="468" t="n">
        <v>0</v>
      </c>
      <c r="H2496" s="468" t="n">
        <v>0</v>
      </c>
      <c r="I2496" s="468" t="n">
        <v>0</v>
      </c>
      <c r="J2496" s="467" t="n">
        <v>0</v>
      </c>
      <c r="K2496" s="467" t="n">
        <v>0</v>
      </c>
      <c r="L2496" s="468" t="n">
        <v>0</v>
      </c>
      <c r="M2496" s="451" t="n">
        <v>0</v>
      </c>
      <c r="N2496" s="467" t="n">
        <v>0</v>
      </c>
      <c r="O2496" s="467" t="n">
        <v>0</v>
      </c>
      <c r="P2496" s="467" t="n"/>
    </row>
    <row r="2497" customFormat="1" s="453">
      <c r="A2497" s="405" t="inlineStr">
        <is>
          <t>NENA/Middle East</t>
        </is>
      </c>
      <c r="B2497" s="451" t="n">
        <v>10</v>
      </c>
      <c r="C2497" s="451" t="n">
        <v>29</v>
      </c>
      <c r="D2497" s="451" t="n">
        <v>0</v>
      </c>
      <c r="E2497" s="451" t="n">
        <v>54</v>
      </c>
      <c r="F2497" s="451" t="n">
        <v>0</v>
      </c>
      <c r="G2497" s="451" t="n">
        <v>0</v>
      </c>
      <c r="H2497" s="451" t="n">
        <v>7</v>
      </c>
      <c r="I2497" s="451" t="n">
        <v>0</v>
      </c>
      <c r="J2497" s="41" t="n">
        <v>0</v>
      </c>
      <c r="K2497" s="41" t="n">
        <v>0</v>
      </c>
      <c r="L2497" s="451" t="n">
        <v>0</v>
      </c>
      <c r="M2497" s="451" t="n">
        <v>0</v>
      </c>
      <c r="N2497" s="467" t="n">
        <v>0</v>
      </c>
      <c r="O2497" s="467" t="n">
        <v>0</v>
      </c>
      <c r="P2497" s="467" t="n"/>
    </row>
    <row r="2498" customFormat="1" s="453">
      <c r="A2498" s="405" t="inlineStr">
        <is>
          <t>South Asia</t>
        </is>
      </c>
      <c r="B2498" s="468" t="n">
        <v>12</v>
      </c>
      <c r="C2498" s="468" t="n">
        <v>23</v>
      </c>
      <c r="D2498" s="468" t="n">
        <v>14</v>
      </c>
      <c r="E2498" s="468" t="n">
        <v>32</v>
      </c>
      <c r="F2498" s="468" t="n">
        <v>0</v>
      </c>
      <c r="G2498" s="468" t="n">
        <v>8</v>
      </c>
      <c r="H2498" s="468" t="n">
        <v>8</v>
      </c>
      <c r="I2498" s="468" t="n">
        <v>0</v>
      </c>
      <c r="J2498" s="41" t="n">
        <v>3</v>
      </c>
      <c r="K2498" s="41" t="n">
        <v>0</v>
      </c>
      <c r="L2498" s="468" t="n">
        <v>0</v>
      </c>
      <c r="M2498" s="451" t="n">
        <v>0</v>
      </c>
      <c r="N2498" s="467" t="n">
        <v>0</v>
      </c>
      <c r="O2498" s="467" t="n">
        <v>0</v>
      </c>
      <c r="P2498" s="467" t="n"/>
    </row>
    <row r="2499" customFormat="1" s="535">
      <c r="A2499" s="518" t="inlineStr">
        <is>
          <t>Notes : Use of proxy from Eastern Europe for Russian Federation</t>
        </is>
      </c>
      <c r="F2499" s="1624" t="n"/>
      <c r="G2499" s="1624" t="n"/>
      <c r="H2499" s="1624" t="n"/>
      <c r="I2499" s="1624" t="n"/>
      <c r="J2499" s="1624" t="n"/>
      <c r="K2499" s="1624" t="n"/>
      <c r="L2499" s="1624" t="n"/>
      <c r="M2499" s="1624" t="n"/>
      <c r="N2499" s="1624" t="n"/>
    </row>
    <row r="2500" customFormat="1" s="292"/>
    <row r="2502" ht="14.25" customFormat="1" customHeight="1" s="125">
      <c r="A2502" s="377" t="inlineStr">
        <is>
          <t>Animal waste management system</t>
        </is>
      </c>
      <c r="D2502" s="1075" t="n"/>
      <c r="E2502" s="1075" t="n"/>
      <c r="F2502" s="1075" t="n"/>
      <c r="G2502" s="1075" t="n"/>
      <c r="H2502" s="1075" t="n"/>
      <c r="I2502" s="1075" t="n"/>
      <c r="L2502" s="1075" t="n"/>
    </row>
    <row r="2503" ht="16.25" customFormat="1" customHeight="1" s="773">
      <c r="A2503" s="753" t="inlineStr">
        <is>
          <t>Breeding Swine LP</t>
        </is>
      </c>
      <c r="B2503" s="442" t="inlineStr">
        <is>
          <t>Table 10A.7</t>
        </is>
      </c>
      <c r="C2503" s="442" t="inlineStr">
        <is>
          <t>Table 10A.7</t>
        </is>
      </c>
      <c r="D2503" s="442" t="inlineStr">
        <is>
          <t>Table 10A.7</t>
        </is>
      </c>
      <c r="E2503" s="442" t="inlineStr">
        <is>
          <t>Table 10A.7</t>
        </is>
      </c>
      <c r="F2503" s="442" t="inlineStr">
        <is>
          <t>Table 10A.7</t>
        </is>
      </c>
      <c r="G2503" s="442" t="inlineStr">
        <is>
          <t>Table 10A.7</t>
        </is>
      </c>
      <c r="H2503" s="442" t="inlineStr">
        <is>
          <t>Table 10A.7</t>
        </is>
      </c>
      <c r="I2503" s="442" t="inlineStr">
        <is>
          <t>Table 10A.7</t>
        </is>
      </c>
      <c r="J2503" s="442" t="inlineStr">
        <is>
          <t>Table 10A.7</t>
        </is>
      </c>
      <c r="K2503" s="442" t="inlineStr">
        <is>
          <t>Table 10A.7</t>
        </is>
      </c>
      <c r="L2503" s="442" t="inlineStr">
        <is>
          <t>Table 10A.7</t>
        </is>
      </c>
      <c r="M2503" s="442" t="inlineStr">
        <is>
          <t>Table 10A.7</t>
        </is>
      </c>
      <c r="N2503" s="442" t="inlineStr">
        <is>
          <t>Table 10A.7</t>
        </is>
      </c>
      <c r="O2503" s="442" t="inlineStr">
        <is>
          <t>Table 10A.7</t>
        </is>
      </c>
      <c r="P2503" s="442" t="n"/>
      <c r="Q2503" s="442" t="n"/>
      <c r="R2503" s="442" t="n"/>
      <c r="S2503" s="442" t="n"/>
      <c r="T2503" s="442" t="n"/>
      <c r="U2503" s="442" t="n"/>
      <c r="V2503" s="442" t="n"/>
    </row>
    <row r="2504" ht="16" customFormat="1" customHeight="1" s="291">
      <c r="A2504" s="1641" t="inlineStr">
        <is>
          <t>Please select</t>
        </is>
      </c>
      <c r="B2504" s="1642" t="inlineStr">
        <is>
          <t>Lagoon</t>
        </is>
      </c>
      <c r="C2504" s="1642" t="inlineStr">
        <is>
          <t>Liquid/slurry</t>
        </is>
      </c>
      <c r="D2504" s="1642" t="inlineStr">
        <is>
          <t>Solid storage</t>
        </is>
      </c>
      <c r="E2504" s="1642" t="inlineStr">
        <is>
          <t>Dry lot</t>
        </is>
      </c>
      <c r="F2504" s="1642" t="inlineStr">
        <is>
          <t>Pasture/Range/Paddock</t>
        </is>
      </c>
      <c r="G2504" s="1642" t="inlineStr">
        <is>
          <t>Daily spread</t>
        </is>
      </c>
      <c r="H2504" s="1642" t="inlineStr">
        <is>
          <t>Digester</t>
        </is>
      </c>
      <c r="I2504" s="1639" t="inlineStr">
        <is>
          <t>Burned for fuel</t>
        </is>
      </c>
      <c r="J2504" s="1639" t="inlineStr">
        <is>
          <t>Pit&lt;1Month</t>
        </is>
      </c>
      <c r="K2504" s="1639" t="inlineStr">
        <is>
          <t>Pit&gt;1 month</t>
        </is>
      </c>
      <c r="L2504" s="1642" t="inlineStr">
        <is>
          <t>Poultry manure</t>
        </is>
      </c>
      <c r="M2504" s="291" t="inlineStr">
        <is>
          <t>Deep bedding</t>
        </is>
      </c>
      <c r="N2504" s="2156" t="inlineStr">
        <is>
          <t>Composting</t>
        </is>
      </c>
      <c r="O2504" s="2156" t="inlineStr">
        <is>
          <t>Aerobic treatment</t>
        </is>
      </c>
      <c r="P2504" s="1658" t="inlineStr">
        <is>
          <t>Other (pls. go Tier 2)</t>
        </is>
      </c>
      <c r="Q2504" s="453" t="n"/>
      <c r="R2504" s="453" t="n"/>
      <c r="S2504" s="453" t="n"/>
      <c r="T2504" s="453" t="n"/>
      <c r="U2504" s="453" t="n"/>
      <c r="V2504" s="453" t="n"/>
      <c r="W2504" s="21" t="n"/>
      <c r="X2504" s="21" t="n"/>
    </row>
    <row r="2505" ht="16" customFormat="1" customHeight="1" s="1093">
      <c r="A2505" s="523" t="inlineStr">
        <is>
          <t>IPCC Region</t>
        </is>
      </c>
      <c r="B2505" s="1636" t="inlineStr">
        <is>
          <t>%</t>
        </is>
      </c>
      <c r="C2505" s="1636" t="inlineStr">
        <is>
          <t>%</t>
        </is>
      </c>
      <c r="D2505" s="1636" t="inlineStr">
        <is>
          <t>%</t>
        </is>
      </c>
      <c r="E2505" s="1636" t="inlineStr">
        <is>
          <t>%</t>
        </is>
      </c>
      <c r="F2505" s="1636" t="inlineStr">
        <is>
          <t>%</t>
        </is>
      </c>
      <c r="G2505" s="1636" t="inlineStr">
        <is>
          <t>%</t>
        </is>
      </c>
      <c r="H2505" s="1636" t="inlineStr">
        <is>
          <t>%</t>
        </is>
      </c>
      <c r="I2505" s="1636" t="inlineStr">
        <is>
          <t>%</t>
        </is>
      </c>
      <c r="J2505" s="31" t="inlineStr">
        <is>
          <t>%</t>
        </is>
      </c>
      <c r="K2505" s="31" t="inlineStr">
        <is>
          <t>%</t>
        </is>
      </c>
      <c r="L2505" s="1636" t="inlineStr">
        <is>
          <t>%</t>
        </is>
      </c>
      <c r="M2505" s="31" t="inlineStr">
        <is>
          <t>%</t>
        </is>
      </c>
      <c r="N2505" s="31" t="inlineStr">
        <is>
          <t>%</t>
        </is>
      </c>
      <c r="O2505" s="31" t="inlineStr">
        <is>
          <t>%</t>
        </is>
      </c>
      <c r="P2505" s="31" t="inlineStr">
        <is>
          <t>%</t>
        </is>
      </c>
      <c r="Q2505" s="1092" t="n"/>
      <c r="R2505" s="1092" t="n"/>
      <c r="S2505" s="1092" t="n"/>
      <c r="T2505" s="1092" t="n"/>
      <c r="U2505" s="1092" t="n"/>
      <c r="V2505" s="1092" t="n"/>
    </row>
    <row r="2506" customFormat="1" s="21">
      <c r="A2506" s="407" t="inlineStr">
        <is>
          <t>Sub-Saharan Africa</t>
        </is>
      </c>
      <c r="B2506" s="1640" t="n">
        <v>5</v>
      </c>
      <c r="C2506" s="1640" t="n">
        <v>30</v>
      </c>
      <c r="D2506" s="1640" t="n">
        <v>15</v>
      </c>
      <c r="E2506" s="1640" t="n">
        <v>15</v>
      </c>
      <c r="F2506" s="1640" t="n">
        <v>5</v>
      </c>
      <c r="G2506" s="1640" t="n">
        <v>5</v>
      </c>
      <c r="H2506" s="1640" t="n">
        <v>5</v>
      </c>
      <c r="I2506" s="1640" t="n">
        <v>0</v>
      </c>
      <c r="J2506" s="41" t="n">
        <v>15</v>
      </c>
      <c r="K2506" s="41" t="n">
        <v>5</v>
      </c>
      <c r="L2506" s="1640" t="n">
        <v>0</v>
      </c>
      <c r="M2506" s="451" t="n">
        <v>0</v>
      </c>
      <c r="N2506" s="467" t="n">
        <v>0</v>
      </c>
      <c r="O2506" s="467" t="n">
        <v>0</v>
      </c>
      <c r="P2506" s="467" t="n"/>
      <c r="Q2506" s="453" t="n"/>
      <c r="R2506" s="453" t="n"/>
      <c r="S2506" s="453" t="n"/>
      <c r="T2506" s="453" t="n"/>
      <c r="U2506" s="453" t="n"/>
      <c r="V2506" s="453" t="n"/>
    </row>
    <row r="2507" customFormat="1" s="21">
      <c r="A2507" s="405" t="inlineStr">
        <is>
          <t>East Asia and South-East Asia</t>
        </is>
      </c>
      <c r="B2507" s="468" t="n">
        <v>4</v>
      </c>
      <c r="C2507" s="468" t="n">
        <v>28</v>
      </c>
      <c r="D2507" s="468" t="n">
        <v>22</v>
      </c>
      <c r="E2507" s="468" t="n">
        <v>13</v>
      </c>
      <c r="F2507" s="451" t="n">
        <v>6</v>
      </c>
      <c r="G2507" s="451" t="n">
        <v>6</v>
      </c>
      <c r="H2507" s="451" t="n">
        <v>4</v>
      </c>
      <c r="I2507" s="451" t="n">
        <v>0</v>
      </c>
      <c r="J2507" s="41" t="n">
        <v>13</v>
      </c>
      <c r="K2507" s="41" t="n">
        <v>4</v>
      </c>
      <c r="L2507" s="451" t="n">
        <v>0</v>
      </c>
      <c r="M2507" s="451" t="n">
        <v>0</v>
      </c>
      <c r="N2507" s="467" t="n">
        <v>0</v>
      </c>
      <c r="O2507" s="467" t="n">
        <v>0</v>
      </c>
      <c r="P2507" s="467" t="n"/>
      <c r="Q2507" s="453" t="n"/>
      <c r="R2507" s="453" t="n"/>
      <c r="S2507" s="453" t="n"/>
      <c r="T2507" s="453" t="n"/>
      <c r="U2507" s="453" t="n"/>
      <c r="V2507" s="453" t="n"/>
    </row>
    <row r="2508" customFormat="1" s="21">
      <c r="A2508" s="405" t="inlineStr">
        <is>
          <t>North America</t>
        </is>
      </c>
      <c r="B2508" s="468" t="n">
        <v>0</v>
      </c>
      <c r="C2508" s="468" t="n">
        <v>0</v>
      </c>
      <c r="D2508" s="468" t="n">
        <v>0</v>
      </c>
      <c r="E2508" s="468" t="n">
        <v>0</v>
      </c>
      <c r="F2508" s="468" t="n">
        <v>0</v>
      </c>
      <c r="G2508" s="468" t="n">
        <v>0</v>
      </c>
      <c r="H2508" s="468" t="n">
        <v>0</v>
      </c>
      <c r="I2508" s="468" t="n">
        <v>0</v>
      </c>
      <c r="J2508" s="41" t="n">
        <v>0</v>
      </c>
      <c r="K2508" s="41" t="n">
        <v>0</v>
      </c>
      <c r="L2508" s="468" t="n">
        <v>0</v>
      </c>
      <c r="M2508" s="451" t="n">
        <v>0</v>
      </c>
      <c r="N2508" s="467" t="n">
        <v>0</v>
      </c>
      <c r="O2508" s="467" t="n">
        <v>0</v>
      </c>
      <c r="P2508" s="467" t="n"/>
      <c r="Q2508" s="453" t="n"/>
      <c r="R2508" s="453" t="n"/>
      <c r="S2508" s="453" t="n"/>
      <c r="T2508" s="453" t="n"/>
      <c r="U2508" s="453" t="n"/>
      <c r="V2508" s="453" t="n"/>
    </row>
    <row r="2509" customFormat="1" s="21">
      <c r="A2509" s="405" t="inlineStr">
        <is>
          <t>Latin America and the Caribbean</t>
        </is>
      </c>
      <c r="B2509" s="451" t="n">
        <v>5</v>
      </c>
      <c r="C2509" s="451" t="n">
        <v>30</v>
      </c>
      <c r="D2509" s="451" t="n">
        <v>15</v>
      </c>
      <c r="E2509" s="451" t="n">
        <v>15</v>
      </c>
      <c r="F2509" s="451" t="n">
        <v>5</v>
      </c>
      <c r="G2509" s="451" t="n">
        <v>5</v>
      </c>
      <c r="H2509" s="451" t="n">
        <v>5</v>
      </c>
      <c r="I2509" s="451" t="n">
        <v>0</v>
      </c>
      <c r="J2509" s="41" t="n">
        <v>15</v>
      </c>
      <c r="K2509" s="41" t="n">
        <v>5</v>
      </c>
      <c r="L2509" s="451" t="n">
        <v>0</v>
      </c>
      <c r="M2509" s="451" t="n">
        <v>0</v>
      </c>
      <c r="N2509" s="467" t="n">
        <v>0</v>
      </c>
      <c r="O2509" s="467" t="n">
        <v>0</v>
      </c>
      <c r="P2509" s="467" t="n"/>
      <c r="Q2509" s="453" t="n"/>
      <c r="R2509" s="453" t="n"/>
      <c r="S2509" s="453" t="n"/>
      <c r="T2509" s="453" t="n"/>
      <c r="U2509" s="453" t="n"/>
      <c r="V2509" s="453" t="n"/>
    </row>
    <row r="2510" customFormat="1" s="21">
      <c r="A2510" s="405" t="inlineStr">
        <is>
          <t>Western Europe</t>
        </is>
      </c>
      <c r="B2510" s="451" t="n">
        <v>0</v>
      </c>
      <c r="C2510" s="451" t="n">
        <v>0</v>
      </c>
      <c r="D2510" s="451" t="n">
        <v>0</v>
      </c>
      <c r="E2510" s="451" t="n">
        <v>0</v>
      </c>
      <c r="F2510" s="451" t="n">
        <v>0</v>
      </c>
      <c r="G2510" s="451" t="n">
        <v>0</v>
      </c>
      <c r="H2510" s="451" t="n">
        <v>0</v>
      </c>
      <c r="I2510" s="451" t="n">
        <v>0</v>
      </c>
      <c r="J2510" s="41" t="n">
        <v>0</v>
      </c>
      <c r="K2510" s="41" t="n">
        <v>0</v>
      </c>
      <c r="L2510" s="451" t="n">
        <v>0</v>
      </c>
      <c r="M2510" s="451" t="n">
        <v>0</v>
      </c>
      <c r="N2510" s="467" t="n">
        <v>0</v>
      </c>
      <c r="O2510" s="467" t="n">
        <v>0</v>
      </c>
      <c r="P2510" s="467" t="n"/>
      <c r="Q2510" s="453" t="n"/>
      <c r="R2510" s="453" t="n"/>
      <c r="S2510" s="453" t="n"/>
      <c r="T2510" s="453" t="n"/>
      <c r="U2510" s="453" t="n"/>
      <c r="V2510" s="453" t="n"/>
    </row>
    <row r="2511" customFormat="1" s="21">
      <c r="A2511" s="405" t="inlineStr">
        <is>
          <t>Eastern Europe</t>
        </is>
      </c>
      <c r="B2511" s="451" t="n">
        <v>0</v>
      </c>
      <c r="C2511" s="451" t="n">
        <v>0</v>
      </c>
      <c r="D2511" s="451" t="n">
        <v>0</v>
      </c>
      <c r="E2511" s="451" t="n">
        <v>0</v>
      </c>
      <c r="F2511" s="451" t="n">
        <v>0</v>
      </c>
      <c r="G2511" s="451" t="n">
        <v>0</v>
      </c>
      <c r="H2511" s="451" t="n">
        <v>0</v>
      </c>
      <c r="I2511" s="451" t="n">
        <v>0</v>
      </c>
      <c r="J2511" s="41" t="n">
        <v>0</v>
      </c>
      <c r="K2511" s="41" t="n">
        <v>0</v>
      </c>
      <c r="L2511" s="451" t="n">
        <v>0</v>
      </c>
      <c r="M2511" s="451" t="n">
        <v>0</v>
      </c>
      <c r="N2511" s="467" t="n">
        <v>0</v>
      </c>
      <c r="O2511" s="467" t="n">
        <v>0</v>
      </c>
      <c r="P2511" s="467" t="n"/>
      <c r="Q2511" s="453" t="n"/>
      <c r="R2511" s="453" t="n"/>
      <c r="S2511" s="453" t="n"/>
      <c r="T2511" s="453" t="n"/>
      <c r="U2511" s="453" t="n"/>
      <c r="V2511" s="453" t="n"/>
    </row>
    <row r="2512" customFormat="1" s="21">
      <c r="A2512" s="405" t="inlineStr">
        <is>
          <t>Russian Federation</t>
        </is>
      </c>
      <c r="B2512" s="451" t="n">
        <v>0</v>
      </c>
      <c r="C2512" s="451" t="n">
        <v>0</v>
      </c>
      <c r="D2512" s="451" t="n">
        <v>0</v>
      </c>
      <c r="E2512" s="451" t="n">
        <v>0</v>
      </c>
      <c r="F2512" s="451" t="n">
        <v>0</v>
      </c>
      <c r="G2512" s="451" t="n">
        <v>0</v>
      </c>
      <c r="H2512" s="451" t="n">
        <v>0</v>
      </c>
      <c r="I2512" s="451" t="n">
        <v>0</v>
      </c>
      <c r="J2512" s="41" t="n">
        <v>0</v>
      </c>
      <c r="K2512" s="41" t="n">
        <v>0</v>
      </c>
      <c r="L2512" s="451" t="n">
        <v>0</v>
      </c>
      <c r="M2512" s="451" t="n">
        <v>0</v>
      </c>
      <c r="N2512" s="467" t="n">
        <v>0</v>
      </c>
      <c r="O2512" s="467" t="n">
        <v>0</v>
      </c>
      <c r="P2512" s="467" t="n"/>
      <c r="Q2512" s="453" t="n"/>
      <c r="R2512" s="453" t="n"/>
      <c r="S2512" s="453" t="n"/>
      <c r="T2512" s="453" t="n"/>
      <c r="U2512" s="453" t="n"/>
      <c r="V2512" s="453" t="n"/>
    </row>
    <row r="2513" customFormat="1" s="21">
      <c r="A2513" s="405" t="inlineStr">
        <is>
          <t>Oceania</t>
        </is>
      </c>
      <c r="B2513" s="468" t="n">
        <v>0</v>
      </c>
      <c r="C2513" s="468" t="n">
        <v>0</v>
      </c>
      <c r="D2513" s="468" t="n">
        <v>0</v>
      </c>
      <c r="E2513" s="468" t="n">
        <v>0</v>
      </c>
      <c r="F2513" s="468" t="n">
        <v>0</v>
      </c>
      <c r="G2513" s="468" t="n">
        <v>0</v>
      </c>
      <c r="H2513" s="468" t="n">
        <v>0</v>
      </c>
      <c r="I2513" s="468" t="n">
        <v>0</v>
      </c>
      <c r="J2513" s="467" t="n">
        <v>0</v>
      </c>
      <c r="K2513" s="467" t="n">
        <v>0</v>
      </c>
      <c r="L2513" s="468" t="n">
        <v>0</v>
      </c>
      <c r="M2513" s="451" t="n">
        <v>0</v>
      </c>
      <c r="N2513" s="467" t="n">
        <v>0</v>
      </c>
      <c r="O2513" s="467" t="n">
        <v>0</v>
      </c>
      <c r="P2513" s="467" t="n"/>
    </row>
    <row r="2514" customFormat="1" s="453">
      <c r="A2514" s="405" t="inlineStr">
        <is>
          <t>NENA/Middle East</t>
        </is>
      </c>
      <c r="B2514" s="451" t="n">
        <v>5</v>
      </c>
      <c r="C2514" s="451" t="n">
        <v>30</v>
      </c>
      <c r="D2514" s="451" t="n">
        <v>15</v>
      </c>
      <c r="E2514" s="451" t="n">
        <v>15</v>
      </c>
      <c r="F2514" s="451" t="n">
        <v>5</v>
      </c>
      <c r="G2514" s="451" t="n">
        <v>5</v>
      </c>
      <c r="H2514" s="451" t="n">
        <v>5</v>
      </c>
      <c r="I2514" s="451" t="n">
        <v>0</v>
      </c>
      <c r="J2514" s="41" t="n">
        <v>15</v>
      </c>
      <c r="K2514" s="41" t="n">
        <v>5</v>
      </c>
      <c r="L2514" s="451" t="n">
        <v>0</v>
      </c>
      <c r="M2514" s="451" t="n">
        <v>0</v>
      </c>
      <c r="N2514" s="467" t="n">
        <v>0</v>
      </c>
      <c r="O2514" s="467" t="n">
        <v>0</v>
      </c>
      <c r="P2514" s="467" t="n"/>
    </row>
    <row r="2515" customFormat="1" s="453">
      <c r="A2515" s="405" t="inlineStr">
        <is>
          <t>South Asia</t>
        </is>
      </c>
      <c r="B2515" s="468" t="n">
        <v>5</v>
      </c>
      <c r="C2515" s="468" t="n">
        <v>30</v>
      </c>
      <c r="D2515" s="468" t="n">
        <v>15</v>
      </c>
      <c r="E2515" s="468" t="n">
        <v>15</v>
      </c>
      <c r="F2515" s="468" t="n">
        <v>5</v>
      </c>
      <c r="G2515" s="468" t="n">
        <v>5</v>
      </c>
      <c r="H2515" s="468" t="n">
        <v>5</v>
      </c>
      <c r="I2515" s="468" t="n">
        <v>0</v>
      </c>
      <c r="J2515" s="41" t="n">
        <v>15</v>
      </c>
      <c r="K2515" s="41" t="n">
        <v>5</v>
      </c>
      <c r="L2515" s="468" t="n">
        <v>0</v>
      </c>
      <c r="M2515" s="451" t="n">
        <v>0</v>
      </c>
      <c r="N2515" s="467" t="n">
        <v>0</v>
      </c>
      <c r="O2515" s="467" t="n">
        <v>0</v>
      </c>
      <c r="P2515" s="467" t="n"/>
    </row>
    <row r="2516" customFormat="1" s="535">
      <c r="A2516" s="405" t="inlineStr">
        <is>
          <t>Notes : Eastern Europe proxy used for Russian Federation</t>
        </is>
      </c>
      <c r="B2516" s="4301" t="n"/>
      <c r="C2516" s="4301" t="n"/>
      <c r="D2516" s="4301" t="n"/>
      <c r="E2516" s="4301" t="n"/>
      <c r="F2516" s="4301" t="n"/>
      <c r="G2516" s="4301" t="n"/>
      <c r="H2516" s="4301" t="n"/>
      <c r="I2516" s="4301" t="n"/>
      <c r="J2516" s="4302" t="n"/>
      <c r="K2516" s="4302" t="n"/>
      <c r="L2516" s="4301" t="n"/>
      <c r="M2516" s="4301" t="n"/>
      <c r="N2516" s="467" t="n"/>
      <c r="O2516" s="467" t="n"/>
    </row>
    <row r="2517" customFormat="1" s="292"/>
    <row r="2519" ht="14.25" customFormat="1" customHeight="1" s="125">
      <c r="A2519" s="377" t="inlineStr">
        <is>
          <t>Animal waste management system</t>
        </is>
      </c>
      <c r="D2519" s="1075" t="n"/>
      <c r="E2519" s="1075" t="n"/>
      <c r="F2519" s="1075" t="n"/>
      <c r="G2519" s="1075" t="n"/>
      <c r="H2519" s="1075" t="n"/>
      <c r="I2519" s="1075" t="n"/>
      <c r="L2519" s="1075" t="n"/>
    </row>
    <row r="2520" ht="16.25" customFormat="1" customHeight="1" s="773">
      <c r="A2520" s="753" t="inlineStr">
        <is>
          <t>Growing Swine HP</t>
        </is>
      </c>
      <c r="B2520" s="442" t="inlineStr">
        <is>
          <t>Table 10A.7</t>
        </is>
      </c>
      <c r="C2520" s="442" t="inlineStr">
        <is>
          <t>Table 10A.7</t>
        </is>
      </c>
      <c r="D2520" s="442" t="inlineStr">
        <is>
          <t>Table 10A.7</t>
        </is>
      </c>
      <c r="E2520" s="442" t="inlineStr">
        <is>
          <t>Table 10A.7</t>
        </is>
      </c>
      <c r="F2520" s="442" t="inlineStr">
        <is>
          <t>Table 10A.7</t>
        </is>
      </c>
      <c r="G2520" s="442" t="inlineStr">
        <is>
          <t>Table 10A.7</t>
        </is>
      </c>
      <c r="H2520" s="442" t="inlineStr">
        <is>
          <t>Table 10A.7</t>
        </is>
      </c>
      <c r="I2520" s="442" t="inlineStr">
        <is>
          <t>Table 10A.7</t>
        </is>
      </c>
      <c r="J2520" s="442" t="inlineStr">
        <is>
          <t>Table 10A.7</t>
        </is>
      </c>
      <c r="K2520" s="442" t="inlineStr">
        <is>
          <t>Table 10A.7</t>
        </is>
      </c>
      <c r="L2520" s="442" t="inlineStr">
        <is>
          <t>Table 10A.7</t>
        </is>
      </c>
      <c r="M2520" s="442" t="inlineStr">
        <is>
          <t>Table 10A.7</t>
        </is>
      </c>
      <c r="N2520" s="442" t="inlineStr">
        <is>
          <t>Table 10A.7</t>
        </is>
      </c>
      <c r="O2520" s="442" t="inlineStr">
        <is>
          <t>Table 10A.7</t>
        </is>
      </c>
      <c r="P2520" s="442" t="n"/>
      <c r="Q2520" s="442" t="n"/>
      <c r="R2520" s="442" t="n"/>
      <c r="S2520" s="442" t="n"/>
      <c r="T2520" s="442" t="n"/>
      <c r="U2520" s="442" t="n"/>
      <c r="V2520" s="442" t="n"/>
    </row>
    <row r="2521" ht="16" customFormat="1" customHeight="1" s="291">
      <c r="A2521" s="1641" t="inlineStr">
        <is>
          <t>Please select</t>
        </is>
      </c>
      <c r="B2521" s="1642" t="inlineStr">
        <is>
          <t>Lagoon</t>
        </is>
      </c>
      <c r="C2521" s="1642" t="inlineStr">
        <is>
          <t>Liquid/slurry</t>
        </is>
      </c>
      <c r="D2521" s="1642" t="inlineStr">
        <is>
          <t>Solid storage</t>
        </is>
      </c>
      <c r="E2521" s="1642" t="inlineStr">
        <is>
          <t>Dry lot</t>
        </is>
      </c>
      <c r="F2521" s="1642" t="inlineStr">
        <is>
          <t>Pasture/Range/Paddock</t>
        </is>
      </c>
      <c r="G2521" s="1642" t="inlineStr">
        <is>
          <t>Daily spread</t>
        </is>
      </c>
      <c r="H2521" s="1642" t="inlineStr">
        <is>
          <t>Digester</t>
        </is>
      </c>
      <c r="I2521" s="1639" t="inlineStr">
        <is>
          <t>Burned for fuel</t>
        </is>
      </c>
      <c r="J2521" s="1639" t="inlineStr">
        <is>
          <t>Pit&lt;1Month</t>
        </is>
      </c>
      <c r="K2521" s="1639" t="inlineStr">
        <is>
          <t>Pit&gt;1 month</t>
        </is>
      </c>
      <c r="L2521" s="1642" t="inlineStr">
        <is>
          <t>Poultry manure</t>
        </is>
      </c>
      <c r="M2521" s="291" t="inlineStr">
        <is>
          <t>Deep bedding</t>
        </is>
      </c>
      <c r="N2521" s="2156" t="inlineStr">
        <is>
          <t>Composting</t>
        </is>
      </c>
      <c r="O2521" s="2156" t="inlineStr">
        <is>
          <t>Aerobic treatment</t>
        </is>
      </c>
      <c r="P2521" s="1658" t="inlineStr">
        <is>
          <t>Other (pls. go Tier 2)</t>
        </is>
      </c>
      <c r="Q2521" s="453" t="n"/>
      <c r="R2521" s="453" t="n"/>
      <c r="S2521" s="453" t="n"/>
      <c r="T2521" s="453" t="n"/>
      <c r="U2521" s="453" t="n"/>
      <c r="V2521" s="453" t="n"/>
      <c r="W2521" s="21" t="n"/>
      <c r="X2521" s="21" t="n"/>
    </row>
    <row r="2522" ht="16" customFormat="1" customHeight="1" s="1093">
      <c r="A2522" s="523" t="inlineStr">
        <is>
          <t>IPCC Region</t>
        </is>
      </c>
      <c r="B2522" s="1636" t="inlineStr">
        <is>
          <t>%</t>
        </is>
      </c>
      <c r="C2522" s="1636" t="inlineStr">
        <is>
          <t>%</t>
        </is>
      </c>
      <c r="D2522" s="1636" t="inlineStr">
        <is>
          <t>%</t>
        </is>
      </c>
      <c r="E2522" s="1636" t="inlineStr">
        <is>
          <t>%</t>
        </is>
      </c>
      <c r="F2522" s="1636" t="inlineStr">
        <is>
          <t>%</t>
        </is>
      </c>
      <c r="G2522" s="1636" t="inlineStr">
        <is>
          <t>%</t>
        </is>
      </c>
      <c r="H2522" s="1636" t="inlineStr">
        <is>
          <t>%</t>
        </is>
      </c>
      <c r="I2522" s="1636" t="inlineStr">
        <is>
          <t>%</t>
        </is>
      </c>
      <c r="J2522" s="31" t="inlineStr">
        <is>
          <t>%</t>
        </is>
      </c>
      <c r="K2522" s="31" t="inlineStr">
        <is>
          <t>%</t>
        </is>
      </c>
      <c r="L2522" s="1636" t="inlineStr">
        <is>
          <t>%</t>
        </is>
      </c>
      <c r="M2522" s="31" t="inlineStr">
        <is>
          <t>%</t>
        </is>
      </c>
      <c r="N2522" s="31" t="inlineStr">
        <is>
          <t>%</t>
        </is>
      </c>
      <c r="O2522" s="31" t="inlineStr">
        <is>
          <t>%</t>
        </is>
      </c>
      <c r="P2522" s="31" t="inlineStr">
        <is>
          <t>%</t>
        </is>
      </c>
      <c r="Q2522" s="1092" t="n"/>
      <c r="R2522" s="1092" t="n"/>
      <c r="S2522" s="1092" t="n"/>
      <c r="T2522" s="1092" t="n"/>
      <c r="U2522" s="1092" t="n"/>
      <c r="V2522" s="1092" t="n"/>
    </row>
    <row r="2523" customFormat="1" s="21">
      <c r="A2523" s="407" t="inlineStr">
        <is>
          <t>Sub-Saharan Africa</t>
        </is>
      </c>
      <c r="B2523" s="1640" t="n">
        <v>0</v>
      </c>
      <c r="C2523" s="1640" t="n">
        <v>7</v>
      </c>
      <c r="D2523" s="1640" t="n">
        <v>6</v>
      </c>
      <c r="E2523" s="1640" t="n">
        <v>86</v>
      </c>
      <c r="F2523" s="1640" t="n">
        <v>0</v>
      </c>
      <c r="G2523" s="1640" t="n">
        <v>0</v>
      </c>
      <c r="H2523" s="1640" t="n">
        <v>0</v>
      </c>
      <c r="I2523" s="1640" t="n">
        <v>0</v>
      </c>
      <c r="J2523" s="41" t="n">
        <v>1</v>
      </c>
      <c r="K2523" s="41" t="n">
        <v>0</v>
      </c>
      <c r="L2523" s="1640" t="n">
        <v>0</v>
      </c>
      <c r="M2523" s="451" t="n">
        <v>0</v>
      </c>
      <c r="N2523" s="467" t="n">
        <v>0</v>
      </c>
      <c r="O2523" s="467" t="n">
        <v>0</v>
      </c>
      <c r="P2523" s="467" t="n"/>
      <c r="Q2523" s="453" t="n"/>
      <c r="R2523" s="453" t="n"/>
      <c r="S2523" s="453" t="n"/>
      <c r="T2523" s="453" t="n"/>
      <c r="U2523" s="453" t="n"/>
      <c r="V2523" s="453" t="n"/>
    </row>
    <row r="2524" customFormat="1" s="21">
      <c r="A2524" s="405" t="inlineStr">
        <is>
          <t>East Asia and South-East Asia</t>
        </is>
      </c>
      <c r="B2524" s="468" t="n">
        <v>35</v>
      </c>
      <c r="C2524" s="468" t="n">
        <v>21</v>
      </c>
      <c r="D2524" s="468" t="n">
        <v>0</v>
      </c>
      <c r="E2524" s="468" t="n">
        <v>2</v>
      </c>
      <c r="F2524" s="451" t="n">
        <v>0</v>
      </c>
      <c r="G2524" s="451" t="n">
        <v>0</v>
      </c>
      <c r="H2524" s="451" t="n">
        <v>7</v>
      </c>
      <c r="I2524" s="451" t="n">
        <v>0</v>
      </c>
      <c r="J2524" s="41" t="n">
        <v>35</v>
      </c>
      <c r="K2524" s="41" t="n">
        <v>0</v>
      </c>
      <c r="L2524" s="451" t="n">
        <v>0</v>
      </c>
      <c r="M2524" s="451" t="n">
        <v>0</v>
      </c>
      <c r="N2524" s="467" t="n">
        <v>0</v>
      </c>
      <c r="O2524" s="467" t="n">
        <v>0</v>
      </c>
      <c r="P2524" s="467" t="n"/>
      <c r="Q2524" s="453" t="n"/>
      <c r="R2524" s="453" t="n"/>
      <c r="S2524" s="453" t="n"/>
      <c r="T2524" s="453" t="n"/>
      <c r="U2524" s="453" t="n"/>
      <c r="V2524" s="453" t="n"/>
    </row>
    <row r="2525" customFormat="1" s="21">
      <c r="A2525" s="405" t="inlineStr">
        <is>
          <t>North America</t>
        </is>
      </c>
      <c r="B2525" s="468" t="n">
        <v>28</v>
      </c>
      <c r="C2525" s="468" t="n">
        <v>31</v>
      </c>
      <c r="D2525" s="468" t="n">
        <v>4</v>
      </c>
      <c r="E2525" s="468" t="n">
        <v>3</v>
      </c>
      <c r="F2525" s="468" t="n">
        <v>0</v>
      </c>
      <c r="G2525" s="468" t="n">
        <v>0</v>
      </c>
      <c r="H2525" s="468" t="n">
        <v>0</v>
      </c>
      <c r="I2525" s="468" t="n">
        <v>0</v>
      </c>
      <c r="J2525" s="41" t="n">
        <v>0</v>
      </c>
      <c r="K2525" s="41" t="n">
        <v>34</v>
      </c>
      <c r="L2525" s="468" t="n">
        <v>0</v>
      </c>
      <c r="M2525" s="451" t="n">
        <v>0</v>
      </c>
      <c r="N2525" s="467" t="n">
        <v>0</v>
      </c>
      <c r="O2525" s="467" t="n">
        <v>0</v>
      </c>
      <c r="P2525" s="467" t="n"/>
      <c r="Q2525" s="453" t="n"/>
      <c r="R2525" s="453" t="n"/>
      <c r="S2525" s="453" t="n"/>
      <c r="T2525" s="453" t="n"/>
      <c r="U2525" s="453" t="n"/>
      <c r="V2525" s="453" t="n"/>
    </row>
    <row r="2526" customFormat="1" s="21">
      <c r="A2526" s="405" t="inlineStr">
        <is>
          <t>Latin America and the Caribbean</t>
        </is>
      </c>
      <c r="B2526" s="451" t="n">
        <v>11</v>
      </c>
      <c r="C2526" s="451" t="n">
        <v>34</v>
      </c>
      <c r="D2526" s="451" t="n">
        <v>12</v>
      </c>
      <c r="E2526" s="451" t="n">
        <v>41</v>
      </c>
      <c r="F2526" s="451" t="n">
        <v>0</v>
      </c>
      <c r="G2526" s="451" t="n">
        <v>2</v>
      </c>
      <c r="H2526" s="451" t="n">
        <v>0</v>
      </c>
      <c r="I2526" s="451" t="n">
        <v>0</v>
      </c>
      <c r="J2526" s="41" t="n">
        <v>0</v>
      </c>
      <c r="K2526" s="41" t="n">
        <v>0</v>
      </c>
      <c r="L2526" s="451" t="n">
        <v>0</v>
      </c>
      <c r="M2526" s="451" t="n">
        <v>0</v>
      </c>
      <c r="N2526" s="467" t="n">
        <v>0</v>
      </c>
      <c r="O2526" s="467" t="n">
        <v>0</v>
      </c>
      <c r="P2526" s="467" t="n"/>
      <c r="Q2526" s="453" t="n"/>
      <c r="R2526" s="453" t="n"/>
      <c r="S2526" s="453" t="n"/>
      <c r="T2526" s="453" t="n"/>
      <c r="U2526" s="453" t="n"/>
      <c r="V2526" s="453" t="n"/>
    </row>
    <row r="2527" customFormat="1" s="21">
      <c r="A2527" s="405" t="inlineStr">
        <is>
          <t>Western Europe</t>
        </is>
      </c>
      <c r="B2527" s="451" t="n">
        <v>6</v>
      </c>
      <c r="C2527" s="451" t="n">
        <v>51</v>
      </c>
      <c r="D2527" s="451" t="n">
        <v>14</v>
      </c>
      <c r="E2527" s="451" t="n">
        <v>0</v>
      </c>
      <c r="F2527" s="451" t="n">
        <v>0</v>
      </c>
      <c r="G2527" s="451" t="n">
        <v>1</v>
      </c>
      <c r="H2527" s="451" t="n">
        <v>0</v>
      </c>
      <c r="I2527" s="451" t="n">
        <v>0</v>
      </c>
      <c r="J2527" s="41" t="n">
        <v>2</v>
      </c>
      <c r="K2527" s="41" t="n">
        <v>26</v>
      </c>
      <c r="L2527" s="451" t="n">
        <v>0</v>
      </c>
      <c r="M2527" s="451" t="n">
        <v>0</v>
      </c>
      <c r="N2527" s="467" t="n">
        <v>0</v>
      </c>
      <c r="O2527" s="467" t="n">
        <v>0</v>
      </c>
      <c r="P2527" s="467" t="n"/>
      <c r="Q2527" s="453" t="n"/>
      <c r="R2527" s="453" t="n"/>
      <c r="S2527" s="453" t="n"/>
      <c r="T2527" s="453" t="n"/>
      <c r="U2527" s="453" t="n"/>
      <c r="V2527" s="453" t="n"/>
    </row>
    <row r="2528" customFormat="1" s="21">
      <c r="A2528" s="405" t="inlineStr">
        <is>
          <t>Eastern Europe</t>
        </is>
      </c>
      <c r="B2528" s="451" t="n">
        <v>5</v>
      </c>
      <c r="C2528" s="451" t="n">
        <v>31</v>
      </c>
      <c r="D2528" s="451" t="n">
        <v>55</v>
      </c>
      <c r="E2528" s="451" t="n">
        <v>1</v>
      </c>
      <c r="F2528" s="451" t="n">
        <v>0</v>
      </c>
      <c r="G2528" s="451" t="n">
        <v>0</v>
      </c>
      <c r="H2528" s="451" t="n">
        <v>0</v>
      </c>
      <c r="I2528" s="451" t="n">
        <v>0</v>
      </c>
      <c r="J2528" s="41" t="n">
        <v>4</v>
      </c>
      <c r="K2528" s="41" t="n">
        <v>4</v>
      </c>
      <c r="L2528" s="451" t="n">
        <v>0</v>
      </c>
      <c r="M2528" s="451" t="n">
        <v>0</v>
      </c>
      <c r="N2528" s="467" t="n">
        <v>0</v>
      </c>
      <c r="O2528" s="467" t="n">
        <v>0</v>
      </c>
      <c r="P2528" s="467" t="n"/>
      <c r="Q2528" s="453" t="n"/>
      <c r="R2528" s="453" t="n"/>
      <c r="S2528" s="453" t="n"/>
      <c r="T2528" s="453" t="n"/>
      <c r="U2528" s="453" t="n"/>
      <c r="V2528" s="453" t="n"/>
    </row>
    <row r="2529" customFormat="1" s="21">
      <c r="A2529" s="405" t="inlineStr">
        <is>
          <t>Russian Federation</t>
        </is>
      </c>
      <c r="B2529" s="451" t="n">
        <v>0</v>
      </c>
      <c r="C2529" s="451" t="n">
        <v>24</v>
      </c>
      <c r="D2529" s="451" t="n">
        <v>76</v>
      </c>
      <c r="E2529" s="451" t="n">
        <v>0</v>
      </c>
      <c r="F2529" s="451" t="n">
        <v>0</v>
      </c>
      <c r="G2529" s="451" t="n">
        <v>0</v>
      </c>
      <c r="H2529" s="451" t="n">
        <v>0</v>
      </c>
      <c r="I2529" s="451" t="n">
        <v>0</v>
      </c>
      <c r="J2529" s="41" t="n">
        <v>0</v>
      </c>
      <c r="K2529" s="41" t="n">
        <v>0</v>
      </c>
      <c r="L2529" s="451" t="n">
        <v>0</v>
      </c>
      <c r="M2529" s="451" t="n">
        <v>0</v>
      </c>
      <c r="N2529" s="467" t="n">
        <v>0</v>
      </c>
      <c r="O2529" s="467" t="n">
        <v>0</v>
      </c>
      <c r="P2529" s="467" t="n"/>
      <c r="Q2529" s="453" t="n"/>
      <c r="R2529" s="453" t="n"/>
      <c r="S2529" s="453" t="n"/>
      <c r="T2529" s="453" t="n"/>
      <c r="U2529" s="453" t="n"/>
      <c r="V2529" s="453" t="n"/>
    </row>
    <row r="2530" customFormat="1" s="21">
      <c r="A2530" s="405" t="inlineStr">
        <is>
          <t>Oceania</t>
        </is>
      </c>
      <c r="B2530" s="468" t="n">
        <v>91</v>
      </c>
      <c r="C2530" s="468" t="n">
        <v>0</v>
      </c>
      <c r="D2530" s="468" t="n">
        <v>1</v>
      </c>
      <c r="E2530" s="468" t="n">
        <v>8</v>
      </c>
      <c r="F2530" s="468" t="n">
        <v>0</v>
      </c>
      <c r="G2530" s="468" t="n">
        <v>0</v>
      </c>
      <c r="H2530" s="468" t="n">
        <v>0</v>
      </c>
      <c r="I2530" s="468" t="n">
        <v>0</v>
      </c>
      <c r="J2530" s="467" t="n">
        <v>0</v>
      </c>
      <c r="K2530" s="467" t="n">
        <v>0</v>
      </c>
      <c r="L2530" s="468" t="n">
        <v>0</v>
      </c>
      <c r="M2530" s="451" t="n">
        <v>0</v>
      </c>
      <c r="N2530" s="467" t="n">
        <v>0</v>
      </c>
      <c r="O2530" s="467" t="n">
        <v>0</v>
      </c>
      <c r="P2530" s="467" t="n"/>
    </row>
    <row r="2531" customFormat="1" s="453">
      <c r="A2531" s="405" t="inlineStr">
        <is>
          <t>NENA/Middle East</t>
        </is>
      </c>
      <c r="B2531" s="451" t="n">
        <v>10</v>
      </c>
      <c r="C2531" s="451" t="n">
        <v>29</v>
      </c>
      <c r="D2531" s="451" t="n">
        <v>0</v>
      </c>
      <c r="E2531" s="451" t="n">
        <v>54</v>
      </c>
      <c r="F2531" s="451" t="n">
        <v>0</v>
      </c>
      <c r="G2531" s="451" t="n">
        <v>0</v>
      </c>
      <c r="H2531" s="451" t="n">
        <v>7</v>
      </c>
      <c r="I2531" s="451" t="n">
        <v>0</v>
      </c>
      <c r="J2531" s="41" t="n">
        <v>0</v>
      </c>
      <c r="K2531" s="41" t="n">
        <v>0</v>
      </c>
      <c r="L2531" s="451" t="n">
        <v>0</v>
      </c>
      <c r="M2531" s="451" t="n">
        <v>0</v>
      </c>
      <c r="N2531" s="467" t="n">
        <v>0</v>
      </c>
      <c r="O2531" s="467" t="n">
        <v>0</v>
      </c>
      <c r="P2531" s="467" t="n"/>
    </row>
    <row r="2532" customFormat="1" s="453">
      <c r="A2532" s="405" t="inlineStr">
        <is>
          <t>South Asia</t>
        </is>
      </c>
      <c r="B2532" s="468" t="n">
        <v>12</v>
      </c>
      <c r="C2532" s="468" t="n">
        <v>23</v>
      </c>
      <c r="D2532" s="468" t="n">
        <v>13</v>
      </c>
      <c r="E2532" s="468" t="n">
        <v>35</v>
      </c>
      <c r="F2532" s="468" t="n">
        <v>0</v>
      </c>
      <c r="G2532" s="468" t="n">
        <v>7</v>
      </c>
      <c r="H2532" s="468" t="n">
        <v>8</v>
      </c>
      <c r="I2532" s="468" t="n">
        <v>2</v>
      </c>
      <c r="J2532" s="41" t="n">
        <v>2</v>
      </c>
      <c r="K2532" s="41" t="n">
        <v>0</v>
      </c>
      <c r="L2532" s="468" t="n">
        <v>0</v>
      </c>
      <c r="M2532" s="451" t="n">
        <v>0</v>
      </c>
      <c r="N2532" s="467" t="n">
        <v>0</v>
      </c>
      <c r="O2532" s="467" t="n">
        <v>0</v>
      </c>
      <c r="P2532" s="467" t="n"/>
    </row>
    <row r="2533" customFormat="1" s="535">
      <c r="A2533" s="518" t="inlineStr">
        <is>
          <t>Notes : Use of proxy from Eastern Europe for Russian Federation</t>
        </is>
      </c>
      <c r="F2533" s="1624" t="n"/>
      <c r="G2533" s="1624" t="n"/>
      <c r="H2533" s="1624" t="n"/>
      <c r="I2533" s="1624" t="n"/>
      <c r="J2533" s="1624" t="n"/>
      <c r="K2533" s="1624" t="n"/>
      <c r="L2533" s="1624" t="n"/>
      <c r="M2533" s="1624" t="n"/>
      <c r="N2533" s="1624" t="n"/>
    </row>
    <row r="2534" customFormat="1" s="292"/>
    <row r="2536" ht="14.25" customFormat="1" customHeight="1" s="125">
      <c r="A2536" s="377" t="inlineStr">
        <is>
          <t>Animal waste management system</t>
        </is>
      </c>
      <c r="D2536" s="1075" t="n"/>
      <c r="E2536" s="1075" t="n"/>
      <c r="F2536" s="1075" t="n"/>
      <c r="G2536" s="1075" t="n"/>
      <c r="H2536" s="1075" t="n"/>
      <c r="I2536" s="1075" t="n"/>
      <c r="L2536" s="1075" t="n"/>
    </row>
    <row r="2537" ht="16.25" customFormat="1" customHeight="1" s="773">
      <c r="A2537" s="753" t="inlineStr">
        <is>
          <t>Growing Swine LP</t>
        </is>
      </c>
      <c r="B2537" s="442" t="inlineStr">
        <is>
          <t>Table 10A.7</t>
        </is>
      </c>
      <c r="C2537" s="442" t="inlineStr">
        <is>
          <t>Table 10A.7</t>
        </is>
      </c>
      <c r="D2537" s="442" t="inlineStr">
        <is>
          <t>Table 10A.7</t>
        </is>
      </c>
      <c r="E2537" s="442" t="inlineStr">
        <is>
          <t>Table 10A.7</t>
        </is>
      </c>
      <c r="F2537" s="442" t="inlineStr">
        <is>
          <t>Table 10A.7</t>
        </is>
      </c>
      <c r="G2537" s="442" t="inlineStr">
        <is>
          <t>Table 10A.7</t>
        </is>
      </c>
      <c r="H2537" s="442" t="inlineStr">
        <is>
          <t>Table 10A.7</t>
        </is>
      </c>
      <c r="I2537" s="442" t="inlineStr">
        <is>
          <t>Table 10A.7</t>
        </is>
      </c>
      <c r="J2537" s="442" t="inlineStr">
        <is>
          <t>Table 10A.7</t>
        </is>
      </c>
      <c r="K2537" s="442" t="inlineStr">
        <is>
          <t>Table 10A.7</t>
        </is>
      </c>
      <c r="L2537" s="442" t="inlineStr">
        <is>
          <t>Table 10A.7</t>
        </is>
      </c>
      <c r="M2537" s="442" t="inlineStr">
        <is>
          <t>Table 10A.7</t>
        </is>
      </c>
      <c r="N2537" s="442" t="inlineStr">
        <is>
          <t>Table 10A.7</t>
        </is>
      </c>
      <c r="O2537" s="442" t="inlineStr">
        <is>
          <t>Table 10A.7</t>
        </is>
      </c>
      <c r="P2537" s="442" t="n"/>
      <c r="Q2537" s="442" t="n"/>
      <c r="R2537" s="442" t="n"/>
      <c r="S2537" s="442" t="n"/>
      <c r="T2537" s="442" t="n"/>
      <c r="U2537" s="442" t="n"/>
      <c r="V2537" s="442" t="n"/>
    </row>
    <row r="2538" ht="16" customFormat="1" customHeight="1" s="291">
      <c r="A2538" s="1641" t="inlineStr">
        <is>
          <t>Please select</t>
        </is>
      </c>
      <c r="B2538" s="1642" t="inlineStr">
        <is>
          <t>Lagoon</t>
        </is>
      </c>
      <c r="C2538" s="1642" t="inlineStr">
        <is>
          <t>Liquid/slurry</t>
        </is>
      </c>
      <c r="D2538" s="1642" t="inlineStr">
        <is>
          <t>Solid storage</t>
        </is>
      </c>
      <c r="E2538" s="1642" t="inlineStr">
        <is>
          <t>Dry lot</t>
        </is>
      </c>
      <c r="F2538" s="1642" t="inlineStr">
        <is>
          <t>Pasture/Range/Paddock</t>
        </is>
      </c>
      <c r="G2538" s="1642" t="inlineStr">
        <is>
          <t>Daily spread</t>
        </is>
      </c>
      <c r="H2538" s="1642" t="inlineStr">
        <is>
          <t>Digester</t>
        </is>
      </c>
      <c r="I2538" s="1639" t="inlineStr">
        <is>
          <t>Burned for fuel</t>
        </is>
      </c>
      <c r="J2538" s="1639" t="inlineStr">
        <is>
          <t>Pit&lt;1Month</t>
        </is>
      </c>
      <c r="K2538" s="1639" t="inlineStr">
        <is>
          <t>Pit&gt;1 month</t>
        </is>
      </c>
      <c r="L2538" s="1642" t="inlineStr">
        <is>
          <t>Poultry manure</t>
        </is>
      </c>
      <c r="M2538" s="291" t="inlineStr">
        <is>
          <t>Deep bedding</t>
        </is>
      </c>
      <c r="N2538" s="2156" t="inlineStr">
        <is>
          <t>Composting</t>
        </is>
      </c>
      <c r="O2538" s="2156" t="inlineStr">
        <is>
          <t>Aerobic treatment</t>
        </is>
      </c>
      <c r="P2538" s="1658" t="inlineStr">
        <is>
          <t>Other (pls. go Tier 2)</t>
        </is>
      </c>
      <c r="Q2538" s="453" t="n"/>
      <c r="R2538" s="453" t="n"/>
      <c r="S2538" s="453" t="n"/>
      <c r="T2538" s="453" t="n"/>
      <c r="U2538" s="453" t="n"/>
      <c r="V2538" s="453" t="n"/>
      <c r="W2538" s="21" t="n"/>
      <c r="X2538" s="21" t="n"/>
    </row>
    <row r="2539" ht="16" customFormat="1" customHeight="1" s="1093">
      <c r="A2539" s="523" t="inlineStr">
        <is>
          <t>IPCC Region</t>
        </is>
      </c>
      <c r="B2539" s="1631" t="inlineStr">
        <is>
          <t>%</t>
        </is>
      </c>
      <c r="C2539" s="1631" t="inlineStr">
        <is>
          <t>%</t>
        </is>
      </c>
      <c r="D2539" s="1631" t="inlineStr">
        <is>
          <t>%</t>
        </is>
      </c>
      <c r="E2539" s="1631" t="inlineStr">
        <is>
          <t>%</t>
        </is>
      </c>
      <c r="F2539" s="1631" t="inlineStr">
        <is>
          <t>%</t>
        </is>
      </c>
      <c r="G2539" s="1631" t="inlineStr">
        <is>
          <t>%</t>
        </is>
      </c>
      <c r="H2539" s="1631" t="inlineStr">
        <is>
          <t>%</t>
        </is>
      </c>
      <c r="I2539" s="1631" t="inlineStr">
        <is>
          <t>%</t>
        </is>
      </c>
      <c r="J2539" s="31" t="inlineStr">
        <is>
          <t>%</t>
        </is>
      </c>
      <c r="K2539" s="31" t="inlineStr">
        <is>
          <t>%</t>
        </is>
      </c>
      <c r="L2539" s="1636" t="inlineStr">
        <is>
          <t>%</t>
        </is>
      </c>
      <c r="M2539" s="31" t="inlineStr">
        <is>
          <t>%</t>
        </is>
      </c>
      <c r="N2539" s="31" t="inlineStr">
        <is>
          <t>%</t>
        </is>
      </c>
      <c r="O2539" s="31" t="inlineStr">
        <is>
          <t>%</t>
        </is>
      </c>
      <c r="P2539" s="31" t="inlineStr">
        <is>
          <t>%</t>
        </is>
      </c>
      <c r="Q2539" s="1092" t="n"/>
      <c r="R2539" s="1092" t="n"/>
      <c r="S2539" s="1092" t="n"/>
      <c r="T2539" s="1092" t="n"/>
      <c r="U2539" s="1092" t="n"/>
      <c r="V2539" s="1092" t="n"/>
    </row>
    <row r="2540" customFormat="1" s="21">
      <c r="A2540" s="407" t="inlineStr">
        <is>
          <t>Sub-Saharan Africa</t>
        </is>
      </c>
      <c r="B2540" s="468" t="n">
        <v>5</v>
      </c>
      <c r="C2540" s="468" t="n">
        <v>30</v>
      </c>
      <c r="D2540" s="468" t="n">
        <v>15</v>
      </c>
      <c r="E2540" s="468" t="n">
        <v>15</v>
      </c>
      <c r="F2540" s="468" t="n">
        <v>5</v>
      </c>
      <c r="G2540" s="468" t="n">
        <v>5</v>
      </c>
      <c r="H2540" s="468" t="n">
        <v>5</v>
      </c>
      <c r="I2540" s="468" t="n">
        <v>0</v>
      </c>
      <c r="J2540" s="41" t="n">
        <v>15</v>
      </c>
      <c r="K2540" s="41" t="n">
        <v>5</v>
      </c>
      <c r="L2540" s="1640" t="n">
        <v>0</v>
      </c>
      <c r="M2540" s="451" t="n">
        <v>0</v>
      </c>
      <c r="N2540" s="467" t="n">
        <v>0</v>
      </c>
      <c r="O2540" s="467" t="n">
        <v>0</v>
      </c>
      <c r="P2540" s="467" t="n"/>
      <c r="Q2540" s="453" t="n"/>
      <c r="R2540" s="453" t="n"/>
      <c r="S2540" s="453" t="n"/>
      <c r="T2540" s="453" t="n"/>
      <c r="U2540" s="453" t="n"/>
      <c r="V2540" s="453" t="n"/>
    </row>
    <row r="2541" customFormat="1" s="21">
      <c r="A2541" s="405" t="inlineStr">
        <is>
          <t>East Asia and South-East Asia</t>
        </is>
      </c>
      <c r="B2541" s="468" t="n">
        <v>5</v>
      </c>
      <c r="C2541" s="468" t="n">
        <v>27</v>
      </c>
      <c r="D2541" s="468" t="n">
        <v>18</v>
      </c>
      <c r="E2541" s="468" t="n">
        <v>14</v>
      </c>
      <c r="F2541" s="451" t="n">
        <v>6</v>
      </c>
      <c r="G2541" s="451" t="n">
        <v>6</v>
      </c>
      <c r="H2541" s="451" t="n">
        <v>5</v>
      </c>
      <c r="I2541" s="451" t="n">
        <v>0</v>
      </c>
      <c r="J2541" s="41" t="n">
        <v>14</v>
      </c>
      <c r="K2541" s="41" t="n">
        <v>5</v>
      </c>
      <c r="L2541" s="451" t="n">
        <v>0</v>
      </c>
      <c r="M2541" s="451" t="n">
        <v>0</v>
      </c>
      <c r="N2541" s="467" t="n">
        <v>0</v>
      </c>
      <c r="O2541" s="467" t="n">
        <v>0</v>
      </c>
      <c r="P2541" s="467" t="n"/>
      <c r="Q2541" s="453" t="n"/>
      <c r="R2541" s="453" t="n"/>
      <c r="S2541" s="453" t="n"/>
      <c r="T2541" s="453" t="n"/>
      <c r="U2541" s="453" t="n"/>
      <c r="V2541" s="453" t="n"/>
    </row>
    <row r="2542" customFormat="1" s="21">
      <c r="A2542" s="405" t="inlineStr">
        <is>
          <t>North America</t>
        </is>
      </c>
      <c r="B2542" s="468" t="n">
        <v>0</v>
      </c>
      <c r="C2542" s="468" t="n">
        <v>0</v>
      </c>
      <c r="D2542" s="468" t="n">
        <v>0</v>
      </c>
      <c r="E2542" s="468" t="n">
        <v>0</v>
      </c>
      <c r="F2542" s="468" t="n">
        <v>0</v>
      </c>
      <c r="G2542" s="468" t="n">
        <v>0</v>
      </c>
      <c r="H2542" s="468" t="n">
        <v>0</v>
      </c>
      <c r="I2542" s="468" t="n">
        <v>0</v>
      </c>
      <c r="J2542" s="468" t="n">
        <v>0</v>
      </c>
      <c r="K2542" s="468" t="n">
        <v>0</v>
      </c>
      <c r="L2542" s="468" t="n">
        <v>0</v>
      </c>
      <c r="M2542" s="451" t="n">
        <v>0</v>
      </c>
      <c r="N2542" s="467" t="n">
        <v>0</v>
      </c>
      <c r="O2542" s="467" t="n">
        <v>0</v>
      </c>
      <c r="P2542" s="467" t="n"/>
      <c r="Q2542" s="453" t="n"/>
      <c r="R2542" s="453" t="n"/>
      <c r="S2542" s="453" t="n"/>
      <c r="T2542" s="453" t="n"/>
      <c r="U2542" s="453" t="n"/>
      <c r="V2542" s="453" t="n"/>
    </row>
    <row r="2543" customFormat="1" s="21">
      <c r="A2543" s="405" t="inlineStr">
        <is>
          <t>Latin America and the Caribbean</t>
        </is>
      </c>
      <c r="B2543" s="468" t="n">
        <v>5</v>
      </c>
      <c r="C2543" s="468" t="n">
        <v>30</v>
      </c>
      <c r="D2543" s="468" t="n">
        <v>15</v>
      </c>
      <c r="E2543" s="468" t="n">
        <v>15</v>
      </c>
      <c r="F2543" s="468" t="n">
        <v>5</v>
      </c>
      <c r="G2543" s="468" t="n">
        <v>5</v>
      </c>
      <c r="H2543" s="468" t="n">
        <v>5</v>
      </c>
      <c r="I2543" s="468" t="n">
        <v>0</v>
      </c>
      <c r="J2543" s="41" t="n">
        <v>15</v>
      </c>
      <c r="K2543" s="41" t="n">
        <v>5</v>
      </c>
      <c r="L2543" s="451" t="n">
        <v>0</v>
      </c>
      <c r="M2543" s="451" t="n">
        <v>0</v>
      </c>
      <c r="N2543" s="467" t="n">
        <v>0</v>
      </c>
      <c r="O2543" s="467" t="n">
        <v>0</v>
      </c>
      <c r="P2543" s="467" t="n"/>
      <c r="Q2543" s="453" t="n"/>
      <c r="R2543" s="453" t="n"/>
      <c r="S2543" s="453" t="n"/>
      <c r="T2543" s="453" t="n"/>
      <c r="U2543" s="453" t="n"/>
      <c r="V2543" s="453" t="n"/>
    </row>
    <row r="2544" customFormat="1" s="21">
      <c r="A2544" s="405" t="inlineStr">
        <is>
          <t>Western Europe</t>
        </is>
      </c>
      <c r="B2544" s="468" t="n">
        <v>0</v>
      </c>
      <c r="C2544" s="468" t="n">
        <v>0</v>
      </c>
      <c r="D2544" s="468" t="n">
        <v>0</v>
      </c>
      <c r="E2544" s="468" t="n">
        <v>0</v>
      </c>
      <c r="F2544" s="468" t="n">
        <v>0</v>
      </c>
      <c r="G2544" s="468" t="n">
        <v>0</v>
      </c>
      <c r="H2544" s="468" t="n">
        <v>0</v>
      </c>
      <c r="I2544" s="468" t="n">
        <v>0</v>
      </c>
      <c r="J2544" s="468" t="n">
        <v>0</v>
      </c>
      <c r="K2544" s="468" t="n">
        <v>0</v>
      </c>
      <c r="L2544" s="451" t="n">
        <v>0</v>
      </c>
      <c r="M2544" s="451" t="n">
        <v>0</v>
      </c>
      <c r="N2544" s="467" t="n">
        <v>0</v>
      </c>
      <c r="O2544" s="467" t="n">
        <v>0</v>
      </c>
      <c r="P2544" s="467" t="n"/>
      <c r="Q2544" s="453" t="n"/>
      <c r="R2544" s="453" t="n"/>
      <c r="S2544" s="453" t="n"/>
      <c r="T2544" s="453" t="n"/>
      <c r="U2544" s="453" t="n"/>
      <c r="V2544" s="453" t="n"/>
    </row>
    <row r="2545" customFormat="1" s="21">
      <c r="A2545" s="405" t="inlineStr">
        <is>
          <t>Eastern Europe</t>
        </is>
      </c>
      <c r="B2545" s="468" t="n">
        <v>0</v>
      </c>
      <c r="C2545" s="468" t="n">
        <v>0</v>
      </c>
      <c r="D2545" s="468" t="n">
        <v>0</v>
      </c>
      <c r="E2545" s="468" t="n">
        <v>0</v>
      </c>
      <c r="F2545" s="468" t="n">
        <v>0</v>
      </c>
      <c r="G2545" s="468" t="n">
        <v>0</v>
      </c>
      <c r="H2545" s="468" t="n">
        <v>0</v>
      </c>
      <c r="I2545" s="468" t="n">
        <v>0</v>
      </c>
      <c r="J2545" s="468" t="n">
        <v>0</v>
      </c>
      <c r="K2545" s="468" t="n">
        <v>0</v>
      </c>
      <c r="L2545" s="451" t="n">
        <v>0</v>
      </c>
      <c r="M2545" s="451" t="n">
        <v>0</v>
      </c>
      <c r="N2545" s="467" t="n">
        <v>0</v>
      </c>
      <c r="O2545" s="467" t="n">
        <v>0</v>
      </c>
      <c r="P2545" s="467" t="n"/>
      <c r="Q2545" s="453" t="n"/>
      <c r="R2545" s="453" t="n"/>
      <c r="S2545" s="453" t="n"/>
      <c r="T2545" s="453" t="n"/>
      <c r="U2545" s="453" t="n"/>
      <c r="V2545" s="453" t="n"/>
    </row>
    <row r="2546" customFormat="1" s="21">
      <c r="A2546" s="405" t="inlineStr">
        <is>
          <t>Russian Federation</t>
        </is>
      </c>
      <c r="B2546" s="468" t="n">
        <v>0</v>
      </c>
      <c r="C2546" s="468" t="n">
        <v>0</v>
      </c>
      <c r="D2546" s="468" t="n">
        <v>0</v>
      </c>
      <c r="E2546" s="468" t="n">
        <v>0</v>
      </c>
      <c r="F2546" s="468" t="n">
        <v>0</v>
      </c>
      <c r="G2546" s="468" t="n">
        <v>0</v>
      </c>
      <c r="H2546" s="468" t="n">
        <v>0</v>
      </c>
      <c r="I2546" s="468" t="n">
        <v>0</v>
      </c>
      <c r="J2546" s="468" t="n">
        <v>0</v>
      </c>
      <c r="K2546" s="468" t="n">
        <v>0</v>
      </c>
      <c r="L2546" s="451" t="n">
        <v>0</v>
      </c>
      <c r="M2546" s="451" t="n">
        <v>0</v>
      </c>
      <c r="N2546" s="467" t="n">
        <v>0</v>
      </c>
      <c r="O2546" s="467" t="n">
        <v>0</v>
      </c>
      <c r="P2546" s="467" t="n"/>
      <c r="Q2546" s="453" t="n"/>
      <c r="R2546" s="453" t="n"/>
      <c r="S2546" s="453" t="n"/>
      <c r="T2546" s="453" t="n"/>
      <c r="U2546" s="453" t="n"/>
      <c r="V2546" s="453" t="n"/>
    </row>
    <row r="2547" customFormat="1" s="21">
      <c r="A2547" s="405" t="inlineStr">
        <is>
          <t>Oceania</t>
        </is>
      </c>
      <c r="B2547" s="468" t="n">
        <v>0</v>
      </c>
      <c r="C2547" s="468" t="n">
        <v>0</v>
      </c>
      <c r="D2547" s="468" t="n">
        <v>0</v>
      </c>
      <c r="E2547" s="468" t="n">
        <v>0</v>
      </c>
      <c r="F2547" s="468" t="n">
        <v>0</v>
      </c>
      <c r="G2547" s="468" t="n">
        <v>0</v>
      </c>
      <c r="H2547" s="468" t="n">
        <v>0</v>
      </c>
      <c r="I2547" s="468" t="n">
        <v>0</v>
      </c>
      <c r="J2547" s="468" t="n">
        <v>0</v>
      </c>
      <c r="K2547" s="468" t="n">
        <v>0</v>
      </c>
      <c r="L2547" s="468" t="n">
        <v>0</v>
      </c>
      <c r="M2547" s="451" t="n">
        <v>0</v>
      </c>
      <c r="N2547" s="467" t="n">
        <v>0</v>
      </c>
      <c r="O2547" s="467" t="n">
        <v>0</v>
      </c>
      <c r="P2547" s="467" t="n"/>
    </row>
    <row r="2548" customFormat="1" s="453">
      <c r="A2548" s="405" t="inlineStr">
        <is>
          <t>NENA/Middle East</t>
        </is>
      </c>
      <c r="B2548" s="468" t="n">
        <v>5</v>
      </c>
      <c r="C2548" s="468" t="n">
        <v>30</v>
      </c>
      <c r="D2548" s="468" t="n">
        <v>15</v>
      </c>
      <c r="E2548" s="468" t="n">
        <v>15</v>
      </c>
      <c r="F2548" s="468" t="n">
        <v>5</v>
      </c>
      <c r="G2548" s="468" t="n">
        <v>5</v>
      </c>
      <c r="H2548" s="468" t="n">
        <v>5</v>
      </c>
      <c r="I2548" s="468" t="n">
        <v>0</v>
      </c>
      <c r="J2548" s="41" t="n">
        <v>15</v>
      </c>
      <c r="K2548" s="41" t="n">
        <v>5</v>
      </c>
      <c r="L2548" s="451" t="n">
        <v>0</v>
      </c>
      <c r="M2548" s="451" t="n">
        <v>0</v>
      </c>
      <c r="N2548" s="467" t="n">
        <v>0</v>
      </c>
      <c r="O2548" s="467" t="n">
        <v>0</v>
      </c>
      <c r="P2548" s="467" t="n"/>
    </row>
    <row r="2549" customFormat="1" s="453">
      <c r="A2549" s="405" t="inlineStr">
        <is>
          <t>South Asia</t>
        </is>
      </c>
      <c r="B2549" s="468" t="n">
        <v>5</v>
      </c>
      <c r="C2549" s="468" t="n">
        <v>30</v>
      </c>
      <c r="D2549" s="468" t="n">
        <v>15</v>
      </c>
      <c r="E2549" s="468" t="n">
        <v>15</v>
      </c>
      <c r="F2549" s="468" t="n">
        <v>5</v>
      </c>
      <c r="G2549" s="468" t="n">
        <v>5</v>
      </c>
      <c r="H2549" s="468" t="n">
        <v>5</v>
      </c>
      <c r="I2549" s="468" t="n">
        <v>0</v>
      </c>
      <c r="J2549" s="41" t="n">
        <v>15</v>
      </c>
      <c r="K2549" s="41" t="n">
        <v>5</v>
      </c>
      <c r="L2549" s="468" t="n">
        <v>0</v>
      </c>
      <c r="M2549" s="451" t="n">
        <v>0</v>
      </c>
      <c r="N2549" s="467" t="n">
        <v>0</v>
      </c>
      <c r="O2549" s="467" t="n">
        <v>0</v>
      </c>
      <c r="P2549" s="467" t="n"/>
    </row>
    <row r="2550" customFormat="1" s="535">
      <c r="A2550" s="518" t="inlineStr">
        <is>
          <t>Notes :  Eastern Europe proxy used for Russian Federation</t>
        </is>
      </c>
      <c r="F2550" s="1624" t="n"/>
      <c r="G2550" s="1624" t="n"/>
      <c r="H2550" s="1624" t="n"/>
      <c r="I2550" s="1624" t="n"/>
      <c r="J2550" s="1624" t="n"/>
      <c r="K2550" s="1624" t="n"/>
      <c r="L2550" s="1624" t="n"/>
      <c r="M2550" s="1624" t="n"/>
      <c r="N2550" s="1624" t="n"/>
    </row>
    <row r="2551" customFormat="1" s="292"/>
    <row r="2553" ht="14.25" customFormat="1" customHeight="1" s="125">
      <c r="A2553" s="377" t="inlineStr">
        <is>
          <t>Animal waste management system</t>
        </is>
      </c>
      <c r="D2553" s="1075" t="n"/>
      <c r="E2553" s="1075" t="n"/>
      <c r="F2553" s="1075" t="n"/>
      <c r="G2553" s="1075" t="n"/>
      <c r="H2553" s="1075" t="n"/>
      <c r="I2553" s="1075" t="n"/>
      <c r="L2553" s="1075" t="n"/>
    </row>
    <row r="2554" ht="16.25" customFormat="1" customHeight="1" s="773">
      <c r="A2554" s="753" t="inlineStr">
        <is>
          <t>Other sheep</t>
        </is>
      </c>
      <c r="B2554" s="442" t="inlineStr">
        <is>
          <t>Table 10A.8</t>
        </is>
      </c>
      <c r="C2554" s="442" t="inlineStr">
        <is>
          <t>Table 10A.8</t>
        </is>
      </c>
      <c r="D2554" s="442" t="inlineStr">
        <is>
          <t>Table 10A.8</t>
        </is>
      </c>
      <c r="E2554" s="442" t="inlineStr">
        <is>
          <t>Table 10A.8</t>
        </is>
      </c>
      <c r="F2554" s="442" t="inlineStr">
        <is>
          <t>Table 10A.8</t>
        </is>
      </c>
      <c r="G2554" s="442" t="inlineStr">
        <is>
          <t>Table 10A.8</t>
        </is>
      </c>
      <c r="H2554" s="442" t="inlineStr">
        <is>
          <t>Table 10A.8</t>
        </is>
      </c>
      <c r="I2554" s="442" t="inlineStr">
        <is>
          <t>Table 10A.8</t>
        </is>
      </c>
      <c r="J2554" s="442" t="inlineStr">
        <is>
          <t>Table 10A.8</t>
        </is>
      </c>
      <c r="K2554" s="442" t="inlineStr">
        <is>
          <t>Table 10A.8</t>
        </is>
      </c>
      <c r="L2554" s="442" t="inlineStr">
        <is>
          <t>Table 10A.8</t>
        </is>
      </c>
      <c r="M2554" s="442" t="inlineStr">
        <is>
          <t>Table 10A.8</t>
        </is>
      </c>
      <c r="N2554" s="442" t="inlineStr">
        <is>
          <t>Table 10A.8</t>
        </is>
      </c>
      <c r="O2554" s="442" t="inlineStr">
        <is>
          <t>Table 10A.8</t>
        </is>
      </c>
      <c r="P2554" s="442" t="n"/>
      <c r="Q2554" s="442" t="n"/>
      <c r="R2554" s="442" t="n"/>
      <c r="S2554" s="442" t="n"/>
      <c r="T2554" s="442" t="n"/>
      <c r="U2554" s="442" t="n"/>
      <c r="V2554" s="442" t="n"/>
    </row>
    <row r="2555" ht="16" customFormat="1" customHeight="1" s="291">
      <c r="A2555" s="1641" t="inlineStr">
        <is>
          <t>Please select</t>
        </is>
      </c>
      <c r="B2555" s="1642" t="inlineStr">
        <is>
          <t>Lagoon</t>
        </is>
      </c>
      <c r="C2555" s="1642" t="inlineStr">
        <is>
          <t>Liquid/slurry</t>
        </is>
      </c>
      <c r="D2555" s="1642" t="inlineStr">
        <is>
          <t>Solid storage</t>
        </is>
      </c>
      <c r="E2555" s="1642" t="inlineStr">
        <is>
          <t>Dry lot</t>
        </is>
      </c>
      <c r="F2555" s="1642" t="inlineStr">
        <is>
          <t>Pasture/Range/Paddock</t>
        </is>
      </c>
      <c r="G2555" s="1642" t="inlineStr">
        <is>
          <t>Daily spread</t>
        </is>
      </c>
      <c r="H2555" s="1642" t="inlineStr">
        <is>
          <t>Digester</t>
        </is>
      </c>
      <c r="I2555" s="1639" t="inlineStr">
        <is>
          <t>Burned for fuel</t>
        </is>
      </c>
      <c r="J2555" s="1639" t="inlineStr">
        <is>
          <t>Pit&lt;1Month</t>
        </is>
      </c>
      <c r="K2555" s="1639" t="inlineStr">
        <is>
          <t>Pit&gt;1 month</t>
        </is>
      </c>
      <c r="L2555" s="1642" t="inlineStr">
        <is>
          <t>Poultry manure</t>
        </is>
      </c>
      <c r="M2555" s="291" t="inlineStr">
        <is>
          <t>Deep bedding</t>
        </is>
      </c>
      <c r="N2555" s="2156" t="inlineStr">
        <is>
          <t>Composting</t>
        </is>
      </c>
      <c r="O2555" s="2156" t="inlineStr">
        <is>
          <t>Aerobic treatment</t>
        </is>
      </c>
      <c r="P2555" s="1658" t="inlineStr">
        <is>
          <t>Other (pls. go Tier 2)</t>
        </is>
      </c>
      <c r="Q2555" s="453" t="n"/>
      <c r="R2555" s="453" t="n"/>
      <c r="S2555" s="453" t="n"/>
      <c r="T2555" s="453" t="n"/>
      <c r="U2555" s="453" t="n"/>
      <c r="V2555" s="453" t="n"/>
      <c r="W2555" s="21" t="n"/>
      <c r="X2555" s="21" t="n"/>
    </row>
    <row r="2556" ht="16" customFormat="1" customHeight="1" s="1093">
      <c r="A2556" s="523" t="inlineStr">
        <is>
          <t>IPCC Region</t>
        </is>
      </c>
      <c r="B2556" s="1636" t="inlineStr">
        <is>
          <t>%</t>
        </is>
      </c>
      <c r="C2556" s="1636" t="inlineStr">
        <is>
          <t>%</t>
        </is>
      </c>
      <c r="D2556" s="1636" t="inlineStr">
        <is>
          <t>%</t>
        </is>
      </c>
      <c r="E2556" s="1636" t="inlineStr">
        <is>
          <t>%</t>
        </is>
      </c>
      <c r="F2556" s="1636" t="inlineStr">
        <is>
          <t>%</t>
        </is>
      </c>
      <c r="G2556" s="1636" t="inlineStr">
        <is>
          <t>%</t>
        </is>
      </c>
      <c r="H2556" s="1636" t="inlineStr">
        <is>
          <t>%</t>
        </is>
      </c>
      <c r="I2556" s="1636" t="inlineStr">
        <is>
          <t>%</t>
        </is>
      </c>
      <c r="J2556" s="1635" t="inlineStr">
        <is>
          <t>%</t>
        </is>
      </c>
      <c r="K2556" s="1635" t="inlineStr">
        <is>
          <t>%</t>
        </is>
      </c>
      <c r="L2556" s="1636" t="inlineStr">
        <is>
          <t>%</t>
        </is>
      </c>
      <c r="M2556" s="31" t="inlineStr">
        <is>
          <t>%</t>
        </is>
      </c>
      <c r="N2556" s="31" t="inlineStr">
        <is>
          <t>%</t>
        </is>
      </c>
      <c r="O2556" s="31" t="inlineStr">
        <is>
          <t>%</t>
        </is>
      </c>
      <c r="P2556" s="31" t="inlineStr">
        <is>
          <t>%</t>
        </is>
      </c>
      <c r="Q2556" s="1092" t="n"/>
      <c r="R2556" s="1092" t="n"/>
      <c r="S2556" s="1092" t="n"/>
      <c r="T2556" s="1092" t="n"/>
      <c r="U2556" s="1092" t="n"/>
      <c r="V2556" s="1092" t="n"/>
    </row>
    <row r="2557" customFormat="1" s="21">
      <c r="A2557" s="407" t="inlineStr">
        <is>
          <t>Sub-Saharan Africa</t>
        </is>
      </c>
      <c r="B2557" s="470" t="n">
        <v>0</v>
      </c>
      <c r="C2557" s="470" t="n">
        <v>0</v>
      </c>
      <c r="D2557" s="470" t="n">
        <v>17</v>
      </c>
      <c r="E2557" s="470" t="n">
        <v>3</v>
      </c>
      <c r="F2557" s="470" t="n">
        <v>80</v>
      </c>
      <c r="G2557" s="470" t="n">
        <v>0</v>
      </c>
      <c r="H2557" s="470" t="n">
        <v>0</v>
      </c>
      <c r="I2557" s="470" t="n">
        <v>0</v>
      </c>
      <c r="J2557" s="44" t="n">
        <v>0</v>
      </c>
      <c r="K2557" s="44" t="n">
        <v>0</v>
      </c>
      <c r="L2557" s="1640" t="n">
        <v>0</v>
      </c>
      <c r="M2557" s="451" t="n">
        <v>0</v>
      </c>
      <c r="N2557" s="467" t="n">
        <v>0</v>
      </c>
      <c r="O2557" s="467" t="n">
        <v>0</v>
      </c>
      <c r="P2557" s="467" t="n"/>
      <c r="Q2557" s="453" t="n"/>
      <c r="R2557" s="453" t="n"/>
      <c r="S2557" s="453" t="n"/>
      <c r="T2557" s="453" t="n"/>
      <c r="U2557" s="453" t="n"/>
      <c r="V2557" s="453" t="n"/>
    </row>
    <row r="2558" customFormat="1" s="21">
      <c r="A2558" s="405" t="inlineStr">
        <is>
          <t>East Asia and South-East Asia</t>
        </is>
      </c>
      <c r="B2558" s="467" t="n">
        <v>0</v>
      </c>
      <c r="C2558" s="467" t="n">
        <v>0</v>
      </c>
      <c r="D2558" s="467" t="n">
        <v>17</v>
      </c>
      <c r="E2558" s="467" t="n">
        <v>3</v>
      </c>
      <c r="F2558" s="467" t="n">
        <v>80</v>
      </c>
      <c r="G2558" s="467" t="n">
        <v>0</v>
      </c>
      <c r="H2558" s="467" t="n">
        <v>0</v>
      </c>
      <c r="I2558" s="41" t="n">
        <v>0</v>
      </c>
      <c r="J2558" s="41" t="n">
        <v>0</v>
      </c>
      <c r="K2558" s="41" t="n">
        <v>0</v>
      </c>
      <c r="L2558" s="451" t="n">
        <v>0</v>
      </c>
      <c r="M2558" s="451" t="n">
        <v>0</v>
      </c>
      <c r="N2558" s="467" t="n">
        <v>0</v>
      </c>
      <c r="O2558" s="467" t="n">
        <v>0</v>
      </c>
      <c r="P2558" s="467" t="n"/>
      <c r="Q2558" s="453" t="n"/>
      <c r="R2558" s="453" t="n"/>
      <c r="S2558" s="453" t="n"/>
      <c r="T2558" s="453" t="n"/>
      <c r="U2558" s="453" t="n"/>
      <c r="V2558" s="453" t="n"/>
    </row>
    <row r="2559" customFormat="1" s="21">
      <c r="A2559" s="405" t="inlineStr">
        <is>
          <t>North America</t>
        </is>
      </c>
      <c r="B2559" s="467" t="n">
        <v>0</v>
      </c>
      <c r="C2559" s="467" t="n">
        <v>0</v>
      </c>
      <c r="D2559" s="467" t="n">
        <v>54</v>
      </c>
      <c r="E2559" s="467" t="n">
        <v>0</v>
      </c>
      <c r="F2559" s="467" t="n">
        <v>46</v>
      </c>
      <c r="G2559" s="467" t="n">
        <v>0</v>
      </c>
      <c r="H2559" s="467" t="n">
        <v>0</v>
      </c>
      <c r="I2559" s="467" t="n">
        <v>0</v>
      </c>
      <c r="J2559" s="41" t="n">
        <v>0</v>
      </c>
      <c r="K2559" s="41" t="n">
        <v>0</v>
      </c>
      <c r="L2559" s="468" t="n">
        <v>0</v>
      </c>
      <c r="M2559" s="451" t="n">
        <v>0</v>
      </c>
      <c r="N2559" s="467" t="n">
        <v>0</v>
      </c>
      <c r="O2559" s="467" t="n">
        <v>0</v>
      </c>
      <c r="P2559" s="467" t="n"/>
      <c r="Q2559" s="453" t="n"/>
      <c r="R2559" s="453" t="n"/>
      <c r="S2559" s="453" t="n"/>
      <c r="T2559" s="453" t="n"/>
      <c r="U2559" s="453" t="n"/>
      <c r="V2559" s="453" t="n"/>
    </row>
    <row r="2560" customFormat="1" s="21">
      <c r="A2560" s="405" t="inlineStr">
        <is>
          <t>Latin America and the Caribbean</t>
        </is>
      </c>
      <c r="B2560" s="467" t="n">
        <v>0</v>
      </c>
      <c r="C2560" s="467" t="n">
        <v>0</v>
      </c>
      <c r="D2560" s="467" t="n">
        <v>17</v>
      </c>
      <c r="E2560" s="467" t="n">
        <v>3</v>
      </c>
      <c r="F2560" s="467" t="n">
        <v>80</v>
      </c>
      <c r="G2560" s="467" t="n">
        <v>0</v>
      </c>
      <c r="H2560" s="467" t="n">
        <v>0</v>
      </c>
      <c r="I2560" s="41" t="n">
        <v>0</v>
      </c>
      <c r="J2560" s="41" t="n">
        <v>0</v>
      </c>
      <c r="K2560" s="41" t="n">
        <v>0</v>
      </c>
      <c r="L2560" s="451" t="n">
        <v>0</v>
      </c>
      <c r="M2560" s="451" t="n">
        <v>0</v>
      </c>
      <c r="N2560" s="467" t="n">
        <v>0</v>
      </c>
      <c r="O2560" s="467" t="n">
        <v>0</v>
      </c>
      <c r="P2560" s="467" t="n"/>
      <c r="Q2560" s="453" t="n"/>
      <c r="R2560" s="453" t="n"/>
      <c r="S2560" s="453" t="n"/>
      <c r="T2560" s="453" t="n"/>
      <c r="U2560" s="453" t="n"/>
      <c r="V2560" s="453" t="n"/>
    </row>
    <row r="2561" customFormat="1" s="21">
      <c r="A2561" s="405" t="inlineStr">
        <is>
          <t>Western Europe</t>
        </is>
      </c>
      <c r="B2561" s="41" t="n">
        <v>0</v>
      </c>
      <c r="C2561" s="41" t="n">
        <v>0</v>
      </c>
      <c r="D2561" s="41" t="n">
        <v>13</v>
      </c>
      <c r="E2561" s="41" t="n">
        <v>0</v>
      </c>
      <c r="F2561" s="41" t="n">
        <v>87</v>
      </c>
      <c r="G2561" s="41" t="n">
        <v>0</v>
      </c>
      <c r="H2561" s="41" t="n">
        <v>0</v>
      </c>
      <c r="I2561" s="41" t="n">
        <v>0</v>
      </c>
      <c r="J2561" s="41" t="n">
        <v>0</v>
      </c>
      <c r="K2561" s="41" t="n">
        <v>0</v>
      </c>
      <c r="L2561" s="451" t="n">
        <v>0</v>
      </c>
      <c r="M2561" s="451" t="n">
        <v>0</v>
      </c>
      <c r="N2561" s="467" t="n">
        <v>0</v>
      </c>
      <c r="O2561" s="467" t="n">
        <v>0</v>
      </c>
      <c r="P2561" s="467" t="n"/>
      <c r="Q2561" s="453" t="n"/>
      <c r="R2561" s="453" t="n"/>
      <c r="S2561" s="453" t="n"/>
      <c r="T2561" s="453" t="n"/>
      <c r="U2561" s="453" t="n"/>
      <c r="V2561" s="453" t="n"/>
    </row>
    <row r="2562" customFormat="1" s="21">
      <c r="A2562" s="405" t="inlineStr">
        <is>
          <t>Eastern Europe</t>
        </is>
      </c>
      <c r="B2562" s="41" t="n">
        <v>0</v>
      </c>
      <c r="C2562" s="41" t="n">
        <v>0</v>
      </c>
      <c r="D2562" s="41" t="n">
        <v>54</v>
      </c>
      <c r="E2562" s="41" t="n">
        <v>0</v>
      </c>
      <c r="F2562" s="41" t="n">
        <v>46</v>
      </c>
      <c r="G2562" s="41" t="n">
        <v>0</v>
      </c>
      <c r="H2562" s="41" t="n">
        <v>0</v>
      </c>
      <c r="I2562" s="41" t="n">
        <v>0</v>
      </c>
      <c r="J2562" s="41" t="n">
        <v>0</v>
      </c>
      <c r="K2562" s="41" t="n">
        <v>0</v>
      </c>
      <c r="L2562" s="451" t="n">
        <v>0</v>
      </c>
      <c r="M2562" s="451" t="n">
        <v>0</v>
      </c>
      <c r="N2562" s="467" t="n">
        <v>0</v>
      </c>
      <c r="O2562" s="467" t="n">
        <v>0</v>
      </c>
      <c r="P2562" s="467" t="n"/>
      <c r="Q2562" s="453" t="n"/>
      <c r="R2562" s="453" t="n"/>
      <c r="S2562" s="453" t="n"/>
      <c r="T2562" s="453" t="n"/>
      <c r="U2562" s="453" t="n"/>
      <c r="V2562" s="453" t="n"/>
    </row>
    <row r="2563" customFormat="1" s="21">
      <c r="A2563" s="405" t="inlineStr">
        <is>
          <t>Russian Federation</t>
        </is>
      </c>
      <c r="B2563" s="41" t="n">
        <v>0</v>
      </c>
      <c r="C2563" s="41" t="n">
        <v>0</v>
      </c>
      <c r="D2563" s="41" t="n">
        <v>54</v>
      </c>
      <c r="E2563" s="41" t="n">
        <v>0</v>
      </c>
      <c r="F2563" s="41" t="n">
        <v>46</v>
      </c>
      <c r="G2563" s="41" t="n">
        <v>0</v>
      </c>
      <c r="H2563" s="41" t="n">
        <v>0</v>
      </c>
      <c r="I2563" s="41" t="n">
        <v>0</v>
      </c>
      <c r="J2563" s="41" t="n">
        <v>0</v>
      </c>
      <c r="K2563" s="41" t="n">
        <v>0</v>
      </c>
      <c r="L2563" s="451" t="n">
        <v>0</v>
      </c>
      <c r="M2563" s="451" t="n">
        <v>0</v>
      </c>
      <c r="N2563" s="467" t="n">
        <v>0</v>
      </c>
      <c r="O2563" s="467" t="n">
        <v>0</v>
      </c>
      <c r="P2563" s="467" t="n"/>
      <c r="Q2563" s="453" t="n"/>
      <c r="R2563" s="453" t="n"/>
      <c r="S2563" s="453" t="n"/>
      <c r="T2563" s="453" t="n"/>
      <c r="U2563" s="453" t="n"/>
      <c r="V2563" s="453" t="n"/>
    </row>
    <row r="2564" customFormat="1" s="21">
      <c r="A2564" s="405" t="inlineStr">
        <is>
          <t>Oceania</t>
        </is>
      </c>
      <c r="B2564" s="467" t="n">
        <v>0</v>
      </c>
      <c r="C2564" s="467" t="n">
        <v>0</v>
      </c>
      <c r="D2564" s="467" t="n">
        <v>0</v>
      </c>
      <c r="E2564" s="467" t="n">
        <v>0</v>
      </c>
      <c r="F2564" s="467" t="n">
        <v>100</v>
      </c>
      <c r="G2564" s="467" t="n">
        <v>0</v>
      </c>
      <c r="H2564" s="467" t="n">
        <v>0</v>
      </c>
      <c r="I2564" s="467" t="n">
        <v>0</v>
      </c>
      <c r="J2564" s="41" t="n">
        <v>0</v>
      </c>
      <c r="K2564" s="41" t="n">
        <v>0</v>
      </c>
      <c r="L2564" s="468" t="n">
        <v>0</v>
      </c>
      <c r="M2564" s="451" t="n">
        <v>0</v>
      </c>
      <c r="N2564" s="467" t="n">
        <v>0</v>
      </c>
      <c r="O2564" s="467" t="n">
        <v>0</v>
      </c>
      <c r="P2564" s="467" t="n"/>
    </row>
    <row r="2565" customFormat="1" s="453">
      <c r="A2565" s="405" t="inlineStr">
        <is>
          <t>NENA/Middle East</t>
        </is>
      </c>
      <c r="B2565" s="41" t="n">
        <v>0</v>
      </c>
      <c r="C2565" s="41" t="n">
        <v>0</v>
      </c>
      <c r="D2565" s="41" t="n">
        <v>0</v>
      </c>
      <c r="E2565" s="41" t="n">
        <v>50</v>
      </c>
      <c r="F2565" s="41" t="n">
        <v>50</v>
      </c>
      <c r="G2565" s="41" t="n">
        <v>0</v>
      </c>
      <c r="H2565" s="41" t="n">
        <v>0</v>
      </c>
      <c r="I2565" s="41" t="n">
        <v>0</v>
      </c>
      <c r="J2565" s="41" t="n">
        <v>0</v>
      </c>
      <c r="K2565" s="41" t="n">
        <v>0</v>
      </c>
      <c r="L2565" s="451" t="n">
        <v>0</v>
      </c>
      <c r="M2565" s="451" t="n">
        <v>0</v>
      </c>
      <c r="N2565" s="467" t="n">
        <v>0</v>
      </c>
      <c r="O2565" s="467" t="n">
        <v>0</v>
      </c>
      <c r="P2565" s="467" t="n"/>
    </row>
    <row r="2566" customFormat="1" s="453">
      <c r="A2566" s="405" t="inlineStr">
        <is>
          <t>South Asia</t>
        </is>
      </c>
      <c r="B2566" s="467" t="n">
        <v>0</v>
      </c>
      <c r="C2566" s="467" t="n">
        <v>0</v>
      </c>
      <c r="D2566" s="467" t="n">
        <v>17</v>
      </c>
      <c r="E2566" s="467" t="n">
        <v>3</v>
      </c>
      <c r="F2566" s="467" t="n">
        <v>80</v>
      </c>
      <c r="G2566" s="467" t="n">
        <v>0</v>
      </c>
      <c r="H2566" s="467" t="n">
        <v>0</v>
      </c>
      <c r="I2566" s="467" t="n">
        <v>0</v>
      </c>
      <c r="J2566" s="41" t="n">
        <v>0</v>
      </c>
      <c r="K2566" s="41" t="n">
        <v>0</v>
      </c>
      <c r="L2566" s="468" t="n">
        <v>0</v>
      </c>
      <c r="M2566" s="451" t="n">
        <v>0</v>
      </c>
      <c r="N2566" s="467" t="n">
        <v>0</v>
      </c>
      <c r="O2566" s="467" t="n">
        <v>0</v>
      </c>
      <c r="P2566" s="467" t="n"/>
    </row>
    <row r="2567" customFormat="1" s="535">
      <c r="A2567" s="518" t="inlineStr">
        <is>
          <t>Notes : Eastern europe proxy used for Russian Federation</t>
        </is>
      </c>
      <c r="F2567" s="1624" t="n"/>
      <c r="G2567" s="1624" t="n"/>
      <c r="H2567" s="1624" t="n"/>
      <c r="I2567" s="1624" t="n"/>
      <c r="J2567" s="1624" t="n"/>
      <c r="K2567" s="1624" t="n"/>
      <c r="L2567" s="1624" t="n"/>
      <c r="M2567" s="1624" t="n"/>
      <c r="N2567" s="1624" t="n"/>
    </row>
    <row r="2568" customFormat="1" s="292"/>
    <row r="2570" ht="14.25" customFormat="1" customHeight="1" s="125">
      <c r="A2570" s="377" t="inlineStr">
        <is>
          <t>Animal waste management system</t>
        </is>
      </c>
      <c r="D2570" s="1075" t="n"/>
      <c r="E2570" s="1075" t="n"/>
      <c r="F2570" s="1075" t="n"/>
      <c r="G2570" s="1075" t="n"/>
      <c r="H2570" s="1075" t="n"/>
      <c r="I2570" s="1075" t="n"/>
      <c r="L2570" s="1075" t="n"/>
    </row>
    <row r="2571" ht="16.25" customFormat="1" customHeight="1" s="773">
      <c r="A2571" s="753" t="inlineStr">
        <is>
          <t>Dairy sheep</t>
        </is>
      </c>
      <c r="B2571" s="442" t="inlineStr">
        <is>
          <t>Table 10A.8</t>
        </is>
      </c>
      <c r="C2571" s="442" t="inlineStr">
        <is>
          <t>Table 10A.8</t>
        </is>
      </c>
      <c r="D2571" s="442" t="inlineStr">
        <is>
          <t>Table 10A.8</t>
        </is>
      </c>
      <c r="E2571" s="442" t="inlineStr">
        <is>
          <t>Table 10A.8</t>
        </is>
      </c>
      <c r="F2571" s="442" t="inlineStr">
        <is>
          <t>Table 10A.8</t>
        </is>
      </c>
      <c r="G2571" s="442" t="inlineStr">
        <is>
          <t>Table 10A.8</t>
        </is>
      </c>
      <c r="H2571" s="442" t="inlineStr">
        <is>
          <t>Table 10A.8</t>
        </is>
      </c>
      <c r="I2571" s="442" t="inlineStr">
        <is>
          <t>Table 10A.8</t>
        </is>
      </c>
      <c r="J2571" s="442" t="inlineStr">
        <is>
          <t>Table 10A.8</t>
        </is>
      </c>
      <c r="K2571" s="442" t="inlineStr">
        <is>
          <t>Table 10A.8</t>
        </is>
      </c>
      <c r="L2571" s="442" t="inlineStr">
        <is>
          <t>Table 10A.8</t>
        </is>
      </c>
      <c r="M2571" s="442" t="inlineStr">
        <is>
          <t>Table 10A.8</t>
        </is>
      </c>
      <c r="N2571" s="442" t="inlineStr">
        <is>
          <t>Table 10A.8</t>
        </is>
      </c>
      <c r="O2571" s="442" t="inlineStr">
        <is>
          <t>Table 10A.8</t>
        </is>
      </c>
      <c r="P2571" s="442" t="n"/>
      <c r="Q2571" s="442" t="n"/>
      <c r="R2571" s="442" t="n"/>
      <c r="S2571" s="442" t="n"/>
      <c r="T2571" s="442" t="n"/>
      <c r="U2571" s="442" t="n"/>
      <c r="V2571" s="442" t="n"/>
    </row>
    <row r="2572" ht="16" customFormat="1" customHeight="1" s="291">
      <c r="A2572" s="1641" t="inlineStr">
        <is>
          <t>Please select</t>
        </is>
      </c>
      <c r="B2572" s="1642" t="inlineStr">
        <is>
          <t>Lagoon</t>
        </is>
      </c>
      <c r="C2572" s="1642" t="inlineStr">
        <is>
          <t>Liquid/slurry</t>
        </is>
      </c>
      <c r="D2572" s="1642" t="inlineStr">
        <is>
          <t>Solid storage</t>
        </is>
      </c>
      <c r="E2572" s="1642" t="inlineStr">
        <is>
          <t>Dry lot</t>
        </is>
      </c>
      <c r="F2572" s="1642" t="inlineStr">
        <is>
          <t>Pasture/Range/Paddock</t>
        </is>
      </c>
      <c r="G2572" s="1642" t="inlineStr">
        <is>
          <t>Daily spread</t>
        </is>
      </c>
      <c r="H2572" s="1642" t="inlineStr">
        <is>
          <t>Digester</t>
        </is>
      </c>
      <c r="I2572" s="1639" t="inlineStr">
        <is>
          <t>Burned for fuel</t>
        </is>
      </c>
      <c r="J2572" s="1639" t="inlineStr">
        <is>
          <t>Pit&lt;1Month</t>
        </is>
      </c>
      <c r="K2572" s="1639" t="inlineStr">
        <is>
          <t>Pit&gt;1 month</t>
        </is>
      </c>
      <c r="L2572" s="1642" t="inlineStr">
        <is>
          <t>Poultry manure</t>
        </is>
      </c>
      <c r="M2572" s="291" t="inlineStr">
        <is>
          <t>Deep bedding</t>
        </is>
      </c>
      <c r="N2572" s="2156" t="inlineStr">
        <is>
          <t>Composting</t>
        </is>
      </c>
      <c r="O2572" s="2156" t="inlineStr">
        <is>
          <t>Aerobic treatment</t>
        </is>
      </c>
      <c r="P2572" s="1658" t="inlineStr">
        <is>
          <t>Other (pls. go Tier 2)</t>
        </is>
      </c>
      <c r="Q2572" s="453" t="n"/>
      <c r="R2572" s="453" t="n"/>
      <c r="S2572" s="453" t="n"/>
      <c r="T2572" s="453" t="n"/>
      <c r="U2572" s="453" t="n"/>
      <c r="V2572" s="453" t="n"/>
      <c r="W2572" s="21" t="n"/>
      <c r="X2572" s="21" t="n"/>
    </row>
    <row r="2573" ht="16" customFormat="1" customHeight="1" s="1093">
      <c r="A2573" s="523" t="inlineStr">
        <is>
          <t>IPCC Region</t>
        </is>
      </c>
      <c r="B2573" s="1636" t="inlineStr">
        <is>
          <t>%</t>
        </is>
      </c>
      <c r="C2573" s="1636" t="inlineStr">
        <is>
          <t>%</t>
        </is>
      </c>
      <c r="D2573" s="1636" t="inlineStr">
        <is>
          <t>%</t>
        </is>
      </c>
      <c r="E2573" s="1636" t="inlineStr">
        <is>
          <t>%</t>
        </is>
      </c>
      <c r="F2573" s="1636" t="inlineStr">
        <is>
          <t>%</t>
        </is>
      </c>
      <c r="G2573" s="1636" t="inlineStr">
        <is>
          <t>%</t>
        </is>
      </c>
      <c r="H2573" s="1636" t="inlineStr">
        <is>
          <t>%</t>
        </is>
      </c>
      <c r="I2573" s="1636" t="inlineStr">
        <is>
          <t>%</t>
        </is>
      </c>
      <c r="J2573" s="1635" t="inlineStr">
        <is>
          <t>%</t>
        </is>
      </c>
      <c r="K2573" s="1635" t="inlineStr">
        <is>
          <t>%</t>
        </is>
      </c>
      <c r="L2573" s="1636" t="inlineStr">
        <is>
          <t>%</t>
        </is>
      </c>
      <c r="M2573" s="31" t="inlineStr">
        <is>
          <t>%</t>
        </is>
      </c>
      <c r="N2573" s="31" t="inlineStr">
        <is>
          <t>%</t>
        </is>
      </c>
      <c r="O2573" s="31" t="inlineStr">
        <is>
          <t>%</t>
        </is>
      </c>
      <c r="P2573" s="31" t="inlineStr">
        <is>
          <t>%</t>
        </is>
      </c>
      <c r="Q2573" s="1092" t="n"/>
      <c r="R2573" s="1092" t="n"/>
      <c r="S2573" s="1092" t="n"/>
      <c r="T2573" s="1092" t="n"/>
      <c r="U2573" s="1092" t="n"/>
      <c r="V2573" s="1092" t="n"/>
    </row>
    <row r="2574" customFormat="1" s="21">
      <c r="A2574" s="407" t="inlineStr">
        <is>
          <t>Sub-Saharan Africa</t>
        </is>
      </c>
      <c r="B2574" s="470" t="n">
        <v>0</v>
      </c>
      <c r="C2574" s="470" t="n">
        <v>0</v>
      </c>
      <c r="D2574" s="470" t="n">
        <v>17</v>
      </c>
      <c r="E2574" s="470" t="n">
        <v>3</v>
      </c>
      <c r="F2574" s="470" t="n">
        <v>80</v>
      </c>
      <c r="G2574" s="470" t="n">
        <v>0</v>
      </c>
      <c r="H2574" s="470" t="n">
        <v>0</v>
      </c>
      <c r="I2574" s="470" t="n">
        <v>0</v>
      </c>
      <c r="J2574" s="44" t="n">
        <v>0</v>
      </c>
      <c r="K2574" s="44" t="n">
        <v>0</v>
      </c>
      <c r="L2574" s="1640" t="n">
        <v>0</v>
      </c>
      <c r="M2574" s="451" t="n">
        <v>0</v>
      </c>
      <c r="N2574" s="467" t="n">
        <v>0</v>
      </c>
      <c r="O2574" s="467" t="n">
        <v>0</v>
      </c>
      <c r="P2574" s="467" t="n"/>
      <c r="Q2574" s="453" t="n"/>
      <c r="R2574" s="453" t="n"/>
      <c r="S2574" s="453" t="n"/>
      <c r="T2574" s="453" t="n"/>
      <c r="U2574" s="453" t="n"/>
      <c r="V2574" s="453" t="n"/>
    </row>
    <row r="2575" customFormat="1" s="21">
      <c r="A2575" s="405" t="inlineStr">
        <is>
          <t>East Asia and South-East Asia</t>
        </is>
      </c>
      <c r="B2575" s="467" t="n">
        <v>0</v>
      </c>
      <c r="C2575" s="467" t="n">
        <v>0</v>
      </c>
      <c r="D2575" s="467" t="n">
        <v>17</v>
      </c>
      <c r="E2575" s="467" t="n">
        <v>3</v>
      </c>
      <c r="F2575" s="467" t="n">
        <v>80</v>
      </c>
      <c r="G2575" s="467" t="n">
        <v>0</v>
      </c>
      <c r="H2575" s="467" t="n">
        <v>0</v>
      </c>
      <c r="I2575" s="467" t="n">
        <v>0</v>
      </c>
      <c r="J2575" s="41" t="n">
        <v>0</v>
      </c>
      <c r="K2575" s="41" t="n">
        <v>0</v>
      </c>
      <c r="L2575" s="451" t="n">
        <v>0</v>
      </c>
      <c r="M2575" s="451" t="n">
        <v>0</v>
      </c>
      <c r="N2575" s="467" t="n">
        <v>0</v>
      </c>
      <c r="O2575" s="467" t="n">
        <v>0</v>
      </c>
      <c r="P2575" s="467" t="n"/>
      <c r="Q2575" s="453" t="n"/>
      <c r="R2575" s="453" t="n"/>
      <c r="S2575" s="453" t="n"/>
      <c r="T2575" s="453" t="n"/>
      <c r="U2575" s="453" t="n"/>
      <c r="V2575" s="453" t="n"/>
    </row>
    <row r="2576" customFormat="1" s="21">
      <c r="A2576" s="405" t="inlineStr">
        <is>
          <t>North America</t>
        </is>
      </c>
      <c r="B2576" s="467" t="n">
        <v>0</v>
      </c>
      <c r="C2576" s="467" t="n">
        <v>0</v>
      </c>
      <c r="D2576" s="467" t="n">
        <v>0</v>
      </c>
      <c r="E2576" s="467" t="n">
        <v>0</v>
      </c>
      <c r="F2576" s="467" t="n">
        <v>0</v>
      </c>
      <c r="G2576" s="467" t="n">
        <v>0</v>
      </c>
      <c r="H2576" s="467" t="n">
        <v>0</v>
      </c>
      <c r="I2576" s="467" t="n">
        <v>0</v>
      </c>
      <c r="J2576" s="41" t="n">
        <v>0</v>
      </c>
      <c r="K2576" s="41" t="n">
        <v>0</v>
      </c>
      <c r="L2576" s="468" t="n">
        <v>0</v>
      </c>
      <c r="M2576" s="451" t="n">
        <v>0</v>
      </c>
      <c r="N2576" s="467" t="n">
        <v>0</v>
      </c>
      <c r="O2576" s="467" t="n">
        <v>0</v>
      </c>
      <c r="P2576" s="467" t="n"/>
      <c r="Q2576" s="453" t="n"/>
      <c r="R2576" s="453" t="n"/>
      <c r="S2576" s="453" t="n"/>
      <c r="T2576" s="453" t="n"/>
      <c r="U2576" s="453" t="n"/>
      <c r="V2576" s="453" t="n"/>
    </row>
    <row r="2577" customFormat="1" s="21">
      <c r="A2577" s="405" t="inlineStr">
        <is>
          <t>Latin America and the Caribbean</t>
        </is>
      </c>
      <c r="B2577" s="467" t="n">
        <v>0</v>
      </c>
      <c r="C2577" s="467" t="n">
        <v>0</v>
      </c>
      <c r="D2577" s="467" t="n">
        <v>17</v>
      </c>
      <c r="E2577" s="467" t="n">
        <v>3</v>
      </c>
      <c r="F2577" s="467" t="n">
        <v>80</v>
      </c>
      <c r="G2577" s="467" t="n">
        <v>0</v>
      </c>
      <c r="H2577" s="467" t="n">
        <v>0</v>
      </c>
      <c r="I2577" s="467" t="n">
        <v>0</v>
      </c>
      <c r="J2577" s="41" t="n">
        <v>0</v>
      </c>
      <c r="K2577" s="41" t="n">
        <v>0</v>
      </c>
      <c r="L2577" s="451" t="n">
        <v>0</v>
      </c>
      <c r="M2577" s="451" t="n">
        <v>0</v>
      </c>
      <c r="N2577" s="467" t="n">
        <v>0</v>
      </c>
      <c r="O2577" s="467" t="n">
        <v>0</v>
      </c>
      <c r="P2577" s="467" t="n"/>
      <c r="Q2577" s="453" t="n"/>
      <c r="R2577" s="453" t="n"/>
      <c r="S2577" s="453" t="n"/>
      <c r="T2577" s="453" t="n"/>
      <c r="U2577" s="453" t="n"/>
      <c r="V2577" s="453" t="n"/>
    </row>
    <row r="2578" customFormat="1" s="21">
      <c r="A2578" s="405" t="inlineStr">
        <is>
          <t>Western Europe</t>
        </is>
      </c>
      <c r="B2578" s="467" t="n">
        <v>0</v>
      </c>
      <c r="C2578" s="467" t="n">
        <v>0</v>
      </c>
      <c r="D2578" s="467" t="n">
        <v>21</v>
      </c>
      <c r="E2578" s="467" t="n">
        <v>0</v>
      </c>
      <c r="F2578" s="467" t="n">
        <v>78</v>
      </c>
      <c r="G2578" s="467" t="n">
        <v>0</v>
      </c>
      <c r="H2578" s="467" t="n">
        <v>0</v>
      </c>
      <c r="I2578" s="467" t="n">
        <v>0</v>
      </c>
      <c r="J2578" s="41" t="n">
        <v>0</v>
      </c>
      <c r="K2578" s="41" t="n">
        <v>0</v>
      </c>
      <c r="L2578" s="451" t="n">
        <v>0</v>
      </c>
      <c r="M2578" s="451" t="n">
        <v>0</v>
      </c>
      <c r="N2578" s="467" t="n">
        <v>0</v>
      </c>
      <c r="O2578" s="467" t="n">
        <v>0</v>
      </c>
      <c r="P2578" s="467" t="n"/>
      <c r="Q2578" s="453" t="n"/>
      <c r="R2578" s="453" t="n"/>
      <c r="S2578" s="453" t="n"/>
      <c r="T2578" s="453" t="n"/>
      <c r="U2578" s="453" t="n"/>
      <c r="V2578" s="453" t="n"/>
    </row>
    <row r="2579" customFormat="1" s="21">
      <c r="A2579" s="405" t="inlineStr">
        <is>
          <t>Eastern Europe</t>
        </is>
      </c>
      <c r="B2579" s="467" t="n">
        <v>0</v>
      </c>
      <c r="C2579" s="467" t="n">
        <v>0</v>
      </c>
      <c r="D2579" s="467" t="n">
        <v>42</v>
      </c>
      <c r="E2579" s="467" t="n">
        <v>0</v>
      </c>
      <c r="F2579" s="467" t="n">
        <v>58</v>
      </c>
      <c r="G2579" s="467" t="n">
        <v>0</v>
      </c>
      <c r="H2579" s="467" t="n">
        <v>0</v>
      </c>
      <c r="I2579" s="467" t="n">
        <v>0</v>
      </c>
      <c r="J2579" s="41" t="n">
        <v>0</v>
      </c>
      <c r="K2579" s="41" t="n">
        <v>0</v>
      </c>
      <c r="L2579" s="451" t="n">
        <v>0</v>
      </c>
      <c r="M2579" s="451" t="n">
        <v>0</v>
      </c>
      <c r="N2579" s="467" t="n">
        <v>0</v>
      </c>
      <c r="O2579" s="467" t="n">
        <v>0</v>
      </c>
      <c r="P2579" s="467" t="n"/>
      <c r="Q2579" s="453" t="n"/>
      <c r="R2579" s="453" t="n"/>
      <c r="S2579" s="453" t="n"/>
      <c r="T2579" s="453" t="n"/>
      <c r="U2579" s="453" t="n"/>
      <c r="V2579" s="453" t="n"/>
    </row>
    <row r="2580" customFormat="1" s="21">
      <c r="A2580" s="405" t="inlineStr">
        <is>
          <t>Russian Federation</t>
        </is>
      </c>
      <c r="B2580" s="467" t="n">
        <v>0</v>
      </c>
      <c r="C2580" s="467" t="n">
        <v>0</v>
      </c>
      <c r="D2580" s="467" t="n">
        <v>42</v>
      </c>
      <c r="E2580" s="467" t="n">
        <v>0</v>
      </c>
      <c r="F2580" s="467" t="n">
        <v>58</v>
      </c>
      <c r="G2580" s="467" t="n">
        <v>0</v>
      </c>
      <c r="H2580" s="467" t="n">
        <v>0</v>
      </c>
      <c r="I2580" s="467" t="n">
        <v>0</v>
      </c>
      <c r="J2580" s="41" t="n">
        <v>0</v>
      </c>
      <c r="K2580" s="41" t="n">
        <v>0</v>
      </c>
      <c r="L2580" s="451" t="n">
        <v>0</v>
      </c>
      <c r="M2580" s="451" t="n">
        <v>0</v>
      </c>
      <c r="N2580" s="467" t="n">
        <v>0</v>
      </c>
      <c r="O2580" s="467" t="n">
        <v>0</v>
      </c>
      <c r="P2580" s="467" t="n"/>
      <c r="Q2580" s="453" t="n"/>
      <c r="R2580" s="453" t="n"/>
      <c r="S2580" s="453" t="n"/>
      <c r="T2580" s="453" t="n"/>
      <c r="U2580" s="453" t="n"/>
      <c r="V2580" s="453" t="n"/>
    </row>
    <row r="2581" customFormat="1" s="21">
      <c r="A2581" s="405" t="inlineStr">
        <is>
          <t>Oceania</t>
        </is>
      </c>
      <c r="B2581" s="467" t="n">
        <v>0</v>
      </c>
      <c r="C2581" s="467" t="n">
        <v>0</v>
      </c>
      <c r="D2581" s="467" t="n">
        <v>0</v>
      </c>
      <c r="E2581" s="467" t="n">
        <v>0</v>
      </c>
      <c r="F2581" s="467" t="n">
        <v>0</v>
      </c>
      <c r="G2581" s="467" t="n">
        <v>0</v>
      </c>
      <c r="H2581" s="467" t="n">
        <v>0</v>
      </c>
      <c r="I2581" s="467" t="n">
        <v>0</v>
      </c>
      <c r="J2581" s="41" t="n">
        <v>0</v>
      </c>
      <c r="K2581" s="41" t="n">
        <v>0</v>
      </c>
      <c r="L2581" s="468" t="n">
        <v>0</v>
      </c>
      <c r="M2581" s="451" t="n">
        <v>0</v>
      </c>
      <c r="N2581" s="467" t="n">
        <v>0</v>
      </c>
      <c r="O2581" s="467" t="n">
        <v>0</v>
      </c>
      <c r="P2581" s="467" t="n"/>
    </row>
    <row r="2582" customFormat="1" s="453">
      <c r="A2582" s="405" t="inlineStr">
        <is>
          <t>NENA/Middle East</t>
        </is>
      </c>
      <c r="B2582" s="41" t="n">
        <v>0</v>
      </c>
      <c r="C2582" s="41" t="n">
        <v>0</v>
      </c>
      <c r="D2582" s="41" t="n">
        <v>0</v>
      </c>
      <c r="E2582" s="41" t="n">
        <v>50</v>
      </c>
      <c r="F2582" s="41" t="n">
        <v>50</v>
      </c>
      <c r="G2582" s="41" t="n">
        <v>0</v>
      </c>
      <c r="H2582" s="41" t="n">
        <v>0</v>
      </c>
      <c r="I2582" s="467" t="n">
        <v>0</v>
      </c>
      <c r="J2582" s="41" t="n">
        <v>0</v>
      </c>
      <c r="K2582" s="41" t="n">
        <v>0</v>
      </c>
      <c r="L2582" s="451" t="n">
        <v>0</v>
      </c>
      <c r="M2582" s="451" t="n">
        <v>0</v>
      </c>
      <c r="N2582" s="467" t="n">
        <v>0</v>
      </c>
      <c r="O2582" s="467" t="n">
        <v>0</v>
      </c>
      <c r="P2582" s="467" t="n"/>
    </row>
    <row r="2583" customFormat="1" s="453">
      <c r="A2583" s="405" t="inlineStr">
        <is>
          <t>South Asia</t>
        </is>
      </c>
      <c r="B2583" s="467" t="n">
        <v>0</v>
      </c>
      <c r="C2583" s="467" t="n">
        <v>0</v>
      </c>
      <c r="D2583" s="467" t="n">
        <v>17</v>
      </c>
      <c r="E2583" s="467" t="n">
        <v>3</v>
      </c>
      <c r="F2583" s="467" t="n">
        <v>80</v>
      </c>
      <c r="G2583" s="467" t="n">
        <v>0</v>
      </c>
      <c r="H2583" s="467" t="n">
        <v>0</v>
      </c>
      <c r="I2583" s="467" t="n">
        <v>0</v>
      </c>
      <c r="J2583" s="41" t="n">
        <v>0</v>
      </c>
      <c r="K2583" s="41" t="n">
        <v>0</v>
      </c>
      <c r="L2583" s="468" t="n">
        <v>0</v>
      </c>
      <c r="M2583" s="451" t="n">
        <v>0</v>
      </c>
      <c r="N2583" s="467" t="n">
        <v>0</v>
      </c>
      <c r="O2583" s="467" t="n">
        <v>0</v>
      </c>
      <c r="P2583" s="467" t="n"/>
    </row>
    <row r="2584" customFormat="1" s="535">
      <c r="A2584" s="518" t="inlineStr">
        <is>
          <t>Notes : Eastern europe proxy used for Russian Federation</t>
        </is>
      </c>
      <c r="F2584" s="1624" t="n"/>
      <c r="G2584" s="1624" t="n"/>
      <c r="H2584" s="1624" t="n"/>
      <c r="I2584" s="1624" t="n"/>
      <c r="J2584" s="1624" t="n"/>
      <c r="K2584" s="1624" t="n"/>
      <c r="L2584" s="1624" t="n"/>
      <c r="M2584" s="1624" t="n"/>
      <c r="N2584" s="1624" t="n"/>
    </row>
    <row r="2585" customFormat="1" s="292"/>
    <row r="2587" ht="14.25" customFormat="1" customHeight="1" s="125">
      <c r="A2587" s="377" t="inlineStr">
        <is>
          <t>Animal waste management system</t>
        </is>
      </c>
      <c r="D2587" s="1075" t="n"/>
      <c r="E2587" s="1075" t="n"/>
      <c r="F2587" s="1075" t="n"/>
      <c r="G2587" s="1075" t="n"/>
      <c r="H2587" s="1075" t="n"/>
      <c r="I2587" s="1075" t="n"/>
      <c r="L2587" s="1075" t="n"/>
    </row>
    <row r="2588" ht="16.25" customFormat="1" customHeight="1" s="773">
      <c r="A2588" s="753" t="inlineStr">
        <is>
          <t>Goat</t>
        </is>
      </c>
      <c r="B2588" s="442" t="inlineStr">
        <is>
          <t>Table 10A.8</t>
        </is>
      </c>
      <c r="C2588" s="442" t="inlineStr">
        <is>
          <t>Table 10A.8</t>
        </is>
      </c>
      <c r="D2588" s="442" t="inlineStr">
        <is>
          <t>Table 10A.8</t>
        </is>
      </c>
      <c r="E2588" s="442" t="inlineStr">
        <is>
          <t>Table 10A.8</t>
        </is>
      </c>
      <c r="F2588" s="442" t="inlineStr">
        <is>
          <t>Table 10A.8</t>
        </is>
      </c>
      <c r="G2588" s="442" t="inlineStr">
        <is>
          <t>Table 10A.8</t>
        </is>
      </c>
      <c r="H2588" s="442" t="inlineStr">
        <is>
          <t>Table 10A.8</t>
        </is>
      </c>
      <c r="I2588" s="442" t="inlineStr">
        <is>
          <t>Table 10A.8</t>
        </is>
      </c>
      <c r="J2588" s="442" t="inlineStr">
        <is>
          <t>Table 10A.8</t>
        </is>
      </c>
      <c r="K2588" s="442" t="inlineStr">
        <is>
          <t>Table 10A.8</t>
        </is>
      </c>
      <c r="L2588" s="442" t="inlineStr">
        <is>
          <t>Table 10A.8</t>
        </is>
      </c>
      <c r="M2588" s="442" t="inlineStr">
        <is>
          <t>Table 10A.9</t>
        </is>
      </c>
      <c r="N2588" s="442" t="inlineStr">
        <is>
          <t>Table 10A.9</t>
        </is>
      </c>
      <c r="O2588" s="442" t="inlineStr">
        <is>
          <t>Table 10A.9</t>
        </is>
      </c>
      <c r="P2588" s="442" t="n"/>
      <c r="Q2588" s="442" t="n"/>
      <c r="R2588" s="442" t="n"/>
      <c r="S2588" s="442" t="n"/>
      <c r="T2588" s="442" t="n"/>
      <c r="U2588" s="442" t="n"/>
      <c r="V2588" s="442" t="n"/>
    </row>
    <row r="2589" ht="16" customFormat="1" customHeight="1" s="291">
      <c r="A2589" s="1641" t="inlineStr">
        <is>
          <t>Please select</t>
        </is>
      </c>
      <c r="B2589" s="1642" t="inlineStr">
        <is>
          <t>Lagoon</t>
        </is>
      </c>
      <c r="C2589" s="1642" t="inlineStr">
        <is>
          <t>Liquid/slurry</t>
        </is>
      </c>
      <c r="D2589" s="1642" t="inlineStr">
        <is>
          <t>Solid storage</t>
        </is>
      </c>
      <c r="E2589" s="1642" t="inlineStr">
        <is>
          <t>Dry lot</t>
        </is>
      </c>
      <c r="F2589" s="1642" t="inlineStr">
        <is>
          <t>Pasture/Range/Paddock</t>
        </is>
      </c>
      <c r="G2589" s="1642" t="inlineStr">
        <is>
          <t>Daily spread</t>
        </is>
      </c>
      <c r="H2589" s="1642" t="inlineStr">
        <is>
          <t>Digester</t>
        </is>
      </c>
      <c r="I2589" s="1639" t="inlineStr">
        <is>
          <t>Burned for fuel</t>
        </is>
      </c>
      <c r="J2589" s="1639" t="inlineStr">
        <is>
          <t>Pit&lt;1Month</t>
        </is>
      </c>
      <c r="K2589" s="1639" t="inlineStr">
        <is>
          <t>Pit&gt;1 month</t>
        </is>
      </c>
      <c r="L2589" s="1642" t="inlineStr">
        <is>
          <t>Poultry manure</t>
        </is>
      </c>
      <c r="M2589" s="291" t="inlineStr">
        <is>
          <t>Deep bedding</t>
        </is>
      </c>
      <c r="N2589" s="2156" t="inlineStr">
        <is>
          <t>Composting</t>
        </is>
      </c>
      <c r="O2589" s="2156" t="inlineStr">
        <is>
          <t>Aerobic treatment</t>
        </is>
      </c>
      <c r="P2589" s="1658" t="inlineStr">
        <is>
          <t>Other (pls. go Tier 2)</t>
        </is>
      </c>
      <c r="Q2589" s="453" t="n"/>
      <c r="R2589" s="453" t="n"/>
      <c r="S2589" s="453" t="n"/>
      <c r="T2589" s="453" t="n"/>
      <c r="U2589" s="453" t="n"/>
      <c r="V2589" s="453" t="n"/>
      <c r="W2589" s="21" t="n"/>
      <c r="X2589" s="21" t="n"/>
    </row>
    <row r="2590" ht="16" customFormat="1" customHeight="1" s="1093">
      <c r="A2590" s="523" t="inlineStr">
        <is>
          <t>IPCC Region</t>
        </is>
      </c>
      <c r="B2590" s="1636" t="inlineStr">
        <is>
          <t>%</t>
        </is>
      </c>
      <c r="C2590" s="1636" t="inlineStr">
        <is>
          <t>%</t>
        </is>
      </c>
      <c r="D2590" s="1636" t="inlineStr">
        <is>
          <t>%</t>
        </is>
      </c>
      <c r="E2590" s="1636" t="inlineStr">
        <is>
          <t>%</t>
        </is>
      </c>
      <c r="F2590" s="1636" t="inlineStr">
        <is>
          <t>%</t>
        </is>
      </c>
      <c r="G2590" s="1636" t="inlineStr">
        <is>
          <t>%</t>
        </is>
      </c>
      <c r="H2590" s="1636" t="inlineStr">
        <is>
          <t>%</t>
        </is>
      </c>
      <c r="I2590" s="1636" t="inlineStr">
        <is>
          <t>%</t>
        </is>
      </c>
      <c r="J2590" s="1635" t="inlineStr">
        <is>
          <t>%</t>
        </is>
      </c>
      <c r="K2590" s="1635" t="inlineStr">
        <is>
          <t>%</t>
        </is>
      </c>
      <c r="L2590" s="1636" t="inlineStr">
        <is>
          <t>%</t>
        </is>
      </c>
      <c r="M2590" s="31" t="inlineStr">
        <is>
          <t>%</t>
        </is>
      </c>
      <c r="N2590" s="31" t="inlineStr">
        <is>
          <t>%</t>
        </is>
      </c>
      <c r="O2590" s="31" t="inlineStr">
        <is>
          <t>%</t>
        </is>
      </c>
      <c r="P2590" s="31" t="inlineStr">
        <is>
          <t>%</t>
        </is>
      </c>
      <c r="Q2590" s="1092" t="n"/>
      <c r="R2590" s="1092" t="n"/>
      <c r="S2590" s="1092" t="n"/>
      <c r="T2590" s="1092" t="n"/>
      <c r="U2590" s="1092" t="n"/>
      <c r="V2590" s="1092" t="n"/>
    </row>
    <row r="2591" customFormat="1" s="21">
      <c r="A2591" s="407" t="inlineStr">
        <is>
          <t>Sub-Saharan Africa</t>
        </is>
      </c>
      <c r="B2591" s="470" t="n">
        <v>0</v>
      </c>
      <c r="C2591" s="470" t="n">
        <v>0</v>
      </c>
      <c r="D2591" s="470" t="n">
        <v>17</v>
      </c>
      <c r="E2591" s="470" t="n">
        <v>3</v>
      </c>
      <c r="F2591" s="470" t="n">
        <v>80</v>
      </c>
      <c r="G2591" s="470" t="n">
        <v>0</v>
      </c>
      <c r="H2591" s="470" t="n">
        <v>0</v>
      </c>
      <c r="I2591" s="470" t="n">
        <v>0</v>
      </c>
      <c r="J2591" s="44" t="n">
        <v>0</v>
      </c>
      <c r="K2591" s="44" t="n">
        <v>0</v>
      </c>
      <c r="L2591" s="1640" t="n">
        <v>0</v>
      </c>
      <c r="M2591" s="451" t="n">
        <v>0</v>
      </c>
      <c r="N2591" s="467" t="n">
        <v>0</v>
      </c>
      <c r="O2591" s="467" t="n">
        <v>0</v>
      </c>
      <c r="P2591" s="467" t="n"/>
      <c r="Q2591" s="453" t="n"/>
      <c r="R2591" s="453" t="n"/>
      <c r="S2591" s="453" t="n"/>
      <c r="T2591" s="453" t="n"/>
      <c r="U2591" s="453" t="n"/>
      <c r="V2591" s="453" t="n"/>
    </row>
    <row r="2592" customFormat="1" s="21">
      <c r="A2592" s="405" t="inlineStr">
        <is>
          <t>East Asia and South-East Asia</t>
        </is>
      </c>
      <c r="B2592" s="467" t="n">
        <v>0</v>
      </c>
      <c r="C2592" s="467" t="n">
        <v>0</v>
      </c>
      <c r="D2592" s="467" t="n">
        <v>50</v>
      </c>
      <c r="E2592" s="467" t="n">
        <v>0</v>
      </c>
      <c r="F2592" s="467" t="n">
        <v>50</v>
      </c>
      <c r="G2592" s="467" t="n">
        <v>0</v>
      </c>
      <c r="H2592" s="467" t="n">
        <v>0</v>
      </c>
      <c r="I2592" s="467" t="n">
        <v>0</v>
      </c>
      <c r="J2592" s="41" t="n">
        <v>0</v>
      </c>
      <c r="K2592" s="41" t="n">
        <v>0</v>
      </c>
      <c r="L2592" s="451" t="n">
        <v>0</v>
      </c>
      <c r="M2592" s="451" t="n">
        <v>0</v>
      </c>
      <c r="N2592" s="467" t="n">
        <v>0</v>
      </c>
      <c r="O2592" s="467" t="n">
        <v>0</v>
      </c>
      <c r="P2592" s="467" t="n"/>
      <c r="Q2592" s="453" t="n"/>
      <c r="R2592" s="453" t="n"/>
      <c r="S2592" s="453" t="n"/>
      <c r="T2592" s="453" t="n"/>
      <c r="U2592" s="453" t="n"/>
      <c r="V2592" s="453" t="n"/>
    </row>
    <row r="2593" customFormat="1" s="21">
      <c r="A2593" s="405" t="inlineStr">
        <is>
          <t>North America</t>
        </is>
      </c>
      <c r="B2593" s="467" t="n">
        <v>0</v>
      </c>
      <c r="C2593" s="467" t="n">
        <v>0</v>
      </c>
      <c r="D2593" s="467" t="n">
        <v>50</v>
      </c>
      <c r="E2593" s="467" t="n">
        <v>0</v>
      </c>
      <c r="F2593" s="467" t="n">
        <v>50</v>
      </c>
      <c r="G2593" s="467" t="n">
        <v>0</v>
      </c>
      <c r="H2593" s="467" t="n">
        <v>0</v>
      </c>
      <c r="I2593" s="467" t="n">
        <v>0</v>
      </c>
      <c r="J2593" s="41" t="n">
        <v>0</v>
      </c>
      <c r="K2593" s="41" t="n">
        <v>0</v>
      </c>
      <c r="L2593" s="468" t="n">
        <v>0</v>
      </c>
      <c r="M2593" s="451" t="n">
        <v>0</v>
      </c>
      <c r="N2593" s="467" t="n">
        <v>0</v>
      </c>
      <c r="O2593" s="467" t="n">
        <v>0</v>
      </c>
      <c r="P2593" s="467" t="n"/>
      <c r="Q2593" s="453" t="n"/>
      <c r="R2593" s="453" t="n"/>
      <c r="S2593" s="453" t="n"/>
      <c r="T2593" s="453" t="n"/>
      <c r="U2593" s="453" t="n"/>
      <c r="V2593" s="453" t="n"/>
    </row>
    <row r="2594" customFormat="1" s="21">
      <c r="A2594" s="405" t="inlineStr">
        <is>
          <t>Latin America and the Caribbean</t>
        </is>
      </c>
      <c r="B2594" s="467" t="n">
        <v>0</v>
      </c>
      <c r="C2594" s="467" t="n">
        <v>0</v>
      </c>
      <c r="D2594" s="467" t="n">
        <v>17</v>
      </c>
      <c r="E2594" s="467" t="n">
        <v>3</v>
      </c>
      <c r="F2594" s="467" t="n">
        <v>80</v>
      </c>
      <c r="G2594" s="467" t="n">
        <v>0</v>
      </c>
      <c r="H2594" s="467" t="n">
        <v>0</v>
      </c>
      <c r="I2594" s="467" t="n">
        <v>0</v>
      </c>
      <c r="J2594" s="41" t="n">
        <v>0</v>
      </c>
      <c r="K2594" s="41" t="n">
        <v>0</v>
      </c>
      <c r="L2594" s="451" t="n">
        <v>0</v>
      </c>
      <c r="M2594" s="451" t="n">
        <v>0</v>
      </c>
      <c r="N2594" s="467" t="n">
        <v>0</v>
      </c>
      <c r="O2594" s="467" t="n">
        <v>0</v>
      </c>
      <c r="P2594" s="467" t="n"/>
      <c r="Q2594" s="453" t="n"/>
      <c r="R2594" s="453" t="n"/>
      <c r="S2594" s="453" t="n"/>
      <c r="T2594" s="453" t="n"/>
      <c r="U2594" s="453" t="n"/>
      <c r="V2594" s="453" t="n"/>
    </row>
    <row r="2595" customFormat="1" s="21">
      <c r="A2595" s="405" t="inlineStr">
        <is>
          <t>Western Europe</t>
        </is>
      </c>
      <c r="B2595" s="467" t="n">
        <v>0</v>
      </c>
      <c r="C2595" s="467" t="n">
        <v>0</v>
      </c>
      <c r="D2595" s="467" t="n">
        <v>28</v>
      </c>
      <c r="E2595" s="467" t="n">
        <v>0</v>
      </c>
      <c r="F2595" s="467" t="n">
        <v>72</v>
      </c>
      <c r="G2595" s="467" t="n">
        <v>0</v>
      </c>
      <c r="H2595" s="467" t="n">
        <v>0</v>
      </c>
      <c r="I2595" s="467" t="n">
        <v>0</v>
      </c>
      <c r="J2595" s="41" t="n">
        <v>0</v>
      </c>
      <c r="K2595" s="41" t="n">
        <v>0</v>
      </c>
      <c r="L2595" s="451" t="n">
        <v>0</v>
      </c>
      <c r="M2595" s="451" t="n">
        <v>0</v>
      </c>
      <c r="N2595" s="467" t="n">
        <v>0</v>
      </c>
      <c r="O2595" s="467" t="n">
        <v>0</v>
      </c>
      <c r="P2595" s="467" t="n"/>
      <c r="Q2595" s="453" t="n"/>
      <c r="R2595" s="453" t="n"/>
      <c r="S2595" s="453" t="n"/>
      <c r="T2595" s="453" t="n"/>
      <c r="U2595" s="453" t="n"/>
      <c r="V2595" s="453" t="n"/>
    </row>
    <row r="2596" customFormat="1" s="21">
      <c r="A2596" s="405" t="inlineStr">
        <is>
          <t>Eastern Europe</t>
        </is>
      </c>
      <c r="B2596" s="467" t="n">
        <v>0</v>
      </c>
      <c r="C2596" s="467" t="n">
        <v>0</v>
      </c>
      <c r="D2596" s="467" t="n">
        <v>9</v>
      </c>
      <c r="E2596" s="467" t="n">
        <v>0</v>
      </c>
      <c r="F2596" s="467" t="n">
        <v>91</v>
      </c>
      <c r="G2596" s="467" t="n">
        <v>0</v>
      </c>
      <c r="H2596" s="467" t="n">
        <v>0</v>
      </c>
      <c r="I2596" s="467" t="n">
        <v>0</v>
      </c>
      <c r="J2596" s="41" t="n">
        <v>0</v>
      </c>
      <c r="K2596" s="41" t="n">
        <v>0</v>
      </c>
      <c r="L2596" s="451" t="n">
        <v>0</v>
      </c>
      <c r="M2596" s="451" t="n">
        <v>0</v>
      </c>
      <c r="N2596" s="467" t="n">
        <v>0</v>
      </c>
      <c r="O2596" s="467" t="n">
        <v>0</v>
      </c>
      <c r="P2596" s="467" t="n"/>
      <c r="Q2596" s="453" t="n"/>
      <c r="R2596" s="453" t="n"/>
      <c r="S2596" s="453" t="n"/>
      <c r="T2596" s="453" t="n"/>
      <c r="U2596" s="453" t="n"/>
      <c r="V2596" s="453" t="n"/>
    </row>
    <row r="2597" customFormat="1" s="21">
      <c r="A2597" s="405" t="inlineStr">
        <is>
          <t>Russian Federation</t>
        </is>
      </c>
      <c r="B2597" s="467" t="n">
        <v>0</v>
      </c>
      <c r="C2597" s="467" t="n">
        <v>0</v>
      </c>
      <c r="D2597" s="467" t="n">
        <v>82</v>
      </c>
      <c r="E2597" s="467" t="n">
        <v>0</v>
      </c>
      <c r="F2597" s="467" t="n">
        <v>18</v>
      </c>
      <c r="G2597" s="467" t="n">
        <v>0</v>
      </c>
      <c r="H2597" s="467" t="n">
        <v>0</v>
      </c>
      <c r="I2597" s="467" t="n">
        <v>0</v>
      </c>
      <c r="J2597" s="41" t="n">
        <v>0</v>
      </c>
      <c r="K2597" s="41" t="n">
        <v>0</v>
      </c>
      <c r="L2597" s="451" t="n">
        <v>0</v>
      </c>
      <c r="M2597" s="451" t="n">
        <v>0</v>
      </c>
      <c r="N2597" s="467" t="n">
        <v>0</v>
      </c>
      <c r="O2597" s="467" t="n">
        <v>0</v>
      </c>
      <c r="P2597" s="467" t="n"/>
      <c r="Q2597" s="453" t="n"/>
      <c r="R2597" s="453" t="n"/>
      <c r="S2597" s="453" t="n"/>
      <c r="T2597" s="453" t="n"/>
      <c r="U2597" s="453" t="n"/>
      <c r="V2597" s="453" t="n"/>
    </row>
    <row r="2598" customFormat="1" s="21">
      <c r="A2598" s="405" t="inlineStr">
        <is>
          <t>Oceania</t>
        </is>
      </c>
      <c r="B2598" s="467" t="n">
        <v>0</v>
      </c>
      <c r="C2598" s="467" t="n">
        <v>0</v>
      </c>
      <c r="D2598" s="467" t="n">
        <v>0</v>
      </c>
      <c r="E2598" s="467" t="n">
        <v>0</v>
      </c>
      <c r="F2598" s="467" t="n">
        <v>100</v>
      </c>
      <c r="G2598" s="467" t="n">
        <v>0</v>
      </c>
      <c r="H2598" s="467" t="n">
        <v>0</v>
      </c>
      <c r="I2598" s="467" t="n">
        <v>0</v>
      </c>
      <c r="J2598" s="41" t="n">
        <v>0</v>
      </c>
      <c r="K2598" s="41" t="n">
        <v>0</v>
      </c>
      <c r="L2598" s="468" t="n">
        <v>0</v>
      </c>
      <c r="M2598" s="451" t="n">
        <v>0</v>
      </c>
      <c r="N2598" s="467" t="n">
        <v>0</v>
      </c>
      <c r="O2598" s="467" t="n">
        <v>0</v>
      </c>
      <c r="P2598" s="467" t="n"/>
    </row>
    <row r="2599" customFormat="1" s="453">
      <c r="A2599" s="405" t="inlineStr">
        <is>
          <t>NENA/Middle East</t>
        </is>
      </c>
      <c r="B2599" s="41" t="n">
        <v>0</v>
      </c>
      <c r="C2599" s="41" t="n">
        <v>0</v>
      </c>
      <c r="D2599" s="41" t="n">
        <v>0</v>
      </c>
      <c r="E2599" s="41" t="n">
        <v>50</v>
      </c>
      <c r="F2599" s="41" t="n">
        <v>50</v>
      </c>
      <c r="G2599" s="41" t="n">
        <v>0</v>
      </c>
      <c r="H2599" s="41" t="n">
        <v>0</v>
      </c>
      <c r="I2599" s="467" t="n">
        <v>0</v>
      </c>
      <c r="J2599" s="41" t="n">
        <v>0</v>
      </c>
      <c r="K2599" s="41" t="n">
        <v>0</v>
      </c>
      <c r="L2599" s="451" t="n">
        <v>0</v>
      </c>
      <c r="M2599" s="451" t="n">
        <v>0</v>
      </c>
      <c r="N2599" s="467" t="n">
        <v>0</v>
      </c>
      <c r="O2599" s="467" t="n">
        <v>0</v>
      </c>
      <c r="P2599" s="467" t="n"/>
    </row>
    <row r="2600" customFormat="1" s="453">
      <c r="A2600" s="405" t="inlineStr">
        <is>
          <t>South Asia</t>
        </is>
      </c>
      <c r="B2600" s="467" t="n">
        <v>0</v>
      </c>
      <c r="C2600" s="467" t="n">
        <v>0</v>
      </c>
      <c r="D2600" s="467" t="n">
        <v>50</v>
      </c>
      <c r="E2600" s="467" t="n">
        <v>0</v>
      </c>
      <c r="F2600" s="467" t="n">
        <v>50</v>
      </c>
      <c r="G2600" s="467" t="n">
        <v>0</v>
      </c>
      <c r="H2600" s="467" t="n">
        <v>0</v>
      </c>
      <c r="I2600" s="467" t="n">
        <v>0</v>
      </c>
      <c r="J2600" s="41" t="n">
        <v>0</v>
      </c>
      <c r="K2600" s="41" t="n">
        <v>0</v>
      </c>
      <c r="L2600" s="468" t="n">
        <v>0</v>
      </c>
      <c r="M2600" s="451" t="n">
        <v>0</v>
      </c>
      <c r="N2600" s="467" t="n">
        <v>0</v>
      </c>
      <c r="O2600" s="467" t="n">
        <v>0</v>
      </c>
      <c r="P2600" s="467" t="n"/>
    </row>
    <row r="2601" customFormat="1" s="535">
      <c r="A2601" s="518" t="inlineStr">
        <is>
          <t xml:space="preserve">Notes : </t>
        </is>
      </c>
      <c r="F2601" s="1624" t="n"/>
      <c r="G2601" s="1624" t="n"/>
      <c r="H2601" s="1624" t="n"/>
      <c r="I2601" s="1624" t="n"/>
      <c r="J2601" s="1624" t="n"/>
      <c r="K2601" s="1624" t="n"/>
      <c r="L2601" s="1624" t="n"/>
      <c r="M2601" s="1624" t="n"/>
      <c r="N2601" s="1624" t="n"/>
    </row>
    <row r="2602" customFormat="1" s="292"/>
    <row r="2604" ht="14.25" customFormat="1" customHeight="1" s="125">
      <c r="A2604" s="377" t="inlineStr">
        <is>
          <t>Animal waste management system</t>
        </is>
      </c>
      <c r="D2604" s="1075" t="n"/>
      <c r="E2604" s="1075" t="n"/>
      <c r="F2604" s="1075" t="n"/>
      <c r="G2604" s="1075" t="n"/>
      <c r="H2604" s="1075" t="n"/>
      <c r="I2604" s="1075" t="n"/>
      <c r="L2604" s="1075" t="n"/>
    </row>
    <row r="2605" ht="16.25" customFormat="1" customHeight="1" s="773">
      <c r="A2605" s="753" t="inlineStr">
        <is>
          <t>Chicken layer Default</t>
        </is>
      </c>
      <c r="B2605" s="442" t="inlineStr">
        <is>
          <t>Table 10A.9</t>
        </is>
      </c>
      <c r="C2605" s="442" t="inlineStr">
        <is>
          <t>Table 10A.9</t>
        </is>
      </c>
      <c r="D2605" s="442" t="inlineStr">
        <is>
          <t>Table 10A.9</t>
        </is>
      </c>
      <c r="E2605" s="442" t="inlineStr">
        <is>
          <t>Table 10A.9</t>
        </is>
      </c>
      <c r="F2605" s="442" t="inlineStr">
        <is>
          <t>Table 10A.9</t>
        </is>
      </c>
      <c r="G2605" s="442" t="inlineStr">
        <is>
          <t>Table 10A.9</t>
        </is>
      </c>
      <c r="H2605" s="442" t="inlineStr">
        <is>
          <t>Table 10A.9</t>
        </is>
      </c>
      <c r="I2605" s="442" t="inlineStr">
        <is>
          <t>Table 10A.9</t>
        </is>
      </c>
      <c r="J2605" s="442" t="inlineStr">
        <is>
          <t>Table 10A.9</t>
        </is>
      </c>
      <c r="K2605" s="442" t="inlineStr">
        <is>
          <t>Table 10A.9</t>
        </is>
      </c>
      <c r="L2605" s="442" t="inlineStr">
        <is>
          <t>Table 10A.9</t>
        </is>
      </c>
      <c r="M2605" s="442" t="inlineStr">
        <is>
          <t>Table 10A.9</t>
        </is>
      </c>
      <c r="N2605" s="442" t="inlineStr">
        <is>
          <t>Table 10A.9</t>
        </is>
      </c>
      <c r="O2605" s="442" t="inlineStr">
        <is>
          <t>Table 10A.9</t>
        </is>
      </c>
      <c r="P2605" s="442" t="n"/>
      <c r="Q2605" s="442" t="n"/>
      <c r="R2605" s="442" t="n"/>
      <c r="S2605" s="442" t="n"/>
      <c r="T2605" s="442" t="n"/>
      <c r="U2605" s="442" t="n"/>
      <c r="V2605" s="442" t="n"/>
    </row>
    <row r="2606" ht="16" customFormat="1" customHeight="1" s="291">
      <c r="A2606" s="1641" t="inlineStr">
        <is>
          <t>Please select</t>
        </is>
      </c>
      <c r="B2606" s="1642" t="inlineStr">
        <is>
          <t>Lagoon</t>
        </is>
      </c>
      <c r="C2606" s="1642" t="inlineStr">
        <is>
          <t>Liquid/slurry</t>
        </is>
      </c>
      <c r="D2606" s="1642" t="inlineStr">
        <is>
          <t>Solid storage</t>
        </is>
      </c>
      <c r="E2606" s="1642" t="inlineStr">
        <is>
          <t>Dry lot</t>
        </is>
      </c>
      <c r="F2606" s="1642" t="inlineStr">
        <is>
          <t>Pasture/Range/Paddock</t>
        </is>
      </c>
      <c r="G2606" s="1642" t="inlineStr">
        <is>
          <t>Daily spread</t>
        </is>
      </c>
      <c r="H2606" s="1642" t="inlineStr">
        <is>
          <t>Digester</t>
        </is>
      </c>
      <c r="I2606" s="1639" t="inlineStr">
        <is>
          <t>Burned for fuel</t>
        </is>
      </c>
      <c r="J2606" s="1639" t="inlineStr">
        <is>
          <t>Pit&lt;1Month</t>
        </is>
      </c>
      <c r="K2606" s="1639" t="inlineStr">
        <is>
          <t>Pit&gt;1 month</t>
        </is>
      </c>
      <c r="L2606" s="1642" t="inlineStr">
        <is>
          <t>Poultry manure</t>
        </is>
      </c>
      <c r="M2606" s="291" t="inlineStr">
        <is>
          <t>Deep bedding</t>
        </is>
      </c>
      <c r="N2606" s="2156" t="inlineStr">
        <is>
          <t>Composting</t>
        </is>
      </c>
      <c r="O2606" s="2156" t="inlineStr">
        <is>
          <t>Aerobic treatment</t>
        </is>
      </c>
      <c r="P2606" s="1658" t="inlineStr">
        <is>
          <t>Other (pls. go Tier 2)</t>
        </is>
      </c>
      <c r="Q2606" s="453" t="n"/>
      <c r="R2606" s="453" t="n"/>
      <c r="S2606" s="453" t="n"/>
      <c r="T2606" s="453" t="n"/>
      <c r="U2606" s="453" t="n"/>
      <c r="V2606" s="453" t="n"/>
      <c r="W2606" s="21" t="n"/>
      <c r="X2606" s="21" t="n"/>
    </row>
    <row r="2607" ht="16" customFormat="1" customHeight="1" s="1093">
      <c r="A2607" s="523" t="inlineStr">
        <is>
          <t>IPCC Region</t>
        </is>
      </c>
      <c r="B2607" s="1636" t="inlineStr">
        <is>
          <t>%</t>
        </is>
      </c>
      <c r="C2607" s="1636" t="inlineStr">
        <is>
          <t>%</t>
        </is>
      </c>
      <c r="D2607" s="1636" t="inlineStr">
        <is>
          <t>%</t>
        </is>
      </c>
      <c r="E2607" s="1636" t="inlineStr">
        <is>
          <t>%</t>
        </is>
      </c>
      <c r="F2607" s="1636" t="inlineStr">
        <is>
          <t>%</t>
        </is>
      </c>
      <c r="G2607" s="1636" t="inlineStr">
        <is>
          <t>%</t>
        </is>
      </c>
      <c r="H2607" s="1636" t="inlineStr">
        <is>
          <t>%</t>
        </is>
      </c>
      <c r="I2607" s="1636" t="inlineStr">
        <is>
          <t>%</t>
        </is>
      </c>
      <c r="J2607" s="1635" t="inlineStr">
        <is>
          <t>%</t>
        </is>
      </c>
      <c r="K2607" s="1635" t="inlineStr">
        <is>
          <t>%</t>
        </is>
      </c>
      <c r="L2607" s="1635" t="inlineStr">
        <is>
          <t>%</t>
        </is>
      </c>
      <c r="M2607" s="31" t="inlineStr">
        <is>
          <t>%</t>
        </is>
      </c>
      <c r="N2607" s="31" t="inlineStr">
        <is>
          <t>%</t>
        </is>
      </c>
      <c r="O2607" s="31" t="inlineStr">
        <is>
          <t>%</t>
        </is>
      </c>
      <c r="P2607" s="31" t="inlineStr">
        <is>
          <t>%</t>
        </is>
      </c>
      <c r="Q2607" s="1092" t="n"/>
      <c r="R2607" s="1092" t="n"/>
      <c r="S2607" s="1092" t="n"/>
      <c r="T2607" s="1092" t="n"/>
      <c r="U2607" s="1092" t="n"/>
      <c r="V2607" s="1092" t="n"/>
    </row>
    <row r="2608" customFormat="1" s="21">
      <c r="A2608" s="407" t="inlineStr">
        <is>
          <t>Sub-Saharan Africa</t>
        </is>
      </c>
      <c r="B2608" s="470" t="n">
        <v>0</v>
      </c>
      <c r="C2608" s="470" t="n">
        <v>0</v>
      </c>
      <c r="D2608" s="470" t="n">
        <v>0</v>
      </c>
      <c r="E2608" s="470" t="n">
        <v>0</v>
      </c>
      <c r="F2608" s="470" t="n">
        <v>0</v>
      </c>
      <c r="G2608" s="470" t="n">
        <v>0</v>
      </c>
      <c r="H2608" s="470" t="n">
        <v>0</v>
      </c>
      <c r="I2608" s="470" t="n">
        <v>0</v>
      </c>
      <c r="J2608" s="44" t="n">
        <v>0</v>
      </c>
      <c r="K2608" s="44" t="n">
        <v>90</v>
      </c>
      <c r="L2608" s="1640" t="n">
        <v>10</v>
      </c>
      <c r="M2608" s="451" t="n">
        <v>0</v>
      </c>
      <c r="N2608" s="467" t="n">
        <v>0</v>
      </c>
      <c r="O2608" s="467" t="n">
        <v>0</v>
      </c>
      <c r="P2608" s="467" t="n"/>
      <c r="Q2608" s="453" t="n"/>
      <c r="R2608" s="453" t="n"/>
      <c r="S2608" s="453" t="n"/>
      <c r="T2608" s="453" t="n"/>
      <c r="U2608" s="453" t="n"/>
      <c r="V2608" s="453" t="n"/>
    </row>
    <row r="2609" customFormat="1" s="21">
      <c r="A2609" s="405" t="inlineStr">
        <is>
          <t>East Asia and South-East Asia</t>
        </is>
      </c>
      <c r="B2609" s="467" t="n">
        <v>0</v>
      </c>
      <c r="C2609" s="467" t="n">
        <v>4</v>
      </c>
      <c r="D2609" s="467" t="n">
        <v>0</v>
      </c>
      <c r="E2609" s="467" t="n">
        <v>0</v>
      </c>
      <c r="F2609" s="467" t="n">
        <v>1</v>
      </c>
      <c r="G2609" s="467" t="n">
        <v>1</v>
      </c>
      <c r="H2609" s="467" t="n">
        <v>0</v>
      </c>
      <c r="I2609" s="467" t="n">
        <v>0</v>
      </c>
      <c r="J2609" s="41" t="n">
        <v>0</v>
      </c>
      <c r="K2609" s="41" t="n">
        <v>94</v>
      </c>
      <c r="L2609" s="451" t="n">
        <v>0</v>
      </c>
      <c r="M2609" s="451" t="n">
        <v>0</v>
      </c>
      <c r="N2609" s="467" t="n">
        <v>0</v>
      </c>
      <c r="O2609" s="467" t="n">
        <v>0</v>
      </c>
      <c r="P2609" s="467" t="n"/>
      <c r="Q2609" s="453" t="n"/>
      <c r="R2609" s="453" t="n"/>
      <c r="S2609" s="453" t="n"/>
      <c r="T2609" s="453" t="n"/>
      <c r="U2609" s="453" t="n"/>
      <c r="V2609" s="453" t="n"/>
    </row>
    <row r="2610" customFormat="1" s="21">
      <c r="A2610" s="405" t="inlineStr">
        <is>
          <t>North America</t>
        </is>
      </c>
      <c r="B2610" s="467" t="n">
        <v>1</v>
      </c>
      <c r="C2610" s="467" t="n">
        <v>29</v>
      </c>
      <c r="D2610" s="467" t="n">
        <v>70</v>
      </c>
      <c r="E2610" s="467" t="n">
        <v>0</v>
      </c>
      <c r="F2610" s="467" t="n">
        <v>0</v>
      </c>
      <c r="G2610" s="467" t="n">
        <v>0</v>
      </c>
      <c r="H2610" s="467" t="n">
        <v>0</v>
      </c>
      <c r="I2610" s="467" t="n">
        <v>0</v>
      </c>
      <c r="J2610" s="41" t="n">
        <v>0</v>
      </c>
      <c r="K2610" s="41" t="n">
        <v>0</v>
      </c>
      <c r="L2610" s="468" t="n">
        <v>0</v>
      </c>
      <c r="M2610" s="451" t="n">
        <v>0</v>
      </c>
      <c r="N2610" s="467" t="n">
        <v>0</v>
      </c>
      <c r="O2610" s="467" t="n">
        <v>0</v>
      </c>
      <c r="P2610" s="467" t="n"/>
      <c r="Q2610" s="453" t="n"/>
      <c r="R2610" s="453" t="n"/>
      <c r="S2610" s="453" t="n"/>
      <c r="T2610" s="453" t="n"/>
      <c r="U2610" s="453" t="n"/>
      <c r="V2610" s="453" t="n"/>
    </row>
    <row r="2611" customFormat="1" s="21">
      <c r="A2611" s="405" t="inlineStr">
        <is>
          <t>Latin America and the Caribbean</t>
        </is>
      </c>
      <c r="B2611" s="467" t="n">
        <v>0</v>
      </c>
      <c r="C2611" s="467" t="n">
        <v>58</v>
      </c>
      <c r="D2611" s="467" t="n">
        <v>42</v>
      </c>
      <c r="E2611" s="467" t="n">
        <v>0</v>
      </c>
      <c r="F2611" s="467" t="n">
        <v>0</v>
      </c>
      <c r="G2611" s="467" t="n">
        <v>0</v>
      </c>
      <c r="H2611" s="467" t="n">
        <v>0</v>
      </c>
      <c r="I2611" s="467" t="n">
        <v>0</v>
      </c>
      <c r="J2611" s="41" t="n">
        <v>0</v>
      </c>
      <c r="K2611" s="41" t="n">
        <v>0</v>
      </c>
      <c r="L2611" s="451" t="n">
        <v>0</v>
      </c>
      <c r="M2611" s="451" t="n">
        <v>0</v>
      </c>
      <c r="N2611" s="467" t="n">
        <v>0</v>
      </c>
      <c r="O2611" s="467" t="n">
        <v>0</v>
      </c>
      <c r="P2611" s="467" t="n"/>
      <c r="Q2611" s="453" t="n"/>
      <c r="R2611" s="453" t="n"/>
      <c r="S2611" s="453" t="n"/>
      <c r="T2611" s="453" t="n"/>
      <c r="U2611" s="453" t="n"/>
      <c r="V2611" s="453" t="n"/>
    </row>
    <row r="2612" customFormat="1" s="21">
      <c r="A2612" s="405" t="inlineStr">
        <is>
          <t>Western Europe</t>
        </is>
      </c>
      <c r="B2612" s="467" t="n">
        <v>0</v>
      </c>
      <c r="C2612" s="467" t="n">
        <v>1</v>
      </c>
      <c r="D2612" s="467" t="n">
        <v>20</v>
      </c>
      <c r="E2612" s="467" t="n">
        <v>21</v>
      </c>
      <c r="F2612" s="467" t="n">
        <v>0</v>
      </c>
      <c r="G2612" s="467" t="n">
        <v>1</v>
      </c>
      <c r="H2612" s="467" t="n">
        <v>0</v>
      </c>
      <c r="I2612" s="467" t="n">
        <v>0</v>
      </c>
      <c r="J2612" s="41" t="n">
        <v>0</v>
      </c>
      <c r="K2612" s="41" t="n">
        <v>43</v>
      </c>
      <c r="L2612" s="451" t="n">
        <v>14</v>
      </c>
      <c r="M2612" s="451" t="n">
        <v>0</v>
      </c>
      <c r="N2612" s="467" t="n">
        <v>0</v>
      </c>
      <c r="O2612" s="467" t="n">
        <v>0</v>
      </c>
      <c r="P2612" s="467" t="n"/>
      <c r="Q2612" s="453" t="n"/>
      <c r="R2612" s="453" t="n"/>
      <c r="S2612" s="453" t="n"/>
      <c r="T2612" s="453" t="n"/>
      <c r="U2612" s="453" t="n"/>
      <c r="V2612" s="453" t="n"/>
    </row>
    <row r="2613" customFormat="1" s="21">
      <c r="A2613" s="405" t="inlineStr">
        <is>
          <t>Eastern Europe</t>
        </is>
      </c>
      <c r="B2613" s="467" t="n">
        <v>0</v>
      </c>
      <c r="C2613" s="467" t="n">
        <v>0</v>
      </c>
      <c r="D2613" s="467" t="n">
        <v>0</v>
      </c>
      <c r="E2613" s="467" t="n">
        <v>47</v>
      </c>
      <c r="F2613" s="467" t="n">
        <v>0</v>
      </c>
      <c r="G2613" s="467" t="n">
        <v>0</v>
      </c>
      <c r="H2613" s="467" t="n">
        <v>0</v>
      </c>
      <c r="I2613" s="467" t="n">
        <v>0</v>
      </c>
      <c r="J2613" s="41" t="n">
        <v>0</v>
      </c>
      <c r="K2613" s="41" t="n">
        <v>34</v>
      </c>
      <c r="L2613" s="451" t="n">
        <v>19</v>
      </c>
      <c r="M2613" s="451" t="n">
        <v>0</v>
      </c>
      <c r="N2613" s="467" t="n">
        <v>0</v>
      </c>
      <c r="O2613" s="467" t="n">
        <v>0</v>
      </c>
      <c r="P2613" s="467" t="n"/>
      <c r="Q2613" s="453" t="n"/>
      <c r="R2613" s="453" t="n"/>
      <c r="S2613" s="453" t="n"/>
      <c r="T2613" s="453" t="n"/>
      <c r="U2613" s="453" t="n"/>
      <c r="V2613" s="453" t="n"/>
    </row>
    <row r="2614" customFormat="1" s="21">
      <c r="A2614" s="405" t="inlineStr">
        <is>
          <t>Russian Federation</t>
        </is>
      </c>
      <c r="B2614" s="41" t="n">
        <v>0</v>
      </c>
      <c r="C2614" s="41" t="n">
        <v>0</v>
      </c>
      <c r="D2614" s="41" t="n">
        <v>0</v>
      </c>
      <c r="E2614" s="41" t="n">
        <v>0</v>
      </c>
      <c r="F2614" s="41" t="n">
        <v>0</v>
      </c>
      <c r="G2614" s="41" t="n">
        <v>0</v>
      </c>
      <c r="H2614" s="41" t="n">
        <v>0</v>
      </c>
      <c r="I2614" s="41" t="n">
        <v>0</v>
      </c>
      <c r="J2614" s="41" t="n">
        <v>0</v>
      </c>
      <c r="K2614" s="41" t="n">
        <v>100</v>
      </c>
      <c r="L2614" s="451" t="n">
        <v>0</v>
      </c>
      <c r="M2614" s="451" t="n">
        <v>0</v>
      </c>
      <c r="N2614" s="467" t="n">
        <v>0</v>
      </c>
      <c r="O2614" s="467" t="n">
        <v>0</v>
      </c>
      <c r="P2614" s="467" t="n"/>
      <c r="Q2614" s="453" t="n"/>
      <c r="R2614" s="453" t="n"/>
      <c r="S2614" s="453" t="n"/>
      <c r="T2614" s="453" t="n"/>
      <c r="U2614" s="453" t="n"/>
      <c r="V2614" s="453" t="n"/>
    </row>
    <row r="2615" customFormat="1" s="21">
      <c r="A2615" s="405" t="inlineStr">
        <is>
          <t>Oceania</t>
        </is>
      </c>
      <c r="B2615" s="467" t="n">
        <v>0</v>
      </c>
      <c r="C2615" s="467" t="n">
        <v>0</v>
      </c>
      <c r="D2615" s="467" t="n">
        <v>0</v>
      </c>
      <c r="E2615" s="467" t="n">
        <v>0</v>
      </c>
      <c r="F2615" s="467" t="n">
        <v>23</v>
      </c>
      <c r="G2615" s="467" t="n">
        <v>0</v>
      </c>
      <c r="H2615" s="467" t="n">
        <v>0</v>
      </c>
      <c r="I2615" s="467" t="n">
        <v>0</v>
      </c>
      <c r="J2615" s="41" t="n">
        <v>0</v>
      </c>
      <c r="K2615" s="41" t="n">
        <v>77</v>
      </c>
      <c r="L2615" s="468" t="n">
        <v>0</v>
      </c>
      <c r="M2615" s="451" t="n">
        <v>0</v>
      </c>
      <c r="N2615" s="467" t="n">
        <v>0</v>
      </c>
      <c r="O2615" s="467" t="n">
        <v>0</v>
      </c>
      <c r="P2615" s="467" t="n"/>
    </row>
    <row r="2616" customFormat="1" s="453">
      <c r="A2616" s="405" t="inlineStr">
        <is>
          <t>NENA/Middle East</t>
        </is>
      </c>
      <c r="B2616" s="41" t="n">
        <v>11</v>
      </c>
      <c r="C2616" s="41" t="n">
        <v>7</v>
      </c>
      <c r="D2616" s="41" t="n">
        <v>11</v>
      </c>
      <c r="E2616" s="41" t="n">
        <v>0</v>
      </c>
      <c r="F2616" s="41" t="n">
        <v>0</v>
      </c>
      <c r="G2616" s="41" t="n">
        <v>0</v>
      </c>
      <c r="H2616" s="41" t="n">
        <v>0</v>
      </c>
      <c r="I2616" s="467" t="n">
        <v>0</v>
      </c>
      <c r="J2616" s="41" t="n">
        <v>0</v>
      </c>
      <c r="K2616" s="41" t="n">
        <v>67</v>
      </c>
      <c r="L2616" s="451" t="n">
        <v>4</v>
      </c>
      <c r="M2616" s="451" t="n">
        <v>0</v>
      </c>
      <c r="N2616" s="467" t="n">
        <v>0</v>
      </c>
      <c r="O2616" s="467" t="n">
        <v>0</v>
      </c>
      <c r="P2616" s="467" t="n"/>
    </row>
    <row r="2617" customFormat="1" s="453">
      <c r="A2617" s="405" t="inlineStr">
        <is>
          <t>South Asia</t>
        </is>
      </c>
      <c r="B2617" s="467" t="n">
        <v>0</v>
      </c>
      <c r="C2617" s="467" t="n">
        <v>0</v>
      </c>
      <c r="D2617" s="467" t="n">
        <v>100</v>
      </c>
      <c r="E2617" s="467" t="n">
        <v>0</v>
      </c>
      <c r="F2617" s="467" t="n">
        <v>0</v>
      </c>
      <c r="G2617" s="467" t="n">
        <v>0</v>
      </c>
      <c r="H2617" s="467" t="n">
        <v>0</v>
      </c>
      <c r="I2617" s="467" t="n">
        <v>0</v>
      </c>
      <c r="J2617" s="41" t="n">
        <v>0</v>
      </c>
      <c r="K2617" s="41" t="n">
        <v>0</v>
      </c>
      <c r="L2617" s="468" t="n">
        <v>0</v>
      </c>
      <c r="M2617" s="451" t="n">
        <v>0</v>
      </c>
      <c r="N2617" s="467" t="n">
        <v>0</v>
      </c>
      <c r="O2617" s="467" t="n">
        <v>0</v>
      </c>
      <c r="P2617" s="467" t="n"/>
    </row>
    <row r="2618" customFormat="1" s="535">
      <c r="A2618" s="518" t="inlineStr">
        <is>
          <t xml:space="preserve">Notes : </t>
        </is>
      </c>
      <c r="F2618" s="1624" t="n"/>
      <c r="G2618" s="1624" t="n"/>
      <c r="H2618" s="1624" t="n"/>
      <c r="I2618" s="1624" t="n"/>
      <c r="J2618" s="1624" t="n"/>
      <c r="K2618" s="1624" t="n"/>
      <c r="L2618" s="1624" t="n"/>
      <c r="M2618" s="1624" t="n"/>
      <c r="N2618" s="1624" t="n"/>
    </row>
    <row r="2619" customFormat="1" s="292"/>
    <row r="2621" ht="14.25" customFormat="1" customHeight="1" s="125">
      <c r="A2621" s="377" t="inlineStr">
        <is>
          <t>Animal waste management system</t>
        </is>
      </c>
      <c r="D2621" s="1075" t="n"/>
      <c r="E2621" s="1075" t="n"/>
      <c r="F2621" s="1075" t="n"/>
      <c r="G2621" s="1075" t="n"/>
      <c r="H2621" s="1075" t="n"/>
      <c r="I2621" s="1075" t="n"/>
      <c r="L2621" s="1075" t="n"/>
    </row>
    <row r="2622" ht="16.25" customFormat="1" customHeight="1" s="773">
      <c r="A2622" s="753" t="inlineStr">
        <is>
          <t>Chicken broiler HP</t>
        </is>
      </c>
      <c r="B2622" s="442" t="inlineStr">
        <is>
          <t>Table 10A.9</t>
        </is>
      </c>
      <c r="C2622" s="442" t="inlineStr">
        <is>
          <t>Table 10A.9</t>
        </is>
      </c>
      <c r="D2622" s="442" t="inlineStr">
        <is>
          <t>Table 10A.9</t>
        </is>
      </c>
      <c r="E2622" s="442" t="inlineStr">
        <is>
          <t>Table 10A.9</t>
        </is>
      </c>
      <c r="F2622" s="442" t="inlineStr">
        <is>
          <t>Table 10A.9</t>
        </is>
      </c>
      <c r="G2622" s="442" t="inlineStr">
        <is>
          <t>Table 10A.9</t>
        </is>
      </c>
      <c r="H2622" s="442" t="inlineStr">
        <is>
          <t>Table 10A.9</t>
        </is>
      </c>
      <c r="I2622" s="442" t="inlineStr">
        <is>
          <t>Table 10A.9</t>
        </is>
      </c>
      <c r="J2622" s="442" t="inlineStr">
        <is>
          <t>Table 10A.9</t>
        </is>
      </c>
      <c r="K2622" s="442" t="inlineStr">
        <is>
          <t>Table 10A.9</t>
        </is>
      </c>
      <c r="L2622" s="442" t="inlineStr">
        <is>
          <t>Table 10A.9</t>
        </is>
      </c>
      <c r="M2622" s="442" t="inlineStr">
        <is>
          <t>Table 10A.9</t>
        </is>
      </c>
      <c r="N2622" s="442" t="inlineStr">
        <is>
          <t>Table 10A.9</t>
        </is>
      </c>
      <c r="O2622" s="442" t="inlineStr">
        <is>
          <t>Table 10A.9</t>
        </is>
      </c>
      <c r="P2622" s="442" t="n"/>
      <c r="Q2622" s="442" t="n"/>
      <c r="R2622" s="442" t="n"/>
      <c r="S2622" s="442" t="n"/>
      <c r="T2622" s="442" t="n"/>
      <c r="U2622" s="442" t="n"/>
      <c r="V2622" s="442" t="n"/>
    </row>
    <row r="2623" ht="16" customFormat="1" customHeight="1" s="291">
      <c r="A2623" s="1641" t="inlineStr">
        <is>
          <t>Please select</t>
        </is>
      </c>
      <c r="B2623" s="1642" t="inlineStr">
        <is>
          <t>Lagoon</t>
        </is>
      </c>
      <c r="C2623" s="1642" t="inlineStr">
        <is>
          <t>Liquid/slurry</t>
        </is>
      </c>
      <c r="D2623" s="1642" t="inlineStr">
        <is>
          <t>Solid storage</t>
        </is>
      </c>
      <c r="E2623" s="1642" t="inlineStr">
        <is>
          <t>Dry lot</t>
        </is>
      </c>
      <c r="F2623" s="1642" t="inlineStr">
        <is>
          <t>Pasture/Range/Paddock</t>
        </is>
      </c>
      <c r="G2623" s="1642" t="inlineStr">
        <is>
          <t>Daily spread</t>
        </is>
      </c>
      <c r="H2623" s="1642" t="inlineStr">
        <is>
          <t>Digester</t>
        </is>
      </c>
      <c r="I2623" s="1639" t="inlineStr">
        <is>
          <t>Burned for fuel</t>
        </is>
      </c>
      <c r="J2623" s="1639" t="inlineStr">
        <is>
          <t>Pit&lt;1Month</t>
        </is>
      </c>
      <c r="K2623" s="1639" t="inlineStr">
        <is>
          <t>Pit&gt;1 month</t>
        </is>
      </c>
      <c r="L2623" s="1642" t="inlineStr">
        <is>
          <t>Poultry manure</t>
        </is>
      </c>
      <c r="M2623" s="291" t="inlineStr">
        <is>
          <t>Deep bedding</t>
        </is>
      </c>
      <c r="N2623" s="2156" t="inlineStr">
        <is>
          <t>Composting</t>
        </is>
      </c>
      <c r="O2623" s="2156" t="inlineStr">
        <is>
          <t>Aerobic treatment</t>
        </is>
      </c>
      <c r="P2623" s="1658" t="inlineStr">
        <is>
          <t>Other (pls. go Tier 2)</t>
        </is>
      </c>
      <c r="Q2623" s="453" t="n"/>
      <c r="R2623" s="453" t="n"/>
      <c r="S2623" s="453" t="n"/>
      <c r="T2623" s="453" t="n"/>
      <c r="U2623" s="453" t="n"/>
      <c r="V2623" s="453" t="n"/>
      <c r="W2623" s="21" t="n"/>
      <c r="X2623" s="21" t="n"/>
    </row>
    <row r="2624" ht="16" customFormat="1" customHeight="1" s="1093">
      <c r="A2624" s="523" t="inlineStr">
        <is>
          <t>IPCC Region</t>
        </is>
      </c>
      <c r="B2624" s="1636" t="inlineStr">
        <is>
          <t>%</t>
        </is>
      </c>
      <c r="C2624" s="1636" t="inlineStr">
        <is>
          <t>%</t>
        </is>
      </c>
      <c r="D2624" s="1636" t="inlineStr">
        <is>
          <t>%</t>
        </is>
      </c>
      <c r="E2624" s="1636" t="inlineStr">
        <is>
          <t>%</t>
        </is>
      </c>
      <c r="F2624" s="1636" t="inlineStr">
        <is>
          <t>%</t>
        </is>
      </c>
      <c r="G2624" s="1636" t="inlineStr">
        <is>
          <t>%</t>
        </is>
      </c>
      <c r="H2624" s="1636" t="inlineStr">
        <is>
          <t>%</t>
        </is>
      </c>
      <c r="I2624" s="1636" t="inlineStr">
        <is>
          <t>%</t>
        </is>
      </c>
      <c r="J2624" s="1635" t="inlineStr">
        <is>
          <t>%</t>
        </is>
      </c>
      <c r="K2624" s="1635" t="inlineStr">
        <is>
          <t>%</t>
        </is>
      </c>
      <c r="L2624" s="1635" t="inlineStr">
        <is>
          <t>%</t>
        </is>
      </c>
      <c r="M2624" s="31" t="inlineStr">
        <is>
          <t>%</t>
        </is>
      </c>
      <c r="N2624" s="31" t="inlineStr">
        <is>
          <t>%</t>
        </is>
      </c>
      <c r="O2624" s="31" t="inlineStr">
        <is>
          <t>%</t>
        </is>
      </c>
      <c r="P2624" s="31" t="inlineStr">
        <is>
          <t>%</t>
        </is>
      </c>
      <c r="Q2624" s="1092" t="n"/>
      <c r="R2624" s="1092" t="n"/>
      <c r="S2624" s="1092" t="n"/>
      <c r="T2624" s="1092" t="n"/>
      <c r="U2624" s="1092" t="n"/>
      <c r="V2624" s="1092" t="n"/>
    </row>
    <row r="2625" customFormat="1" s="21">
      <c r="A2625" s="407" t="inlineStr">
        <is>
          <t>Sub-Saharan Africa</t>
        </is>
      </c>
      <c r="B2625" s="470" t="n">
        <v>0</v>
      </c>
      <c r="C2625" s="470" t="n">
        <v>0</v>
      </c>
      <c r="D2625" s="470" t="n">
        <v>0</v>
      </c>
      <c r="E2625" s="470" t="n">
        <v>0</v>
      </c>
      <c r="F2625" s="470" t="n">
        <v>0</v>
      </c>
      <c r="G2625" s="470" t="n">
        <v>0</v>
      </c>
      <c r="H2625" s="470" t="n">
        <v>0</v>
      </c>
      <c r="I2625" s="470" t="n">
        <v>0</v>
      </c>
      <c r="J2625" s="44" t="n">
        <v>0</v>
      </c>
      <c r="K2625" s="44" t="n">
        <v>0</v>
      </c>
      <c r="L2625" s="1640" t="n">
        <v>100</v>
      </c>
      <c r="M2625" s="451" t="n">
        <v>0</v>
      </c>
      <c r="N2625" s="467" t="n">
        <v>0</v>
      </c>
      <c r="O2625" s="467" t="n">
        <v>0</v>
      </c>
      <c r="P2625" s="467" t="n"/>
      <c r="Q2625" s="453" t="n"/>
      <c r="R2625" s="453" t="n"/>
      <c r="S2625" s="453" t="n"/>
      <c r="T2625" s="453" t="n"/>
      <c r="U2625" s="453" t="n"/>
      <c r="V2625" s="453" t="n"/>
    </row>
    <row r="2626" customFormat="1" s="21">
      <c r="A2626" s="405" t="inlineStr">
        <is>
          <t>East Asia and South-East Asia</t>
        </is>
      </c>
      <c r="B2626" s="467" t="n">
        <v>0</v>
      </c>
      <c r="C2626" s="467" t="n">
        <v>0</v>
      </c>
      <c r="D2626" s="467" t="n">
        <v>0</v>
      </c>
      <c r="E2626" s="467" t="n">
        <v>0</v>
      </c>
      <c r="F2626" s="467" t="n">
        <v>0</v>
      </c>
      <c r="G2626" s="467" t="n">
        <v>0</v>
      </c>
      <c r="H2626" s="467" t="n">
        <v>0</v>
      </c>
      <c r="I2626" s="467" t="n">
        <v>0</v>
      </c>
      <c r="J2626" s="41" t="n">
        <v>0</v>
      </c>
      <c r="K2626" s="41" t="n">
        <v>0</v>
      </c>
      <c r="L2626" s="451" t="n">
        <v>100</v>
      </c>
      <c r="M2626" s="451" t="n">
        <v>0</v>
      </c>
      <c r="N2626" s="467" t="n">
        <v>0</v>
      </c>
      <c r="O2626" s="467" t="n">
        <v>0</v>
      </c>
      <c r="P2626" s="467" t="n"/>
      <c r="Q2626" s="453" t="n"/>
      <c r="R2626" s="453" t="n"/>
      <c r="S2626" s="453" t="n"/>
      <c r="T2626" s="453" t="n"/>
      <c r="U2626" s="453" t="n"/>
      <c r="V2626" s="453" t="n"/>
    </row>
    <row r="2627" customFormat="1" s="21">
      <c r="A2627" s="405" t="inlineStr">
        <is>
          <t>North America</t>
        </is>
      </c>
      <c r="B2627" s="467" t="n">
        <v>0</v>
      </c>
      <c r="C2627" s="467" t="n">
        <v>0</v>
      </c>
      <c r="D2627" s="467" t="n">
        <v>0</v>
      </c>
      <c r="E2627" s="467" t="n">
        <v>0</v>
      </c>
      <c r="F2627" s="467" t="n">
        <v>0</v>
      </c>
      <c r="G2627" s="467" t="n">
        <v>0</v>
      </c>
      <c r="H2627" s="467" t="n">
        <v>0</v>
      </c>
      <c r="I2627" s="467" t="n">
        <v>0</v>
      </c>
      <c r="J2627" s="41" t="n">
        <v>0</v>
      </c>
      <c r="K2627" s="41" t="n">
        <v>0</v>
      </c>
      <c r="L2627" s="451" t="n">
        <v>100</v>
      </c>
      <c r="M2627" s="451" t="n">
        <v>0</v>
      </c>
      <c r="N2627" s="467" t="n">
        <v>0</v>
      </c>
      <c r="O2627" s="467" t="n">
        <v>0</v>
      </c>
      <c r="P2627" s="467" t="n"/>
      <c r="Q2627" s="453" t="n"/>
      <c r="R2627" s="453" t="n"/>
      <c r="S2627" s="453" t="n"/>
      <c r="T2627" s="453" t="n"/>
      <c r="U2627" s="453" t="n"/>
      <c r="V2627" s="453" t="n"/>
    </row>
    <row r="2628" customFormat="1" s="21">
      <c r="A2628" s="405" t="inlineStr">
        <is>
          <t>Latin America and the Caribbean</t>
        </is>
      </c>
      <c r="B2628" s="467" t="n">
        <v>0</v>
      </c>
      <c r="C2628" s="467" t="n">
        <v>0</v>
      </c>
      <c r="D2628" s="467" t="n">
        <v>0</v>
      </c>
      <c r="E2628" s="467" t="n">
        <v>0</v>
      </c>
      <c r="F2628" s="467" t="n">
        <v>0</v>
      </c>
      <c r="G2628" s="467" t="n">
        <v>0</v>
      </c>
      <c r="H2628" s="467" t="n">
        <v>0</v>
      </c>
      <c r="I2628" s="467" t="n">
        <v>0</v>
      </c>
      <c r="J2628" s="41" t="n">
        <v>0</v>
      </c>
      <c r="K2628" s="41" t="n">
        <v>0</v>
      </c>
      <c r="L2628" s="451" t="n">
        <v>100</v>
      </c>
      <c r="M2628" s="451" t="n">
        <v>0</v>
      </c>
      <c r="N2628" s="467" t="n">
        <v>0</v>
      </c>
      <c r="O2628" s="467" t="n">
        <v>0</v>
      </c>
      <c r="P2628" s="467" t="n"/>
      <c r="Q2628" s="453" t="n"/>
      <c r="R2628" s="453" t="n"/>
      <c r="S2628" s="453" t="n"/>
      <c r="T2628" s="453" t="n"/>
      <c r="U2628" s="453" t="n"/>
      <c r="V2628" s="453" t="n"/>
    </row>
    <row r="2629" customFormat="1" s="21">
      <c r="A2629" s="405" t="inlineStr">
        <is>
          <t>Western Europe</t>
        </is>
      </c>
      <c r="B2629" s="467" t="n">
        <v>0</v>
      </c>
      <c r="C2629" s="467" t="n">
        <v>0</v>
      </c>
      <c r="D2629" s="467" t="n">
        <v>0</v>
      </c>
      <c r="E2629" s="467" t="n">
        <v>0</v>
      </c>
      <c r="F2629" s="467" t="n">
        <v>0</v>
      </c>
      <c r="G2629" s="467" t="n">
        <v>0</v>
      </c>
      <c r="H2629" s="467" t="n">
        <v>0</v>
      </c>
      <c r="I2629" s="467" t="n">
        <v>0</v>
      </c>
      <c r="J2629" s="41" t="n">
        <v>0</v>
      </c>
      <c r="K2629" s="41" t="n">
        <v>0</v>
      </c>
      <c r="L2629" s="451" t="n">
        <v>100</v>
      </c>
      <c r="M2629" s="451" t="n">
        <v>0</v>
      </c>
      <c r="N2629" s="467" t="n">
        <v>0</v>
      </c>
      <c r="O2629" s="467" t="n">
        <v>0</v>
      </c>
      <c r="P2629" s="467" t="n"/>
      <c r="Q2629" s="453" t="n"/>
      <c r="R2629" s="453" t="n"/>
      <c r="S2629" s="453" t="n"/>
      <c r="T2629" s="453" t="n"/>
      <c r="U2629" s="453" t="n"/>
      <c r="V2629" s="453" t="n"/>
    </row>
    <row r="2630" customFormat="1" s="21">
      <c r="A2630" s="405" t="inlineStr">
        <is>
          <t>Eastern Europe</t>
        </is>
      </c>
      <c r="B2630" s="467" t="n">
        <v>0</v>
      </c>
      <c r="C2630" s="467" t="n">
        <v>0</v>
      </c>
      <c r="D2630" s="467" t="n">
        <v>0</v>
      </c>
      <c r="E2630" s="467" t="n">
        <v>0</v>
      </c>
      <c r="F2630" s="467" t="n">
        <v>0</v>
      </c>
      <c r="G2630" s="467" t="n">
        <v>0</v>
      </c>
      <c r="H2630" s="467" t="n">
        <v>0</v>
      </c>
      <c r="I2630" s="467" t="n">
        <v>0</v>
      </c>
      <c r="J2630" s="41" t="n">
        <v>0</v>
      </c>
      <c r="K2630" s="41" t="n">
        <v>0</v>
      </c>
      <c r="L2630" s="451" t="n">
        <v>100</v>
      </c>
      <c r="M2630" s="451" t="n">
        <v>0</v>
      </c>
      <c r="N2630" s="467" t="n">
        <v>0</v>
      </c>
      <c r="O2630" s="467" t="n">
        <v>0</v>
      </c>
      <c r="P2630" s="467" t="n"/>
      <c r="Q2630" s="453" t="n"/>
      <c r="R2630" s="453" t="n"/>
      <c r="S2630" s="453" t="n"/>
      <c r="T2630" s="453" t="n"/>
      <c r="U2630" s="453" t="n"/>
      <c r="V2630" s="453" t="n"/>
    </row>
    <row r="2631" customFormat="1" s="21">
      <c r="A2631" s="405" t="inlineStr">
        <is>
          <t>Russian Federation</t>
        </is>
      </c>
      <c r="B2631" s="41" t="n">
        <v>0</v>
      </c>
      <c r="C2631" s="41" t="n">
        <v>0</v>
      </c>
      <c r="D2631" s="41" t="n">
        <v>0</v>
      </c>
      <c r="E2631" s="41" t="n">
        <v>0</v>
      </c>
      <c r="F2631" s="41" t="n">
        <v>0</v>
      </c>
      <c r="G2631" s="41" t="n">
        <v>0</v>
      </c>
      <c r="H2631" s="41" t="n">
        <v>0</v>
      </c>
      <c r="I2631" s="41" t="n">
        <v>0</v>
      </c>
      <c r="J2631" s="41" t="n">
        <v>0</v>
      </c>
      <c r="K2631" s="41" t="n">
        <v>0</v>
      </c>
      <c r="L2631" s="451" t="n">
        <v>100</v>
      </c>
      <c r="M2631" s="451" t="n">
        <v>0</v>
      </c>
      <c r="N2631" s="467" t="n">
        <v>0</v>
      </c>
      <c r="O2631" s="467" t="n">
        <v>0</v>
      </c>
      <c r="P2631" s="467" t="n"/>
      <c r="Q2631" s="453" t="n"/>
      <c r="R2631" s="453" t="n"/>
      <c r="S2631" s="453" t="n"/>
      <c r="T2631" s="453" t="n"/>
      <c r="U2631" s="453" t="n"/>
      <c r="V2631" s="453" t="n"/>
    </row>
    <row r="2632" customFormat="1" s="21">
      <c r="A2632" s="405" t="inlineStr">
        <is>
          <t>Oceania</t>
        </is>
      </c>
      <c r="B2632" s="467" t="n">
        <v>0</v>
      </c>
      <c r="C2632" s="467" t="n">
        <v>0</v>
      </c>
      <c r="D2632" s="467" t="n">
        <v>0</v>
      </c>
      <c r="E2632" s="467" t="n">
        <v>0</v>
      </c>
      <c r="F2632" s="467" t="n">
        <v>0</v>
      </c>
      <c r="G2632" s="467" t="n">
        <v>0</v>
      </c>
      <c r="H2632" s="467" t="n">
        <v>0</v>
      </c>
      <c r="I2632" s="467" t="n">
        <v>0</v>
      </c>
      <c r="J2632" s="41" t="n">
        <v>0</v>
      </c>
      <c r="K2632" s="41" t="n">
        <v>0</v>
      </c>
      <c r="L2632" s="451" t="n">
        <v>100</v>
      </c>
      <c r="M2632" s="451" t="n">
        <v>0</v>
      </c>
      <c r="N2632" s="467" t="n">
        <v>0</v>
      </c>
      <c r="O2632" s="467" t="n">
        <v>0</v>
      </c>
      <c r="P2632" s="467" t="n"/>
    </row>
    <row r="2633" customFormat="1" s="453">
      <c r="A2633" s="405" t="inlineStr">
        <is>
          <t>NENA/Middle East</t>
        </is>
      </c>
      <c r="B2633" s="467" t="n">
        <v>0</v>
      </c>
      <c r="C2633" s="467" t="n">
        <v>0</v>
      </c>
      <c r="D2633" s="467" t="n">
        <v>0</v>
      </c>
      <c r="E2633" s="467" t="n">
        <v>0</v>
      </c>
      <c r="F2633" s="467" t="n">
        <v>0</v>
      </c>
      <c r="G2633" s="467" t="n">
        <v>0</v>
      </c>
      <c r="H2633" s="467" t="n">
        <v>0</v>
      </c>
      <c r="I2633" s="467" t="n">
        <v>0</v>
      </c>
      <c r="J2633" s="41" t="n">
        <v>0</v>
      </c>
      <c r="K2633" s="41" t="n">
        <v>0</v>
      </c>
      <c r="L2633" s="451" t="n">
        <v>100</v>
      </c>
      <c r="M2633" s="451" t="n">
        <v>0</v>
      </c>
      <c r="N2633" s="467" t="n">
        <v>0</v>
      </c>
      <c r="O2633" s="467" t="n">
        <v>0</v>
      </c>
      <c r="P2633" s="467" t="n"/>
    </row>
    <row r="2634" customFormat="1" s="453">
      <c r="A2634" s="405" t="inlineStr">
        <is>
          <t>South Asia</t>
        </is>
      </c>
      <c r="B2634" s="467" t="n">
        <v>0</v>
      </c>
      <c r="C2634" s="467" t="n">
        <v>0</v>
      </c>
      <c r="D2634" s="467" t="n">
        <v>0</v>
      </c>
      <c r="E2634" s="467" t="n">
        <v>0</v>
      </c>
      <c r="F2634" s="467" t="n">
        <v>0</v>
      </c>
      <c r="G2634" s="467" t="n">
        <v>0</v>
      </c>
      <c r="H2634" s="467" t="n">
        <v>0</v>
      </c>
      <c r="I2634" s="467" t="n">
        <v>0</v>
      </c>
      <c r="J2634" s="41" t="n">
        <v>0</v>
      </c>
      <c r="K2634" s="41" t="n">
        <v>0</v>
      </c>
      <c r="L2634" s="451" t="n">
        <v>100</v>
      </c>
      <c r="M2634" s="451" t="n">
        <v>0</v>
      </c>
      <c r="N2634" s="467" t="n">
        <v>0</v>
      </c>
      <c r="O2634" s="467" t="n">
        <v>0</v>
      </c>
      <c r="P2634" s="467" t="n"/>
    </row>
    <row r="2635" customFormat="1" s="535">
      <c r="A2635" s="518" t="inlineStr">
        <is>
          <t xml:space="preserve">Notes : </t>
        </is>
      </c>
      <c r="F2635" s="1624" t="n"/>
      <c r="G2635" s="1624" t="n"/>
      <c r="H2635" s="1624" t="n"/>
      <c r="I2635" s="1624" t="n"/>
      <c r="J2635" s="1624" t="n"/>
      <c r="K2635" s="1624" t="n"/>
      <c r="L2635" s="1624" t="n"/>
      <c r="M2635" s="1624" t="n"/>
      <c r="N2635" s="1624" t="n"/>
    </row>
    <row r="2636" customFormat="1" s="292"/>
    <row r="2638" ht="14.25" customFormat="1" customHeight="1" s="125">
      <c r="A2638" s="377" t="inlineStr">
        <is>
          <t>Animal waste management system</t>
        </is>
      </c>
      <c r="D2638" s="1075" t="n"/>
      <c r="E2638" s="1075" t="n"/>
      <c r="F2638" s="1075" t="n"/>
      <c r="G2638" s="1075" t="n"/>
      <c r="H2638" s="1075" t="n"/>
      <c r="I2638" s="1075" t="n"/>
      <c r="L2638" s="1075" t="n"/>
    </row>
    <row r="2639" ht="16.25" customFormat="1" customHeight="1" s="773">
      <c r="A2639" s="753" t="inlineStr">
        <is>
          <t>Chicken broiler LP</t>
        </is>
      </c>
      <c r="B2639" s="442" t="inlineStr">
        <is>
          <t>Table 10A.9</t>
        </is>
      </c>
      <c r="C2639" s="442" t="inlineStr">
        <is>
          <t>Table 10A.9</t>
        </is>
      </c>
      <c r="D2639" s="442" t="inlineStr">
        <is>
          <t>Table 10A.9</t>
        </is>
      </c>
      <c r="E2639" s="442" t="inlineStr">
        <is>
          <t>Table 10A.9</t>
        </is>
      </c>
      <c r="F2639" s="442" t="inlineStr">
        <is>
          <t>Table 10A.9</t>
        </is>
      </c>
      <c r="G2639" s="442" t="inlineStr">
        <is>
          <t>Table 10A.9</t>
        </is>
      </c>
      <c r="H2639" s="442" t="inlineStr">
        <is>
          <t>Table 10A.9</t>
        </is>
      </c>
      <c r="I2639" s="442" t="inlineStr">
        <is>
          <t>Table 10A.9</t>
        </is>
      </c>
      <c r="J2639" s="442" t="inlineStr">
        <is>
          <t>Table 10A.9</t>
        </is>
      </c>
      <c r="K2639" s="442" t="inlineStr">
        <is>
          <t>Table 10A.9</t>
        </is>
      </c>
      <c r="L2639" s="442" t="inlineStr">
        <is>
          <t>Table 10A.9</t>
        </is>
      </c>
      <c r="M2639" s="442" t="inlineStr">
        <is>
          <t>Table 10A.9</t>
        </is>
      </c>
      <c r="N2639" s="442" t="inlineStr">
        <is>
          <t>Table 10A.9</t>
        </is>
      </c>
      <c r="O2639" s="442" t="inlineStr">
        <is>
          <t>Table 10A.9</t>
        </is>
      </c>
      <c r="P2639" s="442" t="n"/>
      <c r="Q2639" s="442" t="n"/>
      <c r="R2639" s="442" t="n"/>
      <c r="S2639" s="442" t="n"/>
      <c r="T2639" s="442" t="n"/>
      <c r="U2639" s="442" t="n"/>
      <c r="V2639" s="442" t="n"/>
    </row>
    <row r="2640" ht="16" customFormat="1" customHeight="1" s="291">
      <c r="A2640" s="1641" t="inlineStr">
        <is>
          <t>Please select</t>
        </is>
      </c>
      <c r="B2640" s="1642" t="inlineStr">
        <is>
          <t>Lagoon</t>
        </is>
      </c>
      <c r="C2640" s="1642" t="inlineStr">
        <is>
          <t>Liquid/slurry</t>
        </is>
      </c>
      <c r="D2640" s="1642" t="inlineStr">
        <is>
          <t>Solid storage</t>
        </is>
      </c>
      <c r="E2640" s="1642" t="inlineStr">
        <is>
          <t>Dry lot</t>
        </is>
      </c>
      <c r="F2640" s="1642" t="inlineStr">
        <is>
          <t>Pasture/Range/Paddock</t>
        </is>
      </c>
      <c r="G2640" s="1642" t="inlineStr">
        <is>
          <t>Daily spread</t>
        </is>
      </c>
      <c r="H2640" s="1642" t="inlineStr">
        <is>
          <t>Digester</t>
        </is>
      </c>
      <c r="I2640" s="1639" t="inlineStr">
        <is>
          <t>Burned for fuel</t>
        </is>
      </c>
      <c r="J2640" s="1639" t="inlineStr">
        <is>
          <t>Pit&lt;1Month</t>
        </is>
      </c>
      <c r="K2640" s="1639" t="inlineStr">
        <is>
          <t>Pit&gt;1 month</t>
        </is>
      </c>
      <c r="L2640" s="1642" t="inlineStr">
        <is>
          <t>Poultry manure</t>
        </is>
      </c>
      <c r="M2640" s="291" t="inlineStr">
        <is>
          <t>Deep bedding</t>
        </is>
      </c>
      <c r="N2640" s="2156" t="inlineStr">
        <is>
          <t>Composting</t>
        </is>
      </c>
      <c r="O2640" s="2156" t="inlineStr">
        <is>
          <t>Aerobic treatment</t>
        </is>
      </c>
      <c r="P2640" s="1658" t="inlineStr">
        <is>
          <t>Other (pls. go Tier 2)</t>
        </is>
      </c>
      <c r="Q2640" s="453" t="n"/>
      <c r="R2640" s="453" t="n"/>
      <c r="S2640" s="453" t="n"/>
      <c r="T2640" s="453" t="n"/>
      <c r="U2640" s="453" t="n"/>
      <c r="V2640" s="453" t="n"/>
      <c r="W2640" s="21" t="n"/>
      <c r="X2640" s="21" t="n"/>
    </row>
    <row r="2641" ht="16" customFormat="1" customHeight="1" s="1093">
      <c r="A2641" s="523" t="inlineStr">
        <is>
          <t>IPCC Region</t>
        </is>
      </c>
      <c r="B2641" s="1636" t="inlineStr">
        <is>
          <t>%</t>
        </is>
      </c>
      <c r="C2641" s="1636" t="inlineStr">
        <is>
          <t>%</t>
        </is>
      </c>
      <c r="D2641" s="1636" t="inlineStr">
        <is>
          <t>%</t>
        </is>
      </c>
      <c r="E2641" s="1636" t="inlineStr">
        <is>
          <t>%</t>
        </is>
      </c>
      <c r="F2641" s="1636" t="inlineStr">
        <is>
          <t>%</t>
        </is>
      </c>
      <c r="G2641" s="1636" t="inlineStr">
        <is>
          <t>%</t>
        </is>
      </c>
      <c r="H2641" s="1636" t="inlineStr">
        <is>
          <t>%</t>
        </is>
      </c>
      <c r="I2641" s="1636" t="inlineStr">
        <is>
          <t>%</t>
        </is>
      </c>
      <c r="J2641" s="1635" t="inlineStr">
        <is>
          <t>%</t>
        </is>
      </c>
      <c r="K2641" s="1635" t="inlineStr">
        <is>
          <t>%</t>
        </is>
      </c>
      <c r="L2641" s="1635" t="inlineStr">
        <is>
          <t>%</t>
        </is>
      </c>
      <c r="M2641" s="31" t="inlineStr">
        <is>
          <t>%</t>
        </is>
      </c>
      <c r="N2641" s="31" t="inlineStr">
        <is>
          <t>%</t>
        </is>
      </c>
      <c r="O2641" s="31" t="inlineStr">
        <is>
          <t>%</t>
        </is>
      </c>
      <c r="P2641" s="31" t="inlineStr">
        <is>
          <t>%</t>
        </is>
      </c>
      <c r="Q2641" s="1092" t="n"/>
      <c r="R2641" s="1092" t="n"/>
      <c r="S2641" s="1092" t="n"/>
      <c r="T2641" s="1092" t="n"/>
      <c r="U2641" s="1092" t="n"/>
      <c r="V2641" s="1092" t="n"/>
    </row>
    <row r="2642" customFormat="1" s="21">
      <c r="A2642" s="407" t="inlineStr">
        <is>
          <t>Sub-Saharan Africa</t>
        </is>
      </c>
      <c r="B2642" s="470" t="n">
        <v>0</v>
      </c>
      <c r="C2642" s="470" t="n">
        <v>0</v>
      </c>
      <c r="D2642" s="470" t="n">
        <v>0</v>
      </c>
      <c r="E2642" s="470" t="n">
        <v>0</v>
      </c>
      <c r="F2642" s="470" t="n">
        <v>50</v>
      </c>
      <c r="G2642" s="470" t="n">
        <v>50</v>
      </c>
      <c r="H2642" s="470" t="n">
        <v>0</v>
      </c>
      <c r="I2642" s="470" t="n">
        <v>0</v>
      </c>
      <c r="J2642" s="44" t="n">
        <v>0</v>
      </c>
      <c r="K2642" s="44" t="n">
        <v>0</v>
      </c>
      <c r="L2642" s="1640" t="n">
        <v>0</v>
      </c>
      <c r="M2642" s="451" t="n">
        <v>0</v>
      </c>
      <c r="N2642" s="467" t="n">
        <v>0</v>
      </c>
      <c r="O2642" s="467" t="n">
        <v>0</v>
      </c>
      <c r="P2642" s="467" t="n"/>
      <c r="Q2642" s="453" t="n"/>
      <c r="R2642" s="453" t="n"/>
      <c r="S2642" s="453" t="n"/>
      <c r="T2642" s="453" t="n"/>
      <c r="U2642" s="453" t="n"/>
      <c r="V2642" s="453" t="n"/>
    </row>
    <row r="2643" customFormat="1" s="21">
      <c r="A2643" s="405" t="inlineStr">
        <is>
          <t>East Asia and South-East Asia</t>
        </is>
      </c>
      <c r="B2643" s="467" t="n">
        <v>0</v>
      </c>
      <c r="C2643" s="467" t="n">
        <v>0</v>
      </c>
      <c r="D2643" s="467" t="n">
        <v>0</v>
      </c>
      <c r="E2643" s="467" t="n">
        <v>0</v>
      </c>
      <c r="F2643" s="467" t="n">
        <v>50</v>
      </c>
      <c r="G2643" s="467" t="n">
        <v>50</v>
      </c>
      <c r="H2643" s="467" t="n">
        <v>0</v>
      </c>
      <c r="I2643" s="467" t="n">
        <v>0</v>
      </c>
      <c r="J2643" s="41" t="n">
        <v>0</v>
      </c>
      <c r="K2643" s="41" t="n">
        <v>0</v>
      </c>
      <c r="L2643" s="468" t="n">
        <v>0</v>
      </c>
      <c r="M2643" s="451" t="n">
        <v>0</v>
      </c>
      <c r="N2643" s="467" t="n">
        <v>0</v>
      </c>
      <c r="O2643" s="467" t="n">
        <v>0</v>
      </c>
      <c r="P2643" s="467" t="n"/>
      <c r="Q2643" s="453" t="n"/>
      <c r="R2643" s="453" t="n"/>
      <c r="S2643" s="453" t="n"/>
      <c r="T2643" s="453" t="n"/>
      <c r="U2643" s="453" t="n"/>
      <c r="V2643" s="453" t="n"/>
    </row>
    <row r="2644" customFormat="1" s="21">
      <c r="A2644" s="405" t="inlineStr">
        <is>
          <t>North America</t>
        </is>
      </c>
      <c r="B2644" s="467" t="n">
        <v>0</v>
      </c>
      <c r="C2644" s="467" t="n">
        <v>0</v>
      </c>
      <c r="D2644" s="467" t="n">
        <v>0</v>
      </c>
      <c r="E2644" s="467" t="n">
        <v>0</v>
      </c>
      <c r="F2644" s="467" t="n">
        <v>50</v>
      </c>
      <c r="G2644" s="467" t="n">
        <v>50</v>
      </c>
      <c r="H2644" s="467" t="n">
        <v>0</v>
      </c>
      <c r="I2644" s="467" t="n">
        <v>0</v>
      </c>
      <c r="J2644" s="41" t="n">
        <v>0</v>
      </c>
      <c r="K2644" s="41" t="n">
        <v>0</v>
      </c>
      <c r="L2644" s="468" t="n">
        <v>0</v>
      </c>
      <c r="M2644" s="451" t="n">
        <v>0</v>
      </c>
      <c r="N2644" s="467" t="n">
        <v>0</v>
      </c>
      <c r="O2644" s="467" t="n">
        <v>0</v>
      </c>
      <c r="P2644" s="467" t="n"/>
      <c r="Q2644" s="453" t="n"/>
      <c r="R2644" s="453" t="n"/>
      <c r="S2644" s="453" t="n"/>
      <c r="T2644" s="453" t="n"/>
      <c r="U2644" s="453" t="n"/>
      <c r="V2644" s="453" t="n"/>
    </row>
    <row r="2645" customFormat="1" s="21">
      <c r="A2645" s="405" t="inlineStr">
        <is>
          <t>Latin America and the Caribbean</t>
        </is>
      </c>
      <c r="B2645" s="467" t="n">
        <v>0</v>
      </c>
      <c r="C2645" s="467" t="n">
        <v>0</v>
      </c>
      <c r="D2645" s="467" t="n">
        <v>0</v>
      </c>
      <c r="E2645" s="467" t="n">
        <v>0</v>
      </c>
      <c r="F2645" s="467" t="n">
        <v>50</v>
      </c>
      <c r="G2645" s="467" t="n">
        <v>50</v>
      </c>
      <c r="H2645" s="467" t="n">
        <v>0</v>
      </c>
      <c r="I2645" s="467" t="n">
        <v>0</v>
      </c>
      <c r="J2645" s="41" t="n">
        <v>0</v>
      </c>
      <c r="K2645" s="41" t="n">
        <v>0</v>
      </c>
      <c r="L2645" s="468" t="n">
        <v>0</v>
      </c>
      <c r="M2645" s="451" t="n">
        <v>0</v>
      </c>
      <c r="N2645" s="467" t="n">
        <v>0</v>
      </c>
      <c r="O2645" s="467" t="n">
        <v>0</v>
      </c>
      <c r="P2645" s="467" t="n"/>
      <c r="Q2645" s="453" t="n"/>
      <c r="R2645" s="453" t="n"/>
      <c r="S2645" s="453" t="n"/>
      <c r="T2645" s="453" t="n"/>
      <c r="U2645" s="453" t="n"/>
      <c r="V2645" s="453" t="n"/>
    </row>
    <row r="2646" customFormat="1" s="21">
      <c r="A2646" s="405" t="inlineStr">
        <is>
          <t>Western Europe</t>
        </is>
      </c>
      <c r="B2646" s="467" t="n">
        <v>0</v>
      </c>
      <c r="C2646" s="467" t="n">
        <v>0</v>
      </c>
      <c r="D2646" s="467" t="n">
        <v>0</v>
      </c>
      <c r="E2646" s="467" t="n">
        <v>0</v>
      </c>
      <c r="F2646" s="467" t="n">
        <v>50</v>
      </c>
      <c r="G2646" s="467" t="n">
        <v>50</v>
      </c>
      <c r="H2646" s="467" t="n">
        <v>0</v>
      </c>
      <c r="I2646" s="467" t="n">
        <v>0</v>
      </c>
      <c r="J2646" s="41" t="n">
        <v>0</v>
      </c>
      <c r="K2646" s="41" t="n">
        <v>0</v>
      </c>
      <c r="L2646" s="468" t="n">
        <v>0</v>
      </c>
      <c r="M2646" s="451" t="n">
        <v>0</v>
      </c>
      <c r="N2646" s="467" t="n">
        <v>0</v>
      </c>
      <c r="O2646" s="467" t="n">
        <v>0</v>
      </c>
      <c r="P2646" s="467" t="n"/>
      <c r="Q2646" s="453" t="n"/>
      <c r="R2646" s="453" t="n"/>
      <c r="S2646" s="453" t="n"/>
      <c r="T2646" s="453" t="n"/>
      <c r="U2646" s="453" t="n"/>
      <c r="V2646" s="453" t="n"/>
    </row>
    <row r="2647" customFormat="1" s="21">
      <c r="A2647" s="405" t="inlineStr">
        <is>
          <t>Eastern Europe</t>
        </is>
      </c>
      <c r="B2647" s="467" t="n">
        <v>0</v>
      </c>
      <c r="C2647" s="467" t="n">
        <v>0</v>
      </c>
      <c r="D2647" s="467" t="n">
        <v>0</v>
      </c>
      <c r="E2647" s="467" t="n">
        <v>0</v>
      </c>
      <c r="F2647" s="467" t="n">
        <v>50</v>
      </c>
      <c r="G2647" s="467" t="n">
        <v>50</v>
      </c>
      <c r="H2647" s="467" t="n">
        <v>0</v>
      </c>
      <c r="I2647" s="467" t="n">
        <v>0</v>
      </c>
      <c r="J2647" s="41" t="n">
        <v>0</v>
      </c>
      <c r="K2647" s="41" t="n">
        <v>0</v>
      </c>
      <c r="L2647" s="468" t="n">
        <v>0</v>
      </c>
      <c r="M2647" s="451" t="n">
        <v>0</v>
      </c>
      <c r="N2647" s="467" t="n">
        <v>0</v>
      </c>
      <c r="O2647" s="467" t="n">
        <v>0</v>
      </c>
      <c r="P2647" s="467" t="n"/>
      <c r="Q2647" s="453" t="n"/>
      <c r="R2647" s="453" t="n"/>
      <c r="S2647" s="453" t="n"/>
      <c r="T2647" s="453" t="n"/>
      <c r="U2647" s="453" t="n"/>
      <c r="V2647" s="453" t="n"/>
    </row>
    <row r="2648" customFormat="1" s="21">
      <c r="A2648" s="405" t="inlineStr">
        <is>
          <t>Russian Federation</t>
        </is>
      </c>
      <c r="B2648" s="41" t="n">
        <v>0</v>
      </c>
      <c r="C2648" s="41" t="n">
        <v>0</v>
      </c>
      <c r="D2648" s="41" t="n">
        <v>0</v>
      </c>
      <c r="E2648" s="41" t="n">
        <v>0</v>
      </c>
      <c r="F2648" s="467" t="n">
        <v>50</v>
      </c>
      <c r="G2648" s="467" t="n">
        <v>50</v>
      </c>
      <c r="H2648" s="41" t="n">
        <v>0</v>
      </c>
      <c r="I2648" s="41" t="n">
        <v>0</v>
      </c>
      <c r="J2648" s="41" t="n">
        <v>0</v>
      </c>
      <c r="K2648" s="41" t="n">
        <v>0</v>
      </c>
      <c r="L2648" s="468" t="n">
        <v>0</v>
      </c>
      <c r="M2648" s="451" t="n">
        <v>0</v>
      </c>
      <c r="N2648" s="467" t="n">
        <v>0</v>
      </c>
      <c r="O2648" s="467" t="n">
        <v>0</v>
      </c>
      <c r="P2648" s="467" t="n"/>
      <c r="Q2648" s="453" t="n"/>
      <c r="R2648" s="453" t="n"/>
      <c r="S2648" s="453" t="n"/>
      <c r="T2648" s="453" t="n"/>
      <c r="U2648" s="453" t="n"/>
      <c r="V2648" s="453" t="n"/>
    </row>
    <row r="2649" customFormat="1" s="21">
      <c r="A2649" s="405" t="inlineStr">
        <is>
          <t>Oceania</t>
        </is>
      </c>
      <c r="B2649" s="467" t="n">
        <v>0</v>
      </c>
      <c r="C2649" s="467" t="n">
        <v>0</v>
      </c>
      <c r="D2649" s="467" t="n">
        <v>0</v>
      </c>
      <c r="E2649" s="467" t="n">
        <v>0</v>
      </c>
      <c r="F2649" s="467" t="n">
        <v>50</v>
      </c>
      <c r="G2649" s="467" t="n">
        <v>50</v>
      </c>
      <c r="H2649" s="467" t="n">
        <v>0</v>
      </c>
      <c r="I2649" s="467" t="n">
        <v>0</v>
      </c>
      <c r="J2649" s="41" t="n">
        <v>0</v>
      </c>
      <c r="K2649" s="41" t="n">
        <v>0</v>
      </c>
      <c r="L2649" s="468" t="n">
        <v>0</v>
      </c>
      <c r="M2649" s="451" t="n">
        <v>0</v>
      </c>
      <c r="N2649" s="467" t="n">
        <v>0</v>
      </c>
      <c r="O2649" s="467" t="n">
        <v>0</v>
      </c>
      <c r="P2649" s="467" t="n"/>
    </row>
    <row r="2650" customFormat="1" s="453">
      <c r="A2650" s="405" t="inlineStr">
        <is>
          <t>NENA/Middle East</t>
        </is>
      </c>
      <c r="B2650" s="467" t="n">
        <v>0</v>
      </c>
      <c r="C2650" s="467" t="n">
        <v>0</v>
      </c>
      <c r="D2650" s="467" t="n">
        <v>0</v>
      </c>
      <c r="E2650" s="467" t="n">
        <v>0</v>
      </c>
      <c r="F2650" s="467" t="n">
        <v>50</v>
      </c>
      <c r="G2650" s="467" t="n">
        <v>50</v>
      </c>
      <c r="H2650" s="467" t="n">
        <v>0</v>
      </c>
      <c r="I2650" s="467" t="n">
        <v>0</v>
      </c>
      <c r="J2650" s="41" t="n">
        <v>0</v>
      </c>
      <c r="K2650" s="41" t="n">
        <v>0</v>
      </c>
      <c r="L2650" s="468" t="n">
        <v>0</v>
      </c>
      <c r="M2650" s="451" t="n">
        <v>0</v>
      </c>
      <c r="N2650" s="467" t="n">
        <v>0</v>
      </c>
      <c r="O2650" s="467" t="n">
        <v>0</v>
      </c>
      <c r="P2650" s="467" t="n"/>
    </row>
    <row r="2651" customFormat="1" s="453">
      <c r="A2651" s="405" t="inlineStr">
        <is>
          <t>South Asia</t>
        </is>
      </c>
      <c r="B2651" s="467" t="n">
        <v>0</v>
      </c>
      <c r="C2651" s="467" t="n">
        <v>0</v>
      </c>
      <c r="D2651" s="467" t="n">
        <v>0</v>
      </c>
      <c r="E2651" s="467" t="n">
        <v>0</v>
      </c>
      <c r="F2651" s="467" t="n">
        <v>50</v>
      </c>
      <c r="G2651" s="467" t="n">
        <v>50</v>
      </c>
      <c r="H2651" s="467" t="n">
        <v>0</v>
      </c>
      <c r="I2651" s="467" t="n">
        <v>0</v>
      </c>
      <c r="J2651" s="41" t="n">
        <v>0</v>
      </c>
      <c r="K2651" s="41" t="n">
        <v>0</v>
      </c>
      <c r="L2651" s="468" t="n">
        <v>0</v>
      </c>
      <c r="M2651" s="451" t="n">
        <v>0</v>
      </c>
      <c r="N2651" s="467" t="n">
        <v>0</v>
      </c>
      <c r="O2651" s="467" t="n">
        <v>0</v>
      </c>
      <c r="P2651" s="467" t="n"/>
    </row>
    <row r="2652" customFormat="1" s="535">
      <c r="A2652" s="518" t="inlineStr">
        <is>
          <t xml:space="preserve">Notes : </t>
        </is>
      </c>
      <c r="F2652" s="1624" t="n"/>
      <c r="G2652" s="1624" t="n"/>
      <c r="H2652" s="1624" t="n"/>
      <c r="I2652" s="1624" t="n"/>
      <c r="J2652" s="1624" t="n"/>
      <c r="K2652" s="1624" t="n"/>
      <c r="L2652" s="1624" t="n"/>
      <c r="M2652" s="1624" t="n"/>
      <c r="N2652" s="1624" t="n"/>
    </row>
    <row r="2653" customFormat="1" s="292"/>
    <row r="2655" ht="14.25" customFormat="1" customHeight="1" s="125">
      <c r="A2655" s="377" t="inlineStr">
        <is>
          <t>Animal waste management system</t>
        </is>
      </c>
      <c r="D2655" s="1075" t="n"/>
      <c r="E2655" s="1075" t="n"/>
      <c r="F2655" s="1075" t="n"/>
      <c r="G2655" s="1075" t="n"/>
      <c r="H2655" s="1075" t="n"/>
      <c r="I2655" s="1075" t="n"/>
      <c r="L2655" s="1075" t="n"/>
    </row>
    <row r="2656" ht="16.25" customFormat="1" customHeight="1" s="773">
      <c r="A2656" s="753" t="inlineStr">
        <is>
          <t>Horse, camels, mules and asses, and other grazing aniamla</t>
        </is>
      </c>
      <c r="B2656" s="442" t="inlineStr">
        <is>
          <t>Table 10A.8</t>
        </is>
      </c>
      <c r="C2656" s="442" t="inlineStr">
        <is>
          <t>Table 10A.8</t>
        </is>
      </c>
      <c r="D2656" s="442" t="inlineStr">
        <is>
          <t>Table 10A.8</t>
        </is>
      </c>
      <c r="E2656" s="442" t="inlineStr">
        <is>
          <t>Table 10A.8</t>
        </is>
      </c>
      <c r="F2656" s="442" t="inlineStr">
        <is>
          <t>Table 10A.8</t>
        </is>
      </c>
      <c r="G2656" s="442" t="inlineStr">
        <is>
          <t>Table 10A.8</t>
        </is>
      </c>
      <c r="H2656" s="442" t="inlineStr">
        <is>
          <t>Table 10A.8</t>
        </is>
      </c>
      <c r="I2656" s="442" t="inlineStr">
        <is>
          <t>Table 10A.8</t>
        </is>
      </c>
      <c r="J2656" s="442" t="inlineStr">
        <is>
          <t>Table 10A.8</t>
        </is>
      </c>
      <c r="K2656" s="442" t="inlineStr">
        <is>
          <t>Table 10A.8</t>
        </is>
      </c>
      <c r="L2656" s="442" t="inlineStr">
        <is>
          <t>Table 10A.8</t>
        </is>
      </c>
      <c r="M2656" s="442" t="inlineStr">
        <is>
          <t>Table 10A.8</t>
        </is>
      </c>
      <c r="N2656" s="442" t="inlineStr">
        <is>
          <t>Table 10A.8</t>
        </is>
      </c>
      <c r="O2656" s="442" t="inlineStr">
        <is>
          <t>Table 10A.8</t>
        </is>
      </c>
      <c r="P2656" s="442" t="n"/>
      <c r="Q2656" s="442" t="n"/>
      <c r="R2656" s="442" t="n"/>
      <c r="S2656" s="442" t="n"/>
      <c r="T2656" s="442" t="n"/>
      <c r="U2656" s="442" t="n"/>
      <c r="V2656" s="442" t="n"/>
    </row>
    <row r="2657" ht="16" customFormat="1" customHeight="1" s="291">
      <c r="A2657" s="1641" t="inlineStr">
        <is>
          <t>Please select</t>
        </is>
      </c>
      <c r="B2657" s="1642" t="inlineStr">
        <is>
          <t>Lagoon</t>
        </is>
      </c>
      <c r="C2657" s="1642" t="inlineStr">
        <is>
          <t>Liquid/slurry</t>
        </is>
      </c>
      <c r="D2657" s="1642" t="inlineStr">
        <is>
          <t>Solid storage</t>
        </is>
      </c>
      <c r="E2657" s="1642" t="inlineStr">
        <is>
          <t>Dry lot</t>
        </is>
      </c>
      <c r="F2657" s="1642" t="inlineStr">
        <is>
          <t>Pasture/Range/Paddock</t>
        </is>
      </c>
      <c r="G2657" s="1642" t="inlineStr">
        <is>
          <t>Daily spread</t>
        </is>
      </c>
      <c r="H2657" s="1642" t="inlineStr">
        <is>
          <t>Digester</t>
        </is>
      </c>
      <c r="I2657" s="1639" t="inlineStr">
        <is>
          <t>Burned for fuel</t>
        </is>
      </c>
      <c r="J2657" s="1639" t="inlineStr">
        <is>
          <t>Pit&lt;1Month</t>
        </is>
      </c>
      <c r="K2657" s="1639" t="inlineStr">
        <is>
          <t>Pit&gt;1 month</t>
        </is>
      </c>
      <c r="L2657" s="1642" t="inlineStr">
        <is>
          <t>Poultry manure</t>
        </is>
      </c>
      <c r="M2657" s="291" t="inlineStr">
        <is>
          <t>Deep bedding</t>
        </is>
      </c>
      <c r="N2657" s="2156" t="inlineStr">
        <is>
          <t>Composting</t>
        </is>
      </c>
      <c r="O2657" s="2156" t="inlineStr">
        <is>
          <t>Aerobic treatment</t>
        </is>
      </c>
      <c r="P2657" s="1658" t="inlineStr">
        <is>
          <t>Other (pls. go Tier 2)</t>
        </is>
      </c>
      <c r="Q2657" s="453" t="n"/>
      <c r="R2657" s="453" t="n"/>
      <c r="S2657" s="453" t="n"/>
      <c r="T2657" s="453" t="n"/>
      <c r="U2657" s="453" t="n"/>
      <c r="V2657" s="453" t="n"/>
      <c r="W2657" s="21" t="n"/>
      <c r="X2657" s="21" t="n"/>
    </row>
    <row r="2658" ht="16" customFormat="1" customHeight="1" s="1093">
      <c r="A2658" s="523" t="inlineStr">
        <is>
          <t>IPCC Region</t>
        </is>
      </c>
      <c r="B2658" s="1636" t="inlineStr">
        <is>
          <t>%</t>
        </is>
      </c>
      <c r="C2658" s="1636" t="inlineStr">
        <is>
          <t>%</t>
        </is>
      </c>
      <c r="D2658" s="1636" t="inlineStr">
        <is>
          <t>%</t>
        </is>
      </c>
      <c r="E2658" s="1636" t="inlineStr">
        <is>
          <t>%</t>
        </is>
      </c>
      <c r="F2658" s="1636" t="inlineStr">
        <is>
          <t>%</t>
        </is>
      </c>
      <c r="G2658" s="1636" t="inlineStr">
        <is>
          <t>%</t>
        </is>
      </c>
      <c r="H2658" s="1636" t="inlineStr">
        <is>
          <t>%</t>
        </is>
      </c>
      <c r="I2658" s="1636" t="inlineStr">
        <is>
          <t>%</t>
        </is>
      </c>
      <c r="J2658" s="1635" t="inlineStr">
        <is>
          <t>%</t>
        </is>
      </c>
      <c r="K2658" s="1635" t="inlineStr">
        <is>
          <t>%</t>
        </is>
      </c>
      <c r="L2658" s="1635" t="inlineStr">
        <is>
          <t>%</t>
        </is>
      </c>
      <c r="M2658" s="31" t="inlineStr">
        <is>
          <t>%</t>
        </is>
      </c>
      <c r="N2658" s="31" t="inlineStr">
        <is>
          <t>%</t>
        </is>
      </c>
      <c r="O2658" s="31" t="inlineStr">
        <is>
          <t>%</t>
        </is>
      </c>
      <c r="P2658" s="31" t="inlineStr">
        <is>
          <t>%</t>
        </is>
      </c>
      <c r="Q2658" s="1092" t="n"/>
      <c r="R2658" s="1092" t="n"/>
      <c r="S2658" s="1092" t="n"/>
      <c r="T2658" s="1092" t="n"/>
      <c r="U2658" s="1092" t="n"/>
      <c r="V2658" s="1092" t="n"/>
    </row>
    <row r="2659" customFormat="1" s="21">
      <c r="A2659" s="407" t="inlineStr">
        <is>
          <t>Sub-Saharan Africa</t>
        </is>
      </c>
      <c r="B2659" s="470" t="n">
        <v>0</v>
      </c>
      <c r="C2659" s="470" t="n">
        <v>0</v>
      </c>
      <c r="D2659" s="470" t="n">
        <v>17</v>
      </c>
      <c r="E2659" s="470" t="n">
        <v>3</v>
      </c>
      <c r="F2659" s="470" t="n">
        <v>80</v>
      </c>
      <c r="G2659" s="470" t="n">
        <v>0</v>
      </c>
      <c r="H2659" s="470" t="n">
        <v>0</v>
      </c>
      <c r="I2659" s="470" t="n">
        <v>0</v>
      </c>
      <c r="J2659" s="44" t="n">
        <v>0</v>
      </c>
      <c r="K2659" s="44" t="n">
        <v>0</v>
      </c>
      <c r="L2659" s="1640" t="n">
        <v>0</v>
      </c>
      <c r="M2659" s="451" t="n">
        <v>0</v>
      </c>
      <c r="N2659" s="467" t="n">
        <v>0</v>
      </c>
      <c r="O2659" s="467" t="n">
        <v>0</v>
      </c>
      <c r="P2659" s="467" t="n"/>
      <c r="Q2659" s="453" t="n"/>
      <c r="R2659" s="453" t="n"/>
      <c r="S2659" s="453" t="n"/>
      <c r="T2659" s="453" t="n"/>
      <c r="U2659" s="453" t="n"/>
      <c r="V2659" s="453" t="n"/>
    </row>
    <row r="2660" customFormat="1" s="21">
      <c r="A2660" s="405" t="inlineStr">
        <is>
          <t>East Asia and South-East Asia</t>
        </is>
      </c>
      <c r="B2660" s="467" t="n">
        <v>0</v>
      </c>
      <c r="C2660" s="467" t="n">
        <v>0</v>
      </c>
      <c r="D2660" s="467" t="n">
        <v>50</v>
      </c>
      <c r="E2660" s="467" t="n">
        <v>0</v>
      </c>
      <c r="F2660" s="467" t="n">
        <v>50</v>
      </c>
      <c r="G2660" s="467" t="n">
        <v>0</v>
      </c>
      <c r="H2660" s="467" t="n">
        <v>0</v>
      </c>
      <c r="I2660" s="467" t="n">
        <v>0</v>
      </c>
      <c r="J2660" s="41" t="n">
        <v>0</v>
      </c>
      <c r="K2660" s="41" t="n">
        <v>0</v>
      </c>
      <c r="L2660" s="451" t="n">
        <v>0</v>
      </c>
      <c r="M2660" s="451" t="n">
        <v>0</v>
      </c>
      <c r="N2660" s="467" t="n">
        <v>0</v>
      </c>
      <c r="O2660" s="467" t="n">
        <v>0</v>
      </c>
      <c r="P2660" s="467" t="n"/>
      <c r="Q2660" s="453" t="n"/>
      <c r="R2660" s="453" t="n"/>
      <c r="S2660" s="453" t="n"/>
      <c r="T2660" s="453" t="n"/>
      <c r="U2660" s="453" t="n"/>
      <c r="V2660" s="453" t="n"/>
    </row>
    <row r="2661" customFormat="1" s="21">
      <c r="A2661" s="405" t="inlineStr">
        <is>
          <t>North America</t>
        </is>
      </c>
      <c r="B2661" s="467" t="n">
        <v>0</v>
      </c>
      <c r="C2661" s="467" t="n">
        <v>0</v>
      </c>
      <c r="D2661" s="467" t="n">
        <v>50</v>
      </c>
      <c r="E2661" s="467" t="n">
        <v>0</v>
      </c>
      <c r="F2661" s="467" t="n">
        <v>50</v>
      </c>
      <c r="G2661" s="467" t="n">
        <v>0</v>
      </c>
      <c r="H2661" s="467" t="n">
        <v>0</v>
      </c>
      <c r="I2661" s="467" t="n">
        <v>0</v>
      </c>
      <c r="J2661" s="41" t="n">
        <v>0</v>
      </c>
      <c r="K2661" s="41" t="n">
        <v>0</v>
      </c>
      <c r="L2661" s="468" t="n">
        <v>0</v>
      </c>
      <c r="M2661" s="451" t="n">
        <v>0</v>
      </c>
      <c r="N2661" s="467" t="n">
        <v>0</v>
      </c>
      <c r="O2661" s="467" t="n">
        <v>0</v>
      </c>
      <c r="P2661" s="467" t="n"/>
      <c r="Q2661" s="453" t="n"/>
      <c r="R2661" s="453" t="n"/>
      <c r="S2661" s="453" t="n"/>
      <c r="T2661" s="453" t="n"/>
      <c r="U2661" s="453" t="n"/>
      <c r="V2661" s="453" t="n"/>
    </row>
    <row r="2662" customFormat="1" s="21">
      <c r="A2662" s="405" t="inlineStr">
        <is>
          <t>Latin America and the Caribbean</t>
        </is>
      </c>
      <c r="B2662" s="467" t="n">
        <v>0</v>
      </c>
      <c r="C2662" s="467" t="n">
        <v>0</v>
      </c>
      <c r="D2662" s="467" t="n">
        <v>17</v>
      </c>
      <c r="E2662" s="467" t="n">
        <v>3</v>
      </c>
      <c r="F2662" s="467" t="n">
        <v>80</v>
      </c>
      <c r="G2662" s="467" t="n">
        <v>0</v>
      </c>
      <c r="H2662" s="467" t="n">
        <v>0</v>
      </c>
      <c r="I2662" s="467" t="n">
        <v>0</v>
      </c>
      <c r="J2662" s="41" t="n">
        <v>0</v>
      </c>
      <c r="K2662" s="41" t="n">
        <v>0</v>
      </c>
      <c r="L2662" s="451" t="n">
        <v>0</v>
      </c>
      <c r="M2662" s="451" t="n">
        <v>0</v>
      </c>
      <c r="N2662" s="467" t="n">
        <v>0</v>
      </c>
      <c r="O2662" s="467" t="n">
        <v>0</v>
      </c>
      <c r="P2662" s="467" t="n"/>
      <c r="Q2662" s="453" t="n"/>
      <c r="R2662" s="453" t="n"/>
      <c r="S2662" s="453" t="n"/>
      <c r="T2662" s="453" t="n"/>
      <c r="U2662" s="453" t="n"/>
      <c r="V2662" s="453" t="n"/>
    </row>
    <row r="2663" customFormat="1" s="21">
      <c r="A2663" s="405" t="inlineStr">
        <is>
          <t>Western Europe</t>
        </is>
      </c>
      <c r="B2663" s="467" t="n">
        <v>0</v>
      </c>
      <c r="C2663" s="467" t="n">
        <v>0</v>
      </c>
      <c r="D2663" s="467" t="n">
        <v>28</v>
      </c>
      <c r="E2663" s="467" t="n">
        <v>0</v>
      </c>
      <c r="F2663" s="467" t="n">
        <v>72</v>
      </c>
      <c r="G2663" s="467" t="n">
        <v>0</v>
      </c>
      <c r="H2663" s="467" t="n">
        <v>0</v>
      </c>
      <c r="I2663" s="467" t="n">
        <v>0</v>
      </c>
      <c r="J2663" s="41" t="n">
        <v>0</v>
      </c>
      <c r="K2663" s="41" t="n">
        <v>0</v>
      </c>
      <c r="L2663" s="451" t="n">
        <v>0</v>
      </c>
      <c r="M2663" s="451" t="n">
        <v>0</v>
      </c>
      <c r="N2663" s="467" t="n">
        <v>0</v>
      </c>
      <c r="O2663" s="467" t="n">
        <v>0</v>
      </c>
      <c r="P2663" s="467" t="n"/>
      <c r="Q2663" s="453" t="n"/>
      <c r="R2663" s="453" t="n"/>
      <c r="S2663" s="453" t="n"/>
      <c r="T2663" s="453" t="n"/>
      <c r="U2663" s="453" t="n"/>
      <c r="V2663" s="453" t="n"/>
    </row>
    <row r="2664" customFormat="1" s="21">
      <c r="A2664" s="405" t="inlineStr">
        <is>
          <t>Eastern Europe</t>
        </is>
      </c>
      <c r="B2664" s="467" t="n">
        <v>0</v>
      </c>
      <c r="C2664" s="467" t="n">
        <v>0</v>
      </c>
      <c r="D2664" s="467" t="n">
        <v>9</v>
      </c>
      <c r="E2664" s="467" t="n">
        <v>0</v>
      </c>
      <c r="F2664" s="467" t="n">
        <v>91</v>
      </c>
      <c r="G2664" s="467" t="n">
        <v>0</v>
      </c>
      <c r="H2664" s="467" t="n">
        <v>0</v>
      </c>
      <c r="I2664" s="467" t="n">
        <v>0</v>
      </c>
      <c r="J2664" s="41" t="n">
        <v>0</v>
      </c>
      <c r="K2664" s="41" t="n">
        <v>0</v>
      </c>
      <c r="L2664" s="451" t="n">
        <v>0</v>
      </c>
      <c r="M2664" s="451" t="n">
        <v>0</v>
      </c>
      <c r="N2664" s="467" t="n">
        <v>0</v>
      </c>
      <c r="O2664" s="467" t="n">
        <v>0</v>
      </c>
      <c r="P2664" s="467" t="n"/>
      <c r="Q2664" s="453" t="n"/>
      <c r="R2664" s="453" t="n"/>
      <c r="S2664" s="453" t="n"/>
      <c r="T2664" s="453" t="n"/>
      <c r="U2664" s="453" t="n"/>
      <c r="V2664" s="453" t="n"/>
    </row>
    <row r="2665" customFormat="1" s="21">
      <c r="A2665" s="405" t="inlineStr">
        <is>
          <t>Russian Federation</t>
        </is>
      </c>
      <c r="B2665" s="41" t="n">
        <v>0</v>
      </c>
      <c r="C2665" s="467" t="n">
        <v>0</v>
      </c>
      <c r="D2665" s="467" t="n">
        <v>82</v>
      </c>
      <c r="E2665" s="467" t="n">
        <v>0</v>
      </c>
      <c r="F2665" s="467" t="n">
        <v>18</v>
      </c>
      <c r="G2665" s="467" t="n">
        <v>0</v>
      </c>
      <c r="H2665" s="467" t="n">
        <v>0</v>
      </c>
      <c r="I2665" s="467" t="n">
        <v>0</v>
      </c>
      <c r="J2665" s="41" t="n">
        <v>0</v>
      </c>
      <c r="K2665" s="41" t="n">
        <v>0</v>
      </c>
      <c r="L2665" s="451" t="n">
        <v>0</v>
      </c>
      <c r="M2665" s="451" t="n">
        <v>0</v>
      </c>
      <c r="N2665" s="467" t="n">
        <v>0</v>
      </c>
      <c r="O2665" s="467" t="n">
        <v>0</v>
      </c>
      <c r="P2665" s="467" t="n"/>
      <c r="Q2665" s="453" t="n"/>
      <c r="R2665" s="453" t="n"/>
      <c r="S2665" s="453" t="n"/>
      <c r="T2665" s="453" t="n"/>
      <c r="U2665" s="453" t="n"/>
      <c r="V2665" s="453" t="n"/>
    </row>
    <row r="2666" customFormat="1" s="21">
      <c r="A2666" s="405" t="inlineStr">
        <is>
          <t>Oceania</t>
        </is>
      </c>
      <c r="B2666" s="467" t="n">
        <v>0</v>
      </c>
      <c r="C2666" s="467" t="n">
        <v>0</v>
      </c>
      <c r="D2666" s="467" t="n">
        <v>0</v>
      </c>
      <c r="E2666" s="467" t="n">
        <v>0</v>
      </c>
      <c r="F2666" s="467" t="n">
        <v>100</v>
      </c>
      <c r="G2666" s="467" t="n">
        <v>0</v>
      </c>
      <c r="H2666" s="467" t="n">
        <v>0</v>
      </c>
      <c r="I2666" s="467" t="n">
        <v>0</v>
      </c>
      <c r="J2666" s="41" t="n">
        <v>0</v>
      </c>
      <c r="K2666" s="41" t="n">
        <v>0</v>
      </c>
      <c r="L2666" s="468" t="n">
        <v>0</v>
      </c>
      <c r="M2666" s="451" t="n">
        <v>0</v>
      </c>
      <c r="N2666" s="467" t="n">
        <v>0</v>
      </c>
      <c r="O2666" s="467" t="n">
        <v>0</v>
      </c>
      <c r="P2666" s="467" t="n"/>
    </row>
    <row r="2667" customFormat="1" s="453">
      <c r="A2667" s="405" t="inlineStr">
        <is>
          <t>NENA/Middle East</t>
        </is>
      </c>
      <c r="B2667" s="467" t="n">
        <v>0</v>
      </c>
      <c r="C2667" s="41" t="n">
        <v>0</v>
      </c>
      <c r="D2667" s="41" t="n">
        <v>0</v>
      </c>
      <c r="E2667" s="41" t="n">
        <v>50</v>
      </c>
      <c r="F2667" s="41" t="n">
        <v>50</v>
      </c>
      <c r="G2667" s="41" t="n">
        <v>0</v>
      </c>
      <c r="H2667" s="41" t="n">
        <v>0</v>
      </c>
      <c r="I2667" s="467" t="n">
        <v>0</v>
      </c>
      <c r="J2667" s="41" t="n">
        <v>0</v>
      </c>
      <c r="K2667" s="41" t="n">
        <v>0</v>
      </c>
      <c r="L2667" s="451" t="n">
        <v>0</v>
      </c>
      <c r="M2667" s="451" t="n">
        <v>0</v>
      </c>
      <c r="N2667" s="467" t="n">
        <v>0</v>
      </c>
      <c r="O2667" s="467" t="n">
        <v>0</v>
      </c>
      <c r="P2667" s="467" t="n"/>
    </row>
    <row r="2668" customFormat="1" s="453">
      <c r="A2668" s="405" t="inlineStr">
        <is>
          <t>South Asia</t>
        </is>
      </c>
      <c r="B2668" s="467" t="n">
        <v>0</v>
      </c>
      <c r="C2668" s="467" t="n">
        <v>0</v>
      </c>
      <c r="D2668" s="467" t="n">
        <v>50</v>
      </c>
      <c r="E2668" s="467" t="n">
        <v>0</v>
      </c>
      <c r="F2668" s="467" t="n">
        <v>50</v>
      </c>
      <c r="G2668" s="467" t="n">
        <v>0</v>
      </c>
      <c r="H2668" s="467" t="n">
        <v>0</v>
      </c>
      <c r="I2668" s="467" t="n">
        <v>0</v>
      </c>
      <c r="J2668" s="41" t="n">
        <v>0</v>
      </c>
      <c r="K2668" s="41" t="n">
        <v>0</v>
      </c>
      <c r="L2668" s="468" t="n">
        <v>0</v>
      </c>
      <c r="M2668" s="451" t="n">
        <v>0</v>
      </c>
      <c r="N2668" s="467" t="n">
        <v>0</v>
      </c>
      <c r="O2668" s="467" t="n">
        <v>0</v>
      </c>
      <c r="P2668" s="467" t="n"/>
    </row>
    <row r="2669" customFormat="1" s="535">
      <c r="A2669" s="518" t="inlineStr">
        <is>
          <t>Notes :  Goat proxy</t>
        </is>
      </c>
      <c r="F2669" s="1624" t="n"/>
      <c r="G2669" s="1624" t="n"/>
      <c r="H2669" s="1624" t="n"/>
      <c r="I2669" s="1624" t="n"/>
      <c r="J2669" s="1624" t="n"/>
      <c r="K2669" s="1624" t="n"/>
      <c r="L2669" s="1624" t="n"/>
      <c r="M2669" s="1624" t="n"/>
      <c r="N2669" s="1624" t="n"/>
    </row>
    <row r="2670" customFormat="1" s="292"/>
    <row r="2672" ht="14.25" customFormat="1" customHeight="1" s="125">
      <c r="A2672" s="377" t="inlineStr">
        <is>
          <t>Animal waste management system</t>
        </is>
      </c>
      <c r="D2672" s="1075" t="n"/>
      <c r="E2672" s="1075" t="n"/>
      <c r="F2672" s="1075" t="n"/>
      <c r="G2672" s="1075" t="n"/>
      <c r="H2672" s="1075" t="n"/>
      <c r="I2672" s="1075" t="n"/>
      <c r="L2672" s="1075" t="n"/>
    </row>
    <row r="2673" ht="16.25" customFormat="1" customHeight="1" s="773">
      <c r="A2673" s="753" t="inlineStr">
        <is>
          <t>Ostrich</t>
        </is>
      </c>
      <c r="B2673" s="442" t="inlineStr">
        <is>
          <t>Table 10A.9</t>
        </is>
      </c>
      <c r="C2673" s="442" t="inlineStr">
        <is>
          <t>Table 10A.9</t>
        </is>
      </c>
      <c r="D2673" s="442" t="inlineStr">
        <is>
          <t>Table 10A.9</t>
        </is>
      </c>
      <c r="E2673" s="442" t="inlineStr">
        <is>
          <t>Table 10A.9</t>
        </is>
      </c>
      <c r="F2673" s="442" t="inlineStr">
        <is>
          <t>Table 10A.9</t>
        </is>
      </c>
      <c r="G2673" s="442" t="inlineStr">
        <is>
          <t>Table 10A.9</t>
        </is>
      </c>
      <c r="H2673" s="442" t="inlineStr">
        <is>
          <t>Table 10A.9</t>
        </is>
      </c>
      <c r="I2673" s="442" t="inlineStr">
        <is>
          <t>Table 10A.9</t>
        </is>
      </c>
      <c r="J2673" s="442" t="inlineStr">
        <is>
          <t>Table 10A.9</t>
        </is>
      </c>
      <c r="K2673" s="442" t="inlineStr">
        <is>
          <t>Table 10A.9</t>
        </is>
      </c>
      <c r="L2673" s="442" t="inlineStr">
        <is>
          <t>Table 10A.9</t>
        </is>
      </c>
      <c r="M2673" s="442" t="inlineStr">
        <is>
          <t>Table 10A.9</t>
        </is>
      </c>
      <c r="N2673" s="442" t="inlineStr">
        <is>
          <t>Table 10A.9</t>
        </is>
      </c>
      <c r="O2673" s="442" t="inlineStr">
        <is>
          <t>Table 10A.9</t>
        </is>
      </c>
      <c r="P2673" s="442" t="n"/>
      <c r="Q2673" s="442" t="n"/>
      <c r="R2673" s="442" t="n"/>
      <c r="S2673" s="442" t="n"/>
      <c r="T2673" s="442" t="n"/>
      <c r="U2673" s="442" t="n"/>
      <c r="V2673" s="442" t="n"/>
    </row>
    <row r="2674" ht="16" customFormat="1" customHeight="1" s="291">
      <c r="A2674" s="1641" t="inlineStr">
        <is>
          <t>Please select</t>
        </is>
      </c>
      <c r="B2674" s="1642" t="inlineStr">
        <is>
          <t>Lagoon</t>
        </is>
      </c>
      <c r="C2674" s="1642" t="inlineStr">
        <is>
          <t>Liquid/slurry</t>
        </is>
      </c>
      <c r="D2674" s="1642" t="inlineStr">
        <is>
          <t>Solid storage</t>
        </is>
      </c>
      <c r="E2674" s="1642" t="inlineStr">
        <is>
          <t>Dry lot</t>
        </is>
      </c>
      <c r="F2674" s="1642" t="inlineStr">
        <is>
          <t>Pasture/Range/Paddock</t>
        </is>
      </c>
      <c r="G2674" s="1642" t="inlineStr">
        <is>
          <t>Daily spread</t>
        </is>
      </c>
      <c r="H2674" s="1642" t="inlineStr">
        <is>
          <t>Digester</t>
        </is>
      </c>
      <c r="I2674" s="1639" t="inlineStr">
        <is>
          <t>Burned for fuel</t>
        </is>
      </c>
      <c r="J2674" s="1639" t="inlineStr">
        <is>
          <t>Pit&lt;1Month</t>
        </is>
      </c>
      <c r="K2674" s="1639" t="inlineStr">
        <is>
          <t>Pit&gt;1 month</t>
        </is>
      </c>
      <c r="L2674" s="1642" t="inlineStr">
        <is>
          <t>Poultry manure</t>
        </is>
      </c>
      <c r="M2674" s="291" t="inlineStr">
        <is>
          <t>Deep bedding</t>
        </is>
      </c>
      <c r="N2674" s="2156" t="inlineStr">
        <is>
          <t>Composting</t>
        </is>
      </c>
      <c r="O2674" s="2156" t="inlineStr">
        <is>
          <t>Aerobic treatment</t>
        </is>
      </c>
      <c r="P2674" s="1658" t="inlineStr">
        <is>
          <t>Other (pls. go Tier 2)</t>
        </is>
      </c>
      <c r="Q2674" s="453" t="n"/>
      <c r="R2674" s="453" t="n"/>
      <c r="S2674" s="453" t="n"/>
      <c r="T2674" s="453" t="n"/>
      <c r="U2674" s="453" t="n"/>
      <c r="V2674" s="453" t="n"/>
      <c r="W2674" s="21" t="n"/>
      <c r="X2674" s="21" t="n"/>
    </row>
    <row r="2675" ht="16" customFormat="1" customHeight="1" s="1093">
      <c r="A2675" s="523" t="inlineStr">
        <is>
          <t>IPCC Region</t>
        </is>
      </c>
      <c r="B2675" s="1636" t="inlineStr">
        <is>
          <t>%</t>
        </is>
      </c>
      <c r="C2675" s="1636" t="inlineStr">
        <is>
          <t>%</t>
        </is>
      </c>
      <c r="D2675" s="1636" t="inlineStr">
        <is>
          <t>%</t>
        </is>
      </c>
      <c r="E2675" s="1636" t="inlineStr">
        <is>
          <t>%</t>
        </is>
      </c>
      <c r="F2675" s="1636" t="inlineStr">
        <is>
          <t>%</t>
        </is>
      </c>
      <c r="G2675" s="1636" t="inlineStr">
        <is>
          <t>%</t>
        </is>
      </c>
      <c r="H2675" s="1636" t="inlineStr">
        <is>
          <t>%</t>
        </is>
      </c>
      <c r="I2675" s="1636" t="inlineStr">
        <is>
          <t>%</t>
        </is>
      </c>
      <c r="J2675" s="1635" t="inlineStr">
        <is>
          <t>%</t>
        </is>
      </c>
      <c r="K2675" s="1635" t="inlineStr">
        <is>
          <t>%</t>
        </is>
      </c>
      <c r="L2675" s="1635" t="inlineStr">
        <is>
          <t>%</t>
        </is>
      </c>
      <c r="M2675" s="31" t="inlineStr">
        <is>
          <t>%</t>
        </is>
      </c>
      <c r="N2675" s="31" t="inlineStr">
        <is>
          <t>%</t>
        </is>
      </c>
      <c r="O2675" s="31" t="inlineStr">
        <is>
          <t>%</t>
        </is>
      </c>
      <c r="P2675" s="31" t="inlineStr">
        <is>
          <t>%</t>
        </is>
      </c>
      <c r="Q2675" s="1092" t="n"/>
      <c r="R2675" s="1092" t="n"/>
      <c r="S2675" s="1092" t="n"/>
      <c r="T2675" s="1092" t="n"/>
      <c r="U2675" s="1092" t="n"/>
      <c r="V2675" s="1092" t="n"/>
    </row>
    <row r="2676" customFormat="1" s="21">
      <c r="A2676" s="407" t="inlineStr">
        <is>
          <t>Sub-Saharan Africa</t>
        </is>
      </c>
      <c r="B2676" s="470" t="n">
        <v>0</v>
      </c>
      <c r="C2676" s="470" t="n">
        <v>0</v>
      </c>
      <c r="D2676" s="470" t="n">
        <v>20</v>
      </c>
      <c r="E2676" s="470" t="n">
        <v>0</v>
      </c>
      <c r="F2676" s="470" t="n">
        <v>80</v>
      </c>
      <c r="G2676" s="470" t="n">
        <v>0</v>
      </c>
      <c r="H2676" s="470" t="n">
        <v>0</v>
      </c>
      <c r="I2676" s="470" t="n">
        <v>0</v>
      </c>
      <c r="J2676" s="44" t="n">
        <v>0</v>
      </c>
      <c r="K2676" s="44" t="n">
        <v>0</v>
      </c>
      <c r="L2676" s="1640" t="n">
        <v>0</v>
      </c>
      <c r="M2676" s="451" t="n">
        <v>0</v>
      </c>
      <c r="N2676" s="467" t="n">
        <v>0</v>
      </c>
      <c r="O2676" s="467" t="n">
        <v>0</v>
      </c>
      <c r="P2676" s="467" t="n"/>
      <c r="Q2676" s="453" t="n"/>
      <c r="R2676" s="453" t="n"/>
      <c r="S2676" s="453" t="n"/>
      <c r="T2676" s="453" t="n"/>
      <c r="U2676" s="453" t="n"/>
      <c r="V2676" s="453" t="n"/>
    </row>
    <row r="2677" customFormat="1" s="21">
      <c r="A2677" s="405" t="inlineStr">
        <is>
          <t>East Asia and South-East Asia</t>
        </is>
      </c>
      <c r="B2677" s="467" t="n">
        <v>0</v>
      </c>
      <c r="C2677" s="467" t="n">
        <v>0</v>
      </c>
      <c r="D2677" s="467" t="n">
        <v>20</v>
      </c>
      <c r="E2677" s="467" t="n">
        <v>0</v>
      </c>
      <c r="F2677" s="467" t="n">
        <v>80</v>
      </c>
      <c r="G2677" s="467" t="n">
        <v>0</v>
      </c>
      <c r="H2677" s="467" t="n">
        <v>0</v>
      </c>
      <c r="I2677" s="467" t="n">
        <v>0</v>
      </c>
      <c r="J2677" s="41" t="n">
        <v>0</v>
      </c>
      <c r="K2677" s="41" t="n">
        <v>0</v>
      </c>
      <c r="L2677" s="451" t="n">
        <v>0</v>
      </c>
      <c r="M2677" s="451" t="n">
        <v>0</v>
      </c>
      <c r="N2677" s="467" t="n">
        <v>0</v>
      </c>
      <c r="O2677" s="467" t="n">
        <v>0</v>
      </c>
      <c r="P2677" s="467" t="n"/>
      <c r="Q2677" s="453" t="n"/>
      <c r="R2677" s="453" t="n"/>
      <c r="S2677" s="453" t="n"/>
      <c r="T2677" s="453" t="n"/>
      <c r="U2677" s="453" t="n"/>
      <c r="V2677" s="453" t="n"/>
    </row>
    <row r="2678" customFormat="1" s="21">
      <c r="A2678" s="405" t="inlineStr">
        <is>
          <t>North America</t>
        </is>
      </c>
      <c r="B2678" s="467" t="n">
        <v>0</v>
      </c>
      <c r="C2678" s="467" t="n">
        <v>0</v>
      </c>
      <c r="D2678" s="467" t="n">
        <v>20</v>
      </c>
      <c r="E2678" s="467" t="n">
        <v>0</v>
      </c>
      <c r="F2678" s="467" t="n">
        <v>80</v>
      </c>
      <c r="G2678" s="467" t="n">
        <v>0</v>
      </c>
      <c r="H2678" s="467" t="n">
        <v>0</v>
      </c>
      <c r="I2678" s="467" t="n">
        <v>0</v>
      </c>
      <c r="J2678" s="41" t="n">
        <v>0</v>
      </c>
      <c r="K2678" s="41" t="n">
        <v>0</v>
      </c>
      <c r="L2678" s="468" t="n">
        <v>0</v>
      </c>
      <c r="M2678" s="451" t="n">
        <v>0</v>
      </c>
      <c r="N2678" s="467" t="n">
        <v>0</v>
      </c>
      <c r="O2678" s="467" t="n">
        <v>0</v>
      </c>
      <c r="P2678" s="467" t="n"/>
      <c r="Q2678" s="453" t="n"/>
      <c r="R2678" s="453" t="n"/>
      <c r="S2678" s="453" t="n"/>
      <c r="T2678" s="453" t="n"/>
      <c r="U2678" s="453" t="n"/>
      <c r="V2678" s="453" t="n"/>
    </row>
    <row r="2679" customFormat="1" s="21">
      <c r="A2679" s="405" t="inlineStr">
        <is>
          <t>Latin America and the Caribbean</t>
        </is>
      </c>
      <c r="B2679" s="467" t="n">
        <v>0</v>
      </c>
      <c r="C2679" s="467" t="n">
        <v>0</v>
      </c>
      <c r="D2679" s="467" t="n">
        <v>20</v>
      </c>
      <c r="E2679" s="467" t="n">
        <v>0</v>
      </c>
      <c r="F2679" s="467" t="n">
        <v>80</v>
      </c>
      <c r="G2679" s="467" t="n">
        <v>0</v>
      </c>
      <c r="H2679" s="467" t="n">
        <v>0</v>
      </c>
      <c r="I2679" s="467" t="n">
        <v>0</v>
      </c>
      <c r="J2679" s="41" t="n">
        <v>0</v>
      </c>
      <c r="K2679" s="41" t="n">
        <v>0</v>
      </c>
      <c r="L2679" s="451" t="n">
        <v>0</v>
      </c>
      <c r="M2679" s="451" t="n">
        <v>0</v>
      </c>
      <c r="N2679" s="467" t="n">
        <v>0</v>
      </c>
      <c r="O2679" s="467" t="n">
        <v>0</v>
      </c>
      <c r="P2679" s="467" t="n"/>
      <c r="Q2679" s="453" t="n"/>
      <c r="R2679" s="453" t="n"/>
      <c r="S2679" s="453" t="n"/>
      <c r="T2679" s="453" t="n"/>
      <c r="U2679" s="453" t="n"/>
      <c r="V2679" s="453" t="n"/>
    </row>
    <row r="2680" customFormat="1" s="21">
      <c r="A2680" s="405" t="inlineStr">
        <is>
          <t>Western Europe</t>
        </is>
      </c>
      <c r="B2680" s="467" t="n">
        <v>0</v>
      </c>
      <c r="C2680" s="467" t="n">
        <v>0</v>
      </c>
      <c r="D2680" s="467" t="n">
        <v>20</v>
      </c>
      <c r="E2680" s="467" t="n">
        <v>0</v>
      </c>
      <c r="F2680" s="467" t="n">
        <v>80</v>
      </c>
      <c r="G2680" s="467" t="n">
        <v>0</v>
      </c>
      <c r="H2680" s="467" t="n">
        <v>0</v>
      </c>
      <c r="I2680" s="467" t="n">
        <v>0</v>
      </c>
      <c r="J2680" s="41" t="n">
        <v>0</v>
      </c>
      <c r="K2680" s="41" t="n">
        <v>0</v>
      </c>
      <c r="L2680" s="451" t="n">
        <v>0</v>
      </c>
      <c r="M2680" s="451" t="n">
        <v>0</v>
      </c>
      <c r="N2680" s="467" t="n">
        <v>0</v>
      </c>
      <c r="O2680" s="467" t="n">
        <v>0</v>
      </c>
      <c r="P2680" s="467" t="n"/>
      <c r="Q2680" s="453" t="n"/>
      <c r="R2680" s="453" t="n"/>
      <c r="S2680" s="453" t="n"/>
      <c r="T2680" s="453" t="n"/>
      <c r="U2680" s="453" t="n"/>
      <c r="V2680" s="453" t="n"/>
    </row>
    <row r="2681" customFormat="1" s="21">
      <c r="A2681" s="405" t="inlineStr">
        <is>
          <t>Eastern Europe</t>
        </is>
      </c>
      <c r="B2681" s="467" t="n">
        <v>0</v>
      </c>
      <c r="C2681" s="467" t="n">
        <v>0</v>
      </c>
      <c r="D2681" s="467" t="n">
        <v>20</v>
      </c>
      <c r="E2681" s="467" t="n">
        <v>0</v>
      </c>
      <c r="F2681" s="467" t="n">
        <v>80</v>
      </c>
      <c r="G2681" s="467" t="n">
        <v>0</v>
      </c>
      <c r="H2681" s="467" t="n">
        <v>0</v>
      </c>
      <c r="I2681" s="467" t="n">
        <v>0</v>
      </c>
      <c r="J2681" s="41" t="n">
        <v>0</v>
      </c>
      <c r="K2681" s="41" t="n">
        <v>0</v>
      </c>
      <c r="L2681" s="451" t="n">
        <v>0</v>
      </c>
      <c r="M2681" s="451" t="n">
        <v>0</v>
      </c>
      <c r="N2681" s="467" t="n">
        <v>0</v>
      </c>
      <c r="O2681" s="467" t="n">
        <v>0</v>
      </c>
      <c r="P2681" s="467" t="n"/>
      <c r="Q2681" s="453" t="n"/>
      <c r="R2681" s="453" t="n"/>
      <c r="S2681" s="453" t="n"/>
      <c r="T2681" s="453" t="n"/>
      <c r="U2681" s="453" t="n"/>
      <c r="V2681" s="453" t="n"/>
    </row>
    <row r="2682" customFormat="1" s="21">
      <c r="A2682" s="405" t="inlineStr">
        <is>
          <t>Russian Federation</t>
        </is>
      </c>
      <c r="B2682" s="41" t="n">
        <v>0</v>
      </c>
      <c r="C2682" s="467" t="n">
        <v>0</v>
      </c>
      <c r="D2682" s="467" t="n">
        <v>20</v>
      </c>
      <c r="E2682" s="467" t="n">
        <v>0</v>
      </c>
      <c r="F2682" s="467" t="n">
        <v>80</v>
      </c>
      <c r="G2682" s="467" t="n">
        <v>0</v>
      </c>
      <c r="H2682" s="467" t="n">
        <v>0</v>
      </c>
      <c r="I2682" s="467" t="n">
        <v>0</v>
      </c>
      <c r="J2682" s="41" t="n">
        <v>0</v>
      </c>
      <c r="K2682" s="41" t="n">
        <v>0</v>
      </c>
      <c r="L2682" s="451" t="n">
        <v>0</v>
      </c>
      <c r="M2682" s="451" t="n">
        <v>0</v>
      </c>
      <c r="N2682" s="467" t="n">
        <v>0</v>
      </c>
      <c r="O2682" s="467" t="n">
        <v>0</v>
      </c>
      <c r="P2682" s="467" t="n"/>
      <c r="Q2682" s="453" t="n"/>
      <c r="R2682" s="453" t="n"/>
      <c r="S2682" s="453" t="n"/>
      <c r="T2682" s="453" t="n"/>
      <c r="U2682" s="453" t="n"/>
      <c r="V2682" s="453" t="n"/>
    </row>
    <row r="2683" customFormat="1" s="21">
      <c r="A2683" s="405" t="inlineStr">
        <is>
          <t>Oceania</t>
        </is>
      </c>
      <c r="B2683" s="467" t="n">
        <v>0</v>
      </c>
      <c r="C2683" s="467" t="n">
        <v>0</v>
      </c>
      <c r="D2683" s="467" t="n">
        <v>20</v>
      </c>
      <c r="E2683" s="467" t="n">
        <v>0</v>
      </c>
      <c r="F2683" s="467" t="n">
        <v>80</v>
      </c>
      <c r="G2683" s="467" t="n">
        <v>0</v>
      </c>
      <c r="H2683" s="467" t="n">
        <v>0</v>
      </c>
      <c r="I2683" s="467" t="n">
        <v>0</v>
      </c>
      <c r="J2683" s="41" t="n">
        <v>0</v>
      </c>
      <c r="K2683" s="41" t="n">
        <v>0</v>
      </c>
      <c r="L2683" s="468" t="n">
        <v>0</v>
      </c>
      <c r="M2683" s="451" t="n">
        <v>0</v>
      </c>
      <c r="N2683" s="467" t="n">
        <v>0</v>
      </c>
      <c r="O2683" s="467" t="n">
        <v>0</v>
      </c>
      <c r="P2683" s="467" t="n"/>
    </row>
    <row r="2684" customFormat="1" s="453">
      <c r="A2684" s="405" t="inlineStr">
        <is>
          <t>NENA/Middle East</t>
        </is>
      </c>
      <c r="B2684" s="467" t="n">
        <v>0</v>
      </c>
      <c r="C2684" s="41" t="n">
        <v>0</v>
      </c>
      <c r="D2684" s="467" t="n">
        <v>20</v>
      </c>
      <c r="E2684" s="467" t="n">
        <v>0</v>
      </c>
      <c r="F2684" s="467" t="n">
        <v>80</v>
      </c>
      <c r="G2684" s="41" t="n">
        <v>0</v>
      </c>
      <c r="H2684" s="41" t="n">
        <v>0</v>
      </c>
      <c r="I2684" s="467" t="n">
        <v>0</v>
      </c>
      <c r="J2684" s="41" t="n">
        <v>0</v>
      </c>
      <c r="K2684" s="41" t="n">
        <v>0</v>
      </c>
      <c r="L2684" s="451" t="n">
        <v>0</v>
      </c>
      <c r="M2684" s="451" t="n">
        <v>0</v>
      </c>
      <c r="N2684" s="467" t="n">
        <v>0</v>
      </c>
      <c r="O2684" s="467" t="n">
        <v>0</v>
      </c>
      <c r="P2684" s="467" t="n"/>
    </row>
    <row r="2685" customFormat="1" s="453">
      <c r="A2685" s="405" t="inlineStr">
        <is>
          <t>South Asia</t>
        </is>
      </c>
      <c r="B2685" s="467" t="n">
        <v>0</v>
      </c>
      <c r="C2685" s="467" t="n">
        <v>0</v>
      </c>
      <c r="D2685" s="467" t="n">
        <v>20</v>
      </c>
      <c r="E2685" s="467" t="n">
        <v>0</v>
      </c>
      <c r="F2685" s="467" t="n">
        <v>80</v>
      </c>
      <c r="G2685" s="467" t="n">
        <v>0</v>
      </c>
      <c r="H2685" s="467" t="n">
        <v>0</v>
      </c>
      <c r="I2685" s="467" t="n">
        <v>0</v>
      </c>
      <c r="J2685" s="41" t="n">
        <v>0</v>
      </c>
      <c r="K2685" s="41" t="n">
        <v>0</v>
      </c>
      <c r="L2685" s="468" t="n">
        <v>0</v>
      </c>
      <c r="M2685" s="451" t="n">
        <v>0</v>
      </c>
      <c r="N2685" s="467" t="n">
        <v>0</v>
      </c>
      <c r="O2685" s="467" t="n">
        <v>0</v>
      </c>
      <c r="P2685" s="467" t="n"/>
    </row>
    <row r="2686" customFormat="1" s="535">
      <c r="A2686" s="518" t="inlineStr">
        <is>
          <t>Notes :  according to footnote Table 10A.9</t>
        </is>
      </c>
      <c r="F2686" s="1624" t="n"/>
      <c r="G2686" s="1624" t="n"/>
      <c r="H2686" s="1624" t="n"/>
      <c r="I2686" s="1624" t="n"/>
      <c r="J2686" s="1624" t="n"/>
      <c r="K2686" s="1624" t="n"/>
      <c r="L2686" s="1624" t="n"/>
      <c r="M2686" s="1624" t="n"/>
      <c r="N2686" s="1624" t="n"/>
    </row>
    <row r="2687" customFormat="1" s="292"/>
    <row r="2689" ht="14.25" customFormat="1" customHeight="1" s="125">
      <c r="A2689" s="377" t="inlineStr">
        <is>
          <t>Animal waste management system</t>
        </is>
      </c>
      <c r="D2689" s="1075" t="n"/>
      <c r="E2689" s="1075" t="n"/>
      <c r="F2689" s="1075" t="n"/>
      <c r="G2689" s="1075" t="n"/>
      <c r="H2689" s="1075" t="n"/>
      <c r="I2689" s="1075" t="n"/>
      <c r="L2689" s="1075" t="n"/>
    </row>
    <row r="2690" ht="16.25" customFormat="1" customHeight="1" s="773">
      <c r="A2690" s="753" t="inlineStr">
        <is>
          <t>Deer</t>
        </is>
      </c>
      <c r="B2690" s="442" t="inlineStr">
        <is>
          <t>Table 10A.9</t>
        </is>
      </c>
      <c r="C2690" s="442" t="inlineStr">
        <is>
          <t>Table 10A.9</t>
        </is>
      </c>
      <c r="D2690" s="442" t="inlineStr">
        <is>
          <t>Table 10A.9</t>
        </is>
      </c>
      <c r="E2690" s="442" t="inlineStr">
        <is>
          <t>Table 10A.9</t>
        </is>
      </c>
      <c r="F2690" s="442" t="inlineStr">
        <is>
          <t>Table 10A.9</t>
        </is>
      </c>
      <c r="G2690" s="442" t="inlineStr">
        <is>
          <t>Table 10A.9</t>
        </is>
      </c>
      <c r="H2690" s="442" t="inlineStr">
        <is>
          <t>Table 10A.9</t>
        </is>
      </c>
      <c r="I2690" s="442" t="inlineStr">
        <is>
          <t>Table 10A.9</t>
        </is>
      </c>
      <c r="J2690" s="442" t="inlineStr">
        <is>
          <t>Table 10A.9</t>
        </is>
      </c>
      <c r="K2690" s="442" t="inlineStr">
        <is>
          <t>Table 10A.9</t>
        </is>
      </c>
      <c r="L2690" s="442" t="inlineStr">
        <is>
          <t>Table 10A.9</t>
        </is>
      </c>
      <c r="M2690" s="442" t="inlineStr">
        <is>
          <t>Table 10A.9</t>
        </is>
      </c>
      <c r="N2690" s="442" t="inlineStr">
        <is>
          <t>Table 10A.9</t>
        </is>
      </c>
      <c r="O2690" s="442" t="inlineStr">
        <is>
          <t>Table 10A.9</t>
        </is>
      </c>
      <c r="P2690" s="442" t="n"/>
      <c r="Q2690" s="442" t="n"/>
      <c r="R2690" s="442" t="n"/>
      <c r="S2690" s="442" t="n"/>
      <c r="T2690" s="442" t="n"/>
      <c r="U2690" s="442" t="n"/>
      <c r="V2690" s="442" t="n"/>
    </row>
    <row r="2691" ht="16" customFormat="1" customHeight="1" s="291">
      <c r="A2691" s="1641" t="inlineStr">
        <is>
          <t>Please select</t>
        </is>
      </c>
      <c r="B2691" s="1642" t="inlineStr">
        <is>
          <t>Lagoon</t>
        </is>
      </c>
      <c r="C2691" s="1642" t="inlineStr">
        <is>
          <t>Liquid/slurry</t>
        </is>
      </c>
      <c r="D2691" s="1642" t="inlineStr">
        <is>
          <t>Solid storage</t>
        </is>
      </c>
      <c r="E2691" s="1642" t="inlineStr">
        <is>
          <t>Dry lot</t>
        </is>
      </c>
      <c r="F2691" s="1642" t="inlineStr">
        <is>
          <t>Pasture/Range/Paddock</t>
        </is>
      </c>
      <c r="G2691" s="1642" t="inlineStr">
        <is>
          <t>Daily spread</t>
        </is>
      </c>
      <c r="H2691" s="1642" t="inlineStr">
        <is>
          <t>Digester</t>
        </is>
      </c>
      <c r="I2691" s="1639" t="inlineStr">
        <is>
          <t>Burned for fuel</t>
        </is>
      </c>
      <c r="J2691" s="1639" t="inlineStr">
        <is>
          <t>Pit&lt;1Month</t>
        </is>
      </c>
      <c r="K2691" s="1639" t="inlineStr">
        <is>
          <t>Pit&gt;1 month</t>
        </is>
      </c>
      <c r="L2691" s="1642" t="inlineStr">
        <is>
          <t>Poultry manure</t>
        </is>
      </c>
      <c r="M2691" s="291" t="inlineStr">
        <is>
          <t>Deep bedding</t>
        </is>
      </c>
      <c r="N2691" s="2156" t="inlineStr">
        <is>
          <t>Composting</t>
        </is>
      </c>
      <c r="O2691" s="2156" t="inlineStr">
        <is>
          <t>Aerobic treatment</t>
        </is>
      </c>
      <c r="P2691" s="1658" t="inlineStr">
        <is>
          <t>Other (pls. go Tier 2)</t>
        </is>
      </c>
      <c r="Q2691" s="453" t="n"/>
      <c r="R2691" s="453" t="n"/>
      <c r="S2691" s="453" t="n"/>
      <c r="T2691" s="453" t="n"/>
      <c r="U2691" s="453" t="n"/>
      <c r="V2691" s="453" t="n"/>
      <c r="W2691" s="21" t="n"/>
      <c r="X2691" s="21" t="n"/>
    </row>
    <row r="2692" ht="16" customFormat="1" customHeight="1" s="1093">
      <c r="A2692" s="523" t="inlineStr">
        <is>
          <t>IPCC Region</t>
        </is>
      </c>
      <c r="B2692" s="1636" t="inlineStr">
        <is>
          <t>%</t>
        </is>
      </c>
      <c r="C2692" s="1636" t="inlineStr">
        <is>
          <t>%</t>
        </is>
      </c>
      <c r="D2692" s="1636" t="inlineStr">
        <is>
          <t>%</t>
        </is>
      </c>
      <c r="E2692" s="1636" t="inlineStr">
        <is>
          <t>%</t>
        </is>
      </c>
      <c r="F2692" s="1636" t="inlineStr">
        <is>
          <t>%</t>
        </is>
      </c>
      <c r="G2692" s="1636" t="inlineStr">
        <is>
          <t>%</t>
        </is>
      </c>
      <c r="H2692" s="1636" t="inlineStr">
        <is>
          <t>%</t>
        </is>
      </c>
      <c r="I2692" s="1636" t="inlineStr">
        <is>
          <t>%</t>
        </is>
      </c>
      <c r="J2692" s="1635" t="inlineStr">
        <is>
          <t>%</t>
        </is>
      </c>
      <c r="K2692" s="1635" t="inlineStr">
        <is>
          <t>%</t>
        </is>
      </c>
      <c r="L2692" s="1635" t="inlineStr">
        <is>
          <t>%</t>
        </is>
      </c>
      <c r="M2692" s="31" t="inlineStr">
        <is>
          <t>%</t>
        </is>
      </c>
      <c r="N2692" s="31" t="inlineStr">
        <is>
          <t>%</t>
        </is>
      </c>
      <c r="O2692" s="31" t="inlineStr">
        <is>
          <t>%</t>
        </is>
      </c>
      <c r="P2692" s="31" t="inlineStr">
        <is>
          <t>%</t>
        </is>
      </c>
      <c r="Q2692" s="1092" t="n"/>
      <c r="R2692" s="1092" t="n"/>
      <c r="S2692" s="1092" t="n"/>
      <c r="T2692" s="1092" t="n"/>
      <c r="U2692" s="1092" t="n"/>
      <c r="V2692" s="1092" t="n"/>
    </row>
    <row r="2693" customFormat="1" s="21">
      <c r="A2693" s="407" t="inlineStr">
        <is>
          <t>Sub-Saharan Africa</t>
        </is>
      </c>
      <c r="B2693" s="470" t="n">
        <v>0</v>
      </c>
      <c r="C2693" s="470" t="n">
        <v>0</v>
      </c>
      <c r="D2693" s="470" t="n">
        <v>0</v>
      </c>
      <c r="E2693" s="470" t="n">
        <v>0</v>
      </c>
      <c r="F2693" s="470" t="n">
        <v>100</v>
      </c>
      <c r="G2693" s="470" t="n">
        <v>0</v>
      </c>
      <c r="H2693" s="470" t="n">
        <v>0</v>
      </c>
      <c r="I2693" s="470" t="n">
        <v>0</v>
      </c>
      <c r="J2693" s="44" t="n">
        <v>0</v>
      </c>
      <c r="K2693" s="44" t="n">
        <v>0</v>
      </c>
      <c r="L2693" s="1640" t="n">
        <v>0</v>
      </c>
      <c r="M2693" s="451" t="n">
        <v>0</v>
      </c>
      <c r="N2693" s="467" t="n">
        <v>0</v>
      </c>
      <c r="O2693" s="467" t="n">
        <v>0</v>
      </c>
      <c r="P2693" s="467" t="n"/>
      <c r="Q2693" s="453" t="n"/>
      <c r="R2693" s="453" t="n"/>
      <c r="S2693" s="453" t="n"/>
      <c r="T2693" s="453" t="n"/>
      <c r="U2693" s="453" t="n"/>
      <c r="V2693" s="453" t="n"/>
    </row>
    <row r="2694" customFormat="1" s="21">
      <c r="A2694" s="405" t="inlineStr">
        <is>
          <t>East Asia and South-East Asia</t>
        </is>
      </c>
      <c r="B2694" s="467" t="n">
        <v>0</v>
      </c>
      <c r="C2694" s="467" t="n">
        <v>0</v>
      </c>
      <c r="D2694" s="467" t="n">
        <v>0</v>
      </c>
      <c r="E2694" s="467" t="n">
        <v>0</v>
      </c>
      <c r="F2694" s="467" t="n">
        <v>100</v>
      </c>
      <c r="G2694" s="467" t="n">
        <v>0</v>
      </c>
      <c r="H2694" s="467" t="n">
        <v>0</v>
      </c>
      <c r="I2694" s="467" t="n">
        <v>0</v>
      </c>
      <c r="J2694" s="41" t="n">
        <v>0</v>
      </c>
      <c r="K2694" s="41" t="n">
        <v>0</v>
      </c>
      <c r="L2694" s="451" t="n">
        <v>0</v>
      </c>
      <c r="M2694" s="451" t="n">
        <v>0</v>
      </c>
      <c r="N2694" s="467" t="n">
        <v>0</v>
      </c>
      <c r="O2694" s="467" t="n">
        <v>0</v>
      </c>
      <c r="P2694" s="467" t="n"/>
      <c r="Q2694" s="453" t="n"/>
      <c r="R2694" s="453" t="n"/>
      <c r="S2694" s="453" t="n"/>
      <c r="T2694" s="453" t="n"/>
      <c r="U2694" s="453" t="n"/>
      <c r="V2694" s="453" t="n"/>
    </row>
    <row r="2695" customFormat="1" s="21">
      <c r="A2695" s="405" t="inlineStr">
        <is>
          <t>North America</t>
        </is>
      </c>
      <c r="B2695" s="467" t="n">
        <v>0</v>
      </c>
      <c r="C2695" s="467" t="n">
        <v>0</v>
      </c>
      <c r="D2695" s="467" t="n">
        <v>0</v>
      </c>
      <c r="E2695" s="467" t="n">
        <v>0</v>
      </c>
      <c r="F2695" s="467" t="n">
        <v>100</v>
      </c>
      <c r="G2695" s="467" t="n">
        <v>0</v>
      </c>
      <c r="H2695" s="467" t="n">
        <v>0</v>
      </c>
      <c r="I2695" s="467" t="n">
        <v>0</v>
      </c>
      <c r="J2695" s="41" t="n">
        <v>0</v>
      </c>
      <c r="K2695" s="41" t="n">
        <v>0</v>
      </c>
      <c r="L2695" s="468" t="n">
        <v>0</v>
      </c>
      <c r="M2695" s="451" t="n">
        <v>0</v>
      </c>
      <c r="N2695" s="467" t="n">
        <v>0</v>
      </c>
      <c r="O2695" s="467" t="n">
        <v>0</v>
      </c>
      <c r="P2695" s="467" t="n"/>
      <c r="Q2695" s="453" t="n"/>
      <c r="R2695" s="453" t="n"/>
      <c r="S2695" s="453" t="n"/>
      <c r="T2695" s="453" t="n"/>
      <c r="U2695" s="453" t="n"/>
      <c r="V2695" s="453" t="n"/>
    </row>
    <row r="2696" customFormat="1" s="21">
      <c r="A2696" s="405" t="inlineStr">
        <is>
          <t>Latin America and the Caribbean</t>
        </is>
      </c>
      <c r="B2696" s="467" t="n">
        <v>0</v>
      </c>
      <c r="C2696" s="467" t="n">
        <v>0</v>
      </c>
      <c r="D2696" s="467" t="n">
        <v>0</v>
      </c>
      <c r="E2696" s="467" t="n">
        <v>0</v>
      </c>
      <c r="F2696" s="467" t="n">
        <v>100</v>
      </c>
      <c r="G2696" s="467" t="n">
        <v>0</v>
      </c>
      <c r="H2696" s="467" t="n">
        <v>0</v>
      </c>
      <c r="I2696" s="467" t="n">
        <v>0</v>
      </c>
      <c r="J2696" s="41" t="n">
        <v>0</v>
      </c>
      <c r="K2696" s="41" t="n">
        <v>0</v>
      </c>
      <c r="L2696" s="451" t="n">
        <v>0</v>
      </c>
      <c r="M2696" s="451" t="n">
        <v>0</v>
      </c>
      <c r="N2696" s="467" t="n">
        <v>0</v>
      </c>
      <c r="O2696" s="467" t="n">
        <v>0</v>
      </c>
      <c r="P2696" s="467" t="n"/>
      <c r="Q2696" s="453" t="n"/>
      <c r="R2696" s="453" t="n"/>
      <c r="S2696" s="453" t="n"/>
      <c r="T2696" s="453" t="n"/>
      <c r="U2696" s="453" t="n"/>
      <c r="V2696" s="453" t="n"/>
    </row>
    <row r="2697" customFormat="1" s="21">
      <c r="A2697" s="405" t="inlineStr">
        <is>
          <t>Western Europe</t>
        </is>
      </c>
      <c r="B2697" s="467" t="n">
        <v>0</v>
      </c>
      <c r="C2697" s="467" t="n">
        <v>0</v>
      </c>
      <c r="D2697" s="467" t="n">
        <v>0</v>
      </c>
      <c r="E2697" s="467" t="n">
        <v>0</v>
      </c>
      <c r="F2697" s="467" t="n">
        <v>100</v>
      </c>
      <c r="G2697" s="467" t="n">
        <v>0</v>
      </c>
      <c r="H2697" s="467" t="n">
        <v>0</v>
      </c>
      <c r="I2697" s="467" t="n">
        <v>0</v>
      </c>
      <c r="J2697" s="41" t="n">
        <v>0</v>
      </c>
      <c r="K2697" s="41" t="n">
        <v>0</v>
      </c>
      <c r="L2697" s="451" t="n">
        <v>0</v>
      </c>
      <c r="M2697" s="451" t="n">
        <v>0</v>
      </c>
      <c r="N2697" s="467" t="n">
        <v>0</v>
      </c>
      <c r="O2697" s="467" t="n">
        <v>0</v>
      </c>
      <c r="P2697" s="467" t="n"/>
      <c r="Q2697" s="453" t="n"/>
      <c r="R2697" s="453" t="n"/>
      <c r="S2697" s="453" t="n"/>
      <c r="T2697" s="453" t="n"/>
      <c r="U2697" s="453" t="n"/>
      <c r="V2697" s="453" t="n"/>
    </row>
    <row r="2698" customFormat="1" s="21">
      <c r="A2698" s="405" t="inlineStr">
        <is>
          <t>Eastern Europe</t>
        </is>
      </c>
      <c r="B2698" s="467" t="n">
        <v>0</v>
      </c>
      <c r="C2698" s="467" t="n">
        <v>0</v>
      </c>
      <c r="D2698" s="467" t="n">
        <v>0</v>
      </c>
      <c r="E2698" s="467" t="n">
        <v>0</v>
      </c>
      <c r="F2698" s="467" t="n">
        <v>100</v>
      </c>
      <c r="G2698" s="467" t="n">
        <v>0</v>
      </c>
      <c r="H2698" s="467" t="n">
        <v>0</v>
      </c>
      <c r="I2698" s="467" t="n">
        <v>0</v>
      </c>
      <c r="J2698" s="41" t="n">
        <v>0</v>
      </c>
      <c r="K2698" s="41" t="n">
        <v>0</v>
      </c>
      <c r="L2698" s="451" t="n">
        <v>0</v>
      </c>
      <c r="M2698" s="451" t="n">
        <v>0</v>
      </c>
      <c r="N2698" s="467" t="n">
        <v>0</v>
      </c>
      <c r="O2698" s="467" t="n">
        <v>0</v>
      </c>
      <c r="P2698" s="467" t="n"/>
      <c r="Q2698" s="453" t="n"/>
      <c r="R2698" s="453" t="n"/>
      <c r="S2698" s="453" t="n"/>
      <c r="T2698" s="453" t="n"/>
      <c r="U2698" s="453" t="n"/>
      <c r="V2698" s="453" t="n"/>
    </row>
    <row r="2699" customFormat="1" s="21">
      <c r="A2699" s="405" t="inlineStr">
        <is>
          <t>Russian Federation</t>
        </is>
      </c>
      <c r="B2699" s="41" t="n">
        <v>0</v>
      </c>
      <c r="C2699" s="467" t="n">
        <v>0</v>
      </c>
      <c r="D2699" s="467" t="n">
        <v>0</v>
      </c>
      <c r="E2699" s="467" t="n">
        <v>0</v>
      </c>
      <c r="F2699" s="467" t="n">
        <v>100</v>
      </c>
      <c r="G2699" s="467" t="n">
        <v>0</v>
      </c>
      <c r="H2699" s="467" t="n">
        <v>0</v>
      </c>
      <c r="I2699" s="467" t="n">
        <v>0</v>
      </c>
      <c r="J2699" s="41" t="n">
        <v>0</v>
      </c>
      <c r="K2699" s="41" t="n">
        <v>0</v>
      </c>
      <c r="L2699" s="451" t="n">
        <v>0</v>
      </c>
      <c r="M2699" s="451" t="n">
        <v>0</v>
      </c>
      <c r="N2699" s="467" t="n">
        <v>0</v>
      </c>
      <c r="O2699" s="467" t="n">
        <v>0</v>
      </c>
      <c r="P2699" s="467" t="n"/>
      <c r="Q2699" s="453" t="n"/>
      <c r="R2699" s="453" t="n"/>
      <c r="S2699" s="453" t="n"/>
      <c r="T2699" s="453" t="n"/>
      <c r="U2699" s="453" t="n"/>
      <c r="V2699" s="453" t="n"/>
    </row>
    <row r="2700" customFormat="1" s="21">
      <c r="A2700" s="405" t="inlineStr">
        <is>
          <t>Oceania</t>
        </is>
      </c>
      <c r="B2700" s="467" t="n">
        <v>0</v>
      </c>
      <c r="C2700" s="467" t="n">
        <v>0</v>
      </c>
      <c r="D2700" s="467" t="n">
        <v>0</v>
      </c>
      <c r="E2700" s="467" t="n">
        <v>0</v>
      </c>
      <c r="F2700" s="467" t="n">
        <v>100</v>
      </c>
      <c r="G2700" s="467" t="n">
        <v>0</v>
      </c>
      <c r="H2700" s="467" t="n">
        <v>0</v>
      </c>
      <c r="I2700" s="467" t="n">
        <v>0</v>
      </c>
      <c r="J2700" s="41" t="n">
        <v>0</v>
      </c>
      <c r="K2700" s="41" t="n">
        <v>0</v>
      </c>
      <c r="L2700" s="468" t="n">
        <v>0</v>
      </c>
      <c r="M2700" s="451" t="n">
        <v>0</v>
      </c>
      <c r="N2700" s="467" t="n">
        <v>0</v>
      </c>
      <c r="O2700" s="467" t="n">
        <v>0</v>
      </c>
      <c r="P2700" s="467" t="n"/>
    </row>
    <row r="2701" customFormat="1" s="453">
      <c r="A2701" s="405" t="inlineStr">
        <is>
          <t>NENA/Middle East</t>
        </is>
      </c>
      <c r="B2701" s="467" t="n">
        <v>0</v>
      </c>
      <c r="C2701" s="41" t="n">
        <v>0</v>
      </c>
      <c r="D2701" s="467" t="n">
        <v>0</v>
      </c>
      <c r="E2701" s="467" t="n">
        <v>0</v>
      </c>
      <c r="F2701" s="467" t="n">
        <v>100</v>
      </c>
      <c r="G2701" s="41" t="n">
        <v>0</v>
      </c>
      <c r="H2701" s="41" t="n">
        <v>0</v>
      </c>
      <c r="I2701" s="467" t="n">
        <v>0</v>
      </c>
      <c r="J2701" s="41" t="n">
        <v>0</v>
      </c>
      <c r="K2701" s="41" t="n">
        <v>0</v>
      </c>
      <c r="L2701" s="451" t="n">
        <v>0</v>
      </c>
      <c r="M2701" s="451" t="n">
        <v>0</v>
      </c>
      <c r="N2701" s="467" t="n">
        <v>0</v>
      </c>
      <c r="O2701" s="467" t="n">
        <v>0</v>
      </c>
      <c r="P2701" s="467" t="n"/>
    </row>
    <row r="2702" customFormat="1" s="453">
      <c r="A2702" s="405" t="inlineStr">
        <is>
          <t>South Asia</t>
        </is>
      </c>
      <c r="B2702" s="467" t="n">
        <v>0</v>
      </c>
      <c r="C2702" s="467" t="n">
        <v>0</v>
      </c>
      <c r="D2702" s="654" t="n">
        <v>0</v>
      </c>
      <c r="E2702" s="654" t="n">
        <v>0</v>
      </c>
      <c r="F2702" s="654" t="n">
        <v>100</v>
      </c>
      <c r="G2702" s="467" t="n">
        <v>0</v>
      </c>
      <c r="H2702" s="467" t="n">
        <v>0</v>
      </c>
      <c r="I2702" s="467" t="n">
        <v>0</v>
      </c>
      <c r="J2702" s="41" t="n">
        <v>0</v>
      </c>
      <c r="K2702" s="41" t="n">
        <v>0</v>
      </c>
      <c r="L2702" s="468" t="n">
        <v>0</v>
      </c>
      <c r="M2702" s="451" t="n">
        <v>0</v>
      </c>
      <c r="N2702" s="467" t="n">
        <v>0</v>
      </c>
      <c r="O2702" s="467" t="n">
        <v>0</v>
      </c>
      <c r="P2702" s="467" t="n"/>
    </row>
    <row r="2703" customFormat="1" s="535">
      <c r="A2703" s="518" t="inlineStr">
        <is>
          <t>Notes :  according to footnote Table 10A.9</t>
        </is>
      </c>
      <c r="F2703" s="1624" t="n"/>
      <c r="G2703" s="1624" t="n"/>
      <c r="H2703" s="1624" t="n"/>
      <c r="I2703" s="1624" t="n"/>
      <c r="J2703" s="1624" t="n"/>
      <c r="K2703" s="1624" t="n"/>
      <c r="L2703" s="1624" t="n"/>
      <c r="M2703" s="1624" t="n"/>
      <c r="N2703" s="1624" t="n"/>
    </row>
    <row r="2704" customFormat="1" s="292"/>
    <row r="2706" ht="14.25" customFormat="1" customHeight="1" s="125">
      <c r="A2706" s="377" t="inlineStr">
        <is>
          <t>Emission factors CH4 manure management</t>
        </is>
      </c>
      <c r="D2706" s="1075" t="n"/>
      <c r="E2706" s="1075" t="n"/>
      <c r="F2706" s="1075" t="n"/>
      <c r="G2706" s="1075" t="n"/>
      <c r="H2706" s="1075" t="n"/>
      <c r="I2706" s="1075" t="n"/>
      <c r="L2706" s="1075" t="n"/>
    </row>
    <row r="2707" ht="16.25" customFormat="1" customHeight="1" s="773">
      <c r="A2707" s="753" t="inlineStr">
        <is>
          <t>Dairy Cattle HP</t>
        </is>
      </c>
      <c r="B2707" s="442" t="inlineStr">
        <is>
          <t>Table 10.14</t>
        </is>
      </c>
      <c r="C2707" s="442" t="inlineStr">
        <is>
          <t>Table 10.14</t>
        </is>
      </c>
      <c r="D2707" s="442" t="inlineStr">
        <is>
          <t>Table 10.14</t>
        </is>
      </c>
      <c r="E2707" s="442" t="inlineStr">
        <is>
          <t>Table 10.14</t>
        </is>
      </c>
      <c r="F2707" s="442" t="inlineStr">
        <is>
          <t>Table 10.14</t>
        </is>
      </c>
      <c r="G2707" s="442" t="inlineStr">
        <is>
          <t>Table 10.14</t>
        </is>
      </c>
      <c r="H2707" s="442" t="inlineStr">
        <is>
          <t>Table 10.14</t>
        </is>
      </c>
      <c r="I2707" s="442" t="inlineStr">
        <is>
          <t>Table 10.14</t>
        </is>
      </c>
      <c r="J2707" s="442" t="inlineStr">
        <is>
          <t>Table 10.14</t>
        </is>
      </c>
      <c r="K2707" s="442" t="inlineStr">
        <is>
          <t>Table 10.14</t>
        </is>
      </c>
      <c r="L2707" s="442" t="inlineStr">
        <is>
          <t>Table 10.14</t>
        </is>
      </c>
      <c r="M2707" s="442" t="inlineStr">
        <is>
          <t>Table 10.14</t>
        </is>
      </c>
      <c r="N2707" s="442" t="inlineStr">
        <is>
          <t>Table 10.14</t>
        </is>
      </c>
      <c r="O2707" s="442" t="inlineStr">
        <is>
          <t>Table 10.14</t>
        </is>
      </c>
      <c r="P2707" s="442" t="n"/>
      <c r="Q2707" s="442" t="n"/>
      <c r="R2707" s="442" t="n"/>
      <c r="S2707" s="442" t="n"/>
      <c r="T2707" s="442" t="n"/>
      <c r="U2707" s="442" t="n"/>
      <c r="V2707" s="442" t="n"/>
    </row>
    <row r="2708" ht="16" customFormat="1" customHeight="1" s="291">
      <c r="A2708" s="1641" t="inlineStr">
        <is>
          <t>Please select</t>
        </is>
      </c>
      <c r="B2708" s="1642" t="inlineStr">
        <is>
          <t>Lagoon</t>
        </is>
      </c>
      <c r="C2708" s="1642" t="inlineStr">
        <is>
          <t>Liquid/slurry</t>
        </is>
      </c>
      <c r="D2708" s="1642" t="inlineStr">
        <is>
          <t>Solid storage</t>
        </is>
      </c>
      <c r="E2708" s="1642" t="inlineStr">
        <is>
          <t>Dry lot</t>
        </is>
      </c>
      <c r="F2708" s="1642" t="inlineStr">
        <is>
          <t>Pasture/Range/Paddock</t>
        </is>
      </c>
      <c r="G2708" s="1642" t="inlineStr">
        <is>
          <t>Daily spread</t>
        </is>
      </c>
      <c r="H2708" s="1642" t="inlineStr">
        <is>
          <t>Digester</t>
        </is>
      </c>
      <c r="I2708" s="1642" t="inlineStr">
        <is>
          <t>Burned for fuel</t>
        </is>
      </c>
      <c r="J2708" s="1642" t="inlineStr">
        <is>
          <t>Pit&lt;1Month</t>
        </is>
      </c>
      <c r="K2708" s="1642" t="inlineStr">
        <is>
          <t>Pit&gt;1 month</t>
        </is>
      </c>
      <c r="L2708" s="1642" t="inlineStr">
        <is>
          <t>Poultry manure</t>
        </is>
      </c>
      <c r="M2708" s="291" t="inlineStr">
        <is>
          <t>Deep bedding</t>
        </is>
      </c>
      <c r="N2708" s="2156" t="inlineStr">
        <is>
          <t>Composting</t>
        </is>
      </c>
      <c r="O2708" s="2156" t="inlineStr">
        <is>
          <t>Aerobic treatment</t>
        </is>
      </c>
      <c r="P2708" s="1658" t="inlineStr">
        <is>
          <t>Other (pls. go Tier 2)</t>
        </is>
      </c>
      <c r="Q2708" s="453" t="n"/>
      <c r="R2708" s="453" t="n"/>
      <c r="S2708" s="453" t="n"/>
      <c r="T2708" s="453" t="n"/>
      <c r="U2708" s="453" t="n"/>
      <c r="V2708" s="453" t="n"/>
      <c r="W2708" s="21" t="n"/>
      <c r="X2708" s="21" t="n"/>
    </row>
    <row r="2709" ht="16" customFormat="1" customHeight="1" s="1093">
      <c r="A2709" s="523" t="inlineStr">
        <is>
          <t>Climate zone</t>
        </is>
      </c>
      <c r="B2709" s="1636" t="inlineStr">
        <is>
          <t>gCH4/kg Vs</t>
        </is>
      </c>
      <c r="C2709" s="1636" t="inlineStr">
        <is>
          <t>gCH4/kg Vs</t>
        </is>
      </c>
      <c r="D2709" s="1636" t="inlineStr">
        <is>
          <t>gCH4/kg Vs</t>
        </is>
      </c>
      <c r="E2709" s="1636" t="inlineStr">
        <is>
          <t>gCH4/kg Vs</t>
        </is>
      </c>
      <c r="F2709" s="1636" t="inlineStr">
        <is>
          <t>gCH4/kg Vs</t>
        </is>
      </c>
      <c r="G2709" s="1636" t="inlineStr">
        <is>
          <t>gCH4/kg Vs</t>
        </is>
      </c>
      <c r="H2709" s="1636" t="inlineStr">
        <is>
          <t>gCH4/kg Vs</t>
        </is>
      </c>
      <c r="I2709" s="1636" t="inlineStr">
        <is>
          <t>gCH4/kg Vs</t>
        </is>
      </c>
      <c r="J2709" s="1636" t="inlineStr">
        <is>
          <t>gCH4/kg Vs</t>
        </is>
      </c>
      <c r="K2709" s="1636" t="inlineStr">
        <is>
          <t>gCH4/kg Vs</t>
        </is>
      </c>
      <c r="L2709" s="1631" t="inlineStr">
        <is>
          <t>gCH4/kg Vs</t>
        </is>
      </c>
      <c r="M2709" s="1631" t="inlineStr">
        <is>
          <t>gCH4/kg Vs</t>
        </is>
      </c>
      <c r="N2709" s="732" t="inlineStr">
        <is>
          <t>gCH4/kg Vs</t>
        </is>
      </c>
      <c r="O2709" s="732" t="inlineStr">
        <is>
          <t>gCH4/kg Vs</t>
        </is>
      </c>
      <c r="P2709" s="732" t="n"/>
      <c r="Q2709" s="1092" t="n"/>
      <c r="R2709" s="1092" t="n"/>
      <c r="S2709" s="1092" t="n"/>
      <c r="T2709" s="1092" t="n"/>
      <c r="U2709" s="1092" t="n"/>
      <c r="V2709" s="1092" t="n"/>
    </row>
    <row r="2710" customFormat="1" s="21">
      <c r="A2710" s="407" t="inlineStr">
        <is>
          <t>Cool Temperate Moist</t>
        </is>
      </c>
      <c r="B2710" s="470" t="n">
        <v>96.5</v>
      </c>
      <c r="C2710" s="470" t="n">
        <v>33.8</v>
      </c>
      <c r="D2710" s="470" t="n">
        <v>3.2</v>
      </c>
      <c r="E2710" s="470" t="n">
        <v>1.6</v>
      </c>
      <c r="F2710" s="470" t="n">
        <v>0.6</v>
      </c>
      <c r="G2710" s="470" t="n">
        <v>0.2</v>
      </c>
      <c r="H2710" s="470" t="n">
        <v>3.2</v>
      </c>
      <c r="I2710" s="470" t="n">
        <v>16.1</v>
      </c>
      <c r="J2710" s="44" t="n">
        <v>0</v>
      </c>
      <c r="K2710" s="470" t="n">
        <v>33.8</v>
      </c>
      <c r="L2710" s="1640" t="n">
        <v>0</v>
      </c>
      <c r="M2710" s="451" t="n">
        <v>0</v>
      </c>
      <c r="N2710" s="467" t="n">
        <v>0</v>
      </c>
      <c r="O2710" s="467" t="n">
        <v>0</v>
      </c>
      <c r="P2710" s="467" t="n"/>
      <c r="Q2710" s="453" t="n"/>
      <c r="R2710" s="453" t="n"/>
      <c r="S2710" s="453" t="n"/>
      <c r="T2710" s="453" t="n"/>
      <c r="U2710" s="453" t="n"/>
      <c r="V2710" s="453" t="n"/>
    </row>
    <row r="2711" customFormat="1" s="21">
      <c r="A2711" s="405" t="inlineStr">
        <is>
          <t>Cool Temperate Dry</t>
        </is>
      </c>
      <c r="B2711" s="467" t="n">
        <v>107.07</v>
      </c>
      <c r="C2711" s="467" t="n">
        <v>41.8</v>
      </c>
      <c r="D2711" s="467" t="n">
        <v>3.2</v>
      </c>
      <c r="E2711" s="467" t="n">
        <v>1.6</v>
      </c>
      <c r="F2711" s="467" t="n">
        <v>0.6</v>
      </c>
      <c r="G2711" s="467" t="n">
        <v>0.2</v>
      </c>
      <c r="H2711" s="467" t="n">
        <v>3.2</v>
      </c>
      <c r="I2711" s="467" t="n">
        <v>16.1</v>
      </c>
      <c r="J2711" s="41" t="n">
        <v>0</v>
      </c>
      <c r="K2711" s="467" t="n">
        <v>41.8</v>
      </c>
      <c r="L2711" s="451" t="n">
        <v>0</v>
      </c>
      <c r="M2711" s="451" t="n">
        <v>0</v>
      </c>
      <c r="N2711" s="467" t="n">
        <v>0</v>
      </c>
      <c r="O2711" s="467" t="n">
        <v>0</v>
      </c>
      <c r="P2711" s="467" t="n"/>
      <c r="Q2711" s="453" t="n"/>
      <c r="R2711" s="453" t="n"/>
      <c r="S2711" s="453" t="n"/>
      <c r="T2711" s="453" t="n"/>
      <c r="U2711" s="453" t="n"/>
      <c r="V2711" s="453" t="n"/>
    </row>
    <row r="2712" customFormat="1" s="21">
      <c r="A2712" s="405" t="inlineStr">
        <is>
          <t>Boreal Moist</t>
        </is>
      </c>
      <c r="B2712" s="467" t="n">
        <v>80.40000000000001</v>
      </c>
      <c r="C2712" s="467" t="n">
        <v>22.5</v>
      </c>
      <c r="D2712" s="467" t="n">
        <v>3.2</v>
      </c>
      <c r="E2712" s="467" t="n">
        <v>1.6</v>
      </c>
      <c r="F2712" s="467" t="n">
        <v>0.6</v>
      </c>
      <c r="G2712" s="467" t="n">
        <v>0.2</v>
      </c>
      <c r="H2712" s="467" t="n">
        <v>3.2</v>
      </c>
      <c r="I2712" s="467" t="n">
        <v>16.1</v>
      </c>
      <c r="J2712" s="41" t="n">
        <v>0</v>
      </c>
      <c r="K2712" s="467" t="n">
        <v>22.5</v>
      </c>
      <c r="L2712" s="468" t="n">
        <v>0</v>
      </c>
      <c r="M2712" s="451" t="n">
        <v>0</v>
      </c>
      <c r="N2712" s="467" t="n">
        <v>0</v>
      </c>
      <c r="O2712" s="467" t="n">
        <v>0</v>
      </c>
      <c r="P2712" s="467" t="n"/>
      <c r="Q2712" s="453" t="n"/>
      <c r="R2712" s="453" t="n"/>
      <c r="S2712" s="453" t="n"/>
      <c r="T2712" s="453" t="n"/>
      <c r="U2712" s="453" t="n"/>
      <c r="V2712" s="453" t="n"/>
    </row>
    <row r="2713" customFormat="1" s="21">
      <c r="A2713" s="405" t="inlineStr">
        <is>
          <t>Boreal Dry</t>
        </is>
      </c>
      <c r="B2713" s="41" t="n">
        <v>78.8</v>
      </c>
      <c r="C2713" s="467" t="n">
        <v>22.5</v>
      </c>
      <c r="D2713" s="467" t="n">
        <v>3.2</v>
      </c>
      <c r="E2713" s="467" t="n">
        <v>1.6</v>
      </c>
      <c r="F2713" s="467" t="n">
        <v>0.6</v>
      </c>
      <c r="G2713" s="467" t="n">
        <v>0.2</v>
      </c>
      <c r="H2713" s="467" t="n">
        <v>3.2</v>
      </c>
      <c r="I2713" s="467" t="n">
        <v>16.1</v>
      </c>
      <c r="J2713" s="41" t="n">
        <v>0</v>
      </c>
      <c r="K2713" s="467" t="n">
        <v>22.5</v>
      </c>
      <c r="L2713" s="451" t="n">
        <v>0</v>
      </c>
      <c r="M2713" s="451" t="n">
        <v>0</v>
      </c>
      <c r="N2713" s="467" t="n">
        <v>0</v>
      </c>
      <c r="O2713" s="467" t="n">
        <v>0</v>
      </c>
      <c r="P2713" s="467" t="n"/>
      <c r="Q2713" s="453" t="n"/>
      <c r="R2713" s="453" t="n"/>
      <c r="S2713" s="453" t="n"/>
      <c r="T2713" s="453" t="n"/>
      <c r="U2713" s="453" t="n"/>
      <c r="V2713" s="453" t="n"/>
    </row>
    <row r="2714" customFormat="1" s="21">
      <c r="A2714" s="405" t="inlineStr">
        <is>
          <t>Warm Temperate Moist</t>
        </is>
      </c>
      <c r="B2714" s="467" t="n">
        <v>117.4</v>
      </c>
      <c r="C2714" s="467" t="n">
        <v>59.5</v>
      </c>
      <c r="D2714" s="467" t="n">
        <v>6.4</v>
      </c>
      <c r="E2714" s="467" t="n">
        <v>2.4</v>
      </c>
      <c r="F2714" s="467" t="n">
        <v>0.6</v>
      </c>
      <c r="G2714" s="467" t="n">
        <v>0.8</v>
      </c>
      <c r="H2714" s="467" t="n">
        <v>3.7</v>
      </c>
      <c r="I2714" s="467" t="n">
        <v>16.1</v>
      </c>
      <c r="J2714" s="41" t="n">
        <v>0</v>
      </c>
      <c r="K2714" s="467" t="n">
        <v>59.5</v>
      </c>
      <c r="L2714" s="451" t="n">
        <v>0</v>
      </c>
      <c r="M2714" s="451" t="n">
        <v>0</v>
      </c>
      <c r="N2714" s="467" t="n">
        <v>0</v>
      </c>
      <c r="O2714" s="467" t="n">
        <v>0</v>
      </c>
      <c r="P2714" s="467" t="n"/>
      <c r="Q2714" s="453" t="n"/>
      <c r="R2714" s="453" t="n"/>
      <c r="S2714" s="453" t="n"/>
      <c r="T2714" s="453" t="n"/>
      <c r="U2714" s="453" t="n"/>
      <c r="V2714" s="453" t="n"/>
    </row>
    <row r="2715" customFormat="1" s="21">
      <c r="A2715" s="405" t="inlineStr">
        <is>
          <t>Warm Temperate Dry</t>
        </is>
      </c>
      <c r="B2715" s="467" t="n">
        <v>122.2</v>
      </c>
      <c r="C2715" s="467" t="n">
        <v>65.90000000000001</v>
      </c>
      <c r="D2715" s="467" t="n">
        <v>6.4</v>
      </c>
      <c r="E2715" s="467" t="n">
        <v>2.4</v>
      </c>
      <c r="F2715" s="467" t="n">
        <v>0.6</v>
      </c>
      <c r="G2715" s="467" t="n">
        <v>0.8</v>
      </c>
      <c r="H2715" s="467" t="n">
        <v>3.7</v>
      </c>
      <c r="I2715" s="467" t="n">
        <v>16.1</v>
      </c>
      <c r="J2715" s="41" t="n">
        <v>0</v>
      </c>
      <c r="K2715" s="467" t="n">
        <v>65.90000000000001</v>
      </c>
      <c r="L2715" s="451" t="n">
        <v>0</v>
      </c>
      <c r="M2715" s="451" t="n">
        <v>0</v>
      </c>
      <c r="N2715" s="467" t="n">
        <v>0</v>
      </c>
      <c r="O2715" s="467" t="n">
        <v>0</v>
      </c>
      <c r="P2715" s="467" t="n"/>
      <c r="Q2715" s="453" t="n"/>
      <c r="R2715" s="453" t="n"/>
      <c r="S2715" s="453" t="n"/>
      <c r="T2715" s="453" t="n"/>
      <c r="U2715" s="453" t="n"/>
      <c r="V2715" s="453" t="n"/>
    </row>
    <row r="2716" customFormat="1" s="21">
      <c r="A2716" s="405" t="inlineStr">
        <is>
          <t>Tropical Montane</t>
        </is>
      </c>
      <c r="B2716" s="467" t="n">
        <v>122.2</v>
      </c>
      <c r="C2716" s="467" t="n">
        <v>94.90000000000001</v>
      </c>
      <c r="D2716" s="467" t="n">
        <v>8</v>
      </c>
      <c r="E2716" s="467" t="n">
        <v>3.2</v>
      </c>
      <c r="F2716" s="467" t="n">
        <v>0.6</v>
      </c>
      <c r="G2716" s="467" t="n">
        <v>1.6</v>
      </c>
      <c r="H2716" s="467" t="n">
        <v>3.7</v>
      </c>
      <c r="I2716" s="467" t="n">
        <v>16.1</v>
      </c>
      <c r="J2716" s="41" t="n">
        <v>0</v>
      </c>
      <c r="K2716" s="467" t="n">
        <v>94.90000000000001</v>
      </c>
      <c r="L2716" s="451" t="n">
        <v>0</v>
      </c>
      <c r="M2716" s="451" t="n">
        <v>0</v>
      </c>
      <c r="N2716" s="467" t="n">
        <v>0</v>
      </c>
      <c r="O2716" s="467" t="n">
        <v>0</v>
      </c>
      <c r="P2716" s="467" t="n"/>
      <c r="Q2716" s="453" t="n"/>
      <c r="R2716" s="453" t="n"/>
      <c r="S2716" s="453" t="n"/>
      <c r="T2716" s="453" t="n"/>
      <c r="U2716" s="453" t="n"/>
      <c r="V2716" s="453" t="n"/>
    </row>
    <row r="2717" customFormat="1" s="21">
      <c r="A2717" s="405" t="inlineStr">
        <is>
          <t>Tropical Wet</t>
        </is>
      </c>
      <c r="B2717" s="41" t="n">
        <v>128.6</v>
      </c>
      <c r="C2717" s="467" t="n">
        <v>122.2</v>
      </c>
      <c r="D2717" s="467" t="n">
        <v>8</v>
      </c>
      <c r="E2717" s="467" t="n">
        <v>3.2</v>
      </c>
      <c r="F2717" s="467" t="n">
        <v>0.6</v>
      </c>
      <c r="G2717" s="467" t="n">
        <v>1.6</v>
      </c>
      <c r="H2717" s="467" t="n">
        <v>3.7</v>
      </c>
      <c r="I2717" s="467" t="n">
        <v>16.1</v>
      </c>
      <c r="J2717" s="41" t="n">
        <v>0</v>
      </c>
      <c r="K2717" s="467" t="n">
        <v>122.2</v>
      </c>
      <c r="L2717" s="468" t="n">
        <v>0</v>
      </c>
      <c r="M2717" s="451" t="n">
        <v>0</v>
      </c>
      <c r="N2717" s="467" t="n">
        <v>0</v>
      </c>
      <c r="O2717" s="467" t="n">
        <v>0</v>
      </c>
      <c r="P2717" s="467" t="n"/>
    </row>
    <row r="2718" customFormat="1" s="453">
      <c r="A2718" s="405" t="inlineStr">
        <is>
          <t>Tropical Moist</t>
        </is>
      </c>
      <c r="B2718" s="41" t="n">
        <v>128.6</v>
      </c>
      <c r="C2718" s="41" t="n">
        <v>117.4</v>
      </c>
      <c r="D2718" s="467" t="n">
        <v>8</v>
      </c>
      <c r="E2718" s="467" t="n">
        <v>3.2</v>
      </c>
      <c r="F2718" s="467" t="n">
        <v>0.6</v>
      </c>
      <c r="G2718" s="467" t="n">
        <v>1.6</v>
      </c>
      <c r="H2718" s="467" t="n">
        <v>3.7</v>
      </c>
      <c r="I2718" s="467" t="n">
        <v>16.1</v>
      </c>
      <c r="J2718" s="41" t="n">
        <v>0</v>
      </c>
      <c r="K2718" s="41" t="n">
        <v>117.4</v>
      </c>
      <c r="L2718" s="451" t="n">
        <v>0</v>
      </c>
      <c r="M2718" s="451" t="n">
        <v>0</v>
      </c>
      <c r="N2718" s="467" t="n">
        <v>0</v>
      </c>
      <c r="O2718" s="467" t="n">
        <v>0</v>
      </c>
      <c r="P2718" s="467" t="n"/>
    </row>
    <row r="2719" customFormat="1" s="453">
      <c r="A2719" s="405" t="inlineStr">
        <is>
          <t>Tropical Dry</t>
        </is>
      </c>
      <c r="B2719" s="41" t="n">
        <v>128.6</v>
      </c>
      <c r="C2719" s="467" t="n">
        <v>119</v>
      </c>
      <c r="D2719" s="467" t="n">
        <v>8</v>
      </c>
      <c r="E2719" s="467" t="n">
        <v>3.2</v>
      </c>
      <c r="F2719" s="467" t="n">
        <v>0.6</v>
      </c>
      <c r="G2719" s="467" t="n">
        <v>1.6</v>
      </c>
      <c r="H2719" s="467" t="n">
        <v>3.7</v>
      </c>
      <c r="I2719" s="467" t="n">
        <v>16.1</v>
      </c>
      <c r="J2719" s="41" t="n">
        <v>0</v>
      </c>
      <c r="K2719" s="467" t="n">
        <v>119</v>
      </c>
      <c r="L2719" s="468" t="n">
        <v>0</v>
      </c>
      <c r="M2719" s="451" t="n">
        <v>0</v>
      </c>
      <c r="N2719" s="467" t="n">
        <v>0</v>
      </c>
      <c r="O2719" s="467" t="n">
        <v>0</v>
      </c>
      <c r="P2719" s="467" t="n"/>
    </row>
    <row r="2720" customFormat="1" s="535">
      <c r="A2720" s="518" t="inlineStr">
        <is>
          <t xml:space="preserve">Notes :  </t>
        </is>
      </c>
      <c r="F2720" s="1624" t="n"/>
      <c r="G2720" s="1624" t="n"/>
      <c r="H2720" s="1624" t="n"/>
      <c r="I2720" s="1624" t="n"/>
      <c r="J2720" s="1624" t="n"/>
      <c r="K2720" s="1624" t="n"/>
      <c r="L2720" s="1624" t="n"/>
      <c r="M2720" s="1624" t="n"/>
      <c r="N2720" s="1624" t="n"/>
    </row>
    <row r="2721" customFormat="1" s="292"/>
    <row r="2723" ht="14.25" customFormat="1" customHeight="1" s="125">
      <c r="A2723" s="377" t="inlineStr">
        <is>
          <t>Emission factors CH4 manure management</t>
        </is>
      </c>
      <c r="D2723" s="1075" t="n"/>
      <c r="E2723" s="1075" t="n"/>
      <c r="F2723" s="1075" t="n"/>
      <c r="G2723" s="1075" t="n"/>
      <c r="H2723" s="1075" t="n"/>
      <c r="I2723" s="1075" t="n"/>
      <c r="L2723" s="1075" t="n"/>
    </row>
    <row r="2724" ht="16.25" customFormat="1" customHeight="1" s="773">
      <c r="A2724" s="753" t="inlineStr">
        <is>
          <t>Dairy Cattle LP</t>
        </is>
      </c>
      <c r="B2724" s="442" t="inlineStr">
        <is>
          <t>Table 10.14</t>
        </is>
      </c>
      <c r="C2724" s="442" t="inlineStr">
        <is>
          <t>Table 10.14</t>
        </is>
      </c>
      <c r="D2724" s="442" t="inlineStr">
        <is>
          <t>Table 10.14</t>
        </is>
      </c>
      <c r="E2724" s="442" t="inlineStr">
        <is>
          <t>Table 10.14</t>
        </is>
      </c>
      <c r="F2724" s="442" t="inlineStr">
        <is>
          <t>Table 10.14</t>
        </is>
      </c>
      <c r="G2724" s="442" t="inlineStr">
        <is>
          <t>Table 10.14</t>
        </is>
      </c>
      <c r="H2724" s="442" t="inlineStr">
        <is>
          <t>Table 10.14</t>
        </is>
      </c>
      <c r="I2724" s="442" t="inlineStr">
        <is>
          <t>Table 10.14</t>
        </is>
      </c>
      <c r="J2724" s="442" t="inlineStr">
        <is>
          <t>Table 10.14</t>
        </is>
      </c>
      <c r="K2724" s="442" t="inlineStr">
        <is>
          <t>Table 10.14</t>
        </is>
      </c>
      <c r="L2724" s="442" t="inlineStr">
        <is>
          <t>Table 10.14</t>
        </is>
      </c>
      <c r="M2724" s="442" t="inlineStr">
        <is>
          <t>Table 10.14</t>
        </is>
      </c>
      <c r="N2724" s="442" t="inlineStr">
        <is>
          <t>Table 10.14</t>
        </is>
      </c>
      <c r="O2724" s="442" t="inlineStr">
        <is>
          <t>Table 10.14</t>
        </is>
      </c>
      <c r="P2724" s="442" t="n"/>
      <c r="Q2724" s="442" t="n"/>
      <c r="R2724" s="442" t="n"/>
      <c r="S2724" s="442" t="n"/>
      <c r="T2724" s="442" t="n"/>
      <c r="U2724" s="442" t="n"/>
      <c r="V2724" s="442" t="n"/>
    </row>
    <row r="2725" ht="16" customFormat="1" customHeight="1" s="291">
      <c r="A2725" s="1641" t="inlineStr">
        <is>
          <t>Please select</t>
        </is>
      </c>
      <c r="B2725" s="1642" t="inlineStr">
        <is>
          <t>Lagoon</t>
        </is>
      </c>
      <c r="C2725" s="1642" t="inlineStr">
        <is>
          <t>Liquid/slurry</t>
        </is>
      </c>
      <c r="D2725" s="1642" t="inlineStr">
        <is>
          <t>Solid storage</t>
        </is>
      </c>
      <c r="E2725" s="1642" t="inlineStr">
        <is>
          <t>Dry lot</t>
        </is>
      </c>
      <c r="F2725" s="1642" t="inlineStr">
        <is>
          <t>Pasture/Range/Paddock</t>
        </is>
      </c>
      <c r="G2725" s="1642" t="inlineStr">
        <is>
          <t>Daily spread</t>
        </is>
      </c>
      <c r="H2725" s="1642" t="inlineStr">
        <is>
          <t>Digester</t>
        </is>
      </c>
      <c r="I2725" s="1642" t="inlineStr">
        <is>
          <t>Burned for fuel</t>
        </is>
      </c>
      <c r="J2725" s="1642" t="inlineStr">
        <is>
          <t>Pit&lt;1Month</t>
        </is>
      </c>
      <c r="K2725" s="1642" t="inlineStr">
        <is>
          <t>Pit&gt;1 month</t>
        </is>
      </c>
      <c r="L2725" s="1642" t="inlineStr">
        <is>
          <t>Poultry manure</t>
        </is>
      </c>
      <c r="M2725" s="291" t="inlineStr">
        <is>
          <t>Deep bedding</t>
        </is>
      </c>
      <c r="N2725" s="2156" t="inlineStr">
        <is>
          <t>Composting</t>
        </is>
      </c>
      <c r="O2725" s="2156" t="inlineStr">
        <is>
          <t>Aerobic treatment</t>
        </is>
      </c>
      <c r="P2725" s="1658" t="inlineStr">
        <is>
          <t>Other (pls. go Tier 2)</t>
        </is>
      </c>
      <c r="Q2725" s="453" t="n"/>
      <c r="R2725" s="453" t="n"/>
      <c r="S2725" s="453" t="n"/>
      <c r="T2725" s="453" t="n"/>
      <c r="U2725" s="453" t="n"/>
      <c r="V2725" s="453" t="n"/>
      <c r="W2725" s="21" t="n"/>
      <c r="X2725" s="21" t="n"/>
    </row>
    <row r="2726" ht="16" customFormat="1" customHeight="1" s="1093">
      <c r="A2726" s="523" t="inlineStr">
        <is>
          <t>Climate zone</t>
        </is>
      </c>
      <c r="B2726" s="1636" t="inlineStr">
        <is>
          <t>gCH4/kg Vs</t>
        </is>
      </c>
      <c r="C2726" s="1636" t="inlineStr">
        <is>
          <t>gCH4/kg Vs</t>
        </is>
      </c>
      <c r="D2726" s="1636" t="inlineStr">
        <is>
          <t>gCH4/kg Vs</t>
        </is>
      </c>
      <c r="E2726" s="1636" t="inlineStr">
        <is>
          <t>gCH4/kg Vs</t>
        </is>
      </c>
      <c r="F2726" s="1636" t="inlineStr">
        <is>
          <t>gCH4/kg Vs</t>
        </is>
      </c>
      <c r="G2726" s="1636" t="inlineStr">
        <is>
          <t>gCH4/kg Vs</t>
        </is>
      </c>
      <c r="H2726" s="1636" t="inlineStr">
        <is>
          <t>gCH4/kg Vs</t>
        </is>
      </c>
      <c r="I2726" s="1636" t="inlineStr">
        <is>
          <t>gCH4/kg Vs</t>
        </is>
      </c>
      <c r="J2726" s="1636" t="inlineStr">
        <is>
          <t>gCH4/kg Vs</t>
        </is>
      </c>
      <c r="K2726" s="1636" t="inlineStr">
        <is>
          <t>gCH4/kg Vs</t>
        </is>
      </c>
      <c r="L2726" s="1631" t="inlineStr">
        <is>
          <t>gCH4/kg Vs</t>
        </is>
      </c>
      <c r="M2726" s="1631" t="inlineStr">
        <is>
          <t>gCH4/kg Vs</t>
        </is>
      </c>
      <c r="N2726" s="732" t="inlineStr">
        <is>
          <t>gCH4/kg Vs</t>
        </is>
      </c>
      <c r="O2726" s="732" t="inlineStr">
        <is>
          <t>gCH4/kg Vs</t>
        </is>
      </c>
      <c r="P2726" s="732" t="n"/>
      <c r="Q2726" s="1092" t="n"/>
      <c r="R2726" s="1092" t="n"/>
      <c r="S2726" s="1092" t="n"/>
      <c r="T2726" s="1092" t="n"/>
      <c r="U2726" s="1092" t="n"/>
      <c r="V2726" s="1092" t="n"/>
    </row>
    <row r="2727" customFormat="1" s="21">
      <c r="A2727" s="407" t="inlineStr">
        <is>
          <t>Cool Temperate Moist</t>
        </is>
      </c>
      <c r="B2727" s="470" t="n">
        <v>52.3</v>
      </c>
      <c r="C2727" s="470" t="n">
        <v>18.3</v>
      </c>
      <c r="D2727" s="470" t="n">
        <v>1.7</v>
      </c>
      <c r="E2727" s="470" t="n">
        <v>0.9</v>
      </c>
      <c r="F2727" s="470" t="n">
        <v>0.6</v>
      </c>
      <c r="G2727" s="470" t="n">
        <v>0.1</v>
      </c>
      <c r="H2727" s="470" t="n">
        <v>9.199999999999999</v>
      </c>
      <c r="I2727" s="470" t="n">
        <v>8.699999999999999</v>
      </c>
      <c r="J2727" s="44" t="n">
        <v>0</v>
      </c>
      <c r="K2727" s="470" t="n">
        <v>18.3</v>
      </c>
      <c r="L2727" s="1640" t="n">
        <v>0</v>
      </c>
      <c r="M2727" s="451" t="n">
        <v>0</v>
      </c>
      <c r="N2727" s="467" t="n">
        <v>0</v>
      </c>
      <c r="O2727" s="467" t="n">
        <v>0</v>
      </c>
      <c r="P2727" s="467" t="n"/>
      <c r="Q2727" s="453" t="n"/>
      <c r="R2727" s="453" t="n"/>
      <c r="S2727" s="453" t="n"/>
      <c r="T2727" s="453" t="n"/>
      <c r="U2727" s="453" t="n"/>
      <c r="V2727" s="453" t="n"/>
    </row>
    <row r="2728" customFormat="1" s="21">
      <c r="A2728" s="405" t="inlineStr">
        <is>
          <t>Cool Temperate Dry</t>
        </is>
      </c>
      <c r="B2728" s="467" t="n">
        <v>58.4</v>
      </c>
      <c r="C2728" s="467" t="n">
        <v>22.6</v>
      </c>
      <c r="D2728" s="467" t="n">
        <v>1.7</v>
      </c>
      <c r="E2728" s="467" t="n">
        <v>0.9</v>
      </c>
      <c r="F2728" s="467" t="n">
        <v>0.6</v>
      </c>
      <c r="G2728" s="467" t="n">
        <v>0.1</v>
      </c>
      <c r="H2728" s="467" t="n">
        <v>9.199999999999999</v>
      </c>
      <c r="I2728" s="467" t="n">
        <v>8.699999999999999</v>
      </c>
      <c r="J2728" s="41" t="n">
        <v>0</v>
      </c>
      <c r="K2728" s="467" t="n">
        <v>22.6</v>
      </c>
      <c r="L2728" s="451" t="n">
        <v>0</v>
      </c>
      <c r="M2728" s="451" t="n">
        <v>0</v>
      </c>
      <c r="N2728" s="467" t="n">
        <v>0</v>
      </c>
      <c r="O2728" s="467" t="n">
        <v>0</v>
      </c>
      <c r="P2728" s="467" t="n"/>
      <c r="Q2728" s="453" t="n"/>
      <c r="R2728" s="453" t="n"/>
      <c r="S2728" s="453" t="n"/>
      <c r="T2728" s="453" t="n"/>
      <c r="U2728" s="453" t="n"/>
      <c r="V2728" s="453" t="n"/>
    </row>
    <row r="2729" customFormat="1" s="21">
      <c r="A2729" s="405" t="inlineStr">
        <is>
          <t>Boreal Moist</t>
        </is>
      </c>
      <c r="B2729" s="467" t="n">
        <v>43.6</v>
      </c>
      <c r="C2729" s="467" t="n">
        <v>12.2</v>
      </c>
      <c r="D2729" s="467" t="n">
        <v>1.7</v>
      </c>
      <c r="E2729" s="467" t="n">
        <v>0.9</v>
      </c>
      <c r="F2729" s="467" t="n">
        <v>0.6</v>
      </c>
      <c r="G2729" s="467" t="n">
        <v>0.1</v>
      </c>
      <c r="H2729" s="467" t="n">
        <v>9.199999999999999</v>
      </c>
      <c r="I2729" s="467" t="n">
        <v>8.699999999999999</v>
      </c>
      <c r="J2729" s="41" t="n">
        <v>0</v>
      </c>
      <c r="K2729" s="467" t="n">
        <v>12.2</v>
      </c>
      <c r="L2729" s="468" t="n">
        <v>0</v>
      </c>
      <c r="M2729" s="451" t="n">
        <v>0</v>
      </c>
      <c r="N2729" s="467" t="n">
        <v>0</v>
      </c>
      <c r="O2729" s="467" t="n">
        <v>0</v>
      </c>
      <c r="P2729" s="467" t="n"/>
      <c r="Q2729" s="453" t="n"/>
      <c r="R2729" s="453" t="n"/>
      <c r="S2729" s="453" t="n"/>
      <c r="T2729" s="453" t="n"/>
      <c r="U2729" s="453" t="n"/>
      <c r="V2729" s="453" t="n"/>
    </row>
    <row r="2730" customFormat="1" s="21">
      <c r="A2730" s="405" t="inlineStr">
        <is>
          <t>Boreal Dry</t>
        </is>
      </c>
      <c r="B2730" s="41" t="n">
        <v>42.7</v>
      </c>
      <c r="C2730" s="467" t="n">
        <v>12.2</v>
      </c>
      <c r="D2730" s="467" t="n">
        <v>1.7</v>
      </c>
      <c r="E2730" s="467" t="n">
        <v>0.9</v>
      </c>
      <c r="F2730" s="467" t="n">
        <v>0.6</v>
      </c>
      <c r="G2730" s="467" t="n">
        <v>0.1</v>
      </c>
      <c r="H2730" s="467" t="n">
        <v>9.199999999999999</v>
      </c>
      <c r="I2730" s="467" t="n">
        <v>8.699999999999999</v>
      </c>
      <c r="J2730" s="41" t="n">
        <v>0</v>
      </c>
      <c r="K2730" s="467" t="n">
        <v>12.2</v>
      </c>
      <c r="L2730" s="451" t="n">
        <v>0</v>
      </c>
      <c r="M2730" s="451" t="n">
        <v>0</v>
      </c>
      <c r="N2730" s="467" t="n">
        <v>0</v>
      </c>
      <c r="O2730" s="467" t="n">
        <v>0</v>
      </c>
      <c r="P2730" s="467" t="n"/>
      <c r="Q2730" s="453" t="n"/>
      <c r="R2730" s="453" t="n"/>
      <c r="S2730" s="453" t="n"/>
      <c r="T2730" s="453" t="n"/>
      <c r="U2730" s="453" t="n"/>
      <c r="V2730" s="453" t="n"/>
    </row>
    <row r="2731" customFormat="1" s="21">
      <c r="A2731" s="405" t="inlineStr">
        <is>
          <t>Warm Temperate Moist</t>
        </is>
      </c>
      <c r="B2731" s="467" t="n">
        <v>63.6</v>
      </c>
      <c r="C2731" s="467" t="n">
        <v>32.2</v>
      </c>
      <c r="D2731" s="467" t="n">
        <v>3.5</v>
      </c>
      <c r="E2731" s="467" t="n">
        <v>1.3</v>
      </c>
      <c r="F2731" s="467" t="n">
        <v>0.6</v>
      </c>
      <c r="G2731" s="467" t="n">
        <v>0.4</v>
      </c>
      <c r="H2731" s="467" t="n">
        <v>9.5</v>
      </c>
      <c r="I2731" s="467" t="n">
        <v>8.699999999999999</v>
      </c>
      <c r="J2731" s="41" t="n">
        <v>0</v>
      </c>
      <c r="K2731" s="467" t="n">
        <v>32.2</v>
      </c>
      <c r="L2731" s="451" t="n">
        <v>0</v>
      </c>
      <c r="M2731" s="451" t="n">
        <v>0</v>
      </c>
      <c r="N2731" s="467" t="n">
        <v>0</v>
      </c>
      <c r="O2731" s="467" t="n">
        <v>0</v>
      </c>
      <c r="P2731" s="467" t="n"/>
      <c r="Q2731" s="453" t="n"/>
      <c r="R2731" s="453" t="n"/>
      <c r="S2731" s="453" t="n"/>
      <c r="T2731" s="453" t="n"/>
      <c r="U2731" s="453" t="n"/>
      <c r="V2731" s="453" t="n"/>
    </row>
    <row r="2732" customFormat="1" s="21">
      <c r="A2732" s="405" t="inlineStr">
        <is>
          <t>Warm Temperate Dry</t>
        </is>
      </c>
      <c r="B2732" s="467" t="n">
        <v>66.2</v>
      </c>
      <c r="C2732" s="467" t="n">
        <v>35.7</v>
      </c>
      <c r="D2732" s="467" t="n">
        <v>3.5</v>
      </c>
      <c r="E2732" s="467" t="n">
        <v>1.3</v>
      </c>
      <c r="F2732" s="467" t="n">
        <v>0.6</v>
      </c>
      <c r="G2732" s="467" t="n">
        <v>0.4</v>
      </c>
      <c r="H2732" s="467" t="n">
        <v>9.5</v>
      </c>
      <c r="I2732" s="467" t="n">
        <v>8.699999999999999</v>
      </c>
      <c r="J2732" s="41" t="n">
        <v>0</v>
      </c>
      <c r="K2732" s="467" t="n">
        <v>35.7</v>
      </c>
      <c r="L2732" s="451" t="n">
        <v>0</v>
      </c>
      <c r="M2732" s="451" t="n">
        <v>0</v>
      </c>
      <c r="N2732" s="467" t="n">
        <v>0</v>
      </c>
      <c r="O2732" s="467" t="n">
        <v>0</v>
      </c>
      <c r="P2732" s="467" t="n"/>
      <c r="Q2732" s="453" t="n"/>
      <c r="R2732" s="453" t="n"/>
      <c r="S2732" s="453" t="n"/>
      <c r="T2732" s="453" t="n"/>
      <c r="U2732" s="453" t="n"/>
      <c r="V2732" s="453" t="n"/>
    </row>
    <row r="2733" customFormat="1" s="21">
      <c r="A2733" s="405" t="inlineStr">
        <is>
          <t>Tropical Montane</t>
        </is>
      </c>
      <c r="B2733" s="467" t="n">
        <v>66.2</v>
      </c>
      <c r="C2733" s="467" t="n">
        <v>51.4</v>
      </c>
      <c r="D2733" s="467" t="n">
        <v>4.4</v>
      </c>
      <c r="E2733" s="467" t="n">
        <v>1.7</v>
      </c>
      <c r="F2733" s="467" t="n">
        <v>0.6</v>
      </c>
      <c r="G2733" s="467" t="n">
        <v>0.9</v>
      </c>
      <c r="H2733" s="467" t="n">
        <v>9.5</v>
      </c>
      <c r="I2733" s="467" t="n">
        <v>8.699999999999999</v>
      </c>
      <c r="J2733" s="41" t="n">
        <v>0</v>
      </c>
      <c r="K2733" s="467" t="n">
        <v>51.4</v>
      </c>
      <c r="L2733" s="451" t="n">
        <v>0</v>
      </c>
      <c r="M2733" s="451" t="n">
        <v>0</v>
      </c>
      <c r="N2733" s="467" t="n">
        <v>0</v>
      </c>
      <c r="O2733" s="467" t="n">
        <v>0</v>
      </c>
      <c r="P2733" s="467" t="n"/>
      <c r="Q2733" s="453" t="n"/>
      <c r="R2733" s="453" t="n"/>
      <c r="S2733" s="453" t="n"/>
      <c r="T2733" s="453" t="n"/>
      <c r="U2733" s="453" t="n"/>
      <c r="V2733" s="453" t="n"/>
    </row>
    <row r="2734" customFormat="1" s="21">
      <c r="A2734" s="405" t="inlineStr">
        <is>
          <t>Tropical Wet</t>
        </is>
      </c>
      <c r="B2734" s="41" t="n">
        <v>69.7</v>
      </c>
      <c r="C2734" s="467" t="n">
        <v>66.2</v>
      </c>
      <c r="D2734" s="467" t="n">
        <v>4.4</v>
      </c>
      <c r="E2734" s="467" t="n">
        <v>1.7</v>
      </c>
      <c r="F2734" s="467" t="n">
        <v>0.6</v>
      </c>
      <c r="G2734" s="467" t="n">
        <v>0.9</v>
      </c>
      <c r="H2734" s="467" t="n">
        <v>9.5</v>
      </c>
      <c r="I2734" s="467" t="n">
        <v>8.699999999999999</v>
      </c>
      <c r="J2734" s="41" t="n">
        <v>0</v>
      </c>
      <c r="K2734" s="467" t="n">
        <v>66.2</v>
      </c>
      <c r="L2734" s="468" t="n">
        <v>0</v>
      </c>
      <c r="M2734" s="451" t="n">
        <v>0</v>
      </c>
      <c r="N2734" s="467" t="n">
        <v>0</v>
      </c>
      <c r="O2734" s="467" t="n">
        <v>0</v>
      </c>
      <c r="P2734" s="467" t="n"/>
    </row>
    <row r="2735" customFormat="1" s="453">
      <c r="A2735" s="405" t="inlineStr">
        <is>
          <t>Tropical Moist</t>
        </is>
      </c>
      <c r="B2735" s="41" t="n">
        <v>69.7</v>
      </c>
      <c r="C2735" s="41" t="n">
        <v>63.6</v>
      </c>
      <c r="D2735" s="467" t="n">
        <v>4.4</v>
      </c>
      <c r="E2735" s="467" t="n">
        <v>1.7</v>
      </c>
      <c r="F2735" s="467" t="n">
        <v>0.6</v>
      </c>
      <c r="G2735" s="467" t="n">
        <v>0.9</v>
      </c>
      <c r="H2735" s="467" t="n">
        <v>9.5</v>
      </c>
      <c r="I2735" s="467" t="n">
        <v>8.699999999999999</v>
      </c>
      <c r="J2735" s="41" t="n">
        <v>0</v>
      </c>
      <c r="K2735" s="41" t="n">
        <v>63.6</v>
      </c>
      <c r="L2735" s="451" t="n">
        <v>0</v>
      </c>
      <c r="M2735" s="451" t="n">
        <v>0</v>
      </c>
      <c r="N2735" s="467" t="n">
        <v>0</v>
      </c>
      <c r="O2735" s="467" t="n">
        <v>0</v>
      </c>
      <c r="P2735" s="467" t="n"/>
    </row>
    <row r="2736" customFormat="1" s="453">
      <c r="A2736" s="405" t="inlineStr">
        <is>
          <t>Tropical Dry</t>
        </is>
      </c>
      <c r="B2736" s="41" t="n">
        <v>69.7</v>
      </c>
      <c r="C2736" s="467" t="n">
        <v>64.5</v>
      </c>
      <c r="D2736" s="467" t="n">
        <v>4.4</v>
      </c>
      <c r="E2736" s="467" t="n">
        <v>1.7</v>
      </c>
      <c r="F2736" s="467" t="n">
        <v>0.6</v>
      </c>
      <c r="G2736" s="467" t="n">
        <v>0.9</v>
      </c>
      <c r="H2736" s="467" t="n">
        <v>9.5</v>
      </c>
      <c r="I2736" s="467" t="n">
        <v>8.699999999999999</v>
      </c>
      <c r="J2736" s="41" t="n">
        <v>0</v>
      </c>
      <c r="K2736" s="467" t="n">
        <v>64.5</v>
      </c>
      <c r="L2736" s="468" t="n">
        <v>0</v>
      </c>
      <c r="M2736" s="451" t="n">
        <v>0</v>
      </c>
      <c r="N2736" s="467" t="n">
        <v>0</v>
      </c>
      <c r="O2736" s="467" t="n">
        <v>0</v>
      </c>
      <c r="P2736" s="467" t="n"/>
    </row>
    <row r="2737" customFormat="1" s="535">
      <c r="A2737" s="518" t="inlineStr">
        <is>
          <t xml:space="preserve">Notes :  </t>
        </is>
      </c>
      <c r="F2737" s="1624" t="n"/>
      <c r="G2737" s="1624" t="n"/>
      <c r="H2737" s="1624" t="n"/>
      <c r="I2737" s="1624" t="n"/>
      <c r="J2737" s="1624" t="n"/>
      <c r="K2737" s="1624" t="n"/>
      <c r="L2737" s="1624" t="n"/>
      <c r="M2737" s="1624" t="n"/>
      <c r="N2737" s="1624" t="n"/>
    </row>
    <row r="2738" customFormat="1" s="292"/>
    <row r="2740" ht="14.25" customFormat="1" customHeight="1" s="125">
      <c r="A2740" s="377" t="inlineStr">
        <is>
          <t>Emission factors CH4 manure management</t>
        </is>
      </c>
      <c r="D2740" s="1075" t="n"/>
      <c r="E2740" s="1075" t="n"/>
      <c r="F2740" s="1075" t="n"/>
      <c r="G2740" s="1075" t="n"/>
      <c r="H2740" s="1075" t="n"/>
      <c r="I2740" s="1075" t="n"/>
      <c r="L2740" s="1075" t="n"/>
    </row>
    <row r="2741" ht="16.25" customFormat="1" customHeight="1" s="773">
      <c r="A2741" s="753" t="inlineStr">
        <is>
          <t>Other Cattle HP</t>
        </is>
      </c>
      <c r="B2741" s="442" t="inlineStr">
        <is>
          <t>Table 10.14</t>
        </is>
      </c>
      <c r="C2741" s="442" t="inlineStr">
        <is>
          <t>Table 10.14</t>
        </is>
      </c>
      <c r="D2741" s="442" t="inlineStr">
        <is>
          <t>Table 10.14</t>
        </is>
      </c>
      <c r="E2741" s="442" t="inlineStr">
        <is>
          <t>Table 10.14</t>
        </is>
      </c>
      <c r="F2741" s="442" t="inlineStr">
        <is>
          <t>Table 10.14</t>
        </is>
      </c>
      <c r="G2741" s="442" t="inlineStr">
        <is>
          <t>Table 10.14</t>
        </is>
      </c>
      <c r="H2741" s="442" t="inlineStr">
        <is>
          <t>Table 10.14</t>
        </is>
      </c>
      <c r="I2741" s="442" t="inlineStr">
        <is>
          <t>Table 10.14</t>
        </is>
      </c>
      <c r="J2741" s="442" t="inlineStr">
        <is>
          <t>Table 10.14</t>
        </is>
      </c>
      <c r="K2741" s="442" t="inlineStr">
        <is>
          <t>Table 10.14</t>
        </is>
      </c>
      <c r="L2741" s="442" t="inlineStr">
        <is>
          <t>Table 10.14</t>
        </is>
      </c>
      <c r="M2741" s="442" t="inlineStr">
        <is>
          <t>Table 10.14</t>
        </is>
      </c>
      <c r="N2741" s="442" t="inlineStr">
        <is>
          <t>Table 10.14</t>
        </is>
      </c>
      <c r="O2741" s="442" t="inlineStr">
        <is>
          <t>Table 10.14</t>
        </is>
      </c>
      <c r="P2741" s="442" t="n"/>
      <c r="Q2741" s="442" t="n"/>
      <c r="R2741" s="442" t="n"/>
      <c r="S2741" s="442" t="n"/>
      <c r="T2741" s="442" t="n"/>
      <c r="U2741" s="442" t="n"/>
      <c r="V2741" s="442" t="n"/>
    </row>
    <row r="2742" ht="16" customFormat="1" customHeight="1" s="291">
      <c r="A2742" s="1641" t="inlineStr">
        <is>
          <t>Please select</t>
        </is>
      </c>
      <c r="B2742" s="1642" t="inlineStr">
        <is>
          <t>Lagoon</t>
        </is>
      </c>
      <c r="C2742" s="1642" t="inlineStr">
        <is>
          <t>Liquid/slurry</t>
        </is>
      </c>
      <c r="D2742" s="1642" t="inlineStr">
        <is>
          <t>Solid storage</t>
        </is>
      </c>
      <c r="E2742" s="1642" t="inlineStr">
        <is>
          <t>Dry lot</t>
        </is>
      </c>
      <c r="F2742" s="1642" t="inlineStr">
        <is>
          <t>Pasture/Range/Paddock</t>
        </is>
      </c>
      <c r="G2742" s="1642" t="inlineStr">
        <is>
          <t>Daily spread</t>
        </is>
      </c>
      <c r="H2742" s="1642" t="inlineStr">
        <is>
          <t>Digester</t>
        </is>
      </c>
      <c r="I2742" s="1642" t="inlineStr">
        <is>
          <t>Burned for fuel</t>
        </is>
      </c>
      <c r="J2742" s="1642" t="inlineStr">
        <is>
          <t>Pit&lt;1Month</t>
        </is>
      </c>
      <c r="K2742" s="1642" t="inlineStr">
        <is>
          <t>Pit&gt;1 month</t>
        </is>
      </c>
      <c r="L2742" s="1642" t="inlineStr">
        <is>
          <t>Poultry manure</t>
        </is>
      </c>
      <c r="M2742" s="291" t="inlineStr">
        <is>
          <t>Deep bedding</t>
        </is>
      </c>
      <c r="N2742" s="2156" t="inlineStr">
        <is>
          <t>Composting</t>
        </is>
      </c>
      <c r="O2742" s="2156" t="inlineStr">
        <is>
          <t>Aerobic treatment</t>
        </is>
      </c>
      <c r="P2742" s="1658" t="inlineStr">
        <is>
          <t>Other (pls. go Tier 2)</t>
        </is>
      </c>
      <c r="Q2742" s="453" t="n"/>
      <c r="R2742" s="453" t="n"/>
      <c r="S2742" s="453" t="n"/>
      <c r="T2742" s="453" t="n"/>
      <c r="U2742" s="453" t="n"/>
      <c r="V2742" s="453" t="n"/>
      <c r="W2742" s="21" t="n"/>
      <c r="X2742" s="21" t="n"/>
    </row>
    <row r="2743" ht="16" customFormat="1" customHeight="1" s="1093">
      <c r="A2743" s="523" t="inlineStr">
        <is>
          <t>Climate zone</t>
        </is>
      </c>
      <c r="B2743" s="1636" t="inlineStr">
        <is>
          <t>gCH4/kg Vs</t>
        </is>
      </c>
      <c r="C2743" s="1636" t="inlineStr">
        <is>
          <t>gCH4/kg Vs</t>
        </is>
      </c>
      <c r="D2743" s="1636" t="inlineStr">
        <is>
          <t>gCH4/kg Vs</t>
        </is>
      </c>
      <c r="E2743" s="1636" t="inlineStr">
        <is>
          <t>gCH4/kg Vs</t>
        </is>
      </c>
      <c r="F2743" s="1636" t="inlineStr">
        <is>
          <t>gCH4/kg Vs</t>
        </is>
      </c>
      <c r="G2743" s="1636" t="inlineStr">
        <is>
          <t>gCH4/kg Vs</t>
        </is>
      </c>
      <c r="H2743" s="1636" t="inlineStr">
        <is>
          <t>gCH4/kg Vs</t>
        </is>
      </c>
      <c r="I2743" s="1636" t="inlineStr">
        <is>
          <t>gCH4/kg Vs</t>
        </is>
      </c>
      <c r="J2743" s="1636" t="inlineStr">
        <is>
          <t>gCH4/kg Vs</t>
        </is>
      </c>
      <c r="K2743" s="1636" t="inlineStr">
        <is>
          <t>gCH4/kg Vs</t>
        </is>
      </c>
      <c r="L2743" s="1631" t="inlineStr">
        <is>
          <t>gCH4/kg Vs</t>
        </is>
      </c>
      <c r="M2743" s="1631" t="inlineStr">
        <is>
          <t>gCH4/kg Vs</t>
        </is>
      </c>
      <c r="N2743" s="732" t="inlineStr">
        <is>
          <t>gCH4/kg Vs</t>
        </is>
      </c>
      <c r="O2743" s="732" t="inlineStr">
        <is>
          <t>gCH4/kg Vs</t>
        </is>
      </c>
      <c r="P2743" s="732" t="n"/>
      <c r="Q2743" s="1092" t="n"/>
      <c r="R2743" s="1092" t="n"/>
      <c r="S2743" s="1092" t="n"/>
      <c r="T2743" s="1092" t="n"/>
      <c r="U2743" s="1092" t="n"/>
      <c r="V2743" s="1092" t="n"/>
    </row>
    <row r="2744" customFormat="1" s="21">
      <c r="A2744" s="407" t="inlineStr">
        <is>
          <t>Cool Temperate Moist</t>
        </is>
      </c>
      <c r="B2744" s="470" t="n">
        <v>72.40000000000001</v>
      </c>
      <c r="C2744" s="470" t="n">
        <v>25.3</v>
      </c>
      <c r="D2744" s="470" t="n">
        <v>2.4</v>
      </c>
      <c r="E2744" s="470" t="n">
        <v>1.2</v>
      </c>
      <c r="F2744" s="470" t="n">
        <v>0.6</v>
      </c>
      <c r="G2744" s="470" t="n">
        <v>0.1</v>
      </c>
      <c r="H2744" s="470" t="n">
        <v>2.4</v>
      </c>
      <c r="I2744" s="470" t="n">
        <v>12.1</v>
      </c>
      <c r="J2744" s="44" t="n">
        <v>0</v>
      </c>
      <c r="K2744" s="470" t="n">
        <v>25.3</v>
      </c>
      <c r="L2744" s="1640" t="n">
        <v>0</v>
      </c>
      <c r="M2744" s="451" t="n">
        <v>0</v>
      </c>
      <c r="N2744" s="467" t="n">
        <v>0</v>
      </c>
      <c r="O2744" s="467" t="n">
        <v>0</v>
      </c>
      <c r="P2744" s="467" t="n"/>
      <c r="Q2744" s="453" t="n"/>
      <c r="R2744" s="453" t="n"/>
      <c r="S2744" s="453" t="n"/>
      <c r="T2744" s="453" t="n"/>
      <c r="U2744" s="453" t="n"/>
      <c r="V2744" s="453" t="n"/>
    </row>
    <row r="2745" customFormat="1" s="21">
      <c r="A2745" s="405" t="inlineStr">
        <is>
          <t>Cool Temperate Dry</t>
        </is>
      </c>
      <c r="B2745" s="467" t="n">
        <v>80.8</v>
      </c>
      <c r="C2745" s="467" t="n">
        <v>31.4</v>
      </c>
      <c r="D2745" s="467" t="n">
        <v>2.4</v>
      </c>
      <c r="E2745" s="467" t="n">
        <v>1.2</v>
      </c>
      <c r="F2745" s="467" t="n">
        <v>0.6</v>
      </c>
      <c r="G2745" s="467" t="n">
        <v>0.1</v>
      </c>
      <c r="H2745" s="467" t="n">
        <v>2.4</v>
      </c>
      <c r="I2745" s="467" t="n">
        <v>12.1</v>
      </c>
      <c r="J2745" s="41" t="n">
        <v>0</v>
      </c>
      <c r="K2745" s="467" t="n">
        <v>31.4</v>
      </c>
      <c r="L2745" s="451" t="n">
        <v>0</v>
      </c>
      <c r="M2745" s="451" t="n">
        <v>0</v>
      </c>
      <c r="N2745" s="467" t="n">
        <v>0</v>
      </c>
      <c r="O2745" s="467" t="n">
        <v>0</v>
      </c>
      <c r="P2745" s="467" t="n"/>
      <c r="Q2745" s="453" t="n"/>
      <c r="R2745" s="453" t="n"/>
      <c r="S2745" s="453" t="n"/>
      <c r="T2745" s="453" t="n"/>
      <c r="U2745" s="453" t="n"/>
      <c r="V2745" s="453" t="n"/>
    </row>
    <row r="2746" customFormat="1" s="21">
      <c r="A2746" s="405" t="inlineStr">
        <is>
          <t>Boreal Moist</t>
        </is>
      </c>
      <c r="B2746" s="467" t="n">
        <v>60.3</v>
      </c>
      <c r="C2746" s="467" t="n">
        <v>16.9</v>
      </c>
      <c r="D2746" s="467" t="n">
        <v>2.4</v>
      </c>
      <c r="E2746" s="467" t="n">
        <v>1.2</v>
      </c>
      <c r="F2746" s="467" t="n">
        <v>0.6</v>
      </c>
      <c r="G2746" s="467" t="n">
        <v>0.1</v>
      </c>
      <c r="H2746" s="467" t="n">
        <v>2.4</v>
      </c>
      <c r="I2746" s="467" t="n">
        <v>12.1</v>
      </c>
      <c r="J2746" s="41" t="n">
        <v>0</v>
      </c>
      <c r="K2746" s="467" t="n">
        <v>16.9</v>
      </c>
      <c r="L2746" s="468" t="n">
        <v>0</v>
      </c>
      <c r="M2746" s="451" t="n">
        <v>0</v>
      </c>
      <c r="N2746" s="467" t="n">
        <v>0</v>
      </c>
      <c r="O2746" s="467" t="n">
        <v>0</v>
      </c>
      <c r="P2746" s="467" t="n"/>
      <c r="Q2746" s="453" t="n"/>
      <c r="R2746" s="453" t="n"/>
      <c r="S2746" s="453" t="n"/>
      <c r="T2746" s="453" t="n"/>
      <c r="U2746" s="453" t="n"/>
      <c r="V2746" s="453" t="n"/>
    </row>
    <row r="2747" customFormat="1" s="21">
      <c r="A2747" s="405" t="inlineStr">
        <is>
          <t>Boreal Dry</t>
        </is>
      </c>
      <c r="B2747" s="41" t="n">
        <v>59.1</v>
      </c>
      <c r="C2747" s="467" t="n">
        <v>16.9</v>
      </c>
      <c r="D2747" s="467" t="n">
        <v>2.4</v>
      </c>
      <c r="E2747" s="467" t="n">
        <v>1.2</v>
      </c>
      <c r="F2747" s="467" t="n">
        <v>0.6</v>
      </c>
      <c r="G2747" s="467" t="n">
        <v>0.1</v>
      </c>
      <c r="H2747" s="467" t="n">
        <v>2.4</v>
      </c>
      <c r="I2747" s="467" t="n">
        <v>12.1</v>
      </c>
      <c r="J2747" s="41" t="n">
        <v>0</v>
      </c>
      <c r="K2747" s="467" t="n">
        <v>16.9</v>
      </c>
      <c r="L2747" s="451" t="n">
        <v>0</v>
      </c>
      <c r="M2747" s="451" t="n">
        <v>0</v>
      </c>
      <c r="N2747" s="467" t="n">
        <v>0</v>
      </c>
      <c r="O2747" s="467" t="n">
        <v>0</v>
      </c>
      <c r="P2747" s="467" t="n"/>
      <c r="Q2747" s="453" t="n"/>
      <c r="R2747" s="453" t="n"/>
      <c r="S2747" s="453" t="n"/>
      <c r="T2747" s="453" t="n"/>
      <c r="U2747" s="453" t="n"/>
      <c r="V2747" s="453" t="n"/>
    </row>
    <row r="2748" customFormat="1" s="21">
      <c r="A2748" s="405" t="inlineStr">
        <is>
          <t>Warm Temperate Moist</t>
        </is>
      </c>
      <c r="B2748" s="467" t="n">
        <v>88</v>
      </c>
      <c r="C2748" s="467" t="n">
        <v>44.6</v>
      </c>
      <c r="D2748" s="467" t="n">
        <v>4.8</v>
      </c>
      <c r="E2748" s="467" t="n">
        <v>1.8</v>
      </c>
      <c r="F2748" s="467" t="n">
        <v>0.6</v>
      </c>
      <c r="G2748" s="467" t="n">
        <v>0.6</v>
      </c>
      <c r="H2748" s="467" t="n">
        <v>2.7</v>
      </c>
      <c r="I2748" s="467" t="n">
        <v>12.1</v>
      </c>
      <c r="J2748" s="41" t="n">
        <v>0</v>
      </c>
      <c r="K2748" s="467" t="n">
        <v>44.6</v>
      </c>
      <c r="L2748" s="451" t="n">
        <v>0</v>
      </c>
      <c r="M2748" s="451" t="n">
        <v>0</v>
      </c>
      <c r="N2748" s="467" t="n">
        <v>0</v>
      </c>
      <c r="O2748" s="467" t="n">
        <v>0</v>
      </c>
      <c r="P2748" s="467" t="n"/>
      <c r="Q2748" s="453" t="n"/>
      <c r="R2748" s="453" t="n"/>
      <c r="S2748" s="453" t="n"/>
      <c r="T2748" s="453" t="n"/>
      <c r="U2748" s="453" t="n"/>
      <c r="V2748" s="453" t="n"/>
    </row>
    <row r="2749" customFormat="1" s="21">
      <c r="A2749" s="405" t="inlineStr">
        <is>
          <t>Warm Temperate Dry</t>
        </is>
      </c>
      <c r="B2749" s="467" t="n">
        <v>91.7</v>
      </c>
      <c r="C2749" s="467" t="n">
        <v>49.4</v>
      </c>
      <c r="D2749" s="467" t="n">
        <v>4.8</v>
      </c>
      <c r="E2749" s="467" t="n">
        <v>1.8</v>
      </c>
      <c r="F2749" s="467" t="n">
        <v>0.6</v>
      </c>
      <c r="G2749" s="467" t="n">
        <v>0.6</v>
      </c>
      <c r="H2749" s="467" t="n">
        <v>2.7</v>
      </c>
      <c r="I2749" s="467" t="n">
        <v>12.1</v>
      </c>
      <c r="J2749" s="41" t="n">
        <v>0</v>
      </c>
      <c r="K2749" s="467" t="n">
        <v>49.4</v>
      </c>
      <c r="L2749" s="451" t="n">
        <v>0</v>
      </c>
      <c r="M2749" s="451" t="n">
        <v>0</v>
      </c>
      <c r="N2749" s="467" t="n">
        <v>0</v>
      </c>
      <c r="O2749" s="467" t="n">
        <v>0</v>
      </c>
      <c r="P2749" s="467" t="n"/>
      <c r="Q2749" s="453" t="n"/>
      <c r="R2749" s="453" t="n"/>
      <c r="S2749" s="453" t="n"/>
      <c r="T2749" s="453" t="n"/>
      <c r="U2749" s="453" t="n"/>
      <c r="V2749" s="453" t="n"/>
    </row>
    <row r="2750" customFormat="1" s="21">
      <c r="A2750" s="405" t="inlineStr">
        <is>
          <t>Tropical Montane</t>
        </is>
      </c>
      <c r="B2750" s="467" t="n">
        <v>91.7</v>
      </c>
      <c r="C2750" s="467" t="n">
        <v>71.2</v>
      </c>
      <c r="D2750" s="467" t="n">
        <v>6</v>
      </c>
      <c r="E2750" s="467" t="n">
        <v>2.4</v>
      </c>
      <c r="F2750" s="467" t="n">
        <v>0.6</v>
      </c>
      <c r="G2750" s="467" t="n">
        <v>1.2</v>
      </c>
      <c r="H2750" s="467" t="n">
        <v>2.8</v>
      </c>
      <c r="I2750" s="467" t="n">
        <v>12.1</v>
      </c>
      <c r="J2750" s="41" t="n">
        <v>0</v>
      </c>
      <c r="K2750" s="467" t="n">
        <v>71.2</v>
      </c>
      <c r="L2750" s="451" t="n">
        <v>0</v>
      </c>
      <c r="M2750" s="451" t="n">
        <v>0</v>
      </c>
      <c r="N2750" s="467" t="n">
        <v>0</v>
      </c>
      <c r="O2750" s="467" t="n">
        <v>0</v>
      </c>
      <c r="P2750" s="467" t="n"/>
      <c r="Q2750" s="453" t="n"/>
      <c r="R2750" s="453" t="n"/>
      <c r="S2750" s="453" t="n"/>
      <c r="T2750" s="453" t="n"/>
      <c r="U2750" s="453" t="n"/>
      <c r="V2750" s="453" t="n"/>
    </row>
    <row r="2751" customFormat="1" s="21">
      <c r="A2751" s="405" t="inlineStr">
        <is>
          <t>Tropical Wet</t>
        </is>
      </c>
      <c r="B2751" s="41" t="n">
        <v>96.5</v>
      </c>
      <c r="C2751" s="467" t="n">
        <v>91.7</v>
      </c>
      <c r="D2751" s="467" t="n">
        <v>6</v>
      </c>
      <c r="E2751" s="467" t="n">
        <v>2.4</v>
      </c>
      <c r="F2751" s="467" t="n">
        <v>0.6</v>
      </c>
      <c r="G2751" s="467" t="n">
        <v>1.2</v>
      </c>
      <c r="H2751" s="467" t="n">
        <v>2.8</v>
      </c>
      <c r="I2751" s="467" t="n">
        <v>12.1</v>
      </c>
      <c r="J2751" s="41" t="n">
        <v>0</v>
      </c>
      <c r="K2751" s="467" t="n">
        <v>91.7</v>
      </c>
      <c r="L2751" s="468" t="n">
        <v>0</v>
      </c>
      <c r="M2751" s="451" t="n">
        <v>0</v>
      </c>
      <c r="N2751" s="467" t="n">
        <v>0</v>
      </c>
      <c r="O2751" s="467" t="n">
        <v>0</v>
      </c>
      <c r="P2751" s="467" t="n"/>
    </row>
    <row r="2752" customFormat="1" s="453">
      <c r="A2752" s="405" t="inlineStr">
        <is>
          <t>Tropical Moist</t>
        </is>
      </c>
      <c r="B2752" s="41" t="n">
        <v>96.5</v>
      </c>
      <c r="C2752" s="41" t="n">
        <v>88</v>
      </c>
      <c r="D2752" s="467" t="n">
        <v>6</v>
      </c>
      <c r="E2752" s="467" t="n">
        <v>2.4</v>
      </c>
      <c r="F2752" s="467" t="n">
        <v>0.6</v>
      </c>
      <c r="G2752" s="467" t="n">
        <v>1.2</v>
      </c>
      <c r="H2752" s="467" t="n">
        <v>2.8</v>
      </c>
      <c r="I2752" s="467" t="n">
        <v>12.1</v>
      </c>
      <c r="J2752" s="41" t="n">
        <v>0</v>
      </c>
      <c r="K2752" s="41" t="n">
        <v>88</v>
      </c>
      <c r="L2752" s="451" t="n">
        <v>0</v>
      </c>
      <c r="M2752" s="451" t="n">
        <v>0</v>
      </c>
      <c r="N2752" s="467" t="n">
        <v>0</v>
      </c>
      <c r="O2752" s="467" t="n">
        <v>0</v>
      </c>
      <c r="P2752" s="467" t="n"/>
    </row>
    <row r="2753" customFormat="1" s="453">
      <c r="A2753" s="405" t="inlineStr">
        <is>
          <t>Tropical Dry</t>
        </is>
      </c>
      <c r="B2753" s="41" t="n">
        <v>96.5</v>
      </c>
      <c r="C2753" s="467" t="n">
        <v>89.2</v>
      </c>
      <c r="D2753" s="467" t="n">
        <v>6</v>
      </c>
      <c r="E2753" s="467" t="n">
        <v>2.4</v>
      </c>
      <c r="F2753" s="467" t="n">
        <v>0.6</v>
      </c>
      <c r="G2753" s="467" t="n">
        <v>1.2</v>
      </c>
      <c r="H2753" s="467" t="n">
        <v>2.8</v>
      </c>
      <c r="I2753" s="467" t="n">
        <v>12.1</v>
      </c>
      <c r="J2753" s="41" t="n">
        <v>0</v>
      </c>
      <c r="K2753" s="467" t="n">
        <v>89.2</v>
      </c>
      <c r="L2753" s="468" t="n">
        <v>0</v>
      </c>
      <c r="M2753" s="451" t="n">
        <v>0</v>
      </c>
      <c r="N2753" s="467" t="n">
        <v>0</v>
      </c>
      <c r="O2753" s="467" t="n">
        <v>0</v>
      </c>
      <c r="P2753" s="467" t="n"/>
    </row>
    <row r="2754" customFormat="1" s="535">
      <c r="A2754" s="518" t="inlineStr">
        <is>
          <t xml:space="preserve">Notes :  </t>
        </is>
      </c>
      <c r="F2754" s="1624" t="n"/>
      <c r="G2754" s="1624" t="n"/>
      <c r="H2754" s="1624" t="n"/>
      <c r="I2754" s="1624" t="n"/>
      <c r="J2754" s="1624" t="n"/>
      <c r="K2754" s="1624" t="n"/>
      <c r="L2754" s="1624" t="n"/>
      <c r="M2754" s="1624" t="n"/>
      <c r="N2754" s="1624" t="n"/>
    </row>
    <row r="2755" customFormat="1" s="292"/>
    <row r="2757" ht="14.25" customFormat="1" customHeight="1" s="125">
      <c r="A2757" s="377" t="inlineStr">
        <is>
          <t>Emission factors CH4 manure management</t>
        </is>
      </c>
      <c r="D2757" s="1075" t="n"/>
      <c r="E2757" s="1075" t="n"/>
      <c r="F2757" s="1075" t="n"/>
      <c r="G2757" s="1075" t="n"/>
      <c r="H2757" s="1075" t="n"/>
      <c r="I2757" s="1075" t="n"/>
      <c r="L2757" s="1075" t="n"/>
    </row>
    <row r="2758" ht="16.25" customFormat="1" customHeight="1" s="773">
      <c r="A2758" s="753" t="inlineStr">
        <is>
          <t>Other Cattle LP</t>
        </is>
      </c>
      <c r="B2758" s="442" t="inlineStr">
        <is>
          <t>Table 10.14</t>
        </is>
      </c>
      <c r="C2758" s="442" t="inlineStr">
        <is>
          <t>Table 10.14</t>
        </is>
      </c>
      <c r="D2758" s="442" t="inlineStr">
        <is>
          <t>Table 10.14</t>
        </is>
      </c>
      <c r="E2758" s="442" t="inlineStr">
        <is>
          <t>Table 10.14</t>
        </is>
      </c>
      <c r="F2758" s="442" t="inlineStr">
        <is>
          <t>Table 10.14</t>
        </is>
      </c>
      <c r="G2758" s="442" t="inlineStr">
        <is>
          <t>Table 10.14</t>
        </is>
      </c>
      <c r="H2758" s="442" t="inlineStr">
        <is>
          <t>Table 10.14</t>
        </is>
      </c>
      <c r="I2758" s="442" t="inlineStr">
        <is>
          <t>Table 10.14</t>
        </is>
      </c>
      <c r="J2758" s="442" t="inlineStr">
        <is>
          <t>Table 10.14</t>
        </is>
      </c>
      <c r="K2758" s="442" t="inlineStr">
        <is>
          <t>Table 10.14</t>
        </is>
      </c>
      <c r="L2758" s="442" t="inlineStr">
        <is>
          <t>Table 10.14</t>
        </is>
      </c>
      <c r="M2758" s="442" t="inlineStr">
        <is>
          <t>Table 10.14</t>
        </is>
      </c>
      <c r="N2758" s="442" t="inlineStr">
        <is>
          <t>Table 10.14</t>
        </is>
      </c>
      <c r="O2758" s="442" t="inlineStr">
        <is>
          <t>Table 10.14</t>
        </is>
      </c>
      <c r="P2758" s="442" t="n"/>
      <c r="Q2758" s="442" t="n"/>
      <c r="R2758" s="442" t="n"/>
      <c r="S2758" s="442" t="n"/>
      <c r="T2758" s="442" t="n"/>
      <c r="U2758" s="442" t="n"/>
      <c r="V2758" s="442" t="n"/>
    </row>
    <row r="2759" ht="16" customFormat="1" customHeight="1" s="291">
      <c r="A2759" s="1641" t="inlineStr">
        <is>
          <t>Please select</t>
        </is>
      </c>
      <c r="B2759" s="1642" t="inlineStr">
        <is>
          <t>Lagoon</t>
        </is>
      </c>
      <c r="C2759" s="1642" t="inlineStr">
        <is>
          <t>Liquid/slurry</t>
        </is>
      </c>
      <c r="D2759" s="1642" t="inlineStr">
        <is>
          <t>Solid storage</t>
        </is>
      </c>
      <c r="E2759" s="1642" t="inlineStr">
        <is>
          <t>Dry lot</t>
        </is>
      </c>
      <c r="F2759" s="1642" t="inlineStr">
        <is>
          <t>Pasture/Range/Paddock</t>
        </is>
      </c>
      <c r="G2759" s="1642" t="inlineStr">
        <is>
          <t>Daily spread</t>
        </is>
      </c>
      <c r="H2759" s="1642" t="inlineStr">
        <is>
          <t>Digester</t>
        </is>
      </c>
      <c r="I2759" s="1642" t="inlineStr">
        <is>
          <t>Burned for fuel</t>
        </is>
      </c>
      <c r="J2759" s="1642" t="inlineStr">
        <is>
          <t>Pit&lt;1Month</t>
        </is>
      </c>
      <c r="K2759" s="1642" t="inlineStr">
        <is>
          <t>Pit&gt;1 month</t>
        </is>
      </c>
      <c r="L2759" s="1642" t="inlineStr">
        <is>
          <t>Poultry manure</t>
        </is>
      </c>
      <c r="M2759" s="291" t="inlineStr">
        <is>
          <t>Deep bedding</t>
        </is>
      </c>
      <c r="N2759" s="2156" t="inlineStr">
        <is>
          <t>Composting</t>
        </is>
      </c>
      <c r="O2759" s="2156" t="inlineStr">
        <is>
          <t>Aerobic treatment</t>
        </is>
      </c>
      <c r="P2759" s="1658" t="inlineStr">
        <is>
          <t>Other (pls. go Tier 2)</t>
        </is>
      </c>
      <c r="Q2759" s="453" t="n"/>
      <c r="R2759" s="453" t="n"/>
      <c r="S2759" s="453" t="n"/>
      <c r="T2759" s="453" t="n"/>
      <c r="U2759" s="453" t="n"/>
      <c r="V2759" s="453" t="n"/>
      <c r="W2759" s="21" t="n"/>
      <c r="X2759" s="21" t="n"/>
    </row>
    <row r="2760" ht="16" customFormat="1" customHeight="1" s="1093">
      <c r="A2760" s="523" t="inlineStr">
        <is>
          <t>Climate zone</t>
        </is>
      </c>
      <c r="B2760" s="1636" t="inlineStr">
        <is>
          <t>gCH4/kg Vs</t>
        </is>
      </c>
      <c r="C2760" s="1636" t="inlineStr">
        <is>
          <t>gCH4/kg Vs</t>
        </is>
      </c>
      <c r="D2760" s="1636" t="inlineStr">
        <is>
          <t>gCH4/kg Vs</t>
        </is>
      </c>
      <c r="E2760" s="1636" t="inlineStr">
        <is>
          <t>gCH4/kg Vs</t>
        </is>
      </c>
      <c r="F2760" s="1636" t="inlineStr">
        <is>
          <t>gCH4/kg Vs</t>
        </is>
      </c>
      <c r="G2760" s="1636" t="inlineStr">
        <is>
          <t>gCH4/kg Vs</t>
        </is>
      </c>
      <c r="H2760" s="1636" t="inlineStr">
        <is>
          <t>gCH4/kg Vs</t>
        </is>
      </c>
      <c r="I2760" s="1636" t="inlineStr">
        <is>
          <t>gCH4/kg Vs</t>
        </is>
      </c>
      <c r="J2760" s="1636" t="inlineStr">
        <is>
          <t>gCH4/kg Vs</t>
        </is>
      </c>
      <c r="K2760" s="1636" t="inlineStr">
        <is>
          <t>gCH4/kg Vs</t>
        </is>
      </c>
      <c r="L2760" s="1631" t="inlineStr">
        <is>
          <t>gCH4/kg Vs</t>
        </is>
      </c>
      <c r="M2760" s="1631" t="inlineStr">
        <is>
          <t>gCH4/kg Vs</t>
        </is>
      </c>
      <c r="N2760" s="732" t="inlineStr">
        <is>
          <t>gCH4/kg Vs</t>
        </is>
      </c>
      <c r="O2760" s="732" t="inlineStr">
        <is>
          <t>gCH4/kg Vs</t>
        </is>
      </c>
      <c r="P2760" s="732" t="n"/>
      <c r="Q2760" s="1092" t="n"/>
      <c r="R2760" s="1092" t="n"/>
      <c r="S2760" s="1092" t="n"/>
      <c r="T2760" s="1092" t="n"/>
      <c r="U2760" s="1092" t="n"/>
      <c r="V2760" s="1092" t="n"/>
    </row>
    <row r="2761" customFormat="1" s="21">
      <c r="A2761" s="407" t="inlineStr">
        <is>
          <t>Cool Temperate Moist</t>
        </is>
      </c>
      <c r="B2761" s="470" t="n">
        <v>52.3</v>
      </c>
      <c r="C2761" s="470" t="n">
        <v>18.3</v>
      </c>
      <c r="D2761" s="470" t="n">
        <v>1.7</v>
      </c>
      <c r="E2761" s="470" t="n">
        <v>0.9</v>
      </c>
      <c r="F2761" s="470" t="n">
        <v>0.6</v>
      </c>
      <c r="G2761" s="470" t="n">
        <v>0.1</v>
      </c>
      <c r="H2761" s="470" t="n">
        <v>9.199999999999999</v>
      </c>
      <c r="I2761" s="470" t="n">
        <v>8.699999999999999</v>
      </c>
      <c r="J2761" s="44" t="n">
        <v>0</v>
      </c>
      <c r="K2761" s="470" t="n">
        <v>18.3</v>
      </c>
      <c r="L2761" s="1640" t="n">
        <v>0</v>
      </c>
      <c r="M2761" s="451" t="n">
        <v>0</v>
      </c>
      <c r="N2761" s="467" t="n">
        <v>0</v>
      </c>
      <c r="O2761" s="467" t="n">
        <v>0</v>
      </c>
      <c r="P2761" s="467" t="n"/>
      <c r="Q2761" s="453" t="n"/>
      <c r="R2761" s="453" t="n"/>
      <c r="S2761" s="453" t="n"/>
      <c r="T2761" s="453" t="n"/>
      <c r="U2761" s="453" t="n"/>
      <c r="V2761" s="453" t="n"/>
    </row>
    <row r="2762" customFormat="1" s="21">
      <c r="A2762" s="405" t="inlineStr">
        <is>
          <t>Cool Temperate Dry</t>
        </is>
      </c>
      <c r="B2762" s="467" t="n">
        <v>58.4</v>
      </c>
      <c r="C2762" s="467" t="n">
        <v>22.6</v>
      </c>
      <c r="D2762" s="467" t="n">
        <v>1.7</v>
      </c>
      <c r="E2762" s="467" t="n">
        <v>0.9</v>
      </c>
      <c r="F2762" s="467" t="n">
        <v>0.6</v>
      </c>
      <c r="G2762" s="467" t="n">
        <v>0.1</v>
      </c>
      <c r="H2762" s="467" t="n">
        <v>9.199999999999999</v>
      </c>
      <c r="I2762" s="467" t="n">
        <v>8.699999999999999</v>
      </c>
      <c r="J2762" s="41" t="n">
        <v>0</v>
      </c>
      <c r="K2762" s="467" t="n">
        <v>22.6</v>
      </c>
      <c r="L2762" s="451" t="n">
        <v>0</v>
      </c>
      <c r="M2762" s="451" t="n">
        <v>0</v>
      </c>
      <c r="N2762" s="467" t="n">
        <v>0</v>
      </c>
      <c r="O2762" s="467" t="n">
        <v>0</v>
      </c>
      <c r="P2762" s="467" t="n"/>
      <c r="Q2762" s="453" t="n"/>
      <c r="R2762" s="453" t="n"/>
      <c r="S2762" s="453" t="n"/>
      <c r="T2762" s="453" t="n"/>
      <c r="U2762" s="453" t="n"/>
      <c r="V2762" s="453" t="n"/>
    </row>
    <row r="2763" customFormat="1" s="21">
      <c r="A2763" s="405" t="inlineStr">
        <is>
          <t>Boreal Moist</t>
        </is>
      </c>
      <c r="B2763" s="467" t="n">
        <v>43.6</v>
      </c>
      <c r="C2763" s="467" t="n">
        <v>12.2</v>
      </c>
      <c r="D2763" s="467" t="n">
        <v>1.7</v>
      </c>
      <c r="E2763" s="467" t="n">
        <v>0.9</v>
      </c>
      <c r="F2763" s="467" t="n">
        <v>0.6</v>
      </c>
      <c r="G2763" s="467" t="n">
        <v>0.1</v>
      </c>
      <c r="H2763" s="467" t="n">
        <v>9.199999999999999</v>
      </c>
      <c r="I2763" s="467" t="n">
        <v>8.699999999999999</v>
      </c>
      <c r="J2763" s="41" t="n">
        <v>0</v>
      </c>
      <c r="K2763" s="467" t="n">
        <v>12.2</v>
      </c>
      <c r="L2763" s="468" t="n">
        <v>0</v>
      </c>
      <c r="M2763" s="451" t="n">
        <v>0</v>
      </c>
      <c r="N2763" s="467" t="n">
        <v>0</v>
      </c>
      <c r="O2763" s="467" t="n">
        <v>0</v>
      </c>
      <c r="P2763" s="467" t="n"/>
      <c r="Q2763" s="453" t="n"/>
      <c r="R2763" s="453" t="n"/>
      <c r="S2763" s="453" t="n"/>
      <c r="T2763" s="453" t="n"/>
      <c r="U2763" s="453" t="n"/>
      <c r="V2763" s="453" t="n"/>
    </row>
    <row r="2764" customFormat="1" s="21">
      <c r="A2764" s="405" t="inlineStr">
        <is>
          <t>Boreal Dry</t>
        </is>
      </c>
      <c r="B2764" s="41" t="n">
        <v>42.7</v>
      </c>
      <c r="C2764" s="467" t="n">
        <v>12.2</v>
      </c>
      <c r="D2764" s="467" t="n">
        <v>1.7</v>
      </c>
      <c r="E2764" s="467" t="n">
        <v>0.9</v>
      </c>
      <c r="F2764" s="467" t="n">
        <v>0.6</v>
      </c>
      <c r="G2764" s="467" t="n">
        <v>0.1</v>
      </c>
      <c r="H2764" s="467" t="n">
        <v>9.199999999999999</v>
      </c>
      <c r="I2764" s="467" t="n">
        <v>8.699999999999999</v>
      </c>
      <c r="J2764" s="41" t="n">
        <v>0</v>
      </c>
      <c r="K2764" s="467" t="n">
        <v>12.2</v>
      </c>
      <c r="L2764" s="451" t="n">
        <v>0</v>
      </c>
      <c r="M2764" s="451" t="n">
        <v>0</v>
      </c>
      <c r="N2764" s="467" t="n">
        <v>0</v>
      </c>
      <c r="O2764" s="467" t="n">
        <v>0</v>
      </c>
      <c r="P2764" s="467" t="n"/>
      <c r="Q2764" s="453" t="n"/>
      <c r="R2764" s="453" t="n"/>
      <c r="S2764" s="453" t="n"/>
      <c r="T2764" s="453" t="n"/>
      <c r="U2764" s="453" t="n"/>
      <c r="V2764" s="453" t="n"/>
    </row>
    <row r="2765" customFormat="1" s="21">
      <c r="A2765" s="405" t="inlineStr">
        <is>
          <t>Warm Temperate Moist</t>
        </is>
      </c>
      <c r="B2765" s="467" t="n">
        <v>63.6</v>
      </c>
      <c r="C2765" s="467" t="n">
        <v>32.2</v>
      </c>
      <c r="D2765" s="467" t="n">
        <v>3.5</v>
      </c>
      <c r="E2765" s="467" t="n">
        <v>1.3</v>
      </c>
      <c r="F2765" s="467" t="n">
        <v>0.6</v>
      </c>
      <c r="G2765" s="467" t="n">
        <v>0.4</v>
      </c>
      <c r="H2765" s="467" t="n">
        <v>9.5</v>
      </c>
      <c r="I2765" s="467" t="n">
        <v>8.699999999999999</v>
      </c>
      <c r="J2765" s="41" t="n">
        <v>0</v>
      </c>
      <c r="K2765" s="467" t="n">
        <v>32.2</v>
      </c>
      <c r="L2765" s="451" t="n">
        <v>0</v>
      </c>
      <c r="M2765" s="451" t="n">
        <v>0</v>
      </c>
      <c r="N2765" s="467" t="n">
        <v>0</v>
      </c>
      <c r="O2765" s="467" t="n">
        <v>0</v>
      </c>
      <c r="P2765" s="467" t="n"/>
      <c r="Q2765" s="453" t="n"/>
      <c r="R2765" s="453" t="n"/>
      <c r="S2765" s="453" t="n"/>
      <c r="T2765" s="453" t="n"/>
      <c r="U2765" s="453" t="n"/>
      <c r="V2765" s="453" t="n"/>
    </row>
    <row r="2766" customFormat="1" s="21">
      <c r="A2766" s="405" t="inlineStr">
        <is>
          <t>Warm Temperate Dry</t>
        </is>
      </c>
      <c r="B2766" s="467" t="n">
        <v>66.2</v>
      </c>
      <c r="C2766" s="467" t="n">
        <v>35.7</v>
      </c>
      <c r="D2766" s="467" t="n">
        <v>3.5</v>
      </c>
      <c r="E2766" s="467" t="n">
        <v>1.3</v>
      </c>
      <c r="F2766" s="467" t="n">
        <v>0.6</v>
      </c>
      <c r="G2766" s="467" t="n">
        <v>0.4</v>
      </c>
      <c r="H2766" s="467" t="n">
        <v>9.5</v>
      </c>
      <c r="I2766" s="467" t="n">
        <v>8.699999999999999</v>
      </c>
      <c r="J2766" s="41" t="n">
        <v>0</v>
      </c>
      <c r="K2766" s="467" t="n">
        <v>35.7</v>
      </c>
      <c r="L2766" s="451" t="n">
        <v>0</v>
      </c>
      <c r="M2766" s="451" t="n">
        <v>0</v>
      </c>
      <c r="N2766" s="467" t="n">
        <v>0</v>
      </c>
      <c r="O2766" s="467" t="n">
        <v>0</v>
      </c>
      <c r="P2766" s="467" t="n"/>
      <c r="Q2766" s="453" t="n"/>
      <c r="R2766" s="453" t="n"/>
      <c r="S2766" s="453" t="n"/>
      <c r="T2766" s="453" t="n"/>
      <c r="U2766" s="453" t="n"/>
      <c r="V2766" s="453" t="n"/>
    </row>
    <row r="2767" customFormat="1" s="21">
      <c r="A2767" s="405" t="inlineStr">
        <is>
          <t>Tropical Montane</t>
        </is>
      </c>
      <c r="B2767" s="467" t="n">
        <v>66.2</v>
      </c>
      <c r="C2767" s="467" t="n">
        <v>51.4</v>
      </c>
      <c r="D2767" s="467" t="n">
        <v>4.4</v>
      </c>
      <c r="E2767" s="467" t="n">
        <v>1.7</v>
      </c>
      <c r="F2767" s="467" t="n">
        <v>0.6</v>
      </c>
      <c r="G2767" s="467" t="n">
        <v>0.9</v>
      </c>
      <c r="H2767" s="467" t="n">
        <v>9.5</v>
      </c>
      <c r="I2767" s="467" t="n">
        <v>8.699999999999999</v>
      </c>
      <c r="J2767" s="41" t="n">
        <v>0</v>
      </c>
      <c r="K2767" s="467" t="n">
        <v>51.4</v>
      </c>
      <c r="L2767" s="451" t="n">
        <v>0</v>
      </c>
      <c r="M2767" s="451" t="n">
        <v>0</v>
      </c>
      <c r="N2767" s="467" t="n">
        <v>0</v>
      </c>
      <c r="O2767" s="467" t="n">
        <v>0</v>
      </c>
      <c r="P2767" s="467" t="n"/>
      <c r="Q2767" s="453" t="n"/>
      <c r="R2767" s="453" t="n"/>
      <c r="S2767" s="453" t="n"/>
      <c r="T2767" s="453" t="n"/>
      <c r="U2767" s="453" t="n"/>
      <c r="V2767" s="453" t="n"/>
    </row>
    <row r="2768" customFormat="1" s="21">
      <c r="A2768" s="405" t="inlineStr">
        <is>
          <t>Tropical Wet</t>
        </is>
      </c>
      <c r="B2768" s="41" t="n">
        <v>69.7</v>
      </c>
      <c r="C2768" s="467" t="n">
        <v>66.2</v>
      </c>
      <c r="D2768" s="467" t="n">
        <v>4.4</v>
      </c>
      <c r="E2768" s="467" t="n">
        <v>1.7</v>
      </c>
      <c r="F2768" s="467" t="n">
        <v>0.6</v>
      </c>
      <c r="G2768" s="467" t="n">
        <v>0.9</v>
      </c>
      <c r="H2768" s="467" t="n">
        <v>9.5</v>
      </c>
      <c r="I2768" s="467" t="n">
        <v>8.699999999999999</v>
      </c>
      <c r="J2768" s="41" t="n">
        <v>0</v>
      </c>
      <c r="K2768" s="467" t="n">
        <v>66.2</v>
      </c>
      <c r="L2768" s="468" t="n">
        <v>0</v>
      </c>
      <c r="M2768" s="451" t="n">
        <v>0</v>
      </c>
      <c r="N2768" s="467" t="n">
        <v>0</v>
      </c>
      <c r="O2768" s="467" t="n">
        <v>0</v>
      </c>
      <c r="P2768" s="467" t="n"/>
    </row>
    <row r="2769" customFormat="1" s="453">
      <c r="A2769" s="405" t="inlineStr">
        <is>
          <t>Tropical Moist</t>
        </is>
      </c>
      <c r="B2769" s="41" t="n">
        <v>69.7</v>
      </c>
      <c r="C2769" s="41" t="n">
        <v>63.6</v>
      </c>
      <c r="D2769" s="467" t="n">
        <v>4.4</v>
      </c>
      <c r="E2769" s="467" t="n">
        <v>1.7</v>
      </c>
      <c r="F2769" s="467" t="n">
        <v>0.6</v>
      </c>
      <c r="G2769" s="467" t="n">
        <v>0.9</v>
      </c>
      <c r="H2769" s="467" t="n">
        <v>9.5</v>
      </c>
      <c r="I2769" s="467" t="n">
        <v>8.699999999999999</v>
      </c>
      <c r="J2769" s="41" t="n">
        <v>0</v>
      </c>
      <c r="K2769" s="41" t="n">
        <v>63.6</v>
      </c>
      <c r="L2769" s="451" t="n">
        <v>0</v>
      </c>
      <c r="M2769" s="451" t="n">
        <v>0</v>
      </c>
      <c r="N2769" s="467" t="n">
        <v>0</v>
      </c>
      <c r="O2769" s="467" t="n">
        <v>0</v>
      </c>
      <c r="P2769" s="467" t="n"/>
    </row>
    <row r="2770" customFormat="1" s="453">
      <c r="A2770" s="405" t="inlineStr">
        <is>
          <t>Tropical Dry</t>
        </is>
      </c>
      <c r="B2770" s="41" t="n">
        <v>69.7</v>
      </c>
      <c r="C2770" s="467" t="n">
        <v>64.5</v>
      </c>
      <c r="D2770" s="467" t="n">
        <v>4.4</v>
      </c>
      <c r="E2770" s="467" t="n">
        <v>1.7</v>
      </c>
      <c r="F2770" s="467" t="n">
        <v>0.6</v>
      </c>
      <c r="G2770" s="467" t="n">
        <v>0.9</v>
      </c>
      <c r="H2770" s="467" t="n">
        <v>9.5</v>
      </c>
      <c r="I2770" s="467" t="n">
        <v>8.699999999999999</v>
      </c>
      <c r="J2770" s="41" t="n">
        <v>0</v>
      </c>
      <c r="K2770" s="467" t="n">
        <v>64.5</v>
      </c>
      <c r="L2770" s="468" t="n">
        <v>0</v>
      </c>
      <c r="M2770" s="451" t="n">
        <v>0</v>
      </c>
      <c r="N2770" s="467" t="n">
        <v>0</v>
      </c>
      <c r="O2770" s="467" t="n">
        <v>0</v>
      </c>
      <c r="P2770" s="467" t="n"/>
    </row>
    <row r="2771" customFormat="1" s="535">
      <c r="A2771" s="518" t="inlineStr">
        <is>
          <t xml:space="preserve">Notes :  </t>
        </is>
      </c>
      <c r="F2771" s="1624" t="n"/>
      <c r="G2771" s="1624" t="n"/>
      <c r="H2771" s="1624" t="n"/>
      <c r="I2771" s="1624" t="n"/>
      <c r="J2771" s="1624" t="n"/>
      <c r="K2771" s="1624" t="n"/>
      <c r="L2771" s="1624" t="n"/>
      <c r="M2771" s="1624" t="n"/>
      <c r="N2771" s="1624" t="n"/>
    </row>
    <row r="2772" customFormat="1" s="292"/>
    <row r="2774" ht="14.25" customFormat="1" customHeight="1" s="125">
      <c r="A2774" s="377" t="inlineStr">
        <is>
          <t>Emission factors CH4 manure management</t>
        </is>
      </c>
      <c r="D2774" s="1075" t="n"/>
      <c r="E2774" s="1075" t="n"/>
      <c r="F2774" s="1075" t="n"/>
      <c r="G2774" s="1075" t="n"/>
      <c r="H2774" s="1075" t="n"/>
      <c r="I2774" s="1075" t="n"/>
      <c r="L2774" s="1075" t="n"/>
    </row>
    <row r="2775" ht="16.25" customFormat="1" customHeight="1" s="773">
      <c r="A2775" s="753" t="inlineStr">
        <is>
          <t>Swine HP</t>
        </is>
      </c>
      <c r="B2775" s="442" t="inlineStr">
        <is>
          <t>Table 10.14</t>
        </is>
      </c>
      <c r="C2775" s="442" t="inlineStr">
        <is>
          <t>Table 10.14</t>
        </is>
      </c>
      <c r="D2775" s="442" t="inlineStr">
        <is>
          <t>Table 10.14</t>
        </is>
      </c>
      <c r="E2775" s="442" t="inlineStr">
        <is>
          <t>Table 10.14</t>
        </is>
      </c>
      <c r="F2775" s="442" t="inlineStr">
        <is>
          <t>Table 10.14</t>
        </is>
      </c>
      <c r="G2775" s="442" t="inlineStr">
        <is>
          <t>Table 10.14</t>
        </is>
      </c>
      <c r="H2775" s="442" t="inlineStr">
        <is>
          <t>Table 10.14</t>
        </is>
      </c>
      <c r="I2775" s="442" t="inlineStr">
        <is>
          <t>Table 10.14</t>
        </is>
      </c>
      <c r="J2775" s="442" t="inlineStr">
        <is>
          <t>Table 10.14</t>
        </is>
      </c>
      <c r="K2775" s="442" t="inlineStr">
        <is>
          <t>Table 10.14</t>
        </is>
      </c>
      <c r="L2775" s="442" t="inlineStr">
        <is>
          <t>Table 10.14</t>
        </is>
      </c>
      <c r="M2775" s="442" t="inlineStr">
        <is>
          <t>Table 10.14</t>
        </is>
      </c>
      <c r="N2775" s="442" t="inlineStr">
        <is>
          <t>Table 10.14</t>
        </is>
      </c>
      <c r="O2775" s="442" t="inlineStr">
        <is>
          <t>Table 10.14</t>
        </is>
      </c>
      <c r="P2775" s="442" t="n"/>
      <c r="Q2775" s="442" t="n"/>
      <c r="R2775" s="442" t="n"/>
      <c r="S2775" s="442" t="n"/>
      <c r="T2775" s="442" t="n"/>
      <c r="U2775" s="442" t="n"/>
      <c r="V2775" s="442" t="n"/>
    </row>
    <row r="2776" ht="16" customFormat="1" customHeight="1" s="291">
      <c r="A2776" s="1641" t="inlineStr">
        <is>
          <t>Please select</t>
        </is>
      </c>
      <c r="B2776" s="1642" t="inlineStr">
        <is>
          <t>Lagoon</t>
        </is>
      </c>
      <c r="C2776" s="1642" t="inlineStr">
        <is>
          <t>Liquid/slurry</t>
        </is>
      </c>
      <c r="D2776" s="1642" t="inlineStr">
        <is>
          <t>Solid storage</t>
        </is>
      </c>
      <c r="E2776" s="1642" t="inlineStr">
        <is>
          <t>Dry lot</t>
        </is>
      </c>
      <c r="F2776" s="1642" t="inlineStr">
        <is>
          <t>Pasture/Range/Paddock</t>
        </is>
      </c>
      <c r="G2776" s="1642" t="inlineStr">
        <is>
          <t>Daily spread</t>
        </is>
      </c>
      <c r="H2776" s="1642" t="inlineStr">
        <is>
          <t>Digester</t>
        </is>
      </c>
      <c r="I2776" s="1642" t="inlineStr">
        <is>
          <t>Burned for fuel</t>
        </is>
      </c>
      <c r="J2776" s="1642" t="inlineStr">
        <is>
          <t>Pit&lt;1Month</t>
        </is>
      </c>
      <c r="K2776" s="1642" t="inlineStr">
        <is>
          <t>Pit&gt;1 month</t>
        </is>
      </c>
      <c r="L2776" s="1642" t="inlineStr">
        <is>
          <t>Poultry manure</t>
        </is>
      </c>
      <c r="M2776" s="291" t="inlineStr">
        <is>
          <t>Deep bedding</t>
        </is>
      </c>
      <c r="N2776" s="2156" t="inlineStr">
        <is>
          <t>Composting</t>
        </is>
      </c>
      <c r="O2776" s="2156" t="inlineStr">
        <is>
          <t>Aerobic treatment</t>
        </is>
      </c>
      <c r="P2776" s="1658" t="inlineStr">
        <is>
          <t>Other (pls. go Tier 2)</t>
        </is>
      </c>
      <c r="Q2776" s="453" t="n"/>
      <c r="R2776" s="453" t="n"/>
      <c r="S2776" s="453" t="n"/>
      <c r="T2776" s="453" t="n"/>
      <c r="U2776" s="453" t="n"/>
      <c r="V2776" s="453" t="n"/>
      <c r="W2776" s="21" t="n"/>
      <c r="X2776" s="21" t="n"/>
    </row>
    <row r="2777" ht="16" customFormat="1" customHeight="1" s="1093">
      <c r="A2777" s="523" t="inlineStr">
        <is>
          <t>Climate zone</t>
        </is>
      </c>
      <c r="B2777" s="1636" t="inlineStr">
        <is>
          <t>gCH4/kg Vs</t>
        </is>
      </c>
      <c r="C2777" s="1636" t="inlineStr">
        <is>
          <t>gCH4/kg Vs</t>
        </is>
      </c>
      <c r="D2777" s="1636" t="inlineStr">
        <is>
          <t>gCH4/kg Vs</t>
        </is>
      </c>
      <c r="E2777" s="1636" t="inlineStr">
        <is>
          <t>gCH4/kg Vs</t>
        </is>
      </c>
      <c r="F2777" s="1636" t="inlineStr">
        <is>
          <t>gCH4/kg Vs</t>
        </is>
      </c>
      <c r="G2777" s="1636" t="inlineStr">
        <is>
          <t>gCH4/kg Vs</t>
        </is>
      </c>
      <c r="H2777" s="1636" t="inlineStr">
        <is>
          <t>gCH4/kg Vs</t>
        </is>
      </c>
      <c r="I2777" s="1636" t="inlineStr">
        <is>
          <t>gCH4/kg Vs</t>
        </is>
      </c>
      <c r="J2777" s="1636" t="inlineStr">
        <is>
          <t>gCH4/kg Vs</t>
        </is>
      </c>
      <c r="K2777" s="1636" t="inlineStr">
        <is>
          <t>gCH4/kg Vs</t>
        </is>
      </c>
      <c r="L2777" s="1631" t="inlineStr">
        <is>
          <t>gCH4/kg Vs</t>
        </is>
      </c>
      <c r="M2777" s="1631" t="inlineStr">
        <is>
          <t>gCH4/kg Vs</t>
        </is>
      </c>
      <c r="N2777" s="732" t="inlineStr">
        <is>
          <t>gCH4/kg Vs</t>
        </is>
      </c>
      <c r="O2777" s="732" t="inlineStr">
        <is>
          <t>gCH4/kg Vs</t>
        </is>
      </c>
      <c r="P2777" s="732" t="n"/>
      <c r="Q2777" s="1092" t="n"/>
      <c r="R2777" s="1092" t="n"/>
      <c r="S2777" s="1092" t="n"/>
      <c r="T2777" s="1092" t="n"/>
      <c r="U2777" s="1092" t="n"/>
      <c r="V2777" s="1092" t="n"/>
    </row>
    <row r="2778" customFormat="1" s="21">
      <c r="A2778" s="410" t="inlineStr">
        <is>
          <t>Cool Temperate Moist</t>
        </is>
      </c>
      <c r="B2778" s="470" t="n">
        <v>180.9</v>
      </c>
      <c r="C2778" s="470" t="n">
        <v>63.3</v>
      </c>
      <c r="D2778" s="470" t="n">
        <v>6</v>
      </c>
      <c r="E2778" s="470" t="n">
        <v>3</v>
      </c>
      <c r="F2778" s="470" t="n">
        <v>0.6</v>
      </c>
      <c r="G2778" s="470" t="n">
        <v>0.3</v>
      </c>
      <c r="H2778" s="470" t="n">
        <v>6</v>
      </c>
      <c r="I2778" s="470" t="n">
        <v>30.2</v>
      </c>
      <c r="J2778" s="44" t="n">
        <v>18.1</v>
      </c>
      <c r="K2778" s="470" t="n">
        <v>63.3</v>
      </c>
      <c r="L2778" s="1640" t="n">
        <v>0</v>
      </c>
      <c r="M2778" s="451" t="n">
        <v>0</v>
      </c>
      <c r="N2778" s="467" t="n">
        <v>0</v>
      </c>
      <c r="O2778" s="467" t="n">
        <v>0</v>
      </c>
      <c r="P2778" s="467" t="n"/>
      <c r="Q2778" s="453" t="n"/>
      <c r="R2778" s="453" t="n"/>
      <c r="S2778" s="453" t="n"/>
      <c r="T2778" s="453" t="n"/>
      <c r="U2778" s="453" t="n"/>
      <c r="V2778" s="453" t="n"/>
    </row>
    <row r="2779" customFormat="1" s="21">
      <c r="A2779" s="411" t="inlineStr">
        <is>
          <t>Cool Temperate Dry</t>
        </is>
      </c>
      <c r="B2779" s="467" t="n">
        <v>202</v>
      </c>
      <c r="C2779" s="467" t="n">
        <v>78.40000000000001</v>
      </c>
      <c r="D2779" s="467" t="n">
        <v>6</v>
      </c>
      <c r="E2779" s="467" t="n">
        <v>3</v>
      </c>
      <c r="F2779" s="467" t="n">
        <v>0.6</v>
      </c>
      <c r="G2779" s="467" t="n">
        <v>0.3</v>
      </c>
      <c r="H2779" s="467" t="n">
        <v>6</v>
      </c>
      <c r="I2779" s="467" t="n">
        <v>30.2</v>
      </c>
      <c r="J2779" s="41" t="n">
        <v>24.1</v>
      </c>
      <c r="K2779" s="467" t="n">
        <v>78.40000000000001</v>
      </c>
      <c r="L2779" s="451" t="n">
        <v>0</v>
      </c>
      <c r="M2779" s="451" t="n">
        <v>0</v>
      </c>
      <c r="N2779" s="467" t="n">
        <v>0</v>
      </c>
      <c r="O2779" s="467" t="n">
        <v>0</v>
      </c>
      <c r="P2779" s="467" t="n"/>
      <c r="Q2779" s="453" t="n"/>
      <c r="R2779" s="453" t="n"/>
      <c r="S2779" s="453" t="n"/>
      <c r="T2779" s="453" t="n"/>
      <c r="U2779" s="453" t="n"/>
      <c r="V2779" s="453" t="n"/>
    </row>
    <row r="2780" customFormat="1" s="21">
      <c r="A2780" s="411" t="inlineStr">
        <is>
          <t>Boreal Moist</t>
        </is>
      </c>
      <c r="B2780" s="467" t="n">
        <v>150.8</v>
      </c>
      <c r="C2780" s="467" t="n">
        <v>42.2</v>
      </c>
      <c r="D2780" s="467" t="n">
        <v>6</v>
      </c>
      <c r="E2780" s="467" t="n">
        <v>3</v>
      </c>
      <c r="F2780" s="467" t="n">
        <v>0.6</v>
      </c>
      <c r="G2780" s="467" t="n">
        <v>0.3</v>
      </c>
      <c r="H2780" s="467" t="n">
        <v>6</v>
      </c>
      <c r="I2780" s="467" t="n">
        <v>30.2</v>
      </c>
      <c r="J2780" s="41" t="n">
        <v>12.1</v>
      </c>
      <c r="K2780" s="467" t="n">
        <v>42.2</v>
      </c>
      <c r="L2780" s="468" t="n">
        <v>0</v>
      </c>
      <c r="M2780" s="451" t="n">
        <v>0</v>
      </c>
      <c r="N2780" s="467" t="n">
        <v>0</v>
      </c>
      <c r="O2780" s="467" t="n">
        <v>0</v>
      </c>
      <c r="P2780" s="467" t="n"/>
      <c r="Q2780" s="453" t="n"/>
      <c r="R2780" s="453" t="n"/>
      <c r="S2780" s="453" t="n"/>
      <c r="T2780" s="453" t="n"/>
      <c r="U2780" s="453" t="n"/>
      <c r="V2780" s="453" t="n"/>
    </row>
    <row r="2781" customFormat="1" s="21">
      <c r="A2781" s="411" t="inlineStr">
        <is>
          <t>Boreal Dry</t>
        </is>
      </c>
      <c r="B2781" s="41" t="n">
        <v>147.7</v>
      </c>
      <c r="C2781" s="467" t="n">
        <v>42.2</v>
      </c>
      <c r="D2781" s="467" t="n">
        <v>6</v>
      </c>
      <c r="E2781" s="467" t="n">
        <v>3</v>
      </c>
      <c r="F2781" s="467" t="n">
        <v>0.6</v>
      </c>
      <c r="G2781" s="467" t="n">
        <v>0.3</v>
      </c>
      <c r="H2781" s="467" t="n">
        <v>6</v>
      </c>
      <c r="I2781" s="467" t="n">
        <v>30.2</v>
      </c>
      <c r="J2781" s="41" t="n">
        <v>12.1</v>
      </c>
      <c r="K2781" s="467" t="n">
        <v>42.2</v>
      </c>
      <c r="L2781" s="451" t="n">
        <v>0</v>
      </c>
      <c r="M2781" s="451" t="n">
        <v>0</v>
      </c>
      <c r="N2781" s="467" t="n">
        <v>0</v>
      </c>
      <c r="O2781" s="467" t="n">
        <v>0</v>
      </c>
      <c r="P2781" s="467" t="n"/>
      <c r="Q2781" s="453" t="n"/>
      <c r="R2781" s="453" t="n"/>
      <c r="S2781" s="453" t="n"/>
      <c r="T2781" s="453" t="n"/>
      <c r="U2781" s="453" t="n"/>
      <c r="V2781" s="453" t="n"/>
    </row>
    <row r="2782" customFormat="1" s="21">
      <c r="A2782" s="411" t="inlineStr">
        <is>
          <t>Warm Temperate Moist</t>
        </is>
      </c>
      <c r="B2782" s="467" t="n">
        <v>220.1</v>
      </c>
      <c r="C2782" s="467" t="n">
        <v>111.6</v>
      </c>
      <c r="D2782" s="467" t="n">
        <v>12.1</v>
      </c>
      <c r="E2782" s="467" t="n">
        <v>4.5</v>
      </c>
      <c r="F2782" s="467" t="n">
        <v>0.6</v>
      </c>
      <c r="G2782" s="467" t="n">
        <v>1.5</v>
      </c>
      <c r="H2782" s="467" t="n">
        <v>6.8</v>
      </c>
      <c r="I2782" s="467" t="n">
        <v>30.2</v>
      </c>
      <c r="J2782" s="41" t="n">
        <v>39.2</v>
      </c>
      <c r="K2782" s="467" t="n">
        <v>111.6</v>
      </c>
      <c r="L2782" s="451" t="n">
        <v>0</v>
      </c>
      <c r="M2782" s="451" t="n">
        <v>0</v>
      </c>
      <c r="N2782" s="467" t="n">
        <v>0</v>
      </c>
      <c r="O2782" s="467" t="n">
        <v>0</v>
      </c>
      <c r="P2782" s="467" t="n"/>
      <c r="Q2782" s="453" t="n"/>
      <c r="R2782" s="453" t="n"/>
      <c r="S2782" s="453" t="n"/>
      <c r="T2782" s="453" t="n"/>
      <c r="U2782" s="453" t="n"/>
      <c r="V2782" s="453" t="n"/>
    </row>
    <row r="2783" customFormat="1" s="21">
      <c r="A2783" s="411" t="inlineStr">
        <is>
          <t>Warm Temperate Dry</t>
        </is>
      </c>
      <c r="B2783" s="467" t="n">
        <v>229.1</v>
      </c>
      <c r="C2783" s="467" t="n">
        <v>123.6</v>
      </c>
      <c r="D2783" s="467" t="n">
        <v>12.1</v>
      </c>
      <c r="E2783" s="467" t="n">
        <v>4.5</v>
      </c>
      <c r="F2783" s="467" t="n">
        <v>0.6</v>
      </c>
      <c r="G2783" s="467" t="n">
        <v>1.5</v>
      </c>
      <c r="H2783" s="467" t="n">
        <v>6.8</v>
      </c>
      <c r="I2783" s="467" t="n">
        <v>30.2</v>
      </c>
      <c r="J2783" s="41" t="n">
        <v>45.2</v>
      </c>
      <c r="K2783" s="467" t="n">
        <v>123.6</v>
      </c>
      <c r="L2783" s="451" t="n">
        <v>0</v>
      </c>
      <c r="M2783" s="451" t="n">
        <v>0</v>
      </c>
      <c r="N2783" s="467" t="n">
        <v>0</v>
      </c>
      <c r="O2783" s="467" t="n">
        <v>0</v>
      </c>
      <c r="P2783" s="467" t="n"/>
      <c r="Q2783" s="453" t="n"/>
      <c r="R2783" s="453" t="n"/>
      <c r="S2783" s="453" t="n"/>
      <c r="T2783" s="453" t="n"/>
      <c r="U2783" s="453" t="n"/>
      <c r="V2783" s="453" t="n"/>
    </row>
    <row r="2784" customFormat="1" s="21">
      <c r="A2784" s="411" t="inlineStr">
        <is>
          <t>Tropical Montane</t>
        </is>
      </c>
      <c r="B2784" s="467" t="n">
        <v>229.1</v>
      </c>
      <c r="C2784" s="467" t="n">
        <v>177.9</v>
      </c>
      <c r="D2784" s="467" t="n">
        <v>15.1</v>
      </c>
      <c r="E2784" s="467" t="n">
        <v>6</v>
      </c>
      <c r="F2784" s="467" t="n">
        <v>0.6</v>
      </c>
      <c r="G2784" s="467" t="n">
        <v>3</v>
      </c>
      <c r="H2784" s="467" t="n">
        <v>7</v>
      </c>
      <c r="I2784" s="467" t="n">
        <v>30.2</v>
      </c>
      <c r="J2784" s="41" t="n">
        <v>75.40000000000001</v>
      </c>
      <c r="K2784" s="467" t="n">
        <v>177.9</v>
      </c>
      <c r="L2784" s="451" t="n">
        <v>0</v>
      </c>
      <c r="M2784" s="451" t="n">
        <v>0</v>
      </c>
      <c r="N2784" s="467" t="n">
        <v>0</v>
      </c>
      <c r="O2784" s="467" t="n">
        <v>0</v>
      </c>
      <c r="P2784" s="467" t="n"/>
      <c r="Q2784" s="453" t="n"/>
      <c r="R2784" s="453" t="n"/>
      <c r="S2784" s="453" t="n"/>
      <c r="T2784" s="453" t="n"/>
      <c r="U2784" s="453" t="n"/>
      <c r="V2784" s="453" t="n"/>
    </row>
    <row r="2785" customFormat="1" s="21">
      <c r="A2785" s="411" t="inlineStr">
        <is>
          <t>Tropical Wet</t>
        </is>
      </c>
      <c r="B2785" s="41" t="n">
        <v>241.2</v>
      </c>
      <c r="C2785" s="467" t="n">
        <v>229.1</v>
      </c>
      <c r="D2785" s="467" t="n">
        <v>15.1</v>
      </c>
      <c r="E2785" s="467" t="n">
        <v>6</v>
      </c>
      <c r="F2785" s="467" t="n">
        <v>0.6</v>
      </c>
      <c r="G2785" s="467" t="n">
        <v>3</v>
      </c>
      <c r="H2785" s="467" t="n">
        <v>7</v>
      </c>
      <c r="I2785" s="467" t="n">
        <v>30.2</v>
      </c>
      <c r="J2785" s="41" t="n">
        <v>114.6</v>
      </c>
      <c r="K2785" s="467" t="n">
        <v>229.1</v>
      </c>
      <c r="L2785" s="468" t="n">
        <v>0</v>
      </c>
      <c r="M2785" s="451" t="n">
        <v>0</v>
      </c>
      <c r="N2785" s="467" t="n">
        <v>0</v>
      </c>
      <c r="O2785" s="467" t="n">
        <v>0</v>
      </c>
      <c r="P2785" s="467" t="n"/>
    </row>
    <row r="2786" customFormat="1" s="453">
      <c r="A2786" s="411" t="inlineStr">
        <is>
          <t>Tropical Moist</t>
        </is>
      </c>
      <c r="B2786" s="41" t="n">
        <v>241.2</v>
      </c>
      <c r="C2786" s="41" t="n">
        <v>220.1</v>
      </c>
      <c r="D2786" s="467" t="n">
        <v>15.1</v>
      </c>
      <c r="E2786" s="467" t="n">
        <v>6</v>
      </c>
      <c r="F2786" s="467" t="n">
        <v>0.6</v>
      </c>
      <c r="G2786" s="467" t="n">
        <v>3</v>
      </c>
      <c r="H2786" s="467" t="n">
        <v>7</v>
      </c>
      <c r="I2786" s="467" t="n">
        <v>30.2</v>
      </c>
      <c r="J2786" s="41" t="n">
        <v>108.5</v>
      </c>
      <c r="K2786" s="41" t="n">
        <v>220.1</v>
      </c>
      <c r="L2786" s="451" t="n">
        <v>0</v>
      </c>
      <c r="M2786" s="451" t="n">
        <v>0</v>
      </c>
      <c r="N2786" s="467" t="n">
        <v>0</v>
      </c>
      <c r="O2786" s="467" t="n">
        <v>0</v>
      </c>
      <c r="P2786" s="467" t="n"/>
    </row>
    <row r="2787" customFormat="1" s="453">
      <c r="A2787" s="411" t="inlineStr">
        <is>
          <t>Tropical Dry</t>
        </is>
      </c>
      <c r="B2787" s="41" t="n">
        <v>241.2</v>
      </c>
      <c r="C2787" s="467" t="n">
        <v>223.1</v>
      </c>
      <c r="D2787" s="467" t="n">
        <v>15.1</v>
      </c>
      <c r="E2787" s="467" t="n">
        <v>6</v>
      </c>
      <c r="F2787" s="467" t="n">
        <v>0.6</v>
      </c>
      <c r="G2787" s="467" t="n">
        <v>3</v>
      </c>
      <c r="H2787" s="467" t="n">
        <v>7</v>
      </c>
      <c r="I2787" s="467" t="n">
        <v>30.2</v>
      </c>
      <c r="J2787" s="41" t="n">
        <v>126.6</v>
      </c>
      <c r="K2787" s="467" t="n">
        <v>223.1</v>
      </c>
      <c r="L2787" s="468" t="n">
        <v>0</v>
      </c>
      <c r="M2787" s="451" t="n">
        <v>0</v>
      </c>
      <c r="N2787" s="467" t="n">
        <v>0</v>
      </c>
      <c r="O2787" s="467" t="n">
        <v>0</v>
      </c>
      <c r="P2787" s="467" t="n"/>
    </row>
    <row r="2788" customFormat="1" s="535">
      <c r="A2788" s="518" t="inlineStr">
        <is>
          <t>Notes :  Liquid slurry and pit&gt;1 month identic</t>
        </is>
      </c>
      <c r="F2788" s="1624" t="n"/>
      <c r="G2788" s="1624" t="n"/>
      <c r="H2788" s="1624" t="n"/>
      <c r="I2788" s="1624" t="n"/>
      <c r="J2788" s="1624" t="n"/>
      <c r="K2788" s="1624" t="n"/>
      <c r="L2788" s="1624" t="n"/>
      <c r="M2788" s="1624" t="n"/>
      <c r="N2788" s="1624" t="n"/>
    </row>
    <row r="2789" customFormat="1" s="292"/>
    <row r="2791" ht="14.25" customFormat="1" customHeight="1" s="125">
      <c r="A2791" s="377" t="inlineStr">
        <is>
          <t>Emission factors CH4 manure management</t>
        </is>
      </c>
      <c r="D2791" s="1075" t="n"/>
      <c r="E2791" s="1075" t="n"/>
      <c r="F2791" s="1075" t="n"/>
      <c r="G2791" s="1075" t="n"/>
      <c r="H2791" s="1075" t="n"/>
      <c r="I2791" s="1075" t="n"/>
      <c r="L2791" s="1075" t="n"/>
    </row>
    <row r="2792" ht="16.25" customFormat="1" customHeight="1" s="773">
      <c r="A2792" s="753" t="inlineStr">
        <is>
          <t>Swine LP</t>
        </is>
      </c>
      <c r="B2792" s="442" t="inlineStr">
        <is>
          <t>Table 10.14</t>
        </is>
      </c>
      <c r="C2792" s="442" t="inlineStr">
        <is>
          <t>Table 10.14</t>
        </is>
      </c>
      <c r="D2792" s="442" t="inlineStr">
        <is>
          <t>Table 10.14</t>
        </is>
      </c>
      <c r="E2792" s="442" t="inlineStr">
        <is>
          <t>Table 10.14</t>
        </is>
      </c>
      <c r="F2792" s="442" t="inlineStr">
        <is>
          <t>Table 10.14</t>
        </is>
      </c>
      <c r="G2792" s="442" t="inlineStr">
        <is>
          <t>Table 10.14</t>
        </is>
      </c>
      <c r="H2792" s="442" t="inlineStr">
        <is>
          <t>Table 10.14</t>
        </is>
      </c>
      <c r="I2792" s="442" t="inlineStr">
        <is>
          <t>Table 10.14</t>
        </is>
      </c>
      <c r="J2792" s="442" t="inlineStr">
        <is>
          <t>Table 10.14</t>
        </is>
      </c>
      <c r="K2792" s="442" t="inlineStr">
        <is>
          <t>Table 10.14</t>
        </is>
      </c>
      <c r="L2792" s="442" t="inlineStr">
        <is>
          <t>Table 10.14</t>
        </is>
      </c>
      <c r="M2792" s="442" t="inlineStr">
        <is>
          <t>Table 10.14</t>
        </is>
      </c>
      <c r="N2792" s="442" t="inlineStr">
        <is>
          <t>Table 10.14</t>
        </is>
      </c>
      <c r="O2792" s="442" t="inlineStr">
        <is>
          <t>Table 10.14</t>
        </is>
      </c>
      <c r="P2792" s="442" t="n"/>
      <c r="Q2792" s="442" t="n"/>
      <c r="R2792" s="442" t="n"/>
      <c r="S2792" s="442" t="n"/>
      <c r="T2792" s="442" t="n"/>
      <c r="U2792" s="442" t="n"/>
      <c r="V2792" s="442" t="n"/>
    </row>
    <row r="2793" ht="16" customFormat="1" customHeight="1" s="291">
      <c r="A2793" s="1641" t="inlineStr">
        <is>
          <t>Please select</t>
        </is>
      </c>
      <c r="B2793" s="1642" t="inlineStr">
        <is>
          <t>Lagoon</t>
        </is>
      </c>
      <c r="C2793" s="1642" t="inlineStr">
        <is>
          <t>Liquid/slurry</t>
        </is>
      </c>
      <c r="D2793" s="1642" t="inlineStr">
        <is>
          <t>Solid storage</t>
        </is>
      </c>
      <c r="E2793" s="1642" t="inlineStr">
        <is>
          <t>Dry lot</t>
        </is>
      </c>
      <c r="F2793" s="1642" t="inlineStr">
        <is>
          <t>Pasture/Range/Paddock</t>
        </is>
      </c>
      <c r="G2793" s="1642" t="inlineStr">
        <is>
          <t>Daily spread</t>
        </is>
      </c>
      <c r="H2793" s="1642" t="inlineStr">
        <is>
          <t>Digester</t>
        </is>
      </c>
      <c r="I2793" s="1642" t="inlineStr">
        <is>
          <t>Burned for fuel</t>
        </is>
      </c>
      <c r="J2793" s="1642" t="inlineStr">
        <is>
          <t>Pit&lt;1Month</t>
        </is>
      </c>
      <c r="K2793" s="1642" t="inlineStr">
        <is>
          <t>Pit&gt;1 month</t>
        </is>
      </c>
      <c r="L2793" s="1642" t="inlineStr">
        <is>
          <t>Poultry manure</t>
        </is>
      </c>
      <c r="M2793" s="291" t="inlineStr">
        <is>
          <t>Deep bedding</t>
        </is>
      </c>
      <c r="N2793" s="2156" t="inlineStr">
        <is>
          <t>Composting</t>
        </is>
      </c>
      <c r="O2793" s="2156" t="inlineStr">
        <is>
          <t>Aerobic treatment</t>
        </is>
      </c>
      <c r="P2793" s="1658" t="inlineStr">
        <is>
          <t>Other (pls. go Tier 2)</t>
        </is>
      </c>
      <c r="Q2793" s="453" t="n"/>
      <c r="R2793" s="453" t="n"/>
      <c r="S2793" s="453" t="n"/>
      <c r="T2793" s="453" t="n"/>
      <c r="U2793" s="453" t="n"/>
      <c r="V2793" s="453" t="n"/>
      <c r="W2793" s="21" t="n"/>
      <c r="X2793" s="21" t="n"/>
    </row>
    <row r="2794" ht="16" customFormat="1" customHeight="1" s="1093">
      <c r="A2794" s="523" t="inlineStr">
        <is>
          <t>Climate zone</t>
        </is>
      </c>
      <c r="B2794" s="1636" t="inlineStr">
        <is>
          <t>gCH4/kg Vs</t>
        </is>
      </c>
      <c r="C2794" s="1636" t="inlineStr">
        <is>
          <t>gCH4/kg Vs</t>
        </is>
      </c>
      <c r="D2794" s="1636" t="inlineStr">
        <is>
          <t>gCH4/kg Vs</t>
        </is>
      </c>
      <c r="E2794" s="1636" t="inlineStr">
        <is>
          <t>gCH4/kg Vs</t>
        </is>
      </c>
      <c r="F2794" s="1636" t="inlineStr">
        <is>
          <t>gCH4/kg Vs</t>
        </is>
      </c>
      <c r="G2794" s="1636" t="inlineStr">
        <is>
          <t>gCH4/kg Vs</t>
        </is>
      </c>
      <c r="H2794" s="1636" t="inlineStr">
        <is>
          <t>gCH4/kg Vs</t>
        </is>
      </c>
      <c r="I2794" s="1636" t="inlineStr">
        <is>
          <t>gCH4/kg Vs</t>
        </is>
      </c>
      <c r="J2794" s="1636" t="inlineStr">
        <is>
          <t>gCH4/kg Vs</t>
        </is>
      </c>
      <c r="K2794" s="1636" t="inlineStr">
        <is>
          <t>gCH4/kg Vs</t>
        </is>
      </c>
      <c r="L2794" s="1631" t="inlineStr">
        <is>
          <t>gCH4/kg Vs</t>
        </is>
      </c>
      <c r="M2794" s="1631" t="inlineStr">
        <is>
          <t>gCH4/kg Vs</t>
        </is>
      </c>
      <c r="N2794" s="732" t="inlineStr">
        <is>
          <t>gCH4/kg Vs</t>
        </is>
      </c>
      <c r="O2794" s="732" t="inlineStr">
        <is>
          <t>gCH4/kg Vs</t>
        </is>
      </c>
      <c r="P2794" s="732" t="n"/>
      <c r="Q2794" s="1092" t="n"/>
      <c r="R2794" s="1092" t="n"/>
      <c r="S2794" s="1092" t="n"/>
      <c r="T2794" s="1092" t="n"/>
      <c r="U2794" s="1092" t="n"/>
      <c r="V2794" s="1092" t="n"/>
    </row>
    <row r="2795" customFormat="1" s="21">
      <c r="A2795" s="410" t="inlineStr">
        <is>
          <t>Cool Temperate Moist</t>
        </is>
      </c>
      <c r="B2795" s="470" t="n">
        <v>116.6</v>
      </c>
      <c r="C2795" s="470" t="n">
        <v>40.8</v>
      </c>
      <c r="D2795" s="470" t="n">
        <v>3.9</v>
      </c>
      <c r="E2795" s="470" t="n">
        <v>1.9</v>
      </c>
      <c r="F2795" s="470" t="n">
        <v>0.6</v>
      </c>
      <c r="G2795" s="470" t="n">
        <v>0.2</v>
      </c>
      <c r="H2795" s="470" t="n">
        <v>20.6</v>
      </c>
      <c r="I2795" s="470" t="n">
        <v>19.4</v>
      </c>
      <c r="J2795" s="470" t="n">
        <v>11.7</v>
      </c>
      <c r="K2795" s="470" t="n">
        <v>40.8</v>
      </c>
      <c r="L2795" s="1640" t="n">
        <v>0</v>
      </c>
      <c r="M2795" s="451" t="n">
        <v>0</v>
      </c>
      <c r="N2795" s="467" t="n">
        <v>0</v>
      </c>
      <c r="O2795" s="467" t="n">
        <v>0</v>
      </c>
      <c r="P2795" s="467" t="n"/>
      <c r="Q2795" s="453" t="n"/>
      <c r="R2795" s="453" t="n"/>
      <c r="S2795" s="453" t="n"/>
      <c r="T2795" s="453" t="n"/>
      <c r="U2795" s="453" t="n"/>
      <c r="V2795" s="453" t="n"/>
    </row>
    <row r="2796" customFormat="1" s="21">
      <c r="A2796" s="411" t="inlineStr">
        <is>
          <t>Cool Temperate Dry</t>
        </is>
      </c>
      <c r="B2796" s="467" t="n">
        <v>130.2</v>
      </c>
      <c r="C2796" s="467" t="n">
        <v>50.5</v>
      </c>
      <c r="D2796" s="467" t="n">
        <v>3.9</v>
      </c>
      <c r="E2796" s="467" t="n">
        <v>1.9</v>
      </c>
      <c r="F2796" s="467" t="n">
        <v>0.6</v>
      </c>
      <c r="G2796" s="467" t="n">
        <v>0.2</v>
      </c>
      <c r="H2796" s="467" t="n">
        <v>20.6</v>
      </c>
      <c r="I2796" s="467" t="n">
        <v>19.4</v>
      </c>
      <c r="J2796" s="467" t="n">
        <v>15.5</v>
      </c>
      <c r="K2796" s="467" t="n">
        <v>50.5</v>
      </c>
      <c r="L2796" s="451" t="n">
        <v>0</v>
      </c>
      <c r="M2796" s="451" t="n">
        <v>0</v>
      </c>
      <c r="N2796" s="467" t="n">
        <v>0</v>
      </c>
      <c r="O2796" s="467" t="n">
        <v>0</v>
      </c>
      <c r="P2796" s="467" t="n"/>
      <c r="Q2796" s="453" t="n"/>
      <c r="R2796" s="453" t="n"/>
      <c r="S2796" s="453" t="n"/>
      <c r="T2796" s="453" t="n"/>
      <c r="U2796" s="453" t="n"/>
      <c r="V2796" s="453" t="n"/>
    </row>
    <row r="2797" customFormat="1" s="21">
      <c r="A2797" s="411" t="inlineStr">
        <is>
          <t>Boreal Moist</t>
        </is>
      </c>
      <c r="B2797" s="467" t="n">
        <v>97.2</v>
      </c>
      <c r="C2797" s="467" t="n">
        <v>27.2</v>
      </c>
      <c r="D2797" s="467" t="n">
        <v>3.9</v>
      </c>
      <c r="E2797" s="467" t="n">
        <v>1.9</v>
      </c>
      <c r="F2797" s="467" t="n">
        <v>0.6</v>
      </c>
      <c r="G2797" s="467" t="n">
        <v>0.2</v>
      </c>
      <c r="H2797" s="467" t="n">
        <v>20.6</v>
      </c>
      <c r="I2797" s="467" t="n">
        <v>19.4</v>
      </c>
      <c r="J2797" s="467" t="n">
        <v>7.8</v>
      </c>
      <c r="K2797" s="467" t="n">
        <v>27.2</v>
      </c>
      <c r="L2797" s="468" t="n">
        <v>0</v>
      </c>
      <c r="M2797" s="451" t="n">
        <v>0</v>
      </c>
      <c r="N2797" s="467" t="n">
        <v>0</v>
      </c>
      <c r="O2797" s="467" t="n">
        <v>0</v>
      </c>
      <c r="P2797" s="467" t="n"/>
      <c r="Q2797" s="453" t="n"/>
      <c r="R2797" s="453" t="n"/>
      <c r="S2797" s="453" t="n"/>
      <c r="T2797" s="453" t="n"/>
      <c r="U2797" s="453" t="n"/>
      <c r="V2797" s="453" t="n"/>
    </row>
    <row r="2798" customFormat="1" s="21">
      <c r="A2798" s="411" t="inlineStr">
        <is>
          <t>Boreal Dry</t>
        </is>
      </c>
      <c r="B2798" s="41" t="n">
        <v>95.2</v>
      </c>
      <c r="C2798" s="467" t="n">
        <v>27.2</v>
      </c>
      <c r="D2798" s="467" t="n">
        <v>3.9</v>
      </c>
      <c r="E2798" s="467" t="n">
        <v>1.9</v>
      </c>
      <c r="F2798" s="467" t="n">
        <v>0.6</v>
      </c>
      <c r="G2798" s="467" t="n">
        <v>0.2</v>
      </c>
      <c r="H2798" s="467" t="n">
        <v>20.6</v>
      </c>
      <c r="I2798" s="467" t="n">
        <v>19.4</v>
      </c>
      <c r="J2798" s="467" t="n">
        <v>7.8</v>
      </c>
      <c r="K2798" s="467" t="n">
        <v>27.2</v>
      </c>
      <c r="L2798" s="451" t="n">
        <v>0</v>
      </c>
      <c r="M2798" s="451" t="n">
        <v>0</v>
      </c>
      <c r="N2798" s="467" t="n">
        <v>0</v>
      </c>
      <c r="O2798" s="467" t="n">
        <v>0</v>
      </c>
      <c r="P2798" s="467" t="n"/>
      <c r="Q2798" s="453" t="n"/>
      <c r="R2798" s="453" t="n"/>
      <c r="S2798" s="453" t="n"/>
      <c r="T2798" s="453" t="n"/>
      <c r="U2798" s="453" t="n"/>
      <c r="V2798" s="453" t="n"/>
    </row>
    <row r="2799" customFormat="1" s="21">
      <c r="A2799" s="411" t="inlineStr">
        <is>
          <t>Warm Temperate Moist</t>
        </is>
      </c>
      <c r="B2799" s="467" t="n">
        <v>141.8</v>
      </c>
      <c r="C2799" s="467" t="n">
        <v>71.90000000000001</v>
      </c>
      <c r="D2799" s="467" t="n">
        <v>7.8</v>
      </c>
      <c r="E2799" s="467" t="n">
        <v>2.9</v>
      </c>
      <c r="F2799" s="467" t="n">
        <v>0.6</v>
      </c>
      <c r="G2799" s="467" t="n">
        <v>1</v>
      </c>
      <c r="H2799" s="467" t="n">
        <v>21.1</v>
      </c>
      <c r="I2799" s="467" t="n">
        <v>19.4</v>
      </c>
      <c r="J2799" s="467" t="n">
        <v>25.3</v>
      </c>
      <c r="K2799" s="467" t="n">
        <v>71.90000000000001</v>
      </c>
      <c r="L2799" s="451" t="n">
        <v>0</v>
      </c>
      <c r="M2799" s="451" t="n">
        <v>0</v>
      </c>
      <c r="N2799" s="467" t="n">
        <v>0</v>
      </c>
      <c r="O2799" s="467" t="n">
        <v>0</v>
      </c>
      <c r="P2799" s="467" t="n"/>
      <c r="Q2799" s="453" t="n"/>
      <c r="R2799" s="453" t="n"/>
      <c r="S2799" s="453" t="n"/>
      <c r="T2799" s="453" t="n"/>
      <c r="U2799" s="453" t="n"/>
      <c r="V2799" s="453" t="n"/>
    </row>
    <row r="2800" customFormat="1" s="21">
      <c r="A2800" s="411" t="inlineStr">
        <is>
          <t>Warm Temperate Dry</t>
        </is>
      </c>
      <c r="B2800" s="467" t="n">
        <v>147.7</v>
      </c>
      <c r="C2800" s="467" t="n">
        <v>79.7</v>
      </c>
      <c r="D2800" s="467" t="n">
        <v>7.8</v>
      </c>
      <c r="E2800" s="467" t="n">
        <v>2.9</v>
      </c>
      <c r="F2800" s="467" t="n">
        <v>0.6</v>
      </c>
      <c r="G2800" s="467" t="n">
        <v>1</v>
      </c>
      <c r="H2800" s="467" t="n">
        <v>21.1</v>
      </c>
      <c r="I2800" s="467" t="n">
        <v>19.4</v>
      </c>
      <c r="J2800" s="467" t="n">
        <v>29.1</v>
      </c>
      <c r="K2800" s="467" t="n">
        <v>79.7</v>
      </c>
      <c r="L2800" s="451" t="n">
        <v>0</v>
      </c>
      <c r="M2800" s="451" t="n">
        <v>0</v>
      </c>
      <c r="N2800" s="467" t="n">
        <v>0</v>
      </c>
      <c r="O2800" s="467" t="n">
        <v>0</v>
      </c>
      <c r="P2800" s="467" t="n"/>
      <c r="Q2800" s="453" t="n"/>
      <c r="R2800" s="453" t="n"/>
      <c r="S2800" s="453" t="n"/>
      <c r="T2800" s="453" t="n"/>
      <c r="U2800" s="453" t="n"/>
      <c r="V2800" s="453" t="n"/>
    </row>
    <row r="2801" customFormat="1" s="21">
      <c r="A2801" s="411" t="inlineStr">
        <is>
          <t>Tropical Montane</t>
        </is>
      </c>
      <c r="B2801" s="467" t="n">
        <v>147.7</v>
      </c>
      <c r="C2801" s="467" t="n">
        <v>114.6</v>
      </c>
      <c r="D2801" s="467" t="n">
        <v>9.699999999999999</v>
      </c>
      <c r="E2801" s="467" t="n">
        <v>3.9</v>
      </c>
      <c r="F2801" s="467" t="n">
        <v>0.6</v>
      </c>
      <c r="G2801" s="467" t="n">
        <v>1.9</v>
      </c>
      <c r="H2801" s="467" t="n">
        <v>21.2</v>
      </c>
      <c r="I2801" s="467" t="n">
        <v>19.4</v>
      </c>
      <c r="J2801" s="467" t="n">
        <v>48.6</v>
      </c>
      <c r="K2801" s="467" t="n">
        <v>114.6</v>
      </c>
      <c r="L2801" s="451" t="n">
        <v>0</v>
      </c>
      <c r="M2801" s="451" t="n">
        <v>0</v>
      </c>
      <c r="N2801" s="467" t="n">
        <v>0</v>
      </c>
      <c r="O2801" s="467" t="n">
        <v>0</v>
      </c>
      <c r="P2801" s="467" t="n"/>
      <c r="Q2801" s="453" t="n"/>
      <c r="R2801" s="453" t="n"/>
      <c r="S2801" s="453" t="n"/>
      <c r="T2801" s="453" t="n"/>
      <c r="U2801" s="453" t="n"/>
      <c r="V2801" s="453" t="n"/>
    </row>
    <row r="2802" customFormat="1" s="21">
      <c r="A2802" s="411" t="inlineStr">
        <is>
          <t>Tropical Wet</t>
        </is>
      </c>
      <c r="B2802" s="41" t="n">
        <v>155.4</v>
      </c>
      <c r="C2802" s="467" t="n">
        <v>147.7</v>
      </c>
      <c r="D2802" s="467" t="n">
        <v>9.699999999999999</v>
      </c>
      <c r="E2802" s="467" t="n">
        <v>3.9</v>
      </c>
      <c r="F2802" s="467" t="n">
        <v>0.6</v>
      </c>
      <c r="G2802" s="467" t="n">
        <v>1.9</v>
      </c>
      <c r="H2802" s="467" t="n">
        <v>21.2</v>
      </c>
      <c r="I2802" s="467" t="n">
        <v>19.4</v>
      </c>
      <c r="J2802" s="467" t="n">
        <v>73.8</v>
      </c>
      <c r="K2802" s="467" t="n">
        <v>147.7</v>
      </c>
      <c r="L2802" s="468" t="n">
        <v>0</v>
      </c>
      <c r="M2802" s="451" t="n">
        <v>0</v>
      </c>
      <c r="N2802" s="467" t="n">
        <v>0</v>
      </c>
      <c r="O2802" s="467" t="n">
        <v>0</v>
      </c>
      <c r="P2802" s="467" t="n"/>
    </row>
    <row r="2803" customFormat="1" s="453">
      <c r="A2803" s="411" t="inlineStr">
        <is>
          <t>Tropical Moist</t>
        </is>
      </c>
      <c r="B2803" s="41" t="n">
        <v>155.4</v>
      </c>
      <c r="C2803" s="41" t="n">
        <v>141.8</v>
      </c>
      <c r="D2803" s="467" t="n">
        <v>9.699999999999999</v>
      </c>
      <c r="E2803" s="467" t="n">
        <v>3.9</v>
      </c>
      <c r="F2803" s="467" t="n">
        <v>0.6</v>
      </c>
      <c r="G2803" s="467" t="n">
        <v>1.9</v>
      </c>
      <c r="H2803" s="467" t="n">
        <v>21.2</v>
      </c>
      <c r="I2803" s="467" t="n">
        <v>19.4</v>
      </c>
      <c r="J2803" s="467" t="n">
        <v>69.90000000000001</v>
      </c>
      <c r="K2803" s="41" t="n">
        <v>141.8</v>
      </c>
      <c r="L2803" s="451" t="n">
        <v>0</v>
      </c>
      <c r="M2803" s="451" t="n">
        <v>0</v>
      </c>
      <c r="N2803" s="467" t="n">
        <v>0</v>
      </c>
      <c r="O2803" s="467" t="n">
        <v>0</v>
      </c>
      <c r="P2803" s="467" t="n"/>
    </row>
    <row r="2804" customFormat="1" s="453">
      <c r="A2804" s="411" t="inlineStr">
        <is>
          <t>Tropical Dry</t>
        </is>
      </c>
      <c r="B2804" s="41" t="n">
        <v>155.4</v>
      </c>
      <c r="C2804" s="467" t="n">
        <v>143.8</v>
      </c>
      <c r="D2804" s="467" t="n">
        <v>9.699999999999999</v>
      </c>
      <c r="E2804" s="467" t="n">
        <v>3.9</v>
      </c>
      <c r="F2804" s="467" t="n">
        <v>0.6</v>
      </c>
      <c r="G2804" s="467" t="n">
        <v>1.9</v>
      </c>
      <c r="H2804" s="467" t="n">
        <v>21.2</v>
      </c>
      <c r="I2804" s="467" t="n">
        <v>19.4</v>
      </c>
      <c r="J2804" s="467" t="n">
        <v>81.59999999999999</v>
      </c>
      <c r="K2804" s="467" t="n">
        <v>143.8</v>
      </c>
      <c r="L2804" s="468" t="n">
        <v>0</v>
      </c>
      <c r="M2804" s="451" t="n">
        <v>0</v>
      </c>
      <c r="N2804" s="467" t="n">
        <v>0</v>
      </c>
      <c r="O2804" s="467" t="n">
        <v>0</v>
      </c>
      <c r="P2804" s="467" t="n"/>
    </row>
    <row r="2805" customFormat="1" s="535">
      <c r="A2805" s="518" t="inlineStr">
        <is>
          <t>Notes :  Liquid slurry and pit&gt;1 month identic</t>
        </is>
      </c>
      <c r="F2805" s="1624" t="n"/>
      <c r="G2805" s="1624" t="n"/>
      <c r="H2805" s="1624" t="n"/>
      <c r="I2805" s="1624" t="n"/>
      <c r="J2805" s="1624" t="n"/>
      <c r="K2805" s="1624" t="n"/>
      <c r="L2805" s="1624" t="n"/>
      <c r="M2805" s="1624" t="n"/>
      <c r="N2805" s="1624" t="n"/>
    </row>
    <row r="2806" customFormat="1" s="292"/>
    <row r="2808" ht="14.25" customFormat="1" customHeight="1" s="125">
      <c r="A2808" s="377" t="inlineStr">
        <is>
          <t>Emission factors CH4 manure management</t>
        </is>
      </c>
      <c r="D2808" s="1075" t="n"/>
      <c r="E2808" s="1075" t="n"/>
      <c r="F2808" s="1075" t="n"/>
      <c r="G2808" s="1075" t="n"/>
      <c r="H2808" s="1075" t="n"/>
      <c r="I2808" s="1075" t="n"/>
      <c r="L2808" s="1075" t="n"/>
    </row>
    <row r="2809" ht="16.25" customFormat="1" customHeight="1" s="773">
      <c r="A2809" s="753" t="inlineStr">
        <is>
          <t>Poultry HP</t>
        </is>
      </c>
      <c r="B2809" s="442" t="inlineStr">
        <is>
          <t>Table 10.14</t>
        </is>
      </c>
      <c r="C2809" s="442" t="inlineStr">
        <is>
          <t>Table 10.14</t>
        </is>
      </c>
      <c r="D2809" s="442" t="inlineStr">
        <is>
          <t>Table 10.14</t>
        </is>
      </c>
      <c r="E2809" s="442" t="inlineStr">
        <is>
          <t>Table 10.14</t>
        </is>
      </c>
      <c r="F2809" s="442" t="inlineStr">
        <is>
          <t>Table 10.14</t>
        </is>
      </c>
      <c r="G2809" s="442" t="inlineStr">
        <is>
          <t>Table 10.14</t>
        </is>
      </c>
      <c r="H2809" s="442" t="inlineStr">
        <is>
          <t>Table 10.14</t>
        </is>
      </c>
      <c r="I2809" s="442" t="inlineStr">
        <is>
          <t>Table 10.14</t>
        </is>
      </c>
      <c r="J2809" s="442" t="inlineStr">
        <is>
          <t>Table 10.14</t>
        </is>
      </c>
      <c r="K2809" s="442" t="inlineStr">
        <is>
          <t>Table 10.14</t>
        </is>
      </c>
      <c r="L2809" s="442" t="inlineStr">
        <is>
          <t>Table 10.14</t>
        </is>
      </c>
      <c r="M2809" s="442" t="inlineStr">
        <is>
          <t>Table 10.14</t>
        </is>
      </c>
      <c r="N2809" s="442" t="inlineStr">
        <is>
          <t>Table 10.14</t>
        </is>
      </c>
      <c r="O2809" s="442" t="inlineStr">
        <is>
          <t>Table 10.14</t>
        </is>
      </c>
      <c r="P2809" s="442" t="n"/>
      <c r="Q2809" s="442" t="n"/>
      <c r="R2809" s="442" t="n"/>
      <c r="S2809" s="442" t="n"/>
      <c r="T2809" s="442" t="n"/>
      <c r="U2809" s="442" t="n"/>
      <c r="V2809" s="442" t="n"/>
    </row>
    <row r="2810" ht="16" customFormat="1" customHeight="1" s="291">
      <c r="A2810" s="1641" t="inlineStr">
        <is>
          <t>Please select</t>
        </is>
      </c>
      <c r="B2810" s="1642" t="inlineStr">
        <is>
          <t>Lagoon</t>
        </is>
      </c>
      <c r="C2810" s="1642" t="inlineStr">
        <is>
          <t>Liquid/slurry</t>
        </is>
      </c>
      <c r="D2810" s="1642" t="inlineStr">
        <is>
          <t>Solid storage</t>
        </is>
      </c>
      <c r="E2810" s="1642" t="inlineStr">
        <is>
          <t>Dry lot</t>
        </is>
      </c>
      <c r="F2810" s="1642" t="inlineStr">
        <is>
          <t>Pasture/Range/Paddock</t>
        </is>
      </c>
      <c r="G2810" s="1642" t="inlineStr">
        <is>
          <t>Daily spread</t>
        </is>
      </c>
      <c r="H2810" s="1642" t="inlineStr">
        <is>
          <t>Digester</t>
        </is>
      </c>
      <c r="I2810" s="1642" t="inlineStr">
        <is>
          <t>Burned for fuel</t>
        </is>
      </c>
      <c r="J2810" s="1642" t="inlineStr">
        <is>
          <t>Pit&lt;1Month</t>
        </is>
      </c>
      <c r="K2810" s="1642" t="inlineStr">
        <is>
          <t>Pit&gt;1 month</t>
        </is>
      </c>
      <c r="L2810" s="1642" t="inlineStr">
        <is>
          <t>Poultry manure</t>
        </is>
      </c>
      <c r="M2810" s="291" t="inlineStr">
        <is>
          <t>Deep bedding</t>
        </is>
      </c>
      <c r="N2810" s="2156" t="inlineStr">
        <is>
          <t>Composting</t>
        </is>
      </c>
      <c r="O2810" s="2156" t="inlineStr">
        <is>
          <t>Aerobic treatment</t>
        </is>
      </c>
      <c r="P2810" s="1658" t="inlineStr">
        <is>
          <t>Other (pls. go Tier 2)</t>
        </is>
      </c>
      <c r="Q2810" s="453" t="n"/>
      <c r="R2810" s="453" t="n"/>
      <c r="S2810" s="453" t="n"/>
      <c r="T2810" s="453" t="n"/>
      <c r="U2810" s="453" t="n"/>
      <c r="V2810" s="453" t="n"/>
      <c r="W2810" s="21" t="n"/>
      <c r="X2810" s="21" t="n"/>
    </row>
    <row r="2811" ht="16" customFormat="1" customHeight="1" s="1093">
      <c r="A2811" s="523" t="inlineStr">
        <is>
          <t>Climate zone</t>
        </is>
      </c>
      <c r="B2811" s="1636" t="inlineStr">
        <is>
          <t>gCH4/kg Vs</t>
        </is>
      </c>
      <c r="C2811" s="1636" t="inlineStr">
        <is>
          <t>gCH4/kg Vs</t>
        </is>
      </c>
      <c r="D2811" s="1636" t="inlineStr">
        <is>
          <t>gCH4/kg Vs</t>
        </is>
      </c>
      <c r="E2811" s="1636" t="inlineStr">
        <is>
          <t>gCH4/kg Vs</t>
        </is>
      </c>
      <c r="F2811" s="1636" t="inlineStr">
        <is>
          <t>gCH4/kg Vs</t>
        </is>
      </c>
      <c r="G2811" s="1636" t="inlineStr">
        <is>
          <t>gCH4/kg Vs</t>
        </is>
      </c>
      <c r="H2811" s="1636" t="inlineStr">
        <is>
          <t>gCH4/kg Vs</t>
        </is>
      </c>
      <c r="I2811" s="1636" t="inlineStr">
        <is>
          <t>gCH4/kg Vs</t>
        </is>
      </c>
      <c r="J2811" s="1636" t="inlineStr">
        <is>
          <t>gCH4/kg Vs</t>
        </is>
      </c>
      <c r="K2811" s="1636" t="inlineStr">
        <is>
          <t>gCH4/kg Vs</t>
        </is>
      </c>
      <c r="L2811" s="1631" t="inlineStr">
        <is>
          <t>gCH4/kg Vs</t>
        </is>
      </c>
      <c r="M2811" s="1631" t="inlineStr">
        <is>
          <t>gCH4/kg Vs</t>
        </is>
      </c>
      <c r="N2811" s="732" t="inlineStr">
        <is>
          <t>gCH4/kg Vs</t>
        </is>
      </c>
      <c r="O2811" s="732" t="inlineStr">
        <is>
          <t>gCH4/kg Vs</t>
        </is>
      </c>
      <c r="P2811" s="732" t="n"/>
      <c r="Q2811" s="1092" t="n"/>
      <c r="R2811" s="1092" t="n"/>
      <c r="S2811" s="1092" t="n"/>
      <c r="T2811" s="1092" t="n"/>
      <c r="U2811" s="1092" t="n"/>
      <c r="V2811" s="1092" t="n"/>
    </row>
    <row r="2812" customFormat="1" s="21">
      <c r="A2812" s="410" t="inlineStr">
        <is>
          <t>Cool Temperate Moist</t>
        </is>
      </c>
      <c r="B2812" s="470" t="n">
        <v>156.8</v>
      </c>
      <c r="C2812" s="470" t="n">
        <v>54.9</v>
      </c>
      <c r="D2812" s="470" t="n">
        <v>5.2</v>
      </c>
      <c r="E2812" s="470" t="n">
        <v>2.6</v>
      </c>
      <c r="F2812" s="470" t="n">
        <v>0.6</v>
      </c>
      <c r="G2812" s="470" t="n">
        <v>0</v>
      </c>
      <c r="H2812" s="470" t="n">
        <v>5.2</v>
      </c>
      <c r="I2812" s="470" t="n">
        <v>2.6</v>
      </c>
      <c r="J2812" s="470" t="n">
        <v>0</v>
      </c>
      <c r="K2812" s="470" t="n">
        <v>54.9</v>
      </c>
      <c r="L2812" s="1640" t="n">
        <v>0</v>
      </c>
      <c r="M2812" s="451" t="n">
        <v>0</v>
      </c>
      <c r="N2812" s="467" t="n">
        <v>0</v>
      </c>
      <c r="O2812" s="467" t="n">
        <v>0</v>
      </c>
      <c r="P2812" s="467" t="n"/>
      <c r="Q2812" s="453" t="n"/>
      <c r="R2812" s="453" t="n"/>
      <c r="S2812" s="453" t="n"/>
      <c r="T2812" s="453" t="n"/>
      <c r="U2812" s="453" t="n"/>
      <c r="V2812" s="453" t="n"/>
    </row>
    <row r="2813" customFormat="1" s="21">
      <c r="A2813" s="411" t="inlineStr">
        <is>
          <t>Cool Temperate Dry</t>
        </is>
      </c>
      <c r="B2813" s="467" t="n">
        <v>175.1</v>
      </c>
      <c r="C2813" s="467" t="n">
        <v>67.90000000000001</v>
      </c>
      <c r="D2813" s="467" t="n">
        <v>5.2</v>
      </c>
      <c r="E2813" s="467" t="n">
        <v>2.6</v>
      </c>
      <c r="F2813" s="467" t="n">
        <v>0.6</v>
      </c>
      <c r="G2813" s="467" t="n">
        <v>0</v>
      </c>
      <c r="H2813" s="467" t="n">
        <v>5.2</v>
      </c>
      <c r="I2813" s="467" t="n">
        <v>2.6</v>
      </c>
      <c r="J2813" s="467" t="n">
        <v>0</v>
      </c>
      <c r="K2813" s="467" t="n">
        <v>67.90000000000001</v>
      </c>
      <c r="L2813" s="451" t="n">
        <v>0</v>
      </c>
      <c r="M2813" s="451" t="n">
        <v>0</v>
      </c>
      <c r="N2813" s="467" t="n">
        <v>0</v>
      </c>
      <c r="O2813" s="467" t="n">
        <v>0</v>
      </c>
      <c r="P2813" s="467" t="n"/>
      <c r="Q2813" s="453" t="n"/>
      <c r="R2813" s="453" t="n"/>
      <c r="S2813" s="453" t="n"/>
      <c r="T2813" s="453" t="n"/>
      <c r="U2813" s="453" t="n"/>
      <c r="V2813" s="453" t="n"/>
    </row>
    <row r="2814" customFormat="1" s="21">
      <c r="A2814" s="411" t="inlineStr">
        <is>
          <t>Boreal Moist</t>
        </is>
      </c>
      <c r="B2814" s="467" t="n">
        <v>130.7</v>
      </c>
      <c r="C2814" s="467" t="n">
        <v>36.6</v>
      </c>
      <c r="D2814" s="467" t="n">
        <v>5.2</v>
      </c>
      <c r="E2814" s="467" t="n">
        <v>2.6</v>
      </c>
      <c r="F2814" s="467" t="n">
        <v>0.6</v>
      </c>
      <c r="G2814" s="467" t="n">
        <v>0</v>
      </c>
      <c r="H2814" s="467" t="n">
        <v>5.2</v>
      </c>
      <c r="I2814" s="467" t="n">
        <v>2.6</v>
      </c>
      <c r="J2814" s="467" t="n">
        <v>0</v>
      </c>
      <c r="K2814" s="467" t="n">
        <v>36.6</v>
      </c>
      <c r="L2814" s="468" t="n">
        <v>0</v>
      </c>
      <c r="M2814" s="451" t="n">
        <v>0</v>
      </c>
      <c r="N2814" s="467" t="n">
        <v>0</v>
      </c>
      <c r="O2814" s="467" t="n">
        <v>0</v>
      </c>
      <c r="P2814" s="467" t="n"/>
      <c r="Q2814" s="453" t="n"/>
      <c r="R2814" s="453" t="n"/>
      <c r="S2814" s="453" t="n"/>
      <c r="T2814" s="453" t="n"/>
      <c r="U2814" s="453" t="n"/>
      <c r="V2814" s="453" t="n"/>
    </row>
    <row r="2815" customFormat="1" s="21">
      <c r="A2815" s="411" t="inlineStr">
        <is>
          <t>Boreal Dry</t>
        </is>
      </c>
      <c r="B2815" s="41" t="n">
        <v>128</v>
      </c>
      <c r="C2815" s="467" t="n">
        <v>36.6</v>
      </c>
      <c r="D2815" s="467" t="n">
        <v>5.2</v>
      </c>
      <c r="E2815" s="467" t="n">
        <v>2.6</v>
      </c>
      <c r="F2815" s="467" t="n">
        <v>0.6</v>
      </c>
      <c r="G2815" s="467" t="n">
        <v>0</v>
      </c>
      <c r="H2815" s="467" t="n">
        <v>5.2</v>
      </c>
      <c r="I2815" s="467" t="n">
        <v>2.6</v>
      </c>
      <c r="J2815" s="467" t="n">
        <v>0</v>
      </c>
      <c r="K2815" s="467" t="n">
        <v>36.6</v>
      </c>
      <c r="L2815" s="451" t="n">
        <v>0</v>
      </c>
      <c r="M2815" s="451" t="n">
        <v>0</v>
      </c>
      <c r="N2815" s="467" t="n">
        <v>0</v>
      </c>
      <c r="O2815" s="467" t="n">
        <v>0</v>
      </c>
      <c r="P2815" s="467" t="n"/>
      <c r="Q2815" s="453" t="n"/>
      <c r="R2815" s="453" t="n"/>
      <c r="S2815" s="453" t="n"/>
      <c r="T2815" s="453" t="n"/>
      <c r="U2815" s="453" t="n"/>
      <c r="V2815" s="453" t="n"/>
    </row>
    <row r="2816" customFormat="1" s="21">
      <c r="A2816" s="411" t="inlineStr">
        <is>
          <t>Warm Temperate Moist</t>
        </is>
      </c>
      <c r="B2816" s="467" t="n">
        <v>190.7</v>
      </c>
      <c r="C2816" s="467" t="n">
        <v>96.7</v>
      </c>
      <c r="D2816" s="467" t="n">
        <v>10.5</v>
      </c>
      <c r="E2816" s="467" t="n">
        <v>3.9</v>
      </c>
      <c r="F2816" s="467" t="n">
        <v>0.6</v>
      </c>
      <c r="G2816" s="467" t="n">
        <v>0</v>
      </c>
      <c r="H2816" s="467" t="n">
        <v>10.5</v>
      </c>
      <c r="I2816" s="467" t="n">
        <v>2.6</v>
      </c>
      <c r="J2816" s="467" t="n">
        <v>0</v>
      </c>
      <c r="K2816" s="467" t="n">
        <v>96.7</v>
      </c>
      <c r="L2816" s="451" t="n">
        <v>0</v>
      </c>
      <c r="M2816" s="451" t="n">
        <v>0</v>
      </c>
      <c r="N2816" s="467" t="n">
        <v>0</v>
      </c>
      <c r="O2816" s="467" t="n">
        <v>0</v>
      </c>
      <c r="P2816" s="467" t="n"/>
      <c r="Q2816" s="453" t="n"/>
      <c r="R2816" s="453" t="n"/>
      <c r="S2816" s="453" t="n"/>
      <c r="T2816" s="453" t="n"/>
      <c r="U2816" s="453" t="n"/>
      <c r="V2816" s="453" t="n"/>
    </row>
    <row r="2817" customFormat="1" s="21">
      <c r="A2817" s="411" t="inlineStr">
        <is>
          <t>Warm Temperate Dry</t>
        </is>
      </c>
      <c r="B2817" s="467" t="n">
        <v>198.6</v>
      </c>
      <c r="C2817" s="467" t="n">
        <v>107.1</v>
      </c>
      <c r="D2817" s="467" t="n">
        <v>10.5</v>
      </c>
      <c r="E2817" s="467" t="n">
        <v>3.9</v>
      </c>
      <c r="F2817" s="467" t="n">
        <v>0.6</v>
      </c>
      <c r="G2817" s="467" t="n">
        <v>0</v>
      </c>
      <c r="H2817" s="467" t="n">
        <v>10.5</v>
      </c>
      <c r="I2817" s="467" t="n">
        <v>2.6</v>
      </c>
      <c r="J2817" s="467" t="n">
        <v>0</v>
      </c>
      <c r="K2817" s="467" t="n">
        <v>107.1</v>
      </c>
      <c r="L2817" s="451" t="n">
        <v>0</v>
      </c>
      <c r="M2817" s="451" t="n">
        <v>0</v>
      </c>
      <c r="N2817" s="467" t="n">
        <v>0</v>
      </c>
      <c r="O2817" s="467" t="n">
        <v>0</v>
      </c>
      <c r="P2817" s="467" t="n"/>
      <c r="Q2817" s="453" t="n"/>
      <c r="R2817" s="453" t="n"/>
      <c r="S2817" s="453" t="n"/>
      <c r="T2817" s="453" t="n"/>
      <c r="U2817" s="453" t="n"/>
      <c r="V2817" s="453" t="n"/>
    </row>
    <row r="2818" customFormat="1" s="21">
      <c r="A2818" s="411" t="inlineStr">
        <is>
          <t>Tropical Montane</t>
        </is>
      </c>
      <c r="B2818" s="467" t="n">
        <v>198.6</v>
      </c>
      <c r="C2818" s="467" t="n">
        <v>154.2</v>
      </c>
      <c r="D2818" s="467" t="n">
        <v>13.1</v>
      </c>
      <c r="E2818" s="467" t="n">
        <v>5.2</v>
      </c>
      <c r="F2818" s="467" t="n">
        <v>0.6</v>
      </c>
      <c r="G2818" s="467" t="n">
        <v>0</v>
      </c>
      <c r="H2818" s="467" t="n">
        <v>13.1</v>
      </c>
      <c r="I2818" s="467" t="n">
        <v>2.6</v>
      </c>
      <c r="J2818" s="467" t="n">
        <v>0</v>
      </c>
      <c r="K2818" s="467" t="n">
        <v>154.2</v>
      </c>
      <c r="L2818" s="451" t="n">
        <v>0</v>
      </c>
      <c r="M2818" s="451" t="n">
        <v>0</v>
      </c>
      <c r="N2818" s="467" t="n">
        <v>0</v>
      </c>
      <c r="O2818" s="467" t="n">
        <v>0</v>
      </c>
      <c r="P2818" s="467" t="n"/>
      <c r="Q2818" s="453" t="n"/>
      <c r="R2818" s="453" t="n"/>
      <c r="S2818" s="453" t="n"/>
      <c r="T2818" s="453" t="n"/>
      <c r="U2818" s="453" t="n"/>
      <c r="V2818" s="453" t="n"/>
    </row>
    <row r="2819" customFormat="1" s="21">
      <c r="A2819" s="411" t="inlineStr">
        <is>
          <t>Tropical Wet</t>
        </is>
      </c>
      <c r="B2819" s="41" t="n">
        <v>209</v>
      </c>
      <c r="C2819" s="467" t="n">
        <v>198.6</v>
      </c>
      <c r="D2819" s="467" t="n">
        <v>13.1</v>
      </c>
      <c r="E2819" s="467" t="n">
        <v>5.2</v>
      </c>
      <c r="F2819" s="467" t="n">
        <v>0.6</v>
      </c>
      <c r="G2819" s="467" t="n">
        <v>0</v>
      </c>
      <c r="H2819" s="467" t="n">
        <v>13.1</v>
      </c>
      <c r="I2819" s="467" t="n">
        <v>2.6</v>
      </c>
      <c r="J2819" s="467" t="n">
        <v>0</v>
      </c>
      <c r="K2819" s="467" t="n">
        <v>198.6</v>
      </c>
      <c r="L2819" s="468" t="n">
        <v>0</v>
      </c>
      <c r="M2819" s="451" t="n">
        <v>0</v>
      </c>
      <c r="N2819" s="467" t="n">
        <v>0</v>
      </c>
      <c r="O2819" s="467" t="n">
        <v>0</v>
      </c>
      <c r="P2819" s="467" t="n"/>
    </row>
    <row r="2820" customFormat="1" s="453">
      <c r="A2820" s="411" t="inlineStr">
        <is>
          <t>Tropical Moist</t>
        </is>
      </c>
      <c r="B2820" s="41" t="n">
        <v>209</v>
      </c>
      <c r="C2820" s="41" t="n">
        <v>190.7</v>
      </c>
      <c r="D2820" s="467" t="n">
        <v>13.1</v>
      </c>
      <c r="E2820" s="467" t="n">
        <v>5.2</v>
      </c>
      <c r="F2820" s="467" t="n">
        <v>0.6</v>
      </c>
      <c r="G2820" s="467" t="n">
        <v>0</v>
      </c>
      <c r="H2820" s="467" t="n">
        <v>13.1</v>
      </c>
      <c r="I2820" s="467" t="n">
        <v>2.6</v>
      </c>
      <c r="J2820" s="467" t="n">
        <v>0</v>
      </c>
      <c r="K2820" s="41" t="n">
        <v>190.7</v>
      </c>
      <c r="L2820" s="451" t="n">
        <v>0</v>
      </c>
      <c r="M2820" s="451" t="n">
        <v>0</v>
      </c>
      <c r="N2820" s="467" t="n">
        <v>0</v>
      </c>
      <c r="O2820" s="467" t="n">
        <v>0</v>
      </c>
      <c r="P2820" s="467" t="n"/>
    </row>
    <row r="2821" customFormat="1" s="453">
      <c r="A2821" s="411" t="inlineStr">
        <is>
          <t>Tropical Dry</t>
        </is>
      </c>
      <c r="B2821" s="41" t="n">
        <v>209</v>
      </c>
      <c r="C2821" s="467" t="n">
        <v>193.4</v>
      </c>
      <c r="D2821" s="467" t="n">
        <v>13.1</v>
      </c>
      <c r="E2821" s="467" t="n">
        <v>5.2</v>
      </c>
      <c r="F2821" s="467" t="n">
        <v>0.6</v>
      </c>
      <c r="G2821" s="467" t="n">
        <v>0</v>
      </c>
      <c r="H2821" s="467" t="n">
        <v>13.1</v>
      </c>
      <c r="I2821" s="467" t="n">
        <v>2.6</v>
      </c>
      <c r="J2821" s="467" t="n">
        <v>0</v>
      </c>
      <c r="K2821" s="467" t="n">
        <v>193.4</v>
      </c>
      <c r="L2821" s="468" t="n">
        <v>0</v>
      </c>
      <c r="M2821" s="451" t="n">
        <v>0</v>
      </c>
      <c r="N2821" s="467" t="n">
        <v>0</v>
      </c>
      <c r="O2821" s="467" t="n">
        <v>0</v>
      </c>
      <c r="P2821" s="467" t="n"/>
    </row>
    <row r="2822" customFormat="1" s="535">
      <c r="A2822" s="518" t="inlineStr">
        <is>
          <t>Notes :  Liquid slurry and pit&gt;1 month identic</t>
        </is>
      </c>
      <c r="F2822" s="1624" t="n"/>
      <c r="G2822" s="1624" t="n"/>
      <c r="H2822" s="1624" t="n"/>
      <c r="I2822" s="1624" t="n"/>
      <c r="J2822" s="1624" t="n"/>
      <c r="K2822" s="1624" t="n"/>
      <c r="L2822" s="1624" t="n"/>
      <c r="M2822" s="1624" t="n"/>
      <c r="N2822" s="1624" t="n"/>
    </row>
    <row r="2823" customFormat="1" s="292"/>
    <row r="2825" ht="14.25" customFormat="1" customHeight="1" s="125">
      <c r="A2825" s="377" t="inlineStr">
        <is>
          <t>Emission factors CH4 manure management</t>
        </is>
      </c>
      <c r="D2825" s="1075" t="n"/>
      <c r="E2825" s="1075" t="n"/>
      <c r="F2825" s="1075" t="n"/>
      <c r="G2825" s="1075" t="n"/>
      <c r="H2825" s="1075" t="n"/>
      <c r="I2825" s="1075" t="n"/>
      <c r="L2825" s="1075" t="n"/>
    </row>
    <row r="2826" ht="16.25" customFormat="1" customHeight="1" s="773">
      <c r="A2826" s="753" t="inlineStr">
        <is>
          <t>Poultry LP</t>
        </is>
      </c>
      <c r="B2826" s="442" t="inlineStr">
        <is>
          <t>Table 10.14</t>
        </is>
      </c>
      <c r="C2826" s="442" t="inlineStr">
        <is>
          <t>Table 10.14</t>
        </is>
      </c>
      <c r="D2826" s="442" t="inlineStr">
        <is>
          <t>Table 10.14</t>
        </is>
      </c>
      <c r="E2826" s="442" t="inlineStr">
        <is>
          <t>Table 10.14</t>
        </is>
      </c>
      <c r="F2826" s="442" t="inlineStr">
        <is>
          <t>Table 10.14</t>
        </is>
      </c>
      <c r="G2826" s="442" t="inlineStr">
        <is>
          <t>Table 10.14</t>
        </is>
      </c>
      <c r="H2826" s="442" t="inlineStr">
        <is>
          <t>Table 10.14</t>
        </is>
      </c>
      <c r="I2826" s="442" t="inlineStr">
        <is>
          <t>Table 10.14</t>
        </is>
      </c>
      <c r="J2826" s="442" t="inlineStr">
        <is>
          <t>Table 10.14</t>
        </is>
      </c>
      <c r="K2826" s="442" t="inlineStr">
        <is>
          <t>Table 10.14</t>
        </is>
      </c>
      <c r="L2826" s="442" t="inlineStr">
        <is>
          <t>Table 10.14</t>
        </is>
      </c>
      <c r="M2826" s="442" t="inlineStr">
        <is>
          <t>Table 10.14</t>
        </is>
      </c>
      <c r="N2826" s="442" t="inlineStr">
        <is>
          <t>Table 10.14</t>
        </is>
      </c>
      <c r="O2826" s="442" t="inlineStr">
        <is>
          <t>Table 10.14</t>
        </is>
      </c>
      <c r="P2826" s="442" t="n"/>
      <c r="Q2826" s="442" t="n"/>
      <c r="R2826" s="442" t="n"/>
      <c r="S2826" s="442" t="n"/>
      <c r="T2826" s="442" t="n"/>
      <c r="U2826" s="442" t="n"/>
      <c r="V2826" s="442" t="n"/>
    </row>
    <row r="2827" ht="16" customFormat="1" customHeight="1" s="291">
      <c r="A2827" s="1641" t="inlineStr">
        <is>
          <t>Please select</t>
        </is>
      </c>
      <c r="B2827" s="1642" t="inlineStr">
        <is>
          <t>Lagoon</t>
        </is>
      </c>
      <c r="C2827" s="1642" t="inlineStr">
        <is>
          <t>Liquid/slurry</t>
        </is>
      </c>
      <c r="D2827" s="1642" t="inlineStr">
        <is>
          <t>Solid storage</t>
        </is>
      </c>
      <c r="E2827" s="1642" t="inlineStr">
        <is>
          <t>Dry lot</t>
        </is>
      </c>
      <c r="F2827" s="1642" t="inlineStr">
        <is>
          <t>Pasture/Range/Paddock</t>
        </is>
      </c>
      <c r="G2827" s="1642" t="inlineStr">
        <is>
          <t>Daily spread</t>
        </is>
      </c>
      <c r="H2827" s="1642" t="inlineStr">
        <is>
          <t>Digester</t>
        </is>
      </c>
      <c r="I2827" s="1642" t="inlineStr">
        <is>
          <t>Burned for fuel</t>
        </is>
      </c>
      <c r="J2827" s="1642" t="inlineStr">
        <is>
          <t>Pit&lt;1Month</t>
        </is>
      </c>
      <c r="K2827" s="1642" t="inlineStr">
        <is>
          <t>Pit&gt;1 month</t>
        </is>
      </c>
      <c r="L2827" s="1642" t="inlineStr">
        <is>
          <t>Poultry manure</t>
        </is>
      </c>
      <c r="M2827" s="291" t="inlineStr">
        <is>
          <t>Deep bedding</t>
        </is>
      </c>
      <c r="N2827" s="2156" t="inlineStr">
        <is>
          <t>Composting</t>
        </is>
      </c>
      <c r="O2827" s="2156" t="inlineStr">
        <is>
          <t>Aerobic treatment</t>
        </is>
      </c>
      <c r="P2827" s="1658" t="inlineStr">
        <is>
          <t>Other (pls. go Tier 2)</t>
        </is>
      </c>
      <c r="Q2827" s="453" t="n"/>
      <c r="R2827" s="453" t="n"/>
      <c r="S2827" s="453" t="n"/>
      <c r="T2827" s="453" t="n"/>
      <c r="U2827" s="453" t="n"/>
      <c r="V2827" s="453" t="n"/>
      <c r="W2827" s="21" t="n"/>
      <c r="X2827" s="21" t="n"/>
    </row>
    <row r="2828" ht="16" customFormat="1" customHeight="1" s="1093">
      <c r="A2828" s="523" t="inlineStr">
        <is>
          <t>Climate zone</t>
        </is>
      </c>
      <c r="B2828" s="1636" t="inlineStr">
        <is>
          <t>gCH4/kg Vs</t>
        </is>
      </c>
      <c r="C2828" s="1636" t="inlineStr">
        <is>
          <t>gCH4/kg Vs</t>
        </is>
      </c>
      <c r="D2828" s="1636" t="inlineStr">
        <is>
          <t>gCH4/kg Vs</t>
        </is>
      </c>
      <c r="E2828" s="1636" t="inlineStr">
        <is>
          <t>gCH4/kg Vs</t>
        </is>
      </c>
      <c r="F2828" s="1636" t="inlineStr">
        <is>
          <t>gCH4/kg Vs</t>
        </is>
      </c>
      <c r="G2828" s="1636" t="inlineStr">
        <is>
          <t>gCH4/kg Vs</t>
        </is>
      </c>
      <c r="H2828" s="1636" t="inlineStr">
        <is>
          <t>gCH4/kg Vs</t>
        </is>
      </c>
      <c r="I2828" s="1636" t="inlineStr">
        <is>
          <t>gCH4/kg Vs</t>
        </is>
      </c>
      <c r="J2828" s="1636" t="inlineStr">
        <is>
          <t>gCH4/kg Vs</t>
        </is>
      </c>
      <c r="K2828" s="1636" t="inlineStr">
        <is>
          <t>gCH4/kg Vs</t>
        </is>
      </c>
      <c r="L2828" s="1631" t="inlineStr">
        <is>
          <t>gCH4/kg Vs</t>
        </is>
      </c>
      <c r="M2828" s="1631" t="inlineStr">
        <is>
          <t>gCH4/kg Vs</t>
        </is>
      </c>
      <c r="N2828" s="732" t="inlineStr">
        <is>
          <t>gCH4/kg Vs</t>
        </is>
      </c>
      <c r="O2828" s="732" t="inlineStr">
        <is>
          <t>gCH4/kg Vs</t>
        </is>
      </c>
      <c r="P2828" s="732" t="n"/>
      <c r="Q2828" s="1092" t="n"/>
      <c r="R2828" s="1092" t="n"/>
      <c r="S2828" s="1092" t="n"/>
      <c r="T2828" s="1092" t="n"/>
      <c r="U2828" s="1092" t="n"/>
      <c r="V2828" s="1092" t="n"/>
    </row>
    <row r="2829" customFormat="1" s="21">
      <c r="A2829" s="410" t="inlineStr">
        <is>
          <t>Cool Temperate Moist</t>
        </is>
      </c>
      <c r="B2829" s="470" t="n">
        <v>2.4</v>
      </c>
      <c r="C2829" s="470" t="n">
        <v>2.4</v>
      </c>
      <c r="D2829" s="470" t="n">
        <v>2.4</v>
      </c>
      <c r="E2829" s="470" t="n">
        <v>2.4</v>
      </c>
      <c r="F2829" s="470" t="n">
        <v>0.6</v>
      </c>
      <c r="G2829" s="470" t="n">
        <v>2.4</v>
      </c>
      <c r="H2829" s="470" t="n">
        <v>2.4</v>
      </c>
      <c r="I2829" s="470" t="n">
        <v>2.4</v>
      </c>
      <c r="J2829" s="470" t="n">
        <v>2.4</v>
      </c>
      <c r="K2829" s="470" t="n">
        <v>2.4</v>
      </c>
      <c r="L2829" s="470" t="n">
        <v>2.4</v>
      </c>
      <c r="M2829" s="470" t="n">
        <v>0</v>
      </c>
      <c r="N2829" s="470" t="n">
        <v>0</v>
      </c>
      <c r="O2829" s="470" t="n">
        <v>0</v>
      </c>
      <c r="P2829" s="467" t="n"/>
      <c r="Q2829" s="453" t="n"/>
      <c r="R2829" s="453" t="n"/>
      <c r="S2829" s="453" t="n"/>
      <c r="T2829" s="453" t="n"/>
      <c r="U2829" s="453" t="n"/>
      <c r="V2829" s="453" t="n"/>
    </row>
    <row r="2830" customFormat="1" s="21">
      <c r="A2830" s="411" t="inlineStr">
        <is>
          <t>Cool Temperate Dry</t>
        </is>
      </c>
      <c r="B2830" s="467" t="n">
        <v>2.4</v>
      </c>
      <c r="C2830" s="467" t="n">
        <v>2.4</v>
      </c>
      <c r="D2830" s="467" t="n">
        <v>2.4</v>
      </c>
      <c r="E2830" s="467" t="n">
        <v>2.4</v>
      </c>
      <c r="F2830" s="467" t="n">
        <v>0.6</v>
      </c>
      <c r="G2830" s="467" t="n">
        <v>2.4</v>
      </c>
      <c r="H2830" s="467" t="n">
        <v>2.4</v>
      </c>
      <c r="I2830" s="467" t="n">
        <v>2.4</v>
      </c>
      <c r="J2830" s="467" t="n">
        <v>2.4</v>
      </c>
      <c r="K2830" s="467" t="n">
        <v>2.4</v>
      </c>
      <c r="L2830" s="467" t="n">
        <v>2.4</v>
      </c>
      <c r="M2830" s="467" t="n">
        <v>0</v>
      </c>
      <c r="N2830" s="467" t="n">
        <v>0</v>
      </c>
      <c r="O2830" s="467" t="n">
        <v>0</v>
      </c>
      <c r="P2830" s="467" t="n"/>
      <c r="Q2830" s="453" t="n"/>
      <c r="R2830" s="453" t="n"/>
      <c r="S2830" s="453" t="n"/>
      <c r="T2830" s="453" t="n"/>
      <c r="U2830" s="453" t="n"/>
      <c r="V2830" s="453" t="n"/>
    </row>
    <row r="2831" customFormat="1" s="21">
      <c r="A2831" s="411" t="inlineStr">
        <is>
          <t>Boreal Moist</t>
        </is>
      </c>
      <c r="B2831" s="467" t="n">
        <v>2.4</v>
      </c>
      <c r="C2831" s="467" t="n">
        <v>2.4</v>
      </c>
      <c r="D2831" s="467" t="n">
        <v>2.4</v>
      </c>
      <c r="E2831" s="467" t="n">
        <v>2.4</v>
      </c>
      <c r="F2831" s="467" t="n">
        <v>0.6</v>
      </c>
      <c r="G2831" s="467" t="n">
        <v>2.4</v>
      </c>
      <c r="H2831" s="467" t="n">
        <v>2.4</v>
      </c>
      <c r="I2831" s="467" t="n">
        <v>2.4</v>
      </c>
      <c r="J2831" s="467" t="n">
        <v>2.4</v>
      </c>
      <c r="K2831" s="467" t="n">
        <v>2.4</v>
      </c>
      <c r="L2831" s="467" t="n">
        <v>2.4</v>
      </c>
      <c r="M2831" s="467" t="n">
        <v>0</v>
      </c>
      <c r="N2831" s="467" t="n">
        <v>0</v>
      </c>
      <c r="O2831" s="467" t="n">
        <v>0</v>
      </c>
      <c r="P2831" s="467" t="n"/>
      <c r="Q2831" s="453" t="n"/>
      <c r="R2831" s="453" t="n"/>
      <c r="S2831" s="453" t="n"/>
      <c r="T2831" s="453" t="n"/>
      <c r="U2831" s="453" t="n"/>
      <c r="V2831" s="453" t="n"/>
    </row>
    <row r="2832" customFormat="1" s="21">
      <c r="A2832" s="411" t="inlineStr">
        <is>
          <t>Boreal Dry</t>
        </is>
      </c>
      <c r="B2832" s="467" t="n">
        <v>2.4</v>
      </c>
      <c r="C2832" s="467" t="n">
        <v>2.4</v>
      </c>
      <c r="D2832" s="467" t="n">
        <v>2.4</v>
      </c>
      <c r="E2832" s="467" t="n">
        <v>2.4</v>
      </c>
      <c r="F2832" s="467" t="n">
        <v>0.6</v>
      </c>
      <c r="G2832" s="467" t="n">
        <v>2.4</v>
      </c>
      <c r="H2832" s="467" t="n">
        <v>2.4</v>
      </c>
      <c r="I2832" s="467" t="n">
        <v>2.4</v>
      </c>
      <c r="J2832" s="467" t="n">
        <v>2.4</v>
      </c>
      <c r="K2832" s="467" t="n">
        <v>2.4</v>
      </c>
      <c r="L2832" s="467" t="n">
        <v>2.4</v>
      </c>
      <c r="M2832" s="467" t="n">
        <v>0</v>
      </c>
      <c r="N2832" s="467" t="n">
        <v>0</v>
      </c>
      <c r="O2832" s="467" t="n">
        <v>0</v>
      </c>
      <c r="P2832" s="467" t="n"/>
      <c r="Q2832" s="453" t="n"/>
      <c r="R2832" s="453" t="n"/>
      <c r="S2832" s="453" t="n"/>
      <c r="T2832" s="453" t="n"/>
      <c r="U2832" s="453" t="n"/>
      <c r="V2832" s="453" t="n"/>
    </row>
    <row r="2833" customFormat="1" s="21">
      <c r="A2833" s="411" t="inlineStr">
        <is>
          <t>Warm Temperate Moist</t>
        </is>
      </c>
      <c r="B2833" s="467" t="n">
        <v>2.4</v>
      </c>
      <c r="C2833" s="467" t="n">
        <v>2.4</v>
      </c>
      <c r="D2833" s="467" t="n">
        <v>2.4</v>
      </c>
      <c r="E2833" s="467" t="n">
        <v>2.4</v>
      </c>
      <c r="F2833" s="467" t="n">
        <v>0.6</v>
      </c>
      <c r="G2833" s="467" t="n">
        <v>2.4</v>
      </c>
      <c r="H2833" s="467" t="n">
        <v>2.4</v>
      </c>
      <c r="I2833" s="467" t="n">
        <v>2.4</v>
      </c>
      <c r="J2833" s="467" t="n">
        <v>2.4</v>
      </c>
      <c r="K2833" s="467" t="n">
        <v>2.4</v>
      </c>
      <c r="L2833" s="467" t="n">
        <v>2.4</v>
      </c>
      <c r="M2833" s="467" t="n">
        <v>0</v>
      </c>
      <c r="N2833" s="467" t="n">
        <v>0</v>
      </c>
      <c r="O2833" s="467" t="n">
        <v>0</v>
      </c>
      <c r="P2833" s="467" t="n"/>
      <c r="Q2833" s="453" t="n"/>
      <c r="R2833" s="453" t="n"/>
      <c r="S2833" s="453" t="n"/>
      <c r="T2833" s="453" t="n"/>
      <c r="U2833" s="453" t="n"/>
      <c r="V2833" s="453" t="n"/>
    </row>
    <row r="2834" customFormat="1" s="21">
      <c r="A2834" s="411" t="inlineStr">
        <is>
          <t>Warm Temperate Dry</t>
        </is>
      </c>
      <c r="B2834" s="467" t="n">
        <v>2.4</v>
      </c>
      <c r="C2834" s="467" t="n">
        <v>2.4</v>
      </c>
      <c r="D2834" s="467" t="n">
        <v>2.4</v>
      </c>
      <c r="E2834" s="467" t="n">
        <v>2.4</v>
      </c>
      <c r="F2834" s="467" t="n">
        <v>0.6</v>
      </c>
      <c r="G2834" s="467" t="n">
        <v>2.4</v>
      </c>
      <c r="H2834" s="467" t="n">
        <v>2.4</v>
      </c>
      <c r="I2834" s="467" t="n">
        <v>2.4</v>
      </c>
      <c r="J2834" s="467" t="n">
        <v>2.4</v>
      </c>
      <c r="K2834" s="467" t="n">
        <v>2.4</v>
      </c>
      <c r="L2834" s="467" t="n">
        <v>2.4</v>
      </c>
      <c r="M2834" s="467" t="n">
        <v>0</v>
      </c>
      <c r="N2834" s="467" t="n">
        <v>0</v>
      </c>
      <c r="O2834" s="467" t="n">
        <v>0</v>
      </c>
      <c r="P2834" s="467" t="n"/>
      <c r="Q2834" s="453" t="n"/>
      <c r="R2834" s="453" t="n"/>
      <c r="S2834" s="453" t="n"/>
      <c r="T2834" s="453" t="n"/>
      <c r="U2834" s="453" t="n"/>
      <c r="V2834" s="453" t="n"/>
    </row>
    <row r="2835" customFormat="1" s="21">
      <c r="A2835" s="411" t="inlineStr">
        <is>
          <t>Tropical Montane</t>
        </is>
      </c>
      <c r="B2835" s="467" t="n">
        <v>2.4</v>
      </c>
      <c r="C2835" s="467" t="n">
        <v>2.4</v>
      </c>
      <c r="D2835" s="467" t="n">
        <v>2.4</v>
      </c>
      <c r="E2835" s="467" t="n">
        <v>2.4</v>
      </c>
      <c r="F2835" s="467" t="n">
        <v>0.6</v>
      </c>
      <c r="G2835" s="467" t="n">
        <v>2.4</v>
      </c>
      <c r="H2835" s="467" t="n">
        <v>2.4</v>
      </c>
      <c r="I2835" s="467" t="n">
        <v>2.4</v>
      </c>
      <c r="J2835" s="467" t="n">
        <v>2.4</v>
      </c>
      <c r="K2835" s="467" t="n">
        <v>2.4</v>
      </c>
      <c r="L2835" s="467" t="n">
        <v>2.4</v>
      </c>
      <c r="M2835" s="467" t="n">
        <v>0</v>
      </c>
      <c r="N2835" s="467" t="n">
        <v>0</v>
      </c>
      <c r="O2835" s="467" t="n">
        <v>0</v>
      </c>
      <c r="P2835" s="467" t="n"/>
      <c r="Q2835" s="453" t="n"/>
      <c r="R2835" s="453" t="n"/>
      <c r="S2835" s="453" t="n"/>
      <c r="T2835" s="453" t="n"/>
      <c r="U2835" s="453" t="n"/>
      <c r="V2835" s="453" t="n"/>
    </row>
    <row r="2836" customFormat="1" s="21">
      <c r="A2836" s="411" t="inlineStr">
        <is>
          <t>Tropical Wet</t>
        </is>
      </c>
      <c r="B2836" s="467" t="n">
        <v>2.4</v>
      </c>
      <c r="C2836" s="467" t="n">
        <v>2.4</v>
      </c>
      <c r="D2836" s="467" t="n">
        <v>2.4</v>
      </c>
      <c r="E2836" s="467" t="n">
        <v>2.4</v>
      </c>
      <c r="F2836" s="467" t="n">
        <v>0.6</v>
      </c>
      <c r="G2836" s="467" t="n">
        <v>2.4</v>
      </c>
      <c r="H2836" s="467" t="n">
        <v>2.4</v>
      </c>
      <c r="I2836" s="467" t="n">
        <v>2.4</v>
      </c>
      <c r="J2836" s="467" t="n">
        <v>2.4</v>
      </c>
      <c r="K2836" s="467" t="n">
        <v>2.4</v>
      </c>
      <c r="L2836" s="467" t="n">
        <v>2.4</v>
      </c>
      <c r="M2836" s="467" t="n">
        <v>0</v>
      </c>
      <c r="N2836" s="467" t="n">
        <v>0</v>
      </c>
      <c r="O2836" s="467" t="n">
        <v>0</v>
      </c>
      <c r="P2836" s="467" t="n"/>
    </row>
    <row r="2837" customFormat="1" s="453">
      <c r="A2837" s="411" t="inlineStr">
        <is>
          <t>Tropical Moist</t>
        </is>
      </c>
      <c r="B2837" s="467" t="n">
        <v>2.4</v>
      </c>
      <c r="C2837" s="467" t="n">
        <v>2.4</v>
      </c>
      <c r="D2837" s="467" t="n">
        <v>2.4</v>
      </c>
      <c r="E2837" s="467" t="n">
        <v>2.4</v>
      </c>
      <c r="F2837" s="467" t="n">
        <v>0.6</v>
      </c>
      <c r="G2837" s="467" t="n">
        <v>2.4</v>
      </c>
      <c r="H2837" s="467" t="n">
        <v>2.4</v>
      </c>
      <c r="I2837" s="467" t="n">
        <v>2.4</v>
      </c>
      <c r="J2837" s="467" t="n">
        <v>2.4</v>
      </c>
      <c r="K2837" s="467" t="n">
        <v>2.4</v>
      </c>
      <c r="L2837" s="467" t="n">
        <v>2.4</v>
      </c>
      <c r="M2837" s="467" t="n">
        <v>0</v>
      </c>
      <c r="N2837" s="467" t="n">
        <v>0</v>
      </c>
      <c r="O2837" s="467" t="n">
        <v>0</v>
      </c>
      <c r="P2837" s="467" t="n"/>
    </row>
    <row r="2838" customFormat="1" s="453">
      <c r="A2838" s="411" t="inlineStr">
        <is>
          <t>Tropical Dry</t>
        </is>
      </c>
      <c r="B2838" s="467" t="n">
        <v>2.4</v>
      </c>
      <c r="C2838" s="467" t="n">
        <v>2.4</v>
      </c>
      <c r="D2838" s="467" t="n">
        <v>2.4</v>
      </c>
      <c r="E2838" s="467" t="n">
        <v>2.4</v>
      </c>
      <c r="F2838" s="467" t="n">
        <v>0.6</v>
      </c>
      <c r="G2838" s="467" t="n">
        <v>2.4</v>
      </c>
      <c r="H2838" s="467" t="n">
        <v>2.4</v>
      </c>
      <c r="I2838" s="467" t="n">
        <v>2.4</v>
      </c>
      <c r="J2838" s="467" t="n">
        <v>2.4</v>
      </c>
      <c r="K2838" s="467" t="n">
        <v>2.4</v>
      </c>
      <c r="L2838" s="467" t="n">
        <v>2.4</v>
      </c>
      <c r="M2838" s="654" t="n">
        <v>0</v>
      </c>
      <c r="N2838" s="654" t="n">
        <v>0</v>
      </c>
      <c r="O2838" s="654" t="n">
        <v>0</v>
      </c>
      <c r="P2838" s="467" t="n"/>
    </row>
    <row r="2839" customFormat="1" s="535">
      <c r="A2839" s="518" t="inlineStr">
        <is>
          <t>Notes :  Liquid slurry and pit&gt;1 month identic</t>
        </is>
      </c>
      <c r="F2839" s="1624" t="n"/>
      <c r="G2839" s="1624" t="n"/>
      <c r="H2839" s="1624" t="n"/>
      <c r="I2839" s="1624" t="n"/>
      <c r="J2839" s="1624" t="n"/>
      <c r="K2839" s="1624" t="n"/>
      <c r="L2839" s="1624" t="n"/>
      <c r="M2839" s="1624" t="n"/>
      <c r="N2839" s="1624" t="n"/>
    </row>
    <row r="2840" customFormat="1" s="292"/>
    <row r="2842" ht="14.25" customFormat="1" customHeight="1" s="125">
      <c r="A2842" s="377" t="inlineStr">
        <is>
          <t>Emission factors CH4 manure management</t>
        </is>
      </c>
      <c r="D2842" s="1075" t="n"/>
      <c r="E2842" s="1075" t="n"/>
      <c r="F2842" s="1075" t="n"/>
      <c r="G2842" s="1075" t="n"/>
      <c r="H2842" s="1075" t="n"/>
      <c r="I2842" s="1075" t="n"/>
      <c r="L2842" s="1075" t="n"/>
    </row>
    <row r="2843" ht="16.25" customFormat="1" customHeight="1" s="773">
      <c r="A2843" s="753" t="inlineStr">
        <is>
          <t>Sheep HP</t>
        </is>
      </c>
      <c r="B2843" s="442" t="inlineStr">
        <is>
          <t>Table 10.14</t>
        </is>
      </c>
      <c r="C2843" s="442" t="inlineStr">
        <is>
          <t>Table 10.14</t>
        </is>
      </c>
      <c r="D2843" s="442" t="inlineStr">
        <is>
          <t>Table 10.14</t>
        </is>
      </c>
      <c r="E2843" s="442" t="inlineStr">
        <is>
          <t>Table 10.14</t>
        </is>
      </c>
      <c r="F2843" s="442" t="inlineStr">
        <is>
          <t>Table 10.14</t>
        </is>
      </c>
      <c r="G2843" s="442" t="inlineStr">
        <is>
          <t>Table 10.14</t>
        </is>
      </c>
      <c r="H2843" s="442" t="inlineStr">
        <is>
          <t>Table 10.14</t>
        </is>
      </c>
      <c r="I2843" s="442" t="inlineStr">
        <is>
          <t>Table 10.14</t>
        </is>
      </c>
      <c r="J2843" s="442" t="inlineStr">
        <is>
          <t>Table 10.14</t>
        </is>
      </c>
      <c r="K2843" s="442" t="inlineStr">
        <is>
          <t>Table 10.14</t>
        </is>
      </c>
      <c r="L2843" s="442" t="inlineStr">
        <is>
          <t>Table 10.14</t>
        </is>
      </c>
      <c r="M2843" s="442" t="inlineStr">
        <is>
          <t>Table 10.14</t>
        </is>
      </c>
      <c r="N2843" s="442" t="inlineStr">
        <is>
          <t>Table 10.14</t>
        </is>
      </c>
      <c r="O2843" s="442" t="inlineStr">
        <is>
          <t>Table 10.14</t>
        </is>
      </c>
      <c r="P2843" s="442" t="n"/>
      <c r="Q2843" s="442" t="n"/>
      <c r="R2843" s="442" t="n"/>
      <c r="S2843" s="442" t="n"/>
      <c r="T2843" s="442" t="n"/>
      <c r="U2843" s="442" t="n"/>
      <c r="V2843" s="442" t="n"/>
    </row>
    <row r="2844" ht="16" customFormat="1" customHeight="1" s="291">
      <c r="A2844" s="1641" t="inlineStr">
        <is>
          <t>Please select</t>
        </is>
      </c>
      <c r="B2844" s="1642" t="inlineStr">
        <is>
          <t>Lagoon</t>
        </is>
      </c>
      <c r="C2844" s="1642" t="inlineStr">
        <is>
          <t>Liquid/slurry</t>
        </is>
      </c>
      <c r="D2844" s="1642" t="inlineStr">
        <is>
          <t>Solid storage</t>
        </is>
      </c>
      <c r="E2844" s="1642" t="inlineStr">
        <is>
          <t>Dry lot</t>
        </is>
      </c>
      <c r="F2844" s="1642" t="inlineStr">
        <is>
          <t>Pasture/Range/Paddock</t>
        </is>
      </c>
      <c r="G2844" s="1642" t="inlineStr">
        <is>
          <t>Daily spread</t>
        </is>
      </c>
      <c r="H2844" s="1642" t="inlineStr">
        <is>
          <t>Digester</t>
        </is>
      </c>
      <c r="I2844" s="1642" t="inlineStr">
        <is>
          <t>Burned for fuel</t>
        </is>
      </c>
      <c r="J2844" s="1642" t="inlineStr">
        <is>
          <t>Pit&lt;1Month</t>
        </is>
      </c>
      <c r="K2844" s="1642" t="inlineStr">
        <is>
          <t>Pit&gt;1 month</t>
        </is>
      </c>
      <c r="L2844" s="1642" t="inlineStr">
        <is>
          <t>Poultry manure</t>
        </is>
      </c>
      <c r="M2844" s="291" t="inlineStr">
        <is>
          <t>Deep bedding</t>
        </is>
      </c>
      <c r="N2844" s="2156" t="inlineStr">
        <is>
          <t>Composting</t>
        </is>
      </c>
      <c r="O2844" s="2156" t="inlineStr">
        <is>
          <t>Aerobic treatment</t>
        </is>
      </c>
      <c r="P2844" s="1658" t="inlineStr">
        <is>
          <t>Other (pls. go Tier 2)</t>
        </is>
      </c>
      <c r="Q2844" s="453" t="n"/>
      <c r="R2844" s="453" t="n"/>
      <c r="S2844" s="453" t="n"/>
      <c r="T2844" s="453" t="n"/>
      <c r="U2844" s="453" t="n"/>
      <c r="V2844" s="453" t="n"/>
      <c r="W2844" s="21" t="n"/>
      <c r="X2844" s="21" t="n"/>
    </row>
    <row r="2845" ht="16" customFormat="1" customHeight="1" s="1093">
      <c r="A2845" s="523" t="inlineStr">
        <is>
          <t>Climate zone</t>
        </is>
      </c>
      <c r="B2845" s="1636" t="inlineStr">
        <is>
          <t>gCH4/kg Vs</t>
        </is>
      </c>
      <c r="C2845" s="1636" t="inlineStr">
        <is>
          <t>gCH4/kg Vs</t>
        </is>
      </c>
      <c r="D2845" s="1636" t="inlineStr">
        <is>
          <t>gCH4/kg Vs</t>
        </is>
      </c>
      <c r="E2845" s="1636" t="inlineStr">
        <is>
          <t>gCH4/kg Vs</t>
        </is>
      </c>
      <c r="F2845" s="1636" t="inlineStr">
        <is>
          <t>gCH4/kg Vs</t>
        </is>
      </c>
      <c r="G2845" s="1636" t="inlineStr">
        <is>
          <t>gCH4/kg Vs</t>
        </is>
      </c>
      <c r="H2845" s="1636" t="inlineStr">
        <is>
          <t>gCH4/kg Vs</t>
        </is>
      </c>
      <c r="I2845" s="1636" t="inlineStr">
        <is>
          <t>gCH4/kg Vs</t>
        </is>
      </c>
      <c r="J2845" s="1636" t="inlineStr">
        <is>
          <t>gCH4/kg Vs</t>
        </is>
      </c>
      <c r="K2845" s="1636" t="inlineStr">
        <is>
          <t>gCH4/kg Vs</t>
        </is>
      </c>
      <c r="L2845" s="1631" t="inlineStr">
        <is>
          <t>gCH4/kg Vs</t>
        </is>
      </c>
      <c r="M2845" s="1631" t="inlineStr">
        <is>
          <t>gCH4/kg Vs</t>
        </is>
      </c>
      <c r="N2845" s="732" t="inlineStr">
        <is>
          <t>gCH4/kg Vs</t>
        </is>
      </c>
      <c r="O2845" s="732" t="inlineStr">
        <is>
          <t>gCH4/kg Vs</t>
        </is>
      </c>
      <c r="P2845" s="732" t="n"/>
      <c r="Q2845" s="1092" t="n"/>
      <c r="R2845" s="1092" t="n"/>
      <c r="S2845" s="1092" t="n"/>
      <c r="T2845" s="1092" t="n"/>
      <c r="U2845" s="1092" t="n"/>
      <c r="V2845" s="1092" t="n"/>
    </row>
    <row r="2846" customFormat="1" s="21">
      <c r="A2846" s="410" t="inlineStr">
        <is>
          <t>Cool Temperate Moist</t>
        </is>
      </c>
      <c r="B2846" s="470" t="n">
        <v>0</v>
      </c>
      <c r="C2846" s="470" t="n">
        <v>0</v>
      </c>
      <c r="D2846" s="470" t="n">
        <v>2.5</v>
      </c>
      <c r="E2846" s="470" t="n">
        <v>1.3</v>
      </c>
      <c r="F2846" s="470" t="n">
        <v>0.6</v>
      </c>
      <c r="G2846" s="470" t="n">
        <v>0</v>
      </c>
      <c r="H2846" s="470" t="n">
        <v>0</v>
      </c>
      <c r="I2846" s="470" t="n">
        <v>0</v>
      </c>
      <c r="J2846" s="470" t="n">
        <v>0</v>
      </c>
      <c r="K2846" s="470" t="n">
        <v>0</v>
      </c>
      <c r="L2846" s="1640" t="n">
        <v>0</v>
      </c>
      <c r="M2846" s="451" t="n">
        <v>0</v>
      </c>
      <c r="N2846" s="467" t="n">
        <v>0</v>
      </c>
      <c r="O2846" s="467" t="n">
        <v>0</v>
      </c>
      <c r="P2846" s="467" t="n"/>
      <c r="Q2846" s="453" t="n"/>
      <c r="R2846" s="453" t="n"/>
      <c r="S2846" s="453" t="n"/>
      <c r="T2846" s="453" t="n"/>
      <c r="U2846" s="453" t="n"/>
      <c r="V2846" s="453" t="n"/>
    </row>
    <row r="2847" customFormat="1" s="21">
      <c r="A2847" s="411" t="inlineStr">
        <is>
          <t>Cool Temperate Dry</t>
        </is>
      </c>
      <c r="B2847" s="467" t="n">
        <v>0</v>
      </c>
      <c r="C2847" s="467" t="n">
        <v>0</v>
      </c>
      <c r="D2847" s="467" t="n">
        <v>2.5</v>
      </c>
      <c r="E2847" s="467" t="n">
        <v>1.3</v>
      </c>
      <c r="F2847" s="467" t="n">
        <v>0.6</v>
      </c>
      <c r="G2847" s="467" t="n">
        <v>0</v>
      </c>
      <c r="H2847" s="467" t="n">
        <v>0</v>
      </c>
      <c r="I2847" s="467" t="n">
        <v>0</v>
      </c>
      <c r="J2847" s="467" t="n">
        <v>0</v>
      </c>
      <c r="K2847" s="467" t="n">
        <v>0</v>
      </c>
      <c r="L2847" s="451" t="n">
        <v>0</v>
      </c>
      <c r="M2847" s="451" t="n">
        <v>0</v>
      </c>
      <c r="N2847" s="467" t="n">
        <v>0</v>
      </c>
      <c r="O2847" s="467" t="n">
        <v>0</v>
      </c>
      <c r="P2847" s="467" t="n"/>
      <c r="Q2847" s="453" t="n"/>
      <c r="R2847" s="453" t="n"/>
      <c r="S2847" s="453" t="n"/>
      <c r="T2847" s="453" t="n"/>
      <c r="U2847" s="453" t="n"/>
      <c r="V2847" s="453" t="n"/>
    </row>
    <row r="2848" customFormat="1" s="21">
      <c r="A2848" s="411" t="inlineStr">
        <is>
          <t>Boreal Moist</t>
        </is>
      </c>
      <c r="B2848" s="467" t="n">
        <v>0</v>
      </c>
      <c r="C2848" s="467" t="n">
        <v>0</v>
      </c>
      <c r="D2848" s="467" t="n">
        <v>2.5</v>
      </c>
      <c r="E2848" s="467" t="n">
        <v>1.3</v>
      </c>
      <c r="F2848" s="467" t="n">
        <v>0.6</v>
      </c>
      <c r="G2848" s="467" t="n">
        <v>0</v>
      </c>
      <c r="H2848" s="467" t="n">
        <v>0</v>
      </c>
      <c r="I2848" s="467" t="n">
        <v>0</v>
      </c>
      <c r="J2848" s="467" t="n">
        <v>0</v>
      </c>
      <c r="K2848" s="467" t="n">
        <v>0</v>
      </c>
      <c r="L2848" s="468" t="n">
        <v>0</v>
      </c>
      <c r="M2848" s="451" t="n">
        <v>0</v>
      </c>
      <c r="N2848" s="467" t="n">
        <v>0</v>
      </c>
      <c r="O2848" s="467" t="n">
        <v>0</v>
      </c>
      <c r="P2848" s="467" t="n"/>
      <c r="Q2848" s="453" t="n"/>
      <c r="R2848" s="453" t="n"/>
      <c r="S2848" s="453" t="n"/>
      <c r="T2848" s="453" t="n"/>
      <c r="U2848" s="453" t="n"/>
      <c r="V2848" s="453" t="n"/>
    </row>
    <row r="2849" customFormat="1" s="21">
      <c r="A2849" s="411" t="inlineStr">
        <is>
          <t>Boreal Dry</t>
        </is>
      </c>
      <c r="B2849" s="467" t="n">
        <v>0</v>
      </c>
      <c r="C2849" s="467" t="n">
        <v>0</v>
      </c>
      <c r="D2849" s="467" t="n">
        <v>2.5</v>
      </c>
      <c r="E2849" s="467" t="n">
        <v>1.3</v>
      </c>
      <c r="F2849" s="467" t="n">
        <v>0.6</v>
      </c>
      <c r="G2849" s="467" t="n">
        <v>0</v>
      </c>
      <c r="H2849" s="467" t="n">
        <v>0</v>
      </c>
      <c r="I2849" s="467" t="n">
        <v>0</v>
      </c>
      <c r="J2849" s="467" t="n">
        <v>0</v>
      </c>
      <c r="K2849" s="467" t="n">
        <v>0</v>
      </c>
      <c r="L2849" s="451" t="n">
        <v>0</v>
      </c>
      <c r="M2849" s="451" t="n">
        <v>0</v>
      </c>
      <c r="N2849" s="467" t="n">
        <v>0</v>
      </c>
      <c r="O2849" s="467" t="n">
        <v>0</v>
      </c>
      <c r="P2849" s="467" t="n"/>
      <c r="Q2849" s="453" t="n"/>
      <c r="R2849" s="453" t="n"/>
      <c r="S2849" s="453" t="n"/>
      <c r="T2849" s="453" t="n"/>
      <c r="U2849" s="453" t="n"/>
      <c r="V2849" s="453" t="n"/>
    </row>
    <row r="2850" customFormat="1" s="21">
      <c r="A2850" s="411" t="inlineStr">
        <is>
          <t>Warm Temperate Moist</t>
        </is>
      </c>
      <c r="B2850" s="467" t="n">
        <v>0</v>
      </c>
      <c r="C2850" s="467" t="n">
        <v>0</v>
      </c>
      <c r="D2850" s="467" t="n">
        <v>5.1</v>
      </c>
      <c r="E2850" s="467" t="n">
        <v>1.9</v>
      </c>
      <c r="F2850" s="467" t="n">
        <v>0.6</v>
      </c>
      <c r="G2850" s="467" t="n">
        <v>0</v>
      </c>
      <c r="H2850" s="467" t="n">
        <v>0</v>
      </c>
      <c r="I2850" s="467" t="n">
        <v>0</v>
      </c>
      <c r="J2850" s="467" t="n">
        <v>0</v>
      </c>
      <c r="K2850" s="467" t="n">
        <v>0</v>
      </c>
      <c r="L2850" s="451" t="n">
        <v>0</v>
      </c>
      <c r="M2850" s="451" t="n">
        <v>0</v>
      </c>
      <c r="N2850" s="467" t="n">
        <v>0</v>
      </c>
      <c r="O2850" s="467" t="n">
        <v>0</v>
      </c>
      <c r="P2850" s="467" t="n"/>
      <c r="Q2850" s="453" t="n"/>
      <c r="R2850" s="453" t="n"/>
      <c r="S2850" s="453" t="n"/>
      <c r="T2850" s="453" t="n"/>
      <c r="U2850" s="453" t="n"/>
      <c r="V2850" s="453" t="n"/>
    </row>
    <row r="2851" customFormat="1" s="21">
      <c r="A2851" s="411" t="inlineStr">
        <is>
          <t>Warm Temperate Dry</t>
        </is>
      </c>
      <c r="B2851" s="467" t="n">
        <v>0</v>
      </c>
      <c r="C2851" s="467" t="n">
        <v>0</v>
      </c>
      <c r="D2851" s="467" t="n">
        <v>5.1</v>
      </c>
      <c r="E2851" s="467" t="n">
        <v>1.9</v>
      </c>
      <c r="F2851" s="467" t="n">
        <v>0.6</v>
      </c>
      <c r="G2851" s="467" t="n">
        <v>0</v>
      </c>
      <c r="H2851" s="467" t="n">
        <v>0</v>
      </c>
      <c r="I2851" s="467" t="n">
        <v>0</v>
      </c>
      <c r="J2851" s="467" t="n">
        <v>0</v>
      </c>
      <c r="K2851" s="467" t="n">
        <v>0</v>
      </c>
      <c r="L2851" s="451" t="n">
        <v>0</v>
      </c>
      <c r="M2851" s="451" t="n">
        <v>0</v>
      </c>
      <c r="N2851" s="467" t="n">
        <v>0</v>
      </c>
      <c r="O2851" s="467" t="n">
        <v>0</v>
      </c>
      <c r="P2851" s="467" t="n"/>
      <c r="Q2851" s="453" t="n"/>
      <c r="R2851" s="453" t="n"/>
      <c r="S2851" s="453" t="n"/>
      <c r="T2851" s="453" t="n"/>
      <c r="U2851" s="453" t="n"/>
      <c r="V2851" s="453" t="n"/>
    </row>
    <row r="2852" customFormat="1" s="21">
      <c r="A2852" s="411" t="inlineStr">
        <is>
          <t>Tropical Montane</t>
        </is>
      </c>
      <c r="B2852" s="467" t="n">
        <v>0</v>
      </c>
      <c r="C2852" s="467" t="n">
        <v>0</v>
      </c>
      <c r="D2852" s="467" t="n">
        <v>6.4</v>
      </c>
      <c r="E2852" s="467" t="n">
        <v>2.5</v>
      </c>
      <c r="F2852" s="467" t="n">
        <v>0.6</v>
      </c>
      <c r="G2852" s="467" t="n">
        <v>0</v>
      </c>
      <c r="H2852" s="467" t="n">
        <v>0</v>
      </c>
      <c r="I2852" s="467" t="n">
        <v>0</v>
      </c>
      <c r="J2852" s="467" t="n">
        <v>0</v>
      </c>
      <c r="K2852" s="467" t="n">
        <v>0</v>
      </c>
      <c r="L2852" s="451" t="n">
        <v>0</v>
      </c>
      <c r="M2852" s="451" t="n">
        <v>0</v>
      </c>
      <c r="N2852" s="467" t="n">
        <v>0</v>
      </c>
      <c r="O2852" s="467" t="n">
        <v>0</v>
      </c>
      <c r="P2852" s="467" t="n"/>
      <c r="Q2852" s="453" t="n"/>
      <c r="R2852" s="453" t="n"/>
      <c r="S2852" s="453" t="n"/>
      <c r="T2852" s="453" t="n"/>
      <c r="U2852" s="453" t="n"/>
      <c r="V2852" s="453" t="n"/>
    </row>
    <row r="2853" customFormat="1" s="21">
      <c r="A2853" s="411" t="inlineStr">
        <is>
          <t>Tropical Wet</t>
        </is>
      </c>
      <c r="B2853" s="467" t="n">
        <v>0</v>
      </c>
      <c r="C2853" s="467" t="n">
        <v>0</v>
      </c>
      <c r="D2853" s="467" t="n">
        <v>6.4</v>
      </c>
      <c r="E2853" s="467" t="n">
        <v>2.5</v>
      </c>
      <c r="F2853" s="467" t="n">
        <v>0.6</v>
      </c>
      <c r="G2853" s="467" t="n">
        <v>0</v>
      </c>
      <c r="H2853" s="467" t="n">
        <v>0</v>
      </c>
      <c r="I2853" s="467" t="n">
        <v>0</v>
      </c>
      <c r="J2853" s="467" t="n">
        <v>0</v>
      </c>
      <c r="K2853" s="467" t="n">
        <v>0</v>
      </c>
      <c r="L2853" s="468" t="n">
        <v>0</v>
      </c>
      <c r="M2853" s="451" t="n">
        <v>0</v>
      </c>
      <c r="N2853" s="467" t="n">
        <v>0</v>
      </c>
      <c r="O2853" s="467" t="n">
        <v>0</v>
      </c>
      <c r="P2853" s="467" t="n"/>
    </row>
    <row r="2854" customFormat="1" s="453">
      <c r="A2854" s="411" t="inlineStr">
        <is>
          <t>Tropical Moist</t>
        </is>
      </c>
      <c r="B2854" s="467" t="n">
        <v>0</v>
      </c>
      <c r="C2854" s="467" t="n">
        <v>0</v>
      </c>
      <c r="D2854" s="467" t="n">
        <v>6.4</v>
      </c>
      <c r="E2854" s="467" t="n">
        <v>2.5</v>
      </c>
      <c r="F2854" s="467" t="n">
        <v>0.6</v>
      </c>
      <c r="G2854" s="467" t="n">
        <v>0</v>
      </c>
      <c r="H2854" s="467" t="n">
        <v>0</v>
      </c>
      <c r="I2854" s="467" t="n">
        <v>0</v>
      </c>
      <c r="J2854" s="467" t="n">
        <v>0</v>
      </c>
      <c r="K2854" s="467" t="n">
        <v>0</v>
      </c>
      <c r="L2854" s="451" t="n">
        <v>0</v>
      </c>
      <c r="M2854" s="451" t="n">
        <v>0</v>
      </c>
      <c r="N2854" s="467" t="n">
        <v>0</v>
      </c>
      <c r="O2854" s="467" t="n">
        <v>0</v>
      </c>
      <c r="P2854" s="467" t="n"/>
    </row>
    <row r="2855" customFormat="1" s="453">
      <c r="A2855" s="411" t="inlineStr">
        <is>
          <t>Tropical Dry</t>
        </is>
      </c>
      <c r="B2855" s="467" t="n">
        <v>0</v>
      </c>
      <c r="C2855" s="467" t="n">
        <v>0</v>
      </c>
      <c r="D2855" s="467" t="n">
        <v>6.4</v>
      </c>
      <c r="E2855" s="467" t="n">
        <v>2.5</v>
      </c>
      <c r="F2855" s="467" t="n">
        <v>0.6</v>
      </c>
      <c r="G2855" s="467" t="n">
        <v>0</v>
      </c>
      <c r="H2855" s="467" t="n">
        <v>0</v>
      </c>
      <c r="I2855" s="467" t="n">
        <v>0</v>
      </c>
      <c r="J2855" s="467" t="n">
        <v>0</v>
      </c>
      <c r="K2855" s="467" t="n">
        <v>0</v>
      </c>
      <c r="L2855" s="468" t="n">
        <v>0</v>
      </c>
      <c r="M2855" s="451" t="n">
        <v>0</v>
      </c>
      <c r="N2855" s="467" t="n">
        <v>0</v>
      </c>
      <c r="O2855" s="467" t="n">
        <v>0</v>
      </c>
      <c r="P2855" s="467" t="n"/>
    </row>
    <row r="2856" customFormat="1" s="535">
      <c r="A2856" s="518" t="inlineStr">
        <is>
          <t xml:space="preserve">Notes :  </t>
        </is>
      </c>
      <c r="F2856" s="1624" t="n"/>
      <c r="G2856" s="1624" t="n"/>
      <c r="H2856" s="1624" t="n"/>
      <c r="I2856" s="1624" t="n"/>
      <c r="J2856" s="1624" t="n"/>
      <c r="K2856" s="1624" t="n"/>
      <c r="L2856" s="1624" t="n"/>
      <c r="M2856" s="1624" t="n"/>
      <c r="N2856" s="1624" t="n"/>
    </row>
    <row r="2857" customFormat="1" s="292"/>
    <row r="2859" ht="14.25" customFormat="1" customHeight="1" s="125">
      <c r="A2859" s="377" t="inlineStr">
        <is>
          <t>Emission factors CH4 manure management</t>
        </is>
      </c>
      <c r="D2859" s="1075" t="n"/>
      <c r="E2859" s="1075" t="n"/>
      <c r="F2859" s="1075" t="n"/>
      <c r="G2859" s="1075" t="n"/>
      <c r="H2859" s="1075" t="n"/>
      <c r="I2859" s="1075" t="n"/>
      <c r="L2859" s="1075" t="n"/>
    </row>
    <row r="2860" ht="16.25" customFormat="1" customHeight="1" s="773">
      <c r="A2860" s="753" t="inlineStr">
        <is>
          <t>Sheep LP</t>
        </is>
      </c>
      <c r="B2860" s="442" t="inlineStr">
        <is>
          <t>Table 10.14</t>
        </is>
      </c>
      <c r="C2860" s="442" t="inlineStr">
        <is>
          <t>Table 10.14</t>
        </is>
      </c>
      <c r="D2860" s="442" t="inlineStr">
        <is>
          <t>Table 10.14</t>
        </is>
      </c>
      <c r="E2860" s="442" t="inlineStr">
        <is>
          <t>Table 10.14</t>
        </is>
      </c>
      <c r="F2860" s="442" t="inlineStr">
        <is>
          <t>Table 10.14</t>
        </is>
      </c>
      <c r="G2860" s="442" t="inlineStr">
        <is>
          <t>Table 10.14</t>
        </is>
      </c>
      <c r="H2860" s="442" t="inlineStr">
        <is>
          <t>Table 10.14</t>
        </is>
      </c>
      <c r="I2860" s="442" t="inlineStr">
        <is>
          <t>Table 10.14</t>
        </is>
      </c>
      <c r="J2860" s="442" t="inlineStr">
        <is>
          <t>Table 10.14</t>
        </is>
      </c>
      <c r="K2860" s="442" t="inlineStr">
        <is>
          <t>Table 10.14</t>
        </is>
      </c>
      <c r="L2860" s="442" t="inlineStr">
        <is>
          <t>Table 10.14</t>
        </is>
      </c>
      <c r="M2860" s="442" t="inlineStr">
        <is>
          <t>Table 10.14</t>
        </is>
      </c>
      <c r="N2860" s="442" t="inlineStr">
        <is>
          <t>Table 10.14</t>
        </is>
      </c>
      <c r="O2860" s="442" t="inlineStr">
        <is>
          <t>Table 10.14</t>
        </is>
      </c>
      <c r="P2860" s="442" t="n"/>
      <c r="Q2860" s="442" t="n"/>
      <c r="R2860" s="442" t="n"/>
      <c r="S2860" s="442" t="n"/>
      <c r="T2860" s="442" t="n"/>
      <c r="U2860" s="442" t="n"/>
      <c r="V2860" s="442" t="n"/>
    </row>
    <row r="2861" ht="16" customFormat="1" customHeight="1" s="291">
      <c r="A2861" s="1641" t="inlineStr">
        <is>
          <t>Please select</t>
        </is>
      </c>
      <c r="B2861" s="1642" t="inlineStr">
        <is>
          <t>Lagoon</t>
        </is>
      </c>
      <c r="C2861" s="1642" t="inlineStr">
        <is>
          <t>Liquid/slurry</t>
        </is>
      </c>
      <c r="D2861" s="1642" t="inlineStr">
        <is>
          <t>Solid storage</t>
        </is>
      </c>
      <c r="E2861" s="1642" t="inlineStr">
        <is>
          <t>Dry lot</t>
        </is>
      </c>
      <c r="F2861" s="1642" t="inlineStr">
        <is>
          <t>Pasture/Range/Paddock</t>
        </is>
      </c>
      <c r="G2861" s="1642" t="inlineStr">
        <is>
          <t>Daily spread</t>
        </is>
      </c>
      <c r="H2861" s="1642" t="inlineStr">
        <is>
          <t>Digester</t>
        </is>
      </c>
      <c r="I2861" s="1642" t="inlineStr">
        <is>
          <t>Burned for fuel</t>
        </is>
      </c>
      <c r="J2861" s="1642" t="inlineStr">
        <is>
          <t>Pit&lt;1Month</t>
        </is>
      </c>
      <c r="K2861" s="1642" t="inlineStr">
        <is>
          <t>Pit&gt;1 month</t>
        </is>
      </c>
      <c r="L2861" s="1642" t="inlineStr">
        <is>
          <t>Poultry manure</t>
        </is>
      </c>
      <c r="M2861" s="291" t="inlineStr">
        <is>
          <t>Deep bedding</t>
        </is>
      </c>
      <c r="N2861" s="2156" t="inlineStr">
        <is>
          <t>Composting</t>
        </is>
      </c>
      <c r="O2861" s="2156" t="inlineStr">
        <is>
          <t>Aerobic treatment</t>
        </is>
      </c>
      <c r="P2861" s="1658" t="inlineStr">
        <is>
          <t>Other (pls. go Tier 2)</t>
        </is>
      </c>
      <c r="Q2861" s="453" t="n"/>
      <c r="R2861" s="453" t="n"/>
      <c r="S2861" s="453" t="n"/>
      <c r="T2861" s="453" t="n"/>
      <c r="U2861" s="453" t="n"/>
      <c r="V2861" s="453" t="n"/>
      <c r="W2861" s="21" t="n"/>
      <c r="X2861" s="21" t="n"/>
    </row>
    <row r="2862" ht="16" customFormat="1" customHeight="1" s="1093">
      <c r="A2862" s="523" t="inlineStr">
        <is>
          <t>Climate zone</t>
        </is>
      </c>
      <c r="B2862" s="1636" t="inlineStr">
        <is>
          <t>gCH4/kg Vs</t>
        </is>
      </c>
      <c r="C2862" s="1636" t="inlineStr">
        <is>
          <t>gCH4/kg Vs</t>
        </is>
      </c>
      <c r="D2862" s="1636" t="inlineStr">
        <is>
          <t>gCH4/kg Vs</t>
        </is>
      </c>
      <c r="E2862" s="1636" t="inlineStr">
        <is>
          <t>gCH4/kg Vs</t>
        </is>
      </c>
      <c r="F2862" s="1636" t="inlineStr">
        <is>
          <t>gCH4/kg Vs</t>
        </is>
      </c>
      <c r="G2862" s="1636" t="inlineStr">
        <is>
          <t>gCH4/kg Vs</t>
        </is>
      </c>
      <c r="H2862" s="1636" t="inlineStr">
        <is>
          <t>gCH4/kg Vs</t>
        </is>
      </c>
      <c r="I2862" s="1636" t="inlineStr">
        <is>
          <t>gCH4/kg Vs</t>
        </is>
      </c>
      <c r="J2862" s="1636" t="inlineStr">
        <is>
          <t>gCH4/kg Vs</t>
        </is>
      </c>
      <c r="K2862" s="1636" t="inlineStr">
        <is>
          <t>gCH4/kg Vs</t>
        </is>
      </c>
      <c r="L2862" s="1631" t="inlineStr">
        <is>
          <t>gCH4/kg Vs</t>
        </is>
      </c>
      <c r="M2862" s="1631" t="inlineStr">
        <is>
          <t>gCH4/kg Vs</t>
        </is>
      </c>
      <c r="N2862" s="732" t="inlineStr">
        <is>
          <t>gCH4/kg Vs</t>
        </is>
      </c>
      <c r="O2862" s="732" t="inlineStr">
        <is>
          <t>gCH4/kg Vs</t>
        </is>
      </c>
      <c r="P2862" s="732" t="n"/>
      <c r="Q2862" s="1092" t="n"/>
      <c r="R2862" s="1092" t="n"/>
      <c r="S2862" s="1092" t="n"/>
      <c r="T2862" s="1092" t="n"/>
      <c r="U2862" s="1092" t="n"/>
      <c r="V2862" s="1092" t="n"/>
    </row>
    <row r="2863" customFormat="1" s="21">
      <c r="A2863" s="410" t="inlineStr">
        <is>
          <t>Cool Temperate Moist</t>
        </is>
      </c>
      <c r="B2863" s="470" t="n">
        <v>0</v>
      </c>
      <c r="C2863" s="470" t="n">
        <v>0</v>
      </c>
      <c r="D2863" s="470" t="n">
        <v>1.7</v>
      </c>
      <c r="E2863" s="470" t="n">
        <v>0.9</v>
      </c>
      <c r="F2863" s="470" t="n">
        <v>0.6</v>
      </c>
      <c r="G2863" s="470" t="n">
        <v>0</v>
      </c>
      <c r="H2863" s="470" t="n">
        <v>0</v>
      </c>
      <c r="I2863" s="470" t="n">
        <v>0</v>
      </c>
      <c r="J2863" s="470" t="n">
        <v>0</v>
      </c>
      <c r="K2863" s="470" t="n">
        <v>0</v>
      </c>
      <c r="L2863" s="1640" t="n">
        <v>0</v>
      </c>
      <c r="M2863" s="451" t="n">
        <v>0</v>
      </c>
      <c r="N2863" s="467" t="n">
        <v>0</v>
      </c>
      <c r="O2863" s="467" t="n">
        <v>0</v>
      </c>
      <c r="P2863" s="467" t="n"/>
      <c r="Q2863" s="453" t="n"/>
      <c r="R2863" s="453" t="n"/>
      <c r="S2863" s="453" t="n"/>
      <c r="T2863" s="453" t="n"/>
      <c r="U2863" s="453" t="n"/>
      <c r="V2863" s="453" t="n"/>
    </row>
    <row r="2864" customFormat="1" s="21">
      <c r="A2864" s="411" t="inlineStr">
        <is>
          <t>Cool Temperate Dry</t>
        </is>
      </c>
      <c r="B2864" s="467" t="n">
        <v>0</v>
      </c>
      <c r="C2864" s="467" t="n">
        <v>0</v>
      </c>
      <c r="D2864" s="467" t="n">
        <v>1.7</v>
      </c>
      <c r="E2864" s="467" t="n">
        <v>0.9</v>
      </c>
      <c r="F2864" s="467" t="n">
        <v>0.6</v>
      </c>
      <c r="G2864" s="467" t="n">
        <v>0</v>
      </c>
      <c r="H2864" s="467" t="n">
        <v>0</v>
      </c>
      <c r="I2864" s="467" t="n">
        <v>0</v>
      </c>
      <c r="J2864" s="467" t="n">
        <v>0</v>
      </c>
      <c r="K2864" s="467" t="n">
        <v>0</v>
      </c>
      <c r="L2864" s="451" t="n">
        <v>0</v>
      </c>
      <c r="M2864" s="451" t="n">
        <v>0</v>
      </c>
      <c r="N2864" s="467" t="n">
        <v>0</v>
      </c>
      <c r="O2864" s="467" t="n">
        <v>0</v>
      </c>
      <c r="P2864" s="467" t="n"/>
      <c r="Q2864" s="453" t="n"/>
      <c r="R2864" s="453" t="n"/>
      <c r="S2864" s="453" t="n"/>
      <c r="T2864" s="453" t="n"/>
      <c r="U2864" s="453" t="n"/>
      <c r="V2864" s="453" t="n"/>
    </row>
    <row r="2865" customFormat="1" s="21">
      <c r="A2865" s="411" t="inlineStr">
        <is>
          <t>Boreal Moist</t>
        </is>
      </c>
      <c r="B2865" s="467" t="n">
        <v>0</v>
      </c>
      <c r="C2865" s="467" t="n">
        <v>0</v>
      </c>
      <c r="D2865" s="467" t="n">
        <v>1.7</v>
      </c>
      <c r="E2865" s="467" t="n">
        <v>0.9</v>
      </c>
      <c r="F2865" s="467" t="n">
        <v>0.6</v>
      </c>
      <c r="G2865" s="467" t="n">
        <v>0</v>
      </c>
      <c r="H2865" s="467" t="n">
        <v>0</v>
      </c>
      <c r="I2865" s="467" t="n">
        <v>0</v>
      </c>
      <c r="J2865" s="467" t="n">
        <v>0</v>
      </c>
      <c r="K2865" s="467" t="n">
        <v>0</v>
      </c>
      <c r="L2865" s="468" t="n">
        <v>0</v>
      </c>
      <c r="M2865" s="451" t="n">
        <v>0</v>
      </c>
      <c r="N2865" s="467" t="n">
        <v>0</v>
      </c>
      <c r="O2865" s="467" t="n">
        <v>0</v>
      </c>
      <c r="P2865" s="467" t="n"/>
      <c r="Q2865" s="453" t="n"/>
      <c r="R2865" s="453" t="n"/>
      <c r="S2865" s="453" t="n"/>
      <c r="T2865" s="453" t="n"/>
      <c r="U2865" s="453" t="n"/>
      <c r="V2865" s="453" t="n"/>
    </row>
    <row r="2866" customFormat="1" s="21">
      <c r="A2866" s="411" t="inlineStr">
        <is>
          <t>Boreal Dry</t>
        </is>
      </c>
      <c r="B2866" s="467" t="n">
        <v>0</v>
      </c>
      <c r="C2866" s="467" t="n">
        <v>0</v>
      </c>
      <c r="D2866" s="467" t="n">
        <v>1.7</v>
      </c>
      <c r="E2866" s="467" t="n">
        <v>0.9</v>
      </c>
      <c r="F2866" s="467" t="n">
        <v>0.6</v>
      </c>
      <c r="G2866" s="467" t="n">
        <v>0</v>
      </c>
      <c r="H2866" s="467" t="n">
        <v>0</v>
      </c>
      <c r="I2866" s="467" t="n">
        <v>0</v>
      </c>
      <c r="J2866" s="467" t="n">
        <v>0</v>
      </c>
      <c r="K2866" s="467" t="n">
        <v>0</v>
      </c>
      <c r="L2866" s="451" t="n">
        <v>0</v>
      </c>
      <c r="M2866" s="451" t="n">
        <v>0</v>
      </c>
      <c r="N2866" s="467" t="n">
        <v>0</v>
      </c>
      <c r="O2866" s="467" t="n">
        <v>0</v>
      </c>
      <c r="P2866" s="467" t="n"/>
      <c r="Q2866" s="453" t="n"/>
      <c r="R2866" s="453" t="n"/>
      <c r="S2866" s="453" t="n"/>
      <c r="T2866" s="453" t="n"/>
      <c r="U2866" s="453" t="n"/>
      <c r="V2866" s="453" t="n"/>
    </row>
    <row r="2867" customFormat="1" s="21">
      <c r="A2867" s="411" t="inlineStr">
        <is>
          <t>Warm Temperate Moist</t>
        </is>
      </c>
      <c r="B2867" s="467" t="n">
        <v>0</v>
      </c>
      <c r="C2867" s="467" t="n">
        <v>0</v>
      </c>
      <c r="D2867" s="467" t="n">
        <v>3.5</v>
      </c>
      <c r="E2867" s="467" t="n">
        <v>1.3</v>
      </c>
      <c r="F2867" s="467" t="n">
        <v>0.6</v>
      </c>
      <c r="G2867" s="467" t="n">
        <v>0</v>
      </c>
      <c r="H2867" s="467" t="n">
        <v>0</v>
      </c>
      <c r="I2867" s="467" t="n">
        <v>0</v>
      </c>
      <c r="J2867" s="467" t="n">
        <v>0</v>
      </c>
      <c r="K2867" s="467" t="n">
        <v>0</v>
      </c>
      <c r="L2867" s="451" t="n">
        <v>0</v>
      </c>
      <c r="M2867" s="451" t="n">
        <v>0</v>
      </c>
      <c r="N2867" s="467" t="n">
        <v>0</v>
      </c>
      <c r="O2867" s="467" t="n">
        <v>0</v>
      </c>
      <c r="P2867" s="467" t="n"/>
      <c r="Q2867" s="453" t="n"/>
      <c r="R2867" s="453" t="n"/>
      <c r="S2867" s="453" t="n"/>
      <c r="T2867" s="453" t="n"/>
      <c r="U2867" s="453" t="n"/>
      <c r="V2867" s="453" t="n"/>
    </row>
    <row r="2868" customFormat="1" s="21">
      <c r="A2868" s="411" t="inlineStr">
        <is>
          <t>Warm Temperate Dry</t>
        </is>
      </c>
      <c r="B2868" s="467" t="n">
        <v>0</v>
      </c>
      <c r="C2868" s="467" t="n">
        <v>0</v>
      </c>
      <c r="D2868" s="467" t="n">
        <v>3.5</v>
      </c>
      <c r="E2868" s="467" t="n">
        <v>1.3</v>
      </c>
      <c r="F2868" s="467" t="n">
        <v>0.6</v>
      </c>
      <c r="G2868" s="467" t="n">
        <v>0</v>
      </c>
      <c r="H2868" s="467" t="n">
        <v>0</v>
      </c>
      <c r="I2868" s="467" t="n">
        <v>0</v>
      </c>
      <c r="J2868" s="467" t="n">
        <v>0</v>
      </c>
      <c r="K2868" s="467" t="n">
        <v>0</v>
      </c>
      <c r="L2868" s="451" t="n">
        <v>0</v>
      </c>
      <c r="M2868" s="451" t="n">
        <v>0</v>
      </c>
      <c r="N2868" s="467" t="n">
        <v>0</v>
      </c>
      <c r="O2868" s="467" t="n">
        <v>0</v>
      </c>
      <c r="P2868" s="467" t="n"/>
      <c r="Q2868" s="453" t="n"/>
      <c r="R2868" s="453" t="n"/>
      <c r="S2868" s="453" t="n"/>
      <c r="T2868" s="453" t="n"/>
      <c r="U2868" s="453" t="n"/>
      <c r="V2868" s="453" t="n"/>
    </row>
    <row r="2869" customFormat="1" s="21">
      <c r="A2869" s="411" t="inlineStr">
        <is>
          <t>Tropical Montane</t>
        </is>
      </c>
      <c r="B2869" s="467" t="n">
        <v>0</v>
      </c>
      <c r="C2869" s="467" t="n">
        <v>0</v>
      </c>
      <c r="D2869" s="467" t="n">
        <v>4.4</v>
      </c>
      <c r="E2869" s="467" t="n">
        <v>1.7</v>
      </c>
      <c r="F2869" s="467" t="n">
        <v>0.6</v>
      </c>
      <c r="G2869" s="467" t="n">
        <v>0</v>
      </c>
      <c r="H2869" s="467" t="n">
        <v>0</v>
      </c>
      <c r="I2869" s="467" t="n">
        <v>0</v>
      </c>
      <c r="J2869" s="467" t="n">
        <v>0</v>
      </c>
      <c r="K2869" s="467" t="n">
        <v>0</v>
      </c>
      <c r="L2869" s="451" t="n">
        <v>0</v>
      </c>
      <c r="M2869" s="451" t="n">
        <v>0</v>
      </c>
      <c r="N2869" s="467" t="n">
        <v>0</v>
      </c>
      <c r="O2869" s="467" t="n">
        <v>0</v>
      </c>
      <c r="P2869" s="467" t="n"/>
      <c r="Q2869" s="453" t="n"/>
      <c r="R2869" s="453" t="n"/>
      <c r="S2869" s="453" t="n"/>
      <c r="T2869" s="453" t="n"/>
      <c r="U2869" s="453" t="n"/>
      <c r="V2869" s="453" t="n"/>
    </row>
    <row r="2870" customFormat="1" s="21">
      <c r="A2870" s="411" t="inlineStr">
        <is>
          <t>Tropical Wet</t>
        </is>
      </c>
      <c r="B2870" s="467" t="n">
        <v>0</v>
      </c>
      <c r="C2870" s="467" t="n">
        <v>0</v>
      </c>
      <c r="D2870" s="467" t="n">
        <v>4.4</v>
      </c>
      <c r="E2870" s="467" t="n">
        <v>1.7</v>
      </c>
      <c r="F2870" s="467" t="n">
        <v>0.6</v>
      </c>
      <c r="G2870" s="467" t="n">
        <v>0</v>
      </c>
      <c r="H2870" s="467" t="n">
        <v>0</v>
      </c>
      <c r="I2870" s="467" t="n">
        <v>0</v>
      </c>
      <c r="J2870" s="467" t="n">
        <v>0</v>
      </c>
      <c r="K2870" s="467" t="n">
        <v>0</v>
      </c>
      <c r="L2870" s="468" t="n">
        <v>0</v>
      </c>
      <c r="M2870" s="451" t="n">
        <v>0</v>
      </c>
      <c r="N2870" s="467" t="n">
        <v>0</v>
      </c>
      <c r="O2870" s="467" t="n">
        <v>0</v>
      </c>
      <c r="P2870" s="467" t="n"/>
    </row>
    <row r="2871" customFormat="1" s="453">
      <c r="A2871" s="411" t="inlineStr">
        <is>
          <t>Tropical Moist</t>
        </is>
      </c>
      <c r="B2871" s="467" t="n">
        <v>0</v>
      </c>
      <c r="C2871" s="467" t="n">
        <v>0</v>
      </c>
      <c r="D2871" s="467" t="n">
        <v>4.4</v>
      </c>
      <c r="E2871" s="467" t="n">
        <v>1.7</v>
      </c>
      <c r="F2871" s="467" t="n">
        <v>0.6</v>
      </c>
      <c r="G2871" s="467" t="n">
        <v>0</v>
      </c>
      <c r="H2871" s="467" t="n">
        <v>0</v>
      </c>
      <c r="I2871" s="467" t="n">
        <v>0</v>
      </c>
      <c r="J2871" s="467" t="n">
        <v>0</v>
      </c>
      <c r="K2871" s="467" t="n">
        <v>0</v>
      </c>
      <c r="L2871" s="451" t="n">
        <v>0</v>
      </c>
      <c r="M2871" s="451" t="n">
        <v>0</v>
      </c>
      <c r="N2871" s="467" t="n">
        <v>0</v>
      </c>
      <c r="O2871" s="467" t="n">
        <v>0</v>
      </c>
      <c r="P2871" s="467" t="n"/>
    </row>
    <row r="2872" customFormat="1" s="453">
      <c r="A2872" s="411" t="inlineStr">
        <is>
          <t>Tropical Dry</t>
        </is>
      </c>
      <c r="B2872" s="467" t="n">
        <v>0</v>
      </c>
      <c r="C2872" s="467" t="n">
        <v>0</v>
      </c>
      <c r="D2872" s="467" t="n">
        <v>4.4</v>
      </c>
      <c r="E2872" s="467" t="n">
        <v>1.7</v>
      </c>
      <c r="F2872" s="467" t="n">
        <v>0.6</v>
      </c>
      <c r="G2872" s="467" t="n">
        <v>0</v>
      </c>
      <c r="H2872" s="467" t="n">
        <v>0</v>
      </c>
      <c r="I2872" s="467" t="n">
        <v>0</v>
      </c>
      <c r="J2872" s="467" t="n">
        <v>0</v>
      </c>
      <c r="K2872" s="467" t="n">
        <v>0</v>
      </c>
      <c r="L2872" s="468" t="n">
        <v>0</v>
      </c>
      <c r="M2872" s="451" t="n">
        <v>0</v>
      </c>
      <c r="N2872" s="467" t="n">
        <v>0</v>
      </c>
      <c r="O2872" s="467" t="n">
        <v>0</v>
      </c>
      <c r="P2872" s="467" t="n"/>
    </row>
    <row r="2873" customFormat="1" s="535">
      <c r="A2873" s="518" t="inlineStr">
        <is>
          <t xml:space="preserve">Notes :  </t>
        </is>
      </c>
      <c r="F2873" s="1624" t="n"/>
      <c r="G2873" s="1624" t="n"/>
      <c r="H2873" s="1624" t="n"/>
      <c r="I2873" s="1624" t="n"/>
      <c r="J2873" s="1624" t="n"/>
      <c r="K2873" s="1624" t="n"/>
      <c r="L2873" s="1624" t="n"/>
      <c r="M2873" s="1624" t="n"/>
      <c r="N2873" s="1624" t="n"/>
    </row>
    <row r="2874" customFormat="1" s="292"/>
    <row r="2876" ht="14.25" customFormat="1" customHeight="1" s="125">
      <c r="A2876" s="377" t="inlineStr">
        <is>
          <t>Emission factors CH4 manure management</t>
        </is>
      </c>
      <c r="D2876" s="1075" t="n"/>
      <c r="E2876" s="1075" t="n"/>
      <c r="F2876" s="1075" t="n"/>
      <c r="G2876" s="1075" t="n"/>
      <c r="H2876" s="1075" t="n"/>
      <c r="I2876" s="1075" t="n"/>
      <c r="L2876" s="1075" t="n"/>
    </row>
    <row r="2877" ht="16.25" customFormat="1" customHeight="1" s="773">
      <c r="A2877" s="753" t="inlineStr">
        <is>
          <t>Goat HP</t>
        </is>
      </c>
      <c r="B2877" s="442" t="inlineStr">
        <is>
          <t>Table 10.14</t>
        </is>
      </c>
      <c r="C2877" s="442" t="inlineStr">
        <is>
          <t>Table 10.14</t>
        </is>
      </c>
      <c r="D2877" s="442" t="inlineStr">
        <is>
          <t>Table 10.14</t>
        </is>
      </c>
      <c r="E2877" s="442" t="inlineStr">
        <is>
          <t>Table 10.14</t>
        </is>
      </c>
      <c r="F2877" s="442" t="inlineStr">
        <is>
          <t>Table 10.14</t>
        </is>
      </c>
      <c r="G2877" s="442" t="inlineStr">
        <is>
          <t>Table 10.14</t>
        </is>
      </c>
      <c r="H2877" s="442" t="inlineStr">
        <is>
          <t>Table 10.14</t>
        </is>
      </c>
      <c r="I2877" s="442" t="inlineStr">
        <is>
          <t>Table 10.14</t>
        </is>
      </c>
      <c r="J2877" s="442" t="inlineStr">
        <is>
          <t>Table 10.14</t>
        </is>
      </c>
      <c r="K2877" s="442" t="inlineStr">
        <is>
          <t>Table 10.14</t>
        </is>
      </c>
      <c r="L2877" s="442" t="inlineStr">
        <is>
          <t>Table 10.14</t>
        </is>
      </c>
      <c r="M2877" s="442" t="inlineStr">
        <is>
          <t>Table 10.14</t>
        </is>
      </c>
      <c r="N2877" s="442" t="inlineStr">
        <is>
          <t>Table 10.14</t>
        </is>
      </c>
      <c r="O2877" s="442" t="inlineStr">
        <is>
          <t>Table 10.14</t>
        </is>
      </c>
      <c r="P2877" s="442" t="n"/>
      <c r="Q2877" s="442" t="n"/>
      <c r="R2877" s="442" t="n"/>
      <c r="S2877" s="442" t="n"/>
      <c r="T2877" s="442" t="n"/>
      <c r="U2877" s="442" t="n"/>
      <c r="V2877" s="442" t="n"/>
    </row>
    <row r="2878" ht="16" customFormat="1" customHeight="1" s="291">
      <c r="A2878" s="1641" t="inlineStr">
        <is>
          <t>Please select</t>
        </is>
      </c>
      <c r="B2878" s="1642" t="inlineStr">
        <is>
          <t>Lagoon</t>
        </is>
      </c>
      <c r="C2878" s="1642" t="inlineStr">
        <is>
          <t>Liquid/slurry</t>
        </is>
      </c>
      <c r="D2878" s="1642" t="inlineStr">
        <is>
          <t>Solid storage</t>
        </is>
      </c>
      <c r="E2878" s="1642" t="inlineStr">
        <is>
          <t>Dry lot</t>
        </is>
      </c>
      <c r="F2878" s="1642" t="inlineStr">
        <is>
          <t>Pasture/Range/Paddock</t>
        </is>
      </c>
      <c r="G2878" s="1642" t="inlineStr">
        <is>
          <t>Daily spread</t>
        </is>
      </c>
      <c r="H2878" s="1642" t="inlineStr">
        <is>
          <t>Digester</t>
        </is>
      </c>
      <c r="I2878" s="1642" t="inlineStr">
        <is>
          <t>Burned for fuel</t>
        </is>
      </c>
      <c r="J2878" s="1642" t="inlineStr">
        <is>
          <t>Pit&lt;1Month</t>
        </is>
      </c>
      <c r="K2878" s="1642" t="inlineStr">
        <is>
          <t>Pit&gt;1 month</t>
        </is>
      </c>
      <c r="L2878" s="1642" t="inlineStr">
        <is>
          <t>Poultry manure</t>
        </is>
      </c>
      <c r="M2878" s="291" t="inlineStr">
        <is>
          <t>Deep bedding</t>
        </is>
      </c>
      <c r="N2878" s="2156" t="inlineStr">
        <is>
          <t>Composting</t>
        </is>
      </c>
      <c r="O2878" s="2156" t="inlineStr">
        <is>
          <t>Aerobic treatment</t>
        </is>
      </c>
      <c r="P2878" s="1658" t="inlineStr">
        <is>
          <t>Other (pls. go Tier 2)</t>
        </is>
      </c>
      <c r="Q2878" s="453" t="n"/>
      <c r="R2878" s="453" t="n"/>
      <c r="S2878" s="453" t="n"/>
      <c r="T2878" s="453" t="n"/>
      <c r="U2878" s="453" t="n"/>
      <c r="V2878" s="453" t="n"/>
      <c r="W2878" s="21" t="n"/>
      <c r="X2878" s="21" t="n"/>
    </row>
    <row r="2879" ht="16" customFormat="1" customHeight="1" s="1093">
      <c r="A2879" s="523" t="inlineStr">
        <is>
          <t>Climate zone</t>
        </is>
      </c>
      <c r="B2879" s="1636" t="inlineStr">
        <is>
          <t>gCH4/kg Vs</t>
        </is>
      </c>
      <c r="C2879" s="1636" t="inlineStr">
        <is>
          <t>gCH4/kg Vs</t>
        </is>
      </c>
      <c r="D2879" s="1636" t="inlineStr">
        <is>
          <t>gCH4/kg Vs</t>
        </is>
      </c>
      <c r="E2879" s="1636" t="inlineStr">
        <is>
          <t>gCH4/kg Vs</t>
        </is>
      </c>
      <c r="F2879" s="1636" t="inlineStr">
        <is>
          <t>gCH4/kg Vs</t>
        </is>
      </c>
      <c r="G2879" s="1636" t="inlineStr">
        <is>
          <t>gCH4/kg Vs</t>
        </is>
      </c>
      <c r="H2879" s="1636" t="inlineStr">
        <is>
          <t>gCH4/kg Vs</t>
        </is>
      </c>
      <c r="I2879" s="1636" t="inlineStr">
        <is>
          <t>gCH4/kg Vs</t>
        </is>
      </c>
      <c r="J2879" s="1636" t="inlineStr">
        <is>
          <t>gCH4/kg Vs</t>
        </is>
      </c>
      <c r="K2879" s="1636" t="inlineStr">
        <is>
          <t>gCH4/kg Vs</t>
        </is>
      </c>
      <c r="L2879" s="1631" t="inlineStr">
        <is>
          <t>gCH4/kg Vs</t>
        </is>
      </c>
      <c r="M2879" s="1631" t="inlineStr">
        <is>
          <t>gCH4/kg Vs</t>
        </is>
      </c>
      <c r="N2879" s="732" t="inlineStr">
        <is>
          <t>gCH4/kg Vs</t>
        </is>
      </c>
      <c r="O2879" s="732" t="inlineStr">
        <is>
          <t>gCH4/kg Vs</t>
        </is>
      </c>
      <c r="P2879" s="732" t="n"/>
      <c r="Q2879" s="1092" t="n"/>
      <c r="R2879" s="1092" t="n"/>
      <c r="S2879" s="1092" t="n"/>
      <c r="T2879" s="1092" t="n"/>
      <c r="U2879" s="1092" t="n"/>
      <c r="V2879" s="1092" t="n"/>
    </row>
    <row r="2880" customFormat="1" s="21">
      <c r="A2880" s="410" t="inlineStr">
        <is>
          <t>Cool Temperate Moist</t>
        </is>
      </c>
      <c r="B2880" s="470" t="n">
        <v>0</v>
      </c>
      <c r="C2880" s="470" t="n">
        <v>0</v>
      </c>
      <c r="D2880" s="470" t="n">
        <v>2.4</v>
      </c>
      <c r="E2880" s="470" t="n">
        <v>1.2</v>
      </c>
      <c r="F2880" s="470" t="n">
        <v>0.6</v>
      </c>
      <c r="G2880" s="470" t="n">
        <v>0</v>
      </c>
      <c r="H2880" s="470" t="n">
        <v>0</v>
      </c>
      <c r="I2880" s="470" t="n">
        <v>0</v>
      </c>
      <c r="J2880" s="470" t="n">
        <v>0</v>
      </c>
      <c r="K2880" s="470" t="n">
        <v>0</v>
      </c>
      <c r="L2880" s="1640" t="n">
        <v>0</v>
      </c>
      <c r="M2880" s="451" t="n">
        <v>0</v>
      </c>
      <c r="N2880" s="467" t="n">
        <v>0</v>
      </c>
      <c r="O2880" s="467" t="n">
        <v>0</v>
      </c>
      <c r="P2880" s="467" t="n"/>
      <c r="Q2880" s="453" t="n"/>
      <c r="R2880" s="453" t="n"/>
      <c r="S2880" s="453" t="n"/>
      <c r="T2880" s="453" t="n"/>
      <c r="U2880" s="453" t="n"/>
      <c r="V2880" s="453" t="n"/>
    </row>
    <row r="2881" customFormat="1" s="21">
      <c r="A2881" s="411" t="inlineStr">
        <is>
          <t>Cool Temperate Dry</t>
        </is>
      </c>
      <c r="B2881" s="467" t="n">
        <v>0</v>
      </c>
      <c r="C2881" s="467" t="n">
        <v>0</v>
      </c>
      <c r="D2881" s="467" t="n">
        <v>2.4</v>
      </c>
      <c r="E2881" s="467" t="n">
        <v>1.2</v>
      </c>
      <c r="F2881" s="467" t="n">
        <v>0.6</v>
      </c>
      <c r="G2881" s="467" t="n">
        <v>0</v>
      </c>
      <c r="H2881" s="467" t="n">
        <v>0</v>
      </c>
      <c r="I2881" s="467" t="n">
        <v>0</v>
      </c>
      <c r="J2881" s="467" t="n">
        <v>0</v>
      </c>
      <c r="K2881" s="467" t="n">
        <v>0</v>
      </c>
      <c r="L2881" s="451" t="n">
        <v>0</v>
      </c>
      <c r="M2881" s="451" t="n">
        <v>0</v>
      </c>
      <c r="N2881" s="467" t="n">
        <v>0</v>
      </c>
      <c r="O2881" s="467" t="n">
        <v>0</v>
      </c>
      <c r="P2881" s="467" t="n"/>
      <c r="Q2881" s="453" t="n"/>
      <c r="R2881" s="453" t="n"/>
      <c r="S2881" s="453" t="n"/>
      <c r="T2881" s="453" t="n"/>
      <c r="U2881" s="453" t="n"/>
      <c r="V2881" s="453" t="n"/>
    </row>
    <row r="2882" customFormat="1" s="21">
      <c r="A2882" s="411" t="inlineStr">
        <is>
          <t>Boreal Moist</t>
        </is>
      </c>
      <c r="B2882" s="467" t="n">
        <v>0</v>
      </c>
      <c r="C2882" s="467" t="n">
        <v>0</v>
      </c>
      <c r="D2882" s="467" t="n">
        <v>2.4</v>
      </c>
      <c r="E2882" s="467" t="n">
        <v>1.2</v>
      </c>
      <c r="F2882" s="467" t="n">
        <v>0.6</v>
      </c>
      <c r="G2882" s="467" t="n">
        <v>0</v>
      </c>
      <c r="H2882" s="467" t="n">
        <v>0</v>
      </c>
      <c r="I2882" s="467" t="n">
        <v>0</v>
      </c>
      <c r="J2882" s="467" t="n">
        <v>0</v>
      </c>
      <c r="K2882" s="467" t="n">
        <v>0</v>
      </c>
      <c r="L2882" s="468" t="n">
        <v>0</v>
      </c>
      <c r="M2882" s="451" t="n">
        <v>0</v>
      </c>
      <c r="N2882" s="467" t="n">
        <v>0</v>
      </c>
      <c r="O2882" s="467" t="n">
        <v>0</v>
      </c>
      <c r="P2882" s="467" t="n"/>
      <c r="Q2882" s="453" t="n"/>
      <c r="R2882" s="453" t="n"/>
      <c r="S2882" s="453" t="n"/>
      <c r="T2882" s="453" t="n"/>
      <c r="U2882" s="453" t="n"/>
      <c r="V2882" s="453" t="n"/>
    </row>
    <row r="2883" customFormat="1" s="21">
      <c r="A2883" s="411" t="inlineStr">
        <is>
          <t>Boreal Dry</t>
        </is>
      </c>
      <c r="B2883" s="467" t="n">
        <v>0</v>
      </c>
      <c r="C2883" s="467" t="n">
        <v>0</v>
      </c>
      <c r="D2883" s="467" t="n">
        <v>2.4</v>
      </c>
      <c r="E2883" s="467" t="n">
        <v>1.2</v>
      </c>
      <c r="F2883" s="467" t="n">
        <v>0.6</v>
      </c>
      <c r="G2883" s="467" t="n">
        <v>0</v>
      </c>
      <c r="H2883" s="467" t="n">
        <v>0</v>
      </c>
      <c r="I2883" s="467" t="n">
        <v>0</v>
      </c>
      <c r="J2883" s="467" t="n">
        <v>0</v>
      </c>
      <c r="K2883" s="467" t="n">
        <v>0</v>
      </c>
      <c r="L2883" s="451" t="n">
        <v>0</v>
      </c>
      <c r="M2883" s="451" t="n">
        <v>0</v>
      </c>
      <c r="N2883" s="467" t="n">
        <v>0</v>
      </c>
      <c r="O2883" s="467" t="n">
        <v>0</v>
      </c>
      <c r="P2883" s="467" t="n"/>
      <c r="Q2883" s="453" t="n"/>
      <c r="R2883" s="453" t="n"/>
      <c r="S2883" s="453" t="n"/>
      <c r="T2883" s="453" t="n"/>
      <c r="U2883" s="453" t="n"/>
      <c r="V2883" s="453" t="n"/>
    </row>
    <row r="2884" customFormat="1" s="21">
      <c r="A2884" s="411" t="inlineStr">
        <is>
          <t>Warm Temperate Moist</t>
        </is>
      </c>
      <c r="B2884" s="467" t="n">
        <v>0</v>
      </c>
      <c r="C2884" s="467" t="n">
        <v>0</v>
      </c>
      <c r="D2884" s="467" t="n">
        <v>4.8</v>
      </c>
      <c r="E2884" s="467" t="n">
        <v>1.8</v>
      </c>
      <c r="F2884" s="467" t="n">
        <v>0.6</v>
      </c>
      <c r="G2884" s="467" t="n">
        <v>0</v>
      </c>
      <c r="H2884" s="467" t="n">
        <v>0</v>
      </c>
      <c r="I2884" s="467" t="n">
        <v>0</v>
      </c>
      <c r="J2884" s="467" t="n">
        <v>0</v>
      </c>
      <c r="K2884" s="467" t="n">
        <v>0</v>
      </c>
      <c r="L2884" s="451" t="n">
        <v>0</v>
      </c>
      <c r="M2884" s="451" t="n">
        <v>0</v>
      </c>
      <c r="N2884" s="467" t="n">
        <v>0</v>
      </c>
      <c r="O2884" s="467" t="n">
        <v>0</v>
      </c>
      <c r="P2884" s="467" t="n"/>
      <c r="Q2884" s="453" t="n"/>
      <c r="R2884" s="453" t="n"/>
      <c r="S2884" s="453" t="n"/>
      <c r="T2884" s="453" t="n"/>
      <c r="U2884" s="453" t="n"/>
      <c r="V2884" s="453" t="n"/>
    </row>
    <row r="2885" customFormat="1" s="21">
      <c r="A2885" s="411" t="inlineStr">
        <is>
          <t>Warm Temperate Dry</t>
        </is>
      </c>
      <c r="B2885" s="467" t="n">
        <v>0</v>
      </c>
      <c r="C2885" s="467" t="n">
        <v>0</v>
      </c>
      <c r="D2885" s="467" t="n">
        <v>4.8</v>
      </c>
      <c r="E2885" s="467" t="n">
        <v>1.8</v>
      </c>
      <c r="F2885" s="467" t="n">
        <v>0.6</v>
      </c>
      <c r="G2885" s="467" t="n">
        <v>0</v>
      </c>
      <c r="H2885" s="467" t="n">
        <v>0</v>
      </c>
      <c r="I2885" s="467" t="n">
        <v>0</v>
      </c>
      <c r="J2885" s="467" t="n">
        <v>0</v>
      </c>
      <c r="K2885" s="467" t="n">
        <v>0</v>
      </c>
      <c r="L2885" s="451" t="n">
        <v>0</v>
      </c>
      <c r="M2885" s="451" t="n">
        <v>0</v>
      </c>
      <c r="N2885" s="467" t="n">
        <v>0</v>
      </c>
      <c r="O2885" s="467" t="n">
        <v>0</v>
      </c>
      <c r="P2885" s="467" t="n"/>
      <c r="Q2885" s="453" t="n"/>
      <c r="R2885" s="453" t="n"/>
      <c r="S2885" s="453" t="n"/>
      <c r="T2885" s="453" t="n"/>
      <c r="U2885" s="453" t="n"/>
      <c r="V2885" s="453" t="n"/>
    </row>
    <row r="2886" customFormat="1" s="21">
      <c r="A2886" s="411" t="inlineStr">
        <is>
          <t>Tropical Montane</t>
        </is>
      </c>
      <c r="B2886" s="467" t="n">
        <v>0</v>
      </c>
      <c r="C2886" s="467" t="n">
        <v>0</v>
      </c>
      <c r="D2886" s="467" t="n">
        <v>6</v>
      </c>
      <c r="E2886" s="467" t="n">
        <v>2.4</v>
      </c>
      <c r="F2886" s="467" t="n">
        <v>0.6</v>
      </c>
      <c r="G2886" s="467" t="n">
        <v>0</v>
      </c>
      <c r="H2886" s="467" t="n">
        <v>0</v>
      </c>
      <c r="I2886" s="467" t="n">
        <v>0</v>
      </c>
      <c r="J2886" s="467" t="n">
        <v>0</v>
      </c>
      <c r="K2886" s="467" t="n">
        <v>0</v>
      </c>
      <c r="L2886" s="451" t="n">
        <v>0</v>
      </c>
      <c r="M2886" s="451" t="n">
        <v>0</v>
      </c>
      <c r="N2886" s="467" t="n">
        <v>0</v>
      </c>
      <c r="O2886" s="467" t="n">
        <v>0</v>
      </c>
      <c r="P2886" s="467" t="n"/>
      <c r="Q2886" s="453" t="n"/>
      <c r="R2886" s="453" t="n"/>
      <c r="S2886" s="453" t="n"/>
      <c r="T2886" s="453" t="n"/>
      <c r="U2886" s="453" t="n"/>
      <c r="V2886" s="453" t="n"/>
    </row>
    <row r="2887" customFormat="1" s="21">
      <c r="A2887" s="411" t="inlineStr">
        <is>
          <t>Tropical Wet</t>
        </is>
      </c>
      <c r="B2887" s="467" t="n">
        <v>0</v>
      </c>
      <c r="C2887" s="467" t="n">
        <v>0</v>
      </c>
      <c r="D2887" s="467" t="n">
        <v>6</v>
      </c>
      <c r="E2887" s="467" t="n">
        <v>2.4</v>
      </c>
      <c r="F2887" s="467" t="n">
        <v>0.6</v>
      </c>
      <c r="G2887" s="467" t="n">
        <v>0</v>
      </c>
      <c r="H2887" s="467" t="n">
        <v>0</v>
      </c>
      <c r="I2887" s="467" t="n">
        <v>0</v>
      </c>
      <c r="J2887" s="467" t="n">
        <v>0</v>
      </c>
      <c r="K2887" s="467" t="n">
        <v>0</v>
      </c>
      <c r="L2887" s="468" t="n">
        <v>0</v>
      </c>
      <c r="M2887" s="451" t="n">
        <v>0</v>
      </c>
      <c r="N2887" s="467" t="n">
        <v>0</v>
      </c>
      <c r="O2887" s="467" t="n">
        <v>0</v>
      </c>
      <c r="P2887" s="467" t="n"/>
    </row>
    <row r="2888" customFormat="1" s="453">
      <c r="A2888" s="411" t="inlineStr">
        <is>
          <t>Tropical Moist</t>
        </is>
      </c>
      <c r="B2888" s="467" t="n">
        <v>0</v>
      </c>
      <c r="C2888" s="467" t="n">
        <v>0</v>
      </c>
      <c r="D2888" s="467" t="n">
        <v>6</v>
      </c>
      <c r="E2888" s="467" t="n">
        <v>2.4</v>
      </c>
      <c r="F2888" s="467" t="n">
        <v>0.6</v>
      </c>
      <c r="G2888" s="467" t="n">
        <v>0</v>
      </c>
      <c r="H2888" s="467" t="n">
        <v>0</v>
      </c>
      <c r="I2888" s="467" t="n">
        <v>0</v>
      </c>
      <c r="J2888" s="467" t="n">
        <v>0</v>
      </c>
      <c r="K2888" s="467" t="n">
        <v>0</v>
      </c>
      <c r="L2888" s="451" t="n">
        <v>0</v>
      </c>
      <c r="M2888" s="451" t="n">
        <v>0</v>
      </c>
      <c r="N2888" s="467" t="n">
        <v>0</v>
      </c>
      <c r="O2888" s="467" t="n">
        <v>0</v>
      </c>
      <c r="P2888" s="467" t="n"/>
    </row>
    <row r="2889" customFormat="1" s="453">
      <c r="A2889" s="411" t="inlineStr">
        <is>
          <t>Tropical Dry</t>
        </is>
      </c>
      <c r="B2889" s="467" t="n">
        <v>0</v>
      </c>
      <c r="C2889" s="467" t="n">
        <v>0</v>
      </c>
      <c r="D2889" s="467" t="n">
        <v>6</v>
      </c>
      <c r="E2889" s="467" t="n">
        <v>2.4</v>
      </c>
      <c r="F2889" s="467" t="n">
        <v>0.6</v>
      </c>
      <c r="G2889" s="467" t="n">
        <v>0</v>
      </c>
      <c r="H2889" s="467" t="n">
        <v>0</v>
      </c>
      <c r="I2889" s="467" t="n">
        <v>0</v>
      </c>
      <c r="J2889" s="467" t="n">
        <v>0</v>
      </c>
      <c r="K2889" s="467" t="n">
        <v>0</v>
      </c>
      <c r="L2889" s="468" t="n">
        <v>0</v>
      </c>
      <c r="M2889" s="451" t="n">
        <v>0</v>
      </c>
      <c r="N2889" s="467" t="n">
        <v>0</v>
      </c>
      <c r="O2889" s="467" t="n">
        <v>0</v>
      </c>
      <c r="P2889" s="467" t="n"/>
    </row>
    <row r="2890" customFormat="1" s="535">
      <c r="A2890" s="518" t="inlineStr">
        <is>
          <t xml:space="preserve">Notes :  </t>
        </is>
      </c>
      <c r="F2890" s="1624" t="n"/>
      <c r="G2890" s="1624" t="n"/>
      <c r="H2890" s="1624" t="n"/>
      <c r="I2890" s="1624" t="n"/>
      <c r="J2890" s="1624" t="n"/>
      <c r="K2890" s="1624" t="n"/>
      <c r="L2890" s="1624" t="n"/>
      <c r="M2890" s="1624" t="n"/>
      <c r="N2890" s="1624" t="n"/>
    </row>
    <row r="2891" customFormat="1" s="292"/>
    <row r="2893" ht="14.25" customFormat="1" customHeight="1" s="125">
      <c r="A2893" s="377" t="inlineStr">
        <is>
          <t>Emission factors CH4 manure management</t>
        </is>
      </c>
      <c r="D2893" s="1075" t="n"/>
      <c r="E2893" s="1075" t="n"/>
      <c r="F2893" s="1075" t="n"/>
      <c r="G2893" s="1075" t="n"/>
      <c r="H2893" s="1075" t="n"/>
      <c r="I2893" s="1075" t="n"/>
      <c r="L2893" s="1075" t="n"/>
    </row>
    <row r="2894" ht="16.25" customFormat="1" customHeight="1" s="773">
      <c r="A2894" s="753" t="inlineStr">
        <is>
          <t>Goat LP</t>
        </is>
      </c>
      <c r="B2894" s="442" t="inlineStr">
        <is>
          <t>Table 10.14</t>
        </is>
      </c>
      <c r="C2894" s="442" t="inlineStr">
        <is>
          <t>Table 10.14</t>
        </is>
      </c>
      <c r="D2894" s="442" t="inlineStr">
        <is>
          <t>Table 10.14</t>
        </is>
      </c>
      <c r="E2894" s="442" t="inlineStr">
        <is>
          <t>Table 10.14</t>
        </is>
      </c>
      <c r="F2894" s="442" t="inlineStr">
        <is>
          <t>Table 10.14</t>
        </is>
      </c>
      <c r="G2894" s="442" t="inlineStr">
        <is>
          <t>Table 10.14</t>
        </is>
      </c>
      <c r="H2894" s="442" t="inlineStr">
        <is>
          <t>Table 10.14</t>
        </is>
      </c>
      <c r="I2894" s="442" t="inlineStr">
        <is>
          <t>Table 10.14</t>
        </is>
      </c>
      <c r="J2894" s="442" t="inlineStr">
        <is>
          <t>Table 10.14</t>
        </is>
      </c>
      <c r="K2894" s="442" t="inlineStr">
        <is>
          <t>Table 10.14</t>
        </is>
      </c>
      <c r="L2894" s="442" t="inlineStr">
        <is>
          <t>Table 10.14</t>
        </is>
      </c>
      <c r="M2894" s="442" t="inlineStr">
        <is>
          <t>Table 10.14</t>
        </is>
      </c>
      <c r="N2894" s="442" t="inlineStr">
        <is>
          <t>Table 10.14</t>
        </is>
      </c>
      <c r="O2894" s="442" t="inlineStr">
        <is>
          <t>Table 10.14</t>
        </is>
      </c>
      <c r="P2894" s="442" t="n"/>
      <c r="Q2894" s="442" t="n"/>
      <c r="R2894" s="442" t="n"/>
      <c r="S2894" s="442" t="n"/>
      <c r="T2894" s="442" t="n"/>
      <c r="U2894" s="442" t="n"/>
      <c r="V2894" s="442" t="n"/>
    </row>
    <row r="2895" ht="16" customFormat="1" customHeight="1" s="291">
      <c r="A2895" s="1641" t="inlineStr">
        <is>
          <t>Please select</t>
        </is>
      </c>
      <c r="B2895" s="1642" t="inlineStr">
        <is>
          <t>Lagoon</t>
        </is>
      </c>
      <c r="C2895" s="1642" t="inlineStr">
        <is>
          <t>Liquid/slurry</t>
        </is>
      </c>
      <c r="D2895" s="1642" t="inlineStr">
        <is>
          <t>Solid storage</t>
        </is>
      </c>
      <c r="E2895" s="1642" t="inlineStr">
        <is>
          <t>Dry lot</t>
        </is>
      </c>
      <c r="F2895" s="1642" t="inlineStr">
        <is>
          <t>Pasture/Range/Paddock</t>
        </is>
      </c>
      <c r="G2895" s="1642" t="inlineStr">
        <is>
          <t>Daily spread</t>
        </is>
      </c>
      <c r="H2895" s="1642" t="inlineStr">
        <is>
          <t>Digester</t>
        </is>
      </c>
      <c r="I2895" s="1642" t="inlineStr">
        <is>
          <t>Burned for fuel</t>
        </is>
      </c>
      <c r="J2895" s="1642" t="inlineStr">
        <is>
          <t>Pit&lt;1Month</t>
        </is>
      </c>
      <c r="K2895" s="1642" t="inlineStr">
        <is>
          <t>Pit&gt;1 month</t>
        </is>
      </c>
      <c r="L2895" s="1642" t="inlineStr">
        <is>
          <t>Poultry manure</t>
        </is>
      </c>
      <c r="M2895" s="291" t="inlineStr">
        <is>
          <t>Deep bedding</t>
        </is>
      </c>
      <c r="N2895" s="2156" t="inlineStr">
        <is>
          <t>Composting</t>
        </is>
      </c>
      <c r="O2895" s="2156" t="inlineStr">
        <is>
          <t>Aerobic treatment</t>
        </is>
      </c>
      <c r="P2895" s="1658" t="inlineStr">
        <is>
          <t>Other (pls. go Tier 2)</t>
        </is>
      </c>
      <c r="Q2895" s="453" t="n"/>
      <c r="R2895" s="453" t="n"/>
      <c r="S2895" s="453" t="n"/>
      <c r="T2895" s="453" t="n"/>
      <c r="U2895" s="453" t="n"/>
      <c r="V2895" s="453" t="n"/>
      <c r="W2895" s="21" t="n"/>
      <c r="X2895" s="21" t="n"/>
    </row>
    <row r="2896" ht="16" customFormat="1" customHeight="1" s="1093">
      <c r="A2896" s="523" t="inlineStr">
        <is>
          <t>Climate zone</t>
        </is>
      </c>
      <c r="B2896" s="1636" t="inlineStr">
        <is>
          <t>gCH4/kg Vs</t>
        </is>
      </c>
      <c r="C2896" s="1636" t="inlineStr">
        <is>
          <t>gCH4/kg Vs</t>
        </is>
      </c>
      <c r="D2896" s="1636" t="inlineStr">
        <is>
          <t>gCH4/kg Vs</t>
        </is>
      </c>
      <c r="E2896" s="1636" t="inlineStr">
        <is>
          <t>gCH4/kg Vs</t>
        </is>
      </c>
      <c r="F2896" s="1636" t="inlineStr">
        <is>
          <t>gCH4/kg Vs</t>
        </is>
      </c>
      <c r="G2896" s="1636" t="inlineStr">
        <is>
          <t>gCH4/kg Vs</t>
        </is>
      </c>
      <c r="H2896" s="1636" t="inlineStr">
        <is>
          <t>gCH4/kg Vs</t>
        </is>
      </c>
      <c r="I2896" s="1636" t="inlineStr">
        <is>
          <t>gCH4/kg Vs</t>
        </is>
      </c>
      <c r="J2896" s="1636" t="inlineStr">
        <is>
          <t>gCH4/kg Vs</t>
        </is>
      </c>
      <c r="K2896" s="1636" t="inlineStr">
        <is>
          <t>gCH4/kg Vs</t>
        </is>
      </c>
      <c r="L2896" s="1631" t="inlineStr">
        <is>
          <t>gCH4/kg Vs</t>
        </is>
      </c>
      <c r="M2896" s="1631" t="inlineStr">
        <is>
          <t>gCH4/kg Vs</t>
        </is>
      </c>
      <c r="N2896" s="732" t="inlineStr">
        <is>
          <t>gCH4/kg Vs</t>
        </is>
      </c>
      <c r="O2896" s="732" t="inlineStr">
        <is>
          <t>gCH4/kg Vs</t>
        </is>
      </c>
      <c r="P2896" s="732" t="n"/>
      <c r="Q2896" s="1092" t="n"/>
      <c r="R2896" s="1092" t="n"/>
      <c r="S2896" s="1092" t="n"/>
      <c r="T2896" s="1092" t="n"/>
      <c r="U2896" s="1092" t="n"/>
      <c r="V2896" s="1092" t="n"/>
    </row>
    <row r="2897" customFormat="1" s="21">
      <c r="A2897" s="410" t="inlineStr">
        <is>
          <t>Cool Temperate Moist</t>
        </is>
      </c>
      <c r="B2897" s="470" t="n">
        <v>0</v>
      </c>
      <c r="C2897" s="470" t="n">
        <v>0</v>
      </c>
      <c r="D2897" s="470" t="n">
        <v>1.7</v>
      </c>
      <c r="E2897" s="470" t="n">
        <v>0.9</v>
      </c>
      <c r="F2897" s="470" t="n">
        <v>0.6</v>
      </c>
      <c r="G2897" s="470" t="n">
        <v>0</v>
      </c>
      <c r="H2897" s="470" t="n">
        <v>0</v>
      </c>
      <c r="I2897" s="470" t="n">
        <v>0</v>
      </c>
      <c r="J2897" s="470" t="n">
        <v>0</v>
      </c>
      <c r="K2897" s="470" t="n">
        <v>0</v>
      </c>
      <c r="L2897" s="1640" t="n">
        <v>0</v>
      </c>
      <c r="M2897" s="451" t="n">
        <v>0</v>
      </c>
      <c r="N2897" s="467" t="n">
        <v>0</v>
      </c>
      <c r="O2897" s="467" t="n">
        <v>0</v>
      </c>
      <c r="P2897" s="467" t="n"/>
      <c r="Q2897" s="453" t="n"/>
      <c r="R2897" s="453" t="n"/>
      <c r="S2897" s="453" t="n"/>
      <c r="T2897" s="453" t="n"/>
      <c r="U2897" s="453" t="n"/>
      <c r="V2897" s="453" t="n"/>
    </row>
    <row r="2898" customFormat="1" s="21">
      <c r="A2898" s="411" t="inlineStr">
        <is>
          <t>Cool Temperate Dry</t>
        </is>
      </c>
      <c r="B2898" s="467" t="n">
        <v>0</v>
      </c>
      <c r="C2898" s="467" t="n">
        <v>0</v>
      </c>
      <c r="D2898" s="467" t="n">
        <v>1.7</v>
      </c>
      <c r="E2898" s="467" t="n">
        <v>0.9</v>
      </c>
      <c r="F2898" s="467" t="n">
        <v>0.6</v>
      </c>
      <c r="G2898" s="467" t="n">
        <v>0</v>
      </c>
      <c r="H2898" s="467" t="n">
        <v>0</v>
      </c>
      <c r="I2898" s="467" t="n">
        <v>0</v>
      </c>
      <c r="J2898" s="467" t="n">
        <v>0</v>
      </c>
      <c r="K2898" s="467" t="n">
        <v>0</v>
      </c>
      <c r="L2898" s="451" t="n">
        <v>0</v>
      </c>
      <c r="M2898" s="451" t="n">
        <v>0</v>
      </c>
      <c r="N2898" s="467" t="n">
        <v>0</v>
      </c>
      <c r="O2898" s="467" t="n">
        <v>0</v>
      </c>
      <c r="P2898" s="467" t="n"/>
      <c r="Q2898" s="453" t="n"/>
      <c r="R2898" s="453" t="n"/>
      <c r="S2898" s="453" t="n"/>
      <c r="T2898" s="453" t="n"/>
      <c r="U2898" s="453" t="n"/>
      <c r="V2898" s="453" t="n"/>
    </row>
    <row r="2899" customFormat="1" s="21">
      <c r="A2899" s="411" t="inlineStr">
        <is>
          <t>Boreal Moist</t>
        </is>
      </c>
      <c r="B2899" s="467" t="n">
        <v>0</v>
      </c>
      <c r="C2899" s="467" t="n">
        <v>0</v>
      </c>
      <c r="D2899" s="467" t="n">
        <v>1.7</v>
      </c>
      <c r="E2899" s="467" t="n">
        <v>0.9</v>
      </c>
      <c r="F2899" s="467" t="n">
        <v>0.6</v>
      </c>
      <c r="G2899" s="467" t="n">
        <v>0</v>
      </c>
      <c r="H2899" s="467" t="n">
        <v>0</v>
      </c>
      <c r="I2899" s="467" t="n">
        <v>0</v>
      </c>
      <c r="J2899" s="467" t="n">
        <v>0</v>
      </c>
      <c r="K2899" s="467" t="n">
        <v>0</v>
      </c>
      <c r="L2899" s="468" t="n">
        <v>0</v>
      </c>
      <c r="M2899" s="451" t="n">
        <v>0</v>
      </c>
      <c r="N2899" s="467" t="n">
        <v>0</v>
      </c>
      <c r="O2899" s="467" t="n">
        <v>0</v>
      </c>
      <c r="P2899" s="467" t="n"/>
      <c r="Q2899" s="453" t="n"/>
      <c r="R2899" s="453" t="n"/>
      <c r="S2899" s="453" t="n"/>
      <c r="T2899" s="453" t="n"/>
      <c r="U2899" s="453" t="n"/>
      <c r="V2899" s="453" t="n"/>
    </row>
    <row r="2900" customFormat="1" s="21">
      <c r="A2900" s="411" t="inlineStr">
        <is>
          <t>Boreal Dry</t>
        </is>
      </c>
      <c r="B2900" s="467" t="n">
        <v>0</v>
      </c>
      <c r="C2900" s="467" t="n">
        <v>0</v>
      </c>
      <c r="D2900" s="467" t="n">
        <v>1.7</v>
      </c>
      <c r="E2900" s="467" t="n">
        <v>0.9</v>
      </c>
      <c r="F2900" s="467" t="n">
        <v>0.6</v>
      </c>
      <c r="G2900" s="467" t="n">
        <v>0</v>
      </c>
      <c r="H2900" s="467" t="n">
        <v>0</v>
      </c>
      <c r="I2900" s="467" t="n">
        <v>0</v>
      </c>
      <c r="J2900" s="467" t="n">
        <v>0</v>
      </c>
      <c r="K2900" s="467" t="n">
        <v>0</v>
      </c>
      <c r="L2900" s="451" t="n">
        <v>0</v>
      </c>
      <c r="M2900" s="451" t="n">
        <v>0</v>
      </c>
      <c r="N2900" s="467" t="n">
        <v>0</v>
      </c>
      <c r="O2900" s="467" t="n">
        <v>0</v>
      </c>
      <c r="P2900" s="467" t="n"/>
      <c r="Q2900" s="453" t="n"/>
      <c r="R2900" s="453" t="n"/>
      <c r="S2900" s="453" t="n"/>
      <c r="T2900" s="453" t="n"/>
      <c r="U2900" s="453" t="n"/>
      <c r="V2900" s="453" t="n"/>
    </row>
    <row r="2901" customFormat="1" s="21">
      <c r="A2901" s="411" t="inlineStr">
        <is>
          <t>Warm Temperate Moist</t>
        </is>
      </c>
      <c r="B2901" s="467" t="n">
        <v>0</v>
      </c>
      <c r="C2901" s="467" t="n">
        <v>0</v>
      </c>
      <c r="D2901" s="467" t="n">
        <v>3.5</v>
      </c>
      <c r="E2901" s="467" t="n">
        <v>1.3</v>
      </c>
      <c r="F2901" s="467" t="n">
        <v>0.6</v>
      </c>
      <c r="G2901" s="467" t="n">
        <v>0</v>
      </c>
      <c r="H2901" s="467" t="n">
        <v>0</v>
      </c>
      <c r="I2901" s="467" t="n">
        <v>0</v>
      </c>
      <c r="J2901" s="467" t="n">
        <v>0</v>
      </c>
      <c r="K2901" s="467" t="n">
        <v>0</v>
      </c>
      <c r="L2901" s="451" t="n">
        <v>0</v>
      </c>
      <c r="M2901" s="451" t="n">
        <v>0</v>
      </c>
      <c r="N2901" s="467" t="n">
        <v>0</v>
      </c>
      <c r="O2901" s="467" t="n">
        <v>0</v>
      </c>
      <c r="P2901" s="467" t="n"/>
      <c r="Q2901" s="453" t="n"/>
      <c r="R2901" s="453" t="n"/>
      <c r="S2901" s="453" t="n"/>
      <c r="T2901" s="453" t="n"/>
      <c r="U2901" s="453" t="n"/>
      <c r="V2901" s="453" t="n"/>
    </row>
    <row r="2902" customFormat="1" s="21">
      <c r="A2902" s="411" t="inlineStr">
        <is>
          <t>Warm Temperate Dry</t>
        </is>
      </c>
      <c r="B2902" s="467" t="n">
        <v>0</v>
      </c>
      <c r="C2902" s="467" t="n">
        <v>0</v>
      </c>
      <c r="D2902" s="467" t="n">
        <v>3.5</v>
      </c>
      <c r="E2902" s="467" t="n">
        <v>1.3</v>
      </c>
      <c r="F2902" s="467" t="n">
        <v>0.6</v>
      </c>
      <c r="G2902" s="467" t="n">
        <v>0</v>
      </c>
      <c r="H2902" s="467" t="n">
        <v>0</v>
      </c>
      <c r="I2902" s="467" t="n">
        <v>0</v>
      </c>
      <c r="J2902" s="467" t="n">
        <v>0</v>
      </c>
      <c r="K2902" s="467" t="n">
        <v>0</v>
      </c>
      <c r="L2902" s="451" t="n">
        <v>0</v>
      </c>
      <c r="M2902" s="451" t="n">
        <v>0</v>
      </c>
      <c r="N2902" s="467" t="n">
        <v>0</v>
      </c>
      <c r="O2902" s="467" t="n">
        <v>0</v>
      </c>
      <c r="P2902" s="467" t="n"/>
      <c r="Q2902" s="453" t="n"/>
      <c r="R2902" s="453" t="n"/>
      <c r="S2902" s="453" t="n"/>
      <c r="T2902" s="453" t="n"/>
      <c r="U2902" s="453" t="n"/>
      <c r="V2902" s="453" t="n"/>
    </row>
    <row r="2903" customFormat="1" s="21">
      <c r="A2903" s="411" t="inlineStr">
        <is>
          <t>Tropical Montane</t>
        </is>
      </c>
      <c r="B2903" s="467" t="n">
        <v>0</v>
      </c>
      <c r="C2903" s="467" t="n">
        <v>0</v>
      </c>
      <c r="D2903" s="467" t="n">
        <v>4.4</v>
      </c>
      <c r="E2903" s="467" t="n">
        <v>1.7</v>
      </c>
      <c r="F2903" s="467" t="n">
        <v>0.6</v>
      </c>
      <c r="G2903" s="467" t="n">
        <v>0</v>
      </c>
      <c r="H2903" s="467" t="n">
        <v>0</v>
      </c>
      <c r="I2903" s="467" t="n">
        <v>0</v>
      </c>
      <c r="J2903" s="467" t="n">
        <v>0</v>
      </c>
      <c r="K2903" s="467" t="n">
        <v>0</v>
      </c>
      <c r="L2903" s="451" t="n">
        <v>0</v>
      </c>
      <c r="M2903" s="451" t="n">
        <v>0</v>
      </c>
      <c r="N2903" s="467" t="n">
        <v>0</v>
      </c>
      <c r="O2903" s="467" t="n">
        <v>0</v>
      </c>
      <c r="P2903" s="467" t="n"/>
      <c r="Q2903" s="453" t="n"/>
      <c r="R2903" s="453" t="n"/>
      <c r="S2903" s="453" t="n"/>
      <c r="T2903" s="453" t="n"/>
      <c r="U2903" s="453" t="n"/>
      <c r="V2903" s="453" t="n"/>
    </row>
    <row r="2904" customFormat="1" s="21">
      <c r="A2904" s="411" t="inlineStr">
        <is>
          <t>Tropical Wet</t>
        </is>
      </c>
      <c r="B2904" s="467" t="n">
        <v>0</v>
      </c>
      <c r="C2904" s="467" t="n">
        <v>0</v>
      </c>
      <c r="D2904" s="467" t="n">
        <v>4.4</v>
      </c>
      <c r="E2904" s="467" t="n">
        <v>1.7</v>
      </c>
      <c r="F2904" s="467" t="n">
        <v>0.6</v>
      </c>
      <c r="G2904" s="467" t="n">
        <v>0</v>
      </c>
      <c r="H2904" s="467" t="n">
        <v>0</v>
      </c>
      <c r="I2904" s="467" t="n">
        <v>0</v>
      </c>
      <c r="J2904" s="467" t="n">
        <v>0</v>
      </c>
      <c r="K2904" s="467" t="n">
        <v>0</v>
      </c>
      <c r="L2904" s="468" t="n">
        <v>0</v>
      </c>
      <c r="M2904" s="451" t="n">
        <v>0</v>
      </c>
      <c r="N2904" s="467" t="n">
        <v>0</v>
      </c>
      <c r="O2904" s="467" t="n">
        <v>0</v>
      </c>
      <c r="P2904" s="467" t="n"/>
    </row>
    <row r="2905" customFormat="1" s="453">
      <c r="A2905" s="411" t="inlineStr">
        <is>
          <t>Tropical Moist</t>
        </is>
      </c>
      <c r="B2905" s="467" t="n">
        <v>0</v>
      </c>
      <c r="C2905" s="467" t="n">
        <v>0</v>
      </c>
      <c r="D2905" s="467" t="n">
        <v>4.4</v>
      </c>
      <c r="E2905" s="467" t="n">
        <v>1.7</v>
      </c>
      <c r="F2905" s="467" t="n">
        <v>0.6</v>
      </c>
      <c r="G2905" s="467" t="n">
        <v>0</v>
      </c>
      <c r="H2905" s="467" t="n">
        <v>0</v>
      </c>
      <c r="I2905" s="467" t="n">
        <v>0</v>
      </c>
      <c r="J2905" s="467" t="n">
        <v>0</v>
      </c>
      <c r="K2905" s="467" t="n">
        <v>0</v>
      </c>
      <c r="L2905" s="451" t="n">
        <v>0</v>
      </c>
      <c r="M2905" s="451" t="n">
        <v>0</v>
      </c>
      <c r="N2905" s="467" t="n">
        <v>0</v>
      </c>
      <c r="O2905" s="467" t="n">
        <v>0</v>
      </c>
      <c r="P2905" s="467" t="n"/>
    </row>
    <row r="2906" customFormat="1" s="453">
      <c r="A2906" s="411" t="inlineStr">
        <is>
          <t>Tropical Dry</t>
        </is>
      </c>
      <c r="B2906" s="467" t="n">
        <v>0</v>
      </c>
      <c r="C2906" s="467" t="n">
        <v>0</v>
      </c>
      <c r="D2906" s="467" t="n">
        <v>4.4</v>
      </c>
      <c r="E2906" s="467" t="n">
        <v>1.7</v>
      </c>
      <c r="F2906" s="467" t="n">
        <v>0.6</v>
      </c>
      <c r="G2906" s="467" t="n">
        <v>0</v>
      </c>
      <c r="H2906" s="467" t="n">
        <v>0</v>
      </c>
      <c r="I2906" s="467" t="n">
        <v>0</v>
      </c>
      <c r="J2906" s="467" t="n">
        <v>0</v>
      </c>
      <c r="K2906" s="467" t="n">
        <v>0</v>
      </c>
      <c r="L2906" s="468" t="n">
        <v>0</v>
      </c>
      <c r="M2906" s="451" t="n">
        <v>0</v>
      </c>
      <c r="N2906" s="467" t="n">
        <v>0</v>
      </c>
      <c r="O2906" s="467" t="n">
        <v>0</v>
      </c>
      <c r="P2906" s="467" t="n"/>
    </row>
    <row r="2907" customFormat="1" s="535">
      <c r="A2907" s="518" t="inlineStr">
        <is>
          <t xml:space="preserve">Notes :  </t>
        </is>
      </c>
      <c r="F2907" s="1624" t="n"/>
      <c r="G2907" s="1624" t="n"/>
      <c r="H2907" s="1624" t="n"/>
      <c r="I2907" s="1624" t="n"/>
      <c r="J2907" s="1624" t="n"/>
      <c r="K2907" s="1624" t="n"/>
      <c r="L2907" s="1624" t="n"/>
      <c r="M2907" s="1624" t="n"/>
      <c r="N2907" s="1624" t="n"/>
    </row>
    <row r="2908" customFormat="1" s="292"/>
    <row r="2910" ht="14.25" customFormat="1" customHeight="1" s="125">
      <c r="A2910" s="377" t="inlineStr">
        <is>
          <t>Emission factors CH4 manure management</t>
        </is>
      </c>
      <c r="D2910" s="1075" t="n"/>
      <c r="E2910" s="1075" t="n"/>
      <c r="F2910" s="1075" t="n"/>
      <c r="G2910" s="1075" t="n"/>
      <c r="H2910" s="1075" t="n"/>
      <c r="I2910" s="1075" t="n"/>
      <c r="L2910" s="1075" t="n"/>
    </row>
    <row r="2911" ht="16.25" customFormat="1" customHeight="1" s="773">
      <c r="A2911" s="753" t="inlineStr">
        <is>
          <t>Camels HP</t>
        </is>
      </c>
      <c r="B2911" s="442" t="inlineStr">
        <is>
          <t>Table 10.14</t>
        </is>
      </c>
      <c r="C2911" s="442" t="inlineStr">
        <is>
          <t>Table 10.14</t>
        </is>
      </c>
      <c r="D2911" s="442" t="inlineStr">
        <is>
          <t>Table 10.14</t>
        </is>
      </c>
      <c r="E2911" s="442" t="inlineStr">
        <is>
          <t>Table 10.14</t>
        </is>
      </c>
      <c r="F2911" s="442" t="inlineStr">
        <is>
          <t>Table 10.14</t>
        </is>
      </c>
      <c r="G2911" s="442" t="inlineStr">
        <is>
          <t>Table 10.14</t>
        </is>
      </c>
      <c r="H2911" s="442" t="inlineStr">
        <is>
          <t>Table 10.14</t>
        </is>
      </c>
      <c r="I2911" s="442" t="inlineStr">
        <is>
          <t>Table 10.14</t>
        </is>
      </c>
      <c r="J2911" s="442" t="inlineStr">
        <is>
          <t>Table 10.14</t>
        </is>
      </c>
      <c r="K2911" s="442" t="inlineStr">
        <is>
          <t>Table 10.14</t>
        </is>
      </c>
      <c r="L2911" s="442" t="inlineStr">
        <is>
          <t>Table 10.14</t>
        </is>
      </c>
      <c r="M2911" s="442" t="inlineStr">
        <is>
          <t>Table 10.14</t>
        </is>
      </c>
      <c r="N2911" s="442" t="inlineStr">
        <is>
          <t>Table 10.14</t>
        </is>
      </c>
      <c r="O2911" s="442" t="inlineStr">
        <is>
          <t>Table 10.14</t>
        </is>
      </c>
      <c r="P2911" s="442" t="n"/>
      <c r="Q2911" s="442" t="n"/>
      <c r="R2911" s="442" t="n"/>
      <c r="S2911" s="442" t="n"/>
      <c r="T2911" s="442" t="n"/>
      <c r="U2911" s="442" t="n"/>
      <c r="V2911" s="442" t="n"/>
    </row>
    <row r="2912" ht="16" customFormat="1" customHeight="1" s="291">
      <c r="A2912" s="1641" t="inlineStr">
        <is>
          <t>Please select</t>
        </is>
      </c>
      <c r="B2912" s="1642" t="inlineStr">
        <is>
          <t>Lagoon</t>
        </is>
      </c>
      <c r="C2912" s="1642" t="inlineStr">
        <is>
          <t>Liquid/slurry</t>
        </is>
      </c>
      <c r="D2912" s="1642" t="inlineStr">
        <is>
          <t>Solid storage</t>
        </is>
      </c>
      <c r="E2912" s="1642" t="inlineStr">
        <is>
          <t>Dry lot</t>
        </is>
      </c>
      <c r="F2912" s="1642" t="inlineStr">
        <is>
          <t>Pasture/Range/Paddock</t>
        </is>
      </c>
      <c r="G2912" s="1642" t="inlineStr">
        <is>
          <t>Daily spread</t>
        </is>
      </c>
      <c r="H2912" s="1642" t="inlineStr">
        <is>
          <t>Digester</t>
        </is>
      </c>
      <c r="I2912" s="1642" t="inlineStr">
        <is>
          <t>Burned for fuel</t>
        </is>
      </c>
      <c r="J2912" s="1642" t="inlineStr">
        <is>
          <t>Pit&lt;1Month</t>
        </is>
      </c>
      <c r="K2912" s="1642" t="inlineStr">
        <is>
          <t>Pit&gt;1 month</t>
        </is>
      </c>
      <c r="L2912" s="1642" t="inlineStr">
        <is>
          <t>Poultry manure</t>
        </is>
      </c>
      <c r="M2912" s="291" t="inlineStr">
        <is>
          <t>Deep bedding</t>
        </is>
      </c>
      <c r="N2912" s="2156" t="inlineStr">
        <is>
          <t>Composting</t>
        </is>
      </c>
      <c r="O2912" s="2156" t="inlineStr">
        <is>
          <t>Aerobic treatment</t>
        </is>
      </c>
      <c r="P2912" s="1658" t="inlineStr">
        <is>
          <t>Other (pls. go Tier 2)</t>
        </is>
      </c>
      <c r="Q2912" s="453" t="n"/>
      <c r="R2912" s="453" t="n"/>
      <c r="S2912" s="453" t="n"/>
      <c r="T2912" s="453" t="n"/>
      <c r="U2912" s="453" t="n"/>
      <c r="V2912" s="453" t="n"/>
      <c r="W2912" s="21" t="n"/>
      <c r="X2912" s="21" t="n"/>
    </row>
    <row r="2913" ht="16" customFormat="1" customHeight="1" s="1093">
      <c r="A2913" s="523" t="inlineStr">
        <is>
          <t>Climate zone</t>
        </is>
      </c>
      <c r="B2913" s="1636" t="inlineStr">
        <is>
          <t>gCH4/kg Vs</t>
        </is>
      </c>
      <c r="C2913" s="1636" t="inlineStr">
        <is>
          <t>gCH4/kg Vs</t>
        </is>
      </c>
      <c r="D2913" s="1636" t="inlineStr">
        <is>
          <t>gCH4/kg Vs</t>
        </is>
      </c>
      <c r="E2913" s="1636" t="inlineStr">
        <is>
          <t>gCH4/kg Vs</t>
        </is>
      </c>
      <c r="F2913" s="1636" t="inlineStr">
        <is>
          <t>gCH4/kg Vs</t>
        </is>
      </c>
      <c r="G2913" s="1636" t="inlineStr">
        <is>
          <t>gCH4/kg Vs</t>
        </is>
      </c>
      <c r="H2913" s="1636" t="inlineStr">
        <is>
          <t>gCH4/kg Vs</t>
        </is>
      </c>
      <c r="I2913" s="1636" t="inlineStr">
        <is>
          <t>gCH4/kg Vs</t>
        </is>
      </c>
      <c r="J2913" s="1636" t="inlineStr">
        <is>
          <t>gCH4/kg Vs</t>
        </is>
      </c>
      <c r="K2913" s="1636" t="inlineStr">
        <is>
          <t>gCH4/kg Vs</t>
        </is>
      </c>
      <c r="L2913" s="1631" t="inlineStr">
        <is>
          <t>gCH4/kg Vs</t>
        </is>
      </c>
      <c r="M2913" s="1631" t="inlineStr">
        <is>
          <t>gCH4/kg Vs</t>
        </is>
      </c>
      <c r="N2913" s="732" t="inlineStr">
        <is>
          <t>gCH4/kg Vs</t>
        </is>
      </c>
      <c r="O2913" s="732" t="inlineStr">
        <is>
          <t>gCH4/kg Vs</t>
        </is>
      </c>
      <c r="P2913" s="732" t="n"/>
      <c r="Q2913" s="1092" t="n"/>
      <c r="R2913" s="1092" t="n"/>
      <c r="S2913" s="1092" t="n"/>
      <c r="T2913" s="1092" t="n"/>
      <c r="U2913" s="1092" t="n"/>
      <c r="V2913" s="1092" t="n"/>
    </row>
    <row r="2914" customFormat="1" s="21">
      <c r="A2914" s="410" t="inlineStr">
        <is>
          <t>Cool Temperate Moist</t>
        </is>
      </c>
      <c r="B2914" s="470" t="n">
        <v>0</v>
      </c>
      <c r="C2914" s="470" t="n">
        <v>0</v>
      </c>
      <c r="D2914" s="470" t="n">
        <v>3.5</v>
      </c>
      <c r="E2914" s="470" t="n">
        <v>1.7</v>
      </c>
      <c r="F2914" s="470" t="n">
        <v>0.6</v>
      </c>
      <c r="G2914" s="470" t="n">
        <v>0</v>
      </c>
      <c r="H2914" s="470" t="n">
        <v>0</v>
      </c>
      <c r="I2914" s="470" t="n">
        <v>0</v>
      </c>
      <c r="J2914" s="470" t="n">
        <v>0</v>
      </c>
      <c r="K2914" s="470" t="n">
        <v>0</v>
      </c>
      <c r="L2914" s="1640" t="n">
        <v>0</v>
      </c>
      <c r="M2914" s="451" t="n">
        <v>0</v>
      </c>
      <c r="N2914" s="467" t="n">
        <v>0</v>
      </c>
      <c r="O2914" s="467" t="n">
        <v>0</v>
      </c>
      <c r="P2914" s="467" t="n"/>
      <c r="Q2914" s="453" t="n"/>
      <c r="R2914" s="453" t="n"/>
      <c r="S2914" s="453" t="n"/>
      <c r="T2914" s="453" t="n"/>
      <c r="U2914" s="453" t="n"/>
      <c r="V2914" s="453" t="n"/>
    </row>
    <row r="2915" customFormat="1" s="21">
      <c r="A2915" s="411" t="inlineStr">
        <is>
          <t>Cool Temperate Dry</t>
        </is>
      </c>
      <c r="B2915" s="467" t="n">
        <v>0</v>
      </c>
      <c r="C2915" s="467" t="n">
        <v>0</v>
      </c>
      <c r="D2915" s="467" t="n">
        <v>3.5</v>
      </c>
      <c r="E2915" s="467" t="n">
        <v>1.7</v>
      </c>
      <c r="F2915" s="467" t="n">
        <v>0.6</v>
      </c>
      <c r="G2915" s="467" t="n">
        <v>0</v>
      </c>
      <c r="H2915" s="467" t="n">
        <v>0</v>
      </c>
      <c r="I2915" s="467" t="n">
        <v>0</v>
      </c>
      <c r="J2915" s="467" t="n">
        <v>0</v>
      </c>
      <c r="K2915" s="467" t="n">
        <v>0</v>
      </c>
      <c r="L2915" s="451" t="n">
        <v>0</v>
      </c>
      <c r="M2915" s="451" t="n">
        <v>0</v>
      </c>
      <c r="N2915" s="467" t="n">
        <v>0</v>
      </c>
      <c r="O2915" s="467" t="n">
        <v>0</v>
      </c>
      <c r="P2915" s="467" t="n"/>
      <c r="Q2915" s="453" t="n"/>
      <c r="R2915" s="453" t="n"/>
      <c r="S2915" s="453" t="n"/>
      <c r="T2915" s="453" t="n"/>
      <c r="U2915" s="453" t="n"/>
      <c r="V2915" s="453" t="n"/>
    </row>
    <row r="2916" customFormat="1" s="21">
      <c r="A2916" s="411" t="inlineStr">
        <is>
          <t>Boreal Moist</t>
        </is>
      </c>
      <c r="B2916" s="467" t="n">
        <v>0</v>
      </c>
      <c r="C2916" s="467" t="n">
        <v>0</v>
      </c>
      <c r="D2916" s="467" t="n">
        <v>3.5</v>
      </c>
      <c r="E2916" s="467" t="n">
        <v>1.7</v>
      </c>
      <c r="F2916" s="467" t="n">
        <v>0.6</v>
      </c>
      <c r="G2916" s="467" t="n">
        <v>0</v>
      </c>
      <c r="H2916" s="467" t="n">
        <v>0</v>
      </c>
      <c r="I2916" s="467" t="n">
        <v>0</v>
      </c>
      <c r="J2916" s="467" t="n">
        <v>0</v>
      </c>
      <c r="K2916" s="467" t="n">
        <v>0</v>
      </c>
      <c r="L2916" s="468" t="n">
        <v>0</v>
      </c>
      <c r="M2916" s="451" t="n">
        <v>0</v>
      </c>
      <c r="N2916" s="467" t="n">
        <v>0</v>
      </c>
      <c r="O2916" s="467" t="n">
        <v>0</v>
      </c>
      <c r="P2916" s="467" t="n"/>
      <c r="Q2916" s="453" t="n"/>
      <c r="R2916" s="453" t="n"/>
      <c r="S2916" s="453" t="n"/>
      <c r="T2916" s="453" t="n"/>
      <c r="U2916" s="453" t="n"/>
      <c r="V2916" s="453" t="n"/>
    </row>
    <row r="2917" customFormat="1" s="21">
      <c r="A2917" s="411" t="inlineStr">
        <is>
          <t>Boreal Dry</t>
        </is>
      </c>
      <c r="B2917" s="467" t="n">
        <v>0</v>
      </c>
      <c r="C2917" s="467" t="n">
        <v>0</v>
      </c>
      <c r="D2917" s="467" t="n">
        <v>3.5</v>
      </c>
      <c r="E2917" s="467" t="n">
        <v>1.7</v>
      </c>
      <c r="F2917" s="467" t="n">
        <v>0.6</v>
      </c>
      <c r="G2917" s="467" t="n">
        <v>0</v>
      </c>
      <c r="H2917" s="467" t="n">
        <v>0</v>
      </c>
      <c r="I2917" s="467" t="n">
        <v>0</v>
      </c>
      <c r="J2917" s="467" t="n">
        <v>0</v>
      </c>
      <c r="K2917" s="467" t="n">
        <v>0</v>
      </c>
      <c r="L2917" s="451" t="n">
        <v>0</v>
      </c>
      <c r="M2917" s="451" t="n">
        <v>0</v>
      </c>
      <c r="N2917" s="467" t="n">
        <v>0</v>
      </c>
      <c r="O2917" s="467" t="n">
        <v>0</v>
      </c>
      <c r="P2917" s="467" t="n"/>
      <c r="Q2917" s="453" t="n"/>
      <c r="R2917" s="453" t="n"/>
      <c r="S2917" s="453" t="n"/>
      <c r="T2917" s="453" t="n"/>
      <c r="U2917" s="453" t="n"/>
      <c r="V2917" s="453" t="n"/>
    </row>
    <row r="2918" customFormat="1" s="21">
      <c r="A2918" s="411" t="inlineStr">
        <is>
          <t>Warm Temperate Moist</t>
        </is>
      </c>
      <c r="B2918" s="467" t="n">
        <v>0</v>
      </c>
      <c r="C2918" s="467" t="n">
        <v>0</v>
      </c>
      <c r="D2918" s="467" t="n">
        <v>7</v>
      </c>
      <c r="E2918" s="467" t="n">
        <v>2.6</v>
      </c>
      <c r="F2918" s="467" t="n">
        <v>0.6</v>
      </c>
      <c r="G2918" s="467" t="n">
        <v>0</v>
      </c>
      <c r="H2918" s="467" t="n">
        <v>0</v>
      </c>
      <c r="I2918" s="467" t="n">
        <v>0</v>
      </c>
      <c r="J2918" s="467" t="n">
        <v>0</v>
      </c>
      <c r="K2918" s="467" t="n">
        <v>0</v>
      </c>
      <c r="L2918" s="451" t="n">
        <v>0</v>
      </c>
      <c r="M2918" s="451" t="n">
        <v>0</v>
      </c>
      <c r="N2918" s="467" t="n">
        <v>0</v>
      </c>
      <c r="O2918" s="467" t="n">
        <v>0</v>
      </c>
      <c r="P2918" s="467" t="n"/>
      <c r="Q2918" s="453" t="n"/>
      <c r="R2918" s="453" t="n"/>
      <c r="S2918" s="453" t="n"/>
      <c r="T2918" s="453" t="n"/>
      <c r="U2918" s="453" t="n"/>
      <c r="V2918" s="453" t="n"/>
    </row>
    <row r="2919" customFormat="1" s="21">
      <c r="A2919" s="411" t="inlineStr">
        <is>
          <t>Warm Temperate Dry</t>
        </is>
      </c>
      <c r="B2919" s="467" t="n">
        <v>0</v>
      </c>
      <c r="C2919" s="467" t="n">
        <v>0</v>
      </c>
      <c r="D2919" s="467" t="n">
        <v>7</v>
      </c>
      <c r="E2919" s="467" t="n">
        <v>2.6</v>
      </c>
      <c r="F2919" s="467" t="n">
        <v>0.6</v>
      </c>
      <c r="G2919" s="467" t="n">
        <v>0</v>
      </c>
      <c r="H2919" s="467" t="n">
        <v>0</v>
      </c>
      <c r="I2919" s="467" t="n">
        <v>0</v>
      </c>
      <c r="J2919" s="467" t="n">
        <v>0</v>
      </c>
      <c r="K2919" s="467" t="n">
        <v>0</v>
      </c>
      <c r="L2919" s="451" t="n">
        <v>0</v>
      </c>
      <c r="M2919" s="451" t="n">
        <v>0</v>
      </c>
      <c r="N2919" s="467" t="n">
        <v>0</v>
      </c>
      <c r="O2919" s="467" t="n">
        <v>0</v>
      </c>
      <c r="P2919" s="467" t="n"/>
      <c r="Q2919" s="453" t="n"/>
      <c r="R2919" s="453" t="n"/>
      <c r="S2919" s="453" t="n"/>
      <c r="T2919" s="453" t="n"/>
      <c r="U2919" s="453" t="n"/>
      <c r="V2919" s="453" t="n"/>
    </row>
    <row r="2920" customFormat="1" s="21">
      <c r="A2920" s="411" t="inlineStr">
        <is>
          <t>Tropical Montane</t>
        </is>
      </c>
      <c r="B2920" s="467" t="n">
        <v>0</v>
      </c>
      <c r="C2920" s="467" t="n">
        <v>0</v>
      </c>
      <c r="D2920" s="467" t="n">
        <v>8.699999999999999</v>
      </c>
      <c r="E2920" s="467" t="n">
        <v>0</v>
      </c>
      <c r="F2920" s="467" t="n">
        <v>0.6</v>
      </c>
      <c r="G2920" s="467" t="n">
        <v>0</v>
      </c>
      <c r="H2920" s="467" t="n">
        <v>0</v>
      </c>
      <c r="I2920" s="467" t="n">
        <v>0</v>
      </c>
      <c r="J2920" s="467" t="n">
        <v>0</v>
      </c>
      <c r="K2920" s="467" t="n">
        <v>0</v>
      </c>
      <c r="L2920" s="451" t="n">
        <v>0</v>
      </c>
      <c r="M2920" s="451" t="n">
        <v>0</v>
      </c>
      <c r="N2920" s="467" t="n">
        <v>0</v>
      </c>
      <c r="O2920" s="467" t="n">
        <v>0</v>
      </c>
      <c r="P2920" s="467" t="n"/>
      <c r="Q2920" s="453" t="n"/>
      <c r="R2920" s="453" t="n"/>
      <c r="S2920" s="453" t="n"/>
      <c r="T2920" s="453" t="n"/>
      <c r="U2920" s="453" t="n"/>
      <c r="V2920" s="453" t="n"/>
    </row>
    <row r="2921" customFormat="1" s="21">
      <c r="A2921" s="411" t="inlineStr">
        <is>
          <t>Tropical Wet</t>
        </is>
      </c>
      <c r="B2921" s="467" t="n">
        <v>0</v>
      </c>
      <c r="C2921" s="467" t="n">
        <v>0</v>
      </c>
      <c r="D2921" s="467" t="n">
        <v>8.699999999999999</v>
      </c>
      <c r="E2921" s="467" t="n">
        <v>0</v>
      </c>
      <c r="F2921" s="467" t="n">
        <v>0.6</v>
      </c>
      <c r="G2921" s="467" t="n">
        <v>0</v>
      </c>
      <c r="H2921" s="467" t="n">
        <v>0</v>
      </c>
      <c r="I2921" s="467" t="n">
        <v>0</v>
      </c>
      <c r="J2921" s="467" t="n">
        <v>0</v>
      </c>
      <c r="K2921" s="467" t="n">
        <v>0</v>
      </c>
      <c r="L2921" s="468" t="n">
        <v>0</v>
      </c>
      <c r="M2921" s="451" t="n">
        <v>0</v>
      </c>
      <c r="N2921" s="467" t="n">
        <v>0</v>
      </c>
      <c r="O2921" s="467" t="n">
        <v>0</v>
      </c>
      <c r="P2921" s="467" t="n"/>
    </row>
    <row r="2922" customFormat="1" s="453">
      <c r="A2922" s="411" t="inlineStr">
        <is>
          <t>Tropical Moist</t>
        </is>
      </c>
      <c r="B2922" s="467" t="n">
        <v>0</v>
      </c>
      <c r="C2922" s="467" t="n">
        <v>0</v>
      </c>
      <c r="D2922" s="467" t="n">
        <v>8.699999999999999</v>
      </c>
      <c r="E2922" s="467" t="n">
        <v>0</v>
      </c>
      <c r="F2922" s="467" t="n">
        <v>0.6</v>
      </c>
      <c r="G2922" s="467" t="n">
        <v>0</v>
      </c>
      <c r="H2922" s="467" t="n">
        <v>0</v>
      </c>
      <c r="I2922" s="467" t="n">
        <v>0</v>
      </c>
      <c r="J2922" s="467" t="n">
        <v>0</v>
      </c>
      <c r="K2922" s="467" t="n">
        <v>0</v>
      </c>
      <c r="L2922" s="451" t="n">
        <v>0</v>
      </c>
      <c r="M2922" s="451" t="n">
        <v>0</v>
      </c>
      <c r="N2922" s="467" t="n">
        <v>0</v>
      </c>
      <c r="O2922" s="467" t="n">
        <v>0</v>
      </c>
      <c r="P2922" s="467" t="n"/>
    </row>
    <row r="2923" customFormat="1" s="453">
      <c r="A2923" s="411" t="inlineStr">
        <is>
          <t>Tropical Dry</t>
        </is>
      </c>
      <c r="B2923" s="467" t="n">
        <v>0</v>
      </c>
      <c r="C2923" s="467" t="n">
        <v>0</v>
      </c>
      <c r="D2923" s="467" t="n">
        <v>8.699999999999999</v>
      </c>
      <c r="E2923" s="467" t="n">
        <v>0</v>
      </c>
      <c r="F2923" s="467" t="n">
        <v>0.6</v>
      </c>
      <c r="G2923" s="467" t="n">
        <v>0</v>
      </c>
      <c r="H2923" s="467" t="n">
        <v>0</v>
      </c>
      <c r="I2923" s="467" t="n">
        <v>0</v>
      </c>
      <c r="J2923" s="467" t="n">
        <v>0</v>
      </c>
      <c r="K2923" s="467" t="n">
        <v>0</v>
      </c>
      <c r="L2923" s="468" t="n">
        <v>0</v>
      </c>
      <c r="M2923" s="451" t="n">
        <v>0</v>
      </c>
      <c r="N2923" s="467" t="n">
        <v>0</v>
      </c>
      <c r="O2923" s="467" t="n">
        <v>0</v>
      </c>
      <c r="P2923" s="467" t="n"/>
    </row>
    <row r="2924" customFormat="1" s="535">
      <c r="A2924" s="518" t="inlineStr">
        <is>
          <t xml:space="preserve">Notes :  </t>
        </is>
      </c>
      <c r="F2924" s="1624" t="n"/>
      <c r="G2924" s="1624" t="n"/>
      <c r="H2924" s="1624" t="n"/>
      <c r="I2924" s="1624" t="n"/>
      <c r="J2924" s="1624" t="n"/>
      <c r="K2924" s="1624" t="n"/>
      <c r="L2924" s="1624" t="n"/>
      <c r="M2924" s="1624" t="n"/>
      <c r="N2924" s="1624" t="n"/>
    </row>
    <row r="2925" customFormat="1" s="292"/>
    <row r="2927" ht="14.25" customFormat="1" customHeight="1" s="125">
      <c r="A2927" s="377" t="inlineStr">
        <is>
          <t>Emission factors CH4 manure management</t>
        </is>
      </c>
      <c r="D2927" s="1075" t="n"/>
      <c r="E2927" s="1075" t="n"/>
      <c r="F2927" s="1075" t="n"/>
      <c r="G2927" s="1075" t="n"/>
      <c r="H2927" s="1075" t="n"/>
      <c r="I2927" s="1075" t="n"/>
      <c r="L2927" s="1075" t="n"/>
    </row>
    <row r="2928" ht="16.25" customFormat="1" customHeight="1" s="773">
      <c r="A2928" s="753" t="inlineStr">
        <is>
          <t>Camels LP</t>
        </is>
      </c>
      <c r="B2928" s="442" t="inlineStr">
        <is>
          <t>Table 10.14</t>
        </is>
      </c>
      <c r="C2928" s="442" t="inlineStr">
        <is>
          <t>Table 10.14</t>
        </is>
      </c>
      <c r="D2928" s="442" t="inlineStr">
        <is>
          <t>Table 10.14</t>
        </is>
      </c>
      <c r="E2928" s="442" t="inlineStr">
        <is>
          <t>Table 10.14</t>
        </is>
      </c>
      <c r="F2928" s="442" t="inlineStr">
        <is>
          <t>Table 10.14</t>
        </is>
      </c>
      <c r="G2928" s="442" t="inlineStr">
        <is>
          <t>Table 10.14</t>
        </is>
      </c>
      <c r="H2928" s="442" t="inlineStr">
        <is>
          <t>Table 10.14</t>
        </is>
      </c>
      <c r="I2928" s="442" t="inlineStr">
        <is>
          <t>Table 10.14</t>
        </is>
      </c>
      <c r="J2928" s="442" t="inlineStr">
        <is>
          <t>Table 10.14</t>
        </is>
      </c>
      <c r="K2928" s="442" t="inlineStr">
        <is>
          <t>Table 10.14</t>
        </is>
      </c>
      <c r="L2928" s="442" t="inlineStr">
        <is>
          <t>Table 10.14</t>
        </is>
      </c>
      <c r="M2928" s="442" t="inlineStr">
        <is>
          <t>Table 10.14</t>
        </is>
      </c>
      <c r="N2928" s="442" t="inlineStr">
        <is>
          <t>Table 10.14</t>
        </is>
      </c>
      <c r="O2928" s="442" t="inlineStr">
        <is>
          <t>Table 10.14</t>
        </is>
      </c>
      <c r="P2928" s="442" t="n"/>
      <c r="Q2928" s="442" t="n"/>
      <c r="R2928" s="442" t="n"/>
      <c r="S2928" s="442" t="n"/>
      <c r="T2928" s="442" t="n"/>
      <c r="U2928" s="442" t="n"/>
      <c r="V2928" s="442" t="n"/>
    </row>
    <row r="2929" ht="16" customFormat="1" customHeight="1" s="291">
      <c r="A2929" s="1641" t="inlineStr">
        <is>
          <t>Please select</t>
        </is>
      </c>
      <c r="B2929" s="1642" t="inlineStr">
        <is>
          <t>Lagoon</t>
        </is>
      </c>
      <c r="C2929" s="1642" t="inlineStr">
        <is>
          <t>Liquid/slurry</t>
        </is>
      </c>
      <c r="D2929" s="1642" t="inlineStr">
        <is>
          <t>Solid storage</t>
        </is>
      </c>
      <c r="E2929" s="1642" t="inlineStr">
        <is>
          <t>Dry lot</t>
        </is>
      </c>
      <c r="F2929" s="1642" t="inlineStr">
        <is>
          <t>Pasture/Range/Paddock</t>
        </is>
      </c>
      <c r="G2929" s="1642" t="inlineStr">
        <is>
          <t>Daily spread</t>
        </is>
      </c>
      <c r="H2929" s="1642" t="inlineStr">
        <is>
          <t>Digester</t>
        </is>
      </c>
      <c r="I2929" s="1642" t="inlineStr">
        <is>
          <t>Burned for fuel</t>
        </is>
      </c>
      <c r="J2929" s="1642" t="inlineStr">
        <is>
          <t>Pit&lt;1Month</t>
        </is>
      </c>
      <c r="K2929" s="1642" t="inlineStr">
        <is>
          <t>Pit&gt;1 month</t>
        </is>
      </c>
      <c r="L2929" s="1642" t="inlineStr">
        <is>
          <t>Poultry manure</t>
        </is>
      </c>
      <c r="M2929" s="291" t="inlineStr">
        <is>
          <t>Deep bedding</t>
        </is>
      </c>
      <c r="N2929" s="2156" t="inlineStr">
        <is>
          <t>Composting</t>
        </is>
      </c>
      <c r="O2929" s="2156" t="inlineStr">
        <is>
          <t>Aerobic treatment</t>
        </is>
      </c>
      <c r="P2929" s="1658" t="inlineStr">
        <is>
          <t>Other (pls. go Tier 2)</t>
        </is>
      </c>
      <c r="Q2929" s="453" t="n"/>
      <c r="R2929" s="453" t="n"/>
      <c r="S2929" s="453" t="n"/>
      <c r="T2929" s="453" t="n"/>
      <c r="U2929" s="453" t="n"/>
      <c r="V2929" s="453" t="n"/>
      <c r="W2929" s="21" t="n"/>
      <c r="X2929" s="21" t="n"/>
    </row>
    <row r="2930" ht="16" customFormat="1" customHeight="1" s="1093">
      <c r="A2930" s="523" t="inlineStr">
        <is>
          <t>Climate zone</t>
        </is>
      </c>
      <c r="B2930" s="1636" t="inlineStr">
        <is>
          <t>gCH4/kg Vs</t>
        </is>
      </c>
      <c r="C2930" s="1636" t="inlineStr">
        <is>
          <t>gCH4/kg Vs</t>
        </is>
      </c>
      <c r="D2930" s="1636" t="inlineStr">
        <is>
          <t>gCH4/kg Vs</t>
        </is>
      </c>
      <c r="E2930" s="1636" t="inlineStr">
        <is>
          <t>gCH4/kg Vs</t>
        </is>
      </c>
      <c r="F2930" s="1636" t="inlineStr">
        <is>
          <t>gCH4/kg Vs</t>
        </is>
      </c>
      <c r="G2930" s="1636" t="inlineStr">
        <is>
          <t>gCH4/kg Vs</t>
        </is>
      </c>
      <c r="H2930" s="1636" t="inlineStr">
        <is>
          <t>gCH4/kg Vs</t>
        </is>
      </c>
      <c r="I2930" s="1636" t="inlineStr">
        <is>
          <t>gCH4/kg Vs</t>
        </is>
      </c>
      <c r="J2930" s="1636" t="inlineStr">
        <is>
          <t>gCH4/kg Vs</t>
        </is>
      </c>
      <c r="K2930" s="1636" t="inlineStr">
        <is>
          <t>gCH4/kg Vs</t>
        </is>
      </c>
      <c r="L2930" s="1631" t="inlineStr">
        <is>
          <t>gCH4/kg Vs</t>
        </is>
      </c>
      <c r="M2930" s="1631" t="inlineStr">
        <is>
          <t>gCH4/kg Vs</t>
        </is>
      </c>
      <c r="N2930" s="732" t="inlineStr">
        <is>
          <t>gCH4/kg Vs</t>
        </is>
      </c>
      <c r="O2930" s="732" t="inlineStr">
        <is>
          <t>gCH4/kg Vs</t>
        </is>
      </c>
      <c r="P2930" s="732" t="n"/>
      <c r="Q2930" s="1092" t="n"/>
      <c r="R2930" s="1092" t="n"/>
      <c r="S2930" s="1092" t="n"/>
      <c r="T2930" s="1092" t="n"/>
      <c r="U2930" s="1092" t="n"/>
      <c r="V2930" s="1092" t="n"/>
    </row>
    <row r="2931" customFormat="1" s="21">
      <c r="A2931" s="410" t="inlineStr">
        <is>
          <t>Cool Temperate Moist</t>
        </is>
      </c>
      <c r="B2931" s="470" t="n">
        <v>0</v>
      </c>
      <c r="C2931" s="470" t="n">
        <v>0</v>
      </c>
      <c r="D2931" s="470" t="n">
        <v>2.8</v>
      </c>
      <c r="E2931" s="470" t="n">
        <v>1.4</v>
      </c>
      <c r="F2931" s="470" t="n">
        <v>0.6</v>
      </c>
      <c r="G2931" s="470" t="n">
        <v>0</v>
      </c>
      <c r="H2931" s="470" t="n">
        <v>0</v>
      </c>
      <c r="I2931" s="470" t="n">
        <v>0</v>
      </c>
      <c r="J2931" s="470" t="n">
        <v>0</v>
      </c>
      <c r="K2931" s="470" t="n">
        <v>0</v>
      </c>
      <c r="L2931" s="1640" t="n">
        <v>0</v>
      </c>
      <c r="M2931" s="451" t="n">
        <v>0</v>
      </c>
      <c r="N2931" s="467" t="n">
        <v>0</v>
      </c>
      <c r="O2931" s="467" t="n">
        <v>0</v>
      </c>
      <c r="P2931" s="467" t="n"/>
      <c r="Q2931" s="453" t="n"/>
      <c r="R2931" s="453" t="n"/>
      <c r="S2931" s="453" t="n"/>
      <c r="T2931" s="453" t="n"/>
      <c r="U2931" s="453" t="n"/>
      <c r="V2931" s="453" t="n"/>
    </row>
    <row r="2932" customFormat="1" s="21">
      <c r="A2932" s="411" t="inlineStr">
        <is>
          <t>Cool Temperate Dry</t>
        </is>
      </c>
      <c r="B2932" s="467" t="n">
        <v>0</v>
      </c>
      <c r="C2932" s="467" t="n">
        <v>0</v>
      </c>
      <c r="D2932" s="467" t="n">
        <v>2.8</v>
      </c>
      <c r="E2932" s="467" t="n">
        <v>1.4</v>
      </c>
      <c r="F2932" s="467" t="n">
        <v>0.6</v>
      </c>
      <c r="G2932" s="467" t="n">
        <v>0</v>
      </c>
      <c r="H2932" s="467" t="n">
        <v>0</v>
      </c>
      <c r="I2932" s="467" t="n">
        <v>0</v>
      </c>
      <c r="J2932" s="467" t="n">
        <v>0</v>
      </c>
      <c r="K2932" s="467" t="n">
        <v>0</v>
      </c>
      <c r="L2932" s="451" t="n">
        <v>0</v>
      </c>
      <c r="M2932" s="451" t="n">
        <v>0</v>
      </c>
      <c r="N2932" s="467" t="n">
        <v>0</v>
      </c>
      <c r="O2932" s="467" t="n">
        <v>0</v>
      </c>
      <c r="P2932" s="467" t="n"/>
      <c r="Q2932" s="453" t="n"/>
      <c r="R2932" s="453" t="n"/>
      <c r="S2932" s="453" t="n"/>
      <c r="T2932" s="453" t="n"/>
      <c r="U2932" s="453" t="n"/>
      <c r="V2932" s="453" t="n"/>
    </row>
    <row r="2933" customFormat="1" s="21">
      <c r="A2933" s="411" t="inlineStr">
        <is>
          <t>Boreal Moist</t>
        </is>
      </c>
      <c r="B2933" s="467" t="n">
        <v>0</v>
      </c>
      <c r="C2933" s="467" t="n">
        <v>0</v>
      </c>
      <c r="D2933" s="467" t="n">
        <v>2.8</v>
      </c>
      <c r="E2933" s="467" t="n">
        <v>1.4</v>
      </c>
      <c r="F2933" s="467" t="n">
        <v>0.6</v>
      </c>
      <c r="G2933" s="467" t="n">
        <v>0</v>
      </c>
      <c r="H2933" s="467" t="n">
        <v>0</v>
      </c>
      <c r="I2933" s="467" t="n">
        <v>0</v>
      </c>
      <c r="J2933" s="467" t="n">
        <v>0</v>
      </c>
      <c r="K2933" s="467" t="n">
        <v>0</v>
      </c>
      <c r="L2933" s="468" t="n">
        <v>0</v>
      </c>
      <c r="M2933" s="451" t="n">
        <v>0</v>
      </c>
      <c r="N2933" s="467" t="n">
        <v>0</v>
      </c>
      <c r="O2933" s="467" t="n">
        <v>0</v>
      </c>
      <c r="P2933" s="467" t="n"/>
      <c r="Q2933" s="453" t="n"/>
      <c r="R2933" s="453" t="n"/>
      <c r="S2933" s="453" t="n"/>
      <c r="T2933" s="453" t="n"/>
      <c r="U2933" s="453" t="n"/>
      <c r="V2933" s="453" t="n"/>
    </row>
    <row r="2934" customFormat="1" s="21">
      <c r="A2934" s="411" t="inlineStr">
        <is>
          <t>Boreal Dry</t>
        </is>
      </c>
      <c r="B2934" s="467" t="n">
        <v>0</v>
      </c>
      <c r="C2934" s="467" t="n">
        <v>0</v>
      </c>
      <c r="D2934" s="467" t="n">
        <v>2.8</v>
      </c>
      <c r="E2934" s="467" t="n">
        <v>1.4</v>
      </c>
      <c r="F2934" s="467" t="n">
        <v>0.6</v>
      </c>
      <c r="G2934" s="467" t="n">
        <v>0</v>
      </c>
      <c r="H2934" s="467" t="n">
        <v>0</v>
      </c>
      <c r="I2934" s="467" t="n">
        <v>0</v>
      </c>
      <c r="J2934" s="467" t="n">
        <v>0</v>
      </c>
      <c r="K2934" s="467" t="n">
        <v>0</v>
      </c>
      <c r="L2934" s="451" t="n">
        <v>0</v>
      </c>
      <c r="M2934" s="451" t="n">
        <v>0</v>
      </c>
      <c r="N2934" s="467" t="n">
        <v>0</v>
      </c>
      <c r="O2934" s="467" t="n">
        <v>0</v>
      </c>
      <c r="P2934" s="467" t="n"/>
      <c r="Q2934" s="453" t="n"/>
      <c r="R2934" s="453" t="n"/>
      <c r="S2934" s="453" t="n"/>
      <c r="T2934" s="453" t="n"/>
      <c r="U2934" s="453" t="n"/>
      <c r="V2934" s="453" t="n"/>
    </row>
    <row r="2935" customFormat="1" s="21">
      <c r="A2935" s="411" t="inlineStr">
        <is>
          <t>Warm Temperate Moist</t>
        </is>
      </c>
      <c r="B2935" s="467" t="n">
        <v>0</v>
      </c>
      <c r="C2935" s="467" t="n">
        <v>0</v>
      </c>
      <c r="D2935" s="467" t="n">
        <v>5.6</v>
      </c>
      <c r="E2935" s="467" t="n">
        <v>2.1</v>
      </c>
      <c r="F2935" s="467" t="n">
        <v>0.6</v>
      </c>
      <c r="G2935" s="467" t="n">
        <v>0</v>
      </c>
      <c r="H2935" s="467" t="n">
        <v>0</v>
      </c>
      <c r="I2935" s="467" t="n">
        <v>0</v>
      </c>
      <c r="J2935" s="467" t="n">
        <v>0</v>
      </c>
      <c r="K2935" s="467" t="n">
        <v>0</v>
      </c>
      <c r="L2935" s="451" t="n">
        <v>0</v>
      </c>
      <c r="M2935" s="451" t="n">
        <v>0</v>
      </c>
      <c r="N2935" s="467" t="n">
        <v>0</v>
      </c>
      <c r="O2935" s="467" t="n">
        <v>0</v>
      </c>
      <c r="P2935" s="467" t="n"/>
      <c r="Q2935" s="453" t="n"/>
      <c r="R2935" s="453" t="n"/>
      <c r="S2935" s="453" t="n"/>
      <c r="T2935" s="453" t="n"/>
      <c r="U2935" s="453" t="n"/>
      <c r="V2935" s="453" t="n"/>
    </row>
    <row r="2936" customFormat="1" s="21">
      <c r="A2936" s="411" t="inlineStr">
        <is>
          <t>Warm Temperate Dry</t>
        </is>
      </c>
      <c r="B2936" s="467" t="n">
        <v>0</v>
      </c>
      <c r="C2936" s="467" t="n">
        <v>0</v>
      </c>
      <c r="D2936" s="467" t="n">
        <v>5.6</v>
      </c>
      <c r="E2936" s="467" t="n">
        <v>2.1</v>
      </c>
      <c r="F2936" s="467" t="n">
        <v>0.6</v>
      </c>
      <c r="G2936" s="467" t="n">
        <v>0</v>
      </c>
      <c r="H2936" s="467" t="n">
        <v>0</v>
      </c>
      <c r="I2936" s="467" t="n">
        <v>0</v>
      </c>
      <c r="J2936" s="467" t="n">
        <v>0</v>
      </c>
      <c r="K2936" s="467" t="n">
        <v>0</v>
      </c>
      <c r="L2936" s="451" t="n">
        <v>0</v>
      </c>
      <c r="M2936" s="451" t="n">
        <v>0</v>
      </c>
      <c r="N2936" s="467" t="n">
        <v>0</v>
      </c>
      <c r="O2936" s="467" t="n">
        <v>0</v>
      </c>
      <c r="P2936" s="467" t="n"/>
      <c r="Q2936" s="453" t="n"/>
      <c r="R2936" s="453" t="n"/>
      <c r="S2936" s="453" t="n"/>
      <c r="T2936" s="453" t="n"/>
      <c r="U2936" s="453" t="n"/>
      <c r="V2936" s="453" t="n"/>
    </row>
    <row r="2937" customFormat="1" s="21">
      <c r="A2937" s="411" t="inlineStr">
        <is>
          <t>Tropical Montane</t>
        </is>
      </c>
      <c r="B2937" s="467" t="n">
        <v>0</v>
      </c>
      <c r="C2937" s="467" t="n">
        <v>0</v>
      </c>
      <c r="D2937" s="467" t="n">
        <v>7</v>
      </c>
      <c r="E2937" s="467" t="n">
        <v>2.8</v>
      </c>
      <c r="F2937" s="467" t="n">
        <v>0.6</v>
      </c>
      <c r="G2937" s="467" t="n">
        <v>0</v>
      </c>
      <c r="H2937" s="467" t="n">
        <v>0</v>
      </c>
      <c r="I2937" s="467" t="n">
        <v>0</v>
      </c>
      <c r="J2937" s="467" t="n">
        <v>0</v>
      </c>
      <c r="K2937" s="467" t="n">
        <v>0</v>
      </c>
      <c r="L2937" s="451" t="n">
        <v>0</v>
      </c>
      <c r="M2937" s="451" t="n">
        <v>0</v>
      </c>
      <c r="N2937" s="467" t="n">
        <v>0</v>
      </c>
      <c r="O2937" s="467" t="n">
        <v>0</v>
      </c>
      <c r="P2937" s="467" t="n"/>
      <c r="Q2937" s="453" t="n"/>
      <c r="R2937" s="453" t="n"/>
      <c r="S2937" s="453" t="n"/>
      <c r="T2937" s="453" t="n"/>
      <c r="U2937" s="453" t="n"/>
      <c r="V2937" s="453" t="n"/>
    </row>
    <row r="2938" customFormat="1" s="21">
      <c r="A2938" s="411" t="inlineStr">
        <is>
          <t>Tropical Wet</t>
        </is>
      </c>
      <c r="B2938" s="467" t="n">
        <v>0</v>
      </c>
      <c r="C2938" s="467" t="n">
        <v>0</v>
      </c>
      <c r="D2938" s="467" t="n">
        <v>7</v>
      </c>
      <c r="E2938" s="467" t="n">
        <v>2.8</v>
      </c>
      <c r="F2938" s="467" t="n">
        <v>0.6</v>
      </c>
      <c r="G2938" s="467" t="n">
        <v>0</v>
      </c>
      <c r="H2938" s="467" t="n">
        <v>0</v>
      </c>
      <c r="I2938" s="467" t="n">
        <v>0</v>
      </c>
      <c r="J2938" s="467" t="n">
        <v>0</v>
      </c>
      <c r="K2938" s="467" t="n">
        <v>0</v>
      </c>
      <c r="L2938" s="468" t="n">
        <v>0</v>
      </c>
      <c r="M2938" s="451" t="n">
        <v>0</v>
      </c>
      <c r="N2938" s="467" t="n">
        <v>0</v>
      </c>
      <c r="O2938" s="467" t="n">
        <v>0</v>
      </c>
      <c r="P2938" s="467" t="n"/>
    </row>
    <row r="2939" customFormat="1" s="453">
      <c r="A2939" s="411" t="inlineStr">
        <is>
          <t>Tropical Moist</t>
        </is>
      </c>
      <c r="B2939" s="467" t="n">
        <v>0</v>
      </c>
      <c r="C2939" s="467" t="n">
        <v>0</v>
      </c>
      <c r="D2939" s="467" t="n">
        <v>7</v>
      </c>
      <c r="E2939" s="467" t="n">
        <v>2.8</v>
      </c>
      <c r="F2939" s="467" t="n">
        <v>0.6</v>
      </c>
      <c r="G2939" s="467" t="n">
        <v>0</v>
      </c>
      <c r="H2939" s="467" t="n">
        <v>0</v>
      </c>
      <c r="I2939" s="467" t="n">
        <v>0</v>
      </c>
      <c r="J2939" s="467" t="n">
        <v>0</v>
      </c>
      <c r="K2939" s="467" t="n">
        <v>0</v>
      </c>
      <c r="L2939" s="451" t="n">
        <v>0</v>
      </c>
      <c r="M2939" s="451" t="n">
        <v>0</v>
      </c>
      <c r="N2939" s="467" t="n">
        <v>0</v>
      </c>
      <c r="O2939" s="467" t="n">
        <v>0</v>
      </c>
      <c r="P2939" s="467" t="n"/>
    </row>
    <row r="2940" customFormat="1" s="453">
      <c r="A2940" s="411" t="inlineStr">
        <is>
          <t>Tropical Dry</t>
        </is>
      </c>
      <c r="B2940" s="467" t="n">
        <v>0</v>
      </c>
      <c r="C2940" s="467" t="n">
        <v>0</v>
      </c>
      <c r="D2940" s="467" t="n">
        <v>7</v>
      </c>
      <c r="E2940" s="467" t="n">
        <v>2.8</v>
      </c>
      <c r="F2940" s="467" t="n">
        <v>0.6</v>
      </c>
      <c r="G2940" s="467" t="n">
        <v>0</v>
      </c>
      <c r="H2940" s="467" t="n">
        <v>0</v>
      </c>
      <c r="I2940" s="467" t="n">
        <v>0</v>
      </c>
      <c r="J2940" s="467" t="n">
        <v>0</v>
      </c>
      <c r="K2940" s="467" t="n">
        <v>0</v>
      </c>
      <c r="L2940" s="468" t="n">
        <v>0</v>
      </c>
      <c r="M2940" s="451" t="n">
        <v>0</v>
      </c>
      <c r="N2940" s="467" t="n">
        <v>0</v>
      </c>
      <c r="O2940" s="467" t="n">
        <v>0</v>
      </c>
      <c r="P2940" s="467" t="n"/>
    </row>
    <row r="2941" customFormat="1" s="535">
      <c r="A2941" s="518" t="inlineStr">
        <is>
          <t xml:space="preserve">Notes :  </t>
        </is>
      </c>
      <c r="F2941" s="1624" t="n"/>
      <c r="G2941" s="1624" t="n"/>
      <c r="H2941" s="1624" t="n"/>
      <c r="I2941" s="1624" t="n"/>
      <c r="J2941" s="1624" t="n"/>
      <c r="K2941" s="1624" t="n"/>
      <c r="L2941" s="1624" t="n"/>
      <c r="M2941" s="1624" t="n"/>
      <c r="N2941" s="1624" t="n"/>
    </row>
    <row r="2942" customFormat="1" s="292"/>
    <row r="2944" ht="14.25" customFormat="1" customHeight="1" s="125">
      <c r="A2944" s="377" t="inlineStr">
        <is>
          <t>Emission factors CH4 manure management</t>
        </is>
      </c>
      <c r="D2944" s="1075" t="n"/>
      <c r="E2944" s="1075" t="n"/>
      <c r="F2944" s="1075" t="n"/>
      <c r="G2944" s="1075" t="n"/>
      <c r="H2944" s="1075" t="n"/>
      <c r="I2944" s="1075" t="n"/>
      <c r="L2944" s="1075" t="n"/>
    </row>
    <row r="2945" ht="16.25" customFormat="1" customHeight="1" s="773">
      <c r="A2945" s="753" t="inlineStr">
        <is>
          <t>Horses HP</t>
        </is>
      </c>
      <c r="B2945" s="442" t="inlineStr">
        <is>
          <t>Table 10.14</t>
        </is>
      </c>
      <c r="C2945" s="442" t="inlineStr">
        <is>
          <t>Table 10.14</t>
        </is>
      </c>
      <c r="D2945" s="442" t="inlineStr">
        <is>
          <t>Table 10.14</t>
        </is>
      </c>
      <c r="E2945" s="442" t="inlineStr">
        <is>
          <t>Table 10.14</t>
        </is>
      </c>
      <c r="F2945" s="442" t="inlineStr">
        <is>
          <t>Table 10.14</t>
        </is>
      </c>
      <c r="G2945" s="442" t="inlineStr">
        <is>
          <t>Table 10.14</t>
        </is>
      </c>
      <c r="H2945" s="442" t="inlineStr">
        <is>
          <t>Table 10.14</t>
        </is>
      </c>
      <c r="I2945" s="442" t="inlineStr">
        <is>
          <t>Table 10.14</t>
        </is>
      </c>
      <c r="J2945" s="442" t="inlineStr">
        <is>
          <t>Table 10.14</t>
        </is>
      </c>
      <c r="K2945" s="442" t="inlineStr">
        <is>
          <t>Table 10.14</t>
        </is>
      </c>
      <c r="L2945" s="442" t="inlineStr">
        <is>
          <t>Table 10.14</t>
        </is>
      </c>
      <c r="M2945" s="442" t="inlineStr">
        <is>
          <t>Table 10.14</t>
        </is>
      </c>
      <c r="N2945" s="442" t="inlineStr">
        <is>
          <t>Table 10.14</t>
        </is>
      </c>
      <c r="O2945" s="442" t="inlineStr">
        <is>
          <t>Table 10.14</t>
        </is>
      </c>
      <c r="P2945" s="442" t="n"/>
      <c r="Q2945" s="442" t="n"/>
      <c r="R2945" s="442" t="n"/>
      <c r="S2945" s="442" t="n"/>
      <c r="T2945" s="442" t="n"/>
      <c r="U2945" s="442" t="n"/>
      <c r="V2945" s="442" t="n"/>
    </row>
    <row r="2946" ht="16" customFormat="1" customHeight="1" s="291">
      <c r="A2946" s="1641" t="inlineStr">
        <is>
          <t>Please select</t>
        </is>
      </c>
      <c r="B2946" s="1642" t="inlineStr">
        <is>
          <t>Lagoon</t>
        </is>
      </c>
      <c r="C2946" s="1642" t="inlineStr">
        <is>
          <t>Liquid/slurry</t>
        </is>
      </c>
      <c r="D2946" s="1642" t="inlineStr">
        <is>
          <t>Solid storage</t>
        </is>
      </c>
      <c r="E2946" s="1642" t="inlineStr">
        <is>
          <t>Dry lot</t>
        </is>
      </c>
      <c r="F2946" s="1642" t="inlineStr">
        <is>
          <t>Pasture/Range/Paddock</t>
        </is>
      </c>
      <c r="G2946" s="1642" t="inlineStr">
        <is>
          <t>Daily spread</t>
        </is>
      </c>
      <c r="H2946" s="1642" t="inlineStr">
        <is>
          <t>Digester</t>
        </is>
      </c>
      <c r="I2946" s="1642" t="inlineStr">
        <is>
          <t>Burned for fuel</t>
        </is>
      </c>
      <c r="J2946" s="1642" t="inlineStr">
        <is>
          <t>Pit&lt;1Month</t>
        </is>
      </c>
      <c r="K2946" s="1642" t="inlineStr">
        <is>
          <t>Pit&gt;1 month</t>
        </is>
      </c>
      <c r="L2946" s="1642" t="inlineStr">
        <is>
          <t>Poultry manure</t>
        </is>
      </c>
      <c r="M2946" s="291" t="inlineStr">
        <is>
          <t>Deep bedding</t>
        </is>
      </c>
      <c r="N2946" s="2156" t="inlineStr">
        <is>
          <t>Composting</t>
        </is>
      </c>
      <c r="O2946" s="2156" t="inlineStr">
        <is>
          <t>Aerobic treatment</t>
        </is>
      </c>
      <c r="P2946" s="1658" t="inlineStr">
        <is>
          <t>Other (pls. go Tier 2)</t>
        </is>
      </c>
      <c r="Q2946" s="453" t="n"/>
      <c r="R2946" s="453" t="n"/>
      <c r="S2946" s="453" t="n"/>
      <c r="T2946" s="453" t="n"/>
      <c r="U2946" s="453" t="n"/>
      <c r="V2946" s="453" t="n"/>
      <c r="W2946" s="21" t="n"/>
      <c r="X2946" s="21" t="n"/>
    </row>
    <row r="2947" ht="16" customFormat="1" customHeight="1" s="1093">
      <c r="A2947" s="523" t="inlineStr">
        <is>
          <t>Climate zone</t>
        </is>
      </c>
      <c r="B2947" s="1636" t="inlineStr">
        <is>
          <t>gCH4/kg Vs</t>
        </is>
      </c>
      <c r="C2947" s="1636" t="inlineStr">
        <is>
          <t>gCH4/kg Vs</t>
        </is>
      </c>
      <c r="D2947" s="1636" t="inlineStr">
        <is>
          <t>gCH4/kg Vs</t>
        </is>
      </c>
      <c r="E2947" s="1636" t="inlineStr">
        <is>
          <t>gCH4/kg Vs</t>
        </is>
      </c>
      <c r="F2947" s="1636" t="inlineStr">
        <is>
          <t>gCH4/kg Vs</t>
        </is>
      </c>
      <c r="G2947" s="1636" t="inlineStr">
        <is>
          <t>gCH4/kg Vs</t>
        </is>
      </c>
      <c r="H2947" s="1636" t="inlineStr">
        <is>
          <t>gCH4/kg Vs</t>
        </is>
      </c>
      <c r="I2947" s="1636" t="inlineStr">
        <is>
          <t>gCH4/kg Vs</t>
        </is>
      </c>
      <c r="J2947" s="1636" t="inlineStr">
        <is>
          <t>gCH4/kg Vs</t>
        </is>
      </c>
      <c r="K2947" s="1636" t="inlineStr">
        <is>
          <t>gCH4/kg Vs</t>
        </is>
      </c>
      <c r="L2947" s="1631" t="inlineStr">
        <is>
          <t>gCH4/kg Vs</t>
        </is>
      </c>
      <c r="M2947" s="1631" t="inlineStr">
        <is>
          <t>gCH4/kg Vs</t>
        </is>
      </c>
      <c r="N2947" s="732" t="inlineStr">
        <is>
          <t>gCH4/kg Vs</t>
        </is>
      </c>
      <c r="O2947" s="732" t="inlineStr">
        <is>
          <t>gCH4/kg Vs</t>
        </is>
      </c>
      <c r="P2947" s="732" t="n"/>
      <c r="Q2947" s="1092" t="n"/>
      <c r="R2947" s="1092" t="n"/>
      <c r="S2947" s="1092" t="n"/>
      <c r="T2947" s="1092" t="n"/>
      <c r="U2947" s="1092" t="n"/>
      <c r="V2947" s="1092" t="n"/>
    </row>
    <row r="2948" customFormat="1" s="21">
      <c r="A2948" s="410" t="inlineStr">
        <is>
          <t>Cool Temperate Moist</t>
        </is>
      </c>
      <c r="B2948" s="470" t="n">
        <v>0</v>
      </c>
      <c r="C2948" s="470" t="n">
        <v>0</v>
      </c>
      <c r="D2948" s="470" t="n">
        <v>4</v>
      </c>
      <c r="E2948" s="470" t="n">
        <v>2</v>
      </c>
      <c r="F2948" s="470" t="n">
        <v>0.6</v>
      </c>
      <c r="G2948" s="470" t="n">
        <v>0</v>
      </c>
      <c r="H2948" s="470" t="n">
        <v>0</v>
      </c>
      <c r="I2948" s="470" t="n">
        <v>0</v>
      </c>
      <c r="J2948" s="470" t="n">
        <v>0</v>
      </c>
      <c r="K2948" s="470" t="n">
        <v>0</v>
      </c>
      <c r="L2948" s="1640" t="n">
        <v>0</v>
      </c>
      <c r="M2948" s="451" t="n">
        <v>0</v>
      </c>
      <c r="N2948" s="467" t="n">
        <v>0</v>
      </c>
      <c r="O2948" s="467" t="n">
        <v>0</v>
      </c>
      <c r="P2948" s="467" t="n"/>
      <c r="Q2948" s="453" t="n"/>
      <c r="R2948" s="453" t="n"/>
      <c r="S2948" s="453" t="n"/>
      <c r="T2948" s="453" t="n"/>
      <c r="U2948" s="453" t="n"/>
      <c r="V2948" s="453" t="n"/>
    </row>
    <row r="2949" customFormat="1" s="21">
      <c r="A2949" s="411" t="inlineStr">
        <is>
          <t>Cool Temperate Dry</t>
        </is>
      </c>
      <c r="B2949" s="467" t="n">
        <v>0</v>
      </c>
      <c r="C2949" s="467" t="n">
        <v>0</v>
      </c>
      <c r="D2949" s="467" t="n">
        <v>4</v>
      </c>
      <c r="E2949" s="467" t="n">
        <v>2</v>
      </c>
      <c r="F2949" s="467" t="n">
        <v>0.6</v>
      </c>
      <c r="G2949" s="467" t="n">
        <v>0</v>
      </c>
      <c r="H2949" s="467" t="n">
        <v>0</v>
      </c>
      <c r="I2949" s="467" t="n">
        <v>0</v>
      </c>
      <c r="J2949" s="467" t="n">
        <v>0</v>
      </c>
      <c r="K2949" s="467" t="n">
        <v>0</v>
      </c>
      <c r="L2949" s="451" t="n">
        <v>0</v>
      </c>
      <c r="M2949" s="451" t="n">
        <v>0</v>
      </c>
      <c r="N2949" s="467" t="n">
        <v>0</v>
      </c>
      <c r="O2949" s="467" t="n">
        <v>0</v>
      </c>
      <c r="P2949" s="467" t="n"/>
      <c r="Q2949" s="453" t="n"/>
      <c r="R2949" s="453" t="n"/>
      <c r="S2949" s="453" t="n"/>
      <c r="T2949" s="453" t="n"/>
      <c r="U2949" s="453" t="n"/>
      <c r="V2949" s="453" t="n"/>
    </row>
    <row r="2950" customFormat="1" s="21">
      <c r="A2950" s="411" t="inlineStr">
        <is>
          <t>Boreal Moist</t>
        </is>
      </c>
      <c r="B2950" s="467" t="n">
        <v>0</v>
      </c>
      <c r="C2950" s="467" t="n">
        <v>0</v>
      </c>
      <c r="D2950" s="467" t="n">
        <v>4</v>
      </c>
      <c r="E2950" s="467" t="n">
        <v>2</v>
      </c>
      <c r="F2950" s="467" t="n">
        <v>0.6</v>
      </c>
      <c r="G2950" s="467" t="n">
        <v>0</v>
      </c>
      <c r="H2950" s="467" t="n">
        <v>0</v>
      </c>
      <c r="I2950" s="467" t="n">
        <v>0</v>
      </c>
      <c r="J2950" s="467" t="n">
        <v>0</v>
      </c>
      <c r="K2950" s="467" t="n">
        <v>0</v>
      </c>
      <c r="L2950" s="468" t="n">
        <v>0</v>
      </c>
      <c r="M2950" s="451" t="n">
        <v>0</v>
      </c>
      <c r="N2950" s="467" t="n">
        <v>0</v>
      </c>
      <c r="O2950" s="467" t="n">
        <v>0</v>
      </c>
      <c r="P2950" s="467" t="n"/>
      <c r="Q2950" s="453" t="n"/>
      <c r="R2950" s="453" t="n"/>
      <c r="S2950" s="453" t="n"/>
      <c r="T2950" s="453" t="n"/>
      <c r="U2950" s="453" t="n"/>
      <c r="V2950" s="453" t="n"/>
    </row>
    <row r="2951" customFormat="1" s="21">
      <c r="A2951" s="411" t="inlineStr">
        <is>
          <t>Boreal Dry</t>
        </is>
      </c>
      <c r="B2951" s="467" t="n">
        <v>0</v>
      </c>
      <c r="C2951" s="467" t="n">
        <v>0</v>
      </c>
      <c r="D2951" s="467" t="n">
        <v>4</v>
      </c>
      <c r="E2951" s="467" t="n">
        <v>2</v>
      </c>
      <c r="F2951" s="467" t="n">
        <v>0.6</v>
      </c>
      <c r="G2951" s="467" t="n">
        <v>0</v>
      </c>
      <c r="H2951" s="467" t="n">
        <v>0</v>
      </c>
      <c r="I2951" s="467" t="n">
        <v>0</v>
      </c>
      <c r="J2951" s="467" t="n">
        <v>0</v>
      </c>
      <c r="K2951" s="467" t="n">
        <v>0</v>
      </c>
      <c r="L2951" s="451" t="n">
        <v>0</v>
      </c>
      <c r="M2951" s="451" t="n">
        <v>0</v>
      </c>
      <c r="N2951" s="467" t="n">
        <v>0</v>
      </c>
      <c r="O2951" s="467" t="n">
        <v>0</v>
      </c>
      <c r="P2951" s="467" t="n"/>
      <c r="Q2951" s="453" t="n"/>
      <c r="R2951" s="453" t="n"/>
      <c r="S2951" s="453" t="n"/>
      <c r="T2951" s="453" t="n"/>
      <c r="U2951" s="453" t="n"/>
      <c r="V2951" s="453" t="n"/>
    </row>
    <row r="2952" customFormat="1" s="21">
      <c r="A2952" s="411" t="inlineStr">
        <is>
          <t>Warm Temperate Moist</t>
        </is>
      </c>
      <c r="B2952" s="467" t="n">
        <v>0</v>
      </c>
      <c r="C2952" s="467" t="n">
        <v>0</v>
      </c>
      <c r="D2952" s="467" t="n">
        <v>8</v>
      </c>
      <c r="E2952" s="467" t="n">
        <v>3</v>
      </c>
      <c r="F2952" s="467" t="n">
        <v>0.6</v>
      </c>
      <c r="G2952" s="467" t="n">
        <v>0</v>
      </c>
      <c r="H2952" s="467" t="n">
        <v>0</v>
      </c>
      <c r="I2952" s="467" t="n">
        <v>0</v>
      </c>
      <c r="J2952" s="467" t="n">
        <v>0</v>
      </c>
      <c r="K2952" s="467" t="n">
        <v>0</v>
      </c>
      <c r="L2952" s="451" t="n">
        <v>0</v>
      </c>
      <c r="M2952" s="451" t="n">
        <v>0</v>
      </c>
      <c r="N2952" s="467" t="n">
        <v>0</v>
      </c>
      <c r="O2952" s="467" t="n">
        <v>0</v>
      </c>
      <c r="P2952" s="467" t="n"/>
      <c r="Q2952" s="453" t="n"/>
      <c r="R2952" s="453" t="n"/>
      <c r="S2952" s="453" t="n"/>
      <c r="T2952" s="453" t="n"/>
      <c r="U2952" s="453" t="n"/>
      <c r="V2952" s="453" t="n"/>
    </row>
    <row r="2953" customFormat="1" s="21">
      <c r="A2953" s="411" t="inlineStr">
        <is>
          <t>Warm Temperate Dry</t>
        </is>
      </c>
      <c r="B2953" s="467" t="n">
        <v>0</v>
      </c>
      <c r="C2953" s="467" t="n">
        <v>0</v>
      </c>
      <c r="D2953" s="467" t="n">
        <v>8</v>
      </c>
      <c r="E2953" s="467" t="n">
        <v>3</v>
      </c>
      <c r="F2953" s="467" t="n">
        <v>0.6</v>
      </c>
      <c r="G2953" s="467" t="n">
        <v>0</v>
      </c>
      <c r="H2953" s="467" t="n">
        <v>0</v>
      </c>
      <c r="I2953" s="467" t="n">
        <v>0</v>
      </c>
      <c r="J2953" s="467" t="n">
        <v>0</v>
      </c>
      <c r="K2953" s="467" t="n">
        <v>0</v>
      </c>
      <c r="L2953" s="451" t="n">
        <v>0</v>
      </c>
      <c r="M2953" s="451" t="n">
        <v>0</v>
      </c>
      <c r="N2953" s="467" t="n">
        <v>0</v>
      </c>
      <c r="O2953" s="467" t="n">
        <v>0</v>
      </c>
      <c r="P2953" s="467" t="n"/>
      <c r="Q2953" s="453" t="n"/>
      <c r="R2953" s="453" t="n"/>
      <c r="S2953" s="453" t="n"/>
      <c r="T2953" s="453" t="n"/>
      <c r="U2953" s="453" t="n"/>
      <c r="V2953" s="453" t="n"/>
    </row>
    <row r="2954" customFormat="1" s="21">
      <c r="A2954" s="411" t="inlineStr">
        <is>
          <t>Tropical Montane</t>
        </is>
      </c>
      <c r="B2954" s="467" t="n">
        <v>0</v>
      </c>
      <c r="C2954" s="467" t="n">
        <v>0</v>
      </c>
      <c r="D2954" s="467" t="n">
        <v>10.1</v>
      </c>
      <c r="E2954" s="467" t="n">
        <v>4</v>
      </c>
      <c r="F2954" s="467" t="n">
        <v>0.6</v>
      </c>
      <c r="G2954" s="467" t="n">
        <v>0</v>
      </c>
      <c r="H2954" s="467" t="n">
        <v>0</v>
      </c>
      <c r="I2954" s="467" t="n">
        <v>0</v>
      </c>
      <c r="J2954" s="467" t="n">
        <v>0</v>
      </c>
      <c r="K2954" s="467" t="n">
        <v>0</v>
      </c>
      <c r="L2954" s="451" t="n">
        <v>0</v>
      </c>
      <c r="M2954" s="451" t="n">
        <v>0</v>
      </c>
      <c r="N2954" s="467" t="n">
        <v>0</v>
      </c>
      <c r="O2954" s="467" t="n">
        <v>0</v>
      </c>
      <c r="P2954" s="467" t="n"/>
      <c r="Q2954" s="453" t="n"/>
      <c r="R2954" s="453" t="n"/>
      <c r="S2954" s="453" t="n"/>
      <c r="T2954" s="453" t="n"/>
      <c r="U2954" s="453" t="n"/>
      <c r="V2954" s="453" t="n"/>
    </row>
    <row r="2955" customFormat="1" s="21">
      <c r="A2955" s="411" t="inlineStr">
        <is>
          <t>Tropical Wet</t>
        </is>
      </c>
      <c r="B2955" s="467" t="n">
        <v>0</v>
      </c>
      <c r="C2955" s="467" t="n">
        <v>0</v>
      </c>
      <c r="D2955" s="467" t="n">
        <v>10.1</v>
      </c>
      <c r="E2955" s="467" t="n">
        <v>4</v>
      </c>
      <c r="F2955" s="467" t="n">
        <v>0.6</v>
      </c>
      <c r="G2955" s="467" t="n">
        <v>0</v>
      </c>
      <c r="H2955" s="467" t="n">
        <v>0</v>
      </c>
      <c r="I2955" s="467" t="n">
        <v>0</v>
      </c>
      <c r="J2955" s="467" t="n">
        <v>0</v>
      </c>
      <c r="K2955" s="467" t="n">
        <v>0</v>
      </c>
      <c r="L2955" s="468" t="n">
        <v>0</v>
      </c>
      <c r="M2955" s="451" t="n">
        <v>0</v>
      </c>
      <c r="N2955" s="467" t="n">
        <v>0</v>
      </c>
      <c r="O2955" s="467" t="n">
        <v>0</v>
      </c>
      <c r="P2955" s="467" t="n"/>
    </row>
    <row r="2956" customFormat="1" s="453">
      <c r="A2956" s="411" t="inlineStr">
        <is>
          <t>Tropical Moist</t>
        </is>
      </c>
      <c r="B2956" s="467" t="n">
        <v>0</v>
      </c>
      <c r="C2956" s="467" t="n">
        <v>0</v>
      </c>
      <c r="D2956" s="467" t="n">
        <v>10.1</v>
      </c>
      <c r="E2956" s="467" t="n">
        <v>4</v>
      </c>
      <c r="F2956" s="467" t="n">
        <v>0.6</v>
      </c>
      <c r="G2956" s="467" t="n">
        <v>0</v>
      </c>
      <c r="H2956" s="467" t="n">
        <v>0</v>
      </c>
      <c r="I2956" s="467" t="n">
        <v>0</v>
      </c>
      <c r="J2956" s="467" t="n">
        <v>0</v>
      </c>
      <c r="K2956" s="467" t="n">
        <v>0</v>
      </c>
      <c r="L2956" s="451" t="n">
        <v>0</v>
      </c>
      <c r="M2956" s="451" t="n">
        <v>0</v>
      </c>
      <c r="N2956" s="467" t="n">
        <v>0</v>
      </c>
      <c r="O2956" s="467" t="n">
        <v>0</v>
      </c>
      <c r="P2956" s="467" t="n"/>
    </row>
    <row r="2957" customFormat="1" s="453">
      <c r="A2957" s="1648" t="inlineStr">
        <is>
          <t>Tropical Dry</t>
        </is>
      </c>
      <c r="B2957" s="654" t="n">
        <v>0</v>
      </c>
      <c r="C2957" s="654" t="n">
        <v>0</v>
      </c>
      <c r="D2957" s="467" t="n">
        <v>10.1</v>
      </c>
      <c r="E2957" s="654" t="n">
        <v>4</v>
      </c>
      <c r="F2957" s="654" t="n">
        <v>0.6</v>
      </c>
      <c r="G2957" s="654" t="n">
        <v>0</v>
      </c>
      <c r="H2957" s="654" t="n">
        <v>0</v>
      </c>
      <c r="I2957" s="654" t="n">
        <v>0</v>
      </c>
      <c r="J2957" s="654" t="n">
        <v>0</v>
      </c>
      <c r="K2957" s="654" t="n">
        <v>0</v>
      </c>
      <c r="L2957" s="1646" t="n">
        <v>0</v>
      </c>
      <c r="M2957" s="451" t="n">
        <v>0</v>
      </c>
      <c r="N2957" s="467" t="n">
        <v>0</v>
      </c>
      <c r="O2957" s="467" t="n">
        <v>0</v>
      </c>
      <c r="P2957" s="467" t="n"/>
    </row>
    <row r="2958" customFormat="1" s="535">
      <c r="A2958" s="1073" t="inlineStr">
        <is>
          <t xml:space="preserve">Notes :  </t>
        </is>
      </c>
      <c r="B2958" s="292" t="n"/>
      <c r="C2958" s="292" t="n"/>
      <c r="D2958" s="292" t="n"/>
      <c r="E2958" s="292" t="n"/>
      <c r="F2958" s="421" t="n"/>
      <c r="G2958" s="421" t="n"/>
      <c r="H2958" s="421" t="n"/>
      <c r="I2958" s="421" t="n"/>
      <c r="J2958" s="421" t="n"/>
      <c r="K2958" s="421" t="n"/>
      <c r="L2958" s="421" t="n"/>
      <c r="M2958" s="1624" t="n"/>
      <c r="N2958" s="1624" t="n"/>
    </row>
    <row r="2959" customFormat="1" s="292"/>
    <row r="2961" ht="14.25" customFormat="1" customHeight="1" s="125">
      <c r="A2961" s="377" t="inlineStr">
        <is>
          <t>Emission factors CH4 manure management</t>
        </is>
      </c>
      <c r="D2961" s="1075" t="n"/>
      <c r="E2961" s="1075" t="n"/>
      <c r="F2961" s="1075" t="n"/>
      <c r="G2961" s="1075" t="n"/>
      <c r="H2961" s="1075" t="n"/>
      <c r="I2961" s="1075" t="n"/>
      <c r="L2961" s="1075" t="n"/>
    </row>
    <row r="2962" ht="16.25" customFormat="1" customHeight="1" s="773">
      <c r="A2962" s="753" t="inlineStr">
        <is>
          <t>Horses LP</t>
        </is>
      </c>
      <c r="B2962" s="442" t="inlineStr">
        <is>
          <t>Table 10.14</t>
        </is>
      </c>
      <c r="C2962" s="442" t="inlineStr">
        <is>
          <t>Table 10.14</t>
        </is>
      </c>
      <c r="D2962" s="442" t="inlineStr">
        <is>
          <t>Table 10.14</t>
        </is>
      </c>
      <c r="E2962" s="442" t="inlineStr">
        <is>
          <t>Table 10.14</t>
        </is>
      </c>
      <c r="F2962" s="442" t="inlineStr">
        <is>
          <t>Table 10.14</t>
        </is>
      </c>
      <c r="G2962" s="442" t="inlineStr">
        <is>
          <t>Table 10.14</t>
        </is>
      </c>
      <c r="H2962" s="442" t="inlineStr">
        <is>
          <t>Table 10.14</t>
        </is>
      </c>
      <c r="I2962" s="442" t="inlineStr">
        <is>
          <t>Table 10.14</t>
        </is>
      </c>
      <c r="J2962" s="442" t="inlineStr">
        <is>
          <t>Table 10.14</t>
        </is>
      </c>
      <c r="K2962" s="442" t="inlineStr">
        <is>
          <t>Table 10.14</t>
        </is>
      </c>
      <c r="L2962" s="442" t="inlineStr">
        <is>
          <t>Table 10.14</t>
        </is>
      </c>
      <c r="M2962" s="442" t="inlineStr">
        <is>
          <t>Table 10.14</t>
        </is>
      </c>
      <c r="N2962" s="442" t="inlineStr">
        <is>
          <t>Table 10.14</t>
        </is>
      </c>
      <c r="O2962" s="442" t="inlineStr">
        <is>
          <t>Table 10.14</t>
        </is>
      </c>
      <c r="P2962" s="442" t="n"/>
      <c r="Q2962" s="442" t="n"/>
      <c r="R2962" s="442" t="n"/>
      <c r="S2962" s="442" t="n"/>
      <c r="T2962" s="442" t="n"/>
      <c r="U2962" s="442" t="n"/>
      <c r="V2962" s="442" t="n"/>
    </row>
    <row r="2963" ht="16" customFormat="1" customHeight="1" s="291">
      <c r="A2963" s="1641" t="inlineStr">
        <is>
          <t>Please select</t>
        </is>
      </c>
      <c r="B2963" s="1642" t="inlineStr">
        <is>
          <t>Lagoon</t>
        </is>
      </c>
      <c r="C2963" s="1642" t="inlineStr">
        <is>
          <t>Liquid/slurry</t>
        </is>
      </c>
      <c r="D2963" s="1642" t="inlineStr">
        <is>
          <t>Solid storage</t>
        </is>
      </c>
      <c r="E2963" s="1642" t="inlineStr">
        <is>
          <t>Dry lot</t>
        </is>
      </c>
      <c r="F2963" s="1642" t="inlineStr">
        <is>
          <t>Pasture/Range/Paddock</t>
        </is>
      </c>
      <c r="G2963" s="1642" t="inlineStr">
        <is>
          <t>Daily spread</t>
        </is>
      </c>
      <c r="H2963" s="1642" t="inlineStr">
        <is>
          <t>Digester</t>
        </is>
      </c>
      <c r="I2963" s="1642" t="inlineStr">
        <is>
          <t>Burned for fuel</t>
        </is>
      </c>
      <c r="J2963" s="1642" t="inlineStr">
        <is>
          <t>Pit&lt;1Month</t>
        </is>
      </c>
      <c r="K2963" s="1642" t="inlineStr">
        <is>
          <t>Pit&gt;1 month</t>
        </is>
      </c>
      <c r="L2963" s="1642" t="inlineStr">
        <is>
          <t>Poultry manure</t>
        </is>
      </c>
      <c r="M2963" s="291" t="inlineStr">
        <is>
          <t>Deep bedding</t>
        </is>
      </c>
      <c r="N2963" s="2156" t="inlineStr">
        <is>
          <t>Composting</t>
        </is>
      </c>
      <c r="O2963" s="2156" t="inlineStr">
        <is>
          <t>Aerobic treatment</t>
        </is>
      </c>
      <c r="P2963" s="1658" t="inlineStr">
        <is>
          <t>Other (pls. go Tier 2)</t>
        </is>
      </c>
      <c r="Q2963" s="453" t="n"/>
      <c r="R2963" s="453" t="n"/>
      <c r="S2963" s="453" t="n"/>
      <c r="T2963" s="453" t="n"/>
      <c r="U2963" s="453" t="n"/>
      <c r="V2963" s="453" t="n"/>
      <c r="W2963" s="21" t="n"/>
      <c r="X2963" s="21" t="n"/>
    </row>
    <row r="2964" ht="16" customFormat="1" customHeight="1" s="1093">
      <c r="A2964" s="523" t="inlineStr">
        <is>
          <t>Climate zone</t>
        </is>
      </c>
      <c r="B2964" s="1636" t="inlineStr">
        <is>
          <t>gCH4/kg Vs</t>
        </is>
      </c>
      <c r="C2964" s="1636" t="inlineStr">
        <is>
          <t>gCH4/kg Vs</t>
        </is>
      </c>
      <c r="D2964" s="1636" t="inlineStr">
        <is>
          <t>gCH4/kg Vs</t>
        </is>
      </c>
      <c r="E2964" s="1636" t="inlineStr">
        <is>
          <t>gCH4/kg Vs</t>
        </is>
      </c>
      <c r="F2964" s="1636" t="inlineStr">
        <is>
          <t>gCH4/kg Vs</t>
        </is>
      </c>
      <c r="G2964" s="1636" t="inlineStr">
        <is>
          <t>gCH4/kg Vs</t>
        </is>
      </c>
      <c r="H2964" s="1636" t="inlineStr">
        <is>
          <t>gCH4/kg Vs</t>
        </is>
      </c>
      <c r="I2964" s="1636" t="inlineStr">
        <is>
          <t>gCH4/kg Vs</t>
        </is>
      </c>
      <c r="J2964" s="1636" t="inlineStr">
        <is>
          <t>gCH4/kg Vs</t>
        </is>
      </c>
      <c r="K2964" s="1636" t="inlineStr">
        <is>
          <t>gCH4/kg Vs</t>
        </is>
      </c>
      <c r="L2964" s="1631" t="inlineStr">
        <is>
          <t>gCH4/kg Vs</t>
        </is>
      </c>
      <c r="M2964" s="1631" t="inlineStr">
        <is>
          <t>gCH4/kg Vs</t>
        </is>
      </c>
      <c r="N2964" s="732" t="inlineStr">
        <is>
          <t>gCH4/kg Vs</t>
        </is>
      </c>
      <c r="O2964" s="732" t="inlineStr">
        <is>
          <t>gCH4/kg Vs</t>
        </is>
      </c>
      <c r="P2964" s="732" t="n"/>
      <c r="Q2964" s="1092" t="n"/>
      <c r="R2964" s="1092" t="n"/>
      <c r="S2964" s="1092" t="n"/>
      <c r="T2964" s="1092" t="n"/>
      <c r="U2964" s="1092" t="n"/>
      <c r="V2964" s="1092" t="n"/>
    </row>
    <row r="2965" customFormat="1" s="21">
      <c r="A2965" s="410" t="inlineStr">
        <is>
          <t>Cool Temperate Moist</t>
        </is>
      </c>
      <c r="B2965" s="470" t="n">
        <v>0</v>
      </c>
      <c r="C2965" s="470" t="n">
        <v>0</v>
      </c>
      <c r="D2965" s="470" t="n">
        <v>3.5</v>
      </c>
      <c r="E2965" s="470" t="n">
        <v>1.7</v>
      </c>
      <c r="F2965" s="470" t="n">
        <v>0.6</v>
      </c>
      <c r="G2965" s="470" t="n">
        <v>0</v>
      </c>
      <c r="H2965" s="470" t="n">
        <v>0</v>
      </c>
      <c r="I2965" s="470" t="n">
        <v>0</v>
      </c>
      <c r="J2965" s="470" t="n">
        <v>0</v>
      </c>
      <c r="K2965" s="470" t="n">
        <v>0</v>
      </c>
      <c r="L2965" s="1640" t="n">
        <v>0</v>
      </c>
      <c r="M2965" s="451" t="n">
        <v>0</v>
      </c>
      <c r="N2965" s="467" t="n">
        <v>0</v>
      </c>
      <c r="O2965" s="467" t="n">
        <v>0</v>
      </c>
      <c r="P2965" s="467" t="n"/>
      <c r="Q2965" s="453" t="n"/>
      <c r="R2965" s="453" t="n"/>
      <c r="S2965" s="453" t="n"/>
      <c r="T2965" s="453" t="n"/>
      <c r="U2965" s="453" t="n"/>
      <c r="V2965" s="453" t="n"/>
    </row>
    <row r="2966" customFormat="1" s="21">
      <c r="A2966" s="411" t="inlineStr">
        <is>
          <t>Cool Temperate Dry</t>
        </is>
      </c>
      <c r="B2966" s="467" t="n">
        <v>0</v>
      </c>
      <c r="C2966" s="467" t="n">
        <v>0</v>
      </c>
      <c r="D2966" s="467" t="n">
        <v>3.5</v>
      </c>
      <c r="E2966" s="467" t="n">
        <v>1.7</v>
      </c>
      <c r="F2966" s="467" t="n">
        <v>0.6</v>
      </c>
      <c r="G2966" s="467" t="n">
        <v>0</v>
      </c>
      <c r="H2966" s="467" t="n">
        <v>0</v>
      </c>
      <c r="I2966" s="467" t="n">
        <v>0</v>
      </c>
      <c r="J2966" s="467" t="n">
        <v>0</v>
      </c>
      <c r="K2966" s="467" t="n">
        <v>0</v>
      </c>
      <c r="L2966" s="451" t="n">
        <v>0</v>
      </c>
      <c r="M2966" s="451" t="n">
        <v>0</v>
      </c>
      <c r="N2966" s="467" t="n">
        <v>0</v>
      </c>
      <c r="O2966" s="467" t="n">
        <v>0</v>
      </c>
      <c r="P2966" s="467" t="n"/>
      <c r="Q2966" s="453" t="n"/>
      <c r="R2966" s="453" t="n"/>
      <c r="S2966" s="453" t="n"/>
      <c r="T2966" s="453" t="n"/>
      <c r="U2966" s="453" t="n"/>
      <c r="V2966" s="453" t="n"/>
    </row>
    <row r="2967" customFormat="1" s="21">
      <c r="A2967" s="411" t="inlineStr">
        <is>
          <t>Boreal Moist</t>
        </is>
      </c>
      <c r="B2967" s="467" t="n">
        <v>0</v>
      </c>
      <c r="C2967" s="467" t="n">
        <v>0</v>
      </c>
      <c r="D2967" s="467" t="n">
        <v>3.5</v>
      </c>
      <c r="E2967" s="467" t="n">
        <v>1.7</v>
      </c>
      <c r="F2967" s="467" t="n">
        <v>0.6</v>
      </c>
      <c r="G2967" s="467" t="n">
        <v>0</v>
      </c>
      <c r="H2967" s="467" t="n">
        <v>0</v>
      </c>
      <c r="I2967" s="467" t="n">
        <v>0</v>
      </c>
      <c r="J2967" s="467" t="n">
        <v>0</v>
      </c>
      <c r="K2967" s="467" t="n">
        <v>0</v>
      </c>
      <c r="L2967" s="468" t="n">
        <v>0</v>
      </c>
      <c r="M2967" s="451" t="n">
        <v>0</v>
      </c>
      <c r="N2967" s="467" t="n">
        <v>0</v>
      </c>
      <c r="O2967" s="467" t="n">
        <v>0</v>
      </c>
      <c r="P2967" s="467" t="n"/>
      <c r="Q2967" s="453" t="n"/>
      <c r="R2967" s="453" t="n"/>
      <c r="S2967" s="453" t="n"/>
      <c r="T2967" s="453" t="n"/>
      <c r="U2967" s="453" t="n"/>
      <c r="V2967" s="453" t="n"/>
    </row>
    <row r="2968" customFormat="1" s="21">
      <c r="A2968" s="411" t="inlineStr">
        <is>
          <t>Boreal Dry</t>
        </is>
      </c>
      <c r="B2968" s="467" t="n">
        <v>0</v>
      </c>
      <c r="C2968" s="467" t="n">
        <v>0</v>
      </c>
      <c r="D2968" s="467" t="n">
        <v>3.5</v>
      </c>
      <c r="E2968" s="467" t="n">
        <v>1.7</v>
      </c>
      <c r="F2968" s="467" t="n">
        <v>0.6</v>
      </c>
      <c r="G2968" s="467" t="n">
        <v>0</v>
      </c>
      <c r="H2968" s="467" t="n">
        <v>0</v>
      </c>
      <c r="I2968" s="467" t="n">
        <v>0</v>
      </c>
      <c r="J2968" s="467" t="n">
        <v>0</v>
      </c>
      <c r="K2968" s="467" t="n">
        <v>0</v>
      </c>
      <c r="L2968" s="451" t="n">
        <v>0</v>
      </c>
      <c r="M2968" s="451" t="n">
        <v>0</v>
      </c>
      <c r="N2968" s="467" t="n">
        <v>0</v>
      </c>
      <c r="O2968" s="467" t="n">
        <v>0</v>
      </c>
      <c r="P2968" s="467" t="n"/>
      <c r="Q2968" s="453" t="n"/>
      <c r="R2968" s="453" t="n"/>
      <c r="S2968" s="453" t="n"/>
      <c r="T2968" s="453" t="n"/>
      <c r="U2968" s="453" t="n"/>
      <c r="V2968" s="453" t="n"/>
    </row>
    <row r="2969" customFormat="1" s="21">
      <c r="A2969" s="411" t="inlineStr">
        <is>
          <t>Warm Temperate Moist</t>
        </is>
      </c>
      <c r="B2969" s="467" t="n">
        <v>0</v>
      </c>
      <c r="C2969" s="467" t="n">
        <v>0</v>
      </c>
      <c r="D2969" s="467" t="n">
        <v>7</v>
      </c>
      <c r="E2969" s="467" t="n">
        <v>2.6</v>
      </c>
      <c r="F2969" s="467" t="n">
        <v>0.6</v>
      </c>
      <c r="G2969" s="467" t="n">
        <v>0</v>
      </c>
      <c r="H2969" s="467" t="n">
        <v>0</v>
      </c>
      <c r="I2969" s="467" t="n">
        <v>0</v>
      </c>
      <c r="J2969" s="467" t="n">
        <v>0</v>
      </c>
      <c r="K2969" s="467" t="n">
        <v>0</v>
      </c>
      <c r="L2969" s="451" t="n">
        <v>0</v>
      </c>
      <c r="M2969" s="451" t="n">
        <v>0</v>
      </c>
      <c r="N2969" s="467" t="n">
        <v>0</v>
      </c>
      <c r="O2969" s="467" t="n">
        <v>0</v>
      </c>
      <c r="P2969" s="467" t="n"/>
      <c r="Q2969" s="453" t="n"/>
      <c r="R2969" s="453" t="n"/>
      <c r="S2969" s="453" t="n"/>
      <c r="T2969" s="453" t="n"/>
      <c r="U2969" s="453" t="n"/>
      <c r="V2969" s="453" t="n"/>
    </row>
    <row r="2970" customFormat="1" s="21">
      <c r="A2970" s="411" t="inlineStr">
        <is>
          <t>Warm Temperate Dry</t>
        </is>
      </c>
      <c r="B2970" s="467" t="n">
        <v>0</v>
      </c>
      <c r="C2970" s="467" t="n">
        <v>0</v>
      </c>
      <c r="D2970" s="467" t="n">
        <v>7</v>
      </c>
      <c r="E2970" s="467" t="n">
        <v>2.6</v>
      </c>
      <c r="F2970" s="467" t="n">
        <v>0.6</v>
      </c>
      <c r="G2970" s="467" t="n">
        <v>0</v>
      </c>
      <c r="H2970" s="467" t="n">
        <v>0</v>
      </c>
      <c r="I2970" s="467" t="n">
        <v>0</v>
      </c>
      <c r="J2970" s="467" t="n">
        <v>0</v>
      </c>
      <c r="K2970" s="467" t="n">
        <v>0</v>
      </c>
      <c r="L2970" s="451" t="n">
        <v>0</v>
      </c>
      <c r="M2970" s="451" t="n">
        <v>0</v>
      </c>
      <c r="N2970" s="467" t="n">
        <v>0</v>
      </c>
      <c r="O2970" s="467" t="n">
        <v>0</v>
      </c>
      <c r="P2970" s="467" t="n"/>
      <c r="Q2970" s="453" t="n"/>
      <c r="R2970" s="453" t="n"/>
      <c r="S2970" s="453" t="n"/>
      <c r="T2970" s="453" t="n"/>
      <c r="U2970" s="453" t="n"/>
      <c r="V2970" s="453" t="n"/>
    </row>
    <row r="2971" customFormat="1" s="21">
      <c r="A2971" s="411" t="inlineStr">
        <is>
          <t>Tropical Montane</t>
        </is>
      </c>
      <c r="B2971" s="467" t="n">
        <v>0</v>
      </c>
      <c r="C2971" s="467" t="n">
        <v>0</v>
      </c>
      <c r="D2971" s="467" t="n">
        <v>8.699999999999999</v>
      </c>
      <c r="E2971" s="467" t="n">
        <v>3.5</v>
      </c>
      <c r="F2971" s="467" t="n">
        <v>0.6</v>
      </c>
      <c r="G2971" s="467" t="n">
        <v>0</v>
      </c>
      <c r="H2971" s="467" t="n">
        <v>0</v>
      </c>
      <c r="I2971" s="467" t="n">
        <v>0</v>
      </c>
      <c r="J2971" s="467" t="n">
        <v>0</v>
      </c>
      <c r="K2971" s="467" t="n">
        <v>0</v>
      </c>
      <c r="L2971" s="451" t="n">
        <v>0</v>
      </c>
      <c r="M2971" s="451" t="n">
        <v>0</v>
      </c>
      <c r="N2971" s="467" t="n">
        <v>0</v>
      </c>
      <c r="O2971" s="467" t="n">
        <v>0</v>
      </c>
      <c r="P2971" s="467" t="n"/>
      <c r="Q2971" s="453" t="n"/>
      <c r="R2971" s="453" t="n"/>
      <c r="S2971" s="453" t="n"/>
      <c r="T2971" s="453" t="n"/>
      <c r="U2971" s="453" t="n"/>
      <c r="V2971" s="453" t="n"/>
    </row>
    <row r="2972" customFormat="1" s="21">
      <c r="A2972" s="411" t="inlineStr">
        <is>
          <t>Tropical Wet</t>
        </is>
      </c>
      <c r="B2972" s="467" t="n">
        <v>0</v>
      </c>
      <c r="C2972" s="467" t="n">
        <v>0</v>
      </c>
      <c r="D2972" s="467" t="n">
        <v>8.699999999999999</v>
      </c>
      <c r="E2972" s="467" t="n">
        <v>3.5</v>
      </c>
      <c r="F2972" s="467" t="n">
        <v>0.6</v>
      </c>
      <c r="G2972" s="467" t="n">
        <v>0</v>
      </c>
      <c r="H2972" s="467" t="n">
        <v>0</v>
      </c>
      <c r="I2972" s="467" t="n">
        <v>0</v>
      </c>
      <c r="J2972" s="467" t="n">
        <v>0</v>
      </c>
      <c r="K2972" s="467" t="n">
        <v>0</v>
      </c>
      <c r="L2972" s="468" t="n">
        <v>0</v>
      </c>
      <c r="M2972" s="451" t="n">
        <v>0</v>
      </c>
      <c r="N2972" s="467" t="n">
        <v>0</v>
      </c>
      <c r="O2972" s="467" t="n">
        <v>0</v>
      </c>
      <c r="P2972" s="467" t="n"/>
    </row>
    <row r="2973" customFormat="1" s="453">
      <c r="A2973" s="411" t="inlineStr">
        <is>
          <t>Tropical Moist</t>
        </is>
      </c>
      <c r="B2973" s="467" t="n">
        <v>0</v>
      </c>
      <c r="C2973" s="467" t="n">
        <v>0</v>
      </c>
      <c r="D2973" s="467" t="n">
        <v>8.699999999999999</v>
      </c>
      <c r="E2973" s="467" t="n">
        <v>3.5</v>
      </c>
      <c r="F2973" s="467" t="n">
        <v>0.6</v>
      </c>
      <c r="G2973" s="467" t="n">
        <v>0</v>
      </c>
      <c r="H2973" s="467" t="n">
        <v>0</v>
      </c>
      <c r="I2973" s="467" t="n">
        <v>0</v>
      </c>
      <c r="J2973" s="467" t="n">
        <v>0</v>
      </c>
      <c r="K2973" s="467" t="n">
        <v>0</v>
      </c>
      <c r="L2973" s="451" t="n">
        <v>0</v>
      </c>
      <c r="M2973" s="451" t="n">
        <v>0</v>
      </c>
      <c r="N2973" s="467" t="n">
        <v>0</v>
      </c>
      <c r="O2973" s="467" t="n">
        <v>0</v>
      </c>
      <c r="P2973" s="467" t="n"/>
    </row>
    <row r="2974" customFormat="1" s="453">
      <c r="A2974" s="411" t="inlineStr">
        <is>
          <t>Tropical Dry</t>
        </is>
      </c>
      <c r="B2974" s="467" t="n">
        <v>0</v>
      </c>
      <c r="C2974" s="467" t="n">
        <v>0</v>
      </c>
      <c r="D2974" s="467" t="n">
        <v>8.699999999999999</v>
      </c>
      <c r="E2974" s="467" t="n">
        <v>3.5</v>
      </c>
      <c r="F2974" s="467" t="n">
        <v>0.6</v>
      </c>
      <c r="G2974" s="467" t="n">
        <v>0</v>
      </c>
      <c r="H2974" s="467" t="n">
        <v>0</v>
      </c>
      <c r="I2974" s="467" t="n">
        <v>0</v>
      </c>
      <c r="J2974" s="467" t="n">
        <v>0</v>
      </c>
      <c r="K2974" s="467" t="n">
        <v>0</v>
      </c>
      <c r="L2974" s="468" t="n">
        <v>0</v>
      </c>
      <c r="M2974" s="451" t="n">
        <v>0</v>
      </c>
      <c r="N2974" s="467" t="n">
        <v>0</v>
      </c>
      <c r="O2974" s="467" t="n">
        <v>0</v>
      </c>
      <c r="P2974" s="467" t="n"/>
    </row>
    <row r="2975" customFormat="1" s="535">
      <c r="A2975" s="518" t="inlineStr">
        <is>
          <t xml:space="preserve">Notes :  </t>
        </is>
      </c>
      <c r="F2975" s="1624" t="n"/>
      <c r="G2975" s="1624" t="n"/>
      <c r="H2975" s="1624" t="n"/>
      <c r="I2975" s="1624" t="n"/>
      <c r="J2975" s="1624" t="n"/>
      <c r="K2975" s="1624" t="n"/>
      <c r="L2975" s="1624" t="n"/>
      <c r="M2975" s="1624" t="n"/>
      <c r="N2975" s="1624" t="n"/>
    </row>
    <row r="2976" customFormat="1" s="292"/>
    <row r="2978" ht="14.25" customFormat="1" customHeight="1" s="125">
      <c r="A2978" s="377" t="inlineStr">
        <is>
          <t>Emission factors CH4 manure management</t>
        </is>
      </c>
      <c r="D2978" s="1075" t="n"/>
      <c r="E2978" s="1075" t="n"/>
      <c r="F2978" s="1075" t="n"/>
      <c r="G2978" s="1075" t="n"/>
      <c r="H2978" s="1075" t="n"/>
      <c r="I2978" s="1075" t="n"/>
      <c r="L2978" s="1075" t="n"/>
    </row>
    <row r="2979" ht="16.25" customFormat="1" customHeight="1" s="773">
      <c r="A2979" s="753" t="inlineStr">
        <is>
          <t>Mules and Asses HP</t>
        </is>
      </c>
      <c r="B2979" s="442" t="inlineStr">
        <is>
          <t>Table 10.14</t>
        </is>
      </c>
      <c r="C2979" s="442" t="inlineStr">
        <is>
          <t>Table 10.14</t>
        </is>
      </c>
      <c r="D2979" s="442" t="inlineStr">
        <is>
          <t>Table 10.14</t>
        </is>
      </c>
      <c r="E2979" s="442" t="inlineStr">
        <is>
          <t>Table 10.14</t>
        </is>
      </c>
      <c r="F2979" s="442" t="inlineStr">
        <is>
          <t>Table 10.14</t>
        </is>
      </c>
      <c r="G2979" s="442" t="inlineStr">
        <is>
          <t>Table 10.14</t>
        </is>
      </c>
      <c r="H2979" s="442" t="inlineStr">
        <is>
          <t>Table 10.14</t>
        </is>
      </c>
      <c r="I2979" s="442" t="inlineStr">
        <is>
          <t>Table 10.14</t>
        </is>
      </c>
      <c r="J2979" s="442" t="inlineStr">
        <is>
          <t>Table 10.14</t>
        </is>
      </c>
      <c r="K2979" s="442" t="inlineStr">
        <is>
          <t>Table 10.14</t>
        </is>
      </c>
      <c r="L2979" s="442" t="inlineStr">
        <is>
          <t>Table 10.14</t>
        </is>
      </c>
      <c r="M2979" s="442" t="inlineStr">
        <is>
          <t>Table 10.14</t>
        </is>
      </c>
      <c r="N2979" s="442" t="inlineStr">
        <is>
          <t>Table 10.14</t>
        </is>
      </c>
      <c r="O2979" s="442" t="inlineStr">
        <is>
          <t>Table 10.14</t>
        </is>
      </c>
      <c r="P2979" s="442" t="n"/>
      <c r="Q2979" s="442" t="n"/>
      <c r="R2979" s="442" t="n"/>
      <c r="S2979" s="442" t="n"/>
      <c r="T2979" s="442" t="n"/>
      <c r="U2979" s="442" t="n"/>
      <c r="V2979" s="442" t="n"/>
    </row>
    <row r="2980" ht="16" customFormat="1" customHeight="1" s="291">
      <c r="A2980" s="1641" t="inlineStr">
        <is>
          <t>Please select</t>
        </is>
      </c>
      <c r="B2980" s="1642" t="inlineStr">
        <is>
          <t>Lagoon</t>
        </is>
      </c>
      <c r="C2980" s="1642" t="inlineStr">
        <is>
          <t>Liquid/slurry</t>
        </is>
      </c>
      <c r="D2980" s="1642" t="inlineStr">
        <is>
          <t>Solid storage</t>
        </is>
      </c>
      <c r="E2980" s="1642" t="inlineStr">
        <is>
          <t>Dry lot</t>
        </is>
      </c>
      <c r="F2980" s="1642" t="inlineStr">
        <is>
          <t>Pasture/Range/Paddock</t>
        </is>
      </c>
      <c r="G2980" s="1642" t="inlineStr">
        <is>
          <t>Daily spread</t>
        </is>
      </c>
      <c r="H2980" s="1642" t="inlineStr">
        <is>
          <t>Digester</t>
        </is>
      </c>
      <c r="I2980" s="1642" t="inlineStr">
        <is>
          <t>Burned for fuel</t>
        </is>
      </c>
      <c r="J2980" s="1642" t="inlineStr">
        <is>
          <t>Pit&lt;1Month</t>
        </is>
      </c>
      <c r="K2980" s="1642" t="inlineStr">
        <is>
          <t>Pit&gt;1 month</t>
        </is>
      </c>
      <c r="L2980" s="1642" t="inlineStr">
        <is>
          <t>Poultry manure</t>
        </is>
      </c>
      <c r="M2980" s="291" t="inlineStr">
        <is>
          <t>Deep bedding</t>
        </is>
      </c>
      <c r="N2980" s="2156" t="inlineStr">
        <is>
          <t>Composting</t>
        </is>
      </c>
      <c r="O2980" s="2156" t="inlineStr">
        <is>
          <t>Aerobic treatment</t>
        </is>
      </c>
      <c r="P2980" s="1658" t="inlineStr">
        <is>
          <t>Other (pls. go Tier 2)</t>
        </is>
      </c>
      <c r="Q2980" s="453" t="n"/>
      <c r="R2980" s="453" t="n"/>
      <c r="S2980" s="453" t="n"/>
      <c r="T2980" s="453" t="n"/>
      <c r="U2980" s="453" t="n"/>
      <c r="V2980" s="453" t="n"/>
      <c r="W2980" s="21" t="n"/>
      <c r="X2980" s="21" t="n"/>
    </row>
    <row r="2981" ht="16" customFormat="1" customHeight="1" s="1093">
      <c r="A2981" s="523" t="inlineStr">
        <is>
          <t>Climate zone</t>
        </is>
      </c>
      <c r="B2981" s="1636" t="inlineStr">
        <is>
          <t>gCH4/kg Vs</t>
        </is>
      </c>
      <c r="C2981" s="1636" t="inlineStr">
        <is>
          <t>gCH4/kg Vs</t>
        </is>
      </c>
      <c r="D2981" s="1636" t="inlineStr">
        <is>
          <t>gCH4/kg Vs</t>
        </is>
      </c>
      <c r="E2981" s="1636" t="inlineStr">
        <is>
          <t>gCH4/kg Vs</t>
        </is>
      </c>
      <c r="F2981" s="1636" t="inlineStr">
        <is>
          <t>gCH4/kg Vs</t>
        </is>
      </c>
      <c r="G2981" s="1636" t="inlineStr">
        <is>
          <t>gCH4/kg Vs</t>
        </is>
      </c>
      <c r="H2981" s="1636" t="inlineStr">
        <is>
          <t>gCH4/kg Vs</t>
        </is>
      </c>
      <c r="I2981" s="1636" t="inlineStr">
        <is>
          <t>gCH4/kg Vs</t>
        </is>
      </c>
      <c r="J2981" s="1636" t="inlineStr">
        <is>
          <t>gCH4/kg Vs</t>
        </is>
      </c>
      <c r="K2981" s="1636" t="inlineStr">
        <is>
          <t>gCH4/kg Vs</t>
        </is>
      </c>
      <c r="L2981" s="1631" t="inlineStr">
        <is>
          <t>gCH4/kg Vs</t>
        </is>
      </c>
      <c r="M2981" s="1631" t="inlineStr">
        <is>
          <t>gCH4/kg Vs</t>
        </is>
      </c>
      <c r="N2981" s="732" t="inlineStr">
        <is>
          <t>gCH4/kg Vs</t>
        </is>
      </c>
      <c r="O2981" s="732" t="inlineStr">
        <is>
          <t>gCH4/kg Vs</t>
        </is>
      </c>
      <c r="P2981" s="732" t="n"/>
      <c r="Q2981" s="1092" t="n"/>
      <c r="R2981" s="1092" t="n"/>
      <c r="S2981" s="1092" t="n"/>
      <c r="T2981" s="1092" t="n"/>
      <c r="U2981" s="1092" t="n"/>
      <c r="V2981" s="1092" t="n"/>
    </row>
    <row r="2982" customFormat="1" s="21">
      <c r="A2982" s="410" t="inlineStr">
        <is>
          <t>Cool Temperate Moist</t>
        </is>
      </c>
      <c r="B2982" s="470" t="n">
        <v>0</v>
      </c>
      <c r="C2982" s="470" t="n">
        <v>0</v>
      </c>
      <c r="D2982" s="470" t="n">
        <v>4.4</v>
      </c>
      <c r="E2982" s="470" t="n">
        <v>2.2</v>
      </c>
      <c r="F2982" s="470" t="n">
        <v>0.6</v>
      </c>
      <c r="G2982" s="470" t="n">
        <v>0</v>
      </c>
      <c r="H2982" s="470" t="n">
        <v>0</v>
      </c>
      <c r="I2982" s="470" t="n">
        <v>0</v>
      </c>
      <c r="J2982" s="470" t="n">
        <v>0</v>
      </c>
      <c r="K2982" s="470" t="n">
        <v>0</v>
      </c>
      <c r="L2982" s="1640" t="n">
        <v>0</v>
      </c>
      <c r="M2982" s="451" t="n">
        <v>0</v>
      </c>
      <c r="N2982" s="467" t="n">
        <v>0</v>
      </c>
      <c r="O2982" s="467" t="n">
        <v>0</v>
      </c>
      <c r="P2982" s="467" t="n"/>
      <c r="Q2982" s="453" t="n"/>
      <c r="R2982" s="453" t="n"/>
      <c r="S2982" s="453" t="n"/>
      <c r="T2982" s="453" t="n"/>
      <c r="U2982" s="453" t="n"/>
      <c r="V2982" s="453" t="n"/>
    </row>
    <row r="2983" customFormat="1" s="21">
      <c r="A2983" s="411" t="inlineStr">
        <is>
          <t>Cool Temperate Dry</t>
        </is>
      </c>
      <c r="B2983" s="467" t="n">
        <v>0</v>
      </c>
      <c r="C2983" s="467" t="n">
        <v>0</v>
      </c>
      <c r="D2983" s="467" t="n">
        <v>4.4</v>
      </c>
      <c r="E2983" s="467" t="n">
        <v>2.2</v>
      </c>
      <c r="F2983" s="467" t="n">
        <v>0.6</v>
      </c>
      <c r="G2983" s="467" t="n">
        <v>0</v>
      </c>
      <c r="H2983" s="467" t="n">
        <v>0</v>
      </c>
      <c r="I2983" s="467" t="n">
        <v>0</v>
      </c>
      <c r="J2983" s="467" t="n">
        <v>0</v>
      </c>
      <c r="K2983" s="467" t="n">
        <v>0</v>
      </c>
      <c r="L2983" s="451" t="n">
        <v>0</v>
      </c>
      <c r="M2983" s="451" t="n">
        <v>0</v>
      </c>
      <c r="N2983" s="467" t="n">
        <v>0</v>
      </c>
      <c r="O2983" s="467" t="n">
        <v>0</v>
      </c>
      <c r="P2983" s="467" t="n"/>
      <c r="Q2983" s="453" t="n"/>
      <c r="R2983" s="453" t="n"/>
      <c r="S2983" s="453" t="n"/>
      <c r="T2983" s="453" t="n"/>
      <c r="U2983" s="453" t="n"/>
      <c r="V2983" s="453" t="n"/>
    </row>
    <row r="2984" customFormat="1" s="21">
      <c r="A2984" s="411" t="inlineStr">
        <is>
          <t>Boreal Moist</t>
        </is>
      </c>
      <c r="B2984" s="467" t="n">
        <v>0</v>
      </c>
      <c r="C2984" s="467" t="n">
        <v>0</v>
      </c>
      <c r="D2984" s="467" t="n">
        <v>4.4</v>
      </c>
      <c r="E2984" s="467" t="n">
        <v>2.2</v>
      </c>
      <c r="F2984" s="467" t="n">
        <v>0.6</v>
      </c>
      <c r="G2984" s="467" t="n">
        <v>0</v>
      </c>
      <c r="H2984" s="467" t="n">
        <v>0</v>
      </c>
      <c r="I2984" s="467" t="n">
        <v>0</v>
      </c>
      <c r="J2984" s="467" t="n">
        <v>0</v>
      </c>
      <c r="K2984" s="467" t="n">
        <v>0</v>
      </c>
      <c r="L2984" s="468" t="n">
        <v>0</v>
      </c>
      <c r="M2984" s="451" t="n">
        <v>0</v>
      </c>
      <c r="N2984" s="467" t="n">
        <v>0</v>
      </c>
      <c r="O2984" s="467" t="n">
        <v>0</v>
      </c>
      <c r="P2984" s="467" t="n"/>
      <c r="Q2984" s="453" t="n"/>
      <c r="R2984" s="453" t="n"/>
      <c r="S2984" s="453" t="n"/>
      <c r="T2984" s="453" t="n"/>
      <c r="U2984" s="453" t="n"/>
      <c r="V2984" s="453" t="n"/>
    </row>
    <row r="2985" customFormat="1" s="21">
      <c r="A2985" s="411" t="inlineStr">
        <is>
          <t>Boreal Dry</t>
        </is>
      </c>
      <c r="B2985" s="467" t="n">
        <v>0</v>
      </c>
      <c r="C2985" s="467" t="n">
        <v>0</v>
      </c>
      <c r="D2985" s="467" t="n">
        <v>4.4</v>
      </c>
      <c r="E2985" s="467" t="n">
        <v>2.2</v>
      </c>
      <c r="F2985" s="467" t="n">
        <v>0.6</v>
      </c>
      <c r="G2985" s="467" t="n">
        <v>0</v>
      </c>
      <c r="H2985" s="467" t="n">
        <v>0</v>
      </c>
      <c r="I2985" s="467" t="n">
        <v>0</v>
      </c>
      <c r="J2985" s="467" t="n">
        <v>0</v>
      </c>
      <c r="K2985" s="467" t="n">
        <v>0</v>
      </c>
      <c r="L2985" s="451" t="n">
        <v>0</v>
      </c>
      <c r="M2985" s="451" t="n">
        <v>0</v>
      </c>
      <c r="N2985" s="467" t="n">
        <v>0</v>
      </c>
      <c r="O2985" s="467" t="n">
        <v>0</v>
      </c>
      <c r="P2985" s="467" t="n"/>
      <c r="Q2985" s="453" t="n"/>
      <c r="R2985" s="453" t="n"/>
      <c r="S2985" s="453" t="n"/>
      <c r="T2985" s="453" t="n"/>
      <c r="U2985" s="453" t="n"/>
      <c r="V2985" s="453" t="n"/>
    </row>
    <row r="2986" customFormat="1" s="21">
      <c r="A2986" s="411" t="inlineStr">
        <is>
          <t>Warm Temperate Moist</t>
        </is>
      </c>
      <c r="B2986" s="467" t="n">
        <v>0</v>
      </c>
      <c r="C2986" s="467" t="n">
        <v>0</v>
      </c>
      <c r="D2986" s="467" t="n">
        <v>8.800000000000001</v>
      </c>
      <c r="E2986" s="467" t="n">
        <v>3.3</v>
      </c>
      <c r="F2986" s="467" t="n">
        <v>0.6</v>
      </c>
      <c r="G2986" s="467" t="n">
        <v>0</v>
      </c>
      <c r="H2986" s="467" t="n">
        <v>0</v>
      </c>
      <c r="I2986" s="467" t="n">
        <v>0</v>
      </c>
      <c r="J2986" s="467" t="n">
        <v>0</v>
      </c>
      <c r="K2986" s="467" t="n">
        <v>0</v>
      </c>
      <c r="L2986" s="451" t="n">
        <v>0</v>
      </c>
      <c r="M2986" s="451" t="n">
        <v>0</v>
      </c>
      <c r="N2986" s="467" t="n">
        <v>0</v>
      </c>
      <c r="O2986" s="467" t="n">
        <v>0</v>
      </c>
      <c r="P2986" s="467" t="n"/>
      <c r="Q2986" s="453" t="n"/>
      <c r="R2986" s="453" t="n"/>
      <c r="S2986" s="453" t="n"/>
      <c r="T2986" s="453" t="n"/>
      <c r="U2986" s="453" t="n"/>
      <c r="V2986" s="453" t="n"/>
    </row>
    <row r="2987" customFormat="1" s="21">
      <c r="A2987" s="411" t="inlineStr">
        <is>
          <t>Warm Temperate Dry</t>
        </is>
      </c>
      <c r="B2987" s="467" t="n">
        <v>0</v>
      </c>
      <c r="C2987" s="467" t="n">
        <v>0</v>
      </c>
      <c r="D2987" s="467" t="n">
        <v>8.800000000000001</v>
      </c>
      <c r="E2987" s="467" t="n">
        <v>3.3</v>
      </c>
      <c r="F2987" s="467" t="n">
        <v>0.6</v>
      </c>
      <c r="G2987" s="467" t="n">
        <v>0</v>
      </c>
      <c r="H2987" s="467" t="n">
        <v>0</v>
      </c>
      <c r="I2987" s="467" t="n">
        <v>0</v>
      </c>
      <c r="J2987" s="467" t="n">
        <v>0</v>
      </c>
      <c r="K2987" s="467" t="n">
        <v>0</v>
      </c>
      <c r="L2987" s="451" t="n">
        <v>0</v>
      </c>
      <c r="M2987" s="451" t="n">
        <v>0</v>
      </c>
      <c r="N2987" s="467" t="n">
        <v>0</v>
      </c>
      <c r="O2987" s="467" t="n">
        <v>0</v>
      </c>
      <c r="P2987" s="467" t="n"/>
      <c r="Q2987" s="453" t="n"/>
      <c r="R2987" s="453" t="n"/>
      <c r="S2987" s="453" t="n"/>
      <c r="T2987" s="453" t="n"/>
      <c r="U2987" s="453" t="n"/>
      <c r="V2987" s="453" t="n"/>
    </row>
    <row r="2988" customFormat="1" s="21">
      <c r="A2988" s="411" t="inlineStr">
        <is>
          <t>Tropical Montane</t>
        </is>
      </c>
      <c r="B2988" s="467" t="n">
        <v>0</v>
      </c>
      <c r="C2988" s="467" t="n">
        <v>0</v>
      </c>
      <c r="D2988" s="467" t="n">
        <v>11.1</v>
      </c>
      <c r="E2988" s="467" t="n">
        <v>4.4</v>
      </c>
      <c r="F2988" s="467" t="n">
        <v>0.6</v>
      </c>
      <c r="G2988" s="467" t="n">
        <v>0</v>
      </c>
      <c r="H2988" s="467" t="n">
        <v>0</v>
      </c>
      <c r="I2988" s="467" t="n">
        <v>0</v>
      </c>
      <c r="J2988" s="467" t="n">
        <v>0</v>
      </c>
      <c r="K2988" s="467" t="n">
        <v>0</v>
      </c>
      <c r="L2988" s="451" t="n">
        <v>0</v>
      </c>
      <c r="M2988" s="451" t="n">
        <v>0</v>
      </c>
      <c r="N2988" s="467" t="n">
        <v>0</v>
      </c>
      <c r="O2988" s="467" t="n">
        <v>0</v>
      </c>
      <c r="P2988" s="467" t="n"/>
      <c r="Q2988" s="453" t="n"/>
      <c r="R2988" s="453" t="n"/>
      <c r="S2988" s="453" t="n"/>
      <c r="T2988" s="453" t="n"/>
      <c r="U2988" s="453" t="n"/>
      <c r="V2988" s="453" t="n"/>
    </row>
    <row r="2989" customFormat="1" s="21">
      <c r="A2989" s="411" t="inlineStr">
        <is>
          <t>Tropical Wet</t>
        </is>
      </c>
      <c r="B2989" s="467" t="n">
        <v>0</v>
      </c>
      <c r="C2989" s="467" t="n">
        <v>0</v>
      </c>
      <c r="D2989" s="467" t="n">
        <v>11.1</v>
      </c>
      <c r="E2989" s="467" t="n">
        <v>4.4</v>
      </c>
      <c r="F2989" s="467" t="n">
        <v>0.6</v>
      </c>
      <c r="G2989" s="467" t="n">
        <v>0</v>
      </c>
      <c r="H2989" s="467" t="n">
        <v>0</v>
      </c>
      <c r="I2989" s="467" t="n">
        <v>0</v>
      </c>
      <c r="J2989" s="467" t="n">
        <v>0</v>
      </c>
      <c r="K2989" s="467" t="n">
        <v>0</v>
      </c>
      <c r="L2989" s="468" t="n">
        <v>0</v>
      </c>
      <c r="M2989" s="451" t="n">
        <v>0</v>
      </c>
      <c r="N2989" s="467" t="n">
        <v>0</v>
      </c>
      <c r="O2989" s="467" t="n">
        <v>0</v>
      </c>
      <c r="P2989" s="467" t="n"/>
    </row>
    <row r="2990" customFormat="1" s="453">
      <c r="A2990" s="411" t="inlineStr">
        <is>
          <t>Tropical Moist</t>
        </is>
      </c>
      <c r="B2990" s="467" t="n">
        <v>0</v>
      </c>
      <c r="C2990" s="467" t="n">
        <v>0</v>
      </c>
      <c r="D2990" s="467" t="n">
        <v>11.1</v>
      </c>
      <c r="E2990" s="467" t="n">
        <v>4.4</v>
      </c>
      <c r="F2990" s="467" t="n">
        <v>0.6</v>
      </c>
      <c r="G2990" s="467" t="n">
        <v>0</v>
      </c>
      <c r="H2990" s="467" t="n">
        <v>0</v>
      </c>
      <c r="I2990" s="467" t="n">
        <v>0</v>
      </c>
      <c r="J2990" s="467" t="n">
        <v>0</v>
      </c>
      <c r="K2990" s="467" t="n">
        <v>0</v>
      </c>
      <c r="L2990" s="451" t="n">
        <v>0</v>
      </c>
      <c r="M2990" s="451" t="n">
        <v>0</v>
      </c>
      <c r="N2990" s="467" t="n">
        <v>0</v>
      </c>
      <c r="O2990" s="467" t="n">
        <v>0</v>
      </c>
      <c r="P2990" s="467" t="n"/>
    </row>
    <row r="2991" customFormat="1" s="453">
      <c r="A2991" s="411" t="inlineStr">
        <is>
          <t>Tropical Dry</t>
        </is>
      </c>
      <c r="B2991" s="467" t="n">
        <v>0</v>
      </c>
      <c r="C2991" s="467" t="n">
        <v>0</v>
      </c>
      <c r="D2991" s="467" t="n">
        <v>11.1</v>
      </c>
      <c r="E2991" s="467" t="n">
        <v>4.4</v>
      </c>
      <c r="F2991" s="467" t="n">
        <v>0.6</v>
      </c>
      <c r="G2991" s="467" t="n">
        <v>0</v>
      </c>
      <c r="H2991" s="467" t="n">
        <v>0</v>
      </c>
      <c r="I2991" s="467" t="n">
        <v>0</v>
      </c>
      <c r="J2991" s="467" t="n">
        <v>0</v>
      </c>
      <c r="K2991" s="467" t="n">
        <v>0</v>
      </c>
      <c r="L2991" s="468" t="n">
        <v>0</v>
      </c>
      <c r="M2991" s="451" t="n">
        <v>0</v>
      </c>
      <c r="N2991" s="467" t="n">
        <v>0</v>
      </c>
      <c r="O2991" s="467" t="n">
        <v>0</v>
      </c>
      <c r="P2991" s="467" t="n"/>
    </row>
    <row r="2992" customFormat="1" s="535">
      <c r="A2992" s="518" t="inlineStr">
        <is>
          <t xml:space="preserve">Notes :  </t>
        </is>
      </c>
      <c r="F2992" s="1624" t="n"/>
      <c r="G2992" s="1624" t="n"/>
      <c r="H2992" s="1624" t="n"/>
      <c r="I2992" s="1624" t="n"/>
      <c r="J2992" s="1624" t="n"/>
      <c r="K2992" s="1624" t="n"/>
      <c r="L2992" s="1624" t="n"/>
      <c r="M2992" s="1624" t="n"/>
      <c r="N2992" s="1624" t="n"/>
    </row>
    <row r="2993" customFormat="1" s="292"/>
    <row r="2995" ht="14.25" customFormat="1" customHeight="1" s="125">
      <c r="A2995" s="377" t="inlineStr">
        <is>
          <t>Emission factors CH4 manure management</t>
        </is>
      </c>
      <c r="D2995" s="1075" t="n"/>
      <c r="E2995" s="1075" t="n"/>
      <c r="F2995" s="1075" t="n"/>
      <c r="G2995" s="1075" t="n"/>
      <c r="H2995" s="1075" t="n"/>
      <c r="I2995" s="1075" t="n"/>
      <c r="L2995" s="1075" t="n"/>
    </row>
    <row r="2996" ht="16.25" customFormat="1" customHeight="1" s="773">
      <c r="A2996" s="753" t="inlineStr">
        <is>
          <t>Mules and Asses LP</t>
        </is>
      </c>
      <c r="B2996" s="442" t="inlineStr">
        <is>
          <t>Table 10.14</t>
        </is>
      </c>
      <c r="C2996" s="442" t="inlineStr">
        <is>
          <t>Table 10.14</t>
        </is>
      </c>
      <c r="D2996" s="442" t="inlineStr">
        <is>
          <t>Table 10.14</t>
        </is>
      </c>
      <c r="E2996" s="442" t="inlineStr">
        <is>
          <t>Table 10.14</t>
        </is>
      </c>
      <c r="F2996" s="442" t="inlineStr">
        <is>
          <t>Table 10.14</t>
        </is>
      </c>
      <c r="G2996" s="442" t="inlineStr">
        <is>
          <t>Table 10.14</t>
        </is>
      </c>
      <c r="H2996" s="442" t="inlineStr">
        <is>
          <t>Table 10.14</t>
        </is>
      </c>
      <c r="I2996" s="442" t="inlineStr">
        <is>
          <t>Table 10.14</t>
        </is>
      </c>
      <c r="J2996" s="442" t="inlineStr">
        <is>
          <t>Table 10.14</t>
        </is>
      </c>
      <c r="K2996" s="442" t="inlineStr">
        <is>
          <t>Table 10.14</t>
        </is>
      </c>
      <c r="L2996" s="442" t="inlineStr">
        <is>
          <t>Table 10.14</t>
        </is>
      </c>
      <c r="M2996" s="442" t="inlineStr">
        <is>
          <t>Table 10.14</t>
        </is>
      </c>
      <c r="N2996" s="442" t="inlineStr">
        <is>
          <t>Table 10.14</t>
        </is>
      </c>
      <c r="O2996" s="442" t="inlineStr">
        <is>
          <t>Table 10.14</t>
        </is>
      </c>
      <c r="P2996" s="442" t="n"/>
      <c r="Q2996" s="442" t="n"/>
      <c r="R2996" s="442" t="n"/>
      <c r="S2996" s="442" t="n"/>
      <c r="T2996" s="442" t="n"/>
      <c r="U2996" s="442" t="n"/>
      <c r="V2996" s="442" t="n"/>
    </row>
    <row r="2997" ht="16" customFormat="1" customHeight="1" s="291">
      <c r="A2997" s="1641" t="inlineStr">
        <is>
          <t>Please select</t>
        </is>
      </c>
      <c r="B2997" s="1642" t="inlineStr">
        <is>
          <t>Lagoon</t>
        </is>
      </c>
      <c r="C2997" s="1642" t="inlineStr">
        <is>
          <t>Liquid/slurry</t>
        </is>
      </c>
      <c r="D2997" s="1642" t="inlineStr">
        <is>
          <t>Solid storage</t>
        </is>
      </c>
      <c r="E2997" s="1642" t="inlineStr">
        <is>
          <t>Dry lot</t>
        </is>
      </c>
      <c r="F2997" s="1642" t="inlineStr">
        <is>
          <t>Pasture/Range/Paddock</t>
        </is>
      </c>
      <c r="G2997" s="1642" t="inlineStr">
        <is>
          <t>Daily spread</t>
        </is>
      </c>
      <c r="H2997" s="1642" t="inlineStr">
        <is>
          <t>Digester</t>
        </is>
      </c>
      <c r="I2997" s="1642" t="inlineStr">
        <is>
          <t>Burned for fuel</t>
        </is>
      </c>
      <c r="J2997" s="1642" t="inlineStr">
        <is>
          <t>Pit&lt;1Month</t>
        </is>
      </c>
      <c r="K2997" s="1642" t="inlineStr">
        <is>
          <t>Pit&gt;1 month</t>
        </is>
      </c>
      <c r="L2997" s="1642" t="inlineStr">
        <is>
          <t>Poultry manure</t>
        </is>
      </c>
      <c r="M2997" s="291" t="inlineStr">
        <is>
          <t>Deep bedding</t>
        </is>
      </c>
      <c r="N2997" s="2156" t="inlineStr">
        <is>
          <t>Composting</t>
        </is>
      </c>
      <c r="O2997" s="2156" t="inlineStr">
        <is>
          <t>Aerobic treatment</t>
        </is>
      </c>
      <c r="P2997" s="1658" t="inlineStr">
        <is>
          <t>Other (pls. go Tier 2)</t>
        </is>
      </c>
      <c r="Q2997" s="453" t="n"/>
      <c r="R2997" s="453" t="n"/>
      <c r="S2997" s="453" t="n"/>
      <c r="T2997" s="453" t="n"/>
      <c r="U2997" s="453" t="n"/>
      <c r="V2997" s="453" t="n"/>
      <c r="W2997" s="21" t="n"/>
      <c r="X2997" s="21" t="n"/>
    </row>
    <row r="2998" ht="16" customFormat="1" customHeight="1" s="1093">
      <c r="A2998" s="523" t="inlineStr">
        <is>
          <t>Climate zone</t>
        </is>
      </c>
      <c r="B2998" s="1636" t="inlineStr">
        <is>
          <t>gCH4/kg Vs</t>
        </is>
      </c>
      <c r="C2998" s="1636" t="inlineStr">
        <is>
          <t>gCH4/kg Vs</t>
        </is>
      </c>
      <c r="D2998" s="1636" t="inlineStr">
        <is>
          <t>gCH4/kg Vs</t>
        </is>
      </c>
      <c r="E2998" s="1636" t="inlineStr">
        <is>
          <t>gCH4/kg Vs</t>
        </is>
      </c>
      <c r="F2998" s="1636" t="inlineStr">
        <is>
          <t>gCH4/kg Vs</t>
        </is>
      </c>
      <c r="G2998" s="1636" t="inlineStr">
        <is>
          <t>gCH4/kg Vs</t>
        </is>
      </c>
      <c r="H2998" s="1636" t="inlineStr">
        <is>
          <t>gCH4/kg Vs</t>
        </is>
      </c>
      <c r="I2998" s="1636" t="inlineStr">
        <is>
          <t>gCH4/kg Vs</t>
        </is>
      </c>
      <c r="J2998" s="1636" t="inlineStr">
        <is>
          <t>gCH4/kg Vs</t>
        </is>
      </c>
      <c r="K2998" s="1636" t="inlineStr">
        <is>
          <t>gCH4/kg Vs</t>
        </is>
      </c>
      <c r="L2998" s="1631" t="inlineStr">
        <is>
          <t>gCH4/kg Vs</t>
        </is>
      </c>
      <c r="M2998" s="1631" t="inlineStr">
        <is>
          <t>gCH4/kg Vs</t>
        </is>
      </c>
      <c r="N2998" s="732" t="inlineStr">
        <is>
          <t>gCH4/kg Vs</t>
        </is>
      </c>
      <c r="O2998" s="732" t="inlineStr">
        <is>
          <t>gCH4/kg Vs</t>
        </is>
      </c>
      <c r="P2998" s="732" t="n"/>
      <c r="Q2998" s="1092" t="n"/>
      <c r="R2998" s="1092" t="n"/>
      <c r="S2998" s="1092" t="n"/>
      <c r="T2998" s="1092" t="n"/>
      <c r="U2998" s="1092" t="n"/>
      <c r="V2998" s="1092" t="n"/>
    </row>
    <row r="2999" customFormat="1" s="21">
      <c r="A2999" s="410" t="inlineStr">
        <is>
          <t>Cool Temperate Moist</t>
        </is>
      </c>
      <c r="B2999" s="470" t="n">
        <v>0</v>
      </c>
      <c r="C2999" s="470" t="n">
        <v>0</v>
      </c>
      <c r="D2999" s="470" t="n">
        <v>3.5</v>
      </c>
      <c r="E2999" s="470" t="n">
        <v>1.7</v>
      </c>
      <c r="F2999" s="470" t="n">
        <v>0.6</v>
      </c>
      <c r="G2999" s="470" t="n">
        <v>0</v>
      </c>
      <c r="H2999" s="470" t="n">
        <v>0</v>
      </c>
      <c r="I2999" s="470" t="n">
        <v>0</v>
      </c>
      <c r="J2999" s="470" t="n">
        <v>0</v>
      </c>
      <c r="K2999" s="470" t="n">
        <v>0</v>
      </c>
      <c r="L2999" s="1640" t="n">
        <v>0</v>
      </c>
      <c r="M2999" s="451" t="n">
        <v>0</v>
      </c>
      <c r="N2999" s="467" t="n">
        <v>0</v>
      </c>
      <c r="O2999" s="467" t="n">
        <v>0</v>
      </c>
      <c r="P2999" s="467" t="n"/>
      <c r="Q2999" s="453" t="n"/>
      <c r="R2999" s="453" t="n"/>
      <c r="S2999" s="453" t="n"/>
      <c r="T2999" s="453" t="n"/>
      <c r="U2999" s="453" t="n"/>
      <c r="V2999" s="453" t="n"/>
    </row>
    <row r="3000" customFormat="1" s="21">
      <c r="A3000" s="411" t="inlineStr">
        <is>
          <t>Cool Temperate Dry</t>
        </is>
      </c>
      <c r="B3000" s="467" t="n">
        <v>0</v>
      </c>
      <c r="C3000" s="467" t="n">
        <v>0</v>
      </c>
      <c r="D3000" s="467" t="n">
        <v>3.5</v>
      </c>
      <c r="E3000" s="467" t="n">
        <v>1.7</v>
      </c>
      <c r="F3000" s="467" t="n">
        <v>0.6</v>
      </c>
      <c r="G3000" s="467" t="n">
        <v>0</v>
      </c>
      <c r="H3000" s="467" t="n">
        <v>0</v>
      </c>
      <c r="I3000" s="467" t="n">
        <v>0</v>
      </c>
      <c r="J3000" s="467" t="n">
        <v>0</v>
      </c>
      <c r="K3000" s="467" t="n">
        <v>0</v>
      </c>
      <c r="L3000" s="451" t="n">
        <v>0</v>
      </c>
      <c r="M3000" s="451" t="n">
        <v>0</v>
      </c>
      <c r="N3000" s="467" t="n">
        <v>0</v>
      </c>
      <c r="O3000" s="467" t="n">
        <v>0</v>
      </c>
      <c r="P3000" s="467" t="n"/>
      <c r="Q3000" s="453" t="n"/>
      <c r="R3000" s="453" t="n"/>
      <c r="S3000" s="453" t="n"/>
      <c r="T3000" s="453" t="n"/>
      <c r="U3000" s="453" t="n"/>
      <c r="V3000" s="453" t="n"/>
    </row>
    <row r="3001" customFormat="1" s="21">
      <c r="A3001" s="411" t="inlineStr">
        <is>
          <t>Boreal Moist</t>
        </is>
      </c>
      <c r="B3001" s="467" t="n">
        <v>0</v>
      </c>
      <c r="C3001" s="467" t="n">
        <v>0</v>
      </c>
      <c r="D3001" s="467" t="n">
        <v>3.5</v>
      </c>
      <c r="E3001" s="467" t="n">
        <v>1.7</v>
      </c>
      <c r="F3001" s="467" t="n">
        <v>0.6</v>
      </c>
      <c r="G3001" s="467" t="n">
        <v>0</v>
      </c>
      <c r="H3001" s="467" t="n">
        <v>0</v>
      </c>
      <c r="I3001" s="467" t="n">
        <v>0</v>
      </c>
      <c r="J3001" s="467" t="n">
        <v>0</v>
      </c>
      <c r="K3001" s="467" t="n">
        <v>0</v>
      </c>
      <c r="L3001" s="468" t="n">
        <v>0</v>
      </c>
      <c r="M3001" s="451" t="n">
        <v>0</v>
      </c>
      <c r="N3001" s="467" t="n">
        <v>0</v>
      </c>
      <c r="O3001" s="467" t="n">
        <v>0</v>
      </c>
      <c r="P3001" s="467" t="n"/>
      <c r="Q3001" s="453" t="n"/>
      <c r="R3001" s="453" t="n"/>
      <c r="S3001" s="453" t="n"/>
      <c r="T3001" s="453" t="n"/>
      <c r="U3001" s="453" t="n"/>
      <c r="V3001" s="453" t="n"/>
    </row>
    <row r="3002" customFormat="1" s="21">
      <c r="A3002" s="411" t="inlineStr">
        <is>
          <t>Boreal Dry</t>
        </is>
      </c>
      <c r="B3002" s="467" t="n">
        <v>0</v>
      </c>
      <c r="C3002" s="467" t="n">
        <v>0</v>
      </c>
      <c r="D3002" s="467" t="n">
        <v>3.5</v>
      </c>
      <c r="E3002" s="467" t="n">
        <v>1.7</v>
      </c>
      <c r="F3002" s="467" t="n">
        <v>0.6</v>
      </c>
      <c r="G3002" s="467" t="n">
        <v>0</v>
      </c>
      <c r="H3002" s="467" t="n">
        <v>0</v>
      </c>
      <c r="I3002" s="467" t="n">
        <v>0</v>
      </c>
      <c r="J3002" s="467" t="n">
        <v>0</v>
      </c>
      <c r="K3002" s="467" t="n">
        <v>0</v>
      </c>
      <c r="L3002" s="451" t="n">
        <v>0</v>
      </c>
      <c r="M3002" s="451" t="n">
        <v>0</v>
      </c>
      <c r="N3002" s="467" t="n">
        <v>0</v>
      </c>
      <c r="O3002" s="467" t="n">
        <v>0</v>
      </c>
      <c r="P3002" s="467" t="n"/>
      <c r="Q3002" s="453" t="n"/>
      <c r="R3002" s="453" t="n"/>
      <c r="S3002" s="453" t="n"/>
      <c r="T3002" s="453" t="n"/>
      <c r="U3002" s="453" t="n"/>
      <c r="V3002" s="453" t="n"/>
    </row>
    <row r="3003" customFormat="1" s="21">
      <c r="A3003" s="411" t="inlineStr">
        <is>
          <t>Warm Temperate Moist</t>
        </is>
      </c>
      <c r="B3003" s="467" t="n">
        <v>0</v>
      </c>
      <c r="C3003" s="467" t="n">
        <v>0</v>
      </c>
      <c r="D3003" s="467" t="n">
        <v>7</v>
      </c>
      <c r="E3003" s="467" t="n">
        <v>2.6</v>
      </c>
      <c r="F3003" s="467" t="n">
        <v>0.6</v>
      </c>
      <c r="G3003" s="467" t="n">
        <v>0</v>
      </c>
      <c r="H3003" s="467" t="n">
        <v>0</v>
      </c>
      <c r="I3003" s="467" t="n">
        <v>0</v>
      </c>
      <c r="J3003" s="467" t="n">
        <v>0</v>
      </c>
      <c r="K3003" s="467" t="n">
        <v>0</v>
      </c>
      <c r="L3003" s="451" t="n">
        <v>0</v>
      </c>
      <c r="M3003" s="451" t="n">
        <v>0</v>
      </c>
      <c r="N3003" s="467" t="n">
        <v>0</v>
      </c>
      <c r="O3003" s="467" t="n">
        <v>0</v>
      </c>
      <c r="P3003" s="467" t="n"/>
      <c r="Q3003" s="453" t="n"/>
      <c r="R3003" s="453" t="n"/>
      <c r="S3003" s="453" t="n"/>
      <c r="T3003" s="453" t="n"/>
      <c r="U3003" s="453" t="n"/>
      <c r="V3003" s="453" t="n"/>
    </row>
    <row r="3004" customFormat="1" s="21">
      <c r="A3004" s="411" t="inlineStr">
        <is>
          <t>Warm Temperate Dry</t>
        </is>
      </c>
      <c r="B3004" s="467" t="n">
        <v>0</v>
      </c>
      <c r="C3004" s="467" t="n">
        <v>0</v>
      </c>
      <c r="D3004" s="467" t="n">
        <v>7</v>
      </c>
      <c r="E3004" s="467" t="n">
        <v>2.6</v>
      </c>
      <c r="F3004" s="467" t="n">
        <v>0.6</v>
      </c>
      <c r="G3004" s="467" t="n">
        <v>0</v>
      </c>
      <c r="H3004" s="467" t="n">
        <v>0</v>
      </c>
      <c r="I3004" s="467" t="n">
        <v>0</v>
      </c>
      <c r="J3004" s="467" t="n">
        <v>0</v>
      </c>
      <c r="K3004" s="467" t="n">
        <v>0</v>
      </c>
      <c r="L3004" s="451" t="n">
        <v>0</v>
      </c>
      <c r="M3004" s="451" t="n">
        <v>0</v>
      </c>
      <c r="N3004" s="467" t="n">
        <v>0</v>
      </c>
      <c r="O3004" s="467" t="n">
        <v>0</v>
      </c>
      <c r="P3004" s="467" t="n"/>
      <c r="Q3004" s="453" t="n"/>
      <c r="R3004" s="453" t="n"/>
      <c r="S3004" s="453" t="n"/>
      <c r="T3004" s="453" t="n"/>
      <c r="U3004" s="453" t="n"/>
      <c r="V3004" s="453" t="n"/>
    </row>
    <row r="3005" customFormat="1" s="21">
      <c r="A3005" s="411" t="inlineStr">
        <is>
          <t>Tropical Montane</t>
        </is>
      </c>
      <c r="B3005" s="467" t="n">
        <v>0</v>
      </c>
      <c r="C3005" s="467" t="n">
        <v>0</v>
      </c>
      <c r="D3005" s="467" t="n">
        <v>8.699999999999999</v>
      </c>
      <c r="E3005" s="467" t="n">
        <v>3.5</v>
      </c>
      <c r="F3005" s="467" t="n">
        <v>0.6</v>
      </c>
      <c r="G3005" s="467" t="n">
        <v>0</v>
      </c>
      <c r="H3005" s="467" t="n">
        <v>0</v>
      </c>
      <c r="I3005" s="467" t="n">
        <v>0</v>
      </c>
      <c r="J3005" s="467" t="n">
        <v>0</v>
      </c>
      <c r="K3005" s="467" t="n">
        <v>0</v>
      </c>
      <c r="L3005" s="451" t="n">
        <v>0</v>
      </c>
      <c r="M3005" s="451" t="n">
        <v>0</v>
      </c>
      <c r="N3005" s="467" t="n">
        <v>0</v>
      </c>
      <c r="O3005" s="467" t="n">
        <v>0</v>
      </c>
      <c r="P3005" s="467" t="n"/>
      <c r="Q3005" s="453" t="n"/>
      <c r="R3005" s="453" t="n"/>
      <c r="S3005" s="453" t="n"/>
      <c r="T3005" s="453" t="n"/>
      <c r="U3005" s="453" t="n"/>
      <c r="V3005" s="453" t="n"/>
    </row>
    <row r="3006" customFormat="1" s="21">
      <c r="A3006" s="411" t="inlineStr">
        <is>
          <t>Tropical Wet</t>
        </is>
      </c>
      <c r="B3006" s="467" t="n">
        <v>0</v>
      </c>
      <c r="C3006" s="467" t="n">
        <v>0</v>
      </c>
      <c r="D3006" s="467" t="n">
        <v>8.699999999999999</v>
      </c>
      <c r="E3006" s="467" t="n">
        <v>3.5</v>
      </c>
      <c r="F3006" s="467" t="n">
        <v>0.6</v>
      </c>
      <c r="G3006" s="467" t="n">
        <v>0</v>
      </c>
      <c r="H3006" s="467" t="n">
        <v>0</v>
      </c>
      <c r="I3006" s="467" t="n">
        <v>0</v>
      </c>
      <c r="J3006" s="467" t="n">
        <v>0</v>
      </c>
      <c r="K3006" s="467" t="n">
        <v>0</v>
      </c>
      <c r="L3006" s="468" t="n">
        <v>0</v>
      </c>
      <c r="M3006" s="451" t="n">
        <v>0</v>
      </c>
      <c r="N3006" s="467" t="n">
        <v>0</v>
      </c>
      <c r="O3006" s="467" t="n">
        <v>0</v>
      </c>
      <c r="P3006" s="467" t="n"/>
    </row>
    <row r="3007" customFormat="1" s="453">
      <c r="A3007" s="411" t="inlineStr">
        <is>
          <t>Tropical Moist</t>
        </is>
      </c>
      <c r="B3007" s="467" t="n">
        <v>0</v>
      </c>
      <c r="C3007" s="467" t="n">
        <v>0</v>
      </c>
      <c r="D3007" s="467" t="n">
        <v>8.699999999999999</v>
      </c>
      <c r="E3007" s="467" t="n">
        <v>3.5</v>
      </c>
      <c r="F3007" s="467" t="n">
        <v>0.6</v>
      </c>
      <c r="G3007" s="467" t="n">
        <v>0</v>
      </c>
      <c r="H3007" s="467" t="n">
        <v>0</v>
      </c>
      <c r="I3007" s="467" t="n">
        <v>0</v>
      </c>
      <c r="J3007" s="467" t="n">
        <v>0</v>
      </c>
      <c r="K3007" s="467" t="n">
        <v>0</v>
      </c>
      <c r="L3007" s="451" t="n">
        <v>0</v>
      </c>
      <c r="M3007" s="451" t="n">
        <v>0</v>
      </c>
      <c r="N3007" s="467" t="n">
        <v>0</v>
      </c>
      <c r="O3007" s="467" t="n">
        <v>0</v>
      </c>
      <c r="P3007" s="467" t="n"/>
    </row>
    <row r="3008" customFormat="1" s="453">
      <c r="A3008" s="411" t="inlineStr">
        <is>
          <t>Tropical Dry</t>
        </is>
      </c>
      <c r="B3008" s="467" t="n">
        <v>0</v>
      </c>
      <c r="C3008" s="467" t="n">
        <v>0</v>
      </c>
      <c r="D3008" s="467" t="n">
        <v>8.699999999999999</v>
      </c>
      <c r="E3008" s="467" t="n">
        <v>3.5</v>
      </c>
      <c r="F3008" s="467" t="n">
        <v>0.6</v>
      </c>
      <c r="G3008" s="467" t="n">
        <v>0</v>
      </c>
      <c r="H3008" s="467" t="n">
        <v>0</v>
      </c>
      <c r="I3008" s="467" t="n">
        <v>0</v>
      </c>
      <c r="J3008" s="467" t="n">
        <v>0</v>
      </c>
      <c r="K3008" s="467" t="n">
        <v>0</v>
      </c>
      <c r="L3008" s="468" t="n">
        <v>0</v>
      </c>
      <c r="M3008" s="451" t="n">
        <v>0</v>
      </c>
      <c r="N3008" s="467" t="n">
        <v>0</v>
      </c>
      <c r="O3008" s="467" t="n">
        <v>0</v>
      </c>
      <c r="P3008" s="467" t="n"/>
    </row>
    <row r="3009" customFormat="1" s="535">
      <c r="A3009" s="518" t="inlineStr">
        <is>
          <t xml:space="preserve">Notes :  </t>
        </is>
      </c>
      <c r="F3009" s="1624" t="n"/>
      <c r="G3009" s="1624" t="n"/>
      <c r="H3009" s="1624" t="n"/>
      <c r="I3009" s="1624" t="n"/>
      <c r="J3009" s="1624" t="n"/>
      <c r="K3009" s="1624" t="n"/>
      <c r="L3009" s="1624" t="n"/>
      <c r="M3009" s="1624" t="n"/>
      <c r="N3009" s="1624" t="n"/>
    </row>
    <row r="3010" customFormat="1" s="292"/>
    <row r="3011" ht="18" customHeight="1"/>
    <row r="3012" customFormat="1" s="125">
      <c r="A3012" s="377" t="inlineStr">
        <is>
          <t>Nitrogen excretion rates</t>
        </is>
      </c>
      <c r="D3012" s="1075" t="n"/>
      <c r="E3012" s="1075" t="n"/>
      <c r="F3012" s="1075" t="n"/>
      <c r="G3012" s="1075" t="n"/>
      <c r="H3012" s="1075" t="n"/>
      <c r="I3012" s="1075" t="n"/>
      <c r="J3012" s="1075" t="n"/>
    </row>
    <row r="3013" ht="16.25" customFormat="1" customHeight="1" s="773">
      <c r="A3013" s="753" t="inlineStr">
        <is>
          <t>Default</t>
        </is>
      </c>
      <c r="B3013" s="442" t="inlineStr">
        <is>
          <t>Table 10.19</t>
        </is>
      </c>
      <c r="C3013" s="442" t="inlineStr">
        <is>
          <t>Table 10.19</t>
        </is>
      </c>
      <c r="D3013" s="442" t="inlineStr">
        <is>
          <t>Table 10.19</t>
        </is>
      </c>
      <c r="E3013" s="442" t="inlineStr">
        <is>
          <t>Table 10.19</t>
        </is>
      </c>
      <c r="F3013" s="442" t="inlineStr">
        <is>
          <t>Table 10.19</t>
        </is>
      </c>
      <c r="G3013" s="442" t="inlineStr">
        <is>
          <t>Table 10.19</t>
        </is>
      </c>
      <c r="H3013" s="442" t="inlineStr">
        <is>
          <t>Table 10.19</t>
        </is>
      </c>
      <c r="I3013" s="442" t="inlineStr">
        <is>
          <t>Table 10.19</t>
        </is>
      </c>
      <c r="J3013" s="442" t="inlineStr">
        <is>
          <t>Table 10.19</t>
        </is>
      </c>
      <c r="K3013" s="442" t="inlineStr">
        <is>
          <t>Table 10.19</t>
        </is>
      </c>
      <c r="L3013" s="442" t="inlineStr">
        <is>
          <t>Table 10.19</t>
        </is>
      </c>
      <c r="M3013" s="442" t="inlineStr">
        <is>
          <t>Table 10.19</t>
        </is>
      </c>
      <c r="N3013" s="442" t="inlineStr">
        <is>
          <t>Table 10.19</t>
        </is>
      </c>
      <c r="O3013" s="442" t="inlineStr">
        <is>
          <t>Table 10.19</t>
        </is>
      </c>
      <c r="P3013" s="442" t="inlineStr">
        <is>
          <t>Table 10.19</t>
        </is>
      </c>
      <c r="Q3013" s="442" t="inlineStr">
        <is>
          <t>Table 10.19</t>
        </is>
      </c>
      <c r="R3013" s="442" t="inlineStr">
        <is>
          <t>Table 10.19</t>
        </is>
      </c>
      <c r="S3013" s="442" t="n"/>
      <c r="T3013" s="442" t="n"/>
      <c r="U3013" s="442" t="n"/>
      <c r="V3013" s="442" t="n"/>
      <c r="W3013" s="442" t="n"/>
      <c r="X3013" s="442" t="n"/>
    </row>
    <row r="3014" ht="16" customFormat="1" customHeight="1" s="291">
      <c r="A3014" s="1632" t="inlineStr">
        <is>
          <t>Please select</t>
        </is>
      </c>
      <c r="B3014" s="1633" t="inlineStr">
        <is>
          <t>Dairy cattle</t>
        </is>
      </c>
      <c r="C3014" s="1633" t="inlineStr">
        <is>
          <t>Other cattle</t>
        </is>
      </c>
      <c r="D3014" s="1633" t="inlineStr">
        <is>
          <t>Dairy buffalo</t>
        </is>
      </c>
      <c r="E3014" s="1633" t="inlineStr">
        <is>
          <t>Other buffalo</t>
        </is>
      </c>
      <c r="F3014" s="419" t="inlineStr">
        <is>
          <t>Dairy sheep</t>
        </is>
      </c>
      <c r="G3014" s="1633" t="inlineStr">
        <is>
          <t>Other sheep</t>
        </is>
      </c>
      <c r="H3014" s="419" t="inlineStr">
        <is>
          <t>Growing swine</t>
        </is>
      </c>
      <c r="I3014" s="1633" t="inlineStr">
        <is>
          <t>Breeding swine</t>
        </is>
      </c>
      <c r="J3014" s="1633" t="inlineStr">
        <is>
          <t>Goats</t>
        </is>
      </c>
      <c r="K3014" s="1633" t="inlineStr">
        <is>
          <t>Horses</t>
        </is>
      </c>
      <c r="L3014" s="1633" t="inlineStr">
        <is>
          <t>Camels</t>
        </is>
      </c>
      <c r="M3014" s="1633" t="inlineStr">
        <is>
          <t>Mules and Asses</t>
        </is>
      </c>
      <c r="N3014" s="1633" t="inlineStr">
        <is>
          <t>Deer</t>
        </is>
      </c>
      <c r="O3014" s="1633" t="inlineStr">
        <is>
          <t>Ostrich</t>
        </is>
      </c>
      <c r="P3014" s="1633" t="inlineStr">
        <is>
          <t>Chicken layer</t>
        </is>
      </c>
      <c r="Q3014" s="1633" t="inlineStr">
        <is>
          <t>Chicken broiler</t>
        </is>
      </c>
      <c r="R3014" s="1633" t="inlineStr">
        <is>
          <t>Llamas and Alpacas</t>
        </is>
      </c>
      <c r="S3014" s="1633" t="inlineStr">
        <is>
          <t>Other (Please specify in Tier 2)</t>
        </is>
      </c>
      <c r="T3014" s="453" t="n"/>
      <c r="U3014" s="453" t="n"/>
      <c r="V3014" s="453" t="n"/>
      <c r="W3014" s="453" t="n"/>
      <c r="X3014" s="453" t="n"/>
      <c r="Y3014" s="21" t="n"/>
      <c r="Z3014" s="21" t="n"/>
    </row>
    <row r="3015" ht="16" customFormat="1" customHeight="1" s="1093">
      <c r="A3015" s="533" t="inlineStr">
        <is>
          <t>IPCC Region</t>
        </is>
      </c>
      <c r="B3015" s="31" t="inlineStr">
        <is>
          <t>kgN/1000 kg TAM/day</t>
        </is>
      </c>
      <c r="C3015" s="31" t="inlineStr">
        <is>
          <t>kgN/1000 kg TAM/day</t>
        </is>
      </c>
      <c r="D3015" s="31" t="inlineStr">
        <is>
          <t>kgN/1000 kg TAM/day</t>
        </is>
      </c>
      <c r="E3015" s="31" t="inlineStr">
        <is>
          <t>kgN/1000 kg TAM/day</t>
        </is>
      </c>
      <c r="F3015" s="31" t="inlineStr">
        <is>
          <t>kgN/1000 kg TAM/day</t>
        </is>
      </c>
      <c r="G3015" s="31" t="inlineStr">
        <is>
          <t>kgN/1000 kg TAM/day</t>
        </is>
      </c>
      <c r="H3015" s="31" t="inlineStr">
        <is>
          <t>kgN/1000 kg TAM/day</t>
        </is>
      </c>
      <c r="I3015" s="31" t="inlineStr">
        <is>
          <t>kgN/1000 kg TAM/day</t>
        </is>
      </c>
      <c r="J3015" s="31" t="inlineStr">
        <is>
          <t>kgN/1000 kg TAM/day</t>
        </is>
      </c>
      <c r="K3015" s="31" t="inlineStr">
        <is>
          <t>kgN/1000 kg TAM/day</t>
        </is>
      </c>
      <c r="L3015" s="31" t="inlineStr">
        <is>
          <t>kgN/1000 kg TAM/day</t>
        </is>
      </c>
      <c r="M3015" s="31" t="inlineStr">
        <is>
          <t>kgN/1000 kg TAM/day</t>
        </is>
      </c>
      <c r="N3015" s="31" t="inlineStr">
        <is>
          <t>kgN/1000 kg TAM/day</t>
        </is>
      </c>
      <c r="O3015" s="31" t="inlineStr">
        <is>
          <t>kgN/1000 kg TAM/day</t>
        </is>
      </c>
      <c r="P3015" s="31" t="inlineStr">
        <is>
          <t>kgN/1000 kg TAM/day</t>
        </is>
      </c>
      <c r="Q3015" s="31" t="inlineStr">
        <is>
          <t>kgN/1000 kg TAM/day</t>
        </is>
      </c>
      <c r="R3015" s="426" t="inlineStr">
        <is>
          <t>kgN/1000 kg TAM/day</t>
        </is>
      </c>
      <c r="S3015" s="426" t="inlineStr">
        <is>
          <t>kgN/1000 kg TAM/day</t>
        </is>
      </c>
      <c r="T3015" s="1092" t="n"/>
      <c r="U3015" s="1092" t="n"/>
      <c r="V3015" s="1092" t="n"/>
      <c r="W3015" s="1092" t="n"/>
      <c r="X3015" s="1092" t="n"/>
    </row>
    <row r="3016" customFormat="1" s="21">
      <c r="A3016" s="407" t="inlineStr">
        <is>
          <t>Sub-Saharan Africa</t>
        </is>
      </c>
      <c r="B3016" s="467" t="n">
        <v>0.44</v>
      </c>
      <c r="C3016" s="470" t="n">
        <v>0.44</v>
      </c>
      <c r="D3016" s="470" t="n">
        <v>0.41</v>
      </c>
      <c r="E3016" s="470" t="n">
        <v>0.41</v>
      </c>
      <c r="F3016" s="41" t="n">
        <v>0.32</v>
      </c>
      <c r="G3016" s="41" t="n">
        <v>0.32</v>
      </c>
      <c r="H3016" s="453" t="n">
        <v>0.49</v>
      </c>
      <c r="I3016" s="44" t="n">
        <v>0.29</v>
      </c>
      <c r="J3016" s="41" t="n">
        <v>0.34</v>
      </c>
      <c r="K3016" s="41" t="n">
        <v>0.46</v>
      </c>
      <c r="L3016" s="41" t="n">
        <v>0.46</v>
      </c>
      <c r="M3016" s="41" t="n">
        <v>0.46</v>
      </c>
      <c r="N3016" s="44" t="n">
        <v>0.67</v>
      </c>
      <c r="O3016" s="44" t="n">
        <v>0.34</v>
      </c>
      <c r="P3016" s="44" t="n">
        <v>1.29</v>
      </c>
      <c r="Q3016" s="44" t="n">
        <v>1.4</v>
      </c>
      <c r="R3016" s="501" t="n"/>
      <c r="S3016" s="41" t="n"/>
      <c r="T3016" s="453" t="n"/>
      <c r="U3016" s="453" t="n"/>
      <c r="V3016" s="453" t="n"/>
      <c r="W3016" s="453" t="n"/>
      <c r="X3016" s="453" t="n"/>
    </row>
    <row r="3017" customFormat="1" s="21">
      <c r="A3017" s="411" t="inlineStr">
        <is>
          <t>East Asia and South-East Asia</t>
        </is>
      </c>
      <c r="B3017" s="467" t="n">
        <v>0.44</v>
      </c>
      <c r="C3017" s="467" t="n">
        <v>0.38</v>
      </c>
      <c r="D3017" s="467" t="n">
        <v>0.44</v>
      </c>
      <c r="E3017" s="467" t="n">
        <v>0.44</v>
      </c>
      <c r="F3017" s="41" t="n">
        <v>0.32</v>
      </c>
      <c r="G3017" s="41" t="n">
        <v>0.32</v>
      </c>
      <c r="H3017" s="453" t="n">
        <v>0.7</v>
      </c>
      <c r="I3017" s="41" t="n">
        <v>0.37</v>
      </c>
      <c r="J3017" s="41" t="n">
        <v>0.34</v>
      </c>
      <c r="K3017" s="41" t="n">
        <v>0.46</v>
      </c>
      <c r="L3017" s="41" t="n">
        <v>0.46</v>
      </c>
      <c r="M3017" s="41" t="n">
        <v>0.46</v>
      </c>
      <c r="N3017" s="41" t="n">
        <v>0.67</v>
      </c>
      <c r="O3017" s="41" t="n">
        <v>0.34</v>
      </c>
      <c r="P3017" s="41" t="n">
        <v>1.1</v>
      </c>
      <c r="Q3017" s="41" t="n">
        <v>1.35</v>
      </c>
      <c r="R3017" s="501" t="n"/>
      <c r="S3017" s="41" t="n"/>
      <c r="T3017" s="453" t="n"/>
      <c r="U3017" s="453" t="n"/>
      <c r="V3017" s="453" t="n"/>
      <c r="W3017" s="453" t="n"/>
      <c r="X3017" s="453" t="n"/>
    </row>
    <row r="3018" customFormat="1" s="21">
      <c r="A3018" s="411" t="inlineStr">
        <is>
          <t>North America</t>
        </is>
      </c>
      <c r="B3018" s="467" t="n">
        <v>0.6</v>
      </c>
      <c r="C3018" s="467" t="n">
        <v>0.4</v>
      </c>
      <c r="D3018" s="467" t="n">
        <v>0</v>
      </c>
      <c r="E3018" s="467" t="n">
        <v>0</v>
      </c>
      <c r="F3018" s="41" t="n">
        <v>0.35</v>
      </c>
      <c r="G3018" s="41" t="n">
        <v>0.35</v>
      </c>
      <c r="H3018" s="453" t="n">
        <v>0.46</v>
      </c>
      <c r="I3018" s="41" t="n">
        <v>0.24</v>
      </c>
      <c r="J3018" s="41" t="n">
        <v>0.46</v>
      </c>
      <c r="K3018" s="41" t="n">
        <v>0.3</v>
      </c>
      <c r="L3018" s="41" t="n">
        <v>0.38</v>
      </c>
      <c r="M3018" s="41" t="n">
        <v>0.3</v>
      </c>
      <c r="N3018" s="41" t="n">
        <v>0.67</v>
      </c>
      <c r="O3018" s="41" t="n">
        <v>0.34</v>
      </c>
      <c r="P3018" s="41" t="n">
        <v>1.45</v>
      </c>
      <c r="Q3018" s="41" t="n">
        <v>1.59</v>
      </c>
      <c r="R3018" s="501" t="n"/>
      <c r="S3018" s="41" t="n"/>
      <c r="T3018" s="453" t="n"/>
      <c r="U3018" s="453" t="n"/>
      <c r="V3018" s="453" t="n"/>
      <c r="W3018" s="453" t="n"/>
      <c r="X3018" s="453" t="n"/>
    </row>
    <row r="3019" customFormat="1" s="21">
      <c r="A3019" s="411" t="inlineStr">
        <is>
          <t>Latin America and the Caribbean</t>
        </is>
      </c>
      <c r="B3019" s="41" t="n">
        <v>0.39</v>
      </c>
      <c r="C3019" s="41" t="n">
        <v>0.31</v>
      </c>
      <c r="D3019" s="41" t="n">
        <v>0.41</v>
      </c>
      <c r="E3019" s="41" t="n">
        <v>0.41</v>
      </c>
      <c r="F3019" s="41" t="n">
        <v>0.32</v>
      </c>
      <c r="G3019" s="41" t="n">
        <v>0.32</v>
      </c>
      <c r="H3019" s="453" t="n">
        <v>0.73</v>
      </c>
      <c r="I3019" s="41" t="n">
        <v>0.35</v>
      </c>
      <c r="J3019" s="41" t="n">
        <v>0.34</v>
      </c>
      <c r="K3019" s="41" t="n">
        <v>0.46</v>
      </c>
      <c r="L3019" s="41" t="n">
        <v>0.46</v>
      </c>
      <c r="M3019" s="41" t="n">
        <v>0.46</v>
      </c>
      <c r="N3019" s="41" t="n">
        <v>0.67</v>
      </c>
      <c r="O3019" s="41" t="n">
        <v>0.34</v>
      </c>
      <c r="P3019" s="41" t="n">
        <v>1.2</v>
      </c>
      <c r="Q3019" s="41" t="n">
        <v>1.23</v>
      </c>
      <c r="R3019" s="501" t="n"/>
      <c r="S3019" s="41" t="n"/>
      <c r="T3019" s="453" t="n"/>
      <c r="U3019" s="453" t="n"/>
      <c r="V3019" s="453" t="n"/>
      <c r="W3019" s="453" t="n"/>
      <c r="X3019" s="453" t="n"/>
    </row>
    <row r="3020" customFormat="1" s="21">
      <c r="A3020" s="411" t="inlineStr">
        <is>
          <t>Western Europe</t>
        </is>
      </c>
      <c r="B3020" s="467" t="n">
        <v>0.5</v>
      </c>
      <c r="C3020" s="467" t="n">
        <v>0.42</v>
      </c>
      <c r="D3020" s="467" t="n">
        <v>0.45</v>
      </c>
      <c r="E3020" s="467" t="n">
        <v>0.45</v>
      </c>
      <c r="F3020" s="41" t="n">
        <v>0.36</v>
      </c>
      <c r="G3020" s="41" t="n">
        <v>0.36</v>
      </c>
      <c r="H3020" s="453" t="n">
        <v>0.76</v>
      </c>
      <c r="I3020" s="41" t="n">
        <v>0.38</v>
      </c>
      <c r="J3020" s="41" t="n">
        <v>0.46</v>
      </c>
      <c r="K3020" s="41" t="n">
        <v>0.26</v>
      </c>
      <c r="L3020" s="41" t="n">
        <v>0.38</v>
      </c>
      <c r="M3020" s="41" t="n">
        <v>0.26</v>
      </c>
      <c r="N3020" s="41" t="n">
        <v>0.67</v>
      </c>
      <c r="O3020" s="41" t="n">
        <v>0.34</v>
      </c>
      <c r="P3020" s="41" t="n">
        <v>0.99</v>
      </c>
      <c r="Q3020" s="41" t="n">
        <v>1.14</v>
      </c>
      <c r="R3020" s="501" t="n"/>
      <c r="S3020" s="41" t="n"/>
      <c r="T3020" s="453" t="n"/>
      <c r="U3020" s="453" t="n"/>
      <c r="V3020" s="453" t="n"/>
      <c r="W3020" s="453" t="n"/>
      <c r="X3020" s="453" t="n"/>
    </row>
    <row r="3021" customFormat="1" s="21">
      <c r="A3021" s="411" t="inlineStr">
        <is>
          <t>Eastern Europe</t>
        </is>
      </c>
      <c r="B3021" s="41" t="n">
        <v>0.42</v>
      </c>
      <c r="C3021" s="41" t="n">
        <v>0.47</v>
      </c>
      <c r="D3021" s="41" t="n">
        <v>0.35</v>
      </c>
      <c r="E3021" s="41" t="n">
        <v>0.35</v>
      </c>
      <c r="F3021" s="41" t="n">
        <v>0.36</v>
      </c>
      <c r="G3021" s="41" t="n">
        <v>0.36</v>
      </c>
      <c r="H3021" s="453" t="n">
        <v>0.77</v>
      </c>
      <c r="I3021" s="41" t="n">
        <v>0.36</v>
      </c>
      <c r="J3021" s="41" t="n">
        <v>0.44</v>
      </c>
      <c r="K3021" s="41" t="n">
        <v>0.3</v>
      </c>
      <c r="L3021" s="41" t="n">
        <v>0.38</v>
      </c>
      <c r="M3021" s="41" t="n">
        <v>0.3</v>
      </c>
      <c r="N3021" s="41" t="n">
        <v>0.67</v>
      </c>
      <c r="O3021" s="41" t="n">
        <v>0.34</v>
      </c>
      <c r="P3021" s="41" t="n">
        <v>0.96</v>
      </c>
      <c r="Q3021" s="41" t="n">
        <v>1.12</v>
      </c>
      <c r="R3021" s="501" t="n"/>
      <c r="S3021" s="41" t="n"/>
      <c r="T3021" s="453" t="n"/>
      <c r="U3021" s="453" t="n"/>
      <c r="V3021" s="453" t="n"/>
      <c r="W3021" s="453" t="n"/>
      <c r="X3021" s="453" t="n"/>
    </row>
    <row r="3022" customFormat="1" s="21">
      <c r="A3022" s="411" t="inlineStr">
        <is>
          <t>Russian Federation</t>
        </is>
      </c>
      <c r="B3022" s="41" t="n">
        <v>0.42</v>
      </c>
      <c r="C3022" s="41" t="n">
        <v>0.47</v>
      </c>
      <c r="D3022" s="41" t="n">
        <v>0.35</v>
      </c>
      <c r="E3022" s="41" t="n">
        <v>0.35</v>
      </c>
      <c r="F3022" s="41" t="n">
        <v>0.36</v>
      </c>
      <c r="G3022" s="41" t="n">
        <v>0.36</v>
      </c>
      <c r="H3022" s="453" t="n">
        <v>0.77</v>
      </c>
      <c r="I3022" s="41" t="n">
        <v>0.36</v>
      </c>
      <c r="J3022" s="41" t="n">
        <v>0.44</v>
      </c>
      <c r="K3022" s="41" t="n">
        <v>0.3</v>
      </c>
      <c r="L3022" s="41" t="n">
        <v>0.38</v>
      </c>
      <c r="M3022" s="41" t="n">
        <v>0.3</v>
      </c>
      <c r="N3022" s="41" t="n">
        <v>0.67</v>
      </c>
      <c r="O3022" s="41" t="n">
        <v>0.34</v>
      </c>
      <c r="P3022" s="41" t="n">
        <v>0.96</v>
      </c>
      <c r="Q3022" s="41" t="n">
        <v>1.12</v>
      </c>
      <c r="R3022" s="501" t="n"/>
      <c r="S3022" s="41" t="n"/>
      <c r="T3022" s="453" t="n"/>
      <c r="U3022" s="453" t="n"/>
      <c r="V3022" s="453" t="n"/>
      <c r="W3022" s="453" t="n"/>
      <c r="X3022" s="453" t="n"/>
    </row>
    <row r="3023" customFormat="1" s="21">
      <c r="A3023" s="411" t="inlineStr">
        <is>
          <t>Oceania</t>
        </is>
      </c>
      <c r="B3023" s="41" t="n">
        <v>0.72</v>
      </c>
      <c r="C3023" s="41" t="n">
        <v>0.46</v>
      </c>
      <c r="D3023" s="41" t="n">
        <v>0</v>
      </c>
      <c r="E3023" s="41" t="n">
        <v>0</v>
      </c>
      <c r="F3023" s="41" t="n">
        <v>0.43</v>
      </c>
      <c r="G3023" s="41" t="n">
        <v>0.43</v>
      </c>
      <c r="H3023" s="453" t="n">
        <v>0.72</v>
      </c>
      <c r="I3023" s="41" t="n">
        <v>0.31</v>
      </c>
      <c r="J3023" s="41" t="n">
        <v>0.42</v>
      </c>
      <c r="K3023" s="41" t="n">
        <v>0.3</v>
      </c>
      <c r="L3023" s="41" t="n">
        <v>0.38</v>
      </c>
      <c r="M3023" s="41" t="n">
        <v>0.3</v>
      </c>
      <c r="N3023" s="41" t="n">
        <v>0.67</v>
      </c>
      <c r="O3023" s="41" t="n">
        <v>0.34</v>
      </c>
      <c r="P3023" s="41" t="n">
        <v>1.42</v>
      </c>
      <c r="Q3023" s="41" t="n">
        <v>1.59</v>
      </c>
      <c r="R3023" s="501" t="n"/>
      <c r="S3023" s="41" t="n"/>
    </row>
    <row r="3024" customFormat="1" s="453">
      <c r="A3024" s="411" t="inlineStr">
        <is>
          <t>NENA/Middle East</t>
        </is>
      </c>
      <c r="B3024" s="41" t="n">
        <v>0.5</v>
      </c>
      <c r="C3024" s="41" t="n">
        <v>0.55</v>
      </c>
      <c r="D3024" s="41" t="n">
        <v>0.39</v>
      </c>
      <c r="E3024" s="41" t="n">
        <v>0.39</v>
      </c>
      <c r="F3024" s="41" t="n">
        <v>0.32</v>
      </c>
      <c r="G3024" s="41" t="n">
        <v>0.32</v>
      </c>
      <c r="H3024" s="453" t="n">
        <v>0.73</v>
      </c>
      <c r="I3024" s="41" t="n">
        <v>0.4</v>
      </c>
      <c r="J3024" s="41" t="n">
        <v>0.34</v>
      </c>
      <c r="K3024" s="41" t="n">
        <v>0.46</v>
      </c>
      <c r="L3024" s="41" t="n">
        <v>0.46</v>
      </c>
      <c r="M3024" s="41" t="n">
        <v>0.46</v>
      </c>
      <c r="N3024" s="41" t="n">
        <v>0.67</v>
      </c>
      <c r="O3024" s="41" t="n">
        <v>0.34</v>
      </c>
      <c r="P3024" s="41" t="n">
        <v>1.29</v>
      </c>
      <c r="Q3024" s="41" t="n">
        <v>1.43</v>
      </c>
      <c r="R3024" s="501" t="n"/>
      <c r="S3024" s="41" t="n"/>
    </row>
    <row r="3025" customFormat="1" s="453">
      <c r="A3025" s="411" t="inlineStr">
        <is>
          <t>South Asia</t>
        </is>
      </c>
      <c r="B3025" s="41" t="n">
        <v>0.65</v>
      </c>
      <c r="C3025" s="41" t="n">
        <v>0.44</v>
      </c>
      <c r="D3025" s="41" t="n">
        <v>0.57</v>
      </c>
      <c r="E3025" s="41" t="n">
        <v>0.57</v>
      </c>
      <c r="F3025" s="41" t="n">
        <v>0.32</v>
      </c>
      <c r="G3025" s="41" t="n">
        <v>0.32</v>
      </c>
      <c r="H3025" s="453" t="n">
        <v>0.76</v>
      </c>
      <c r="I3025" s="41" t="n">
        <v>0.43</v>
      </c>
      <c r="J3025" s="41" t="n">
        <v>0.34</v>
      </c>
      <c r="K3025" s="41" t="n">
        <v>0.46</v>
      </c>
      <c r="L3025" s="41" t="n">
        <v>0.46</v>
      </c>
      <c r="M3025" s="41" t="n">
        <v>0.46</v>
      </c>
      <c r="N3025" s="42" t="n">
        <v>0.67</v>
      </c>
      <c r="O3025" s="42" t="n">
        <v>0.34</v>
      </c>
      <c r="P3025" s="41" t="n">
        <v>1.62</v>
      </c>
      <c r="Q3025" s="41" t="n">
        <v>1.58</v>
      </c>
      <c r="R3025" s="501" t="n"/>
      <c r="S3025" s="41" t="n"/>
    </row>
    <row r="3026" customFormat="1" s="535">
      <c r="A3026" s="518" t="inlineStr">
        <is>
          <t>Notes: Proxies of Eastern Europe for Russia</t>
        </is>
      </c>
      <c r="F3026" s="1624" t="n"/>
      <c r="G3026" s="1624" t="n"/>
      <c r="H3026" s="1624" t="n"/>
      <c r="I3026" s="1624" t="n"/>
      <c r="J3026" s="1624" t="n"/>
      <c r="K3026" s="1624" t="n"/>
      <c r="L3026" s="1624" t="n"/>
      <c r="M3026" s="1624" t="n"/>
      <c r="N3026" s="1624" t="n"/>
    </row>
    <row r="3027" customFormat="1" s="292">
      <c r="A3027" s="292" t="inlineStr">
        <is>
          <t>Proxy default poultry</t>
        </is>
      </c>
    </row>
    <row r="3029" customFormat="1" s="125">
      <c r="A3029" s="377" t="inlineStr">
        <is>
          <t>Nitrogen excretion rates</t>
        </is>
      </c>
      <c r="D3029" s="1075" t="n"/>
      <c r="E3029" s="1075" t="n"/>
      <c r="F3029" s="1075" t="n"/>
      <c r="G3029" s="1075" t="n"/>
      <c r="H3029" s="1075" t="n"/>
      <c r="I3029" s="1075" t="n"/>
      <c r="J3029" s="1075" t="n"/>
    </row>
    <row r="3030" ht="16.25" customFormat="1" customHeight="1" s="773">
      <c r="A3030" s="753" t="inlineStr">
        <is>
          <t>Low-productivity</t>
        </is>
      </c>
      <c r="B3030" s="442" t="inlineStr">
        <is>
          <t>Table 10.19</t>
        </is>
      </c>
      <c r="C3030" s="442" t="inlineStr">
        <is>
          <t>Table 10.19</t>
        </is>
      </c>
      <c r="D3030" s="442" t="inlineStr">
        <is>
          <t>Table 10.19</t>
        </is>
      </c>
      <c r="E3030" s="442" t="inlineStr">
        <is>
          <t>Table 10.19</t>
        </is>
      </c>
      <c r="F3030" s="442" t="inlineStr">
        <is>
          <t>Table 10.19</t>
        </is>
      </c>
      <c r="G3030" s="442" t="inlineStr">
        <is>
          <t>Table 10.19</t>
        </is>
      </c>
      <c r="H3030" s="442" t="inlineStr">
        <is>
          <t>Table 10.19</t>
        </is>
      </c>
      <c r="I3030" s="442" t="inlineStr">
        <is>
          <t>Table 10.19</t>
        </is>
      </c>
      <c r="J3030" s="442" t="inlineStr">
        <is>
          <t>Table 10.19</t>
        </is>
      </c>
      <c r="K3030" s="442" t="inlineStr">
        <is>
          <t>Table 10.19</t>
        </is>
      </c>
      <c r="L3030" s="442" t="inlineStr">
        <is>
          <t>Table 10.19</t>
        </is>
      </c>
      <c r="M3030" s="442" t="inlineStr">
        <is>
          <t>Table 10.19</t>
        </is>
      </c>
      <c r="N3030" s="442" t="inlineStr">
        <is>
          <t>Table 10.19</t>
        </is>
      </c>
      <c r="O3030" s="442" t="inlineStr">
        <is>
          <t>Table 10.19</t>
        </is>
      </c>
      <c r="P3030" s="442" t="inlineStr">
        <is>
          <t>Table 10.19</t>
        </is>
      </c>
      <c r="Q3030" s="442" t="inlineStr">
        <is>
          <t>Table 10.19</t>
        </is>
      </c>
      <c r="R3030" s="442" t="inlineStr">
        <is>
          <t>Table 10.19</t>
        </is>
      </c>
      <c r="S3030" s="442" t="n"/>
      <c r="T3030" s="442" t="n"/>
      <c r="U3030" s="442" t="n"/>
      <c r="V3030" s="442" t="n"/>
      <c r="W3030" s="442" t="n"/>
      <c r="X3030" s="442" t="n"/>
    </row>
    <row r="3031" ht="16" customFormat="1" customHeight="1" s="291">
      <c r="A3031" s="1632" t="inlineStr">
        <is>
          <t>Please select</t>
        </is>
      </c>
      <c r="B3031" s="1633" t="inlineStr">
        <is>
          <t>Dairy cattle</t>
        </is>
      </c>
      <c r="C3031" s="1633" t="inlineStr">
        <is>
          <t>Other cattle</t>
        </is>
      </c>
      <c r="D3031" s="1633" t="inlineStr">
        <is>
          <t>Dairy buffalo</t>
        </is>
      </c>
      <c r="E3031" s="1633" t="inlineStr">
        <is>
          <t>Other buffalo</t>
        </is>
      </c>
      <c r="F3031" s="419" t="inlineStr">
        <is>
          <t>Dairy sheep</t>
        </is>
      </c>
      <c r="G3031" s="1633" t="inlineStr">
        <is>
          <t>Other sheep</t>
        </is>
      </c>
      <c r="H3031" s="419" t="inlineStr">
        <is>
          <t>Growing swine</t>
        </is>
      </c>
      <c r="I3031" s="1633" t="inlineStr">
        <is>
          <t>Breeding swine</t>
        </is>
      </c>
      <c r="J3031" s="1633" t="inlineStr">
        <is>
          <t>Goats</t>
        </is>
      </c>
      <c r="K3031" s="1633" t="inlineStr">
        <is>
          <t>Horses</t>
        </is>
      </c>
      <c r="L3031" s="1633" t="inlineStr">
        <is>
          <t>Camels</t>
        </is>
      </c>
      <c r="M3031" s="1633" t="inlineStr">
        <is>
          <t>Mules and Asses</t>
        </is>
      </c>
      <c r="N3031" s="1633" t="inlineStr">
        <is>
          <t>Deer</t>
        </is>
      </c>
      <c r="O3031" s="1633" t="inlineStr">
        <is>
          <t>Ostrich</t>
        </is>
      </c>
      <c r="P3031" s="1633" t="inlineStr">
        <is>
          <t>Chicken layer</t>
        </is>
      </c>
      <c r="Q3031" s="1633" t="inlineStr">
        <is>
          <t>Chicken broiler</t>
        </is>
      </c>
      <c r="R3031" s="1633" t="inlineStr">
        <is>
          <t>Llamas and Alpacas</t>
        </is>
      </c>
      <c r="S3031" s="1633" t="inlineStr">
        <is>
          <t>Other (Please specify in Tier 2)</t>
        </is>
      </c>
      <c r="T3031" s="453" t="n"/>
      <c r="U3031" s="453" t="n"/>
      <c r="V3031" s="453" t="n"/>
      <c r="W3031" s="453" t="n"/>
      <c r="X3031" s="453" t="n"/>
      <c r="Y3031" s="21" t="n"/>
      <c r="Z3031" s="21" t="n"/>
    </row>
    <row r="3032" ht="16" customFormat="1" customHeight="1" s="1093">
      <c r="A3032" s="533" t="inlineStr">
        <is>
          <t>IPCC Region</t>
        </is>
      </c>
      <c r="B3032" s="31" t="inlineStr">
        <is>
          <t>kgN/1000 kg TAM/day</t>
        </is>
      </c>
      <c r="C3032" s="31" t="inlineStr">
        <is>
          <t>kgN/1000 kg TAM/day</t>
        </is>
      </c>
      <c r="D3032" s="31" t="inlineStr">
        <is>
          <t>kgN/1000 kg TAM/day</t>
        </is>
      </c>
      <c r="E3032" s="31" t="inlineStr">
        <is>
          <t>kgN/1000 kg TAM/day</t>
        </is>
      </c>
      <c r="F3032" s="31" t="inlineStr">
        <is>
          <t>kgN/1000 kg TAM/day</t>
        </is>
      </c>
      <c r="G3032" s="31" t="inlineStr">
        <is>
          <t>kgN/1000 kg TAM/day</t>
        </is>
      </c>
      <c r="H3032" s="31" t="inlineStr">
        <is>
          <t>kgN/1000 kg TAM/day</t>
        </is>
      </c>
      <c r="I3032" s="31" t="inlineStr">
        <is>
          <t>kgN/1000 kg TAM/day</t>
        </is>
      </c>
      <c r="J3032" s="31" t="inlineStr">
        <is>
          <t>kgN/1000 kg TAM/day</t>
        </is>
      </c>
      <c r="K3032" s="31" t="inlineStr">
        <is>
          <t>kgN/1000 kg TAM/day</t>
        </is>
      </c>
      <c r="L3032" s="31" t="inlineStr">
        <is>
          <t>kgN/1000 kg TAM/day</t>
        </is>
      </c>
      <c r="M3032" s="31" t="inlineStr">
        <is>
          <t>kgN/1000 kg TAM/day</t>
        </is>
      </c>
      <c r="N3032" s="31" t="inlineStr">
        <is>
          <t>kgN/1000 kg TAM/day</t>
        </is>
      </c>
      <c r="O3032" s="31" t="inlineStr">
        <is>
          <t>kgN/1000 kg TAM/day</t>
        </is>
      </c>
      <c r="P3032" s="31" t="inlineStr">
        <is>
          <t>kgN/1000 kg TAM/day</t>
        </is>
      </c>
      <c r="Q3032" s="31" t="inlineStr">
        <is>
          <t>kgN/1000 kg TAM/day</t>
        </is>
      </c>
      <c r="R3032" s="426" t="inlineStr">
        <is>
          <t>kgN/1000 kg TAM/day</t>
        </is>
      </c>
      <c r="S3032" s="426" t="inlineStr">
        <is>
          <t>kgN/1000 kg TAM/day</t>
        </is>
      </c>
      <c r="T3032" s="1092" t="n"/>
      <c r="U3032" s="1092" t="n"/>
      <c r="V3032" s="1092" t="n"/>
      <c r="W3032" s="1092" t="n"/>
      <c r="X3032" s="1092" t="n"/>
    </row>
    <row r="3033" customFormat="1" s="21">
      <c r="A3033" s="407" t="inlineStr">
        <is>
          <t>Sub-Saharan Africa</t>
        </is>
      </c>
      <c r="B3033" s="467" t="n">
        <v>0.45</v>
      </c>
      <c r="C3033" s="470" t="n">
        <v>0.45</v>
      </c>
      <c r="D3033" s="470" t="n">
        <v>0.41</v>
      </c>
      <c r="E3033" s="470" t="n">
        <v>0.41</v>
      </c>
      <c r="F3033" s="41" t="n">
        <v>0.32</v>
      </c>
      <c r="G3033" s="41" t="n">
        <v>0.32</v>
      </c>
      <c r="H3033" s="453" t="n">
        <v>0.54</v>
      </c>
      <c r="I3033" s="44" t="n">
        <v>0.35</v>
      </c>
      <c r="J3033" s="41" t="n">
        <v>0.34</v>
      </c>
      <c r="K3033" s="41" t="n">
        <v>0.46</v>
      </c>
      <c r="L3033" s="41" t="n">
        <v>0.46</v>
      </c>
      <c r="M3033" s="41" t="n">
        <v>0.46</v>
      </c>
      <c r="N3033" s="44" t="n">
        <v>0.67</v>
      </c>
      <c r="O3033" s="44" t="n">
        <v>0.34</v>
      </c>
      <c r="P3033" s="44" t="n">
        <v>1.44</v>
      </c>
      <c r="Q3033" s="44" t="n">
        <v>1.58</v>
      </c>
      <c r="R3033" s="501" t="n"/>
      <c r="S3033" s="41" t="n"/>
      <c r="T3033" s="453" t="n"/>
      <c r="U3033" s="453" t="n"/>
      <c r="V3033" s="453" t="n"/>
      <c r="W3033" s="453" t="n"/>
      <c r="X3033" s="453" t="n"/>
    </row>
    <row r="3034" customFormat="1" s="21">
      <c r="A3034" s="411" t="inlineStr">
        <is>
          <t>East Asia and South-East Asia</t>
        </is>
      </c>
      <c r="B3034" s="467" t="n">
        <v>0.41</v>
      </c>
      <c r="C3034" s="467" t="n">
        <v>0.38</v>
      </c>
      <c r="D3034" s="467" t="n">
        <v>0.44</v>
      </c>
      <c r="E3034" s="467" t="n">
        <v>0.44</v>
      </c>
      <c r="F3034" s="41" t="n">
        <v>0.32</v>
      </c>
      <c r="G3034" s="41" t="n">
        <v>0.32</v>
      </c>
      <c r="H3034" s="453" t="n">
        <v>0.76</v>
      </c>
      <c r="I3034" s="41" t="n">
        <v>0.43</v>
      </c>
      <c r="J3034" s="41" t="n">
        <v>0.34</v>
      </c>
      <c r="K3034" s="41" t="n">
        <v>0.46</v>
      </c>
      <c r="L3034" s="41" t="n">
        <v>0.46</v>
      </c>
      <c r="M3034" s="41" t="n">
        <v>0.46</v>
      </c>
      <c r="N3034" s="41" t="n">
        <v>0.67</v>
      </c>
      <c r="O3034" s="41" t="n">
        <v>0.34</v>
      </c>
      <c r="P3034" s="41" t="n">
        <v>1.62</v>
      </c>
      <c r="Q3034" s="41" t="n">
        <v>1.84</v>
      </c>
      <c r="R3034" s="501" t="n"/>
      <c r="S3034" s="41" t="n"/>
      <c r="T3034" s="453" t="n"/>
      <c r="U3034" s="453" t="n"/>
      <c r="V3034" s="453" t="n"/>
      <c r="W3034" s="453" t="n"/>
      <c r="X3034" s="453" t="n"/>
    </row>
    <row r="3035" customFormat="1" s="21">
      <c r="A3035" s="411" t="inlineStr">
        <is>
          <t>North America</t>
        </is>
      </c>
      <c r="B3035" s="467" t="n">
        <v>0.6</v>
      </c>
      <c r="C3035" s="467" t="n">
        <v>0.4</v>
      </c>
      <c r="D3035" s="467" t="n">
        <v>0</v>
      </c>
      <c r="E3035" s="467" t="n">
        <v>0</v>
      </c>
      <c r="F3035" s="41" t="n">
        <v>0.35</v>
      </c>
      <c r="G3035" s="41" t="n">
        <v>0.35</v>
      </c>
      <c r="H3035" s="453" t="n">
        <v>0.46</v>
      </c>
      <c r="I3035" s="41" t="n">
        <v>0.24</v>
      </c>
      <c r="J3035" s="41" t="n">
        <v>0.46</v>
      </c>
      <c r="K3035" s="41" t="n">
        <v>0.3</v>
      </c>
      <c r="L3035" s="41" t="n">
        <v>0.38</v>
      </c>
      <c r="M3035" s="41" t="n">
        <v>0.3</v>
      </c>
      <c r="N3035" s="41" t="n">
        <v>0.67</v>
      </c>
      <c r="O3035" s="41" t="n">
        <v>0.34</v>
      </c>
      <c r="P3035" s="41" t="n">
        <v>1.45</v>
      </c>
      <c r="Q3035" s="41" t="n">
        <v>1.59</v>
      </c>
      <c r="R3035" s="501" t="n"/>
      <c r="S3035" s="41" t="n"/>
      <c r="T3035" s="453" t="n"/>
      <c r="U3035" s="453" t="n"/>
      <c r="V3035" s="453" t="n"/>
      <c r="W3035" s="453" t="n"/>
      <c r="X3035" s="453" t="n"/>
    </row>
    <row r="3036" customFormat="1" s="21">
      <c r="A3036" s="411" t="inlineStr">
        <is>
          <t>Latin America and the Caribbean</t>
        </is>
      </c>
      <c r="B3036" s="41" t="n">
        <v>0.28</v>
      </c>
      <c r="C3036" s="41" t="n">
        <v>0.29</v>
      </c>
      <c r="D3036" s="41" t="n">
        <v>0.41</v>
      </c>
      <c r="E3036" s="41" t="n">
        <v>0.41</v>
      </c>
      <c r="F3036" s="41" t="n">
        <v>0.32</v>
      </c>
      <c r="G3036" s="41" t="n">
        <v>0.32</v>
      </c>
      <c r="H3036" s="451" t="n">
        <v>0.8</v>
      </c>
      <c r="I3036" s="41" t="n">
        <v>0.43</v>
      </c>
      <c r="J3036" s="41" t="n">
        <v>0.34</v>
      </c>
      <c r="K3036" s="41" t="n">
        <v>0.46</v>
      </c>
      <c r="L3036" s="41" t="n">
        <v>0.46</v>
      </c>
      <c r="M3036" s="41" t="n">
        <v>0.46</v>
      </c>
      <c r="N3036" s="41" t="n">
        <v>0.67</v>
      </c>
      <c r="O3036" s="41" t="n">
        <v>0.34</v>
      </c>
      <c r="P3036" s="451" t="n">
        <v>2.14</v>
      </c>
      <c r="Q3036" s="41" t="n">
        <v>2.39</v>
      </c>
      <c r="R3036" s="501" t="n"/>
      <c r="S3036" s="41" t="n"/>
      <c r="T3036" s="453" t="n"/>
      <c r="U3036" s="453" t="n"/>
      <c r="V3036" s="453" t="n"/>
      <c r="W3036" s="453" t="n"/>
      <c r="X3036" s="453" t="n"/>
    </row>
    <row r="3037" customFormat="1" s="21">
      <c r="A3037" s="411" t="inlineStr">
        <is>
          <t>Western Europe</t>
        </is>
      </c>
      <c r="B3037" s="467" t="n">
        <v>0.5</v>
      </c>
      <c r="C3037" s="467" t="n">
        <v>0.42</v>
      </c>
      <c r="D3037" s="467" t="n">
        <v>0.45</v>
      </c>
      <c r="E3037" s="467" t="n">
        <v>0.45</v>
      </c>
      <c r="F3037" s="41" t="n">
        <v>0.36</v>
      </c>
      <c r="G3037" s="41" t="n">
        <v>0.36</v>
      </c>
      <c r="H3037" s="451" t="n">
        <v>0.76</v>
      </c>
      <c r="I3037" s="41" t="n">
        <v>0.38</v>
      </c>
      <c r="J3037" s="41" t="n">
        <v>0.46</v>
      </c>
      <c r="K3037" s="41" t="n">
        <v>0.26</v>
      </c>
      <c r="L3037" s="41" t="n">
        <v>0.38</v>
      </c>
      <c r="M3037" s="41" t="n">
        <v>0.26</v>
      </c>
      <c r="N3037" s="41" t="n">
        <v>0.67</v>
      </c>
      <c r="O3037" s="41" t="n">
        <v>0.34</v>
      </c>
      <c r="P3037" s="451" t="n">
        <v>0.99</v>
      </c>
      <c r="Q3037" s="41" t="n">
        <v>1.14</v>
      </c>
      <c r="R3037" s="501" t="n"/>
      <c r="S3037" s="41" t="n"/>
      <c r="T3037" s="453" t="n"/>
      <c r="U3037" s="453" t="n"/>
      <c r="V3037" s="453" t="n"/>
      <c r="W3037" s="453" t="n"/>
      <c r="X3037" s="453" t="n"/>
    </row>
    <row r="3038" customFormat="1" s="21">
      <c r="A3038" s="411" t="inlineStr">
        <is>
          <t>Eastern Europe</t>
        </is>
      </c>
      <c r="B3038" s="41" t="n">
        <v>0.42</v>
      </c>
      <c r="C3038" s="41" t="n">
        <v>0.47</v>
      </c>
      <c r="D3038" s="41" t="n">
        <v>0.35</v>
      </c>
      <c r="E3038" s="41" t="n">
        <v>0.35</v>
      </c>
      <c r="F3038" s="41" t="n">
        <v>0.36</v>
      </c>
      <c r="G3038" s="41" t="n">
        <v>0.36</v>
      </c>
      <c r="H3038" s="451" t="n">
        <v>0.77</v>
      </c>
      <c r="I3038" s="41" t="n">
        <v>0.36</v>
      </c>
      <c r="J3038" s="41" t="n">
        <v>0.44</v>
      </c>
      <c r="K3038" s="41" t="n">
        <v>0.3</v>
      </c>
      <c r="L3038" s="41" t="n">
        <v>0.38</v>
      </c>
      <c r="M3038" s="41" t="n">
        <v>0.3</v>
      </c>
      <c r="N3038" s="41" t="n">
        <v>0.67</v>
      </c>
      <c r="O3038" s="41" t="n">
        <v>0.34</v>
      </c>
      <c r="P3038" s="451" t="n">
        <v>0.96</v>
      </c>
      <c r="Q3038" s="41" t="n">
        <v>1.12</v>
      </c>
      <c r="R3038" s="501" t="n"/>
      <c r="S3038" s="41" t="n"/>
      <c r="T3038" s="453" t="n"/>
      <c r="U3038" s="453" t="n"/>
      <c r="V3038" s="453" t="n"/>
      <c r="W3038" s="453" t="n"/>
      <c r="X3038" s="453" t="n"/>
    </row>
    <row r="3039" customFormat="1" s="21">
      <c r="A3039" s="411" t="inlineStr">
        <is>
          <t>Russian Federation</t>
        </is>
      </c>
      <c r="B3039" s="41" t="n">
        <v>0.42</v>
      </c>
      <c r="C3039" s="41" t="n">
        <v>0.47</v>
      </c>
      <c r="D3039" s="41" t="n">
        <v>0.35</v>
      </c>
      <c r="E3039" s="41" t="n">
        <v>0.35</v>
      </c>
      <c r="F3039" s="41" t="n">
        <v>0.36</v>
      </c>
      <c r="G3039" s="41" t="n">
        <v>0.36</v>
      </c>
      <c r="H3039" s="451" t="n">
        <v>0.77</v>
      </c>
      <c r="I3039" s="41" t="n">
        <v>0.36</v>
      </c>
      <c r="J3039" s="41" t="n">
        <v>0.44</v>
      </c>
      <c r="K3039" s="41" t="n">
        <v>0.3</v>
      </c>
      <c r="L3039" s="41" t="n">
        <v>0.38</v>
      </c>
      <c r="M3039" s="41" t="n">
        <v>0.3</v>
      </c>
      <c r="N3039" s="41" t="n">
        <v>0.67</v>
      </c>
      <c r="O3039" s="41" t="n">
        <v>0.34</v>
      </c>
      <c r="P3039" s="451" t="n">
        <v>0.96</v>
      </c>
      <c r="Q3039" s="41" t="n">
        <v>1.12</v>
      </c>
      <c r="R3039" s="501" t="n"/>
      <c r="S3039" s="41" t="n"/>
      <c r="T3039" s="453" t="n"/>
      <c r="U3039" s="453" t="n"/>
      <c r="V3039" s="453" t="n"/>
      <c r="W3039" s="453" t="n"/>
      <c r="X3039" s="453" t="n"/>
    </row>
    <row r="3040" customFormat="1" s="21">
      <c r="A3040" s="411" t="inlineStr">
        <is>
          <t>Oceania</t>
        </is>
      </c>
      <c r="B3040" s="41" t="n">
        <v>0.72</v>
      </c>
      <c r="C3040" s="41" t="n">
        <v>0.46</v>
      </c>
      <c r="D3040" s="41" t="n">
        <v>0</v>
      </c>
      <c r="E3040" s="41" t="n">
        <v>0</v>
      </c>
      <c r="F3040" s="41" t="n">
        <v>0.43</v>
      </c>
      <c r="G3040" s="41" t="n">
        <v>0.43</v>
      </c>
      <c r="H3040" s="453" t="n">
        <v>0.72</v>
      </c>
      <c r="I3040" s="41" t="n">
        <v>0.31</v>
      </c>
      <c r="J3040" s="41" t="n">
        <v>0.42</v>
      </c>
      <c r="K3040" s="41" t="n">
        <v>0.3</v>
      </c>
      <c r="L3040" s="41" t="n">
        <v>0.38</v>
      </c>
      <c r="M3040" s="41" t="n">
        <v>0.3</v>
      </c>
      <c r="N3040" s="41" t="n">
        <v>0.67</v>
      </c>
      <c r="O3040" s="41" t="n">
        <v>0.34</v>
      </c>
      <c r="P3040" s="41" t="n">
        <v>1.42</v>
      </c>
      <c r="Q3040" s="41" t="n">
        <v>1.59</v>
      </c>
      <c r="R3040" s="501" t="n"/>
      <c r="S3040" s="41" t="n"/>
    </row>
    <row r="3041" customFormat="1" s="453">
      <c r="A3041" s="411" t="inlineStr">
        <is>
          <t>NENA/Middle East</t>
        </is>
      </c>
      <c r="B3041" s="41" t="n">
        <v>0.51</v>
      </c>
      <c r="C3041" s="41" t="n">
        <v>0.58</v>
      </c>
      <c r="D3041" s="41" t="n">
        <v>0.39</v>
      </c>
      <c r="E3041" s="41" t="n">
        <v>0.39</v>
      </c>
      <c r="F3041" s="41" t="n">
        <v>0.32</v>
      </c>
      <c r="G3041" s="41" t="n">
        <v>0.32</v>
      </c>
      <c r="H3041" s="453" t="n">
        <v>0.6</v>
      </c>
      <c r="I3041" s="41" t="n">
        <v>0.37</v>
      </c>
      <c r="J3041" s="41" t="n">
        <v>0.34</v>
      </c>
      <c r="K3041" s="41" t="n">
        <v>0.46</v>
      </c>
      <c r="L3041" s="41" t="n">
        <v>0.46</v>
      </c>
      <c r="M3041" s="41" t="n">
        <v>0.46</v>
      </c>
      <c r="N3041" s="41" t="n">
        <v>0.67</v>
      </c>
      <c r="O3041" s="41" t="n">
        <v>0.34</v>
      </c>
      <c r="P3041" s="41" t="n">
        <v>1.79</v>
      </c>
      <c r="Q3041" s="41" t="n">
        <v>1.95</v>
      </c>
      <c r="R3041" s="501" t="n"/>
      <c r="S3041" s="41" t="n"/>
    </row>
    <row r="3042" customFormat="1" s="453">
      <c r="A3042" s="411" t="inlineStr">
        <is>
          <t>South Asia</t>
        </is>
      </c>
      <c r="B3042" s="41" t="n">
        <v>0.7</v>
      </c>
      <c r="C3042" s="41" t="n">
        <v>0.4</v>
      </c>
      <c r="D3042" s="41" t="n">
        <v>0.57</v>
      </c>
      <c r="E3042" s="41" t="n">
        <v>0.57</v>
      </c>
      <c r="F3042" s="41" t="n">
        <v>0.32</v>
      </c>
      <c r="G3042" s="41" t="n">
        <v>0.32</v>
      </c>
      <c r="H3042" s="453" t="n">
        <v>0.76</v>
      </c>
      <c r="I3042" s="41" t="n">
        <v>0.47</v>
      </c>
      <c r="J3042" s="41" t="n">
        <v>0.34</v>
      </c>
      <c r="K3042" s="41" t="n">
        <v>0.46</v>
      </c>
      <c r="L3042" s="41" t="n">
        <v>0.46</v>
      </c>
      <c r="M3042" s="41" t="n">
        <v>0.46</v>
      </c>
      <c r="N3042" s="42" t="n">
        <v>0.67</v>
      </c>
      <c r="O3042" s="42" t="n">
        <v>0.34</v>
      </c>
      <c r="P3042" s="41" t="n">
        <v>1.83</v>
      </c>
      <c r="Q3042" s="41" t="n">
        <v>2.11</v>
      </c>
      <c r="R3042" s="501" t="n"/>
      <c r="S3042" s="41" t="n"/>
    </row>
    <row r="3043" customFormat="1" s="535">
      <c r="A3043" s="518" t="inlineStr">
        <is>
          <t>Notes: Proxies of Eastern Europe for Russia</t>
        </is>
      </c>
      <c r="F3043" s="1624" t="n"/>
      <c r="G3043" s="1624" t="n"/>
      <c r="H3043" s="1624" t="n"/>
      <c r="I3043" s="1624" t="n"/>
      <c r="J3043" s="1624" t="n"/>
      <c r="K3043" s="1624" t="n"/>
      <c r="L3043" s="1624" t="n"/>
      <c r="M3043" s="1624" t="n"/>
      <c r="N3043" s="1624" t="n"/>
    </row>
    <row r="3044" customFormat="1" s="292">
      <c r="A3044" s="292" t="inlineStr">
        <is>
          <t>Proxy default poultry</t>
        </is>
      </c>
    </row>
    <row r="3046" customFormat="1" s="125">
      <c r="A3046" s="377" t="inlineStr">
        <is>
          <t>Nitrogen excretion rates</t>
        </is>
      </c>
      <c r="D3046" s="1075" t="n"/>
      <c r="E3046" s="1075" t="n"/>
      <c r="F3046" s="1075" t="n"/>
      <c r="G3046" s="1075" t="n"/>
      <c r="H3046" s="1075" t="n"/>
      <c r="I3046" s="1075" t="n"/>
      <c r="J3046" s="1075" t="n"/>
    </row>
    <row r="3047" ht="16.25" customFormat="1" customHeight="1" s="773">
      <c r="A3047" s="753" t="inlineStr">
        <is>
          <t>High-productivity</t>
        </is>
      </c>
      <c r="B3047" s="442" t="inlineStr">
        <is>
          <t>Table 10.19</t>
        </is>
      </c>
      <c r="C3047" s="442" t="inlineStr">
        <is>
          <t>Table 10.19</t>
        </is>
      </c>
      <c r="D3047" s="442" t="inlineStr">
        <is>
          <t>Table 10.19</t>
        </is>
      </c>
      <c r="E3047" s="442" t="inlineStr">
        <is>
          <t>Table 10.19</t>
        </is>
      </c>
      <c r="F3047" s="442" t="inlineStr">
        <is>
          <t>Table 10.19</t>
        </is>
      </c>
      <c r="G3047" s="442" t="inlineStr">
        <is>
          <t>Table 10.19</t>
        </is>
      </c>
      <c r="H3047" s="442" t="inlineStr">
        <is>
          <t>Table 10.19</t>
        </is>
      </c>
      <c r="I3047" s="442" t="inlineStr">
        <is>
          <t>Table 10.19</t>
        </is>
      </c>
      <c r="J3047" s="442" t="inlineStr">
        <is>
          <t>Table 10.19</t>
        </is>
      </c>
      <c r="K3047" s="442" t="inlineStr">
        <is>
          <t>Table 10.19</t>
        </is>
      </c>
      <c r="L3047" s="442" t="inlineStr">
        <is>
          <t>Table 10.19</t>
        </is>
      </c>
      <c r="M3047" s="442" t="inlineStr">
        <is>
          <t>Table 10.19</t>
        </is>
      </c>
      <c r="N3047" s="442" t="inlineStr">
        <is>
          <t>Table 10.19</t>
        </is>
      </c>
      <c r="O3047" s="442" t="inlineStr">
        <is>
          <t>Table 10.19</t>
        </is>
      </c>
      <c r="P3047" s="442" t="inlineStr">
        <is>
          <t>Table 10.19</t>
        </is>
      </c>
      <c r="Q3047" s="442" t="inlineStr">
        <is>
          <t>Table 10.19</t>
        </is>
      </c>
      <c r="R3047" s="442" t="inlineStr">
        <is>
          <t>Table 10.19</t>
        </is>
      </c>
      <c r="S3047" s="442" t="n"/>
      <c r="T3047" s="442" t="n"/>
      <c r="U3047" s="442" t="n"/>
      <c r="V3047" s="442" t="n"/>
      <c r="W3047" s="442" t="n"/>
      <c r="X3047" s="442" t="n"/>
    </row>
    <row r="3048" ht="16" customFormat="1" customHeight="1" s="291">
      <c r="A3048" s="1632" t="inlineStr">
        <is>
          <t>Please select</t>
        </is>
      </c>
      <c r="B3048" s="1633" t="inlineStr">
        <is>
          <t>Dairy cattle</t>
        </is>
      </c>
      <c r="C3048" s="1633" t="inlineStr">
        <is>
          <t>Other cattle</t>
        </is>
      </c>
      <c r="D3048" s="1633" t="inlineStr">
        <is>
          <t>Dairy buffalo</t>
        </is>
      </c>
      <c r="E3048" s="1633" t="inlineStr">
        <is>
          <t>Other buffalo</t>
        </is>
      </c>
      <c r="F3048" s="419" t="inlineStr">
        <is>
          <t>Dairy sheep</t>
        </is>
      </c>
      <c r="G3048" s="1633" t="inlineStr">
        <is>
          <t>Other sheep</t>
        </is>
      </c>
      <c r="H3048" s="419" t="inlineStr">
        <is>
          <t>Growing swine</t>
        </is>
      </c>
      <c r="I3048" s="1633" t="inlineStr">
        <is>
          <t>Breeding swine</t>
        </is>
      </c>
      <c r="J3048" s="1633" t="inlineStr">
        <is>
          <t>Goats</t>
        </is>
      </c>
      <c r="K3048" s="1633" t="inlineStr">
        <is>
          <t>Horses</t>
        </is>
      </c>
      <c r="L3048" s="1633" t="inlineStr">
        <is>
          <t>Camels</t>
        </is>
      </c>
      <c r="M3048" s="1633" t="inlineStr">
        <is>
          <t>Mules and Asses</t>
        </is>
      </c>
      <c r="N3048" s="1633" t="inlineStr">
        <is>
          <t>Deer</t>
        </is>
      </c>
      <c r="O3048" s="1633" t="inlineStr">
        <is>
          <t>Ostrich</t>
        </is>
      </c>
      <c r="P3048" s="1633" t="inlineStr">
        <is>
          <t>Chicken layer</t>
        </is>
      </c>
      <c r="Q3048" s="1633" t="inlineStr">
        <is>
          <t>Chicken broiler</t>
        </is>
      </c>
      <c r="R3048" s="1633" t="inlineStr">
        <is>
          <t>Llamas and Alpacas</t>
        </is>
      </c>
      <c r="S3048" s="1633" t="inlineStr">
        <is>
          <t>Other (Please specify in Tier 2)</t>
        </is>
      </c>
      <c r="T3048" s="453" t="n"/>
      <c r="U3048" s="453" t="n"/>
      <c r="V3048" s="453" t="n"/>
      <c r="W3048" s="453" t="n"/>
      <c r="X3048" s="453" t="n"/>
      <c r="Y3048" s="21" t="n"/>
      <c r="Z3048" s="21" t="n"/>
    </row>
    <row r="3049" ht="16" customFormat="1" customHeight="1" s="1093">
      <c r="A3049" s="533" t="inlineStr">
        <is>
          <t>IPCC Region</t>
        </is>
      </c>
      <c r="B3049" s="31" t="inlineStr">
        <is>
          <t>kgN/1000 kg TAM/day</t>
        </is>
      </c>
      <c r="C3049" s="31" t="inlineStr">
        <is>
          <t>kgN/1000 kg TAM/day</t>
        </is>
      </c>
      <c r="D3049" s="31" t="inlineStr">
        <is>
          <t>kgN/1000 kg TAM/day</t>
        </is>
      </c>
      <c r="E3049" s="31" t="inlineStr">
        <is>
          <t>kgN/1000 kg TAM/day</t>
        </is>
      </c>
      <c r="F3049" s="31" t="inlineStr">
        <is>
          <t>kgN/1000 kg TAM/day</t>
        </is>
      </c>
      <c r="G3049" s="31" t="inlineStr">
        <is>
          <t>kgN/1000 kg TAM/day</t>
        </is>
      </c>
      <c r="H3049" s="31" t="inlineStr">
        <is>
          <t>kgN/1000 kg TAM/day</t>
        </is>
      </c>
      <c r="I3049" s="31" t="inlineStr">
        <is>
          <t>kgN/1000 kg TAM/day</t>
        </is>
      </c>
      <c r="J3049" s="31" t="inlineStr">
        <is>
          <t>kgN/1000 kg TAM/day</t>
        </is>
      </c>
      <c r="K3049" s="31" t="inlineStr">
        <is>
          <t>kgN/1000 kg TAM/day</t>
        </is>
      </c>
      <c r="L3049" s="31" t="inlineStr">
        <is>
          <t>kgN/1000 kg TAM/day</t>
        </is>
      </c>
      <c r="M3049" s="31" t="inlineStr">
        <is>
          <t>kgN/1000 kg TAM/day</t>
        </is>
      </c>
      <c r="N3049" s="31" t="inlineStr">
        <is>
          <t>kgN/1000 kg TAM/day</t>
        </is>
      </c>
      <c r="O3049" s="31" t="inlineStr">
        <is>
          <t>kgN/1000 kg TAM/day</t>
        </is>
      </c>
      <c r="P3049" s="31" t="inlineStr">
        <is>
          <t>kgN/1000 kg TAM/day</t>
        </is>
      </c>
      <c r="Q3049" s="31" t="inlineStr">
        <is>
          <t>kgN/1000 kg TAM/day</t>
        </is>
      </c>
      <c r="R3049" s="426" t="inlineStr">
        <is>
          <t>kgN/1000 kg TAM/day</t>
        </is>
      </c>
      <c r="S3049" s="426" t="inlineStr">
        <is>
          <t>kgN/1000 kg TAM/day</t>
        </is>
      </c>
      <c r="T3049" s="1092" t="n"/>
      <c r="U3049" s="1092" t="n"/>
      <c r="V3049" s="1092" t="n"/>
      <c r="W3049" s="1092" t="n"/>
      <c r="X3049" s="1092" t="n"/>
    </row>
    <row r="3050" customFormat="1" s="21">
      <c r="A3050" s="407" t="inlineStr">
        <is>
          <t>Sub-Saharan Africa</t>
        </is>
      </c>
      <c r="B3050" s="467" t="n">
        <v>0.41</v>
      </c>
      <c r="C3050" s="470" t="n">
        <v>0.42</v>
      </c>
      <c r="D3050" s="470" t="n">
        <v>0.41</v>
      </c>
      <c r="E3050" s="470" t="n">
        <v>0.41</v>
      </c>
      <c r="F3050" s="41" t="n">
        <v>0.32</v>
      </c>
      <c r="G3050" s="41" t="n">
        <v>0.32</v>
      </c>
      <c r="H3050" s="453" t="n">
        <v>0.39</v>
      </c>
      <c r="I3050" s="44" t="n">
        <v>0.21</v>
      </c>
      <c r="J3050" s="41" t="n">
        <v>0.34</v>
      </c>
      <c r="K3050" s="41" t="n">
        <v>0.46</v>
      </c>
      <c r="L3050" s="41" t="n">
        <v>0.46</v>
      </c>
      <c r="M3050" s="41" t="n">
        <v>0.46</v>
      </c>
      <c r="N3050" s="44" t="n">
        <v>0.67</v>
      </c>
      <c r="O3050" s="44" t="n">
        <v>0.34</v>
      </c>
      <c r="P3050" s="44" t="n">
        <v>1.16</v>
      </c>
      <c r="Q3050" s="44" t="n">
        <v>1.34</v>
      </c>
      <c r="R3050" s="501" t="n"/>
      <c r="S3050" s="41" t="n"/>
      <c r="T3050" s="453" t="n"/>
      <c r="U3050" s="453" t="n"/>
      <c r="V3050" s="453" t="n"/>
      <c r="W3050" s="453" t="n"/>
      <c r="X3050" s="453" t="n"/>
    </row>
    <row r="3051" customFormat="1" s="21">
      <c r="A3051" s="411" t="inlineStr">
        <is>
          <t>East Asia and South-East Asia</t>
        </is>
      </c>
      <c r="B3051" s="467" t="n">
        <v>0.55</v>
      </c>
      <c r="C3051" s="467" t="n">
        <v>0.36</v>
      </c>
      <c r="D3051" s="467" t="n">
        <v>0.44</v>
      </c>
      <c r="E3051" s="467" t="n">
        <v>0.44</v>
      </c>
      <c r="F3051" s="41" t="n">
        <v>0.32</v>
      </c>
      <c r="G3051" s="41" t="n">
        <v>0.32</v>
      </c>
      <c r="H3051" s="41" t="n">
        <v>0.63</v>
      </c>
      <c r="I3051" s="169" t="n">
        <v>0.32</v>
      </c>
      <c r="J3051" s="41" t="n">
        <v>0.34</v>
      </c>
      <c r="K3051" s="41" t="n">
        <v>0.46</v>
      </c>
      <c r="L3051" s="41" t="n">
        <v>0.46</v>
      </c>
      <c r="M3051" s="41" t="n">
        <v>0.46</v>
      </c>
      <c r="N3051" s="41" t="n">
        <v>0.67</v>
      </c>
      <c r="O3051" s="41" t="n">
        <v>0.34</v>
      </c>
      <c r="P3051" s="41" t="n">
        <v>1</v>
      </c>
      <c r="Q3051" s="41" t="n">
        <v>1.31</v>
      </c>
      <c r="R3051" s="501" t="n"/>
      <c r="S3051" s="41" t="n"/>
      <c r="T3051" s="453" t="n"/>
      <c r="U3051" s="453" t="n"/>
      <c r="V3051" s="453" t="n"/>
      <c r="W3051" s="453" t="n"/>
      <c r="X3051" s="453" t="n"/>
    </row>
    <row r="3052" customFormat="1" s="21">
      <c r="A3052" s="411" t="inlineStr">
        <is>
          <t>North America</t>
        </is>
      </c>
      <c r="B3052" s="467" t="n">
        <v>0.6</v>
      </c>
      <c r="C3052" s="467" t="n">
        <v>0.4</v>
      </c>
      <c r="D3052" s="467" t="n">
        <v>0</v>
      </c>
      <c r="E3052" s="467" t="n">
        <v>0</v>
      </c>
      <c r="F3052" s="41" t="n">
        <v>0.35</v>
      </c>
      <c r="G3052" s="41" t="n">
        <v>0.35</v>
      </c>
      <c r="H3052" s="41" t="n">
        <v>0.46</v>
      </c>
      <c r="I3052" s="453" t="n">
        <v>0.24</v>
      </c>
      <c r="J3052" s="41" t="n">
        <v>0.46</v>
      </c>
      <c r="K3052" s="41" t="n">
        <v>0.3</v>
      </c>
      <c r="L3052" s="41" t="n">
        <v>0.38</v>
      </c>
      <c r="M3052" s="41" t="n">
        <v>0.3</v>
      </c>
      <c r="N3052" s="41" t="n">
        <v>0.67</v>
      </c>
      <c r="O3052" s="41" t="n">
        <v>0.34</v>
      </c>
      <c r="P3052" s="41" t="n">
        <v>1.45</v>
      </c>
      <c r="Q3052" s="41" t="n">
        <v>1.59</v>
      </c>
      <c r="R3052" s="501" t="n"/>
      <c r="S3052" s="41" t="n"/>
      <c r="T3052" s="453" t="n"/>
      <c r="U3052" s="453" t="n"/>
      <c r="V3052" s="453" t="n"/>
      <c r="W3052" s="453" t="n"/>
      <c r="X3052" s="453" t="n"/>
    </row>
    <row r="3053" customFormat="1" s="21">
      <c r="A3053" s="411" t="inlineStr">
        <is>
          <t>Latin America and the Caribbean</t>
        </is>
      </c>
      <c r="B3053" s="41" t="n">
        <v>0.6</v>
      </c>
      <c r="C3053" s="41" t="n">
        <v>0.36</v>
      </c>
      <c r="D3053" s="41" t="n">
        <v>0.41</v>
      </c>
      <c r="E3053" s="41" t="n">
        <v>0.41</v>
      </c>
      <c r="F3053" s="41" t="n">
        <v>0.32</v>
      </c>
      <c r="G3053" s="41" t="n">
        <v>0.32</v>
      </c>
      <c r="H3053" s="41" t="n">
        <v>0.6899999999999999</v>
      </c>
      <c r="I3053" s="169" t="n">
        <v>0.32</v>
      </c>
      <c r="J3053" s="41" t="n">
        <v>0.34</v>
      </c>
      <c r="K3053" s="41" t="n">
        <v>0.46</v>
      </c>
      <c r="L3053" s="41" t="n">
        <v>0.46</v>
      </c>
      <c r="M3053" s="41" t="n">
        <v>0.46</v>
      </c>
      <c r="N3053" s="41" t="n">
        <v>0.67</v>
      </c>
      <c r="O3053" s="41" t="n">
        <v>0.34</v>
      </c>
      <c r="P3053" s="451" t="n">
        <v>1.13</v>
      </c>
      <c r="Q3053" s="41" t="n">
        <v>1.21</v>
      </c>
      <c r="R3053" s="501" t="n"/>
      <c r="S3053" s="41" t="n"/>
      <c r="T3053" s="453" t="n"/>
      <c r="U3053" s="453" t="n"/>
      <c r="V3053" s="453" t="n"/>
      <c r="W3053" s="453" t="n"/>
      <c r="X3053" s="453" t="n"/>
    </row>
    <row r="3054" customFormat="1" s="21">
      <c r="A3054" s="411" t="inlineStr">
        <is>
          <t>Western Europe</t>
        </is>
      </c>
      <c r="B3054" s="467" t="n">
        <v>0.5</v>
      </c>
      <c r="C3054" s="467" t="n">
        <v>0.42</v>
      </c>
      <c r="D3054" s="467" t="n">
        <v>0.45</v>
      </c>
      <c r="E3054" s="467" t="n">
        <v>0.45</v>
      </c>
      <c r="F3054" s="41" t="n">
        <v>0.36</v>
      </c>
      <c r="G3054" s="41" t="n">
        <v>0.36</v>
      </c>
      <c r="H3054" s="41" t="n">
        <v>0.76</v>
      </c>
      <c r="I3054" s="169" t="n">
        <v>0.38</v>
      </c>
      <c r="J3054" s="41" t="n">
        <v>0.46</v>
      </c>
      <c r="K3054" s="41" t="n">
        <v>0.26</v>
      </c>
      <c r="L3054" s="41" t="n">
        <v>0.38</v>
      </c>
      <c r="M3054" s="41" t="n">
        <v>0.26</v>
      </c>
      <c r="N3054" s="41" t="n">
        <v>0.67</v>
      </c>
      <c r="O3054" s="41" t="n">
        <v>0.34</v>
      </c>
      <c r="P3054" s="451" t="n">
        <v>0.99</v>
      </c>
      <c r="Q3054" s="41" t="n">
        <v>1.14</v>
      </c>
      <c r="R3054" s="501" t="n"/>
      <c r="S3054" s="41" t="n"/>
      <c r="T3054" s="453" t="n"/>
      <c r="U3054" s="453" t="n"/>
      <c r="V3054" s="453" t="n"/>
      <c r="W3054" s="453" t="n"/>
      <c r="X3054" s="453" t="n"/>
    </row>
    <row r="3055" customFormat="1" s="21">
      <c r="A3055" s="411" t="inlineStr">
        <is>
          <t>Eastern Europe</t>
        </is>
      </c>
      <c r="B3055" s="41" t="n">
        <v>0.42</v>
      </c>
      <c r="C3055" s="41" t="n">
        <v>0.47</v>
      </c>
      <c r="D3055" s="41" t="n">
        <v>0.35</v>
      </c>
      <c r="E3055" s="41" t="n">
        <v>0.35</v>
      </c>
      <c r="F3055" s="41" t="n">
        <v>0.36</v>
      </c>
      <c r="G3055" s="41" t="n">
        <v>0.36</v>
      </c>
      <c r="H3055" s="41" t="n">
        <v>0.77</v>
      </c>
      <c r="I3055" s="169" t="n">
        <v>0.36</v>
      </c>
      <c r="J3055" s="41" t="n">
        <v>0.44</v>
      </c>
      <c r="K3055" s="41" t="n">
        <v>0.3</v>
      </c>
      <c r="L3055" s="41" t="n">
        <v>0.38</v>
      </c>
      <c r="M3055" s="41" t="n">
        <v>0.3</v>
      </c>
      <c r="N3055" s="41" t="n">
        <v>0.67</v>
      </c>
      <c r="O3055" s="41" t="n">
        <v>0.34</v>
      </c>
      <c r="P3055" s="451" t="n">
        <v>0.96</v>
      </c>
      <c r="Q3055" s="41" t="n">
        <v>1.12</v>
      </c>
      <c r="R3055" s="501" t="n"/>
      <c r="S3055" s="41" t="n"/>
      <c r="T3055" s="453" t="n"/>
      <c r="U3055" s="453" t="n"/>
      <c r="V3055" s="453" t="n"/>
      <c r="W3055" s="453" t="n"/>
      <c r="X3055" s="453" t="n"/>
    </row>
    <row r="3056" customFormat="1" s="21">
      <c r="A3056" s="411" t="inlineStr">
        <is>
          <t>Russian Federation</t>
        </is>
      </c>
      <c r="B3056" s="41" t="n">
        <v>0.42</v>
      </c>
      <c r="C3056" s="41" t="n">
        <v>0.47</v>
      </c>
      <c r="D3056" s="41" t="n">
        <v>0.35</v>
      </c>
      <c r="E3056" s="41" t="n">
        <v>0.35</v>
      </c>
      <c r="F3056" s="41" t="n">
        <v>0.36</v>
      </c>
      <c r="G3056" s="41" t="n">
        <v>0.36</v>
      </c>
      <c r="H3056" s="41" t="n">
        <v>0.77</v>
      </c>
      <c r="I3056" s="169" t="n">
        <v>0.36</v>
      </c>
      <c r="J3056" s="41" t="n">
        <v>0.44</v>
      </c>
      <c r="K3056" s="41" t="n">
        <v>0.3</v>
      </c>
      <c r="L3056" s="41" t="n">
        <v>0.38</v>
      </c>
      <c r="M3056" s="41" t="n">
        <v>0.3</v>
      </c>
      <c r="N3056" s="41" t="n">
        <v>0.67</v>
      </c>
      <c r="O3056" s="41" t="n">
        <v>0.34</v>
      </c>
      <c r="P3056" s="451" t="n">
        <v>0.96</v>
      </c>
      <c r="Q3056" s="41" t="n">
        <v>1.12</v>
      </c>
      <c r="R3056" s="501" t="n"/>
      <c r="S3056" s="41" t="n"/>
      <c r="T3056" s="453" t="n"/>
      <c r="U3056" s="453" t="n"/>
      <c r="V3056" s="453" t="n"/>
      <c r="W3056" s="453" t="n"/>
      <c r="X3056" s="453" t="n"/>
    </row>
    <row r="3057" customFormat="1" s="21">
      <c r="A3057" s="411" t="inlineStr">
        <is>
          <t>Oceania</t>
        </is>
      </c>
      <c r="B3057" s="41" t="n">
        <v>0.72</v>
      </c>
      <c r="C3057" s="41" t="n">
        <v>0.46</v>
      </c>
      <c r="D3057" s="41" t="n">
        <v>0</v>
      </c>
      <c r="E3057" s="41" t="n">
        <v>0</v>
      </c>
      <c r="F3057" s="41" t="n">
        <v>0.43</v>
      </c>
      <c r="G3057" s="41" t="n">
        <v>0.43</v>
      </c>
      <c r="H3057" s="41" t="n">
        <v>0.72</v>
      </c>
      <c r="I3057" s="453" t="n">
        <v>0.31</v>
      </c>
      <c r="J3057" s="41" t="n">
        <v>0.42</v>
      </c>
      <c r="K3057" s="41" t="n">
        <v>0.3</v>
      </c>
      <c r="L3057" s="41" t="n">
        <v>0.38</v>
      </c>
      <c r="M3057" s="41" t="n">
        <v>0.3</v>
      </c>
      <c r="N3057" s="41" t="n">
        <v>0.67</v>
      </c>
      <c r="O3057" s="41" t="n">
        <v>0.34</v>
      </c>
      <c r="P3057" s="41" t="n">
        <v>1.42</v>
      </c>
      <c r="Q3057" s="41" t="n">
        <v>1.59</v>
      </c>
      <c r="R3057" s="501" t="n"/>
      <c r="S3057" s="41" t="n"/>
    </row>
    <row r="3058" customFormat="1" s="453">
      <c r="A3058" s="411" t="inlineStr">
        <is>
          <t>NENA/Middle East</t>
        </is>
      </c>
      <c r="B3058" s="41" t="n">
        <v>0.49</v>
      </c>
      <c r="C3058" s="41" t="n">
        <v>0.51</v>
      </c>
      <c r="D3058" s="41" t="n">
        <v>0.39</v>
      </c>
      <c r="E3058" s="41" t="n">
        <v>0.39</v>
      </c>
      <c r="F3058" s="41" t="n">
        <v>0.32</v>
      </c>
      <c r="G3058" s="41" t="n">
        <v>0.32</v>
      </c>
      <c r="H3058" s="41" t="n">
        <v>0.75</v>
      </c>
      <c r="I3058" s="169" t="n">
        <v>0.41</v>
      </c>
      <c r="J3058" s="41" t="n">
        <v>0.34</v>
      </c>
      <c r="K3058" s="41" t="n">
        <v>0.46</v>
      </c>
      <c r="L3058" s="41" t="n">
        <v>0.46</v>
      </c>
      <c r="M3058" s="41" t="n">
        <v>0.46</v>
      </c>
      <c r="N3058" s="41" t="n">
        <v>0.67</v>
      </c>
      <c r="O3058" s="41" t="n">
        <v>0.34</v>
      </c>
      <c r="P3058" s="41" t="n">
        <v>1.27</v>
      </c>
      <c r="Q3058" s="41" t="n">
        <v>1.42</v>
      </c>
      <c r="R3058" s="501" t="n"/>
      <c r="S3058" s="41" t="n"/>
    </row>
    <row r="3059" customFormat="1" s="453">
      <c r="A3059" s="411" t="inlineStr">
        <is>
          <t>South Asia</t>
        </is>
      </c>
      <c r="B3059" s="41" t="n">
        <v>0.51</v>
      </c>
      <c r="C3059" s="41" t="n">
        <v>0.63</v>
      </c>
      <c r="D3059" s="41" t="n">
        <v>0.57</v>
      </c>
      <c r="E3059" s="41" t="n">
        <v>0.57</v>
      </c>
      <c r="F3059" s="41" t="n">
        <v>0.32</v>
      </c>
      <c r="G3059" s="41" t="n">
        <v>0.32</v>
      </c>
      <c r="H3059" s="453" t="n">
        <v>0.74</v>
      </c>
      <c r="I3059" s="41" t="n">
        <v>0.37</v>
      </c>
      <c r="J3059" s="41" t="n">
        <v>0.34</v>
      </c>
      <c r="K3059" s="41" t="n">
        <v>0.46</v>
      </c>
      <c r="L3059" s="41" t="n">
        <v>0.46</v>
      </c>
      <c r="M3059" s="41" t="n">
        <v>0.46</v>
      </c>
      <c r="N3059" s="42" t="n">
        <v>0.67</v>
      </c>
      <c r="O3059" s="42" t="n">
        <v>0.34</v>
      </c>
      <c r="P3059" s="41" t="n">
        <v>1.48</v>
      </c>
      <c r="Q3059" s="41" t="n">
        <v>1.47</v>
      </c>
      <c r="R3059" s="501" t="n"/>
      <c r="S3059" s="41" t="n"/>
    </row>
    <row r="3060" customFormat="1" s="535">
      <c r="A3060" s="518" t="inlineStr">
        <is>
          <t>Notes: Proxies of Eastern Europe for Russia</t>
        </is>
      </c>
      <c r="F3060" s="1624" t="n"/>
      <c r="G3060" s="1624" t="n"/>
      <c r="H3060" s="1624" t="n"/>
      <c r="I3060" s="1624" t="n"/>
      <c r="J3060" s="1624" t="n"/>
      <c r="K3060" s="1624" t="n"/>
      <c r="L3060" s="1624" t="n"/>
      <c r="M3060" s="1624" t="n"/>
      <c r="N3060" s="1624" t="n"/>
    </row>
    <row r="3061" customFormat="1" s="292">
      <c r="A3061" s="292" t="inlineStr">
        <is>
          <t>Proxy default poultry</t>
        </is>
      </c>
    </row>
    <row r="3063" customFormat="1" s="125">
      <c r="A3063" s="377" t="inlineStr">
        <is>
          <t>Direct Emission factors N2O manure management</t>
        </is>
      </c>
      <c r="D3063" s="1075" t="n"/>
      <c r="E3063" s="1075" t="n"/>
      <c r="F3063" s="1075" t="n"/>
      <c r="G3063" s="1075" t="n"/>
      <c r="H3063" s="1075" t="n"/>
      <c r="I3063" s="1075" t="n"/>
      <c r="J3063" s="1075" t="n"/>
    </row>
    <row r="3064" ht="16.25" customFormat="1" customHeight="1" s="442">
      <c r="A3064" s="753" t="inlineStr">
        <is>
          <t>Cattle, poultry, pigs</t>
        </is>
      </c>
      <c r="B3064" s="442" t="inlineStr">
        <is>
          <t>Table 10.21</t>
        </is>
      </c>
      <c r="C3064" s="442" t="inlineStr">
        <is>
          <t>Table 10.21</t>
        </is>
      </c>
      <c r="D3064" s="442" t="inlineStr">
        <is>
          <t>Table 10.21</t>
        </is>
      </c>
      <c r="E3064" s="442" t="inlineStr">
        <is>
          <t>Table 10.21</t>
        </is>
      </c>
      <c r="F3064" s="442" t="inlineStr">
        <is>
          <t>Table 11.1</t>
        </is>
      </c>
      <c r="G3064" s="442" t="inlineStr">
        <is>
          <t>Table 10.21</t>
        </is>
      </c>
      <c r="H3064" s="442" t="inlineStr">
        <is>
          <t>Table 10.21</t>
        </is>
      </c>
      <c r="I3064" s="442" t="inlineStr">
        <is>
          <t>Table 10.21</t>
        </is>
      </c>
      <c r="J3064" s="442" t="inlineStr">
        <is>
          <t>Table 10.21</t>
        </is>
      </c>
      <c r="K3064" s="442" t="inlineStr">
        <is>
          <t>Table 10.21</t>
        </is>
      </c>
      <c r="L3064" s="442" t="inlineStr">
        <is>
          <t>Table 10.21</t>
        </is>
      </c>
      <c r="M3064" s="442" t="inlineStr">
        <is>
          <t>Table 10.21</t>
        </is>
      </c>
      <c r="N3064" s="442" t="inlineStr">
        <is>
          <t>Table 10.21</t>
        </is>
      </c>
      <c r="O3064" s="442" t="inlineStr">
        <is>
          <t>Table 10.21</t>
        </is>
      </c>
    </row>
    <row r="3065" ht="16" customFormat="1" customHeight="1" s="291">
      <c r="A3065" s="1641" t="inlineStr">
        <is>
          <t>Please select</t>
        </is>
      </c>
      <c r="B3065" s="1642" t="inlineStr">
        <is>
          <t>Lagoon</t>
        </is>
      </c>
      <c r="C3065" s="1642" t="inlineStr">
        <is>
          <t>Liquid/slurry</t>
        </is>
      </c>
      <c r="D3065" s="1642" t="inlineStr">
        <is>
          <t>Solid storage</t>
        </is>
      </c>
      <c r="E3065" s="1642" t="inlineStr">
        <is>
          <t>Dry lot</t>
        </is>
      </c>
      <c r="F3065" s="1642" t="inlineStr">
        <is>
          <t>Pasture/Range/Paddock</t>
        </is>
      </c>
      <c r="G3065" s="1642" t="inlineStr">
        <is>
          <t>Daily spread</t>
        </is>
      </c>
      <c r="H3065" s="1642" t="inlineStr">
        <is>
          <t>Digester</t>
        </is>
      </c>
      <c r="I3065" s="1642" t="inlineStr">
        <is>
          <t>Burned for fuel</t>
        </is>
      </c>
      <c r="J3065" s="1642" t="inlineStr">
        <is>
          <t>Pit&lt;1Month</t>
        </is>
      </c>
      <c r="K3065" s="1642" t="inlineStr">
        <is>
          <t>Pit&gt;1 month</t>
        </is>
      </c>
      <c r="L3065" s="1642" t="inlineStr">
        <is>
          <t>Poultry manure</t>
        </is>
      </c>
      <c r="M3065" s="291" t="inlineStr">
        <is>
          <t>Deep bedding</t>
        </is>
      </c>
      <c r="N3065" s="2156" t="inlineStr">
        <is>
          <t>Composting</t>
        </is>
      </c>
      <c r="O3065" s="2156" t="inlineStr">
        <is>
          <t>Aerobic treatment</t>
        </is>
      </c>
      <c r="P3065" s="2157" t="inlineStr">
        <is>
          <t>Other (pls. go Tier 2)</t>
        </is>
      </c>
      <c r="Q3065" s="453" t="n"/>
      <c r="R3065" s="453" t="n"/>
      <c r="S3065" s="453" t="n"/>
      <c r="T3065" s="453" t="n"/>
      <c r="U3065" s="453" t="n"/>
      <c r="V3065" s="453" t="n"/>
      <c r="W3065" s="21" t="n"/>
      <c r="X3065" s="21" t="n"/>
    </row>
    <row r="3066" ht="16" customFormat="1" customHeight="1" s="21">
      <c r="A3066" s="523" t="inlineStr">
        <is>
          <t>Climate zone</t>
        </is>
      </c>
      <c r="B3066" s="1636" t="inlineStr">
        <is>
          <t>kg N2O-N/kg N excreted</t>
        </is>
      </c>
      <c r="C3066" s="1636" t="inlineStr">
        <is>
          <t>kg N2O-N/kg N excreted</t>
        </is>
      </c>
      <c r="D3066" s="1636" t="inlineStr">
        <is>
          <t>kg N2O-N/kg N excreted</t>
        </is>
      </c>
      <c r="E3066" s="1636" t="inlineStr">
        <is>
          <t>kg N2O-N/kg N excreted</t>
        </is>
      </c>
      <c r="F3066" s="1636" t="inlineStr">
        <is>
          <t>kg N2O-N/kg N excreted</t>
        </is>
      </c>
      <c r="G3066" s="1636" t="inlineStr">
        <is>
          <t>kg N2O-N/kg N excreted</t>
        </is>
      </c>
      <c r="H3066" s="1636" t="inlineStr">
        <is>
          <t>kg N2O-N/kg N excreted</t>
        </is>
      </c>
      <c r="I3066" s="1636" t="inlineStr">
        <is>
          <t>kg N2O-N/kg N excreted</t>
        </is>
      </c>
      <c r="J3066" s="1636" t="inlineStr">
        <is>
          <t>kg N2O-N/kg N excreted</t>
        </is>
      </c>
      <c r="K3066" s="1636" t="inlineStr">
        <is>
          <t>kg N2O-N/kg N excreted</t>
        </is>
      </c>
      <c r="L3066" s="1636" t="inlineStr">
        <is>
          <t>kg N2O-N/kg N excreted</t>
        </is>
      </c>
      <c r="M3066" s="1631" t="inlineStr">
        <is>
          <t>kg N2O-N/kg N excreted</t>
        </is>
      </c>
      <c r="N3066" s="1631" t="inlineStr">
        <is>
          <t>kg N2O-N/kg N excreted</t>
        </is>
      </c>
      <c r="O3066" s="732" t="inlineStr">
        <is>
          <t>kg N2O-N/kg N excreted</t>
        </is>
      </c>
      <c r="P3066" s="732" t="n"/>
    </row>
    <row r="3067" customFormat="1" s="21">
      <c r="A3067" s="410" t="inlineStr">
        <is>
          <t>Cool Temperate Moist</t>
        </is>
      </c>
      <c r="B3067" s="470" t="n">
        <v>0</v>
      </c>
      <c r="C3067" s="4786">
        <f>AVERAGE(0.005,0,0.005)</f>
        <v/>
      </c>
      <c r="D3067" s="470">
        <f>AVERAGE(0.01,0.01,0.005,0.005)</f>
        <v/>
      </c>
      <c r="E3067" s="1640" t="n">
        <v>0.02</v>
      </c>
      <c r="F3067" s="470" t="n">
        <v>0.004</v>
      </c>
      <c r="G3067" s="474" t="n">
        <v>0</v>
      </c>
      <c r="H3067" s="470" t="n">
        <v>0.0005999999999999999</v>
      </c>
      <c r="I3067" s="470" t="n"/>
      <c r="J3067" s="470" t="n">
        <v>0.002</v>
      </c>
      <c r="K3067" s="470" t="n">
        <v>0.002</v>
      </c>
      <c r="L3067" s="470" t="n">
        <v>0.001</v>
      </c>
      <c r="M3067" s="451">
        <f>AVERAGE(0.01,0.07)</f>
        <v/>
      </c>
      <c r="N3067" s="467">
        <f>AVERAGE(0.006,0.01,0.005,0.005)</f>
        <v/>
      </c>
      <c r="O3067" s="467">
        <f>AVERAGE(0.01,0.005)</f>
        <v/>
      </c>
      <c r="P3067" s="467" t="n"/>
    </row>
    <row r="3068" customFormat="1" s="21">
      <c r="A3068" s="411" t="inlineStr">
        <is>
          <t>Cool Temperate Dry</t>
        </is>
      </c>
      <c r="B3068" s="467" t="n">
        <v>0</v>
      </c>
      <c r="C3068" s="4787">
        <f>AVERAGE(0.005,0,0.005)</f>
        <v/>
      </c>
      <c r="D3068" s="467">
        <f>AVERAGE(0.01,0.01,0.005,0.005)</f>
        <v/>
      </c>
      <c r="E3068" s="468" t="n">
        <v>0.02</v>
      </c>
      <c r="F3068" s="467" t="n">
        <v>0.002</v>
      </c>
      <c r="G3068" s="469" t="n">
        <v>0</v>
      </c>
      <c r="H3068" s="467" t="n">
        <v>0.0005999999999999999</v>
      </c>
      <c r="I3068" s="467" t="n"/>
      <c r="J3068" s="467" t="n">
        <v>0.002</v>
      </c>
      <c r="K3068" s="467" t="n">
        <v>0.002</v>
      </c>
      <c r="L3068" s="467" t="n">
        <v>0.001</v>
      </c>
      <c r="M3068" s="451">
        <f>AVERAGE(0.01,0.07)</f>
        <v/>
      </c>
      <c r="N3068" s="467">
        <f>AVERAGE(0.006,0.01,0.005,0.005)</f>
        <v/>
      </c>
      <c r="O3068" s="467">
        <f>AVERAGE(0.01,0.005)</f>
        <v/>
      </c>
      <c r="P3068" s="467" t="n"/>
    </row>
    <row r="3069" customFormat="1" s="21">
      <c r="A3069" s="411" t="inlineStr">
        <is>
          <t>Boreal Moist</t>
        </is>
      </c>
      <c r="B3069" s="467" t="n">
        <v>0</v>
      </c>
      <c r="C3069" s="4787">
        <f>AVERAGE(0.005,0,0.005)</f>
        <v/>
      </c>
      <c r="D3069" s="467">
        <f>AVERAGE(0.01,0.01,0.005,0.005)</f>
        <v/>
      </c>
      <c r="E3069" s="468" t="n">
        <v>0.02</v>
      </c>
      <c r="F3069" s="467" t="n">
        <v>0.004</v>
      </c>
      <c r="G3069" s="469" t="n">
        <v>0</v>
      </c>
      <c r="H3069" s="467" t="n">
        <v>0.0005999999999999999</v>
      </c>
      <c r="I3069" s="467" t="n"/>
      <c r="J3069" s="467" t="n">
        <v>0.002</v>
      </c>
      <c r="K3069" s="467" t="n">
        <v>0.002</v>
      </c>
      <c r="L3069" s="467" t="n">
        <v>0.001</v>
      </c>
      <c r="M3069" s="451">
        <f>AVERAGE(0.01,0.07)</f>
        <v/>
      </c>
      <c r="N3069" s="467">
        <f>AVERAGE(0.006,0.01,0.005,0.005)</f>
        <v/>
      </c>
      <c r="O3069" s="467">
        <f>AVERAGE(0.01,0.005)</f>
        <v/>
      </c>
      <c r="P3069" s="467" t="n"/>
    </row>
    <row r="3070" customFormat="1" s="21">
      <c r="A3070" s="411" t="inlineStr">
        <is>
          <t>Boreal Dry</t>
        </is>
      </c>
      <c r="B3070" s="467" t="n">
        <v>0</v>
      </c>
      <c r="C3070" s="4787">
        <f>AVERAGE(0.005,0,0.005)</f>
        <v/>
      </c>
      <c r="D3070" s="467">
        <f>AVERAGE(0.01,0.01,0.005,0.005)</f>
        <v/>
      </c>
      <c r="E3070" s="468" t="n">
        <v>0.02</v>
      </c>
      <c r="F3070" s="467" t="n">
        <v>0.002</v>
      </c>
      <c r="G3070" s="469" t="n">
        <v>0</v>
      </c>
      <c r="H3070" s="467" t="n">
        <v>0.0005999999999999999</v>
      </c>
      <c r="I3070" s="467" t="n"/>
      <c r="J3070" s="467" t="n">
        <v>0.002</v>
      </c>
      <c r="K3070" s="467" t="n">
        <v>0.002</v>
      </c>
      <c r="L3070" s="467" t="n">
        <v>0.001</v>
      </c>
      <c r="M3070" s="451">
        <f>AVERAGE(0.01,0.07)</f>
        <v/>
      </c>
      <c r="N3070" s="467">
        <f>AVERAGE(0.006,0.01,0.005,0.005)</f>
        <v/>
      </c>
      <c r="O3070" s="467">
        <f>AVERAGE(0.01,0.005)</f>
        <v/>
      </c>
      <c r="P3070" s="467" t="n"/>
    </row>
    <row r="3071" customFormat="1" s="21">
      <c r="A3071" s="411" t="inlineStr">
        <is>
          <t>Warm Temperate Moist</t>
        </is>
      </c>
      <c r="B3071" s="467" t="n">
        <v>0</v>
      </c>
      <c r="C3071" s="4787">
        <f>AVERAGE(0.005,0,0.005)</f>
        <v/>
      </c>
      <c r="D3071" s="467">
        <f>AVERAGE(0.01,0.01,0.005,0.005)</f>
        <v/>
      </c>
      <c r="E3071" s="468" t="n">
        <v>0.02</v>
      </c>
      <c r="F3071" s="467" t="n">
        <v>0.004</v>
      </c>
      <c r="G3071" s="469" t="n">
        <v>0</v>
      </c>
      <c r="H3071" s="467" t="n">
        <v>0.0005999999999999999</v>
      </c>
      <c r="I3071" s="467" t="n"/>
      <c r="J3071" s="467" t="n">
        <v>0.002</v>
      </c>
      <c r="K3071" s="467" t="n">
        <v>0.002</v>
      </c>
      <c r="L3071" s="467" t="n">
        <v>0.001</v>
      </c>
      <c r="M3071" s="451">
        <f>AVERAGE(0.01,0.07)</f>
        <v/>
      </c>
      <c r="N3071" s="467">
        <f>AVERAGE(0.006,0.01,0.005,0.005)</f>
        <v/>
      </c>
      <c r="O3071" s="467">
        <f>AVERAGE(0.01,0.005)</f>
        <v/>
      </c>
      <c r="P3071" s="467" t="n"/>
    </row>
    <row r="3072" customFormat="1" s="21">
      <c r="A3072" s="411" t="inlineStr">
        <is>
          <t>Warm Temperate Dry</t>
        </is>
      </c>
      <c r="B3072" s="467" t="n">
        <v>0</v>
      </c>
      <c r="C3072" s="4787">
        <f>AVERAGE(0.005,0,0.005)</f>
        <v/>
      </c>
      <c r="D3072" s="467">
        <f>AVERAGE(0.01,0.01,0.005,0.005)</f>
        <v/>
      </c>
      <c r="E3072" s="468" t="n">
        <v>0.02</v>
      </c>
      <c r="F3072" s="467" t="n">
        <v>0.002</v>
      </c>
      <c r="G3072" s="469" t="n">
        <v>0</v>
      </c>
      <c r="H3072" s="467" t="n">
        <v>0.0005999999999999999</v>
      </c>
      <c r="I3072" s="467" t="n"/>
      <c r="J3072" s="467" t="n">
        <v>0.002</v>
      </c>
      <c r="K3072" s="467" t="n">
        <v>0.002</v>
      </c>
      <c r="L3072" s="467" t="n">
        <v>0.001</v>
      </c>
      <c r="M3072" s="451">
        <f>AVERAGE(0.01,0.07)</f>
        <v/>
      </c>
      <c r="N3072" s="467">
        <f>AVERAGE(0.006,0.01,0.005,0.005)</f>
        <v/>
      </c>
      <c r="O3072" s="467">
        <f>AVERAGE(0.01,0.005)</f>
        <v/>
      </c>
      <c r="P3072" s="467" t="n"/>
    </row>
    <row r="3073" customFormat="1" s="21">
      <c r="A3073" s="411" t="inlineStr">
        <is>
          <t>Tropical Montane</t>
        </is>
      </c>
      <c r="B3073" s="467" t="n">
        <v>0</v>
      </c>
      <c r="C3073" s="4787">
        <f>AVERAGE(0.005,0,0.005)</f>
        <v/>
      </c>
      <c r="D3073" s="467">
        <f>AVERAGE(0.01,0.01,0.005,0.005)</f>
        <v/>
      </c>
      <c r="E3073" s="468" t="n">
        <v>0.02</v>
      </c>
      <c r="F3073" s="467" t="n">
        <v>0.002</v>
      </c>
      <c r="G3073" s="469" t="n">
        <v>0</v>
      </c>
      <c r="H3073" s="467" t="n">
        <v>0.0005999999999999999</v>
      </c>
      <c r="I3073" s="467" t="n"/>
      <c r="J3073" s="467" t="n">
        <v>0.002</v>
      </c>
      <c r="K3073" s="467" t="n">
        <v>0.002</v>
      </c>
      <c r="L3073" s="467" t="n">
        <v>0.001</v>
      </c>
      <c r="M3073" s="451">
        <f>AVERAGE(0.01,0.07)</f>
        <v/>
      </c>
      <c r="N3073" s="467">
        <f>AVERAGE(0.006,0.01,0.005,0.005)</f>
        <v/>
      </c>
      <c r="O3073" s="467">
        <f>AVERAGE(0.01,0.005)</f>
        <v/>
      </c>
      <c r="P3073" s="467" t="n"/>
    </row>
    <row r="3074" customFormat="1" s="21">
      <c r="A3074" s="411" t="inlineStr">
        <is>
          <t>Tropical Wet</t>
        </is>
      </c>
      <c r="B3074" s="467" t="n">
        <v>0</v>
      </c>
      <c r="C3074" s="4787">
        <f>AVERAGE(0.005,0,0.005)</f>
        <v/>
      </c>
      <c r="D3074" s="467">
        <f>AVERAGE(0.01,0.01,0.005,0.005)</f>
        <v/>
      </c>
      <c r="E3074" s="468" t="n">
        <v>0.02</v>
      </c>
      <c r="F3074" s="467" t="n">
        <v>0.006</v>
      </c>
      <c r="G3074" s="469" t="n">
        <v>0</v>
      </c>
      <c r="H3074" s="467" t="n">
        <v>0.0005999999999999999</v>
      </c>
      <c r="I3074" s="467" t="n"/>
      <c r="J3074" s="467" t="n">
        <v>0.002</v>
      </c>
      <c r="K3074" s="467" t="n">
        <v>0.002</v>
      </c>
      <c r="L3074" s="467" t="n">
        <v>0.001</v>
      </c>
      <c r="M3074" s="451">
        <f>AVERAGE(0.01,0.07)</f>
        <v/>
      </c>
      <c r="N3074" s="467">
        <f>AVERAGE(0.006,0.01,0.005,0.005)</f>
        <v/>
      </c>
      <c r="O3074" s="467">
        <f>AVERAGE(0.01,0.005)</f>
        <v/>
      </c>
      <c r="P3074" s="467" t="n"/>
    </row>
    <row r="3075" customFormat="1" s="21">
      <c r="A3075" s="411" t="inlineStr">
        <is>
          <t>Tropical Moist</t>
        </is>
      </c>
      <c r="B3075" s="467" t="n">
        <v>0</v>
      </c>
      <c r="C3075" s="4787">
        <f>AVERAGE(0.005,0,0.005)</f>
        <v/>
      </c>
      <c r="D3075" s="467">
        <f>AVERAGE(0.01,0.01,0.005,0.005)</f>
        <v/>
      </c>
      <c r="E3075" s="468" t="n">
        <v>0.02</v>
      </c>
      <c r="F3075" s="467" t="n">
        <v>0.004</v>
      </c>
      <c r="G3075" s="469" t="n">
        <v>0</v>
      </c>
      <c r="H3075" s="467" t="n">
        <v>0.0005999999999999999</v>
      </c>
      <c r="I3075" s="467" t="n"/>
      <c r="J3075" s="467" t="n">
        <v>0.002</v>
      </c>
      <c r="K3075" s="467" t="n">
        <v>0.002</v>
      </c>
      <c r="L3075" s="467" t="n">
        <v>0.001</v>
      </c>
      <c r="M3075" s="451">
        <f>AVERAGE(0.01,0.07)</f>
        <v/>
      </c>
      <c r="N3075" s="467">
        <f>AVERAGE(0.006,0.01,0.005,0.005)</f>
        <v/>
      </c>
      <c r="O3075" s="467">
        <f>AVERAGE(0.01,0.005)</f>
        <v/>
      </c>
      <c r="P3075" s="467" t="n"/>
    </row>
    <row r="3076" customFormat="1" s="21">
      <c r="A3076" s="411" t="inlineStr">
        <is>
          <t>Tropical Dry</t>
        </is>
      </c>
      <c r="B3076" s="654" t="n">
        <v>0</v>
      </c>
      <c r="C3076" s="4788">
        <f>AVERAGE(0.005,0,0.005)</f>
        <v/>
      </c>
      <c r="D3076" s="654">
        <f>AVERAGE(0.01,0.01,0.005,0.005)</f>
        <v/>
      </c>
      <c r="E3076" s="1646" t="n">
        <v>0.02</v>
      </c>
      <c r="F3076" s="467" t="n">
        <v>0.002</v>
      </c>
      <c r="G3076" s="653" t="n">
        <v>0</v>
      </c>
      <c r="H3076" s="654" t="n">
        <v>0.0005999999999999999</v>
      </c>
      <c r="I3076" s="654" t="n"/>
      <c r="J3076" s="654" t="n">
        <v>0.002</v>
      </c>
      <c r="K3076" s="654" t="n">
        <v>0.002</v>
      </c>
      <c r="L3076" s="654" t="n">
        <v>0.001</v>
      </c>
      <c r="M3076" s="451">
        <f>AVERAGE(0.01,0.07)</f>
        <v/>
      </c>
      <c r="N3076" s="467">
        <f>AVERAGE(0.006,0.01,0.005,0.005)</f>
        <v/>
      </c>
      <c r="O3076" s="467">
        <f>AVERAGE(0.01,0.005)</f>
        <v/>
      </c>
      <c r="P3076" s="467" t="n"/>
    </row>
    <row r="3077" customFormat="1" s="535">
      <c r="A3077" s="518" t="inlineStr">
        <is>
          <t xml:space="preserve">Notes :  </t>
        </is>
      </c>
      <c r="F3077" s="421" t="n"/>
      <c r="G3077" s="1624" t="n"/>
      <c r="H3077" s="1624" t="n"/>
      <c r="I3077" s="1624" t="n"/>
      <c r="J3077" s="1624" t="n"/>
      <c r="K3077" s="1624" t="n"/>
      <c r="L3077" s="1624" t="n"/>
      <c r="M3077" s="1624" t="n"/>
      <c r="N3077" s="1624" t="n"/>
    </row>
    <row r="3078" customFormat="1" s="292"/>
    <row r="3080" customFormat="1" s="125">
      <c r="A3080" s="377" t="inlineStr">
        <is>
          <t>Direct Emission factors N2O manure management</t>
        </is>
      </c>
      <c r="D3080" s="1075" t="n"/>
      <c r="E3080" s="1075" t="n"/>
      <c r="F3080" s="1075" t="n"/>
      <c r="G3080" s="1075" t="n"/>
      <c r="H3080" s="1075" t="n"/>
      <c r="I3080" s="1075" t="n"/>
      <c r="J3080" s="1075" t="n"/>
    </row>
    <row r="3081" ht="16.25" customFormat="1" customHeight="1" s="442">
      <c r="A3081" s="753" t="inlineStr">
        <is>
          <t>Sheep and others</t>
        </is>
      </c>
      <c r="B3081" s="442" t="inlineStr">
        <is>
          <t>Table 10.21</t>
        </is>
      </c>
      <c r="C3081" s="442" t="inlineStr">
        <is>
          <t>Table 10.21</t>
        </is>
      </c>
      <c r="D3081" s="442" t="inlineStr">
        <is>
          <t>Table 10.21</t>
        </is>
      </c>
      <c r="E3081" s="442" t="inlineStr">
        <is>
          <t>Table 10.21</t>
        </is>
      </c>
      <c r="F3081" s="442" t="inlineStr">
        <is>
          <t>Table 11.1</t>
        </is>
      </c>
      <c r="G3081" s="442" t="inlineStr">
        <is>
          <t>Table 10.21</t>
        </is>
      </c>
      <c r="H3081" s="442" t="inlineStr">
        <is>
          <t>Table 10.21</t>
        </is>
      </c>
      <c r="I3081" s="442" t="inlineStr">
        <is>
          <t>Table 10.21</t>
        </is>
      </c>
      <c r="J3081" s="442" t="inlineStr">
        <is>
          <t>Table 10.21</t>
        </is>
      </c>
      <c r="K3081" s="442" t="inlineStr">
        <is>
          <t>Table 10.21</t>
        </is>
      </c>
      <c r="L3081" s="442" t="inlineStr">
        <is>
          <t>Table 10.21</t>
        </is>
      </c>
      <c r="M3081" s="442" t="inlineStr">
        <is>
          <t>Table 10.21</t>
        </is>
      </c>
      <c r="N3081" s="442" t="inlineStr">
        <is>
          <t>Table 10.21</t>
        </is>
      </c>
      <c r="O3081" s="442" t="inlineStr">
        <is>
          <t>Table 10.21</t>
        </is>
      </c>
    </row>
    <row r="3082" ht="16" customFormat="1" customHeight="1" s="291">
      <c r="A3082" s="1641" t="inlineStr">
        <is>
          <t>Please select</t>
        </is>
      </c>
      <c r="B3082" s="1642" t="inlineStr">
        <is>
          <t>Lagoon</t>
        </is>
      </c>
      <c r="C3082" s="1642" t="inlineStr">
        <is>
          <t>Liquid/slurry</t>
        </is>
      </c>
      <c r="D3082" s="1642" t="inlineStr">
        <is>
          <t>Solid storage</t>
        </is>
      </c>
      <c r="E3082" s="1642" t="inlineStr">
        <is>
          <t>Dry lot</t>
        </is>
      </c>
      <c r="F3082" s="1642" t="inlineStr">
        <is>
          <t>Pasture/Range/Paddock</t>
        </is>
      </c>
      <c r="G3082" s="1642" t="inlineStr">
        <is>
          <t>Daily spread</t>
        </is>
      </c>
      <c r="H3082" s="1642" t="inlineStr">
        <is>
          <t>Digester</t>
        </is>
      </c>
      <c r="I3082" s="1642" t="inlineStr">
        <is>
          <t>Burned for fuel</t>
        </is>
      </c>
      <c r="J3082" s="1642" t="inlineStr">
        <is>
          <t>Pit&lt;1Month</t>
        </is>
      </c>
      <c r="K3082" s="1642" t="inlineStr">
        <is>
          <t>Pit&gt;1 month</t>
        </is>
      </c>
      <c r="L3082" s="1642" t="inlineStr">
        <is>
          <t>Poultry manure</t>
        </is>
      </c>
      <c r="M3082" s="291" t="inlineStr">
        <is>
          <t>Deep bedding</t>
        </is>
      </c>
      <c r="N3082" s="2156" t="inlineStr">
        <is>
          <t>Composting</t>
        </is>
      </c>
      <c r="O3082" s="2156" t="inlineStr">
        <is>
          <t>Aerobic treatment</t>
        </is>
      </c>
      <c r="P3082" s="2157" t="inlineStr">
        <is>
          <t>Other (pls. go Tier 2)</t>
        </is>
      </c>
      <c r="Q3082" s="453" t="n"/>
      <c r="R3082" s="453" t="n"/>
      <c r="S3082" s="453" t="n"/>
      <c r="T3082" s="453" t="n"/>
      <c r="U3082" s="453" t="n"/>
      <c r="V3082" s="453" t="n"/>
      <c r="W3082" s="21" t="n"/>
      <c r="X3082" s="21" t="n"/>
    </row>
    <row r="3083" ht="16" customFormat="1" customHeight="1" s="21">
      <c r="A3083" s="523" t="inlineStr">
        <is>
          <t>Climate zone</t>
        </is>
      </c>
      <c r="B3083" s="1636" t="inlineStr">
        <is>
          <t>kg N2O-N/kg N excreted</t>
        </is>
      </c>
      <c r="C3083" s="1636" t="inlineStr">
        <is>
          <t>kg N2O-N/kg N excreted</t>
        </is>
      </c>
      <c r="D3083" s="1636" t="inlineStr">
        <is>
          <t>kg N2O-N/kg N excreted</t>
        </is>
      </c>
      <c r="E3083" s="1636" t="inlineStr">
        <is>
          <t>kg N2O-N/kg N excreted</t>
        </is>
      </c>
      <c r="F3083" s="1636" t="inlineStr">
        <is>
          <t>kg N2O-N/kg N excreted</t>
        </is>
      </c>
      <c r="G3083" s="1636" t="inlineStr">
        <is>
          <t>kg N2O-N/kg N excreted</t>
        </is>
      </c>
      <c r="H3083" s="1636" t="inlineStr">
        <is>
          <t>kg N2O-N/kg N excreted</t>
        </is>
      </c>
      <c r="I3083" s="1636" t="inlineStr">
        <is>
          <t>kg N2O-N/kg N excreted</t>
        </is>
      </c>
      <c r="J3083" s="1636" t="inlineStr">
        <is>
          <t>kg N2O-N/kg N excreted</t>
        </is>
      </c>
      <c r="K3083" s="1636" t="inlineStr">
        <is>
          <t>kg N2O-N/kg N excreted</t>
        </is>
      </c>
      <c r="L3083" s="1636" t="inlineStr">
        <is>
          <t>kg N2O-N/kg N excreted</t>
        </is>
      </c>
      <c r="M3083" s="1631" t="inlineStr">
        <is>
          <t>kg N2O-N/kg N excreted</t>
        </is>
      </c>
      <c r="N3083" s="732" t="inlineStr">
        <is>
          <t>kg N2O-N/kg N excreted</t>
        </is>
      </c>
      <c r="O3083" s="732" t="inlineStr">
        <is>
          <t>kg N2O-N/kg N excreted</t>
        </is>
      </c>
      <c r="P3083" s="732" t="n"/>
    </row>
    <row r="3084" customFormat="1" s="21">
      <c r="A3084" s="410" t="inlineStr">
        <is>
          <t>Cool Temperate Moist</t>
        </is>
      </c>
      <c r="B3084" s="470" t="n">
        <v>0</v>
      </c>
      <c r="C3084" s="4786">
        <f>AVERAGE(0.005,0,0.005)</f>
        <v/>
      </c>
      <c r="D3084" s="470" t="n">
        <v>0.01</v>
      </c>
      <c r="E3084" s="470" t="n">
        <v>0.02</v>
      </c>
      <c r="F3084" s="470" t="n">
        <v>0.003</v>
      </c>
      <c r="G3084" s="470" t="n">
        <v>0</v>
      </c>
      <c r="H3084" s="470" t="n">
        <v>0.0005999999999999999</v>
      </c>
      <c r="I3084" s="470" t="n"/>
      <c r="J3084" s="470" t="n">
        <v>0.002</v>
      </c>
      <c r="K3084" s="470" t="n">
        <v>0.002</v>
      </c>
      <c r="L3084" s="470" t="n">
        <v>0.001</v>
      </c>
      <c r="M3084" s="451">
        <f>AVERAGE(0.01,0.07)</f>
        <v/>
      </c>
      <c r="N3084" s="467">
        <f>AVERAGE(0.006,0.01,0.005,0.005)</f>
        <v/>
      </c>
      <c r="O3084" s="467">
        <f>AVERAGE(0.01,0.05)</f>
        <v/>
      </c>
      <c r="P3084" s="467" t="n"/>
    </row>
    <row r="3085" customFormat="1" s="21">
      <c r="A3085" s="411" t="inlineStr">
        <is>
          <t>Cool Temperate Dry</t>
        </is>
      </c>
      <c r="B3085" s="467" t="n">
        <v>0</v>
      </c>
      <c r="C3085" s="4787">
        <f>AVERAGE(0.005,0,0.005)</f>
        <v/>
      </c>
      <c r="D3085" s="467" t="n">
        <v>0.01</v>
      </c>
      <c r="E3085" s="467" t="n">
        <v>0.02</v>
      </c>
      <c r="F3085" s="467" t="n">
        <v>0.003</v>
      </c>
      <c r="G3085" s="467" t="n">
        <v>0</v>
      </c>
      <c r="H3085" s="467" t="n">
        <v>0.0005999999999999999</v>
      </c>
      <c r="I3085" s="467" t="n"/>
      <c r="J3085" s="467" t="n">
        <v>0.002</v>
      </c>
      <c r="K3085" s="467" t="n">
        <v>0.002</v>
      </c>
      <c r="L3085" s="467" t="n">
        <v>0.001</v>
      </c>
      <c r="M3085" s="451">
        <f>AVERAGE(0.01,0.07)</f>
        <v/>
      </c>
      <c r="N3085" s="467">
        <f>AVERAGE(0.006,0.01,0.005,0.005)</f>
        <v/>
      </c>
      <c r="O3085" s="467">
        <f>AVERAGE(0.01,0.05)</f>
        <v/>
      </c>
      <c r="P3085" s="467" t="n"/>
    </row>
    <row r="3086" customFormat="1" s="21">
      <c r="A3086" s="411" t="inlineStr">
        <is>
          <t>Boreal Moist</t>
        </is>
      </c>
      <c r="B3086" s="467" t="n">
        <v>0</v>
      </c>
      <c r="C3086" s="4787">
        <f>AVERAGE(0.005,0,0.005)</f>
        <v/>
      </c>
      <c r="D3086" s="467" t="n">
        <v>0.01</v>
      </c>
      <c r="E3086" s="467" t="n">
        <v>0.02</v>
      </c>
      <c r="F3086" s="467" t="n">
        <v>0.003</v>
      </c>
      <c r="G3086" s="467" t="n">
        <v>0</v>
      </c>
      <c r="H3086" s="467" t="n">
        <v>0.0005999999999999999</v>
      </c>
      <c r="I3086" s="467" t="n"/>
      <c r="J3086" s="467" t="n">
        <v>0.002</v>
      </c>
      <c r="K3086" s="467" t="n">
        <v>0.002</v>
      </c>
      <c r="L3086" s="467" t="n">
        <v>0.001</v>
      </c>
      <c r="M3086" s="451">
        <f>AVERAGE(0.01,0.07)</f>
        <v/>
      </c>
      <c r="N3086" s="467">
        <f>AVERAGE(0.006,0.01,0.005,0.005)</f>
        <v/>
      </c>
      <c r="O3086" s="467">
        <f>AVERAGE(0.01,0.05)</f>
        <v/>
      </c>
      <c r="P3086" s="467" t="n"/>
    </row>
    <row r="3087" customFormat="1" s="21">
      <c r="A3087" s="411" t="inlineStr">
        <is>
          <t>Boreal Dry</t>
        </is>
      </c>
      <c r="B3087" s="467" t="n">
        <v>0</v>
      </c>
      <c r="C3087" s="4787">
        <f>AVERAGE(0.005,0,0.005)</f>
        <v/>
      </c>
      <c r="D3087" s="467" t="n">
        <v>0.01</v>
      </c>
      <c r="E3087" s="467" t="n">
        <v>0.02</v>
      </c>
      <c r="F3087" s="467" t="n">
        <v>0.003</v>
      </c>
      <c r="G3087" s="467" t="n">
        <v>0</v>
      </c>
      <c r="H3087" s="467" t="n">
        <v>0.0005999999999999999</v>
      </c>
      <c r="I3087" s="467" t="n"/>
      <c r="J3087" s="467" t="n">
        <v>0.002</v>
      </c>
      <c r="K3087" s="467" t="n">
        <v>0.002</v>
      </c>
      <c r="L3087" s="467" t="n">
        <v>0.001</v>
      </c>
      <c r="M3087" s="451">
        <f>AVERAGE(0.01,0.07)</f>
        <v/>
      </c>
      <c r="N3087" s="467">
        <f>AVERAGE(0.006,0.01,0.005,0.005)</f>
        <v/>
      </c>
      <c r="O3087" s="467">
        <f>AVERAGE(0.01,0.05)</f>
        <v/>
      </c>
      <c r="P3087" s="467" t="n"/>
    </row>
    <row r="3088" customFormat="1" s="21">
      <c r="A3088" s="411" t="inlineStr">
        <is>
          <t>Warm Temperate Moist</t>
        </is>
      </c>
      <c r="B3088" s="467" t="n">
        <v>0</v>
      </c>
      <c r="C3088" s="4787">
        <f>AVERAGE(0.005,0,0.005)</f>
        <v/>
      </c>
      <c r="D3088" s="467" t="n">
        <v>0.01</v>
      </c>
      <c r="E3088" s="467" t="n">
        <v>0.02</v>
      </c>
      <c r="F3088" s="467" t="n">
        <v>0.003</v>
      </c>
      <c r="G3088" s="467" t="n">
        <v>0</v>
      </c>
      <c r="H3088" s="467" t="n">
        <v>0.0005999999999999999</v>
      </c>
      <c r="I3088" s="467" t="n"/>
      <c r="J3088" s="467" t="n">
        <v>0.002</v>
      </c>
      <c r="K3088" s="467" t="n">
        <v>0.002</v>
      </c>
      <c r="L3088" s="467" t="n">
        <v>0.001</v>
      </c>
      <c r="M3088" s="451">
        <f>AVERAGE(0.01,0.07)</f>
        <v/>
      </c>
      <c r="N3088" s="467">
        <f>AVERAGE(0.006,0.01,0.005,0.005)</f>
        <v/>
      </c>
      <c r="O3088" s="467">
        <f>AVERAGE(0.01,0.05)</f>
        <v/>
      </c>
      <c r="P3088" s="467" t="n"/>
    </row>
    <row r="3089" customFormat="1" s="21">
      <c r="A3089" s="411" t="inlineStr">
        <is>
          <t>Warm Temperate Dry</t>
        </is>
      </c>
      <c r="B3089" s="467" t="n">
        <v>0</v>
      </c>
      <c r="C3089" s="4787">
        <f>AVERAGE(0.005,0,0.005)</f>
        <v/>
      </c>
      <c r="D3089" s="467" t="n">
        <v>0.01</v>
      </c>
      <c r="E3089" s="467" t="n">
        <v>0.02</v>
      </c>
      <c r="F3089" s="467" t="n">
        <v>0.003</v>
      </c>
      <c r="G3089" s="467" t="n">
        <v>0</v>
      </c>
      <c r="H3089" s="467" t="n">
        <v>0.0005999999999999999</v>
      </c>
      <c r="I3089" s="467" t="n"/>
      <c r="J3089" s="467" t="n">
        <v>0.002</v>
      </c>
      <c r="K3089" s="467" t="n">
        <v>0.002</v>
      </c>
      <c r="L3089" s="467" t="n">
        <v>0.001</v>
      </c>
      <c r="M3089" s="451">
        <f>AVERAGE(0.01,0.07)</f>
        <v/>
      </c>
      <c r="N3089" s="467">
        <f>AVERAGE(0.006,0.01,0.005,0.005)</f>
        <v/>
      </c>
      <c r="O3089" s="467">
        <f>AVERAGE(0.01,0.05)</f>
        <v/>
      </c>
      <c r="P3089" s="467" t="n"/>
    </row>
    <row r="3090" customFormat="1" s="21">
      <c r="A3090" s="411" t="inlineStr">
        <is>
          <t>Tropical Montane</t>
        </is>
      </c>
      <c r="B3090" s="467" t="n">
        <v>0</v>
      </c>
      <c r="C3090" s="4787">
        <f>AVERAGE(0.005,0,0.005)</f>
        <v/>
      </c>
      <c r="D3090" s="467" t="n">
        <v>0.01</v>
      </c>
      <c r="E3090" s="467" t="n">
        <v>0.02</v>
      </c>
      <c r="F3090" s="467" t="n">
        <v>0.003</v>
      </c>
      <c r="G3090" s="467" t="n">
        <v>0</v>
      </c>
      <c r="H3090" s="467" t="n">
        <v>0.0005999999999999999</v>
      </c>
      <c r="I3090" s="467" t="n"/>
      <c r="J3090" s="467" t="n">
        <v>0.002</v>
      </c>
      <c r="K3090" s="467" t="n">
        <v>0.002</v>
      </c>
      <c r="L3090" s="467" t="n">
        <v>0.001</v>
      </c>
      <c r="M3090" s="451">
        <f>AVERAGE(0.01,0.07)</f>
        <v/>
      </c>
      <c r="N3090" s="467">
        <f>AVERAGE(0.006,0.01,0.005,0.005)</f>
        <v/>
      </c>
      <c r="O3090" s="467">
        <f>AVERAGE(0.01,0.05)</f>
        <v/>
      </c>
      <c r="P3090" s="467" t="n"/>
    </row>
    <row r="3091" customFormat="1" s="21">
      <c r="A3091" s="411" t="inlineStr">
        <is>
          <t>Tropical Wet</t>
        </is>
      </c>
      <c r="B3091" s="467" t="n">
        <v>0</v>
      </c>
      <c r="C3091" s="4787">
        <f>AVERAGE(0.005,0,0.005)</f>
        <v/>
      </c>
      <c r="D3091" s="467" t="n">
        <v>0.01</v>
      </c>
      <c r="E3091" s="467" t="n">
        <v>0.02</v>
      </c>
      <c r="F3091" s="467" t="n">
        <v>0.003</v>
      </c>
      <c r="G3091" s="467" t="n">
        <v>0</v>
      </c>
      <c r="H3091" s="467" t="n">
        <v>0.0005999999999999999</v>
      </c>
      <c r="I3091" s="467" t="n"/>
      <c r="J3091" s="467" t="n">
        <v>0.002</v>
      </c>
      <c r="K3091" s="467" t="n">
        <v>0.002</v>
      </c>
      <c r="L3091" s="467" t="n">
        <v>0.001</v>
      </c>
      <c r="M3091" s="451">
        <f>AVERAGE(0.01,0.07)</f>
        <v/>
      </c>
      <c r="N3091" s="467">
        <f>AVERAGE(0.006,0.01,0.005,0.005)</f>
        <v/>
      </c>
      <c r="O3091" s="467">
        <f>AVERAGE(0.01,0.05)</f>
        <v/>
      </c>
      <c r="P3091" s="467" t="n"/>
    </row>
    <row r="3092" customFormat="1" s="21">
      <c r="A3092" s="411" t="inlineStr">
        <is>
          <t>Tropical Moist</t>
        </is>
      </c>
      <c r="B3092" s="467" t="n">
        <v>0</v>
      </c>
      <c r="C3092" s="4787">
        <f>AVERAGE(0.005,0,0.005)</f>
        <v/>
      </c>
      <c r="D3092" s="467" t="n">
        <v>0.01</v>
      </c>
      <c r="E3092" s="467" t="n">
        <v>0.02</v>
      </c>
      <c r="F3092" s="467" t="n">
        <v>0.003</v>
      </c>
      <c r="G3092" s="467" t="n">
        <v>0</v>
      </c>
      <c r="H3092" s="467" t="n">
        <v>0.0005999999999999999</v>
      </c>
      <c r="I3092" s="467" t="n"/>
      <c r="J3092" s="467" t="n">
        <v>0.002</v>
      </c>
      <c r="K3092" s="467" t="n">
        <v>0.002</v>
      </c>
      <c r="L3092" s="467" t="n">
        <v>0.001</v>
      </c>
      <c r="M3092" s="451">
        <f>AVERAGE(0.01,0.07)</f>
        <v/>
      </c>
      <c r="N3092" s="467">
        <f>AVERAGE(0.006,0.01,0.005,0.005)</f>
        <v/>
      </c>
      <c r="O3092" s="467">
        <f>AVERAGE(0.01,0.05)</f>
        <v/>
      </c>
      <c r="P3092" s="467" t="n"/>
    </row>
    <row r="3093" customFormat="1" s="21">
      <c r="A3093" s="411" t="inlineStr">
        <is>
          <t>Tropical Dry</t>
        </is>
      </c>
      <c r="B3093" s="654" t="n">
        <v>0</v>
      </c>
      <c r="C3093" s="4788">
        <f>AVERAGE(0.005,0,0.005)</f>
        <v/>
      </c>
      <c r="D3093" s="654" t="n">
        <v>0.01</v>
      </c>
      <c r="E3093" s="654" t="n">
        <v>0.02</v>
      </c>
      <c r="F3093" s="467" t="n">
        <v>0.003</v>
      </c>
      <c r="G3093" s="654" t="n">
        <v>0</v>
      </c>
      <c r="H3093" s="654" t="n">
        <v>0.0005999999999999999</v>
      </c>
      <c r="I3093" s="654" t="n"/>
      <c r="J3093" s="654" t="n">
        <v>0.002</v>
      </c>
      <c r="K3093" s="654" t="n">
        <v>0.002</v>
      </c>
      <c r="L3093" s="654" t="n">
        <v>0.001</v>
      </c>
      <c r="M3093" s="451">
        <f>AVERAGE(0.01,0.07)</f>
        <v/>
      </c>
      <c r="N3093" s="467">
        <f>AVERAGE(0.006,0.01,0.005,0.005)</f>
        <v/>
      </c>
      <c r="O3093" s="467">
        <f>AVERAGE(0.01,0.05)</f>
        <v/>
      </c>
      <c r="P3093" s="467" t="n"/>
    </row>
    <row r="3094" customFormat="1" s="535">
      <c r="A3094" s="518" t="inlineStr">
        <is>
          <t xml:space="preserve">Notes :  </t>
        </is>
      </c>
      <c r="F3094" s="1624" t="n"/>
      <c r="G3094" s="1624" t="n"/>
      <c r="H3094" s="1624" t="n"/>
      <c r="I3094" s="1624" t="n"/>
      <c r="J3094" s="1624" t="n"/>
      <c r="K3094" s="1624" t="n"/>
      <c r="L3094" s="1624" t="n"/>
      <c r="M3094" s="1624" t="n"/>
      <c r="N3094" s="1624" t="n"/>
    </row>
    <row r="3095" customFormat="1" s="292"/>
    <row r="3097" ht="14.25" customFormat="1" customHeight="1" s="125">
      <c r="A3097" s="377" t="inlineStr">
        <is>
          <t>Fraction N2O Volatilization (Frac gaz Ms)manure management</t>
        </is>
      </c>
      <c r="D3097" s="1075" t="n"/>
      <c r="E3097" s="1075" t="n"/>
      <c r="F3097" s="1075" t="n"/>
      <c r="G3097" s="1075" t="n"/>
      <c r="H3097" s="1075" t="n"/>
      <c r="I3097" s="1075" t="n"/>
      <c r="L3097" s="1075" t="n"/>
    </row>
    <row r="3098" ht="16.25" customFormat="1" customHeight="1" s="773">
      <c r="A3098" s="753" t="inlineStr">
        <is>
          <t>Swine</t>
        </is>
      </c>
      <c r="B3098" s="442" t="inlineStr">
        <is>
          <t>Table 10.22</t>
        </is>
      </c>
      <c r="C3098" s="442" t="inlineStr">
        <is>
          <t>Table 10.22</t>
        </is>
      </c>
      <c r="D3098" s="442" t="inlineStr">
        <is>
          <t>Table 10.22</t>
        </is>
      </c>
      <c r="E3098" s="442" t="inlineStr">
        <is>
          <t>Table 10.22</t>
        </is>
      </c>
      <c r="F3098" s="442" t="inlineStr">
        <is>
          <t>Table 11.3</t>
        </is>
      </c>
      <c r="G3098" s="442" t="inlineStr">
        <is>
          <t>Table 10.22</t>
        </is>
      </c>
      <c r="H3098" s="442" t="inlineStr">
        <is>
          <t>Table 10.22</t>
        </is>
      </c>
      <c r="I3098" s="442" t="inlineStr">
        <is>
          <t>Table 10.22</t>
        </is>
      </c>
      <c r="J3098" s="442" t="inlineStr">
        <is>
          <t>Table 10.22</t>
        </is>
      </c>
      <c r="K3098" s="442" t="inlineStr">
        <is>
          <t>Table 10.22</t>
        </is>
      </c>
      <c r="L3098" s="442" t="inlineStr">
        <is>
          <t>Table 10.22</t>
        </is>
      </c>
      <c r="M3098" s="442" t="inlineStr">
        <is>
          <t>Table 10.22</t>
        </is>
      </c>
      <c r="N3098" s="442" t="inlineStr">
        <is>
          <t>Table 10.22</t>
        </is>
      </c>
      <c r="O3098" s="442" t="inlineStr">
        <is>
          <t>Table 10.22</t>
        </is>
      </c>
      <c r="P3098" s="442" t="n"/>
      <c r="Q3098" s="442" t="n"/>
      <c r="R3098" s="442" t="n"/>
      <c r="S3098" s="442" t="n"/>
      <c r="T3098" s="442" t="n"/>
      <c r="U3098" s="442" t="n"/>
      <c r="V3098" s="442" t="n"/>
    </row>
    <row r="3099" ht="16" customFormat="1" customHeight="1" s="291">
      <c r="A3099" s="1641" t="inlineStr">
        <is>
          <t>Please select</t>
        </is>
      </c>
      <c r="B3099" s="1642" t="inlineStr">
        <is>
          <t>Lagoon</t>
        </is>
      </c>
      <c r="C3099" s="1642" t="inlineStr">
        <is>
          <t>Liquid/slurry</t>
        </is>
      </c>
      <c r="D3099" s="1642" t="inlineStr">
        <is>
          <t>Solid storage</t>
        </is>
      </c>
      <c r="E3099" s="1642" t="inlineStr">
        <is>
          <t>Dry lot</t>
        </is>
      </c>
      <c r="F3099" s="1642" t="inlineStr">
        <is>
          <t>Pasture/Range/Paddock</t>
        </is>
      </c>
      <c r="G3099" s="1642" t="inlineStr">
        <is>
          <t>Daily spread</t>
        </is>
      </c>
      <c r="H3099" s="1642" t="inlineStr">
        <is>
          <t>Digester</t>
        </is>
      </c>
      <c r="I3099" s="1642" t="inlineStr">
        <is>
          <t>Burned for fuel</t>
        </is>
      </c>
      <c r="J3099" s="1642" t="inlineStr">
        <is>
          <t>Pit&lt;1Month</t>
        </is>
      </c>
      <c r="K3099" s="1642" t="inlineStr">
        <is>
          <t>Pit&gt;1 month</t>
        </is>
      </c>
      <c r="L3099" s="1642" t="inlineStr">
        <is>
          <t>Poultry manure</t>
        </is>
      </c>
      <c r="M3099" s="291" t="inlineStr">
        <is>
          <t>Deep bedding</t>
        </is>
      </c>
      <c r="N3099" s="2156" t="inlineStr">
        <is>
          <t>Composting</t>
        </is>
      </c>
      <c r="O3099" s="2156" t="inlineStr">
        <is>
          <t>Aerobic treatment</t>
        </is>
      </c>
      <c r="P3099" s="2157" t="inlineStr">
        <is>
          <t>Other (pls. go Tier 2)</t>
        </is>
      </c>
      <c r="Q3099" s="453" t="n"/>
      <c r="R3099" s="453" t="n"/>
      <c r="S3099" s="453" t="n"/>
      <c r="T3099" s="453" t="n"/>
      <c r="U3099" s="453" t="n"/>
      <c r="V3099" s="453" t="n"/>
      <c r="W3099" s="21" t="n"/>
      <c r="X3099" s="21" t="n"/>
    </row>
    <row r="3100" ht="16" customFormat="1" customHeight="1" s="1093">
      <c r="A3100" s="523" t="inlineStr">
        <is>
          <t>Climate zone</t>
        </is>
      </c>
      <c r="B3100" s="1636" t="inlineStr">
        <is>
          <t>Frac gas_MS</t>
        </is>
      </c>
      <c r="C3100" s="1636" t="inlineStr">
        <is>
          <t>Frac gas_MS</t>
        </is>
      </c>
      <c r="D3100" s="1636" t="inlineStr">
        <is>
          <t>Frac gas_MS</t>
        </is>
      </c>
      <c r="E3100" s="1636" t="inlineStr">
        <is>
          <t>Frac gas_MS</t>
        </is>
      </c>
      <c r="F3100" s="1636" t="inlineStr">
        <is>
          <t>Frac gas_MS</t>
        </is>
      </c>
      <c r="G3100" s="1636" t="inlineStr">
        <is>
          <t>Frac gas_MS</t>
        </is>
      </c>
      <c r="H3100" s="1636" t="inlineStr">
        <is>
          <t>Frac gas_MS</t>
        </is>
      </c>
      <c r="I3100" s="1636" t="inlineStr">
        <is>
          <t>Frac gas_MS</t>
        </is>
      </c>
      <c r="J3100" s="1636" t="inlineStr">
        <is>
          <t>Frac gas_MS</t>
        </is>
      </c>
      <c r="K3100" s="1636" t="inlineStr">
        <is>
          <t>Frac gas_MS</t>
        </is>
      </c>
      <c r="L3100" s="1636" t="inlineStr">
        <is>
          <t>Frac gas_MS</t>
        </is>
      </c>
      <c r="M3100" s="1631" t="inlineStr">
        <is>
          <t>Frac gas_MS</t>
        </is>
      </c>
      <c r="N3100" s="1631" t="inlineStr">
        <is>
          <t>Frac gas_MS</t>
        </is>
      </c>
      <c r="O3100" s="732" t="inlineStr">
        <is>
          <t>Frac gas_MS</t>
        </is>
      </c>
      <c r="P3100" s="732" t="n"/>
      <c r="Q3100" s="1092" t="n"/>
      <c r="R3100" s="1092" t="n"/>
      <c r="S3100" s="1092" t="n"/>
      <c r="T3100" s="1092" t="n"/>
      <c r="U3100" s="1092" t="n"/>
      <c r="V3100" s="1092" t="n"/>
    </row>
    <row r="3101" customFormat="1" s="21">
      <c r="A3101" s="410" t="inlineStr">
        <is>
          <t>Cool Temperate Moist</t>
        </is>
      </c>
      <c r="B3101" s="1673" t="n">
        <v>0.4</v>
      </c>
      <c r="C3101" s="1673">
        <f>AVERAGE(0.3,0.48,0.1)</f>
        <v/>
      </c>
      <c r="D3101" s="1673">
        <f>AVERAGE(0.45,0.22,0.58,0.17)</f>
        <v/>
      </c>
      <c r="E3101" s="1673" t="n">
        <v>0.45</v>
      </c>
      <c r="F3101" s="1673" t="n">
        <v>0.21</v>
      </c>
      <c r="G3101" s="1673" t="n">
        <v>0.07000000000000001</v>
      </c>
      <c r="H3101" s="1673">
        <f>AVERAGE(0.05,0.5)</f>
        <v/>
      </c>
      <c r="I3101" s="1673" t="n">
        <v>0</v>
      </c>
      <c r="J3101" s="1673" t="n">
        <v>0.25</v>
      </c>
      <c r="K3101" s="1673" t="n">
        <v>0.25</v>
      </c>
      <c r="L3101" s="1673" t="n">
        <v>0</v>
      </c>
      <c r="M3101" s="451" t="n">
        <v>0.4</v>
      </c>
      <c r="N3101" s="467">
        <f>AVERAGE(0.6,0.65,0.65,0.6)</f>
        <v/>
      </c>
      <c r="O3101" s="467" t="n">
        <v>0.85</v>
      </c>
      <c r="P3101" s="467" t="n"/>
      <c r="Q3101" s="453" t="n"/>
      <c r="R3101" s="453" t="n"/>
      <c r="S3101" s="453" t="n"/>
      <c r="T3101" s="453" t="n"/>
      <c r="U3101" s="453" t="n"/>
      <c r="V3101" s="453" t="n"/>
    </row>
    <row r="3102" customFormat="1" s="21">
      <c r="A3102" s="411" t="inlineStr">
        <is>
          <t>Cool Temperate Dry</t>
        </is>
      </c>
      <c r="B3102" s="1674" t="n">
        <v>0.4</v>
      </c>
      <c r="C3102" s="1674">
        <f>AVERAGE(0.3,0.48,0.1)</f>
        <v/>
      </c>
      <c r="D3102" s="1674">
        <f>AVERAGE(0.45,0.22,0.58,0.17)</f>
        <v/>
      </c>
      <c r="E3102" s="1674" t="n">
        <v>0.45</v>
      </c>
      <c r="F3102" s="1674" t="n">
        <v>0.21</v>
      </c>
      <c r="G3102" s="1674" t="n">
        <v>0.07000000000000001</v>
      </c>
      <c r="H3102" s="1674">
        <f>AVERAGE(0.05,0.5)</f>
        <v/>
      </c>
      <c r="I3102" s="1674" t="n">
        <v>0</v>
      </c>
      <c r="J3102" s="1674" t="n">
        <v>0.25</v>
      </c>
      <c r="K3102" s="1674" t="n">
        <v>0.25</v>
      </c>
      <c r="L3102" s="1674" t="n">
        <v>0</v>
      </c>
      <c r="M3102" s="451" t="n">
        <v>0.4</v>
      </c>
      <c r="N3102" s="467">
        <f>AVERAGE(0.6,0.65,0.65,0.6)</f>
        <v/>
      </c>
      <c r="O3102" s="467" t="n">
        <v>0.85</v>
      </c>
      <c r="P3102" s="467" t="n"/>
      <c r="Q3102" s="453" t="n"/>
      <c r="R3102" s="453" t="n"/>
      <c r="S3102" s="453" t="n"/>
      <c r="T3102" s="453" t="n"/>
      <c r="U3102" s="453" t="n"/>
      <c r="V3102" s="453" t="n"/>
    </row>
    <row r="3103" customFormat="1" s="21">
      <c r="A3103" s="411" t="inlineStr">
        <is>
          <t>Boreal Moist</t>
        </is>
      </c>
      <c r="B3103" s="1674" t="n">
        <v>0.4</v>
      </c>
      <c r="C3103" s="1674">
        <f>AVERAGE(0.3,0.48,0.1)</f>
        <v/>
      </c>
      <c r="D3103" s="1674">
        <f>AVERAGE(0.45,0.22,0.58,0.17)</f>
        <v/>
      </c>
      <c r="E3103" s="1674" t="n">
        <v>0.45</v>
      </c>
      <c r="F3103" s="1674" t="n">
        <v>0.21</v>
      </c>
      <c r="G3103" s="1674" t="n">
        <v>0.07000000000000001</v>
      </c>
      <c r="H3103" s="1674">
        <f>AVERAGE(0.05,0.5)</f>
        <v/>
      </c>
      <c r="I3103" s="1674" t="n">
        <v>0</v>
      </c>
      <c r="J3103" s="1674" t="n">
        <v>0.25</v>
      </c>
      <c r="K3103" s="1674" t="n">
        <v>0.25</v>
      </c>
      <c r="L3103" s="1674" t="n">
        <v>0</v>
      </c>
      <c r="M3103" s="451" t="n">
        <v>0.4</v>
      </c>
      <c r="N3103" s="467">
        <f>AVERAGE(0.6,0.65,0.65,0.6)</f>
        <v/>
      </c>
      <c r="O3103" s="467" t="n">
        <v>0.85</v>
      </c>
      <c r="P3103" s="467" t="n"/>
      <c r="Q3103" s="453" t="n"/>
      <c r="R3103" s="453" t="n"/>
      <c r="S3103" s="453" t="n"/>
      <c r="T3103" s="453" t="n"/>
      <c r="U3103" s="453" t="n"/>
      <c r="V3103" s="453" t="n"/>
    </row>
    <row r="3104" customFormat="1" s="21">
      <c r="A3104" s="411" t="inlineStr">
        <is>
          <t>Boreal Dry</t>
        </is>
      </c>
      <c r="B3104" s="1674" t="n">
        <v>0.4</v>
      </c>
      <c r="C3104" s="1674">
        <f>AVERAGE(0.3,0.48,0.1)</f>
        <v/>
      </c>
      <c r="D3104" s="1674">
        <f>AVERAGE(0.45,0.22,0.58,0.17)</f>
        <v/>
      </c>
      <c r="E3104" s="1674" t="n">
        <v>0.45</v>
      </c>
      <c r="F3104" s="1674" t="n">
        <v>0.21</v>
      </c>
      <c r="G3104" s="1674" t="n">
        <v>0.07000000000000001</v>
      </c>
      <c r="H3104" s="1674">
        <f>AVERAGE(0.05,0.5)</f>
        <v/>
      </c>
      <c r="I3104" s="1674" t="n">
        <v>0</v>
      </c>
      <c r="J3104" s="1674" t="n">
        <v>0.25</v>
      </c>
      <c r="K3104" s="1674" t="n">
        <v>0.25</v>
      </c>
      <c r="L3104" s="1674" t="n">
        <v>0</v>
      </c>
      <c r="M3104" s="451" t="n">
        <v>0.4</v>
      </c>
      <c r="N3104" s="467">
        <f>AVERAGE(0.6,0.65,0.65,0.6)</f>
        <v/>
      </c>
      <c r="O3104" s="467" t="n">
        <v>0.85</v>
      </c>
      <c r="P3104" s="467" t="n"/>
      <c r="Q3104" s="453" t="n"/>
      <c r="R3104" s="453" t="n"/>
      <c r="S3104" s="453" t="n"/>
      <c r="T3104" s="453" t="n"/>
      <c r="U3104" s="453" t="n"/>
      <c r="V3104" s="453" t="n"/>
    </row>
    <row r="3105" customFormat="1" s="21">
      <c r="A3105" s="411" t="inlineStr">
        <is>
          <t>Warm Temperate Moist</t>
        </is>
      </c>
      <c r="B3105" s="1674" t="n">
        <v>0.4</v>
      </c>
      <c r="C3105" s="1674">
        <f>AVERAGE(0.3,0.48,0.1)</f>
        <v/>
      </c>
      <c r="D3105" s="1674">
        <f>AVERAGE(0.45,0.22,0.58,0.17)</f>
        <v/>
      </c>
      <c r="E3105" s="1674" t="n">
        <v>0.45</v>
      </c>
      <c r="F3105" s="1674" t="n">
        <v>0.21</v>
      </c>
      <c r="G3105" s="1674" t="n">
        <v>0.07000000000000001</v>
      </c>
      <c r="H3105" s="1674">
        <f>AVERAGE(0.05,0.5)</f>
        <v/>
      </c>
      <c r="I3105" s="1674" t="n">
        <v>0</v>
      </c>
      <c r="J3105" s="1674" t="n">
        <v>0.25</v>
      </c>
      <c r="K3105" s="1674" t="n">
        <v>0.25</v>
      </c>
      <c r="L3105" s="1674" t="n">
        <v>0</v>
      </c>
      <c r="M3105" s="451" t="n">
        <v>0.4</v>
      </c>
      <c r="N3105" s="467">
        <f>AVERAGE(0.6,0.65,0.65,0.6)</f>
        <v/>
      </c>
      <c r="O3105" s="467" t="n">
        <v>0.85</v>
      </c>
      <c r="P3105" s="467" t="n"/>
      <c r="Q3105" s="453" t="n"/>
      <c r="R3105" s="453" t="n"/>
      <c r="S3105" s="453" t="n"/>
      <c r="T3105" s="453" t="n"/>
      <c r="U3105" s="453" t="n"/>
      <c r="V3105" s="453" t="n"/>
    </row>
    <row r="3106" customFormat="1" s="21">
      <c r="A3106" s="411" t="inlineStr">
        <is>
          <t>Warm Temperate Dry</t>
        </is>
      </c>
      <c r="B3106" s="1674" t="n">
        <v>0.4</v>
      </c>
      <c r="C3106" s="1674">
        <f>AVERAGE(0.3,0.48,0.1)</f>
        <v/>
      </c>
      <c r="D3106" s="1674">
        <f>AVERAGE(0.45,0.22,0.58,0.17)</f>
        <v/>
      </c>
      <c r="E3106" s="1674" t="n">
        <v>0.45</v>
      </c>
      <c r="F3106" s="1674" t="n">
        <v>0.21</v>
      </c>
      <c r="G3106" s="1674" t="n">
        <v>0.07000000000000001</v>
      </c>
      <c r="H3106" s="1674">
        <f>AVERAGE(0.05,0.5)</f>
        <v/>
      </c>
      <c r="I3106" s="1674" t="n">
        <v>0</v>
      </c>
      <c r="J3106" s="1674" t="n">
        <v>0.25</v>
      </c>
      <c r="K3106" s="1674" t="n">
        <v>0.25</v>
      </c>
      <c r="L3106" s="1674" t="n">
        <v>0</v>
      </c>
      <c r="M3106" s="451" t="n">
        <v>0.4</v>
      </c>
      <c r="N3106" s="467">
        <f>AVERAGE(0.6,0.65,0.65,0.6)</f>
        <v/>
      </c>
      <c r="O3106" s="467" t="n">
        <v>0.85</v>
      </c>
      <c r="P3106" s="467" t="n"/>
      <c r="Q3106" s="453" t="n"/>
      <c r="R3106" s="453" t="n"/>
      <c r="S3106" s="453" t="n"/>
      <c r="T3106" s="453" t="n"/>
      <c r="U3106" s="453" t="n"/>
      <c r="V3106" s="453" t="n"/>
    </row>
    <row r="3107" customFormat="1" s="21">
      <c r="A3107" s="411" t="inlineStr">
        <is>
          <t>Tropical Montane</t>
        </is>
      </c>
      <c r="B3107" s="1674" t="n">
        <v>0.4</v>
      </c>
      <c r="C3107" s="1674">
        <f>AVERAGE(0.3,0.48,0.1)</f>
        <v/>
      </c>
      <c r="D3107" s="1674">
        <f>AVERAGE(0.45,0.22,0.58,0.17)</f>
        <v/>
      </c>
      <c r="E3107" s="1674" t="n">
        <v>0.45</v>
      </c>
      <c r="F3107" s="1674" t="n">
        <v>0.21</v>
      </c>
      <c r="G3107" s="1674" t="n">
        <v>0.07000000000000001</v>
      </c>
      <c r="H3107" s="1674">
        <f>AVERAGE(0.05,0.5)</f>
        <v/>
      </c>
      <c r="I3107" s="1674" t="n">
        <v>0</v>
      </c>
      <c r="J3107" s="1674" t="n">
        <v>0.25</v>
      </c>
      <c r="K3107" s="1674" t="n">
        <v>0.25</v>
      </c>
      <c r="L3107" s="1674" t="n">
        <v>0</v>
      </c>
      <c r="M3107" s="451" t="n">
        <v>0.4</v>
      </c>
      <c r="N3107" s="467">
        <f>AVERAGE(0.6,0.65,0.65,0.6)</f>
        <v/>
      </c>
      <c r="O3107" s="467" t="n">
        <v>0.85</v>
      </c>
      <c r="P3107" s="467" t="n"/>
      <c r="Q3107" s="453" t="n"/>
      <c r="R3107" s="453" t="n"/>
      <c r="S3107" s="453" t="n"/>
      <c r="T3107" s="453" t="n"/>
      <c r="U3107" s="453" t="n"/>
      <c r="V3107" s="453" t="n"/>
    </row>
    <row r="3108" customFormat="1" s="21">
      <c r="A3108" s="411" t="inlineStr">
        <is>
          <t>Tropical Wet</t>
        </is>
      </c>
      <c r="B3108" s="1674" t="n">
        <v>0.4</v>
      </c>
      <c r="C3108" s="1674">
        <f>AVERAGE(0.3,0.48,0.1)</f>
        <v/>
      </c>
      <c r="D3108" s="1674">
        <f>AVERAGE(0.45,0.22,0.58,0.17)</f>
        <v/>
      </c>
      <c r="E3108" s="1674" t="n">
        <v>0.45</v>
      </c>
      <c r="F3108" s="1674" t="n">
        <v>0.21</v>
      </c>
      <c r="G3108" s="1674" t="n">
        <v>0.07000000000000001</v>
      </c>
      <c r="H3108" s="1674">
        <f>AVERAGE(0.05,0.5)</f>
        <v/>
      </c>
      <c r="I3108" s="1674" t="n">
        <v>0</v>
      </c>
      <c r="J3108" s="1674" t="n">
        <v>0.25</v>
      </c>
      <c r="K3108" s="1674" t="n">
        <v>0.25</v>
      </c>
      <c r="L3108" s="1674" t="n">
        <v>0</v>
      </c>
      <c r="M3108" s="451" t="n">
        <v>0.4</v>
      </c>
      <c r="N3108" s="467">
        <f>AVERAGE(0.6,0.65,0.65,0.6)</f>
        <v/>
      </c>
      <c r="O3108" s="467" t="n">
        <v>0.85</v>
      </c>
      <c r="P3108" s="467" t="n"/>
    </row>
    <row r="3109" customFormat="1" s="453">
      <c r="A3109" s="411" t="inlineStr">
        <is>
          <t>Tropical Moist</t>
        </is>
      </c>
      <c r="B3109" s="1674" t="n">
        <v>0.4</v>
      </c>
      <c r="C3109" s="1674">
        <f>AVERAGE(0.3,0.48,0.1)</f>
        <v/>
      </c>
      <c r="D3109" s="1674">
        <f>AVERAGE(0.45,0.22,0.58,0.17)</f>
        <v/>
      </c>
      <c r="E3109" s="1674" t="n">
        <v>0.45</v>
      </c>
      <c r="F3109" s="1674" t="n">
        <v>0.21</v>
      </c>
      <c r="G3109" s="1674" t="n">
        <v>0.07000000000000001</v>
      </c>
      <c r="H3109" s="1674">
        <f>AVERAGE(0.05,0.5)</f>
        <v/>
      </c>
      <c r="I3109" s="1674" t="n">
        <v>0</v>
      </c>
      <c r="J3109" s="1674" t="n">
        <v>0.25</v>
      </c>
      <c r="K3109" s="1674" t="n">
        <v>0.25</v>
      </c>
      <c r="L3109" s="1674" t="n">
        <v>0</v>
      </c>
      <c r="M3109" s="451" t="n">
        <v>0.4</v>
      </c>
      <c r="N3109" s="467">
        <f>AVERAGE(0.6,0.65,0.65,0.6)</f>
        <v/>
      </c>
      <c r="O3109" s="467" t="n">
        <v>0.85</v>
      </c>
      <c r="P3109" s="467" t="n"/>
    </row>
    <row r="3110" customFormat="1" s="453">
      <c r="A3110" s="411" t="inlineStr">
        <is>
          <t>Tropical Dry</t>
        </is>
      </c>
      <c r="B3110" s="1675" t="n">
        <v>0.4</v>
      </c>
      <c r="C3110" s="1675">
        <f>AVERAGE(0.3,0.48,0.1)</f>
        <v/>
      </c>
      <c r="D3110" s="1675">
        <f>AVERAGE(0.45,0.22,0.58,0.17)</f>
        <v/>
      </c>
      <c r="E3110" s="1675" t="n">
        <v>0.45</v>
      </c>
      <c r="F3110" s="1675" t="n">
        <v>0.21</v>
      </c>
      <c r="G3110" s="1675" t="n">
        <v>0.07000000000000001</v>
      </c>
      <c r="H3110" s="1675">
        <f>AVERAGE(0.05,0.5)</f>
        <v/>
      </c>
      <c r="I3110" s="1675" t="n">
        <v>0</v>
      </c>
      <c r="J3110" s="1675" t="n">
        <v>0.25</v>
      </c>
      <c r="K3110" s="1675" t="n">
        <v>0.25</v>
      </c>
      <c r="L3110" s="1675" t="n">
        <v>0</v>
      </c>
      <c r="M3110" s="451" t="n">
        <v>0.4</v>
      </c>
      <c r="N3110" s="467">
        <f>AVERAGE(0.6,0.65,0.65,0.6)</f>
        <v/>
      </c>
      <c r="O3110" s="467" t="n">
        <v>0.85</v>
      </c>
      <c r="P3110" s="467" t="n"/>
    </row>
    <row r="3111" customFormat="1" s="535">
      <c r="A3111" s="518" t="inlineStr">
        <is>
          <t xml:space="preserve">Notes :  </t>
        </is>
      </c>
      <c r="F3111" s="1624" t="n"/>
      <c r="G3111" s="1624" t="n"/>
      <c r="H3111" s="1624" t="n"/>
      <c r="I3111" s="1624" t="n"/>
      <c r="J3111" s="1624" t="n"/>
      <c r="K3111" s="1624" t="n"/>
      <c r="L3111" s="1624" t="n"/>
      <c r="M3111" s="1624" t="n"/>
      <c r="N3111" s="1624" t="n"/>
    </row>
    <row r="3112" customFormat="1" s="292"/>
    <row r="3114" ht="14.25" customFormat="1" customHeight="1" s="125">
      <c r="A3114" s="377" t="inlineStr">
        <is>
          <t>Fraction N2O Volatilization (Frac gaz Ms)manure management</t>
        </is>
      </c>
      <c r="D3114" s="1075" t="n"/>
      <c r="E3114" s="1075" t="n"/>
      <c r="F3114" s="1075" t="n"/>
      <c r="G3114" s="1075" t="n"/>
      <c r="H3114" s="1075" t="n"/>
      <c r="I3114" s="1075" t="n"/>
      <c r="L3114" s="1075" t="n"/>
    </row>
    <row r="3115" ht="16.25" customFormat="1" customHeight="1" s="773">
      <c r="A3115" s="753" t="inlineStr">
        <is>
          <t>Dairy cow</t>
        </is>
      </c>
      <c r="B3115" s="442" t="inlineStr">
        <is>
          <t>Table 10.22</t>
        </is>
      </c>
      <c r="C3115" s="442" t="inlineStr">
        <is>
          <t>Table 10.22</t>
        </is>
      </c>
      <c r="D3115" s="442" t="inlineStr">
        <is>
          <t>Table 10.22</t>
        </is>
      </c>
      <c r="E3115" s="442" t="inlineStr">
        <is>
          <t>Table 10.22</t>
        </is>
      </c>
      <c r="F3115" s="442" t="inlineStr">
        <is>
          <t>Table 11.3</t>
        </is>
      </c>
      <c r="G3115" s="442" t="inlineStr">
        <is>
          <t>Table 10.22</t>
        </is>
      </c>
      <c r="H3115" s="442" t="inlineStr">
        <is>
          <t>Table 10.22</t>
        </is>
      </c>
      <c r="I3115" s="442" t="inlineStr">
        <is>
          <t>Table 10.22</t>
        </is>
      </c>
      <c r="J3115" s="442" t="inlineStr">
        <is>
          <t>Table 10.22</t>
        </is>
      </c>
      <c r="K3115" s="442" t="inlineStr">
        <is>
          <t>Table 10.22</t>
        </is>
      </c>
      <c r="L3115" s="442" t="inlineStr">
        <is>
          <t>Table 10.22</t>
        </is>
      </c>
      <c r="M3115" s="442" t="inlineStr">
        <is>
          <t>Table 10.22</t>
        </is>
      </c>
      <c r="N3115" s="442" t="inlineStr">
        <is>
          <t>Table 10.22</t>
        </is>
      </c>
      <c r="O3115" s="442" t="inlineStr">
        <is>
          <t>Table 10.22</t>
        </is>
      </c>
      <c r="P3115" s="442" t="n"/>
      <c r="Q3115" s="442" t="n"/>
      <c r="R3115" s="442" t="n"/>
      <c r="S3115" s="442" t="n"/>
      <c r="T3115" s="442" t="n"/>
      <c r="U3115" s="442" t="n"/>
      <c r="V3115" s="442" t="n"/>
    </row>
    <row r="3116" ht="16" customFormat="1" customHeight="1" s="291">
      <c r="A3116" s="1641" t="inlineStr">
        <is>
          <t>Please select</t>
        </is>
      </c>
      <c r="B3116" s="1642" t="inlineStr">
        <is>
          <t>Lagoon</t>
        </is>
      </c>
      <c r="C3116" s="1642" t="inlineStr">
        <is>
          <t>Liquid/slurry</t>
        </is>
      </c>
      <c r="D3116" s="1642" t="inlineStr">
        <is>
          <t>Solid storage</t>
        </is>
      </c>
      <c r="E3116" s="1642" t="inlineStr">
        <is>
          <t>Dry lot</t>
        </is>
      </c>
      <c r="F3116" s="1642" t="inlineStr">
        <is>
          <t>Pasture/Range/Paddock</t>
        </is>
      </c>
      <c r="G3116" s="1642" t="inlineStr">
        <is>
          <t>Daily spread</t>
        </is>
      </c>
      <c r="H3116" s="1642" t="inlineStr">
        <is>
          <t>Digester</t>
        </is>
      </c>
      <c r="I3116" s="1642" t="inlineStr">
        <is>
          <t>Burned for fuel</t>
        </is>
      </c>
      <c r="J3116" s="1642" t="inlineStr">
        <is>
          <t>Pit&lt;1Month</t>
        </is>
      </c>
      <c r="K3116" s="1642" t="inlineStr">
        <is>
          <t>Pit&gt;1 month</t>
        </is>
      </c>
      <c r="L3116" s="1642" t="inlineStr">
        <is>
          <t>Poultry manure</t>
        </is>
      </c>
      <c r="M3116" s="291" t="inlineStr">
        <is>
          <t>Deep bedding</t>
        </is>
      </c>
      <c r="N3116" s="2156" t="inlineStr">
        <is>
          <t>Composting</t>
        </is>
      </c>
      <c r="O3116" s="2156" t="inlineStr">
        <is>
          <t>Aerobic treatment</t>
        </is>
      </c>
      <c r="P3116" s="2157" t="inlineStr">
        <is>
          <t>Other (pls. go Tier 2)</t>
        </is>
      </c>
      <c r="Q3116" s="453" t="n"/>
      <c r="R3116" s="453" t="n"/>
      <c r="S3116" s="453" t="n"/>
      <c r="T3116" s="453" t="n"/>
      <c r="U3116" s="453" t="n"/>
      <c r="V3116" s="453" t="n"/>
      <c r="W3116" s="21" t="n"/>
      <c r="X3116" s="21" t="n"/>
    </row>
    <row r="3117" ht="16" customFormat="1" customHeight="1" s="1093">
      <c r="A3117" s="523" t="inlineStr">
        <is>
          <t>Climate zone</t>
        </is>
      </c>
      <c r="B3117" s="1636" t="inlineStr">
        <is>
          <t>Frac gas_MS</t>
        </is>
      </c>
      <c r="C3117" s="1636" t="inlineStr">
        <is>
          <t>Frac gas_MS</t>
        </is>
      </c>
      <c r="D3117" s="1636" t="inlineStr">
        <is>
          <t>Frac gas_MS</t>
        </is>
      </c>
      <c r="E3117" s="1636" t="inlineStr">
        <is>
          <t>Frac gas_MS</t>
        </is>
      </c>
      <c r="F3117" s="1636" t="inlineStr">
        <is>
          <t>Frac gas_MS</t>
        </is>
      </c>
      <c r="G3117" s="1636" t="inlineStr">
        <is>
          <t>Frac gas_MS</t>
        </is>
      </c>
      <c r="H3117" s="1636" t="inlineStr">
        <is>
          <t>Frac gas_MS</t>
        </is>
      </c>
      <c r="I3117" s="1636" t="inlineStr">
        <is>
          <t>Frac gas_MS</t>
        </is>
      </c>
      <c r="J3117" s="1636" t="inlineStr">
        <is>
          <t>Frac gas_MS</t>
        </is>
      </c>
      <c r="K3117" s="1636" t="inlineStr">
        <is>
          <t>Frac gas_MS</t>
        </is>
      </c>
      <c r="L3117" s="1636" t="inlineStr">
        <is>
          <t>Frac gas_MS</t>
        </is>
      </c>
      <c r="M3117" s="1631" t="inlineStr">
        <is>
          <t>Frac gas_MS</t>
        </is>
      </c>
      <c r="N3117" s="732" t="inlineStr">
        <is>
          <t>Frac gas_MS</t>
        </is>
      </c>
      <c r="O3117" s="732" t="inlineStr">
        <is>
          <t>Frac gas_MS</t>
        </is>
      </c>
      <c r="P3117" s="732" t="n"/>
      <c r="Q3117" s="1092" t="n"/>
      <c r="R3117" s="1092" t="n"/>
      <c r="S3117" s="1092" t="n"/>
      <c r="T3117" s="1092" t="n"/>
      <c r="U3117" s="1092" t="n"/>
      <c r="V3117" s="1092" t="n"/>
    </row>
    <row r="3118" customFormat="1" s="21">
      <c r="A3118" s="410" t="inlineStr">
        <is>
          <t>Cool Temperate Moist</t>
        </is>
      </c>
      <c r="B3118" s="1673" t="n">
        <v>0.35</v>
      </c>
      <c r="C3118" s="1673">
        <f>AVERAGE(0.3,0.48,0.1)</f>
        <v/>
      </c>
      <c r="D3118" s="1673">
        <f>AVERAGE(0.3,0.14,0.38,0.11)</f>
        <v/>
      </c>
      <c r="E3118" s="1673" t="n">
        <v>0.3</v>
      </c>
      <c r="F3118" s="1673" t="n">
        <v>0.21</v>
      </c>
      <c r="G3118" s="1673" t="n">
        <v>0.07000000000000001</v>
      </c>
      <c r="H3118" s="1673">
        <f>AVERAGE(0.05,0.5)</f>
        <v/>
      </c>
      <c r="I3118" s="1673" t="n">
        <v>0</v>
      </c>
      <c r="J3118" s="1673" t="n">
        <v>0.28</v>
      </c>
      <c r="K3118" s="1673" t="n">
        <v>0.28</v>
      </c>
      <c r="L3118" s="1673" t="n">
        <v>0</v>
      </c>
      <c r="M3118" s="451" t="n">
        <v>0.25</v>
      </c>
      <c r="N3118" s="467">
        <f>AVERAGE(0.45,0.5,0.5,0.45)</f>
        <v/>
      </c>
      <c r="O3118" s="467" t="n">
        <v>0.85</v>
      </c>
      <c r="P3118" s="467" t="n"/>
      <c r="Q3118" s="453" t="n"/>
      <c r="R3118" s="453" t="n"/>
      <c r="S3118" s="453" t="n"/>
      <c r="T3118" s="453" t="n"/>
      <c r="U3118" s="453" t="n"/>
      <c r="V3118" s="453" t="n"/>
    </row>
    <row r="3119" customFormat="1" s="21">
      <c r="A3119" s="411" t="inlineStr">
        <is>
          <t>Cool Temperate Dry</t>
        </is>
      </c>
      <c r="B3119" s="1674" t="n">
        <v>0.35</v>
      </c>
      <c r="C3119" s="1674">
        <f>AVERAGE(0.3,0.48,0.1)</f>
        <v/>
      </c>
      <c r="D3119" s="1674">
        <f>AVERAGE(0.3,0.14,0.38,0.11)</f>
        <v/>
      </c>
      <c r="E3119" s="1674" t="n">
        <v>0.3</v>
      </c>
      <c r="F3119" s="1674" t="n">
        <v>0.21</v>
      </c>
      <c r="G3119" s="1674" t="n">
        <v>0.07000000000000001</v>
      </c>
      <c r="H3119" s="1674">
        <f>AVERAGE(0.05,0.5)</f>
        <v/>
      </c>
      <c r="I3119" s="1674" t="n">
        <v>0</v>
      </c>
      <c r="J3119" s="1674" t="n">
        <v>0.28</v>
      </c>
      <c r="K3119" s="1674" t="n">
        <v>0.28</v>
      </c>
      <c r="L3119" s="1674" t="n">
        <v>0</v>
      </c>
      <c r="M3119" s="451" t="n">
        <v>0.25</v>
      </c>
      <c r="N3119" s="467">
        <f>AVERAGE(0.45,0.5,0.5,0.45)</f>
        <v/>
      </c>
      <c r="O3119" s="467" t="n">
        <v>0.85</v>
      </c>
      <c r="P3119" s="467" t="n"/>
      <c r="Q3119" s="453" t="n"/>
      <c r="R3119" s="453" t="n"/>
      <c r="S3119" s="453" t="n"/>
      <c r="T3119" s="453" t="n"/>
      <c r="U3119" s="453" t="n"/>
      <c r="V3119" s="453" t="n"/>
    </row>
    <row r="3120" customFormat="1" s="21">
      <c r="A3120" s="411" t="inlineStr">
        <is>
          <t>Boreal Moist</t>
        </is>
      </c>
      <c r="B3120" s="1674" t="n">
        <v>0.35</v>
      </c>
      <c r="C3120" s="1674">
        <f>AVERAGE(0.3,0.48,0.1)</f>
        <v/>
      </c>
      <c r="D3120" s="1674">
        <f>AVERAGE(0.3,0.14,0.38,0.11)</f>
        <v/>
      </c>
      <c r="E3120" s="1674" t="n">
        <v>0.3</v>
      </c>
      <c r="F3120" s="1674" t="n">
        <v>0.21</v>
      </c>
      <c r="G3120" s="1674" t="n">
        <v>0.07000000000000001</v>
      </c>
      <c r="H3120" s="1674">
        <f>AVERAGE(0.05,0.5)</f>
        <v/>
      </c>
      <c r="I3120" s="1674" t="n">
        <v>0</v>
      </c>
      <c r="J3120" s="1674" t="n">
        <v>0.28</v>
      </c>
      <c r="K3120" s="1674" t="n">
        <v>0.28</v>
      </c>
      <c r="L3120" s="1674" t="n">
        <v>0</v>
      </c>
      <c r="M3120" s="451" t="n">
        <v>0.25</v>
      </c>
      <c r="N3120" s="467">
        <f>AVERAGE(0.45,0.5,0.5,0.45)</f>
        <v/>
      </c>
      <c r="O3120" s="467" t="n">
        <v>0.85</v>
      </c>
      <c r="P3120" s="467" t="n"/>
      <c r="Q3120" s="453" t="n"/>
      <c r="R3120" s="453" t="n"/>
      <c r="S3120" s="453" t="n"/>
      <c r="T3120" s="453" t="n"/>
      <c r="U3120" s="453" t="n"/>
      <c r="V3120" s="453" t="n"/>
    </row>
    <row r="3121" customFormat="1" s="21">
      <c r="A3121" s="411" t="inlineStr">
        <is>
          <t>Boreal Dry</t>
        </is>
      </c>
      <c r="B3121" s="1674" t="n">
        <v>0.35</v>
      </c>
      <c r="C3121" s="1674">
        <f>AVERAGE(0.3,0.48,0.1)</f>
        <v/>
      </c>
      <c r="D3121" s="1674">
        <f>AVERAGE(0.3,0.14,0.38,0.11)</f>
        <v/>
      </c>
      <c r="E3121" s="1674" t="n">
        <v>0.3</v>
      </c>
      <c r="F3121" s="1674" t="n">
        <v>0.21</v>
      </c>
      <c r="G3121" s="1674" t="n">
        <v>0.07000000000000001</v>
      </c>
      <c r="H3121" s="1674">
        <f>AVERAGE(0.05,0.5)</f>
        <v/>
      </c>
      <c r="I3121" s="1674" t="n">
        <v>0</v>
      </c>
      <c r="J3121" s="1674" t="n">
        <v>0.28</v>
      </c>
      <c r="K3121" s="1674" t="n">
        <v>0.28</v>
      </c>
      <c r="L3121" s="1674" t="n">
        <v>0</v>
      </c>
      <c r="M3121" s="451" t="n">
        <v>0.25</v>
      </c>
      <c r="N3121" s="467">
        <f>AVERAGE(0.45,0.5,0.5,0.45)</f>
        <v/>
      </c>
      <c r="O3121" s="467" t="n">
        <v>0.85</v>
      </c>
      <c r="P3121" s="467" t="n"/>
      <c r="Q3121" s="453" t="n"/>
      <c r="R3121" s="453" t="n"/>
      <c r="S3121" s="453" t="n"/>
      <c r="T3121" s="453" t="n"/>
      <c r="U3121" s="453" t="n"/>
      <c r="V3121" s="453" t="n"/>
    </row>
    <row r="3122" customFormat="1" s="21">
      <c r="A3122" s="411" t="inlineStr">
        <is>
          <t>Warm Temperate Moist</t>
        </is>
      </c>
      <c r="B3122" s="1674" t="n">
        <v>0.35</v>
      </c>
      <c r="C3122" s="1674">
        <f>AVERAGE(0.3,0.48,0.1)</f>
        <v/>
      </c>
      <c r="D3122" s="1674">
        <f>AVERAGE(0.3,0.14,0.38,0.11)</f>
        <v/>
      </c>
      <c r="E3122" s="1674" t="n">
        <v>0.3</v>
      </c>
      <c r="F3122" s="1674" t="n">
        <v>0.21</v>
      </c>
      <c r="G3122" s="1674" t="n">
        <v>0.07000000000000001</v>
      </c>
      <c r="H3122" s="1674">
        <f>AVERAGE(0.05,0.5)</f>
        <v/>
      </c>
      <c r="I3122" s="1674" t="n">
        <v>0</v>
      </c>
      <c r="J3122" s="1674" t="n">
        <v>0.28</v>
      </c>
      <c r="K3122" s="1674" t="n">
        <v>0.28</v>
      </c>
      <c r="L3122" s="1674" t="n">
        <v>0</v>
      </c>
      <c r="M3122" s="451" t="n">
        <v>0.25</v>
      </c>
      <c r="N3122" s="467">
        <f>AVERAGE(0.45,0.5,0.5,0.45)</f>
        <v/>
      </c>
      <c r="O3122" s="467" t="n">
        <v>0.85</v>
      </c>
      <c r="P3122" s="467" t="n"/>
      <c r="Q3122" s="453" t="n"/>
      <c r="R3122" s="453" t="n"/>
      <c r="S3122" s="453" t="n"/>
      <c r="T3122" s="453" t="n"/>
      <c r="U3122" s="453" t="n"/>
      <c r="V3122" s="453" t="n"/>
    </row>
    <row r="3123" customFormat="1" s="21">
      <c r="A3123" s="411" t="inlineStr">
        <is>
          <t>Warm Temperate Dry</t>
        </is>
      </c>
      <c r="B3123" s="1674" t="n">
        <v>0.35</v>
      </c>
      <c r="C3123" s="1674">
        <f>AVERAGE(0.3,0.48,0.1)</f>
        <v/>
      </c>
      <c r="D3123" s="1674">
        <f>AVERAGE(0.3,0.14,0.38,0.11)</f>
        <v/>
      </c>
      <c r="E3123" s="1674" t="n">
        <v>0.3</v>
      </c>
      <c r="F3123" s="1674" t="n">
        <v>0.21</v>
      </c>
      <c r="G3123" s="1674" t="n">
        <v>0.07000000000000001</v>
      </c>
      <c r="H3123" s="1674">
        <f>AVERAGE(0.05,0.5)</f>
        <v/>
      </c>
      <c r="I3123" s="1674" t="n">
        <v>0</v>
      </c>
      <c r="J3123" s="1674" t="n">
        <v>0.28</v>
      </c>
      <c r="K3123" s="1674" t="n">
        <v>0.28</v>
      </c>
      <c r="L3123" s="1674" t="n">
        <v>0</v>
      </c>
      <c r="M3123" s="451" t="n">
        <v>0.25</v>
      </c>
      <c r="N3123" s="467">
        <f>AVERAGE(0.45,0.5,0.5,0.45)</f>
        <v/>
      </c>
      <c r="O3123" s="467" t="n">
        <v>0.85</v>
      </c>
      <c r="P3123" s="467" t="n"/>
      <c r="Q3123" s="453" t="n"/>
      <c r="R3123" s="453" t="n"/>
      <c r="S3123" s="453" t="n"/>
      <c r="T3123" s="453" t="n"/>
      <c r="U3123" s="453" t="n"/>
      <c r="V3123" s="453" t="n"/>
    </row>
    <row r="3124" customFormat="1" s="21">
      <c r="A3124" s="411" t="inlineStr">
        <is>
          <t>Tropical Montane</t>
        </is>
      </c>
      <c r="B3124" s="1674" t="n">
        <v>0.35</v>
      </c>
      <c r="C3124" s="1674">
        <f>AVERAGE(0.3,0.48,0.1)</f>
        <v/>
      </c>
      <c r="D3124" s="1674">
        <f>AVERAGE(0.3,0.14,0.38,0.11)</f>
        <v/>
      </c>
      <c r="E3124" s="1674" t="n">
        <v>0.3</v>
      </c>
      <c r="F3124" s="1674" t="n">
        <v>0.21</v>
      </c>
      <c r="G3124" s="1674" t="n">
        <v>0.07000000000000001</v>
      </c>
      <c r="H3124" s="1674">
        <f>AVERAGE(0.05,0.5)</f>
        <v/>
      </c>
      <c r="I3124" s="1674" t="n">
        <v>0</v>
      </c>
      <c r="J3124" s="1674" t="n">
        <v>0.28</v>
      </c>
      <c r="K3124" s="1674" t="n">
        <v>0.28</v>
      </c>
      <c r="L3124" s="1674" t="n">
        <v>0</v>
      </c>
      <c r="M3124" s="451" t="n">
        <v>0.25</v>
      </c>
      <c r="N3124" s="467">
        <f>AVERAGE(0.45,0.5,0.5,0.45)</f>
        <v/>
      </c>
      <c r="O3124" s="467" t="n">
        <v>0.85</v>
      </c>
      <c r="P3124" s="467" t="n"/>
      <c r="Q3124" s="453" t="n"/>
      <c r="R3124" s="453" t="n"/>
      <c r="S3124" s="453" t="n"/>
      <c r="T3124" s="453" t="n"/>
      <c r="U3124" s="453" t="n"/>
      <c r="V3124" s="453" t="n"/>
    </row>
    <row r="3125" customFormat="1" s="21">
      <c r="A3125" s="411" t="inlineStr">
        <is>
          <t>Tropical Wet</t>
        </is>
      </c>
      <c r="B3125" s="1674" t="n">
        <v>0.35</v>
      </c>
      <c r="C3125" s="1674">
        <f>AVERAGE(0.3,0.48,0.1)</f>
        <v/>
      </c>
      <c r="D3125" s="1674">
        <f>AVERAGE(0.3,0.14,0.38,0.11)</f>
        <v/>
      </c>
      <c r="E3125" s="1674" t="n">
        <v>0.3</v>
      </c>
      <c r="F3125" s="1674" t="n">
        <v>0.21</v>
      </c>
      <c r="G3125" s="1674" t="n">
        <v>0.07000000000000001</v>
      </c>
      <c r="H3125" s="1674">
        <f>AVERAGE(0.05,0.5)</f>
        <v/>
      </c>
      <c r="I3125" s="1674" t="n">
        <v>0</v>
      </c>
      <c r="J3125" s="1674" t="n">
        <v>0.28</v>
      </c>
      <c r="K3125" s="1674" t="n">
        <v>0.28</v>
      </c>
      <c r="L3125" s="1674" t="n">
        <v>0</v>
      </c>
      <c r="M3125" s="451" t="n">
        <v>0.25</v>
      </c>
      <c r="N3125" s="467">
        <f>AVERAGE(0.45,0.5,0.5,0.45)</f>
        <v/>
      </c>
      <c r="O3125" s="467" t="n">
        <v>0.85</v>
      </c>
      <c r="P3125" s="467" t="n"/>
    </row>
    <row r="3126" customFormat="1" s="453">
      <c r="A3126" s="411" t="inlineStr">
        <is>
          <t>Tropical Moist</t>
        </is>
      </c>
      <c r="B3126" s="1674" t="n">
        <v>0.35</v>
      </c>
      <c r="C3126" s="1674">
        <f>AVERAGE(0.3,0.48,0.1)</f>
        <v/>
      </c>
      <c r="D3126" s="1674">
        <f>AVERAGE(0.3,0.14,0.38,0.11)</f>
        <v/>
      </c>
      <c r="E3126" s="1674" t="n">
        <v>0.3</v>
      </c>
      <c r="F3126" s="1674" t="n">
        <v>0.21</v>
      </c>
      <c r="G3126" s="1674" t="n">
        <v>0.07000000000000001</v>
      </c>
      <c r="H3126" s="1674">
        <f>AVERAGE(0.05,0.5)</f>
        <v/>
      </c>
      <c r="I3126" s="1674" t="n">
        <v>0</v>
      </c>
      <c r="J3126" s="1674" t="n">
        <v>0.28</v>
      </c>
      <c r="K3126" s="1674" t="n">
        <v>0.28</v>
      </c>
      <c r="L3126" s="1674" t="n">
        <v>0</v>
      </c>
      <c r="M3126" s="451" t="n">
        <v>0.25</v>
      </c>
      <c r="N3126" s="467">
        <f>AVERAGE(0.45,0.5,0.5,0.45)</f>
        <v/>
      </c>
      <c r="O3126" s="467" t="n">
        <v>0.85</v>
      </c>
      <c r="P3126" s="467" t="n"/>
    </row>
    <row r="3127" customFormat="1" s="453">
      <c r="A3127" s="411" t="inlineStr">
        <is>
          <t>Tropical Dry</t>
        </is>
      </c>
      <c r="B3127" s="1675" t="n">
        <v>0.35</v>
      </c>
      <c r="C3127" s="1675">
        <f>AVERAGE(0.3,0.48,0.1)</f>
        <v/>
      </c>
      <c r="D3127" s="1675">
        <f>AVERAGE(0.3,0.14,0.38,0.11)</f>
        <v/>
      </c>
      <c r="E3127" s="1675" t="n">
        <v>0.3</v>
      </c>
      <c r="F3127" s="1675" t="n">
        <v>0.21</v>
      </c>
      <c r="G3127" s="1675" t="n">
        <v>0.07000000000000001</v>
      </c>
      <c r="H3127" s="1675">
        <f>AVERAGE(0.05,0.5)</f>
        <v/>
      </c>
      <c r="I3127" s="1675" t="n">
        <v>0</v>
      </c>
      <c r="J3127" s="1675" t="n">
        <v>0.28</v>
      </c>
      <c r="K3127" s="1675" t="n">
        <v>0.28</v>
      </c>
      <c r="L3127" s="1675" t="n">
        <v>0</v>
      </c>
      <c r="M3127" s="451" t="n">
        <v>0.25</v>
      </c>
      <c r="N3127" s="467">
        <f>AVERAGE(0.45,0.5,0.5,0.45)</f>
        <v/>
      </c>
      <c r="O3127" s="467" t="n">
        <v>0.85</v>
      </c>
      <c r="P3127" s="467" t="n"/>
    </row>
    <row r="3128" customFormat="1" s="535">
      <c r="A3128" s="518" t="inlineStr">
        <is>
          <t xml:space="preserve">Notes :  </t>
        </is>
      </c>
      <c r="F3128" s="1624" t="n"/>
      <c r="G3128" s="1624" t="n"/>
      <c r="H3128" s="1624" t="n"/>
      <c r="I3128" s="1624" t="n"/>
      <c r="J3128" s="1624" t="n"/>
      <c r="K3128" s="1624" t="n"/>
      <c r="L3128" s="1624" t="n"/>
      <c r="M3128" s="1624" t="n"/>
      <c r="N3128" s="1624" t="n"/>
    </row>
    <row r="3129" customFormat="1" s="292"/>
    <row r="3131" ht="14.25" customFormat="1" customHeight="1" s="125">
      <c r="A3131" s="377" t="inlineStr">
        <is>
          <t>Fraction N2O Volatilization (Frac gaz Ms)manure management</t>
        </is>
      </c>
      <c r="D3131" s="1075" t="n"/>
      <c r="E3131" s="1075" t="n"/>
      <c r="F3131" s="1075" t="n"/>
      <c r="G3131" s="1075" t="n"/>
      <c r="H3131" s="1075" t="n"/>
      <c r="I3131" s="1075" t="n"/>
      <c r="L3131" s="1075" t="n"/>
    </row>
    <row r="3132" ht="16.25" customFormat="1" customHeight="1" s="773">
      <c r="A3132" s="753" t="inlineStr">
        <is>
          <t>Poultry</t>
        </is>
      </c>
      <c r="B3132" s="442" t="inlineStr">
        <is>
          <t>Table 10.22</t>
        </is>
      </c>
      <c r="C3132" s="442" t="inlineStr">
        <is>
          <t>Table 10.22</t>
        </is>
      </c>
      <c r="D3132" s="442" t="inlineStr">
        <is>
          <t>Table 10.22</t>
        </is>
      </c>
      <c r="E3132" s="442" t="inlineStr">
        <is>
          <t>Table 10.22</t>
        </is>
      </c>
      <c r="F3132" s="442" t="inlineStr">
        <is>
          <t>Table 11.3</t>
        </is>
      </c>
      <c r="G3132" s="442" t="inlineStr">
        <is>
          <t>Table 10.22</t>
        </is>
      </c>
      <c r="H3132" s="442" t="inlineStr">
        <is>
          <t>Table 10.22</t>
        </is>
      </c>
      <c r="I3132" s="442" t="inlineStr">
        <is>
          <t>Table 10.22</t>
        </is>
      </c>
      <c r="J3132" s="442" t="inlineStr">
        <is>
          <t>Table 10.22</t>
        </is>
      </c>
      <c r="K3132" s="442" t="inlineStr">
        <is>
          <t>Table 10.22</t>
        </is>
      </c>
      <c r="L3132" s="442" t="inlineStr">
        <is>
          <t>Table 10.22</t>
        </is>
      </c>
      <c r="M3132" s="442" t="inlineStr">
        <is>
          <t>Table 10.22</t>
        </is>
      </c>
      <c r="N3132" s="442" t="inlineStr">
        <is>
          <t>Table 10.22</t>
        </is>
      </c>
      <c r="O3132" s="442" t="inlineStr">
        <is>
          <t>Table 10.22</t>
        </is>
      </c>
      <c r="P3132" s="442" t="n"/>
      <c r="Q3132" s="442" t="n"/>
      <c r="R3132" s="442" t="n"/>
      <c r="S3132" s="442" t="n"/>
      <c r="T3132" s="442" t="n"/>
      <c r="U3132" s="442" t="n"/>
      <c r="V3132" s="442" t="n"/>
    </row>
    <row r="3133" ht="16" customFormat="1" customHeight="1" s="291">
      <c r="A3133" s="1641" t="inlineStr">
        <is>
          <t>Please select</t>
        </is>
      </c>
      <c r="B3133" s="1642" t="inlineStr">
        <is>
          <t>Lagoon</t>
        </is>
      </c>
      <c r="C3133" s="1642" t="inlineStr">
        <is>
          <t>Liquid/slurry</t>
        </is>
      </c>
      <c r="D3133" s="1642" t="inlineStr">
        <is>
          <t>Solid storage</t>
        </is>
      </c>
      <c r="E3133" s="1642" t="inlineStr">
        <is>
          <t>Dry lot</t>
        </is>
      </c>
      <c r="F3133" s="1642" t="inlineStr">
        <is>
          <t>Pasture/Range/Paddock</t>
        </is>
      </c>
      <c r="G3133" s="1642" t="inlineStr">
        <is>
          <t>Daily spread</t>
        </is>
      </c>
      <c r="H3133" s="1642" t="inlineStr">
        <is>
          <t>Digester</t>
        </is>
      </c>
      <c r="I3133" s="1642" t="inlineStr">
        <is>
          <t>Burned for fuel</t>
        </is>
      </c>
      <c r="J3133" s="1642" t="inlineStr">
        <is>
          <t>Pit&lt;1Month</t>
        </is>
      </c>
      <c r="K3133" s="1642" t="inlineStr">
        <is>
          <t>Pit&gt;1 month</t>
        </is>
      </c>
      <c r="L3133" s="1642" t="inlineStr">
        <is>
          <t>Poultry manure</t>
        </is>
      </c>
      <c r="M3133" s="291" t="inlineStr">
        <is>
          <t>Deep bedding</t>
        </is>
      </c>
      <c r="N3133" s="2156" t="inlineStr">
        <is>
          <t>Composting</t>
        </is>
      </c>
      <c r="O3133" s="2156" t="inlineStr">
        <is>
          <t>Aerobic treatment</t>
        </is>
      </c>
      <c r="P3133" s="2157" t="inlineStr">
        <is>
          <t>Other (pls. go Tier 2)</t>
        </is>
      </c>
      <c r="Q3133" s="453" t="n"/>
      <c r="R3133" s="453" t="n"/>
      <c r="S3133" s="453" t="n"/>
      <c r="T3133" s="453" t="n"/>
      <c r="U3133" s="453" t="n"/>
      <c r="V3133" s="453" t="n"/>
      <c r="W3133" s="21" t="n"/>
      <c r="X3133" s="21" t="n"/>
    </row>
    <row r="3134" ht="16" customFormat="1" customHeight="1" s="1093">
      <c r="A3134" s="523" t="inlineStr">
        <is>
          <t>Climate zone</t>
        </is>
      </c>
      <c r="B3134" s="1636" t="inlineStr">
        <is>
          <t>Frac gas_MS</t>
        </is>
      </c>
      <c r="C3134" s="1636" t="inlineStr">
        <is>
          <t>Frac gas_MS</t>
        </is>
      </c>
      <c r="D3134" s="1636" t="inlineStr">
        <is>
          <t>Frac gas_MS</t>
        </is>
      </c>
      <c r="E3134" s="1636" t="inlineStr">
        <is>
          <t>Frac gas_MS</t>
        </is>
      </c>
      <c r="F3134" s="1636" t="inlineStr">
        <is>
          <t>Frac gas_MS</t>
        </is>
      </c>
      <c r="G3134" s="1636" t="inlineStr">
        <is>
          <t>Frac gas_MS</t>
        </is>
      </c>
      <c r="H3134" s="1636" t="inlineStr">
        <is>
          <t>Frac gas_MS</t>
        </is>
      </c>
      <c r="I3134" s="1636" t="inlineStr">
        <is>
          <t>Frac gas_MS</t>
        </is>
      </c>
      <c r="J3134" s="1636" t="inlineStr">
        <is>
          <t>Frac gas_MS</t>
        </is>
      </c>
      <c r="K3134" s="1636" t="inlineStr">
        <is>
          <t>Frac gas_MS</t>
        </is>
      </c>
      <c r="L3134" s="1636" t="inlineStr">
        <is>
          <t>Frac gas_MS</t>
        </is>
      </c>
      <c r="M3134" s="1631" t="inlineStr">
        <is>
          <t>Frac gas_MS</t>
        </is>
      </c>
      <c r="N3134" s="732" t="inlineStr">
        <is>
          <t>Frac gas_MS</t>
        </is>
      </c>
      <c r="O3134" s="732" t="inlineStr">
        <is>
          <t>Frac gas_MS</t>
        </is>
      </c>
      <c r="P3134" s="732" t="n"/>
      <c r="Q3134" s="1092" t="n"/>
      <c r="R3134" s="1092" t="n"/>
      <c r="S3134" s="1092" t="n"/>
      <c r="T3134" s="1092" t="n"/>
      <c r="U3134" s="1092" t="n"/>
      <c r="V3134" s="1092" t="n"/>
    </row>
    <row r="3135" customFormat="1" s="21">
      <c r="A3135" s="410" t="inlineStr">
        <is>
          <t>Cool Temperate Moist</t>
        </is>
      </c>
      <c r="B3135" s="1673" t="n">
        <v>0.4</v>
      </c>
      <c r="C3135" s="1673" t="n">
        <v>0.4</v>
      </c>
      <c r="D3135" s="1673">
        <f>AVERAGE(0.4,0.2,0.54,0.16)</f>
        <v/>
      </c>
      <c r="E3135" s="1673" t="n">
        <v>0</v>
      </c>
      <c r="F3135" s="1673" t="n">
        <v>0.21</v>
      </c>
      <c r="G3135" s="1673" t="n">
        <v>0.07000000000000001</v>
      </c>
      <c r="H3135" s="1673">
        <f>AVERAGE(0.05,0.5)</f>
        <v/>
      </c>
      <c r="I3135" s="1673" t="n">
        <v>0</v>
      </c>
      <c r="J3135" s="1673" t="n">
        <v>0.28</v>
      </c>
      <c r="K3135" s="1673" t="n">
        <v>0.28</v>
      </c>
      <c r="L3135" s="1673">
        <f>AVERAGE(0.4,0.48)</f>
        <v/>
      </c>
      <c r="M3135" s="451" t="n">
        <v>0.3</v>
      </c>
      <c r="N3135" s="467">
        <f>AVERAGE(0.6,0.65,0.65,0.6)</f>
        <v/>
      </c>
      <c r="O3135" s="467" t="n">
        <v>0</v>
      </c>
      <c r="P3135" s="467" t="n"/>
      <c r="Q3135" s="453" t="n"/>
      <c r="R3135" s="453" t="n"/>
      <c r="S3135" s="453" t="n"/>
      <c r="T3135" s="453" t="n"/>
      <c r="U3135" s="453" t="n"/>
      <c r="V3135" s="453" t="n"/>
    </row>
    <row r="3136" customFormat="1" s="21">
      <c r="A3136" s="411" t="inlineStr">
        <is>
          <t>Cool Temperate Dry</t>
        </is>
      </c>
      <c r="B3136" s="1674" t="n">
        <v>0.4</v>
      </c>
      <c r="C3136" s="1674" t="n">
        <v>0.4</v>
      </c>
      <c r="D3136" s="1674">
        <f>AVERAGE(0.4,0.2,0.54,0.16)</f>
        <v/>
      </c>
      <c r="E3136" s="1674" t="n">
        <v>0</v>
      </c>
      <c r="F3136" s="1674" t="n">
        <v>0.21</v>
      </c>
      <c r="G3136" s="1674" t="n">
        <v>0.07000000000000001</v>
      </c>
      <c r="H3136" s="1674">
        <f>AVERAGE(0.05,0.5)</f>
        <v/>
      </c>
      <c r="I3136" s="1674" t="n">
        <v>0</v>
      </c>
      <c r="J3136" s="1674" t="n">
        <v>0.28</v>
      </c>
      <c r="K3136" s="1674" t="n">
        <v>0.28</v>
      </c>
      <c r="L3136" s="1674">
        <f>AVERAGE(0.4,0.48)</f>
        <v/>
      </c>
      <c r="M3136" s="451" t="n">
        <v>0.3</v>
      </c>
      <c r="N3136" s="467">
        <f>AVERAGE(0.6,0.65,0.65,0.6)</f>
        <v/>
      </c>
      <c r="O3136" s="467" t="n">
        <v>0</v>
      </c>
      <c r="P3136" s="467" t="n"/>
      <c r="Q3136" s="453" t="n"/>
      <c r="R3136" s="453" t="n"/>
      <c r="S3136" s="453" t="n"/>
      <c r="T3136" s="453" t="n"/>
      <c r="U3136" s="453" t="n"/>
      <c r="V3136" s="453" t="n"/>
    </row>
    <row r="3137" customFormat="1" s="21">
      <c r="A3137" s="411" t="inlineStr">
        <is>
          <t>Boreal Moist</t>
        </is>
      </c>
      <c r="B3137" s="1674" t="n">
        <v>0.4</v>
      </c>
      <c r="C3137" s="1674" t="n">
        <v>0.4</v>
      </c>
      <c r="D3137" s="1674">
        <f>AVERAGE(0.4,0.2,0.54,0.16)</f>
        <v/>
      </c>
      <c r="E3137" s="1674" t="n">
        <v>0</v>
      </c>
      <c r="F3137" s="1674" t="n">
        <v>0.21</v>
      </c>
      <c r="G3137" s="1674" t="n">
        <v>0.07000000000000001</v>
      </c>
      <c r="H3137" s="1674">
        <f>AVERAGE(0.05,0.5)</f>
        <v/>
      </c>
      <c r="I3137" s="1674" t="n">
        <v>0</v>
      </c>
      <c r="J3137" s="1674" t="n">
        <v>0.28</v>
      </c>
      <c r="K3137" s="1674" t="n">
        <v>0.28</v>
      </c>
      <c r="L3137" s="1674">
        <f>AVERAGE(0.4,0.48)</f>
        <v/>
      </c>
      <c r="M3137" s="451" t="n">
        <v>0.3</v>
      </c>
      <c r="N3137" s="467">
        <f>AVERAGE(0.6,0.65,0.65,0.6)</f>
        <v/>
      </c>
      <c r="O3137" s="467" t="n">
        <v>0</v>
      </c>
      <c r="P3137" s="467" t="n"/>
      <c r="Q3137" s="453" t="n"/>
      <c r="R3137" s="453" t="n"/>
      <c r="S3137" s="453" t="n"/>
      <c r="T3137" s="453" t="n"/>
      <c r="U3137" s="453" t="n"/>
      <c r="V3137" s="453" t="n"/>
    </row>
    <row r="3138" customFormat="1" s="21">
      <c r="A3138" s="411" t="inlineStr">
        <is>
          <t>Boreal Dry</t>
        </is>
      </c>
      <c r="B3138" s="1674" t="n">
        <v>0.4</v>
      </c>
      <c r="C3138" s="1674" t="n">
        <v>0.4</v>
      </c>
      <c r="D3138" s="1674">
        <f>AVERAGE(0.4,0.2,0.54,0.16)</f>
        <v/>
      </c>
      <c r="E3138" s="1674" t="n">
        <v>0</v>
      </c>
      <c r="F3138" s="1674" t="n">
        <v>0.21</v>
      </c>
      <c r="G3138" s="1674" t="n">
        <v>0.07000000000000001</v>
      </c>
      <c r="H3138" s="1674">
        <f>AVERAGE(0.05,0.5)</f>
        <v/>
      </c>
      <c r="I3138" s="1674" t="n">
        <v>0</v>
      </c>
      <c r="J3138" s="1674" t="n">
        <v>0.28</v>
      </c>
      <c r="K3138" s="1674" t="n">
        <v>0.28</v>
      </c>
      <c r="L3138" s="1674">
        <f>AVERAGE(0.4,0.48)</f>
        <v/>
      </c>
      <c r="M3138" s="451" t="n">
        <v>0.3</v>
      </c>
      <c r="N3138" s="467">
        <f>AVERAGE(0.6,0.65,0.65,0.6)</f>
        <v/>
      </c>
      <c r="O3138" s="467" t="n">
        <v>0</v>
      </c>
      <c r="P3138" s="467" t="n"/>
      <c r="Q3138" s="453" t="n"/>
      <c r="R3138" s="453" t="n"/>
      <c r="S3138" s="453" t="n"/>
      <c r="T3138" s="453" t="n"/>
      <c r="U3138" s="453" t="n"/>
      <c r="V3138" s="453" t="n"/>
    </row>
    <row r="3139" customFormat="1" s="21">
      <c r="A3139" s="411" t="inlineStr">
        <is>
          <t>Warm Temperate Moist</t>
        </is>
      </c>
      <c r="B3139" s="1674" t="n">
        <v>0.4</v>
      </c>
      <c r="C3139" s="1674" t="n">
        <v>0.4</v>
      </c>
      <c r="D3139" s="1674">
        <f>AVERAGE(0.4,0.2,0.54,0.16)</f>
        <v/>
      </c>
      <c r="E3139" s="1674" t="n">
        <v>0</v>
      </c>
      <c r="F3139" s="1674" t="n">
        <v>0.21</v>
      </c>
      <c r="G3139" s="1674" t="n">
        <v>0.07000000000000001</v>
      </c>
      <c r="H3139" s="1674">
        <f>AVERAGE(0.05,0.5)</f>
        <v/>
      </c>
      <c r="I3139" s="1674" t="n">
        <v>0</v>
      </c>
      <c r="J3139" s="1674" t="n">
        <v>0.28</v>
      </c>
      <c r="K3139" s="1674" t="n">
        <v>0.28</v>
      </c>
      <c r="L3139" s="1674">
        <f>AVERAGE(0.4,0.48)</f>
        <v/>
      </c>
      <c r="M3139" s="451" t="n">
        <v>0.3</v>
      </c>
      <c r="N3139" s="467">
        <f>AVERAGE(0.6,0.65,0.65,0.6)</f>
        <v/>
      </c>
      <c r="O3139" s="467" t="n">
        <v>0</v>
      </c>
      <c r="P3139" s="467" t="n"/>
      <c r="Q3139" s="453" t="n"/>
      <c r="R3139" s="453" t="n"/>
      <c r="S3139" s="453" t="n"/>
      <c r="T3139" s="453" t="n"/>
      <c r="U3139" s="453" t="n"/>
      <c r="V3139" s="453" t="n"/>
    </row>
    <row r="3140" customFormat="1" s="21">
      <c r="A3140" s="411" t="inlineStr">
        <is>
          <t>Warm Temperate Dry</t>
        </is>
      </c>
      <c r="B3140" s="1674" t="n">
        <v>0.4</v>
      </c>
      <c r="C3140" s="1674" t="n">
        <v>0.4</v>
      </c>
      <c r="D3140" s="1674">
        <f>AVERAGE(0.4,0.2,0.54,0.16)</f>
        <v/>
      </c>
      <c r="E3140" s="1674" t="n">
        <v>0</v>
      </c>
      <c r="F3140" s="1674" t="n">
        <v>0.21</v>
      </c>
      <c r="G3140" s="1674" t="n">
        <v>0.07000000000000001</v>
      </c>
      <c r="H3140" s="1674">
        <f>AVERAGE(0.05,0.5)</f>
        <v/>
      </c>
      <c r="I3140" s="1674" t="n">
        <v>0</v>
      </c>
      <c r="J3140" s="1674" t="n">
        <v>0.28</v>
      </c>
      <c r="K3140" s="1674" t="n">
        <v>0.28</v>
      </c>
      <c r="L3140" s="1674">
        <f>AVERAGE(0.4,0.48)</f>
        <v/>
      </c>
      <c r="M3140" s="451" t="n">
        <v>0.3</v>
      </c>
      <c r="N3140" s="467">
        <f>AVERAGE(0.6,0.65,0.65,0.6)</f>
        <v/>
      </c>
      <c r="O3140" s="467" t="n">
        <v>0</v>
      </c>
      <c r="P3140" s="467" t="n"/>
      <c r="Q3140" s="453" t="n"/>
      <c r="R3140" s="453" t="n"/>
      <c r="S3140" s="453" t="n"/>
      <c r="T3140" s="453" t="n"/>
      <c r="U3140" s="453" t="n"/>
      <c r="V3140" s="453" t="n"/>
    </row>
    <row r="3141" customFormat="1" s="21">
      <c r="A3141" s="411" t="inlineStr">
        <is>
          <t>Tropical Montane</t>
        </is>
      </c>
      <c r="B3141" s="1674" t="n">
        <v>0.4</v>
      </c>
      <c r="C3141" s="1674" t="n">
        <v>0.4</v>
      </c>
      <c r="D3141" s="1674">
        <f>AVERAGE(0.4,0.2,0.54,0.16)</f>
        <v/>
      </c>
      <c r="E3141" s="1674" t="n">
        <v>0</v>
      </c>
      <c r="F3141" s="1674" t="n">
        <v>0.21</v>
      </c>
      <c r="G3141" s="1674" t="n">
        <v>0.07000000000000001</v>
      </c>
      <c r="H3141" s="1674">
        <f>AVERAGE(0.05,0.5)</f>
        <v/>
      </c>
      <c r="I3141" s="1674" t="n">
        <v>0</v>
      </c>
      <c r="J3141" s="1674" t="n">
        <v>0.28</v>
      </c>
      <c r="K3141" s="1674" t="n">
        <v>0.28</v>
      </c>
      <c r="L3141" s="1674">
        <f>AVERAGE(0.4,0.48)</f>
        <v/>
      </c>
      <c r="M3141" s="451" t="n">
        <v>0.3</v>
      </c>
      <c r="N3141" s="467">
        <f>AVERAGE(0.6,0.65,0.65,0.6)</f>
        <v/>
      </c>
      <c r="O3141" s="467" t="n">
        <v>0</v>
      </c>
      <c r="P3141" s="467" t="n"/>
      <c r="Q3141" s="453" t="n"/>
      <c r="R3141" s="453" t="n"/>
      <c r="S3141" s="453" t="n"/>
      <c r="T3141" s="453" t="n"/>
      <c r="U3141" s="453" t="n"/>
      <c r="V3141" s="453" t="n"/>
    </row>
    <row r="3142" customFormat="1" s="21">
      <c r="A3142" s="411" t="inlineStr">
        <is>
          <t>Tropical Wet</t>
        </is>
      </c>
      <c r="B3142" s="1674" t="n">
        <v>0.4</v>
      </c>
      <c r="C3142" s="1674" t="n">
        <v>0.4</v>
      </c>
      <c r="D3142" s="1674">
        <f>AVERAGE(0.4,0.2,0.54,0.16)</f>
        <v/>
      </c>
      <c r="E3142" s="1674" t="n">
        <v>0</v>
      </c>
      <c r="F3142" s="1674" t="n">
        <v>0.21</v>
      </c>
      <c r="G3142" s="1674" t="n">
        <v>0.07000000000000001</v>
      </c>
      <c r="H3142" s="1674">
        <f>AVERAGE(0.05,0.5)</f>
        <v/>
      </c>
      <c r="I3142" s="1674" t="n">
        <v>0</v>
      </c>
      <c r="J3142" s="1674" t="n">
        <v>0.28</v>
      </c>
      <c r="K3142" s="1674" t="n">
        <v>0.28</v>
      </c>
      <c r="L3142" s="1674">
        <f>AVERAGE(0.4,0.48)</f>
        <v/>
      </c>
      <c r="M3142" s="451" t="n">
        <v>0.3</v>
      </c>
      <c r="N3142" s="467">
        <f>AVERAGE(0.6,0.65,0.65,0.6)</f>
        <v/>
      </c>
      <c r="O3142" s="467" t="n">
        <v>0</v>
      </c>
      <c r="P3142" s="467" t="n"/>
    </row>
    <row r="3143" customFormat="1" s="453">
      <c r="A3143" s="411" t="inlineStr">
        <is>
          <t>Tropical Moist</t>
        </is>
      </c>
      <c r="B3143" s="1674" t="n">
        <v>0.4</v>
      </c>
      <c r="C3143" s="1674" t="n">
        <v>0.4</v>
      </c>
      <c r="D3143" s="1674">
        <f>AVERAGE(0.4,0.2,0.54,0.16)</f>
        <v/>
      </c>
      <c r="E3143" s="1674" t="n">
        <v>0</v>
      </c>
      <c r="F3143" s="1674" t="n">
        <v>0.21</v>
      </c>
      <c r="G3143" s="1674" t="n">
        <v>0.07000000000000001</v>
      </c>
      <c r="H3143" s="1674">
        <f>AVERAGE(0.05,0.5)</f>
        <v/>
      </c>
      <c r="I3143" s="1674" t="n">
        <v>0</v>
      </c>
      <c r="J3143" s="1674" t="n">
        <v>0.28</v>
      </c>
      <c r="K3143" s="1674" t="n">
        <v>0.28</v>
      </c>
      <c r="L3143" s="1674">
        <f>AVERAGE(0.4,0.48)</f>
        <v/>
      </c>
      <c r="M3143" s="451" t="n">
        <v>0.3</v>
      </c>
      <c r="N3143" s="467">
        <f>AVERAGE(0.6,0.65,0.65,0.6)</f>
        <v/>
      </c>
      <c r="O3143" s="467" t="n">
        <v>0</v>
      </c>
      <c r="P3143" s="467" t="n"/>
    </row>
    <row r="3144" customFormat="1" s="453">
      <c r="A3144" s="411" t="inlineStr">
        <is>
          <t>Tropical Dry</t>
        </is>
      </c>
      <c r="B3144" s="1675" t="n">
        <v>0.4</v>
      </c>
      <c r="C3144" s="1675" t="n">
        <v>0.4</v>
      </c>
      <c r="D3144" s="1675">
        <f>AVERAGE(0.4,0.2,0.54,0.16)</f>
        <v/>
      </c>
      <c r="E3144" s="1675" t="n">
        <v>0</v>
      </c>
      <c r="F3144" s="1675" t="n">
        <v>0.21</v>
      </c>
      <c r="G3144" s="1675" t="n">
        <v>0.07000000000000001</v>
      </c>
      <c r="H3144" s="1675">
        <f>AVERAGE(0.05,0.5)</f>
        <v/>
      </c>
      <c r="I3144" s="1675" t="n">
        <v>0</v>
      </c>
      <c r="J3144" s="1675" t="n">
        <v>0.28</v>
      </c>
      <c r="K3144" s="1675" t="n">
        <v>0.28</v>
      </c>
      <c r="L3144" s="1675">
        <f>AVERAGE(0.4,0.48)</f>
        <v/>
      </c>
      <c r="M3144" s="451" t="n">
        <v>0.3</v>
      </c>
      <c r="N3144" s="467">
        <f>AVERAGE(0.6,0.65,0.65,0.6)</f>
        <v/>
      </c>
      <c r="O3144" s="467" t="n">
        <v>0</v>
      </c>
      <c r="P3144" s="467" t="n"/>
    </row>
    <row r="3145" customFormat="1" s="535">
      <c r="A3145" s="518" t="inlineStr">
        <is>
          <t xml:space="preserve">Notes :  </t>
        </is>
      </c>
      <c r="F3145" s="1624" t="n"/>
      <c r="G3145" s="1624" t="n"/>
      <c r="H3145" s="1624" t="n"/>
      <c r="I3145" s="1624" t="n"/>
      <c r="J3145" s="1624" t="n"/>
      <c r="K3145" s="1624" t="n"/>
      <c r="L3145" s="1624" t="n"/>
      <c r="M3145" s="1624" t="n"/>
      <c r="N3145" s="1624" t="n"/>
    </row>
    <row r="3146" customFormat="1" s="292"/>
    <row r="3148" ht="14.25" customFormat="1" customHeight="1" s="125">
      <c r="A3148" s="377" t="inlineStr">
        <is>
          <t>Fraction N2O Volatilization (Frac gaz Ms)manure management</t>
        </is>
      </c>
      <c r="D3148" s="1075" t="n"/>
      <c r="E3148" s="1075" t="n"/>
      <c r="F3148" s="1075" t="n"/>
      <c r="G3148" s="1075" t="n"/>
      <c r="H3148" s="1075" t="n"/>
      <c r="I3148" s="1075" t="n"/>
      <c r="L3148" s="1075" t="n"/>
    </row>
    <row r="3149" ht="16.25" customFormat="1" customHeight="1" s="773">
      <c r="A3149" s="753" t="inlineStr">
        <is>
          <t>Other cattle</t>
        </is>
      </c>
      <c r="B3149" s="442" t="inlineStr">
        <is>
          <t>Table 10.22</t>
        </is>
      </c>
      <c r="C3149" s="442" t="inlineStr">
        <is>
          <t>Table 10.22</t>
        </is>
      </c>
      <c r="D3149" s="442" t="inlineStr">
        <is>
          <t>Table 10.22</t>
        </is>
      </c>
      <c r="E3149" s="442" t="inlineStr">
        <is>
          <t>Table 10.22</t>
        </is>
      </c>
      <c r="F3149" s="442" t="inlineStr">
        <is>
          <t>Table 11.3</t>
        </is>
      </c>
      <c r="G3149" s="442" t="inlineStr">
        <is>
          <t>Table 10.22</t>
        </is>
      </c>
      <c r="H3149" s="442" t="inlineStr">
        <is>
          <t>Table 10.22</t>
        </is>
      </c>
      <c r="I3149" s="442" t="inlineStr">
        <is>
          <t>Table 10.22</t>
        </is>
      </c>
      <c r="J3149" s="442" t="inlineStr">
        <is>
          <t>Table 10.22</t>
        </is>
      </c>
      <c r="K3149" s="442" t="inlineStr">
        <is>
          <t>Table 10.22</t>
        </is>
      </c>
      <c r="L3149" s="442" t="inlineStr">
        <is>
          <t>Table 10.22</t>
        </is>
      </c>
      <c r="M3149" s="442" t="inlineStr">
        <is>
          <t>Table 10.22</t>
        </is>
      </c>
      <c r="N3149" s="442" t="inlineStr">
        <is>
          <t>Table 10.22</t>
        </is>
      </c>
      <c r="O3149" s="442" t="inlineStr">
        <is>
          <t>Table 10.22</t>
        </is>
      </c>
      <c r="P3149" s="442" t="n"/>
      <c r="Q3149" s="442" t="n"/>
      <c r="R3149" s="442" t="n"/>
      <c r="S3149" s="442" t="n"/>
      <c r="T3149" s="442" t="n"/>
      <c r="U3149" s="442" t="n"/>
      <c r="V3149" s="442" t="n"/>
    </row>
    <row r="3150" ht="16" customFormat="1" customHeight="1" s="291">
      <c r="A3150" s="1641" t="inlineStr">
        <is>
          <t>Please select</t>
        </is>
      </c>
      <c r="B3150" s="1642" t="inlineStr">
        <is>
          <t>Lagoon</t>
        </is>
      </c>
      <c r="C3150" s="1642" t="inlineStr">
        <is>
          <t>Liquid/slurry</t>
        </is>
      </c>
      <c r="D3150" s="1642" t="inlineStr">
        <is>
          <t>Solid storage</t>
        </is>
      </c>
      <c r="E3150" s="1642" t="inlineStr">
        <is>
          <t>Dry lot</t>
        </is>
      </c>
      <c r="F3150" s="1642" t="inlineStr">
        <is>
          <t>Pasture/Range/Paddock</t>
        </is>
      </c>
      <c r="G3150" s="1642" t="inlineStr">
        <is>
          <t>Daily spread</t>
        </is>
      </c>
      <c r="H3150" s="1642" t="inlineStr">
        <is>
          <t>Digester</t>
        </is>
      </c>
      <c r="I3150" s="1642" t="inlineStr">
        <is>
          <t>Burned for fuel</t>
        </is>
      </c>
      <c r="J3150" s="1642" t="inlineStr">
        <is>
          <t>Pit&lt;1Month</t>
        </is>
      </c>
      <c r="K3150" s="1642" t="inlineStr">
        <is>
          <t>Pit&gt;1 month</t>
        </is>
      </c>
      <c r="L3150" s="1642" t="inlineStr">
        <is>
          <t>Poultry manure</t>
        </is>
      </c>
      <c r="M3150" s="291" t="inlineStr">
        <is>
          <t>Deep bedding</t>
        </is>
      </c>
      <c r="N3150" s="2156" t="inlineStr">
        <is>
          <t>Composting</t>
        </is>
      </c>
      <c r="O3150" s="2156" t="inlineStr">
        <is>
          <t>Aerobic treatment</t>
        </is>
      </c>
      <c r="P3150" s="2157" t="inlineStr">
        <is>
          <t>Other (pls. go Tier 2)</t>
        </is>
      </c>
      <c r="Q3150" s="453" t="n"/>
      <c r="R3150" s="453" t="n"/>
      <c r="S3150" s="453" t="n"/>
      <c r="T3150" s="453" t="n"/>
      <c r="U3150" s="453" t="n"/>
      <c r="V3150" s="453" t="n"/>
      <c r="W3150" s="21" t="n"/>
      <c r="X3150" s="21" t="n"/>
    </row>
    <row r="3151" ht="16" customFormat="1" customHeight="1" s="1093">
      <c r="A3151" s="523" t="inlineStr">
        <is>
          <t>Climate zone</t>
        </is>
      </c>
      <c r="B3151" s="1636" t="inlineStr">
        <is>
          <t>Frac gas_MS</t>
        </is>
      </c>
      <c r="C3151" s="1636" t="inlineStr">
        <is>
          <t>Frac gas_MS</t>
        </is>
      </c>
      <c r="D3151" s="1636" t="inlineStr">
        <is>
          <t>Frac gas_MS</t>
        </is>
      </c>
      <c r="E3151" s="1636" t="inlineStr">
        <is>
          <t>Frac gas_MS</t>
        </is>
      </c>
      <c r="F3151" s="1636" t="inlineStr">
        <is>
          <t>Frac gas_MS</t>
        </is>
      </c>
      <c r="G3151" s="1636" t="inlineStr">
        <is>
          <t>Frac gas_MS</t>
        </is>
      </c>
      <c r="H3151" s="1636" t="inlineStr">
        <is>
          <t>Frac gas_MS</t>
        </is>
      </c>
      <c r="I3151" s="1636" t="inlineStr">
        <is>
          <t>Frac gas_MS</t>
        </is>
      </c>
      <c r="J3151" s="1636" t="inlineStr">
        <is>
          <t>Frac gas_MS</t>
        </is>
      </c>
      <c r="K3151" s="1636" t="inlineStr">
        <is>
          <t>Frac gas_MS</t>
        </is>
      </c>
      <c r="L3151" s="1636" t="inlineStr">
        <is>
          <t>Frac gas_MS</t>
        </is>
      </c>
      <c r="M3151" s="1631" t="inlineStr">
        <is>
          <t>Frac gas_MS</t>
        </is>
      </c>
      <c r="N3151" s="732" t="inlineStr">
        <is>
          <t>Frac gas_MS</t>
        </is>
      </c>
      <c r="O3151" s="732" t="inlineStr">
        <is>
          <t>Frac gas_MS</t>
        </is>
      </c>
      <c r="P3151" s="732" t="n"/>
      <c r="Q3151" s="1092" t="n"/>
      <c r="R3151" s="1092" t="n"/>
      <c r="S3151" s="1092" t="n"/>
      <c r="T3151" s="1092" t="n"/>
      <c r="U3151" s="1092" t="n"/>
      <c r="V3151" s="1092" t="n"/>
    </row>
    <row r="3152" customFormat="1" s="21">
      <c r="A3152" s="410" t="inlineStr">
        <is>
          <t>Cool Temperate Moist</t>
        </is>
      </c>
      <c r="B3152" s="1673" t="n">
        <v>0.35</v>
      </c>
      <c r="C3152" s="1673">
        <f>AVERAGE(0.3,0.48,0.1)</f>
        <v/>
      </c>
      <c r="D3152" s="1673">
        <f>AVERAGE(0.45,0.22,0.58,0.17)</f>
        <v/>
      </c>
      <c r="E3152" s="1673" t="n">
        <v>0.3</v>
      </c>
      <c r="F3152" s="1673" t="n">
        <v>0.21</v>
      </c>
      <c r="G3152" s="1673" t="n">
        <v>0.07000000000000001</v>
      </c>
      <c r="H3152" s="1673">
        <f>AVERAGE(0.05,0.5)</f>
        <v/>
      </c>
      <c r="I3152" s="1673" t="n">
        <v>0</v>
      </c>
      <c r="J3152" s="1673" t="n">
        <v>0.25</v>
      </c>
      <c r="K3152" s="1673" t="n">
        <v>0.25</v>
      </c>
      <c r="L3152" s="1673" t="n">
        <v>0</v>
      </c>
      <c r="M3152" s="451" t="n">
        <v>0.25</v>
      </c>
      <c r="N3152" s="467">
        <f>AVERAGE(0.6,0.65,0.65,0.6)</f>
        <v/>
      </c>
      <c r="O3152" s="467" t="n">
        <v>0.85</v>
      </c>
      <c r="P3152" s="467" t="n"/>
      <c r="Q3152" s="453" t="n"/>
      <c r="R3152" s="453" t="n"/>
      <c r="S3152" s="453" t="n"/>
      <c r="T3152" s="453" t="n"/>
      <c r="U3152" s="453" t="n"/>
      <c r="V3152" s="453" t="n"/>
    </row>
    <row r="3153" customFormat="1" s="21">
      <c r="A3153" s="411" t="inlineStr">
        <is>
          <t>Cool Temperate Dry</t>
        </is>
      </c>
      <c r="B3153" s="1674" t="n">
        <v>0.35</v>
      </c>
      <c r="C3153" s="1674">
        <f>AVERAGE(0.3,0.48,0.1)</f>
        <v/>
      </c>
      <c r="D3153" s="1674">
        <f>AVERAGE(0.45,0.22,0.58,0.17)</f>
        <v/>
      </c>
      <c r="E3153" s="1674" t="n">
        <v>0.3</v>
      </c>
      <c r="F3153" s="1674" t="n">
        <v>0.21</v>
      </c>
      <c r="G3153" s="1674" t="n">
        <v>0.07000000000000001</v>
      </c>
      <c r="H3153" s="1674">
        <f>AVERAGE(0.05,0.5)</f>
        <v/>
      </c>
      <c r="I3153" s="1674" t="n">
        <v>0</v>
      </c>
      <c r="J3153" s="1674" t="n">
        <v>0.25</v>
      </c>
      <c r="K3153" s="1674" t="n">
        <v>0.25</v>
      </c>
      <c r="L3153" s="1674" t="n">
        <v>0</v>
      </c>
      <c r="M3153" s="451" t="n">
        <v>0.25</v>
      </c>
      <c r="N3153" s="467">
        <f>AVERAGE(0.6,0.65,0.65,0.6)</f>
        <v/>
      </c>
      <c r="O3153" s="467" t="n">
        <v>0.85</v>
      </c>
      <c r="P3153" s="467" t="n"/>
      <c r="Q3153" s="453" t="n"/>
      <c r="R3153" s="453" t="n"/>
      <c r="S3153" s="453" t="n"/>
      <c r="T3153" s="453" t="n"/>
      <c r="U3153" s="453" t="n"/>
      <c r="V3153" s="453" t="n"/>
    </row>
    <row r="3154" customFormat="1" s="21">
      <c r="A3154" s="411" t="inlineStr">
        <is>
          <t>Boreal Moist</t>
        </is>
      </c>
      <c r="B3154" s="1674" t="n">
        <v>0.35</v>
      </c>
      <c r="C3154" s="1674">
        <f>AVERAGE(0.3,0.48,0.1)</f>
        <v/>
      </c>
      <c r="D3154" s="1674">
        <f>AVERAGE(0.45,0.22,0.58,0.17)</f>
        <v/>
      </c>
      <c r="E3154" s="1674" t="n">
        <v>0.3</v>
      </c>
      <c r="F3154" s="1674" t="n">
        <v>0.21</v>
      </c>
      <c r="G3154" s="1674" t="n">
        <v>0.07000000000000001</v>
      </c>
      <c r="H3154" s="1674">
        <f>AVERAGE(0.05,0.5)</f>
        <v/>
      </c>
      <c r="I3154" s="1674" t="n">
        <v>0</v>
      </c>
      <c r="J3154" s="1674" t="n">
        <v>0.25</v>
      </c>
      <c r="K3154" s="1674" t="n">
        <v>0.25</v>
      </c>
      <c r="L3154" s="1674" t="n">
        <v>0</v>
      </c>
      <c r="M3154" s="451" t="n">
        <v>0.25</v>
      </c>
      <c r="N3154" s="467">
        <f>AVERAGE(0.6,0.65,0.65,0.6)</f>
        <v/>
      </c>
      <c r="O3154" s="467" t="n">
        <v>0.85</v>
      </c>
      <c r="P3154" s="467" t="n"/>
      <c r="Q3154" s="453" t="n"/>
      <c r="R3154" s="453" t="n"/>
      <c r="S3154" s="453" t="n"/>
      <c r="T3154" s="453" t="n"/>
      <c r="U3154" s="453" t="n"/>
      <c r="V3154" s="453" t="n"/>
    </row>
    <row r="3155" customFormat="1" s="21">
      <c r="A3155" s="411" t="inlineStr">
        <is>
          <t>Boreal Dry</t>
        </is>
      </c>
      <c r="B3155" s="1674" t="n">
        <v>0.35</v>
      </c>
      <c r="C3155" s="1674">
        <f>AVERAGE(0.3,0.48,0.1)</f>
        <v/>
      </c>
      <c r="D3155" s="1674">
        <f>AVERAGE(0.45,0.22,0.58,0.17)</f>
        <v/>
      </c>
      <c r="E3155" s="1674" t="n">
        <v>0.3</v>
      </c>
      <c r="F3155" s="1674" t="n">
        <v>0.21</v>
      </c>
      <c r="G3155" s="1674" t="n">
        <v>0.07000000000000001</v>
      </c>
      <c r="H3155" s="1674">
        <f>AVERAGE(0.05,0.5)</f>
        <v/>
      </c>
      <c r="I3155" s="1674" t="n">
        <v>0</v>
      </c>
      <c r="J3155" s="1674" t="n">
        <v>0.25</v>
      </c>
      <c r="K3155" s="1674" t="n">
        <v>0.25</v>
      </c>
      <c r="L3155" s="1674" t="n">
        <v>0</v>
      </c>
      <c r="M3155" s="451" t="n">
        <v>0.25</v>
      </c>
      <c r="N3155" s="467">
        <f>AVERAGE(0.6,0.65,0.65,0.6)</f>
        <v/>
      </c>
      <c r="O3155" s="467" t="n">
        <v>0.85</v>
      </c>
      <c r="P3155" s="467" t="n"/>
      <c r="Q3155" s="453" t="n"/>
      <c r="R3155" s="453" t="n"/>
      <c r="S3155" s="453" t="n"/>
      <c r="T3155" s="453" t="n"/>
      <c r="U3155" s="453" t="n"/>
      <c r="V3155" s="453" t="n"/>
    </row>
    <row r="3156" customFormat="1" s="21">
      <c r="A3156" s="411" t="inlineStr">
        <is>
          <t>Warm Temperate Moist</t>
        </is>
      </c>
      <c r="B3156" s="1674" t="n">
        <v>0.35</v>
      </c>
      <c r="C3156" s="1674">
        <f>AVERAGE(0.3,0.48,0.1)</f>
        <v/>
      </c>
      <c r="D3156" s="1674">
        <f>AVERAGE(0.45,0.22,0.58,0.17)</f>
        <v/>
      </c>
      <c r="E3156" s="1674" t="n">
        <v>0.3</v>
      </c>
      <c r="F3156" s="1674" t="n">
        <v>0.21</v>
      </c>
      <c r="G3156" s="1674" t="n">
        <v>0.07000000000000001</v>
      </c>
      <c r="H3156" s="1674">
        <f>AVERAGE(0.05,0.5)</f>
        <v/>
      </c>
      <c r="I3156" s="1674" t="n">
        <v>0</v>
      </c>
      <c r="J3156" s="1674" t="n">
        <v>0.25</v>
      </c>
      <c r="K3156" s="1674" t="n">
        <v>0.25</v>
      </c>
      <c r="L3156" s="1674" t="n">
        <v>0</v>
      </c>
      <c r="M3156" s="451" t="n">
        <v>0.25</v>
      </c>
      <c r="N3156" s="467">
        <f>AVERAGE(0.6,0.65,0.65,0.6)</f>
        <v/>
      </c>
      <c r="O3156" s="467" t="n">
        <v>0.85</v>
      </c>
      <c r="P3156" s="467" t="n"/>
      <c r="Q3156" s="453" t="n"/>
      <c r="R3156" s="453" t="n"/>
      <c r="S3156" s="453" t="n"/>
      <c r="T3156" s="453" t="n"/>
      <c r="U3156" s="453" t="n"/>
      <c r="V3156" s="453" t="n"/>
    </row>
    <row r="3157" customFormat="1" s="21">
      <c r="A3157" s="411" t="inlineStr">
        <is>
          <t>Warm Temperate Dry</t>
        </is>
      </c>
      <c r="B3157" s="1674" t="n">
        <v>0.35</v>
      </c>
      <c r="C3157" s="1674">
        <f>AVERAGE(0.3,0.48,0.1)</f>
        <v/>
      </c>
      <c r="D3157" s="1674">
        <f>AVERAGE(0.45,0.22,0.58,0.17)</f>
        <v/>
      </c>
      <c r="E3157" s="1674" t="n">
        <v>0.3</v>
      </c>
      <c r="F3157" s="1674" t="n">
        <v>0.21</v>
      </c>
      <c r="G3157" s="1674" t="n">
        <v>0.07000000000000001</v>
      </c>
      <c r="H3157" s="1674">
        <f>AVERAGE(0.05,0.5)</f>
        <v/>
      </c>
      <c r="I3157" s="1674" t="n">
        <v>0</v>
      </c>
      <c r="J3157" s="1674" t="n">
        <v>0.25</v>
      </c>
      <c r="K3157" s="1674" t="n">
        <v>0.25</v>
      </c>
      <c r="L3157" s="1674" t="n">
        <v>0</v>
      </c>
      <c r="M3157" s="451" t="n">
        <v>0.25</v>
      </c>
      <c r="N3157" s="467">
        <f>AVERAGE(0.6,0.65,0.65,0.6)</f>
        <v/>
      </c>
      <c r="O3157" s="467" t="n">
        <v>0.85</v>
      </c>
      <c r="P3157" s="467" t="n"/>
      <c r="Q3157" s="453" t="n"/>
      <c r="R3157" s="453" t="n"/>
      <c r="S3157" s="453" t="n"/>
      <c r="T3157" s="453" t="n"/>
      <c r="U3157" s="453" t="n"/>
      <c r="V3157" s="453" t="n"/>
    </row>
    <row r="3158" customFormat="1" s="21">
      <c r="A3158" s="411" t="inlineStr">
        <is>
          <t>Tropical Montane</t>
        </is>
      </c>
      <c r="B3158" s="1674" t="n">
        <v>0.35</v>
      </c>
      <c r="C3158" s="1674">
        <f>AVERAGE(0.3,0.48,0.1)</f>
        <v/>
      </c>
      <c r="D3158" s="1674">
        <f>AVERAGE(0.45,0.22,0.58,0.17)</f>
        <v/>
      </c>
      <c r="E3158" s="1674" t="n">
        <v>0.3</v>
      </c>
      <c r="F3158" s="1674" t="n">
        <v>0.21</v>
      </c>
      <c r="G3158" s="1674" t="n">
        <v>0.07000000000000001</v>
      </c>
      <c r="H3158" s="1674">
        <f>AVERAGE(0.05,0.5)</f>
        <v/>
      </c>
      <c r="I3158" s="1674" t="n">
        <v>0</v>
      </c>
      <c r="J3158" s="1674" t="n">
        <v>0.25</v>
      </c>
      <c r="K3158" s="1674" t="n">
        <v>0.25</v>
      </c>
      <c r="L3158" s="1674" t="n">
        <v>0</v>
      </c>
      <c r="M3158" s="451" t="n">
        <v>0.25</v>
      </c>
      <c r="N3158" s="467">
        <f>AVERAGE(0.6,0.65,0.65,0.6)</f>
        <v/>
      </c>
      <c r="O3158" s="467" t="n">
        <v>0.85</v>
      </c>
      <c r="P3158" s="467" t="n"/>
      <c r="Q3158" s="453" t="n"/>
      <c r="R3158" s="453" t="n"/>
      <c r="S3158" s="453" t="n"/>
      <c r="T3158" s="453" t="n"/>
      <c r="U3158" s="453" t="n"/>
      <c r="V3158" s="453" t="n"/>
    </row>
    <row r="3159" customFormat="1" s="21">
      <c r="A3159" s="411" t="inlineStr">
        <is>
          <t>Tropical Wet</t>
        </is>
      </c>
      <c r="B3159" s="1674" t="n">
        <v>0.35</v>
      </c>
      <c r="C3159" s="1674">
        <f>AVERAGE(0.3,0.48,0.1)</f>
        <v/>
      </c>
      <c r="D3159" s="1674">
        <f>AVERAGE(0.45,0.22,0.58,0.17)</f>
        <v/>
      </c>
      <c r="E3159" s="1674" t="n">
        <v>0.3</v>
      </c>
      <c r="F3159" s="1674" t="n">
        <v>0.21</v>
      </c>
      <c r="G3159" s="1674" t="n">
        <v>0.07000000000000001</v>
      </c>
      <c r="H3159" s="1674">
        <f>AVERAGE(0.05,0.5)</f>
        <v/>
      </c>
      <c r="I3159" s="1674" t="n">
        <v>0</v>
      </c>
      <c r="J3159" s="1674" t="n">
        <v>0.25</v>
      </c>
      <c r="K3159" s="1674" t="n">
        <v>0.25</v>
      </c>
      <c r="L3159" s="1674" t="n">
        <v>0</v>
      </c>
      <c r="M3159" s="451" t="n">
        <v>0.25</v>
      </c>
      <c r="N3159" s="467">
        <f>AVERAGE(0.6,0.65,0.65,0.6)</f>
        <v/>
      </c>
      <c r="O3159" s="467" t="n">
        <v>0.85</v>
      </c>
      <c r="P3159" s="467" t="n"/>
    </row>
    <row r="3160" customFormat="1" s="453">
      <c r="A3160" s="411" t="inlineStr">
        <is>
          <t>Tropical Moist</t>
        </is>
      </c>
      <c r="B3160" s="1674" t="n">
        <v>0.35</v>
      </c>
      <c r="C3160" s="1674">
        <f>AVERAGE(0.3,0.48,0.1)</f>
        <v/>
      </c>
      <c r="D3160" s="1674">
        <f>AVERAGE(0.45,0.22,0.58,0.17)</f>
        <v/>
      </c>
      <c r="E3160" s="1674" t="n">
        <v>0.3</v>
      </c>
      <c r="F3160" s="1674" t="n">
        <v>0.21</v>
      </c>
      <c r="G3160" s="1674" t="n">
        <v>0.07000000000000001</v>
      </c>
      <c r="H3160" s="1674">
        <f>AVERAGE(0.05,0.5)</f>
        <v/>
      </c>
      <c r="I3160" s="1674" t="n">
        <v>0</v>
      </c>
      <c r="J3160" s="1674" t="n">
        <v>0.25</v>
      </c>
      <c r="K3160" s="1674" t="n">
        <v>0.25</v>
      </c>
      <c r="L3160" s="1674" t="n">
        <v>0</v>
      </c>
      <c r="M3160" s="451" t="n">
        <v>0.25</v>
      </c>
      <c r="N3160" s="467">
        <f>AVERAGE(0.6,0.65,0.65,0.6)</f>
        <v/>
      </c>
      <c r="O3160" s="467" t="n">
        <v>0.85</v>
      </c>
      <c r="P3160" s="467" t="n"/>
    </row>
    <row r="3161" customFormat="1" s="453">
      <c r="A3161" s="411" t="inlineStr">
        <is>
          <t>Tropical Dry</t>
        </is>
      </c>
      <c r="B3161" s="1675" t="n">
        <v>0.35</v>
      </c>
      <c r="C3161" s="1675">
        <f>AVERAGE(0.3,0.48,0.1)</f>
        <v/>
      </c>
      <c r="D3161" s="1675">
        <f>AVERAGE(0.45,0.22,0.58,0.17)</f>
        <v/>
      </c>
      <c r="E3161" s="1675" t="n">
        <v>0.3</v>
      </c>
      <c r="F3161" s="1675" t="n">
        <v>0.21</v>
      </c>
      <c r="G3161" s="1675" t="n">
        <v>0.07000000000000001</v>
      </c>
      <c r="H3161" s="1675">
        <f>AVERAGE(0.05,0.5)</f>
        <v/>
      </c>
      <c r="I3161" s="1675" t="n">
        <v>0</v>
      </c>
      <c r="J3161" s="1675" t="n">
        <v>0.25</v>
      </c>
      <c r="K3161" s="1675" t="n">
        <v>0.25</v>
      </c>
      <c r="L3161" s="1675" t="n">
        <v>0</v>
      </c>
      <c r="M3161" s="451" t="n">
        <v>0.25</v>
      </c>
      <c r="N3161" s="467">
        <f>AVERAGE(0.6,0.65,0.65,0.6)</f>
        <v/>
      </c>
      <c r="O3161" s="467" t="n">
        <v>0.85</v>
      </c>
      <c r="P3161" s="467" t="n"/>
    </row>
    <row r="3162" customFormat="1" s="535">
      <c r="A3162" s="518" t="inlineStr">
        <is>
          <t xml:space="preserve">Notes :  </t>
        </is>
      </c>
      <c r="F3162" s="1624" t="n"/>
      <c r="G3162" s="1624" t="n"/>
      <c r="H3162" s="1624" t="n"/>
      <c r="I3162" s="1624" t="n"/>
      <c r="J3162" s="1624" t="n"/>
      <c r="K3162" s="1624" t="n"/>
      <c r="L3162" s="1624" t="n"/>
      <c r="M3162" s="1624" t="n"/>
      <c r="N3162" s="1624" t="n"/>
    </row>
    <row r="3163" customFormat="1" s="292"/>
    <row r="3165" ht="14.25" customFormat="1" customHeight="1" s="125">
      <c r="A3165" s="377" t="inlineStr">
        <is>
          <t>Fraction N2O Volatilization (Frac gaz Ms)manure management</t>
        </is>
      </c>
      <c r="D3165" s="1075" t="n"/>
      <c r="E3165" s="1075" t="n"/>
      <c r="F3165" s="1075" t="n"/>
      <c r="G3165" s="1075" t="n"/>
      <c r="H3165" s="1075" t="n"/>
      <c r="I3165" s="1075" t="n"/>
      <c r="L3165" s="1075" t="n"/>
    </row>
    <row r="3166" ht="16.25" customFormat="1" customHeight="1" s="773">
      <c r="A3166" s="753" t="inlineStr">
        <is>
          <t>Other animal</t>
        </is>
      </c>
      <c r="B3166" s="442" t="inlineStr">
        <is>
          <t>Table 10.22</t>
        </is>
      </c>
      <c r="C3166" s="442" t="inlineStr">
        <is>
          <t>Table 10.22</t>
        </is>
      </c>
      <c r="D3166" s="442" t="inlineStr">
        <is>
          <t>Table 10.22</t>
        </is>
      </c>
      <c r="E3166" s="442" t="inlineStr">
        <is>
          <t>Table 10.22</t>
        </is>
      </c>
      <c r="F3166" s="442" t="inlineStr">
        <is>
          <t>Table 11.3</t>
        </is>
      </c>
      <c r="G3166" s="442" t="inlineStr">
        <is>
          <t>Table 10.22</t>
        </is>
      </c>
      <c r="H3166" s="442" t="inlineStr">
        <is>
          <t>Table 10.22</t>
        </is>
      </c>
      <c r="I3166" s="442" t="inlineStr">
        <is>
          <t>Table 10.22</t>
        </is>
      </c>
      <c r="J3166" s="442" t="inlineStr">
        <is>
          <t>Table 10.22</t>
        </is>
      </c>
      <c r="K3166" s="442" t="inlineStr">
        <is>
          <t>Table 10.22</t>
        </is>
      </c>
      <c r="L3166" s="442" t="inlineStr">
        <is>
          <t>Table 10.22</t>
        </is>
      </c>
      <c r="M3166" s="442" t="inlineStr">
        <is>
          <t>Table 10.22</t>
        </is>
      </c>
      <c r="N3166" s="442" t="inlineStr">
        <is>
          <t>Table 10.22</t>
        </is>
      </c>
      <c r="O3166" s="442" t="inlineStr">
        <is>
          <t>Table 10.22</t>
        </is>
      </c>
      <c r="P3166" s="442" t="n"/>
      <c r="Q3166" s="442" t="n"/>
      <c r="R3166" s="442" t="n"/>
      <c r="S3166" s="442" t="n"/>
      <c r="T3166" s="442" t="n"/>
      <c r="U3166" s="442" t="n"/>
      <c r="V3166" s="442" t="n"/>
    </row>
    <row r="3167" ht="16" customFormat="1" customHeight="1" s="291">
      <c r="A3167" s="1641" t="inlineStr">
        <is>
          <t>Please select</t>
        </is>
      </c>
      <c r="B3167" s="1642" t="inlineStr">
        <is>
          <t>Lagoon</t>
        </is>
      </c>
      <c r="C3167" s="1642" t="inlineStr">
        <is>
          <t>Liquid/slurry</t>
        </is>
      </c>
      <c r="D3167" s="1642" t="inlineStr">
        <is>
          <t>Solid storage</t>
        </is>
      </c>
      <c r="E3167" s="1642" t="inlineStr">
        <is>
          <t>Dry lot</t>
        </is>
      </c>
      <c r="F3167" s="1642" t="inlineStr">
        <is>
          <t>Pasture/Range/Paddock</t>
        </is>
      </c>
      <c r="G3167" s="1642" t="inlineStr">
        <is>
          <t>Daily spread</t>
        </is>
      </c>
      <c r="H3167" s="1642" t="inlineStr">
        <is>
          <t>Digester</t>
        </is>
      </c>
      <c r="I3167" s="1642" t="inlineStr">
        <is>
          <t>Burned for fuel</t>
        </is>
      </c>
      <c r="J3167" s="1642" t="inlineStr">
        <is>
          <t>Pit&lt;1Month</t>
        </is>
      </c>
      <c r="K3167" s="1642" t="inlineStr">
        <is>
          <t>Pit&gt;1 month</t>
        </is>
      </c>
      <c r="L3167" s="1642" t="inlineStr">
        <is>
          <t>Poultry manure</t>
        </is>
      </c>
      <c r="M3167" s="291" t="inlineStr">
        <is>
          <t>Deep bedding</t>
        </is>
      </c>
      <c r="N3167" s="2156" t="inlineStr">
        <is>
          <t>Composting</t>
        </is>
      </c>
      <c r="O3167" s="2156" t="inlineStr">
        <is>
          <t>Aerobic treatment</t>
        </is>
      </c>
      <c r="P3167" s="2157" t="inlineStr">
        <is>
          <t>Other (pls. go Tier 2)</t>
        </is>
      </c>
      <c r="Q3167" s="453" t="n"/>
      <c r="R3167" s="453" t="n"/>
      <c r="S3167" s="453" t="n"/>
      <c r="T3167" s="453" t="n"/>
      <c r="U3167" s="453" t="n"/>
      <c r="V3167" s="453" t="n"/>
      <c r="W3167" s="453" t="n"/>
      <c r="X3167" s="21" t="n"/>
      <c r="Y3167" s="21" t="n"/>
    </row>
    <row r="3168" ht="16" customFormat="1" customHeight="1" s="1093">
      <c r="A3168" s="523" t="inlineStr">
        <is>
          <t>Climate zone</t>
        </is>
      </c>
      <c r="B3168" s="1636" t="inlineStr">
        <is>
          <t>Frac gas_MS</t>
        </is>
      </c>
      <c r="C3168" s="1636" t="inlineStr">
        <is>
          <t>Frac gas_MS</t>
        </is>
      </c>
      <c r="D3168" s="1636" t="inlineStr">
        <is>
          <t>Frac gas_MS</t>
        </is>
      </c>
      <c r="E3168" s="1636" t="inlineStr">
        <is>
          <t>Frac gas_MS</t>
        </is>
      </c>
      <c r="F3168" s="1636" t="inlineStr">
        <is>
          <t>Frac gas_MS</t>
        </is>
      </c>
      <c r="G3168" s="1636" t="inlineStr">
        <is>
          <t>Frac gas_MS</t>
        </is>
      </c>
      <c r="H3168" s="1636" t="inlineStr">
        <is>
          <t>Frac gas_MS</t>
        </is>
      </c>
      <c r="I3168" s="1636" t="inlineStr">
        <is>
          <t>Frac gas_MS</t>
        </is>
      </c>
      <c r="J3168" s="1636" t="inlineStr">
        <is>
          <t>Frac gas_MS</t>
        </is>
      </c>
      <c r="K3168" s="1636" t="inlineStr">
        <is>
          <t>Frac gas_MS</t>
        </is>
      </c>
      <c r="L3168" s="1636" t="inlineStr">
        <is>
          <t>Frac gas_MS</t>
        </is>
      </c>
      <c r="M3168" s="1631" t="inlineStr">
        <is>
          <t>Frac gas_MS</t>
        </is>
      </c>
      <c r="N3168" s="732" t="inlineStr">
        <is>
          <t>Frac gas_MS</t>
        </is>
      </c>
      <c r="O3168" s="732" t="inlineStr">
        <is>
          <t>Frac gas_MS</t>
        </is>
      </c>
      <c r="P3168" s="732" t="n"/>
      <c r="Q3168" s="1092" t="n"/>
      <c r="R3168" s="1092" t="n"/>
      <c r="S3168" s="1092" t="n"/>
      <c r="T3168" s="1092" t="n"/>
      <c r="U3168" s="1092" t="n"/>
      <c r="V3168" s="1092" t="n"/>
      <c r="W3168" s="1092" t="n"/>
    </row>
    <row r="3169" customFormat="1" s="21">
      <c r="A3169" s="410" t="inlineStr">
        <is>
          <t>Cool Temperate Moist</t>
        </is>
      </c>
      <c r="B3169" s="1673" t="n">
        <v>0.35</v>
      </c>
      <c r="C3169" s="1673">
        <f>AVERAGE(0.09,0.15,0.03)</f>
        <v/>
      </c>
      <c r="D3169" s="1673">
        <f>AVERAGE(0.12,0.05,0.15,0.04)</f>
        <v/>
      </c>
      <c r="E3169" s="1673" t="n">
        <v>0.3</v>
      </c>
      <c r="F3169" s="1673" t="n">
        <v>0.21</v>
      </c>
      <c r="G3169" s="1673" t="n">
        <v>0.07000000000000001</v>
      </c>
      <c r="H3169" s="1673">
        <f>AVERAGE(0.05,0.5)</f>
        <v/>
      </c>
      <c r="I3169" s="1673" t="n">
        <v>0</v>
      </c>
      <c r="J3169" s="1673" t="n">
        <v>0.25</v>
      </c>
      <c r="K3169" s="1673" t="n">
        <v>0.25</v>
      </c>
      <c r="L3169" s="1673" t="n">
        <v>0</v>
      </c>
      <c r="M3169" s="451" t="n">
        <v>0.4</v>
      </c>
      <c r="N3169" s="467">
        <f>AVERAGE(0.18,0.2,0.2,0.18)</f>
        <v/>
      </c>
      <c r="O3169" s="467" t="n">
        <v>0.27</v>
      </c>
      <c r="P3169" s="467" t="n"/>
      <c r="Q3169" s="453" t="n"/>
      <c r="R3169" s="453" t="n"/>
      <c r="S3169" s="453" t="n"/>
      <c r="T3169" s="453" t="n"/>
      <c r="U3169" s="453" t="n"/>
      <c r="V3169" s="453" t="n"/>
      <c r="W3169" s="453" t="n"/>
    </row>
    <row r="3170" customFormat="1" s="21">
      <c r="A3170" s="411" t="inlineStr">
        <is>
          <t>Cool Temperate Dry</t>
        </is>
      </c>
      <c r="B3170" s="1674" t="n">
        <v>0.35</v>
      </c>
      <c r="C3170" s="1674">
        <f>AVERAGE(0.09,0.15,0.03)</f>
        <v/>
      </c>
      <c r="D3170" s="1674">
        <f>AVERAGE(0.12,0.05,0.15,0.04)</f>
        <v/>
      </c>
      <c r="E3170" s="1674" t="n">
        <v>0.3</v>
      </c>
      <c r="F3170" s="1674" t="n">
        <v>0.21</v>
      </c>
      <c r="G3170" s="1674" t="n">
        <v>0.07000000000000001</v>
      </c>
      <c r="H3170" s="1674">
        <f>AVERAGE(0.05,0.5)</f>
        <v/>
      </c>
      <c r="I3170" s="1674" t="n">
        <v>0</v>
      </c>
      <c r="J3170" s="1674" t="n">
        <v>0.25</v>
      </c>
      <c r="K3170" s="1674" t="n">
        <v>0.25</v>
      </c>
      <c r="L3170" s="1674" t="n">
        <v>0</v>
      </c>
      <c r="M3170" s="451" t="n">
        <v>0.4</v>
      </c>
      <c r="N3170" s="467">
        <f>AVERAGE(0.18,0.2,0.2,0.18)</f>
        <v/>
      </c>
      <c r="O3170" s="467" t="n">
        <v>0.27</v>
      </c>
      <c r="P3170" s="467" t="n"/>
      <c r="Q3170" s="453" t="n"/>
      <c r="R3170" s="453" t="n"/>
      <c r="S3170" s="453" t="n"/>
      <c r="T3170" s="453" t="n"/>
      <c r="U3170" s="453" t="n"/>
      <c r="V3170" s="453" t="n"/>
      <c r="W3170" s="453" t="n"/>
    </row>
    <row r="3171" customFormat="1" s="21">
      <c r="A3171" s="411" t="inlineStr">
        <is>
          <t>Boreal Moist</t>
        </is>
      </c>
      <c r="B3171" s="1674" t="n">
        <v>0.35</v>
      </c>
      <c r="C3171" s="1674">
        <f>AVERAGE(0.09,0.15,0.03)</f>
        <v/>
      </c>
      <c r="D3171" s="1674">
        <f>AVERAGE(0.12,0.05,0.15,0.04)</f>
        <v/>
      </c>
      <c r="E3171" s="1674" t="n">
        <v>0.3</v>
      </c>
      <c r="F3171" s="1674" t="n">
        <v>0.21</v>
      </c>
      <c r="G3171" s="1674" t="n">
        <v>0.07000000000000001</v>
      </c>
      <c r="H3171" s="1674">
        <f>AVERAGE(0.05,0.5)</f>
        <v/>
      </c>
      <c r="I3171" s="1674" t="n">
        <v>0</v>
      </c>
      <c r="J3171" s="1674" t="n">
        <v>0.25</v>
      </c>
      <c r="K3171" s="1674" t="n">
        <v>0.25</v>
      </c>
      <c r="L3171" s="1674" t="n">
        <v>0</v>
      </c>
      <c r="M3171" s="451" t="n">
        <v>0.4</v>
      </c>
      <c r="N3171" s="467">
        <f>AVERAGE(0.18,0.2,0.2,0.18)</f>
        <v/>
      </c>
      <c r="O3171" s="467" t="n">
        <v>0.27</v>
      </c>
      <c r="P3171" s="467" t="n"/>
      <c r="Q3171" s="453" t="n"/>
      <c r="R3171" s="453" t="n"/>
      <c r="S3171" s="453" t="n"/>
      <c r="T3171" s="453" t="n"/>
      <c r="U3171" s="453" t="n"/>
      <c r="V3171" s="453" t="n"/>
      <c r="W3171" s="453" t="n"/>
    </row>
    <row r="3172" customFormat="1" s="21">
      <c r="A3172" s="411" t="inlineStr">
        <is>
          <t>Boreal Dry</t>
        </is>
      </c>
      <c r="B3172" s="1674" t="n">
        <v>0.35</v>
      </c>
      <c r="C3172" s="1674">
        <f>AVERAGE(0.09,0.15,0.03)</f>
        <v/>
      </c>
      <c r="D3172" s="1674">
        <f>AVERAGE(0.12,0.05,0.15,0.04)</f>
        <v/>
      </c>
      <c r="E3172" s="1674" t="n">
        <v>0.3</v>
      </c>
      <c r="F3172" s="1674" t="n">
        <v>0.21</v>
      </c>
      <c r="G3172" s="1674" t="n">
        <v>0.07000000000000001</v>
      </c>
      <c r="H3172" s="1674">
        <f>AVERAGE(0.05,0.5)</f>
        <v/>
      </c>
      <c r="I3172" s="1674" t="n">
        <v>0</v>
      </c>
      <c r="J3172" s="1674" t="n">
        <v>0.25</v>
      </c>
      <c r="K3172" s="1674" t="n">
        <v>0.25</v>
      </c>
      <c r="L3172" s="1674" t="n">
        <v>0</v>
      </c>
      <c r="M3172" s="451" t="n">
        <v>0.4</v>
      </c>
      <c r="N3172" s="467">
        <f>AVERAGE(0.18,0.2,0.2,0.18)</f>
        <v/>
      </c>
      <c r="O3172" s="467" t="n">
        <v>0.27</v>
      </c>
      <c r="P3172" s="467" t="n"/>
      <c r="Q3172" s="453" t="n"/>
      <c r="R3172" s="453" t="n"/>
      <c r="S3172" s="453" t="n"/>
      <c r="T3172" s="453" t="n"/>
      <c r="U3172" s="453" t="n"/>
      <c r="V3172" s="453" t="n"/>
      <c r="W3172" s="453" t="n"/>
    </row>
    <row r="3173" customFormat="1" s="21">
      <c r="A3173" s="411" t="inlineStr">
        <is>
          <t>Warm Temperate Moist</t>
        </is>
      </c>
      <c r="B3173" s="1674" t="n">
        <v>0.35</v>
      </c>
      <c r="C3173" s="1674">
        <f>AVERAGE(0.09,0.15,0.03)</f>
        <v/>
      </c>
      <c r="D3173" s="1674">
        <f>AVERAGE(0.12,0.05,0.15,0.04)</f>
        <v/>
      </c>
      <c r="E3173" s="1674" t="n">
        <v>0.3</v>
      </c>
      <c r="F3173" s="1674" t="n">
        <v>0.21</v>
      </c>
      <c r="G3173" s="1674" t="n">
        <v>0.07000000000000001</v>
      </c>
      <c r="H3173" s="1674">
        <f>AVERAGE(0.05,0.5)</f>
        <v/>
      </c>
      <c r="I3173" s="1674" t="n">
        <v>0</v>
      </c>
      <c r="J3173" s="1674" t="n">
        <v>0.25</v>
      </c>
      <c r="K3173" s="1674" t="n">
        <v>0.25</v>
      </c>
      <c r="L3173" s="1674" t="n">
        <v>0</v>
      </c>
      <c r="M3173" s="451" t="n">
        <v>0.4</v>
      </c>
      <c r="N3173" s="467">
        <f>AVERAGE(0.18,0.2,0.2,0.18)</f>
        <v/>
      </c>
      <c r="O3173" s="467" t="n">
        <v>0.27</v>
      </c>
      <c r="P3173" s="467" t="n"/>
      <c r="Q3173" s="453" t="n"/>
      <c r="R3173" s="453" t="n"/>
      <c r="S3173" s="453" t="n"/>
      <c r="T3173" s="453" t="n"/>
      <c r="U3173" s="453" t="n"/>
      <c r="V3173" s="453" t="n"/>
      <c r="W3173" s="453" t="n"/>
    </row>
    <row r="3174" customFormat="1" s="21">
      <c r="A3174" s="411" t="inlineStr">
        <is>
          <t>Warm Temperate Dry</t>
        </is>
      </c>
      <c r="B3174" s="1674" t="n">
        <v>0.35</v>
      </c>
      <c r="C3174" s="1674">
        <f>AVERAGE(0.09,0.15,0.03)</f>
        <v/>
      </c>
      <c r="D3174" s="1674">
        <f>AVERAGE(0.12,0.05,0.15,0.04)</f>
        <v/>
      </c>
      <c r="E3174" s="1674" t="n">
        <v>0.3</v>
      </c>
      <c r="F3174" s="1674" t="n">
        <v>0.21</v>
      </c>
      <c r="G3174" s="1674" t="n">
        <v>0.07000000000000001</v>
      </c>
      <c r="H3174" s="1674">
        <f>AVERAGE(0.05,0.5)</f>
        <v/>
      </c>
      <c r="I3174" s="1674" t="n">
        <v>0</v>
      </c>
      <c r="J3174" s="1674" t="n">
        <v>0.25</v>
      </c>
      <c r="K3174" s="1674" t="n">
        <v>0.25</v>
      </c>
      <c r="L3174" s="1674" t="n">
        <v>0</v>
      </c>
      <c r="M3174" s="451" t="n">
        <v>0.4</v>
      </c>
      <c r="N3174" s="467">
        <f>AVERAGE(0.18,0.2,0.2,0.18)</f>
        <v/>
      </c>
      <c r="O3174" s="467" t="n">
        <v>0.27</v>
      </c>
      <c r="P3174" s="467" t="n"/>
      <c r="Q3174" s="453" t="n"/>
      <c r="R3174" s="453" t="n"/>
      <c r="S3174" s="453" t="n"/>
      <c r="T3174" s="453" t="n"/>
      <c r="U3174" s="453" t="n"/>
      <c r="V3174" s="453" t="n"/>
      <c r="W3174" s="453" t="n"/>
    </row>
    <row r="3175" customFormat="1" s="21">
      <c r="A3175" s="411" t="inlineStr">
        <is>
          <t>Tropical Montane</t>
        </is>
      </c>
      <c r="B3175" s="1674" t="n">
        <v>0.35</v>
      </c>
      <c r="C3175" s="1674">
        <f>AVERAGE(0.09,0.15,0.03)</f>
        <v/>
      </c>
      <c r="D3175" s="1674">
        <f>AVERAGE(0.12,0.05,0.15,0.04)</f>
        <v/>
      </c>
      <c r="E3175" s="1674" t="n">
        <v>0.3</v>
      </c>
      <c r="F3175" s="1674" t="n">
        <v>0.21</v>
      </c>
      <c r="G3175" s="1674" t="n">
        <v>0.07000000000000001</v>
      </c>
      <c r="H3175" s="1674">
        <f>AVERAGE(0.05,0.5)</f>
        <v/>
      </c>
      <c r="I3175" s="1674" t="n">
        <v>0</v>
      </c>
      <c r="J3175" s="1674" t="n">
        <v>0.25</v>
      </c>
      <c r="K3175" s="1674" t="n">
        <v>0.25</v>
      </c>
      <c r="L3175" s="1674" t="n">
        <v>0</v>
      </c>
      <c r="M3175" s="451" t="n">
        <v>0.4</v>
      </c>
      <c r="N3175" s="467">
        <f>AVERAGE(0.18,0.2,0.2,0.18)</f>
        <v/>
      </c>
      <c r="O3175" s="467" t="n">
        <v>0.27</v>
      </c>
      <c r="P3175" s="467" t="n"/>
      <c r="Q3175" s="453" t="n"/>
      <c r="R3175" s="453" t="n"/>
      <c r="S3175" s="453" t="n"/>
      <c r="T3175" s="453" t="n"/>
      <c r="U3175" s="453" t="n"/>
      <c r="V3175" s="453" t="n"/>
      <c r="W3175" s="453" t="n"/>
    </row>
    <row r="3176" customFormat="1" s="21">
      <c r="A3176" s="411" t="inlineStr">
        <is>
          <t>Tropical Wet</t>
        </is>
      </c>
      <c r="B3176" s="1674" t="n">
        <v>0.35</v>
      </c>
      <c r="C3176" s="1674">
        <f>AVERAGE(0.09,0.15,0.03)</f>
        <v/>
      </c>
      <c r="D3176" s="1674">
        <f>AVERAGE(0.12,0.05,0.15,0.04)</f>
        <v/>
      </c>
      <c r="E3176" s="1674" t="n">
        <v>0.3</v>
      </c>
      <c r="F3176" s="1674" t="n">
        <v>0.21</v>
      </c>
      <c r="G3176" s="1674" t="n">
        <v>0.07000000000000001</v>
      </c>
      <c r="H3176" s="1674">
        <f>AVERAGE(0.05,0.5)</f>
        <v/>
      </c>
      <c r="I3176" s="1674" t="n">
        <v>0</v>
      </c>
      <c r="J3176" s="1674" t="n">
        <v>0.25</v>
      </c>
      <c r="K3176" s="1674" t="n">
        <v>0.25</v>
      </c>
      <c r="L3176" s="1674" t="n">
        <v>0</v>
      </c>
      <c r="M3176" s="451" t="n">
        <v>0.4</v>
      </c>
      <c r="N3176" s="467">
        <f>AVERAGE(0.18,0.2,0.2,0.18)</f>
        <v/>
      </c>
      <c r="O3176" s="467" t="n">
        <v>0.27</v>
      </c>
      <c r="P3176" s="467" t="n"/>
    </row>
    <row r="3177" customFormat="1" s="453">
      <c r="A3177" s="411" t="inlineStr">
        <is>
          <t>Tropical Moist</t>
        </is>
      </c>
      <c r="B3177" s="1674" t="n">
        <v>0.35</v>
      </c>
      <c r="C3177" s="1674">
        <f>AVERAGE(0.09,0.15,0.03)</f>
        <v/>
      </c>
      <c r="D3177" s="1674">
        <f>AVERAGE(0.12,0.05,0.15,0.04)</f>
        <v/>
      </c>
      <c r="E3177" s="1674" t="n">
        <v>0.3</v>
      </c>
      <c r="F3177" s="1674" t="n">
        <v>0.21</v>
      </c>
      <c r="G3177" s="1674" t="n">
        <v>0.07000000000000001</v>
      </c>
      <c r="H3177" s="1674">
        <f>AVERAGE(0.05,0.5)</f>
        <v/>
      </c>
      <c r="I3177" s="1674" t="n">
        <v>0</v>
      </c>
      <c r="J3177" s="1674" t="n">
        <v>0.25</v>
      </c>
      <c r="K3177" s="1674" t="n">
        <v>0.25</v>
      </c>
      <c r="L3177" s="1674" t="n">
        <v>0</v>
      </c>
      <c r="M3177" s="451" t="n">
        <v>0.4</v>
      </c>
      <c r="N3177" s="467">
        <f>AVERAGE(0.18,0.2,0.2,0.18)</f>
        <v/>
      </c>
      <c r="O3177" s="467" t="n">
        <v>0.27</v>
      </c>
      <c r="P3177" s="467" t="n"/>
    </row>
    <row r="3178" customFormat="1" s="453">
      <c r="A3178" s="411" t="inlineStr">
        <is>
          <t>Tropical Dry</t>
        </is>
      </c>
      <c r="B3178" s="1675" t="n">
        <v>0.35</v>
      </c>
      <c r="C3178" s="1675">
        <f>AVERAGE(0.09,0.15,0.03)</f>
        <v/>
      </c>
      <c r="D3178" s="1675">
        <f>AVERAGE(0.12,0.05,0.15,0.04)</f>
        <v/>
      </c>
      <c r="E3178" s="1675" t="n">
        <v>0.3</v>
      </c>
      <c r="F3178" s="1675" t="n">
        <v>0.21</v>
      </c>
      <c r="G3178" s="1675" t="n">
        <v>0.07000000000000001</v>
      </c>
      <c r="H3178" s="1675">
        <f>AVERAGE(0.05,0.5)</f>
        <v/>
      </c>
      <c r="I3178" s="1675" t="n">
        <v>0</v>
      </c>
      <c r="J3178" s="1675" t="n">
        <v>0.25</v>
      </c>
      <c r="K3178" s="1675" t="n">
        <v>0.25</v>
      </c>
      <c r="L3178" s="1675" t="n">
        <v>0</v>
      </c>
      <c r="M3178" s="451" t="n">
        <v>0.4</v>
      </c>
      <c r="N3178" s="467">
        <f>AVERAGE(0.18,0.2,0.2,0.18)</f>
        <v/>
      </c>
      <c r="O3178" s="467" t="n">
        <v>0.27</v>
      </c>
      <c r="P3178" s="467" t="n"/>
    </row>
    <row r="3179" customFormat="1" s="535">
      <c r="A3179" s="518" t="inlineStr">
        <is>
          <t xml:space="preserve">Notes :  </t>
        </is>
      </c>
      <c r="F3179" s="1624" t="n"/>
      <c r="G3179" s="1624" t="n"/>
      <c r="H3179" s="1624" t="n"/>
      <c r="I3179" s="1624" t="n"/>
      <c r="J3179" s="1624" t="n"/>
      <c r="K3179" s="1624" t="n"/>
      <c r="L3179" s="1624" t="n"/>
      <c r="M3179" s="1624" t="n"/>
      <c r="N3179" s="1624" t="n"/>
    </row>
    <row r="3180" customFormat="1" s="292"/>
    <row r="3182" ht="14.25" customFormat="1" customHeight="1" s="125">
      <c r="A3182" s="377" t="inlineStr">
        <is>
          <t>Fraction N2O Leaching (Frac leach Ms)manure management</t>
        </is>
      </c>
      <c r="D3182" s="1075" t="n"/>
      <c r="E3182" s="1075" t="n"/>
      <c r="F3182" s="1075" t="n"/>
      <c r="G3182" s="1075" t="n"/>
      <c r="H3182" s="1075" t="n"/>
      <c r="I3182" s="1075" t="n"/>
      <c r="L3182" s="1075" t="n"/>
    </row>
    <row r="3183" ht="16.25" customFormat="1" customHeight="1" s="773">
      <c r="A3183" s="753" t="inlineStr">
        <is>
          <t>All naimal categories</t>
        </is>
      </c>
      <c r="B3183" s="442" t="inlineStr">
        <is>
          <t>Table 10.22</t>
        </is>
      </c>
      <c r="C3183" s="442" t="inlineStr">
        <is>
          <t>Table 10.22</t>
        </is>
      </c>
      <c r="D3183" s="442" t="inlineStr">
        <is>
          <t>Table 10.22</t>
        </is>
      </c>
      <c r="E3183" s="442" t="inlineStr">
        <is>
          <t>Table 10.22</t>
        </is>
      </c>
      <c r="F3183" s="442" t="inlineStr">
        <is>
          <t>Table 11.3</t>
        </is>
      </c>
      <c r="G3183" s="442" t="inlineStr">
        <is>
          <t>Table 10.22</t>
        </is>
      </c>
      <c r="H3183" s="442" t="inlineStr">
        <is>
          <t>Table 10.22</t>
        </is>
      </c>
      <c r="I3183" s="442" t="inlineStr">
        <is>
          <t>Table 10.22</t>
        </is>
      </c>
      <c r="J3183" s="442" t="inlineStr">
        <is>
          <t>Table 10.22</t>
        </is>
      </c>
      <c r="K3183" s="442" t="inlineStr">
        <is>
          <t>Table 10.22</t>
        </is>
      </c>
      <c r="L3183" s="442" t="inlineStr">
        <is>
          <t>Table 10.22</t>
        </is>
      </c>
      <c r="M3183" s="442" t="inlineStr">
        <is>
          <t>Table 10.22</t>
        </is>
      </c>
      <c r="N3183" s="442" t="inlineStr">
        <is>
          <t>Table 10.22</t>
        </is>
      </c>
      <c r="O3183" s="442" t="inlineStr">
        <is>
          <t>Table 10.22</t>
        </is>
      </c>
      <c r="P3183" s="442" t="n"/>
      <c r="Q3183" s="442" t="n"/>
      <c r="R3183" s="442" t="n"/>
      <c r="S3183" s="442" t="n"/>
      <c r="T3183" s="442" t="n"/>
      <c r="U3183" s="442" t="n"/>
      <c r="V3183" s="442" t="n"/>
    </row>
    <row r="3184" ht="16" customFormat="1" customHeight="1" s="291">
      <c r="A3184" s="1641" t="inlineStr">
        <is>
          <t>Please select</t>
        </is>
      </c>
      <c r="B3184" s="1642" t="inlineStr">
        <is>
          <t>Lagoon</t>
        </is>
      </c>
      <c r="C3184" s="1642" t="inlineStr">
        <is>
          <t>Liquid/slurry</t>
        </is>
      </c>
      <c r="D3184" s="1642" t="inlineStr">
        <is>
          <t>Solid storage</t>
        </is>
      </c>
      <c r="E3184" s="1642" t="inlineStr">
        <is>
          <t>Dry lot</t>
        </is>
      </c>
      <c r="F3184" s="1642" t="inlineStr">
        <is>
          <t>Pasture/Range/Paddock</t>
        </is>
      </c>
      <c r="G3184" s="1642" t="inlineStr">
        <is>
          <t>Daily spread</t>
        </is>
      </c>
      <c r="H3184" s="1642" t="inlineStr">
        <is>
          <t>Digester</t>
        </is>
      </c>
      <c r="I3184" s="1642" t="inlineStr">
        <is>
          <t>Burned for fuel</t>
        </is>
      </c>
      <c r="J3184" s="1642" t="inlineStr">
        <is>
          <t>Pit&lt;1Month</t>
        </is>
      </c>
      <c r="K3184" s="1642" t="inlineStr">
        <is>
          <t>Pit&gt;1 month</t>
        </is>
      </c>
      <c r="L3184" s="1642" t="inlineStr">
        <is>
          <t>Poultry manure</t>
        </is>
      </c>
      <c r="M3184" s="291" t="inlineStr">
        <is>
          <t>Deep bedding</t>
        </is>
      </c>
      <c r="N3184" s="2156" t="inlineStr">
        <is>
          <t>Composting</t>
        </is>
      </c>
      <c r="O3184" s="2156" t="inlineStr">
        <is>
          <t>Aerobic treatment</t>
        </is>
      </c>
      <c r="P3184" s="2157" t="inlineStr">
        <is>
          <t>Other (pls. go Tier 2)</t>
        </is>
      </c>
      <c r="Q3184" s="453" t="n"/>
      <c r="R3184" s="453" t="n"/>
      <c r="S3184" s="453" t="n"/>
      <c r="T3184" s="453" t="n"/>
      <c r="U3184" s="453" t="n"/>
      <c r="V3184" s="453" t="n"/>
      <c r="W3184" s="21" t="n"/>
      <c r="X3184" s="21" t="n"/>
    </row>
    <row r="3185" ht="16" customFormat="1" customHeight="1" s="1093">
      <c r="A3185" s="523" t="inlineStr">
        <is>
          <t>Climate zone</t>
        </is>
      </c>
      <c r="B3185" s="1636" t="inlineStr">
        <is>
          <t>Frac leach_MS</t>
        </is>
      </c>
      <c r="C3185" s="1636" t="inlineStr">
        <is>
          <t>Frac leach_MS</t>
        </is>
      </c>
      <c r="D3185" s="1636" t="inlineStr">
        <is>
          <t>Frac leach_MS</t>
        </is>
      </c>
      <c r="E3185" s="1636" t="inlineStr">
        <is>
          <t>Frac leach_MS</t>
        </is>
      </c>
      <c r="F3185" s="1636" t="inlineStr">
        <is>
          <t>Frac leach_MS</t>
        </is>
      </c>
      <c r="G3185" s="1636" t="inlineStr">
        <is>
          <t>Frac leach_MS</t>
        </is>
      </c>
      <c r="H3185" s="1636" t="inlineStr">
        <is>
          <t>Frac leach_MS</t>
        </is>
      </c>
      <c r="I3185" s="1636" t="inlineStr">
        <is>
          <t>Frac leach_MS</t>
        </is>
      </c>
      <c r="J3185" s="1636" t="inlineStr">
        <is>
          <t>Frac leach_MS</t>
        </is>
      </c>
      <c r="K3185" s="1636" t="inlineStr">
        <is>
          <t>Frac leach_MS</t>
        </is>
      </c>
      <c r="L3185" s="1636" t="inlineStr">
        <is>
          <t>Frac leach_MS</t>
        </is>
      </c>
      <c r="M3185" s="1631" t="inlineStr">
        <is>
          <t>Frac leach_MS</t>
        </is>
      </c>
      <c r="N3185" s="1631" t="inlineStr">
        <is>
          <t>Frac leach_MS</t>
        </is>
      </c>
      <c r="O3185" s="31" t="inlineStr">
        <is>
          <t>Frac leach_MS</t>
        </is>
      </c>
      <c r="P3185" s="732" t="n"/>
      <c r="Q3185" s="1092" t="n"/>
      <c r="R3185" s="1092" t="n"/>
      <c r="S3185" s="1092" t="n"/>
      <c r="T3185" s="1092" t="n"/>
      <c r="U3185" s="1092" t="n"/>
      <c r="V3185" s="1092" t="n"/>
    </row>
    <row r="3186" customFormat="1" s="21">
      <c r="A3186" s="410" t="inlineStr">
        <is>
          <t>Cool Temperate Moist</t>
        </is>
      </c>
      <c r="B3186" s="1673" t="n">
        <v>0</v>
      </c>
      <c r="C3186" s="1673" t="n">
        <v>0</v>
      </c>
      <c r="D3186" s="1673">
        <f>AVERAGE(0.02,0,0.02,0.02)</f>
        <v/>
      </c>
      <c r="E3186" s="1673" t="n">
        <v>0.035</v>
      </c>
      <c r="F3186" s="1673" t="n">
        <v>0.12</v>
      </c>
      <c r="G3186" s="1673" t="n">
        <v>0</v>
      </c>
      <c r="H3186" s="1673" t="n">
        <v>0</v>
      </c>
      <c r="I3186" s="1673" t="n">
        <v>0</v>
      </c>
      <c r="J3186" s="1673" t="n">
        <v>0</v>
      </c>
      <c r="K3186" s="1673" t="n">
        <v>0</v>
      </c>
      <c r="L3186" s="1673" t="n">
        <v>0</v>
      </c>
      <c r="M3186" s="44" t="n">
        <v>0.035</v>
      </c>
      <c r="N3186" s="470">
        <f>AVERAGE(0,0.06,0.06,0.04)</f>
        <v/>
      </c>
      <c r="O3186" s="470" t="n">
        <v>0</v>
      </c>
      <c r="P3186" s="467" t="n"/>
      <c r="Q3186" s="453" t="n"/>
      <c r="R3186" s="453" t="n"/>
      <c r="S3186" s="453" t="n"/>
      <c r="T3186" s="453" t="n"/>
      <c r="U3186" s="453" t="n"/>
      <c r="V3186" s="453" t="n"/>
    </row>
    <row r="3187" customFormat="1" s="21">
      <c r="A3187" s="411" t="inlineStr">
        <is>
          <t>Cool Temperate Dry</t>
        </is>
      </c>
      <c r="B3187" s="1674" t="n">
        <v>0</v>
      </c>
      <c r="C3187" s="1674" t="n">
        <v>0</v>
      </c>
      <c r="D3187" s="1674">
        <f>AVERAGE(0.02,0,0.02,0.02)</f>
        <v/>
      </c>
      <c r="E3187" s="1674" t="n">
        <v>0.035</v>
      </c>
      <c r="F3187" s="1674" t="n">
        <v>0</v>
      </c>
      <c r="G3187" s="1674" t="n">
        <v>0</v>
      </c>
      <c r="H3187" s="1674" t="n">
        <v>0</v>
      </c>
      <c r="I3187" s="1674" t="n">
        <v>0</v>
      </c>
      <c r="J3187" s="1674" t="n">
        <v>0</v>
      </c>
      <c r="K3187" s="1674" t="n">
        <v>0</v>
      </c>
      <c r="L3187" s="1674" t="n">
        <v>0</v>
      </c>
      <c r="M3187" s="41" t="n">
        <v>0.035</v>
      </c>
      <c r="N3187" s="467">
        <f>AVERAGE(0,0.06,0.06,0.04)</f>
        <v/>
      </c>
      <c r="O3187" s="467" t="n">
        <v>0</v>
      </c>
      <c r="P3187" s="467" t="n"/>
      <c r="Q3187" s="453" t="n"/>
      <c r="R3187" s="453" t="n"/>
      <c r="S3187" s="453" t="n"/>
      <c r="T3187" s="453" t="n"/>
      <c r="U3187" s="453" t="n"/>
      <c r="V3187" s="453" t="n"/>
    </row>
    <row r="3188" customFormat="1" s="21">
      <c r="A3188" s="411" t="inlineStr">
        <is>
          <t>Boreal Moist</t>
        </is>
      </c>
      <c r="B3188" s="1674" t="n">
        <v>0</v>
      </c>
      <c r="C3188" s="1674" t="n">
        <v>0</v>
      </c>
      <c r="D3188" s="1674">
        <f>AVERAGE(0.02,0,0.02,0.02)</f>
        <v/>
      </c>
      <c r="E3188" s="1674" t="n">
        <v>0.035</v>
      </c>
      <c r="F3188" s="1674" t="n">
        <v>0.12</v>
      </c>
      <c r="G3188" s="1674" t="n">
        <v>0</v>
      </c>
      <c r="H3188" s="1674" t="n">
        <v>0</v>
      </c>
      <c r="I3188" s="1674" t="n">
        <v>0</v>
      </c>
      <c r="J3188" s="1674" t="n">
        <v>0</v>
      </c>
      <c r="K3188" s="1674" t="n">
        <v>0</v>
      </c>
      <c r="L3188" s="1674" t="n">
        <v>0</v>
      </c>
      <c r="M3188" s="41" t="n">
        <v>0.035</v>
      </c>
      <c r="N3188" s="467">
        <f>AVERAGE(0,0.06,0.06,0.04)</f>
        <v/>
      </c>
      <c r="O3188" s="467" t="n">
        <v>0</v>
      </c>
      <c r="P3188" s="467" t="n"/>
      <c r="Q3188" s="453" t="n"/>
      <c r="R3188" s="453" t="n"/>
      <c r="S3188" s="453" t="n"/>
      <c r="T3188" s="453" t="n"/>
      <c r="U3188" s="453" t="n"/>
      <c r="V3188" s="453" t="n"/>
    </row>
    <row r="3189" customFormat="1" s="21">
      <c r="A3189" s="411" t="inlineStr">
        <is>
          <t>Boreal Dry</t>
        </is>
      </c>
      <c r="B3189" s="1674" t="n">
        <v>0</v>
      </c>
      <c r="C3189" s="1674" t="n">
        <v>0</v>
      </c>
      <c r="D3189" s="1674">
        <f>AVERAGE(0.02,0,0.02,0.02)</f>
        <v/>
      </c>
      <c r="E3189" s="1674" t="n">
        <v>0.035</v>
      </c>
      <c r="F3189" s="1674" t="n">
        <v>0</v>
      </c>
      <c r="G3189" s="1674" t="n">
        <v>0</v>
      </c>
      <c r="H3189" s="1674" t="n">
        <v>0</v>
      </c>
      <c r="I3189" s="1674" t="n">
        <v>0</v>
      </c>
      <c r="J3189" s="1674" t="n">
        <v>0</v>
      </c>
      <c r="K3189" s="1674" t="n">
        <v>0</v>
      </c>
      <c r="L3189" s="1674" t="n">
        <v>0</v>
      </c>
      <c r="M3189" s="41" t="n">
        <v>0.035</v>
      </c>
      <c r="N3189" s="467">
        <f>AVERAGE(0,0.06,0.06,0.04)</f>
        <v/>
      </c>
      <c r="O3189" s="467" t="n">
        <v>0</v>
      </c>
      <c r="P3189" s="467" t="n"/>
      <c r="Q3189" s="453" t="n"/>
      <c r="R3189" s="453" t="n"/>
      <c r="S3189" s="453" t="n"/>
      <c r="T3189" s="453" t="n"/>
      <c r="U3189" s="453" t="n"/>
      <c r="V3189" s="453" t="n"/>
    </row>
    <row r="3190" customFormat="1" s="21">
      <c r="A3190" s="411" t="inlineStr">
        <is>
          <t>Warm Temperate Moist</t>
        </is>
      </c>
      <c r="B3190" s="1674" t="n">
        <v>0</v>
      </c>
      <c r="C3190" s="1674" t="n">
        <v>0</v>
      </c>
      <c r="D3190" s="1674">
        <f>AVERAGE(0.02,0,0.02,0.02)</f>
        <v/>
      </c>
      <c r="E3190" s="1674" t="n">
        <v>0.035</v>
      </c>
      <c r="F3190" s="1674" t="n">
        <v>0.12</v>
      </c>
      <c r="G3190" s="1674" t="n">
        <v>0</v>
      </c>
      <c r="H3190" s="1674" t="n">
        <v>0</v>
      </c>
      <c r="I3190" s="1674" t="n">
        <v>0</v>
      </c>
      <c r="J3190" s="1674" t="n">
        <v>0</v>
      </c>
      <c r="K3190" s="1674" t="n">
        <v>0</v>
      </c>
      <c r="L3190" s="1674" t="n">
        <v>0</v>
      </c>
      <c r="M3190" s="41" t="n">
        <v>0.035</v>
      </c>
      <c r="N3190" s="467">
        <f>AVERAGE(0,0.06,0.06,0.04)</f>
        <v/>
      </c>
      <c r="O3190" s="467" t="n">
        <v>0</v>
      </c>
      <c r="P3190" s="467" t="n"/>
      <c r="Q3190" s="453" t="n"/>
      <c r="R3190" s="453" t="n"/>
      <c r="S3190" s="453" t="n"/>
      <c r="T3190" s="453" t="n"/>
      <c r="U3190" s="453" t="n"/>
      <c r="V3190" s="453" t="n"/>
    </row>
    <row r="3191" customFormat="1" s="21">
      <c r="A3191" s="411" t="inlineStr">
        <is>
          <t>Warm Temperate Dry</t>
        </is>
      </c>
      <c r="B3191" s="1674" t="n">
        <v>0</v>
      </c>
      <c r="C3191" s="1674" t="n">
        <v>0</v>
      </c>
      <c r="D3191" s="1674">
        <f>AVERAGE(0.02,0,0.02,0.02)</f>
        <v/>
      </c>
      <c r="E3191" s="1674" t="n">
        <v>0.035</v>
      </c>
      <c r="F3191" s="1674" t="n">
        <v>0</v>
      </c>
      <c r="G3191" s="1674" t="n">
        <v>0</v>
      </c>
      <c r="H3191" s="1674" t="n">
        <v>0</v>
      </c>
      <c r="I3191" s="1674" t="n">
        <v>0</v>
      </c>
      <c r="J3191" s="1674" t="n">
        <v>0</v>
      </c>
      <c r="K3191" s="1674" t="n">
        <v>0</v>
      </c>
      <c r="L3191" s="1674" t="n">
        <v>0</v>
      </c>
      <c r="M3191" s="41" t="n">
        <v>0.035</v>
      </c>
      <c r="N3191" s="467">
        <f>AVERAGE(0,0.06,0.06,0.04)</f>
        <v/>
      </c>
      <c r="O3191" s="467" t="n">
        <v>0</v>
      </c>
      <c r="P3191" s="467" t="n"/>
      <c r="Q3191" s="453" t="n"/>
      <c r="R3191" s="453" t="n"/>
      <c r="S3191" s="453" t="n"/>
      <c r="T3191" s="453" t="n"/>
      <c r="U3191" s="453" t="n"/>
      <c r="V3191" s="453" t="n"/>
    </row>
    <row r="3192" customFormat="1" s="21">
      <c r="A3192" s="411" t="inlineStr">
        <is>
          <t>Tropical Montane</t>
        </is>
      </c>
      <c r="B3192" s="1674" t="n">
        <v>0</v>
      </c>
      <c r="C3192" s="1674" t="n">
        <v>0</v>
      </c>
      <c r="D3192" s="1674">
        <f>AVERAGE(0.02,0,0.02,0.02)</f>
        <v/>
      </c>
      <c r="E3192" s="1674" t="n">
        <v>0.035</v>
      </c>
      <c r="F3192" s="1674" t="n">
        <v>0</v>
      </c>
      <c r="G3192" s="1674" t="n">
        <v>0</v>
      </c>
      <c r="H3192" s="1674" t="n">
        <v>0</v>
      </c>
      <c r="I3192" s="1674" t="n">
        <v>0</v>
      </c>
      <c r="J3192" s="1674" t="n">
        <v>0</v>
      </c>
      <c r="K3192" s="1674" t="n">
        <v>0</v>
      </c>
      <c r="L3192" s="1674" t="n">
        <v>0</v>
      </c>
      <c r="M3192" s="41" t="n">
        <v>0.035</v>
      </c>
      <c r="N3192" s="467">
        <f>AVERAGE(0,0.06,0.06,0.04)</f>
        <v/>
      </c>
      <c r="O3192" s="467" t="n">
        <v>0</v>
      </c>
      <c r="P3192" s="467" t="n"/>
      <c r="Q3192" s="453" t="n"/>
      <c r="R3192" s="453" t="n"/>
      <c r="S3192" s="453" t="n"/>
      <c r="T3192" s="453" t="n"/>
      <c r="U3192" s="453" t="n"/>
      <c r="V3192" s="453" t="n"/>
    </row>
    <row r="3193" customFormat="1" s="21">
      <c r="A3193" s="411" t="inlineStr">
        <is>
          <t>Tropical Wet</t>
        </is>
      </c>
      <c r="B3193" s="1674" t="n">
        <v>0</v>
      </c>
      <c r="C3193" s="1674" t="n">
        <v>0</v>
      </c>
      <c r="D3193" s="1674">
        <f>AVERAGE(0.02,0,0.02,0.02)</f>
        <v/>
      </c>
      <c r="E3193" s="1674" t="n">
        <v>0.035</v>
      </c>
      <c r="F3193" s="1674" t="n">
        <v>0.24</v>
      </c>
      <c r="G3193" s="1674" t="n">
        <v>0</v>
      </c>
      <c r="H3193" s="1674" t="n">
        <v>0</v>
      </c>
      <c r="I3193" s="1674" t="n">
        <v>0</v>
      </c>
      <c r="J3193" s="1674" t="n">
        <v>0</v>
      </c>
      <c r="K3193" s="1674" t="n">
        <v>0</v>
      </c>
      <c r="L3193" s="1674" t="n">
        <v>0</v>
      </c>
      <c r="M3193" s="41" t="n">
        <v>0.035</v>
      </c>
      <c r="N3193" s="467">
        <f>AVERAGE(0,0.06,0.06,0.04)</f>
        <v/>
      </c>
      <c r="O3193" s="467" t="n">
        <v>0</v>
      </c>
      <c r="P3193" s="467" t="n"/>
    </row>
    <row r="3194" customFormat="1" s="453">
      <c r="A3194" s="411" t="inlineStr">
        <is>
          <t>Tropical Moist</t>
        </is>
      </c>
      <c r="B3194" s="1674" t="n">
        <v>0</v>
      </c>
      <c r="C3194" s="1674" t="n">
        <v>0</v>
      </c>
      <c r="D3194" s="1674">
        <f>AVERAGE(0.02,0,0.02,0.02)</f>
        <v/>
      </c>
      <c r="E3194" s="1674" t="n">
        <v>0.035</v>
      </c>
      <c r="F3194" s="1674" t="n">
        <v>0.12</v>
      </c>
      <c r="G3194" s="1674" t="n">
        <v>0</v>
      </c>
      <c r="H3194" s="1674" t="n">
        <v>0</v>
      </c>
      <c r="I3194" s="1674" t="n">
        <v>0</v>
      </c>
      <c r="J3194" s="1674" t="n">
        <v>0</v>
      </c>
      <c r="K3194" s="1674" t="n">
        <v>0</v>
      </c>
      <c r="L3194" s="1674" t="n">
        <v>0</v>
      </c>
      <c r="M3194" s="41" t="n">
        <v>0.035</v>
      </c>
      <c r="N3194" s="467">
        <f>AVERAGE(0,0.06,0.06,0.04)</f>
        <v/>
      </c>
      <c r="O3194" s="467" t="n">
        <v>0</v>
      </c>
      <c r="P3194" s="467" t="n"/>
    </row>
    <row r="3195" customFormat="1" s="453">
      <c r="A3195" s="411" t="inlineStr">
        <is>
          <t>Tropical Dry</t>
        </is>
      </c>
      <c r="B3195" s="1675" t="n">
        <v>0</v>
      </c>
      <c r="C3195" s="1675" t="n">
        <v>0</v>
      </c>
      <c r="D3195" s="1675">
        <f>AVERAGE(0.02,0,0.02,0.02)</f>
        <v/>
      </c>
      <c r="E3195" s="1675" t="n">
        <v>0.035</v>
      </c>
      <c r="F3195" s="1675" t="n">
        <v>0</v>
      </c>
      <c r="G3195" s="1675" t="n">
        <v>0</v>
      </c>
      <c r="H3195" s="1675" t="n">
        <v>0</v>
      </c>
      <c r="I3195" s="1675" t="n">
        <v>0</v>
      </c>
      <c r="J3195" s="1675" t="n">
        <v>0</v>
      </c>
      <c r="K3195" s="1675" t="n">
        <v>0</v>
      </c>
      <c r="L3195" s="1675" t="n">
        <v>0</v>
      </c>
      <c r="M3195" s="42" t="n">
        <v>0.035</v>
      </c>
      <c r="N3195" s="654">
        <f>AVERAGE(0,0.06,0.06,0.04)</f>
        <v/>
      </c>
      <c r="O3195" s="654" t="n">
        <v>0</v>
      </c>
      <c r="P3195" s="467" t="n"/>
    </row>
    <row r="3196" customFormat="1" s="535">
      <c r="A3196" s="518" t="inlineStr">
        <is>
          <t>Notes :  Fracleachmoist=1/2Frac leach wet for PRP</t>
        </is>
      </c>
      <c r="F3196" s="1624" t="n"/>
      <c r="G3196" s="1624" t="n"/>
      <c r="H3196" s="1624" t="n"/>
      <c r="I3196" s="1624" t="n"/>
      <c r="J3196" s="1624" t="n"/>
      <c r="K3196" s="1624" t="n"/>
      <c r="L3196" s="1624" t="n"/>
      <c r="M3196" s="1624" t="n"/>
      <c r="N3196" s="1624" t="n"/>
    </row>
    <row r="3197" customFormat="1" s="292"/>
    <row r="3200" ht="24" customFormat="1" customHeight="1" s="1086">
      <c r="A3200" s="1086" t="inlineStr">
        <is>
          <t xml:space="preserve">Flooded land </t>
        </is>
      </c>
    </row>
    <row r="3202" customFormat="1" s="125">
      <c r="A3202" s="377" t="inlineStr">
        <is>
          <t xml:space="preserve">Emission factors for other constructed waterbodies </t>
        </is>
      </c>
      <c r="D3202" s="1075" t="n"/>
      <c r="E3202" s="1075" t="n"/>
      <c r="F3202" s="1075" t="n"/>
      <c r="G3202" s="1075" t="n"/>
      <c r="H3202" s="1075" t="n"/>
      <c r="I3202" s="1075" t="n"/>
    </row>
    <row r="3203" ht="16.25" customFormat="1" customHeight="1" s="773">
      <c r="A3203" s="753" t="n"/>
      <c r="B3203" s="442" t="inlineStr">
        <is>
          <t>Table 7.12</t>
        </is>
      </c>
      <c r="C3203" s="442" t="inlineStr">
        <is>
          <t>Table 7.12</t>
        </is>
      </c>
      <c r="D3203" s="442" t="inlineStr">
        <is>
          <t>Table 7.12</t>
        </is>
      </c>
      <c r="E3203" s="442" t="inlineStr">
        <is>
          <t>Table 7.12</t>
        </is>
      </c>
      <c r="F3203" s="442" t="n"/>
      <c r="G3203" s="442" t="n"/>
      <c r="H3203" s="442" t="n"/>
      <c r="I3203" s="442" t="n"/>
      <c r="J3203" s="442" t="n"/>
      <c r="K3203" s="442" t="n"/>
      <c r="L3203" s="442" t="n"/>
      <c r="M3203" s="442" t="n"/>
      <c r="N3203" s="442" t="n"/>
      <c r="O3203" s="442" t="n"/>
      <c r="P3203" s="442" t="n"/>
      <c r="Q3203" s="442" t="n"/>
      <c r="R3203" s="442" t="n"/>
      <c r="S3203" s="442" t="n"/>
      <c r="T3203" s="442" t="n"/>
      <c r="U3203" s="442" t="n"/>
      <c r="V3203" s="442" t="n"/>
      <c r="W3203" s="442" t="n"/>
    </row>
    <row r="3204" ht="16" customFormat="1" customHeight="1" s="291">
      <c r="A3204" s="2368" t="inlineStr">
        <is>
          <t>Please select</t>
        </is>
      </c>
      <c r="B3204" s="1656" t="inlineStr">
        <is>
          <t>Freshwater pond</t>
        </is>
      </c>
      <c r="C3204" s="1656" t="inlineStr">
        <is>
          <t>Brackishwater pond</t>
        </is>
      </c>
      <c r="D3204" s="1656" t="inlineStr">
        <is>
          <t>Canals &amp; Ditches</t>
        </is>
      </c>
      <c r="E3204" s="1639" t="inlineStr">
        <is>
          <t>Saline pond</t>
        </is>
      </c>
      <c r="F3204" s="734" t="n"/>
      <c r="G3204" s="2371" t="n"/>
      <c r="H3204" s="2370" t="n"/>
      <c r="I3204" s="2371" t="n"/>
      <c r="J3204" s="2371" t="n"/>
      <c r="K3204" s="2371" t="n"/>
      <c r="L3204" s="2371" t="n"/>
      <c r="M3204" s="2371" t="n"/>
      <c r="N3204" s="2371" t="n"/>
      <c r="O3204" s="2371" t="n"/>
      <c r="P3204" s="2371" t="n"/>
      <c r="Q3204" s="2371" t="n"/>
      <c r="R3204" s="2371" t="n"/>
      <c r="S3204" s="1456" t="n"/>
      <c r="T3204" s="419" t="n"/>
      <c r="U3204" s="419" t="n"/>
      <c r="V3204" s="453" t="n"/>
      <c r="W3204" s="453" t="n"/>
      <c r="X3204" s="453" t="n"/>
      <c r="Y3204" s="453" t="n"/>
      <c r="Z3204" s="21" t="n"/>
      <c r="AA3204" s="21" t="n"/>
    </row>
    <row r="3205" ht="16" customFormat="1" customHeight="1" s="1093">
      <c r="A3205" s="544" t="inlineStr">
        <is>
          <t>Climate zone</t>
        </is>
      </c>
      <c r="B3205" s="1631" t="inlineStr">
        <is>
          <t>kgCH4/ha/yr</t>
        </is>
      </c>
      <c r="C3205" s="1631" t="inlineStr">
        <is>
          <t>kgCH4/ha/yr</t>
        </is>
      </c>
      <c r="D3205" s="1631" t="inlineStr">
        <is>
          <t>kgCH4/ha/yr</t>
        </is>
      </c>
      <c r="E3205" s="1631" t="inlineStr">
        <is>
          <t>kgCH4/ha/yr</t>
        </is>
      </c>
      <c r="F3205" s="1091" t="n"/>
      <c r="G3205" s="1092" t="n"/>
      <c r="H3205" s="1092" t="n"/>
      <c r="I3205" s="1092" t="n"/>
      <c r="J3205" s="1092" t="n"/>
      <c r="K3205" s="1092" t="n"/>
      <c r="L3205" s="1092" t="n"/>
      <c r="M3205" s="1092" t="n"/>
      <c r="N3205" s="1092" t="n"/>
      <c r="O3205" s="1092" t="n"/>
      <c r="P3205" s="1092" t="n"/>
      <c r="Q3205" s="1092" t="n"/>
      <c r="R3205" s="1092" t="n"/>
      <c r="S3205" s="1092" t="n"/>
      <c r="T3205" s="1092" t="n"/>
      <c r="U3205" s="1092" t="n"/>
      <c r="V3205" s="1092" t="n"/>
      <c r="W3205" s="1092" t="n"/>
      <c r="X3205" s="1092" t="n"/>
      <c r="Y3205" s="1092" t="n"/>
    </row>
    <row r="3206" customFormat="1" s="21">
      <c r="A3206" s="413" t="inlineStr">
        <is>
          <t>Cool Temperate Moist</t>
        </is>
      </c>
      <c r="B3206" s="1640" t="n">
        <v>183</v>
      </c>
      <c r="C3206" s="1640" t="n">
        <v>183</v>
      </c>
      <c r="D3206" s="1640" t="n">
        <v>416</v>
      </c>
      <c r="E3206" s="1640" t="n">
        <v>30</v>
      </c>
      <c r="F3206" s="451" t="n"/>
      <c r="G3206" s="453" t="n"/>
      <c r="H3206" s="453" t="n"/>
      <c r="I3206" s="453" t="n"/>
      <c r="J3206" s="453" t="n"/>
      <c r="K3206" s="453" t="n"/>
      <c r="L3206" s="453" t="n"/>
      <c r="M3206" s="453" t="n"/>
      <c r="N3206" s="453" t="n"/>
      <c r="O3206" s="453" t="n"/>
      <c r="P3206" s="453" t="n"/>
      <c r="Q3206" s="453" t="n"/>
      <c r="R3206" s="453" t="n"/>
      <c r="S3206" s="453" t="n"/>
      <c r="T3206" s="453" t="n"/>
      <c r="U3206" s="453" t="n"/>
      <c r="V3206" s="453" t="n"/>
      <c r="W3206" s="453" t="n"/>
      <c r="X3206" s="453" t="n"/>
      <c r="Y3206" s="453" t="n"/>
    </row>
    <row r="3207" customFormat="1" s="21">
      <c r="A3207" s="403" t="inlineStr">
        <is>
          <t>Cool Temperate Dry</t>
        </is>
      </c>
      <c r="B3207" s="468" t="n">
        <v>183</v>
      </c>
      <c r="C3207" s="468" t="n">
        <v>183</v>
      </c>
      <c r="D3207" s="468" t="n">
        <v>416</v>
      </c>
      <c r="E3207" s="468" t="n">
        <v>30</v>
      </c>
      <c r="F3207" s="451" t="n"/>
      <c r="G3207" s="453" t="n"/>
      <c r="H3207" s="453" t="n"/>
      <c r="I3207" s="453" t="n"/>
      <c r="J3207" s="453" t="n"/>
      <c r="K3207" s="453" t="n"/>
      <c r="L3207" s="453" t="n"/>
      <c r="M3207" s="453" t="n"/>
      <c r="N3207" s="453" t="n"/>
      <c r="O3207" s="453" t="n"/>
      <c r="P3207" s="453" t="n"/>
      <c r="Q3207" s="453" t="n"/>
      <c r="R3207" s="453" t="n"/>
      <c r="S3207" s="453" t="n"/>
      <c r="T3207" s="453" t="n"/>
      <c r="U3207" s="453" t="n"/>
      <c r="V3207" s="453" t="n"/>
      <c r="W3207" s="453" t="n"/>
      <c r="X3207" s="453" t="n"/>
      <c r="Y3207" s="453" t="n"/>
    </row>
    <row r="3208" customFormat="1" s="21">
      <c r="A3208" s="403" t="inlineStr">
        <is>
          <t>Boreal Moist</t>
        </is>
      </c>
      <c r="B3208" s="468" t="n">
        <v>183</v>
      </c>
      <c r="C3208" s="468" t="n">
        <v>183</v>
      </c>
      <c r="D3208" s="468" t="n">
        <v>416</v>
      </c>
      <c r="E3208" s="468" t="n">
        <v>30</v>
      </c>
      <c r="F3208" s="451" t="n"/>
      <c r="G3208" s="453" t="n"/>
      <c r="H3208" s="453" t="n"/>
      <c r="I3208" s="453" t="n"/>
      <c r="J3208" s="453" t="n"/>
      <c r="K3208" s="453" t="n"/>
      <c r="L3208" s="453" t="n"/>
      <c r="M3208" s="453" t="n"/>
      <c r="N3208" s="453" t="n"/>
      <c r="O3208" s="453" t="n"/>
      <c r="P3208" s="453" t="n"/>
      <c r="Q3208" s="453" t="n"/>
      <c r="R3208" s="453" t="n"/>
      <c r="S3208" s="453" t="n"/>
      <c r="T3208" s="453" t="n"/>
      <c r="U3208" s="453" t="n"/>
      <c r="V3208" s="453" t="n"/>
      <c r="W3208" s="453" t="n"/>
      <c r="X3208" s="453" t="n"/>
      <c r="Y3208" s="453" t="n"/>
    </row>
    <row r="3209" customFormat="1" s="21">
      <c r="A3209" s="403" t="inlineStr">
        <is>
          <t>Boreal Dry</t>
        </is>
      </c>
      <c r="B3209" s="468" t="n">
        <v>183</v>
      </c>
      <c r="C3209" s="468" t="n">
        <v>183</v>
      </c>
      <c r="D3209" s="468" t="n">
        <v>416</v>
      </c>
      <c r="E3209" s="468" t="n">
        <v>30</v>
      </c>
      <c r="F3209" s="451" t="n"/>
      <c r="G3209" s="453" t="n"/>
      <c r="H3209" s="453" t="n"/>
      <c r="I3209" s="453" t="n"/>
      <c r="J3209" s="453" t="n"/>
      <c r="K3209" s="453" t="n"/>
      <c r="L3209" s="453" t="n"/>
      <c r="M3209" s="453" t="n"/>
      <c r="N3209" s="453" t="n"/>
      <c r="O3209" s="453" t="n"/>
      <c r="P3209" s="453" t="n"/>
      <c r="Q3209" s="453" t="n"/>
      <c r="R3209" s="453" t="n"/>
      <c r="S3209" s="453" t="n"/>
      <c r="T3209" s="453" t="n"/>
      <c r="U3209" s="453" t="n"/>
      <c r="V3209" s="453" t="n"/>
      <c r="W3209" s="453" t="n"/>
      <c r="X3209" s="453" t="n"/>
      <c r="Y3209" s="453" t="n"/>
    </row>
    <row r="3210" customFormat="1" s="21">
      <c r="A3210" s="403" t="inlineStr">
        <is>
          <t>Warm Temperate Moist</t>
        </is>
      </c>
      <c r="B3210" s="468" t="n">
        <v>183</v>
      </c>
      <c r="C3210" s="468" t="n">
        <v>183</v>
      </c>
      <c r="D3210" s="468" t="n">
        <v>416</v>
      </c>
      <c r="E3210" s="468" t="n">
        <v>30</v>
      </c>
      <c r="F3210" s="451" t="n"/>
      <c r="G3210" s="453" t="n"/>
      <c r="H3210" s="453" t="n"/>
      <c r="I3210" s="453" t="n"/>
      <c r="J3210" s="453" t="n"/>
      <c r="K3210" s="453" t="n"/>
      <c r="L3210" s="453" t="n"/>
      <c r="M3210" s="453" t="n"/>
      <c r="N3210" s="453" t="n"/>
      <c r="O3210" s="453" t="n"/>
      <c r="P3210" s="453" t="n"/>
      <c r="Q3210" s="453" t="n"/>
      <c r="R3210" s="453" t="n"/>
      <c r="S3210" s="453" t="n"/>
      <c r="T3210" s="453" t="n"/>
      <c r="U3210" s="453" t="n"/>
      <c r="V3210" s="453" t="n"/>
      <c r="W3210" s="453" t="n"/>
      <c r="X3210" s="453" t="n"/>
      <c r="Y3210" s="453" t="n"/>
    </row>
    <row r="3211" customFormat="1" s="21">
      <c r="A3211" s="403" t="inlineStr">
        <is>
          <t>Warm Temperate Dry</t>
        </is>
      </c>
      <c r="B3211" s="468" t="n">
        <v>183</v>
      </c>
      <c r="C3211" s="468" t="n">
        <v>183</v>
      </c>
      <c r="D3211" s="468" t="n">
        <v>416</v>
      </c>
      <c r="E3211" s="468" t="n">
        <v>30</v>
      </c>
      <c r="F3211" s="451" t="n"/>
      <c r="G3211" s="453" t="n"/>
      <c r="H3211" s="453" t="n"/>
      <c r="I3211" s="453" t="n"/>
      <c r="J3211" s="453" t="n"/>
      <c r="K3211" s="453" t="n"/>
      <c r="L3211" s="453" t="n"/>
      <c r="M3211" s="453" t="n"/>
      <c r="N3211" s="453" t="n"/>
      <c r="O3211" s="453" t="n"/>
      <c r="P3211" s="453" t="n"/>
      <c r="Q3211" s="453" t="n"/>
      <c r="R3211" s="453" t="n"/>
      <c r="S3211" s="453" t="n"/>
      <c r="T3211" s="453" t="n"/>
      <c r="U3211" s="453" t="n"/>
      <c r="V3211" s="453" t="n"/>
      <c r="W3211" s="453" t="n"/>
      <c r="X3211" s="453" t="n"/>
      <c r="Y3211" s="453" t="n"/>
    </row>
    <row r="3212" customFormat="1" s="21">
      <c r="A3212" s="403" t="inlineStr">
        <is>
          <t>Tropical Montane</t>
        </is>
      </c>
      <c r="B3212" s="468" t="n">
        <v>183</v>
      </c>
      <c r="C3212" s="468" t="n">
        <v>183</v>
      </c>
      <c r="D3212" s="468" t="n">
        <v>416</v>
      </c>
      <c r="E3212" s="468" t="n">
        <v>30</v>
      </c>
      <c r="F3212" s="451" t="n"/>
      <c r="G3212" s="453" t="n"/>
      <c r="H3212" s="453" t="n"/>
      <c r="I3212" s="453" t="n"/>
      <c r="J3212" s="453" t="n"/>
      <c r="K3212" s="453" t="n"/>
      <c r="L3212" s="453" t="n"/>
      <c r="M3212" s="453" t="n"/>
      <c r="N3212" s="453" t="n"/>
      <c r="O3212" s="453" t="n"/>
      <c r="P3212" s="453" t="n"/>
      <c r="Q3212" s="453" t="n"/>
      <c r="R3212" s="453" t="n"/>
      <c r="S3212" s="453" t="n"/>
      <c r="T3212" s="453" t="n"/>
      <c r="U3212" s="453" t="n"/>
      <c r="V3212" s="453" t="n"/>
      <c r="W3212" s="453" t="n"/>
      <c r="X3212" s="453" t="n"/>
      <c r="Y3212" s="453" t="n"/>
    </row>
    <row r="3213" customFormat="1" s="21">
      <c r="A3213" s="403" t="inlineStr">
        <is>
          <t>Tropical Wet</t>
        </is>
      </c>
      <c r="B3213" s="468" t="n">
        <v>183</v>
      </c>
      <c r="C3213" s="468" t="n">
        <v>183</v>
      </c>
      <c r="D3213" s="468" t="n">
        <v>416</v>
      </c>
      <c r="E3213" s="468" t="n">
        <v>30</v>
      </c>
      <c r="F3213" s="451" t="n"/>
      <c r="G3213" s="453" t="n"/>
      <c r="H3213" s="453" t="n"/>
      <c r="I3213" s="453" t="n"/>
      <c r="J3213" s="453" t="n"/>
      <c r="K3213" s="453" t="n"/>
      <c r="L3213" s="453" t="n"/>
      <c r="M3213" s="453" t="n"/>
      <c r="N3213" s="453" t="n"/>
      <c r="O3213" s="453" t="n"/>
      <c r="P3213" s="453" t="n"/>
      <c r="Q3213" s="453" t="n"/>
      <c r="R3213" s="453" t="n"/>
      <c r="S3213" s="453" t="n"/>
    </row>
    <row r="3214" customFormat="1" s="453">
      <c r="A3214" s="403" t="inlineStr">
        <is>
          <t>Tropical Moist</t>
        </is>
      </c>
      <c r="B3214" s="468" t="n">
        <v>183</v>
      </c>
      <c r="C3214" s="468" t="n">
        <v>183</v>
      </c>
      <c r="D3214" s="468" t="n">
        <v>416</v>
      </c>
      <c r="E3214" s="468" t="n">
        <v>30</v>
      </c>
      <c r="F3214" s="451" t="n"/>
    </row>
    <row r="3215" customFormat="1" s="421">
      <c r="A3215" s="2369" t="inlineStr">
        <is>
          <t>Tropical Dry</t>
        </is>
      </c>
      <c r="B3215" s="1646" t="n">
        <v>183</v>
      </c>
      <c r="C3215" s="1646" t="n">
        <v>183</v>
      </c>
      <c r="D3215" s="1646" t="n">
        <v>416</v>
      </c>
      <c r="E3215" s="1646" t="n">
        <v>30</v>
      </c>
      <c r="F3215" s="460" t="n"/>
    </row>
    <row r="3216" customFormat="1" s="292">
      <c r="A3216" s="1073" t="inlineStr">
        <is>
          <t xml:space="preserve">Notes </t>
        </is>
      </c>
      <c r="E3216" s="421" t="n"/>
      <c r="F3216" s="421" t="n"/>
      <c r="G3216" s="421" t="n"/>
      <c r="H3216" s="421" t="n"/>
      <c r="I3216" s="421" t="n"/>
      <c r="J3216" s="421" t="n"/>
      <c r="K3216" s="421" t="n"/>
      <c r="L3216" s="421" t="n"/>
      <c r="M3216" s="421" t="n"/>
      <c r="N3216" s="421" t="n"/>
    </row>
    <row r="3217" customFormat="1" s="292"/>
    <row r="3219" customFormat="1" s="125">
      <c r="A3219" s="377" t="inlineStr">
        <is>
          <t>Trophic state adjustment factor</t>
        </is>
      </c>
      <c r="D3219" s="1075" t="n"/>
      <c r="E3219" s="1075" t="n"/>
      <c r="F3219" s="1075" t="n"/>
      <c r="G3219" s="1075" t="n"/>
      <c r="H3219" s="1075" t="n"/>
      <c r="I3219" s="1075" t="n"/>
    </row>
    <row r="3220" ht="16.25" customFormat="1" customHeight="1" s="773">
      <c r="A3220" s="753" t="n"/>
      <c r="B3220" s="442" t="inlineStr">
        <is>
          <t>Table 7.11</t>
        </is>
      </c>
      <c r="C3220" s="442" t="inlineStr">
        <is>
          <t>Table 7.11</t>
        </is>
      </c>
      <c r="D3220" s="442" t="n"/>
      <c r="E3220" s="1075" t="n"/>
      <c r="F3220" s="442" t="n"/>
      <c r="G3220" s="442" t="n"/>
      <c r="H3220" s="442" t="n"/>
      <c r="I3220" s="442" t="n"/>
      <c r="J3220" s="442" t="n"/>
      <c r="K3220" s="442" t="n"/>
      <c r="L3220" s="442" t="n"/>
      <c r="M3220" s="442" t="n"/>
      <c r="N3220" s="442" t="n"/>
      <c r="O3220" s="442" t="n"/>
      <c r="P3220" s="442" t="n"/>
      <c r="Q3220" s="442" t="n"/>
      <c r="R3220" s="442" t="n"/>
      <c r="S3220" s="442" t="n"/>
      <c r="T3220" s="442" t="n"/>
      <c r="U3220" s="442" t="n"/>
      <c r="V3220" s="442" t="n"/>
      <c r="W3220" s="442" t="n"/>
    </row>
    <row r="3221" ht="16" customFormat="1" customHeight="1" s="291">
      <c r="A3221" s="2368" t="inlineStr">
        <is>
          <t>Trophic state</t>
        </is>
      </c>
      <c r="B3221" s="1639" t="inlineStr">
        <is>
          <t>adjustment factor</t>
        </is>
      </c>
      <c r="C3221" s="1656" t="inlineStr">
        <is>
          <t>Mean annual Chlo-a</t>
        </is>
      </c>
      <c r="D3221" s="2371" t="n"/>
      <c r="F3221" s="2370" t="n"/>
      <c r="G3221" s="2371" t="n"/>
      <c r="H3221" s="2370" t="n"/>
      <c r="I3221" s="2371" t="n"/>
      <c r="J3221" s="2371" t="n"/>
      <c r="K3221" s="2371" t="n"/>
      <c r="L3221" s="2371" t="n"/>
      <c r="M3221" s="2371" t="n"/>
      <c r="N3221" s="2371" t="n"/>
      <c r="O3221" s="2371" t="n"/>
      <c r="P3221" s="2371" t="n"/>
      <c r="Q3221" s="2371" t="n"/>
      <c r="R3221" s="2371" t="n"/>
      <c r="S3221" s="1456" t="n"/>
      <c r="T3221" s="419" t="n"/>
      <c r="U3221" s="419" t="n"/>
      <c r="V3221" s="419" t="n"/>
      <c r="W3221" s="419" t="n"/>
      <c r="X3221" s="419" t="n"/>
      <c r="Y3221" s="419" t="n"/>
    </row>
    <row r="3222" ht="16" customFormat="1" customHeight="1" s="1093">
      <c r="A3222" s="544" t="inlineStr">
        <is>
          <t>Please select</t>
        </is>
      </c>
      <c r="B3222" s="1636" t="n"/>
      <c r="C3222" s="1635" t="inlineStr">
        <is>
          <t>micrgramme/litre</t>
        </is>
      </c>
      <c r="D3222" s="1092" t="n"/>
      <c r="F3222" s="1092" t="n"/>
      <c r="G3222" s="1092" t="n"/>
      <c r="H3222" s="1092" t="n"/>
      <c r="I3222" s="1092" t="n"/>
      <c r="J3222" s="1092" t="n"/>
      <c r="K3222" s="1092" t="n"/>
      <c r="L3222" s="1092" t="n"/>
      <c r="M3222" s="1092" t="n"/>
      <c r="N3222" s="1092" t="n"/>
      <c r="O3222" s="1092" t="n"/>
      <c r="P3222" s="1092" t="n"/>
      <c r="Q3222" s="1092" t="n"/>
      <c r="R3222" s="1092" t="n"/>
      <c r="S3222" s="1092" t="n"/>
      <c r="T3222" s="1092" t="n"/>
      <c r="U3222" s="1092" t="n"/>
      <c r="V3222" s="1092" t="n"/>
      <c r="W3222" s="1092" t="n"/>
      <c r="X3222" s="1092" t="n"/>
      <c r="Y3222" s="1092" t="n"/>
    </row>
    <row r="3223" customFormat="1" s="21">
      <c r="A3223" s="408" t="inlineStr">
        <is>
          <t>Default</t>
        </is>
      </c>
      <c r="B3223" s="470" t="n">
        <v>1</v>
      </c>
      <c r="C3223" s="470" t="n"/>
      <c r="D3223" s="571" t="n"/>
      <c r="E3223" s="571" t="n"/>
      <c r="F3223" s="571" t="n"/>
      <c r="G3223" s="571" t="n"/>
      <c r="H3223" s="571" t="n"/>
      <c r="I3223" s="571" t="n"/>
    </row>
    <row r="3224" customFormat="1" s="21">
      <c r="A3224" s="403" t="inlineStr">
        <is>
          <t>Oligotrophic</t>
        </is>
      </c>
      <c r="B3224" s="468" t="n">
        <v>0.7</v>
      </c>
      <c r="C3224" s="41">
        <f>AVERAGE(0,2.6)</f>
        <v/>
      </c>
      <c r="D3224" s="2372" t="n"/>
      <c r="E3224" s="2372" t="n"/>
      <c r="F3224" s="453" t="n"/>
      <c r="G3224" s="453" t="n"/>
      <c r="H3224" s="453" t="n"/>
      <c r="I3224" s="453" t="n"/>
      <c r="J3224" s="453" t="n"/>
      <c r="K3224" s="453" t="n"/>
      <c r="L3224" s="453" t="n"/>
      <c r="M3224" s="453" t="n"/>
      <c r="N3224" s="453" t="n"/>
      <c r="O3224" s="453" t="n"/>
      <c r="P3224" s="453" t="n"/>
      <c r="Q3224" s="453" t="n"/>
      <c r="R3224" s="453" t="n"/>
      <c r="S3224" s="453" t="n"/>
      <c r="T3224" s="453" t="n"/>
      <c r="U3224" s="453" t="n"/>
      <c r="V3224" s="453" t="n"/>
      <c r="W3224" s="453" t="n"/>
      <c r="X3224" s="453" t="n"/>
      <c r="Y3224" s="453" t="n"/>
    </row>
    <row r="3225" customFormat="1" s="21">
      <c r="A3225" s="403" t="inlineStr">
        <is>
          <t>Mesotrophic</t>
        </is>
      </c>
      <c r="B3225" s="468">
        <f>AVERAGE(0.7,5.3)</f>
        <v/>
      </c>
      <c r="C3225" s="41">
        <f>AVERAGE(2.6,20)</f>
        <v/>
      </c>
      <c r="D3225" s="2372" t="n"/>
      <c r="E3225" s="2372" t="n"/>
      <c r="F3225" s="453" t="n"/>
      <c r="G3225" s="453" t="n"/>
      <c r="H3225" s="453" t="n"/>
      <c r="I3225" s="453" t="n"/>
      <c r="J3225" s="453" t="n"/>
      <c r="K3225" s="453" t="n"/>
      <c r="L3225" s="453" t="n"/>
      <c r="M3225" s="453" t="n"/>
      <c r="N3225" s="453" t="n"/>
      <c r="O3225" s="453" t="n"/>
      <c r="P3225" s="453" t="n"/>
      <c r="Q3225" s="453" t="n"/>
      <c r="R3225" s="453" t="n"/>
      <c r="S3225" s="453" t="n"/>
      <c r="T3225" s="453" t="n"/>
      <c r="U3225" s="453" t="n"/>
      <c r="V3225" s="453" t="n"/>
      <c r="W3225" s="453" t="n"/>
      <c r="X3225" s="453" t="n"/>
      <c r="Y3225" s="453" t="n"/>
    </row>
    <row r="3226" customFormat="1" s="21">
      <c r="A3226" s="403" t="inlineStr">
        <is>
          <t>Eutrophic</t>
        </is>
      </c>
      <c r="B3226" s="468">
        <f>AVERAGE(5.3,14.5)</f>
        <v/>
      </c>
      <c r="C3226" s="41">
        <f>AVERAGE(20,56)</f>
        <v/>
      </c>
      <c r="D3226" s="2372" t="n"/>
      <c r="E3226" s="2372" t="n"/>
      <c r="F3226" s="453" t="n"/>
      <c r="G3226" s="453" t="n"/>
      <c r="H3226" s="453" t="n"/>
      <c r="I3226" s="453" t="n"/>
      <c r="J3226" s="453" t="n"/>
      <c r="K3226" s="453" t="n"/>
      <c r="L3226" s="453" t="n"/>
      <c r="M3226" s="453" t="n"/>
      <c r="N3226" s="453" t="n"/>
      <c r="O3226" s="453" t="n"/>
      <c r="P3226" s="453" t="n"/>
      <c r="Q3226" s="453" t="n"/>
      <c r="R3226" s="453" t="n"/>
      <c r="S3226" s="453" t="n"/>
      <c r="T3226" s="453" t="n"/>
      <c r="U3226" s="453" t="n"/>
      <c r="V3226" s="453" t="n"/>
      <c r="W3226" s="453" t="n"/>
      <c r="X3226" s="453" t="n"/>
      <c r="Y3226" s="453" t="n"/>
    </row>
    <row r="3227" customFormat="1" s="292">
      <c r="A3227" s="2369" t="inlineStr">
        <is>
          <t>Hypereutrophic</t>
        </is>
      </c>
      <c r="B3227" s="460">
        <f>AVERAGE(14.5,39.4)</f>
        <v/>
      </c>
      <c r="C3227" s="42">
        <f>AVERAGE(56,155)</f>
        <v/>
      </c>
      <c r="D3227" s="421" t="n"/>
      <c r="E3227" s="421" t="n"/>
      <c r="F3227" s="421" t="n"/>
      <c r="G3227" s="421" t="n"/>
      <c r="H3227" s="421" t="n"/>
      <c r="I3227" s="421" t="n"/>
      <c r="J3227" s="421" t="n"/>
      <c r="K3227" s="421" t="n"/>
      <c r="L3227" s="421" t="n"/>
      <c r="M3227" s="421" t="n"/>
      <c r="N3227" s="421" t="n"/>
      <c r="O3227" s="421" t="n"/>
      <c r="P3227" s="421" t="n"/>
      <c r="Q3227" s="421" t="n"/>
      <c r="R3227" s="421" t="n"/>
      <c r="S3227" s="421" t="n"/>
      <c r="T3227" s="421" t="n"/>
      <c r="U3227" s="421" t="n"/>
      <c r="V3227" s="421" t="n"/>
      <c r="W3227" s="421" t="n"/>
      <c r="X3227" s="421" t="n"/>
      <c r="Y3227" s="421" t="n"/>
    </row>
    <row r="3228" customFormat="1" s="292">
      <c r="A3228" s="1073" t="inlineStr">
        <is>
          <t xml:space="preserve">Notes </t>
        </is>
      </c>
      <c r="E3228" s="421" t="n"/>
      <c r="F3228" s="421" t="n"/>
      <c r="G3228" s="421" t="n"/>
      <c r="H3228" s="421" t="n"/>
      <c r="I3228" s="421" t="n"/>
      <c r="J3228" s="421" t="n"/>
      <c r="K3228" s="421" t="n"/>
      <c r="L3228" s="421" t="n"/>
      <c r="M3228" s="421" t="n"/>
      <c r="N3228" s="421" t="n"/>
    </row>
    <row r="3229" customFormat="1" s="292"/>
    <row r="3231" ht="24" customFormat="1" customHeight="1" s="1086">
      <c r="A3231" s="1086" t="inlineStr">
        <is>
          <t>Perennial systems</t>
        </is>
      </c>
    </row>
    <row r="3233" customFormat="1" s="125">
      <c r="A3233" s="377" t="inlineStr">
        <is>
          <t>Maximum AGB C stock at harvest</t>
        </is>
      </c>
      <c r="B3233" s="532" t="n"/>
      <c r="E3233" s="1075" t="n"/>
      <c r="F3233" s="1075" t="n"/>
      <c r="G3233" s="1075" t="n"/>
      <c r="H3233" s="1075" t="n"/>
      <c r="I3233" s="1075" t="n"/>
      <c r="J3233" s="1075" t="n"/>
    </row>
    <row r="3234" ht="16.25" customFormat="1" customHeight="1" s="773">
      <c r="A3234" s="753" t="n"/>
      <c r="B3234" s="442" t="inlineStr">
        <is>
          <t>Table 5.1</t>
        </is>
      </c>
      <c r="C3234" s="442" t="inlineStr">
        <is>
          <t>Table 5.1</t>
        </is>
      </c>
      <c r="D3234" s="442" t="inlineStr">
        <is>
          <t>Table 5.1</t>
        </is>
      </c>
      <c r="E3234" s="442" t="inlineStr">
        <is>
          <t>Table 5.1</t>
        </is>
      </c>
      <c r="F3234" s="442" t="inlineStr">
        <is>
          <t>Table 5.1</t>
        </is>
      </c>
      <c r="G3234" s="442" t="inlineStr">
        <is>
          <t>Table 5.1</t>
        </is>
      </c>
      <c r="H3234" s="442" t="inlineStr">
        <is>
          <t>Table 5.1</t>
        </is>
      </c>
      <c r="I3234" s="442" t="inlineStr">
        <is>
          <t>Table 5.1</t>
        </is>
      </c>
      <c r="J3234" s="442" t="inlineStr">
        <is>
          <t>Table 5.1</t>
        </is>
      </c>
      <c r="K3234" s="442" t="inlineStr">
        <is>
          <t>Table 5.3</t>
        </is>
      </c>
      <c r="L3234" s="442" t="inlineStr">
        <is>
          <t>Table 5.3</t>
        </is>
      </c>
      <c r="M3234" s="442" t="inlineStr">
        <is>
          <t>Table 5.3</t>
        </is>
      </c>
      <c r="N3234" s="442" t="inlineStr">
        <is>
          <t>Table 5.3</t>
        </is>
      </c>
      <c r="O3234" s="442" t="inlineStr">
        <is>
          <t>Table 5.3</t>
        </is>
      </c>
      <c r="P3234" s="442" t="inlineStr">
        <is>
          <t>Table 5.3</t>
        </is>
      </c>
      <c r="Q3234" s="442" t="inlineStr">
        <is>
          <t>Table 5.3</t>
        </is>
      </c>
      <c r="R3234" s="442" t="n"/>
      <c r="S3234" s="442" t="n"/>
      <c r="T3234" s="442" t="n"/>
      <c r="U3234" s="442" t="n"/>
      <c r="V3234" s="442" t="n"/>
      <c r="W3234" s="442" t="n"/>
      <c r="X3234" s="442" t="n"/>
    </row>
    <row r="3235" customFormat="1" s="291">
      <c r="A3235" s="2368" t="inlineStr">
        <is>
          <t>Please select</t>
        </is>
      </c>
      <c r="B3235" s="2368" t="inlineStr">
        <is>
          <t>Agroforestry - default</t>
        </is>
      </c>
      <c r="C3235" s="371" t="inlineStr">
        <is>
          <t>Alley cropping</t>
        </is>
      </c>
      <c r="D3235" s="371" t="inlineStr">
        <is>
          <t>Perennial fallow</t>
        </is>
      </c>
      <c r="E3235" s="371" t="inlineStr">
        <is>
          <t>Hedgerow</t>
        </is>
      </c>
      <c r="F3235" s="371" t="inlineStr">
        <is>
          <t>Multistrata</t>
        </is>
      </c>
      <c r="G3235" s="371" t="inlineStr">
        <is>
          <t>Parkland</t>
        </is>
      </c>
      <c r="H3235" s="371" t="inlineStr">
        <is>
          <t>Shaded Perennial</t>
        </is>
      </c>
      <c r="I3235" s="371" t="inlineStr">
        <is>
          <t>Silvoarable</t>
        </is>
      </c>
      <c r="J3235" s="371" t="inlineStr">
        <is>
          <t>Silvopasture</t>
        </is>
      </c>
      <c r="K3235" s="371" t="inlineStr">
        <is>
          <t>Olive</t>
        </is>
      </c>
      <c r="L3235" s="371" t="inlineStr">
        <is>
          <t>Orchard</t>
        </is>
      </c>
      <c r="M3235" s="371" t="inlineStr">
        <is>
          <t>Vine</t>
        </is>
      </c>
      <c r="N3235" s="371" t="inlineStr">
        <is>
          <t>Short Rotation Coppice</t>
        </is>
      </c>
      <c r="O3235" s="371" t="inlineStr">
        <is>
          <t>Oil palm</t>
        </is>
      </c>
      <c r="P3235" s="371" t="inlineStr">
        <is>
          <t>Rubber</t>
        </is>
      </c>
      <c r="Q3235" s="371" t="inlineStr">
        <is>
          <t>Tea</t>
        </is>
      </c>
      <c r="R3235" s="2371" t="n"/>
      <c r="S3235" s="2371" t="n"/>
      <c r="T3235" s="1456" t="n"/>
      <c r="U3235" s="419" t="n"/>
      <c r="V3235" s="419" t="n"/>
      <c r="W3235" s="453" t="n"/>
      <c r="X3235" s="453" t="n"/>
      <c r="Y3235" s="453" t="n"/>
      <c r="Z3235" s="453" t="n"/>
      <c r="AA3235" s="21" t="n"/>
      <c r="AB3235" s="21" t="n"/>
    </row>
    <row r="3236" ht="16" customFormat="1" customHeight="1" s="1093">
      <c r="A3236" s="544" t="inlineStr">
        <is>
          <t>Climate zone</t>
        </is>
      </c>
      <c r="B3236" s="31" t="inlineStr">
        <is>
          <t>tC/ha</t>
        </is>
      </c>
      <c r="C3236" s="31" t="inlineStr">
        <is>
          <t>tC/ha</t>
        </is>
      </c>
      <c r="D3236" s="31" t="inlineStr">
        <is>
          <t>tC/ha</t>
        </is>
      </c>
      <c r="E3236" s="31" t="inlineStr">
        <is>
          <t>tC/ha</t>
        </is>
      </c>
      <c r="F3236" s="31" t="inlineStr">
        <is>
          <t>tC/ha</t>
        </is>
      </c>
      <c r="G3236" s="31" t="inlineStr">
        <is>
          <t>tC/ha</t>
        </is>
      </c>
      <c r="H3236" s="31" t="inlineStr">
        <is>
          <t>tC/ha</t>
        </is>
      </c>
      <c r="I3236" s="31" t="inlineStr">
        <is>
          <t>tC/ha</t>
        </is>
      </c>
      <c r="J3236" s="31" t="inlineStr">
        <is>
          <t>tC/ha</t>
        </is>
      </c>
      <c r="K3236" s="31" t="inlineStr">
        <is>
          <t>tC/ha</t>
        </is>
      </c>
      <c r="L3236" s="31" t="inlineStr">
        <is>
          <t>tC/ha</t>
        </is>
      </c>
      <c r="M3236" s="31" t="inlineStr">
        <is>
          <t>tC/ha</t>
        </is>
      </c>
      <c r="N3236" s="31" t="inlineStr">
        <is>
          <t>tC/ha</t>
        </is>
      </c>
      <c r="O3236" s="31" t="inlineStr">
        <is>
          <t>tC/ha</t>
        </is>
      </c>
      <c r="P3236" s="31" t="inlineStr">
        <is>
          <t>tC/ha</t>
        </is>
      </c>
      <c r="Q3236" s="31" t="inlineStr">
        <is>
          <t>tC/ha</t>
        </is>
      </c>
      <c r="R3236" s="1092" t="n"/>
      <c r="S3236" s="1092" t="n"/>
      <c r="T3236" s="1092" t="n"/>
      <c r="U3236" s="1092" t="n"/>
      <c r="V3236" s="1092" t="n"/>
      <c r="W3236" s="1092" t="n"/>
      <c r="X3236" s="1092" t="n"/>
      <c r="Y3236" s="1092" t="n"/>
      <c r="Z3236" s="1092" t="n"/>
    </row>
    <row r="3237" customFormat="1" s="21">
      <c r="A3237" s="408" t="inlineStr">
        <is>
          <t>Tropical</t>
        </is>
      </c>
      <c r="B3237" s="4088">
        <f>AVERAGE(C3237:J3237)</f>
        <v/>
      </c>
      <c r="C3237" s="467" t="n">
        <v>47.4</v>
      </c>
      <c r="D3237" s="467" t="n">
        <v>22.1</v>
      </c>
      <c r="E3237" s="467" t="n">
        <v>9.4</v>
      </c>
      <c r="F3237" s="467" t="n">
        <v>65</v>
      </c>
      <c r="G3237" s="41" t="n">
        <v>11.8</v>
      </c>
      <c r="H3237" s="41" t="n">
        <v>48</v>
      </c>
      <c r="I3237" s="41" t="n">
        <v>72.2</v>
      </c>
      <c r="J3237" s="41" t="n">
        <v>58.2</v>
      </c>
      <c r="K3237" s="4073" t="n">
        <v>9.1</v>
      </c>
      <c r="L3237" s="4073" t="n">
        <v>8.5</v>
      </c>
      <c r="M3237" s="4073" t="n">
        <v>5.5</v>
      </c>
      <c r="N3237" s="4073" t="n">
        <v>12.69</v>
      </c>
      <c r="O3237" s="41" t="n">
        <v>60</v>
      </c>
      <c r="P3237" s="41" t="n">
        <v>80.2</v>
      </c>
      <c r="Q3237" s="41" t="n">
        <v>20.7</v>
      </c>
      <c r="R3237" s="453" t="n"/>
      <c r="S3237" s="453" t="n"/>
      <c r="T3237" s="453" t="n"/>
      <c r="U3237" s="453" t="n"/>
      <c r="V3237" s="453" t="n"/>
      <c r="W3237" s="453" t="n"/>
      <c r="X3237" s="453" t="n"/>
      <c r="Y3237" s="453" t="n"/>
      <c r="Z3237" s="453" t="n"/>
    </row>
    <row r="3238" customFormat="1" s="21">
      <c r="A3238" s="401" t="inlineStr">
        <is>
          <t>Cool Temperate</t>
        </is>
      </c>
      <c r="B3238" s="4088">
        <f>AVERAGE(C3238:J3238)</f>
        <v/>
      </c>
      <c r="C3238" s="4074" t="n">
        <v>47.4</v>
      </c>
      <c r="D3238" s="4074" t="n">
        <v>22.1</v>
      </c>
      <c r="E3238" s="467" t="n">
        <v>26.1</v>
      </c>
      <c r="F3238" s="467" t="n">
        <v>65</v>
      </c>
      <c r="G3238" s="41" t="n">
        <v>11.8</v>
      </c>
      <c r="H3238" s="41" t="n">
        <v>48</v>
      </c>
      <c r="I3238" s="41" t="n">
        <v>27.3</v>
      </c>
      <c r="J3238" s="41" t="n">
        <v>69.90000000000001</v>
      </c>
      <c r="K3238" s="41" t="n">
        <v>9.1</v>
      </c>
      <c r="L3238" s="41" t="n">
        <v>8.5</v>
      </c>
      <c r="M3238" s="41" t="n">
        <v>5.5</v>
      </c>
      <c r="N3238" s="41" t="n">
        <v>12.69</v>
      </c>
      <c r="O3238" s="4073" t="n">
        <v>60</v>
      </c>
      <c r="P3238" s="4073" t="n">
        <v>80.2</v>
      </c>
      <c r="Q3238" s="41" t="n">
        <v>20.7</v>
      </c>
      <c r="R3238" s="453" t="n"/>
      <c r="S3238" s="453" t="n"/>
      <c r="T3238" s="453" t="n"/>
      <c r="U3238" s="453" t="n"/>
      <c r="V3238" s="453" t="n"/>
      <c r="W3238" s="453" t="n"/>
      <c r="X3238" s="453" t="n"/>
      <c r="Y3238" s="453" t="n"/>
      <c r="Z3238" s="453" t="n"/>
    </row>
    <row r="3239" customFormat="1" s="21">
      <c r="A3239" s="401" t="inlineStr">
        <is>
          <t>Warm Temperate</t>
        </is>
      </c>
      <c r="B3239" s="4088">
        <f>AVERAGE(C3239:J3239)</f>
        <v/>
      </c>
      <c r="C3239" s="4074" t="n">
        <v>47.4</v>
      </c>
      <c r="D3239" s="4074" t="n">
        <v>22.1</v>
      </c>
      <c r="E3239" s="467" t="n">
        <v>26.1</v>
      </c>
      <c r="F3239" s="467" t="n">
        <v>65</v>
      </c>
      <c r="G3239" s="41" t="n">
        <v>11.8</v>
      </c>
      <c r="H3239" s="41" t="n">
        <v>48</v>
      </c>
      <c r="I3239" s="41" t="n">
        <v>27.3</v>
      </c>
      <c r="J3239" s="41" t="n">
        <v>69.90000000000001</v>
      </c>
      <c r="K3239" s="41" t="n">
        <v>9.1</v>
      </c>
      <c r="L3239" s="41" t="n">
        <v>8.5</v>
      </c>
      <c r="M3239" s="41" t="n">
        <v>5.5</v>
      </c>
      <c r="N3239" s="41" t="n">
        <v>12.69</v>
      </c>
      <c r="O3239" s="4073" t="n">
        <v>60</v>
      </c>
      <c r="P3239" s="4073" t="n">
        <v>80.2</v>
      </c>
      <c r="Q3239" s="41" t="n">
        <v>20.7</v>
      </c>
      <c r="R3239" s="453" t="n"/>
      <c r="S3239" s="453" t="n"/>
      <c r="T3239" s="453" t="n"/>
      <c r="U3239" s="453" t="n"/>
      <c r="V3239" s="453" t="n"/>
      <c r="W3239" s="453" t="n"/>
      <c r="X3239" s="453" t="n"/>
      <c r="Y3239" s="453" t="n"/>
      <c r="Z3239" s="453" t="n"/>
    </row>
    <row r="3240" customFormat="1" s="21">
      <c r="A3240" s="401" t="inlineStr">
        <is>
          <t>Boreal</t>
        </is>
      </c>
      <c r="B3240" s="4088">
        <f>AVERAGE(C3240:J3240)</f>
        <v/>
      </c>
      <c r="C3240" s="4074" t="n">
        <v>47.4</v>
      </c>
      <c r="D3240" s="4074" t="n">
        <v>22.1</v>
      </c>
      <c r="E3240" s="467" t="n">
        <v>26.1</v>
      </c>
      <c r="F3240" s="467" t="n">
        <v>65</v>
      </c>
      <c r="G3240" s="41" t="n">
        <v>11.8</v>
      </c>
      <c r="H3240" s="41" t="n">
        <v>48</v>
      </c>
      <c r="I3240" s="41" t="n">
        <v>0</v>
      </c>
      <c r="J3240" s="41" t="n">
        <v>69.90000000000001</v>
      </c>
      <c r="K3240" s="41" t="n">
        <v>9.1</v>
      </c>
      <c r="L3240" s="41" t="n">
        <v>8.5</v>
      </c>
      <c r="M3240" s="41" t="n">
        <v>5.5</v>
      </c>
      <c r="N3240" s="41" t="n">
        <v>12.69</v>
      </c>
      <c r="O3240" s="41" t="n">
        <v>60</v>
      </c>
      <c r="P3240" s="41" t="n">
        <v>80.2</v>
      </c>
      <c r="Q3240" s="41" t="n">
        <v>20.7</v>
      </c>
      <c r="R3240" s="453" t="n"/>
      <c r="S3240" s="453" t="n"/>
      <c r="T3240" s="453" t="n"/>
      <c r="U3240" s="453" t="n"/>
      <c r="V3240" s="453" t="n"/>
      <c r="W3240" s="453" t="n"/>
      <c r="X3240" s="453" t="n"/>
      <c r="Y3240" s="453" t="n"/>
      <c r="Z3240" s="453" t="n"/>
    </row>
    <row r="3241" customFormat="1" s="292">
      <c r="A3241" s="2376" t="inlineStr">
        <is>
          <t>Tropical montane</t>
        </is>
      </c>
      <c r="B3241" s="4089">
        <f>AVERAGE(B3237:B3238)</f>
        <v/>
      </c>
      <c r="C3241" s="4089">
        <f>AVERAGE(C3237:C3238)</f>
        <v/>
      </c>
      <c r="D3241" s="4089">
        <f>AVERAGE(D3237:D3238)</f>
        <v/>
      </c>
      <c r="E3241" s="4089">
        <f>AVERAGE(E3237:E3238)</f>
        <v/>
      </c>
      <c r="F3241" s="4089">
        <f>AVERAGE(F3237:F3238)</f>
        <v/>
      </c>
      <c r="G3241" s="4089">
        <f>AVERAGE(G3237:G3238)</f>
        <v/>
      </c>
      <c r="H3241" s="4089">
        <f>AVERAGE(H3237:H3238)</f>
        <v/>
      </c>
      <c r="I3241" s="4089">
        <f>AVERAGE(I3237:I3238)</f>
        <v/>
      </c>
      <c r="J3241" s="4089">
        <f>AVERAGE(J3237:J3238)</f>
        <v/>
      </c>
      <c r="K3241" s="4089">
        <f>AVERAGE(K3237:K3238)</f>
        <v/>
      </c>
      <c r="L3241" s="4089">
        <f>AVERAGE(L3237:L3238)</f>
        <v/>
      </c>
      <c r="M3241" s="4089">
        <f>AVERAGE(M3237:M3238)</f>
        <v/>
      </c>
      <c r="N3241" s="4089">
        <f>AVERAGE(N3237:N3238)</f>
        <v/>
      </c>
      <c r="O3241" s="4089">
        <f>AVERAGE(O3237:O3238)</f>
        <v/>
      </c>
      <c r="P3241" s="4089">
        <f>AVERAGE(P3237:P3238)</f>
        <v/>
      </c>
      <c r="Q3241" s="4089">
        <f>AVERAGE(Q3237:Q3238)</f>
        <v/>
      </c>
      <c r="R3241" s="421" t="n"/>
      <c r="S3241" s="421" t="n"/>
      <c r="T3241" s="421" t="n"/>
      <c r="U3241" s="421" t="n"/>
      <c r="V3241" s="421" t="n"/>
      <c r="W3241" s="421" t="n"/>
      <c r="X3241" s="421" t="n"/>
      <c r="Y3241" s="421" t="n"/>
      <c r="Z3241" s="421" t="n"/>
    </row>
    <row r="3242" customFormat="1" s="292">
      <c r="A3242" s="1073" t="inlineStr">
        <is>
          <t>Notes : bold values are the default ones provided bythe IPCC for a specific climate but applied to other climate in the absence of data</t>
        </is>
      </c>
      <c r="B3242" s="4087" t="n"/>
      <c r="F3242" s="421" t="n"/>
      <c r="G3242" s="421" t="n"/>
      <c r="H3242" s="421" t="n"/>
      <c r="I3242" s="421" t="n"/>
      <c r="J3242" s="421" t="n"/>
      <c r="K3242" s="421" t="n"/>
      <c r="L3242" s="421" t="n"/>
      <c r="M3242" s="421" t="n"/>
      <c r="N3242" s="421" t="n"/>
      <c r="O3242" s="421" t="n"/>
    </row>
    <row r="3243" customFormat="1" s="292">
      <c r="A3243" s="4087" t="inlineStr">
        <is>
          <t>IPCC provides values for all temperate climates only, hence we assume that the corresponding values apply to both warm temperate and cool temperate climate zones</t>
        </is>
      </c>
    </row>
  </sheetData>
  <mergeCells count="3">
    <mergeCell ref="J509:K509"/>
    <mergeCell ref="E509:F509"/>
    <mergeCell ref="J519:K519"/>
  </mergeCells>
  <conditionalFormatting sqref="A515">
    <cfRule type="duplicateValues" priority="212" dxfId="0"/>
  </conditionalFormatting>
  <conditionalFormatting sqref="A2268">
    <cfRule type="duplicateValues" priority="86" dxfId="0"/>
  </conditionalFormatting>
  <conditionalFormatting sqref="A2285">
    <cfRule type="duplicateValues" priority="74" dxfId="0"/>
  </conditionalFormatting>
  <conditionalFormatting sqref="A2302">
    <cfRule type="duplicateValues" priority="73" dxfId="0"/>
  </conditionalFormatting>
  <conditionalFormatting sqref="A2319">
    <cfRule type="duplicateValues" priority="72" dxfId="0"/>
  </conditionalFormatting>
  <conditionalFormatting sqref="A2336">
    <cfRule type="duplicateValues" priority="71" dxfId="0"/>
  </conditionalFormatting>
  <conditionalFormatting sqref="A2353">
    <cfRule type="duplicateValues" priority="70" dxfId="0"/>
  </conditionalFormatting>
  <conditionalFormatting sqref="A2370">
    <cfRule type="duplicateValues" priority="68" dxfId="0"/>
  </conditionalFormatting>
  <conditionalFormatting sqref="A2387">
    <cfRule type="duplicateValues" priority="67" dxfId="0"/>
  </conditionalFormatting>
  <conditionalFormatting sqref="A2404">
    <cfRule type="duplicateValues" priority="66" dxfId="0"/>
  </conditionalFormatting>
  <conditionalFormatting sqref="A2421">
    <cfRule type="duplicateValues" priority="65" dxfId="0"/>
  </conditionalFormatting>
  <conditionalFormatting sqref="A2438">
    <cfRule type="duplicateValues" priority="64" dxfId="0"/>
  </conditionalFormatting>
  <conditionalFormatting sqref="A2455">
    <cfRule type="duplicateValues" priority="63" dxfId="0"/>
  </conditionalFormatting>
  <conditionalFormatting sqref="A2472">
    <cfRule type="duplicateValues" priority="62" dxfId="0"/>
  </conditionalFormatting>
  <conditionalFormatting sqref="A2489">
    <cfRule type="duplicateValues" priority="61" dxfId="0"/>
  </conditionalFormatting>
  <conditionalFormatting sqref="A2506">
    <cfRule type="duplicateValues" priority="60" dxfId="0"/>
  </conditionalFormatting>
  <conditionalFormatting sqref="A2523">
    <cfRule type="duplicateValues" priority="33" dxfId="0"/>
  </conditionalFormatting>
  <conditionalFormatting sqref="A2540">
    <cfRule type="duplicateValues" priority="32" dxfId="0"/>
  </conditionalFormatting>
  <conditionalFormatting sqref="A2557">
    <cfRule type="duplicateValues" priority="59" dxfId="0"/>
  </conditionalFormatting>
  <conditionalFormatting sqref="A2574">
    <cfRule type="duplicateValues" priority="58" dxfId="0"/>
  </conditionalFormatting>
  <conditionalFormatting sqref="A2591">
    <cfRule type="duplicateValues" priority="57" dxfId="0"/>
  </conditionalFormatting>
  <conditionalFormatting sqref="A2608">
    <cfRule type="duplicateValues" priority="56" dxfId="0"/>
  </conditionalFormatting>
  <conditionalFormatting sqref="A2625">
    <cfRule type="duplicateValues" priority="55" dxfId="0"/>
  </conditionalFormatting>
  <conditionalFormatting sqref="A2642">
    <cfRule type="duplicateValues" priority="54" dxfId="0"/>
  </conditionalFormatting>
  <conditionalFormatting sqref="A2659">
    <cfRule type="duplicateValues" priority="53" dxfId="0"/>
  </conditionalFormatting>
  <conditionalFormatting sqref="A2676">
    <cfRule type="duplicateValues" priority="52" dxfId="0"/>
  </conditionalFormatting>
  <conditionalFormatting sqref="A2693">
    <cfRule type="duplicateValues" priority="26" dxfId="0"/>
  </conditionalFormatting>
  <conditionalFormatting sqref="A2710">
    <cfRule type="duplicateValues" priority="51" dxfId="0"/>
  </conditionalFormatting>
  <conditionalFormatting sqref="A2727">
    <cfRule type="duplicateValues" priority="50" dxfId="0"/>
  </conditionalFormatting>
  <conditionalFormatting sqref="A2744">
    <cfRule type="duplicateValues" priority="49" dxfId="0"/>
  </conditionalFormatting>
  <conditionalFormatting sqref="A2761">
    <cfRule type="duplicateValues" priority="48" dxfId="0"/>
  </conditionalFormatting>
  <conditionalFormatting sqref="A2778">
    <cfRule type="duplicateValues" priority="47" dxfId="0"/>
  </conditionalFormatting>
  <conditionalFormatting sqref="A2795">
    <cfRule type="duplicateValues" priority="46" dxfId="0"/>
  </conditionalFormatting>
  <conditionalFormatting sqref="A2812">
    <cfRule type="duplicateValues" priority="45" dxfId="0"/>
  </conditionalFormatting>
  <conditionalFormatting sqref="A2829">
    <cfRule type="duplicateValues" priority="44" dxfId="0"/>
  </conditionalFormatting>
  <conditionalFormatting sqref="A2846">
    <cfRule type="duplicateValues" priority="43" dxfId="0"/>
  </conditionalFormatting>
  <conditionalFormatting sqref="A2863">
    <cfRule type="duplicateValues" priority="42" dxfId="0"/>
  </conditionalFormatting>
  <conditionalFormatting sqref="A2880">
    <cfRule type="duplicateValues" priority="41" dxfId="0"/>
  </conditionalFormatting>
  <conditionalFormatting sqref="A2897">
    <cfRule type="duplicateValues" priority="40" dxfId="0"/>
  </conditionalFormatting>
  <conditionalFormatting sqref="A2914">
    <cfRule type="duplicateValues" priority="39" dxfId="0"/>
  </conditionalFormatting>
  <conditionalFormatting sqref="A2931">
    <cfRule type="duplicateValues" priority="38" dxfId="0"/>
  </conditionalFormatting>
  <conditionalFormatting sqref="A2948">
    <cfRule type="duplicateValues" priority="37" dxfId="0"/>
  </conditionalFormatting>
  <conditionalFormatting sqref="A2965">
    <cfRule type="duplicateValues" priority="36" dxfId="0"/>
  </conditionalFormatting>
  <conditionalFormatting sqref="A2982">
    <cfRule type="duplicateValues" priority="35" dxfId="0"/>
  </conditionalFormatting>
  <conditionalFormatting sqref="A2999">
    <cfRule type="duplicateValues" priority="34" dxfId="0"/>
  </conditionalFormatting>
  <conditionalFormatting sqref="A3016">
    <cfRule type="duplicateValues" priority="24" dxfId="0"/>
  </conditionalFormatting>
  <conditionalFormatting sqref="A3033">
    <cfRule type="duplicateValues" priority="23" dxfId="0"/>
  </conditionalFormatting>
  <conditionalFormatting sqref="A3050">
    <cfRule type="duplicateValues" priority="22" dxfId="0"/>
  </conditionalFormatting>
  <conditionalFormatting sqref="A3067">
    <cfRule type="duplicateValues" priority="21" dxfId="0"/>
  </conditionalFormatting>
  <conditionalFormatting sqref="A3084">
    <cfRule type="duplicateValues" priority="11" dxfId="0"/>
  </conditionalFormatting>
  <conditionalFormatting sqref="A3101">
    <cfRule type="duplicateValues" priority="18" dxfId="0"/>
  </conditionalFormatting>
  <conditionalFormatting sqref="A3118">
    <cfRule type="duplicateValues" priority="17" dxfId="0"/>
  </conditionalFormatting>
  <conditionalFormatting sqref="A3135">
    <cfRule type="duplicateValues" priority="16" dxfId="0"/>
  </conditionalFormatting>
  <conditionalFormatting sqref="A3152">
    <cfRule type="duplicateValues" priority="14" dxfId="0"/>
  </conditionalFormatting>
  <conditionalFormatting sqref="A3169">
    <cfRule type="duplicateValues" priority="13" dxfId="0"/>
  </conditionalFormatting>
  <conditionalFormatting sqref="A3186">
    <cfRule type="duplicateValues" priority="10" dxfId="0"/>
  </conditionalFormatting>
  <conditionalFormatting sqref="A3206">
    <cfRule type="duplicateValues" priority="2" dxfId="0"/>
  </conditionalFormatting>
  <conditionalFormatting sqref="A3223">
    <cfRule type="duplicateValues" priority="3" dxfId="0"/>
  </conditionalFormatting>
  <conditionalFormatting sqref="A3224">
    <cfRule type="duplicateValues" priority="4" dxfId="0"/>
  </conditionalFormatting>
  <conditionalFormatting sqref="A3237">
    <cfRule type="duplicateValues" priority="1" dxfId="0"/>
  </conditionalFormatting>
  <conditionalFormatting sqref="B107">
    <cfRule type="duplicateValues" priority="284" dxfId="0"/>
  </conditionalFormatting>
  <conditionalFormatting sqref="B123">
    <cfRule type="duplicateValues" priority="264" dxfId="0"/>
  </conditionalFormatting>
  <conditionalFormatting sqref="B139">
    <cfRule type="duplicateValues" priority="279" dxfId="0"/>
  </conditionalFormatting>
  <conditionalFormatting sqref="B155">
    <cfRule type="duplicateValues" priority="261" dxfId="0"/>
  </conditionalFormatting>
  <conditionalFormatting sqref="B171">
    <cfRule type="duplicateValues" priority="277" dxfId="0"/>
  </conditionalFormatting>
  <conditionalFormatting sqref="B187">
    <cfRule type="duplicateValues" priority="275" dxfId="0"/>
  </conditionalFormatting>
  <conditionalFormatting sqref="B203">
    <cfRule type="duplicateValues" priority="273" dxfId="0"/>
  </conditionalFormatting>
  <conditionalFormatting sqref="B219">
    <cfRule type="duplicateValues" priority="271" dxfId="0"/>
  </conditionalFormatting>
  <conditionalFormatting sqref="B235">
    <cfRule type="duplicateValues" priority="269" dxfId="0"/>
  </conditionalFormatting>
  <conditionalFormatting sqref="B251">
    <cfRule type="duplicateValues" priority="259" dxfId="0"/>
  </conditionalFormatting>
  <conditionalFormatting sqref="B267">
    <cfRule type="duplicateValues" priority="268" dxfId="0"/>
  </conditionalFormatting>
  <conditionalFormatting sqref="B283">
    <cfRule type="duplicateValues" priority="266" dxfId="0"/>
  </conditionalFormatting>
  <conditionalFormatting sqref="B310">
    <cfRule type="duplicateValues" priority="258" dxfId="0"/>
  </conditionalFormatting>
  <conditionalFormatting sqref="B326">
    <cfRule type="duplicateValues" priority="224" dxfId="0"/>
  </conditionalFormatting>
  <conditionalFormatting sqref="B342">
    <cfRule type="duplicateValues" priority="250" dxfId="0"/>
  </conditionalFormatting>
  <conditionalFormatting sqref="B358">
    <cfRule type="duplicateValues" priority="218" dxfId="0"/>
  </conditionalFormatting>
  <conditionalFormatting sqref="B374">
    <cfRule type="duplicateValues" priority="244" dxfId="0"/>
  </conditionalFormatting>
  <conditionalFormatting sqref="B390">
    <cfRule type="duplicateValues" priority="238" dxfId="0"/>
  </conditionalFormatting>
  <conditionalFormatting sqref="B406">
    <cfRule type="duplicateValues" priority="232" dxfId="0"/>
  </conditionalFormatting>
  <conditionalFormatting sqref="B422">
    <cfRule type="duplicateValues" priority="230" dxfId="0"/>
  </conditionalFormatting>
  <conditionalFormatting sqref="B438">
    <cfRule type="duplicateValues" priority="228" dxfId="0"/>
  </conditionalFormatting>
  <conditionalFormatting sqref="B454">
    <cfRule type="duplicateValues" priority="226" dxfId="0"/>
  </conditionalFormatting>
  <conditionalFormatting sqref="B470">
    <cfRule type="duplicateValues" priority="176" dxfId="0"/>
  </conditionalFormatting>
  <conditionalFormatting sqref="B486">
    <cfRule type="duplicateValues" priority="175" dxfId="0"/>
  </conditionalFormatting>
  <conditionalFormatting sqref="B686">
    <cfRule type="duplicateValues" priority="188" dxfId="0"/>
  </conditionalFormatting>
  <conditionalFormatting sqref="B702">
    <cfRule type="duplicateValues" priority="179" dxfId="0"/>
  </conditionalFormatting>
  <conditionalFormatting sqref="B718">
    <cfRule type="duplicateValues" priority="187" dxfId="0"/>
  </conditionalFormatting>
  <conditionalFormatting sqref="B734">
    <cfRule type="duplicateValues" priority="178" dxfId="0"/>
  </conditionalFormatting>
  <conditionalFormatting sqref="B750">
    <cfRule type="duplicateValues" priority="186" dxfId="0"/>
  </conditionalFormatting>
  <conditionalFormatting sqref="B766">
    <cfRule type="duplicateValues" priority="185" dxfId="0"/>
  </conditionalFormatting>
  <conditionalFormatting sqref="B782">
    <cfRule type="duplicateValues" priority="184" dxfId="0"/>
  </conditionalFormatting>
  <conditionalFormatting sqref="B798">
    <cfRule type="duplicateValues" priority="183" dxfId="0"/>
  </conditionalFormatting>
  <conditionalFormatting sqref="B814">
    <cfRule type="duplicateValues" priority="182" dxfId="0"/>
  </conditionalFormatting>
  <conditionalFormatting sqref="B830">
    <cfRule type="duplicateValues" priority="177" dxfId="0"/>
  </conditionalFormatting>
  <conditionalFormatting sqref="B924">
    <cfRule type="duplicateValues" priority="174" dxfId="0"/>
  </conditionalFormatting>
  <conditionalFormatting sqref="B940">
    <cfRule type="duplicateValues" priority="173" dxfId="0"/>
  </conditionalFormatting>
  <conditionalFormatting sqref="B956">
    <cfRule type="duplicateValues" priority="172" dxfId="0"/>
  </conditionalFormatting>
  <conditionalFormatting sqref="B972">
    <cfRule type="duplicateValues" priority="171" dxfId="0"/>
  </conditionalFormatting>
  <conditionalFormatting sqref="B988">
    <cfRule type="duplicateValues" priority="170" dxfId="0"/>
  </conditionalFormatting>
  <conditionalFormatting sqref="B1004">
    <cfRule type="duplicateValues" priority="169" dxfId="0"/>
  </conditionalFormatting>
  <conditionalFormatting sqref="B1020">
    <cfRule type="duplicateValues" priority="168" dxfId="0"/>
  </conditionalFormatting>
  <conditionalFormatting sqref="B1036">
    <cfRule type="duplicateValues" priority="167" dxfId="0"/>
  </conditionalFormatting>
  <conditionalFormatting sqref="B1052">
    <cfRule type="duplicateValues" priority="166" dxfId="0"/>
  </conditionalFormatting>
  <conditionalFormatting sqref="B1068">
    <cfRule type="duplicateValues" priority="165" dxfId="0"/>
  </conditionalFormatting>
  <conditionalFormatting sqref="B1084">
    <cfRule type="duplicateValues" priority="164" dxfId="0"/>
  </conditionalFormatting>
  <conditionalFormatting sqref="B1100">
    <cfRule type="duplicateValues" priority="163" dxfId="0"/>
  </conditionalFormatting>
  <conditionalFormatting sqref="B1116">
    <cfRule type="duplicateValues" priority="162" dxfId="0"/>
  </conditionalFormatting>
  <conditionalFormatting sqref="B1132">
    <cfRule type="duplicateValues" priority="161" dxfId="0"/>
  </conditionalFormatting>
  <conditionalFormatting sqref="B1148">
    <cfRule type="duplicateValues" priority="160" dxfId="0"/>
  </conditionalFormatting>
  <conditionalFormatting sqref="B1164">
    <cfRule type="duplicateValues" priority="159" dxfId="0"/>
  </conditionalFormatting>
  <conditionalFormatting sqref="B1180">
    <cfRule type="duplicateValues" priority="158" dxfId="0"/>
  </conditionalFormatting>
  <conditionalFormatting sqref="B1196">
    <cfRule type="duplicateValues" priority="148" dxfId="0"/>
  </conditionalFormatting>
  <conditionalFormatting sqref="B1212">
    <cfRule type="duplicateValues" priority="147" dxfId="0"/>
  </conditionalFormatting>
  <conditionalFormatting sqref="B1228">
    <cfRule type="duplicateValues" priority="145" dxfId="0"/>
  </conditionalFormatting>
  <conditionalFormatting sqref="B1244">
    <cfRule type="duplicateValues" priority="143" dxfId="0"/>
  </conditionalFormatting>
  <conditionalFormatting sqref="B1260">
    <cfRule type="duplicateValues" priority="141" dxfId="0"/>
  </conditionalFormatting>
  <conditionalFormatting sqref="B1276">
    <cfRule type="duplicateValues" priority="139" dxfId="0"/>
  </conditionalFormatting>
  <conditionalFormatting sqref="B1292">
    <cfRule type="duplicateValues" priority="137" dxfId="0"/>
  </conditionalFormatting>
  <conditionalFormatting sqref="B1308">
    <cfRule type="duplicateValues" priority="135" dxfId="0"/>
  </conditionalFormatting>
  <conditionalFormatting sqref="B1324">
    <cfRule type="duplicateValues" priority="133" dxfId="0"/>
  </conditionalFormatting>
  <conditionalFormatting sqref="B1340">
    <cfRule type="duplicateValues" priority="131" dxfId="0"/>
  </conditionalFormatting>
  <conditionalFormatting sqref="B1356">
    <cfRule type="duplicateValues" priority="129" dxfId="0"/>
  </conditionalFormatting>
  <conditionalFormatting sqref="B1372">
    <cfRule type="duplicateValues" priority="127" dxfId="0"/>
  </conditionalFormatting>
  <conditionalFormatting sqref="B1388">
    <cfRule type="duplicateValues" priority="125" dxfId="0"/>
  </conditionalFormatting>
  <conditionalFormatting sqref="B1404">
    <cfRule type="duplicateValues" priority="123" dxfId="0"/>
  </conditionalFormatting>
  <conditionalFormatting sqref="B1420">
    <cfRule type="duplicateValues" priority="121" dxfId="0"/>
  </conditionalFormatting>
  <conditionalFormatting sqref="B1436">
    <cfRule type="duplicateValues" priority="119" dxfId="0"/>
  </conditionalFormatting>
  <conditionalFormatting sqref="B1452">
    <cfRule type="duplicateValues" priority="117" dxfId="0"/>
  </conditionalFormatting>
  <conditionalFormatting sqref="B1521">
    <cfRule type="duplicateValues" priority="96" dxfId="0"/>
  </conditionalFormatting>
  <conditionalFormatting sqref="B1537">
    <cfRule type="duplicateValues" priority="89" dxfId="0"/>
  </conditionalFormatting>
  <conditionalFormatting sqref="B1553">
    <cfRule type="duplicateValues" priority="95" dxfId="0"/>
  </conditionalFormatting>
  <conditionalFormatting sqref="B1569">
    <cfRule type="duplicateValues" priority="88" dxfId="0"/>
  </conditionalFormatting>
  <conditionalFormatting sqref="B1585">
    <cfRule type="duplicateValues" priority="94" dxfId="0"/>
  </conditionalFormatting>
  <conditionalFormatting sqref="B1601">
    <cfRule type="duplicateValues" priority="93" dxfId="0"/>
  </conditionalFormatting>
  <conditionalFormatting sqref="B1617">
    <cfRule type="duplicateValues" priority="92" dxfId="0"/>
  </conditionalFormatting>
  <conditionalFormatting sqref="B1633">
    <cfRule type="duplicateValues" priority="91" dxfId="0"/>
  </conditionalFormatting>
  <conditionalFormatting sqref="B1649">
    <cfRule type="duplicateValues" priority="90" dxfId="0"/>
  </conditionalFormatting>
  <conditionalFormatting sqref="B1665">
    <cfRule type="duplicateValues" priority="87" dxfId="0"/>
  </conditionalFormatting>
  <conditionalFormatting sqref="D107:D122">
    <cfRule type="duplicateValues" priority="282" dxfId="0"/>
  </conditionalFormatting>
  <conditionalFormatting sqref="D107:D113 D115:D122">
    <cfRule type="duplicateValues" priority="283" dxfId="0"/>
  </conditionalFormatting>
  <conditionalFormatting sqref="D123:D138">
    <cfRule type="duplicateValues" priority="262" dxfId="0"/>
  </conditionalFormatting>
  <conditionalFormatting sqref="D123:D129 D131:D138">
    <cfRule type="duplicateValues" priority="263" dxfId="0"/>
  </conditionalFormatting>
  <conditionalFormatting sqref="D310:D325">
    <cfRule type="duplicateValues" priority="256" dxfId="0"/>
  </conditionalFormatting>
  <conditionalFormatting sqref="D310:D316 D318:D325">
    <cfRule type="duplicateValues" priority="257" dxfId="0"/>
  </conditionalFormatting>
  <conditionalFormatting sqref="D326:D341">
    <cfRule type="duplicateValues" priority="220" dxfId="0"/>
  </conditionalFormatting>
  <conditionalFormatting sqref="D326:D332 D334:D341">
    <cfRule type="duplicateValues" priority="221" dxfId="0"/>
  </conditionalFormatting>
  <conditionalFormatting sqref="D342:D357">
    <cfRule type="duplicateValues" priority="246" dxfId="0"/>
  </conditionalFormatting>
  <conditionalFormatting sqref="D342:D348 D350:D357">
    <cfRule type="duplicateValues" priority="247" dxfId="0"/>
  </conditionalFormatting>
  <conditionalFormatting sqref="D358:D373">
    <cfRule type="duplicateValues" priority="214" dxfId="0"/>
  </conditionalFormatting>
  <conditionalFormatting sqref="D358:D364 D366:D373">
    <cfRule type="duplicateValues" priority="215" dxfId="0"/>
  </conditionalFormatting>
  <conditionalFormatting sqref="D374:D389">
    <cfRule type="duplicateValues" priority="240" dxfId="0"/>
  </conditionalFormatting>
  <conditionalFormatting sqref="D374:D380 D382:D389">
    <cfRule type="duplicateValues" priority="241" dxfId="0"/>
  </conditionalFormatting>
  <conditionalFormatting sqref="D390:D396 D398:D421">
    <cfRule type="duplicateValues" priority="235" dxfId="0"/>
  </conditionalFormatting>
  <conditionalFormatting sqref="D390:D421">
    <cfRule type="duplicateValues" priority="234" dxfId="0"/>
  </conditionalFormatting>
  <dataValidations disablePrompts="1" count="1">
    <dataValidation sqref="B1820:B1821 B1838:B1839 C1802:C1803 C1820:C1825 C1838:C1843 C1856:C1861 C1874:C1879 C1892:C1897 G1822:G1825 G1840:G1843" showDropDown="0" showInputMessage="1" showErrorMessage="1" allowBlank="0" prompt="nutrient poor"/>
  </dataValidations>
  <pageMargins left="0.7" right="0.7" top="0.75" bottom="0.75" header="0.3" footer="0.3"/>
  <pageSetup orientation="portrait" paperSize="9"/>
  <legacyDrawing r:id="anysvml"/>
  <tableParts count="5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s>
</worksheet>
</file>

<file path=xl/worksheets/sheet22.xml><?xml version="1.0" encoding="utf-8"?>
<worksheet xmlns="http://schemas.openxmlformats.org/spreadsheetml/2006/main">
  <sheetPr codeName="Sheet24">
    <tabColor rgb="FF172735"/>
    <outlinePr summaryBelow="1" summaryRight="1"/>
    <pageSetUpPr/>
  </sheetPr>
  <dimension ref="B4:CO75"/>
  <sheetViews>
    <sheetView zoomScale="80" zoomScaleNormal="80" workbookViewId="0">
      <pane ySplit="1" topLeftCell="A2" activePane="bottomLeft" state="frozen"/>
      <selection pane="bottomLeft" activeCell="C65" sqref="C65"/>
    </sheetView>
  </sheetViews>
  <sheetFormatPr baseColWidth="10" defaultColWidth="9.33203125" defaultRowHeight="14"/>
  <cols>
    <col width="9.33203125" customWidth="1" style="1771" min="1" max="1"/>
    <col width="2.6640625" customWidth="1" style="1771" min="2" max="2"/>
    <col width="22.33203125" customWidth="1" style="1771" min="3" max="3"/>
    <col width="1.33203125" customWidth="1" style="1771" min="4" max="4"/>
    <col width="22.5" customWidth="1" style="1771" min="5" max="5"/>
    <col width="9.33203125" customWidth="1" style="1771" min="6" max="6"/>
    <col width="2.6640625" customWidth="1" style="1771" min="7" max="7"/>
    <col width="9.33203125" customWidth="1" style="1771" min="8" max="8"/>
    <col width="2.6640625" customWidth="1" style="1771" min="9" max="9"/>
    <col width="9.33203125" customWidth="1" style="1771" min="10" max="10"/>
    <col width="2.6640625" customWidth="1" style="1771" min="11" max="11"/>
    <col width="11.5" customWidth="1" style="1771" min="12" max="12"/>
    <col width="2.6640625" customWidth="1" style="1771" min="13" max="13"/>
    <col width="12.33203125" customWidth="1" style="1771" min="14" max="14"/>
    <col width="2.6640625" customWidth="1" style="1771" min="15" max="15"/>
    <col width="10.33203125" customWidth="1" style="1771" min="16" max="16"/>
    <col width="2.6640625" customWidth="1" style="1771" min="17" max="17"/>
    <col width="11.33203125" customWidth="1" style="1771" min="18" max="18"/>
    <col width="2.6640625" customWidth="1" style="1771" min="19" max="19"/>
    <col width="11" customWidth="1" style="1771" min="20" max="20"/>
    <col width="3.5" customWidth="1" style="1771" min="21" max="21"/>
    <col width="11" customWidth="1" style="1771" min="22" max="22"/>
    <col width="2.6640625" customWidth="1" style="1771" min="23" max="23"/>
    <col width="9.33203125" customWidth="1" style="1771" min="24" max="24"/>
    <col width="2.6640625" customWidth="1" style="1771" min="25" max="25"/>
    <col width="9.33203125" customWidth="1" style="1771" min="26" max="26"/>
    <col width="2.6640625" customWidth="1" style="1771" min="27" max="27"/>
    <col width="9.33203125" customWidth="1" style="1771" min="28" max="28"/>
    <col width="2.6640625" customWidth="1" style="1771" min="29" max="29"/>
    <col width="9.6640625" customWidth="1" style="1771" min="30" max="30"/>
    <col width="11.5" customWidth="1" style="1771" min="31" max="31"/>
    <col width="9.33203125" customWidth="1" style="1771" min="32" max="32"/>
    <col width="11.5" customWidth="1" style="1771" min="33" max="33"/>
    <col width="9.33203125" customWidth="1" style="1771" min="34" max="34"/>
    <col width="15.5" customWidth="1" style="1771" min="35" max="35"/>
    <col width="9.33203125" customWidth="1" style="1771" min="36" max="68"/>
    <col width="3.33203125" customWidth="1" style="1771" min="69" max="69"/>
    <col width="24.33203125" customWidth="1" style="1771" min="70" max="70"/>
    <col width="16.5" customWidth="1" style="1771" min="71" max="71"/>
    <col width="9.33203125" customWidth="1" style="1771" min="72" max="79"/>
    <col width="2.5" customWidth="1" style="1771" min="80" max="80"/>
    <col width="17.5" customWidth="1" style="1771" min="81" max="81"/>
    <col width="2.33203125" customWidth="1" style="1771" min="82" max="82"/>
    <col width="9" customWidth="1" style="1771" min="83" max="83"/>
    <col width="9.33203125" customWidth="1" style="1771" min="84" max="84"/>
    <col width="11" bestFit="1" customWidth="1" style="1771" min="85" max="85"/>
    <col width="2.33203125" customWidth="1" style="1771" min="86" max="86"/>
    <col width="11.5" customWidth="1" style="1771" min="87" max="87"/>
    <col width="11.33203125" customWidth="1" style="1771" min="88" max="88"/>
    <col width="9.33203125" customWidth="1" style="1771" min="89" max="16384"/>
  </cols>
  <sheetData>
    <row r="1" ht="100.5" customFormat="1" customHeight="1" s="2076"/>
    <row r="4" ht="45" customHeight="1">
      <c r="B4" s="1767" t="n"/>
      <c r="C4" s="2172">
        <f>Languages!B543</f>
        <v/>
      </c>
      <c r="D4" s="2172" t="n"/>
      <c r="E4" s="2057" t="n"/>
      <c r="F4" s="1769" t="n"/>
      <c r="G4" s="1769" t="n"/>
      <c r="H4" s="1769" t="n"/>
      <c r="I4" s="1769" t="n"/>
      <c r="J4" s="1769" t="n"/>
      <c r="K4" s="1769" t="n"/>
      <c r="L4" s="1769" t="n"/>
      <c r="M4" s="1769" t="n"/>
      <c r="N4" s="1769" t="n"/>
      <c r="O4" s="1769" t="n"/>
      <c r="P4" s="1769" t="n"/>
      <c r="Q4" s="1769" t="n"/>
      <c r="R4" s="1769" t="n"/>
      <c r="S4" s="1769" t="n"/>
      <c r="T4" s="1769" t="n"/>
      <c r="U4" s="1769" t="n"/>
      <c r="V4" s="1769" t="n"/>
      <c r="W4" s="1769" t="n"/>
      <c r="X4" s="1769" t="n"/>
      <c r="Y4" s="1769" t="n"/>
      <c r="Z4" s="1769" t="n"/>
      <c r="AA4" s="1769" t="n"/>
      <c r="AB4" s="1769" t="n"/>
      <c r="AC4" s="1769" t="n"/>
      <c r="AD4" s="1769" t="n"/>
      <c r="AE4" s="1769" t="n"/>
      <c r="AF4" s="1767" t="n"/>
      <c r="AG4" s="1979">
        <f>Languages!B22</f>
        <v/>
      </c>
      <c r="AH4" s="1769" t="n"/>
      <c r="AI4" s="1769" t="n"/>
      <c r="AJ4" s="1769" t="n"/>
      <c r="BQ4" s="4248" t="n"/>
      <c r="BR4" s="4249">
        <f>C4</f>
        <v/>
      </c>
      <c r="BS4" s="2172" t="n"/>
      <c r="BT4" s="2172" t="n"/>
      <c r="BU4" s="2172" t="n"/>
      <c r="BV4" s="2172" t="n"/>
      <c r="BW4" s="2172" t="n"/>
      <c r="BX4" s="2172" t="n"/>
      <c r="BY4" s="2172" t="n"/>
      <c r="BZ4" s="2172" t="n"/>
      <c r="CA4" s="2172" t="n"/>
      <c r="CB4" s="2172" t="n"/>
      <c r="CC4" s="2172" t="n"/>
      <c r="CD4" s="2172" t="n"/>
      <c r="CE4" s="2172" t="n"/>
      <c r="CF4" s="2172" t="n"/>
      <c r="CG4" s="2172" t="n"/>
      <c r="CH4" s="2172" t="n"/>
      <c r="CI4" s="2172" t="n"/>
      <c r="CJ4" s="2172" t="n"/>
      <c r="CK4" s="2172" t="n"/>
      <c r="CM4" s="4404" t="inlineStr">
        <is>
          <t>Annual balance</t>
        </is>
      </c>
      <c r="CN4" s="4404" t="n"/>
      <c r="CO4" s="4404" t="n"/>
    </row>
    <row r="5" ht="6" customHeight="1">
      <c r="CM5" s="1916" t="n"/>
      <c r="CN5" s="1916" t="n"/>
    </row>
    <row r="6" ht="30.5" customHeight="1">
      <c r="B6" s="1767" t="n"/>
      <c r="C6" s="1769">
        <f>Languages!B544</f>
        <v/>
      </c>
      <c r="D6" s="1769" t="n"/>
      <c r="E6" s="2057" t="n"/>
      <c r="F6" s="1769" t="n"/>
      <c r="G6" s="1769" t="n"/>
      <c r="H6" s="1769" t="n"/>
      <c r="I6" s="1769" t="n"/>
      <c r="J6" s="1769" t="n"/>
      <c r="K6" s="1769" t="n"/>
      <c r="L6" s="1769" t="n"/>
      <c r="M6" s="1769" t="n"/>
      <c r="N6" s="1769" t="n"/>
      <c r="O6" s="1769" t="n"/>
      <c r="P6" s="1769" t="n"/>
      <c r="Q6" s="1769" t="n"/>
      <c r="R6" s="1769" t="n"/>
      <c r="S6" s="1769" t="n"/>
      <c r="T6" s="1769" t="n"/>
      <c r="U6" s="1769" t="n"/>
      <c r="V6" s="1769" t="n"/>
      <c r="W6" s="1769" t="n"/>
      <c r="X6" s="1769" t="n"/>
      <c r="Y6" s="1769" t="n"/>
      <c r="Z6" s="1769" t="n"/>
      <c r="AA6" s="1769" t="n"/>
      <c r="AB6" s="1769" t="n"/>
      <c r="AC6" s="1769" t="n"/>
      <c r="AD6" s="1769" t="n"/>
      <c r="AE6" s="1769" t="n"/>
      <c r="AF6" s="1769" t="n"/>
      <c r="AG6" s="1769" t="n"/>
      <c r="AH6" s="1769" t="n"/>
      <c r="AI6" s="1769" t="n"/>
      <c r="AJ6" s="1769" t="n"/>
      <c r="BQ6" s="1767" t="n"/>
      <c r="BR6" s="4248">
        <f>C6</f>
        <v/>
      </c>
      <c r="BS6" s="1767" t="n"/>
      <c r="BT6" s="1767" t="n"/>
      <c r="BU6" s="1767" t="n"/>
      <c r="BV6" s="1767" t="n"/>
      <c r="BW6" s="1767" t="n"/>
      <c r="BX6" s="1767" t="n"/>
      <c r="BY6" s="1767" t="n"/>
      <c r="BZ6" s="1767" t="n"/>
      <c r="CA6" s="1767" t="n"/>
      <c r="CB6" s="1767" t="n"/>
      <c r="CC6" s="1767" t="n"/>
      <c r="CD6" s="1767" t="n"/>
      <c r="CE6" s="1767" t="n"/>
      <c r="CF6" s="1767" t="n"/>
      <c r="CG6" s="1767" t="n"/>
      <c r="CH6" s="1767" t="n"/>
      <c r="CI6" s="1767" t="n"/>
      <c r="CJ6" s="1767" t="n"/>
      <c r="CK6" s="1767" t="n"/>
      <c r="CM6" s="1767" t="n"/>
      <c r="CN6" s="1767" t="n"/>
      <c r="CO6" s="1767" t="n"/>
    </row>
    <row r="7" ht="16" customHeight="1">
      <c r="B7" s="1781" t="n"/>
      <c r="C7" s="1781" t="n"/>
      <c r="D7" s="1781" t="n"/>
      <c r="E7" s="1781" t="n"/>
      <c r="F7" s="1781" t="n"/>
      <c r="G7" s="1781" t="n"/>
      <c r="H7" s="1781" t="n"/>
      <c r="I7" s="1781" t="n"/>
      <c r="J7" s="1781" t="n"/>
      <c r="K7" s="1781" t="n"/>
      <c r="L7" s="1781" t="n"/>
      <c r="M7" s="1781" t="n"/>
      <c r="N7" s="1781" t="n"/>
      <c r="O7" s="1781" t="n"/>
      <c r="P7" s="1781" t="n"/>
      <c r="Q7" s="1781" t="n"/>
      <c r="R7" s="1781" t="n"/>
      <c r="S7" s="1781" t="n"/>
      <c r="T7" s="1781" t="n"/>
      <c r="U7" s="1781" t="n"/>
      <c r="V7" s="1781" t="n"/>
      <c r="W7" s="1781" t="n"/>
      <c r="X7" s="1781" t="n"/>
      <c r="Y7" s="1781" t="n"/>
      <c r="Z7" s="1781" t="n"/>
      <c r="AA7" s="1781" t="n"/>
      <c r="AB7" s="1781" t="n"/>
      <c r="AC7" s="1781" t="n"/>
      <c r="AD7" s="1781" t="n"/>
      <c r="AE7" s="1781" t="n"/>
      <c r="AF7" s="1781" t="n"/>
      <c r="AG7" s="1781" t="n"/>
      <c r="AH7" s="1781" t="n"/>
      <c r="AI7" s="1781" t="n"/>
      <c r="AJ7" s="1781" t="n"/>
      <c r="BQ7" s="1782" t="n"/>
      <c r="BR7" s="1782" t="n"/>
      <c r="BS7" s="1782" t="n"/>
      <c r="BT7" s="4250">
        <f>Languages!B84</f>
        <v/>
      </c>
      <c r="BU7" s="1785" t="n"/>
      <c r="BV7" s="1785" t="n"/>
      <c r="BW7" s="1785" t="n"/>
      <c r="BX7" s="1785" t="n"/>
      <c r="BY7" s="1785" t="n"/>
      <c r="BZ7" s="1785" t="n"/>
      <c r="CA7" s="1785" t="n"/>
      <c r="CB7" s="1785" t="n"/>
      <c r="CC7" s="1785" t="n"/>
      <c r="CD7" s="1785" t="n"/>
      <c r="CE7" s="1785" t="n"/>
      <c r="CF7" s="1785" t="n"/>
      <c r="CG7" s="1785" t="n"/>
      <c r="CH7" s="1782" t="n"/>
      <c r="CI7" s="1782" t="n"/>
      <c r="CJ7" s="1782" t="n"/>
      <c r="CK7" s="1782" t="n"/>
      <c r="CM7" s="1782" t="n"/>
      <c r="CN7" s="1782" t="n"/>
      <c r="CO7" s="1997" t="n"/>
    </row>
    <row r="8">
      <c r="B8" s="1781" t="n"/>
      <c r="C8" s="1781" t="n"/>
      <c r="D8" s="1781" t="n"/>
      <c r="E8" s="1781" t="n"/>
      <c r="F8" s="1781" t="n"/>
      <c r="G8" s="1781" t="n"/>
      <c r="H8" s="1781" t="n"/>
      <c r="I8" s="1781" t="n"/>
      <c r="J8" s="1781" t="n"/>
      <c r="K8" s="1781" t="n"/>
      <c r="L8" s="1781" t="n"/>
      <c r="M8" s="1781" t="n"/>
      <c r="N8" s="1781" t="n"/>
      <c r="O8" s="1781" t="n"/>
      <c r="P8" s="1781" t="n"/>
      <c r="Q8" s="1781" t="n"/>
      <c r="R8" s="1781" t="n"/>
      <c r="S8" s="1781" t="n"/>
      <c r="T8" s="1781" t="n"/>
      <c r="U8" s="1781" t="n"/>
      <c r="V8" s="1781" t="n"/>
      <c r="W8" s="1781" t="n"/>
      <c r="X8" s="1781" t="n"/>
      <c r="Y8" s="1781" t="n"/>
      <c r="Z8" s="1781" t="n"/>
      <c r="AA8" s="1781" t="n"/>
      <c r="AB8" s="1781" t="n"/>
      <c r="AC8" s="1781" t="n"/>
      <c r="AD8" s="1781" t="n"/>
      <c r="AE8" s="1781" t="n"/>
      <c r="AF8" s="1781" t="n"/>
      <c r="AG8" s="1781" t="n"/>
      <c r="AH8" s="1781" t="n"/>
      <c r="AI8" s="1781" t="n"/>
      <c r="AJ8" s="1826" t="n"/>
      <c r="BQ8" s="1782" t="n"/>
      <c r="BR8" s="1782" t="n"/>
      <c r="BS8" s="1782" t="n"/>
      <c r="BT8" s="1782" t="n"/>
      <c r="BU8" s="1782" t="n"/>
      <c r="BV8" s="1782" t="n"/>
      <c r="BW8" s="1782" t="n"/>
      <c r="BX8" s="1782" t="n"/>
      <c r="BY8" s="1782" t="n"/>
      <c r="BZ8" s="1782" t="n"/>
      <c r="CA8" s="1782" t="n"/>
      <c r="CB8" s="1782" t="n"/>
      <c r="CC8" s="1782" t="n"/>
      <c r="CD8" s="1782" t="n"/>
      <c r="CE8" s="1782" t="n"/>
      <c r="CF8" s="1782" t="n"/>
      <c r="CG8" s="1782" t="n"/>
      <c r="CH8" s="1782" t="n"/>
      <c r="CI8" s="1782" t="n"/>
      <c r="CJ8" s="1782" t="n"/>
      <c r="CK8" s="1782" t="n"/>
      <c r="CM8" s="1890" t="inlineStr">
        <is>
          <t xml:space="preserve">Start year of </t>
        </is>
      </c>
      <c r="CN8" s="1890" t="n"/>
      <c r="CO8" s="1997" t="n"/>
    </row>
    <row r="9">
      <c r="B9" s="1781" t="n"/>
      <c r="C9" s="1826">
        <f>Languages!B58</f>
        <v/>
      </c>
      <c r="D9" s="1826" t="n"/>
      <c r="E9" s="1781" t="n"/>
      <c r="F9" s="2095">
        <f>Languages!B115</f>
        <v/>
      </c>
      <c r="G9" s="1806" t="n"/>
      <c r="H9" s="4251">
        <f>Languages!B545</f>
        <v/>
      </c>
      <c r="I9" s="2095" t="n"/>
      <c r="J9" s="2095" t="n"/>
      <c r="K9" s="1781" t="n"/>
      <c r="L9" s="1781" t="n"/>
      <c r="M9" s="1781" t="n"/>
      <c r="N9" s="1789">
        <f>Languages!B527</f>
        <v/>
      </c>
      <c r="O9" s="1789" t="n"/>
      <c r="P9" s="1789" t="n"/>
      <c r="Q9" s="1781" t="n"/>
      <c r="R9" s="1789">
        <f>Languages!B529</f>
        <v/>
      </c>
      <c r="S9" s="1789" t="n"/>
      <c r="T9" s="1789" t="n"/>
      <c r="U9" s="1789" t="n"/>
      <c r="V9" s="1789" t="n"/>
      <c r="W9" s="1781" t="n"/>
      <c r="X9" s="1781" t="n"/>
      <c r="Y9" s="1781" t="n"/>
      <c r="Z9" s="1781" t="n"/>
      <c r="AA9" s="1781" t="n"/>
      <c r="AB9" s="1781" t="n"/>
      <c r="AC9" s="1781" t="n"/>
      <c r="AD9" s="1781" t="n"/>
      <c r="AE9" s="1826">
        <f>Languages!B9</f>
        <v/>
      </c>
      <c r="AF9" s="1781" t="n"/>
      <c r="AG9" s="1781" t="n"/>
      <c r="AH9" s="1781" t="n"/>
      <c r="AI9" s="1780">
        <f>Languages!B10</f>
        <v/>
      </c>
      <c r="AJ9" s="1781" t="n"/>
      <c r="BQ9" s="1782" t="n"/>
      <c r="BR9" s="1890">
        <f>C9</f>
        <v/>
      </c>
      <c r="BS9" s="1782" t="n"/>
      <c r="BT9" s="4182">
        <f>Languages!B26</f>
        <v/>
      </c>
      <c r="BU9" s="1782" t="n"/>
      <c r="BV9" s="1783">
        <f>Languages!B27</f>
        <v/>
      </c>
      <c r="BW9" s="1782" t="n"/>
      <c r="BX9" s="4252">
        <f>Languages!B28</f>
        <v/>
      </c>
      <c r="BY9" s="1782" t="n"/>
      <c r="BZ9" s="1783">
        <f>Languages!B29</f>
        <v/>
      </c>
      <c r="CA9" s="1782" t="n"/>
      <c r="CB9" s="1782" t="n"/>
      <c r="CC9" s="2154">
        <f>Languages!B554</f>
        <v/>
      </c>
      <c r="CD9" s="1782" t="n"/>
      <c r="CE9" s="2595">
        <f>Languages!B555</f>
        <v/>
      </c>
      <c r="CF9" s="2595" t="n"/>
      <c r="CG9" s="1782" t="n"/>
      <c r="CH9" s="1782" t="n"/>
      <c r="CI9" s="1783">
        <f>Languages!B557</f>
        <v/>
      </c>
      <c r="CJ9" s="1782" t="n"/>
      <c r="CK9" s="1782" t="n"/>
      <c r="CM9" s="2015" t="inlineStr">
        <is>
          <t>implementation</t>
        </is>
      </c>
      <c r="CN9" s="2015" t="n"/>
      <c r="CO9" s="1997" t="n"/>
    </row>
    <row r="10">
      <c r="B10" s="1781" t="n"/>
      <c r="C10" s="1781" t="n"/>
      <c r="D10" s="1781" t="n"/>
      <c r="E10" s="1781" t="n"/>
      <c r="F10" s="1806">
        <f>Languages!B11</f>
        <v/>
      </c>
      <c r="G10" s="1806" t="n"/>
      <c r="H10" s="1806">
        <f>Languages!B12</f>
        <v/>
      </c>
      <c r="I10" s="1806" t="n"/>
      <c r="J10" s="1806">
        <f>Languages!B13</f>
        <v/>
      </c>
      <c r="K10" s="1781" t="n"/>
      <c r="L10" s="1781" t="n"/>
      <c r="M10" s="1781" t="n"/>
      <c r="N10" s="1806">
        <f>H10</f>
        <v/>
      </c>
      <c r="O10" s="1806" t="n"/>
      <c r="P10" s="1806">
        <f>J10</f>
        <v/>
      </c>
      <c r="Q10" s="1806" t="n"/>
      <c r="R10" s="1806">
        <f>F10</f>
        <v/>
      </c>
      <c r="S10" s="1806" t="n"/>
      <c r="T10" s="1806">
        <f>H10</f>
        <v/>
      </c>
      <c r="U10" s="1806" t="n"/>
      <c r="V10" s="1806">
        <f>J10</f>
        <v/>
      </c>
      <c r="W10" s="1781" t="n"/>
      <c r="X10" s="1781" t="n"/>
      <c r="Y10" s="1781" t="n"/>
      <c r="Z10" s="1781" t="n"/>
      <c r="AA10" s="1781" t="n"/>
      <c r="AB10" s="1781" t="n"/>
      <c r="AC10" s="1781" t="n"/>
      <c r="AD10" s="1781" t="n"/>
      <c r="AE10" s="1806">
        <f>T10</f>
        <v/>
      </c>
      <c r="AF10" s="1806" t="n"/>
      <c r="AG10" s="1806">
        <f>V10</f>
        <v/>
      </c>
      <c r="AH10" s="1781" t="n"/>
      <c r="AI10" s="1781" t="n"/>
      <c r="AJ10" s="1781" t="n"/>
      <c r="BQ10" s="1782" t="n"/>
      <c r="BR10" s="1800" t="n"/>
      <c r="BS10" s="1782" t="n"/>
      <c r="BT10" s="2155">
        <f>Languages!B16</f>
        <v/>
      </c>
      <c r="BU10" s="2155">
        <f>Languages!B17</f>
        <v/>
      </c>
      <c r="BV10" s="2155">
        <f>BT10</f>
        <v/>
      </c>
      <c r="BW10" s="2155">
        <f>BU10</f>
        <v/>
      </c>
      <c r="BX10" s="2155">
        <f>BV10</f>
        <v/>
      </c>
      <c r="BY10" s="2155">
        <f>BW10</f>
        <v/>
      </c>
      <c r="BZ10" s="2155">
        <f>BX10</f>
        <v/>
      </c>
      <c r="CA10" s="2155">
        <f>BY10</f>
        <v/>
      </c>
      <c r="CB10" s="1782" t="n"/>
      <c r="CC10" s="1782" t="n"/>
      <c r="CD10" s="1782" t="n"/>
      <c r="CE10" s="2155">
        <f>Languages!B556</f>
        <v/>
      </c>
      <c r="CF10" s="2155">
        <f>BZ10</f>
        <v/>
      </c>
      <c r="CG10" s="2155">
        <f>CA10</f>
        <v/>
      </c>
      <c r="CH10" s="2155" t="n"/>
      <c r="CI10" s="2155">
        <f>CF10</f>
        <v/>
      </c>
      <c r="CJ10" s="2155">
        <f>CG10</f>
        <v/>
      </c>
      <c r="CK10" s="1782" t="n"/>
      <c r="CM10" s="1997" t="n"/>
      <c r="CN10" s="1997" t="n"/>
      <c r="CO10" s="1997" t="n"/>
    </row>
    <row r="11">
      <c r="B11" s="1781" t="n"/>
      <c r="C11" s="2129" t="inlineStr">
        <is>
          <t>Please select</t>
        </is>
      </c>
      <c r="D11" s="1781" t="n"/>
      <c r="E11" s="1781" t="n"/>
      <c r="F11" s="2107" t="n">
        <v>0</v>
      </c>
      <c r="G11" s="1806" t="n"/>
      <c r="H11" s="4261" t="n">
        <v>0</v>
      </c>
      <c r="I11" s="1806" t="n"/>
      <c r="J11" s="4261" t="n">
        <v>0</v>
      </c>
      <c r="K11" s="1781" t="n"/>
      <c r="L11" s="1781" t="n"/>
      <c r="M11" s="1781" t="n"/>
      <c r="N11" s="1806">
        <f>F11*H11</f>
        <v/>
      </c>
      <c r="O11" s="1781" t="n"/>
      <c r="P11" s="1806">
        <f>F11*J11</f>
        <v/>
      </c>
      <c r="Q11" s="1806" t="n"/>
      <c r="R11" s="1841">
        <f>F11</f>
        <v/>
      </c>
      <c r="S11" s="1841" t="n"/>
      <c r="T11" s="1841">
        <f>F11*(1-H11)</f>
        <v/>
      </c>
      <c r="U11" s="1841" t="n"/>
      <c r="V11" s="1841">
        <f>F11*(1-J11)</f>
        <v/>
      </c>
      <c r="W11" s="1781" t="n"/>
      <c r="X11" s="1781" t="n"/>
      <c r="Y11" s="1781" t="n"/>
      <c r="Z11" s="1781" t="n"/>
      <c r="AA11" s="1781" t="n"/>
      <c r="AB11" s="1781" t="n"/>
      <c r="AC11" s="1781" t="n"/>
      <c r="AD11" s="1781" t="n"/>
      <c r="AE11" s="1841">
        <f>Coastal!O17</f>
        <v/>
      </c>
      <c r="AF11" s="1781" t="n"/>
      <c r="AG11" s="1841">
        <f>Coastal!P17</f>
        <v/>
      </c>
      <c r="AH11" s="1781" t="n"/>
      <c r="AI11" s="1806">
        <f>AG11-AE11</f>
        <v/>
      </c>
      <c r="AJ11" s="1781" t="n"/>
      <c r="BQ11" s="1782" t="n"/>
      <c r="BR11" s="1800">
        <f>C11</f>
        <v/>
      </c>
      <c r="BS11" s="1782" t="n"/>
      <c r="BT11" s="4669">
        <f>Coastal!E8</f>
        <v/>
      </c>
      <c r="BU11" s="4789" t="n"/>
      <c r="BV11" s="4669">
        <f>Coastal!G8</f>
        <v/>
      </c>
      <c r="BW11" s="4789" t="n"/>
      <c r="BX11" s="4669">
        <f>Coastal!I8</f>
        <v/>
      </c>
      <c r="BY11" s="4789" t="n"/>
      <c r="BZ11" s="4669">
        <f>Coastal!K8</f>
        <v/>
      </c>
      <c r="CA11" s="4789" t="n"/>
      <c r="CB11" s="1782" t="n"/>
      <c r="CC11" s="2135" t="inlineStr">
        <is>
          <t>Mineral</t>
        </is>
      </c>
      <c r="CD11" s="1782" t="n"/>
      <c r="CE11" s="2135" t="inlineStr">
        <is>
          <t>IPCC</t>
        </is>
      </c>
      <c r="CF11" s="2589">
        <f>Coastal!M8</f>
        <v/>
      </c>
      <c r="CG11" s="4789" t="n"/>
      <c r="CH11" s="4669" t="n"/>
      <c r="CI11" s="4268" t="n">
        <v>0.96</v>
      </c>
      <c r="CJ11" s="4261" t="n"/>
      <c r="CK11" s="1782" t="n"/>
      <c r="CL11" s="4355">
        <f>IF(AND(CE11="Tier 1a",CF11=0), "the zero reflects no data in Atwood et al. (2017) exists for the country, please use the IPCC default value or provide Tier 2 value", "")</f>
        <v/>
      </c>
      <c r="CM11" s="4401" t="n">
        <v>1</v>
      </c>
      <c r="CN11" s="4402" t="n"/>
      <c r="CO11" s="1997" t="n"/>
    </row>
    <row r="12">
      <c r="B12" s="1781" t="n"/>
      <c r="C12" s="2129" t="inlineStr">
        <is>
          <t>Please select</t>
        </is>
      </c>
      <c r="D12" s="1781" t="n"/>
      <c r="E12" s="1781" t="n"/>
      <c r="F12" s="2107" t="n">
        <v>0</v>
      </c>
      <c r="G12" s="1806" t="n"/>
      <c r="H12" s="4261" t="n">
        <v>0</v>
      </c>
      <c r="I12" s="1806" t="n"/>
      <c r="J12" s="4261" t="n">
        <v>0</v>
      </c>
      <c r="K12" s="1781" t="n"/>
      <c r="L12" s="1781" t="n"/>
      <c r="M12" s="1781" t="n"/>
      <c r="N12" s="1806">
        <f>F12*H12</f>
        <v/>
      </c>
      <c r="O12" s="1781" t="n"/>
      <c r="P12" s="1806">
        <f>F12*J12</f>
        <v/>
      </c>
      <c r="Q12" s="1806" t="n"/>
      <c r="R12" s="1841">
        <f>F12</f>
        <v/>
      </c>
      <c r="S12" s="1841" t="n"/>
      <c r="T12" s="1841">
        <f>F12*(1-H12)</f>
        <v/>
      </c>
      <c r="U12" s="1841" t="n"/>
      <c r="V12" s="1841">
        <f>F12*(1-J12)</f>
        <v/>
      </c>
      <c r="W12" s="1781" t="n"/>
      <c r="X12" s="1781" t="n"/>
      <c r="Y12" s="1781" t="n"/>
      <c r="Z12" s="1781" t="n"/>
      <c r="AA12" s="1781" t="n"/>
      <c r="AB12" s="1781" t="n"/>
      <c r="AC12" s="1781" t="n"/>
      <c r="AD12" s="1781" t="n"/>
      <c r="AE12" s="1841">
        <f>Coastal!O18</f>
        <v/>
      </c>
      <c r="AF12" s="1781" t="n"/>
      <c r="AG12" s="1841">
        <f>Coastal!P18</f>
        <v/>
      </c>
      <c r="AH12" s="1781" t="n"/>
      <c r="AI12" s="1806">
        <f>AG12-AE12</f>
        <v/>
      </c>
      <c r="AJ12" s="1781" t="n"/>
      <c r="BQ12" s="1782" t="n"/>
      <c r="BR12" s="1800">
        <f>C12</f>
        <v/>
      </c>
      <c r="BS12" s="1782" t="n"/>
      <c r="BT12" s="4669">
        <f>Coastal!E9</f>
        <v/>
      </c>
      <c r="BU12" s="4789" t="n"/>
      <c r="BV12" s="4669">
        <f>Coastal!G9</f>
        <v/>
      </c>
      <c r="BW12" s="4789" t="n"/>
      <c r="BX12" s="4669">
        <f>Coastal!I9</f>
        <v/>
      </c>
      <c r="BY12" s="4789" t="n"/>
      <c r="BZ12" s="4669">
        <f>Coastal!K9</f>
        <v/>
      </c>
      <c r="CA12" s="4789" t="n"/>
      <c r="CB12" s="1782" t="n"/>
      <c r="CC12" s="2135" t="inlineStr">
        <is>
          <t>Mineral</t>
        </is>
      </c>
      <c r="CD12" s="1782" t="n"/>
      <c r="CE12" s="2135" t="inlineStr">
        <is>
          <t>IPCC</t>
        </is>
      </c>
      <c r="CF12" s="2589">
        <f>Coastal!M9</f>
        <v/>
      </c>
      <c r="CG12" s="4789" t="n"/>
      <c r="CH12" s="4669" t="n"/>
      <c r="CI12" s="4268" t="n">
        <v>0.96</v>
      </c>
      <c r="CJ12" s="4261" t="n"/>
      <c r="CK12" s="1782" t="n"/>
      <c r="CL12" s="4355">
        <f>IF(AND(CE12="Tier 1a",CF12=0), "the zero reflects no data in Atwood et al. (2017) exists for the country, please use the IPCC default value or provide Tier 2 value", "")</f>
        <v/>
      </c>
      <c r="CM12" s="4401" t="n">
        <v>1</v>
      </c>
      <c r="CN12" s="4402" t="n"/>
      <c r="CO12" s="1997" t="n"/>
    </row>
    <row r="13">
      <c r="B13" s="1781" t="n"/>
      <c r="C13" s="2129" t="inlineStr">
        <is>
          <t>Please select</t>
        </is>
      </c>
      <c r="D13" s="1781" t="n"/>
      <c r="E13" s="1781" t="n"/>
      <c r="F13" s="2107" t="n">
        <v>0</v>
      </c>
      <c r="G13" s="1806" t="n"/>
      <c r="H13" s="4261" t="n">
        <v>0</v>
      </c>
      <c r="I13" s="1806" t="n"/>
      <c r="J13" s="4261" t="n">
        <v>0</v>
      </c>
      <c r="K13" s="1781" t="n"/>
      <c r="L13" s="1781" t="n"/>
      <c r="M13" s="1781" t="n"/>
      <c r="N13" s="1806">
        <f>F13*H13</f>
        <v/>
      </c>
      <c r="O13" s="1781" t="n"/>
      <c r="P13" s="1806">
        <f>F13*J13</f>
        <v/>
      </c>
      <c r="Q13" s="1806" t="n"/>
      <c r="R13" s="1841">
        <f>F13</f>
        <v/>
      </c>
      <c r="S13" s="1841" t="n"/>
      <c r="T13" s="1841">
        <f>F13*(1-H13)</f>
        <v/>
      </c>
      <c r="U13" s="1841" t="n"/>
      <c r="V13" s="1841">
        <f>F13*(1-J13)</f>
        <v/>
      </c>
      <c r="W13" s="1781" t="n"/>
      <c r="X13" s="1781" t="n"/>
      <c r="Y13" s="1781" t="n"/>
      <c r="Z13" s="1781" t="n"/>
      <c r="AA13" s="1781" t="n"/>
      <c r="AB13" s="1781" t="n"/>
      <c r="AC13" s="1781" t="n"/>
      <c r="AD13" s="1781" t="n"/>
      <c r="AE13" s="1841">
        <f>Coastal!O19</f>
        <v/>
      </c>
      <c r="AF13" s="1781" t="n"/>
      <c r="AG13" s="1841">
        <f>Coastal!P19</f>
        <v/>
      </c>
      <c r="AH13" s="1781" t="n"/>
      <c r="AI13" s="1806">
        <f>AG13-AE13</f>
        <v/>
      </c>
      <c r="AJ13" s="1781" t="n"/>
      <c r="BQ13" s="1782" t="n"/>
      <c r="BR13" s="1800">
        <f>C13</f>
        <v/>
      </c>
      <c r="BS13" s="1782" t="n"/>
      <c r="BT13" s="4669">
        <f>Coastal!E10</f>
        <v/>
      </c>
      <c r="BU13" s="4789" t="n"/>
      <c r="BV13" s="4669">
        <f>Coastal!G10</f>
        <v/>
      </c>
      <c r="BW13" s="4789" t="n"/>
      <c r="BX13" s="4669">
        <f>Coastal!I10</f>
        <v/>
      </c>
      <c r="BY13" s="4789" t="n"/>
      <c r="BZ13" s="4669">
        <f>Coastal!K10</f>
        <v/>
      </c>
      <c r="CA13" s="4789" t="n"/>
      <c r="CB13" s="1782" t="n"/>
      <c r="CC13" s="2135" t="inlineStr">
        <is>
          <t>Mineral</t>
        </is>
      </c>
      <c r="CD13" s="1782" t="n"/>
      <c r="CE13" s="2135" t="inlineStr">
        <is>
          <t>IPCC</t>
        </is>
      </c>
      <c r="CF13" s="2589">
        <f>Coastal!M10</f>
        <v/>
      </c>
      <c r="CG13" s="4789" t="n"/>
      <c r="CH13" s="4669" t="n"/>
      <c r="CI13" s="4268" t="n">
        <v>0.96</v>
      </c>
      <c r="CJ13" s="4261" t="n"/>
      <c r="CK13" s="1782" t="n"/>
      <c r="CL13" s="4355">
        <f>IF(AND(CE13="Tier 1a",CF13=0), "the zero reflects no data in Atwood et al. (2017) exists for the country, please use the IPCC default value or provide Tier 2 value", "")</f>
        <v/>
      </c>
      <c r="CM13" s="4401" t="n">
        <v>1</v>
      </c>
      <c r="CN13" s="4402" t="n"/>
      <c r="CO13" s="1997" t="n"/>
    </row>
    <row r="14">
      <c r="B14" s="1781" t="n"/>
      <c r="C14" s="2129" t="inlineStr">
        <is>
          <t>Please select</t>
        </is>
      </c>
      <c r="D14" s="1781" t="n"/>
      <c r="E14" s="1781" t="n"/>
      <c r="F14" s="2107" t="n">
        <v>0</v>
      </c>
      <c r="G14" s="1806" t="n"/>
      <c r="H14" s="4261" t="n">
        <v>0</v>
      </c>
      <c r="I14" s="1806" t="n"/>
      <c r="J14" s="4261" t="n">
        <v>0</v>
      </c>
      <c r="K14" s="1781" t="n"/>
      <c r="L14" s="1781" t="n"/>
      <c r="M14" s="1781" t="n"/>
      <c r="N14" s="1806">
        <f>F14*H14</f>
        <v/>
      </c>
      <c r="O14" s="1781" t="n"/>
      <c r="P14" s="1806">
        <f>F14*J14</f>
        <v/>
      </c>
      <c r="Q14" s="1806" t="n"/>
      <c r="R14" s="1841">
        <f>F14</f>
        <v/>
      </c>
      <c r="S14" s="1841" t="n"/>
      <c r="T14" s="1841">
        <f>F14*(1-H14)</f>
        <v/>
      </c>
      <c r="U14" s="1841" t="n"/>
      <c r="V14" s="1841">
        <f>F14*(1-J14)</f>
        <v/>
      </c>
      <c r="W14" s="1781" t="n"/>
      <c r="X14" s="1781" t="n"/>
      <c r="Y14" s="1781" t="n"/>
      <c r="Z14" s="1781" t="n"/>
      <c r="AA14" s="1781" t="n"/>
      <c r="AB14" s="1781" t="n"/>
      <c r="AC14" s="1781" t="n"/>
      <c r="AD14" s="1781" t="n"/>
      <c r="AE14" s="1841">
        <f>Coastal!O20</f>
        <v/>
      </c>
      <c r="AF14" s="1781" t="n"/>
      <c r="AG14" s="1841">
        <f>Coastal!P20</f>
        <v/>
      </c>
      <c r="AH14" s="1781" t="n"/>
      <c r="AI14" s="1806">
        <f>AG14-AE14</f>
        <v/>
      </c>
      <c r="AJ14" s="1781" t="n"/>
      <c r="BQ14" s="1782" t="n"/>
      <c r="BR14" s="1800">
        <f>C14</f>
        <v/>
      </c>
      <c r="BS14" s="1782" t="n"/>
      <c r="BT14" s="4669">
        <f>Coastal!E11</f>
        <v/>
      </c>
      <c r="BU14" s="4789" t="n"/>
      <c r="BV14" s="4669">
        <f>Coastal!G11</f>
        <v/>
      </c>
      <c r="BW14" s="4789" t="n"/>
      <c r="BX14" s="4669">
        <f>Coastal!I11</f>
        <v/>
      </c>
      <c r="BY14" s="4789" t="n"/>
      <c r="BZ14" s="4669">
        <f>Coastal!K11</f>
        <v/>
      </c>
      <c r="CA14" s="4789" t="n"/>
      <c r="CB14" s="1782" t="n"/>
      <c r="CC14" s="2135" t="inlineStr">
        <is>
          <t>Mineral</t>
        </is>
      </c>
      <c r="CD14" s="1782" t="n"/>
      <c r="CE14" s="2135" t="inlineStr">
        <is>
          <t>IPCC</t>
        </is>
      </c>
      <c r="CF14" s="2589">
        <f>Coastal!M11</f>
        <v/>
      </c>
      <c r="CG14" s="4789" t="n"/>
      <c r="CH14" s="4669" t="n"/>
      <c r="CI14" s="4268" t="n">
        <v>0.96</v>
      </c>
      <c r="CJ14" s="4261" t="n"/>
      <c r="CK14" s="1782" t="n"/>
      <c r="CL14" s="4355">
        <f>IF(AND(CE14="Tier 1a",CF14=0), "the zero reflects no data in Atwood et al. (2017) exists for the country, please use the IPCC default value or provide Tier 2 value", "")</f>
        <v/>
      </c>
      <c r="CM14" s="4401" t="n">
        <v>1</v>
      </c>
      <c r="CN14" s="4402" t="n"/>
      <c r="CO14" s="1997" t="n"/>
    </row>
    <row r="15">
      <c r="B15" s="1781" t="n"/>
      <c r="C15" s="2129" t="inlineStr">
        <is>
          <t>Please select</t>
        </is>
      </c>
      <c r="D15" s="1781" t="n"/>
      <c r="E15" s="1781" t="n"/>
      <c r="F15" s="2107" t="n">
        <v>0</v>
      </c>
      <c r="G15" s="1806" t="n"/>
      <c r="H15" s="4261" t="n">
        <v>0</v>
      </c>
      <c r="I15" s="1806" t="n"/>
      <c r="J15" s="4261" t="n">
        <v>0</v>
      </c>
      <c r="K15" s="1781" t="n"/>
      <c r="L15" s="1781" t="n"/>
      <c r="M15" s="1781" t="n"/>
      <c r="N15" s="1806">
        <f>F15*H15</f>
        <v/>
      </c>
      <c r="O15" s="1781" t="n"/>
      <c r="P15" s="1806">
        <f>F15*J15</f>
        <v/>
      </c>
      <c r="Q15" s="1806" t="n"/>
      <c r="R15" s="1841">
        <f>F15</f>
        <v/>
      </c>
      <c r="S15" s="1841" t="n"/>
      <c r="T15" s="1841">
        <f>F15*(1-H15)</f>
        <v/>
      </c>
      <c r="U15" s="1841" t="n"/>
      <c r="V15" s="1841">
        <f>F15*(1-J15)</f>
        <v/>
      </c>
      <c r="W15" s="1781" t="n"/>
      <c r="X15" s="1781" t="n"/>
      <c r="Y15" s="1781" t="n"/>
      <c r="Z15" s="1781" t="n"/>
      <c r="AA15" s="1781" t="n"/>
      <c r="AB15" s="1781" t="n"/>
      <c r="AC15" s="1781" t="n"/>
      <c r="AD15" s="1781" t="n"/>
      <c r="AE15" s="1841">
        <f>Coastal!O21</f>
        <v/>
      </c>
      <c r="AF15" s="1781" t="n"/>
      <c r="AG15" s="1841">
        <f>Coastal!P21</f>
        <v/>
      </c>
      <c r="AH15" s="1781" t="n"/>
      <c r="AI15" s="1806">
        <f>AG15-AE15</f>
        <v/>
      </c>
      <c r="AJ15" s="1781" t="n"/>
      <c r="BQ15" s="1782" t="n"/>
      <c r="BR15" s="1800">
        <f>C15</f>
        <v/>
      </c>
      <c r="BS15" s="1782" t="n"/>
      <c r="BT15" s="4669">
        <f>Coastal!E12</f>
        <v/>
      </c>
      <c r="BU15" s="4789" t="n"/>
      <c r="BV15" s="4669">
        <f>Coastal!G12</f>
        <v/>
      </c>
      <c r="BW15" s="4789" t="n"/>
      <c r="BX15" s="4669">
        <f>Coastal!I12</f>
        <v/>
      </c>
      <c r="BY15" s="4789" t="n"/>
      <c r="BZ15" s="4669">
        <f>Coastal!K12</f>
        <v/>
      </c>
      <c r="CA15" s="4789" t="n"/>
      <c r="CB15" s="1782" t="n"/>
      <c r="CC15" s="2135" t="inlineStr">
        <is>
          <t>Mineral</t>
        </is>
      </c>
      <c r="CD15" s="1782" t="n"/>
      <c r="CE15" s="2135" t="inlineStr">
        <is>
          <t>IPCC</t>
        </is>
      </c>
      <c r="CF15" s="2589">
        <f>Coastal!M12</f>
        <v/>
      </c>
      <c r="CG15" s="4789" t="n"/>
      <c r="CH15" s="4669" t="n"/>
      <c r="CI15" s="4268" t="n">
        <v>0.96</v>
      </c>
      <c r="CJ15" s="4261" t="n"/>
      <c r="CK15" s="1782" t="n"/>
      <c r="CL15" s="4355">
        <f>IF(AND(CE15="Tier 1a",CF15=0), "the zero reflects no data in Atwood et al. (2017) exists for the country, please use the IPCC default value or provide Tier 2 value", "")</f>
        <v/>
      </c>
      <c r="CM15" s="4401" t="n">
        <v>1</v>
      </c>
      <c r="CN15" s="4402" t="n"/>
      <c r="CO15" s="1997" t="n"/>
    </row>
    <row r="16">
      <c r="B16" s="1781" t="n"/>
      <c r="C16" s="2129" t="inlineStr">
        <is>
          <t>Please select</t>
        </is>
      </c>
      <c r="D16" s="1781" t="n"/>
      <c r="E16" s="1781" t="n"/>
      <c r="F16" s="2107" t="n">
        <v>0</v>
      </c>
      <c r="G16" s="1806" t="n"/>
      <c r="H16" s="4261" t="n">
        <v>0</v>
      </c>
      <c r="I16" s="1806" t="n"/>
      <c r="J16" s="4261" t="n">
        <v>0</v>
      </c>
      <c r="K16" s="1781" t="n"/>
      <c r="L16" s="1781" t="n"/>
      <c r="M16" s="1781" t="n"/>
      <c r="N16" s="1806">
        <f>F16*H16</f>
        <v/>
      </c>
      <c r="O16" s="1781" t="n"/>
      <c r="P16" s="1806">
        <f>F16*J16</f>
        <v/>
      </c>
      <c r="Q16" s="1806" t="n"/>
      <c r="R16" s="1841">
        <f>F16</f>
        <v/>
      </c>
      <c r="S16" s="1841" t="n"/>
      <c r="T16" s="1841">
        <f>F16*(1-H16)</f>
        <v/>
      </c>
      <c r="U16" s="1841" t="n"/>
      <c r="V16" s="1841">
        <f>F16*(1-J16)</f>
        <v/>
      </c>
      <c r="W16" s="1781" t="n"/>
      <c r="X16" s="1781" t="n"/>
      <c r="Y16" s="1781" t="n"/>
      <c r="Z16" s="1781" t="n"/>
      <c r="AA16" s="1781" t="n"/>
      <c r="AB16" s="1781" t="n"/>
      <c r="AC16" s="1781" t="n"/>
      <c r="AD16" s="1781" t="n"/>
      <c r="AE16" s="1841">
        <f>Coastal!O22</f>
        <v/>
      </c>
      <c r="AF16" s="1781" t="n"/>
      <c r="AG16" s="1841">
        <f>Coastal!P22</f>
        <v/>
      </c>
      <c r="AH16" s="1781" t="n"/>
      <c r="AI16" s="1806">
        <f>AG16-AE16</f>
        <v/>
      </c>
      <c r="AJ16" s="1781" t="n"/>
      <c r="BQ16" s="1782" t="n"/>
      <c r="BR16" s="1800">
        <f>C16</f>
        <v/>
      </c>
      <c r="BS16" s="1782" t="n"/>
      <c r="BT16" s="4669">
        <f>Coastal!E13</f>
        <v/>
      </c>
      <c r="BU16" s="4789" t="n"/>
      <c r="BV16" s="4669">
        <f>Coastal!G13</f>
        <v/>
      </c>
      <c r="BW16" s="4789" t="n"/>
      <c r="BX16" s="4669">
        <f>Coastal!I13</f>
        <v/>
      </c>
      <c r="BY16" s="4789" t="n"/>
      <c r="BZ16" s="4669">
        <f>Coastal!K13</f>
        <v/>
      </c>
      <c r="CA16" s="4789" t="n"/>
      <c r="CB16" s="1782" t="n"/>
      <c r="CC16" s="2135" t="inlineStr">
        <is>
          <t>Mineral</t>
        </is>
      </c>
      <c r="CD16" s="1782" t="n"/>
      <c r="CE16" s="2135" t="inlineStr">
        <is>
          <t>IPCC</t>
        </is>
      </c>
      <c r="CF16" s="2589">
        <f>Coastal!M13</f>
        <v/>
      </c>
      <c r="CG16" s="4789" t="n"/>
      <c r="CH16" s="4669" t="n"/>
      <c r="CI16" s="4268" t="n">
        <v>0.96</v>
      </c>
      <c r="CJ16" s="4261" t="n"/>
      <c r="CK16" s="1782" t="n"/>
      <c r="CL16" s="4355">
        <f>IF(AND(CE16="Tier 1a",CF16=0), "the zero reflects no data in Atwood et al. (2017) exists for the country, please use the IPCC default value or provide Tier 2 value", "")</f>
        <v/>
      </c>
      <c r="CM16" s="4401" t="n">
        <v>1</v>
      </c>
      <c r="CN16" s="4402" t="n"/>
      <c r="CO16" s="1997" t="n"/>
    </row>
    <row r="17" ht="16" customHeight="1">
      <c r="B17" s="1781" t="n"/>
      <c r="C17" s="1781" t="n"/>
      <c r="D17" s="1781" t="n"/>
      <c r="E17" s="1781" t="n"/>
      <c r="F17" s="1781" t="n"/>
      <c r="G17" s="1781" t="n"/>
      <c r="H17" s="1781" t="n"/>
      <c r="I17" s="1781" t="n"/>
      <c r="J17" s="1781" t="n"/>
      <c r="K17" s="1781" t="n"/>
      <c r="L17" s="1781" t="n"/>
      <c r="M17" s="1781" t="n"/>
      <c r="N17" s="1781" t="n"/>
      <c r="O17" s="1781" t="n"/>
      <c r="P17" s="1781" t="n"/>
      <c r="Q17" s="1781" t="n"/>
      <c r="R17" s="1781" t="n"/>
      <c r="S17" s="1781" t="n"/>
      <c r="T17" s="1781" t="n"/>
      <c r="U17" s="1781" t="n"/>
      <c r="V17" s="1781" t="n"/>
      <c r="W17" s="1781" t="n"/>
      <c r="X17" s="1781" t="n"/>
      <c r="Y17" s="1781" t="n"/>
      <c r="Z17" s="1781" t="n"/>
      <c r="AA17" s="1781" t="n"/>
      <c r="AB17" s="1781" t="n"/>
      <c r="AC17" s="1781" t="n"/>
      <c r="AD17" s="1781" t="n"/>
      <c r="AE17" s="1781" t="n"/>
      <c r="AF17" s="1781" t="n"/>
      <c r="AG17" s="1781" t="n"/>
      <c r="AH17" s="1781" t="n"/>
      <c r="AI17" s="1781" t="n"/>
      <c r="AJ17" s="1781" t="n"/>
      <c r="BQ17" s="1782" t="n"/>
      <c r="BR17" s="1794" t="n"/>
      <c r="BS17" s="1782" t="n"/>
      <c r="BT17" s="1782" t="n"/>
      <c r="BU17" s="1782" t="n"/>
      <c r="BV17" s="1782" t="n"/>
      <c r="BW17" s="1782" t="n"/>
      <c r="BX17" s="1782" t="n"/>
      <c r="BY17" s="1782" t="n"/>
      <c r="BZ17" s="1782" t="n"/>
      <c r="CA17" s="1782" t="n"/>
      <c r="CB17" s="1782" t="n"/>
      <c r="CC17" s="1782" t="n"/>
      <c r="CD17" s="1782" t="n"/>
      <c r="CE17" s="1782" t="n"/>
      <c r="CF17" s="1782" t="n"/>
      <c r="CG17" s="1782" t="n"/>
      <c r="CH17" s="1782" t="n"/>
      <c r="CI17" s="1782" t="n"/>
      <c r="CJ17" s="1782" t="n"/>
      <c r="CK17" s="1782" t="n"/>
      <c r="CM17" s="1997" t="n"/>
      <c r="CN17" s="1997" t="n"/>
      <c r="CO17" s="1997" t="n"/>
    </row>
    <row r="18" ht="16" customHeight="1">
      <c r="B18" s="1781" t="n"/>
      <c r="C18" s="1781" t="n"/>
      <c r="D18" s="1781" t="n"/>
      <c r="E18" s="1781" t="n"/>
      <c r="F18" s="1781" t="n"/>
      <c r="G18" s="1781" t="n"/>
      <c r="H18" s="1781" t="n"/>
      <c r="I18" s="1781" t="n"/>
      <c r="J18" s="1781" t="n"/>
      <c r="K18" s="1781" t="n"/>
      <c r="L18" s="1781" t="n"/>
      <c r="M18" s="1781" t="n"/>
      <c r="N18" s="1781" t="n"/>
      <c r="O18" s="1781" t="n"/>
      <c r="P18" s="1781" t="n"/>
      <c r="Q18" s="1781" t="n"/>
      <c r="R18" s="1781" t="n"/>
      <c r="S18" s="1781" t="n"/>
      <c r="T18" s="1781" t="n"/>
      <c r="U18" s="1781" t="n"/>
      <c r="V18" s="1781" t="n"/>
      <c r="W18" s="1781" t="n"/>
      <c r="X18" s="1781" t="n"/>
      <c r="Y18" s="1781" t="n"/>
      <c r="Z18" s="1781" t="n"/>
      <c r="AA18" s="1781" t="n"/>
      <c r="AB18" s="1781" t="n"/>
      <c r="AC18" s="1781" t="n"/>
      <c r="AD18" s="1781" t="n"/>
      <c r="AE18" s="1781" t="n"/>
      <c r="AF18" s="1781" t="n"/>
      <c r="AG18" s="1781" t="n"/>
      <c r="AH18" s="1781" t="n"/>
      <c r="AI18" s="1781" t="n"/>
      <c r="AJ18" s="1781" t="n"/>
      <c r="BQ18" s="1782" t="n"/>
      <c r="BR18" s="1794" t="n"/>
      <c r="BS18" s="1782" t="n"/>
      <c r="BT18" s="1782" t="n"/>
      <c r="BU18" s="1782" t="n"/>
      <c r="BV18" s="1782" t="n"/>
      <c r="BW18" s="1782" t="n"/>
      <c r="BX18" s="1782" t="n"/>
      <c r="BY18" s="1782" t="n"/>
      <c r="BZ18" s="1782" t="n"/>
      <c r="CA18" s="1782" t="n"/>
      <c r="CB18" s="1782" t="n"/>
      <c r="CC18" s="1782" t="n"/>
      <c r="CD18" s="1782" t="n"/>
      <c r="CE18" s="1782" t="n"/>
      <c r="CF18" s="1782" t="n"/>
      <c r="CG18" s="1782" t="n"/>
      <c r="CH18" s="1782" t="n"/>
      <c r="CI18" s="1782" t="n"/>
      <c r="CJ18" s="1782" t="n"/>
      <c r="CK18" s="1782" t="n"/>
      <c r="CM18" s="4548" t="inlineStr">
        <is>
          <t>Use this part only if you want to refine yearly GHG fluxes</t>
        </is>
      </c>
    </row>
    <row r="19" ht="15" customHeight="1">
      <c r="B19" s="1781" t="n"/>
      <c r="C19" s="1781" t="n"/>
      <c r="D19" s="1781" t="n"/>
      <c r="E19" s="1781" t="n"/>
      <c r="F19" s="1781" t="n"/>
      <c r="G19" s="1781" t="n"/>
      <c r="H19" s="1781" t="n"/>
      <c r="I19" s="1781" t="n"/>
      <c r="J19" s="1781" t="n"/>
      <c r="K19" s="1781" t="n"/>
      <c r="L19" s="1781" t="n"/>
      <c r="M19" s="1781" t="n"/>
      <c r="N19" s="1781" t="n"/>
      <c r="O19" s="1781" t="n"/>
      <c r="P19" s="1781" t="n"/>
      <c r="Q19" s="1781" t="n"/>
      <c r="R19" s="1781" t="n"/>
      <c r="S19" s="1781" t="n"/>
      <c r="T19" s="1781" t="n"/>
      <c r="U19" s="1781" t="n"/>
      <c r="V19" s="1853" t="n"/>
      <c r="W19" s="1853" t="n"/>
      <c r="X19" s="1853" t="n"/>
      <c r="Y19" s="1853" t="n"/>
      <c r="Z19" s="1853" t="n"/>
      <c r="AA19" s="1853" t="n"/>
      <c r="AB19" s="2019">
        <f>Languages!B549</f>
        <v/>
      </c>
      <c r="AC19" s="2019" t="n"/>
      <c r="AD19" s="4253" t="n"/>
      <c r="AE19" s="2039">
        <f>SUM(AE11:AE16)</f>
        <v/>
      </c>
      <c r="AF19" s="2039" t="n"/>
      <c r="AG19" s="2039">
        <f>SUM(AG11:AG16)</f>
        <v/>
      </c>
      <c r="AH19" s="2039" t="n"/>
      <c r="AI19" s="2039">
        <f>SUM(AI11:AI16)</f>
        <v/>
      </c>
      <c r="AJ19" s="1781" t="n"/>
      <c r="BQ19" s="1782" t="n"/>
      <c r="BR19" s="1782" t="n"/>
      <c r="BS19" s="1782" t="n"/>
      <c r="BT19" s="1782" t="n"/>
      <c r="BU19" s="1782" t="n"/>
      <c r="BV19" s="1782" t="n"/>
      <c r="BW19" s="1782" t="n"/>
      <c r="BX19" s="1782" t="n"/>
      <c r="BY19" s="1782" t="n"/>
      <c r="BZ19" s="1782" t="n"/>
      <c r="CA19" s="1782" t="n"/>
      <c r="CB19" s="1782" t="n"/>
      <c r="CC19" s="1782" t="n"/>
      <c r="CD19" s="1782" t="n"/>
      <c r="CE19" s="1782" t="n"/>
      <c r="CF19" s="1782" t="n"/>
      <c r="CG19" s="1782" t="n"/>
      <c r="CH19" s="1782" t="n"/>
      <c r="CI19" s="1782" t="n"/>
      <c r="CJ19" s="1782" t="n"/>
      <c r="CK19" s="1782" t="n"/>
    </row>
    <row r="20">
      <c r="B20" s="1781" t="n"/>
      <c r="C20" s="1781" t="n"/>
      <c r="D20" s="1781" t="n"/>
      <c r="E20" s="1781" t="n"/>
      <c r="F20" s="1781" t="n"/>
      <c r="G20" s="1781" t="n"/>
      <c r="H20" s="1781" t="n"/>
      <c r="I20" s="1781" t="n"/>
      <c r="J20" s="1781" t="n"/>
      <c r="K20" s="1781" t="n"/>
      <c r="L20" s="1781" t="n"/>
      <c r="M20" s="1781" t="n"/>
      <c r="N20" s="1781" t="n"/>
      <c r="O20" s="1781" t="n"/>
      <c r="P20" s="1781" t="n"/>
      <c r="Q20" s="1781" t="n"/>
      <c r="R20" s="1781" t="n"/>
      <c r="S20" s="1781" t="n"/>
      <c r="T20" s="1781" t="n"/>
      <c r="U20" s="1781" t="n"/>
      <c r="V20" s="1781" t="n"/>
      <c r="W20" s="1781" t="n"/>
      <c r="X20" s="1781" t="n"/>
      <c r="Y20" s="1781" t="n"/>
      <c r="Z20" s="1781" t="n"/>
      <c r="AA20" s="1781" t="n"/>
      <c r="AB20" s="1781" t="n"/>
      <c r="AC20" s="1781" t="n"/>
      <c r="AD20" s="1781" t="n"/>
      <c r="AE20" s="1781" t="n"/>
      <c r="AF20" s="1781" t="n"/>
      <c r="AG20" s="1781" t="n"/>
      <c r="AH20" s="1781" t="n"/>
      <c r="AI20" s="1781" t="n"/>
      <c r="AJ20" s="1781" t="n"/>
      <c r="BQ20" s="1782" t="n"/>
      <c r="BR20" s="1782">
        <f>'5.Management'!AQ23</f>
        <v/>
      </c>
      <c r="BS20" s="1782" t="n"/>
      <c r="BT20" s="1782" t="n"/>
      <c r="BU20" s="1782" t="n"/>
      <c r="BV20" s="1782" t="n"/>
      <c r="BW20" s="1782" t="n"/>
      <c r="BX20" s="1782" t="n"/>
      <c r="BY20" s="1782" t="n"/>
      <c r="BZ20" s="1782" t="n"/>
      <c r="CA20" s="1782" t="n"/>
      <c r="CB20" s="1782" t="n"/>
      <c r="CC20" s="1782" t="n"/>
      <c r="CD20" s="1782" t="n"/>
      <c r="CE20" s="1782" t="n"/>
      <c r="CF20" s="1782" t="n"/>
      <c r="CG20" s="1782" t="n"/>
      <c r="CH20" s="1782" t="n"/>
      <c r="CI20" s="1782" t="n"/>
      <c r="CJ20" s="1782" t="n"/>
      <c r="CK20" s="1782" t="n"/>
    </row>
    <row r="21">
      <c r="B21" s="1781" t="n"/>
      <c r="C21" s="1820">
        <f>Languages!B23</f>
        <v/>
      </c>
      <c r="D21" s="1820" t="n"/>
      <c r="E21" s="1781" t="n"/>
      <c r="F21" s="1781" t="n"/>
      <c r="G21" s="1781" t="n"/>
      <c r="H21" s="1781" t="n"/>
      <c r="I21" s="1781" t="n"/>
      <c r="J21" s="1781" t="n"/>
      <c r="K21" s="1781" t="n"/>
      <c r="L21" s="1781" t="n"/>
      <c r="M21" s="1781" t="n"/>
      <c r="N21" s="1781" t="n"/>
      <c r="O21" s="1781" t="n"/>
      <c r="P21" s="1781" t="n"/>
      <c r="Q21" s="1781" t="n"/>
      <c r="R21" s="1781" t="n"/>
      <c r="S21" s="1781" t="n"/>
      <c r="T21" s="1781" t="n"/>
      <c r="U21" s="1781" t="n"/>
      <c r="V21" s="1781" t="n"/>
      <c r="W21" s="1781" t="n"/>
      <c r="X21" s="1781" t="n"/>
      <c r="Y21" s="1781" t="n"/>
      <c r="Z21" s="1781" t="n"/>
      <c r="AA21" s="1781" t="n"/>
      <c r="AB21" s="1781" t="n"/>
      <c r="AC21" s="1781" t="n"/>
      <c r="AD21" s="1781" t="n"/>
      <c r="AE21" s="1781" t="n"/>
      <c r="AF21" s="1781" t="n"/>
      <c r="AG21" s="1781" t="n"/>
      <c r="AH21" s="1781" t="n"/>
      <c r="AI21" s="1781" t="n"/>
      <c r="AJ21" s="1781" t="n"/>
      <c r="BQ21" s="1782" t="n"/>
      <c r="BR21" s="1782">
        <f>'5.Management'!AQ24</f>
        <v/>
      </c>
      <c r="BS21" s="1782" t="n"/>
      <c r="BT21" s="1782" t="n"/>
      <c r="BU21" s="1782" t="n"/>
      <c r="BV21" s="1782" t="n"/>
      <c r="BW21" s="1782" t="n"/>
      <c r="BX21" s="1782" t="n"/>
      <c r="BY21" s="1782" t="n"/>
      <c r="BZ21" s="1782" t="n"/>
      <c r="CA21" s="1782" t="n"/>
      <c r="CB21" s="1782" t="n"/>
      <c r="CC21" s="1782" t="n"/>
      <c r="CD21" s="1782" t="n"/>
      <c r="CE21" s="1782" t="n"/>
      <c r="CF21" s="1782" t="n"/>
      <c r="CG21" s="1782" t="n"/>
      <c r="CH21" s="1782" t="n"/>
      <c r="CI21" s="1782" t="n"/>
      <c r="CJ21" s="1782" t="n"/>
      <c r="CK21" s="1782" t="n"/>
      <c r="CM21" s="1997" t="n"/>
      <c r="CN21" s="1997" t="n"/>
      <c r="CO21" s="1997" t="n"/>
    </row>
    <row r="22">
      <c r="B22" s="1781" t="n"/>
      <c r="C22" s="1781" t="n"/>
      <c r="D22" s="1781" t="n"/>
      <c r="E22" s="1781" t="n"/>
      <c r="F22" s="1781" t="n"/>
      <c r="G22" s="1781" t="n"/>
      <c r="H22" s="1781" t="n"/>
      <c r="I22" s="1781" t="n"/>
      <c r="J22" s="1781" t="n"/>
      <c r="K22" s="1781" t="n"/>
      <c r="L22" s="1781" t="n"/>
      <c r="M22" s="1781" t="n"/>
      <c r="N22" s="1781" t="n"/>
      <c r="O22" s="1781" t="n"/>
      <c r="P22" s="1781" t="n"/>
      <c r="Q22" s="1781" t="n"/>
      <c r="R22" s="1781" t="n"/>
      <c r="S22" s="1781" t="n"/>
      <c r="T22" s="1781" t="n"/>
      <c r="U22" s="1781" t="n"/>
      <c r="V22" s="1781" t="n"/>
      <c r="W22" s="1781" t="n"/>
      <c r="X22" s="1781" t="n"/>
      <c r="Y22" s="1781" t="n"/>
      <c r="Z22" s="1781" t="n"/>
      <c r="AA22" s="1781" t="n"/>
      <c r="AB22" s="1781" t="n"/>
      <c r="AC22" s="1781" t="n"/>
      <c r="AD22" s="1781" t="n"/>
      <c r="AE22" s="1781" t="n"/>
      <c r="AF22" s="1781" t="n"/>
      <c r="AG22" s="1781" t="n"/>
      <c r="AH22" s="1781" t="n"/>
      <c r="AI22" s="1781" t="n"/>
      <c r="AJ22" s="1781" t="n"/>
      <c r="BQ22" s="1782" t="n"/>
      <c r="BR22" s="1782" t="n"/>
      <c r="BS22" s="1782" t="n"/>
      <c r="BT22" s="1782" t="n"/>
      <c r="BU22" s="1782" t="n"/>
      <c r="BV22" s="1782" t="n"/>
      <c r="BW22" s="1782" t="n"/>
      <c r="BX22" s="1782" t="n"/>
      <c r="BY22" s="1782" t="n"/>
      <c r="BZ22" s="1782" t="n"/>
      <c r="CA22" s="1782" t="n"/>
      <c r="CB22" s="1782" t="n"/>
      <c r="CC22" s="1782" t="n"/>
      <c r="CD22" s="1782" t="n"/>
      <c r="CE22" s="1782" t="n"/>
      <c r="CF22" s="1782" t="n"/>
      <c r="CG22" s="1782" t="n"/>
      <c r="CH22" s="1782" t="n"/>
      <c r="CI22" s="1782" t="n"/>
      <c r="CJ22" s="1782" t="n"/>
      <c r="CK22" s="1782" t="n"/>
      <c r="CM22" s="1997" t="n"/>
      <c r="CN22" s="1997" t="n"/>
      <c r="CO22" s="1997" t="n"/>
    </row>
    <row r="24" ht="31.25" customHeight="1">
      <c r="B24" s="1767" t="n"/>
      <c r="C24" s="1769">
        <f>Languages!B546</f>
        <v/>
      </c>
      <c r="D24" s="1769" t="n"/>
      <c r="E24" s="2057" t="n"/>
      <c r="F24" s="1769" t="n"/>
      <c r="G24" s="1769" t="n"/>
      <c r="H24" s="1769" t="n"/>
      <c r="I24" s="1769" t="n"/>
      <c r="J24" s="1769" t="n"/>
      <c r="K24" s="1769" t="n"/>
      <c r="L24" s="1769" t="n"/>
      <c r="M24" s="1769" t="n"/>
      <c r="N24" s="1769" t="n"/>
      <c r="O24" s="1769" t="n"/>
      <c r="P24" s="1769" t="n"/>
      <c r="Q24" s="1769" t="n"/>
      <c r="R24" s="1769" t="n"/>
      <c r="S24" s="1769" t="n"/>
      <c r="T24" s="1769" t="n"/>
      <c r="U24" s="1769" t="n"/>
      <c r="V24" s="1769" t="n"/>
      <c r="W24" s="1769" t="n"/>
      <c r="X24" s="1769" t="n"/>
      <c r="Y24" s="1769" t="n"/>
      <c r="Z24" s="1769" t="n"/>
      <c r="AA24" s="1769" t="n"/>
      <c r="AB24" s="1769" t="n"/>
      <c r="AC24" s="1769" t="n"/>
      <c r="AD24" s="1769" t="n"/>
      <c r="AE24" s="1769" t="n"/>
      <c r="AF24" s="1769" t="n"/>
      <c r="AG24" s="1979">
        <f>AG4</f>
        <v/>
      </c>
      <c r="AH24" s="1769" t="n"/>
      <c r="AI24" s="1769" t="n"/>
      <c r="AJ24" s="1769" t="n"/>
      <c r="BQ24" s="1767" t="n"/>
      <c r="BR24" s="4248">
        <f>C24</f>
        <v/>
      </c>
      <c r="BS24" s="1767" t="n"/>
      <c r="BT24" s="1767" t="n"/>
      <c r="BU24" s="1767" t="n"/>
      <c r="BV24" s="1767" t="n"/>
      <c r="BW24" s="1767" t="n"/>
      <c r="BX24" s="1767" t="n"/>
      <c r="BY24" s="1767" t="n"/>
      <c r="BZ24" s="1767" t="n"/>
      <c r="CA24" s="1767" t="n"/>
      <c r="CB24" s="1767" t="n"/>
      <c r="CC24" s="1767" t="n"/>
      <c r="CD24" s="1767" t="n"/>
      <c r="CE24" s="1767" t="n"/>
      <c r="CF24" s="1767" t="n"/>
      <c r="CG24" s="1767" t="n"/>
      <c r="CH24" s="1767" t="n"/>
      <c r="CI24" s="1767" t="n"/>
      <c r="CJ24" s="1767" t="n"/>
      <c r="CK24" s="1767" t="n"/>
      <c r="CM24" s="4404" t="inlineStr">
        <is>
          <t>Annual balance</t>
        </is>
      </c>
      <c r="CN24" s="4404" t="n"/>
      <c r="CO24" s="4404" t="n"/>
    </row>
    <row r="25" ht="16" customHeight="1">
      <c r="B25" s="1781" t="n"/>
      <c r="C25" s="4254">
        <f>Languages!B547</f>
        <v/>
      </c>
      <c r="D25" s="4254" t="n"/>
      <c r="E25" s="4254" t="n"/>
      <c r="F25" s="4254" t="n"/>
      <c r="G25" s="4254" t="n"/>
      <c r="H25" s="4254" t="n"/>
      <c r="I25" s="4254" t="n"/>
      <c r="J25" s="4254" t="n"/>
      <c r="K25" s="1781" t="n"/>
      <c r="L25" s="1781" t="n"/>
      <c r="M25" s="1781" t="n"/>
      <c r="N25" s="1781" t="n"/>
      <c r="O25" s="1781" t="n"/>
      <c r="P25" s="1781" t="n"/>
      <c r="Q25" s="1781" t="n"/>
      <c r="R25" s="1781" t="n"/>
      <c r="S25" s="1781" t="n"/>
      <c r="T25" s="1781" t="n"/>
      <c r="U25" s="1781" t="n"/>
      <c r="V25" s="1781" t="n"/>
      <c r="W25" s="1781" t="n"/>
      <c r="X25" s="1781" t="n"/>
      <c r="Y25" s="1781" t="n"/>
      <c r="Z25" s="1781" t="n"/>
      <c r="AA25" s="1781" t="n"/>
      <c r="AB25" s="1781" t="n"/>
      <c r="AC25" s="1781" t="n"/>
      <c r="AD25" s="1781" t="n"/>
      <c r="AE25" s="1781" t="n"/>
      <c r="AF25" s="1781" t="n"/>
      <c r="AG25" s="1781" t="n"/>
      <c r="AH25" s="1781" t="n"/>
      <c r="AI25" s="1781" t="n"/>
      <c r="AJ25" s="1781" t="n"/>
      <c r="BQ25" s="1782" t="n"/>
      <c r="BR25" s="1782" t="n"/>
      <c r="BS25" s="1782" t="n"/>
      <c r="BT25" s="4250">
        <f>BT7</f>
        <v/>
      </c>
      <c r="BU25" s="1785" t="n"/>
      <c r="BV25" s="1785" t="n"/>
      <c r="BW25" s="1785" t="n"/>
      <c r="BX25" s="1785" t="n"/>
      <c r="BY25" s="1785" t="n"/>
      <c r="BZ25" s="1785" t="n"/>
      <c r="CA25" s="1785" t="n"/>
      <c r="CB25" s="1785" t="n"/>
      <c r="CC25" s="1785" t="n"/>
      <c r="CD25" s="1785" t="n"/>
      <c r="CE25" s="1785" t="n"/>
      <c r="CF25" s="1785" t="n"/>
      <c r="CG25" s="1785" t="n"/>
      <c r="CH25" s="1782" t="n"/>
      <c r="CI25" s="1782" t="n"/>
      <c r="CJ25" s="1782" t="n"/>
      <c r="CK25" s="1782" t="n"/>
      <c r="CM25" s="1800" t="n"/>
      <c r="CN25" s="1800" t="n"/>
      <c r="CO25" s="1800" t="n"/>
    </row>
    <row r="26">
      <c r="B26" s="1781" t="n"/>
      <c r="C26" s="1781" t="n"/>
      <c r="D26" s="1781" t="n"/>
      <c r="E26" s="1781" t="n"/>
      <c r="F26" s="1781" t="n"/>
      <c r="G26" s="1781" t="n"/>
      <c r="H26" s="1781" t="n"/>
      <c r="I26" s="1781" t="n"/>
      <c r="J26" s="1781" t="n"/>
      <c r="K26" s="1781" t="n"/>
      <c r="L26" s="1781" t="n"/>
      <c r="M26" s="1781" t="n"/>
      <c r="N26" s="1781" t="n"/>
      <c r="O26" s="1781" t="n"/>
      <c r="P26" s="1781" t="n"/>
      <c r="Q26" s="1781" t="n"/>
      <c r="R26" s="1781" t="n"/>
      <c r="S26" s="1781" t="n"/>
      <c r="T26" s="1781" t="n"/>
      <c r="U26" s="1781" t="n"/>
      <c r="V26" s="1781" t="n"/>
      <c r="W26" s="1781" t="n"/>
      <c r="X26" s="1781" t="n"/>
      <c r="Y26" s="1781" t="n"/>
      <c r="Z26" s="1781" t="n"/>
      <c r="AA26" s="1781" t="n"/>
      <c r="AB26" s="1781" t="n"/>
      <c r="AC26" s="1781" t="n"/>
      <c r="AD26" s="1781" t="n"/>
      <c r="AE26" s="1826" t="n"/>
      <c r="AF26" s="1826" t="n"/>
      <c r="AG26" s="1826" t="n"/>
      <c r="AH26" s="1826" t="n"/>
      <c r="AI26" s="1826" t="n"/>
      <c r="AJ26" s="1826" t="n"/>
      <c r="BQ26" s="1782" t="n"/>
      <c r="BR26" s="1782" t="n"/>
      <c r="BS26" s="1782" t="n"/>
      <c r="BT26" s="1782" t="n"/>
      <c r="BU26" s="1782" t="n"/>
      <c r="BV26" s="1782" t="n"/>
      <c r="BW26" s="1782" t="n"/>
      <c r="BX26" s="1782" t="n"/>
      <c r="BY26" s="1782" t="n"/>
      <c r="BZ26" s="1782" t="n"/>
      <c r="CA26" s="1782" t="n"/>
      <c r="CB26" s="1782" t="n"/>
      <c r="CC26" s="1782" t="n"/>
      <c r="CD26" s="1782" t="n"/>
      <c r="CE26" s="1782" t="n"/>
      <c r="CF26" s="1782" t="n"/>
      <c r="CG26" s="1782" t="n"/>
      <c r="CH26" s="1782" t="n"/>
      <c r="CI26" s="1782" t="n"/>
      <c r="CJ26" s="1782" t="n"/>
      <c r="CK26" s="1782" t="n"/>
      <c r="CM26" s="1890" t="inlineStr">
        <is>
          <t xml:space="preserve">Start year of </t>
        </is>
      </c>
      <c r="CN26" s="1890" t="n"/>
      <c r="CO26" s="1997" t="n"/>
    </row>
    <row r="27">
      <c r="B27" s="1781" t="n"/>
      <c r="C27" s="1826">
        <f>C9</f>
        <v/>
      </c>
      <c r="D27" s="1826" t="n"/>
      <c r="E27" s="1781" t="n"/>
      <c r="F27" s="1789">
        <f>Languages!B548</f>
        <v/>
      </c>
      <c r="G27" s="1789" t="n"/>
      <c r="H27" s="1789" t="n"/>
      <c r="I27" s="1789" t="n"/>
      <c r="J27" s="1789" t="n"/>
      <c r="K27" s="1781" t="n"/>
      <c r="L27" s="1781" t="n"/>
      <c r="M27" s="1781" t="n"/>
      <c r="N27" s="1789">
        <f>Languages!B528</f>
        <v/>
      </c>
      <c r="O27" s="1789" t="n"/>
      <c r="P27" s="1789" t="n"/>
      <c r="Q27" s="1789" t="n"/>
      <c r="R27" s="1789" t="n"/>
      <c r="S27" s="1781" t="n"/>
      <c r="T27" s="1781" t="n"/>
      <c r="U27" s="1781" t="n"/>
      <c r="V27" s="2047" t="inlineStr">
        <is>
          <t>Percentage of biomass lost due to drainage</t>
        </is>
      </c>
      <c r="W27" s="2047" t="n"/>
      <c r="X27" s="2047" t="n"/>
      <c r="Y27" s="2047" t="n"/>
      <c r="Z27" s="2047" t="n"/>
      <c r="AA27" s="2047" t="n"/>
      <c r="AB27" s="2047" t="n"/>
      <c r="AC27" s="2047" t="n"/>
      <c r="AD27" s="1781" t="n"/>
      <c r="AE27" s="1826">
        <f>AE9</f>
        <v/>
      </c>
      <c r="AF27" s="1781" t="n"/>
      <c r="AG27" s="1781" t="n"/>
      <c r="AH27" s="1781" t="n"/>
      <c r="AI27" s="1780">
        <f>AI9</f>
        <v/>
      </c>
      <c r="AJ27" s="1781" t="n"/>
      <c r="BQ27" s="1782" t="n"/>
      <c r="BR27" s="1890">
        <f>C27</f>
        <v/>
      </c>
      <c r="BS27" s="1782" t="n"/>
      <c r="BT27" s="4182">
        <f>BT9</f>
        <v/>
      </c>
      <c r="BU27" s="1782" t="n"/>
      <c r="BV27" s="1783">
        <f>BV9</f>
        <v/>
      </c>
      <c r="BW27" s="1782" t="n"/>
      <c r="BX27" s="4252">
        <f>BX9</f>
        <v/>
      </c>
      <c r="BY27" s="1782" t="n"/>
      <c r="BZ27" s="1783">
        <f>BZ9</f>
        <v/>
      </c>
      <c r="CA27" s="1782" t="n"/>
      <c r="CB27" s="1782" t="n"/>
      <c r="CC27" s="2154">
        <f>CC9</f>
        <v/>
      </c>
      <c r="CD27" s="1782" t="n"/>
      <c r="CE27" s="2595">
        <f>CE9</f>
        <v/>
      </c>
      <c r="CF27" s="2595" t="n"/>
      <c r="CG27" s="1782" t="n"/>
      <c r="CH27" s="1782" t="n"/>
      <c r="CI27" s="1783">
        <f>Languages!B533</f>
        <v/>
      </c>
      <c r="CJ27" s="1782" t="n"/>
      <c r="CK27" s="1782" t="n"/>
      <c r="CM27" s="2015" t="inlineStr">
        <is>
          <t>implementation</t>
        </is>
      </c>
      <c r="CN27" s="2015" t="n"/>
      <c r="CO27" s="1997" t="n"/>
    </row>
    <row r="28">
      <c r="B28" s="1781" t="n"/>
      <c r="C28" s="1781" t="n"/>
      <c r="D28" s="1781" t="n"/>
      <c r="E28" s="1781" t="n"/>
      <c r="F28" s="1806">
        <f>F10</f>
        <v/>
      </c>
      <c r="G28" s="1806" t="n"/>
      <c r="H28" s="1806">
        <f>H10</f>
        <v/>
      </c>
      <c r="I28" s="1806" t="inlineStr">
        <is>
          <t>*</t>
        </is>
      </c>
      <c r="J28" s="1806">
        <f>J10</f>
        <v/>
      </c>
      <c r="K28" s="1781" t="inlineStr">
        <is>
          <t>*</t>
        </is>
      </c>
      <c r="L28" s="1781" t="n"/>
      <c r="M28" s="1781" t="n"/>
      <c r="N28" s="1806">
        <f>F28</f>
        <v/>
      </c>
      <c r="O28" s="1806" t="n"/>
      <c r="P28" s="1806">
        <f>H28</f>
        <v/>
      </c>
      <c r="Q28" s="1806" t="n"/>
      <c r="R28" s="1806">
        <f>J28</f>
        <v/>
      </c>
      <c r="S28" s="1781" t="n"/>
      <c r="T28" s="1781" t="n"/>
      <c r="U28" s="1781" t="n"/>
      <c r="V28" s="4092">
        <f>N28</f>
        <v/>
      </c>
      <c r="W28" s="4092" t="n"/>
      <c r="X28" s="4092">
        <f>P28</f>
        <v/>
      </c>
      <c r="Y28" s="4092" t="n"/>
      <c r="Z28" s="4092">
        <f>R28</f>
        <v/>
      </c>
      <c r="AA28" s="2047" t="n"/>
      <c r="AB28" s="2047" t="n"/>
      <c r="AC28" s="2047" t="n"/>
      <c r="AD28" s="1781" t="n"/>
      <c r="AE28" s="1806">
        <f>AE10</f>
        <v/>
      </c>
      <c r="AF28" s="1806" t="n"/>
      <c r="AG28" s="1806">
        <f>AG10</f>
        <v/>
      </c>
      <c r="AH28" s="1781" t="n"/>
      <c r="AI28" s="1781" t="n"/>
      <c r="AJ28" s="1781" t="n"/>
      <c r="BQ28" s="1782" t="n"/>
      <c r="BR28" s="1800" t="n"/>
      <c r="BS28" s="1782" t="n"/>
      <c r="BT28" s="2155">
        <f>BT10</f>
        <v/>
      </c>
      <c r="BU28" s="2155">
        <f>BU10</f>
        <v/>
      </c>
      <c r="BV28" s="2155">
        <f>BT28</f>
        <v/>
      </c>
      <c r="BW28" s="2155">
        <f>BU28</f>
        <v/>
      </c>
      <c r="BX28" s="2155">
        <f>BV28</f>
        <v/>
      </c>
      <c r="BY28" s="2155">
        <f>BW28</f>
        <v/>
      </c>
      <c r="BZ28" s="2155">
        <f>BX28</f>
        <v/>
      </c>
      <c r="CA28" s="2155">
        <f>BY28</f>
        <v/>
      </c>
      <c r="CB28" s="1782" t="n"/>
      <c r="CC28" s="1782" t="n"/>
      <c r="CD28" s="1782" t="n"/>
      <c r="CE28" s="2155">
        <f>CE10</f>
        <v/>
      </c>
      <c r="CF28" s="2155">
        <f>BZ28</f>
        <v/>
      </c>
      <c r="CG28" s="2155">
        <f>CA28</f>
        <v/>
      </c>
      <c r="CH28" s="2155" t="n"/>
      <c r="CI28" s="2155">
        <f>CF28</f>
        <v/>
      </c>
      <c r="CJ28" s="2155">
        <f>CG28</f>
        <v/>
      </c>
      <c r="CK28" s="1782" t="n"/>
      <c r="CM28" s="1997" t="n"/>
      <c r="CN28" s="1997" t="n"/>
      <c r="CO28" s="1997" t="n"/>
    </row>
    <row r="29">
      <c r="B29" s="1781" t="n"/>
      <c r="C29" s="1781">
        <f>C11</f>
        <v/>
      </c>
      <c r="D29" s="1781" t="n"/>
      <c r="E29" s="1781" t="n"/>
      <c r="F29" s="4261" t="n">
        <v>0</v>
      </c>
      <c r="G29" s="1781" t="n"/>
      <c r="H29" s="4261" t="n">
        <v>0</v>
      </c>
      <c r="I29" s="2108" t="inlineStr">
        <is>
          <t>D</t>
        </is>
      </c>
      <c r="J29" s="4261" t="n">
        <v>0</v>
      </c>
      <c r="K29" s="2108" t="inlineStr">
        <is>
          <t>D</t>
        </is>
      </c>
      <c r="L29" s="2114" t="n"/>
      <c r="M29" s="2114" t="n"/>
      <c r="N29" s="1841">
        <f>$R11*$F29</f>
        <v/>
      </c>
      <c r="O29" s="1781" t="n"/>
      <c r="P29" s="1841">
        <f>$T11*$H29</f>
        <v/>
      </c>
      <c r="Q29" s="1781" t="n"/>
      <c r="R29" s="1841">
        <f>$V11*$J29</f>
        <v/>
      </c>
      <c r="S29" s="1781" t="n"/>
      <c r="T29" s="1781" t="n"/>
      <c r="U29" s="1781" t="n"/>
      <c r="V29" s="4255" t="n">
        <v>1</v>
      </c>
      <c r="W29" s="2047" t="n"/>
      <c r="X29" s="4255" t="n">
        <v>1</v>
      </c>
      <c r="Y29" s="2047" t="n"/>
      <c r="Z29" s="4255" t="n">
        <v>1</v>
      </c>
      <c r="AA29" s="2047" t="n"/>
      <c r="AB29" s="2047" t="n"/>
      <c r="AC29" s="2047" t="n"/>
      <c r="AD29" s="1781" t="n"/>
      <c r="AE29" s="1841">
        <f>Coastal!O41+Coastal!O51</f>
        <v/>
      </c>
      <c r="AF29" s="1806" t="n"/>
      <c r="AG29" s="1841">
        <f>Coastal!P41+Coastal!P51</f>
        <v/>
      </c>
      <c r="AH29" s="1806" t="n"/>
      <c r="AI29" s="1806">
        <f>AG29-AE29</f>
        <v/>
      </c>
      <c r="AJ29" s="1781" t="n"/>
      <c r="BQ29" s="1782" t="n"/>
      <c r="BR29" s="1800">
        <f>C29</f>
        <v/>
      </c>
      <c r="BS29" s="1782" t="n"/>
      <c r="BT29" s="4669">
        <f>Coastal!E31</f>
        <v/>
      </c>
      <c r="BU29" s="4789" t="n"/>
      <c r="BV29" s="4669">
        <f>Coastal!G31</f>
        <v/>
      </c>
      <c r="BW29" s="4789" t="n"/>
      <c r="BX29" s="4669">
        <f>Coastal!I31</f>
        <v/>
      </c>
      <c r="BY29" s="4789" t="n"/>
      <c r="BZ29" s="4669">
        <f>Coastal!K31</f>
        <v/>
      </c>
      <c r="CA29" s="4789" t="n"/>
      <c r="CB29" s="1782" t="n"/>
      <c r="CC29" s="2135" t="inlineStr">
        <is>
          <t>Mineral</t>
        </is>
      </c>
      <c r="CD29" s="1782" t="n"/>
      <c r="CE29" s="2135" t="inlineStr">
        <is>
          <t>IPCC</t>
        </is>
      </c>
      <c r="CF29" s="2589">
        <f>Coastal!M31</f>
        <v/>
      </c>
      <c r="CG29" s="4789" t="n"/>
      <c r="CH29" s="4669" t="n"/>
      <c r="CI29" s="4256">
        <f>Coastal!O31</f>
        <v/>
      </c>
      <c r="CJ29" s="4265" t="n"/>
      <c r="CK29" s="1782" t="n"/>
      <c r="CL29" s="4355">
        <f>IF(AND(CE29="Tier 1a",CF29=0), "the zero reflects no data in Atwood et al. (2017) exists for the country, please use the IPCC default value or provide Tier 2 value", "")</f>
        <v/>
      </c>
      <c r="CM29" s="4401" t="n">
        <v>1</v>
      </c>
      <c r="CN29" s="4402" t="n"/>
      <c r="CO29" s="1997" t="n"/>
    </row>
    <row r="30">
      <c r="B30" s="1781" t="n"/>
      <c r="C30" s="1781">
        <f>C12</f>
        <v/>
      </c>
      <c r="D30" s="1781" t="n"/>
      <c r="E30" s="1781" t="n"/>
      <c r="F30" s="4261" t="n">
        <v>0</v>
      </c>
      <c r="G30" s="1781" t="n"/>
      <c r="H30" s="4261" t="n">
        <v>0</v>
      </c>
      <c r="I30" s="2108" t="inlineStr">
        <is>
          <t>D</t>
        </is>
      </c>
      <c r="J30" s="4261" t="n">
        <v>0</v>
      </c>
      <c r="K30" s="2108" t="inlineStr">
        <is>
          <t>D</t>
        </is>
      </c>
      <c r="L30" s="2114" t="n"/>
      <c r="M30" s="2114" t="n"/>
      <c r="N30" s="1841">
        <f>$R12*$F30</f>
        <v/>
      </c>
      <c r="O30" s="1781" t="n"/>
      <c r="P30" s="1841">
        <f>$T12*$H30</f>
        <v/>
      </c>
      <c r="Q30" s="1781" t="n"/>
      <c r="R30" s="1841">
        <f>$V12*$J30</f>
        <v/>
      </c>
      <c r="S30" s="1781" t="n"/>
      <c r="T30" s="1781" t="n"/>
      <c r="U30" s="1781" t="n"/>
      <c r="V30" s="4255" t="n">
        <v>1</v>
      </c>
      <c r="W30" s="2047" t="n"/>
      <c r="X30" s="4255" t="n">
        <v>1</v>
      </c>
      <c r="Y30" s="2047" t="n"/>
      <c r="Z30" s="4255" t="n">
        <v>1</v>
      </c>
      <c r="AA30" s="2047" t="n"/>
      <c r="AB30" s="2047" t="n"/>
      <c r="AC30" s="2047" t="n"/>
      <c r="AD30" s="1781" t="n"/>
      <c r="AE30" s="1841">
        <f>Coastal!O42+Coastal!O52</f>
        <v/>
      </c>
      <c r="AF30" s="1806" t="n"/>
      <c r="AG30" s="1841">
        <f>Coastal!P42+Coastal!P52</f>
        <v/>
      </c>
      <c r="AH30" s="1806" t="n"/>
      <c r="AI30" s="1806">
        <f>AG30-AE30</f>
        <v/>
      </c>
      <c r="AJ30" s="1781" t="n"/>
      <c r="BQ30" s="1782" t="n"/>
      <c r="BR30" s="1800">
        <f>C30</f>
        <v/>
      </c>
      <c r="BS30" s="1782" t="n"/>
      <c r="BT30" s="4669">
        <f>Coastal!E32</f>
        <v/>
      </c>
      <c r="BU30" s="4789" t="n"/>
      <c r="BV30" s="4669">
        <f>Coastal!G32</f>
        <v/>
      </c>
      <c r="BW30" s="4789" t="n"/>
      <c r="BX30" s="4669">
        <f>Coastal!I32</f>
        <v/>
      </c>
      <c r="BY30" s="4789" t="n"/>
      <c r="BZ30" s="4669">
        <f>Coastal!K32</f>
        <v/>
      </c>
      <c r="CA30" s="4789" t="n"/>
      <c r="CB30" s="1782" t="n"/>
      <c r="CC30" s="2135" t="inlineStr">
        <is>
          <t>Mineral</t>
        </is>
      </c>
      <c r="CD30" s="1782" t="n"/>
      <c r="CE30" s="2135" t="inlineStr">
        <is>
          <t>IPCC</t>
        </is>
      </c>
      <c r="CF30" s="2589">
        <f>Coastal!M32</f>
        <v/>
      </c>
      <c r="CG30" s="4789" t="n"/>
      <c r="CH30" s="4669" t="n"/>
      <c r="CI30" s="4256">
        <f>Coastal!O32</f>
        <v/>
      </c>
      <c r="CJ30" s="4265" t="n"/>
      <c r="CK30" s="1782" t="n"/>
      <c r="CL30" s="4355">
        <f>IF(AND(CE30="Tier 1a",CF30=0), "the zero reflects no data in Atwood et al. (2017) exists for the country, please use the IPCC default value or provide Tier 2 value", "")</f>
        <v/>
      </c>
      <c r="CM30" s="4401" t="n">
        <v>1</v>
      </c>
      <c r="CN30" s="4402" t="n"/>
      <c r="CO30" s="1997" t="n"/>
    </row>
    <row r="31">
      <c r="B31" s="1781" t="n"/>
      <c r="C31" s="1781">
        <f>C13</f>
        <v/>
      </c>
      <c r="D31" s="1781" t="n"/>
      <c r="E31" s="1781" t="n"/>
      <c r="F31" s="4261" t="n">
        <v>0</v>
      </c>
      <c r="G31" s="1781" t="n"/>
      <c r="H31" s="4261" t="n">
        <v>0</v>
      </c>
      <c r="I31" s="2108" t="inlineStr">
        <is>
          <t>D</t>
        </is>
      </c>
      <c r="J31" s="4261" t="n">
        <v>0</v>
      </c>
      <c r="K31" s="2108" t="inlineStr">
        <is>
          <t>D</t>
        </is>
      </c>
      <c r="L31" s="2114" t="n"/>
      <c r="M31" s="2114" t="n"/>
      <c r="N31" s="1841">
        <f>$R13*$F31</f>
        <v/>
      </c>
      <c r="O31" s="1781" t="n"/>
      <c r="P31" s="1841">
        <f>$T13*$H31</f>
        <v/>
      </c>
      <c r="Q31" s="1781" t="n"/>
      <c r="R31" s="1841">
        <f>$V13*$J31</f>
        <v/>
      </c>
      <c r="S31" s="1781" t="n"/>
      <c r="T31" s="1781" t="n"/>
      <c r="U31" s="1781" t="n"/>
      <c r="V31" s="4255" t="n">
        <v>1</v>
      </c>
      <c r="W31" s="2047" t="n"/>
      <c r="X31" s="4255" t="n">
        <v>1</v>
      </c>
      <c r="Y31" s="2047" t="n"/>
      <c r="Z31" s="4255" t="n">
        <v>1</v>
      </c>
      <c r="AA31" s="2047" t="n"/>
      <c r="AB31" s="2047" t="n"/>
      <c r="AC31" s="2047" t="n"/>
      <c r="AD31" s="1781" t="n"/>
      <c r="AE31" s="1841">
        <f>Coastal!O43+Coastal!O53</f>
        <v/>
      </c>
      <c r="AF31" s="1806" t="n"/>
      <c r="AG31" s="1841">
        <f>Coastal!P43+Coastal!P53</f>
        <v/>
      </c>
      <c r="AH31" s="1806" t="n"/>
      <c r="AI31" s="1806">
        <f>AG31-AE31</f>
        <v/>
      </c>
      <c r="AJ31" s="1781" t="n"/>
      <c r="BQ31" s="1782" t="n"/>
      <c r="BR31" s="1800">
        <f>C31</f>
        <v/>
      </c>
      <c r="BS31" s="1782" t="n"/>
      <c r="BT31" s="4669">
        <f>Coastal!E33</f>
        <v/>
      </c>
      <c r="BU31" s="4789" t="n"/>
      <c r="BV31" s="4669">
        <f>Coastal!G33</f>
        <v/>
      </c>
      <c r="BW31" s="4789" t="n"/>
      <c r="BX31" s="4669">
        <f>Coastal!I33</f>
        <v/>
      </c>
      <c r="BY31" s="4789" t="n"/>
      <c r="BZ31" s="4669">
        <f>Coastal!K33</f>
        <v/>
      </c>
      <c r="CA31" s="4789" t="n"/>
      <c r="CB31" s="1782" t="n"/>
      <c r="CC31" s="2135" t="inlineStr">
        <is>
          <t>Mineral</t>
        </is>
      </c>
      <c r="CD31" s="1782" t="n"/>
      <c r="CE31" s="2135" t="inlineStr">
        <is>
          <t>IPCC</t>
        </is>
      </c>
      <c r="CF31" s="2589">
        <f>Coastal!M33</f>
        <v/>
      </c>
      <c r="CG31" s="4789" t="n"/>
      <c r="CH31" s="4669" t="n"/>
      <c r="CI31" s="4256">
        <f>Coastal!O33</f>
        <v/>
      </c>
      <c r="CJ31" s="4265" t="n"/>
      <c r="CK31" s="1782" t="n"/>
      <c r="CL31" s="4355">
        <f>IF(AND(CE31="Tier 1a",CF31=0), "the zero reflects no data in Atwood et al. (2017) exists for the country, please use the IPCC default value or provide Tier 2 value", "")</f>
        <v/>
      </c>
      <c r="CM31" s="4401" t="n">
        <v>1</v>
      </c>
      <c r="CN31" s="4402" t="n"/>
      <c r="CO31" s="1997" t="n"/>
    </row>
    <row r="32">
      <c r="B32" s="1781" t="n"/>
      <c r="C32" s="1781">
        <f>C14</f>
        <v/>
      </c>
      <c r="D32" s="1781" t="n"/>
      <c r="E32" s="1781" t="n"/>
      <c r="F32" s="4261" t="n">
        <v>0</v>
      </c>
      <c r="G32" s="1781" t="n"/>
      <c r="H32" s="4261" t="n">
        <v>0</v>
      </c>
      <c r="I32" s="2108" t="inlineStr">
        <is>
          <t>D</t>
        </is>
      </c>
      <c r="J32" s="4261" t="n">
        <v>0</v>
      </c>
      <c r="K32" s="2108" t="inlineStr">
        <is>
          <t>D</t>
        </is>
      </c>
      <c r="L32" s="2114" t="n"/>
      <c r="M32" s="2114" t="n"/>
      <c r="N32" s="1841">
        <f>$R14*$F32</f>
        <v/>
      </c>
      <c r="O32" s="1781" t="n"/>
      <c r="P32" s="1841">
        <f>$T14*$H32</f>
        <v/>
      </c>
      <c r="Q32" s="1781" t="n"/>
      <c r="R32" s="1841">
        <f>$V14*$J32</f>
        <v/>
      </c>
      <c r="S32" s="1781" t="n"/>
      <c r="T32" s="1781" t="n"/>
      <c r="U32" s="1781" t="n"/>
      <c r="V32" s="4255" t="n">
        <v>1</v>
      </c>
      <c r="W32" s="2047" t="n"/>
      <c r="X32" s="4255" t="n">
        <v>1</v>
      </c>
      <c r="Y32" s="2047" t="n"/>
      <c r="Z32" s="4255" t="n">
        <v>1</v>
      </c>
      <c r="AA32" s="2047" t="n"/>
      <c r="AB32" s="2047" t="n"/>
      <c r="AC32" s="2047" t="n"/>
      <c r="AD32" s="1781" t="n"/>
      <c r="AE32" s="1841">
        <f>Coastal!O44+Coastal!O54</f>
        <v/>
      </c>
      <c r="AF32" s="1806" t="n"/>
      <c r="AG32" s="1841">
        <f>Coastal!P44+Coastal!P54</f>
        <v/>
      </c>
      <c r="AH32" s="1806" t="n"/>
      <c r="AI32" s="1806">
        <f>AG32-AE32</f>
        <v/>
      </c>
      <c r="AJ32" s="1781" t="n"/>
      <c r="BQ32" s="1782" t="n"/>
      <c r="BR32" s="1800">
        <f>C32</f>
        <v/>
      </c>
      <c r="BS32" s="1782" t="n"/>
      <c r="BT32" s="4669">
        <f>Coastal!E34</f>
        <v/>
      </c>
      <c r="BU32" s="4789" t="n"/>
      <c r="BV32" s="4669">
        <f>Coastal!G34</f>
        <v/>
      </c>
      <c r="BW32" s="4789" t="n"/>
      <c r="BX32" s="4669">
        <f>Coastal!I34</f>
        <v/>
      </c>
      <c r="BY32" s="4789" t="n"/>
      <c r="BZ32" s="4669">
        <f>Coastal!K34</f>
        <v/>
      </c>
      <c r="CA32" s="4789" t="n"/>
      <c r="CB32" s="1782" t="n"/>
      <c r="CC32" s="2135" t="inlineStr">
        <is>
          <t>Mineral</t>
        </is>
      </c>
      <c r="CD32" s="1782" t="n"/>
      <c r="CE32" s="2135" t="inlineStr">
        <is>
          <t>IPCC</t>
        </is>
      </c>
      <c r="CF32" s="2589">
        <f>Coastal!M34</f>
        <v/>
      </c>
      <c r="CG32" s="4789" t="n"/>
      <c r="CH32" s="4669" t="n"/>
      <c r="CI32" s="4256">
        <f>Coastal!O34</f>
        <v/>
      </c>
      <c r="CJ32" s="4265" t="n"/>
      <c r="CK32" s="1782" t="n"/>
      <c r="CL32" s="4355">
        <f>IF(AND(CE32="Tier 1a",CF32=0), "the zero reflects no data in Atwood et al. (2017) exists for the country, please use the IPCC default value or provide Tier 2 value", "")</f>
        <v/>
      </c>
      <c r="CM32" s="4401" t="n">
        <v>1</v>
      </c>
      <c r="CN32" s="4402" t="n"/>
      <c r="CO32" s="1997" t="n"/>
    </row>
    <row r="33">
      <c r="B33" s="1781" t="n"/>
      <c r="C33" s="1781">
        <f>C15</f>
        <v/>
      </c>
      <c r="D33" s="1781" t="n"/>
      <c r="E33" s="1781" t="n"/>
      <c r="F33" s="4261" t="n">
        <v>0</v>
      </c>
      <c r="G33" s="1781" t="n"/>
      <c r="H33" s="4261" t="n">
        <v>0</v>
      </c>
      <c r="I33" s="2108" t="inlineStr">
        <is>
          <t>D</t>
        </is>
      </c>
      <c r="J33" s="4261" t="n">
        <v>0</v>
      </c>
      <c r="K33" s="2108" t="inlineStr">
        <is>
          <t>D</t>
        </is>
      </c>
      <c r="L33" s="2114" t="n"/>
      <c r="M33" s="2114" t="n"/>
      <c r="N33" s="1841">
        <f>$R15*$F33</f>
        <v/>
      </c>
      <c r="O33" s="1781" t="n"/>
      <c r="P33" s="1841">
        <f>$T15*$H33</f>
        <v/>
      </c>
      <c r="Q33" s="1781" t="n"/>
      <c r="R33" s="1841">
        <f>$V15*$J33</f>
        <v/>
      </c>
      <c r="S33" s="1781" t="n"/>
      <c r="T33" s="1781" t="n"/>
      <c r="U33" s="1781" t="n"/>
      <c r="V33" s="4255" t="n">
        <v>1</v>
      </c>
      <c r="W33" s="2047" t="n"/>
      <c r="X33" s="4255" t="n">
        <v>1</v>
      </c>
      <c r="Y33" s="2047" t="n"/>
      <c r="Z33" s="4255" t="n">
        <v>1</v>
      </c>
      <c r="AA33" s="2047" t="n"/>
      <c r="AB33" s="2047" t="n"/>
      <c r="AC33" s="2047" t="n"/>
      <c r="AD33" s="1781" t="n"/>
      <c r="AE33" s="1841">
        <f>Coastal!O45+Coastal!O55</f>
        <v/>
      </c>
      <c r="AF33" s="1806" t="n"/>
      <c r="AG33" s="1841">
        <f>Coastal!P45+Coastal!P55</f>
        <v/>
      </c>
      <c r="AH33" s="1806" t="n"/>
      <c r="AI33" s="1806">
        <f>AG33-AE33</f>
        <v/>
      </c>
      <c r="AJ33" s="1781" t="n"/>
      <c r="BQ33" s="1782" t="n"/>
      <c r="BR33" s="1800">
        <f>C33</f>
        <v/>
      </c>
      <c r="BS33" s="1782" t="n"/>
      <c r="BT33" s="4669">
        <f>Coastal!E35</f>
        <v/>
      </c>
      <c r="BU33" s="4789" t="n"/>
      <c r="BV33" s="4669">
        <f>Coastal!G35</f>
        <v/>
      </c>
      <c r="BW33" s="4789" t="n"/>
      <c r="BX33" s="4669">
        <f>Coastal!I35</f>
        <v/>
      </c>
      <c r="BY33" s="4789" t="n"/>
      <c r="BZ33" s="4669">
        <f>Coastal!K35</f>
        <v/>
      </c>
      <c r="CA33" s="4789" t="n"/>
      <c r="CB33" s="1782" t="n"/>
      <c r="CC33" s="2135" t="inlineStr">
        <is>
          <t>Mineral</t>
        </is>
      </c>
      <c r="CD33" s="1782" t="n"/>
      <c r="CE33" s="2135" t="inlineStr">
        <is>
          <t>IPCC</t>
        </is>
      </c>
      <c r="CF33" s="2589">
        <f>Coastal!M35</f>
        <v/>
      </c>
      <c r="CG33" s="4789" t="n"/>
      <c r="CH33" s="4669" t="n"/>
      <c r="CI33" s="4256">
        <f>Coastal!O35</f>
        <v/>
      </c>
      <c r="CJ33" s="4265" t="n"/>
      <c r="CK33" s="1782" t="n"/>
      <c r="CL33" s="4355">
        <f>IF(AND(CE33="Tier 1a",CF33=0), "the zero reflects no data in Atwood et al. (2017) exists for the country, please use the IPCC default value or provide Tier 2 value", "")</f>
        <v/>
      </c>
      <c r="CM33" s="4401" t="n">
        <v>1</v>
      </c>
      <c r="CN33" s="4402" t="n"/>
      <c r="CO33" s="1997" t="n"/>
    </row>
    <row r="34">
      <c r="B34" s="1781" t="n"/>
      <c r="C34" s="1781">
        <f>C16</f>
        <v/>
      </c>
      <c r="D34" s="1781" t="n"/>
      <c r="E34" s="1781" t="n"/>
      <c r="F34" s="4261" t="n">
        <v>0</v>
      </c>
      <c r="G34" s="1781" t="n"/>
      <c r="H34" s="4261" t="n">
        <v>0</v>
      </c>
      <c r="I34" s="2108" t="inlineStr">
        <is>
          <t>D</t>
        </is>
      </c>
      <c r="J34" s="4261" t="n">
        <v>0</v>
      </c>
      <c r="K34" s="2108" t="inlineStr">
        <is>
          <t>D</t>
        </is>
      </c>
      <c r="L34" s="2114" t="n"/>
      <c r="M34" s="2114" t="n"/>
      <c r="N34" s="1841">
        <f>$R16*$F34</f>
        <v/>
      </c>
      <c r="O34" s="1781" t="n"/>
      <c r="P34" s="1841">
        <f>$T16*$H34</f>
        <v/>
      </c>
      <c r="Q34" s="1781" t="n"/>
      <c r="R34" s="1841">
        <f>$V16*$J34</f>
        <v/>
      </c>
      <c r="S34" s="1781" t="n"/>
      <c r="T34" s="1781" t="n"/>
      <c r="U34" s="1781" t="n"/>
      <c r="V34" s="4255" t="n">
        <v>1</v>
      </c>
      <c r="W34" s="2047" t="n"/>
      <c r="X34" s="4255" t="n">
        <v>1</v>
      </c>
      <c r="Y34" s="2047" t="n"/>
      <c r="Z34" s="4255" t="n">
        <v>1</v>
      </c>
      <c r="AA34" s="2047" t="n"/>
      <c r="AB34" s="2047" t="n"/>
      <c r="AC34" s="2047" t="n"/>
      <c r="AD34" s="1781" t="n"/>
      <c r="AE34" s="1841">
        <f>Coastal!O46+Coastal!O56</f>
        <v/>
      </c>
      <c r="AF34" s="1806" t="n"/>
      <c r="AG34" s="1841">
        <f>Coastal!P46+Coastal!P56</f>
        <v/>
      </c>
      <c r="AH34" s="1806" t="n"/>
      <c r="AI34" s="1806">
        <f>AG34-AE34</f>
        <v/>
      </c>
      <c r="AJ34" s="1781" t="n"/>
      <c r="BQ34" s="1782" t="n"/>
      <c r="BR34" s="1800">
        <f>C34</f>
        <v/>
      </c>
      <c r="BS34" s="1782" t="n"/>
      <c r="BT34" s="4669">
        <f>Coastal!E36</f>
        <v/>
      </c>
      <c r="BU34" s="4789" t="n"/>
      <c r="BV34" s="4669">
        <f>Coastal!G36</f>
        <v/>
      </c>
      <c r="BW34" s="4789" t="n"/>
      <c r="BX34" s="4669">
        <f>Coastal!I36</f>
        <v/>
      </c>
      <c r="BY34" s="4789" t="n"/>
      <c r="BZ34" s="4669">
        <f>Coastal!K36</f>
        <v/>
      </c>
      <c r="CA34" s="4789" t="n"/>
      <c r="CB34" s="1782" t="n"/>
      <c r="CC34" s="2135" t="inlineStr">
        <is>
          <t>Mineral</t>
        </is>
      </c>
      <c r="CD34" s="1782" t="n"/>
      <c r="CE34" s="2135" t="inlineStr">
        <is>
          <t>IPCC</t>
        </is>
      </c>
      <c r="CF34" s="2589">
        <f>Coastal!M36</f>
        <v/>
      </c>
      <c r="CG34" s="4789" t="n"/>
      <c r="CH34" s="4669" t="n"/>
      <c r="CI34" s="4256">
        <f>Coastal!O36</f>
        <v/>
      </c>
      <c r="CJ34" s="4265" t="n"/>
      <c r="CK34" s="1782" t="n"/>
      <c r="CL34" s="4355">
        <f>IF(AND(CE34="Tier 1a",CF34=0), "the zero reflects no data in Atwood et al. (2017) exists for the country, please use the IPCC default value or provide Tier 2 value", "")</f>
        <v/>
      </c>
      <c r="CM34" s="4401" t="n">
        <v>1</v>
      </c>
      <c r="CN34" s="4402" t="n"/>
      <c r="CO34" s="1997" t="n"/>
    </row>
    <row r="35" ht="16" customHeight="1">
      <c r="B35" s="1781" t="n"/>
      <c r="C35" s="1781" t="n"/>
      <c r="D35" s="1781" t="n"/>
      <c r="E35" s="1781" t="n"/>
      <c r="F35" s="1781" t="n"/>
      <c r="G35" s="1781" t="n"/>
      <c r="H35" s="1781" t="n"/>
      <c r="I35" s="1781" t="n"/>
      <c r="J35" s="1781" t="n"/>
      <c r="K35" s="1781" t="n"/>
      <c r="L35" s="1781" t="n"/>
      <c r="M35" s="1781" t="n"/>
      <c r="N35" s="1781" t="n"/>
      <c r="O35" s="1781" t="n"/>
      <c r="P35" s="1781" t="n"/>
      <c r="Q35" s="1781" t="n"/>
      <c r="R35" s="1781" t="n"/>
      <c r="S35" s="1781" t="n"/>
      <c r="T35" s="1781" t="n"/>
      <c r="U35" s="1781" t="n"/>
      <c r="V35" s="1781" t="n"/>
      <c r="W35" s="1781" t="n"/>
      <c r="X35" s="1781" t="n"/>
      <c r="Y35" s="1781" t="n"/>
      <c r="Z35" s="1781" t="n"/>
      <c r="AA35" s="1781" t="n"/>
      <c r="AB35" s="1781" t="n"/>
      <c r="AC35" s="1781" t="n"/>
      <c r="AD35" s="1781" t="n"/>
      <c r="AE35" s="1781" t="n"/>
      <c r="AF35" s="1781" t="n"/>
      <c r="AG35" s="1781" t="n"/>
      <c r="AH35" s="1781" t="n"/>
      <c r="AI35" s="1781" t="n"/>
      <c r="AJ35" s="1781" t="n"/>
      <c r="BQ35" s="1782" t="n"/>
      <c r="BR35" s="1794" t="n"/>
      <c r="BS35" s="1782" t="n"/>
      <c r="BT35" s="1782" t="n"/>
      <c r="BU35" s="1782" t="n"/>
      <c r="BV35" s="1782" t="n"/>
      <c r="BW35" s="1782" t="n"/>
      <c r="BX35" s="1782" t="n"/>
      <c r="BY35" s="1782" t="n"/>
      <c r="BZ35" s="1782" t="n"/>
      <c r="CA35" s="1782" t="n"/>
      <c r="CB35" s="1782" t="n"/>
      <c r="CC35" s="1782" t="n"/>
      <c r="CD35" s="1782" t="n"/>
      <c r="CE35" s="1782" t="n"/>
      <c r="CF35" s="1782" t="n"/>
      <c r="CG35" s="1782" t="n"/>
      <c r="CH35" s="1782" t="n"/>
      <c r="CI35" s="1782" t="n"/>
      <c r="CJ35" s="1782" t="n"/>
      <c r="CK35" s="1782" t="n"/>
      <c r="CM35" s="1997" t="n"/>
      <c r="CN35" s="1997" t="n"/>
      <c r="CO35" s="1997" t="n"/>
    </row>
    <row r="36" ht="16" customHeight="1">
      <c r="B36" s="1781" t="n"/>
      <c r="C36" s="1781" t="n"/>
      <c r="D36" s="1781" t="n"/>
      <c r="E36" s="1781" t="n"/>
      <c r="F36" s="1781" t="n"/>
      <c r="G36" s="1781" t="n"/>
      <c r="H36" s="1781" t="n"/>
      <c r="I36" s="1781" t="n"/>
      <c r="J36" s="1781" t="n"/>
      <c r="K36" s="1781" t="n"/>
      <c r="L36" s="1781" t="n"/>
      <c r="M36" s="1781" t="n"/>
      <c r="N36" s="1781" t="n"/>
      <c r="O36" s="1781" t="n"/>
      <c r="P36" s="1781" t="n"/>
      <c r="Q36" s="1781" t="n"/>
      <c r="R36" s="1781" t="n"/>
      <c r="S36" s="1781" t="n"/>
      <c r="T36" s="1781" t="n"/>
      <c r="U36" s="1781" t="n"/>
      <c r="V36" s="1853" t="n"/>
      <c r="W36" s="1853" t="n"/>
      <c r="X36" s="1853" t="n"/>
      <c r="Y36" s="1853" t="n"/>
      <c r="Z36" s="1853" t="n"/>
      <c r="AA36" s="1853" t="n"/>
      <c r="AB36" s="2019">
        <f>Languages!B550</f>
        <v/>
      </c>
      <c r="AC36" s="2019" t="n"/>
      <c r="AD36" s="1853" t="n"/>
      <c r="AE36" s="2039">
        <f>SUM(AE29:AE34)</f>
        <v/>
      </c>
      <c r="AF36" s="2040" t="n"/>
      <c r="AG36" s="2039">
        <f>SUM(AG29:AG34)</f>
        <v/>
      </c>
      <c r="AH36" s="2040" t="n"/>
      <c r="AI36" s="2039">
        <f>SUM(AI29:AI34)</f>
        <v/>
      </c>
      <c r="AJ36" s="1781" t="n"/>
      <c r="BQ36" s="1782" t="n"/>
      <c r="BR36" s="1794" t="n"/>
      <c r="BS36" s="1782" t="n"/>
      <c r="BT36" s="1782" t="n"/>
      <c r="BU36" s="1782" t="n"/>
      <c r="BV36" s="1782" t="n"/>
      <c r="BW36" s="1782" t="n"/>
      <c r="BX36" s="1782" t="n"/>
      <c r="BY36" s="1782" t="n"/>
      <c r="BZ36" s="1782" t="n"/>
      <c r="CA36" s="1782" t="n"/>
      <c r="CB36" s="1782" t="n"/>
      <c r="CC36" s="1782" t="n"/>
      <c r="CD36" s="1782" t="n"/>
      <c r="CE36" s="1782" t="n"/>
      <c r="CF36" s="1782" t="n"/>
      <c r="CG36" s="1782" t="n"/>
      <c r="CH36" s="1782" t="n"/>
      <c r="CI36" s="1782" t="n"/>
      <c r="CJ36" s="1782" t="n"/>
      <c r="CK36" s="1782" t="n"/>
      <c r="CM36" s="4548" t="inlineStr">
        <is>
          <t>Use this part only if you want to refine yearly GHG fluxes</t>
        </is>
      </c>
    </row>
    <row r="37">
      <c r="B37" s="1781" t="n"/>
      <c r="C37" s="1781" t="n"/>
      <c r="D37" s="1781" t="n"/>
      <c r="E37" s="1781" t="n"/>
      <c r="F37" s="1781" t="n"/>
      <c r="G37" s="1781" t="n"/>
      <c r="H37" s="1781" t="n"/>
      <c r="I37" s="1781" t="n"/>
      <c r="J37" s="1781" t="n"/>
      <c r="K37" s="1781" t="n"/>
      <c r="L37" s="1781" t="n"/>
      <c r="M37" s="1781" t="n"/>
      <c r="N37" s="1781" t="n"/>
      <c r="O37" s="1781" t="n"/>
      <c r="P37" s="1781" t="n"/>
      <c r="Q37" s="1781" t="n"/>
      <c r="R37" s="1781" t="n"/>
      <c r="S37" s="1781" t="n"/>
      <c r="T37" s="1781" t="n"/>
      <c r="U37" s="1781" t="n"/>
      <c r="V37" s="1781" t="n"/>
      <c r="W37" s="1781" t="n"/>
      <c r="X37" s="1781" t="n"/>
      <c r="Y37" s="1781" t="n"/>
      <c r="Z37" s="1781" t="n"/>
      <c r="AA37" s="1781" t="n"/>
      <c r="AB37" s="1781" t="n"/>
      <c r="AC37" s="1781" t="n"/>
      <c r="AD37" s="1781" t="n"/>
      <c r="AE37" s="1781" t="n"/>
      <c r="AF37" s="1781" t="n"/>
      <c r="AG37" s="1781" t="n"/>
      <c r="AH37" s="1781" t="n"/>
      <c r="AI37" s="1781" t="n"/>
      <c r="AJ37" s="1781" t="n"/>
      <c r="BQ37" s="1782" t="n"/>
      <c r="BR37" s="1782">
        <f>BR20</f>
        <v/>
      </c>
      <c r="BS37" s="1782" t="n"/>
      <c r="BT37" s="1782" t="n"/>
      <c r="BU37" s="1782" t="n"/>
      <c r="BV37" s="1782" t="n"/>
      <c r="BW37" s="1782" t="n"/>
      <c r="BX37" s="1782" t="n"/>
      <c r="BY37" s="1782" t="n"/>
      <c r="BZ37" s="1782" t="n"/>
      <c r="CA37" s="1782" t="n"/>
      <c r="CB37" s="1782" t="n"/>
      <c r="CC37" s="1782" t="n"/>
      <c r="CD37" s="1782" t="n"/>
      <c r="CE37" s="1782" t="n"/>
      <c r="CF37" s="1782" t="n"/>
      <c r="CG37" s="1782" t="n"/>
      <c r="CH37" s="1782" t="n"/>
      <c r="CI37" s="1782" t="n"/>
      <c r="CJ37" s="1782" t="n"/>
      <c r="CK37" s="1782" t="n"/>
    </row>
    <row r="38">
      <c r="B38" s="1781" t="n"/>
      <c r="C38" s="1820">
        <f>C21</f>
        <v/>
      </c>
      <c r="D38" s="1820" t="n"/>
      <c r="E38" s="1781" t="n"/>
      <c r="F38" s="1781" t="n"/>
      <c r="G38" s="1781" t="n"/>
      <c r="H38" s="1781" t="n"/>
      <c r="I38" s="1781" t="n"/>
      <c r="J38" s="1781" t="n"/>
      <c r="K38" s="1781" t="n"/>
      <c r="L38" s="1781" t="n"/>
      <c r="M38" s="1781" t="n"/>
      <c r="N38" s="1781" t="n"/>
      <c r="O38" s="1781" t="n"/>
      <c r="P38" s="1781" t="n"/>
      <c r="Q38" s="1781" t="n"/>
      <c r="R38" s="1781" t="n"/>
      <c r="S38" s="1781" t="n"/>
      <c r="T38" s="1781" t="n"/>
      <c r="U38" s="1781" t="n"/>
      <c r="V38" s="1781" t="n"/>
      <c r="W38" s="1781" t="n"/>
      <c r="X38" s="1781" t="n"/>
      <c r="Y38" s="1781" t="n"/>
      <c r="Z38" s="1781" t="n"/>
      <c r="AA38" s="1781" t="n"/>
      <c r="AB38" s="1781" t="n"/>
      <c r="AC38" s="1781" t="n"/>
      <c r="AD38" s="1781" t="n"/>
      <c r="AE38" s="1781" t="n"/>
      <c r="AF38" s="1781" t="n"/>
      <c r="AG38" s="1781" t="n"/>
      <c r="AH38" s="1781" t="n"/>
      <c r="AI38" s="1781" t="n"/>
      <c r="AJ38" s="1781" t="n"/>
      <c r="BQ38" s="1782" t="n"/>
      <c r="BR38" s="1782">
        <f>BR21</f>
        <v/>
      </c>
      <c r="BS38" s="1782" t="n"/>
      <c r="BT38" s="1782" t="n"/>
      <c r="BU38" s="1782" t="n"/>
      <c r="BV38" s="1782" t="n"/>
      <c r="BW38" s="1782" t="n"/>
      <c r="BX38" s="1782" t="n"/>
      <c r="BY38" s="1782" t="n"/>
      <c r="BZ38" s="1782" t="n"/>
      <c r="CA38" s="1782" t="n"/>
      <c r="CB38" s="1782" t="n"/>
      <c r="CC38" s="1782" t="n"/>
      <c r="CD38" s="1782" t="n"/>
      <c r="CE38" s="1782" t="n"/>
      <c r="CF38" s="1782" t="n"/>
      <c r="CG38" s="1782" t="n"/>
      <c r="CH38" s="1782" t="n"/>
      <c r="CI38" s="1782" t="n"/>
      <c r="CJ38" s="1782" t="n"/>
      <c r="CK38" s="1782" t="n"/>
    </row>
    <row r="39">
      <c r="B39" s="1781" t="n"/>
      <c r="C39" s="1781" t="n"/>
      <c r="D39" s="1781" t="n"/>
      <c r="E39" s="1781" t="n"/>
      <c r="F39" s="1781" t="n"/>
      <c r="G39" s="1781" t="n"/>
      <c r="H39" s="1781" t="n"/>
      <c r="I39" s="1781" t="n"/>
      <c r="J39" s="1781" t="n"/>
      <c r="K39" s="1781" t="n"/>
      <c r="L39" s="1781" t="n"/>
      <c r="M39" s="1781" t="n"/>
      <c r="N39" s="1781" t="n"/>
      <c r="O39" s="1781" t="n"/>
      <c r="P39" s="1781" t="n"/>
      <c r="Q39" s="1781" t="n"/>
      <c r="R39" s="1781" t="n"/>
      <c r="S39" s="1781" t="n"/>
      <c r="T39" s="1781" t="n"/>
      <c r="U39" s="1781" t="n"/>
      <c r="V39" s="1781" t="n"/>
      <c r="W39" s="1781" t="n"/>
      <c r="X39" s="1781" t="n"/>
      <c r="Y39" s="1781" t="n"/>
      <c r="Z39" s="1781" t="n"/>
      <c r="AA39" s="1781" t="n"/>
      <c r="AB39" s="1781" t="n"/>
      <c r="AC39" s="1781" t="n"/>
      <c r="AD39" s="1781" t="n"/>
      <c r="AE39" s="1781" t="n"/>
      <c r="AF39" s="1781" t="n"/>
      <c r="AG39" s="1781" t="n"/>
      <c r="AH39" s="1781" t="n"/>
      <c r="AI39" s="1781" t="n"/>
      <c r="AJ39" s="1781" t="n"/>
      <c r="BQ39" s="1782" t="n"/>
      <c r="BR39" s="1782" t="n"/>
      <c r="BS39" s="1782" t="n"/>
      <c r="BT39" s="1782" t="n"/>
      <c r="BU39" s="1782" t="n"/>
      <c r="BV39" s="1782" t="n"/>
      <c r="BW39" s="1782" t="n"/>
      <c r="BX39" s="1782" t="n"/>
      <c r="BY39" s="1782" t="n"/>
      <c r="BZ39" s="1782" t="n"/>
      <c r="CA39" s="1782" t="n"/>
      <c r="CB39" s="1782" t="n"/>
      <c r="CC39" s="1782" t="n"/>
      <c r="CD39" s="1782" t="n"/>
      <c r="CE39" s="1782" t="n"/>
      <c r="CF39" s="1782" t="n"/>
      <c r="CG39" s="1782" t="n"/>
      <c r="CH39" s="1782" t="n"/>
      <c r="CI39" s="1782" t="n"/>
      <c r="CJ39" s="1782" t="n"/>
      <c r="CK39" s="1782" t="n"/>
      <c r="CM39" s="1997" t="n"/>
      <c r="CN39" s="1997" t="n"/>
      <c r="CO39" s="1997" t="n"/>
    </row>
    <row r="40">
      <c r="BQ40" s="2050" t="n"/>
      <c r="BR40" s="2050" t="n"/>
      <c r="BS40" s="2050" t="n"/>
      <c r="BT40" s="2050" t="n"/>
      <c r="BU40" s="2050" t="n"/>
      <c r="BV40" s="2050" t="n"/>
      <c r="BW40" s="2050" t="n"/>
      <c r="BX40" s="2050" t="n"/>
      <c r="BY40" s="2050" t="n"/>
      <c r="BZ40" s="2050" t="n"/>
      <c r="CA40" s="2050" t="n"/>
      <c r="CB40" s="2050" t="n"/>
      <c r="CC40" s="2050" t="n"/>
      <c r="CD40" s="2050" t="n"/>
      <c r="CE40" s="2050" t="n"/>
      <c r="CF40" s="2050" t="n"/>
      <c r="CG40" s="2050" t="n"/>
      <c r="CH40" s="2050" t="n"/>
      <c r="CI40" s="2050" t="n"/>
      <c r="CJ40" s="2050" t="n"/>
      <c r="CK40" s="2050" t="n"/>
    </row>
    <row r="41" ht="30.5" customHeight="1">
      <c r="B41" s="1767" t="n"/>
      <c r="C41" s="1769">
        <f>Languages!B560</f>
        <v/>
      </c>
      <c r="D41" s="1769" t="n"/>
      <c r="E41" s="2057" t="n"/>
      <c r="F41" s="1769" t="n"/>
      <c r="G41" s="1769" t="n"/>
      <c r="H41" s="1769" t="n"/>
      <c r="I41" s="1769" t="n"/>
      <c r="J41" s="1769" t="n"/>
      <c r="K41" s="1769" t="n"/>
      <c r="L41" s="1769" t="n"/>
      <c r="M41" s="1769" t="n"/>
      <c r="N41" s="1769" t="n"/>
      <c r="O41" s="1769" t="n"/>
      <c r="P41" s="1769" t="n"/>
      <c r="Q41" s="1769" t="n"/>
      <c r="R41" s="1769" t="n"/>
      <c r="S41" s="1769" t="n"/>
      <c r="T41" s="1769" t="n"/>
      <c r="U41" s="1769" t="n"/>
      <c r="V41" s="1769" t="n"/>
      <c r="W41" s="1769" t="n"/>
      <c r="X41" s="1769" t="n"/>
      <c r="Y41" s="1769" t="n"/>
      <c r="Z41" s="1769" t="n"/>
      <c r="AA41" s="1769" t="n"/>
      <c r="AB41" s="1769" t="n"/>
      <c r="AC41" s="1769" t="n"/>
      <c r="AD41" s="1769" t="n"/>
      <c r="AE41" s="1769" t="n"/>
      <c r="AF41" s="1769" t="n"/>
      <c r="AG41" s="1979">
        <f>AG24</f>
        <v/>
      </c>
      <c r="AH41" s="1769" t="n"/>
      <c r="AI41" s="1769" t="n"/>
      <c r="AJ41" s="1769" t="n"/>
      <c r="BQ41" s="1767" t="n"/>
      <c r="BR41" s="4248">
        <f>C41</f>
        <v/>
      </c>
      <c r="BS41" s="1767" t="n"/>
      <c r="BT41" s="1767" t="n"/>
      <c r="BU41" s="1767" t="n"/>
      <c r="BV41" s="1767" t="n"/>
      <c r="BW41" s="1767" t="n"/>
      <c r="BX41" s="1767" t="n"/>
      <c r="BY41" s="1767" t="n"/>
      <c r="BZ41" s="1767" t="n"/>
      <c r="CA41" s="1767" t="n"/>
      <c r="CB41" s="1767" t="n"/>
      <c r="CC41" s="1767" t="n"/>
      <c r="CD41" s="1767" t="n"/>
      <c r="CE41" s="1767" t="n"/>
      <c r="CF41" s="1767" t="n"/>
      <c r="CG41" s="1767" t="n"/>
      <c r="CH41" s="1767" t="n"/>
      <c r="CI41" s="1767" t="n"/>
      <c r="CJ41" s="1767" t="n"/>
      <c r="CK41" s="1767" t="n"/>
      <c r="CM41" s="4404" t="inlineStr">
        <is>
          <t>Annual balance</t>
        </is>
      </c>
      <c r="CN41" s="4404" t="n"/>
      <c r="CO41" s="4404" t="n"/>
    </row>
    <row r="42" ht="16" customHeight="1">
      <c r="B42" s="1781" t="n"/>
      <c r="C42" s="1781" t="n"/>
      <c r="D42" s="1781" t="n"/>
      <c r="E42" s="1781" t="n"/>
      <c r="F42" s="1781" t="n"/>
      <c r="G42" s="1781" t="n"/>
      <c r="H42" s="1781" t="n"/>
      <c r="I42" s="1781" t="n"/>
      <c r="J42" s="1781" t="n"/>
      <c r="K42" s="1781" t="n"/>
      <c r="L42" s="1781" t="n"/>
      <c r="M42" s="1781" t="n"/>
      <c r="N42" s="1781" t="n"/>
      <c r="O42" s="1781" t="n"/>
      <c r="P42" s="1781" t="n"/>
      <c r="Q42" s="1781" t="n"/>
      <c r="R42" s="1781" t="n"/>
      <c r="S42" s="1781" t="n"/>
      <c r="T42" s="1781" t="n"/>
      <c r="U42" s="1781" t="n"/>
      <c r="V42" s="1781" t="n"/>
      <c r="W42" s="1781" t="n"/>
      <c r="X42" s="1781" t="n"/>
      <c r="Y42" s="1781" t="n"/>
      <c r="Z42" s="1781" t="n"/>
      <c r="AA42" s="1781" t="n"/>
      <c r="AB42" s="1781" t="n"/>
      <c r="AC42" s="1781" t="n"/>
      <c r="AD42" s="1781" t="n"/>
      <c r="AE42" s="1781" t="n"/>
      <c r="AF42" s="1781" t="n"/>
      <c r="AG42" s="1781" t="n"/>
      <c r="AH42" s="1781" t="n"/>
      <c r="AI42" s="1781" t="n"/>
      <c r="AJ42" s="1781" t="n"/>
      <c r="BQ42" s="1782" t="n"/>
      <c r="BR42" s="1782" t="n"/>
      <c r="BS42" s="1782" t="n"/>
      <c r="BT42" s="4250">
        <f>BT25</f>
        <v/>
      </c>
      <c r="BU42" s="1785" t="n"/>
      <c r="BV42" s="1785" t="n"/>
      <c r="BW42" s="1785" t="n"/>
      <c r="BX42" s="1785" t="n"/>
      <c r="BY42" s="1785" t="n"/>
      <c r="BZ42" s="1785" t="n"/>
      <c r="CA42" s="1785" t="n"/>
      <c r="CB42" s="1782" t="n"/>
      <c r="CC42" s="1782" t="n"/>
      <c r="CD42" s="1782" t="n"/>
      <c r="CE42" s="1782" t="n"/>
      <c r="CF42" s="1782" t="n"/>
      <c r="CG42" s="1782" t="n"/>
      <c r="CH42" s="1782" t="n"/>
      <c r="CI42" s="1782" t="n"/>
      <c r="CJ42" s="1782" t="n"/>
      <c r="CK42" s="1782" t="n"/>
      <c r="CM42" s="1800" t="n"/>
      <c r="CN42" s="1800" t="n"/>
      <c r="CO42" s="1800" t="n"/>
    </row>
    <row r="43">
      <c r="B43" s="1781" t="n"/>
      <c r="C43" s="1781" t="n"/>
      <c r="D43" s="1781" t="n"/>
      <c r="E43" s="1781" t="n"/>
      <c r="F43" s="1781" t="n"/>
      <c r="G43" s="1781" t="n"/>
      <c r="H43" s="1781" t="n"/>
      <c r="I43" s="1781" t="n"/>
      <c r="J43" s="1781" t="n"/>
      <c r="K43" s="1781" t="n"/>
      <c r="L43" s="1781" t="n"/>
      <c r="M43" s="1781" t="n"/>
      <c r="N43" s="1781" t="n"/>
      <c r="O43" s="1781" t="n"/>
      <c r="P43" s="1781" t="n"/>
      <c r="Q43" s="1781" t="n"/>
      <c r="R43" s="1781" t="n"/>
      <c r="S43" s="1781" t="n"/>
      <c r="T43" s="1781" t="n"/>
      <c r="U43" s="1781" t="n"/>
      <c r="V43" s="1781" t="n"/>
      <c r="W43" s="1781" t="n"/>
      <c r="X43" s="1781" t="n"/>
      <c r="Y43" s="1781" t="n"/>
      <c r="Z43" s="1781" t="n"/>
      <c r="AA43" s="1781" t="n"/>
      <c r="AB43" s="1781" t="n"/>
      <c r="AC43" s="1781" t="n"/>
      <c r="AD43" s="1781" t="n"/>
      <c r="AE43" s="1826" t="n"/>
      <c r="AF43" s="1826" t="n"/>
      <c r="AG43" s="1826" t="n"/>
      <c r="AH43" s="1826" t="n"/>
      <c r="AI43" s="1826" t="n"/>
      <c r="AJ43" s="1826" t="n"/>
      <c r="BQ43" s="1782" t="n"/>
      <c r="BR43" s="1782" t="n"/>
      <c r="BS43" s="1782" t="n"/>
      <c r="BT43" s="1782" t="n"/>
      <c r="BU43" s="1782" t="n"/>
      <c r="BV43" s="1782" t="n"/>
      <c r="BW43" s="1782" t="n"/>
      <c r="BX43" s="1782" t="n"/>
      <c r="BY43" s="1782" t="n"/>
      <c r="BZ43" s="1782" t="n"/>
      <c r="CA43" s="1782" t="n"/>
      <c r="CB43" s="1782" t="n"/>
      <c r="CC43" s="1782" t="n"/>
      <c r="CD43" s="1782" t="n"/>
      <c r="CE43" s="1782" t="n"/>
      <c r="CF43" s="1782" t="n"/>
      <c r="CG43" s="1782" t="n"/>
      <c r="CH43" s="1782" t="n"/>
      <c r="CI43" s="1782" t="n"/>
      <c r="CJ43" s="1782" t="n"/>
      <c r="CK43" s="1782" t="n"/>
      <c r="CM43" s="1890" t="inlineStr">
        <is>
          <t xml:space="preserve">Start year of </t>
        </is>
      </c>
      <c r="CN43" s="1890" t="n"/>
      <c r="CO43" s="1997" t="n"/>
    </row>
    <row r="44">
      <c r="B44" s="1781" t="n"/>
      <c r="C44" s="1826">
        <f>C27</f>
        <v/>
      </c>
      <c r="D44" s="1826" t="n"/>
      <c r="E44" s="1781" t="n"/>
      <c r="F44" s="1781" t="n"/>
      <c r="G44" s="1781" t="n"/>
      <c r="H44" s="1789">
        <f>Languages!B551</f>
        <v/>
      </c>
      <c r="I44" s="1789" t="n"/>
      <c r="J44" s="1789" t="n"/>
      <c r="K44" s="1781" t="n"/>
      <c r="L44" s="1781" t="n"/>
      <c r="M44" s="1781" t="n"/>
      <c r="N44" s="1789">
        <f>Languages!B552</f>
        <v/>
      </c>
      <c r="O44" s="1789" t="n"/>
      <c r="P44" s="1789" t="n"/>
      <c r="Q44" s="1789" t="n"/>
      <c r="R44" s="1789" t="n"/>
      <c r="S44" s="1781" t="n"/>
      <c r="T44" s="1781" t="n"/>
      <c r="U44" s="1781" t="n"/>
      <c r="V44" s="1781" t="n"/>
      <c r="W44" s="1781" t="n"/>
      <c r="X44" s="1781" t="n"/>
      <c r="Y44" s="1781" t="n"/>
      <c r="Z44" s="1781" t="n"/>
      <c r="AA44" s="1781" t="n"/>
      <c r="AB44" s="1781" t="n"/>
      <c r="AC44" s="1781" t="n"/>
      <c r="AD44" s="1781" t="n"/>
      <c r="AE44" s="1826">
        <f>AE27</f>
        <v/>
      </c>
      <c r="AF44" s="1781" t="n"/>
      <c r="AG44" s="1781" t="n"/>
      <c r="AH44" s="1781" t="n"/>
      <c r="AI44" s="1780">
        <f>AI27</f>
        <v/>
      </c>
      <c r="AJ44" s="1826" t="n"/>
      <c r="BQ44" s="1782" t="n"/>
      <c r="BR44" s="1890">
        <f>C44</f>
        <v/>
      </c>
      <c r="BS44" s="1782" t="n"/>
      <c r="BT44" s="4182">
        <f>BT27</f>
        <v/>
      </c>
      <c r="BU44" s="1782" t="n"/>
      <c r="BV44" s="1783">
        <f>BV27</f>
        <v/>
      </c>
      <c r="BW44" s="1782" t="n"/>
      <c r="BX44" s="4252">
        <f>BX27</f>
        <v/>
      </c>
      <c r="BY44" s="1782" t="n"/>
      <c r="BZ44" s="1783">
        <f>BZ27</f>
        <v/>
      </c>
      <c r="CA44" s="1782" t="n"/>
      <c r="CB44" s="1782" t="n"/>
      <c r="CC44" s="2154">
        <f>Languages!B534</f>
        <v/>
      </c>
      <c r="CD44" s="1782" t="n"/>
      <c r="CE44" s="1783">
        <f>Languages!B535</f>
        <v/>
      </c>
      <c r="CF44" s="1783" t="n"/>
      <c r="CG44" s="1782" t="n"/>
      <c r="CH44" s="1782" t="n"/>
      <c r="CI44" s="1783">
        <f>Languages!B536</f>
        <v/>
      </c>
      <c r="CJ44" s="1782" t="n"/>
      <c r="CK44" s="1782" t="n"/>
      <c r="CM44" s="2015" t="inlineStr">
        <is>
          <t>implementation</t>
        </is>
      </c>
      <c r="CN44" s="2015" t="n"/>
      <c r="CO44" s="1997" t="n"/>
    </row>
    <row r="45">
      <c r="B45" s="1781" t="n"/>
      <c r="C45" s="1781" t="n"/>
      <c r="D45" s="1781" t="n"/>
      <c r="E45" s="1781" t="n"/>
      <c r="F45" s="1806" t="n"/>
      <c r="G45" s="1806" t="n"/>
      <c r="H45" s="1806">
        <f>H28</f>
        <v/>
      </c>
      <c r="I45" s="1806" t="inlineStr">
        <is>
          <t>*</t>
        </is>
      </c>
      <c r="J45" s="1806">
        <f>J28</f>
        <v/>
      </c>
      <c r="K45" s="1781" t="inlineStr">
        <is>
          <t>*</t>
        </is>
      </c>
      <c r="L45" s="1781" t="n"/>
      <c r="M45" s="1781" t="n"/>
      <c r="N45" s="1806" t="n"/>
      <c r="O45" s="1806" t="n"/>
      <c r="P45" s="1806">
        <f>H45</f>
        <v/>
      </c>
      <c r="Q45" s="1806" t="n"/>
      <c r="R45" s="1806">
        <f>J45</f>
        <v/>
      </c>
      <c r="S45" s="1781" t="n"/>
      <c r="T45" s="1781" t="n"/>
      <c r="U45" s="1781" t="n"/>
      <c r="V45" s="1806" t="n"/>
      <c r="W45" s="1806" t="n"/>
      <c r="X45" s="1806" t="n"/>
      <c r="Y45" s="1806" t="n"/>
      <c r="Z45" s="1806" t="n"/>
      <c r="AA45" s="1781" t="n"/>
      <c r="AB45" s="1781" t="n"/>
      <c r="AC45" s="1781" t="n"/>
      <c r="AD45" s="1781" t="n"/>
      <c r="AE45" s="1806">
        <f>AE28</f>
        <v/>
      </c>
      <c r="AF45" s="1806" t="n"/>
      <c r="AG45" s="1806">
        <f>AG28</f>
        <v/>
      </c>
      <c r="AH45" s="1781" t="n"/>
      <c r="AI45" s="1781" t="n"/>
      <c r="AJ45" s="1826" t="n"/>
      <c r="BQ45" s="1782" t="n"/>
      <c r="BR45" s="1800" t="n"/>
      <c r="BS45" s="1782" t="n"/>
      <c r="BT45" s="2155">
        <f>BT28</f>
        <v/>
      </c>
      <c r="BU45" s="2155">
        <f>BU28</f>
        <v/>
      </c>
      <c r="BV45" s="2155">
        <f>BT45</f>
        <v/>
      </c>
      <c r="BW45" s="2155">
        <f>BU45</f>
        <v/>
      </c>
      <c r="BX45" s="2155">
        <f>BV45</f>
        <v/>
      </c>
      <c r="BY45" s="2155">
        <f>BW45</f>
        <v/>
      </c>
      <c r="BZ45" s="2155">
        <f>BX45</f>
        <v/>
      </c>
      <c r="CA45" s="2155">
        <f>BY45</f>
        <v/>
      </c>
      <c r="CB45" s="1782" t="n"/>
      <c r="CC45" s="2155" t="inlineStr">
        <is>
          <t>ppt</t>
        </is>
      </c>
      <c r="CD45" s="1782" t="n"/>
      <c r="CE45" s="2155">
        <f>BZ45</f>
        <v/>
      </c>
      <c r="CF45" s="2155">
        <f>CA45</f>
        <v/>
      </c>
      <c r="CG45" s="1782" t="n"/>
      <c r="CH45" s="2155" t="n"/>
      <c r="CI45" s="2155">
        <f>CE45</f>
        <v/>
      </c>
      <c r="CJ45" s="2155">
        <f>CF45</f>
        <v/>
      </c>
      <c r="CK45" s="1782" t="n"/>
      <c r="CM45" s="1997" t="n"/>
      <c r="CN45" s="1997" t="n"/>
      <c r="CO45" s="1997" t="n"/>
    </row>
    <row r="46">
      <c r="B46" s="1781" t="n"/>
      <c r="C46" s="2129" t="inlineStr">
        <is>
          <t>Please select</t>
        </is>
      </c>
      <c r="D46" s="1781" t="n"/>
      <c r="E46" s="1781" t="n"/>
      <c r="F46" s="4257" t="n"/>
      <c r="G46" s="1781" t="n"/>
      <c r="H46" s="4262" t="n">
        <v>0</v>
      </c>
      <c r="I46" s="2108" t="inlineStr">
        <is>
          <t>D</t>
        </is>
      </c>
      <c r="J46" s="4262" t="n">
        <v>0</v>
      </c>
      <c r="K46" s="2108" t="inlineStr">
        <is>
          <t>D</t>
        </is>
      </c>
      <c r="L46" s="1781" t="n"/>
      <c r="M46" s="1781" t="n"/>
      <c r="N46" s="1781" t="n"/>
      <c r="O46" s="1781" t="n"/>
      <c r="P46" s="4261" t="n">
        <v>0</v>
      </c>
      <c r="Q46" s="1781" t="n"/>
      <c r="R46" s="4261" t="n">
        <v>0</v>
      </c>
      <c r="S46" s="1781" t="n"/>
      <c r="T46" s="1781" t="n"/>
      <c r="U46" s="1781" t="n"/>
      <c r="V46" s="1781" t="n"/>
      <c r="W46" s="1781" t="n"/>
      <c r="X46" s="1781" t="n"/>
      <c r="Y46" s="1781" t="n"/>
      <c r="Z46" s="1781" t="n"/>
      <c r="AA46" s="1781" t="n"/>
      <c r="AB46" s="1781" t="n"/>
      <c r="AC46" s="1781" t="n"/>
      <c r="AD46" s="1781" t="n"/>
      <c r="AE46" s="1841">
        <f>SUM(Coastal!O79,Coastal!O89,Coastal!O100)</f>
        <v/>
      </c>
      <c r="AF46" s="1806" t="n"/>
      <c r="AG46" s="1841">
        <f>SUM(Coastal!P79,Coastal!P89,Coastal!P100)</f>
        <v/>
      </c>
      <c r="AH46" s="1781" t="n"/>
      <c r="AI46" s="1806">
        <f>AG46-AE46</f>
        <v/>
      </c>
      <c r="AJ46" s="1781" t="n"/>
      <c r="BQ46" s="1782" t="n"/>
      <c r="BR46" s="1800">
        <f>C46</f>
        <v/>
      </c>
      <c r="BS46" s="1782" t="n"/>
      <c r="BT46" s="4669">
        <f>Coastal!E66</f>
        <v/>
      </c>
      <c r="BU46" s="4789" t="n"/>
      <c r="BV46" s="4669">
        <f>Coastal!G66</f>
        <v/>
      </c>
      <c r="BW46" s="4789" t="n"/>
      <c r="BX46" s="4669">
        <f>Coastal!I66</f>
        <v/>
      </c>
      <c r="BY46" s="4789" t="n"/>
      <c r="BZ46" s="4669">
        <f>Coastal!K66</f>
        <v/>
      </c>
      <c r="CA46" s="4789" t="n"/>
      <c r="CB46" s="1782" t="n"/>
      <c r="CC46" s="2135" t="inlineStr">
        <is>
          <t>&lt;18</t>
        </is>
      </c>
      <c r="CD46" s="1782" t="n"/>
      <c r="CE46" s="2344">
        <f>Coastal!M66</f>
        <v/>
      </c>
      <c r="CF46" s="4789" t="n"/>
      <c r="CG46" s="1782" t="n"/>
      <c r="CH46" s="4669" t="n"/>
      <c r="CI46" s="4256">
        <f>Coastal!O66</f>
        <v/>
      </c>
      <c r="CJ46" s="4265" t="n"/>
      <c r="CK46" s="1782" t="n"/>
      <c r="CM46" s="4401" t="n">
        <v>1</v>
      </c>
      <c r="CN46" s="4402" t="n"/>
      <c r="CO46" s="1997" t="n"/>
    </row>
    <row r="47">
      <c r="B47" s="1781" t="n"/>
      <c r="C47" s="2129" t="inlineStr">
        <is>
          <t>Please select</t>
        </is>
      </c>
      <c r="D47" s="1781" t="n"/>
      <c r="E47" s="1781" t="n"/>
      <c r="F47" s="4257" t="n"/>
      <c r="G47" s="1781" t="n"/>
      <c r="H47" s="4262" t="n">
        <v>0</v>
      </c>
      <c r="I47" s="2108" t="inlineStr">
        <is>
          <t>D</t>
        </is>
      </c>
      <c r="J47" s="4262" t="n">
        <v>0</v>
      </c>
      <c r="K47" s="2108" t="inlineStr">
        <is>
          <t>D</t>
        </is>
      </c>
      <c r="L47" s="1781" t="n"/>
      <c r="M47" s="1781" t="n"/>
      <c r="N47" s="1781" t="n"/>
      <c r="O47" s="1781" t="n"/>
      <c r="P47" s="4261" t="n">
        <v>0</v>
      </c>
      <c r="Q47" s="1781" t="n"/>
      <c r="R47" s="4261" t="n">
        <v>0</v>
      </c>
      <c r="S47" s="1781" t="n"/>
      <c r="T47" s="1781" t="n"/>
      <c r="U47" s="1781" t="n"/>
      <c r="V47" s="1781" t="n"/>
      <c r="W47" s="1781" t="n"/>
      <c r="X47" s="1781" t="n"/>
      <c r="Y47" s="1781" t="n"/>
      <c r="Z47" s="1781" t="n"/>
      <c r="AA47" s="1781" t="n"/>
      <c r="AB47" s="1781" t="n"/>
      <c r="AC47" s="1781" t="n"/>
      <c r="AD47" s="1781" t="n"/>
      <c r="AE47" s="1841">
        <f>SUM(Coastal!O80,Coastal!O90,Coastal!O101)</f>
        <v/>
      </c>
      <c r="AF47" s="1806" t="n"/>
      <c r="AG47" s="1841">
        <f>SUM(Coastal!P80,Coastal!P90,Coastal!P101)</f>
        <v/>
      </c>
      <c r="AH47" s="1781" t="n"/>
      <c r="AI47" s="1806">
        <f>AG47-AE47</f>
        <v/>
      </c>
      <c r="AJ47" s="1781" t="n"/>
      <c r="BQ47" s="1782" t="n"/>
      <c r="BR47" s="1800">
        <f>C47</f>
        <v/>
      </c>
      <c r="BS47" s="1782" t="n"/>
      <c r="BT47" s="4669">
        <f>Coastal!E67</f>
        <v/>
      </c>
      <c r="BU47" s="4789" t="n"/>
      <c r="BV47" s="4669">
        <f>Coastal!G67</f>
        <v/>
      </c>
      <c r="BW47" s="4789" t="n"/>
      <c r="BX47" s="4669">
        <f>Coastal!I67</f>
        <v/>
      </c>
      <c r="BY47" s="4789" t="n"/>
      <c r="BZ47" s="4669">
        <f>Coastal!K67</f>
        <v/>
      </c>
      <c r="CA47" s="4789" t="n"/>
      <c r="CB47" s="1782" t="n"/>
      <c r="CC47" s="2135" t="inlineStr">
        <is>
          <t>&lt;18</t>
        </is>
      </c>
      <c r="CD47" s="1782" t="n"/>
      <c r="CE47" s="2344">
        <f>Coastal!M67</f>
        <v/>
      </c>
      <c r="CF47" s="4789" t="n"/>
      <c r="CG47" s="1782" t="n"/>
      <c r="CH47" s="4669" t="n"/>
      <c r="CI47" s="4256">
        <f>Coastal!O67</f>
        <v/>
      </c>
      <c r="CJ47" s="4265" t="n"/>
      <c r="CK47" s="1782" t="n"/>
      <c r="CM47" s="4401" t="n">
        <v>1</v>
      </c>
      <c r="CN47" s="4402" t="n"/>
      <c r="CO47" s="1997" t="n"/>
    </row>
    <row r="48">
      <c r="B48" s="1781" t="n"/>
      <c r="C48" s="2129" t="inlineStr">
        <is>
          <t>Please select</t>
        </is>
      </c>
      <c r="D48" s="1781" t="n"/>
      <c r="E48" s="1781" t="n"/>
      <c r="F48" s="4257" t="n"/>
      <c r="G48" s="1781" t="n"/>
      <c r="H48" s="4262" t="n">
        <v>0</v>
      </c>
      <c r="I48" s="2108" t="inlineStr">
        <is>
          <t>D</t>
        </is>
      </c>
      <c r="J48" s="4262" t="n">
        <v>0</v>
      </c>
      <c r="K48" s="2108" t="inlineStr">
        <is>
          <t>D</t>
        </is>
      </c>
      <c r="L48" s="1781" t="n"/>
      <c r="M48" s="1781" t="n"/>
      <c r="N48" s="1781" t="n"/>
      <c r="O48" s="1781" t="n"/>
      <c r="P48" s="4261" t="n">
        <v>0</v>
      </c>
      <c r="Q48" s="1781" t="n"/>
      <c r="R48" s="4261" t="n">
        <v>0</v>
      </c>
      <c r="S48" s="1781" t="n"/>
      <c r="T48" s="1781" t="n"/>
      <c r="U48" s="1781" t="n"/>
      <c r="V48" s="1781" t="n"/>
      <c r="W48" s="1781" t="n"/>
      <c r="X48" s="1781" t="n"/>
      <c r="Y48" s="1781" t="n"/>
      <c r="Z48" s="1781" t="n"/>
      <c r="AA48" s="1781" t="n"/>
      <c r="AB48" s="1781" t="n"/>
      <c r="AC48" s="1781" t="n"/>
      <c r="AD48" s="1781" t="n"/>
      <c r="AE48" s="1841">
        <f>SUM(Coastal!O81,Coastal!O91,Coastal!O102)</f>
        <v/>
      </c>
      <c r="AF48" s="1806" t="n"/>
      <c r="AG48" s="1841">
        <f>SUM(Coastal!P81,Coastal!P91,Coastal!P102)</f>
        <v/>
      </c>
      <c r="AH48" s="1781" t="n"/>
      <c r="AI48" s="1806">
        <f>AG48-AE48</f>
        <v/>
      </c>
      <c r="AJ48" s="1781" t="n"/>
      <c r="BQ48" s="1782" t="n"/>
      <c r="BR48" s="1800">
        <f>C48</f>
        <v/>
      </c>
      <c r="BS48" s="1782" t="n"/>
      <c r="BT48" s="4669">
        <f>Coastal!E68</f>
        <v/>
      </c>
      <c r="BU48" s="4789" t="n"/>
      <c r="BV48" s="4669">
        <f>Coastal!G68</f>
        <v/>
      </c>
      <c r="BW48" s="4789" t="n"/>
      <c r="BX48" s="4669">
        <f>Coastal!I68</f>
        <v/>
      </c>
      <c r="BY48" s="4789" t="n"/>
      <c r="BZ48" s="4669">
        <f>Coastal!K68</f>
        <v/>
      </c>
      <c r="CA48" s="4789" t="n"/>
      <c r="CB48" s="1782" t="n"/>
      <c r="CC48" s="2135" t="inlineStr">
        <is>
          <t>&lt;18</t>
        </is>
      </c>
      <c r="CD48" s="1782" t="n"/>
      <c r="CE48" s="2344">
        <f>Coastal!M68</f>
        <v/>
      </c>
      <c r="CF48" s="4789" t="n"/>
      <c r="CG48" s="1782" t="n"/>
      <c r="CH48" s="4669" t="n"/>
      <c r="CI48" s="4256">
        <f>Coastal!O68</f>
        <v/>
      </c>
      <c r="CJ48" s="4265" t="n"/>
      <c r="CK48" s="1782" t="n"/>
      <c r="CM48" s="4401" t="n">
        <v>1</v>
      </c>
      <c r="CN48" s="4402" t="n"/>
      <c r="CO48" s="1997" t="n"/>
    </row>
    <row r="49">
      <c r="B49" s="1781" t="n"/>
      <c r="C49" s="2129" t="inlineStr">
        <is>
          <t>Please select</t>
        </is>
      </c>
      <c r="D49" s="1781" t="n"/>
      <c r="E49" s="1781" t="n"/>
      <c r="F49" s="4257" t="n"/>
      <c r="G49" s="1781" t="n"/>
      <c r="H49" s="4262" t="n">
        <v>0</v>
      </c>
      <c r="I49" s="2108" t="inlineStr">
        <is>
          <t>D</t>
        </is>
      </c>
      <c r="J49" s="4262" t="n">
        <v>0</v>
      </c>
      <c r="K49" s="2108" t="inlineStr">
        <is>
          <t>D</t>
        </is>
      </c>
      <c r="L49" s="1781" t="n"/>
      <c r="M49" s="1781" t="n"/>
      <c r="N49" s="1781" t="n"/>
      <c r="O49" s="1781" t="n"/>
      <c r="P49" s="4261" t="n">
        <v>0</v>
      </c>
      <c r="Q49" s="1781" t="n"/>
      <c r="R49" s="4261" t="n">
        <v>0</v>
      </c>
      <c r="S49" s="1781" t="n"/>
      <c r="T49" s="1781" t="n"/>
      <c r="U49" s="1781" t="n"/>
      <c r="V49" s="1781" t="n"/>
      <c r="W49" s="1781" t="n"/>
      <c r="X49" s="1781" t="n"/>
      <c r="Y49" s="1781" t="n"/>
      <c r="Z49" s="1781" t="n"/>
      <c r="AA49" s="1781" t="n"/>
      <c r="AB49" s="1781" t="n"/>
      <c r="AC49" s="1781" t="n"/>
      <c r="AD49" s="1781" t="n"/>
      <c r="AE49" s="1841">
        <f>SUM(Coastal!O82,Coastal!O92,Coastal!O103)</f>
        <v/>
      </c>
      <c r="AF49" s="1806" t="n"/>
      <c r="AG49" s="1841">
        <f>SUM(Coastal!P82,Coastal!P92,Coastal!P103)</f>
        <v/>
      </c>
      <c r="AH49" s="1781" t="n"/>
      <c r="AI49" s="1806">
        <f>AG49-AE49</f>
        <v/>
      </c>
      <c r="AJ49" s="1781" t="n"/>
      <c r="BQ49" s="1782" t="n"/>
      <c r="BR49" s="1800">
        <f>C49</f>
        <v/>
      </c>
      <c r="BS49" s="1782" t="n"/>
      <c r="BT49" s="4669">
        <f>Coastal!E69</f>
        <v/>
      </c>
      <c r="BU49" s="4789" t="n"/>
      <c r="BV49" s="4669">
        <f>Coastal!G69</f>
        <v/>
      </c>
      <c r="BW49" s="4789" t="n"/>
      <c r="BX49" s="4669">
        <f>Coastal!I69</f>
        <v/>
      </c>
      <c r="BY49" s="4789" t="n"/>
      <c r="BZ49" s="4669">
        <f>Coastal!K69</f>
        <v/>
      </c>
      <c r="CA49" s="4789" t="n"/>
      <c r="CB49" s="1782" t="n"/>
      <c r="CC49" s="2135" t="inlineStr">
        <is>
          <t>&lt;18</t>
        </is>
      </c>
      <c r="CD49" s="1782" t="n"/>
      <c r="CE49" s="2344">
        <f>Coastal!M69</f>
        <v/>
      </c>
      <c r="CF49" s="4789" t="n"/>
      <c r="CG49" s="1782" t="n"/>
      <c r="CH49" s="4669" t="n"/>
      <c r="CI49" s="4256">
        <f>Coastal!O69</f>
        <v/>
      </c>
      <c r="CJ49" s="4265" t="n"/>
      <c r="CK49" s="1782" t="n"/>
      <c r="CM49" s="4401" t="n">
        <v>1</v>
      </c>
      <c r="CN49" s="4402" t="n"/>
      <c r="CO49" s="1997" t="n"/>
    </row>
    <row r="50">
      <c r="B50" s="1781" t="n"/>
      <c r="C50" s="2129" t="inlineStr">
        <is>
          <t>Please select</t>
        </is>
      </c>
      <c r="D50" s="1781" t="n"/>
      <c r="E50" s="1781" t="n"/>
      <c r="F50" s="4257" t="n"/>
      <c r="G50" s="1781" t="n"/>
      <c r="H50" s="4262" t="n">
        <v>0</v>
      </c>
      <c r="I50" s="2108" t="inlineStr">
        <is>
          <t>D</t>
        </is>
      </c>
      <c r="J50" s="4262" t="n">
        <v>0</v>
      </c>
      <c r="K50" s="2108" t="inlineStr">
        <is>
          <t>D</t>
        </is>
      </c>
      <c r="L50" s="1781" t="n"/>
      <c r="M50" s="1781" t="n"/>
      <c r="N50" s="1781" t="n"/>
      <c r="O50" s="1781" t="n"/>
      <c r="P50" s="4261" t="n">
        <v>0</v>
      </c>
      <c r="Q50" s="1781" t="n"/>
      <c r="R50" s="4261" t="n">
        <v>0</v>
      </c>
      <c r="S50" s="1781" t="n"/>
      <c r="T50" s="1781" t="n"/>
      <c r="U50" s="1781" t="n"/>
      <c r="V50" s="1781" t="n"/>
      <c r="W50" s="1781" t="n"/>
      <c r="X50" s="1781" t="n"/>
      <c r="Y50" s="1781" t="n"/>
      <c r="Z50" s="1781" t="n"/>
      <c r="AA50" s="1781" t="n"/>
      <c r="AB50" s="1781" t="n"/>
      <c r="AC50" s="1781" t="n"/>
      <c r="AD50" s="1781" t="n"/>
      <c r="AE50" s="1841">
        <f>SUM(Coastal!O83,Coastal!O93,Coastal!O104)</f>
        <v/>
      </c>
      <c r="AF50" s="1806" t="n"/>
      <c r="AG50" s="1841">
        <f>SUM(Coastal!P83,Coastal!P93,Coastal!P104)</f>
        <v/>
      </c>
      <c r="AH50" s="1781" t="n"/>
      <c r="AI50" s="1806">
        <f>AG50-AE50</f>
        <v/>
      </c>
      <c r="AJ50" s="1781" t="n"/>
      <c r="BQ50" s="1782" t="n"/>
      <c r="BR50" s="1800">
        <f>C50</f>
        <v/>
      </c>
      <c r="BS50" s="1782" t="n"/>
      <c r="BT50" s="4669">
        <f>Coastal!E70</f>
        <v/>
      </c>
      <c r="BU50" s="4789" t="n"/>
      <c r="BV50" s="4669">
        <f>Coastal!G70</f>
        <v/>
      </c>
      <c r="BW50" s="4789" t="n"/>
      <c r="BX50" s="4669">
        <f>Coastal!I70</f>
        <v/>
      </c>
      <c r="BY50" s="4789" t="n"/>
      <c r="BZ50" s="4669">
        <f>Coastal!K70</f>
        <v/>
      </c>
      <c r="CA50" s="4789" t="n"/>
      <c r="CB50" s="1782" t="n"/>
      <c r="CC50" s="2135" t="inlineStr">
        <is>
          <t>&lt;18</t>
        </is>
      </c>
      <c r="CD50" s="1782" t="n"/>
      <c r="CE50" s="2344">
        <f>Coastal!M70</f>
        <v/>
      </c>
      <c r="CF50" s="4789" t="n"/>
      <c r="CG50" s="1782" t="n"/>
      <c r="CH50" s="4669" t="n"/>
      <c r="CI50" s="4256">
        <f>Coastal!O70</f>
        <v/>
      </c>
      <c r="CJ50" s="4265" t="n"/>
      <c r="CK50" s="1782" t="n"/>
      <c r="CM50" s="4401" t="n">
        <v>1</v>
      </c>
      <c r="CN50" s="4402" t="n"/>
      <c r="CO50" s="1997" t="n"/>
    </row>
    <row r="51">
      <c r="B51" s="1781" t="n"/>
      <c r="C51" s="2129" t="inlineStr">
        <is>
          <t>Please select</t>
        </is>
      </c>
      <c r="D51" s="1781" t="n"/>
      <c r="E51" s="1781" t="n"/>
      <c r="F51" s="4257" t="n"/>
      <c r="G51" s="1781" t="n"/>
      <c r="H51" s="4262" t="n">
        <v>0</v>
      </c>
      <c r="I51" s="2108" t="inlineStr">
        <is>
          <t>D</t>
        </is>
      </c>
      <c r="J51" s="4262" t="n">
        <v>0</v>
      </c>
      <c r="K51" s="2108" t="inlineStr">
        <is>
          <t>D</t>
        </is>
      </c>
      <c r="L51" s="1781" t="n"/>
      <c r="M51" s="1781" t="n"/>
      <c r="N51" s="1781" t="n"/>
      <c r="O51" s="1781" t="n"/>
      <c r="P51" s="4261" t="n">
        <v>0</v>
      </c>
      <c r="Q51" s="1781" t="n"/>
      <c r="R51" s="4261" t="n">
        <v>0</v>
      </c>
      <c r="S51" s="1781" t="n"/>
      <c r="T51" s="1781" t="n"/>
      <c r="U51" s="1781" t="n"/>
      <c r="V51" s="1781" t="n"/>
      <c r="W51" s="1781" t="n"/>
      <c r="X51" s="1781" t="n"/>
      <c r="Y51" s="1781" t="n"/>
      <c r="Z51" s="1781" t="n"/>
      <c r="AA51" s="1781" t="n"/>
      <c r="AB51" s="1781" t="n"/>
      <c r="AC51" s="1781" t="n"/>
      <c r="AD51" s="1781" t="n"/>
      <c r="AE51" s="1841">
        <f>SUM(Coastal!O84,Coastal!O94,Coastal!O105)</f>
        <v/>
      </c>
      <c r="AF51" s="1806" t="n"/>
      <c r="AG51" s="1841">
        <f>SUM(Coastal!P84,Coastal!P94,Coastal!P105)</f>
        <v/>
      </c>
      <c r="AH51" s="1781" t="n"/>
      <c r="AI51" s="1806">
        <f>AG51-AE51</f>
        <v/>
      </c>
      <c r="AJ51" s="1781" t="n"/>
      <c r="BQ51" s="1782" t="n"/>
      <c r="BR51" s="1800">
        <f>C51</f>
        <v/>
      </c>
      <c r="BS51" s="1782" t="n"/>
      <c r="BT51" s="4669">
        <f>Coastal!E71</f>
        <v/>
      </c>
      <c r="BU51" s="4789" t="n"/>
      <c r="BV51" s="4669">
        <f>Coastal!G71</f>
        <v/>
      </c>
      <c r="BW51" s="4789" t="n"/>
      <c r="BX51" s="4669">
        <f>Coastal!I71</f>
        <v/>
      </c>
      <c r="BY51" s="4789" t="n"/>
      <c r="BZ51" s="4669">
        <f>Coastal!K71</f>
        <v/>
      </c>
      <c r="CA51" s="4789" t="n"/>
      <c r="CB51" s="1782" t="n"/>
      <c r="CC51" s="2135" t="inlineStr">
        <is>
          <t>&lt;18</t>
        </is>
      </c>
      <c r="CD51" s="1782" t="n"/>
      <c r="CE51" s="2344">
        <f>Coastal!M71</f>
        <v/>
      </c>
      <c r="CF51" s="4789" t="n"/>
      <c r="CG51" s="1782" t="n"/>
      <c r="CH51" s="4669" t="n"/>
      <c r="CI51" s="4256">
        <f>Coastal!O71</f>
        <v/>
      </c>
      <c r="CJ51" s="4265" t="n"/>
      <c r="CK51" s="1782" t="n"/>
      <c r="CM51" s="4401" t="n">
        <v>1</v>
      </c>
      <c r="CN51" s="4402" t="n"/>
      <c r="CO51" s="1997" t="n"/>
    </row>
    <row r="52" ht="16" customHeight="1">
      <c r="B52" s="1781" t="n"/>
      <c r="C52" s="1781" t="n"/>
      <c r="D52" s="1781" t="n"/>
      <c r="E52" s="1781" t="n"/>
      <c r="F52" s="1781" t="n"/>
      <c r="G52" s="1781" t="n"/>
      <c r="H52" s="1781" t="n"/>
      <c r="I52" s="1781" t="n"/>
      <c r="J52" s="1781" t="n"/>
      <c r="K52" s="1781" t="n"/>
      <c r="L52" s="1781" t="n"/>
      <c r="M52" s="1781" t="n"/>
      <c r="N52" s="1781" t="n"/>
      <c r="O52" s="1781" t="n"/>
      <c r="P52" s="1781" t="n"/>
      <c r="Q52" s="1781" t="n"/>
      <c r="R52" s="1781" t="n"/>
      <c r="S52" s="1781" t="n"/>
      <c r="T52" s="1781" t="n"/>
      <c r="U52" s="1781" t="n"/>
      <c r="V52" s="1781" t="n"/>
      <c r="W52" s="1781" t="n"/>
      <c r="X52" s="1781" t="n"/>
      <c r="Y52" s="1781" t="n"/>
      <c r="Z52" s="1781" t="n"/>
      <c r="AA52" s="1781" t="n"/>
      <c r="AB52" s="1781" t="n"/>
      <c r="AC52" s="1781" t="n"/>
      <c r="AD52" s="1781" t="n"/>
      <c r="AE52" s="1781" t="n"/>
      <c r="AF52" s="1781" t="n"/>
      <c r="AG52" s="1781" t="n"/>
      <c r="AH52" s="1781" t="n"/>
      <c r="AI52" s="1781" t="n"/>
      <c r="AJ52" s="1781" t="n"/>
      <c r="BQ52" s="1782" t="n"/>
      <c r="BR52" s="1794" t="n"/>
      <c r="BS52" s="1782" t="n"/>
      <c r="BT52" s="1782" t="n"/>
      <c r="BU52" s="1782" t="n"/>
      <c r="BV52" s="1782" t="n"/>
      <c r="BW52" s="1782" t="n"/>
      <c r="BX52" s="1782" t="n"/>
      <c r="BY52" s="1782" t="n"/>
      <c r="BZ52" s="1782" t="n"/>
      <c r="CA52" s="1782" t="n"/>
      <c r="CB52" s="1782" t="n"/>
      <c r="CC52" s="1782" t="n"/>
      <c r="CD52" s="1782" t="n"/>
      <c r="CE52" s="1782" t="n"/>
      <c r="CF52" s="1782" t="n"/>
      <c r="CG52" s="1782" t="n"/>
      <c r="CH52" s="1782" t="n"/>
      <c r="CI52" s="1782" t="n"/>
      <c r="CJ52" s="1782" t="n"/>
      <c r="CK52" s="1782" t="n"/>
      <c r="CM52" s="1997" t="n"/>
      <c r="CN52" s="1997" t="n"/>
      <c r="CO52" s="1997" t="n"/>
    </row>
    <row r="53" ht="16" customHeight="1">
      <c r="B53" s="1781" t="n"/>
      <c r="C53" s="1781" t="n"/>
      <c r="D53" s="1781" t="n"/>
      <c r="E53" s="1781" t="n"/>
      <c r="F53" s="1781" t="n"/>
      <c r="G53" s="1781" t="n"/>
      <c r="H53" s="1781" t="n"/>
      <c r="I53" s="1781" t="n"/>
      <c r="J53" s="1781" t="n"/>
      <c r="K53" s="1781" t="n"/>
      <c r="L53" s="1781" t="n"/>
      <c r="M53" s="1781" t="n"/>
      <c r="N53" s="1781" t="n"/>
      <c r="O53" s="1781" t="n"/>
      <c r="P53" s="1781" t="n"/>
      <c r="Q53" s="1781" t="n"/>
      <c r="R53" s="1781" t="n"/>
      <c r="S53" s="1781" t="n"/>
      <c r="T53" s="1781" t="n"/>
      <c r="U53" s="1781" t="n"/>
      <c r="V53" s="1853" t="n"/>
      <c r="W53" s="1853" t="n"/>
      <c r="X53" s="1853" t="n"/>
      <c r="Y53" s="1853" t="n"/>
      <c r="Z53" s="1853" t="n"/>
      <c r="AA53" s="1853" t="n"/>
      <c r="AB53" s="2019">
        <f>Languages!B553</f>
        <v/>
      </c>
      <c r="AC53" s="2019" t="n"/>
      <c r="AD53" s="1853" t="n"/>
      <c r="AE53" s="2039">
        <f>SUM(AE46:AE51)</f>
        <v/>
      </c>
      <c r="AF53" s="2040" t="n"/>
      <c r="AG53" s="2039">
        <f>SUM(AG46:AG51)</f>
        <v/>
      </c>
      <c r="AH53" s="2040" t="n"/>
      <c r="AI53" s="2039">
        <f>SUM(AI46:AI51)</f>
        <v/>
      </c>
      <c r="AJ53" s="1781" t="n"/>
      <c r="BQ53" s="1782" t="n"/>
      <c r="BR53" s="1794" t="n"/>
      <c r="BS53" s="1782" t="n"/>
      <c r="BT53" s="1782" t="n"/>
      <c r="BU53" s="1782" t="n"/>
      <c r="BV53" s="1782" t="n"/>
      <c r="BW53" s="1782" t="n"/>
      <c r="BX53" s="1782" t="n"/>
      <c r="BY53" s="1782" t="n"/>
      <c r="BZ53" s="1782" t="n"/>
      <c r="CA53" s="1782" t="n"/>
      <c r="CB53" s="1782" t="n"/>
      <c r="CC53" s="1782" t="n"/>
      <c r="CD53" s="1782" t="n"/>
      <c r="CE53" s="1782" t="n"/>
      <c r="CF53" s="1782" t="n"/>
      <c r="CG53" s="1782" t="n"/>
      <c r="CH53" s="1782" t="n"/>
      <c r="CI53" s="1782" t="n"/>
      <c r="CJ53" s="1782" t="n"/>
      <c r="CK53" s="1782" t="n"/>
      <c r="CM53" s="4548" t="inlineStr">
        <is>
          <t>Use this part only if you want to refine yearly GHG fluxes</t>
        </is>
      </c>
    </row>
    <row r="54">
      <c r="B54" s="1781" t="n"/>
      <c r="C54" s="1781" t="n"/>
      <c r="D54" s="1781" t="n"/>
      <c r="E54" s="1781" t="n"/>
      <c r="F54" s="1781" t="n"/>
      <c r="G54" s="1781" t="n"/>
      <c r="H54" s="1781" t="n"/>
      <c r="I54" s="1781" t="n"/>
      <c r="J54" s="1781" t="n"/>
      <c r="K54" s="1781" t="n"/>
      <c r="L54" s="1781" t="n"/>
      <c r="M54" s="1781" t="n"/>
      <c r="N54" s="1781" t="n"/>
      <c r="O54" s="1781" t="n"/>
      <c r="P54" s="1781" t="n"/>
      <c r="Q54" s="1781" t="n"/>
      <c r="R54" s="1781" t="n"/>
      <c r="S54" s="1781" t="n"/>
      <c r="T54" s="1781" t="n"/>
      <c r="U54" s="1781" t="n"/>
      <c r="V54" s="1781" t="n"/>
      <c r="W54" s="1781" t="n"/>
      <c r="X54" s="1781" t="n"/>
      <c r="Y54" s="1781" t="n"/>
      <c r="Z54" s="1781" t="n"/>
      <c r="AA54" s="1781" t="n"/>
      <c r="AB54" s="1781" t="n"/>
      <c r="AC54" s="1781" t="n"/>
      <c r="AD54" s="1781" t="n"/>
      <c r="AE54" s="1781" t="n"/>
      <c r="AF54" s="1781" t="n"/>
      <c r="AG54" s="1781" t="n"/>
      <c r="AH54" s="1781" t="n"/>
      <c r="AI54" s="1781" t="n"/>
      <c r="AJ54" s="1781" t="n"/>
      <c r="BQ54" s="1782" t="n"/>
      <c r="BR54" s="1782">
        <f>BR37</f>
        <v/>
      </c>
      <c r="BS54" s="1782" t="n"/>
      <c r="BT54" s="1782" t="n"/>
      <c r="BU54" s="1782" t="n"/>
      <c r="BV54" s="1782" t="n"/>
      <c r="BW54" s="1782" t="n"/>
      <c r="BX54" s="1782" t="n"/>
      <c r="BY54" s="1782" t="n"/>
      <c r="BZ54" s="1782" t="n"/>
      <c r="CA54" s="1782" t="n"/>
      <c r="CB54" s="1782" t="n"/>
      <c r="CC54" s="1782" t="n"/>
      <c r="CD54" s="1782" t="n"/>
      <c r="CE54" s="1782" t="n"/>
      <c r="CF54" s="1782" t="n"/>
      <c r="CG54" s="1782" t="n"/>
      <c r="CH54" s="1782" t="n"/>
      <c r="CI54" s="1782" t="n"/>
      <c r="CJ54" s="1782" t="n"/>
      <c r="CK54" s="1782" t="n"/>
    </row>
    <row r="55">
      <c r="B55" s="1781" t="n"/>
      <c r="C55" s="1820">
        <f>C38</f>
        <v/>
      </c>
      <c r="D55" s="1820" t="n"/>
      <c r="E55" s="1781" t="n"/>
      <c r="F55" s="1781" t="n"/>
      <c r="G55" s="1781" t="n"/>
      <c r="H55" s="1781" t="n"/>
      <c r="I55" s="1781" t="n"/>
      <c r="J55" s="1781" t="n"/>
      <c r="K55" s="1781" t="n"/>
      <c r="L55" s="1781" t="n"/>
      <c r="M55" s="1781" t="n"/>
      <c r="N55" s="1781" t="n"/>
      <c r="O55" s="1781" t="n"/>
      <c r="P55" s="1781" t="n"/>
      <c r="Q55" s="1781" t="n"/>
      <c r="R55" s="1781" t="n"/>
      <c r="S55" s="1781" t="n"/>
      <c r="T55" s="1781" t="n"/>
      <c r="U55" s="1781" t="n"/>
      <c r="V55" s="1781" t="n"/>
      <c r="W55" s="1781" t="n"/>
      <c r="X55" s="1781" t="n"/>
      <c r="Y55" s="1781" t="n"/>
      <c r="Z55" s="1781" t="n"/>
      <c r="AA55" s="1781" t="n"/>
      <c r="AB55" s="1781" t="n"/>
      <c r="AC55" s="1781" t="n"/>
      <c r="AD55" s="1781" t="n"/>
      <c r="AE55" s="1781" t="n"/>
      <c r="AF55" s="1781" t="n"/>
      <c r="AG55" s="1781" t="n"/>
      <c r="AH55" s="1781" t="n"/>
      <c r="AI55" s="1781" t="n"/>
      <c r="AJ55" s="1781" t="n"/>
      <c r="BQ55" s="1782" t="n"/>
      <c r="BR55" s="1782">
        <f>BR38</f>
        <v/>
      </c>
      <c r="BS55" s="1782" t="n"/>
      <c r="BT55" s="1782" t="n"/>
      <c r="BU55" s="1782" t="n"/>
      <c r="BV55" s="1782" t="n"/>
      <c r="BW55" s="1782" t="n"/>
      <c r="BX55" s="1782" t="n"/>
      <c r="BY55" s="1782" t="n"/>
      <c r="BZ55" s="1782" t="n"/>
      <c r="CA55" s="1782" t="n"/>
      <c r="CB55" s="1782" t="n"/>
      <c r="CC55" s="1782" t="n"/>
      <c r="CD55" s="1782" t="n"/>
      <c r="CE55" s="1782" t="n"/>
      <c r="CF55" s="1782" t="n"/>
      <c r="CG55" s="1782" t="n"/>
      <c r="CH55" s="1782" t="n"/>
      <c r="CI55" s="1782" t="n"/>
      <c r="CJ55" s="1782" t="n"/>
      <c r="CK55" s="1782" t="n"/>
    </row>
    <row r="56">
      <c r="B56" s="1781" t="n"/>
      <c r="C56" s="1781" t="n"/>
      <c r="D56" s="1781" t="n"/>
      <c r="E56" s="1781" t="n"/>
      <c r="F56" s="1781" t="n"/>
      <c r="G56" s="1781" t="n"/>
      <c r="H56" s="1781" t="n"/>
      <c r="I56" s="1781" t="n"/>
      <c r="J56" s="1781" t="n"/>
      <c r="K56" s="1781" t="n"/>
      <c r="L56" s="1781" t="n"/>
      <c r="M56" s="1781" t="n"/>
      <c r="N56" s="1781" t="n"/>
      <c r="O56" s="1781" t="n"/>
      <c r="P56" s="1781" t="n"/>
      <c r="Q56" s="1781" t="n"/>
      <c r="R56" s="1781" t="n"/>
      <c r="S56" s="1781" t="n"/>
      <c r="T56" s="1781" t="n"/>
      <c r="U56" s="1781" t="n"/>
      <c r="V56" s="1781" t="n"/>
      <c r="W56" s="1781" t="n"/>
      <c r="X56" s="1781" t="n"/>
      <c r="Y56" s="1781" t="n"/>
      <c r="Z56" s="1781" t="n"/>
      <c r="AA56" s="1781" t="n"/>
      <c r="AB56" s="1781" t="n"/>
      <c r="AC56" s="1781" t="n"/>
      <c r="AD56" s="1781" t="n"/>
      <c r="AE56" s="1781" t="n"/>
      <c r="AF56" s="1781" t="n"/>
      <c r="AG56" s="1781" t="n"/>
      <c r="AH56" s="1781" t="n"/>
      <c r="AI56" s="1781" t="n"/>
      <c r="AJ56" s="1781" t="n"/>
      <c r="BQ56" s="1782" t="n"/>
      <c r="BR56" s="1782" t="n"/>
      <c r="BS56" s="1782" t="n"/>
      <c r="BT56" s="1782" t="n"/>
      <c r="BU56" s="1782" t="n"/>
      <c r="BV56" s="1782" t="n"/>
      <c r="BW56" s="1782" t="n"/>
      <c r="BX56" s="1782" t="n"/>
      <c r="BY56" s="1782" t="n"/>
      <c r="BZ56" s="1782" t="n"/>
      <c r="CA56" s="1782" t="n"/>
      <c r="CB56" s="1782" t="n"/>
      <c r="CC56" s="1782" t="n"/>
      <c r="CD56" s="1782" t="n"/>
      <c r="CE56" s="1782" t="n"/>
      <c r="CF56" s="1782" t="n"/>
      <c r="CG56" s="1782" t="n"/>
      <c r="CH56" s="1782" t="n"/>
      <c r="CI56" s="1782" t="n"/>
      <c r="CJ56" s="1782" t="n"/>
      <c r="CK56" s="1782" t="n"/>
      <c r="CM56" s="1997" t="n"/>
      <c r="CN56" s="1997" t="n"/>
      <c r="CO56" s="1997" t="n"/>
    </row>
    <row r="58" ht="42.5" customHeight="1">
      <c r="B58" s="1977" t="n"/>
      <c r="C58" s="1769" t="inlineStr">
        <is>
          <t>7.2 Coastal waterbodies (total area must remain constant)</t>
        </is>
      </c>
      <c r="D58" s="1769" t="n"/>
      <c r="E58" s="1769" t="n"/>
      <c r="F58" s="1769" t="n"/>
      <c r="G58" s="1769" t="n"/>
      <c r="H58" s="1769" t="n"/>
      <c r="I58" s="1769" t="n"/>
      <c r="J58" s="1769" t="n"/>
      <c r="K58" s="1769" t="n"/>
      <c r="L58" s="1769" t="n"/>
      <c r="M58" s="1769" t="n"/>
      <c r="N58" s="1769" t="n"/>
      <c r="O58" s="1769" t="n"/>
      <c r="P58" s="1769" t="n"/>
      <c r="Q58" s="1977" t="n"/>
      <c r="R58" s="1977" t="n"/>
      <c r="S58" s="1977" t="n"/>
      <c r="T58" s="1977" t="n"/>
      <c r="U58" s="1977" t="n"/>
      <c r="V58" s="1977" t="n"/>
      <c r="W58" s="1977" t="n"/>
      <c r="X58" s="1977" t="n"/>
      <c r="Y58" s="1977" t="n"/>
      <c r="Z58" s="1977" t="n"/>
      <c r="AA58" s="1977" t="n"/>
      <c r="AB58" s="1977" t="n"/>
      <c r="AC58" s="1977" t="n"/>
      <c r="AD58" s="1977" t="n"/>
      <c r="AE58" s="1979" t="n"/>
      <c r="AF58" s="1977" t="n"/>
      <c r="AG58" s="1979">
        <f>AG4</f>
        <v/>
      </c>
      <c r="AH58" s="1977" t="n"/>
      <c r="AI58" s="1977" t="n"/>
      <c r="AJ58" s="1769" t="n"/>
      <c r="BQ58" s="1767" t="n"/>
      <c r="BR58" s="4248">
        <f>C58</f>
        <v/>
      </c>
      <c r="BS58" s="1767" t="n"/>
      <c r="BT58" s="1767" t="n"/>
      <c r="BU58" s="1767" t="n"/>
      <c r="BV58" s="1767" t="n"/>
      <c r="BW58" s="1767" t="n"/>
      <c r="BX58" s="1767" t="n"/>
      <c r="BY58" s="1767" t="n"/>
      <c r="BZ58" s="1767" t="n"/>
      <c r="CA58" s="1767" t="n"/>
      <c r="CB58" s="1767" t="n"/>
      <c r="CC58" s="1767" t="n"/>
      <c r="CD58" s="1767" t="n"/>
      <c r="CE58" s="1767" t="n"/>
      <c r="CF58" s="1767" t="n"/>
      <c r="CG58" s="1767" t="n"/>
      <c r="CH58" s="1767" t="n"/>
      <c r="CI58" s="1767" t="n"/>
      <c r="CJ58" s="1767" t="n"/>
      <c r="CK58" s="1767" t="n"/>
      <c r="CM58" s="4404" t="inlineStr">
        <is>
          <t>Annual balance</t>
        </is>
      </c>
      <c r="CN58" s="4404" t="n"/>
      <c r="CO58" s="4404" t="n"/>
    </row>
    <row r="59">
      <c r="B59" s="1781" t="n"/>
      <c r="C59" s="4224">
        <f>Languages!B530</f>
        <v/>
      </c>
      <c r="D59" s="1781" t="n"/>
      <c r="E59" s="1781" t="n"/>
      <c r="F59" s="1781" t="n"/>
      <c r="G59" s="1781" t="n"/>
      <c r="H59" s="1781" t="n"/>
      <c r="I59" s="1781" t="n"/>
      <c r="J59" s="1781" t="n"/>
      <c r="K59" s="1781" t="n"/>
      <c r="L59" s="1781" t="n"/>
      <c r="M59" s="1781" t="n"/>
      <c r="N59" s="1781" t="n"/>
      <c r="O59" s="1781" t="n"/>
      <c r="P59" s="1781" t="n"/>
      <c r="Q59" s="1781" t="n"/>
      <c r="R59" s="1781" t="n"/>
      <c r="S59" s="1781" t="n"/>
      <c r="T59" s="1781" t="n"/>
      <c r="U59" s="1781" t="n"/>
      <c r="V59" s="1781" t="n"/>
      <c r="W59" s="1781" t="n"/>
      <c r="X59" s="1781" t="n"/>
      <c r="Y59" s="1781" t="n"/>
      <c r="Z59" s="1781" t="n"/>
      <c r="AA59" s="1781" t="n"/>
      <c r="AB59" s="1781" t="n"/>
      <c r="AC59" s="1781" t="n"/>
      <c r="AD59" s="1781" t="n"/>
      <c r="AE59" s="1781" t="n"/>
      <c r="AF59" s="1781" t="n"/>
      <c r="AG59" s="1781" t="n"/>
      <c r="AH59" s="1781" t="n"/>
      <c r="AI59" s="1781" t="n"/>
      <c r="AJ59" s="1781" t="n"/>
      <c r="BQ59" s="1782" t="n"/>
      <c r="BR59" s="1782" t="n"/>
      <c r="BS59" s="1800" t="n"/>
      <c r="BT59" s="1800" t="n"/>
      <c r="BU59" s="1800" t="n"/>
      <c r="BV59" s="1800" t="n"/>
      <c r="BW59" s="1800" t="n"/>
      <c r="BX59" s="1800" t="n"/>
      <c r="BY59" s="1800" t="n"/>
      <c r="BZ59" s="1800" t="n"/>
      <c r="CA59" s="1800" t="n"/>
      <c r="CB59" s="1800" t="n"/>
      <c r="CC59" s="1800" t="n"/>
      <c r="CD59" s="1800" t="n"/>
      <c r="CE59" s="1800" t="n"/>
      <c r="CF59" s="1800" t="n"/>
      <c r="CG59" s="1800" t="n"/>
      <c r="CH59" s="1800" t="n"/>
      <c r="CI59" s="1800" t="n"/>
      <c r="CJ59" s="1800" t="n"/>
      <c r="CK59" s="1782" t="n"/>
      <c r="CM59" s="1800" t="n"/>
      <c r="CN59" s="1800" t="n"/>
      <c r="CO59" s="1800" t="n"/>
    </row>
    <row r="60">
      <c r="B60" s="1961" t="n"/>
      <c r="C60" s="4211" t="n"/>
      <c r="D60" s="4180" t="n"/>
      <c r="E60" s="4180" t="n"/>
      <c r="F60" s="1961" t="n"/>
      <c r="G60" s="1961" t="n"/>
      <c r="H60" s="1961" t="n"/>
      <c r="I60" s="1961" t="n"/>
      <c r="J60" s="1961" t="n"/>
      <c r="K60" s="1961" t="n"/>
      <c r="L60" s="1961" t="n"/>
      <c r="M60" s="1961" t="n"/>
      <c r="N60" s="1961" t="n"/>
      <c r="O60" s="1961" t="n"/>
      <c r="P60" s="1961" t="n"/>
      <c r="Q60" s="1961" t="n"/>
      <c r="R60" s="1961" t="n"/>
      <c r="S60" s="1961" t="n"/>
      <c r="T60" s="1961" t="n"/>
      <c r="U60" s="1961" t="n"/>
      <c r="V60" s="1961" t="n"/>
      <c r="W60" s="1961" t="n"/>
      <c r="X60" s="1961" t="n"/>
      <c r="Y60" s="1961" t="n"/>
      <c r="Z60" s="1961" t="n"/>
      <c r="AA60" s="1961" t="n"/>
      <c r="AB60" s="1961" t="n"/>
      <c r="AC60" s="1961" t="n"/>
      <c r="AD60" s="1961" t="n"/>
      <c r="AE60" s="1961" t="n"/>
      <c r="AF60" s="1961" t="n"/>
      <c r="AG60" s="1961" t="n"/>
      <c r="AH60" s="1961" t="n"/>
      <c r="AI60" s="1961" t="n"/>
      <c r="AJ60" s="1826" t="n"/>
      <c r="BQ60" s="1782" t="n"/>
      <c r="BR60" s="1782" t="n"/>
      <c r="BS60" s="1800" t="n"/>
      <c r="BT60" s="1800" t="n"/>
      <c r="BU60" s="1800" t="n"/>
      <c r="BV60" s="1800" t="n"/>
      <c r="BW60" s="1800" t="n"/>
      <c r="BX60" s="1800" t="n"/>
      <c r="BY60" s="1800" t="n"/>
      <c r="BZ60" s="1800" t="n"/>
      <c r="CA60" s="1800" t="n"/>
      <c r="CB60" s="1800" t="n"/>
      <c r="CC60" s="1800" t="n"/>
      <c r="CD60" s="1800" t="n"/>
      <c r="CE60" s="1800" t="n"/>
      <c r="CF60" s="1800" t="n"/>
      <c r="CG60" s="1800" t="n"/>
      <c r="CH60" s="1800" t="n"/>
      <c r="CI60" s="1800" t="n"/>
      <c r="CJ60" s="1800" t="n"/>
      <c r="CK60" s="1782" t="n"/>
      <c r="CM60" s="1890" t="inlineStr">
        <is>
          <t xml:space="preserve">Start year of </t>
        </is>
      </c>
      <c r="CN60" s="1890" t="n"/>
      <c r="CO60" s="1997" t="n"/>
    </row>
    <row r="61">
      <c r="B61" s="1961" t="n"/>
      <c r="C61" s="1961" t="n"/>
      <c r="D61" s="1961" t="n"/>
      <c r="E61" s="1961" t="n"/>
      <c r="F61" s="1961" t="n"/>
      <c r="G61" s="1961" t="n"/>
      <c r="H61" s="1961" t="n"/>
      <c r="I61" s="1961" t="n"/>
      <c r="J61" s="1961" t="n"/>
      <c r="K61" s="1961" t="n"/>
      <c r="L61" s="1961" t="n"/>
      <c r="M61" s="1961" t="n"/>
      <c r="N61" s="1961" t="n"/>
      <c r="O61" s="1961" t="n"/>
      <c r="P61" s="1961" t="n"/>
      <c r="Q61" s="1961" t="n"/>
      <c r="R61" s="1961" t="n"/>
      <c r="S61" s="1961" t="n"/>
      <c r="T61" s="1961" t="n"/>
      <c r="U61" s="1961" t="n"/>
      <c r="V61" s="1961" t="n"/>
      <c r="W61" s="1961" t="n"/>
      <c r="X61" s="1961" t="n"/>
      <c r="Y61" s="1961" t="n"/>
      <c r="Z61" s="1961" t="n"/>
      <c r="AA61" s="1961" t="n"/>
      <c r="AB61" s="1961" t="n"/>
      <c r="AC61" s="1961" t="n"/>
      <c r="AD61" s="1961" t="n"/>
      <c r="AE61" s="1961" t="n"/>
      <c r="AF61" s="1961" t="n"/>
      <c r="AG61" s="1961" t="n"/>
      <c r="AH61" s="1961" t="n"/>
      <c r="AI61" s="1961" t="n"/>
      <c r="AJ61" s="1826" t="n"/>
      <c r="BQ61" s="1782" t="n"/>
      <c r="BR61" s="1782" t="n"/>
      <c r="BS61" s="1782" t="n"/>
      <c r="BT61" s="4177">
        <f>Languages!B411</f>
        <v/>
      </c>
      <c r="BU61" s="4177" t="n"/>
      <c r="BV61" s="4177" t="n"/>
      <c r="BW61" s="4177" t="n"/>
      <c r="BX61" s="4177" t="n"/>
      <c r="BY61" s="4177" t="n"/>
      <c r="BZ61" s="2598" t="n"/>
      <c r="CA61" s="4177">
        <f>'6.Inland wetlands'!CM193</f>
        <v/>
      </c>
      <c r="CB61" s="4177" t="n"/>
      <c r="CC61" s="4177" t="n"/>
      <c r="CD61" s="4177" t="n"/>
      <c r="CE61" s="4177" t="n"/>
      <c r="CF61" s="1800" t="n"/>
      <c r="CG61" s="2598" t="n"/>
      <c r="CH61" s="1800" t="n"/>
      <c r="CI61" s="1800" t="n"/>
      <c r="CJ61" s="1800" t="n"/>
      <c r="CK61" s="1782" t="n"/>
      <c r="CM61" s="2015" t="inlineStr">
        <is>
          <t>implementation</t>
        </is>
      </c>
      <c r="CN61" s="2015" t="n"/>
      <c r="CO61" s="1997" t="n"/>
    </row>
    <row r="62">
      <c r="B62" s="1961" t="n"/>
      <c r="C62" s="4224" t="n"/>
      <c r="D62" s="1961" t="n"/>
      <c r="E62" s="1961" t="n"/>
      <c r="F62" s="1961" t="n"/>
      <c r="G62" s="1961" t="n"/>
      <c r="H62" s="1961" t="n"/>
      <c r="I62" s="1961" t="n"/>
      <c r="J62" s="1961" t="n"/>
      <c r="K62" s="1961" t="n"/>
      <c r="L62" s="1961" t="n"/>
      <c r="M62" s="1961" t="n"/>
      <c r="N62" s="1961" t="n"/>
      <c r="O62" s="1961" t="n"/>
      <c r="P62" s="1961" t="n"/>
      <c r="Q62" s="1961" t="n"/>
      <c r="R62" s="1961" t="n"/>
      <c r="S62" s="1961" t="n"/>
      <c r="T62" s="1961" t="n"/>
      <c r="U62" s="1961" t="n"/>
      <c r="V62" s="1961" t="n"/>
      <c r="W62" s="1961" t="n"/>
      <c r="X62" s="1961" t="n"/>
      <c r="Y62" s="1961" t="n"/>
      <c r="Z62" s="1961" t="n"/>
      <c r="AA62" s="1961" t="n"/>
      <c r="AB62" s="1961" t="n"/>
      <c r="AC62" s="1961" t="n"/>
      <c r="AD62" s="1961" t="n"/>
      <c r="AE62" s="4179">
        <f>AE44</f>
        <v/>
      </c>
      <c r="AF62" s="4180" t="n"/>
      <c r="AG62" s="4180" t="n"/>
      <c r="AH62" s="1961" t="n"/>
      <c r="AI62" s="1834">
        <f>AI44</f>
        <v/>
      </c>
      <c r="AJ62" s="1826" t="n"/>
      <c r="BQ62" s="1782" t="n"/>
      <c r="BR62" s="1782" t="n"/>
      <c r="BS62" s="1782" t="n"/>
      <c r="BT62" s="2598">
        <f>'6.Inland wetlands'!CF194</f>
        <v/>
      </c>
      <c r="BU62" s="2598" t="n"/>
      <c r="BV62" s="2598" t="n"/>
      <c r="BW62" s="2598" t="n"/>
      <c r="BX62" s="2598" t="n"/>
      <c r="BY62" s="2598" t="n"/>
      <c r="BZ62" s="2598" t="n"/>
      <c r="CA62" s="2598" t="n"/>
      <c r="CB62" s="2598" t="n"/>
      <c r="CC62" s="2598" t="n"/>
      <c r="CD62" s="1782" t="n"/>
      <c r="CE62" s="2567">
        <f>Languages!B412</f>
        <v/>
      </c>
      <c r="CF62" s="1800" t="n"/>
      <c r="CG62" s="2567" t="n"/>
      <c r="CH62" s="1800" t="n"/>
      <c r="CI62" s="1800" t="n"/>
      <c r="CJ62" s="1800" t="n"/>
      <c r="CK62" s="1782" t="n"/>
      <c r="CM62" s="1997" t="n"/>
      <c r="CN62" s="1997" t="n"/>
      <c r="CO62" s="1997" t="n"/>
    </row>
    <row r="63" ht="19" customHeight="1">
      <c r="B63" s="1961" t="n"/>
      <c r="C63" s="4403">
        <f>Languages!B353</f>
        <v/>
      </c>
      <c r="D63" s="1961" t="n"/>
      <c r="E63" s="4225">
        <f>Languages!B355</f>
        <v/>
      </c>
      <c r="F63" s="1961" t="n"/>
      <c r="G63" s="1961" t="n"/>
      <c r="H63" s="1961" t="n"/>
      <c r="I63" s="1961" t="n"/>
      <c r="J63" s="1961" t="n"/>
      <c r="K63" s="1961" t="n"/>
      <c r="L63" s="1826">
        <f>Languages!B354</f>
        <v/>
      </c>
      <c r="M63" s="1826" t="n"/>
      <c r="N63" s="1826" t="n"/>
      <c r="O63" s="1781" t="n"/>
      <c r="P63" s="1781" t="n"/>
      <c r="Q63" s="1781" t="n"/>
      <c r="R63" s="1961" t="n"/>
      <c r="S63" s="1961" t="n"/>
      <c r="T63" s="1961" t="n"/>
      <c r="U63" s="1961" t="n"/>
      <c r="V63" s="1834" t="n"/>
      <c r="W63" s="1961" t="n"/>
      <c r="X63" s="1961" t="n"/>
      <c r="Y63" s="1961" t="n"/>
      <c r="Z63" s="1834" t="n"/>
      <c r="AA63" s="1961" t="n"/>
      <c r="AB63" s="1961" t="n"/>
      <c r="AC63" s="1961" t="n"/>
      <c r="AD63" s="1961" t="n"/>
      <c r="AE63" s="1838">
        <f>AE45</f>
        <v/>
      </c>
      <c r="AF63" s="1961" t="n"/>
      <c r="AG63" s="1838">
        <f>AG45</f>
        <v/>
      </c>
      <c r="AH63" s="1961" t="n"/>
      <c r="AI63" s="1961" t="n"/>
      <c r="AJ63" s="1781" t="n"/>
      <c r="BQ63" s="1782" t="n"/>
      <c r="BR63" s="1782" t="n"/>
      <c r="BS63" s="1782" t="n"/>
      <c r="BT63" s="4187">
        <f>L64</f>
        <v/>
      </c>
      <c r="BU63" s="2598" t="n"/>
      <c r="BV63" s="4185" t="inlineStr">
        <is>
          <t>Without</t>
        </is>
      </c>
      <c r="BW63" s="2598">
        <f>N64</f>
        <v/>
      </c>
      <c r="BX63" s="4205" t="inlineStr">
        <is>
          <t>With</t>
        </is>
      </c>
      <c r="BY63" s="2598">
        <f>P64</f>
        <v/>
      </c>
      <c r="BZ63" s="2598" t="n"/>
      <c r="CA63" s="4226" t="inlineStr">
        <is>
          <t>α</t>
        </is>
      </c>
      <c r="CB63" s="2598" t="n"/>
      <c r="CC63" s="2598" t="n"/>
      <c r="CD63" s="1782" t="n"/>
      <c r="CE63" s="2598" t="inlineStr">
        <is>
          <t>[μg/L]</t>
        </is>
      </c>
      <c r="CF63" s="1800" t="n"/>
      <c r="CG63" s="2598" t="n"/>
      <c r="CH63" s="1800" t="n"/>
      <c r="CI63" s="1800" t="n"/>
      <c r="CJ63" s="1800" t="n"/>
      <c r="CK63" s="1782" t="n"/>
      <c r="CM63" s="1997" t="n"/>
      <c r="CN63" s="1997" t="n"/>
      <c r="CO63" s="1997" t="n"/>
    </row>
    <row r="64">
      <c r="B64" s="1961" t="n"/>
      <c r="C64" s="1781" t="n"/>
      <c r="D64" s="1961" t="n"/>
      <c r="E64" s="1961" t="n"/>
      <c r="F64" s="1961" t="n"/>
      <c r="G64" s="1961" t="n"/>
      <c r="H64" s="1961" t="n"/>
      <c r="I64" s="1961" t="n"/>
      <c r="J64" s="1961" t="n"/>
      <c r="K64" s="1961" t="n"/>
      <c r="L64" s="1806">
        <f>'8. Fisheries and aquaculture'!X73</f>
        <v/>
      </c>
      <c r="M64" s="1806" t="n"/>
      <c r="N64" s="1806">
        <f>'8. Fisheries and aquaculture'!T12</f>
        <v/>
      </c>
      <c r="O64" s="1806" t="inlineStr">
        <is>
          <t>*</t>
        </is>
      </c>
      <c r="P64" s="1806">
        <f>'8. Fisheries and aquaculture'!U12</f>
        <v/>
      </c>
      <c r="Q64" s="1806" t="inlineStr">
        <is>
          <t>*</t>
        </is>
      </c>
      <c r="R64" s="1961" t="n"/>
      <c r="S64" s="1961" t="n"/>
      <c r="T64" s="1961" t="n"/>
      <c r="U64" s="1961" t="n"/>
      <c r="V64" s="1961" t="n"/>
      <c r="W64" s="1961" t="n"/>
      <c r="X64" s="1961" t="n"/>
      <c r="Y64" s="1961" t="n"/>
      <c r="Z64" s="1961" t="n"/>
      <c r="AA64" s="1961" t="n"/>
      <c r="AB64" s="1961" t="n"/>
      <c r="AC64" s="1961" t="n"/>
      <c r="AD64" s="1961" t="n"/>
      <c r="AE64" s="1961" t="n"/>
      <c r="AF64" s="1961" t="n"/>
      <c r="AG64" s="1961" t="n"/>
      <c r="AH64" s="1961" t="n"/>
      <c r="AI64" s="1961" t="n"/>
      <c r="AJ64" s="1781" t="n"/>
      <c r="BQ64" s="1782" t="n"/>
      <c r="BR64" s="1783">
        <f>C63</f>
        <v/>
      </c>
      <c r="BS64" s="1783">
        <f>E63</f>
        <v/>
      </c>
      <c r="BT64" s="2567">
        <f>BT45</f>
        <v/>
      </c>
      <c r="BU64" s="2567">
        <f>BU45</f>
        <v/>
      </c>
      <c r="BV64" s="2567">
        <f>BT64</f>
        <v/>
      </c>
      <c r="BW64" s="2567">
        <f>BU64</f>
        <v/>
      </c>
      <c r="BX64" s="2567">
        <f>BV64</f>
        <v/>
      </c>
      <c r="BY64" s="2567">
        <f>BW64</f>
        <v/>
      </c>
      <c r="BZ64" s="2598" t="n"/>
      <c r="CA64" s="2567">
        <f>BT64</f>
        <v/>
      </c>
      <c r="CB64" s="1782" t="n"/>
      <c r="CC64" s="2567" t="inlineStr">
        <is>
          <t>Tier 2</t>
        </is>
      </c>
      <c r="CD64" s="1782" t="n"/>
      <c r="CE64" s="2598" t="n"/>
      <c r="CF64" s="1800" t="n"/>
      <c r="CG64" s="2598" t="n"/>
      <c r="CH64" s="1800" t="n"/>
      <c r="CI64" s="1800" t="n"/>
      <c r="CJ64" s="1800" t="n"/>
      <c r="CK64" s="1782" t="n"/>
      <c r="CM64" s="1997" t="n"/>
      <c r="CN64" s="1997" t="n"/>
      <c r="CO64" s="1997" t="n"/>
    </row>
    <row r="65">
      <c r="B65" s="1961" t="n"/>
      <c r="C65" s="2135" t="inlineStr">
        <is>
          <t>Please select</t>
        </is>
      </c>
      <c r="D65" s="1961" t="n"/>
      <c r="E65" s="4141" t="inlineStr">
        <is>
          <t>Please select</t>
        </is>
      </c>
      <c r="F65" s="1961" t="n"/>
      <c r="G65" s="1961" t="n"/>
      <c r="H65" s="1961" t="n"/>
      <c r="I65" s="1961" t="n"/>
      <c r="J65" s="1961" t="n"/>
      <c r="K65" s="1961" t="n"/>
      <c r="L65" s="2107" t="n">
        <v>0</v>
      </c>
      <c r="M65" s="1781" t="n"/>
      <c r="N65" s="2107" t="n">
        <v>0</v>
      </c>
      <c r="O65" s="2108" t="inlineStr">
        <is>
          <t>D</t>
        </is>
      </c>
      <c r="P65" s="2107" t="n">
        <v>0</v>
      </c>
      <c r="Q65" s="2108" t="inlineStr">
        <is>
          <t>D</t>
        </is>
      </c>
      <c r="R65" s="1961" t="n"/>
      <c r="S65" s="1961" t="n"/>
      <c r="T65" s="1961" t="n"/>
      <c r="U65" s="1961" t="n"/>
      <c r="V65" s="1961" t="n"/>
      <c r="W65" s="1961" t="n"/>
      <c r="X65" s="1961" t="n"/>
      <c r="Y65" s="1961" t="n"/>
      <c r="Z65" s="1961" t="n"/>
      <c r="AA65" s="1961" t="n"/>
      <c r="AB65" s="1961" t="n"/>
      <c r="AC65" s="1961" t="n"/>
      <c r="AD65" s="1961" t="n"/>
      <c r="AE65" s="2111">
        <f>+Coastal!O115</f>
        <v/>
      </c>
      <c r="AF65" s="1961" t="n"/>
      <c r="AG65" s="2111">
        <f>+Coastal!P115</f>
        <v/>
      </c>
      <c r="AH65" s="1961" t="n"/>
      <c r="AI65" s="1806">
        <f>AG65-AE65</f>
        <v/>
      </c>
      <c r="AJ65" s="1781" t="n"/>
      <c r="BQ65" s="1782" t="n"/>
      <c r="BR65" s="1782">
        <f>'7.Coastal wetlands'!C65</f>
        <v/>
      </c>
      <c r="BS65" s="1782">
        <f>'7.Coastal wetlands'!E65</f>
        <v/>
      </c>
      <c r="BT65" s="4728">
        <f>'Fish and aqua'!O77</f>
        <v/>
      </c>
      <c r="BU65" s="4241" t="n"/>
      <c r="BV65" s="4728">
        <f>BT65</f>
        <v/>
      </c>
      <c r="BW65" s="4241" t="n"/>
      <c r="BX65" s="4728">
        <f>BV65</f>
        <v/>
      </c>
      <c r="BY65" s="4241" t="n"/>
      <c r="BZ65" s="2598" t="n"/>
      <c r="CA65" s="4728">
        <f>Coastal!F126</f>
        <v/>
      </c>
      <c r="CB65" s="1782" t="n"/>
      <c r="CC65" s="4241" t="n"/>
      <c r="CD65" s="1782" t="n"/>
      <c r="CE65" s="4241" t="n"/>
      <c r="CF65" s="1800" t="n"/>
      <c r="CG65" s="2598" t="n"/>
      <c r="CH65" s="1800" t="n"/>
      <c r="CI65" s="1800" t="n"/>
      <c r="CJ65" s="1800" t="n"/>
      <c r="CK65" s="1782" t="n"/>
      <c r="CM65" s="4401" t="n">
        <v>1</v>
      </c>
      <c r="CN65" s="4402" t="n"/>
      <c r="CO65" s="1997" t="n"/>
    </row>
    <row r="66">
      <c r="B66" s="1961" t="n"/>
      <c r="C66" s="2135" t="inlineStr">
        <is>
          <t>Please select</t>
        </is>
      </c>
      <c r="D66" s="1961" t="n"/>
      <c r="E66" s="4141" t="inlineStr">
        <is>
          <t>Please select</t>
        </is>
      </c>
      <c r="F66" s="1961" t="n"/>
      <c r="G66" s="1961" t="n"/>
      <c r="H66" s="1961" t="n"/>
      <c r="I66" s="1961" t="n"/>
      <c r="J66" s="1961" t="n"/>
      <c r="K66" s="1961" t="n"/>
      <c r="L66" s="2107" t="n">
        <v>0</v>
      </c>
      <c r="M66" s="1781" t="n"/>
      <c r="N66" s="2107" t="n">
        <v>0</v>
      </c>
      <c r="O66" s="2108" t="inlineStr">
        <is>
          <t>D</t>
        </is>
      </c>
      <c r="P66" s="2107" t="n">
        <v>0</v>
      </c>
      <c r="Q66" s="2108" t="inlineStr">
        <is>
          <t>D</t>
        </is>
      </c>
      <c r="R66" s="1961" t="n"/>
      <c r="S66" s="1961" t="n"/>
      <c r="T66" s="1961" t="n"/>
      <c r="U66" s="1961" t="n"/>
      <c r="V66" s="1961" t="n"/>
      <c r="W66" s="1961" t="n"/>
      <c r="X66" s="1961" t="n"/>
      <c r="Y66" s="1961" t="n"/>
      <c r="Z66" s="1961" t="n"/>
      <c r="AA66" s="1961" t="n"/>
      <c r="AB66" s="1961" t="n"/>
      <c r="AC66" s="1961" t="n"/>
      <c r="AD66" s="1961" t="n"/>
      <c r="AE66" s="2111">
        <f>+Coastal!O116</f>
        <v/>
      </c>
      <c r="AF66" s="1961" t="n"/>
      <c r="AG66" s="2111">
        <f>+Coastal!P116</f>
        <v/>
      </c>
      <c r="AH66" s="1961" t="n"/>
      <c r="AI66" s="1806">
        <f>AG66-AE66</f>
        <v/>
      </c>
      <c r="AJ66" s="1781" t="n"/>
      <c r="BQ66" s="1782" t="n"/>
      <c r="BR66" s="1782">
        <f>'7.Coastal wetlands'!C66</f>
        <v/>
      </c>
      <c r="BS66" s="1782">
        <f>'7.Coastal wetlands'!E66</f>
        <v/>
      </c>
      <c r="BT66" s="4728">
        <f>'Fish and aqua'!O78</f>
        <v/>
      </c>
      <c r="BU66" s="4241" t="n"/>
      <c r="BV66" s="4728">
        <f>BT66</f>
        <v/>
      </c>
      <c r="BW66" s="4241" t="n"/>
      <c r="BX66" s="4728">
        <f>BV66</f>
        <v/>
      </c>
      <c r="BY66" s="4241" t="n"/>
      <c r="BZ66" s="2598" t="n"/>
      <c r="CA66" s="4728">
        <f>Coastal!F127</f>
        <v/>
      </c>
      <c r="CB66" s="1782" t="n"/>
      <c r="CC66" s="4241" t="n"/>
      <c r="CD66" s="1782" t="n"/>
      <c r="CE66" s="4241" t="n"/>
      <c r="CF66" s="1800" t="n"/>
      <c r="CG66" s="2598" t="n"/>
      <c r="CH66" s="1800" t="n"/>
      <c r="CI66" s="1800" t="n"/>
      <c r="CJ66" s="1800" t="n"/>
      <c r="CK66" s="1782" t="n"/>
      <c r="CM66" s="4401" t="n">
        <v>1</v>
      </c>
      <c r="CN66" s="4402" t="n"/>
      <c r="CO66" s="1997" t="n"/>
    </row>
    <row r="67" ht="15" customHeight="1">
      <c r="B67" s="1961" t="n"/>
      <c r="C67" s="2135" t="inlineStr">
        <is>
          <t>Please select</t>
        </is>
      </c>
      <c r="D67" s="1961" t="n"/>
      <c r="E67" s="4141" t="inlineStr">
        <is>
          <t>Please select</t>
        </is>
      </c>
      <c r="F67" s="1961" t="n"/>
      <c r="G67" s="1961" t="n"/>
      <c r="H67" s="1961" t="n"/>
      <c r="I67" s="1961" t="n"/>
      <c r="J67" s="1961" t="n"/>
      <c r="K67" s="1961" t="n"/>
      <c r="L67" s="2107" t="n">
        <v>0</v>
      </c>
      <c r="M67" s="1781" t="n"/>
      <c r="N67" s="2107" t="n">
        <v>0</v>
      </c>
      <c r="O67" s="2108" t="inlineStr">
        <is>
          <t>D</t>
        </is>
      </c>
      <c r="P67" s="2107" t="n">
        <v>0</v>
      </c>
      <c r="Q67" s="2108" t="inlineStr">
        <is>
          <t>D</t>
        </is>
      </c>
      <c r="R67" s="1961" t="n"/>
      <c r="S67" s="1961" t="n"/>
      <c r="T67" s="1961" t="n"/>
      <c r="U67" s="1961" t="n"/>
      <c r="V67" s="1961" t="n"/>
      <c r="W67" s="1961" t="n"/>
      <c r="X67" s="1961" t="n"/>
      <c r="Y67" s="1961" t="n"/>
      <c r="Z67" s="1961" t="n"/>
      <c r="AA67" s="1961" t="n"/>
      <c r="AB67" s="1961" t="n"/>
      <c r="AC67" s="1961" t="n"/>
      <c r="AD67" s="1961" t="n"/>
      <c r="AE67" s="2111">
        <f>+Coastal!O117</f>
        <v/>
      </c>
      <c r="AF67" s="1961" t="n"/>
      <c r="AG67" s="2111">
        <f>+Coastal!P117</f>
        <v/>
      </c>
      <c r="AH67" s="1961" t="n"/>
      <c r="AI67" s="1806">
        <f>AG67-AE67</f>
        <v/>
      </c>
      <c r="AJ67" s="1781" t="n"/>
      <c r="BQ67" s="1782" t="n"/>
      <c r="BR67" s="1782">
        <f>'7.Coastal wetlands'!C67</f>
        <v/>
      </c>
      <c r="BS67" s="1782">
        <f>'7.Coastal wetlands'!E67</f>
        <v/>
      </c>
      <c r="BT67" s="4728">
        <f>'Fish and aqua'!O79</f>
        <v/>
      </c>
      <c r="BU67" s="4241" t="n"/>
      <c r="BV67" s="4728">
        <f>BT67</f>
        <v/>
      </c>
      <c r="BW67" s="4241" t="n"/>
      <c r="BX67" s="4728">
        <f>BV67</f>
        <v/>
      </c>
      <c r="BY67" s="4241" t="n"/>
      <c r="BZ67" s="2598" t="n"/>
      <c r="CA67" s="4728">
        <f>Coastal!F128</f>
        <v/>
      </c>
      <c r="CB67" s="1782" t="n"/>
      <c r="CC67" s="4241" t="n"/>
      <c r="CD67" s="1782" t="n"/>
      <c r="CE67" s="4241" t="n"/>
      <c r="CF67" s="1800" t="n"/>
      <c r="CG67" s="2598" t="n"/>
      <c r="CH67" s="1800" t="n"/>
      <c r="CI67" s="1800" t="n"/>
      <c r="CJ67" s="1800" t="n"/>
      <c r="CK67" s="1782" t="n"/>
      <c r="CM67" s="4401" t="n">
        <v>1</v>
      </c>
      <c r="CN67" s="4402" t="n"/>
      <c r="CO67" s="1997" t="n"/>
    </row>
    <row r="68">
      <c r="B68" s="1961" t="n"/>
      <c r="C68" s="2135" t="inlineStr">
        <is>
          <t>Please select</t>
        </is>
      </c>
      <c r="D68" s="1961" t="n"/>
      <c r="E68" s="4141" t="inlineStr">
        <is>
          <t>Please select</t>
        </is>
      </c>
      <c r="F68" s="1961" t="n"/>
      <c r="G68" s="1961" t="n"/>
      <c r="H68" s="1961" t="n"/>
      <c r="I68" s="1961" t="n"/>
      <c r="J68" s="1961" t="n"/>
      <c r="K68" s="1961" t="n"/>
      <c r="L68" s="2107" t="n">
        <v>0</v>
      </c>
      <c r="M68" s="1781" t="n"/>
      <c r="N68" s="2107" t="n">
        <v>0</v>
      </c>
      <c r="O68" s="2108" t="inlineStr">
        <is>
          <t>D</t>
        </is>
      </c>
      <c r="P68" s="2107" t="n">
        <v>0</v>
      </c>
      <c r="Q68" s="2108" t="inlineStr">
        <is>
          <t>D</t>
        </is>
      </c>
      <c r="R68" s="1961" t="n"/>
      <c r="S68" s="1961" t="n"/>
      <c r="T68" s="1961" t="n"/>
      <c r="U68" s="1961" t="n"/>
      <c r="V68" s="1961" t="n"/>
      <c r="W68" s="1961" t="n"/>
      <c r="X68" s="1961" t="n"/>
      <c r="Y68" s="1961" t="n"/>
      <c r="Z68" s="1961" t="n"/>
      <c r="AA68" s="1961" t="n"/>
      <c r="AB68" s="1961" t="n"/>
      <c r="AC68" s="1961" t="n"/>
      <c r="AD68" s="1961" t="n"/>
      <c r="AE68" s="2111">
        <f>+Coastal!O118</f>
        <v/>
      </c>
      <c r="AF68" s="1961" t="n"/>
      <c r="AG68" s="2111">
        <f>+Coastal!P118</f>
        <v/>
      </c>
      <c r="AH68" s="1961" t="n"/>
      <c r="AI68" s="1806">
        <f>AG68-AE68</f>
        <v/>
      </c>
      <c r="AJ68" s="1781" t="n"/>
      <c r="BQ68" s="1782" t="n"/>
      <c r="BR68" s="1782">
        <f>'7.Coastal wetlands'!C68</f>
        <v/>
      </c>
      <c r="BS68" s="1782">
        <f>'7.Coastal wetlands'!E68</f>
        <v/>
      </c>
      <c r="BT68" s="4728">
        <f>'Fish and aqua'!O80</f>
        <v/>
      </c>
      <c r="BU68" s="4241" t="n"/>
      <c r="BV68" s="4728">
        <f>BT68</f>
        <v/>
      </c>
      <c r="BW68" s="4241" t="n"/>
      <c r="BX68" s="4728">
        <f>BV68</f>
        <v/>
      </c>
      <c r="BY68" s="4241" t="n"/>
      <c r="BZ68" s="2598" t="n"/>
      <c r="CA68" s="4728">
        <f>Coastal!F129</f>
        <v/>
      </c>
      <c r="CB68" s="1782" t="n"/>
      <c r="CC68" s="4241" t="n"/>
      <c r="CD68" s="1782" t="n"/>
      <c r="CE68" s="4241" t="n"/>
      <c r="CF68" s="1800" t="n"/>
      <c r="CG68" s="2598" t="n"/>
      <c r="CH68" s="1800" t="n"/>
      <c r="CI68" s="1800" t="n"/>
      <c r="CJ68" s="1800" t="n"/>
      <c r="CK68" s="1782" t="n"/>
      <c r="CM68" s="4401" t="n">
        <v>1</v>
      </c>
      <c r="CN68" s="4402" t="n"/>
      <c r="CO68" s="1997" t="n"/>
    </row>
    <row r="69">
      <c r="B69" s="1961" t="n"/>
      <c r="C69" s="2135" t="inlineStr">
        <is>
          <t>Please select</t>
        </is>
      </c>
      <c r="D69" s="1961" t="n"/>
      <c r="E69" s="4141" t="inlineStr">
        <is>
          <t>Please select</t>
        </is>
      </c>
      <c r="F69" s="1961" t="n"/>
      <c r="G69" s="1961" t="n"/>
      <c r="H69" s="1961" t="n"/>
      <c r="I69" s="1961" t="n"/>
      <c r="J69" s="1961" t="n"/>
      <c r="K69" s="1961" t="n"/>
      <c r="L69" s="2107" t="n">
        <v>0</v>
      </c>
      <c r="M69" s="1781" t="n"/>
      <c r="N69" s="2107" t="n">
        <v>0</v>
      </c>
      <c r="O69" s="2108" t="inlineStr">
        <is>
          <t>D</t>
        </is>
      </c>
      <c r="P69" s="2107" t="n">
        <v>0</v>
      </c>
      <c r="Q69" s="2108" t="inlineStr">
        <is>
          <t>D</t>
        </is>
      </c>
      <c r="R69" s="1961" t="n"/>
      <c r="S69" s="1961" t="n"/>
      <c r="T69" s="1961" t="n"/>
      <c r="U69" s="1961" t="n"/>
      <c r="V69" s="1961" t="n"/>
      <c r="W69" s="1961" t="n"/>
      <c r="X69" s="1961" t="n"/>
      <c r="Y69" s="1961" t="n"/>
      <c r="Z69" s="1961" t="n"/>
      <c r="AA69" s="1961" t="n"/>
      <c r="AB69" s="1961" t="n"/>
      <c r="AC69" s="1961" t="n"/>
      <c r="AD69" s="1961" t="n"/>
      <c r="AE69" s="2111">
        <f>+Coastal!O119</f>
        <v/>
      </c>
      <c r="AF69" s="1961" t="n"/>
      <c r="AG69" s="2111">
        <f>+Coastal!P119</f>
        <v/>
      </c>
      <c r="AH69" s="1961" t="n"/>
      <c r="AI69" s="1806">
        <f>AG69-AE69</f>
        <v/>
      </c>
      <c r="AJ69" s="1781" t="n"/>
      <c r="BQ69" s="1782" t="n"/>
      <c r="BR69" s="1782">
        <f>'7.Coastal wetlands'!C69</f>
        <v/>
      </c>
      <c r="BS69" s="1782">
        <f>'7.Coastal wetlands'!E69</f>
        <v/>
      </c>
      <c r="BT69" s="4728">
        <f>'Fish and aqua'!O81</f>
        <v/>
      </c>
      <c r="BU69" s="4241" t="n"/>
      <c r="BV69" s="4728">
        <f>BT69</f>
        <v/>
      </c>
      <c r="BW69" s="4241" t="n"/>
      <c r="BX69" s="4728">
        <f>BV69</f>
        <v/>
      </c>
      <c r="BY69" s="4241" t="n"/>
      <c r="BZ69" s="2598" t="n"/>
      <c r="CA69" s="4728">
        <f>Coastal!F130</f>
        <v/>
      </c>
      <c r="CB69" s="1782" t="n"/>
      <c r="CC69" s="4241" t="n"/>
      <c r="CD69" s="1782" t="n"/>
      <c r="CE69" s="4241" t="n"/>
      <c r="CF69" s="1800" t="n"/>
      <c r="CG69" s="2598" t="n"/>
      <c r="CH69" s="1800" t="n"/>
      <c r="CI69" s="1800" t="n"/>
      <c r="CJ69" s="1800" t="n"/>
      <c r="CK69" s="1782" t="n"/>
      <c r="CM69" s="4401" t="n">
        <v>1</v>
      </c>
      <c r="CN69" s="4402" t="n"/>
      <c r="CO69" s="1997" t="n"/>
    </row>
    <row r="70">
      <c r="B70" s="1961" t="n"/>
      <c r="C70" s="2135" t="inlineStr">
        <is>
          <t>Please select</t>
        </is>
      </c>
      <c r="D70" s="1961" t="n"/>
      <c r="E70" s="4141" t="inlineStr">
        <is>
          <t>Please select</t>
        </is>
      </c>
      <c r="F70" s="1961" t="n"/>
      <c r="G70" s="1961" t="n"/>
      <c r="H70" s="1961" t="n"/>
      <c r="I70" s="1961" t="n"/>
      <c r="J70" s="1961" t="n"/>
      <c r="K70" s="1961" t="n"/>
      <c r="L70" s="2107" t="n">
        <v>0</v>
      </c>
      <c r="M70" s="1781" t="n"/>
      <c r="N70" s="2107" t="n">
        <v>0</v>
      </c>
      <c r="O70" s="2108" t="inlineStr">
        <is>
          <t>D</t>
        </is>
      </c>
      <c r="P70" s="2107" t="n">
        <v>0</v>
      </c>
      <c r="Q70" s="2108" t="inlineStr">
        <is>
          <t>D</t>
        </is>
      </c>
      <c r="R70" s="1961" t="n"/>
      <c r="S70" s="1961" t="n"/>
      <c r="T70" s="1961" t="n"/>
      <c r="U70" s="1961" t="n"/>
      <c r="V70" s="1961" t="n"/>
      <c r="W70" s="1961" t="n"/>
      <c r="X70" s="1961" t="n"/>
      <c r="Y70" s="1961" t="n"/>
      <c r="Z70" s="1961" t="n"/>
      <c r="AA70" s="1961" t="n"/>
      <c r="AB70" s="1961" t="n"/>
      <c r="AC70" s="1961" t="n"/>
      <c r="AD70" s="1961" t="n"/>
      <c r="AE70" s="2111">
        <f>+Coastal!O120</f>
        <v/>
      </c>
      <c r="AF70" s="1961" t="n"/>
      <c r="AG70" s="2111">
        <f>+Coastal!P120</f>
        <v/>
      </c>
      <c r="AH70" s="1961" t="n"/>
      <c r="AI70" s="1806">
        <f>AG70-AE70</f>
        <v/>
      </c>
      <c r="AJ70" s="1781" t="n"/>
      <c r="BQ70" s="1782" t="n"/>
      <c r="BR70" s="1782">
        <f>'7.Coastal wetlands'!C70</f>
        <v/>
      </c>
      <c r="BS70" s="1782">
        <f>'7.Coastal wetlands'!E70</f>
        <v/>
      </c>
      <c r="BT70" s="4728">
        <f>'Fish and aqua'!O82</f>
        <v/>
      </c>
      <c r="BU70" s="4241" t="n"/>
      <c r="BV70" s="4728">
        <f>BT70</f>
        <v/>
      </c>
      <c r="BW70" s="4241" t="n"/>
      <c r="BX70" s="4728">
        <f>BV70</f>
        <v/>
      </c>
      <c r="BY70" s="4241" t="n"/>
      <c r="BZ70" s="2598" t="n"/>
      <c r="CA70" s="4728">
        <f>Coastal!F131</f>
        <v/>
      </c>
      <c r="CB70" s="1782" t="n"/>
      <c r="CC70" s="4241" t="n"/>
      <c r="CD70" s="1782" t="n"/>
      <c r="CE70" s="4241" t="n"/>
      <c r="CF70" s="1800" t="n"/>
      <c r="CG70" s="2598" t="n"/>
      <c r="CH70" s="1800" t="n"/>
      <c r="CI70" s="1800" t="n"/>
      <c r="CJ70" s="1800" t="n"/>
      <c r="CK70" s="1782" t="n"/>
      <c r="CM70" s="4401" t="n">
        <v>1</v>
      </c>
      <c r="CN70" s="4402" t="n"/>
      <c r="CO70" s="1997" t="n"/>
    </row>
    <row r="71" customFormat="1" s="1965">
      <c r="B71" s="4178" t="n"/>
      <c r="C71" s="4178" t="n"/>
      <c r="D71" s="4178" t="n"/>
      <c r="E71" s="4178" t="n"/>
      <c r="F71" s="4178" t="n"/>
      <c r="G71" s="4178" t="n"/>
      <c r="H71" s="4178" t="n"/>
      <c r="I71" s="4178" t="n"/>
      <c r="J71" s="4358" t="n"/>
      <c r="K71" s="4358">
        <f>Languages!B531</f>
        <v/>
      </c>
      <c r="L71" s="4359">
        <f>SUM(L65:L70)</f>
        <v/>
      </c>
      <c r="M71" s="4359" t="n"/>
      <c r="N71" s="4359">
        <f>SUM(N65:N70)</f>
        <v/>
      </c>
      <c r="O71" s="4359" t="n"/>
      <c r="P71" s="4359">
        <f>SUM(P65:P70)</f>
        <v/>
      </c>
      <c r="Q71" s="4178" t="n"/>
      <c r="R71" s="4178" t="n"/>
      <c r="S71" s="4178" t="n"/>
      <c r="T71" s="4178" t="n"/>
      <c r="U71" s="4178" t="n"/>
      <c r="V71" s="4178" t="n"/>
      <c r="W71" s="4178" t="n"/>
      <c r="X71" s="4178" t="n"/>
      <c r="Y71" s="4178" t="n"/>
      <c r="Z71" s="4178" t="n"/>
      <c r="AA71" s="4178" t="n"/>
      <c r="AB71" s="4178" t="n"/>
      <c r="AC71" s="4178" t="n"/>
      <c r="AD71" s="4178" t="n"/>
      <c r="AE71" s="4178" t="n"/>
      <c r="AF71" s="4178" t="n"/>
      <c r="AG71" s="4178" t="n"/>
      <c r="AH71" s="4178" t="n"/>
      <c r="AI71" s="4178" t="n"/>
      <c r="AJ71" s="1826" t="n"/>
      <c r="BQ71" s="1783" t="n"/>
      <c r="BR71" s="1783" t="n"/>
      <c r="BS71" s="1783" t="n"/>
      <c r="BT71" s="1783" t="n"/>
      <c r="BU71" s="4790" t="n"/>
      <c r="BV71" s="4181" t="n"/>
      <c r="BW71" s="4790" t="n"/>
      <c r="BX71" s="4181" t="n"/>
      <c r="BY71" s="4790" t="n"/>
      <c r="BZ71" s="4181" t="n"/>
      <c r="CA71" s="4181" t="n"/>
      <c r="CB71" s="4790" t="n"/>
      <c r="CC71" s="1783" t="n"/>
      <c r="CD71" s="4181" t="n"/>
      <c r="CE71" s="1783" t="n"/>
      <c r="CF71" s="4181" t="n"/>
      <c r="CG71" s="4181" t="n"/>
      <c r="CH71" s="1890" t="n"/>
      <c r="CI71" s="1890" t="n"/>
      <c r="CJ71" s="1890" t="n"/>
      <c r="CK71" s="1783" t="n"/>
      <c r="CM71" s="1997" t="n"/>
      <c r="CN71" s="1997" t="n"/>
      <c r="CO71" s="1997" t="n"/>
    </row>
    <row r="72" ht="15.75" customHeight="1">
      <c r="B72" s="1961" t="n"/>
      <c r="C72" s="1961" t="n"/>
      <c r="D72" s="1961" t="n"/>
      <c r="E72" s="1961" t="n"/>
      <c r="F72" s="1961" t="n"/>
      <c r="G72" s="1961" t="n"/>
      <c r="H72" s="1961" t="n"/>
      <c r="I72" s="1961" t="n"/>
      <c r="J72" s="1961" t="n"/>
      <c r="K72" s="1961" t="n"/>
      <c r="L72" s="4381">
        <f>IF(OR(L71&lt;&gt;N71, L71&lt;&gt;P71,N71&lt;&gt;P71), "Error - total area must remain constant", "")</f>
        <v/>
      </c>
      <c r="M72" s="4316" t="n"/>
      <c r="N72" s="1961" t="n"/>
      <c r="O72" s="1961" t="n"/>
      <c r="P72" s="1961" t="n"/>
      <c r="Q72" s="1961" t="n"/>
      <c r="R72" s="1961" t="n"/>
      <c r="S72" s="1961" t="n"/>
      <c r="T72" s="1961" t="n"/>
      <c r="U72" s="1961" t="n"/>
      <c r="V72" s="4180" t="n"/>
      <c r="W72" s="4180" t="n"/>
      <c r="X72" s="4180" t="n"/>
      <c r="Y72" s="4180" t="n"/>
      <c r="Z72" s="4180" t="n"/>
      <c r="AA72" s="4180" t="n"/>
      <c r="AB72" s="4180" t="n"/>
      <c r="AC72" s="4180" t="n"/>
      <c r="AD72" s="4180" t="n"/>
      <c r="AE72" s="1961" t="n"/>
      <c r="AF72" s="4180" t="n"/>
      <c r="AG72" s="1961" t="n"/>
      <c r="AH72" s="4180" t="n"/>
      <c r="AI72" s="4180" t="n"/>
      <c r="AJ72" s="1781" t="n"/>
      <c r="BQ72" s="1782" t="n"/>
      <c r="BR72" s="1782">
        <f>BR54</f>
        <v/>
      </c>
      <c r="BS72" s="1782" t="n"/>
      <c r="BT72" s="1782" t="n"/>
      <c r="BU72" s="1782" t="n"/>
      <c r="BV72" s="1782" t="n"/>
      <c r="BW72" s="1782" t="n"/>
      <c r="BX72" s="1782" t="n"/>
      <c r="BY72" s="1782" t="n"/>
      <c r="BZ72" s="1782" t="n"/>
      <c r="CA72" s="1782" t="n"/>
      <c r="CB72" s="1782" t="n"/>
      <c r="CC72" s="1782" t="n"/>
      <c r="CD72" s="1782" t="n"/>
      <c r="CE72" s="1782" t="n"/>
      <c r="CF72" s="1782" t="n"/>
      <c r="CG72" s="1782" t="n"/>
      <c r="CH72" s="1782" t="n"/>
      <c r="CI72" s="1782" t="n"/>
      <c r="CJ72" s="1782" t="n"/>
      <c r="CK72" s="1782" t="n"/>
      <c r="CM72" s="4548" t="inlineStr">
        <is>
          <t>Use this part only if you want to refine yearly GHG fluxes</t>
        </is>
      </c>
    </row>
    <row r="73">
      <c r="B73" s="1961" t="n"/>
      <c r="C73" s="1961" t="n"/>
      <c r="D73" s="1961" t="n"/>
      <c r="E73" s="1961" t="n"/>
      <c r="F73" s="1961" t="n"/>
      <c r="G73" s="1961" t="n"/>
      <c r="H73" s="1961" t="n"/>
      <c r="I73" s="1961" t="n"/>
      <c r="J73" s="1961" t="n"/>
      <c r="K73" s="1961" t="n"/>
      <c r="L73" s="1961" t="n"/>
      <c r="M73" s="1961" t="n"/>
      <c r="N73" s="1961" t="n"/>
      <c r="O73" s="1961" t="n"/>
      <c r="P73" s="1961" t="n"/>
      <c r="Q73" s="1961" t="n"/>
      <c r="R73" s="1961" t="n"/>
      <c r="S73" s="1961" t="n"/>
      <c r="T73" s="1961" t="n"/>
      <c r="U73" s="1961" t="n"/>
      <c r="V73" s="1961" t="n"/>
      <c r="W73" s="1961" t="n"/>
      <c r="X73" s="1961" t="n"/>
      <c r="Y73" s="1961" t="n"/>
      <c r="Z73" s="1961" t="n"/>
      <c r="AA73" s="1961" t="n"/>
      <c r="AB73" s="1907">
        <f>Languages!B532</f>
        <v/>
      </c>
      <c r="AC73" s="1961" t="n"/>
      <c r="AD73" s="1961" t="n"/>
      <c r="AE73" s="2039">
        <f>SUM(AE65:AE70)</f>
        <v/>
      </c>
      <c r="AF73" s="1961" t="n"/>
      <c r="AG73" s="2039">
        <f>SUM(AG65:AG70)</f>
        <v/>
      </c>
      <c r="AH73" s="1961" t="n"/>
      <c r="AI73" s="1780">
        <f>SUM(AI65:AI70)</f>
        <v/>
      </c>
      <c r="AJ73" s="1781" t="n"/>
      <c r="BQ73" s="1782" t="n"/>
      <c r="BR73" s="1782">
        <f>BR55</f>
        <v/>
      </c>
      <c r="BS73" s="1782" t="n"/>
      <c r="BT73" s="1782" t="n"/>
      <c r="BU73" s="1782" t="n"/>
      <c r="BV73" s="1782" t="n"/>
      <c r="BW73" s="1782" t="n"/>
      <c r="BX73" s="1782" t="n"/>
      <c r="BY73" s="1782" t="n"/>
      <c r="BZ73" s="1782" t="n"/>
      <c r="CA73" s="1782" t="n"/>
      <c r="CB73" s="1782" t="n"/>
      <c r="CC73" s="1782" t="n"/>
      <c r="CD73" s="1782" t="n"/>
      <c r="CE73" s="1782" t="n"/>
      <c r="CF73" s="1782" t="n"/>
      <c r="CG73" s="1782" t="n"/>
      <c r="CH73" s="1782" t="n"/>
      <c r="CI73" s="1782" t="n"/>
      <c r="CJ73" s="1782" t="n"/>
      <c r="CK73" s="1782" t="n"/>
    </row>
    <row r="74">
      <c r="B74" s="1961" t="n"/>
      <c r="C74" s="1961" t="n"/>
      <c r="D74" s="1961" t="n"/>
      <c r="E74" s="1961" t="n"/>
      <c r="F74" s="1961" t="n"/>
      <c r="G74" s="1961" t="n"/>
      <c r="H74" s="1961" t="n"/>
      <c r="I74" s="1961" t="n"/>
      <c r="J74" s="1961" t="n"/>
      <c r="K74" s="1961" t="n"/>
      <c r="L74" s="1961" t="n"/>
      <c r="M74" s="1961" t="n"/>
      <c r="N74" s="1961" t="n"/>
      <c r="O74" s="1961" t="n"/>
      <c r="P74" s="1961" t="n"/>
      <c r="Q74" s="1961" t="n"/>
      <c r="R74" s="1961" t="n"/>
      <c r="S74" s="1961" t="n"/>
      <c r="T74" s="1961" t="n"/>
      <c r="U74" s="1961" t="n"/>
      <c r="V74" s="1961" t="n"/>
      <c r="W74" s="1961" t="n"/>
      <c r="X74" s="1961" t="n"/>
      <c r="Y74" s="1961" t="n"/>
      <c r="Z74" s="1961" t="n"/>
      <c r="AA74" s="1961" t="n"/>
      <c r="AB74" s="1907" t="n"/>
      <c r="AC74" s="1961" t="n"/>
      <c r="AD74" s="1961" t="n"/>
      <c r="AE74" s="1843" t="n"/>
      <c r="AF74" s="1961" t="n"/>
      <c r="AG74" s="1843" t="n"/>
      <c r="AH74" s="1961" t="n"/>
      <c r="AI74" s="1780" t="n"/>
      <c r="AJ74" s="1781" t="n"/>
      <c r="BQ74" s="1782" t="n"/>
      <c r="BR74" s="1782" t="n"/>
      <c r="BS74" s="1782" t="n"/>
      <c r="BT74" s="1782" t="n"/>
      <c r="BU74" s="1782" t="n"/>
      <c r="BV74" s="1782" t="n"/>
      <c r="BW74" s="1782" t="n"/>
      <c r="BX74" s="1782" t="n"/>
      <c r="BY74" s="1782" t="n"/>
      <c r="BZ74" s="1782" t="n"/>
      <c r="CA74" s="1782" t="n"/>
      <c r="CB74" s="1782" t="n"/>
      <c r="CC74" s="1782" t="n"/>
      <c r="CD74" s="1782" t="n"/>
      <c r="CE74" s="1782" t="n"/>
      <c r="CF74" s="1782" t="n"/>
      <c r="CG74" s="1782" t="n"/>
      <c r="CH74" s="1782" t="n"/>
      <c r="CI74" s="1782" t="n"/>
      <c r="CJ74" s="1782" t="n"/>
      <c r="CK74" s="1782" t="n"/>
    </row>
    <row r="75">
      <c r="B75" s="1961" t="n"/>
      <c r="C75" s="1961">
        <f>C55</f>
        <v/>
      </c>
      <c r="D75" s="1961" t="n"/>
      <c r="E75" s="1961" t="n"/>
      <c r="F75" s="1961" t="n"/>
      <c r="G75" s="1961" t="n"/>
      <c r="H75" s="1961" t="n"/>
      <c r="I75" s="1961" t="n"/>
      <c r="J75" s="1961" t="n"/>
      <c r="K75" s="1961" t="n"/>
      <c r="L75" s="1961" t="n"/>
      <c r="M75" s="1961" t="n"/>
      <c r="N75" s="1961" t="n"/>
      <c r="O75" s="1961" t="n"/>
      <c r="P75" s="1961" t="n"/>
      <c r="Q75" s="1961" t="n"/>
      <c r="R75" s="1961" t="n"/>
      <c r="S75" s="1961" t="n"/>
      <c r="T75" s="1961" t="n"/>
      <c r="U75" s="1961" t="n"/>
      <c r="V75" s="1961" t="n"/>
      <c r="W75" s="1961" t="n"/>
      <c r="X75" s="1961" t="n"/>
      <c r="Y75" s="1961" t="n"/>
      <c r="Z75" s="1961" t="n"/>
      <c r="AA75" s="1961" t="n"/>
      <c r="AB75" s="1961" t="n"/>
      <c r="AC75" s="1961" t="n"/>
      <c r="AD75" s="1961" t="n"/>
      <c r="AE75" s="1961" t="n"/>
      <c r="AF75" s="1961" t="n"/>
      <c r="AG75" s="1961" t="n"/>
      <c r="AH75" s="1961" t="n"/>
      <c r="AI75" s="1961" t="n"/>
      <c r="AJ75" s="1781" t="n"/>
    </row>
    <row r="100" ht="45" customHeight="1"/>
    <row r="101" ht="5.25" customHeight="1"/>
  </sheetData>
  <sheetProtection selectLockedCells="0" selectUnlockedCells="0" algorithmName="SHA-512" sheet="1" objects="0" insertRows="1" insertHyperlinks="1" autoFilter="1" scenarios="0" formatColumns="0" deleteColumns="1" insertColumns="1" pivotTables="1" deleteRows="1" formatCells="1" saltValue="iWWhTmdlotJ/CIf4JgNZXQ==" formatRows="1" sort="1" spinCount="100000" hashValue="BsNkEtkUOayS8vWHV72R/npX3ANCRc4PkRaib5P4BL/hTOuRk2nDviggZStEzmy7ptFwKM706NJBYOFKh2qDgg=="/>
  <mergeCells count="4">
    <mergeCell ref="CM53:CO55"/>
    <mergeCell ref="CM18:CO20"/>
    <mergeCell ref="CM72:CO74"/>
    <mergeCell ref="CM36:CO38"/>
  </mergeCells>
  <conditionalFormatting sqref="E60">
    <cfRule type="expression" priority="548">
      <formula>IF(SUM($M$13:$N$18,$P$13:$P$18,$N$45:$N$50,$P$45:$P$50,$N$78:$N$83,$P$78:$P$83,$M$116:$M$121,$M$146:$N$151,$P$146:$P$151,$M$172:$N$175)&gt;0,)</formula>
    </cfRule>
  </conditionalFormatting>
  <pageMargins left="0.7" right="0.7" top="0.75" bottom="0.75" header="0.3" footer="0.3"/>
  <pageSetup orientation="portrait"/>
</worksheet>
</file>

<file path=xl/worksheets/sheet23.xml><?xml version="1.0" encoding="utf-8"?>
<worksheet xmlns="http://schemas.openxmlformats.org/spreadsheetml/2006/main">
  <sheetPr codeName="Sheet26">
    <outlinePr summaryBelow="1" summaryRight="1"/>
    <pageSetUpPr/>
  </sheetPr>
  <dimension ref="A3:BS131"/>
  <sheetViews>
    <sheetView topLeftCell="A89" zoomScale="115" zoomScaleNormal="115" workbookViewId="0">
      <selection activeCell="D95" sqref="D95"/>
    </sheetView>
  </sheetViews>
  <sheetFormatPr baseColWidth="10" defaultColWidth="9.33203125" defaultRowHeight="13"/>
  <cols>
    <col width="9.33203125" customWidth="1" style="2192" min="1" max="1"/>
    <col width="24.5" customWidth="1" style="2192" min="2" max="2"/>
    <col width="15.5" customWidth="1" style="2192" min="3" max="3"/>
    <col width="9.33203125" customWidth="1" style="2192" min="4" max="4"/>
    <col width="10.5" bestFit="1" customWidth="1" style="2192" min="5" max="5"/>
    <col width="9.33203125" customWidth="1" style="2192" min="6" max="11"/>
    <col width="10" bestFit="1" customWidth="1" style="2192" min="12" max="12"/>
    <col width="9.33203125" customWidth="1" style="2192" min="13" max="14"/>
    <col width="10.5" bestFit="1" customWidth="1" style="2192" min="15" max="16"/>
    <col width="9.5" bestFit="1" customWidth="1" style="2192" min="17" max="17"/>
    <col width="25.5" customWidth="1" style="2192" min="18" max="18"/>
    <col width="9.33203125" customWidth="1" style="2192" min="19" max="20"/>
    <col width="14.5" customWidth="1" style="2192" min="21" max="21"/>
    <col width="12.5" customWidth="1" style="2192" min="22" max="22"/>
    <col width="9.33203125" customWidth="1" style="2192" min="23" max="23"/>
    <col width="10.5" customWidth="1" style="2192" min="24" max="24"/>
    <col width="9.33203125" customWidth="1" style="2192" min="25" max="25"/>
    <col width="23.5" customWidth="1" style="2192" min="26" max="26"/>
    <col width="11" customWidth="1" style="2192" min="27" max="27"/>
    <col width="12.5" customWidth="1" style="2192" min="28" max="28"/>
    <col width="11.6640625" customWidth="1" style="2192" min="29" max="29"/>
    <col width="9.33203125" customWidth="1" style="2192" min="30" max="16384"/>
  </cols>
  <sheetData>
    <row r="3" ht="45" customHeight="1">
      <c r="A3" s="2191" t="n"/>
      <c r="B3" s="2264" t="inlineStr">
        <is>
          <t>Extraction and excavation</t>
        </is>
      </c>
      <c r="C3" s="2191" t="n"/>
      <c r="D3" s="2191" t="n"/>
      <c r="E3" s="2191" t="n"/>
      <c r="F3" s="2191" t="n"/>
      <c r="G3" s="2191" t="n"/>
      <c r="H3" s="2191" t="n"/>
      <c r="I3" s="2191" t="n"/>
      <c r="J3" s="2191" t="n"/>
      <c r="K3" s="2191" t="n"/>
      <c r="L3" s="2191" t="n"/>
      <c r="M3" s="2191" t="n"/>
      <c r="N3" s="2191" t="n"/>
      <c r="O3" s="2191" t="n"/>
      <c r="P3" s="2191" t="n"/>
      <c r="Q3" s="2191" t="n"/>
      <c r="R3" s="2191" t="n"/>
      <c r="S3" s="2191" t="n"/>
      <c r="T3" s="2191" t="n"/>
      <c r="U3" s="2191" t="n"/>
      <c r="V3" s="2191" t="n"/>
      <c r="W3" s="2191" t="n"/>
      <c r="X3" s="2191" t="n"/>
      <c r="Y3" s="2191" t="n"/>
      <c r="Z3" s="2191" t="n"/>
      <c r="AA3" s="2191" t="n"/>
      <c r="AB3" s="2191" t="n"/>
      <c r="AC3" s="2191" t="n"/>
    </row>
    <row r="5">
      <c r="U5" s="2193" t="inlineStr">
        <is>
          <t>GHG PER SCENARIO</t>
        </is>
      </c>
      <c r="V5" s="2194" t="n"/>
      <c r="W5" s="2194" t="n"/>
      <c r="Z5" s="2193" t="inlineStr">
        <is>
          <t>TOTAL BALANCE</t>
        </is>
      </c>
      <c r="AA5" s="2194" t="n"/>
      <c r="AB5" s="2194" t="n"/>
      <c r="AC5" s="2194" t="n"/>
    </row>
    <row r="6">
      <c r="E6" s="2195" t="inlineStr">
        <is>
          <t>AGB (tC/ha)</t>
        </is>
      </c>
      <c r="F6" s="2195" t="n"/>
      <c r="G6" s="2195" t="inlineStr">
        <is>
          <t>BGB (tC/ha)</t>
        </is>
      </c>
      <c r="H6" s="2195" t="n"/>
      <c r="I6" s="2195" t="inlineStr">
        <is>
          <t>Litter (tC/ha)</t>
        </is>
      </c>
      <c r="J6" s="2195" t="n"/>
      <c r="K6" s="2195" t="inlineStr">
        <is>
          <t>Deadwood</t>
        </is>
      </c>
      <c r="M6" s="2195" t="inlineStr">
        <is>
          <t>Soil (1 m depth)</t>
        </is>
      </c>
      <c r="O6" s="2195" t="inlineStr">
        <is>
          <t>%C lost after excavation</t>
        </is>
      </c>
    </row>
    <row r="7">
      <c r="B7" s="2195" t="inlineStr">
        <is>
          <t>Type of vegetation</t>
        </is>
      </c>
      <c r="C7" s="2195" t="inlineStr">
        <is>
          <t>Soil type</t>
        </is>
      </c>
      <c r="E7" s="1661" t="inlineStr">
        <is>
          <t>IPCC</t>
        </is>
      </c>
      <c r="F7" s="1661" t="inlineStr">
        <is>
          <t>Tier 2</t>
        </is>
      </c>
      <c r="G7" s="1661" t="inlineStr">
        <is>
          <t>IPCC</t>
        </is>
      </c>
      <c r="H7" s="1661" t="inlineStr">
        <is>
          <t>Tier 2</t>
        </is>
      </c>
      <c r="I7" s="1661" t="inlineStr">
        <is>
          <t>IPCC</t>
        </is>
      </c>
      <c r="J7" s="1661" t="inlineStr">
        <is>
          <t>Tier 2</t>
        </is>
      </c>
      <c r="K7" s="1661" t="inlineStr">
        <is>
          <t>IPCC</t>
        </is>
      </c>
      <c r="L7" s="1661" t="inlineStr">
        <is>
          <t>Tier 2</t>
        </is>
      </c>
      <c r="M7" s="1661" t="inlineStr">
        <is>
          <t>IPCC</t>
        </is>
      </c>
      <c r="N7" s="1661" t="inlineStr">
        <is>
          <t>Tier 2</t>
        </is>
      </c>
      <c r="O7" s="1661" t="inlineStr">
        <is>
          <t>IPCC</t>
        </is>
      </c>
      <c r="P7" s="1661" t="inlineStr">
        <is>
          <t>Tier 2</t>
        </is>
      </c>
      <c r="U7" s="2196" t="inlineStr">
        <is>
          <t>CATEGORIES</t>
        </is>
      </c>
      <c r="V7" s="2197" t="inlineStr">
        <is>
          <t>WITHOUT</t>
        </is>
      </c>
      <c r="W7" s="2197" t="inlineStr">
        <is>
          <t>WITH</t>
        </is>
      </c>
      <c r="X7" s="2197" t="inlineStr">
        <is>
          <t>difference</t>
        </is>
      </c>
      <c r="Z7" s="2196" t="inlineStr">
        <is>
          <t>CATEGORIES</t>
        </is>
      </c>
      <c r="AA7" s="2197" t="inlineStr">
        <is>
          <t>BALANCE</t>
        </is>
      </c>
      <c r="AB7" s="2197" t="inlineStr">
        <is>
          <t>IMPLEM.</t>
        </is>
      </c>
      <c r="AC7" s="2198" t="inlineStr">
        <is>
          <t>CAPITAL.</t>
        </is>
      </c>
    </row>
    <row r="8">
      <c r="B8" s="2192">
        <f>'7.Coastal wetlands'!C11</f>
        <v/>
      </c>
      <c r="C8" s="2192">
        <f>IF('7.Coastal wetlands'!CE11="Tier 1a","Mineral",'7.Coastal wetlands'!CC11)</f>
        <v/>
      </c>
      <c r="E8" s="4791">
        <f>IFERROR(INDEX(IPCC!$A$2093:$D$2104,MATCH(clim_moist,IPCC!$A$2093:$A$2104,0),MATCH(Coastal!$B8,IPCC!$A$2093:$D$2093,0)),0)*0.451</f>
        <v/>
      </c>
      <c r="F8" s="4792">
        <f>IF('7.Coastal wetlands'!BU11="",'7.Coastal wetlands'!BT11,'7.Coastal wetlands'!BU11)</f>
        <v/>
      </c>
      <c r="G8" s="4791">
        <f>IFERROR(INDEX(IPCC!$A$2111:$D$2122,MATCH(clim_moist,IPCC!$A$2111:$A$2122,0),MATCH(Coastal!$B8,IPCC!$A$2111:$D$2111,0)),0)*E8</f>
        <v/>
      </c>
      <c r="H8" s="4792">
        <f>IF('7.Coastal wetlands'!BW11="",'7.Coastal wetlands'!BV11,'7.Coastal wetlands'!BW11)</f>
        <v/>
      </c>
      <c r="I8" s="4791">
        <f>IFERROR(INDEX(IPCC!$A$2128:$D$2139,MATCH(clim_moist,IPCC!$A$2128:$A$2139,0),MATCH(Coastal!$B8,IPCC!$A$2128:$D$2128,0)),0)</f>
        <v/>
      </c>
      <c r="J8" s="4792">
        <f>IF('7.Coastal wetlands'!BY11="",'7.Coastal wetlands'!BX11,'7.Coastal wetlands'!BY11)</f>
        <v/>
      </c>
      <c r="K8" s="4791">
        <f>IFERROR(INDEX(IPCC!$A$2145:$D$2156,MATCH(clim_moist,IPCC!$A$2145:$A$2156,0),MATCH(Coastal!$B8,IPCC!$A$2145:$D$2145,0)),0)</f>
        <v/>
      </c>
      <c r="L8" s="4792">
        <f>IF('7.Coastal wetlands'!CA11="",'7.Coastal wetlands'!BZ11,'7.Coastal wetlands'!CA11)</f>
        <v/>
      </c>
      <c r="M8" s="2201">
        <f>IFERROR(IF(AND(B8="Mangrove",'7.Coastal wetlands'!CE11=list!$D$254),INDEX(Atwood!$A$2:$G$85,MATCH(country_selected,Atwood!$A$2:$A$85,"NA"),MATCH(Atwood!$E$2,Atwood!$A$2:$G$2,0)),IF($C8=list!$B$262,INDEX(IPCC!$A$2162:$D$2173,MATCH(clim_moist,IPCC!$A$2162:$A$2173,0),MATCH(Coastal!$B8,IPCC!$A$2162:$D$2162,0)),IF($C8=list!$B$263,INDEX(IPCC!$A$2179:$D$2190,MATCH(clim_moist,IPCC!$A$2179:$A$2190,0),MATCH(Coastal!$B8,IPCC!$A$2179:$D$2179,0)),IF($C8=list!$B$264,INDEX(IPCC!$A$2196:$D$2207,MATCH(clim_moist,IPCC!$A$2196:$A$2207,0),MATCH(Coastal!$B8,IPCC!$A$2196:$D$2196,0)),0)))),0)</f>
        <v/>
      </c>
      <c r="N8" s="2202">
        <f>IF('7.Coastal wetlands'!CG11="",'7.Coastal wetlands'!CF11,'7.Coastal wetlands'!CG11)</f>
        <v/>
      </c>
      <c r="O8" s="2203" t="n">
        <v>0.96</v>
      </c>
      <c r="P8" s="2204">
        <f>IF('7.Coastal wetlands'!CJ11="",'7.Coastal wetlands'!CI11,'7.Coastal wetlands'!CJ11)</f>
        <v/>
      </c>
      <c r="U8" s="2207" t="inlineStr">
        <is>
          <t>Total Biomass</t>
        </is>
      </c>
      <c r="V8" s="2208">
        <f>SUMPRODUCT($J$17:$J$22,F17:F22)</f>
        <v/>
      </c>
      <c r="W8" s="2208">
        <f>SUMPRODUCT($J$17:$J$22,G17:G22)</f>
        <v/>
      </c>
      <c r="X8" s="2208">
        <f>W8-V8</f>
        <v/>
      </c>
      <c r="Z8" s="2207">
        <f>U8</f>
        <v/>
      </c>
      <c r="AA8" s="2208">
        <f>SUMPRODUCT($J$17:$J$22,$G$17:$G$22)-SUMPRODUCT($J$17:$J$22,$F$17:$F$22)</f>
        <v/>
      </c>
      <c r="AB8" s="2208">
        <f>IF(time=0,0,W8-V8)</f>
        <v/>
      </c>
      <c r="AC8" s="2210">
        <f>AA8-AB8</f>
        <v/>
      </c>
    </row>
    <row r="9">
      <c r="B9" s="2192">
        <f>'7.Coastal wetlands'!C12</f>
        <v/>
      </c>
      <c r="C9" s="2192">
        <f>IF('7.Coastal wetlands'!CE12="Tier 1a","Mineral",'7.Coastal wetlands'!CC12)</f>
        <v/>
      </c>
      <c r="E9" s="4791">
        <f>IFERROR(INDEX(IPCC!$A$2093:$D$2104,MATCH(clim_moist,IPCC!$A$2093:$A$2104,0),MATCH(Coastal!$B9,IPCC!$A$2093:$D$2093,0)),0)*0.451</f>
        <v/>
      </c>
      <c r="F9" s="4792">
        <f>IF('7.Coastal wetlands'!BU12="",'7.Coastal wetlands'!BT12,'7.Coastal wetlands'!BU12)</f>
        <v/>
      </c>
      <c r="G9" s="4791">
        <f>IFERROR(INDEX(IPCC!$A$2111:$D$2122,MATCH(clim_moist,IPCC!$A$2111:$A$2122,0),MATCH(Coastal!$B9,IPCC!$A$2111:$D$2111,0)),0)*E9</f>
        <v/>
      </c>
      <c r="H9" s="4792">
        <f>IF('7.Coastal wetlands'!BW12="",'7.Coastal wetlands'!BV12,'7.Coastal wetlands'!BW12)</f>
        <v/>
      </c>
      <c r="I9" s="4791">
        <f>IFERROR(INDEX(IPCC!$A$2128:$D$2139,MATCH(clim_moist,IPCC!$A$2128:$A$2139,0),MATCH(Coastal!$B9,IPCC!$A$2128:$D$2128,0)),0)</f>
        <v/>
      </c>
      <c r="J9" s="4792">
        <f>IF('7.Coastal wetlands'!BY12="",'7.Coastal wetlands'!BX12,'7.Coastal wetlands'!BY12)</f>
        <v/>
      </c>
      <c r="K9" s="4791">
        <f>IFERROR(INDEX(IPCC!$A$2145:$D$2156,MATCH(clim_moist,IPCC!$A$2145:$A$2156,0),MATCH(Coastal!$B9,IPCC!$A$2145:$D$2145,0)),0)</f>
        <v/>
      </c>
      <c r="L9" s="4792">
        <f>IF('7.Coastal wetlands'!CA12="",'7.Coastal wetlands'!BZ12,'7.Coastal wetlands'!CA12)</f>
        <v/>
      </c>
      <c r="M9" s="2201">
        <f>IFERROR(IF(AND(B9="Mangrove",'7.Coastal wetlands'!CE12=list!$D$254),INDEX(Atwood!$A$2:$G$85,MATCH(country_selected,Atwood!$A$2:$A$85,0),MATCH(Atwood!$E$2,Atwood!$A$2:$G$2,0)),IF($C9=list!$B$262,INDEX(IPCC!$A$2162:$D$2173,MATCH(clim_moist,IPCC!$A$2162:$A$2173,0),MATCH(Coastal!$B9,IPCC!$A$2162:$D$2162,0)),IF($C9=list!$B$263,INDEX(IPCC!$A$2179:$D$2190,MATCH(clim_moist,IPCC!$A$2179:$A$2190,0),MATCH(Coastal!$B9,IPCC!$A$2179:$D$2179,0)),IF($C9=list!$B$264,INDEX(IPCC!$A$2196:$D$2207,MATCH(clim_moist,IPCC!$A$2196:$A$2207,0),MATCH(Coastal!$B9,IPCC!$A$2196:$D$2196,0)),0)))),0)</f>
        <v/>
      </c>
      <c r="N9" s="2202">
        <f>IF('7.Coastal wetlands'!CG12="",'7.Coastal wetlands'!CF12,'7.Coastal wetlands'!CG12)</f>
        <v/>
      </c>
      <c r="O9" s="2203" t="n">
        <v>0.96</v>
      </c>
      <c r="P9" s="2204">
        <f>IF('7.Coastal wetlands'!CJ12="",'7.Coastal wetlands'!CI12,'7.Coastal wetlands'!CJ12)</f>
        <v/>
      </c>
      <c r="U9" s="2207" t="inlineStr">
        <is>
          <t>Total soil</t>
        </is>
      </c>
      <c r="V9" s="2208">
        <f>SUMPRODUCT($M$17:$M$22,F17:F22)</f>
        <v/>
      </c>
      <c r="W9" s="2208">
        <f>SUMPRODUCT($M$17:$M$22,G17:G22)</f>
        <v/>
      </c>
      <c r="X9" s="2208">
        <f>W9-V9</f>
        <v/>
      </c>
      <c r="Z9" s="2207">
        <f>U9</f>
        <v/>
      </c>
      <c r="AA9" s="2208">
        <f>SUMPRODUCT($M$17:$M$22,$G$17:$G$22)-SUMPRODUCT($M$17:$M$22,$F$17:$F$22)</f>
        <v/>
      </c>
      <c r="AB9" s="2208">
        <f>IF(time=0,0,W9-V9)</f>
        <v/>
      </c>
      <c r="AC9" s="2211" t="n">
        <v>0</v>
      </c>
    </row>
    <row r="10">
      <c r="B10" s="2192">
        <f>'7.Coastal wetlands'!C13</f>
        <v/>
      </c>
      <c r="C10" s="2192">
        <f>IF('7.Coastal wetlands'!CE13="Tier 1a","Mineral",'7.Coastal wetlands'!CC13)</f>
        <v/>
      </c>
      <c r="E10" s="4791">
        <f>IFERROR(INDEX(IPCC!$A$2093:$D$2104,MATCH(clim_moist,IPCC!$A$2093:$A$2104,0),MATCH(Coastal!$B10,IPCC!$A$2093:$D$2093,0)),0)*0.451</f>
        <v/>
      </c>
      <c r="F10" s="4792">
        <f>IF('7.Coastal wetlands'!BU13="",'7.Coastal wetlands'!BT13,'7.Coastal wetlands'!BU13)</f>
        <v/>
      </c>
      <c r="G10" s="4791">
        <f>IFERROR(INDEX(IPCC!$A$2111:$D$2122,MATCH(clim_moist,IPCC!$A$2111:$A$2122,0),MATCH(Coastal!$B10,IPCC!$A$2111:$D$2111,0)),0)*E10</f>
        <v/>
      </c>
      <c r="H10" s="4792">
        <f>IF('7.Coastal wetlands'!BW13="",'7.Coastal wetlands'!BV13,'7.Coastal wetlands'!BW13)</f>
        <v/>
      </c>
      <c r="I10" s="4791">
        <f>IFERROR(INDEX(IPCC!$A$2128:$D$2139,MATCH(clim_moist,IPCC!$A$2128:$A$2139,0),MATCH(Coastal!$B10,IPCC!$A$2128:$D$2128,0)),0)</f>
        <v/>
      </c>
      <c r="J10" s="4792">
        <f>IF('7.Coastal wetlands'!BY13="",'7.Coastal wetlands'!BX13,'7.Coastal wetlands'!BY13)</f>
        <v/>
      </c>
      <c r="K10" s="4791">
        <f>IFERROR(INDEX(IPCC!$A$2145:$D$2156,MATCH(clim_moist,IPCC!$A$2145:$A$2156,0),MATCH(Coastal!$B10,IPCC!$A$2145:$D$2145,0)),0)</f>
        <v/>
      </c>
      <c r="L10" s="4792">
        <f>IF('7.Coastal wetlands'!CA13="",'7.Coastal wetlands'!BZ13,'7.Coastal wetlands'!CA13)</f>
        <v/>
      </c>
      <c r="M10" s="2201">
        <f>IFERROR(IF(AND(B10="Mangrove",'7.Coastal wetlands'!CE13=list!$D$254),INDEX(Atwood!$A$2:$G$85,MATCH(country_selected,Atwood!$A$2:$A$85,0),MATCH(Atwood!$E$2,Atwood!$A$2:$G$2,0)),IF($C10=list!$B$262,INDEX(IPCC!$A$2162:$D$2173,MATCH(clim_moist,IPCC!$A$2162:$A$2173,0),MATCH(Coastal!$B10,IPCC!$A$2162:$D$2162,0)),IF($C10=list!$B$263,INDEX(IPCC!$A$2179:$D$2190,MATCH(clim_moist,IPCC!$A$2179:$A$2190,0),MATCH(Coastal!$B10,IPCC!$A$2179:$D$2179,0)),IF($C10=list!$B$264,INDEX(IPCC!$A$2196:$D$2207,MATCH(clim_moist,IPCC!$A$2196:$A$2207,0),MATCH(Coastal!$B10,IPCC!$A$2196:$D$2196,0)),0)))),0)</f>
        <v/>
      </c>
      <c r="N10" s="2202">
        <f>IF('7.Coastal wetlands'!CG13="",'7.Coastal wetlands'!CF13,'7.Coastal wetlands'!CG13)</f>
        <v/>
      </c>
      <c r="O10" s="2203" t="n">
        <v>0.96</v>
      </c>
      <c r="P10" s="2204">
        <f>IF('7.Coastal wetlands'!CJ13="",'7.Coastal wetlands'!CI13,'7.Coastal wetlands'!CJ13)</f>
        <v/>
      </c>
      <c r="U10" s="2212" t="inlineStr">
        <is>
          <t>TOTAL (tCO2-eq)</t>
        </is>
      </c>
      <c r="V10" s="2213">
        <f>SUM(V8:V9)</f>
        <v/>
      </c>
      <c r="W10" s="2213">
        <f>SUM(W8:W9)</f>
        <v/>
      </c>
      <c r="X10" s="2213">
        <f>W10-V10</f>
        <v/>
      </c>
      <c r="Z10" s="2212" t="inlineStr">
        <is>
          <t>TOTAL (tCO2-eq)</t>
        </is>
      </c>
      <c r="AA10" s="2214">
        <f>SUM(AA8:AA9)</f>
        <v/>
      </c>
      <c r="AB10" s="2214">
        <f>SUM(AB8:AB9)</f>
        <v/>
      </c>
      <c r="AC10" s="2214">
        <f>SUM(AC8:AC9)</f>
        <v/>
      </c>
    </row>
    <row r="11">
      <c r="B11" s="2192">
        <f>'7.Coastal wetlands'!C14</f>
        <v/>
      </c>
      <c r="C11" s="2192">
        <f>IF('7.Coastal wetlands'!CE14="Tier 1a","Mineral",'7.Coastal wetlands'!CC14)</f>
        <v/>
      </c>
      <c r="E11" s="4791">
        <f>IFERROR(INDEX(IPCC!$A$2093:$D$2104,MATCH(clim_moist,IPCC!$A$2093:$A$2104,0),MATCH(Coastal!$B11,IPCC!$A$2093:$D$2093,0)),0)*0.451</f>
        <v/>
      </c>
      <c r="F11" s="4792">
        <f>IF('7.Coastal wetlands'!BU14="",'7.Coastal wetlands'!BT14,'7.Coastal wetlands'!BU14)</f>
        <v/>
      </c>
      <c r="G11" s="4791">
        <f>IFERROR(INDEX(IPCC!$A$2111:$D$2122,MATCH(clim_moist,IPCC!$A$2111:$A$2122,0),MATCH(Coastal!$B11,IPCC!$A$2111:$D$2111,0)),0)*E11</f>
        <v/>
      </c>
      <c r="H11" s="4792">
        <f>IF('7.Coastal wetlands'!BW14="",'7.Coastal wetlands'!BV14,'7.Coastal wetlands'!BW14)</f>
        <v/>
      </c>
      <c r="I11" s="4791">
        <f>IFERROR(INDEX(IPCC!$A$2128:$D$2139,MATCH(clim_moist,IPCC!$A$2128:$A$2139,0),MATCH(Coastal!$B11,IPCC!$A$2128:$D$2128,0)),0)</f>
        <v/>
      </c>
      <c r="J11" s="4792">
        <f>IF('7.Coastal wetlands'!BY14="",'7.Coastal wetlands'!BX14,'7.Coastal wetlands'!BY14)</f>
        <v/>
      </c>
      <c r="K11" s="4791">
        <f>IFERROR(INDEX(IPCC!$A$2145:$D$2156,MATCH(clim_moist,IPCC!$A$2145:$A$2156,0),MATCH(Coastal!$B11,IPCC!$A$2145:$D$2145,0)),0)</f>
        <v/>
      </c>
      <c r="L11" s="4792">
        <f>IF('7.Coastal wetlands'!CA14="",'7.Coastal wetlands'!BZ14,'7.Coastal wetlands'!CA14)</f>
        <v/>
      </c>
      <c r="M11" s="2201">
        <f>IFERROR(IF(AND(B11="Mangrove",'7.Coastal wetlands'!CE14=list!$D$254),INDEX(Atwood!$A$2:$G$85,MATCH(country_selected,Atwood!$A$2:$A$85,0),MATCH(Atwood!$E$2,Atwood!$A$2:$G$2,0)),IF($C11=list!$B$262,INDEX(IPCC!$A$2162:$D$2173,MATCH(clim_moist,IPCC!$A$2162:$A$2173,0),MATCH(Coastal!$B11,IPCC!$A$2162:$D$2162,0)),IF($C11=list!$B$263,INDEX(IPCC!$A$2179:$D$2190,MATCH(clim_moist,IPCC!$A$2179:$A$2190,0),MATCH(Coastal!$B11,IPCC!$A$2179:$D$2179,0)),IF($C11=list!$B$264,INDEX(IPCC!$A$2196:$D$2207,MATCH(clim_moist,IPCC!$A$2196:$A$2207,0),MATCH(Coastal!$B11,IPCC!$A$2196:$D$2196,0)),0)))),0)</f>
        <v/>
      </c>
      <c r="N11" s="2202">
        <f>IF('7.Coastal wetlands'!CG14="",'7.Coastal wetlands'!CF14,'7.Coastal wetlands'!CG14)</f>
        <v/>
      </c>
      <c r="O11" s="2203" t="n">
        <v>0.96</v>
      </c>
      <c r="P11" s="2204">
        <f>IF('7.Coastal wetlands'!CJ14="",'7.Coastal wetlands'!CI14,'7.Coastal wetlands'!CJ14)</f>
        <v/>
      </c>
    </row>
    <row r="12">
      <c r="B12" s="2192">
        <f>'7.Coastal wetlands'!C15</f>
        <v/>
      </c>
      <c r="C12" s="2192">
        <f>IF('7.Coastal wetlands'!CE15="Tier 1a","Mineral",'7.Coastal wetlands'!CC15)</f>
        <v/>
      </c>
      <c r="E12" s="4791">
        <f>IFERROR(INDEX(IPCC!$A$2093:$D$2104,MATCH(clim_moist,IPCC!$A$2093:$A$2104,0),MATCH(Coastal!$B12,IPCC!$A$2093:$D$2093,0)),0)*0.451</f>
        <v/>
      </c>
      <c r="F12" s="4792">
        <f>IF('7.Coastal wetlands'!BU15="",'7.Coastal wetlands'!BT15,'7.Coastal wetlands'!BU15)</f>
        <v/>
      </c>
      <c r="G12" s="4791">
        <f>IFERROR(INDEX(IPCC!$A$2111:$D$2122,MATCH(clim_moist,IPCC!$A$2111:$A$2122,0),MATCH(Coastal!$B12,IPCC!$A$2111:$D$2111,0)),0)*E12</f>
        <v/>
      </c>
      <c r="H12" s="4792">
        <f>IF('7.Coastal wetlands'!BW15="",'7.Coastal wetlands'!BV15,'7.Coastal wetlands'!BW15)</f>
        <v/>
      </c>
      <c r="I12" s="4791">
        <f>IFERROR(INDEX(IPCC!$A$2128:$D$2139,MATCH(clim_moist,IPCC!$A$2128:$A$2139,0),MATCH(Coastal!$B12,IPCC!$A$2128:$D$2128,0)),0)</f>
        <v/>
      </c>
      <c r="J12" s="4792">
        <f>IF('7.Coastal wetlands'!BY15="",'7.Coastal wetlands'!BX15,'7.Coastal wetlands'!BY15)</f>
        <v/>
      </c>
      <c r="K12" s="4791">
        <f>IFERROR(INDEX(IPCC!$A$2145:$D$2156,MATCH(clim_moist,IPCC!$A$2145:$A$2156,0),MATCH(Coastal!$B12,IPCC!$A$2145:$D$2145,0)),0)</f>
        <v/>
      </c>
      <c r="L12" s="4792">
        <f>IF('7.Coastal wetlands'!CA15="",'7.Coastal wetlands'!BZ15,'7.Coastal wetlands'!CA15)</f>
        <v/>
      </c>
      <c r="M12" s="2201">
        <f>IFERROR(IF(AND(B12="Mangrove",'7.Coastal wetlands'!CE15=list!$D$254),INDEX(Atwood!$A$2:$G$85,MATCH(country_selected,Atwood!$A$2:$A$85,0),MATCH(Atwood!$E$2,Atwood!$A$2:$G$2,0)),IF($C12=list!$B$262,INDEX(IPCC!$A$2162:$D$2173,MATCH(clim_moist,IPCC!$A$2162:$A$2173,0),MATCH(Coastal!$B12,IPCC!$A$2162:$D$2162,0)),IF($C12=list!$B$263,INDEX(IPCC!$A$2179:$D$2190,MATCH(clim_moist,IPCC!$A$2179:$A$2190,0),MATCH(Coastal!$B12,IPCC!$A$2179:$D$2179,0)),IF($C12=list!$B$264,INDEX(IPCC!$A$2196:$D$2207,MATCH(clim_moist,IPCC!$A$2196:$A$2207,0),MATCH(Coastal!$B12,IPCC!$A$2196:$D$2196,0)),0)))),0)</f>
        <v/>
      </c>
      <c r="N12" s="2202">
        <f>IF('7.Coastal wetlands'!CG15="",'7.Coastal wetlands'!CF15,'7.Coastal wetlands'!CG15)</f>
        <v/>
      </c>
      <c r="O12" s="2203" t="n">
        <v>0.96</v>
      </c>
      <c r="P12" s="2204">
        <f>IF('7.Coastal wetlands'!CJ15="",'7.Coastal wetlands'!CI15,'7.Coastal wetlands'!CJ15)</f>
        <v/>
      </c>
    </row>
    <row r="13" ht="15" customHeight="1">
      <c r="B13" s="2192">
        <f>'7.Coastal wetlands'!C16</f>
        <v/>
      </c>
      <c r="C13" s="2192">
        <f>IF('7.Coastal wetlands'!CE16="Tier 1a","Mineral",'7.Coastal wetlands'!CC16)</f>
        <v/>
      </c>
      <c r="E13" s="4791">
        <f>IFERROR(INDEX(IPCC!$A$2093:$D$2104,MATCH(clim_moist,IPCC!$A$2093:$A$2104,0),MATCH(Coastal!$B13,IPCC!$A$2093:$D$2093,0)),0)*0.451</f>
        <v/>
      </c>
      <c r="F13" s="4792">
        <f>IF('7.Coastal wetlands'!BU16="",'7.Coastal wetlands'!BT16,'7.Coastal wetlands'!BU16)</f>
        <v/>
      </c>
      <c r="G13" s="4791">
        <f>IFERROR(INDEX(IPCC!$A$2111:$D$2122,MATCH(clim_moist,IPCC!$A$2111:$A$2122,0),MATCH(Coastal!$B13,IPCC!$A$2111:$D$2111,0)),0)*E13</f>
        <v/>
      </c>
      <c r="H13" s="4792">
        <f>IF('7.Coastal wetlands'!BW16="",'7.Coastal wetlands'!BV16,'7.Coastal wetlands'!BW16)</f>
        <v/>
      </c>
      <c r="I13" s="4791">
        <f>IFERROR(INDEX(IPCC!$A$2128:$D$2139,MATCH(clim_moist,IPCC!$A$2128:$A$2139,0),MATCH(Coastal!$B13,IPCC!$A$2128:$D$2128,0)),0)</f>
        <v/>
      </c>
      <c r="J13" s="4792">
        <f>IF('7.Coastal wetlands'!BY16="",'7.Coastal wetlands'!BX16,'7.Coastal wetlands'!BY16)</f>
        <v/>
      </c>
      <c r="K13" s="4791">
        <f>IFERROR(INDEX(IPCC!$A$2145:$D$2156,MATCH(clim_moist,IPCC!$A$2145:$A$2156,0),MATCH(Coastal!$B13,IPCC!$A$2145:$D$2145,0)),0)</f>
        <v/>
      </c>
      <c r="L13" s="4792">
        <f>IF('7.Coastal wetlands'!CA16="",'7.Coastal wetlands'!BZ16,'7.Coastal wetlands'!CA16)</f>
        <v/>
      </c>
      <c r="M13" s="2201">
        <f>IFERROR(IF(AND(B13="Mangrove",'7.Coastal wetlands'!CE16=list!$D$254),INDEX(Atwood!$A$2:$G$85,MATCH(country_selected,Atwood!$A$2:$A$85,0),MATCH(Atwood!$E$2,Atwood!$A$2:$G$2,0)),IF($C13=list!$B$262,INDEX(IPCC!$A$2162:$D$2173,MATCH(clim_moist,IPCC!$A$2162:$A$2173,0),MATCH(Coastal!$B13,IPCC!$A$2162:$D$2162,0)),IF($C13=list!$B$263,INDEX(IPCC!$A$2179:$D$2190,MATCH(clim_moist,IPCC!$A$2179:$A$2190,0),MATCH(Coastal!$B13,IPCC!$A$2179:$D$2179,0)),IF($C13=list!$B$264,INDEX(IPCC!$A$2196:$D$2207,MATCH(clim_moist,IPCC!$A$2196:$A$2207,0),MATCH(Coastal!$B13,IPCC!$A$2196:$D$2196,0)),0)))),0)</f>
        <v/>
      </c>
      <c r="N13" s="2202">
        <f>IF('7.Coastal wetlands'!CG16="",'7.Coastal wetlands'!CF16,'7.Coastal wetlands'!CG16)</f>
        <v/>
      </c>
      <c r="O13" s="2203" t="n">
        <v>0.96</v>
      </c>
      <c r="P13" s="2204">
        <f>IF('7.Coastal wetlands'!CJ16="",'7.Coastal wetlands'!CI16,'7.Coastal wetlands'!CJ16)</f>
        <v/>
      </c>
      <c r="AA13" s="3135" t="inlineStr">
        <is>
          <t>Mangrove</t>
        </is>
      </c>
      <c r="AB13" s="3135" t="inlineStr">
        <is>
          <t>Tidal marsh</t>
        </is>
      </c>
      <c r="AC13" s="3135" t="inlineStr">
        <is>
          <t>Seagrass</t>
        </is>
      </c>
    </row>
    <row r="14" ht="15" customHeight="1">
      <c r="Z14" s="2205" t="inlineStr">
        <is>
          <t>Area Mineral soil (ha)</t>
        </is>
      </c>
      <c r="AA14" s="2206">
        <f>SUMIFS(Coastal!$E$17:$E$22,$B$17:$B$22,AA$13,$C$17:$C$22,$AD14)</f>
        <v/>
      </c>
      <c r="AB14" s="2206">
        <f>SUMIFS(Coastal!$E$17:$E$22,$B$17:$B$22,AB$13,$C$17:$C$22,$AD14)</f>
        <v/>
      </c>
      <c r="AC14" s="2206">
        <f>SUMIFS(Coastal!$E$17:$E$22,$B$17:$B$22,AC$13,$C$17:$C$22,$AD14)</f>
        <v/>
      </c>
      <c r="AD14" s="284" t="inlineStr">
        <is>
          <t>Mineral</t>
        </is>
      </c>
    </row>
    <row r="15" ht="15" customHeight="1">
      <c r="E15" s="2195" t="inlineStr">
        <is>
          <t>Area excavated</t>
        </is>
      </c>
      <c r="F15" s="2195" t="n"/>
      <c r="I15" s="2195" t="inlineStr">
        <is>
          <t>C Biomass lost per hectare</t>
        </is>
      </c>
      <c r="J15" s="2195" t="n"/>
      <c r="L15" s="2195" t="inlineStr">
        <is>
          <t>C soil per hectare</t>
        </is>
      </c>
      <c r="M15" s="2195" t="n"/>
      <c r="O15" s="2195" t="inlineStr">
        <is>
          <t>Total lost (tCO2eq)</t>
        </is>
      </c>
      <c r="U15" s="2192" t="inlineStr">
        <is>
          <t>Implementation phase</t>
        </is>
      </c>
      <c r="Z15" s="2205" t="inlineStr">
        <is>
          <t>Area Organic soil (ha)</t>
        </is>
      </c>
      <c r="AA15" s="2206">
        <f>SUMIFS(Coastal!$E$17:$E$22,$B$17:$B$22,AA$13,$C$17:$C$22,$AD15)</f>
        <v/>
      </c>
      <c r="AB15" s="2206">
        <f>SUMIFS(Coastal!$E$17:$E$22,$B$17:$B$22,AB$13,$C$17:$C$22,$AD15)</f>
        <v/>
      </c>
      <c r="AC15" s="2206" t="n"/>
      <c r="AD15" s="284" t="inlineStr">
        <is>
          <t>Organic</t>
        </is>
      </c>
    </row>
    <row r="16" ht="15" customHeight="1">
      <c r="B16" s="2195">
        <f>B7</f>
        <v/>
      </c>
      <c r="C16" s="2195">
        <f>C7</f>
        <v/>
      </c>
      <c r="E16" s="2192" t="inlineStr">
        <is>
          <t>Start</t>
        </is>
      </c>
      <c r="F16" s="2192" t="inlineStr">
        <is>
          <t>Without</t>
        </is>
      </c>
      <c r="G16" s="2192" t="inlineStr">
        <is>
          <t>With</t>
        </is>
      </c>
      <c r="I16" s="1661" t="inlineStr">
        <is>
          <t>tC/ha</t>
        </is>
      </c>
      <c r="J16" s="1661" t="inlineStr">
        <is>
          <t>tCO2/ha</t>
        </is>
      </c>
      <c r="L16" s="1661" t="inlineStr">
        <is>
          <t>tC/ha</t>
        </is>
      </c>
      <c r="M16" s="1661" t="inlineStr">
        <is>
          <t>tCO2/ha</t>
        </is>
      </c>
      <c r="O16" s="2215" t="inlineStr">
        <is>
          <t>Without</t>
        </is>
      </c>
      <c r="P16" s="2216" t="inlineStr">
        <is>
          <t>With</t>
        </is>
      </c>
      <c r="Q16" s="2217" t="inlineStr">
        <is>
          <t>Balance</t>
        </is>
      </c>
      <c r="U16" s="2215" t="inlineStr">
        <is>
          <t>Without</t>
        </is>
      </c>
      <c r="V16" s="2216" t="inlineStr">
        <is>
          <t>With</t>
        </is>
      </c>
      <c r="Z16" s="2205" t="inlineStr">
        <is>
          <t>Area aggregated soil (ha)</t>
        </is>
      </c>
      <c r="AA16" s="2206">
        <f>SUMIFS(Coastal!$E$17:$E$22,$B$17:$B$22,AA$13,$C$17:$C$22,$AD16)</f>
        <v/>
      </c>
      <c r="AB16" s="2206">
        <f>SUMIFS(Coastal!$E$17:$E$22,$B$17:$B$22,AB$13,$C$17:$C$22,$AD16)</f>
        <v/>
      </c>
      <c r="AC16" s="2206">
        <f>SUMIFS(Coastal!$E$17:$E$22,$B$17:$B$22,AC$13,$C$17:$C$22,$AD16)</f>
        <v/>
      </c>
      <c r="AD16" s="284" t="inlineStr">
        <is>
          <t>Aggregated</t>
        </is>
      </c>
    </row>
    <row r="17">
      <c r="B17" s="2192">
        <f>B8</f>
        <v/>
      </c>
      <c r="C17" s="2192">
        <f>C8</f>
        <v/>
      </c>
      <c r="E17" s="2218" t="n">
        <v>0</v>
      </c>
      <c r="F17" s="2219">
        <f>'7.Coastal wetlands'!N11</f>
        <v/>
      </c>
      <c r="G17" s="2220">
        <f>'7.Coastal wetlands'!P11</f>
        <v/>
      </c>
      <c r="I17" s="2218">
        <f>SUM(F8,H8,J8,L8)</f>
        <v/>
      </c>
      <c r="J17" s="2221">
        <f>I17*44/12</f>
        <v/>
      </c>
      <c r="L17" s="2218">
        <f>SUMPRODUCT(N8,P8)</f>
        <v/>
      </c>
      <c r="M17" s="2221">
        <f>L17*44/12</f>
        <v/>
      </c>
      <c r="O17" s="2218">
        <f>(J17+M17)*(F17-E17)</f>
        <v/>
      </c>
      <c r="P17" s="2222">
        <f>(J17+M17)*(G17-E17)</f>
        <v/>
      </c>
      <c r="Q17" s="2223">
        <f>P17-O17</f>
        <v/>
      </c>
      <c r="S17" s="2224" t="n"/>
      <c r="T17" s="2224" t="n"/>
      <c r="U17" s="2225">
        <f>O17</f>
        <v/>
      </c>
      <c r="V17" s="2225">
        <f>P17</f>
        <v/>
      </c>
    </row>
    <row r="18">
      <c r="B18" s="2192">
        <f>B9</f>
        <v/>
      </c>
      <c r="C18" s="2192">
        <f>C9</f>
        <v/>
      </c>
      <c r="E18" s="2226" t="n">
        <v>0</v>
      </c>
      <c r="F18" s="2227">
        <f>'7.Coastal wetlands'!N12</f>
        <v/>
      </c>
      <c r="G18" s="2228">
        <f>'7.Coastal wetlands'!P12</f>
        <v/>
      </c>
      <c r="I18" s="2226">
        <f>SUM(F9,H9,J9,L9)</f>
        <v/>
      </c>
      <c r="J18" s="2229">
        <f>I18*44/12</f>
        <v/>
      </c>
      <c r="L18" s="2226">
        <f>SUMPRODUCT(N9,P9)</f>
        <v/>
      </c>
      <c r="M18" s="2229">
        <f>L18*44/12</f>
        <v/>
      </c>
      <c r="O18" s="2226">
        <f>(J18+M18)*(F18-E18)</f>
        <v/>
      </c>
      <c r="P18" s="2230">
        <f>(J18+M18)*(G18-E18)</f>
        <v/>
      </c>
      <c r="Q18" s="2231">
        <f>P18-O18</f>
        <v/>
      </c>
      <c r="S18" s="2224" t="n"/>
      <c r="T18" s="2224" t="n"/>
      <c r="U18" s="2225">
        <f>O18</f>
        <v/>
      </c>
      <c r="V18" s="2225">
        <f>P18</f>
        <v/>
      </c>
    </row>
    <row r="19">
      <c r="B19" s="2192">
        <f>B10</f>
        <v/>
      </c>
      <c r="C19" s="2192">
        <f>C10</f>
        <v/>
      </c>
      <c r="E19" s="2226" t="n">
        <v>0</v>
      </c>
      <c r="F19" s="2227">
        <f>'7.Coastal wetlands'!N13</f>
        <v/>
      </c>
      <c r="G19" s="2228">
        <f>'7.Coastal wetlands'!P13</f>
        <v/>
      </c>
      <c r="I19" s="2226">
        <f>SUM(F10,H10,J10,L10)</f>
        <v/>
      </c>
      <c r="J19" s="2229">
        <f>I19*44/12</f>
        <v/>
      </c>
      <c r="L19" s="2226">
        <f>SUMPRODUCT(N10,P10)</f>
        <v/>
      </c>
      <c r="M19" s="2229">
        <f>L19*44/12</f>
        <v/>
      </c>
      <c r="O19" s="2226">
        <f>(J19+M19)*(F19-E19)</f>
        <v/>
      </c>
      <c r="P19" s="2230">
        <f>(J19+M19)*(G19-E19)</f>
        <v/>
      </c>
      <c r="Q19" s="2231">
        <f>P19-O19</f>
        <v/>
      </c>
      <c r="S19" s="2224" t="n"/>
      <c r="T19" s="2224" t="n"/>
      <c r="U19" s="2225">
        <f>O19</f>
        <v/>
      </c>
      <c r="V19" s="2225">
        <f>P19</f>
        <v/>
      </c>
    </row>
    <row r="20">
      <c r="B20" s="2192">
        <f>B11</f>
        <v/>
      </c>
      <c r="C20" s="2192">
        <f>C11</f>
        <v/>
      </c>
      <c r="E20" s="2226" t="n">
        <v>0</v>
      </c>
      <c r="F20" s="2227">
        <f>'7.Coastal wetlands'!N14</f>
        <v/>
      </c>
      <c r="G20" s="2228">
        <f>'7.Coastal wetlands'!P14</f>
        <v/>
      </c>
      <c r="I20" s="2226">
        <f>SUM(F11,H11,J11,L11)</f>
        <v/>
      </c>
      <c r="J20" s="2229">
        <f>I20*44/12</f>
        <v/>
      </c>
      <c r="L20" s="2226">
        <f>SUMPRODUCT(N11,P11)</f>
        <v/>
      </c>
      <c r="M20" s="2229">
        <f>L20*44/12</f>
        <v/>
      </c>
      <c r="O20" s="2226">
        <f>(J20+M20)*(F20-E20)</f>
        <v/>
      </c>
      <c r="P20" s="2230">
        <f>(J20+M20)*(G20-E20)</f>
        <v/>
      </c>
      <c r="Q20" s="2231">
        <f>P20-O20</f>
        <v/>
      </c>
      <c r="S20" s="2224" t="n"/>
      <c r="T20" s="2224" t="n"/>
      <c r="U20" s="2225">
        <f>O20</f>
        <v/>
      </c>
      <c r="V20" s="2225">
        <f>P20</f>
        <v/>
      </c>
    </row>
    <row r="21">
      <c r="B21" s="2192">
        <f>B12</f>
        <v/>
      </c>
      <c r="C21" s="2192">
        <f>C12</f>
        <v/>
      </c>
      <c r="E21" s="2226" t="n">
        <v>0</v>
      </c>
      <c r="F21" s="2227">
        <f>'7.Coastal wetlands'!N15</f>
        <v/>
      </c>
      <c r="G21" s="2228">
        <f>'7.Coastal wetlands'!P15</f>
        <v/>
      </c>
      <c r="I21" s="2226">
        <f>SUM(F12,H12,J12,L12)</f>
        <v/>
      </c>
      <c r="J21" s="2229">
        <f>I21*44/12</f>
        <v/>
      </c>
      <c r="L21" s="2226">
        <f>SUMPRODUCT(N12,P12)</f>
        <v/>
      </c>
      <c r="M21" s="2229">
        <f>L21*44/12</f>
        <v/>
      </c>
      <c r="O21" s="2226">
        <f>(J21+M21)*(F21-E21)</f>
        <v/>
      </c>
      <c r="P21" s="2230">
        <f>(J21+M21)*(G21-E21)</f>
        <v/>
      </c>
      <c r="Q21" s="2231">
        <f>P21-O21</f>
        <v/>
      </c>
      <c r="S21" s="2224" t="n"/>
      <c r="T21" s="2224" t="n"/>
      <c r="U21" s="2225">
        <f>O21</f>
        <v/>
      </c>
      <c r="V21" s="2225">
        <f>P21</f>
        <v/>
      </c>
    </row>
    <row r="22">
      <c r="B22" s="2192">
        <f>B13</f>
        <v/>
      </c>
      <c r="C22" s="2192">
        <f>C13</f>
        <v/>
      </c>
      <c r="E22" s="2232" t="n">
        <v>0</v>
      </c>
      <c r="F22" s="2233">
        <f>'7.Coastal wetlands'!N16</f>
        <v/>
      </c>
      <c r="G22" s="2234">
        <f>'7.Coastal wetlands'!P16</f>
        <v/>
      </c>
      <c r="I22" s="2232">
        <f>SUM(F13,H13,J13,L13)</f>
        <v/>
      </c>
      <c r="J22" s="2235">
        <f>I22*44/12</f>
        <v/>
      </c>
      <c r="L22" s="2232">
        <f>SUMPRODUCT(N13,P13)</f>
        <v/>
      </c>
      <c r="M22" s="2235">
        <f>L22*44/12</f>
        <v/>
      </c>
      <c r="O22" s="2232">
        <f>(J22+M22)*(F22-E22)</f>
        <v/>
      </c>
      <c r="P22" s="2236">
        <f>(J22+M22)*(G22-E22)</f>
        <v/>
      </c>
      <c r="Q22" s="2237">
        <f>P22-O22</f>
        <v/>
      </c>
      <c r="S22" s="2224" t="n"/>
      <c r="T22" s="2224" t="n"/>
      <c r="U22" s="2225">
        <f>O22</f>
        <v/>
      </c>
      <c r="V22" s="2225">
        <f>P22</f>
        <v/>
      </c>
    </row>
    <row r="24">
      <c r="L24" s="2238" t="n"/>
      <c r="M24" s="2238" t="n"/>
      <c r="N24" s="2239" t="inlineStr">
        <is>
          <t>Total excavation (tCO2eq)</t>
        </is>
      </c>
      <c r="O24" s="2240">
        <f>SUM(O17:O22)</f>
        <v/>
      </c>
      <c r="P24" s="2240">
        <f>SUM(P17:P22)</f>
        <v/>
      </c>
      <c r="Q24" s="2240">
        <f>SUM(Q17:Q22)</f>
        <v/>
      </c>
    </row>
    <row r="27" ht="45" customHeight="1">
      <c r="A27" s="2191" t="n"/>
      <c r="B27" s="2264" t="inlineStr">
        <is>
          <t>Drainage</t>
        </is>
      </c>
      <c r="C27" s="2191" t="n"/>
      <c r="D27" s="2191" t="n"/>
      <c r="E27" s="2191" t="n"/>
      <c r="F27" s="2191" t="n"/>
      <c r="G27" s="2191" t="n"/>
      <c r="H27" s="2191" t="n"/>
      <c r="I27" s="2191" t="n"/>
      <c r="J27" s="2191" t="n"/>
      <c r="K27" s="2191" t="n"/>
      <c r="L27" s="2191" t="n"/>
      <c r="M27" s="2191" t="n"/>
      <c r="N27" s="2191" t="n"/>
      <c r="O27" s="2191" t="n"/>
      <c r="P27" s="2191" t="n"/>
      <c r="Q27" s="2191" t="n"/>
      <c r="R27" s="2191" t="n"/>
      <c r="S27" s="2191" t="n"/>
      <c r="T27" s="2191" t="n"/>
      <c r="U27" s="2191" t="n"/>
      <c r="V27" s="2191" t="n"/>
      <c r="W27" s="2191" t="n"/>
      <c r="X27" s="2191" t="n"/>
      <c r="Y27" s="2191" t="n"/>
      <c r="Z27" s="2191" t="n"/>
      <c r="AA27" s="2191" t="n"/>
      <c r="AB27" s="2191" t="n"/>
      <c r="AC27" s="2191" t="n"/>
    </row>
    <row r="28">
      <c r="U28" s="2193" t="inlineStr">
        <is>
          <t>GHG PER SCENARIO</t>
        </is>
      </c>
      <c r="V28" s="2194" t="n"/>
      <c r="W28" s="2194" t="n"/>
      <c r="Z28" s="2193" t="inlineStr">
        <is>
          <t>TOTAL BALANCE</t>
        </is>
      </c>
      <c r="AA28" s="2194" t="n"/>
      <c r="AB28" s="2194" t="n"/>
      <c r="AC28" s="2194" t="n"/>
    </row>
    <row r="29">
      <c r="E29" s="2195" t="inlineStr">
        <is>
          <t>AGB (tC/ha)</t>
        </is>
      </c>
      <c r="F29" s="2195" t="n"/>
      <c r="G29" s="2195" t="inlineStr">
        <is>
          <t>BGB (tC/ha)</t>
        </is>
      </c>
      <c r="H29" s="2195" t="n"/>
      <c r="I29" s="2195" t="inlineStr">
        <is>
          <t>Litter (tC/ha)</t>
        </is>
      </c>
      <c r="J29" s="2195" t="n"/>
      <c r="K29" s="2195" t="inlineStr">
        <is>
          <t>Deadwood</t>
        </is>
      </c>
      <c r="M29" s="2195" t="inlineStr">
        <is>
          <t>Soil (1 m depth)</t>
        </is>
      </c>
      <c r="O29" s="2195" t="inlineStr">
        <is>
          <t>EF Drainage (tC/ha/yr)</t>
        </is>
      </c>
    </row>
    <row r="30">
      <c r="B30" s="2195">
        <f>B16</f>
        <v/>
      </c>
      <c r="C30" s="2195">
        <f>C16</f>
        <v/>
      </c>
      <c r="E30" s="1661" t="inlineStr">
        <is>
          <t>IPCC</t>
        </is>
      </c>
      <c r="F30" s="1661" t="inlineStr">
        <is>
          <t>Tier 2</t>
        </is>
      </c>
      <c r="G30" s="1661" t="inlineStr">
        <is>
          <t>IPCC</t>
        </is>
      </c>
      <c r="H30" s="1661" t="inlineStr">
        <is>
          <t>Tier 2</t>
        </is>
      </c>
      <c r="I30" s="1661" t="inlineStr">
        <is>
          <t>IPCC</t>
        </is>
      </c>
      <c r="J30" s="1661" t="inlineStr">
        <is>
          <t>Tier 2</t>
        </is>
      </c>
      <c r="K30" s="1661" t="inlineStr">
        <is>
          <t>IPCC</t>
        </is>
      </c>
      <c r="L30" s="1661" t="inlineStr">
        <is>
          <t>Tier 2</t>
        </is>
      </c>
      <c r="M30" s="1661" t="inlineStr">
        <is>
          <t>IPCC</t>
        </is>
      </c>
      <c r="N30" s="1661" t="inlineStr">
        <is>
          <t>Tier 2</t>
        </is>
      </c>
      <c r="O30" s="1661" t="inlineStr">
        <is>
          <t>IPCC</t>
        </is>
      </c>
      <c r="P30" s="1661" t="inlineStr">
        <is>
          <t>Tier 2</t>
        </is>
      </c>
      <c r="U30" s="2196" t="inlineStr">
        <is>
          <t>CATEGORIES</t>
        </is>
      </c>
      <c r="V30" s="2197" t="inlineStr">
        <is>
          <t>WITHOUT</t>
        </is>
      </c>
      <c r="W30" s="2197" t="inlineStr">
        <is>
          <t>WITH</t>
        </is>
      </c>
      <c r="X30" s="2197" t="inlineStr">
        <is>
          <t>difference</t>
        </is>
      </c>
      <c r="Z30" s="2196" t="inlineStr">
        <is>
          <t>CATEGORIES</t>
        </is>
      </c>
      <c r="AA30" s="2197" t="inlineStr">
        <is>
          <t>BALANCE</t>
        </is>
      </c>
      <c r="AB30" s="2197" t="inlineStr">
        <is>
          <t>IMPLEM.</t>
        </is>
      </c>
      <c r="AC30" s="2198" t="inlineStr">
        <is>
          <t>CAPITAL.</t>
        </is>
      </c>
    </row>
    <row r="31">
      <c r="B31" s="2192">
        <f>B17</f>
        <v/>
      </c>
      <c r="C31" s="2192">
        <f>C17</f>
        <v/>
      </c>
      <c r="E31" s="4791">
        <f>IFERROR(INDEX(IPCC!$A$2093:$D$2104,MATCH(clim_moist,IPCC!$A$2093:$A$2104,0),MATCH(Coastal!$B31,IPCC!$A$2093:$D$2093,0)),0)*0.451</f>
        <v/>
      </c>
      <c r="F31" s="4792">
        <f>IF('7.Coastal wetlands'!BU29="",'7.Coastal wetlands'!BT29,'7.Coastal wetlands'!BU29)</f>
        <v/>
      </c>
      <c r="G31" s="4791">
        <f>IFERROR(INDEX(IPCC!$A$2111:$D$2122,MATCH(clim_moist,IPCC!$A$2111:$A$2122,0),MATCH(Coastal!$B31,IPCC!$A$2111:$D$2111,0)),0)*E31</f>
        <v/>
      </c>
      <c r="H31" s="4792">
        <f>IF('7.Coastal wetlands'!BW29="",'7.Coastal wetlands'!BV29,'7.Coastal wetlands'!BW29)</f>
        <v/>
      </c>
      <c r="I31" s="4791">
        <f>IFERROR(INDEX(IPCC!$A$2128:$D$2139,MATCH(clim_moist,IPCC!$A$2128:$A$2139,0),MATCH(Coastal!$B31,IPCC!$A$2128:$D$2128,0)),0)</f>
        <v/>
      </c>
      <c r="J31" s="4792">
        <f>IF('7.Coastal wetlands'!BY29="",'7.Coastal wetlands'!BX29,'7.Coastal wetlands'!BY29)</f>
        <v/>
      </c>
      <c r="K31" s="4791">
        <f>IFERROR(INDEX(IPCC!$A$2145:$D$2156,MATCH(clim_moist,IPCC!$A$2145:$A$2156,0),MATCH(Coastal!$B31,IPCC!$A$2145:$D$2145,0)),0)</f>
        <v/>
      </c>
      <c r="L31" s="4792">
        <f>IF('7.Coastal wetlands'!CA29="",'7.Coastal wetlands'!BZ29,'7.Coastal wetlands'!CA29)</f>
        <v/>
      </c>
      <c r="M31" s="2201">
        <f>IFERROR(IF(AND(B31="Mangrove",'7.Coastal wetlands'!CE34=list!$D$254),INDEX(Atwood!$A$2:$G$85,MATCH(country_selected,Atwood!$A$2:$A$85,0),MATCH(Atwood!$E$2,Atwood!$A$2:$G$2,0)),IF($C31=list!$B$262,INDEX(IPCC!$A$2162:$D$2173,MATCH(clim_moist,IPCC!$A$2162:$A$2173,0),MATCH(Coastal!$B31,IPCC!$A$2162:$D$2162,0)),IF($C31=list!$B$263,INDEX(IPCC!$A$2179:$D$2190,MATCH(clim_moist,IPCC!$A$2179:$A$2190,0),MATCH(Coastal!$B31,IPCC!$A$2179:$D$2179,0)),IF($C31=list!$B$264,INDEX(IPCC!$A$2196:$D$2207,MATCH(clim_moist,IPCC!$A$2196:$A$2207,0),MATCH(Coastal!$B31,IPCC!$A$2196:$D$2196,0)),0)))),0)</f>
        <v/>
      </c>
      <c r="N31" s="2202">
        <f>IF('7.Coastal wetlands'!CG29="",'7.Coastal wetlands'!CF29,'7.Coastal wetlands'!CG29)</f>
        <v/>
      </c>
      <c r="O31" s="2241">
        <f>IFERROR(INDEX(IPCC!$A$2213:$D$2224,MATCH(clim_moist,IPCC!$A$2213:$A$2224,0),MATCH(Coastal!$B31,IPCC!$A$2213:$D$2213,0)),0)</f>
        <v/>
      </c>
      <c r="P31" s="2242">
        <f>IF('7.Coastal wetlands'!CJ29="",'7.Coastal wetlands'!CI29,'7.Coastal wetlands'!CJ29)</f>
        <v/>
      </c>
      <c r="S31" s="1661" t="n"/>
      <c r="U31" s="2207" t="inlineStr">
        <is>
          <t>Total Biomass</t>
        </is>
      </c>
      <c r="V31" s="2208">
        <f>SUM($O$41:$O$46)</f>
        <v/>
      </c>
      <c r="W31" s="2208">
        <f>SUM($P$41:$P$46)</f>
        <v/>
      </c>
      <c r="X31" s="2208">
        <f>W31-V31</f>
        <v/>
      </c>
      <c r="Z31" s="2207">
        <f>U31</f>
        <v/>
      </c>
      <c r="AA31" s="2208">
        <f>AB31</f>
        <v/>
      </c>
      <c r="AB31" s="2208">
        <f>IF(time=0,0,SUM(V41:V46)-SUM(U41:U46))</f>
        <v/>
      </c>
      <c r="AC31" s="2210">
        <f>AA31-AB31</f>
        <v/>
      </c>
    </row>
    <row r="32">
      <c r="B32" s="2192">
        <f>B18</f>
        <v/>
      </c>
      <c r="C32" s="2192">
        <f>C18</f>
        <v/>
      </c>
      <c r="E32" s="4791">
        <f>IFERROR(INDEX(IPCC!$A$2093:$D$2104,MATCH(clim_moist,IPCC!$A$2093:$A$2104,0),MATCH(Coastal!$B32,IPCC!$A$2093:$D$2093,0)),0)*0.451</f>
        <v/>
      </c>
      <c r="F32" s="4792">
        <f>IF('7.Coastal wetlands'!BU30="",'7.Coastal wetlands'!BT30,'7.Coastal wetlands'!BU30)</f>
        <v/>
      </c>
      <c r="G32" s="4791">
        <f>IFERROR(INDEX(IPCC!$A$2111:$D$2122,MATCH(clim_moist,IPCC!$A$2111:$A$2122,0),MATCH(Coastal!$B32,IPCC!$A$2111:$D$2111,0)),0)*E32</f>
        <v/>
      </c>
      <c r="H32" s="4792">
        <f>IF('7.Coastal wetlands'!BW30="",'7.Coastal wetlands'!BV30,'7.Coastal wetlands'!BW30)</f>
        <v/>
      </c>
      <c r="I32" s="4791">
        <f>IFERROR(INDEX(IPCC!$A$2128:$D$2139,MATCH(clim_moist,IPCC!$A$2128:$A$2139,0),MATCH(Coastal!$B32,IPCC!$A$2128:$D$2128,0)),0)</f>
        <v/>
      </c>
      <c r="J32" s="4792">
        <f>IF('7.Coastal wetlands'!BY30="",'7.Coastal wetlands'!BX30,'7.Coastal wetlands'!BY30)</f>
        <v/>
      </c>
      <c r="K32" s="4791">
        <f>IFERROR(INDEX(IPCC!$A$2145:$D$2156,MATCH(clim_moist,IPCC!$A$2145:$A$2156,0),MATCH(Coastal!$B32,IPCC!$A$2145:$D$2145,0)),0)</f>
        <v/>
      </c>
      <c r="L32" s="4792">
        <f>IF('7.Coastal wetlands'!CA30="",'7.Coastal wetlands'!BZ30,'7.Coastal wetlands'!CA30)</f>
        <v/>
      </c>
      <c r="M32" s="2201">
        <f>IFERROR(IF(AND(B32="Mangrove",'7.Coastal wetlands'!CE35=list!$D$254),INDEX(Atwood!$A$2:$G$85,MATCH(country_selected,Atwood!$A$2:$A$85,0),MATCH(Atwood!$E$2,Atwood!$A$2:$G$2,0)),IF($C32=list!$B$262,INDEX(IPCC!$A$2162:$D$2173,MATCH(clim_moist,IPCC!$A$2162:$A$2173,0),MATCH(Coastal!$B32,IPCC!$A$2162:$D$2162,0)),IF($C32=list!$B$263,INDEX(IPCC!$A$2179:$D$2190,MATCH(clim_moist,IPCC!$A$2179:$A$2190,0),MATCH(Coastal!$B32,IPCC!$A$2179:$D$2179,0)),IF($C32=list!$B$264,INDEX(IPCC!$A$2196:$D$2207,MATCH(clim_moist,IPCC!$A$2196:$A$2207,0),MATCH(Coastal!$B32,IPCC!$A$2196:$D$2196,0)),0)))),0)</f>
        <v/>
      </c>
      <c r="N32" s="2202">
        <f>IF('7.Coastal wetlands'!CG30="",'7.Coastal wetlands'!CF30,'7.Coastal wetlands'!CG30)</f>
        <v/>
      </c>
      <c r="O32" s="2241">
        <f>IFERROR(INDEX(IPCC!$A$2213:$D$2224,MATCH(clim_moist,IPCC!$A$2213:$A$2224,0),MATCH(Coastal!$B32,IPCC!$A$2213:$D$2213,0)),0)</f>
        <v/>
      </c>
      <c r="P32" s="2242">
        <f>IF('7.Coastal wetlands'!CJ30="",'7.Coastal wetlands'!CI30,'7.Coastal wetlands'!CJ30)</f>
        <v/>
      </c>
      <c r="S32" s="1661" t="n"/>
      <c r="U32" s="2207" t="inlineStr">
        <is>
          <t>Total soil</t>
        </is>
      </c>
      <c r="V32" s="2208">
        <f>SUM(O51:O56)</f>
        <v/>
      </c>
      <c r="W32" s="2208">
        <f>SUM(P51:P56)</f>
        <v/>
      </c>
      <c r="X32" s="2208">
        <f>W32-V32</f>
        <v/>
      </c>
      <c r="Z32" s="2207">
        <f>U32</f>
        <v/>
      </c>
      <c r="AA32" s="2208">
        <f>SUM(Q51:Q56)</f>
        <v/>
      </c>
      <c r="AB32" s="2208">
        <f>IF(time=0,0,SUM(V51:V56)-SUM(U51:U57))</f>
        <v/>
      </c>
      <c r="AC32" s="2210">
        <f>AA32-AB32</f>
        <v/>
      </c>
    </row>
    <row r="33">
      <c r="B33" s="2192">
        <f>B19</f>
        <v/>
      </c>
      <c r="C33" s="2192">
        <f>C19</f>
        <v/>
      </c>
      <c r="E33" s="4791">
        <f>IFERROR(INDEX(IPCC!$A$2093:$D$2104,MATCH(clim_moist,IPCC!$A$2093:$A$2104,0),MATCH(Coastal!$B33,IPCC!$A$2093:$D$2093,0)),0)*0.451</f>
        <v/>
      </c>
      <c r="F33" s="4792">
        <f>IF('7.Coastal wetlands'!BU31="",'7.Coastal wetlands'!BT31,'7.Coastal wetlands'!BU31)</f>
        <v/>
      </c>
      <c r="G33" s="4791">
        <f>IFERROR(INDEX(IPCC!$A$2111:$D$2122,MATCH(clim_moist,IPCC!$A$2111:$A$2122,0),MATCH(Coastal!$B33,IPCC!$A$2111:$D$2111,0)),0)*E33</f>
        <v/>
      </c>
      <c r="H33" s="4792">
        <f>IF('7.Coastal wetlands'!BW31="",'7.Coastal wetlands'!BV31,'7.Coastal wetlands'!BW31)</f>
        <v/>
      </c>
      <c r="I33" s="4791">
        <f>IFERROR(INDEX(IPCC!$A$2128:$D$2139,MATCH(clim_moist,IPCC!$A$2128:$A$2139,0),MATCH(Coastal!$B33,IPCC!$A$2128:$D$2128,0)),0)</f>
        <v/>
      </c>
      <c r="J33" s="4792">
        <f>IF('7.Coastal wetlands'!BY31="",'7.Coastal wetlands'!BX31,'7.Coastal wetlands'!BY31)</f>
        <v/>
      </c>
      <c r="K33" s="4791">
        <f>IFERROR(INDEX(IPCC!$A$2145:$D$2156,MATCH(clim_moist,IPCC!$A$2145:$A$2156,0),MATCH(Coastal!$B33,IPCC!$A$2145:$D$2145,0)),0)</f>
        <v/>
      </c>
      <c r="L33" s="4792">
        <f>IF('7.Coastal wetlands'!CA31="",'7.Coastal wetlands'!BZ31,'7.Coastal wetlands'!CA31)</f>
        <v/>
      </c>
      <c r="M33" s="2201">
        <f>IFERROR(IF(AND(B33="Mangrove",'7.Coastal wetlands'!CE36=list!$D$254),INDEX(Atwood!$A$2:$G$85,MATCH(country_selected,Atwood!$A$2:$A$85,0),MATCH(Atwood!$E$2,Atwood!$A$2:$G$2,0)),IF($C33=list!$B$262,INDEX(IPCC!$A$2162:$D$2173,MATCH(clim_moist,IPCC!$A$2162:$A$2173,0),MATCH(Coastal!$B33,IPCC!$A$2162:$D$2162,0)),IF($C33=list!$B$263,INDEX(IPCC!$A$2179:$D$2190,MATCH(clim_moist,IPCC!$A$2179:$A$2190,0),MATCH(Coastal!$B33,IPCC!$A$2179:$D$2179,0)),IF($C33=list!$B$264,INDEX(IPCC!$A$2196:$D$2207,MATCH(clim_moist,IPCC!$A$2196:$A$2207,0),MATCH(Coastal!$B33,IPCC!$A$2196:$D$2196,0)),0)))),0)</f>
        <v/>
      </c>
      <c r="N33" s="2202">
        <f>IF('7.Coastal wetlands'!CG31="",'7.Coastal wetlands'!CF31,'7.Coastal wetlands'!CG31)</f>
        <v/>
      </c>
      <c r="O33" s="2241">
        <f>IFERROR(INDEX(IPCC!$A$2213:$D$2224,MATCH(clim_moist,IPCC!$A$2213:$A$2224,0),MATCH(Coastal!$B33,IPCC!$A$2213:$D$2213,0)),0)</f>
        <v/>
      </c>
      <c r="P33" s="2242">
        <f>IF('7.Coastal wetlands'!CJ31="",'7.Coastal wetlands'!CI31,'7.Coastal wetlands'!CJ31)</f>
        <v/>
      </c>
      <c r="S33" s="1661" t="n"/>
      <c r="U33" s="2212" t="inlineStr">
        <is>
          <t>TOTAL (tCO2-eq)</t>
        </is>
      </c>
      <c r="V33" s="2213">
        <f>SUM(V31:V32)</f>
        <v/>
      </c>
      <c r="W33" s="2213">
        <f>SUM(W31:W32)</f>
        <v/>
      </c>
      <c r="X33" s="2213">
        <f>W33-V33</f>
        <v/>
      </c>
      <c r="Z33" s="2212" t="inlineStr">
        <is>
          <t>TOTAL (tCO2-eq)</t>
        </is>
      </c>
      <c r="AA33" s="2214">
        <f>SUM(AA31:AA32)</f>
        <v/>
      </c>
      <c r="AB33" s="2214">
        <f>SUM(AB31:AB32)</f>
        <v/>
      </c>
      <c r="AC33" s="2214">
        <f>SUM(AC31:AC32)</f>
        <v/>
      </c>
    </row>
    <row r="34">
      <c r="B34" s="2192">
        <f>B20</f>
        <v/>
      </c>
      <c r="C34" s="2192">
        <f>C20</f>
        <v/>
      </c>
      <c r="E34" s="4791">
        <f>IFERROR(INDEX(IPCC!$A$2093:$D$2104,MATCH(clim_moist,IPCC!$A$2093:$A$2104,0),MATCH(Coastal!$B34,IPCC!$A$2093:$D$2093,0)),0)*0.451</f>
        <v/>
      </c>
      <c r="F34" s="4792">
        <f>IF('7.Coastal wetlands'!BU32="",'7.Coastal wetlands'!BT32,'7.Coastal wetlands'!BU32)</f>
        <v/>
      </c>
      <c r="G34" s="4791">
        <f>IFERROR(INDEX(IPCC!$A$2111:$D$2122,MATCH(clim_moist,IPCC!$A$2111:$A$2122,0),MATCH(Coastal!$B34,IPCC!$A$2111:$D$2111,0)),0)*E34</f>
        <v/>
      </c>
      <c r="H34" s="4792">
        <f>IF('7.Coastal wetlands'!BW32="",'7.Coastal wetlands'!BV32,'7.Coastal wetlands'!BW32)</f>
        <v/>
      </c>
      <c r="I34" s="4791">
        <f>IFERROR(INDEX(IPCC!$A$2128:$D$2139,MATCH(clim_moist,IPCC!$A$2128:$A$2139,0),MATCH(Coastal!$B34,IPCC!$A$2128:$D$2128,0)),0)</f>
        <v/>
      </c>
      <c r="J34" s="4792">
        <f>IF('7.Coastal wetlands'!BY32="",'7.Coastal wetlands'!BX32,'7.Coastal wetlands'!BY32)</f>
        <v/>
      </c>
      <c r="K34" s="4791">
        <f>IFERROR(INDEX(IPCC!$A$2145:$D$2156,MATCH(clim_moist,IPCC!$A$2145:$A$2156,0),MATCH(Coastal!$B34,IPCC!$A$2145:$D$2145,0)),0)</f>
        <v/>
      </c>
      <c r="L34" s="4792">
        <f>IF('7.Coastal wetlands'!CA32="",'7.Coastal wetlands'!BZ32,'7.Coastal wetlands'!CA32)</f>
        <v/>
      </c>
      <c r="M34" s="2201">
        <f>IFERROR(IF(AND(B34="Mangrove",'7.Coastal wetlands'!CE37=list!$D$254),INDEX(Atwood!$A$2:$G$85,MATCH(country_selected,Atwood!$A$2:$A$85,0),MATCH(Atwood!$E$2,Atwood!$A$2:$G$2,0)),IF($C34=list!$B$262,INDEX(IPCC!$A$2162:$D$2173,MATCH(clim_moist,IPCC!$A$2162:$A$2173,0),MATCH(Coastal!$B34,IPCC!$A$2162:$D$2162,0)),IF($C34=list!$B$263,INDEX(IPCC!$A$2179:$D$2190,MATCH(clim_moist,IPCC!$A$2179:$A$2190,0),MATCH(Coastal!$B34,IPCC!$A$2179:$D$2179,0)),IF($C34=list!$B$264,INDEX(IPCC!$A$2196:$D$2207,MATCH(clim_moist,IPCC!$A$2196:$A$2207,0),MATCH(Coastal!$B34,IPCC!$A$2196:$D$2196,0)),0)))),0)</f>
        <v/>
      </c>
      <c r="N34" s="2202">
        <f>IF('7.Coastal wetlands'!CG32="",'7.Coastal wetlands'!CF32,'7.Coastal wetlands'!CG32)</f>
        <v/>
      </c>
      <c r="O34" s="2241">
        <f>IFERROR(INDEX(IPCC!$A$2213:$D$2224,MATCH(clim_moist,IPCC!$A$2213:$A$2224,0),MATCH(Coastal!$B34,IPCC!$A$2213:$D$2213,0)),0)</f>
        <v/>
      </c>
      <c r="P34" s="2242">
        <f>IF('7.Coastal wetlands'!CJ32="",'7.Coastal wetlands'!CI32,'7.Coastal wetlands'!CJ32)</f>
        <v/>
      </c>
    </row>
    <row r="35">
      <c r="B35" s="2192">
        <f>B21</f>
        <v/>
      </c>
      <c r="C35" s="2192">
        <f>C21</f>
        <v/>
      </c>
      <c r="E35" s="4791">
        <f>IFERROR(INDEX(IPCC!$A$2093:$D$2104,MATCH(clim_moist,IPCC!$A$2093:$A$2104,0),MATCH(Coastal!$B35,IPCC!$A$2093:$D$2093,0)),0)*0.451</f>
        <v/>
      </c>
      <c r="F35" s="4792">
        <f>IF('7.Coastal wetlands'!BU33="",'7.Coastal wetlands'!BT33,'7.Coastal wetlands'!BU33)</f>
        <v/>
      </c>
      <c r="G35" s="4791">
        <f>IFERROR(INDEX(IPCC!$A$2111:$D$2122,MATCH(clim_moist,IPCC!$A$2111:$A$2122,0),MATCH(Coastal!$B35,IPCC!$A$2111:$D$2111,0)),0)*E35</f>
        <v/>
      </c>
      <c r="H35" s="4792">
        <f>IF('7.Coastal wetlands'!BW33="",'7.Coastal wetlands'!BV33,'7.Coastal wetlands'!BW33)</f>
        <v/>
      </c>
      <c r="I35" s="4791">
        <f>IFERROR(INDEX(IPCC!$A$2128:$D$2139,MATCH(clim_moist,IPCC!$A$2128:$A$2139,0),MATCH(Coastal!$B35,IPCC!$A$2128:$D$2128,0)),0)</f>
        <v/>
      </c>
      <c r="J35" s="4792">
        <f>IF('7.Coastal wetlands'!BY33="",'7.Coastal wetlands'!BX33,'7.Coastal wetlands'!BY33)</f>
        <v/>
      </c>
      <c r="K35" s="4791">
        <f>IFERROR(INDEX(IPCC!$A$2145:$D$2156,MATCH(clim_moist,IPCC!$A$2145:$A$2156,0),MATCH(Coastal!$B35,IPCC!$A$2145:$D$2145,0)),0)</f>
        <v/>
      </c>
      <c r="L35" s="4792">
        <f>IF('7.Coastal wetlands'!CA33="",'7.Coastal wetlands'!BZ33,'7.Coastal wetlands'!CA33)</f>
        <v/>
      </c>
      <c r="M35" s="2201">
        <f>IFERROR(IF(AND(B35="Mangrove",'7.Coastal wetlands'!CE38=list!$D$254),INDEX(Atwood!$A$2:$G$85,MATCH(country_selected,Atwood!$A$2:$A$85,0),MATCH(Atwood!$E$2,Atwood!$A$2:$G$2,0)),IF($C35=list!$B$262,INDEX(IPCC!$A$2162:$D$2173,MATCH(clim_moist,IPCC!$A$2162:$A$2173,0),MATCH(Coastal!$B35,IPCC!$A$2162:$D$2162,0)),IF($C35=list!$B$263,INDEX(IPCC!$A$2179:$D$2190,MATCH(clim_moist,IPCC!$A$2179:$A$2190,0),MATCH(Coastal!$B35,IPCC!$A$2179:$D$2179,0)),IF($C35=list!$B$264,INDEX(IPCC!$A$2196:$D$2207,MATCH(clim_moist,IPCC!$A$2196:$A$2207,0),MATCH(Coastal!$B35,IPCC!$A$2196:$D$2196,0)),0)))),0)</f>
        <v/>
      </c>
      <c r="N35" s="2202">
        <f>IF('7.Coastal wetlands'!CG33="",'7.Coastal wetlands'!CF33,'7.Coastal wetlands'!CG33)</f>
        <v/>
      </c>
      <c r="O35" s="2241">
        <f>IFERROR(INDEX(IPCC!$A$2213:$D$2224,MATCH(clim_moist,IPCC!$A$2213:$A$2224,0),MATCH(Coastal!$B35,IPCC!$A$2213:$D$2213,0)),0)</f>
        <v/>
      </c>
      <c r="P35" s="2242">
        <f>IF('7.Coastal wetlands'!CJ33="",'7.Coastal wetlands'!CI33,'7.Coastal wetlands'!CJ33)</f>
        <v/>
      </c>
    </row>
    <row r="36">
      <c r="B36" s="2192">
        <f>B22</f>
        <v/>
      </c>
      <c r="C36" s="2192">
        <f>C22</f>
        <v/>
      </c>
      <c r="E36" s="4791">
        <f>IFERROR(INDEX(IPCC!$A$2093:$D$2104,MATCH(clim_moist,IPCC!$A$2093:$A$2104,0),MATCH(Coastal!$B36,IPCC!$A$2093:$D$2093,0)),0)*0.451</f>
        <v/>
      </c>
      <c r="F36" s="4792">
        <f>IF('7.Coastal wetlands'!BU34="",'7.Coastal wetlands'!BT34,'7.Coastal wetlands'!BU34)</f>
        <v/>
      </c>
      <c r="G36" s="4791">
        <f>IFERROR(INDEX(IPCC!$A$2111:$D$2122,MATCH(clim_moist,IPCC!$A$2111:$A$2122,0),MATCH(Coastal!$B36,IPCC!$A$2111:$D$2111,0)),0)*E36</f>
        <v/>
      </c>
      <c r="H36" s="4792">
        <f>IF('7.Coastal wetlands'!BW34="",'7.Coastal wetlands'!BV34,'7.Coastal wetlands'!BW34)</f>
        <v/>
      </c>
      <c r="I36" s="4791">
        <f>IFERROR(INDEX(IPCC!$A$2128:$D$2139,MATCH(clim_moist,IPCC!$A$2128:$A$2139,0),MATCH(Coastal!$B36,IPCC!$A$2128:$D$2128,0)),0)</f>
        <v/>
      </c>
      <c r="J36" s="4792">
        <f>IF('7.Coastal wetlands'!BY34="",'7.Coastal wetlands'!BX34,'7.Coastal wetlands'!BY34)</f>
        <v/>
      </c>
      <c r="K36" s="4791">
        <f>IFERROR(INDEX(IPCC!$A$2145:$D$2156,MATCH(clim_moist,IPCC!$A$2145:$A$2156,0),MATCH(Coastal!$B36,IPCC!$A$2145:$D$2145,0)),0)</f>
        <v/>
      </c>
      <c r="L36" s="4792">
        <f>IF('7.Coastal wetlands'!CA34="",'7.Coastal wetlands'!BZ34,'7.Coastal wetlands'!CA34)</f>
        <v/>
      </c>
      <c r="M36" s="2201">
        <f>IFERROR(IF(AND(B36="Mangrove",'7.Coastal wetlands'!CE39=list!$D$254),INDEX(Atwood!$A$2:$G$85,MATCH(country_selected,Atwood!$A$2:$A$85,0),MATCH(Atwood!$E$2,Atwood!$A$2:$G$2,0)),IF($C36=list!$B$262,INDEX(IPCC!$A$2162:$D$2173,MATCH(clim_moist,IPCC!$A$2162:$A$2173,0),MATCH(Coastal!$B36,IPCC!$A$2162:$D$2162,0)),IF($C36=list!$B$263,INDEX(IPCC!$A$2179:$D$2190,MATCH(clim_moist,IPCC!$A$2179:$A$2190,0),MATCH(Coastal!$B36,IPCC!$A$2179:$D$2179,0)),IF($C36=list!$B$264,INDEX(IPCC!$A$2196:$D$2207,MATCH(clim_moist,IPCC!$A$2196:$A$2207,0),MATCH(Coastal!$B36,IPCC!$A$2196:$D$2196,0)),0)))),0)</f>
        <v/>
      </c>
      <c r="N36" s="2202">
        <f>IF('7.Coastal wetlands'!CG34="",'7.Coastal wetlands'!CF34,'7.Coastal wetlands'!CG34)</f>
        <v/>
      </c>
      <c r="O36" s="2241">
        <f>IFERROR(INDEX(IPCC!$A$2213:$D$2224,MATCH(clim_moist,IPCC!$A$2213:$A$2224,0),MATCH(Coastal!$B36,IPCC!$A$2213:$D$2213,0)),0)</f>
        <v/>
      </c>
      <c r="P36" s="2242">
        <f>IF('7.Coastal wetlands'!CJ34="",'7.Coastal wetlands'!CI34,'7.Coastal wetlands'!CJ34)</f>
        <v/>
      </c>
    </row>
    <row r="39">
      <c r="E39" s="2193" t="inlineStr">
        <is>
          <t>Area (ha)</t>
        </is>
      </c>
      <c r="F39" s="2193" t="n"/>
      <c r="G39" s="2193" t="n"/>
      <c r="H39" s="2194" t="n"/>
      <c r="I39" s="2194" t="n"/>
      <c r="K39" s="2195" t="inlineStr">
        <is>
          <t>Stock C biomass</t>
        </is>
      </c>
      <c r="L39" s="2195" t="n"/>
      <c r="O39" s="2195" t="inlineStr">
        <is>
          <t>Total biomass lost (tCO2)</t>
        </is>
      </c>
      <c r="U39" s="2192" t="inlineStr">
        <is>
          <t>Implementation phase</t>
        </is>
      </c>
    </row>
    <row r="40">
      <c r="B40" s="2195">
        <f>B30</f>
        <v/>
      </c>
      <c r="C40" s="2195">
        <f>C30</f>
        <v/>
      </c>
      <c r="D40" s="1661" t="n"/>
      <c r="E40" s="1661" t="inlineStr">
        <is>
          <t>Start</t>
        </is>
      </c>
      <c r="F40" s="1661" t="inlineStr">
        <is>
          <t>Without</t>
        </is>
      </c>
      <c r="G40" s="2192" t="inlineStr">
        <is>
          <t>Rate</t>
        </is>
      </c>
      <c r="H40" s="1661" t="inlineStr">
        <is>
          <t>With</t>
        </is>
      </c>
      <c r="I40" s="2192" t="inlineStr">
        <is>
          <t>Rate</t>
        </is>
      </c>
      <c r="K40" s="1661" t="inlineStr">
        <is>
          <t>Start</t>
        </is>
      </c>
      <c r="L40" s="1661" t="inlineStr">
        <is>
          <t>Without</t>
        </is>
      </c>
      <c r="M40" s="2192" t="inlineStr">
        <is>
          <t>With</t>
        </is>
      </c>
      <c r="O40" s="2215" t="inlineStr">
        <is>
          <t>Without</t>
        </is>
      </c>
      <c r="P40" s="2216" t="inlineStr">
        <is>
          <t>With</t>
        </is>
      </c>
      <c r="Q40" s="2217" t="inlineStr">
        <is>
          <t>Balance</t>
        </is>
      </c>
      <c r="U40" s="2215" t="inlineStr">
        <is>
          <t>Without</t>
        </is>
      </c>
      <c r="V40" s="2216" t="inlineStr">
        <is>
          <t>With</t>
        </is>
      </c>
    </row>
    <row r="41">
      <c r="B41" s="2192">
        <f>B31</f>
        <v/>
      </c>
      <c r="C41" s="2192">
        <f>C31</f>
        <v/>
      </c>
      <c r="E41" s="2225">
        <f>'7.Coastal wetlands'!N29</f>
        <v/>
      </c>
      <c r="F41" s="2225">
        <f>'7.Coastal wetlands'!P29</f>
        <v/>
      </c>
      <c r="G41" s="2192">
        <f>VLOOKUP('7.Coastal wetlands'!I29, list!$I$48:$J$50,2,FALSE )</f>
        <v/>
      </c>
      <c r="H41" s="2225">
        <f>'7.Coastal wetlands'!R29</f>
        <v/>
      </c>
      <c r="I41" s="2192">
        <f>VLOOKUP('7.Coastal wetlands'!K29, list!$I$48:$J$50,2,FALSE )</f>
        <v/>
      </c>
      <c r="K41" s="2218" t="n">
        <v>0</v>
      </c>
      <c r="L41" s="2218">
        <f>SUM($F31,$H31,$J31,$L31)*$F41</f>
        <v/>
      </c>
      <c r="M41" s="2218">
        <f>SUM($F31,$H31,$J31,$L31)*$H41</f>
        <v/>
      </c>
      <c r="O41" s="2218">
        <f>(L41-K41)*44/12</f>
        <v/>
      </c>
      <c r="P41" s="2222">
        <f>(M41-K41)*44/12</f>
        <v/>
      </c>
      <c r="Q41" s="2223">
        <f>P41-O41</f>
        <v/>
      </c>
      <c r="U41" s="2225">
        <f>O41</f>
        <v/>
      </c>
      <c r="V41" s="2225">
        <f>P41</f>
        <v/>
      </c>
    </row>
    <row r="42">
      <c r="B42" s="2192">
        <f>B32</f>
        <v/>
      </c>
      <c r="C42" s="2192">
        <f>C32</f>
        <v/>
      </c>
      <c r="E42" s="2225">
        <f>'7.Coastal wetlands'!N30</f>
        <v/>
      </c>
      <c r="F42" s="2225">
        <f>'7.Coastal wetlands'!P30</f>
        <v/>
      </c>
      <c r="G42" s="2192">
        <f>VLOOKUP('7.Coastal wetlands'!I30, list!$I$48:$J$50,2,FALSE )</f>
        <v/>
      </c>
      <c r="H42" s="2225">
        <f>'7.Coastal wetlands'!R30</f>
        <v/>
      </c>
      <c r="I42" s="2192">
        <f>VLOOKUP('7.Coastal wetlands'!K30, list!$I$48:$J$50,2,FALSE )</f>
        <v/>
      </c>
      <c r="K42" s="2218" t="n">
        <v>0</v>
      </c>
      <c r="L42" s="2218">
        <f>SUM($F32,$H32,$J32,$L32)*$F42</f>
        <v/>
      </c>
      <c r="M42" s="2218">
        <f>SUM($F32,$H32,$J32,$L32)*$H42</f>
        <v/>
      </c>
      <c r="O42" s="2226">
        <f>(L42-K42)*44/12</f>
        <v/>
      </c>
      <c r="P42" s="2230">
        <f>(M42-K42)*44/12</f>
        <v/>
      </c>
      <c r="Q42" s="2231">
        <f>P42-O42</f>
        <v/>
      </c>
      <c r="U42" s="2225">
        <f>O42</f>
        <v/>
      </c>
      <c r="V42" s="2225">
        <f>P42</f>
        <v/>
      </c>
    </row>
    <row r="43">
      <c r="B43" s="2192">
        <f>B33</f>
        <v/>
      </c>
      <c r="C43" s="2192">
        <f>C33</f>
        <v/>
      </c>
      <c r="E43" s="2225">
        <f>'7.Coastal wetlands'!N31</f>
        <v/>
      </c>
      <c r="F43" s="2225">
        <f>'7.Coastal wetlands'!P31</f>
        <v/>
      </c>
      <c r="G43" s="2192">
        <f>VLOOKUP('7.Coastal wetlands'!I31, list!$I$48:$J$50,2,FALSE )</f>
        <v/>
      </c>
      <c r="H43" s="2225">
        <f>'7.Coastal wetlands'!R31</f>
        <v/>
      </c>
      <c r="I43" s="2192">
        <f>VLOOKUP('7.Coastal wetlands'!K31, list!$I$48:$J$50,2,FALSE )</f>
        <v/>
      </c>
      <c r="K43" s="2218" t="n">
        <v>0</v>
      </c>
      <c r="L43" s="2218">
        <f>SUM($F33,$H33,$J33,$L33)*$F43</f>
        <v/>
      </c>
      <c r="M43" s="2218">
        <f>SUM($F33,$H33,$J33,$L33)*$H43</f>
        <v/>
      </c>
      <c r="O43" s="2226">
        <f>(L43-K43)*44/12</f>
        <v/>
      </c>
      <c r="P43" s="2230">
        <f>(M43-K43)*44/12</f>
        <v/>
      </c>
      <c r="Q43" s="2231">
        <f>P43-O43</f>
        <v/>
      </c>
      <c r="U43" s="2225">
        <f>O43</f>
        <v/>
      </c>
      <c r="V43" s="2225">
        <f>P43</f>
        <v/>
      </c>
    </row>
    <row r="44">
      <c r="B44" s="2192">
        <f>B34</f>
        <v/>
      </c>
      <c r="C44" s="2192">
        <f>C34</f>
        <v/>
      </c>
      <c r="E44" s="2225">
        <f>'7.Coastal wetlands'!N32</f>
        <v/>
      </c>
      <c r="F44" s="2225">
        <f>'7.Coastal wetlands'!P32</f>
        <v/>
      </c>
      <c r="G44" s="2192">
        <f>VLOOKUP('7.Coastal wetlands'!I32, list!$I$48:$J$50,2,FALSE )</f>
        <v/>
      </c>
      <c r="H44" s="2225">
        <f>'7.Coastal wetlands'!R32</f>
        <v/>
      </c>
      <c r="I44" s="2192">
        <f>VLOOKUP('7.Coastal wetlands'!K32, list!$I$48:$J$50,2,FALSE )</f>
        <v/>
      </c>
      <c r="K44" s="2218" t="n">
        <v>0</v>
      </c>
      <c r="L44" s="2218">
        <f>SUM($F34,$H34,$J34,$L34)*$F44</f>
        <v/>
      </c>
      <c r="M44" s="2218">
        <f>SUM($F34,$H34,$J34,$L34)*$H44</f>
        <v/>
      </c>
      <c r="O44" s="2226">
        <f>(L44-K44)*44/12</f>
        <v/>
      </c>
      <c r="P44" s="2230">
        <f>(M44-K44)*44/12</f>
        <v/>
      </c>
      <c r="Q44" s="2231">
        <f>P44-O44</f>
        <v/>
      </c>
      <c r="U44" s="2225">
        <f>O44</f>
        <v/>
      </c>
      <c r="V44" s="2225">
        <f>P44</f>
        <v/>
      </c>
    </row>
    <row r="45">
      <c r="B45" s="2192">
        <f>B35</f>
        <v/>
      </c>
      <c r="C45" s="2192">
        <f>C35</f>
        <v/>
      </c>
      <c r="E45" s="2225">
        <f>'7.Coastal wetlands'!N33</f>
        <v/>
      </c>
      <c r="F45" s="2225">
        <f>'7.Coastal wetlands'!P33</f>
        <v/>
      </c>
      <c r="G45" s="2192">
        <f>VLOOKUP('7.Coastal wetlands'!I33, list!$I$48:$J$50,2,FALSE )</f>
        <v/>
      </c>
      <c r="H45" s="2225">
        <f>'7.Coastal wetlands'!R33</f>
        <v/>
      </c>
      <c r="I45" s="2192">
        <f>VLOOKUP('7.Coastal wetlands'!K33, list!$I$48:$J$50,2,FALSE )</f>
        <v/>
      </c>
      <c r="K45" s="2218" t="n">
        <v>0</v>
      </c>
      <c r="L45" s="2218">
        <f>SUM($F35,$H35,$J35,$L35)*$F45</f>
        <v/>
      </c>
      <c r="M45" s="2218">
        <f>SUM($F35,$H35,$J35,$L35)*$H45</f>
        <v/>
      </c>
      <c r="O45" s="2226">
        <f>(L45-K45)*44/12</f>
        <v/>
      </c>
      <c r="P45" s="2230">
        <f>(M45-K45)*44/12</f>
        <v/>
      </c>
      <c r="Q45" s="2231">
        <f>P45-O45</f>
        <v/>
      </c>
      <c r="U45" s="2225">
        <f>O45</f>
        <v/>
      </c>
      <c r="V45" s="2225">
        <f>P45</f>
        <v/>
      </c>
    </row>
    <row r="46">
      <c r="B46" s="2192">
        <f>B36</f>
        <v/>
      </c>
      <c r="C46" s="2192">
        <f>C36</f>
        <v/>
      </c>
      <c r="E46" s="2225">
        <f>'7.Coastal wetlands'!N34</f>
        <v/>
      </c>
      <c r="F46" s="2225">
        <f>'7.Coastal wetlands'!P34</f>
        <v/>
      </c>
      <c r="G46" s="2192">
        <f>VLOOKUP('7.Coastal wetlands'!I34, list!$I$48:$J$50,2,FALSE )</f>
        <v/>
      </c>
      <c r="H46" s="2225">
        <f>'7.Coastal wetlands'!R34</f>
        <v/>
      </c>
      <c r="I46" s="2192">
        <f>VLOOKUP('7.Coastal wetlands'!K34, list!$I$48:$J$50,2,FALSE )</f>
        <v/>
      </c>
      <c r="K46" s="2218" t="n">
        <v>0</v>
      </c>
      <c r="L46" s="2218">
        <f>SUM($F36,$H36,$J36,$L36)*$F46</f>
        <v/>
      </c>
      <c r="M46" s="2218">
        <f>SUM($F36,$H36,$J36,$L36)*$H46</f>
        <v/>
      </c>
      <c r="O46" s="2232">
        <f>(L46-K46)*44/12</f>
        <v/>
      </c>
      <c r="P46" s="2236">
        <f>(M46-K46)*44/12</f>
        <v/>
      </c>
      <c r="Q46" s="2237">
        <f>P46-O46</f>
        <v/>
      </c>
      <c r="U46" s="2225">
        <f>O46</f>
        <v/>
      </c>
      <c r="V46" s="2225">
        <f>P46</f>
        <v/>
      </c>
    </row>
    <row r="49">
      <c r="E49" s="2193" t="inlineStr">
        <is>
          <t>Area (ha)</t>
        </is>
      </c>
      <c r="F49" s="2193" t="n"/>
      <c r="G49" s="2193" t="n"/>
      <c r="H49" s="2194" t="n"/>
      <c r="I49" s="2194" t="n"/>
      <c r="K49" s="2195" t="inlineStr">
        <is>
          <t>Maximum soil CO2 emissions</t>
        </is>
      </c>
      <c r="O49" s="2192" t="inlineStr">
        <is>
          <t>Total soil emissions (tCO2eq)</t>
        </is>
      </c>
      <c r="U49" s="2192" t="inlineStr">
        <is>
          <t>Implementation phase</t>
        </is>
      </c>
    </row>
    <row r="50">
      <c r="B50" s="2195">
        <f>B40</f>
        <v/>
      </c>
      <c r="C50" s="2195">
        <f>C40</f>
        <v/>
      </c>
      <c r="E50" s="1661">
        <f>E40</f>
        <v/>
      </c>
      <c r="F50" s="1661">
        <f>F40</f>
        <v/>
      </c>
      <c r="G50" s="1661">
        <f>G40</f>
        <v/>
      </c>
      <c r="H50" s="1661">
        <f>H40</f>
        <v/>
      </c>
      <c r="I50" s="1661">
        <f>I40</f>
        <v/>
      </c>
      <c r="K50" s="1661" t="inlineStr">
        <is>
          <t>Year</t>
        </is>
      </c>
      <c r="L50" s="1661" t="inlineStr">
        <is>
          <t>tCO2/ha</t>
        </is>
      </c>
      <c r="M50" s="1661" t="n"/>
      <c r="O50" s="2215" t="inlineStr">
        <is>
          <t>Without</t>
        </is>
      </c>
      <c r="P50" s="2216" t="inlineStr">
        <is>
          <t>With</t>
        </is>
      </c>
      <c r="Q50" s="2217" t="inlineStr">
        <is>
          <t>Balance</t>
        </is>
      </c>
      <c r="U50" s="2215" t="inlineStr">
        <is>
          <t>Without</t>
        </is>
      </c>
      <c r="V50" s="2216" t="inlineStr">
        <is>
          <t>With</t>
        </is>
      </c>
    </row>
    <row r="51">
      <c r="B51" s="2192">
        <f>B41</f>
        <v/>
      </c>
      <c r="C51" s="2192">
        <f>C41</f>
        <v/>
      </c>
      <c r="E51" s="1661" t="n">
        <v>0</v>
      </c>
      <c r="F51" s="1661">
        <f>F41</f>
        <v/>
      </c>
      <c r="G51" s="1661">
        <f>G41</f>
        <v/>
      </c>
      <c r="H51" s="1661">
        <f>H41</f>
        <v/>
      </c>
      <c r="I51" s="1661">
        <f>I41</f>
        <v/>
      </c>
      <c r="K51" s="2243">
        <f>IF(P31=0,1000,INT(N31/P31))</f>
        <v/>
      </c>
      <c r="L51" s="2244">
        <f>N31*44/12</f>
        <v/>
      </c>
      <c r="O51" s="2218">
        <f>MIN(MAX($E51,$F51)*$L51,$O31*(44/12)*((MIN($E51,$F51)*MIN($K51,time_tot))+IF($G51="immediate",IF($F51&gt;$E51,$F51*MIN($K51,time_tot),0),IF($E51&gt;$F51,($E51-$F51)*IF(time&gt;$K51,IF($G51="linear",time-((time-$K51)^2)/(2*time),(0.215*time)-(time/4.6)*(EXP(-92.1/time)-0.01)),time*(1-VLOOKUP($G51,list!$J$48:$K$50,2,))),($F51-$E51)*IF(time_tot&gt;time+$K51,$K51,IF(time_tot&lt;$K51,(time*VLOOKUP($G51,list!$J$48:$K$50,2,))+(time_tot-time),((MIN($K51,time)))))))))</f>
        <v/>
      </c>
      <c r="P51" s="2221">
        <f>MIN(MAX($E51,$H51)*$L51,$O31*(44/12)*((MIN($E51,$H51)*MIN($K51,time_tot))+IF($I51="immediate",IF($H51&gt;$E51,$H51*MIN($K51,time_tot),0),IF($E51&gt;$H51,($E51-$H51)*IF(time&gt;$K51,IF($I51="linear",time-((time-$K51)^2)/(2*time),(0.215*time)-(time/4.6)*(EXP(-92.1/time)-0.01)),time*(1-VLOOKUP($I51,list!$J$48:$K$50,2,))),($H51-$E51)*IF(time_tot&gt;time+$K51,$K51,IF(time_tot&lt;$K51,(time*VLOOKUP($I51,list!$J$48:$K$50,2,))+(time_tot-time),((MIN($K51,time)))))))))</f>
        <v/>
      </c>
      <c r="Q51" s="2240">
        <f>P51-O51</f>
        <v/>
      </c>
      <c r="U51" s="2225">
        <f>IFERROR(MIN(MAX($E51,$F51)*$L51,$P31*(44/12)*((MIN($E51,$F51)*MIN($K51,time))+IF($G51="immediate",IF($F51&gt;$E51,$F51*MIN($K51,time),0),IF($E51&gt;$F51,($E51-$F51)*IF(time&gt;$K51,IF($G51="linear",time-((time-$K51)^2)/(2*time),(0.215*time)-(time/4.6)*(EXP(-92.1/time)-0.01)),time*(1-VLOOKUP($G51,list!$E$35:$F$37,2,))),($F51-$E51)*IF(time&gt;time+$K51,$K51,IF(time&lt;$K51,(time*VLOOKUP($G51,list!$E$35:$F$37,2,))+(time-time),((MIN($K51,time))))))))),0)</f>
        <v/>
      </c>
      <c r="V51" s="2225">
        <f>IFERROR(MIN(MAX($E51,$H51)*$L51,$P31*(44/12)*((MIN($E51,$H51)*MIN($K51,time))+IF($I51="immediate",IF($H51&gt;$E51,$H51*MIN($K51,time),0),IF($E51&gt;$H51,($E51-$H51)*IF(time&gt;$K51,IF($I51="linear",time-((time-$K51)^2)/(2*time),(0.215*time)-(time/4.6)*(EXP(-92.1/time)-0.01)),time*(1-VLOOKUP($I51,list!$E$35:$F$37,2,))),($H51-$E51)*IF(time&gt;time+$K51,$K51,IF(time&lt;$K51,(time*VLOOKUP($I51,list!$E$35:$F$37,2,))+(time-time),((MIN($K51,time))))))))),0)</f>
        <v/>
      </c>
    </row>
    <row r="52">
      <c r="B52" s="2192">
        <f>B42</f>
        <v/>
      </c>
      <c r="C52" s="2192">
        <f>C42</f>
        <v/>
      </c>
      <c r="E52" s="1661" t="n">
        <v>0</v>
      </c>
      <c r="F52" s="1661">
        <f>F42</f>
        <v/>
      </c>
      <c r="G52" s="1661">
        <f>G42</f>
        <v/>
      </c>
      <c r="H52" s="1661">
        <f>H42</f>
        <v/>
      </c>
      <c r="I52" s="1661">
        <f>I42</f>
        <v/>
      </c>
      <c r="K52" s="2245">
        <f>IF(P32=0,1000,INT(N32/P32))</f>
        <v/>
      </c>
      <c r="L52" s="2246">
        <f>N32*44/12</f>
        <v/>
      </c>
      <c r="O52" s="2226">
        <f>MIN(MAX($E52,$F52)*$L52,$O32*(44/12)*((MIN($E52,$F52)*MIN($K52,time_tot))+IF($G52="immediate",IF($F52&gt;$E52,$F52*MIN($K52,time_tot),0),IF($E52&gt;$F52,($E52-$F52)*IF(time&gt;$K52,IF($G52="linear",time-((time-$K52)^2)/(2*time),(0.215*time)-(time/4.6)*(EXP(-92.1/time)-0.01)),time*(1-VLOOKUP($G52,list!$J$48:$K$50,2,))),($F52-$E52)*IF(time_tot&gt;time+$K52,$K52,IF(time_tot&lt;$K52,(time*VLOOKUP($G52,list!$J$48:$K$50,2,))+(time_tot-time),((MIN($K52,time)))))))))</f>
        <v/>
      </c>
      <c r="P52" s="2229">
        <f>MIN(MAX($E52,$H52)*$L52,$O32*(44/12)*((MIN($E52,$H52)*MIN($K52,time_tot))+IF($I52="immediate",IF($H52&gt;$E52,$H52*MIN($K52,time_tot),0),IF($E52&gt;$H52,($E52-$H52)*IF(time&gt;$K52,IF($I52="linear",time-((time-$K52)^2)/(2*time),(0.215*time)-(time/4.6)*(EXP(-92.1/time)-0.01)),time*(1-VLOOKUP($I52,list!$J$48:$K$50,2,))),($H52-$E52)*IF(time_tot&gt;time+$K52,$K52,IF(time_tot&lt;$K52,(time*VLOOKUP($I52,list!$J$48:$K$50,2,))+(time_tot-time),((MIN($K52,time)))))))))</f>
        <v/>
      </c>
      <c r="Q52" s="2240">
        <f>P52-O52</f>
        <v/>
      </c>
      <c r="U52" s="2225">
        <f>IFERROR(MIN(MAX($E52,$F52)*$L52,$P32*(44/12)*((MIN($E52,$F52)*MIN($K52,time))+IF($G52="immediate",IF($F52&gt;$E52,$F52*MIN($K52,time),0),IF($E52&gt;$F52,($E52-$F52)*IF(time&gt;$K52,IF($G52="linear",time-((time-$K52)^2)/(2*time),(0.215*time)-(time/4.6)*(EXP(-92.1/time)-0.01)),time*(1-VLOOKUP($G52,list!$E$35:$F$37,2,))),($F52-$E52)*IF(time&gt;time+$K52,$K52,IF(time&lt;$K52,(time*VLOOKUP($G52,list!$E$35:$F$37,2,))+(time-time),((MIN($K52,time))))))))),0)</f>
        <v/>
      </c>
      <c r="V52" s="2225">
        <f>IFERROR(MIN(MAX($E52,$H52)*$L52,$P32*(44/12)*((MIN($E52,$H52)*MIN($K52,time))+IF($I52="immediate",IF($H52&gt;$E52,$H52*MIN($K52,time),0),IF($E52&gt;$H52,($E52-$H52)*IF(time&gt;$K52,IF($I52="linear",time-((time-$K52)^2)/(2*time),(0.215*time)-(time/4.6)*(EXP(-92.1/time)-0.01)),time*(1-VLOOKUP($I52,list!$E$35:$F$37,2,))),($H52-$E52)*IF(time&gt;time+$K52,$K52,IF(time&lt;$K52,(time*VLOOKUP($I52,list!$E$35:$F$37,2,))+(time-time),((MIN($K52,time))))))))),0)</f>
        <v/>
      </c>
    </row>
    <row r="53">
      <c r="B53" s="2192">
        <f>B43</f>
        <v/>
      </c>
      <c r="C53" s="2192">
        <f>C43</f>
        <v/>
      </c>
      <c r="E53" s="1661" t="n">
        <v>0</v>
      </c>
      <c r="F53" s="1661">
        <f>F43</f>
        <v/>
      </c>
      <c r="G53" s="1661">
        <f>G43</f>
        <v/>
      </c>
      <c r="H53" s="1661">
        <f>H43</f>
        <v/>
      </c>
      <c r="I53" s="1661">
        <f>I43</f>
        <v/>
      </c>
      <c r="K53" s="2245">
        <f>IF(P33=0,1000,INT(N33/P33))</f>
        <v/>
      </c>
      <c r="L53" s="2246">
        <f>N33*44/12</f>
        <v/>
      </c>
      <c r="O53" s="2226">
        <f>MIN(MAX($E53,$F53)*$L53,$O33*(44/12)*((MIN($E53,$F53)*MIN($K53,time_tot))+IF($G53="immediate",IF($F53&gt;$E53,$F53*MIN($K53,time_tot),0),IF($E53&gt;$F53,($E53-$F53)*IF(time&gt;$K53,IF($G53="linear",time-((time-$K53)^2)/(2*time),(0.215*time)-(time/4.6)*(EXP(-92.1/time)-0.01)),time*(1-VLOOKUP($G53,list!$J$48:$K$50,2,))),($F53-$E53)*IF(time_tot&gt;time+$K53,$K53,IF(time_tot&lt;$K53,(time*VLOOKUP($G53,list!$J$48:$K$50,2,))+(time_tot-time),((MIN($K53,time)))))))))</f>
        <v/>
      </c>
      <c r="P53" s="2229">
        <f>MIN(MAX($E53,$H53)*$L53,$O33*(44/12)*((MIN($E53,$H53)*MIN($K53,time_tot))+IF($I53="immediate",IF($H53&gt;$E53,$H53*MIN($K53,time_tot),0),IF($E53&gt;$H53,($E53-$H53)*IF(time&gt;$K53,IF($I53="linear",time-((time-$K53)^2)/(2*time),(0.215*time)-(time/4.6)*(EXP(-92.1/time)-0.01)),time*(1-VLOOKUP($I53,list!$J$48:$K$50,2,))),($H53-$E53)*IF(time_tot&gt;time+$K53,$K53,IF(time_tot&lt;$K53,(time*VLOOKUP($I53,list!$J$48:$K$50,2,))+(time_tot-time),((MIN($K53,time)))))))))</f>
        <v/>
      </c>
      <c r="Q53" s="2240">
        <f>P53-O53</f>
        <v/>
      </c>
      <c r="U53" s="2225">
        <f>IFERROR(MIN(MAX($E53,$F53)*$L53,$P33*(44/12)*((MIN($E53,$F53)*MIN($K53,time))+IF($G53="immediate",IF($F53&gt;$E53,$F53*MIN($K53,time),0),IF($E53&gt;$F53,($E53-$F53)*IF(time&gt;$K53,IF($G53="linear",time-((time-$K53)^2)/(2*time),(0.215*time)-(time/4.6)*(EXP(-92.1/time)-0.01)),time*(1-VLOOKUP($G53,list!$E$35:$F$37,2,))),($F53-$E53)*IF(time&gt;time+$K53,$K53,IF(time&lt;$K53,(time*VLOOKUP($G53,list!$E$35:$F$37,2,))+(time-time),((MIN($K53,time))))))))),0)</f>
        <v/>
      </c>
      <c r="V53" s="2225">
        <f>IFERROR(MIN(MAX($E53,$H53)*$L53,$P33*(44/12)*((MIN($E53,$H53)*MIN($K53,time))+IF($I53="immediate",IF($H53&gt;$E53,$H53*MIN($K53,time),0),IF($E53&gt;$H53,($E53-$H53)*IF(time&gt;$K53,IF($I53="linear",time-((time-$K53)^2)/(2*time),(0.215*time)-(time/4.6)*(EXP(-92.1/time)-0.01)),time*(1-VLOOKUP($I53,list!$E$35:$F$37,2,))),($H53-$E53)*IF(time&gt;time+$K53,$K53,IF(time&lt;$K53,(time*VLOOKUP($I53,list!$E$35:$F$37,2,))+(time-time),((MIN($K53,time))))))))),0)</f>
        <v/>
      </c>
    </row>
    <row r="54">
      <c r="B54" s="2192">
        <f>B44</f>
        <v/>
      </c>
      <c r="C54" s="2192">
        <f>C44</f>
        <v/>
      </c>
      <c r="E54" s="1661" t="n">
        <v>0</v>
      </c>
      <c r="F54" s="1661">
        <f>F44</f>
        <v/>
      </c>
      <c r="G54" s="1661">
        <f>G44</f>
        <v/>
      </c>
      <c r="H54" s="1661">
        <f>H44</f>
        <v/>
      </c>
      <c r="I54" s="1661">
        <f>I44</f>
        <v/>
      </c>
      <c r="K54" s="2245">
        <f>IF(P34=0,1000,INT(N34/P34))</f>
        <v/>
      </c>
      <c r="L54" s="2246">
        <f>N34*44/12</f>
        <v/>
      </c>
      <c r="O54" s="2226">
        <f>MIN(MAX($E54,$F54)*$L54,$O34*(44/12)*((MIN($E54,$F54)*MIN($K54,time_tot))+IF($G54="immediate",IF($F54&gt;$E54,$F54*MIN($K54,time_tot),0),IF($E54&gt;$F54,($E54-$F54)*IF(time&gt;$K54,IF($G54="linear",time-((time-$K54)^2)/(2*time),(0.215*time)-(time/4.6)*(EXP(-92.1/time)-0.01)),time*(1-VLOOKUP($G54,list!$J$48:$K$50,2,))),($F54-$E54)*IF(time_tot&gt;time+$K54,$K54,IF(time_tot&lt;$K54,(time*VLOOKUP($G54,list!$J$48:$K$50,2,))+(time_tot-time),((MIN($K54,time)))))))))</f>
        <v/>
      </c>
      <c r="P54" s="2229">
        <f>MIN(MAX($E54,$H54)*$L54,$O34*(44/12)*((MIN($E54,$H54)*MIN($K54,time_tot))+IF($I54="immediate",IF($H54&gt;$E54,$H54*MIN($K54,time_tot),0),IF($E54&gt;$H54,($E54-$H54)*IF(time&gt;$K54,IF($I54="linear",time-((time-$K54)^2)/(2*time),(0.215*time)-(time/4.6)*(EXP(-92.1/time)-0.01)),time*(1-VLOOKUP($I54,list!$J$48:$K$50,2,))),($H54-$E54)*IF(time_tot&gt;time+$K54,$K54,IF(time_tot&lt;$K54,(time*VLOOKUP($I54,list!$J$48:$K$50,2,))+(time_tot-time),((MIN($K54,time)))))))))</f>
        <v/>
      </c>
      <c r="Q54" s="2240">
        <f>P54-O54</f>
        <v/>
      </c>
      <c r="U54" s="2225">
        <f>IFERROR(MIN(MAX($E54,$F54)*$L54,$P34*(44/12)*((MIN($E54,$F54)*MIN($K54,time))+IF($G54="immediate",IF($F54&gt;$E54,$F54*MIN($K54,time),0),IF($E54&gt;$F54,($E54-$F54)*IF(time&gt;$K54,IF($G54="linear",time-((time-$K54)^2)/(2*time),(0.215*time)-(time/4.6)*(EXP(-92.1/time)-0.01)),time*(1-VLOOKUP($G54,list!$E$35:$F$37,2,))),($F54-$E54)*IF(time&gt;time+$K54,$K54,IF(time&lt;$K54,(time*VLOOKUP($G54,list!$E$35:$F$37,2,))+(time-time),((MIN($K54,time))))))))),0)</f>
        <v/>
      </c>
      <c r="V54" s="2225">
        <f>IFERROR(MIN(MAX($E54,$H54)*$L54,$P34*(44/12)*((MIN($E54,$H54)*MIN($K54,time))+IF($I54="immediate",IF($H54&gt;$E54,$H54*MIN($K54,time),0),IF($E54&gt;$H54,($E54-$H54)*IF(time&gt;$K54,IF($I54="linear",time-((time-$K54)^2)/(2*time),(0.215*time)-(time/4.6)*(EXP(-92.1/time)-0.01)),time*(1-VLOOKUP($I54,list!$E$35:$F$37,2,))),($H54-$E54)*IF(time&gt;time+$K54,$K54,IF(time&lt;$K54,(time*VLOOKUP($I54,list!$E$35:$F$37,2,))+(time-time),((MIN($K54,time))))))))),0)</f>
        <v/>
      </c>
    </row>
    <row r="55">
      <c r="B55" s="2192">
        <f>B45</f>
        <v/>
      </c>
      <c r="C55" s="2192">
        <f>C45</f>
        <v/>
      </c>
      <c r="E55" s="1661" t="n">
        <v>0</v>
      </c>
      <c r="F55" s="1661">
        <f>F45</f>
        <v/>
      </c>
      <c r="G55" s="1661">
        <f>G45</f>
        <v/>
      </c>
      <c r="H55" s="1661">
        <f>H45</f>
        <v/>
      </c>
      <c r="I55" s="1661">
        <f>I45</f>
        <v/>
      </c>
      <c r="K55" s="2245">
        <f>IF(P35=0,1000,INT(N35/P35))</f>
        <v/>
      </c>
      <c r="L55" s="2246">
        <f>N35*44/12</f>
        <v/>
      </c>
      <c r="O55" s="2226">
        <f>MIN(MAX($E55,$F55)*$L55,$O35*(44/12)*((MIN($E55,$F55)*MIN($K55,time_tot))+IF($G55="immediate",IF($F55&gt;$E55,$F55*MIN($K55,time_tot),0),IF($E55&gt;$F55,($E55-$F55)*IF(time&gt;$K55,IF($G55="linear",time-((time-$K55)^2)/(2*time),(0.215*time)-(time/4.6)*(EXP(-92.1/time)-0.01)),time*(1-VLOOKUP($G55,list!$J$48:$K$50,2,))),($F55-$E55)*IF(time_tot&gt;time+$K55,$K55,IF(time_tot&lt;$K55,(time*VLOOKUP($G55,list!$J$48:$K$50,2,))+(time_tot-time),((MIN($K55,time)))))))))</f>
        <v/>
      </c>
      <c r="P55" s="2229">
        <f>MIN(MAX($E55,$H55)*$L55,$O35*(44/12)*((MIN($E55,$H55)*MIN($K55,time_tot))+IF($I55="immediate",IF($H55&gt;$E55,$H55*MIN($K55,time_tot),0),IF($E55&gt;$H55,($E55-$H55)*IF(time&gt;$K55,IF($I55="linear",time-((time-$K55)^2)/(2*time),(0.215*time)-(time/4.6)*(EXP(-92.1/time)-0.01)),time*(1-VLOOKUP($I55,list!$J$48:$K$50,2,))),($H55-$E55)*IF(time_tot&gt;time+$K55,$K55,IF(time_tot&lt;$K55,(time*VLOOKUP($I55,list!$J$48:$K$50,2,))+(time_tot-time),((MIN($K55,time)))))))))</f>
        <v/>
      </c>
      <c r="Q55" s="2240">
        <f>P55-O55</f>
        <v/>
      </c>
      <c r="U55" s="2225">
        <f>IFERROR(MIN(MAX($E55,$F55)*$L55,$P35*(44/12)*((MIN($E55,$F55)*MIN($K55,time))+IF($G55="immediate",IF($F55&gt;$E55,$F55*MIN($K55,time),0),IF($E55&gt;$F55,($E55-$F55)*IF(time&gt;$K55,IF($G55="linear",time-((time-$K55)^2)/(2*time),(0.215*time)-(time/4.6)*(EXP(-92.1/time)-0.01)),time*(1-VLOOKUP($G55,list!$E$35:$F$37,2,))),($F55-$E55)*IF(time&gt;time+$K55,$K55,IF(time&lt;$K55,(time*VLOOKUP($G55,list!$E$35:$F$37,2,))+(time-time),((MIN($K55,time))))))))),0)</f>
        <v/>
      </c>
      <c r="V55" s="2225">
        <f>IFERROR(MIN(MAX($E55,$H55)*$L55,$P35*(44/12)*((MIN($E55,$H55)*MIN($K55,time))+IF($I55="immediate",IF($H55&gt;$E55,$H55*MIN($K55,time),0),IF($E55&gt;$H55,($E55-$H55)*IF(time&gt;$K55,IF($I55="linear",time-((time-$K55)^2)/(2*time),(0.215*time)-(time/4.6)*(EXP(-92.1/time)-0.01)),time*(1-VLOOKUP($I55,list!$E$35:$F$37,2,))),($H55-$E55)*IF(time&gt;time+$K55,$K55,IF(time&lt;$K55,(time*VLOOKUP($I55,list!$E$35:$F$37,2,))+(time-time),((MIN($K55,time))))))))),0)</f>
        <v/>
      </c>
    </row>
    <row r="56">
      <c r="B56" s="2192">
        <f>B46</f>
        <v/>
      </c>
      <c r="C56" s="2192">
        <f>C46</f>
        <v/>
      </c>
      <c r="E56" s="1661" t="n">
        <v>0</v>
      </c>
      <c r="F56" s="1661">
        <f>F46</f>
        <v/>
      </c>
      <c r="G56" s="1661">
        <f>G46</f>
        <v/>
      </c>
      <c r="H56" s="1661">
        <f>H46</f>
        <v/>
      </c>
      <c r="I56" s="1661">
        <f>I46</f>
        <v/>
      </c>
      <c r="K56" s="2247">
        <f>IF(P36=0,1000,INT(N36/P36))</f>
        <v/>
      </c>
      <c r="L56" s="2248">
        <f>N36*44/12</f>
        <v/>
      </c>
      <c r="O56" s="2232">
        <f>MIN(MAX($E56,$F56)*$L56,$O36*(44/12)*((MIN($E56,$F56)*MIN($K56,time_tot))+IF($G56="immediate",IF($F56&gt;$E56,$F56*MIN($K56,time_tot),0),IF($E56&gt;$F56,($E56-$F56)*IF(time&gt;$K56,IF($G56="linear",time-((time-$K56)^2)/(2*time),(0.215*time)-(time/4.6)*(EXP(-92.1/time)-0.01)),time*(1-VLOOKUP($G56,list!$J$48:$K$50,2,))),($F56-$E56)*IF(time_tot&gt;time+$K56,$K56,IF(time_tot&lt;$K56,(time*VLOOKUP($G56,list!$J$48:$K$50,2,))+(time_tot-time),((MIN($K56,time)))))))))</f>
        <v/>
      </c>
      <c r="P56" s="2235">
        <f>MIN(MAX($E56,$H56)*$L56,$O36*(44/12)*((MIN($E56,$H56)*MIN($K56,time_tot))+IF($I56="immediate",IF($H56&gt;$E56,$H56*MIN($K56,time_tot),0),IF($E56&gt;$H56,($E56-$H56)*IF(time&gt;$K56,IF($I56="linear",time-((time-$K56)^2)/(2*time),(0.215*time)-(time/4.6)*(EXP(-92.1/time)-0.01)),time*(1-VLOOKUP($I56,list!$J$48:$K$50,2,))),($H56-$E56)*IF(time_tot&gt;time+$K56,$K56,IF(time_tot&lt;$K56,(time*VLOOKUP($I56,list!$J$48:$K$50,2,))+(time_tot-time),((MIN($K56,time)))))))))</f>
        <v/>
      </c>
      <c r="Q56" s="2240">
        <f>P56-O56</f>
        <v/>
      </c>
      <c r="U56" s="2225">
        <f>IFERROR(MIN(MAX($E56,$F56)*$L56,$P36*(44/12)*((MIN($E56,$F56)*MIN($K56,time))+IF($G56="immediate",IF($F56&gt;$E56,$F56*MIN($K56,time),0),IF($E56&gt;$F56,($E56-$F56)*IF(time&gt;$K56,IF($G56="linear",time-((time-$K56)^2)/(2*time),(0.215*time)-(time/4.6)*(EXP(-92.1/time)-0.01)),time*(1-VLOOKUP($G56,list!$E$35:$F$37,2,))),($F56-$E56)*IF(time&gt;time+$K56,$K56,IF(time&lt;$K56,(time*VLOOKUP($G56,list!$E$35:$F$37,2,))+(time-time),((MIN($K56,time))))))))),0)</f>
        <v/>
      </c>
      <c r="V56" s="2225">
        <f>IFERROR(MIN(MAX($E56,$H56)*$L56,$P36*(44/12)*((MIN($E56,$H56)*MIN($K56,time))+IF($I56="immediate",IF($H56&gt;$E56,$H56*MIN($K56,time),0),IF($E56&gt;$H56,($E56-$H56)*IF(time&gt;$K56,IF($I56="linear",time-((time-$K56)^2)/(2*time),(0.215*time)-(time/4.6)*(EXP(-92.1/time)-0.01)),time*(1-VLOOKUP($I56,list!$E$35:$F$37,2,))),($H56-$E56)*IF(time&gt;time+$K56,$K56,IF(time&lt;$K56,(time*VLOOKUP($I56,list!$E$35:$F$37,2,))+(time-time),((MIN($K56,time))))))))),0)</f>
        <v/>
      </c>
    </row>
    <row r="59">
      <c r="L59" s="2238" t="n"/>
      <c r="M59" s="2238" t="n"/>
      <c r="N59" s="2239" t="inlineStr">
        <is>
          <t>Total drainage (tCO2eq)</t>
        </is>
      </c>
      <c r="O59" s="2240">
        <f>SUM(O51:O56,O41:O46)</f>
        <v/>
      </c>
      <c r="P59" s="2240">
        <f>SUM(P51:P56,P41:P46)</f>
        <v/>
      </c>
      <c r="Q59" s="2240">
        <f>SUM(Q51:Q56,Q41:Q46)</f>
        <v/>
      </c>
    </row>
    <row r="62" ht="45" customHeight="1">
      <c r="A62" s="2191" t="n"/>
      <c r="B62" s="2264" t="inlineStr">
        <is>
          <t>Rewetting &amp; Revegetation</t>
        </is>
      </c>
      <c r="C62" s="2191" t="n"/>
      <c r="D62" s="2191" t="n"/>
      <c r="E62" s="2191" t="n"/>
      <c r="F62" s="2191" t="n"/>
      <c r="G62" s="2191" t="n"/>
      <c r="H62" s="2191" t="n"/>
      <c r="I62" s="2191" t="n"/>
      <c r="J62" s="2191" t="n"/>
      <c r="K62" s="2191" t="n"/>
      <c r="L62" s="2191" t="n"/>
      <c r="M62" s="2191" t="n"/>
      <c r="N62" s="2191" t="n"/>
      <c r="O62" s="2191" t="n"/>
      <c r="P62" s="2191" t="n"/>
      <c r="Q62" s="2191" t="n"/>
      <c r="R62" s="2191" t="n"/>
      <c r="S62" s="2191" t="n"/>
      <c r="T62" s="2191" t="n"/>
      <c r="U62" s="2191" t="n"/>
      <c r="V62" s="2191" t="n"/>
      <c r="W62" s="2191" t="n"/>
      <c r="X62" s="2191" t="n"/>
      <c r="Y62" s="2191" t="n"/>
      <c r="Z62" s="2191" t="n"/>
      <c r="AA62" s="2191" t="n"/>
      <c r="AB62" s="2191" t="n"/>
      <c r="AC62" s="2191" t="n"/>
    </row>
    <row r="63">
      <c r="U63" s="2193" t="inlineStr">
        <is>
          <t>GHG PER SCENARIO</t>
        </is>
      </c>
      <c r="V63" s="2194" t="n"/>
      <c r="W63" s="2194" t="n"/>
      <c r="Z63" s="2193" t="inlineStr">
        <is>
          <t>TOTAL BALANCE</t>
        </is>
      </c>
      <c r="AA63" s="2194" t="n"/>
      <c r="AB63" s="2194" t="n"/>
      <c r="AC63" s="2194" t="n"/>
    </row>
    <row r="64">
      <c r="B64" s="2195">
        <f>'7.Coastal wetlands'!C44</f>
        <v/>
      </c>
      <c r="C64" s="2195" t="inlineStr">
        <is>
          <t>Soil type</t>
        </is>
      </c>
      <c r="E64" s="2195" t="inlineStr">
        <is>
          <t>AGB (tC/ha)</t>
        </is>
      </c>
      <c r="F64" s="2195" t="n"/>
      <c r="G64" s="2195" t="inlineStr">
        <is>
          <t>BGB (tC/ha)</t>
        </is>
      </c>
      <c r="H64" s="2195" t="n"/>
      <c r="I64" s="2195" t="inlineStr">
        <is>
          <t>Litter (tC/ha)</t>
        </is>
      </c>
      <c r="J64" s="2195" t="n"/>
      <c r="K64" s="2195" t="inlineStr">
        <is>
          <t>Deadwood</t>
        </is>
      </c>
      <c r="M64" s="2195" t="inlineStr">
        <is>
          <t>EF Rewetting CO2 (tC/ha/yr)</t>
        </is>
      </c>
      <c r="O64" s="2195" t="inlineStr">
        <is>
          <t>EF Rewetting CH4 (kgCH4/ha/yr)</t>
        </is>
      </c>
    </row>
    <row r="65">
      <c r="E65" s="1661" t="inlineStr">
        <is>
          <t>IPCC</t>
        </is>
      </c>
      <c r="F65" s="1661" t="inlineStr">
        <is>
          <t>Tier 2</t>
        </is>
      </c>
      <c r="G65" s="1661" t="inlineStr">
        <is>
          <t>IPCC</t>
        </is>
      </c>
      <c r="H65" s="1661" t="inlineStr">
        <is>
          <t>Tier 2</t>
        </is>
      </c>
      <c r="I65" s="1661" t="inlineStr">
        <is>
          <t>IPCC</t>
        </is>
      </c>
      <c r="J65" s="1661" t="inlineStr">
        <is>
          <t>Tier 2</t>
        </is>
      </c>
      <c r="K65" s="1661" t="inlineStr">
        <is>
          <t>IPCC</t>
        </is>
      </c>
      <c r="L65" s="1661" t="inlineStr">
        <is>
          <t>Tier 2</t>
        </is>
      </c>
      <c r="M65" s="1661" t="inlineStr">
        <is>
          <t>IPCC</t>
        </is>
      </c>
      <c r="N65" s="1661" t="inlineStr">
        <is>
          <t>Tier 2</t>
        </is>
      </c>
      <c r="O65" s="1661" t="inlineStr">
        <is>
          <t>IPCC</t>
        </is>
      </c>
      <c r="P65" s="1661" t="inlineStr">
        <is>
          <t>Tier 2</t>
        </is>
      </c>
      <c r="U65" s="2196" t="inlineStr">
        <is>
          <t>CATEGORIES</t>
        </is>
      </c>
      <c r="V65" s="2197" t="inlineStr">
        <is>
          <t>WITHOUT</t>
        </is>
      </c>
      <c r="W65" s="2197" t="inlineStr">
        <is>
          <t>WITH</t>
        </is>
      </c>
      <c r="X65" s="2197" t="inlineStr">
        <is>
          <t>difference</t>
        </is>
      </c>
      <c r="Z65" s="2196" t="inlineStr">
        <is>
          <t>CATEGORIES</t>
        </is>
      </c>
      <c r="AA65" s="2197" t="inlineStr">
        <is>
          <t>BALANCE</t>
        </is>
      </c>
      <c r="AB65" s="2197" t="inlineStr">
        <is>
          <t>IMPLEM.</t>
        </is>
      </c>
      <c r="AC65" s="2198" t="inlineStr">
        <is>
          <t>CAPITAL.</t>
        </is>
      </c>
    </row>
    <row r="66">
      <c r="B66" s="2192">
        <f>'7.Coastal wetlands'!C46</f>
        <v/>
      </c>
      <c r="C66" s="2192">
        <f>'7.Coastal wetlands'!CC46</f>
        <v/>
      </c>
      <c r="E66" s="4791">
        <f>IFERROR(INDEX(IPCC!$A$2093:$D$2104,MATCH(clim_moist,IPCC!$A$2093:$A$2104,0),MATCH(Coastal!$B66,IPCC!$A$2093:$D$2093,0)),0)*0.451</f>
        <v/>
      </c>
      <c r="F66" s="4792">
        <f>IF('7.Coastal wetlands'!BU46="",'7.Coastal wetlands'!BT46,'7.Coastal wetlands'!BU46)</f>
        <v/>
      </c>
      <c r="G66" s="4791">
        <f>IFERROR(INDEX(IPCC!$A$2111:$D$2122,MATCH(clim_moist,IPCC!$A$2111:$A$2122,0),MATCH(Coastal!$B66,IPCC!$A$2111:$D$2111,0)),0)*E66</f>
        <v/>
      </c>
      <c r="H66" s="4792">
        <f>IF('7.Coastal wetlands'!BW46="",'7.Coastal wetlands'!BV46,'7.Coastal wetlands'!BW46)</f>
        <v/>
      </c>
      <c r="I66" s="4791">
        <f>IFERROR(INDEX(IPCC!$A$2128:$D$2139,MATCH(clim_moist,IPCC!$A$2128:$A$2139,0),MATCH(Coastal!$B66,IPCC!$A$2128:$D$2128,0)),0)</f>
        <v/>
      </c>
      <c r="J66" s="4792">
        <f>IF('7.Coastal wetlands'!BY46="",'7.Coastal wetlands'!BX46,'7.Coastal wetlands'!BY46)</f>
        <v/>
      </c>
      <c r="K66" s="4791">
        <f>IFERROR(INDEX(IPCC!$A$2145:$D$2156,MATCH(clim_moist,IPCC!$A$2145:$A$2156,0),MATCH(Coastal!$B66,IPCC!$A$2145:$D$2145,0)),0)</f>
        <v/>
      </c>
      <c r="L66" s="4792">
        <f>IF('7.Coastal wetlands'!CA46="",'7.Coastal wetlands'!BZ46,'7.Coastal wetlands'!CA46)</f>
        <v/>
      </c>
      <c r="M66" s="2241">
        <f>IFERROR(INDEX(IPCC!$A$2230:$D$2241,MATCH(clim_moist,IPCC!$A$2230:$A$2241,0),MATCH(Coastal!$B66,IPCC!$A$2230:$D$2230,0)),0)</f>
        <v/>
      </c>
      <c r="N66" s="2242">
        <f>IF('7.Coastal wetlands'!CF46="",'7.Coastal wetlands'!CE46,'7.Coastal wetlands'!CF46)</f>
        <v/>
      </c>
      <c r="O66" s="2241">
        <f>IFERROR(IF(C66="&lt;18",INDEX(IPCC!$A$2247:$D$2258,MATCH(clim_moist,IPCC!$A$2247:$A$2258,0),MATCH(Coastal!$B66,IPCC!$A$2247:$D$2247,0)),0),0)</f>
        <v/>
      </c>
      <c r="P66" s="2242">
        <f>IF('7.Coastal wetlands'!CJ46="",'7.Coastal wetlands'!CI46,'7.Coastal wetlands'!CJ46)</f>
        <v/>
      </c>
      <c r="U66" s="2207" t="inlineStr">
        <is>
          <t>Total Biomass</t>
        </is>
      </c>
      <c r="V66" s="2208">
        <f>SUM($O$79:$O$84)</f>
        <v/>
      </c>
      <c r="W66" s="2208">
        <f>SUM($P$79:$P$84)</f>
        <v/>
      </c>
      <c r="X66" s="2208">
        <f>W66-V66</f>
        <v/>
      </c>
      <c r="Z66" s="2207">
        <f>U66</f>
        <v/>
      </c>
      <c r="AA66" s="2208">
        <f>SUM(Q79:Q84)</f>
        <v/>
      </c>
      <c r="AB66" s="2208">
        <f>IF(time=0,0,SUM(V79:V84)-SUM(U79:U84))</f>
        <v/>
      </c>
      <c r="AC66" s="2210">
        <f>AA66-AB66</f>
        <v/>
      </c>
    </row>
    <row r="67">
      <c r="B67" s="2192">
        <f>'7.Coastal wetlands'!C47</f>
        <v/>
      </c>
      <c r="C67" s="2192">
        <f>'7.Coastal wetlands'!CC47</f>
        <v/>
      </c>
      <c r="E67" s="4791">
        <f>IFERROR(INDEX(IPCC!$A$2093:$D$2104,MATCH(clim_moist,IPCC!$A$2093:$A$2104,0),MATCH(Coastal!$B67,IPCC!$A$2093:$D$2093,0)),0)*0.451</f>
        <v/>
      </c>
      <c r="F67" s="4792">
        <f>IF('7.Coastal wetlands'!BU47="",'7.Coastal wetlands'!BT47,'7.Coastal wetlands'!BU47)</f>
        <v/>
      </c>
      <c r="G67" s="4791">
        <f>IFERROR(INDEX(IPCC!$A$2111:$D$2122,MATCH(clim_moist,IPCC!$A$2111:$A$2122,0),MATCH(Coastal!$B67,IPCC!$A$2111:$D$2111,0)),0)*E67</f>
        <v/>
      </c>
      <c r="H67" s="4792">
        <f>IF('7.Coastal wetlands'!BW47="",'7.Coastal wetlands'!BV47,'7.Coastal wetlands'!BW47)</f>
        <v/>
      </c>
      <c r="I67" s="4791">
        <f>IFERROR(INDEX(IPCC!$A$2128:$D$2139,MATCH(clim_moist,IPCC!$A$2128:$A$2139,0),MATCH(Coastal!$B67,IPCC!$A$2128:$D$2128,0)),0)</f>
        <v/>
      </c>
      <c r="J67" s="4792">
        <f>IF('7.Coastal wetlands'!BY47="",'7.Coastal wetlands'!BX47,'7.Coastal wetlands'!BY47)</f>
        <v/>
      </c>
      <c r="K67" s="4791">
        <f>IFERROR(INDEX(IPCC!$A$2145:$D$2156,MATCH(clim_moist,IPCC!$A$2145:$A$2156,0),MATCH(Coastal!$B67,IPCC!$A$2145:$D$2145,0)),0)</f>
        <v/>
      </c>
      <c r="L67" s="4792">
        <f>IF('7.Coastal wetlands'!CA47="",'7.Coastal wetlands'!BZ47,'7.Coastal wetlands'!CA47)</f>
        <v/>
      </c>
      <c r="M67" s="2241">
        <f>IFERROR(INDEX(IPCC!$A$2230:$D$2241,MATCH(clim_moist,IPCC!$A$2230:$A$2241,0),MATCH(Coastal!$B67,IPCC!$A$2230:$D$2230,0)),0)</f>
        <v/>
      </c>
      <c r="N67" s="2242">
        <f>IF('7.Coastal wetlands'!CF47="",'7.Coastal wetlands'!CE47,'7.Coastal wetlands'!CF47)</f>
        <v/>
      </c>
      <c r="O67" s="2241">
        <f>IFERROR(IF(C67="&lt;18",INDEX(IPCC!$A$2247:$D$2258,MATCH(clim_moist,IPCC!$A$2247:$A$2258,0),MATCH(Coastal!$B67,IPCC!$A$2247:$D$2247,0)),0),0)</f>
        <v/>
      </c>
      <c r="P67" s="2242">
        <f>IF('7.Coastal wetlands'!CJ47="",'7.Coastal wetlands'!CI47,'7.Coastal wetlands'!CJ47)</f>
        <v/>
      </c>
      <c r="U67" s="2207" t="inlineStr">
        <is>
          <t>Total Soil CO2</t>
        </is>
      </c>
      <c r="V67" s="2208">
        <f>SUM(O89:O94)</f>
        <v/>
      </c>
      <c r="W67" s="2208">
        <f>SUM(P89:P94)</f>
        <v/>
      </c>
      <c r="X67" s="2208">
        <f>W67-V67</f>
        <v/>
      </c>
      <c r="Z67" s="2207">
        <f>U67</f>
        <v/>
      </c>
      <c r="AA67" s="2208">
        <f>SUM(Q89:Q94)</f>
        <v/>
      </c>
      <c r="AB67" s="2208">
        <f>IF(time=0,0,SUM(V89:V94)-SUM(U89:U94))</f>
        <v/>
      </c>
      <c r="AC67" s="2210">
        <f>AA67-AB67</f>
        <v/>
      </c>
    </row>
    <row r="68">
      <c r="B68" s="2192">
        <f>'7.Coastal wetlands'!C48</f>
        <v/>
      </c>
      <c r="C68" s="2192">
        <f>'7.Coastal wetlands'!CC48</f>
        <v/>
      </c>
      <c r="E68" s="4791">
        <f>IFERROR(INDEX(IPCC!$A$2093:$D$2104,MATCH(clim_moist,IPCC!$A$2093:$A$2104,0),MATCH(Coastal!$B68,IPCC!$A$2093:$D$2093,0)),0)*0.451</f>
        <v/>
      </c>
      <c r="F68" s="4792">
        <f>IF('7.Coastal wetlands'!BU48="",'7.Coastal wetlands'!BT48,'7.Coastal wetlands'!BU48)</f>
        <v/>
      </c>
      <c r="G68" s="4791">
        <f>IFERROR(INDEX(IPCC!$A$2111:$D$2122,MATCH(clim_moist,IPCC!$A$2111:$A$2122,0),MATCH(Coastal!$B68,IPCC!$A$2111:$D$2111,0)),0)*E68</f>
        <v/>
      </c>
      <c r="H68" s="4792">
        <f>IF('7.Coastal wetlands'!BW48="",'7.Coastal wetlands'!BV48,'7.Coastal wetlands'!BW48)</f>
        <v/>
      </c>
      <c r="I68" s="4791">
        <f>IFERROR(INDEX(IPCC!$A$2128:$D$2139,MATCH(clim_moist,IPCC!$A$2128:$A$2139,0),MATCH(Coastal!$B68,IPCC!$A$2128:$D$2128,0)),0)</f>
        <v/>
      </c>
      <c r="J68" s="4792">
        <f>IF('7.Coastal wetlands'!BY48="",'7.Coastal wetlands'!BX48,'7.Coastal wetlands'!BY48)</f>
        <v/>
      </c>
      <c r="K68" s="4791">
        <f>IFERROR(INDEX(IPCC!$A$2145:$D$2156,MATCH(clim_moist,IPCC!$A$2145:$A$2156,0),MATCH(Coastal!$B68,IPCC!$A$2145:$D$2145,0)),0)</f>
        <v/>
      </c>
      <c r="L68" s="4792">
        <f>IF('7.Coastal wetlands'!CA48="",'7.Coastal wetlands'!BZ48,'7.Coastal wetlands'!CA48)</f>
        <v/>
      </c>
      <c r="M68" s="2241">
        <f>IFERROR(INDEX(IPCC!$A$2230:$D$2241,MATCH(clim_moist,IPCC!$A$2230:$A$2241,0),MATCH(Coastal!$B68,IPCC!$A$2230:$D$2230,0)),0)</f>
        <v/>
      </c>
      <c r="N68" s="2242">
        <f>IF('7.Coastal wetlands'!CF48="",'7.Coastal wetlands'!CE48,'7.Coastal wetlands'!CF48)</f>
        <v/>
      </c>
      <c r="O68" s="2241">
        <f>IFERROR(IF(C68="&lt;18",INDEX(IPCC!$A$2247:$D$2258,MATCH(clim_moist,IPCC!$A$2247:$A$2258,0),MATCH(Coastal!$B68,IPCC!$A$2247:$D$2247,0)),0),0)</f>
        <v/>
      </c>
      <c r="P68" s="2242">
        <f>IF('7.Coastal wetlands'!CJ48="",'7.Coastal wetlands'!CI48,'7.Coastal wetlands'!CJ48)</f>
        <v/>
      </c>
      <c r="U68" s="2207" t="inlineStr">
        <is>
          <t>Total Soil CH4</t>
        </is>
      </c>
      <c r="V68" s="2208">
        <f>SUM(O100:O105)</f>
        <v/>
      </c>
      <c r="W68" s="2208">
        <f>SUM(P100:P105)</f>
        <v/>
      </c>
      <c r="X68" s="2208">
        <f>W68-V68</f>
        <v/>
      </c>
      <c r="Z68" s="2207">
        <f>U68</f>
        <v/>
      </c>
      <c r="AA68" s="2208">
        <f>SUM(Q100:Q105)</f>
        <v/>
      </c>
      <c r="AB68" s="2208">
        <f>IF(time=0,0,SUM(V100:V105)-SUM(U100:U105))</f>
        <v/>
      </c>
      <c r="AC68" s="2210">
        <f>AA68-AB68</f>
        <v/>
      </c>
    </row>
    <row r="69">
      <c r="B69" s="2192">
        <f>'7.Coastal wetlands'!C49</f>
        <v/>
      </c>
      <c r="C69" s="2192">
        <f>'7.Coastal wetlands'!CC49</f>
        <v/>
      </c>
      <c r="E69" s="4791">
        <f>IFERROR(INDEX(IPCC!$A$2093:$D$2104,MATCH(clim_moist,IPCC!$A$2093:$A$2104,0),MATCH(Coastal!$B69,IPCC!$A$2093:$D$2093,0)),0)*0.451</f>
        <v/>
      </c>
      <c r="F69" s="4792">
        <f>IF('7.Coastal wetlands'!BU49="",'7.Coastal wetlands'!BT49,'7.Coastal wetlands'!BU49)</f>
        <v/>
      </c>
      <c r="G69" s="4791">
        <f>IFERROR(INDEX(IPCC!$A$2111:$D$2122,MATCH(clim_moist,IPCC!$A$2111:$A$2122,0),MATCH(Coastal!$B69,IPCC!$A$2111:$D$2111,0)),0)*E69</f>
        <v/>
      </c>
      <c r="H69" s="4792">
        <f>IF('7.Coastal wetlands'!BW49="",'7.Coastal wetlands'!BV49,'7.Coastal wetlands'!BW49)</f>
        <v/>
      </c>
      <c r="I69" s="4791">
        <f>IFERROR(INDEX(IPCC!$A$2128:$D$2139,MATCH(clim_moist,IPCC!$A$2128:$A$2139,0),MATCH(Coastal!$B69,IPCC!$A$2128:$D$2128,0)),0)</f>
        <v/>
      </c>
      <c r="J69" s="4792">
        <f>IF('7.Coastal wetlands'!BY49="",'7.Coastal wetlands'!BX49,'7.Coastal wetlands'!BY49)</f>
        <v/>
      </c>
      <c r="K69" s="4791">
        <f>IFERROR(INDEX(IPCC!$A$2145:$D$2156,MATCH(clim_moist,IPCC!$A$2145:$A$2156,0),MATCH(Coastal!$B69,IPCC!$A$2145:$D$2145,0)),0)</f>
        <v/>
      </c>
      <c r="L69" s="4792">
        <f>IF('7.Coastal wetlands'!CA49="",'7.Coastal wetlands'!BZ49,'7.Coastal wetlands'!CA49)</f>
        <v/>
      </c>
      <c r="M69" s="2241">
        <f>IFERROR(INDEX(IPCC!$A$2230:$D$2241,MATCH(clim_moist,IPCC!$A$2230:$A$2241,0),MATCH(Coastal!$B69,IPCC!$A$2230:$D$2230,0)),0)</f>
        <v/>
      </c>
      <c r="N69" s="2242">
        <f>IF('7.Coastal wetlands'!CF49="",'7.Coastal wetlands'!CE49,'7.Coastal wetlands'!CF49)</f>
        <v/>
      </c>
      <c r="O69" s="2241">
        <f>IFERROR(IF(C69="&lt;18",INDEX(IPCC!$A$2247:$D$2258,MATCH(clim_moist,IPCC!$A$2247:$A$2258,0),MATCH(Coastal!$B69,IPCC!$A$2247:$D$2247,0)),0),0)</f>
        <v/>
      </c>
      <c r="P69" s="2242">
        <f>IF('7.Coastal wetlands'!CJ49="",'7.Coastal wetlands'!CI49,'7.Coastal wetlands'!CJ49)</f>
        <v/>
      </c>
      <c r="U69" s="2212" t="inlineStr">
        <is>
          <t>TOTAL (tCO2-eq)</t>
        </is>
      </c>
      <c r="V69" s="2213">
        <f>SUM(V66:V68)</f>
        <v/>
      </c>
      <c r="W69" s="2213">
        <f>SUM(W66:W68)</f>
        <v/>
      </c>
      <c r="X69" s="2213">
        <f>W69-V69</f>
        <v/>
      </c>
      <c r="Z69" s="2212" t="inlineStr">
        <is>
          <t>TOTAL (tCO2-eq)</t>
        </is>
      </c>
      <c r="AA69" s="2214">
        <f>SUM(AA66:AA68)</f>
        <v/>
      </c>
      <c r="AB69" s="2214">
        <f>SUM(AB66:AB68)</f>
        <v/>
      </c>
      <c r="AC69" s="2214">
        <f>SUM(AC66:AC68)</f>
        <v/>
      </c>
    </row>
    <row r="70">
      <c r="B70" s="2192">
        <f>'7.Coastal wetlands'!C50</f>
        <v/>
      </c>
      <c r="C70" s="2192">
        <f>'7.Coastal wetlands'!CC50</f>
        <v/>
      </c>
      <c r="E70" s="4791">
        <f>IFERROR(INDEX(IPCC!$A$2093:$D$2104,MATCH(clim_moist,IPCC!$A$2093:$A$2104,0),MATCH(Coastal!$B70,IPCC!$A$2093:$D$2093,0)),0)*0.451</f>
        <v/>
      </c>
      <c r="F70" s="4792">
        <f>IF('7.Coastal wetlands'!BU50="",'7.Coastal wetlands'!BT50,'7.Coastal wetlands'!BU50)</f>
        <v/>
      </c>
      <c r="G70" s="4791">
        <f>IFERROR(INDEX(IPCC!$A$2111:$D$2122,MATCH(clim_moist,IPCC!$A$2111:$A$2122,0),MATCH(Coastal!$B70,IPCC!$A$2111:$D$2111,0)),0)*E70</f>
        <v/>
      </c>
      <c r="H70" s="4792">
        <f>IF('7.Coastal wetlands'!BW50="",'7.Coastal wetlands'!BV50,'7.Coastal wetlands'!BW50)</f>
        <v/>
      </c>
      <c r="I70" s="4791">
        <f>IFERROR(INDEX(IPCC!$A$2128:$D$2139,MATCH(clim_moist,IPCC!$A$2128:$A$2139,0),MATCH(Coastal!$B70,IPCC!$A$2128:$D$2128,0)),0)</f>
        <v/>
      </c>
      <c r="J70" s="4792">
        <f>IF('7.Coastal wetlands'!BY50="",'7.Coastal wetlands'!BX50,'7.Coastal wetlands'!BY50)</f>
        <v/>
      </c>
      <c r="K70" s="4791">
        <f>IFERROR(INDEX(IPCC!$A$2145:$D$2156,MATCH(clim_moist,IPCC!$A$2145:$A$2156,0),MATCH(Coastal!$B70,IPCC!$A$2145:$D$2145,0)),0)</f>
        <v/>
      </c>
      <c r="L70" s="4792">
        <f>IF('7.Coastal wetlands'!CA50="",'7.Coastal wetlands'!BZ50,'7.Coastal wetlands'!CA50)</f>
        <v/>
      </c>
      <c r="M70" s="2241">
        <f>IFERROR(INDEX(IPCC!$A$2230:$D$2241,MATCH(clim_moist,IPCC!$A$2230:$A$2241,0),MATCH(Coastal!$B70,IPCC!$A$2230:$D$2230,0)),0)</f>
        <v/>
      </c>
      <c r="N70" s="2242">
        <f>IF('7.Coastal wetlands'!CF50="",'7.Coastal wetlands'!CE50,'7.Coastal wetlands'!CF50)</f>
        <v/>
      </c>
      <c r="O70" s="2241">
        <f>IFERROR(IF(C70="&lt;18",INDEX(IPCC!$A$2247:$D$2258,MATCH(clim_moist,IPCC!$A$2247:$A$2258,0),MATCH(Coastal!$B70,IPCC!$A$2247:$D$2247,0)),0),0)</f>
        <v/>
      </c>
      <c r="P70" s="2242">
        <f>IF('7.Coastal wetlands'!CJ50="",'7.Coastal wetlands'!CI50,'7.Coastal wetlands'!CJ50)</f>
        <v/>
      </c>
    </row>
    <row r="71">
      <c r="B71" s="2192">
        <f>'7.Coastal wetlands'!C51</f>
        <v/>
      </c>
      <c r="C71" s="2192">
        <f>'7.Coastal wetlands'!CC51</f>
        <v/>
      </c>
      <c r="E71" s="4791">
        <f>IFERROR(INDEX(IPCC!$A$2093:$D$2104,MATCH(clim_moist,IPCC!$A$2093:$A$2104,0),MATCH(Coastal!$B71,IPCC!$A$2093:$D$2093,0)),0)*0.451</f>
        <v/>
      </c>
      <c r="F71" s="4792">
        <f>IF('7.Coastal wetlands'!BU51="",'7.Coastal wetlands'!BT51,'7.Coastal wetlands'!BU51)</f>
        <v/>
      </c>
      <c r="G71" s="4791">
        <f>IFERROR(INDEX(IPCC!$A$2111:$D$2122,MATCH(clim_moist,IPCC!$A$2111:$A$2122,0),MATCH(Coastal!$B71,IPCC!$A$2111:$D$2111,0)),0)*E71</f>
        <v/>
      </c>
      <c r="H71" s="4792">
        <f>IF('7.Coastal wetlands'!BW51="",'7.Coastal wetlands'!BV51,'7.Coastal wetlands'!BW51)</f>
        <v/>
      </c>
      <c r="I71" s="4791">
        <f>IFERROR(INDEX(IPCC!$A$2128:$D$2139,MATCH(clim_moist,IPCC!$A$2128:$A$2139,0),MATCH(Coastal!$B71,IPCC!$A$2128:$D$2128,0)),0)</f>
        <v/>
      </c>
      <c r="J71" s="4792">
        <f>IF('7.Coastal wetlands'!BY51="",'7.Coastal wetlands'!BX51,'7.Coastal wetlands'!BY51)</f>
        <v/>
      </c>
      <c r="K71" s="4791">
        <f>IFERROR(INDEX(IPCC!$A$2145:$D$2156,MATCH(clim_moist,IPCC!$A$2145:$A$2156,0),MATCH(Coastal!$B71,IPCC!$A$2145:$D$2145,0)),0)</f>
        <v/>
      </c>
      <c r="L71" s="4792">
        <f>IF('7.Coastal wetlands'!CA51="",'7.Coastal wetlands'!BZ51,'7.Coastal wetlands'!CA51)</f>
        <v/>
      </c>
      <c r="M71" s="2241">
        <f>IFERROR(INDEX(IPCC!$A$2230:$D$2241,MATCH(clim_moist,IPCC!$A$2230:$A$2241,0),MATCH(Coastal!$B71,IPCC!$A$2230:$D$2230,0)),0)</f>
        <v/>
      </c>
      <c r="N71" s="2242">
        <f>IF('7.Coastal wetlands'!CF51="",'7.Coastal wetlands'!CE51,'7.Coastal wetlands'!CF51)</f>
        <v/>
      </c>
      <c r="O71" s="2241">
        <f>IFERROR(IF(C71="&lt;18",INDEX(IPCC!$A$2247:$D$2258,MATCH(clim_moist,IPCC!$A$2247:$A$2258,0),MATCH(Coastal!$B71,IPCC!$A$2247:$D$2247,0)),0),0)</f>
        <v/>
      </c>
      <c r="P71" s="2242">
        <f>IF('7.Coastal wetlands'!CJ51="",'7.Coastal wetlands'!CI51,'7.Coastal wetlands'!CJ51)</f>
        <v/>
      </c>
    </row>
    <row r="72" ht="15" customHeight="1">
      <c r="AA72" s="3135" t="inlineStr">
        <is>
          <t>Mangrove</t>
        </is>
      </c>
      <c r="AB72" s="3135" t="inlineStr">
        <is>
          <t>Tidal marsh</t>
        </is>
      </c>
      <c r="AC72" s="3135" t="inlineStr">
        <is>
          <t>Seagrass</t>
        </is>
      </c>
    </row>
    <row r="73" ht="15" customHeight="1">
      <c r="Z73" s="2205" t="inlineStr">
        <is>
          <t>Area Mineral soil (ha)</t>
        </is>
      </c>
      <c r="AA73" s="2206">
        <f>SUMIFS(Coastal!$E$17:$E$22,$B$17:$B$22,AA$72,$C$17:$C$22,$AD73)</f>
        <v/>
      </c>
      <c r="AB73" s="2206">
        <f>SUMIFS(Coastal!$E$17:$E$22,$B$17:$B$22,AB$72,$C$17:$C$22,$AD73)</f>
        <v/>
      </c>
      <c r="AC73" s="2206">
        <f>SUMIFS(Coastal!$E$17:$E$22,$B$17:$B$22,AC$72,$C$17:$C$22,$AD73)</f>
        <v/>
      </c>
      <c r="AD73" s="284" t="inlineStr">
        <is>
          <t>Mineral</t>
        </is>
      </c>
    </row>
    <row r="74" ht="15" customHeight="1">
      <c r="Z74" s="2205" t="inlineStr">
        <is>
          <t>Area Organic soil (ha)</t>
        </is>
      </c>
      <c r="AA74" s="2206">
        <f>SUMIFS(Coastal!$E$17:$E$22,$B$17:$B$22,AA$72,$C$17:$C$22,$AD74)</f>
        <v/>
      </c>
      <c r="AB74" s="2206">
        <f>SUMIFS(Coastal!$E$17:$E$22,$B$17:$B$22,AB$72,$C$17:$C$22,$AD74)</f>
        <v/>
      </c>
      <c r="AC74" s="2206" t="n"/>
      <c r="AD74" s="284" t="inlineStr">
        <is>
          <t>Organic</t>
        </is>
      </c>
    </row>
    <row r="75" ht="15" customHeight="1">
      <c r="Z75" s="2205" t="inlineStr">
        <is>
          <t>Area aggregated soil (ha)</t>
        </is>
      </c>
      <c r="AA75" s="2206">
        <f>SUMIFS(Coastal!$E$17:$E$22,$B$17:$B$22,AA$72,$C$17:$C$22,$AD75)</f>
        <v/>
      </c>
      <c r="AB75" s="2206">
        <f>SUMIFS(Coastal!$E$17:$E$22,$B$17:$B$22,AB$72,$C$17:$C$22,$AD75)</f>
        <v/>
      </c>
      <c r="AC75" s="2206" t="n"/>
      <c r="AD75" s="284" t="inlineStr">
        <is>
          <t>Aggregated</t>
        </is>
      </c>
    </row>
    <row r="76">
      <c r="D76" s="2193" t="inlineStr">
        <is>
          <t>Area (ha)</t>
        </is>
      </c>
      <c r="E76" s="2193" t="n"/>
      <c r="F76" s="2193" t="n"/>
      <c r="G76" s="2194" t="n"/>
      <c r="H76" s="2194" t="n"/>
    </row>
    <row r="77">
      <c r="B77" s="2195">
        <f>B64</f>
        <v/>
      </c>
      <c r="C77" s="2195">
        <f>C64</f>
        <v/>
      </c>
      <c r="D77" s="1661">
        <f>E50</f>
        <v/>
      </c>
      <c r="E77" s="1661">
        <f>F50</f>
        <v/>
      </c>
      <c r="F77" s="1661">
        <f>G50</f>
        <v/>
      </c>
      <c r="G77" s="1661">
        <f>H50</f>
        <v/>
      </c>
      <c r="H77" s="1661">
        <f>I50</f>
        <v/>
      </c>
      <c r="K77" s="2195" t="inlineStr">
        <is>
          <t>Stock C biomass (tC/yr)</t>
        </is>
      </c>
      <c r="L77" s="2195" t="n"/>
      <c r="O77" s="2195" t="inlineStr">
        <is>
          <t>Total biomass gain (tCO2)</t>
        </is>
      </c>
      <c r="U77" s="2192" t="inlineStr">
        <is>
          <t>Implementation phase</t>
        </is>
      </c>
    </row>
    <row r="78">
      <c r="B78" s="2195" t="n"/>
      <c r="C78" s="2195" t="n"/>
      <c r="K78" s="1661" t="inlineStr">
        <is>
          <t>Start</t>
        </is>
      </c>
      <c r="L78" s="1661" t="inlineStr">
        <is>
          <t>Without</t>
        </is>
      </c>
      <c r="M78" s="2192" t="inlineStr">
        <is>
          <t>With</t>
        </is>
      </c>
      <c r="O78" s="2215" t="inlineStr">
        <is>
          <t>Without</t>
        </is>
      </c>
      <c r="P78" s="2216" t="inlineStr">
        <is>
          <t>With</t>
        </is>
      </c>
      <c r="Q78" s="2217" t="inlineStr">
        <is>
          <t>Balance</t>
        </is>
      </c>
      <c r="U78" s="2215" t="inlineStr">
        <is>
          <t>Without</t>
        </is>
      </c>
      <c r="V78" s="2216" t="inlineStr">
        <is>
          <t>With</t>
        </is>
      </c>
    </row>
    <row r="79">
      <c r="B79" s="2192">
        <f>B66</f>
        <v/>
      </c>
      <c r="C79" s="2192">
        <f>C66</f>
        <v/>
      </c>
      <c r="D79" s="2225" t="n">
        <v>0</v>
      </c>
      <c r="E79" s="2225">
        <f>'7.Coastal wetlands'!H46</f>
        <v/>
      </c>
      <c r="F79" s="1661">
        <f>VLOOKUP('7.Coastal wetlands'!I46, list!$I$48:$J$50,2,FALSE )</f>
        <v/>
      </c>
      <c r="G79" s="2225">
        <f>'7.Coastal wetlands'!J46</f>
        <v/>
      </c>
      <c r="H79" s="1661">
        <f>VLOOKUP('7.Coastal wetlands'!K46, list!$I$48:$J$50,2,FALSE )</f>
        <v/>
      </c>
      <c r="K79" s="2218" t="n">
        <v>0</v>
      </c>
      <c r="L79" s="2218">
        <f>SUM($F66,$H66,$J66,$L66)*$E79/20</f>
        <v/>
      </c>
      <c r="M79" s="2218">
        <f>SUM($F66,$H66,$J66,$L66)*$G79/20</f>
        <v/>
      </c>
      <c r="O79" s="2218">
        <f>-44/12*(L79*IF(time_tot&gt;time+20,20,IF(time_tot&lt;20,(time*VLOOKUP($F79,list!$J$48:$K$50,2,))+(time_tot-time),((MIN(20,time)*VLOOKUP($F79,list!$J$48:$K$50,2,))+(time_tot-MIN(20,time))-IF($F79="exponential",time_tot-20+0.217*time*(EXP(4.606*(20-time_tot)/time)-1),((time_tot-20)^2)*(0.5/time))))))*'7.Coastal wetlands'!P46</f>
        <v/>
      </c>
      <c r="P79" s="2218">
        <f>-44/12*(M79*IF(time_tot&gt;time+20,20,IF(time_tot&lt;20,(time*VLOOKUP($H79,list!$J$48:$K$50,2,))+(time_tot-time),((MIN(20,time)*VLOOKUP($H79,list!$J$48:$K$50,2,))+(time_tot-MIN(20,time))-IF($H79="exponential",time_tot-20+0.217*time*(EXP(4.606*(20-time_tot)/time)-1),((time_tot-20)^2)*(0.5/time))))))*'7.Coastal wetlands'!R46</f>
        <v/>
      </c>
      <c r="Q79" s="2223">
        <f>P79-O79</f>
        <v/>
      </c>
      <c r="U79" s="2225">
        <f>-44/12*(L79*IF(time&gt;20,20,IF(time&lt;20,(time*VLOOKUP($F79,list!$J$48:$K$50,2,)),((MIN(20,time)*VLOOKUP($F79,list!$J$48:$K$50,2,))+(time-MIN(20,time))-IF($F79="exponential",time-20+0.217*time*(EXP(4.606*(20-time)/time)-1),((time-20)^2)*(0.5/time))))))</f>
        <v/>
      </c>
      <c r="V79" s="2225">
        <f>-44/12*(M79*IF(time&gt;20,20,IF(time&lt;20,(time*VLOOKUP($H79,list!$J$48:$K$50,2,)),((MIN(20,time)*VLOOKUP($H79,list!$J$48:$K$50,2,))+(time-MIN(20,time))-IF($H79="exponential",time-20+0.217*time*(EXP(4.606*(20-time)/time)-1),((time-20)^2)*(0.5/time))))))</f>
        <v/>
      </c>
    </row>
    <row r="80">
      <c r="B80" s="2192">
        <f>B67</f>
        <v/>
      </c>
      <c r="C80" s="2192">
        <f>C67</f>
        <v/>
      </c>
      <c r="D80" s="2225" t="n">
        <v>0</v>
      </c>
      <c r="E80" s="2225">
        <f>'7.Coastal wetlands'!H47</f>
        <v/>
      </c>
      <c r="F80" s="1661">
        <f>VLOOKUP('7.Coastal wetlands'!I47, list!$I$48:$J$50,2,FALSE )</f>
        <v/>
      </c>
      <c r="G80" s="2225">
        <f>'7.Coastal wetlands'!J47</f>
        <v/>
      </c>
      <c r="H80" s="1661">
        <f>VLOOKUP('7.Coastal wetlands'!K47, list!$I$48:$J$50,2,FALSE )</f>
        <v/>
      </c>
      <c r="K80" s="2218" t="n">
        <v>0</v>
      </c>
      <c r="L80" s="2218">
        <f>SUM($F67,$H67,$J67,$L67)*$E80/20</f>
        <v/>
      </c>
      <c r="M80" s="2218">
        <f>SUM($F67,$H67,$J67,$L67)*$G80/20</f>
        <v/>
      </c>
      <c r="O80" s="2218">
        <f>-44/12*(L80*IF(time_tot&gt;time+20,20,IF(time_tot&lt;20,(time*VLOOKUP($F80,list!$J$48:$K$50,2,))+(time_tot-time),((MIN(20,time)*VLOOKUP($F80,list!$J$48:$K$50,2,))+(time_tot-MIN(20,time))-IF($F80="exponential",time_tot-20+0.217*time*(EXP(4.606*(20-time_tot)/time)-1),((time_tot-20)^2)*(0.5/time))))))*'7.Coastal wetlands'!P47</f>
        <v/>
      </c>
      <c r="P80" s="2218">
        <f>-44/12*(M80*IF(time_tot&gt;time+20,20,IF(time_tot&lt;20,(time*VLOOKUP($H80,list!$J$48:$K$50,2,))+(time_tot-time),((MIN(20,time)*VLOOKUP($H80,list!$J$48:$K$50,2,))+(time_tot-MIN(20,time))-IF($H80="exponential",time_tot-20+0.217*time*(EXP(4.606*(20-time_tot)/time)-1),((time_tot-20)^2)*(0.5/time))))))*'7.Coastal wetlands'!R47</f>
        <v/>
      </c>
      <c r="Q80" s="2231">
        <f>P80-O80</f>
        <v/>
      </c>
      <c r="U80" s="2225">
        <f>-44/12*(L80*IF(time&gt;20,20,IF(time&lt;20,(time*VLOOKUP($F80,list!$J$48:$K$50,2,)),((MIN(20,time)*VLOOKUP($F80,list!$J$48:$K$50,2,))+(time-MIN(20,time))-IF($F80="exponential",time-20+0.217*time*(EXP(4.606*(20-time)/time)-1),((time-20)^2)*(0.5/time))))))</f>
        <v/>
      </c>
      <c r="V80" s="2225">
        <f>-44/12*(M80*IF(time&gt;20,20,IF(time&lt;20,(time*VLOOKUP($H80,list!$J$48:$K$50,2,)),((MIN(20,time)*VLOOKUP($H80,list!$J$48:$K$50,2,))+(time-MIN(20,time))-IF($H80="exponential",time-20+0.217*time*(EXP(4.606*(20-time)/time)-1),((time-20)^2)*(0.5/time))))))</f>
        <v/>
      </c>
    </row>
    <row r="81">
      <c r="B81" s="2192">
        <f>B68</f>
        <v/>
      </c>
      <c r="C81" s="2192">
        <f>C68</f>
        <v/>
      </c>
      <c r="D81" s="2225" t="n">
        <v>0</v>
      </c>
      <c r="E81" s="2225">
        <f>'7.Coastal wetlands'!H48</f>
        <v/>
      </c>
      <c r="F81" s="1661">
        <f>VLOOKUP('7.Coastal wetlands'!I48, list!$I$48:$J$50,2,FALSE )</f>
        <v/>
      </c>
      <c r="G81" s="2225">
        <f>'7.Coastal wetlands'!J48</f>
        <v/>
      </c>
      <c r="H81" s="1661">
        <f>VLOOKUP('7.Coastal wetlands'!K48, list!$I$48:$J$50,2,FALSE )</f>
        <v/>
      </c>
      <c r="K81" s="2218" t="n">
        <v>0</v>
      </c>
      <c r="L81" s="2218">
        <f>SUM($F68,$H68,$J68,$L68)*$E81/20</f>
        <v/>
      </c>
      <c r="M81" s="2218">
        <f>SUM($F68,$H68,$J68,$L68)*$G81/20</f>
        <v/>
      </c>
      <c r="O81" s="2218">
        <f>-44/12*(L81*IF(time_tot&gt;time+20,20,IF(time_tot&lt;20,(time*VLOOKUP($F81,list!$J$48:$K$50,2,))+(time_tot-time),((MIN(20,time)*VLOOKUP($F81,list!$J$48:$K$50,2,))+(time_tot-MIN(20,time))-IF($F81="exponential",time_tot-20+0.217*time*(EXP(4.606*(20-time_tot)/time)-1),((time_tot-20)^2)*(0.5/time))))))*'7.Coastal wetlands'!P48</f>
        <v/>
      </c>
      <c r="P81" s="2218">
        <f>-44/12*(M81*IF(time_tot&gt;time+20,20,IF(time_tot&lt;20,(time*VLOOKUP($H81,list!$J$48:$K$50,2,))+(time_tot-time),((MIN(20,time)*VLOOKUP($H81,list!$J$48:$K$50,2,))+(time_tot-MIN(20,time))-IF($H81="exponential",time_tot-20+0.217*time*(EXP(4.606*(20-time_tot)/time)-1),((time_tot-20)^2)*(0.5/time))))))*'7.Coastal wetlands'!R48</f>
        <v/>
      </c>
      <c r="Q81" s="2231">
        <f>P81-O81</f>
        <v/>
      </c>
      <c r="U81" s="2225">
        <f>-44/12*(L81*IF(time&gt;20,20,IF(time&lt;20,(time*VLOOKUP($F81,list!$J$48:$K$50,2,)),((MIN(20,time)*VLOOKUP($F81,list!$J$48:$K$50,2,))+(time-MIN(20,time))-IF($F81="exponential",time-20+0.217*time*(EXP(4.606*(20-time)/time)-1),((time-20)^2)*(0.5/time))))))</f>
        <v/>
      </c>
      <c r="V81" s="2225">
        <f>-44/12*(M81*IF(time&gt;20,20,IF(time&lt;20,(time*VLOOKUP($H81,list!$J$48:$K$50,2,)),((MIN(20,time)*VLOOKUP($H81,list!$J$48:$K$50,2,))+(time-MIN(20,time))-IF($H81="exponential",time-20+0.217*time*(EXP(4.606*(20-time)/time)-1),((time-20)^2)*(0.5/time))))))</f>
        <v/>
      </c>
    </row>
    <row r="82">
      <c r="B82" s="2192">
        <f>B69</f>
        <v/>
      </c>
      <c r="C82" s="2192">
        <f>C69</f>
        <v/>
      </c>
      <c r="D82" s="2225" t="n">
        <v>0</v>
      </c>
      <c r="E82" s="2225">
        <f>'7.Coastal wetlands'!H49</f>
        <v/>
      </c>
      <c r="F82" s="1661">
        <f>VLOOKUP('7.Coastal wetlands'!I49, list!$I$48:$J$50,2,FALSE )</f>
        <v/>
      </c>
      <c r="G82" s="2225">
        <f>'7.Coastal wetlands'!J49</f>
        <v/>
      </c>
      <c r="H82" s="1661">
        <f>VLOOKUP('7.Coastal wetlands'!K49, list!$I$48:$J$50,2,FALSE )</f>
        <v/>
      </c>
      <c r="K82" s="2218" t="n">
        <v>0</v>
      </c>
      <c r="L82" s="2218">
        <f>SUM($F69,$H69,$J69,$L69)*$E82/20</f>
        <v/>
      </c>
      <c r="M82" s="2218">
        <f>SUM($F69,$H69,$J69,$L69)*$G82/20</f>
        <v/>
      </c>
      <c r="O82" s="2218">
        <f>-44/12*(L82*IF(time_tot&gt;time+20,20,IF(time_tot&lt;20,(time*VLOOKUP($F82,list!$J$48:$K$50,2,))+(time_tot-time),((MIN(20,time)*VLOOKUP($F82,list!$J$48:$K$50,2,))+(time_tot-MIN(20,time))-IF($F82="exponential",time_tot-20+0.217*time*(EXP(4.606*(20-time_tot)/time)-1),((time_tot-20)^2)*(0.5/time))))))*'7.Coastal wetlands'!P49</f>
        <v/>
      </c>
      <c r="P82" s="2218">
        <f>-44/12*(M82*IF(time_tot&gt;time+20,20,IF(time_tot&lt;20,(time*VLOOKUP($H82,list!$J$48:$K$50,2,))+(time_tot-time),((MIN(20,time)*VLOOKUP($H82,list!$J$48:$K$50,2,))+(time_tot-MIN(20,time))-IF($H82="exponential",time_tot-20+0.217*time*(EXP(4.606*(20-time_tot)/time)-1),((time_tot-20)^2)*(0.5/time))))))*'7.Coastal wetlands'!R49</f>
        <v/>
      </c>
      <c r="Q82" s="2231">
        <f>P82-O82</f>
        <v/>
      </c>
      <c r="U82" s="2225">
        <f>-44/12*(L82*IF(time&gt;20,20,IF(time&lt;20,(time*VLOOKUP($F82,list!$J$48:$K$50,2,)),((MIN(20,time)*VLOOKUP($F82,list!$J$48:$K$50,2,))+(time-MIN(20,time))-IF($F82="exponential",time-20+0.217*time*(EXP(4.606*(20-time)/time)-1),((time-20)^2)*(0.5/time))))))</f>
        <v/>
      </c>
      <c r="V82" s="2225">
        <f>-44/12*(M82*IF(time&gt;20,20,IF(time&lt;20,(time*VLOOKUP($H82,list!$J$48:$K$50,2,)),((MIN(20,time)*VLOOKUP($H82,list!$J$48:$K$50,2,))+(time-MIN(20,time))-IF($H82="exponential",time-20+0.217*time*(EXP(4.606*(20-time)/time)-1),((time-20)^2)*(0.5/time))))))</f>
        <v/>
      </c>
    </row>
    <row r="83">
      <c r="B83" s="2192">
        <f>B70</f>
        <v/>
      </c>
      <c r="C83" s="2192">
        <f>C70</f>
        <v/>
      </c>
      <c r="D83" s="2225" t="n">
        <v>0</v>
      </c>
      <c r="E83" s="2225">
        <f>'7.Coastal wetlands'!H50</f>
        <v/>
      </c>
      <c r="F83" s="1661">
        <f>VLOOKUP('7.Coastal wetlands'!I50, list!$I$48:$J$50,2,FALSE )</f>
        <v/>
      </c>
      <c r="G83" s="2225">
        <f>'7.Coastal wetlands'!J50</f>
        <v/>
      </c>
      <c r="H83" s="1661">
        <f>VLOOKUP('7.Coastal wetlands'!K50, list!$I$48:$J$50,2,FALSE )</f>
        <v/>
      </c>
      <c r="K83" s="2218" t="n">
        <v>0</v>
      </c>
      <c r="L83" s="2218">
        <f>SUM($F70,$H70,$J70,$L70)*$E83/20</f>
        <v/>
      </c>
      <c r="M83" s="2218">
        <f>SUM($F70,$H70,$J70,$L70)*$G83/20</f>
        <v/>
      </c>
      <c r="O83" s="2218">
        <f>-44/12*(L83*IF(time_tot&gt;time+20,20,IF(time_tot&lt;20,(time*VLOOKUP($F83,list!$J$48:$K$50,2,))+(time_tot-time),((MIN(20,time)*VLOOKUP($F83,list!$J$48:$K$50,2,))+(time_tot-MIN(20,time))-IF($F83="exponential",time_tot-20+0.217*time*(EXP(4.606*(20-time_tot)/time)-1),((time_tot-20)^2)*(0.5/time))))))*'7.Coastal wetlands'!P50</f>
        <v/>
      </c>
      <c r="P83" s="2218">
        <f>-44/12*(M83*IF(time_tot&gt;time+20,20,IF(time_tot&lt;20,(time*VLOOKUP($H83,list!$J$48:$K$50,2,))+(time_tot-time),((MIN(20,time)*VLOOKUP($H83,list!$J$48:$K$50,2,))+(time_tot-MIN(20,time))-IF($H83="exponential",time_tot-20+0.217*time*(EXP(4.606*(20-time_tot)/time)-1),((time_tot-20)^2)*(0.5/time))))))*'7.Coastal wetlands'!R50</f>
        <v/>
      </c>
      <c r="Q83" s="2231">
        <f>P83-O83</f>
        <v/>
      </c>
      <c r="U83" s="2225">
        <f>-44/12*(L83*IF(time&gt;20,20,IF(time&lt;20,(time*VLOOKUP($F83,list!$J$48:$K$50,2,)),((MIN(20,time)*VLOOKUP($F83,list!$J$48:$K$50,2,))+(time-MIN(20,time))-IF($F83="exponential",time-20+0.217*time*(EXP(4.606*(20-time)/time)-1),((time-20)^2)*(0.5/time))))))</f>
        <v/>
      </c>
      <c r="V83" s="2225">
        <f>-44/12*(M83*IF(time&gt;20,20,IF(time&lt;20,(time*VLOOKUP($H83,list!$J$48:$K$50,2,)),((MIN(20,time)*VLOOKUP($H83,list!$J$48:$K$50,2,))+(time-MIN(20,time))-IF($H83="exponential",time-20+0.217*time*(EXP(4.606*(20-time)/time)-1),((time-20)^2)*(0.5/time))))))</f>
        <v/>
      </c>
    </row>
    <row r="84">
      <c r="B84" s="2192">
        <f>B71</f>
        <v/>
      </c>
      <c r="C84" s="2192">
        <f>C71</f>
        <v/>
      </c>
      <c r="D84" s="2225" t="n">
        <v>0</v>
      </c>
      <c r="E84" s="2225">
        <f>'7.Coastal wetlands'!H51</f>
        <v/>
      </c>
      <c r="F84" s="1661">
        <f>VLOOKUP('7.Coastal wetlands'!I51, list!$I$48:$J$50,2,FALSE )</f>
        <v/>
      </c>
      <c r="G84" s="2225">
        <f>'7.Coastal wetlands'!J51</f>
        <v/>
      </c>
      <c r="H84" s="1661">
        <f>VLOOKUP('7.Coastal wetlands'!K51, list!$I$48:$J$50,2,FALSE )</f>
        <v/>
      </c>
      <c r="K84" s="2218" t="n">
        <v>0</v>
      </c>
      <c r="L84" s="2218">
        <f>SUM($F71,$H71,$J71,$L71)*$E84/20</f>
        <v/>
      </c>
      <c r="M84" s="2218">
        <f>SUM($F71,$H71,$J71,$L71)*$G84/20</f>
        <v/>
      </c>
      <c r="O84" s="2218">
        <f>-44/12*(L84*IF(time_tot&gt;time+20,20,IF(time_tot&lt;20,(time*VLOOKUP($F84,list!$J$48:$K$50,2,))+(time_tot-time),((MIN(20,time)*VLOOKUP($F84,list!$J$48:$K$50,2,))+(time_tot-MIN(20,time))-IF($F84="exponential",time_tot-20+0.217*time*(EXP(4.606*(20-time_tot)/time)-1),((time_tot-20)^2)*(0.5/time))))))*'7.Coastal wetlands'!P51</f>
        <v/>
      </c>
      <c r="P84" s="2218">
        <f>-44/12*(M84*IF(time_tot&gt;time+20,20,IF(time_tot&lt;20,(time*VLOOKUP($H84,list!$J$48:$K$50,2,))+(time_tot-time),((MIN(20,time)*VLOOKUP($H84,list!$J$48:$K$50,2,))+(time_tot-MIN(20,time))-IF($H84="exponential",time_tot-20+0.217*time*(EXP(4.606*(20-time_tot)/time)-1),((time_tot-20)^2)*(0.5/time))))))*'7.Coastal wetlands'!R51</f>
        <v/>
      </c>
      <c r="Q84" s="2237">
        <f>P84-O84</f>
        <v/>
      </c>
      <c r="U84" s="2225">
        <f>-44/12*(L84*IF(time&gt;20,20,IF(time&lt;20,(time*VLOOKUP($F84,list!$J$48:$K$50,2,)),((MIN(20,time)*VLOOKUP($F84,list!$J$48:$K$50,2,))+(time-MIN(20,time))-IF($F84="exponential",time-20+0.217*time*(EXP(4.606*(20-time)/time)-1),((time-20)^2)*(0.5/time))))))</f>
        <v/>
      </c>
      <c r="V84" s="2225">
        <f>-44/12*(M84*IF(time&gt;20,20,IF(time&lt;20,(time*VLOOKUP($H84,list!$J$48:$K$50,2,)),((MIN(20,time)*VLOOKUP($H84,list!$J$48:$K$50,2,))+(time-MIN(20,time))-IF($H84="exponential",time-20+0.217*time*(EXP(4.606*(20-time)/time)-1),((time-20)^2)*(0.5/time))))))</f>
        <v/>
      </c>
    </row>
    <row r="86">
      <c r="D86" s="2193" t="inlineStr">
        <is>
          <t>Area (ha)</t>
        </is>
      </c>
      <c r="E86" s="2194" t="n"/>
      <c r="F86" s="2193" t="n"/>
      <c r="G86" s="2193" t="n"/>
      <c r="H86" s="2194" t="n"/>
    </row>
    <row r="87">
      <c r="B87" s="2195">
        <f>B77</f>
        <v/>
      </c>
      <c r="C87" s="2195">
        <f>C77</f>
        <v/>
      </c>
      <c r="D87" s="1661">
        <f>D77</f>
        <v/>
      </c>
      <c r="E87" s="1661">
        <f>E77</f>
        <v/>
      </c>
      <c r="F87" s="1661">
        <f>F77</f>
        <v/>
      </c>
      <c r="G87" s="1661">
        <f>G77</f>
        <v/>
      </c>
      <c r="H87" s="1661">
        <f>H77</f>
        <v/>
      </c>
      <c r="I87" s="1661" t="n"/>
      <c r="K87" s="2195" t="inlineStr">
        <is>
          <t>Emissions CO2 (tCO2eq/year)</t>
        </is>
      </c>
      <c r="M87" s="1661" t="n"/>
      <c r="O87" s="2195" t="inlineStr">
        <is>
          <t>Total CO2 emissions (tCO2eq)</t>
        </is>
      </c>
      <c r="U87" s="2192" t="inlineStr">
        <is>
          <t>Implementation phase</t>
        </is>
      </c>
    </row>
    <row r="88">
      <c r="E88" s="1661" t="n"/>
      <c r="F88" s="1661" t="n"/>
      <c r="G88" s="1661" t="n"/>
      <c r="H88" s="1661" t="n"/>
      <c r="I88" s="1661" t="n"/>
      <c r="K88" s="2192" t="inlineStr">
        <is>
          <t>Start</t>
        </is>
      </c>
      <c r="L88" s="1661" t="inlineStr">
        <is>
          <t>Without</t>
        </is>
      </c>
      <c r="M88" s="1661" t="inlineStr">
        <is>
          <t>With</t>
        </is>
      </c>
      <c r="O88" s="2215" t="inlineStr">
        <is>
          <t>Without</t>
        </is>
      </c>
      <c r="P88" s="2216" t="inlineStr">
        <is>
          <t>With</t>
        </is>
      </c>
      <c r="Q88" s="2217" t="inlineStr">
        <is>
          <t>Balance</t>
        </is>
      </c>
      <c r="U88" s="2215" t="inlineStr">
        <is>
          <t>Without</t>
        </is>
      </c>
      <c r="V88" s="2216" t="inlineStr">
        <is>
          <t>With</t>
        </is>
      </c>
    </row>
    <row r="89">
      <c r="B89" s="2192">
        <f>B79</f>
        <v/>
      </c>
      <c r="C89" s="2192">
        <f>C79</f>
        <v/>
      </c>
      <c r="D89" s="2225" t="n">
        <v>0</v>
      </c>
      <c r="E89" s="2225">
        <f>E79</f>
        <v/>
      </c>
      <c r="F89" s="2225">
        <f>F79</f>
        <v/>
      </c>
      <c r="G89" s="2225">
        <f>G79</f>
        <v/>
      </c>
      <c r="H89" s="2225">
        <f>H79</f>
        <v/>
      </c>
      <c r="I89" s="1661" t="n"/>
      <c r="K89" s="2218" t="n">
        <v>0</v>
      </c>
      <c r="L89" s="2218">
        <f>$E89*$N66</f>
        <v/>
      </c>
      <c r="M89" s="2218">
        <f>$G89*$N66</f>
        <v/>
      </c>
      <c r="O89" s="2218">
        <f>44/12*(L89*IF(time_tot&gt;time+20,20,IF(time_tot&lt;20,(time*VLOOKUP($F89,list!$J$48:$K$50,2,))+(time_tot-time),((MIN(20,time)*VLOOKUP($F89,list!$J$48:$K$50,2,))+(time_tot-MIN(20,time))-IF($F89="exponential",time_tot-20+0.217*time*(EXP(4.606*(20-time_tot)/time)-1),((time_tot-20)^2)*(0.5/time))))))</f>
        <v/>
      </c>
      <c r="P89" s="2218">
        <f>44/12*(M89*IF(time_tot&gt;time+20,20,IF(time_tot&lt;20,(time*VLOOKUP($H89,list!$J$48:$K$50,2,))+(time_tot-time),((MIN(20,time)*VLOOKUP($H89,list!$J$48:$K$50,2,))+(time_tot-MIN(20,time))-IF($H89="exponential",time_tot-20+0.217*time*(EXP(4.606*(20-time_tot)/time)-1),((time_tot-20)^2)*(0.5/time))))))</f>
        <v/>
      </c>
      <c r="Q89" s="2223">
        <f>P89-O89</f>
        <v/>
      </c>
      <c r="U89" s="2225">
        <f>44/12*(L89*IF(time&gt;20,20,IF(time&lt;20,(time*VLOOKUP($F89,list!$J$48:$K$50,2,)),((MIN(20,time)*VLOOKUP($F89,list!$J$48:$K$50,2,))+(time-MIN(20,time))-IF($F89="exponential",time-20+0.217*time*(EXP(4.606*(20-time)/time)-1),((time-20)^2)*(0.5/time))))))</f>
        <v/>
      </c>
      <c r="V89" s="2225">
        <f>44/12*(M89*IF(time&gt;20,20,IF(time&lt;20,(time*VLOOKUP($H89,list!$J$48:$K$50,2,)),((MIN(20,time)*VLOOKUP($H89,list!$J$48:$K$50,2,))+(time-MIN(20,time))-IF($H89="exponential",time-20+0.217*time*(EXP(4.606*(20-time)/time)-1),((time-20)^2)*(0.5/time))))))</f>
        <v/>
      </c>
    </row>
    <row r="90">
      <c r="B90" s="2192">
        <f>B80</f>
        <v/>
      </c>
      <c r="C90" s="2192">
        <f>C80</f>
        <v/>
      </c>
      <c r="D90" s="2225" t="n">
        <v>0</v>
      </c>
      <c r="E90" s="2225">
        <f>E80</f>
        <v/>
      </c>
      <c r="F90" s="2225">
        <f>F80</f>
        <v/>
      </c>
      <c r="G90" s="2225">
        <f>G80</f>
        <v/>
      </c>
      <c r="H90" s="2225">
        <f>H80</f>
        <v/>
      </c>
      <c r="I90" s="1661" t="n"/>
      <c r="K90" s="2218" t="n">
        <v>0</v>
      </c>
      <c r="L90" s="2218">
        <f>$E90*$N67</f>
        <v/>
      </c>
      <c r="M90" s="2218">
        <f>$G90*$N67</f>
        <v/>
      </c>
      <c r="O90" s="2218">
        <f>44/12*(L90*IF(time_tot&gt;time+20,20,IF(time_tot&lt;20,(time*VLOOKUP($F90,list!$J$48:$K$50,2,))+(time_tot-time),((MIN(20,time)*VLOOKUP($F90,list!$J$48:$K$50,2,))+(time_tot-MIN(20,time))-IF($F90="exponential",time_tot-20+0.217*time*(EXP(4.606*(20-time_tot)/time)-1),((time_tot-20)^2)*(0.5/time))))))</f>
        <v/>
      </c>
      <c r="P90" s="2218">
        <f>44/12*(M90*IF(time_tot&gt;time+20,20,IF(time_tot&lt;20,(time*VLOOKUP($H90,list!$J$48:$K$50,2,))+(time_tot-time),((MIN(20,time)*VLOOKUP($H90,list!$J$48:$K$50,2,))+(time_tot-MIN(20,time))-IF($H90="exponential",time_tot-20+0.217*time*(EXP(4.606*(20-time_tot)/time)-1),((time_tot-20)^2)*(0.5/time))))))</f>
        <v/>
      </c>
      <c r="Q90" s="2231">
        <f>P90-O90</f>
        <v/>
      </c>
      <c r="U90" s="2225">
        <f>44/12*(L90*IF(time&gt;20,20,IF(time&lt;20,(time*VLOOKUP($F90,list!$J$48:$K$50,2,)),((MIN(20,time)*VLOOKUP($F90,list!$J$48:$K$50,2,))+(time-MIN(20,time))-IF($F90="exponential",time-20+0.217*time*(EXP(4.606*(20-time)/time)-1),((time-20)^2)*(0.5/time))))))</f>
        <v/>
      </c>
      <c r="V90" s="2225">
        <f>44/12*(M90*IF(time&gt;20,20,IF(time&lt;20,(time*VLOOKUP($H90,list!$J$48:$K$50,2,)),((MIN(20,time)*VLOOKUP($H90,list!$J$48:$K$50,2,))+(time-MIN(20,time))-IF($H90="exponential",time-20+0.217*time*(EXP(4.606*(20-time)/time)-1),((time-20)^2)*(0.5/time))))))</f>
        <v/>
      </c>
    </row>
    <row r="91">
      <c r="B91" s="2192">
        <f>B81</f>
        <v/>
      </c>
      <c r="C91" s="2192">
        <f>C81</f>
        <v/>
      </c>
      <c r="D91" s="2225" t="n">
        <v>0</v>
      </c>
      <c r="E91" s="2225">
        <f>E81</f>
        <v/>
      </c>
      <c r="F91" s="2225">
        <f>F81</f>
        <v/>
      </c>
      <c r="G91" s="2225">
        <f>G81</f>
        <v/>
      </c>
      <c r="H91" s="2225">
        <f>H81</f>
        <v/>
      </c>
      <c r="I91" s="1661" t="n"/>
      <c r="K91" s="2218" t="n">
        <v>0</v>
      </c>
      <c r="L91" s="2218">
        <f>$E91*$N68</f>
        <v/>
      </c>
      <c r="M91" s="2218">
        <f>$G91*$N68</f>
        <v/>
      </c>
      <c r="O91" s="2218">
        <f>44/12*(L91*IF(time_tot&gt;time+20,20,IF(time_tot&lt;20,(time*VLOOKUP($F91,list!$J$48:$K$50,2,))+(time_tot-time),((MIN(20,time)*VLOOKUP($F91,list!$J$48:$K$50,2,))+(time_tot-MIN(20,time))-IF($F91="exponential",time_tot-20+0.217*time*(EXP(4.606*(20-time_tot)/time)-1),((time_tot-20)^2)*(0.5/time))))))</f>
        <v/>
      </c>
      <c r="P91" s="2218">
        <f>44/12*(M91*IF(time_tot&gt;time+20,20,IF(time_tot&lt;20,(time*VLOOKUP($H91,list!$J$48:$K$50,2,))+(time_tot-time),((MIN(20,time)*VLOOKUP($H91,list!$J$48:$K$50,2,))+(time_tot-MIN(20,time))-IF($H91="exponential",time_tot-20+0.217*time*(EXP(4.606*(20-time_tot)/time)-1),((time_tot-20)^2)*(0.5/time))))))</f>
        <v/>
      </c>
      <c r="Q91" s="2231">
        <f>P91-O91</f>
        <v/>
      </c>
      <c r="U91" s="2225">
        <f>44/12*(L91*IF(time&gt;20,20,IF(time&lt;20,(time*VLOOKUP($F91,list!$J$48:$K$50,2,)),((MIN(20,time)*VLOOKUP($F91,list!$J$48:$K$50,2,))+(time-MIN(20,time))-IF($F91="exponential",time-20+0.217*time*(EXP(4.606*(20-time)/time)-1),((time-20)^2)*(0.5/time))))))</f>
        <v/>
      </c>
      <c r="V91" s="2225">
        <f>44/12*(M91*IF(time&gt;20,20,IF(time&lt;20,(time*VLOOKUP($H91,list!$J$48:$K$50,2,)),((MIN(20,time)*VLOOKUP($H91,list!$J$48:$K$50,2,))+(time-MIN(20,time))-IF($H91="exponential",time-20+0.217*time*(EXP(4.606*(20-time)/time)-1),((time-20)^2)*(0.5/time))))))</f>
        <v/>
      </c>
    </row>
    <row r="92">
      <c r="B92" s="2192">
        <f>B82</f>
        <v/>
      </c>
      <c r="C92" s="2192">
        <f>C82</f>
        <v/>
      </c>
      <c r="D92" s="2225" t="n">
        <v>0</v>
      </c>
      <c r="E92" s="2225">
        <f>E82</f>
        <v/>
      </c>
      <c r="F92" s="2225">
        <f>F82</f>
        <v/>
      </c>
      <c r="G92" s="2225">
        <f>G82</f>
        <v/>
      </c>
      <c r="H92" s="2225">
        <f>H82</f>
        <v/>
      </c>
      <c r="I92" s="1661" t="n"/>
      <c r="K92" s="2218" t="n">
        <v>0</v>
      </c>
      <c r="L92" s="2218">
        <f>$E92*$N69</f>
        <v/>
      </c>
      <c r="M92" s="2218">
        <f>$G92*$N69</f>
        <v/>
      </c>
      <c r="O92" s="2218">
        <f>44/12*(L92*IF(time_tot&gt;time+20,20,IF(time_tot&lt;20,(time*VLOOKUP($F92,list!$J$48:$K$50,2,))+(time_tot-time),((MIN(20,time)*VLOOKUP($F92,list!$J$48:$K$50,2,))+(time_tot-MIN(20,time))-IF($F92="exponential",time_tot-20+0.217*time*(EXP(4.606*(20-time_tot)/time)-1),((time_tot-20)^2)*(0.5/time))))))</f>
        <v/>
      </c>
      <c r="P92" s="2218">
        <f>44/12*(M92*IF(time_tot&gt;time+20,20,IF(time_tot&lt;20,(time*VLOOKUP($H92,list!$J$48:$K$50,2,))+(time_tot-time),((MIN(20,time)*VLOOKUP($H92,list!$J$48:$K$50,2,))+(time_tot-MIN(20,time))-IF($H92="exponential",time_tot-20+0.217*time*(EXP(4.606*(20-time_tot)/time)-1),((time_tot-20)^2)*(0.5/time))))))</f>
        <v/>
      </c>
      <c r="Q92" s="2231">
        <f>P92-O92</f>
        <v/>
      </c>
      <c r="U92" s="2225">
        <f>44/12*(L92*IF(time&gt;20,20,IF(time&lt;20,(time*VLOOKUP($F92,list!$J$48:$K$50,2,)),((MIN(20,time)*VLOOKUP($F92,list!$J$48:$K$50,2,))+(time-MIN(20,time))-IF($F92="exponential",time-20+0.217*time*(EXP(4.606*(20-time)/time)-1),((time-20)^2)*(0.5/time))))))</f>
        <v/>
      </c>
      <c r="V92" s="2225">
        <f>44/12*(M92*IF(time&gt;20,20,IF(time&lt;20,(time*VLOOKUP($H92,list!$J$48:$K$50,2,)),((MIN(20,time)*VLOOKUP($H92,list!$J$48:$K$50,2,))+(time-MIN(20,time))-IF($H92="exponential",time-20+0.217*time*(EXP(4.606*(20-time)/time)-1),((time-20)^2)*(0.5/time))))))</f>
        <v/>
      </c>
    </row>
    <row r="93">
      <c r="B93" s="2192">
        <f>B83</f>
        <v/>
      </c>
      <c r="C93" s="2192">
        <f>C83</f>
        <v/>
      </c>
      <c r="D93" s="2225" t="n">
        <v>0</v>
      </c>
      <c r="E93" s="2225">
        <f>E83</f>
        <v/>
      </c>
      <c r="F93" s="2225">
        <f>F83</f>
        <v/>
      </c>
      <c r="G93" s="2225">
        <f>G83</f>
        <v/>
      </c>
      <c r="H93" s="2225">
        <f>H83</f>
        <v/>
      </c>
      <c r="I93" s="1661" t="n"/>
      <c r="K93" s="2218" t="n">
        <v>0</v>
      </c>
      <c r="L93" s="2218">
        <f>$E93*$N70</f>
        <v/>
      </c>
      <c r="M93" s="2218">
        <f>$G93*$N70</f>
        <v/>
      </c>
      <c r="O93" s="2218">
        <f>44/12*(L93*IF(time_tot&gt;time+20,20,IF(time_tot&lt;20,(time*VLOOKUP($F93,list!$J$48:$K$50,2,))+(time_tot-time),((MIN(20,time)*VLOOKUP($F93,list!$J$48:$K$50,2,))+(time_tot-MIN(20,time))-IF($F93="exponential",time_tot-20+0.217*time*(EXP(4.606*(20-time_tot)/time)-1),((time_tot-20)^2)*(0.5/time))))))</f>
        <v/>
      </c>
      <c r="P93" s="2218">
        <f>44/12*(M93*IF(time_tot&gt;time+20,20,IF(time_tot&lt;20,(time*VLOOKUP($H93,list!$J$48:$K$50,2,))+(time_tot-time),((MIN(20,time)*VLOOKUP($H93,list!$J$48:$K$50,2,))+(time_tot-MIN(20,time))-IF($H93="exponential",time_tot-20+0.217*time*(EXP(4.606*(20-time_tot)/time)-1),((time_tot-20)^2)*(0.5/time))))))</f>
        <v/>
      </c>
      <c r="Q93" s="2231">
        <f>P93-O93</f>
        <v/>
      </c>
      <c r="U93" s="2225">
        <f>44/12*(L93*IF(time&gt;20,20,IF(time&lt;20,(time*VLOOKUP($F93,list!$J$48:$K$50,2,)),((MIN(20,time)*VLOOKUP($F93,list!$J$48:$K$50,2,))+(time-MIN(20,time))-IF($F93="exponential",time-20+0.217*time*(EXP(4.606*(20-time)/time)-1),((time-20)^2)*(0.5/time))))))</f>
        <v/>
      </c>
      <c r="V93" s="2225">
        <f>44/12*(M93*IF(time&gt;20,20,IF(time&lt;20,(time*VLOOKUP($H93,list!$J$48:$K$50,2,)),((MIN(20,time)*VLOOKUP($H93,list!$J$48:$K$50,2,))+(time-MIN(20,time))-IF($H93="exponential",time-20+0.217*time*(EXP(4.606*(20-time)/time)-1),((time-20)^2)*(0.5/time))))))</f>
        <v/>
      </c>
    </row>
    <row r="94">
      <c r="B94" s="2192">
        <f>B84</f>
        <v/>
      </c>
      <c r="C94" s="2192">
        <f>C84</f>
        <v/>
      </c>
      <c r="D94" s="2225" t="n">
        <v>0</v>
      </c>
      <c r="E94" s="2225">
        <f>E84</f>
        <v/>
      </c>
      <c r="F94" s="2225">
        <f>F84</f>
        <v/>
      </c>
      <c r="G94" s="2225">
        <f>G84</f>
        <v/>
      </c>
      <c r="H94" s="2225">
        <f>H84</f>
        <v/>
      </c>
      <c r="I94" s="1661" t="n"/>
      <c r="K94" s="2218" t="n">
        <v>0</v>
      </c>
      <c r="L94" s="2218">
        <f>$E94*$N71</f>
        <v/>
      </c>
      <c r="M94" s="2218">
        <f>$G94*$N71</f>
        <v/>
      </c>
      <c r="O94" s="2218">
        <f>44/12*(L94*IF(time_tot&gt;time+20,20,IF(time_tot&lt;20,(time*VLOOKUP($F94,list!$J$48:$K$50,2,))+(time_tot-time),((MIN(20,time)*VLOOKUP($F94,list!$J$48:$K$50,2,))+(time_tot-MIN(20,time))-IF($F94="exponential",time_tot-20+0.217*time*(EXP(4.606*(20-time_tot)/time)-1),((time_tot-20)^2)*(0.5/time))))))</f>
        <v/>
      </c>
      <c r="P94" s="2218">
        <f>44/12*(M94*IF(time_tot&gt;time+20,20,IF(time_tot&lt;20,(time*VLOOKUP($H94,list!$J$48:$K$50,2,))+(time_tot-time),((MIN(20,time)*VLOOKUP($H94,list!$J$48:$K$50,2,))+(time_tot-MIN(20,time))-IF($H94="exponential",time_tot-20+0.217*time*(EXP(4.606*(20-time_tot)/time)-1),((time_tot-20)^2)*(0.5/time))))))</f>
        <v/>
      </c>
      <c r="Q94" s="2237">
        <f>P94-O94</f>
        <v/>
      </c>
      <c r="U94" s="2225">
        <f>44/12*(L94*IF(time&gt;20,20,IF(time&lt;20,(time*VLOOKUP($F94,list!$J$48:$K$50,2,)),((MIN(20,time)*VLOOKUP($F94,list!$J$48:$K$50,2,))+(time-MIN(20,time))-IF($F94="exponential",time-20+0.217*time*(EXP(4.606*(20-time)/time)-1),((time-20)^2)*(0.5/time))))))</f>
        <v/>
      </c>
      <c r="V94" s="2225">
        <f>44/12*(M94*IF(time&gt;20,20,IF(time&lt;20,(time*VLOOKUP($H94,list!$J$48:$K$50,2,)),((MIN(20,time)*VLOOKUP($H94,list!$J$48:$K$50,2,))+(time-MIN(20,time))-IF($H94="exponential",time-20+0.217*time*(EXP(4.606*(20-time)/time)-1),((time-20)^2)*(0.5/time))))))</f>
        <v/>
      </c>
    </row>
    <row r="97">
      <c r="D97" s="2193" t="inlineStr">
        <is>
          <t>Area (ha)</t>
        </is>
      </c>
      <c r="E97" s="2194" t="n"/>
      <c r="F97" s="2193" t="n"/>
      <c r="G97" s="2193" t="n"/>
      <c r="H97" s="2194" t="n"/>
    </row>
    <row r="98">
      <c r="B98" s="2195">
        <f>B87</f>
        <v/>
      </c>
      <c r="C98" s="2195">
        <f>C87</f>
        <v/>
      </c>
      <c r="D98" s="2195">
        <f>D87</f>
        <v/>
      </c>
      <c r="E98" s="2195">
        <f>E87</f>
        <v/>
      </c>
      <c r="F98" s="2195">
        <f>F87</f>
        <v/>
      </c>
      <c r="G98" s="2195">
        <f>G87</f>
        <v/>
      </c>
      <c r="H98" s="2195">
        <f>H87</f>
        <v/>
      </c>
      <c r="I98" s="1661" t="n"/>
      <c r="K98" s="2195" t="inlineStr">
        <is>
          <t>Emissions CH4 (tCO2eq/year)</t>
        </is>
      </c>
      <c r="M98" s="1661" t="n"/>
      <c r="O98" s="2195" t="inlineStr">
        <is>
          <t>Total CO2 emissions (tCO2eq)</t>
        </is>
      </c>
      <c r="U98" s="2192" t="inlineStr">
        <is>
          <t>Implementation phase</t>
        </is>
      </c>
    </row>
    <row r="99">
      <c r="I99" s="1661" t="n"/>
      <c r="K99" s="2192" t="inlineStr">
        <is>
          <t>Start</t>
        </is>
      </c>
      <c r="L99" s="1661" t="inlineStr">
        <is>
          <t>Without</t>
        </is>
      </c>
      <c r="M99" s="1661" t="inlineStr">
        <is>
          <t>With</t>
        </is>
      </c>
      <c r="O99" s="2215" t="inlineStr">
        <is>
          <t>Without</t>
        </is>
      </c>
      <c r="P99" s="2216" t="inlineStr">
        <is>
          <t>With</t>
        </is>
      </c>
      <c r="Q99" s="2217" t="inlineStr">
        <is>
          <t>Balance</t>
        </is>
      </c>
      <c r="U99" s="2215" t="inlineStr">
        <is>
          <t>Without</t>
        </is>
      </c>
      <c r="V99" s="2216" t="inlineStr">
        <is>
          <t>With</t>
        </is>
      </c>
    </row>
    <row r="100">
      <c r="B100" s="2192">
        <f>B89</f>
        <v/>
      </c>
      <c r="C100" s="2192">
        <f>C89</f>
        <v/>
      </c>
      <c r="D100" s="1661">
        <f>D89</f>
        <v/>
      </c>
      <c r="E100" s="1661">
        <f>E89</f>
        <v/>
      </c>
      <c r="F100" s="1661">
        <f>F89</f>
        <v/>
      </c>
      <c r="G100" s="1661">
        <f>G89</f>
        <v/>
      </c>
      <c r="H100" s="1661">
        <f>H89</f>
        <v/>
      </c>
      <c r="I100" s="1661" t="n"/>
      <c r="K100" s="2218" t="n">
        <v>0</v>
      </c>
      <c r="L100" s="2218">
        <f>$E100*$P66/1000</f>
        <v/>
      </c>
      <c r="M100" s="2218">
        <f>$G100*$P66/1000</f>
        <v/>
      </c>
      <c r="O100" s="2218">
        <f>methane*(L100*IF(time_tot&gt;time+20,20,IF(time_tot&lt;20,(time*VLOOKUP($F100,list!$J$48:$K$50,2,))+(time_tot-time),((MIN(20,time)*VLOOKUP($F100,list!$J$48:$K$50,2,))+(time_tot-MIN(20,time))-IF($F100="exponential",time_tot-20+0.217*time*(EXP(4.606*(20-time_tot)/time)-1),((time_tot-20)^2)*(0.5/time))))))</f>
        <v/>
      </c>
      <c r="P100" s="2218">
        <f>methane*(M100*IF(time_tot&gt;time+20,20,IF(time_tot&lt;20,(time*VLOOKUP($H100,list!$J$48:$K$50,2,))+(time_tot-time),((MIN(20,time)*VLOOKUP($H100,list!$J$48:$K$50,2,))+(time_tot-MIN(20,time))-IF($H100="exponential",time_tot-20+0.217*time*(EXP(4.606*(20-time_tot)/time)-1),((time_tot-20)^2)*(0.5/time))))))</f>
        <v/>
      </c>
      <c r="Q100" s="2223">
        <f>P100-O100</f>
        <v/>
      </c>
      <c r="R100" s="2224" t="n"/>
      <c r="U100" s="2225">
        <f>methane*(L100*IF(time&gt;20,20,IF(time&lt;20,(time*VLOOKUP($F100,list!$J$48:$K$50,2,)),((MIN(20,time)*VLOOKUP($F100,list!$J$48:$K$50,2,))+(time-MIN(20,time))-IF($F100="exponential",time-20+0.217*time*(EXP(4.606*(20-time)/time)-1),((time-20)^2)*(0.5/time))))))</f>
        <v/>
      </c>
      <c r="V100" s="2225">
        <f>methane*(M100*IF(time&gt;20,20,IF(time&lt;20,(time*VLOOKUP($H100,list!$J$48:$K$50,2,)),((MIN(20,time)*VLOOKUP($H100,list!$J$48:$K$50,2,))+(time-MIN(20,time))-IF($H100="exponential",time-20+0.217*time*(EXP(4.606*(20-time)/time)-1),((time-20)^2)*(0.5/time))))))</f>
        <v/>
      </c>
    </row>
    <row r="101">
      <c r="B101" s="2192">
        <f>B90</f>
        <v/>
      </c>
      <c r="C101" s="2192">
        <f>C90</f>
        <v/>
      </c>
      <c r="D101" s="1661">
        <f>D90</f>
        <v/>
      </c>
      <c r="E101" s="1661">
        <f>E90</f>
        <v/>
      </c>
      <c r="F101" s="1661">
        <f>F90</f>
        <v/>
      </c>
      <c r="G101" s="1661">
        <f>G90</f>
        <v/>
      </c>
      <c r="H101" s="1661">
        <f>H90</f>
        <v/>
      </c>
      <c r="I101" s="1661" t="n"/>
      <c r="K101" s="2218" t="n">
        <v>0</v>
      </c>
      <c r="L101" s="2218">
        <f>$E101*$P67/1000</f>
        <v/>
      </c>
      <c r="M101" s="2218">
        <f>$G101*$P67/1000</f>
        <v/>
      </c>
      <c r="O101" s="2218">
        <f>methane*(L101*IF(time_tot&gt;time+20,20,IF(time_tot&lt;20,(time*VLOOKUP($F101,list!$J$48:$K$50,2,))+(time_tot-time),((MIN(20,time)*VLOOKUP($F101,list!$J$48:$K$50,2,))+(time_tot-MIN(20,time))-IF($F101="exponential",time_tot-20+0.217*time*(EXP(4.606*(20-time_tot)/time)-1),((time_tot-20)^2)*(0.5/time))))))</f>
        <v/>
      </c>
      <c r="P101" s="2218">
        <f>methane*(M101*IF(time_tot&gt;time+20,20,IF(time_tot&lt;20,(time*VLOOKUP($H101,list!$J$48:$K$50,2,))+(time_tot-time),((MIN(20,time)*VLOOKUP($H101,list!$J$48:$K$50,2,))+(time_tot-MIN(20,time))-IF($H101="exponential",time_tot-20+0.217*time*(EXP(4.606*(20-time_tot)/time)-1),((time_tot-20)^2)*(0.5/time))))))</f>
        <v/>
      </c>
      <c r="Q101" s="2231">
        <f>P101-O101</f>
        <v/>
      </c>
      <c r="U101" s="2225">
        <f>methane*(L101*IF(time&gt;20,20,IF(time&lt;20,(time*VLOOKUP($F101,list!$J$48:$K$50,2,)),((MIN(20,time)*VLOOKUP($F101,list!$J$48:$K$50,2,))+(time-MIN(20,time))-IF($F101="exponential",time-20+0.217*time*(EXP(4.606*(20-time)/time)-1),((time-20)^2)*(0.5/time))))))</f>
        <v/>
      </c>
      <c r="V101" s="2225">
        <f>methane*(M101*IF(time&gt;20,20,IF(time&lt;20,(time*VLOOKUP($H101,list!$J$48:$K$50,2,)),((MIN(20,time)*VLOOKUP($H101,list!$J$48:$K$50,2,))+(time-MIN(20,time))-IF($H101="exponential",time-20+0.217*time*(EXP(4.606*(20-time)/time)-1),((time-20)^2)*(0.5/time))))))</f>
        <v/>
      </c>
    </row>
    <row r="102">
      <c r="B102" s="2192">
        <f>B91</f>
        <v/>
      </c>
      <c r="C102" s="2192">
        <f>C91</f>
        <v/>
      </c>
      <c r="D102" s="1661">
        <f>D91</f>
        <v/>
      </c>
      <c r="E102" s="1661">
        <f>E91</f>
        <v/>
      </c>
      <c r="F102" s="1661">
        <f>F91</f>
        <v/>
      </c>
      <c r="G102" s="1661">
        <f>G91</f>
        <v/>
      </c>
      <c r="H102" s="1661">
        <f>H91</f>
        <v/>
      </c>
      <c r="I102" s="1661" t="n"/>
      <c r="K102" s="2218" t="n">
        <v>0</v>
      </c>
      <c r="L102" s="2218">
        <f>$E102*$P68/1000</f>
        <v/>
      </c>
      <c r="M102" s="2218">
        <f>$G102*$P68/1000</f>
        <v/>
      </c>
      <c r="O102" s="2218">
        <f>methane*(L102*IF(time_tot&gt;time+20,20,IF(time_tot&lt;20,(time*VLOOKUP($F102,list!$J$48:$K$50,2,))+(time_tot-time),((MIN(20,time)*VLOOKUP($F102,list!$J$48:$K$50,2,))+(time_tot-MIN(20,time))-IF($F102="exponential",time_tot-20+0.217*time*(EXP(4.606*(20-time_tot)/time)-1),((time_tot-20)^2)*(0.5/time))))))</f>
        <v/>
      </c>
      <c r="P102" s="2218">
        <f>methane*(M102*IF(time_tot&gt;time+20,20,IF(time_tot&lt;20,(time*VLOOKUP($H102,list!$J$48:$K$50,2,))+(time_tot-time),((MIN(20,time)*VLOOKUP($H102,list!$J$48:$K$50,2,))+(time_tot-MIN(20,time))-IF($H102="exponential",time_tot-20+0.217*time*(EXP(4.606*(20-time_tot)/time)-1),((time_tot-20)^2)*(0.5/time))))))</f>
        <v/>
      </c>
      <c r="Q102" s="2231">
        <f>P102-O102</f>
        <v/>
      </c>
      <c r="U102" s="2225">
        <f>methane*(L102*IF(time&gt;20,20,IF(time&lt;20,(time*VLOOKUP($F102,list!$J$48:$K$50,2,)),((MIN(20,time)*VLOOKUP($F102,list!$J$48:$K$50,2,))+(time-MIN(20,time))-IF($F102="exponential",time-20+0.217*time*(EXP(4.606*(20-time)/time)-1),((time-20)^2)*(0.5/time))))))</f>
        <v/>
      </c>
      <c r="V102" s="2225">
        <f>methane*(M102*IF(time&gt;20,20,IF(time&lt;20,(time*VLOOKUP($H102,list!$J$48:$K$50,2,)),((MIN(20,time)*VLOOKUP($H102,list!$J$48:$K$50,2,))+(time-MIN(20,time))-IF($H102="exponential",time-20+0.217*time*(EXP(4.606*(20-time)/time)-1),((time-20)^2)*(0.5/time))))))</f>
        <v/>
      </c>
    </row>
    <row r="103">
      <c r="B103" s="2192">
        <f>B92</f>
        <v/>
      </c>
      <c r="C103" s="2192">
        <f>C92</f>
        <v/>
      </c>
      <c r="D103" s="1661">
        <f>D92</f>
        <v/>
      </c>
      <c r="E103" s="1661">
        <f>E92</f>
        <v/>
      </c>
      <c r="F103" s="1661">
        <f>F92</f>
        <v/>
      </c>
      <c r="G103" s="1661">
        <f>G92</f>
        <v/>
      </c>
      <c r="H103" s="1661">
        <f>H92</f>
        <v/>
      </c>
      <c r="I103" s="1661" t="n"/>
      <c r="K103" s="2218" t="n">
        <v>0</v>
      </c>
      <c r="L103" s="2218">
        <f>$E103*$P69/1000</f>
        <v/>
      </c>
      <c r="M103" s="2218">
        <f>$G103*$P69/1000</f>
        <v/>
      </c>
      <c r="O103" s="2218">
        <f>methane*(L103*IF(time_tot&gt;time+20,20,IF(time_tot&lt;20,(time*VLOOKUP($F103,list!$J$48:$K$50,2,))+(time_tot-time),((MIN(20,time)*VLOOKUP($F103,list!$J$48:$K$50,2,))+(time_tot-MIN(20,time))-IF($F103="exponential",time_tot-20+0.217*time*(EXP(4.606*(20-time_tot)/time)-1),((time_tot-20)^2)*(0.5/time))))))</f>
        <v/>
      </c>
      <c r="P103" s="2218">
        <f>methane*(M103*IF(time_tot&gt;time+20,20,IF(time_tot&lt;20,(time*VLOOKUP($H103,list!$J$48:$K$50,2,))+(time_tot-time),((MIN(20,time)*VLOOKUP($H103,list!$J$48:$K$50,2,))+(time_tot-MIN(20,time))-IF($H103="exponential",time_tot-20+0.217*time*(EXP(4.606*(20-time_tot)/time)-1),((time_tot-20)^2)*(0.5/time))))))</f>
        <v/>
      </c>
      <c r="Q103" s="2231">
        <f>P103-O103</f>
        <v/>
      </c>
      <c r="U103" s="2225">
        <f>methane*(L103*IF(time&gt;20,20,IF(time&lt;20,(time*VLOOKUP($F103,list!$J$48:$K$50,2,)),((MIN(20,time)*VLOOKUP($F103,list!$J$48:$K$50,2,))+(time-MIN(20,time))-IF($F103="exponential",time-20+0.217*time*(EXP(4.606*(20-time)/time)-1),((time-20)^2)*(0.5/time))))))</f>
        <v/>
      </c>
      <c r="V103" s="2225">
        <f>methane*(M103*IF(time&gt;20,20,IF(time&lt;20,(time*VLOOKUP($H103,list!$J$48:$K$50,2,)),((MIN(20,time)*VLOOKUP($H103,list!$J$48:$K$50,2,))+(time-MIN(20,time))-IF($H103="exponential",time-20+0.217*time*(EXP(4.606*(20-time)/time)-1),((time-20)^2)*(0.5/time))))))</f>
        <v/>
      </c>
    </row>
    <row r="104">
      <c r="B104" s="2192">
        <f>B93</f>
        <v/>
      </c>
      <c r="C104" s="2192">
        <f>C93</f>
        <v/>
      </c>
      <c r="D104" s="1661">
        <f>D93</f>
        <v/>
      </c>
      <c r="E104" s="1661">
        <f>E93</f>
        <v/>
      </c>
      <c r="F104" s="1661">
        <f>F93</f>
        <v/>
      </c>
      <c r="G104" s="1661">
        <f>G93</f>
        <v/>
      </c>
      <c r="H104" s="1661">
        <f>H93</f>
        <v/>
      </c>
      <c r="I104" s="1661" t="n"/>
      <c r="K104" s="2218" t="n">
        <v>0</v>
      </c>
      <c r="L104" s="2218">
        <f>$E104*$P70/1000</f>
        <v/>
      </c>
      <c r="M104" s="2218">
        <f>$G104*$P70/1000</f>
        <v/>
      </c>
      <c r="O104" s="2218">
        <f>methane*(L104*IF(time_tot&gt;time+20,20,IF(time_tot&lt;20,(time*VLOOKUP($F104,list!$J$48:$K$50,2,))+(time_tot-time),((MIN(20,time)*VLOOKUP($F104,list!$J$48:$K$50,2,))+(time_tot-MIN(20,time))-IF($F104="exponential",time_tot-20+0.217*time*(EXP(4.606*(20-time_tot)/time)-1),((time_tot-20)^2)*(0.5/time))))))</f>
        <v/>
      </c>
      <c r="P104" s="2218">
        <f>methane*(M104*IF(time_tot&gt;time+20,20,IF(time_tot&lt;20,(time*VLOOKUP($H104,list!$J$48:$K$50,2,))+(time_tot-time),((MIN(20,time)*VLOOKUP($H104,list!$J$48:$K$50,2,))+(time_tot-MIN(20,time))-IF($H104="exponential",time_tot-20+0.217*time*(EXP(4.606*(20-time_tot)/time)-1),((time_tot-20)^2)*(0.5/time))))))</f>
        <v/>
      </c>
      <c r="Q104" s="2231">
        <f>P104-O104</f>
        <v/>
      </c>
      <c r="U104" s="2225">
        <f>methane*(L104*IF(time&gt;20,20,IF(time&lt;20,(time*VLOOKUP($F104,list!$J$48:$K$50,2,)),((MIN(20,time)*VLOOKUP($F104,list!$J$48:$K$50,2,))+(time-MIN(20,time))-IF($F104="exponential",time-20+0.217*time*(EXP(4.606*(20-time)/time)-1),((time-20)^2)*(0.5/time))))))</f>
        <v/>
      </c>
      <c r="V104" s="2225">
        <f>methane*(M104*IF(time&gt;20,20,IF(time&lt;20,(time*VLOOKUP($H104,list!$J$48:$K$50,2,)),((MIN(20,time)*VLOOKUP($H104,list!$J$48:$K$50,2,))+(time-MIN(20,time))-IF($H104="exponential",time-20+0.217*time*(EXP(4.606*(20-time)/time)-1),((time-20)^2)*(0.5/time))))))</f>
        <v/>
      </c>
    </row>
    <row r="105">
      <c r="B105" s="2192">
        <f>B94</f>
        <v/>
      </c>
      <c r="C105" s="2192">
        <f>C94</f>
        <v/>
      </c>
      <c r="D105" s="1661">
        <f>D94</f>
        <v/>
      </c>
      <c r="E105" s="1661">
        <f>E94</f>
        <v/>
      </c>
      <c r="F105" s="1661">
        <f>F94</f>
        <v/>
      </c>
      <c r="G105" s="1661">
        <f>G94</f>
        <v/>
      </c>
      <c r="H105" s="1661">
        <f>H94</f>
        <v/>
      </c>
      <c r="I105" s="1661" t="n"/>
      <c r="K105" s="2218" t="n">
        <v>0</v>
      </c>
      <c r="L105" s="2218">
        <f>$E105*$P71/1000</f>
        <v/>
      </c>
      <c r="M105" s="2218">
        <f>$G105*$P71/1000</f>
        <v/>
      </c>
      <c r="O105" s="2218">
        <f>methane*(L105*IF(time_tot&gt;time+20,20,IF(time_tot&lt;20,(time*VLOOKUP($F105,list!$J$48:$K$50,2,))+(time_tot-time),((MIN(20,time)*VLOOKUP($F105,list!$J$48:$K$50,2,))+(time_tot-MIN(20,time))-IF($F105="exponential",time_tot-20+0.217*time*(EXP(4.606*(20-time_tot)/time)-1),((time_tot-20)^2)*(0.5/time))))))</f>
        <v/>
      </c>
      <c r="P105" s="2218">
        <f>methane*(M105*IF(time_tot&gt;time+20,20,IF(time_tot&lt;20,(time*VLOOKUP($H105,list!$J$48:$K$50,2,))+(time_tot-time),((MIN(20,time)*VLOOKUP($H105,list!$J$48:$K$50,2,))+(time_tot-MIN(20,time))-IF($H105="exponential",time_tot-20+0.217*time*(EXP(4.606*(20-time_tot)/time)-1),((time_tot-20)^2)*(0.5/time))))))</f>
        <v/>
      </c>
      <c r="Q105" s="2237">
        <f>P105-O105</f>
        <v/>
      </c>
      <c r="U105" s="2225">
        <f>methane*(L105*IF(time&gt;20,20,IF(time&lt;20,(time*VLOOKUP($F105,list!$J$48:$K$50,2,)),((MIN(20,time)*VLOOKUP($F105,list!$J$48:$K$50,2,))+(time-MIN(20,time))-IF($F105="exponential",time-20+0.217*time*(EXP(4.606*(20-time)/time)-1),((time-20)^2)*(0.5/time))))))</f>
        <v/>
      </c>
      <c r="V105" s="2225">
        <f>methane*(M105*IF(time&gt;20,20,IF(time&lt;20,(time*VLOOKUP($H105,list!$J$48:$K$50,2,)),((MIN(20,time)*VLOOKUP($H105,list!$J$48:$K$50,2,))+(time-MIN(20,time))-IF($H105="exponential",time-20+0.217*time*(EXP(4.606*(20-time)/time)-1),((time-20)^2)*(0.5/time))))))</f>
        <v/>
      </c>
    </row>
    <row r="108">
      <c r="L108" s="2238" t="n"/>
      <c r="M108" s="2238" t="n"/>
      <c r="N108" s="2239" t="inlineStr">
        <is>
          <t>Total Rewetting (tCO2eq)</t>
        </is>
      </c>
      <c r="O108" s="2240">
        <f>SUM(O89:O94,O79:O84,O100:O105)</f>
        <v/>
      </c>
      <c r="P108" s="2240">
        <f>SUM(P89:P94,P79:P84,P100:P105)</f>
        <v/>
      </c>
      <c r="Q108" s="2240">
        <f>SUM(Q89:Q94,Q79:Q84,Q100:Q105)</f>
        <v/>
      </c>
    </row>
    <row r="110" ht="45" customHeight="1">
      <c r="A110" s="2191" t="n"/>
      <c r="B110" s="2264" t="inlineStr">
        <is>
          <t>Coastal waterbodies</t>
        </is>
      </c>
      <c r="C110" s="2191" t="n"/>
      <c r="D110" s="2191" t="n"/>
      <c r="E110" s="2191" t="n"/>
      <c r="F110" s="2191" t="n"/>
      <c r="G110" s="2191" t="n"/>
      <c r="H110" s="2191" t="n"/>
      <c r="I110" s="2191" t="n"/>
      <c r="J110" s="2191" t="n"/>
      <c r="K110" s="2191" t="n"/>
      <c r="L110" s="2191" t="n"/>
      <c r="M110" s="2191" t="n"/>
      <c r="N110" s="2191" t="n"/>
      <c r="O110" s="2191" t="n"/>
      <c r="P110" s="2191" t="n"/>
      <c r="Q110" s="2191" t="n"/>
      <c r="R110" s="2191" t="n"/>
      <c r="S110" s="2191" t="n"/>
      <c r="T110" s="2191" t="n"/>
      <c r="U110" s="2191" t="n"/>
      <c r="V110" s="2191" t="n"/>
      <c r="W110" s="2191" t="n"/>
      <c r="X110" s="2191" t="n"/>
      <c r="Y110" s="2191" t="n"/>
      <c r="Z110" s="2191" t="n"/>
      <c r="AA110" s="2191" t="n"/>
      <c r="AB110" s="2191" t="n"/>
      <c r="AC110" s="2191" t="n"/>
    </row>
    <row r="111" ht="21" customFormat="1" customHeight="1" s="973">
      <c r="A111" s="2378" t="n"/>
      <c r="B111" s="2378" t="inlineStr">
        <is>
          <t>CH4 emissions</t>
        </is>
      </c>
      <c r="C111" s="2378" t="n"/>
      <c r="D111" s="2378" t="n"/>
      <c r="E111" s="2378" t="n"/>
      <c r="F111" s="2378" t="n"/>
      <c r="G111" s="2378" t="n"/>
      <c r="H111" s="2378" t="n"/>
      <c r="I111" s="2378" t="n"/>
      <c r="J111" s="2378" t="n"/>
      <c r="K111" s="2378" t="n"/>
      <c r="L111" s="2378" t="n"/>
      <c r="M111" s="2378" t="n"/>
      <c r="N111" s="2378" t="n"/>
      <c r="O111" s="2378" t="n"/>
      <c r="P111" s="2378" t="n"/>
      <c r="Q111" s="2378" t="n"/>
      <c r="R111" s="2378" t="n"/>
      <c r="S111" s="2378" t="n"/>
      <c r="T111" s="2378" t="n"/>
      <c r="U111" s="2378" t="n"/>
      <c r="V111" s="2378" t="n"/>
      <c r="W111" s="2378" t="n"/>
      <c r="X111" s="2378" t="n"/>
      <c r="Y111" s="2378" t="n"/>
      <c r="Z111" s="2378" t="n"/>
      <c r="AA111" s="2378" t="n"/>
      <c r="AB111" s="2378" t="n"/>
      <c r="AC111" s="2378" t="n"/>
      <c r="AI111" s="1231" t="n"/>
    </row>
    <row r="112" ht="21" customFormat="1" customHeight="1" s="973">
      <c r="A112" s="2379" t="n"/>
      <c r="B112" s="2379" t="n"/>
      <c r="C112" s="2379" t="n"/>
      <c r="D112" s="2379" t="n"/>
      <c r="E112" s="2379" t="n"/>
      <c r="F112" s="2379" t="n"/>
      <c r="G112" s="2379" t="n"/>
      <c r="H112" s="2379" t="n"/>
      <c r="I112" s="2379" t="n"/>
      <c r="J112" s="2379" t="n"/>
      <c r="K112" s="2193" t="inlineStr">
        <is>
          <t>CH4 emissions tCO2-e/year</t>
        </is>
      </c>
      <c r="L112" s="2380" t="n"/>
      <c r="M112" s="2380" t="n"/>
      <c r="N112" s="2380" t="n"/>
      <c r="O112" s="2380" t="n"/>
      <c r="P112" s="2380" t="n"/>
      <c r="Q112" s="2380" t="n"/>
      <c r="R112" s="2379" t="n"/>
      <c r="S112" s="2379" t="n"/>
      <c r="T112" s="2379" t="n"/>
      <c r="U112" s="2193" t="inlineStr">
        <is>
          <t>GHG PER SCENARIO</t>
        </is>
      </c>
      <c r="V112" s="2194" t="n"/>
      <c r="W112" s="2194" t="n"/>
      <c r="X112" s="2192" t="n"/>
      <c r="Y112" s="2379" t="n"/>
      <c r="Z112" s="2379" t="n"/>
      <c r="AA112" s="2379" t="n"/>
      <c r="AB112" s="2379" t="n"/>
      <c r="AC112" s="2379" t="n"/>
      <c r="AI112" s="1231" t="n"/>
    </row>
    <row r="113" ht="16" customFormat="1" customHeight="1" s="973">
      <c r="D113" s="3489">
        <f>Languages!B354</f>
        <v/>
      </c>
      <c r="E113" s="3489" t="n"/>
      <c r="F113" s="3489" t="n"/>
      <c r="G113" s="3489" t="n"/>
      <c r="H113" s="3489" t="n"/>
      <c r="K113" s="2195" t="inlineStr">
        <is>
          <t>Annual emissions (tCO2eq/yr)</t>
        </is>
      </c>
      <c r="L113" s="2192" t="n"/>
      <c r="M113" s="2192" t="n"/>
      <c r="O113" s="2195" t="inlineStr">
        <is>
          <t>Total CO2 emissions (tCO2eq)</t>
        </is>
      </c>
      <c r="P113" s="2192" t="n"/>
      <c r="Q113" s="2192" t="n"/>
      <c r="U113" s="2192" t="n"/>
      <c r="V113" s="2192" t="n"/>
      <c r="W113" s="2192" t="n"/>
      <c r="X113" s="2192" t="n"/>
      <c r="AI113" s="1231" t="n"/>
      <c r="BJ113" s="2381" t="n"/>
      <c r="BK113" s="2382" t="n"/>
      <c r="BL113" s="2382" t="n"/>
      <c r="BO113" s="2381" t="n"/>
      <c r="BP113" s="2382" t="n"/>
      <c r="BQ113" s="2382" t="n"/>
      <c r="BR113" s="2383" t="n"/>
      <c r="BS113" s="1454" t="n"/>
    </row>
    <row r="114" ht="14" customFormat="1" customHeight="1" s="973">
      <c r="B114" s="1281" t="inlineStr">
        <is>
          <t>Waterbody type</t>
        </is>
      </c>
      <c r="D114" s="1576" t="inlineStr">
        <is>
          <t>Start</t>
        </is>
      </c>
      <c r="E114" s="1576" t="inlineStr">
        <is>
          <t>Without</t>
        </is>
      </c>
      <c r="F114" s="1576" t="inlineStr">
        <is>
          <t>Rate</t>
        </is>
      </c>
      <c r="G114" s="1576" t="inlineStr">
        <is>
          <t>With</t>
        </is>
      </c>
      <c r="H114" s="1576" t="inlineStr">
        <is>
          <t>Rate</t>
        </is>
      </c>
      <c r="K114" s="2192" t="inlineStr">
        <is>
          <t>Start</t>
        </is>
      </c>
      <c r="L114" s="2377" t="inlineStr">
        <is>
          <t>Without</t>
        </is>
      </c>
      <c r="M114" s="2216" t="inlineStr">
        <is>
          <t>With</t>
        </is>
      </c>
      <c r="O114" s="2215" t="inlineStr">
        <is>
          <t>Without</t>
        </is>
      </c>
      <c r="P114" s="2216" t="inlineStr">
        <is>
          <t>With</t>
        </is>
      </c>
      <c r="Q114" s="2217" t="inlineStr">
        <is>
          <t>Balance</t>
        </is>
      </c>
      <c r="U114" s="2196" t="inlineStr">
        <is>
          <t>CATEGORIES</t>
        </is>
      </c>
      <c r="V114" s="2197" t="inlineStr">
        <is>
          <t>WITHOUT</t>
        </is>
      </c>
      <c r="W114" s="2197" t="inlineStr">
        <is>
          <t>WITH</t>
        </is>
      </c>
      <c r="X114" s="2197" t="inlineStr">
        <is>
          <t>difference</t>
        </is>
      </c>
      <c r="AI114" s="1688" t="n"/>
      <c r="AJ114" s="1688" t="n"/>
      <c r="AK114" s="1688" t="n"/>
      <c r="AX114" s="1688" t="n"/>
      <c r="AY114" s="1688" t="n"/>
      <c r="BJ114" s="1582" t="n"/>
      <c r="BK114" s="1585" t="n"/>
      <c r="BL114" s="1585" t="n"/>
      <c r="BM114" s="992" t="n"/>
      <c r="BO114" s="1582" t="n"/>
      <c r="BP114" s="1584" t="n"/>
      <c r="BQ114" s="1585" t="n"/>
      <c r="BR114" s="1584" t="n"/>
      <c r="BS114" s="1455" t="n"/>
    </row>
    <row r="115" ht="14" customFormat="1" customHeight="1" s="973">
      <c r="B115" s="973">
        <f>Coastal!B126</f>
        <v/>
      </c>
      <c r="D115" s="992">
        <f>'7.Coastal wetlands'!L65</f>
        <v/>
      </c>
      <c r="E115" s="992">
        <f>'7.Coastal wetlands'!N65</f>
        <v/>
      </c>
      <c r="F115" s="2225">
        <f>VLOOKUP('7.Coastal wetlands'!O65, list!$I$48:$J$50,2,FALSE )</f>
        <v/>
      </c>
      <c r="G115" s="992">
        <f>'7.Coastal wetlands'!P65</f>
        <v/>
      </c>
      <c r="H115" s="992">
        <f>VLOOKUP('7.Coastal wetlands'!Q65,list!$I$48:$J$50,2,FALSE )</f>
        <v/>
      </c>
      <c r="K115" s="2218">
        <f>$D115*Coastal!$G126*'Fish and aqua'!$P77/1000*methane</f>
        <v/>
      </c>
      <c r="L115" s="2218">
        <f>$E115*Coastal!$G126*'Fish and aqua'!$Q77/1000*methane</f>
        <v/>
      </c>
      <c r="M115" s="2218">
        <f>$G115*Coastal!$G126*'Fish and aqua'!$R77/1000*methane</f>
        <v/>
      </c>
      <c r="O115" s="2218">
        <f>MIN(K115,L115)*time_tot+ABS(L115-K115)*IF(L115&gt;K115,time_cap+time*(VLOOKUP(F115,list!$J$48:$K$50,2,0)),time*(1-(VLOOKUP(F115,list!$J$48:$K$50,2,0))))</f>
        <v/>
      </c>
      <c r="P115" s="2218">
        <f>MIN(K115,M115)*time_tot+ABS(M115-K115)*IF(M115&gt;K115,time_cap+time*(VLOOKUP(H115,list!$J$48:$K$50,2,0)),time*(1-(VLOOKUP(H115,list!$J$48:$K$50,2,0))))</f>
        <v/>
      </c>
      <c r="Q115" s="2223">
        <f>P115-O115</f>
        <v/>
      </c>
      <c r="U115" s="2207" t="inlineStr">
        <is>
          <t>Total CH4</t>
        </is>
      </c>
      <c r="V115" s="2208">
        <f>SUM($O$115:$O$120)</f>
        <v/>
      </c>
      <c r="W115" s="2208">
        <f>SUM($P$115:$P$120)</f>
        <v/>
      </c>
      <c r="X115" s="2208">
        <f>W115-V115</f>
        <v/>
      </c>
      <c r="AI115" s="3508" t="n"/>
      <c r="AJ115" s="3508" t="n"/>
      <c r="AK115" s="3519" t="n"/>
      <c r="AX115" s="992" t="n"/>
      <c r="AY115" s="992" t="n"/>
      <c r="BM115" s="992" t="n"/>
      <c r="BO115" s="2384" t="n"/>
      <c r="BP115" s="1455" t="n"/>
      <c r="BQ115" s="1455" t="n"/>
      <c r="BR115" s="1455" t="n"/>
      <c r="BS115" s="992" t="n"/>
    </row>
    <row r="116" ht="14" customFormat="1" customHeight="1" s="973">
      <c r="B116" s="973">
        <f>Coastal!B127</f>
        <v/>
      </c>
      <c r="D116" s="992">
        <f>'7.Coastal wetlands'!L66</f>
        <v/>
      </c>
      <c r="E116" s="992">
        <f>'7.Coastal wetlands'!N66</f>
        <v/>
      </c>
      <c r="F116" s="2225">
        <f>VLOOKUP('7.Coastal wetlands'!O66, list!$I$48:$J$50,2,FALSE )</f>
        <v/>
      </c>
      <c r="G116" s="992">
        <f>'7.Coastal wetlands'!P66</f>
        <v/>
      </c>
      <c r="H116" s="992">
        <f>VLOOKUP('7.Coastal wetlands'!Q66,list!$I$48:$J$50,2,FALSE )</f>
        <v/>
      </c>
      <c r="K116" s="2218">
        <f>$D116*Coastal!$G127*'Fish and aqua'!$P78/1000*methane</f>
        <v/>
      </c>
      <c r="L116" s="2218">
        <f>$E116*Coastal!$G127*'Fish and aqua'!$Q78/1000*methane</f>
        <v/>
      </c>
      <c r="M116" s="2218">
        <f>$G116*Coastal!$G127*'Fish and aqua'!$R78/1000*methane</f>
        <v/>
      </c>
      <c r="O116" s="2218">
        <f>MIN(K116,L116)*time_tot+ABS(L116-K116)*IF(L116&gt;K116,time_cap+time*(VLOOKUP(F116,list!$J$48:$K$50,2,0)),time*(1-(VLOOKUP(F116,list!$J$48:$K$50,2,0))))</f>
        <v/>
      </c>
      <c r="P116" s="2218">
        <f>MIN(K116,M116)*time_tot+ABS(M116-K116)*IF(M116&gt;K116,time_cap+time*(VLOOKUP(H116,list!$J$48:$K$50,2,0)),time*(1-(VLOOKUP(H116,list!$J$48:$K$50,2,0))))</f>
        <v/>
      </c>
      <c r="Q116" s="2223">
        <f>P116-O116</f>
        <v/>
      </c>
      <c r="U116" s="2207" t="n"/>
      <c r="V116" s="2208" t="n"/>
      <c r="W116" s="2208" t="n"/>
      <c r="X116" s="2208" t="n"/>
      <c r="AI116" s="3508" t="n"/>
      <c r="AJ116" s="3508" t="n"/>
      <c r="AK116" s="3519" t="n"/>
      <c r="AX116" s="992" t="n"/>
      <c r="AY116" s="992" t="n"/>
      <c r="BK116" s="992" t="n"/>
      <c r="BL116" s="992" t="n"/>
      <c r="BM116" s="992" t="n"/>
    </row>
    <row r="117" ht="14" customFormat="1" customHeight="1" s="973">
      <c r="B117" s="973">
        <f>Coastal!B128</f>
        <v/>
      </c>
      <c r="D117" s="992">
        <f>'7.Coastal wetlands'!L67</f>
        <v/>
      </c>
      <c r="E117" s="992">
        <f>'7.Coastal wetlands'!N67</f>
        <v/>
      </c>
      <c r="F117" s="2225">
        <f>VLOOKUP('7.Coastal wetlands'!O67, list!$I$48:$J$50,2,FALSE )</f>
        <v/>
      </c>
      <c r="G117" s="992">
        <f>'7.Coastal wetlands'!P67</f>
        <v/>
      </c>
      <c r="H117" s="992">
        <f>VLOOKUP('7.Coastal wetlands'!Q67,list!$I$48:$J$50,2,FALSE )</f>
        <v/>
      </c>
      <c r="K117" s="2218">
        <f>$D117*Coastal!$G128*'Fish and aqua'!$P79/1000*methane</f>
        <v/>
      </c>
      <c r="L117" s="2218">
        <f>$E117*Coastal!$G128*'Fish and aqua'!$Q79/1000*methane</f>
        <v/>
      </c>
      <c r="M117" s="2218">
        <f>$G117*Coastal!$G128*'Fish and aqua'!$R79/1000*methane</f>
        <v/>
      </c>
      <c r="O117" s="2218">
        <f>MIN(K117,L117)*time_tot+ABS(L117-K117)*IF(L117&gt;K117,time_cap+time*(VLOOKUP(F117,list!$J$48:$K$50,2,0)),time*(1-(VLOOKUP(F117,list!$J$48:$K$50,2,0))))</f>
        <v/>
      </c>
      <c r="P117" s="2218">
        <f>MIN(K117,M117)*time_tot+ABS(M117-K117)*IF(M117&gt;K117,time_cap+time*(VLOOKUP(H117,list!$J$48:$K$50,2,0)),time*(1-(VLOOKUP(H117,list!$J$48:$K$50,2,0))))</f>
        <v/>
      </c>
      <c r="Q117" s="2223">
        <f>P117-O117</f>
        <v/>
      </c>
      <c r="U117" s="2207" t="n"/>
      <c r="V117" s="2208" t="n"/>
      <c r="W117" s="2208" t="n"/>
      <c r="X117" s="2208" t="n"/>
      <c r="AI117" s="3508" t="n"/>
      <c r="AJ117" s="3508" t="n"/>
      <c r="AK117" s="3519" t="n"/>
      <c r="AX117" s="992" t="n"/>
      <c r="AY117" s="992" t="n"/>
      <c r="BK117" s="992" t="n"/>
      <c r="BL117" s="992" t="n"/>
      <c r="BM117" s="992" t="n"/>
    </row>
    <row r="118" ht="14" customFormat="1" customHeight="1" s="973">
      <c r="B118" s="973">
        <f>Coastal!B129</f>
        <v/>
      </c>
      <c r="D118" s="992">
        <f>'7.Coastal wetlands'!L68</f>
        <v/>
      </c>
      <c r="E118" s="992">
        <f>'7.Coastal wetlands'!N68</f>
        <v/>
      </c>
      <c r="F118" s="2225">
        <f>VLOOKUP('7.Coastal wetlands'!O68, list!$I$48:$J$50,2,FALSE )</f>
        <v/>
      </c>
      <c r="G118" s="992">
        <f>'7.Coastal wetlands'!P68</f>
        <v/>
      </c>
      <c r="H118" s="992">
        <f>VLOOKUP('7.Coastal wetlands'!Q68,list!$I$48:$J$50,2,FALSE )</f>
        <v/>
      </c>
      <c r="K118" s="2218">
        <f>$D118*Coastal!$G129*'Fish and aqua'!$P80/1000*methane</f>
        <v/>
      </c>
      <c r="L118" s="2218">
        <f>$E118*Coastal!$G129*'Fish and aqua'!$Q80/1000*methane</f>
        <v/>
      </c>
      <c r="M118" s="2218">
        <f>$G118*Coastal!$G129*'Fish and aqua'!$R80/1000*methane</f>
        <v/>
      </c>
      <c r="O118" s="2218">
        <f>MIN(K118,L118)*time_tot+ABS(L118-K118)*IF(L118&gt;K118,time_cap+time*(VLOOKUP(F118,list!$J$48:$K$50,2,0)),time*(1-(VLOOKUP(F118,list!$J$48:$K$50,2,0))))</f>
        <v/>
      </c>
      <c r="P118" s="2218">
        <f>MIN(K118,M118)*time_tot+ABS(M118-K118)*IF(M118&gt;K118,time_cap+time*(VLOOKUP(H118,list!$J$48:$K$50,2,0)),time*(1-(VLOOKUP(H118,list!$J$48:$K$50,2,0))))</f>
        <v/>
      </c>
      <c r="Q118" s="2223">
        <f>P118-O118</f>
        <v/>
      </c>
      <c r="U118" s="2212" t="inlineStr">
        <is>
          <t>TOTAL (tCO2-eq)</t>
        </is>
      </c>
      <c r="V118" s="2213">
        <f>SUM(V115:V117)</f>
        <v/>
      </c>
      <c r="W118" s="2213">
        <f>SUM(W115:W117)</f>
        <v/>
      </c>
      <c r="X118" s="2213">
        <f>W118-V118</f>
        <v/>
      </c>
      <c r="AI118" s="3508" t="n"/>
      <c r="AJ118" s="3508" t="n"/>
      <c r="AK118" s="3519" t="n"/>
      <c r="AX118" s="992" t="n"/>
      <c r="AY118" s="992" t="n"/>
      <c r="BM118" s="992" t="n"/>
    </row>
    <row r="119" ht="14" customFormat="1" customHeight="1" s="973">
      <c r="B119" s="973">
        <f>Coastal!B130</f>
        <v/>
      </c>
      <c r="D119" s="992">
        <f>'7.Coastal wetlands'!L69</f>
        <v/>
      </c>
      <c r="E119" s="992">
        <f>'7.Coastal wetlands'!N69</f>
        <v/>
      </c>
      <c r="F119" s="2225">
        <f>VLOOKUP('7.Coastal wetlands'!O69, list!$I$48:$J$50,2,FALSE )</f>
        <v/>
      </c>
      <c r="G119" s="992">
        <f>'7.Coastal wetlands'!P69</f>
        <v/>
      </c>
      <c r="H119" s="992">
        <f>VLOOKUP('7.Coastal wetlands'!Q69,list!$I$48:$J$50,2,FALSE )</f>
        <v/>
      </c>
      <c r="K119" s="2218">
        <f>$D119*Coastal!$G130*'Fish and aqua'!$P81/1000*methane</f>
        <v/>
      </c>
      <c r="L119" s="2218">
        <f>$E119*Coastal!$G130*'Fish and aqua'!$Q81/1000*methane</f>
        <v/>
      </c>
      <c r="M119" s="2218">
        <f>$G119*Coastal!$G130*'Fish and aqua'!$R81/1000*methane</f>
        <v/>
      </c>
      <c r="O119" s="2218">
        <f>MIN(K119,L119)*time_tot+ABS(L119-K119)*IF(L119&gt;K119,time_cap+time*(VLOOKUP(F119,list!$J$48:$K$50,2,0)),time*(1-(VLOOKUP(F119,list!$J$48:$K$50,2,0))))</f>
        <v/>
      </c>
      <c r="P119" s="2218">
        <f>MIN(K119,M119)*time_tot+ABS(M119-K119)*IF(M119&gt;K119,time_cap+time*(VLOOKUP(H119,list!$J$48:$K$50,2,0)),time*(1-(VLOOKUP(H119,list!$J$48:$K$50,2,0))))</f>
        <v/>
      </c>
      <c r="Q119" s="2223">
        <f>P119-O119</f>
        <v/>
      </c>
      <c r="AI119" s="3508" t="n"/>
      <c r="AJ119" s="3508" t="n"/>
      <c r="AK119" s="3519" t="n"/>
      <c r="AX119" s="992" t="n"/>
      <c r="AY119" s="992" t="n"/>
      <c r="BM119" s="992" t="n"/>
    </row>
    <row r="120" ht="14" customFormat="1" customHeight="1" s="973">
      <c r="B120" s="973">
        <f>Coastal!B131</f>
        <v/>
      </c>
      <c r="D120" s="992">
        <f>'7.Coastal wetlands'!L70</f>
        <v/>
      </c>
      <c r="E120" s="992">
        <f>'7.Coastal wetlands'!N70</f>
        <v/>
      </c>
      <c r="F120" s="2225">
        <f>VLOOKUP('7.Coastal wetlands'!O70, list!$I$48:$J$50,2,FALSE )</f>
        <v/>
      </c>
      <c r="G120" s="992">
        <f>'7.Coastal wetlands'!P70</f>
        <v/>
      </c>
      <c r="H120" s="992">
        <f>VLOOKUP('7.Coastal wetlands'!Q70,list!$I$48:$J$50,2,FALSE )</f>
        <v/>
      </c>
      <c r="K120" s="2218">
        <f>$D120*Coastal!$G131*'Fish and aqua'!$P82/1000*methane</f>
        <v/>
      </c>
      <c r="L120" s="2218">
        <f>$E120*Coastal!$G131*'Fish and aqua'!$Q82/1000*methane</f>
        <v/>
      </c>
      <c r="M120" s="2218">
        <f>$G120*Coastal!$G131*'Fish and aqua'!$R82/1000*methane</f>
        <v/>
      </c>
      <c r="O120" s="2218">
        <f>MIN(K120,L120)*time_tot+ABS(L120-K120)*IF(L120&gt;K120,time_cap+time*(VLOOKUP(F120,list!$J$48:$K$50,2,0)),time*(1-(VLOOKUP(F120,list!$J$48:$K$50,2,0))))</f>
        <v/>
      </c>
      <c r="P120" s="2218">
        <f>MIN(K120,M120)*time_tot+ABS(M120-K120)*IF(M120&gt;K120,time_cap+time*(VLOOKUP(H120,list!$J$48:$K$50,2,0)),time*(1-(VLOOKUP(H120,list!$J$48:$K$50,2,0))))</f>
        <v/>
      </c>
      <c r="Q120" s="2223">
        <f>P120-O120</f>
        <v/>
      </c>
      <c r="AI120" s="3508" t="n"/>
      <c r="AJ120" s="3508" t="n"/>
      <c r="AK120" s="3519" t="n"/>
      <c r="AX120" s="992" t="n"/>
      <c r="AY120" s="992" t="n"/>
      <c r="BM120" s="992" t="n"/>
    </row>
    <row r="121" ht="14" customFormat="1" customHeight="1" s="973">
      <c r="AX121" s="992" t="n"/>
      <c r="BM121" s="992" t="n"/>
    </row>
    <row r="123">
      <c r="U123" s="2192" t="inlineStr">
        <is>
          <t>Implementation phase</t>
        </is>
      </c>
    </row>
    <row r="124">
      <c r="F124" s="2193" t="inlineStr">
        <is>
          <t>Trophic state</t>
        </is>
      </c>
      <c r="G124" s="2194" t="n"/>
      <c r="H124" s="2194" t="n"/>
      <c r="U124" s="2215" t="inlineStr">
        <is>
          <t>Without</t>
        </is>
      </c>
      <c r="V124" s="2216" t="inlineStr">
        <is>
          <t>With</t>
        </is>
      </c>
    </row>
    <row r="125">
      <c r="B125" s="2195">
        <f>'7.Coastal wetlands'!C63</f>
        <v/>
      </c>
      <c r="C125" s="2195">
        <f>'7.Coastal wetlands'!E63</f>
        <v/>
      </c>
      <c r="F125" s="1661" t="inlineStr">
        <is>
          <t>Default</t>
        </is>
      </c>
      <c r="G125" s="1661" t="inlineStr">
        <is>
          <t>Tier 2</t>
        </is>
      </c>
      <c r="H125" s="1661" t="inlineStr">
        <is>
          <t>Chlo.A</t>
        </is>
      </c>
      <c r="U125" s="2225">
        <f>MIN(L115,K115)*time+ABS(L115-K115)*IF(L115&gt;K115,time*(VLOOKUP(F115,list!$J$48:$K$50,2,0)),time*(1-(VLOOKUP(F115,list!$J$48:$K$50,2,0))))</f>
        <v/>
      </c>
      <c r="V125" s="2225">
        <f>MIN(M115,K115)*time+ABS(M115-K115)*IF(M114&gt;K115,time*(VLOOKUP(H115,list!$J$48:$K$50,2,0)),time*(1-(VLOOKUP(H115,list!$J$48:$K$50,2,0))))</f>
        <v/>
      </c>
    </row>
    <row r="126">
      <c r="B126" s="2192">
        <f>'7.Coastal wetlands'!C65</f>
        <v/>
      </c>
      <c r="C126" s="2192">
        <f>'7.Coastal wetlands'!E65</f>
        <v/>
      </c>
      <c r="F126" s="4793">
        <f>IF('7.Coastal wetlands'!E65="Please select",0,IF(H126="",VLOOKUP('7.Coastal wetlands'!E65,IPCC!$A$3222:$B$3227,2,FALSE),0.26*H126))</f>
        <v/>
      </c>
      <c r="G126" s="2397">
        <f>IF('7.Coastal wetlands'!CC65="",'7.Coastal wetlands'!CA65,'7.Coastal wetlands'!CC65)</f>
        <v/>
      </c>
      <c r="H126" s="2192">
        <f>IF('7.Coastal wetlands'!CE65="","",'7.Coastal wetlands'!CE65)</f>
        <v/>
      </c>
      <c r="U126" s="2225">
        <f>MIN(L116,K116)*time+ABS(L116-K116)*IF(L116&gt;K116,time*(VLOOKUP(F116,list!$J$48:$K$50,2,0)),time*(1-(VLOOKUP(F116,list!$J$48:$K$50,2,0))))</f>
        <v/>
      </c>
      <c r="V126" s="2225">
        <f>MIN(M116,K116)*time+ABS(M116-K116)*IF(M115&gt;K116,time*(VLOOKUP(H116,list!$J$48:$K$50,2,0)),time*(1-(VLOOKUP(H116,list!$J$48:$K$50,2,0))))</f>
        <v/>
      </c>
    </row>
    <row r="127">
      <c r="B127" s="2192">
        <f>'7.Coastal wetlands'!C66</f>
        <v/>
      </c>
      <c r="C127" s="2192">
        <f>'7.Coastal wetlands'!E66</f>
        <v/>
      </c>
      <c r="F127" s="4794">
        <f>IF('7.Coastal wetlands'!E66="Please select",0,IF(H127="",VLOOKUP('7.Coastal wetlands'!E66,IPCC!$A$3222:$B$3227,2,FALSE),0.26*H127))</f>
        <v/>
      </c>
      <c r="G127" s="2398">
        <f>IF('7.Coastal wetlands'!CC66="",'7.Coastal wetlands'!CA66,'7.Coastal wetlands'!CC66)</f>
        <v/>
      </c>
      <c r="H127" s="2192">
        <f>IF('7.Coastal wetlands'!CE66="","",'7.Coastal wetlands'!CE66)</f>
        <v/>
      </c>
      <c r="U127" s="2225">
        <f>MIN(L117,K117)*time+ABS(L117-K117)*IF(L117&gt;K117,time*(VLOOKUP(F117,list!$J$48:$K$50,2,0)),time*(1-(VLOOKUP(F117,list!$J$48:$K$50,2,0))))</f>
        <v/>
      </c>
      <c r="V127" s="2225">
        <f>MIN(M117,K117)*time+ABS(M117-K117)*IF(M116&gt;K117,time*(VLOOKUP(H117,list!$J$48:$K$50,2,0)),time*(1-(VLOOKUP(H117,list!$J$48:$K$50,2,0))))</f>
        <v/>
      </c>
    </row>
    <row r="128">
      <c r="B128" s="2192">
        <f>'7.Coastal wetlands'!C67</f>
        <v/>
      </c>
      <c r="C128" s="2192">
        <f>'7.Coastal wetlands'!E67</f>
        <v/>
      </c>
      <c r="F128" s="4794">
        <f>IF('7.Coastal wetlands'!E67="Please select",0,IF(H128="",VLOOKUP('7.Coastal wetlands'!E67,IPCC!$A$3222:$B$3227,2,FALSE),0.26*H128))</f>
        <v/>
      </c>
      <c r="G128" s="2398">
        <f>IF('7.Coastal wetlands'!CC67="",'7.Coastal wetlands'!CA67,'7.Coastal wetlands'!CC67)</f>
        <v/>
      </c>
      <c r="H128" s="2192">
        <f>IF('7.Coastal wetlands'!CE67="","",'7.Coastal wetlands'!CE67)</f>
        <v/>
      </c>
      <c r="U128" s="2225">
        <f>MIN(L118,K118)*time+ABS(L118-K118)*IF(L118&gt;K118,time*(VLOOKUP(F118,list!$J$48:$K$50,2,0)),time*(1-(VLOOKUP(F118,list!$J$48:$K$50,2,0))))</f>
        <v/>
      </c>
      <c r="V128" s="2225">
        <f>MIN(M118,K118)*time+ABS(M118-K118)*IF(M117&gt;K118,time*(VLOOKUP(H118,list!$J$48:$K$50,2,0)),time*(1-(VLOOKUP(H118,list!$J$48:$K$50,2,0))))</f>
        <v/>
      </c>
    </row>
    <row r="129">
      <c r="B129" s="2192">
        <f>'7.Coastal wetlands'!C68</f>
        <v/>
      </c>
      <c r="C129" s="2192">
        <f>'7.Coastal wetlands'!E68</f>
        <v/>
      </c>
      <c r="F129" s="4794">
        <f>IF('7.Coastal wetlands'!E68="Please select",0,IF(H129="",VLOOKUP('7.Coastal wetlands'!E68,IPCC!$A$3222:$B$3227,2,FALSE),0.26*H129))</f>
        <v/>
      </c>
      <c r="G129" s="2398">
        <f>IF('7.Coastal wetlands'!CC68="",'7.Coastal wetlands'!CA68,'7.Coastal wetlands'!CC68)</f>
        <v/>
      </c>
      <c r="H129" s="2192">
        <f>IF('7.Coastal wetlands'!CE68="","",'7.Coastal wetlands'!CE68)</f>
        <v/>
      </c>
      <c r="U129" s="2225">
        <f>MIN(L119,K119)*time+ABS(L119-K119)*IF(L119&gt;K119,time*(VLOOKUP(F119,list!$J$48:$K$50,2,0)),time*(1-(VLOOKUP(F119,list!$J$48:$K$50,2,0))))</f>
        <v/>
      </c>
      <c r="V129" s="2225">
        <f>MIN(M119,K119)*time+ABS(M119-K119)*IF(M118&gt;K119,time*(VLOOKUP(H119,list!$J$48:$K$50,2,0)),time*(1-(VLOOKUP(H119,list!$J$48:$K$50,2,0))))</f>
        <v/>
      </c>
    </row>
    <row r="130">
      <c r="B130" s="2192">
        <f>'7.Coastal wetlands'!C69</f>
        <v/>
      </c>
      <c r="C130" s="2192">
        <f>'7.Coastal wetlands'!E69</f>
        <v/>
      </c>
      <c r="F130" s="4794">
        <f>IF('7.Coastal wetlands'!E69="Please select",0,IF(H130="",VLOOKUP('7.Coastal wetlands'!E69,IPCC!$A$3222:$B$3227,2,FALSE),0.26*H130))</f>
        <v/>
      </c>
      <c r="G130" s="2398">
        <f>IF('7.Coastal wetlands'!CC69="",'7.Coastal wetlands'!CA69,'7.Coastal wetlands'!CC69)</f>
        <v/>
      </c>
      <c r="H130" s="2192">
        <f>IF('7.Coastal wetlands'!CE69="","",'7.Coastal wetlands'!CE69)</f>
        <v/>
      </c>
      <c r="U130" s="2225">
        <f>MIN(L120,K120)*time+ABS(L120-K120)*IF(L120&gt;K120,time*(VLOOKUP(F120,list!$J$48:$K$50,2,0)),time*(1-(VLOOKUP(F120,list!$J$48:$K$50,2,0))))</f>
        <v/>
      </c>
      <c r="V130" s="2225">
        <f>MIN(M120,K120)*time+ABS(M120-K120)*IF(M119&gt;K120,time*(VLOOKUP(H120,list!$J$48:$K$50,2,0)),time*(1-(VLOOKUP(H120,list!$J$48:$K$50,2,0))))</f>
        <v/>
      </c>
    </row>
    <row r="131">
      <c r="B131" s="2192">
        <f>'7.Coastal wetlands'!C70</f>
        <v/>
      </c>
      <c r="C131" s="2192">
        <f>'7.Coastal wetlands'!E70</f>
        <v/>
      </c>
      <c r="F131" s="4795">
        <f>IF('7.Coastal wetlands'!E70="Please select",0,IF(H131="",VLOOKUP('7.Coastal wetlands'!E70,IPCC!$A$3222:$B$3227,2,FALSE),0.26*H131))</f>
        <v/>
      </c>
      <c r="G131" s="2399">
        <f>IF('7.Coastal wetlands'!CC70="",'7.Coastal wetlands'!CA70,'7.Coastal wetlands'!CC70)</f>
        <v/>
      </c>
      <c r="H131" s="2192">
        <f>IF('7.Coastal wetlands'!CE70="","",'7.Coastal wetlands'!CE70)</f>
        <v/>
      </c>
    </row>
  </sheetData>
  <conditionalFormatting sqref="BK117:BL117">
    <cfRule type="expression" priority="1" dxfId="60">
      <formula>$BL$371&lt;&gt;$BL$372</formula>
    </cfRule>
  </conditionalFormatting>
  <pageMargins left="0.7" right="0.7" top="0.75" bottom="0.75" header="0.3" footer="0.3"/>
  <pageSetup orientation="portrait"/>
</worksheet>
</file>

<file path=xl/worksheets/sheet24.xml><?xml version="1.0" encoding="utf-8"?>
<worksheet xmlns="http://schemas.openxmlformats.org/spreadsheetml/2006/main">
  <sheetPr>
    <outlinePr summaryBelow="1" summaryRight="1"/>
    <pageSetUpPr/>
  </sheetPr>
  <dimension ref="A1:BS108"/>
  <sheetViews>
    <sheetView topLeftCell="A2" zoomScale="125" zoomScaleNormal="85" workbookViewId="0">
      <selection activeCell="K32" sqref="K32"/>
    </sheetView>
  </sheetViews>
  <sheetFormatPr baseColWidth="10" defaultColWidth="8.83203125" defaultRowHeight="15"/>
  <sheetData>
    <row r="1" ht="45" customFormat="1" customHeight="1" s="2192">
      <c r="A1" s="2191" t="n"/>
      <c r="B1" s="2263" t="inlineStr">
        <is>
          <t>Fisheries management</t>
        </is>
      </c>
      <c r="C1" s="2191" t="n"/>
      <c r="D1" s="2191" t="n"/>
      <c r="E1" s="2191" t="n"/>
      <c r="F1" s="2191" t="n"/>
      <c r="G1" s="2191" t="n"/>
      <c r="H1" s="2191" t="n"/>
      <c r="I1" s="2191" t="n"/>
      <c r="J1" s="2191" t="n"/>
      <c r="K1" s="2191" t="n"/>
      <c r="L1" s="2191" t="n"/>
      <c r="M1" s="2191" t="n"/>
      <c r="N1" s="2191" t="n"/>
      <c r="O1" s="2191" t="n"/>
      <c r="P1" s="2191" t="n"/>
      <c r="Q1" s="2191" t="n"/>
      <c r="R1" s="2191" t="n"/>
      <c r="S1" s="2191" t="n"/>
      <c r="T1" s="2191" t="n"/>
      <c r="U1" s="2191" t="n"/>
      <c r="V1" s="2191" t="n"/>
      <c r="W1" s="2191" t="n"/>
      <c r="X1" s="2191" t="n"/>
      <c r="Y1" s="2191" t="n"/>
      <c r="Z1" s="2191" t="n"/>
      <c r="AA1" s="2191" t="n"/>
      <c r="AB1" s="2191" t="n"/>
      <c r="AC1" s="2191" t="n"/>
    </row>
    <row r="2" ht="45" customFormat="1" customHeight="1" s="2192">
      <c r="A2" s="4372" t="inlineStr">
        <is>
          <t>Small scale fisheries</t>
        </is>
      </c>
      <c r="B2" s="4371" t="n"/>
      <c r="C2" s="4370" t="n"/>
      <c r="D2" s="4370" t="n"/>
      <c r="E2" s="4370" t="n"/>
      <c r="F2" s="4370" t="n"/>
      <c r="G2" s="4370" t="n"/>
      <c r="H2" s="4370" t="n"/>
      <c r="I2" s="4370" t="n"/>
      <c r="J2" s="4370" t="n"/>
      <c r="K2" s="4370" t="n"/>
      <c r="L2" s="4370" t="n"/>
      <c r="M2" s="4370" t="n"/>
      <c r="N2" s="4370" t="n"/>
      <c r="O2" s="4370" t="n"/>
      <c r="P2" s="4370" t="n"/>
      <c r="Q2" s="4370" t="n"/>
      <c r="R2" s="4370" t="n"/>
      <c r="S2" s="4370" t="n"/>
      <c r="T2" s="4370" t="n"/>
      <c r="U2" s="4370" t="n"/>
      <c r="V2" s="4370" t="n"/>
      <c r="W2" s="4370" t="n"/>
      <c r="X2" s="4370" t="n"/>
      <c r="Y2" s="4370" t="n"/>
      <c r="Z2" s="4370" t="n"/>
      <c r="AA2" s="4370" t="n"/>
      <c r="AB2" s="4370" t="n"/>
      <c r="AC2" s="4370" t="n"/>
    </row>
    <row r="3" ht="13" customFormat="1" customHeight="1" s="2192"/>
    <row r="4" ht="13" customFormat="1" customHeight="1" s="2192">
      <c r="B4" s="2195" t="inlineStr">
        <is>
          <t>Emissions from catch</t>
        </is>
      </c>
      <c r="C4" s="2195" t="n"/>
      <c r="D4" s="2193" t="inlineStr">
        <is>
          <t>Catch (tonne per year)</t>
        </is>
      </c>
      <c r="E4" s="2194" t="n"/>
      <c r="F4" s="2194" t="n"/>
      <c r="G4" s="2194" t="n"/>
      <c r="H4" s="2194" t="n"/>
      <c r="K4" s="2193" t="inlineStr">
        <is>
          <t>FUI (litre/tonne)</t>
        </is>
      </c>
      <c r="L4" s="2193" t="n"/>
      <c r="M4" s="2193" t="n"/>
      <c r="N4" s="2193" t="n"/>
      <c r="O4" s="2194" t="n"/>
      <c r="Q4" s="2249" t="inlineStr">
        <is>
          <t>Emission factor (tCO2eq/t catch)</t>
        </is>
      </c>
      <c r="R4" s="2249" t="n"/>
      <c r="S4" s="2249" t="n"/>
      <c r="V4" s="2250" t="inlineStr">
        <is>
          <t>Emission factor (tCO2eq/m3)</t>
        </is>
      </c>
      <c r="W4" s="2250" t="n"/>
      <c r="X4" s="2250" t="n"/>
    </row>
    <row r="5" ht="13" customFormat="1" customHeight="1" s="2192">
      <c r="B5" s="2195" t="inlineStr">
        <is>
          <t>Fishery category</t>
        </is>
      </c>
      <c r="C5" s="2195" t="inlineStr">
        <is>
          <t>Gear category</t>
        </is>
      </c>
      <c r="D5" s="2251" t="inlineStr">
        <is>
          <t>Start</t>
        </is>
      </c>
      <c r="E5" s="2251" t="inlineStr">
        <is>
          <t>Without</t>
        </is>
      </c>
      <c r="F5" s="2251" t="inlineStr">
        <is>
          <t>Rate</t>
        </is>
      </c>
      <c r="G5" s="2251" t="inlineStr">
        <is>
          <t>With</t>
        </is>
      </c>
      <c r="H5" s="2251" t="inlineStr">
        <is>
          <t>Rate</t>
        </is>
      </c>
      <c r="K5" s="2251" t="inlineStr">
        <is>
          <t>Default</t>
        </is>
      </c>
      <c r="M5" s="2251" t="inlineStr">
        <is>
          <t>Start</t>
        </is>
      </c>
      <c r="N5" s="2251" t="inlineStr">
        <is>
          <t>Without</t>
        </is>
      </c>
      <c r="O5" s="2251" t="inlineStr">
        <is>
          <t>With</t>
        </is>
      </c>
      <c r="Q5" s="1661" t="inlineStr">
        <is>
          <t>Start</t>
        </is>
      </c>
      <c r="R5" s="1661" t="inlineStr">
        <is>
          <t>Without</t>
        </is>
      </c>
      <c r="S5" s="1661" t="inlineStr">
        <is>
          <t>With</t>
        </is>
      </c>
      <c r="V5" s="2252" t="inlineStr">
        <is>
          <t>Gasoil/Diesel</t>
        </is>
      </c>
      <c r="W5" s="2253">
        <f>AVERAGE(IPCC!B1739:B1741)</f>
        <v/>
      </c>
      <c r="X5" s="2254">
        <f>IF('8. Fisheries and aquaculture'!BZ9="",'8. Fisheries and aquaculture'!BX9,'8. Fisheries and aquaculture'!BZ9)</f>
        <v/>
      </c>
    </row>
    <row r="6" ht="13" customFormat="1" customHeight="1" s="2192">
      <c r="B6" s="2192">
        <f>'8. Fisheries and aquaculture'!C13</f>
        <v/>
      </c>
      <c r="C6" s="2192">
        <f>'8. Fisheries and aquaculture'!E13</f>
        <v/>
      </c>
      <c r="D6" s="2225">
        <f>'8. Fisheries and aquaculture'!X13</f>
        <v/>
      </c>
      <c r="E6" s="2225">
        <f>'8. Fisheries and aquaculture'!Z13</f>
        <v/>
      </c>
      <c r="F6" s="1661">
        <f>VLOOKUP('8. Fisheries and aquaculture'!AA13, list!$I$48:$J$50,2,FALSE )</f>
        <v/>
      </c>
      <c r="G6" s="2225">
        <f>'8. Fisheries and aquaculture'!AB13</f>
        <v/>
      </c>
      <c r="H6" s="1661">
        <f>VLOOKUP('8. Fisheries and aquaculture'!AC13, list!$I$48:$J$50,2,FALSE )</f>
        <v/>
      </c>
      <c r="K6" s="2255">
        <f>IF(OR(B6="Please select",C6="Please select"),0,IF(INDEX('Database fish'!$A$36:$I$39,MATCH('Fish and aqua'!$B6,'Database fish'!$A$36:$A$39,0),MATCH('Fish and aqua'!$C6,'Database fish'!$A$36:$I$36,0))=0,(INDEX('Database fish'!$A$36:$I$39,MATCH('Fish and aqua'!$B6,'Database fish'!$A$36:$A$39,0),MATCH('Database fish'!$I$36,'Database fish'!$A$36:$I$36,0))),(INDEX('Database fish'!$A$36:$I$39,MATCH('Fish and aqua'!$B6,'Database fish'!$A$36:$A$39,0),MATCH('Fish and aqua'!$C6,'Database fish'!$A$36:$I$36,0)))))</f>
        <v/>
      </c>
      <c r="L6" s="2192">
        <f>IF(INDEX('Database fish'!$A$36:$I$39,MATCH('Fish and aqua'!$B6,'Database fish'!$A$36:$A$39,0),MATCH('Fish and aqua'!$C6,'Database fish'!$A$36:$I$36,0))="","Not specific","Gear specific")</f>
        <v/>
      </c>
      <c r="M6" s="2218">
        <f>IF('8. Fisheries and aquaculture'!$R13="",'8. Fisheries and aquaculture'!$P13,'8. Fisheries and aquaculture'!$R13)</f>
        <v/>
      </c>
      <c r="N6" s="2218">
        <f>IF('8. Fisheries and aquaculture'!$T13="",'8. Fisheries and aquaculture'!$P13,'8. Fisheries and aquaculture'!$T13)</f>
        <v/>
      </c>
      <c r="O6" s="2218">
        <f>IF('8. Fisheries and aquaculture'!$U13="",'8. Fisheries and aquaculture'!$P13,'8. Fisheries and aquaculture'!$U13)</f>
        <v/>
      </c>
      <c r="Q6" s="2400">
        <f>$M6*$X$5/1000</f>
        <v/>
      </c>
      <c r="R6" s="2401">
        <f>$N6*$X$5/1000</f>
        <v/>
      </c>
      <c r="S6" s="2402">
        <f>$O6*$X$5/1000</f>
        <v/>
      </c>
    </row>
    <row r="7" ht="13" customFormat="1" customHeight="1" s="2192">
      <c r="B7" s="2192">
        <f>'8. Fisheries and aquaculture'!C14</f>
        <v/>
      </c>
      <c r="C7" s="2192">
        <f>'8. Fisheries and aquaculture'!E14</f>
        <v/>
      </c>
      <c r="D7" s="2225">
        <f>'8. Fisheries and aquaculture'!X14</f>
        <v/>
      </c>
      <c r="E7" s="2225">
        <f>'8. Fisheries and aquaculture'!Z14</f>
        <v/>
      </c>
      <c r="F7" s="1661">
        <f>VLOOKUP('8. Fisheries and aquaculture'!AA14, list!$I$48:$J$50,2,FALSE )</f>
        <v/>
      </c>
      <c r="G7" s="2225">
        <f>'8. Fisheries and aquaculture'!AB14</f>
        <v/>
      </c>
      <c r="H7" s="1661">
        <f>VLOOKUP('8. Fisheries and aquaculture'!AC14, list!$I$48:$J$50,2,FALSE )</f>
        <v/>
      </c>
      <c r="K7" s="2256">
        <f>IF(OR(B7="Please select",C7="Please select"),0,IF(INDEX('Database fish'!$A$36:$I$39,MATCH('Fish and aqua'!$B7,'Database fish'!$A$36:$A$39,0),MATCH('Fish and aqua'!$C7,'Database fish'!$A$36:$I$36,0))=0,(INDEX('Database fish'!$A$36:$I$39,MATCH('Fish and aqua'!$B7,'Database fish'!$A$36:$A$39,0),MATCH('Database fish'!$I$36,'Database fish'!$A$36:$I$36,0))),(INDEX('Database fish'!$A$36:$I$39,MATCH('Fish and aqua'!$B7,'Database fish'!$A$36:$A$39,0),MATCH('Fish and aqua'!$C7,'Database fish'!$A$36:$I$36,0)))))</f>
        <v/>
      </c>
      <c r="L7" s="2192">
        <f>IF(INDEX('Database fish'!$A$36:$I$39,MATCH('Fish and aqua'!$B7,'Database fish'!$A$36:$A$39,0),MATCH('Fish and aqua'!$C7,'Database fish'!$A$36:$I$36,0))="","Not specific","Gear specific")</f>
        <v/>
      </c>
      <c r="M7" s="2218">
        <f>IF('8. Fisheries and aquaculture'!$R14="",'8. Fisheries and aquaculture'!$P14,'8. Fisheries and aquaculture'!$R14)</f>
        <v/>
      </c>
      <c r="N7" s="2218">
        <f>IF('8. Fisheries and aquaculture'!$T14="",'8. Fisheries and aquaculture'!$P14,'8. Fisheries and aquaculture'!$T14)</f>
        <v/>
      </c>
      <c r="O7" s="2218">
        <f>IF('8. Fisheries and aquaculture'!$U14="",'8. Fisheries and aquaculture'!$P14,'8. Fisheries and aquaculture'!$U14)</f>
        <v/>
      </c>
      <c r="Q7" s="2400">
        <f>$M7*$X$5/1000</f>
        <v/>
      </c>
      <c r="R7" s="2401">
        <f>$N7*$X$5/1000</f>
        <v/>
      </c>
      <c r="S7" s="2402">
        <f>$O7*$X$5/1000</f>
        <v/>
      </c>
    </row>
    <row r="8" ht="13" customFormat="1" customHeight="1" s="2192">
      <c r="B8" s="2192">
        <f>'8. Fisheries and aquaculture'!C15</f>
        <v/>
      </c>
      <c r="C8" s="2192">
        <f>'8. Fisheries and aquaculture'!E15</f>
        <v/>
      </c>
      <c r="D8" s="2225">
        <f>'8. Fisheries and aquaculture'!X15</f>
        <v/>
      </c>
      <c r="E8" s="2225">
        <f>'8. Fisheries and aquaculture'!Z15</f>
        <v/>
      </c>
      <c r="F8" s="1661">
        <f>VLOOKUP('8. Fisheries and aquaculture'!AA15, list!$I$48:$J$50,2,FALSE )</f>
        <v/>
      </c>
      <c r="G8" s="2225">
        <f>'8. Fisheries and aquaculture'!AB15</f>
        <v/>
      </c>
      <c r="H8" s="1661">
        <f>VLOOKUP('8. Fisheries and aquaculture'!AC15, list!$I$48:$J$50,2,FALSE )</f>
        <v/>
      </c>
      <c r="K8" s="2256">
        <f>IF(OR(B8="Please select",C8="Please select"),0,IF(INDEX('Database fish'!$A$36:$I$39,MATCH('Fish and aqua'!$B8,'Database fish'!$A$36:$A$39,0),MATCH('Fish and aqua'!$C8,'Database fish'!$A$36:$I$36,0))=0,(INDEX('Database fish'!$A$36:$I$39,MATCH('Fish and aqua'!$B8,'Database fish'!$A$36:$A$39,0),MATCH('Database fish'!$I$36,'Database fish'!$A$36:$I$36,0))),(INDEX('Database fish'!$A$36:$I$39,MATCH('Fish and aqua'!$B8,'Database fish'!$A$36:$A$39,0),MATCH('Fish and aqua'!$C8,'Database fish'!$A$36:$I$36,0)))))</f>
        <v/>
      </c>
      <c r="L8" s="2192">
        <f>IF(INDEX('Database fish'!$A$36:$I$39,MATCH('Fish and aqua'!$B8,'Database fish'!$A$36:$A$39,0),MATCH('Fish and aqua'!$C8,'Database fish'!$A$36:$I$36,0))="","Not specific","Gear specific")</f>
        <v/>
      </c>
      <c r="M8" s="2218">
        <f>IF('8. Fisheries and aquaculture'!$R15="",'8. Fisheries and aquaculture'!$P15,'8. Fisheries and aquaculture'!$R15)</f>
        <v/>
      </c>
      <c r="N8" s="2218">
        <f>IF('8. Fisheries and aquaculture'!$T15="",'8. Fisheries and aquaculture'!$P15,'8. Fisheries and aquaculture'!$T15)</f>
        <v/>
      </c>
      <c r="O8" s="2218">
        <f>IF('8. Fisheries and aquaculture'!$U15="",'8. Fisheries and aquaculture'!$P15,'8. Fisheries and aquaculture'!$U15)</f>
        <v/>
      </c>
      <c r="Q8" s="2400">
        <f>$M8*$X$5/1000</f>
        <v/>
      </c>
      <c r="R8" s="2401">
        <f>$N8*$X$5/1000</f>
        <v/>
      </c>
      <c r="S8" s="2402">
        <f>$O8*$X$5/1000</f>
        <v/>
      </c>
    </row>
    <row r="9" ht="13" customFormat="1" customHeight="1" s="2192">
      <c r="B9" s="2192">
        <f>'8. Fisheries and aquaculture'!C16</f>
        <v/>
      </c>
      <c r="C9" s="2192">
        <f>'8. Fisheries and aquaculture'!E16</f>
        <v/>
      </c>
      <c r="D9" s="2225">
        <f>'8. Fisheries and aquaculture'!X16</f>
        <v/>
      </c>
      <c r="E9" s="2225">
        <f>'8. Fisheries and aquaculture'!Z16</f>
        <v/>
      </c>
      <c r="F9" s="1661">
        <f>VLOOKUP('8. Fisheries and aquaculture'!AA16, list!$I$48:$J$50,2,FALSE )</f>
        <v/>
      </c>
      <c r="G9" s="2225">
        <f>'8. Fisheries and aquaculture'!AB16</f>
        <v/>
      </c>
      <c r="H9" s="1661">
        <f>VLOOKUP('8. Fisheries and aquaculture'!AC16, list!$I$48:$J$50,2,FALSE )</f>
        <v/>
      </c>
      <c r="K9" s="2256">
        <f>IF(OR(B9="Please select",C9="Please select"),0,IF(INDEX('Database fish'!$A$36:$I$39,MATCH('Fish and aqua'!$B9,'Database fish'!$A$36:$A$39,0),MATCH('Fish and aqua'!$C9,'Database fish'!$A$36:$I$36,0))=0,(INDEX('Database fish'!$A$36:$I$39,MATCH('Fish and aqua'!$B9,'Database fish'!$A$36:$A$39,0),MATCH('Database fish'!$I$36,'Database fish'!$A$36:$I$36,0))),(INDEX('Database fish'!$A$36:$I$39,MATCH('Fish and aqua'!$B9,'Database fish'!$A$36:$A$39,0),MATCH('Fish and aqua'!$C9,'Database fish'!$A$36:$I$36,0)))))</f>
        <v/>
      </c>
      <c r="L9" s="2192">
        <f>IF(INDEX('Database fish'!$A$36:$I$39,MATCH('Fish and aqua'!$B9,'Database fish'!$A$36:$A$39,0),MATCH('Fish and aqua'!$C9,'Database fish'!$A$36:$I$36,0))="","Not specific","Gear specific")</f>
        <v/>
      </c>
      <c r="M9" s="2218">
        <f>IF('8. Fisheries and aquaculture'!$R16="",'8. Fisheries and aquaculture'!$P16,'8. Fisheries and aquaculture'!$R16)</f>
        <v/>
      </c>
      <c r="N9" s="2218">
        <f>IF('8. Fisheries and aquaculture'!$T16="",'8. Fisheries and aquaculture'!$P16,'8. Fisheries and aquaculture'!$T16)</f>
        <v/>
      </c>
      <c r="O9" s="2218">
        <f>IF('8. Fisheries and aquaculture'!$U16="",'8. Fisheries and aquaculture'!$P16,'8. Fisheries and aquaculture'!$U16)</f>
        <v/>
      </c>
      <c r="Q9" s="2400">
        <f>$M9*$X$5/1000</f>
        <v/>
      </c>
      <c r="R9" s="2401">
        <f>$N9*$X$5/1000</f>
        <v/>
      </c>
      <c r="S9" s="2402">
        <f>$O9*$X$5/1000</f>
        <v/>
      </c>
    </row>
    <row r="10" ht="13" customFormat="1" customHeight="1" s="2192">
      <c r="B10" s="2192">
        <f>'8. Fisheries and aquaculture'!C17</f>
        <v/>
      </c>
      <c r="C10" s="2192">
        <f>'8. Fisheries and aquaculture'!E17</f>
        <v/>
      </c>
      <c r="D10" s="2225">
        <f>'8. Fisheries and aquaculture'!X17</f>
        <v/>
      </c>
      <c r="E10" s="2225">
        <f>'8. Fisheries and aquaculture'!Z17</f>
        <v/>
      </c>
      <c r="F10" s="1661">
        <f>VLOOKUP('8. Fisheries and aquaculture'!AA17, list!$I$48:$J$50,2,FALSE )</f>
        <v/>
      </c>
      <c r="G10" s="2225">
        <f>'8. Fisheries and aquaculture'!AB17</f>
        <v/>
      </c>
      <c r="H10" s="1661">
        <f>VLOOKUP('8. Fisheries and aquaculture'!AC17, list!$I$48:$J$50,2,FALSE )</f>
        <v/>
      </c>
      <c r="K10" s="2256">
        <f>IF(OR(B10="Please select",C10="Please select"),0,IF(INDEX('Database fish'!$A$36:$I$39,MATCH('Fish and aqua'!$B10,'Database fish'!$A$36:$A$39,0),MATCH('Fish and aqua'!$C10,'Database fish'!$A$36:$I$36,0))=0,(INDEX('Database fish'!$A$36:$I$39,MATCH('Fish and aqua'!$B10,'Database fish'!$A$36:$A$39,0),MATCH('Database fish'!$I$36,'Database fish'!$A$36:$I$36,0))),(INDEX('Database fish'!$A$36:$I$39,MATCH('Fish and aqua'!$B10,'Database fish'!$A$36:$A$39,0),MATCH('Fish and aqua'!$C10,'Database fish'!$A$36:$I$36,0)))))</f>
        <v/>
      </c>
      <c r="L10" s="2192">
        <f>IF(INDEX('Database fish'!$A$36:$I$39,MATCH('Fish and aqua'!$B10,'Database fish'!$A$36:$A$39,0),MATCH('Fish and aqua'!$C10,'Database fish'!$A$36:$I$36,0))="","Not specific","Gear specific")</f>
        <v/>
      </c>
      <c r="M10" s="2218">
        <f>IF('8. Fisheries and aquaculture'!$R17="",'8. Fisheries and aquaculture'!$P17,'8. Fisheries and aquaculture'!$R17)</f>
        <v/>
      </c>
      <c r="N10" s="2218">
        <f>IF('8. Fisheries and aquaculture'!$T17="",'8. Fisheries and aquaculture'!$P17,'8. Fisheries and aquaculture'!$T17)</f>
        <v/>
      </c>
      <c r="O10" s="2218">
        <f>IF('8. Fisheries and aquaculture'!$U17="",'8. Fisheries and aquaculture'!$P17,'8. Fisheries and aquaculture'!$U17)</f>
        <v/>
      </c>
      <c r="Q10" s="2400">
        <f>$M10*$X$5/1000</f>
        <v/>
      </c>
      <c r="R10" s="2401">
        <f>$N10*$X$5/1000</f>
        <v/>
      </c>
      <c r="S10" s="2402">
        <f>$O10*$X$5/1000</f>
        <v/>
      </c>
      <c r="V10" s="1661" t="n"/>
    </row>
    <row r="11" ht="13" customFormat="1" customHeight="1" s="2192">
      <c r="B11" s="2192">
        <f>'8. Fisheries and aquaculture'!C18</f>
        <v/>
      </c>
      <c r="C11" s="2192">
        <f>'8. Fisheries and aquaculture'!E18</f>
        <v/>
      </c>
      <c r="D11" s="2225">
        <f>'8. Fisheries and aquaculture'!X18</f>
        <v/>
      </c>
      <c r="E11" s="2225">
        <f>'8. Fisheries and aquaculture'!Z18</f>
        <v/>
      </c>
      <c r="F11" s="1661">
        <f>VLOOKUP('8. Fisheries and aquaculture'!AA18, list!$I$48:$J$50,2,FALSE )</f>
        <v/>
      </c>
      <c r="G11" s="2225">
        <f>'8. Fisheries and aquaculture'!AB18</f>
        <v/>
      </c>
      <c r="H11" s="1661">
        <f>VLOOKUP('8. Fisheries and aquaculture'!AC18, list!$I$48:$J$50,2,FALSE )</f>
        <v/>
      </c>
      <c r="K11" s="2257">
        <f>IF(OR(B11="Please select",C11="Please select"),0,IF(INDEX('Database fish'!$A$36:$I$39,MATCH('Fish and aqua'!$B11,'Database fish'!$A$36:$A$39,0),MATCH('Fish and aqua'!$C11,'Database fish'!$A$36:$I$36,0))=0,(INDEX('Database fish'!$A$36:$I$39,MATCH('Fish and aqua'!$B11,'Database fish'!$A$36:$A$39,0),MATCH('Database fish'!$I$36,'Database fish'!$A$36:$I$36,0))),(INDEX('Database fish'!$A$36:$I$39,MATCH('Fish and aqua'!$B11,'Database fish'!$A$36:$A$39,0),MATCH('Fish and aqua'!$C11,'Database fish'!$A$36:$I$36,0)))))</f>
        <v/>
      </c>
      <c r="L11" s="2192">
        <f>IF(INDEX('Database fish'!$A$36:$I$39,MATCH('Fish and aqua'!$B11,'Database fish'!$A$36:$A$39,0),MATCH('Fish and aqua'!$C11,'Database fish'!$A$36:$I$36,0))="","Not specific","Gear specific")</f>
        <v/>
      </c>
      <c r="M11" s="2218">
        <f>IF('8. Fisheries and aquaculture'!$R18="",'8. Fisheries and aquaculture'!$P18,'8. Fisheries and aquaculture'!$R18)</f>
        <v/>
      </c>
      <c r="N11" s="2218">
        <f>IF('8. Fisheries and aquaculture'!$T18="",'8. Fisheries and aquaculture'!$P18,'8. Fisheries and aquaculture'!$T18)</f>
        <v/>
      </c>
      <c r="O11" s="2218">
        <f>IF('8. Fisheries and aquaculture'!$U18="",'8. Fisheries and aquaculture'!$P18,'8. Fisheries and aquaculture'!$U18)</f>
        <v/>
      </c>
      <c r="Q11" s="2400">
        <f>$M11*$X$5/1000</f>
        <v/>
      </c>
      <c r="R11" s="2401">
        <f>$N11*$X$5/1000</f>
        <v/>
      </c>
      <c r="S11" s="2402">
        <f>$O11*$X$5/1000</f>
        <v/>
      </c>
      <c r="V11" s="1661" t="n"/>
    </row>
    <row r="12" ht="13" customFormat="1" customHeight="1" s="2192">
      <c r="V12" s="1661" t="n"/>
    </row>
    <row r="13" ht="13" customFormat="1" customHeight="1" s="2192"/>
    <row r="14" ht="13" customFormat="1" customHeight="1" s="2192">
      <c r="K14" s="2192" t="inlineStr">
        <is>
          <t>Annual emissions (tCO2eq/yr)</t>
        </is>
      </c>
      <c r="O14" s="2195" t="inlineStr">
        <is>
          <t>Total CO2 emissions (tCO2eq)</t>
        </is>
      </c>
      <c r="U14" s="2192" t="inlineStr">
        <is>
          <t>Implementation phase</t>
        </is>
      </c>
    </row>
    <row r="15" ht="13" customFormat="1" customHeight="1" s="2192">
      <c r="B15" s="2195">
        <f>B5</f>
        <v/>
      </c>
      <c r="C15" s="2195">
        <f>C5</f>
        <v/>
      </c>
      <c r="K15" s="1661" t="inlineStr">
        <is>
          <t>Start</t>
        </is>
      </c>
      <c r="L15" s="2215" t="inlineStr">
        <is>
          <t>Without</t>
        </is>
      </c>
      <c r="M15" s="2216" t="inlineStr">
        <is>
          <t>With</t>
        </is>
      </c>
      <c r="O15" s="2215" t="inlineStr">
        <is>
          <t>Without</t>
        </is>
      </c>
      <c r="P15" s="2216" t="inlineStr">
        <is>
          <t>With</t>
        </is>
      </c>
      <c r="Q15" s="2217" t="inlineStr">
        <is>
          <t>Balance</t>
        </is>
      </c>
      <c r="U15" s="2215" t="inlineStr">
        <is>
          <t>Without</t>
        </is>
      </c>
      <c r="V15" s="2216" t="inlineStr">
        <is>
          <t>With</t>
        </is>
      </c>
    </row>
    <row r="16" ht="13" customFormat="1" customHeight="1" s="2192">
      <c r="B16" s="2192">
        <f>B6</f>
        <v/>
      </c>
      <c r="C16" s="2192">
        <f>C6</f>
        <v/>
      </c>
      <c r="K16" s="2218">
        <f>D6*Q6</f>
        <v/>
      </c>
      <c r="L16" s="2218">
        <f>E6*R6</f>
        <v/>
      </c>
      <c r="M16" s="2218">
        <f>G6*S6</f>
        <v/>
      </c>
      <c r="O16" s="2218">
        <f>MIN(K16,L16)*time_tot+ABS(L16-K16)*IF(L16&gt;K16,time_cap+time*(VLOOKUP(F6,list!$J$48:$K$50,2,0)),time*(1-(VLOOKUP(F6,list!$J$48:$K$50,2,0))))</f>
        <v/>
      </c>
      <c r="P16" s="2218">
        <f>MIN(K16,M16)*time_tot+ABS(M16-K16)*IF(M16&gt;K16,time_cap+time*(VLOOKUP(H6,list!$J$48:$K$50,2,0)),time*(1-(VLOOKUP(H6,list!$J$48:$K$50,2,0))))</f>
        <v/>
      </c>
      <c r="Q16" s="2223">
        <f>P16-O16</f>
        <v/>
      </c>
      <c r="U16" s="2225">
        <f>MIN(L16,K16)*time+ABS(L16-K16)*IF(L16&gt;K16,time*(VLOOKUP(F6,list!$J$48:$K$50,2,0)),time*(1-(VLOOKUP(F6,list!$J$48:$K$50,2,0))))</f>
        <v/>
      </c>
      <c r="V16" s="2225">
        <f>MIN(M16,K16)*time+ABS(M16-K16)*IF(M16&gt;K16,time*(VLOOKUP(H6,list!$J$48:$K$50,2,0)),time*(1-(VLOOKUP(H6,list!$J$48:$K$50,2,0))))</f>
        <v/>
      </c>
    </row>
    <row r="17" ht="13" customFormat="1" customHeight="1" s="2192">
      <c r="B17" s="2192">
        <f>B7</f>
        <v/>
      </c>
      <c r="C17" s="2192">
        <f>C7</f>
        <v/>
      </c>
      <c r="K17" s="2218">
        <f>D7*Q7</f>
        <v/>
      </c>
      <c r="L17" s="2218">
        <f>E7*R7</f>
        <v/>
      </c>
      <c r="M17" s="2218">
        <f>G7*S7</f>
        <v/>
      </c>
      <c r="O17" s="2218">
        <f>MIN(K17,L17)*time_tot+ABS(L17-K17)*IF(L17&gt;K17,time_cap+time*(VLOOKUP(F7,list!$J$48:$K$50,2,0)),time*(1-(VLOOKUP(F7,list!$J$48:$K$50,2,0))))</f>
        <v/>
      </c>
      <c r="P17" s="2218">
        <f>MIN(K17,M17)*time_tot+ABS(M17-K17)*IF(M17&gt;K17,time_cap+time*(VLOOKUP(H7,list!$J$48:$K$50,2,0)),time*(1-(VLOOKUP(H7,list!$J$48:$K$50,2,0))))</f>
        <v/>
      </c>
      <c r="Q17" s="2223">
        <f>P17-O17</f>
        <v/>
      </c>
      <c r="U17" s="2225">
        <f>MIN(L17,K17)*time+ABS(L17-K17)*IF(L17&gt;K17,time*(VLOOKUP(F7,list!$J$48:$K$50,2,0)),time*(1-(VLOOKUP(F7,list!$J$48:$K$50,2,0))))</f>
        <v/>
      </c>
      <c r="V17" s="2225">
        <f>MIN(M17,K17)*time+ABS(M17-K17)*IF(M17&gt;K17,time*(VLOOKUP(H7,list!$J$48:$K$50,2,0)),time*(1-(VLOOKUP(H7,list!$J$48:$K$50,2,0))))</f>
        <v/>
      </c>
    </row>
    <row r="18" ht="13" customFormat="1" customHeight="1" s="2192">
      <c r="B18" s="2192">
        <f>B8</f>
        <v/>
      </c>
      <c r="C18" s="2192">
        <f>C8</f>
        <v/>
      </c>
      <c r="K18" s="2218">
        <f>D8*Q8</f>
        <v/>
      </c>
      <c r="L18" s="2218">
        <f>E8*R8</f>
        <v/>
      </c>
      <c r="M18" s="2218">
        <f>G8*S8</f>
        <v/>
      </c>
      <c r="O18" s="2218">
        <f>MIN(K18,L18)*time_tot+ABS(L18-K18)*IF(L18&gt;K18,time_cap+time*(VLOOKUP(F8,list!$J$48:$K$50,2,0)),time*(1-(VLOOKUP(F8,list!$J$48:$K$50,2,0))))</f>
        <v/>
      </c>
      <c r="P18" s="2218">
        <f>MIN(K18,M18)*time_tot+ABS(M18-K18)*IF(M18&gt;K18,time_cap+time*(VLOOKUP(H8,list!$J$48:$K$50,2,0)),time*(1-(VLOOKUP(H8,list!$J$48:$K$50,2,0))))</f>
        <v/>
      </c>
      <c r="Q18" s="2223">
        <f>P18-O18</f>
        <v/>
      </c>
      <c r="U18" s="2225">
        <f>MIN(L18,K18)*time+ABS(L18-K18)*IF(L18&gt;K18,time*(VLOOKUP(F8,list!$J$48:$K$50,2,0)),time*(1-(VLOOKUP(F8,list!$J$48:$K$50,2,0))))</f>
        <v/>
      </c>
      <c r="V18" s="2225">
        <f>MIN(M18,K18)*time+ABS(M18-K18)*IF(M18&gt;K18,time*(VLOOKUP(H8,list!$J$48:$K$50,2,0)),time*(1-(VLOOKUP(H8,list!$J$48:$K$50,2,0))))</f>
        <v/>
      </c>
    </row>
    <row r="19" ht="13" customFormat="1" customHeight="1" s="2192">
      <c r="B19" s="2192">
        <f>B9</f>
        <v/>
      </c>
      <c r="C19" s="2192">
        <f>C9</f>
        <v/>
      </c>
      <c r="K19" s="2218">
        <f>D9*Q9</f>
        <v/>
      </c>
      <c r="L19" s="2218">
        <f>E9*R9</f>
        <v/>
      </c>
      <c r="M19" s="2218">
        <f>G9*S9</f>
        <v/>
      </c>
      <c r="O19" s="2218">
        <f>MIN(K19,L19)*time_tot+ABS(L19-K19)*IF(L19&gt;K19,time_cap+time*(VLOOKUP(F9,list!$J$48:$K$50,2,0)),time*(1-(VLOOKUP(F9,list!$J$48:$K$50,2,0))))</f>
        <v/>
      </c>
      <c r="P19" s="2218">
        <f>MIN(K19,M19)*time_tot+ABS(M19-K19)*IF(M19&gt;K19,time_cap+time*(VLOOKUP(H9,list!$J$48:$K$50,2,0)),time*(1-(VLOOKUP(H9,list!$J$48:$K$50,2,0))))</f>
        <v/>
      </c>
      <c r="Q19" s="2223">
        <f>P19-O19</f>
        <v/>
      </c>
      <c r="U19" s="2225">
        <f>MIN(L19,K19)*time+ABS(L19-K19)*IF(L19&gt;K19,time*(VLOOKUP(F9,list!$J$48:$K$50,2,0)),time*(1-(VLOOKUP(F9,list!$J$48:$K$50,2,0))))</f>
        <v/>
      </c>
      <c r="V19" s="2225">
        <f>MIN(M19,K19)*time+ABS(M19-K19)*IF(M19&gt;K19,time*(VLOOKUP(H9,list!$J$48:$K$50,2,0)),time*(1-(VLOOKUP(H9,list!$J$48:$K$50,2,0))))</f>
        <v/>
      </c>
    </row>
    <row r="20" ht="13" customFormat="1" customHeight="1" s="2192">
      <c r="B20" s="2192">
        <f>B10</f>
        <v/>
      </c>
      <c r="C20" s="2192">
        <f>C10</f>
        <v/>
      </c>
      <c r="K20" s="2218">
        <f>D10*Q10</f>
        <v/>
      </c>
      <c r="L20" s="2218">
        <f>E10*R10</f>
        <v/>
      </c>
      <c r="M20" s="2218">
        <f>G10*S10</f>
        <v/>
      </c>
      <c r="O20" s="2218">
        <f>MIN(K20,L20)*time_tot+ABS(L20-K20)*IF(L20&gt;K20,time_cap+time*(VLOOKUP(F10,list!$J$48:$K$50,2,0)),time*(1-(VLOOKUP(F10,list!$J$48:$K$50,2,0))))</f>
        <v/>
      </c>
      <c r="P20" s="2218">
        <f>MIN(K20,M20)*time_tot+ABS(M20-K20)*IF(M20&gt;K20,time_cap+time*(VLOOKUP(H10,list!$J$48:$K$50,2,0)),time*(1-(VLOOKUP(H10,list!$J$48:$K$50,2,0))))</f>
        <v/>
      </c>
      <c r="Q20" s="2223">
        <f>P20-O20</f>
        <v/>
      </c>
      <c r="U20" s="2225">
        <f>MIN(L20,K20)*time+ABS(L20-K20)*IF(L20&gt;K20,time*(VLOOKUP(F10,list!$J$48:$K$50,2,0)),time*(1-(VLOOKUP(F10,list!$J$48:$K$50,2,0))))</f>
        <v/>
      </c>
      <c r="V20" s="2225">
        <f>MIN(M20,K20)*time+ABS(M20-K20)*IF(M20&gt;K20,time*(VLOOKUP(H10,list!$J$48:$K$50,2,0)),time*(1-(VLOOKUP(H10,list!$J$48:$K$50,2,0))))</f>
        <v/>
      </c>
    </row>
    <row r="21" ht="13" customFormat="1" customHeight="1" s="2192">
      <c r="B21" s="2192">
        <f>B11</f>
        <v/>
      </c>
      <c r="C21" s="2192">
        <f>C11</f>
        <v/>
      </c>
      <c r="K21" s="2218">
        <f>D11*Q11</f>
        <v/>
      </c>
      <c r="L21" s="2218">
        <f>E11*R11</f>
        <v/>
      </c>
      <c r="M21" s="2218">
        <f>G11*S11</f>
        <v/>
      </c>
      <c r="O21" s="2218">
        <f>MIN(K21,L21)*time_tot+ABS(L21-K21)*IF(L21&gt;K21,time_cap+time*(VLOOKUP(F11,list!$J$48:$K$50,2,0)),time*(1-(VLOOKUP(F11,list!$J$48:$K$50,2,0))))</f>
        <v/>
      </c>
      <c r="P21" s="2218">
        <f>MIN(K21,M21)*time_tot+ABS(M21-K21)*IF(M21&gt;K21,time_cap+time*(VLOOKUP(H11,list!$J$48:$K$50,2,0)),time*(1-(VLOOKUP(H11,list!$J$48:$K$50,2,0))))</f>
        <v/>
      </c>
      <c r="Q21" s="2223">
        <f>P21-O21</f>
        <v/>
      </c>
      <c r="U21" s="2225">
        <f>MIN(L21,K21)*time+ABS(L21-K21)*IF(L21&gt;K21,time*(VLOOKUP(F11,list!$J$48:$K$50,2,0)),time*(1-(VLOOKUP(F11,list!$J$48:$K$50,2,0))))</f>
        <v/>
      </c>
      <c r="V21" s="2225">
        <f>MIN(M21,K21)*time+ABS(M21-K21)*IF(M21&gt;K21,time*(VLOOKUP(H11,list!$J$48:$K$50,2,0)),time*(1-(VLOOKUP(H11,list!$J$48:$K$50,2,0))))</f>
        <v/>
      </c>
    </row>
    <row r="22" ht="13" customFormat="1" customHeight="1" s="2192"/>
    <row r="23" ht="13" customFormat="1" customHeight="1" s="2192">
      <c r="J23" s="2252" t="inlineStr">
        <is>
          <t>Annual fuel consumption (m3/yr)</t>
        </is>
      </c>
      <c r="K23" s="2225">
        <f>SUM(K16:K21)/$X$5</f>
        <v/>
      </c>
      <c r="L23" s="2225">
        <f>SUM(L16:L21)/$X$5</f>
        <v/>
      </c>
      <c r="M23" s="2225">
        <f>SUM(M16:M21)/$X$5</f>
        <v/>
      </c>
    </row>
    <row r="24" ht="13" customFormat="1" customHeight="1" s="2192">
      <c r="B24" s="2195" t="inlineStr">
        <is>
          <t>Emissions from refrigerant</t>
        </is>
      </c>
    </row>
    <row r="25" ht="13" customFormat="1" customHeight="1" s="2192">
      <c r="B25" s="2192" t="inlineStr">
        <is>
          <t>All catch</t>
        </is>
      </c>
      <c r="C25" s="2192" t="inlineStr">
        <is>
          <t>Quantity lost (kg refrigerant)</t>
        </is>
      </c>
      <c r="F25" s="2192" t="inlineStr">
        <is>
          <t>GWP refrigerant</t>
        </is>
      </c>
      <c r="K25" s="2192" t="inlineStr">
        <is>
          <t>Annual emissions (tCO2eq/yr)</t>
        </is>
      </c>
      <c r="O25" s="2195" t="inlineStr">
        <is>
          <t>Total CO2 emissions (tCO2eq)</t>
        </is>
      </c>
      <c r="U25" s="2192" t="inlineStr">
        <is>
          <t>Implementation phase</t>
        </is>
      </c>
    </row>
    <row r="26" ht="13" customFormat="1" customHeight="1" s="2192">
      <c r="C26" s="1661" t="inlineStr">
        <is>
          <t>Default</t>
        </is>
      </c>
      <c r="D26" s="1661" t="inlineStr">
        <is>
          <t>Tier 2</t>
        </is>
      </c>
      <c r="F26" s="1661">
        <f>C26</f>
        <v/>
      </c>
      <c r="G26" s="1661">
        <f>D26</f>
        <v/>
      </c>
      <c r="K26" s="1661" t="inlineStr">
        <is>
          <t>Start</t>
        </is>
      </c>
      <c r="L26" s="2215" t="inlineStr">
        <is>
          <t>Without</t>
        </is>
      </c>
      <c r="M26" s="2216" t="inlineStr">
        <is>
          <t>With</t>
        </is>
      </c>
      <c r="O26" s="2215" t="inlineStr">
        <is>
          <t>Without</t>
        </is>
      </c>
      <c r="P26" s="2216" t="inlineStr">
        <is>
          <t>With</t>
        </is>
      </c>
      <c r="Q26" s="2217" t="inlineStr">
        <is>
          <t>Balance</t>
        </is>
      </c>
      <c r="U26" s="2215" t="inlineStr">
        <is>
          <t>Without</t>
        </is>
      </c>
      <c r="V26" s="2216" t="inlineStr">
        <is>
          <t>With</t>
        </is>
      </c>
    </row>
    <row r="27" ht="13" customFormat="1" customHeight="1" s="2192">
      <c r="B27" s="2192" t="inlineStr">
        <is>
          <t>Refrigerant lost/t catch</t>
        </is>
      </c>
      <c r="C27" s="2258">
        <f>83/1000</f>
        <v/>
      </c>
      <c r="D27" s="2260">
        <f>IF('8. Fisheries and aquaculture'!CH11="",'8. Fisheries and aquaculture'!CI11,'8. Fisheries and aquaculture'!CH11)</f>
        <v/>
      </c>
      <c r="F27" s="2258" t="n">
        <v>1810</v>
      </c>
      <c r="G27" s="2260">
        <f>IF('8. Fisheries and aquaculture'!CF17="",'8. Fisheries and aquaculture'!CE17,'8. Fisheries and aquaculture'!CF17)</f>
        <v/>
      </c>
      <c r="I27" s="2192" t="inlineStr">
        <is>
          <t>Linear</t>
        </is>
      </c>
      <c r="K27" s="4796">
        <f>$D$27*$G$27*'8. Fisheries and aquaculture'!X22/1000</f>
        <v/>
      </c>
      <c r="L27" s="4796">
        <f>$D$27*$G$27*'8. Fisheries and aquaculture'!Z22/1000</f>
        <v/>
      </c>
      <c r="M27" s="4796">
        <f>$D$27*$G$27*'8. Fisheries and aquaculture'!AB22/1000</f>
        <v/>
      </c>
      <c r="O27" s="2218">
        <f>MIN(K27,L27)*time_tot+ABS(L27-K27)*IF(L27&gt;K27,time_cap+time*(VLOOKUP(I27,list!$J$48:$K$50,2,0)),time*(1-(VLOOKUP(I27,list!$J$48:$K$50,2,0))))</f>
        <v/>
      </c>
      <c r="P27" s="2218">
        <f>MIN(K27,M27)*time_tot+ABS(M27-K27)*IF(M27&gt;K27,time_cap+time*(VLOOKUP(I27,list!$J$48:$K$50,2,0)),time*(1-(VLOOKUP(I27,list!$J$48:$K$50,2,0))))</f>
        <v/>
      </c>
      <c r="Q27" s="2223">
        <f>P27-O27</f>
        <v/>
      </c>
      <c r="U27" s="2225">
        <f>MIN(L27,K27)*time+ABS(L27-K27)*IF(L27&gt;K27,time*(VLOOKUP(I27,list!$J$48:$K$50,2,0)),time*(1-(VLOOKUP(I27,list!$J$48:$K$50,2,0))))</f>
        <v/>
      </c>
      <c r="V27" s="2225">
        <f>MIN(M27,K27)*time+ABS(M27-K27)*IF(M27&gt;K27,time*(VLOOKUP(I27,list!$J$48:$K$50,2,0)),time*(1-(VLOOKUP(I27,list!$J$48:$K$50,2,0))))</f>
        <v/>
      </c>
    </row>
    <row r="28" ht="13" customFormat="1" customHeight="1" s="2192"/>
    <row r="29" ht="13" customFormat="1" customHeight="1" s="2192">
      <c r="B29" s="2195" t="inlineStr">
        <is>
          <t>Emissions from ice (artisanal catch only)</t>
        </is>
      </c>
    </row>
    <row r="30" ht="13" customFormat="1" customHeight="1" s="2192">
      <c r="B30" s="2192" t="inlineStr">
        <is>
          <t>All catch</t>
        </is>
      </c>
      <c r="C30" s="2192" t="inlineStr">
        <is>
          <t>Quantity lost (kg refrigerant)</t>
        </is>
      </c>
      <c r="F30" s="2192" t="inlineStr">
        <is>
          <t>kWh ice/t catch</t>
        </is>
      </c>
      <c r="I30" s="2192" t="inlineStr">
        <is>
          <t>Emission factor</t>
        </is>
      </c>
      <c r="K30" s="2192" t="inlineStr">
        <is>
          <t>Annual emissions (tCO2eq/yr)</t>
        </is>
      </c>
      <c r="O30" s="2195" t="inlineStr">
        <is>
          <t>Total CO2 emissions (tCO2eq)</t>
        </is>
      </c>
      <c r="U30" s="2192" t="inlineStr">
        <is>
          <t>Implementation phase</t>
        </is>
      </c>
    </row>
    <row r="31" ht="13" customFormat="1" customHeight="1" s="2192">
      <c r="C31" s="1661" t="inlineStr">
        <is>
          <t>Default</t>
        </is>
      </c>
      <c r="D31" s="1661" t="inlineStr">
        <is>
          <t>Tier 2</t>
        </is>
      </c>
      <c r="F31" s="1661">
        <f>C31</f>
        <v/>
      </c>
      <c r="G31" s="1661">
        <f>D31</f>
        <v/>
      </c>
      <c r="I31" s="2192" t="inlineStr">
        <is>
          <t>tCO2eq/t catch</t>
        </is>
      </c>
      <c r="K31" s="1661" t="inlineStr">
        <is>
          <t>Start</t>
        </is>
      </c>
      <c r="L31" s="2215" t="inlineStr">
        <is>
          <t>Without</t>
        </is>
      </c>
      <c r="M31" s="2216" t="inlineStr">
        <is>
          <t>With</t>
        </is>
      </c>
      <c r="O31" s="2215" t="inlineStr">
        <is>
          <t>Without</t>
        </is>
      </c>
      <c r="P31" s="2216" t="inlineStr">
        <is>
          <t>With</t>
        </is>
      </c>
      <c r="Q31" s="2217" t="inlineStr">
        <is>
          <t>Balance</t>
        </is>
      </c>
      <c r="U31" s="2215" t="inlineStr">
        <is>
          <t>Without</t>
        </is>
      </c>
      <c r="V31" s="2216" t="inlineStr">
        <is>
          <t>With</t>
        </is>
      </c>
    </row>
    <row r="32" ht="13" customFormat="1" customHeight="1" s="2192">
      <c r="B32" s="2192" t="inlineStr">
        <is>
          <t>Tonne of ice per t of catch</t>
        </is>
      </c>
      <c r="C32" s="2258" t="n">
        <v>2.8</v>
      </c>
      <c r="D32" s="2260">
        <f>IF('8. Fisheries and aquaculture'!BV25="",'8. Fisheries and aquaculture'!BU25,'8. Fisheries and aquaculture'!BV25)</f>
        <v/>
      </c>
      <c r="F32" s="2258" t="n">
        <v>60</v>
      </c>
      <c r="G32" s="2260">
        <f>IF('8. Fisheries and aquaculture'!CE25="",'8. Fisheries and aquaculture'!CC25,'8. Fisheries and aquaculture'!CE25)</f>
        <v/>
      </c>
      <c r="I32" s="2262">
        <f>IFERROR(IF(C33="Please select",$D$32*$G$32*VLOOKUP(country_selected,Elec!$A$2:$F$252,6,)/1000,$D$32*$G$32*VLOOKUP($C$33,Elec!$A$2:$F$252,6,)/1000),0)</f>
        <v/>
      </c>
      <c r="K32" s="4796">
        <f>$I$32*'8. Fisheries and aquaculture'!X26</f>
        <v/>
      </c>
      <c r="L32" s="4796">
        <f>$I$32*'8. Fisheries and aquaculture'!Z26</f>
        <v/>
      </c>
      <c r="M32" s="4796">
        <f>$I$32*'8. Fisheries and aquaculture'!AB26</f>
        <v/>
      </c>
      <c r="O32" s="2218">
        <f>MIN(K32,L32)*time_tot+ABS(L32-K32)*IF(L32&gt;K32,time_cap+time*(VLOOKUP(I27,list!$J$48:$K$50,2,0)),time*(1-(VLOOKUP(I27,list!$J$48:$K$50,2,0))))</f>
        <v/>
      </c>
      <c r="P32" s="2218">
        <f>MIN(K32,M32)*time_tot+ABS(M32-K32)*IF(M32&gt;K32,time_cap+time*(VLOOKUP(I27,list!$J$48:$K$50,2,0)),time*(1-(VLOOKUP(I27,list!$J$48:$K$50,2,0))))</f>
        <v/>
      </c>
      <c r="Q32" s="2223">
        <f>P32-O32</f>
        <v/>
      </c>
      <c r="U32" s="2225">
        <f>MIN(L32,K32)*time+ABS(L32-K32)*IF(L32&gt;K32,time*(VLOOKUP(I27,list!$J$48:$K$50,2,0)),time*(1-(VLOOKUP(I27,list!$J$48:$K$50,2,0))))</f>
        <v/>
      </c>
      <c r="V32" s="2225">
        <f>MIN(M32,K32)*time+ABS(M32-K32)*IF(M32&gt;K32,time*(VLOOKUP(I27,list!$J$48:$K$50,2,0)),time*(1-(VLOOKUP(I27,list!$J$48:$K$50,2,0))))</f>
        <v/>
      </c>
    </row>
    <row r="33" ht="13" customFormat="1" customHeight="1" s="2192">
      <c r="B33" s="2192" t="inlineStr">
        <is>
          <t>Country of origin</t>
        </is>
      </c>
      <c r="C33" s="2192">
        <f>'8. Fisheries and aquaculture'!CC26</f>
        <v/>
      </c>
    </row>
    <row r="34" ht="13" customFormat="1" customHeight="1" s="2192"/>
    <row r="35" ht="13" customFormat="1" customHeight="1" s="2192">
      <c r="L35" s="2238" t="n"/>
      <c r="M35" s="2238" t="n"/>
      <c r="N35" s="2239" t="inlineStr">
        <is>
          <t>Total  (tCO2eq)</t>
        </is>
      </c>
      <c r="O35" s="2240">
        <f>SUM(O16:O21,O27,O32)</f>
        <v/>
      </c>
      <c r="P35" s="2240">
        <f>SUM(P16:P21,P27,P32)</f>
        <v/>
      </c>
      <c r="Q35" s="2240">
        <f>SUM(Q16:Q21,Q27,Q32)</f>
        <v/>
      </c>
    </row>
    <row r="36" ht="13" customFormat="1" customHeight="1" s="2192">
      <c r="AA36" s="2193" t="inlineStr">
        <is>
          <t>GHG PER SCENARIO</t>
        </is>
      </c>
      <c r="AB36" s="2194" t="n"/>
      <c r="AC36" s="2194" t="n"/>
      <c r="AF36" s="2193" t="inlineStr">
        <is>
          <t>TOTAL BALANCE</t>
        </is>
      </c>
      <c r="AG36" s="2194" t="n"/>
      <c r="AH36" s="2194" t="n"/>
      <c r="AI36" s="2194" t="n"/>
    </row>
    <row r="37" ht="13" customFormat="1" customHeight="1" s="2192"/>
    <row r="38" ht="25" customFormat="1" customHeight="1" s="2192">
      <c r="A38" s="4372" t="inlineStr">
        <is>
          <t>Large scale fisheries</t>
        </is>
      </c>
      <c r="B38" s="4371" t="n"/>
      <c r="C38" s="4370" t="n"/>
      <c r="D38" s="4370" t="n"/>
      <c r="E38" s="4370" t="n"/>
      <c r="F38" s="4370" t="n"/>
      <c r="G38" s="4370" t="n"/>
      <c r="H38" s="4370" t="n"/>
      <c r="I38" s="4370" t="n"/>
      <c r="J38" s="4370" t="n"/>
      <c r="K38" s="4370" t="n"/>
      <c r="L38" s="4370" t="n"/>
      <c r="M38" s="4370" t="n"/>
      <c r="N38" s="4370" t="n"/>
      <c r="O38" s="4370" t="n"/>
      <c r="P38" s="4370" t="n"/>
      <c r="Q38" s="4370" t="n"/>
      <c r="R38" s="4370" t="n"/>
      <c r="S38" s="4370" t="n"/>
      <c r="T38" s="4370" t="n"/>
      <c r="U38" s="4370" t="n"/>
      <c r="V38" s="4370" t="n"/>
      <c r="W38" s="4370" t="n"/>
      <c r="X38" s="4370" t="n"/>
      <c r="Y38" s="4370" t="n"/>
      <c r="Z38" s="4370" t="n"/>
      <c r="AA38" s="2196" t="inlineStr">
        <is>
          <t>CATEGORIES</t>
        </is>
      </c>
      <c r="AB38" s="2197" t="inlineStr">
        <is>
          <t>WITHOUT</t>
        </is>
      </c>
      <c r="AC38" s="2197" t="inlineStr">
        <is>
          <t>WITH</t>
        </is>
      </c>
      <c r="AF38" s="2196" t="inlineStr">
        <is>
          <t>CATEGORIES</t>
        </is>
      </c>
      <c r="AG38" s="2197" t="inlineStr">
        <is>
          <t>BALANCE</t>
        </is>
      </c>
      <c r="AH38" s="2197" t="inlineStr">
        <is>
          <t>IMPLEM.</t>
        </is>
      </c>
      <c r="AI38" s="2198" t="inlineStr">
        <is>
          <t>CAPITAL.</t>
        </is>
      </c>
    </row>
    <row r="39" ht="13" customFormat="1" customHeight="1" s="2192">
      <c r="AA39" s="2207" t="inlineStr">
        <is>
          <t>TotalCO2eq</t>
        </is>
      </c>
      <c r="AB39" s="2208">
        <f>SUM(O16:O21,O27,O32)+SUM(O52:O57,O63,O68)</f>
        <v/>
      </c>
      <c r="AC39" s="2208">
        <f>SUM(P16:P21,P27,P32)+SUM(P52:P57,P63,P68)</f>
        <v/>
      </c>
      <c r="AD39" s="2209">
        <f>AC39-AB39</f>
        <v/>
      </c>
      <c r="AF39" s="2207">
        <f>AA39</f>
        <v/>
      </c>
      <c r="AG39" s="2208">
        <f>Q35</f>
        <v/>
      </c>
      <c r="AH39" s="2208">
        <f>IF(time=0,0,SUM(V16:V21,V27,V32)-SUM(U16:U21,U27,U32))</f>
        <v/>
      </c>
      <c r="AI39" s="2210">
        <f>AG39-AH39</f>
        <v/>
      </c>
    </row>
    <row r="40" ht="13" customFormat="1" customHeight="1" s="2192">
      <c r="B40" s="2195" t="inlineStr">
        <is>
          <t>Emissions from catch</t>
        </is>
      </c>
      <c r="C40" s="2195" t="n"/>
      <c r="D40" s="2193" t="inlineStr">
        <is>
          <t>Catch (tonne per year)</t>
        </is>
      </c>
      <c r="E40" s="2194" t="n"/>
      <c r="F40" s="2194" t="n"/>
      <c r="G40" s="2194" t="n"/>
      <c r="H40" s="2194" t="n"/>
      <c r="K40" s="2193" t="inlineStr">
        <is>
          <t>FUI (litre/tonne)</t>
        </is>
      </c>
      <c r="L40" s="2193" t="n"/>
      <c r="M40" s="2193" t="n"/>
      <c r="N40" s="2193" t="n"/>
      <c r="O40" s="2194" t="n"/>
      <c r="Q40" s="2249" t="inlineStr">
        <is>
          <t>Emission factor (tCO2eq/t catch)</t>
        </is>
      </c>
      <c r="R40" s="2249" t="n"/>
      <c r="S40" s="2249" t="n"/>
      <c r="V40" s="2250" t="inlineStr">
        <is>
          <t>Emission factor (tCO2eq/m3)</t>
        </is>
      </c>
      <c r="W40" s="2250" t="n"/>
      <c r="X40" s="2250" t="n"/>
      <c r="AA40" s="2207" t="n"/>
      <c r="AB40" s="2208" t="n"/>
      <c r="AC40" s="2208" t="n"/>
      <c r="AD40" s="2209" t="n"/>
      <c r="AF40" s="2207" t="n"/>
      <c r="AG40" s="2208" t="n"/>
      <c r="AH40" s="2208" t="n"/>
      <c r="AI40" s="2210" t="n"/>
    </row>
    <row r="41" ht="13" customFormat="1" customHeight="1" s="2192">
      <c r="B41" s="2195" t="inlineStr">
        <is>
          <t>Fish category</t>
        </is>
      </c>
      <c r="C41" s="2195" t="inlineStr">
        <is>
          <t>Gear category</t>
        </is>
      </c>
      <c r="D41" s="2251" t="inlineStr">
        <is>
          <t>Start</t>
        </is>
      </c>
      <c r="E41" s="2251" t="inlineStr">
        <is>
          <t>Without</t>
        </is>
      </c>
      <c r="F41" s="2251" t="inlineStr">
        <is>
          <t>Rate</t>
        </is>
      </c>
      <c r="G41" s="2251" t="inlineStr">
        <is>
          <t>With</t>
        </is>
      </c>
      <c r="H41" s="2251" t="inlineStr">
        <is>
          <t>Rate</t>
        </is>
      </c>
      <c r="K41" s="2251" t="inlineStr">
        <is>
          <t>Default</t>
        </is>
      </c>
      <c r="M41" s="2251" t="inlineStr">
        <is>
          <t>Start</t>
        </is>
      </c>
      <c r="N41" s="2251" t="inlineStr">
        <is>
          <t>Without</t>
        </is>
      </c>
      <c r="O41" s="2251" t="inlineStr">
        <is>
          <t>With</t>
        </is>
      </c>
      <c r="Q41" s="1661" t="inlineStr">
        <is>
          <t>Start</t>
        </is>
      </c>
      <c r="R41" s="1661" t="inlineStr">
        <is>
          <t>Without</t>
        </is>
      </c>
      <c r="S41" s="1661" t="inlineStr">
        <is>
          <t>With</t>
        </is>
      </c>
      <c r="V41" s="2252" t="inlineStr">
        <is>
          <t>Gasoil/Diesel</t>
        </is>
      </c>
      <c r="W41" s="2253">
        <f>AVERAGE(IPCC!B1739:B1741)</f>
        <v/>
      </c>
      <c r="X41" s="2254">
        <f>IF('8. Fisheries and aquaculture'!BZ40="",'8. Fisheries and aquaculture'!BX40,'8. Fisheries and aquaculture'!BZ40)</f>
        <v/>
      </c>
      <c r="AA41" s="2207" t="n"/>
      <c r="AB41" s="2208" t="n"/>
      <c r="AC41" s="2208" t="n"/>
      <c r="AD41" s="2209" t="n"/>
      <c r="AF41" s="2207" t="n"/>
      <c r="AG41" s="2208" t="n"/>
      <c r="AH41" s="2208" t="n"/>
      <c r="AI41" s="2210" t="n"/>
    </row>
    <row r="42" ht="13" customFormat="1" customHeight="1" s="2192">
      <c r="B42" s="2192">
        <f>'8. Fisheries and aquaculture'!C44</f>
        <v/>
      </c>
      <c r="C42" s="2192">
        <f>'8. Fisheries and aquaculture'!E44</f>
        <v/>
      </c>
      <c r="D42" s="2225">
        <f>'8. Fisheries and aquaculture'!X44</f>
        <v/>
      </c>
      <c r="E42" s="2225">
        <f>'8. Fisheries and aquaculture'!Z44</f>
        <v/>
      </c>
      <c r="F42" s="1661">
        <f>VLOOKUP('8. Fisheries and aquaculture'!AA44, list!$I$48:$J$50,2,FALSE )</f>
        <v/>
      </c>
      <c r="G42" s="2225">
        <f>'8. Fisheries and aquaculture'!AB44</f>
        <v/>
      </c>
      <c r="H42" s="1661">
        <f>VLOOKUP('8. Fisheries and aquaculture'!AC44, list!$I$48:$J$50,2,FALSE )</f>
        <v/>
      </c>
      <c r="K42" s="2255">
        <f>IF(OR(B42="Please select",C42="Please select"),0,IF(INDEX('Database fish'!$A$6:$K$30,MATCH('Fish and aqua'!$B42,'Database fish'!$A$6:$A$30,0),MATCH('Fish and aqua'!$C42,'Database fish'!$A$6:$K$6,0))=0,(INDEX('Database fish'!$A$6:$K$30,MATCH('Fish and aqua'!$B42,'Database fish'!$A$6:$A$30,0),MATCH('Database fish'!$K$6,'Database fish'!$A$6:$K$6,0))),(INDEX('Database fish'!$A$6:$K$30,MATCH('Fish and aqua'!$B42,'Database fish'!$A$6:$A$30,0),MATCH('Fish and aqua'!$C42,'Database fish'!$A$6:$K$6,0)))))</f>
        <v/>
      </c>
      <c r="L42" s="2192">
        <f>IF(INDEX('Database fish'!$A$6:$K$30,MATCH('Fish and aqua'!$B42,'Database fish'!$A$6:$A$30,0),MATCH('Fish and aqua'!$C42,'Database fish'!$A$6:$K$6,0))=0,"Not specific","Gear specific")</f>
        <v/>
      </c>
      <c r="M42" s="2218">
        <f>IF('8. Fisheries and aquaculture'!$R44="",'8. Fisheries and aquaculture'!$P44,'8. Fisheries and aquaculture'!$R44)</f>
        <v/>
      </c>
      <c r="N42" s="2218">
        <f>IF('8. Fisheries and aquaculture'!T44="",'8. Fisheries and aquaculture'!$P44,'8. Fisheries and aquaculture'!T44)</f>
        <v/>
      </c>
      <c r="O42" s="2218">
        <f>IF('8. Fisheries and aquaculture'!U44="",'8. Fisheries and aquaculture'!$P44,'8. Fisheries and aquaculture'!U44)</f>
        <v/>
      </c>
      <c r="Q42" s="2400">
        <f>$M42*$X$5/1000</f>
        <v/>
      </c>
      <c r="R42" s="2401">
        <f>$N42*$X$5/1000</f>
        <v/>
      </c>
      <c r="S42" s="2402">
        <f>$O42*$X$5/1000</f>
        <v/>
      </c>
      <c r="AA42" s="2212" t="inlineStr">
        <is>
          <t>TOTAL (tCO2-eq)</t>
        </is>
      </c>
      <c r="AB42" s="2213">
        <f>SUM(AB39:AB41)</f>
        <v/>
      </c>
      <c r="AC42" s="2213">
        <f>SUM(AC39:AC41)</f>
        <v/>
      </c>
      <c r="AD42" s="2209">
        <f>AC42-AB42</f>
        <v/>
      </c>
      <c r="AF42" s="2212" t="inlineStr">
        <is>
          <t>TOTAL (tCO2-eq)</t>
        </is>
      </c>
      <c r="AG42" s="2214">
        <f>SUM(AG39:AG41)</f>
        <v/>
      </c>
      <c r="AH42" s="2214">
        <f>SUM(AH39:AH41)</f>
        <v/>
      </c>
      <c r="AI42" s="2214">
        <f>SUM(AI39:AI41)</f>
        <v/>
      </c>
    </row>
    <row r="43" ht="13" customFormat="1" customHeight="1" s="2192">
      <c r="B43" s="2192">
        <f>'8. Fisheries and aquaculture'!C45</f>
        <v/>
      </c>
      <c r="C43" s="2192">
        <f>'8. Fisheries and aquaculture'!E45</f>
        <v/>
      </c>
      <c r="D43" s="2225">
        <f>'8. Fisheries and aquaculture'!X45</f>
        <v/>
      </c>
      <c r="E43" s="2225">
        <f>'8. Fisheries and aquaculture'!Z45</f>
        <v/>
      </c>
      <c r="F43" s="1661">
        <f>VLOOKUP('8. Fisheries and aquaculture'!AA45, list!$I$48:$J$50,2,FALSE )</f>
        <v/>
      </c>
      <c r="G43" s="2225">
        <f>'8. Fisheries and aquaculture'!AB45</f>
        <v/>
      </c>
      <c r="H43" s="1661">
        <f>VLOOKUP('8. Fisheries and aquaculture'!AC45, list!$I$48:$J$50,2,FALSE )</f>
        <v/>
      </c>
      <c r="K43" s="2255">
        <f>IF(OR(B43="Please select",C43="Please select"),0,IF(INDEX('Database fish'!$A$6:$K$30,MATCH('Fish and aqua'!$B43,'Database fish'!$A$6:$A$30,0),MATCH('Fish and aqua'!$C43,'Database fish'!$A$6:$K$6,0))=0,(INDEX('Database fish'!$A$6:$K$30,MATCH('Fish and aqua'!$B43,'Database fish'!$A$6:$A$30,0),MATCH('Database fish'!$K$6,'Database fish'!$A$6:$K$6,0))),(INDEX('Database fish'!$A$6:$K$30,MATCH('Fish and aqua'!$B43,'Database fish'!$A$6:$A$30,0),MATCH('Fish and aqua'!$C43,'Database fish'!$A$6:$K$6,0)))))</f>
        <v/>
      </c>
      <c r="L43" s="2192">
        <f>IF(INDEX('Database fish'!$A$6:$K$30,MATCH('Fish and aqua'!$B43,'Database fish'!$A$6:$A$30,0),MATCH('Fish and aqua'!$C43,'Database fish'!$A$6:$K$6,0))=0,"Not specific","Gear specific")</f>
        <v/>
      </c>
      <c r="M43" s="2218">
        <f>IF('8. Fisheries and aquaculture'!$R45="",'8. Fisheries and aquaculture'!$P45,'8. Fisheries and aquaculture'!$R45)</f>
        <v/>
      </c>
      <c r="N43" s="2218">
        <f>IF('8. Fisheries and aquaculture'!T45="",'8. Fisheries and aquaculture'!$P45,'8. Fisheries and aquaculture'!T45)</f>
        <v/>
      </c>
      <c r="O43" s="2218">
        <f>IF('8. Fisheries and aquaculture'!U45="",'8. Fisheries and aquaculture'!$P45,'8. Fisheries and aquaculture'!U45)</f>
        <v/>
      </c>
      <c r="Q43" s="2400">
        <f>$M43*$X$5/1000</f>
        <v/>
      </c>
      <c r="R43" s="2401">
        <f>$N43*$X$5/1000</f>
        <v/>
      </c>
      <c r="S43" s="2402">
        <f>$O43*$X$5/1000</f>
        <v/>
      </c>
    </row>
    <row r="44" ht="13" customFormat="1" customHeight="1" s="2192">
      <c r="B44" s="2192">
        <f>'8. Fisheries and aquaculture'!C46</f>
        <v/>
      </c>
      <c r="C44" s="2192">
        <f>'8. Fisheries and aquaculture'!E46</f>
        <v/>
      </c>
      <c r="D44" s="2225">
        <f>'8. Fisheries and aquaculture'!X46</f>
        <v/>
      </c>
      <c r="E44" s="2225">
        <f>'8. Fisheries and aquaculture'!Z46</f>
        <v/>
      </c>
      <c r="F44" s="1661">
        <f>VLOOKUP('8. Fisheries and aquaculture'!AA46, list!$I$48:$J$50,2,FALSE )</f>
        <v/>
      </c>
      <c r="G44" s="2225">
        <f>'8. Fisheries and aquaculture'!AB46</f>
        <v/>
      </c>
      <c r="H44" s="1661">
        <f>VLOOKUP('8. Fisheries and aquaculture'!AC46, list!$I$48:$J$50,2,FALSE )</f>
        <v/>
      </c>
      <c r="K44" s="2255">
        <f>IF(OR(B44="Please select",C44="Please select"),0,IF(INDEX('Database fish'!$A$6:$K$30,MATCH('Fish and aqua'!$B44,'Database fish'!$A$6:$A$30,0),MATCH('Fish and aqua'!$C44,'Database fish'!$A$6:$K$6,0))=0,(INDEX('Database fish'!$A$6:$K$30,MATCH('Fish and aqua'!$B44,'Database fish'!$A$6:$A$30,0),MATCH('Database fish'!$K$6,'Database fish'!$A$6:$K$6,0))),(INDEX('Database fish'!$A$6:$K$30,MATCH('Fish and aqua'!$B44,'Database fish'!$A$6:$A$30,0),MATCH('Fish and aqua'!$C44,'Database fish'!$A$6:$K$6,0)))))</f>
        <v/>
      </c>
      <c r="L44" s="2192">
        <f>IF(INDEX('Database fish'!$A$6:$K$30,MATCH('Fish and aqua'!$B44,'Database fish'!$A$6:$A$30,0),MATCH('Fish and aqua'!$C44,'Database fish'!$A$6:$K$6,0))=0,"Not specific","Gear specific")</f>
        <v/>
      </c>
      <c r="M44" s="2218">
        <f>IF('8. Fisheries and aquaculture'!$R46="",'8. Fisheries and aquaculture'!$P46,'8. Fisheries and aquaculture'!$R46)</f>
        <v/>
      </c>
      <c r="N44" s="2218">
        <f>IF('8. Fisheries and aquaculture'!T46="",'8. Fisheries and aquaculture'!$P46,'8. Fisheries and aquaculture'!T46)</f>
        <v/>
      </c>
      <c r="O44" s="2218">
        <f>IF('8. Fisheries and aquaculture'!U46="",'8. Fisheries and aquaculture'!$P46,'8. Fisheries and aquaculture'!U46)</f>
        <v/>
      </c>
      <c r="Q44" s="2400">
        <f>$M44*$X$5/1000</f>
        <v/>
      </c>
      <c r="R44" s="2401">
        <f>$N44*$X$5/1000</f>
        <v/>
      </c>
      <c r="S44" s="2402">
        <f>$O44*$X$5/1000</f>
        <v/>
      </c>
    </row>
    <row r="45" ht="13" customFormat="1" customHeight="1" s="2192">
      <c r="B45" s="2192">
        <f>'8. Fisheries and aquaculture'!C47</f>
        <v/>
      </c>
      <c r="C45" s="2192">
        <f>'8. Fisheries and aquaculture'!E47</f>
        <v/>
      </c>
      <c r="D45" s="2225">
        <f>'8. Fisheries and aquaculture'!X47</f>
        <v/>
      </c>
      <c r="E45" s="2225">
        <f>'8. Fisheries and aquaculture'!Z47</f>
        <v/>
      </c>
      <c r="F45" s="1661">
        <f>VLOOKUP('8. Fisheries and aquaculture'!AA47, list!$I$48:$J$50,2,FALSE )</f>
        <v/>
      </c>
      <c r="G45" s="2225">
        <f>'8. Fisheries and aquaculture'!AB47</f>
        <v/>
      </c>
      <c r="H45" s="1661">
        <f>VLOOKUP('8. Fisheries and aquaculture'!AC47, list!$I$48:$J$50,2,FALSE )</f>
        <v/>
      </c>
      <c r="K45" s="2255">
        <f>IF(OR(B45="Please select",C45="Please select"),0,IF(INDEX('Database fish'!$A$6:$K$30,MATCH('Fish and aqua'!$B45,'Database fish'!$A$6:$A$30,0),MATCH('Fish and aqua'!$C45,'Database fish'!$A$6:$K$6,0))=0,(INDEX('Database fish'!$A$6:$K$30,MATCH('Fish and aqua'!$B45,'Database fish'!$A$6:$A$30,0),MATCH('Database fish'!$K$6,'Database fish'!$A$6:$K$6,0))),(INDEX('Database fish'!$A$6:$K$30,MATCH('Fish and aqua'!$B45,'Database fish'!$A$6:$A$30,0),MATCH('Fish and aqua'!$C45,'Database fish'!$A$6:$K$6,0)))))</f>
        <v/>
      </c>
      <c r="L45" s="2192">
        <f>IF(INDEX('Database fish'!$A$6:$K$30,MATCH('Fish and aqua'!$B45,'Database fish'!$A$6:$A$30,0),MATCH('Fish and aqua'!$C45,'Database fish'!$A$6:$K$6,0))=0,"Not specific","Gear specific")</f>
        <v/>
      </c>
      <c r="M45" s="2218">
        <f>IF('8. Fisheries and aquaculture'!$R47="",'8. Fisheries and aquaculture'!$P47,'8. Fisheries and aquaculture'!$R47)</f>
        <v/>
      </c>
      <c r="N45" s="2218">
        <f>IF('8. Fisheries and aquaculture'!T47="",'8. Fisheries and aquaculture'!$P47,'8. Fisheries and aquaculture'!T47)</f>
        <v/>
      </c>
      <c r="O45" s="2218">
        <f>IF('8. Fisheries and aquaculture'!U47="",'8. Fisheries and aquaculture'!$P47,'8. Fisheries and aquaculture'!U47)</f>
        <v/>
      </c>
      <c r="Q45" s="2400">
        <f>$M45*$X$5/1000</f>
        <v/>
      </c>
      <c r="R45" s="2401">
        <f>$N45*$X$5/1000</f>
        <v/>
      </c>
      <c r="S45" s="2402">
        <f>$O45*$X$5/1000</f>
        <v/>
      </c>
    </row>
    <row r="46" ht="13" customFormat="1" customHeight="1" s="2192">
      <c r="B46" s="2192">
        <f>'8. Fisheries and aquaculture'!C48</f>
        <v/>
      </c>
      <c r="C46" s="2192">
        <f>'8. Fisheries and aquaculture'!E48</f>
        <v/>
      </c>
      <c r="D46" s="2225">
        <f>'8. Fisheries and aquaculture'!X48</f>
        <v/>
      </c>
      <c r="E46" s="2225">
        <f>'8. Fisheries and aquaculture'!Z48</f>
        <v/>
      </c>
      <c r="F46" s="1661">
        <f>VLOOKUP('8. Fisheries and aquaculture'!AA48, list!$I$48:$J$50,2,FALSE )</f>
        <v/>
      </c>
      <c r="G46" s="2225">
        <f>'8. Fisheries and aquaculture'!AB48</f>
        <v/>
      </c>
      <c r="H46" s="1661">
        <f>VLOOKUP('8. Fisheries and aquaculture'!AC48, list!$I$48:$J$50,2,FALSE )</f>
        <v/>
      </c>
      <c r="K46" s="2255">
        <f>IF(OR(B46="Please select",C46="Please select"),0,IF(INDEX('Database fish'!$A$6:$K$30,MATCH('Fish and aqua'!$B46,'Database fish'!$A$6:$A$30,0),MATCH('Fish and aqua'!$C46,'Database fish'!$A$6:$K$6,0))=0,(INDEX('Database fish'!$A$6:$K$30,MATCH('Fish and aqua'!$B46,'Database fish'!$A$6:$A$30,0),MATCH('Database fish'!$K$6,'Database fish'!$A$6:$K$6,0))),(INDEX('Database fish'!$A$6:$K$30,MATCH('Fish and aqua'!$B46,'Database fish'!$A$6:$A$30,0),MATCH('Fish and aqua'!$C46,'Database fish'!$A$6:$K$6,0)))))</f>
        <v/>
      </c>
      <c r="L46" s="2192">
        <f>IF(INDEX('Database fish'!$A$6:$K$30,MATCH('Fish and aqua'!$B46,'Database fish'!$A$6:$A$30,0),MATCH('Fish and aqua'!$C46,'Database fish'!$A$6:$K$6,0))=0,"Not specific","Gear specific")</f>
        <v/>
      </c>
      <c r="M46" s="2218">
        <f>IF('8. Fisheries and aquaculture'!$R48="",'8. Fisheries and aquaculture'!$P48,'8. Fisheries and aquaculture'!$R48)</f>
        <v/>
      </c>
      <c r="N46" s="2218">
        <f>IF('8. Fisheries and aquaculture'!T48="",'8. Fisheries and aquaculture'!$P48,'8. Fisheries and aquaculture'!T48)</f>
        <v/>
      </c>
      <c r="O46" s="2218">
        <f>IF('8. Fisheries and aquaculture'!U48="",'8. Fisheries and aquaculture'!$P48,'8. Fisheries and aquaculture'!U48)</f>
        <v/>
      </c>
      <c r="Q46" s="2400">
        <f>$M46*$X$5/1000</f>
        <v/>
      </c>
      <c r="R46" s="2401">
        <f>$N46*$X$5/1000</f>
        <v/>
      </c>
      <c r="S46" s="2402">
        <f>$O46*$X$5/1000</f>
        <v/>
      </c>
      <c r="V46" s="1661" t="n"/>
    </row>
    <row r="47" ht="13" customFormat="1" customHeight="1" s="2192">
      <c r="B47" s="2192">
        <f>'8. Fisheries and aquaculture'!C49</f>
        <v/>
      </c>
      <c r="C47" s="2192">
        <f>'8. Fisheries and aquaculture'!E49</f>
        <v/>
      </c>
      <c r="D47" s="2225">
        <f>'8. Fisheries and aquaculture'!X49</f>
        <v/>
      </c>
      <c r="E47" s="2225">
        <f>'8. Fisheries and aquaculture'!Z49</f>
        <v/>
      </c>
      <c r="F47" s="1661">
        <f>VLOOKUP('8. Fisheries and aquaculture'!AA49, list!$I$48:$J$50,2,FALSE )</f>
        <v/>
      </c>
      <c r="G47" s="2225">
        <f>'8. Fisheries and aquaculture'!AB49</f>
        <v/>
      </c>
      <c r="H47" s="1661">
        <f>VLOOKUP('8. Fisheries and aquaculture'!AC49, list!$I$48:$J$50,2,FALSE )</f>
        <v/>
      </c>
      <c r="K47" s="2255">
        <f>IF(OR(B47="Please select",C47="Please select"),0,IF(INDEX('Database fish'!$A$6:$K$30,MATCH('Fish and aqua'!$B47,'Database fish'!$A$6:$A$30,0),MATCH('Fish and aqua'!$C47,'Database fish'!$A$6:$K$6,0))=0,(INDEX('Database fish'!$A$6:$K$30,MATCH('Fish and aqua'!$B47,'Database fish'!$A$6:$A$30,0),MATCH('Database fish'!$K$6,'Database fish'!$A$6:$K$6,0))),(INDEX('Database fish'!$A$6:$K$30,MATCH('Fish and aqua'!$B47,'Database fish'!$A$6:$A$30,0),MATCH('Fish and aqua'!$C47,'Database fish'!$A$6:$K$6,0)))))</f>
        <v/>
      </c>
      <c r="L47" s="2192">
        <f>IF(INDEX('Database fish'!$A$6:$K$30,MATCH('Fish and aqua'!$B47,'Database fish'!$A$6:$A$30,0),MATCH('Fish and aqua'!$C47,'Database fish'!$A$6:$K$6,0))=0,"Not specific","Gear specific")</f>
        <v/>
      </c>
      <c r="M47" s="2218">
        <f>IF('8. Fisheries and aquaculture'!$R49="",'8. Fisheries and aquaculture'!$P49,'8. Fisheries and aquaculture'!$R49)</f>
        <v/>
      </c>
      <c r="N47" s="2218">
        <f>IF('8. Fisheries and aquaculture'!T49="",'8. Fisheries and aquaculture'!$P49,'8. Fisheries and aquaculture'!T49)</f>
        <v/>
      </c>
      <c r="O47" s="2218">
        <f>IF('8. Fisheries and aquaculture'!U49="",'8. Fisheries and aquaculture'!$P49,'8. Fisheries and aquaculture'!U49)</f>
        <v/>
      </c>
      <c r="Q47" s="2400">
        <f>$M47*$X$5/1000</f>
        <v/>
      </c>
      <c r="R47" s="2401">
        <f>$N47*$X$5/1000</f>
        <v/>
      </c>
      <c r="S47" s="2402">
        <f>$O47*$X$5/1000</f>
        <v/>
      </c>
      <c r="V47" s="1661" t="n"/>
    </row>
    <row r="48" ht="13" customFormat="1" customHeight="1" s="2192">
      <c r="V48" s="1661" t="n"/>
    </row>
    <row r="49" ht="13" customFormat="1" customHeight="1" s="2192"/>
    <row r="50" ht="13" customFormat="1" customHeight="1" s="2192">
      <c r="K50" s="2192" t="inlineStr">
        <is>
          <t>Annual emissions (tCO2eq/yr)</t>
        </is>
      </c>
      <c r="O50" s="2195" t="inlineStr">
        <is>
          <t>Total CO2 emissions (tCO2eq)</t>
        </is>
      </c>
      <c r="U50" s="2192" t="inlineStr">
        <is>
          <t>Implementation phase</t>
        </is>
      </c>
    </row>
    <row r="51" ht="13" customFormat="1" customHeight="1" s="2192">
      <c r="B51" s="2195">
        <f>B41</f>
        <v/>
      </c>
      <c r="C51" s="2195">
        <f>C41</f>
        <v/>
      </c>
      <c r="K51" s="1661" t="inlineStr">
        <is>
          <t>Start</t>
        </is>
      </c>
      <c r="L51" s="2215" t="inlineStr">
        <is>
          <t>Without</t>
        </is>
      </c>
      <c r="M51" s="2216" t="inlineStr">
        <is>
          <t>With</t>
        </is>
      </c>
      <c r="O51" s="2215" t="inlineStr">
        <is>
          <t>Without</t>
        </is>
      </c>
      <c r="P51" s="2216" t="inlineStr">
        <is>
          <t>With</t>
        </is>
      </c>
      <c r="Q51" s="2217" t="inlineStr">
        <is>
          <t>Balance</t>
        </is>
      </c>
      <c r="U51" s="2215" t="inlineStr">
        <is>
          <t>Without</t>
        </is>
      </c>
      <c r="V51" s="2216" t="inlineStr">
        <is>
          <t>With</t>
        </is>
      </c>
    </row>
    <row r="52" ht="13" customFormat="1" customHeight="1" s="2192">
      <c r="B52" s="2192">
        <f>B42</f>
        <v/>
      </c>
      <c r="C52" s="2192">
        <f>C42</f>
        <v/>
      </c>
      <c r="K52" s="2218">
        <f>D42*Q42</f>
        <v/>
      </c>
      <c r="L52" s="2218">
        <f>E42*R42</f>
        <v/>
      </c>
      <c r="M52" s="2218">
        <f>G42*S42</f>
        <v/>
      </c>
      <c r="O52" s="2218">
        <f>MIN(K52,L52)*time_tot+ABS(L52-K52)*IF(L52&gt;K52,time_cap+time*(VLOOKUP(F42,list!$J$48:$K$50,2,0)),time*(1-(VLOOKUP(F42,list!$J$48:$K$50,2,0))))</f>
        <v/>
      </c>
      <c r="P52" s="2218">
        <f>MIN(K52,M52)*time_tot+ABS(M52-K52)*IF(M52&gt;K52,time_cap+time*(VLOOKUP(H42,list!$J$48:$K$50,2,0)),time*(1-(VLOOKUP(H42,list!$J$48:$K$50,2,0))))</f>
        <v/>
      </c>
      <c r="Q52" s="2223">
        <f>P52-O52</f>
        <v/>
      </c>
      <c r="U52" s="2225">
        <f>MIN(L52,K52)*time+ABS(L52-K52)*IF(L52&gt;K52,time*(VLOOKUP(F42,list!$J$48:$K$50,2,0)),time*(1-(VLOOKUP(F42,list!$J$48:$K$50,2,0))))</f>
        <v/>
      </c>
      <c r="V52" s="2225">
        <f>MIN(M52,K52)*time+ABS(M52-K52)*IF(M52&gt;K52,time*(VLOOKUP(H42,list!$J$48:$K$50,2,0)),time*(1-(VLOOKUP(H42,list!$J$48:$K$50,2,0))))</f>
        <v/>
      </c>
    </row>
    <row r="53" ht="13" customFormat="1" customHeight="1" s="2192">
      <c r="B53" s="2192">
        <f>B43</f>
        <v/>
      </c>
      <c r="C53" s="2192">
        <f>C43</f>
        <v/>
      </c>
      <c r="K53" s="2218">
        <f>D43*Q43</f>
        <v/>
      </c>
      <c r="L53" s="2218">
        <f>E43*R43</f>
        <v/>
      </c>
      <c r="M53" s="2218">
        <f>G43*S43</f>
        <v/>
      </c>
      <c r="O53" s="2218">
        <f>MIN(K53,L53)*time_tot+ABS(L53-K53)*IF(L53&gt;K53,time_cap+time*(VLOOKUP(F43,list!$J$48:$K$50,2,0)),time*(1-(VLOOKUP(F43,list!$J$48:$K$50,2,0))))</f>
        <v/>
      </c>
      <c r="P53" s="2218">
        <f>MIN(K53,M53)*time_tot+ABS(M53-K53)*IF(M53&gt;K53,time_cap+time*(VLOOKUP(H43,list!$J$48:$K$50,2,0)),time*(1-(VLOOKUP(H43,list!$J$48:$K$50,2,0))))</f>
        <v/>
      </c>
      <c r="Q53" s="2223">
        <f>P53-O53</f>
        <v/>
      </c>
      <c r="U53" s="2225">
        <f>MIN(L53,K53)*time+ABS(L53-K53)*IF(L53&gt;K53,time*(VLOOKUP(F43,list!$J$48:$K$50,2,0)),time*(1-(VLOOKUP(F43,list!$J$48:$K$50,2,0))))</f>
        <v/>
      </c>
      <c r="V53" s="2225">
        <f>MIN(M53,K53)*time+ABS(M53-K53)*IF(M53&gt;K53,time*(VLOOKUP(H43,list!$J$48:$K$50,2,0)),time*(1-(VLOOKUP(H43,list!$J$48:$K$50,2,0))))</f>
        <v/>
      </c>
    </row>
    <row r="54" ht="13" customFormat="1" customHeight="1" s="2192">
      <c r="B54" s="2192">
        <f>B44</f>
        <v/>
      </c>
      <c r="C54" s="2192">
        <f>C44</f>
        <v/>
      </c>
      <c r="K54" s="2218">
        <f>D44*Q44</f>
        <v/>
      </c>
      <c r="L54" s="2218">
        <f>E44*R44</f>
        <v/>
      </c>
      <c r="M54" s="2218">
        <f>G44*S44</f>
        <v/>
      </c>
      <c r="O54" s="2218">
        <f>MIN(K54,L54)*time_tot+ABS(L54-K54)*IF(L54&gt;K54,time_cap+time*(VLOOKUP(F44,list!$J$48:$K$50,2,0)),time*(1-(VLOOKUP(F44,list!$J$48:$K$50,2,0))))</f>
        <v/>
      </c>
      <c r="P54" s="2218">
        <f>MIN(K54,M54)*time_tot+ABS(M54-K54)*IF(M54&gt;K54,time_cap+time*(VLOOKUP(H44,list!$J$48:$K$50,2,0)),time*(1-(VLOOKUP(H44,list!$J$48:$K$50,2,0))))</f>
        <v/>
      </c>
      <c r="Q54" s="2223">
        <f>P54-O54</f>
        <v/>
      </c>
      <c r="U54" s="2225">
        <f>MIN(L54,K54)*time+ABS(L54-K54)*IF(L54&gt;K54,time*(VLOOKUP(F44,list!$J$48:$K$50,2,0)),time*(1-(VLOOKUP(F44,list!$J$48:$K$50,2,0))))</f>
        <v/>
      </c>
      <c r="V54" s="2225">
        <f>MIN(M54,K54)*time+ABS(M54-K54)*IF(M54&gt;K54,time*(VLOOKUP(H44,list!$J$48:$K$50,2,0)),time*(1-(VLOOKUP(H44,list!$J$48:$K$50,2,0))))</f>
        <v/>
      </c>
    </row>
    <row r="55" ht="13" customFormat="1" customHeight="1" s="2192">
      <c r="B55" s="2192">
        <f>B45</f>
        <v/>
      </c>
      <c r="C55" s="2192">
        <f>C45</f>
        <v/>
      </c>
      <c r="K55" s="2218">
        <f>D45*Q45</f>
        <v/>
      </c>
      <c r="L55" s="2218">
        <f>E45*R45</f>
        <v/>
      </c>
      <c r="M55" s="2218">
        <f>G45*S45</f>
        <v/>
      </c>
      <c r="O55" s="2218">
        <f>MIN(K55,L55)*time_tot+ABS(L55-K55)*IF(L55&gt;K55,time_cap+time*(VLOOKUP(F45,list!$J$48:$K$50,2,0)),time*(1-(VLOOKUP(F45,list!$J$48:$K$50,2,0))))</f>
        <v/>
      </c>
      <c r="P55" s="2218">
        <f>MIN(K55,M55)*time_tot+ABS(M55-K55)*IF(M55&gt;K55,time_cap+time*(VLOOKUP(H45,list!$J$48:$K$50,2,0)),time*(1-(VLOOKUP(H45,list!$J$48:$K$50,2,0))))</f>
        <v/>
      </c>
      <c r="Q55" s="2223">
        <f>P55-O55</f>
        <v/>
      </c>
      <c r="U55" s="2225">
        <f>MIN(L55,K55)*time+ABS(L55-K55)*IF(L55&gt;K55,time*(VLOOKUP(F45,list!$J$48:$K$50,2,0)),time*(1-(VLOOKUP(F45,list!$J$48:$K$50,2,0))))</f>
        <v/>
      </c>
      <c r="V55" s="2225">
        <f>MIN(M55,K55)*time+ABS(M55-K55)*IF(M55&gt;K55,time*(VLOOKUP(H45,list!$J$48:$K$50,2,0)),time*(1-(VLOOKUP(H45,list!$J$48:$K$50,2,0))))</f>
        <v/>
      </c>
    </row>
    <row r="56" ht="13" customFormat="1" customHeight="1" s="2192">
      <c r="B56" s="2192">
        <f>B46</f>
        <v/>
      </c>
      <c r="C56" s="2192">
        <f>C46</f>
        <v/>
      </c>
      <c r="K56" s="2218">
        <f>D46*Q46</f>
        <v/>
      </c>
      <c r="L56" s="2218">
        <f>E46*R46</f>
        <v/>
      </c>
      <c r="M56" s="2218">
        <f>G46*S46</f>
        <v/>
      </c>
      <c r="O56" s="2218">
        <f>MIN(K56,L56)*time_tot+ABS(L56-K56)*IF(L56&gt;K56,time_cap+time*(VLOOKUP(F46,list!$J$48:$K$50,2,0)),time*(1-(VLOOKUP(F46,list!$J$48:$K$50,2,0))))</f>
        <v/>
      </c>
      <c r="P56" s="2218">
        <f>MIN(K56,M56)*time_tot+ABS(M56-K56)*IF(M56&gt;K56,time_cap+time*(VLOOKUP(H46,list!$J$48:$K$50,2,0)),time*(1-(VLOOKUP(H46,list!$J$48:$K$50,2,0))))</f>
        <v/>
      </c>
      <c r="Q56" s="2223">
        <f>P56-O56</f>
        <v/>
      </c>
      <c r="U56" s="2225">
        <f>MIN(L56,K56)*time+ABS(L56-K56)*IF(L56&gt;K56,time*(VLOOKUP(F46,list!$J$48:$K$50,2,0)),time*(1-(VLOOKUP(F46,list!$J$48:$K$50,2,0))))</f>
        <v/>
      </c>
      <c r="V56" s="2225">
        <f>MIN(M56,K56)*time+ABS(M56-K56)*IF(M56&gt;K56,time*(VLOOKUP(H46,list!$J$48:$K$50,2,0)),time*(1-(VLOOKUP(H46,list!$J$48:$K$50,2,0))))</f>
        <v/>
      </c>
    </row>
    <row r="57" ht="13" customFormat="1" customHeight="1" s="2192">
      <c r="B57" s="2192">
        <f>B47</f>
        <v/>
      </c>
      <c r="C57" s="2192">
        <f>C47</f>
        <v/>
      </c>
      <c r="K57" s="2218">
        <f>D47*Q47</f>
        <v/>
      </c>
      <c r="L57" s="2218">
        <f>E47*R47</f>
        <v/>
      </c>
      <c r="M57" s="2218">
        <f>G47*S47</f>
        <v/>
      </c>
      <c r="O57" s="2218">
        <f>MIN(K57,L57)*time_tot+ABS(L57-K57)*IF(L57&gt;K57,time_cap+time*(VLOOKUP(F47,list!$J$48:$K$50,2,0)),time*(1-(VLOOKUP(F47,list!$J$48:$K$50,2,0))))</f>
        <v/>
      </c>
      <c r="P57" s="2218">
        <f>MIN(K57,M57)*time_tot+ABS(M57-K57)*IF(M57&gt;K57,time_cap+time*(VLOOKUP(H47,list!$J$48:$K$50,2,0)),time*(1-(VLOOKUP(H47,list!$J$48:$K$50,2,0))))</f>
        <v/>
      </c>
      <c r="Q57" s="2223">
        <f>P57-O57</f>
        <v/>
      </c>
      <c r="U57" s="2225">
        <f>MIN(L57,K57)*time+ABS(L57-K57)*IF(L57&gt;K57,time*(VLOOKUP(F47,list!$J$48:$K$50,2,0)),time*(1-(VLOOKUP(F47,list!$J$48:$K$50,2,0))))</f>
        <v/>
      </c>
      <c r="V57" s="2225">
        <f>MIN(M57,K57)*time+ABS(M57-K57)*IF(M57&gt;K57,time*(VLOOKUP(H47,list!$J$48:$K$50,2,0)),time*(1-(VLOOKUP(H47,list!$J$48:$K$50,2,0))))</f>
        <v/>
      </c>
    </row>
    <row r="58" ht="13" customFormat="1" customHeight="1" s="2192"/>
    <row r="59" ht="13" customFormat="1" customHeight="1" s="2192">
      <c r="J59" s="2252" t="inlineStr">
        <is>
          <t>Annual fuel consumption (m3/yr)</t>
        </is>
      </c>
      <c r="K59" s="2225">
        <f>SUM(K52:K57)/$X$5</f>
        <v/>
      </c>
      <c r="L59" s="2225">
        <f>SUM(L52:L57)/$X$5</f>
        <v/>
      </c>
      <c r="M59" s="2225">
        <f>SUM(M52:M57)/$X$5</f>
        <v/>
      </c>
    </row>
    <row r="60" ht="13" customFormat="1" customHeight="1" s="2192">
      <c r="B60" s="2195" t="inlineStr">
        <is>
          <t>Emissions from refrigerant</t>
        </is>
      </c>
    </row>
    <row r="61" ht="13" customFormat="1" customHeight="1" s="2192">
      <c r="B61" s="2192" t="inlineStr">
        <is>
          <t>All catch</t>
        </is>
      </c>
      <c r="C61" s="2192" t="inlineStr">
        <is>
          <t>Quantity lost (kg refrigerant)</t>
        </is>
      </c>
      <c r="F61" s="2192" t="inlineStr">
        <is>
          <t>GWP refrigerant</t>
        </is>
      </c>
      <c r="K61" s="2192" t="inlineStr">
        <is>
          <t>Annual emissions (tCO2eq/yr)</t>
        </is>
      </c>
      <c r="O61" s="2195" t="inlineStr">
        <is>
          <t>Total CO2 emissions (tCO2eq)</t>
        </is>
      </c>
      <c r="U61" s="2192" t="inlineStr">
        <is>
          <t>Implementation phase</t>
        </is>
      </c>
    </row>
    <row r="62" ht="13" customFormat="1" customHeight="1" s="2192">
      <c r="C62" s="1661" t="inlineStr">
        <is>
          <t>Default</t>
        </is>
      </c>
      <c r="D62" s="1661" t="inlineStr">
        <is>
          <t>Tier 2</t>
        </is>
      </c>
      <c r="F62" s="1661">
        <f>C62</f>
        <v/>
      </c>
      <c r="G62" s="1661">
        <f>D62</f>
        <v/>
      </c>
      <c r="K62" s="1661" t="inlineStr">
        <is>
          <t>Start</t>
        </is>
      </c>
      <c r="L62" s="2215" t="inlineStr">
        <is>
          <t>Without</t>
        </is>
      </c>
      <c r="M62" s="2216" t="inlineStr">
        <is>
          <t>With</t>
        </is>
      </c>
      <c r="O62" s="2215" t="inlineStr">
        <is>
          <t>Without</t>
        </is>
      </c>
      <c r="P62" s="2216" t="inlineStr">
        <is>
          <t>With</t>
        </is>
      </c>
      <c r="Q62" s="2217" t="inlineStr">
        <is>
          <t>Balance</t>
        </is>
      </c>
      <c r="U62" s="2215" t="inlineStr">
        <is>
          <t>Without</t>
        </is>
      </c>
      <c r="V62" s="2216" t="inlineStr">
        <is>
          <t>With</t>
        </is>
      </c>
    </row>
    <row r="63" ht="13" customFormat="1" customHeight="1" s="2192">
      <c r="B63" s="2192" t="inlineStr">
        <is>
          <t>Refrigerant lost/t catch</t>
        </is>
      </c>
      <c r="C63" s="2258">
        <f>487.34/1000</f>
        <v/>
      </c>
      <c r="D63" s="2260">
        <f>IF('8. Fisheries and aquaculture'!CI42="",'8. Fisheries and aquaculture'!CH42,'8. Fisheries and aquaculture'!CI42)</f>
        <v/>
      </c>
      <c r="F63" s="2258" t="n">
        <v>1810</v>
      </c>
      <c r="G63" s="2260">
        <f>IF('8. Fisheries and aquaculture'!CF48="",'8. Fisheries and aquaculture'!CE48,'8. Fisheries and aquaculture'!CF48)</f>
        <v/>
      </c>
      <c r="I63" s="2192" t="inlineStr">
        <is>
          <t>Linear</t>
        </is>
      </c>
      <c r="K63" s="4796">
        <f>$D$63*$G$63*'8. Fisheries and aquaculture'!X53/1000</f>
        <v/>
      </c>
      <c r="L63" s="4796">
        <f>$D$63*$G$63*'8. Fisheries and aquaculture'!Z53/1000</f>
        <v/>
      </c>
      <c r="M63" s="4796">
        <f>$D$27*$G$27*'8. Fisheries and aquaculture'!AB53/1000</f>
        <v/>
      </c>
      <c r="O63" s="2218">
        <f>MIN(K63,L63)*time_tot+ABS(L63-K63)*IF(L63&gt;K63,time_cap+time*(VLOOKUP(I63,list!$J$48:$K$50,2,0)),time*(1-(VLOOKUP(I63,list!$J$48:$K$50,2,0))))</f>
        <v/>
      </c>
      <c r="P63" s="2218">
        <f>MIN(K63,M63)*time_tot+ABS(M63-K63)*IF(M63&gt;K63,time_cap+time*(VLOOKUP(I63,list!$J$48:$K$50,2,0)),time*(1-(VLOOKUP(I63,list!$J$48:$K$50,2,0))))</f>
        <v/>
      </c>
      <c r="Q63" s="2223">
        <f>P63-O63</f>
        <v/>
      </c>
      <c r="U63" s="2225">
        <f>MIN(L63,K63)*time+ABS(L63-K63)*IF(L63&gt;K63,time*(VLOOKUP(I63,list!$J$48:$K$50,2,0)),time*(1-(VLOOKUP(I63,list!$J$48:$K$50,2,0))))</f>
        <v/>
      </c>
      <c r="V63" s="2225">
        <f>MIN(M63,K63)*time+ABS(M63-K63)*IF(M63&gt;K63,time*(VLOOKUP(I63,list!$J$48:$K$50,2,0)),time*(1-(VLOOKUP(I63,list!$J$48:$K$50,2,0))))</f>
        <v/>
      </c>
    </row>
    <row r="64" ht="13" customFormat="1" customHeight="1" s="2192"/>
    <row r="65" ht="13" customFormat="1" customHeight="1" s="2192">
      <c r="B65" s="2195" t="inlineStr">
        <is>
          <t>Emissions from ice (artisanal catch only)</t>
        </is>
      </c>
    </row>
    <row r="66" ht="13" customFormat="1" customHeight="1" s="2192">
      <c r="B66" s="2192" t="inlineStr">
        <is>
          <t>All catch</t>
        </is>
      </c>
      <c r="C66" s="2192" t="inlineStr">
        <is>
          <t>Quantity lost (kg refrigerant)</t>
        </is>
      </c>
      <c r="F66" s="2192" t="inlineStr">
        <is>
          <t>kWh ice/t catch</t>
        </is>
      </c>
      <c r="I66" s="2192" t="inlineStr">
        <is>
          <t>Emission factor</t>
        </is>
      </c>
      <c r="K66" s="2192" t="inlineStr">
        <is>
          <t>Annual emissions (tCO2eq/yr)</t>
        </is>
      </c>
      <c r="O66" s="2195" t="inlineStr">
        <is>
          <t>Total CO2 emissions (tCO2eq)</t>
        </is>
      </c>
      <c r="U66" s="2192" t="inlineStr">
        <is>
          <t>Implementation phase</t>
        </is>
      </c>
    </row>
    <row r="67" ht="13" customFormat="1" customHeight="1" s="2192">
      <c r="C67" s="1661" t="inlineStr">
        <is>
          <t>Default</t>
        </is>
      </c>
      <c r="D67" s="1661" t="inlineStr">
        <is>
          <t>Tier 2</t>
        </is>
      </c>
      <c r="F67" s="1661">
        <f>C67</f>
        <v/>
      </c>
      <c r="G67" s="1661">
        <f>D67</f>
        <v/>
      </c>
      <c r="I67" s="2192" t="inlineStr">
        <is>
          <t>tCO2eq/t catch</t>
        </is>
      </c>
      <c r="K67" s="1661" t="inlineStr">
        <is>
          <t>Start</t>
        </is>
      </c>
      <c r="L67" s="2215" t="inlineStr">
        <is>
          <t>Without</t>
        </is>
      </c>
      <c r="M67" s="2216" t="inlineStr">
        <is>
          <t>With</t>
        </is>
      </c>
      <c r="O67" s="2215" t="inlineStr">
        <is>
          <t>Without</t>
        </is>
      </c>
      <c r="P67" s="2216" t="inlineStr">
        <is>
          <t>With</t>
        </is>
      </c>
      <c r="Q67" s="2217" t="inlineStr">
        <is>
          <t>Balance</t>
        </is>
      </c>
      <c r="U67" s="2215" t="inlineStr">
        <is>
          <t>Without</t>
        </is>
      </c>
      <c r="V67" s="2216" t="inlineStr">
        <is>
          <t>With</t>
        </is>
      </c>
    </row>
    <row r="68" ht="13" customFormat="1" customHeight="1" s="2192">
      <c r="B68" s="2192" t="inlineStr">
        <is>
          <t>Tonne of ice per t of catch</t>
        </is>
      </c>
      <c r="C68" s="2258" t="n">
        <v>2.8</v>
      </c>
      <c r="D68" s="2260">
        <f>IF('8. Fisheries and aquaculture'!BV56="",'8. Fisheries and aquaculture'!BU56,'8. Fisheries and aquaculture'!BV56)</f>
        <v/>
      </c>
      <c r="F68" s="2258" t="n">
        <v>60</v>
      </c>
      <c r="G68" s="2260">
        <f>IF('8. Fisheries and aquaculture'!CE56="",'8. Fisheries and aquaculture'!CC56,'8. Fisheries and aquaculture'!CE56)</f>
        <v/>
      </c>
      <c r="I68" s="2262">
        <f>IFERROR(IF(C69="Please select",$D$32*$G$32*VLOOKUP(country_selected,Elec!$A$2:$F$252,6,)/1000,$D$32*$G$32*VLOOKUP($C$33,Elec!$A$2:$F$252,6)/1000),0)</f>
        <v/>
      </c>
      <c r="K68" s="4796">
        <f>$I$68*'8. Fisheries and aquaculture'!X57</f>
        <v/>
      </c>
      <c r="L68" s="4796">
        <f>$I$32*'8. Fisheries and aquaculture'!Z57</f>
        <v/>
      </c>
      <c r="M68" s="4796">
        <f>$I$32*'8. Fisheries and aquaculture'!AB57</f>
        <v/>
      </c>
      <c r="O68" s="2218">
        <f>MIN(K68,L68)*time_tot+ABS(L68-K68)*IF(L68&gt;K68,time_cap+time*(VLOOKUP(I63,list!$J$48:$K$50,2,0)),time*(1-(VLOOKUP(I63,list!$J$48:$K$50,2,0))))</f>
        <v/>
      </c>
      <c r="P68" s="2218">
        <f>MIN(K68,M68)*time_tot+ABS(M68-K68)*IF(M68&gt;K68,time_cap+time*(VLOOKUP(I63,list!$J$48:$K$50,2,0)),time*(1-(VLOOKUP(I63,list!$J$48:$K$50,2,0))))</f>
        <v/>
      </c>
      <c r="Q68" s="2223">
        <f>P68-O68</f>
        <v/>
      </c>
      <c r="U68" s="2225">
        <f>MIN(L68,K68)*time+ABS(L68-K68)*IF(L68&gt;K68,time*(VLOOKUP(I63,list!$J$48:$K$50,2,0)),time*(1-(VLOOKUP(I63,list!$J$48:$K$50,2,0))))</f>
        <v/>
      </c>
      <c r="V68" s="2225">
        <f>MIN(M68,K68)*time+ABS(M68-K68)*IF(M68&gt;K68,time*(VLOOKUP(I63,list!$J$48:$K$50,2,0)),time*(1-(VLOOKUP(I63,list!$J$48:$K$50,2,0))))</f>
        <v/>
      </c>
    </row>
    <row r="69" ht="13" customFormat="1" customHeight="1" s="2192">
      <c r="B69" s="2192" t="inlineStr">
        <is>
          <t>Country of origin</t>
        </is>
      </c>
      <c r="C69" s="2192">
        <f>'8. Fisheries and aquaculture'!CC57</f>
        <v/>
      </c>
    </row>
    <row r="70" ht="13" customFormat="1" customHeight="1" s="2192"/>
    <row r="71" ht="13" customFormat="1" customHeight="1" s="2192">
      <c r="L71" s="2238" t="n"/>
      <c r="M71" s="2238" t="n"/>
      <c r="N71" s="2239" t="inlineStr">
        <is>
          <t>Total  (tCO2eq)</t>
        </is>
      </c>
      <c r="O71" s="2240">
        <f>SUM(O52:O57,O63,O68)</f>
        <v/>
      </c>
      <c r="P71" s="2240">
        <f>SUM(P52:P57,P63,P68)</f>
        <v/>
      </c>
      <c r="Q71" s="2240">
        <f>SUM(Q52:Q57,Q63,Q68)</f>
        <v/>
      </c>
    </row>
    <row r="72" ht="13" customFormat="1" customHeight="1" s="2192"/>
    <row r="73" ht="45" customFormat="1" customHeight="1" s="2192">
      <c r="A73" s="2191" t="n"/>
      <c r="B73" s="2264" t="inlineStr">
        <is>
          <t>Coastal-based aquaculture</t>
        </is>
      </c>
      <c r="C73" s="2191" t="n"/>
      <c r="D73" s="2191" t="n"/>
      <c r="E73" s="2191" t="n"/>
      <c r="F73" s="2191" t="n"/>
      <c r="G73" s="2191" t="n"/>
      <c r="H73" s="2191" t="n"/>
      <c r="I73" s="2191" t="n"/>
      <c r="J73" s="2191" t="n"/>
      <c r="K73" s="2191" t="n"/>
      <c r="L73" s="2191" t="n"/>
      <c r="M73" s="2191" t="n"/>
      <c r="N73" s="2191" t="n"/>
      <c r="O73" s="2191" t="n"/>
      <c r="P73" s="2191" t="n"/>
      <c r="Q73" s="2191" t="n"/>
      <c r="R73" s="2191" t="n"/>
      <c r="S73" s="2191" t="n"/>
      <c r="T73" s="2191" t="n"/>
      <c r="U73" s="2191" t="n"/>
      <c r="V73" s="2191" t="n"/>
      <c r="W73" s="2191" t="n"/>
      <c r="X73" s="2191" t="n"/>
      <c r="Y73" s="2191" t="n"/>
      <c r="Z73" s="2191" t="n"/>
      <c r="AA73" s="2191" t="n"/>
      <c r="AB73" s="2191" t="n"/>
      <c r="AC73" s="2191" t="n"/>
    </row>
    <row r="74" ht="13" customFormat="1" customHeight="1" s="2192">
      <c r="D74" s="2193" t="inlineStr">
        <is>
          <t>Emission factor feed</t>
        </is>
      </c>
      <c r="E74" s="2193" t="n"/>
    </row>
    <row r="75" ht="13" customFormat="1" customHeight="1" s="2192">
      <c r="D75" s="2192" t="inlineStr">
        <is>
          <t>tCO2eq/t feed</t>
        </is>
      </c>
      <c r="G75" s="2193" t="inlineStr">
        <is>
          <t>N2O EF from production (t N2O-N/t production)</t>
        </is>
      </c>
      <c r="H75" s="2193" t="n"/>
      <c r="I75" s="2193" t="n"/>
      <c r="O75" s="2193" t="inlineStr">
        <is>
          <t>CH4 emission factor (kgCH4/ha/yr)</t>
        </is>
      </c>
      <c r="P75" s="2194" t="n"/>
      <c r="Q75" s="2194" t="n"/>
      <c r="R75" s="2194" t="n"/>
      <c r="U75" s="2193" t="inlineStr">
        <is>
          <t>GHG PER SCENARIO</t>
        </is>
      </c>
      <c r="V75" s="2194" t="n"/>
      <c r="W75" s="2194" t="n"/>
      <c r="Z75" s="2193" t="inlineStr">
        <is>
          <t>TOTAL BALANCE</t>
        </is>
      </c>
      <c r="AA75" s="2194" t="n"/>
      <c r="AB75" s="2194" t="n"/>
      <c r="AC75" s="2194" t="n"/>
    </row>
    <row r="76" ht="13" customFormat="1" customHeight="1" s="2192">
      <c r="D76" s="1661" t="inlineStr">
        <is>
          <t>Default</t>
        </is>
      </c>
      <c r="E76" s="1661" t="inlineStr">
        <is>
          <t>Tier 2</t>
        </is>
      </c>
      <c r="G76" s="1661" t="inlineStr">
        <is>
          <t>Default</t>
        </is>
      </c>
      <c r="H76" s="1661" t="inlineStr">
        <is>
          <t>Tier 2</t>
        </is>
      </c>
      <c r="I76" s="2192" t="inlineStr">
        <is>
          <t>tCO2eq/t production</t>
        </is>
      </c>
      <c r="O76" s="1661" t="inlineStr">
        <is>
          <t>Default</t>
        </is>
      </c>
      <c r="P76" s="1661" t="inlineStr">
        <is>
          <t>start</t>
        </is>
      </c>
      <c r="Q76" s="1661" t="inlineStr">
        <is>
          <t>without</t>
        </is>
      </c>
      <c r="R76" s="1661" t="inlineStr">
        <is>
          <t>with</t>
        </is>
      </c>
    </row>
    <row r="77" ht="13" customFormat="1" customHeight="1" s="2192">
      <c r="D77" s="2385" t="n">
        <v>0</v>
      </c>
      <c r="E77" s="2220">
        <f>IF('8. Fisheries and aquaculture'!BS74="",'8. Fisheries and aquaculture'!BR74,'8. Fisheries and aquaculture'!BS74)</f>
        <v/>
      </c>
      <c r="G77" s="2385" t="n">
        <v>0.00169</v>
      </c>
      <c r="H77" s="2388">
        <f>IF('8. Fisheries and aquaculture'!BX74="",'8. Fisheries and aquaculture'!BW74,'8. Fisheries and aquaculture'!BX74)</f>
        <v/>
      </c>
      <c r="I77" s="2394">
        <f>H77*44/28*Nitrous</f>
        <v/>
      </c>
      <c r="O77" s="4793">
        <f>IF(Coastal!B115="Please select",0,INDEX(IPCC!$A$3204:$E$3215,MATCH(clim_moist,IPCC!$A$3204:$A$3215,0),MATCH(Coastal!$B115,IPCC!$A$3204:$E$3204,0)))</f>
        <v/>
      </c>
      <c r="P77" s="2243">
        <f>IF('7.Coastal wetlands'!BU65="",'7.Coastal wetlands'!BT65,'7.Coastal wetlands'!BU65)</f>
        <v/>
      </c>
      <c r="Q77" s="2219">
        <f>IF('7.Coastal wetlands'!BW65="",'7.Coastal wetlands'!BV65,'7.Coastal wetlands'!BW65)</f>
        <v/>
      </c>
      <c r="R77" s="2220">
        <f>IF('7.Coastal wetlands'!BY65="",'7.Coastal wetlands'!BX65,'7.Coastal wetlands'!BY65)</f>
        <v/>
      </c>
      <c r="U77" s="2196" t="inlineStr">
        <is>
          <t>CATEGORIES</t>
        </is>
      </c>
      <c r="V77" s="2197" t="inlineStr">
        <is>
          <t>WITHOUT</t>
        </is>
      </c>
      <c r="W77" s="2197" t="inlineStr">
        <is>
          <t>WITH</t>
        </is>
      </c>
      <c r="Z77" s="2196" t="inlineStr">
        <is>
          <t>CATEGORIES</t>
        </is>
      </c>
      <c r="AA77" s="2197" t="inlineStr">
        <is>
          <t>BALANCE</t>
        </is>
      </c>
      <c r="AB77" s="2197" t="inlineStr">
        <is>
          <t>IMPLEM.</t>
        </is>
      </c>
      <c r="AC77" s="2198" t="inlineStr">
        <is>
          <t>CAPITAL.</t>
        </is>
      </c>
    </row>
    <row r="78" ht="13" customFormat="1" customHeight="1" s="2192">
      <c r="D78" s="2386" t="n">
        <v>0</v>
      </c>
      <c r="E78" s="2228">
        <f>IF('8. Fisheries and aquaculture'!BS75="",'8. Fisheries and aquaculture'!BR75,'8. Fisheries and aquaculture'!BS75)</f>
        <v/>
      </c>
      <c r="G78" s="2386" t="n">
        <v>0.00169</v>
      </c>
      <c r="H78" s="2389">
        <f>IF('8. Fisheries and aquaculture'!BX75="",'8. Fisheries and aquaculture'!BW75,'8. Fisheries and aquaculture'!BX75)</f>
        <v/>
      </c>
      <c r="I78" s="2395">
        <f>H78*44/28*Nitrous</f>
        <v/>
      </c>
      <c r="O78" s="4794">
        <f>IF(Coastal!B116="Please select",0,INDEX(IPCC!$A$3204:$E$3215,MATCH(clim_moist,IPCC!$A$3204:$A$3215,0),MATCH(Coastal!$B116,IPCC!$A$3204:$E$3204,0)))</f>
        <v/>
      </c>
      <c r="P78" s="2245">
        <f>IF('7.Coastal wetlands'!BU66="",'7.Coastal wetlands'!BT66,'7.Coastal wetlands'!BU66)</f>
        <v/>
      </c>
      <c r="Q78" s="2227">
        <f>IF('7.Coastal wetlands'!BW66="",'7.Coastal wetlands'!BV66,'7.Coastal wetlands'!BW66)</f>
        <v/>
      </c>
      <c r="R78" s="2228">
        <f>IF('7.Coastal wetlands'!BY66="",'7.Coastal wetlands'!BX66,'7.Coastal wetlands'!BY66)</f>
        <v/>
      </c>
      <c r="U78" s="2207" t="inlineStr">
        <is>
          <t>CO2-e feed</t>
        </is>
      </c>
      <c r="V78" s="2208">
        <f>SUM(O100:O105)</f>
        <v/>
      </c>
      <c r="W78" s="2208">
        <f>SUM(P100:P105)</f>
        <v/>
      </c>
      <c r="X78" s="2209">
        <f>W78-V78</f>
        <v/>
      </c>
      <c r="Z78" s="2207" t="inlineStr">
        <is>
          <t>CO2-e feed</t>
        </is>
      </c>
      <c r="AA78" s="2208">
        <f>SUM(Q100:Q105)</f>
        <v/>
      </c>
      <c r="AB78" s="2208">
        <f>IF(time=0,0,SUM(V100:V105)-SUM(U100:U105))</f>
        <v/>
      </c>
      <c r="AC78" s="2210">
        <f>AA78-AB78</f>
        <v/>
      </c>
    </row>
    <row r="79" ht="13" customFormat="1" customHeight="1" s="2192">
      <c r="D79" s="2386" t="n">
        <v>0</v>
      </c>
      <c r="E79" s="2228">
        <f>IF('8. Fisheries and aquaculture'!BS76="",'8. Fisheries and aquaculture'!BR76,'8. Fisheries and aquaculture'!BS76)</f>
        <v/>
      </c>
      <c r="G79" s="2386" t="n">
        <v>0.00169</v>
      </c>
      <c r="H79" s="2389">
        <f>IF('8. Fisheries and aquaculture'!BX76="",'8. Fisheries and aquaculture'!BW76,'8. Fisheries and aquaculture'!BX76)</f>
        <v/>
      </c>
      <c r="I79" s="2395">
        <f>H79*44/28*Nitrous</f>
        <v/>
      </c>
      <c r="O79" s="4794">
        <f>IF(Coastal!B117="Please select",0,INDEX(IPCC!$A$3204:$E$3215,MATCH(clim_moist,IPCC!$A$3204:$A$3215,0),MATCH(Coastal!$B117,IPCC!$A$3204:$E$3204,0)))</f>
        <v/>
      </c>
      <c r="P79" s="2245">
        <f>IF('7.Coastal wetlands'!BU67="",'7.Coastal wetlands'!BT67,'7.Coastal wetlands'!BU67)</f>
        <v/>
      </c>
      <c r="Q79" s="2227">
        <f>IF('7.Coastal wetlands'!BW67="",'7.Coastal wetlands'!BV67,'7.Coastal wetlands'!BW67)</f>
        <v/>
      </c>
      <c r="R79" s="2228">
        <f>IF('7.Coastal wetlands'!BY67="",'7.Coastal wetlands'!BX67,'7.Coastal wetlands'!BY67)</f>
        <v/>
      </c>
      <c r="U79" s="2207" t="inlineStr">
        <is>
          <t>N2O prod</t>
        </is>
      </c>
      <c r="V79" s="2208">
        <f>SUM(O89:O94)</f>
        <v/>
      </c>
      <c r="W79" s="2208">
        <f>SUM(P89:P94)</f>
        <v/>
      </c>
      <c r="X79" s="2209" t="n"/>
      <c r="Z79" s="2207" t="inlineStr">
        <is>
          <t>N2O prod</t>
        </is>
      </c>
      <c r="AA79" s="2208">
        <f>SUM(Q89:Q94)</f>
        <v/>
      </c>
      <c r="AB79" s="2208">
        <f>IF(time=0,0,SUM(V89:V94)-SUM(U89:U94))</f>
        <v/>
      </c>
      <c r="AC79" s="2210">
        <f>AA79-AB79</f>
        <v/>
      </c>
    </row>
    <row r="80" ht="13" customFormat="1" customHeight="1" s="2192">
      <c r="D80" s="2386" t="n">
        <v>0</v>
      </c>
      <c r="E80" s="2228">
        <f>IF('8. Fisheries and aquaculture'!BS77="",'8. Fisheries and aquaculture'!BR77,'8. Fisheries and aquaculture'!BS77)</f>
        <v/>
      </c>
      <c r="G80" s="2386" t="n">
        <v>0.00169</v>
      </c>
      <c r="H80" s="2389">
        <f>IF('8. Fisheries and aquaculture'!BX77="",'8. Fisheries and aquaculture'!BW77,'8. Fisheries and aquaculture'!BX77)</f>
        <v/>
      </c>
      <c r="I80" s="2395">
        <f>H80*44/28*Nitrous</f>
        <v/>
      </c>
      <c r="O80" s="4794">
        <f>IF(Coastal!B118="Please select",0,INDEX(IPCC!$A$3204:$E$3215,MATCH(clim_moist,IPCC!$A$3204:$A$3215,0),MATCH(Coastal!$B118,IPCC!$A$3204:$E$3204,0)))</f>
        <v/>
      </c>
      <c r="P80" s="2245">
        <f>IF('7.Coastal wetlands'!BU68="",'7.Coastal wetlands'!BT68,'7.Coastal wetlands'!BU68)</f>
        <v/>
      </c>
      <c r="Q80" s="2227">
        <f>IF('7.Coastal wetlands'!BW68="",'7.Coastal wetlands'!BV68,'7.Coastal wetlands'!BW68)</f>
        <v/>
      </c>
      <c r="R80" s="2228">
        <f>IF('7.Coastal wetlands'!BY68="",'7.Coastal wetlands'!BX68,'7.Coastal wetlands'!BY68)</f>
        <v/>
      </c>
      <c r="U80" s="2207" t="n"/>
      <c r="V80" s="2208" t="n">
        <v>0</v>
      </c>
      <c r="W80" s="2208" t="n">
        <v>0</v>
      </c>
      <c r="X80" s="2209" t="n"/>
      <c r="Z80" s="2207" t="n"/>
      <c r="AA80" s="2208" t="n"/>
      <c r="AB80" s="2208" t="n"/>
      <c r="AC80" s="2210" t="n"/>
    </row>
    <row r="81" ht="13" customFormat="1" customHeight="1" s="2192">
      <c r="D81" s="2386" t="n">
        <v>0</v>
      </c>
      <c r="E81" s="2228">
        <f>IF('8. Fisheries and aquaculture'!BS78="",'8. Fisheries and aquaculture'!BR78,'8. Fisheries and aquaculture'!BS78)</f>
        <v/>
      </c>
      <c r="G81" s="2386" t="n">
        <v>0.00169</v>
      </c>
      <c r="H81" s="2389">
        <f>IF('8. Fisheries and aquaculture'!BX78="",'8. Fisheries and aquaculture'!BW78,'8. Fisheries and aquaculture'!BX78)</f>
        <v/>
      </c>
      <c r="I81" s="2395">
        <f>H81*44/28*Nitrous</f>
        <v/>
      </c>
      <c r="O81" s="4794">
        <f>IF(Coastal!B119="Please select",0,INDEX(IPCC!$A$3204:$E$3215,MATCH(clim_moist,IPCC!$A$3204:$A$3215,0),MATCH(Coastal!$B119,IPCC!$A$3204:$E$3204,0)))</f>
        <v/>
      </c>
      <c r="P81" s="2245">
        <f>IF('7.Coastal wetlands'!BU69="",'7.Coastal wetlands'!BT69,'7.Coastal wetlands'!BU69)</f>
        <v/>
      </c>
      <c r="Q81" s="2227">
        <f>IF('7.Coastal wetlands'!BW69="",'7.Coastal wetlands'!BV69,'7.Coastal wetlands'!BW69)</f>
        <v/>
      </c>
      <c r="R81" s="2228">
        <f>IF('7.Coastal wetlands'!BY69="",'7.Coastal wetlands'!BX69,'7.Coastal wetlands'!BY69)</f>
        <v/>
      </c>
      <c r="U81" s="2212" t="inlineStr">
        <is>
          <t>TOTAL (tCO2-eq)</t>
        </is>
      </c>
      <c r="V81" s="2213">
        <f>SUM(V78:V80)</f>
        <v/>
      </c>
      <c r="W81" s="2213">
        <f>SUM(W78:W80)</f>
        <v/>
      </c>
      <c r="X81" s="2209">
        <f>W81-V81</f>
        <v/>
      </c>
      <c r="Z81" s="2212" t="inlineStr">
        <is>
          <t>TOTAL (tCO2-eq)</t>
        </is>
      </c>
      <c r="AA81" s="2214">
        <f>SUM(AA78:AA80)</f>
        <v/>
      </c>
      <c r="AB81" s="2214">
        <f>SUM(AB78:AB80)</f>
        <v/>
      </c>
      <c r="AC81" s="2214">
        <f>SUM(AC78:AC80)</f>
        <v/>
      </c>
    </row>
    <row r="82" ht="13" customFormat="1" customHeight="1" s="2192">
      <c r="D82" s="2387" t="n">
        <v>0</v>
      </c>
      <c r="E82" s="2234">
        <f>IF('8. Fisheries and aquaculture'!BS79="",'8. Fisheries and aquaculture'!BR79,'8. Fisheries and aquaculture'!BS79)</f>
        <v/>
      </c>
      <c r="G82" s="2387" t="n">
        <v>0.00169</v>
      </c>
      <c r="H82" s="2390">
        <f>IF('8. Fisheries and aquaculture'!BX79="",'8. Fisheries and aquaculture'!BW79,'8. Fisheries and aquaculture'!BX79)</f>
        <v/>
      </c>
      <c r="I82" s="2396">
        <f>H82*44/28*Nitrous</f>
        <v/>
      </c>
      <c r="O82" s="4795">
        <f>IF(Coastal!B120="Please select",0,INDEX(IPCC!$A$3204:$E$3215,MATCH(clim_moist,IPCC!$A$3204:$A$3215,0),MATCH(Coastal!$B120,IPCC!$A$3204:$E$3204,0)))</f>
        <v/>
      </c>
      <c r="P82" s="2247">
        <f>IF('7.Coastal wetlands'!BU70="",'7.Coastal wetlands'!BT70,'7.Coastal wetlands'!BU70)</f>
        <v/>
      </c>
      <c r="Q82" s="2233">
        <f>IF('7.Coastal wetlands'!BW70="",'7.Coastal wetlands'!BV70,'7.Coastal wetlands'!BW70)</f>
        <v/>
      </c>
      <c r="R82" s="2234">
        <f>IF('7.Coastal wetlands'!BY70="",'7.Coastal wetlands'!BX70,'7.Coastal wetlands'!BY70)</f>
        <v/>
      </c>
    </row>
    <row r="83" ht="13" customFormat="1" customHeight="1" s="2192"/>
    <row r="84" ht="26.75" customFormat="1" customHeight="1" s="2192">
      <c r="A84" s="2378" t="n"/>
      <c r="B84" s="2378" t="inlineStr">
        <is>
          <t>N2O emissions</t>
        </is>
      </c>
      <c r="C84" s="2378" t="n"/>
      <c r="D84" s="2378" t="n"/>
      <c r="E84" s="2378" t="n"/>
      <c r="F84" s="2378" t="n"/>
      <c r="G84" s="2378" t="n"/>
      <c r="H84" s="2378" t="n"/>
      <c r="I84" s="2378" t="n"/>
      <c r="J84" s="2378" t="n"/>
      <c r="K84" s="2378" t="n"/>
      <c r="L84" s="2378" t="n"/>
      <c r="M84" s="2378" t="n"/>
      <c r="N84" s="2378" t="n"/>
      <c r="O84" s="2378" t="n"/>
      <c r="P84" s="2378" t="n"/>
      <c r="Q84" s="2378" t="n"/>
      <c r="R84" s="2378" t="n"/>
      <c r="S84" s="2378" t="n"/>
      <c r="T84" s="2378" t="n"/>
      <c r="U84" s="2378" t="n"/>
      <c r="V84" s="2378" t="n"/>
      <c r="W84" s="2378" t="n"/>
      <c r="X84" s="2378" t="n"/>
      <c r="Y84" s="2378" t="n"/>
      <c r="Z84" s="2378" t="n"/>
      <c r="AA84" s="2378" t="n"/>
      <c r="AB84" s="2378" t="n"/>
      <c r="AC84" s="2378" t="n"/>
    </row>
    <row r="85" ht="13" customFormat="1" customHeight="1" s="2192"/>
    <row r="86" ht="13" customFormat="1" customHeight="1" s="2192">
      <c r="K86" s="2193" t="inlineStr">
        <is>
          <t>N2O emissions</t>
        </is>
      </c>
      <c r="L86" s="2194" t="n"/>
      <c r="M86" s="2194" t="n"/>
      <c r="N86" s="2194" t="n"/>
      <c r="O86" s="2194" t="n"/>
      <c r="P86" s="2194" t="n"/>
      <c r="Q86" s="2194" t="n"/>
    </row>
    <row r="87" ht="13" customFormat="1" customHeight="1" s="2192">
      <c r="D87" s="2194" t="inlineStr">
        <is>
          <t>Production (tonne/year)</t>
        </is>
      </c>
      <c r="E87" s="2194" t="n"/>
      <c r="F87" s="2194" t="n"/>
      <c r="G87" s="2194" t="n"/>
      <c r="H87" s="2194" t="n"/>
      <c r="K87" s="2195" t="inlineStr">
        <is>
          <t>Annual emissions (tCO2eq/yr)</t>
        </is>
      </c>
      <c r="O87" s="2195" t="inlineStr">
        <is>
          <t>Total CO2 emissions (tCO2eq)</t>
        </is>
      </c>
      <c r="U87" s="2192" t="inlineStr">
        <is>
          <t>Implementation phase</t>
        </is>
      </c>
    </row>
    <row r="88" ht="13" customFormat="1" customHeight="1" s="2192">
      <c r="B88" s="2195" t="n"/>
      <c r="C88" s="2195" t="n"/>
      <c r="D88" s="2192" t="inlineStr">
        <is>
          <t>Start</t>
        </is>
      </c>
      <c r="E88" s="2192" t="inlineStr">
        <is>
          <t>Without</t>
        </is>
      </c>
      <c r="F88" s="2192" t="inlineStr">
        <is>
          <t>Rate</t>
        </is>
      </c>
      <c r="G88" s="2192" t="inlineStr">
        <is>
          <t>With</t>
        </is>
      </c>
      <c r="H88" s="2192" t="inlineStr">
        <is>
          <t>Rate</t>
        </is>
      </c>
      <c r="K88" s="1661" t="inlineStr">
        <is>
          <t>Start</t>
        </is>
      </c>
      <c r="L88" s="2215" t="inlineStr">
        <is>
          <t>Without</t>
        </is>
      </c>
      <c r="M88" s="2216" t="inlineStr">
        <is>
          <t>With</t>
        </is>
      </c>
      <c r="O88" s="2215" t="inlineStr">
        <is>
          <t>Without</t>
        </is>
      </c>
      <c r="P88" s="2216" t="inlineStr">
        <is>
          <t>With</t>
        </is>
      </c>
      <c r="Q88" s="2217" t="inlineStr">
        <is>
          <t>Balance</t>
        </is>
      </c>
      <c r="U88" s="2215" t="inlineStr">
        <is>
          <t>Without</t>
        </is>
      </c>
      <c r="V88" s="2216" t="inlineStr">
        <is>
          <t>With</t>
        </is>
      </c>
    </row>
    <row r="89" ht="13" customFormat="1" customHeight="1" s="2192">
      <c r="D89" s="2225">
        <f>'8. Fisheries and aquaculture'!X74</f>
        <v/>
      </c>
      <c r="E89" s="2225">
        <f>'8. Fisheries and aquaculture'!Z74</f>
        <v/>
      </c>
      <c r="F89" s="2225">
        <f>VLOOKUP('8. Fisheries and aquaculture'!AA74, list!$I$48:$J$50,2,FALSE )</f>
        <v/>
      </c>
      <c r="G89" s="2225">
        <f>'8. Fisheries and aquaculture'!AB74</f>
        <v/>
      </c>
      <c r="H89" s="2225">
        <f>VLOOKUP('8. Fisheries and aquaculture'!AC74, list!$I$48:$J$50,2,FALSE )</f>
        <v/>
      </c>
      <c r="K89" s="2218">
        <f>D89*$I77</f>
        <v/>
      </c>
      <c r="L89" s="2218">
        <f>E89*$I77</f>
        <v/>
      </c>
      <c r="M89" s="2218">
        <f>G89*$I77</f>
        <v/>
      </c>
      <c r="O89" s="2218">
        <f>MIN(K89,L89)*time_tot+ABS(L89-K89)*IF(L89&gt;K89,time_cap+time*(VLOOKUP(F89,list!$J$48:$K$50,2,0)),time*(1-(VLOOKUP(F89,list!$J$48:$K$50,2,0))))</f>
        <v/>
      </c>
      <c r="P89" s="2218">
        <f>MIN(K89,M89)*time_tot+ABS(M89-K89)*IF(M89&gt;K89,time_cap+time*(VLOOKUP(H89,list!$J$48:$K$50,2,0)),time*(1-(VLOOKUP(H89,list!$J$48:$K$50,2,0))))</f>
        <v/>
      </c>
      <c r="Q89" s="2223">
        <f>P89-O89</f>
        <v/>
      </c>
      <c r="U89" s="2225">
        <f>IFERROR(MIN(L89,K89)*time+ABS(L89-K89)*IF(L89&gt;K89,time*(VLOOKUP(F89,list!$J$48:$K$50,2,0)),time*(1-(VLOOKUP(F89,list!$J$48:$K$50,2,0)))),0)</f>
        <v/>
      </c>
      <c r="V89" s="2225">
        <f>IFERROR(MIN(M89,K89)*time+ABS(M89-K89)*IF(M89&gt;K89,time*(VLOOKUP(H89,list!$J$48:$K$50,2,0)),time*(1-(VLOOKUP(H89,list!$J$48:$K$50,2,0)))),0)</f>
        <v/>
      </c>
    </row>
    <row r="90" ht="13" customFormat="1" customHeight="1" s="2192">
      <c r="D90" s="2225">
        <f>'8. Fisheries and aquaculture'!X75</f>
        <v/>
      </c>
      <c r="E90" s="2225">
        <f>'8. Fisheries and aquaculture'!Z75</f>
        <v/>
      </c>
      <c r="F90" s="2225">
        <f>VLOOKUP('8. Fisheries and aquaculture'!AA75, list!$I$48:$J$50,2,FALSE )</f>
        <v/>
      </c>
      <c r="G90" s="2225">
        <f>'8. Fisheries and aquaculture'!AB75</f>
        <v/>
      </c>
      <c r="H90" s="2225">
        <f>VLOOKUP('8. Fisheries and aquaculture'!AC75, list!$I$48:$J$50,2,FALSE )</f>
        <v/>
      </c>
      <c r="K90" s="2218">
        <f>D90*$I78</f>
        <v/>
      </c>
      <c r="L90" s="2218">
        <f>E90*$I78</f>
        <v/>
      </c>
      <c r="M90" s="2218">
        <f>G90*$I78</f>
        <v/>
      </c>
      <c r="O90" s="2218">
        <f>MIN(K90,L90)*time_tot+ABS(L90-K90)*IF(L90&gt;K90,time_cap+time*(VLOOKUP(F90,list!$J$48:$K$50,2,0)),time*(1-(VLOOKUP(F90,list!$J$48:$K$50,2,0))))</f>
        <v/>
      </c>
      <c r="P90" s="2218">
        <f>MIN(K90,M90)*time_tot+ABS(M90-K90)*IF(M90&gt;K90,time_cap+time*(VLOOKUP(H90,list!$J$48:$K$50,2,0)),time*(1-(VLOOKUP(H90,list!$J$48:$K$50,2,0))))</f>
        <v/>
      </c>
      <c r="Q90" s="2223">
        <f>P90-O90</f>
        <v/>
      </c>
      <c r="U90" s="2225">
        <f>IFERROR(MIN(L90,K90)*time+ABS(L90-K90)*IF(L90&gt;K90,time*(VLOOKUP(F90,list!$J$48:$K$50,2,0)),time*(1-(VLOOKUP(F90,list!$J$48:$K$50,2,0)))),0)</f>
        <v/>
      </c>
      <c r="V90" s="2225">
        <f>MIN(M90,K90)*time+ABS(M90-K90)*IF(M90&gt;K90,time*(VLOOKUP(H90,list!$J$48:$K$50,2,0)),time*(1-(VLOOKUP(H90,list!$J$48:$K$50,2,0))))</f>
        <v/>
      </c>
    </row>
    <row r="91" ht="13" customFormat="1" customHeight="1" s="2192">
      <c r="D91" s="2225">
        <f>'8. Fisheries and aquaculture'!X76</f>
        <v/>
      </c>
      <c r="E91" s="2225">
        <f>'8. Fisheries and aquaculture'!Z76</f>
        <v/>
      </c>
      <c r="F91" s="2225">
        <f>VLOOKUP('8. Fisheries and aquaculture'!AA76, list!$I$48:$J$50,2,FALSE )</f>
        <v/>
      </c>
      <c r="G91" s="2225">
        <f>'8. Fisheries and aquaculture'!AB76</f>
        <v/>
      </c>
      <c r="H91" s="2225">
        <f>VLOOKUP('8. Fisheries and aquaculture'!AC76, list!$I$48:$J$50,2,FALSE )</f>
        <v/>
      </c>
      <c r="K91" s="2218">
        <f>D91*$I79</f>
        <v/>
      </c>
      <c r="L91" s="2218">
        <f>E91*$I79</f>
        <v/>
      </c>
      <c r="M91" s="2218">
        <f>G91*$I79</f>
        <v/>
      </c>
      <c r="O91" s="2218">
        <f>MIN(K91,L91)*time_tot+ABS(L91-K91)*IF(L91&gt;K91,time_cap+time*(VLOOKUP(F91,list!$J$48:$K$50,2,0)),time*(1-(VLOOKUP(F91,list!$J$48:$K$50,2,0))))</f>
        <v/>
      </c>
      <c r="P91" s="2218">
        <f>MIN(K91,M91)*time_tot+ABS(M91-K91)*IF(M91&gt;K91,time_cap+time*(VLOOKUP(H91,list!$J$48:$K$50,2,0)),time*(1-(VLOOKUP(H91,list!$J$48:$K$50,2,0))))</f>
        <v/>
      </c>
      <c r="Q91" s="2223">
        <f>P91-O91</f>
        <v/>
      </c>
      <c r="U91" s="2225">
        <f>IFERROR(MIN(L91,K91)*time+ABS(L91-K91)*IF(L91&gt;K91,time*(VLOOKUP(F91,list!$J$48:$K$50,2,0)),time*(1-(VLOOKUP(F91,list!$J$48:$K$50,2,0)))),0)</f>
        <v/>
      </c>
      <c r="V91" s="2225">
        <f>MIN(M91,K91)*time+ABS(M91-K91)*IF(M91&gt;K91,time*(VLOOKUP(H91,list!$J$48:$K$50,2,0)),time*(1-(VLOOKUP(H91,list!$J$48:$K$50,2,0))))</f>
        <v/>
      </c>
    </row>
    <row r="92" ht="13" customFormat="1" customHeight="1" s="2192">
      <c r="D92" s="2225">
        <f>'8. Fisheries and aquaculture'!X77</f>
        <v/>
      </c>
      <c r="E92" s="2225">
        <f>'8. Fisheries and aquaculture'!Z77</f>
        <v/>
      </c>
      <c r="F92" s="2225">
        <f>VLOOKUP('8. Fisheries and aquaculture'!AA77, list!$I$48:$J$50,2,FALSE )</f>
        <v/>
      </c>
      <c r="G92" s="2225">
        <f>'8. Fisheries and aquaculture'!AB77</f>
        <v/>
      </c>
      <c r="H92" s="2225">
        <f>VLOOKUP('8. Fisheries and aquaculture'!AC77, list!$I$48:$J$50,2,FALSE )</f>
        <v/>
      </c>
      <c r="K92" s="2218">
        <f>D92*$I80</f>
        <v/>
      </c>
      <c r="L92" s="2218">
        <f>E92*$I80</f>
        <v/>
      </c>
      <c r="M92" s="2218">
        <f>G92*$I80</f>
        <v/>
      </c>
      <c r="O92" s="2218">
        <f>MIN(K92,L92)*time_tot+ABS(L92-K92)*IF(L92&gt;K92,time_cap+time*(VLOOKUP(F92,list!$J$48:$K$50,2,0)),time*(1-(VLOOKUP(F92,list!$J$48:$K$50,2,0))))</f>
        <v/>
      </c>
      <c r="P92" s="2218">
        <f>MIN(K92,M92)*time_tot+ABS(M92-K92)*IF(M92&gt;K92,time_cap+time*(VLOOKUP(H92,list!$J$48:$K$50,2,0)),time*(1-(VLOOKUP(H92,list!$J$48:$K$50,2,0))))</f>
        <v/>
      </c>
      <c r="Q92" s="2223">
        <f>P92-O92</f>
        <v/>
      </c>
      <c r="U92" s="2225">
        <f>IFERROR(MIN(L92,K92)*time+ABS(L92-K92)*IF(L92&gt;K92,time*(VLOOKUP(F92,list!$J$48:$K$50,2,0)),time*(1-(VLOOKUP(F92,list!$J$48:$K$50,2,0)))),0)</f>
        <v/>
      </c>
      <c r="V92" s="2225">
        <f>MIN(M92,K92)*time+ABS(M92-K92)*IF(M92&gt;K92,time*(VLOOKUP(H92,list!$J$48:$K$50,2,0)),time*(1-(VLOOKUP(H92,list!$J$48:$K$50,2,0))))</f>
        <v/>
      </c>
    </row>
    <row r="93" ht="13" customFormat="1" customHeight="1" s="2192">
      <c r="D93" s="2225">
        <f>'8. Fisheries and aquaculture'!X78</f>
        <v/>
      </c>
      <c r="E93" s="2225">
        <f>'8. Fisheries and aquaculture'!Z78</f>
        <v/>
      </c>
      <c r="F93" s="2225">
        <f>VLOOKUP('8. Fisheries and aquaculture'!AA78, list!$I$48:$J$50,2,FALSE )</f>
        <v/>
      </c>
      <c r="G93" s="2225">
        <f>'8. Fisheries and aquaculture'!AB78</f>
        <v/>
      </c>
      <c r="H93" s="2225">
        <f>VLOOKUP('8. Fisheries and aquaculture'!AC78, list!$I$48:$J$50,2,FALSE )</f>
        <v/>
      </c>
      <c r="K93" s="2218">
        <f>D93*$I81</f>
        <v/>
      </c>
      <c r="L93" s="2218">
        <f>E93*$I81</f>
        <v/>
      </c>
      <c r="M93" s="2218">
        <f>G93*$I81</f>
        <v/>
      </c>
      <c r="O93" s="2218">
        <f>MIN(K93,L93)*time_tot+ABS(L93-K93)*IF(L93&gt;K93,time_cap+time*(VLOOKUP(F93,list!$J$48:$K$50,2,0)),time*(1-(VLOOKUP(F93,list!$J$48:$K$50,2,0))))</f>
        <v/>
      </c>
      <c r="P93" s="2218">
        <f>MIN(K93,M93)*time_tot+ABS(M93-K93)*IF(M93&gt;K93,time_cap+time*(VLOOKUP(H93,list!$J$48:$K$50,2,0)),time*(1-(VLOOKUP(H93,list!$J$48:$K$50,2,0))))</f>
        <v/>
      </c>
      <c r="Q93" s="2223">
        <f>P93-O93</f>
        <v/>
      </c>
      <c r="U93" s="2225">
        <f>IFERROR(MIN(L93,K93)*time+ABS(L93-K93)*IF(L93&gt;K93,time*(VLOOKUP(F93,list!$J$48:$K$50,2,0)),time*(1-(VLOOKUP(F93,list!$J$48:$K$50,2,0)))),0)</f>
        <v/>
      </c>
      <c r="V93" s="2225">
        <f>MIN(M93,K93)*time+ABS(M93-K93)*IF(M93&gt;K93,time*(VLOOKUP(H93,list!$J$48:$K$50,2,0)),time*(1-(VLOOKUP(H93,list!$J$48:$K$50,2,0))))</f>
        <v/>
      </c>
    </row>
    <row r="94" ht="13" customFormat="1" customHeight="1" s="2192">
      <c r="D94" s="2225">
        <f>'8. Fisheries and aquaculture'!X79</f>
        <v/>
      </c>
      <c r="E94" s="2225">
        <f>'8. Fisheries and aquaculture'!Z79</f>
        <v/>
      </c>
      <c r="F94" s="2225">
        <f>VLOOKUP('8. Fisheries and aquaculture'!AA79, list!$I$48:$J$50,2,FALSE )</f>
        <v/>
      </c>
      <c r="G94" s="2225">
        <f>'8. Fisheries and aquaculture'!AB79</f>
        <v/>
      </c>
      <c r="H94" s="2225">
        <f>VLOOKUP('8. Fisheries and aquaculture'!AC79, list!$I$48:$J$50,2,FALSE )</f>
        <v/>
      </c>
      <c r="K94" s="2218">
        <f>D94*$I82</f>
        <v/>
      </c>
      <c r="L94" s="2218">
        <f>E94*$I82</f>
        <v/>
      </c>
      <c r="M94" s="2218">
        <f>G94*$I82</f>
        <v/>
      </c>
      <c r="O94" s="2218">
        <f>MIN(K94,L94)*time_tot+ABS(L94-K94)*IF(L94&gt;K94,time_cap+time*(VLOOKUP(F94,list!$J$48:$K$50,2,0)),time*(1-(VLOOKUP(F94,list!$J$48:$K$50,2,0))))</f>
        <v/>
      </c>
      <c r="P94" s="2218">
        <f>MIN(K94,M94)*time_tot+ABS(M94-K94)*IF(M94&gt;K94,time_cap+time*(VLOOKUP(H94,list!$J$48:$K$50,2,0)),time*(1-(VLOOKUP(H94,list!$J$48:$K$50,2,0))))</f>
        <v/>
      </c>
      <c r="Q94" s="2223">
        <f>P94-O94</f>
        <v/>
      </c>
      <c r="U94" s="2225">
        <f>IFERROR(MIN(L94,K94)*time+ABS(L94-K94)*IF(L94&gt;K94,time*(VLOOKUP(F94,list!$J$48:$K$50,2,0)),time*(1-(VLOOKUP(F94,list!$J$48:$K$50,2,0)))),0)</f>
        <v/>
      </c>
      <c r="V94" s="2225">
        <f>MIN(M94,K94)*time+ABS(M94-K94)*IF(M94&gt;K94,time*(VLOOKUP(H94,list!$J$48:$K$50,2,0)),time*(1-(VLOOKUP(H94,list!$J$48:$K$50,2,0))))</f>
        <v/>
      </c>
    </row>
    <row r="95" ht="18" customFormat="1" customHeight="1" s="1087">
      <c r="J95" s="1058" t="n"/>
      <c r="K95" s="1058" t="n"/>
      <c r="L95" s="1058" t="n"/>
      <c r="M95" s="1058" t="n"/>
      <c r="N95" s="1058" t="n"/>
      <c r="AI95" s="1231" t="n"/>
      <c r="AJ95" s="973" t="n"/>
      <c r="AK95" s="973" t="n"/>
      <c r="AX95" s="973" t="n"/>
      <c r="AY95" s="973" t="n"/>
      <c r="AZ95" s="973" t="n"/>
      <c r="BA95" s="973" t="n"/>
      <c r="BB95" s="973" t="n"/>
      <c r="BC95" s="973" t="n"/>
      <c r="BD95" s="973" t="n"/>
      <c r="BE95" s="973" t="n"/>
      <c r="BF95" s="973" t="n"/>
      <c r="BG95" s="973" t="n"/>
      <c r="BJ95" s="1262" t="n"/>
      <c r="BK95" s="3489" t="n"/>
      <c r="BL95" s="3489" t="n"/>
      <c r="BM95" s="973" t="n"/>
      <c r="BN95" s="973" t="n"/>
      <c r="BO95" s="1262" t="n"/>
      <c r="BP95" s="3489" t="n"/>
      <c r="BQ95" s="3489" t="n"/>
      <c r="BR95" s="3489" t="n"/>
      <c r="BS95" s="973" t="n"/>
    </row>
    <row r="96" ht="21" customFormat="1" customHeight="1" s="973">
      <c r="A96" s="2378" t="n"/>
      <c r="B96" s="2378" t="inlineStr">
        <is>
          <t>Feed emissions</t>
        </is>
      </c>
      <c r="C96" s="2378" t="n"/>
      <c r="D96" s="2378" t="n"/>
      <c r="E96" s="2378" t="n"/>
      <c r="F96" s="2378" t="n"/>
      <c r="G96" s="2378" t="n"/>
      <c r="H96" s="2378" t="n"/>
      <c r="I96" s="2378" t="n"/>
      <c r="J96" s="2378" t="n"/>
      <c r="K96" s="2378" t="n"/>
      <c r="L96" s="2378" t="n"/>
      <c r="M96" s="2378" t="n"/>
      <c r="N96" s="2378" t="n"/>
      <c r="O96" s="2378" t="n"/>
      <c r="P96" s="2378" t="n"/>
      <c r="Q96" s="2378" t="n"/>
      <c r="R96" s="2378" t="n"/>
      <c r="S96" s="2378" t="n"/>
      <c r="T96" s="2378" t="n"/>
      <c r="U96" s="2378" t="n"/>
      <c r="V96" s="2378" t="n"/>
      <c r="W96" s="2378" t="n"/>
      <c r="X96" s="2378" t="n"/>
      <c r="Y96" s="2378" t="n"/>
      <c r="Z96" s="2378" t="n"/>
      <c r="AA96" s="2378" t="n"/>
      <c r="AB96" s="2378" t="n"/>
      <c r="AC96" s="2378" t="n"/>
      <c r="AI96" s="1231" t="n"/>
    </row>
    <row r="97" ht="13" customFormat="1" customHeight="1" s="2192"/>
    <row r="98" ht="13" customFormat="1" customHeight="1" s="2192">
      <c r="D98" s="2193" t="inlineStr">
        <is>
          <t>Quantity of feed (tonne/year)</t>
        </is>
      </c>
      <c r="E98" s="2193" t="n"/>
      <c r="F98" s="2193" t="n"/>
      <c r="G98" s="2193" t="n"/>
      <c r="H98" s="2193" t="n"/>
      <c r="K98" s="2195" t="inlineStr">
        <is>
          <t>Annual emissions (tCO2eq/yr)</t>
        </is>
      </c>
      <c r="O98" s="2195" t="inlineStr">
        <is>
          <t>Total CO2 emissions (tCO2eq)</t>
        </is>
      </c>
      <c r="U98" s="2192" t="inlineStr">
        <is>
          <t>Implementation phase</t>
        </is>
      </c>
    </row>
    <row r="99" ht="13" customFormat="1" customHeight="1" s="2192">
      <c r="B99" s="2195" t="n"/>
      <c r="C99" s="2195" t="n"/>
      <c r="D99" s="2192">
        <f>D88</f>
        <v/>
      </c>
      <c r="E99" s="2192">
        <f>E88</f>
        <v/>
      </c>
      <c r="F99" s="2192">
        <f>F88</f>
        <v/>
      </c>
      <c r="G99" s="2192">
        <f>G88</f>
        <v/>
      </c>
      <c r="H99" s="2192">
        <f>H88</f>
        <v/>
      </c>
      <c r="K99" s="1661" t="inlineStr">
        <is>
          <t>Start</t>
        </is>
      </c>
      <c r="L99" s="2215" t="inlineStr">
        <is>
          <t>Without</t>
        </is>
      </c>
      <c r="M99" s="2216" t="inlineStr">
        <is>
          <t>With</t>
        </is>
      </c>
      <c r="O99" s="2215" t="inlineStr">
        <is>
          <t>Without</t>
        </is>
      </c>
      <c r="P99" s="2216" t="inlineStr">
        <is>
          <t>With</t>
        </is>
      </c>
      <c r="Q99" s="2217" t="inlineStr">
        <is>
          <t>Balance</t>
        </is>
      </c>
      <c r="U99" s="2215" t="inlineStr">
        <is>
          <t>Without</t>
        </is>
      </c>
      <c r="V99" s="2216" t="inlineStr">
        <is>
          <t>With</t>
        </is>
      </c>
    </row>
    <row r="100" ht="13" customFormat="1" customHeight="1" s="2192">
      <c r="D100" s="2224">
        <f>'8. Fisheries and aquaculture'!O74</f>
        <v/>
      </c>
      <c r="E100" s="2224">
        <f>'8. Fisheries and aquaculture'!P74</f>
        <v/>
      </c>
      <c r="F100" s="2225">
        <f>VLOOKUP('8. Fisheries and aquaculture'!Q74, list!$I$48:$J$50,2,FALSE )</f>
        <v/>
      </c>
      <c r="G100" s="2224">
        <f>'8. Fisheries and aquaculture'!R74</f>
        <v/>
      </c>
      <c r="H100" s="2225">
        <f>VLOOKUP('8. Fisheries and aquaculture'!S74, list!$I$48:$J$50,2,FALSE )</f>
        <v/>
      </c>
      <c r="K100" s="2218">
        <f>D100*$E77</f>
        <v/>
      </c>
      <c r="L100" s="2218">
        <f>E100*$E77</f>
        <v/>
      </c>
      <c r="M100" s="2218">
        <f>G100*$E77</f>
        <v/>
      </c>
      <c r="O100" s="2218">
        <f>MIN(K100,L100)*time_tot+ABS(L100-K100)*IF(L100&gt;K100,time_cap+time*(VLOOKUP(F100,list!$J$48:$K$50,2,0)),time*(1-(VLOOKUP(F100,list!$J$48:$K$50,2,0))))</f>
        <v/>
      </c>
      <c r="P100" s="2218">
        <f>MIN(K100,M100)*time_tot+ABS(M100-K100)*IF(M100&gt;K100,time_cap+time*(VLOOKUP(H100,list!$J$48:$K$50,2,0)),time*(1-(VLOOKUP(H100,list!$J$48:$K$50,2,0))))</f>
        <v/>
      </c>
      <c r="Q100" s="2223">
        <f>P100-O100</f>
        <v/>
      </c>
      <c r="U100" s="2225">
        <f>MIN(L100,K100)*time+ABS(L100-K100)*IF(L100&gt;K100,time*(VLOOKUP(F100,list!$J$48:$K$50,2,0)),time*(1-(VLOOKUP(F100,list!$J$48:$K$50,2,0))))</f>
        <v/>
      </c>
      <c r="V100" s="2225">
        <f>MIN(M100,K100)*time+ABS(M100-K100)*IF(M100&gt;K100,time*(VLOOKUP(H100,list!$J$48:$K$50,2,0)),time*(1-(VLOOKUP(H100,list!$J$48:$K$50,2,0))))</f>
        <v/>
      </c>
    </row>
    <row r="101" ht="13" customFormat="1" customHeight="1" s="2192">
      <c r="D101" s="2224">
        <f>'8. Fisheries and aquaculture'!O75</f>
        <v/>
      </c>
      <c r="E101" s="2224">
        <f>'8. Fisheries and aquaculture'!P75</f>
        <v/>
      </c>
      <c r="F101" s="2225">
        <f>VLOOKUP('8. Fisheries and aquaculture'!Q75, list!$I$48:$J$50,2,FALSE )</f>
        <v/>
      </c>
      <c r="G101" s="2224">
        <f>'8. Fisheries and aquaculture'!R75</f>
        <v/>
      </c>
      <c r="H101" s="2225">
        <f>VLOOKUP('8. Fisheries and aquaculture'!S75, list!$I$48:$J$50,2,FALSE )</f>
        <v/>
      </c>
      <c r="K101" s="2218">
        <f>D101*$E78</f>
        <v/>
      </c>
      <c r="L101" s="2218">
        <f>E101*$E78</f>
        <v/>
      </c>
      <c r="M101" s="2218">
        <f>G101*$E78</f>
        <v/>
      </c>
      <c r="O101" s="2218">
        <f>MIN(K101,L101)*time_tot+ABS(L101-K101)*IF(L101&gt;K101,time_cap+time*(VLOOKUP(F101,list!$J$48:$K$50,2,0)),time*(1-(VLOOKUP(F101,list!$J$48:$K$50,2,0))))</f>
        <v/>
      </c>
      <c r="P101" s="2218">
        <f>MIN(K101,M101)*time_tot+ABS(M101-K101)*IF(M101&gt;K101,time_cap+time*(VLOOKUP(H101,list!$J$48:$K$50,2,0)),time*(1-(VLOOKUP(H101,list!$J$48:$K$50,2,0))))</f>
        <v/>
      </c>
      <c r="Q101" s="2223">
        <f>P101-O101</f>
        <v/>
      </c>
      <c r="U101" s="2225">
        <f>MIN(L101,K101)*time+ABS(L101-K101)*IF(L101&gt;K101,time*(VLOOKUP(F101,list!$J$48:$K$50,2,0)),time*(1-(VLOOKUP(F101,list!$J$48:$K$50,2,0))))</f>
        <v/>
      </c>
      <c r="V101" s="2225">
        <f>MIN(M101,K101)*time+ABS(M101-K101)*IF(M101&gt;K101,time*(VLOOKUP(H101,list!$J$48:$K$50,2,0)),time*(1-(VLOOKUP(H101,list!$J$48:$K$50,2,0))))</f>
        <v/>
      </c>
    </row>
    <row r="102" ht="13" customFormat="1" customHeight="1" s="2192">
      <c r="D102" s="2224">
        <f>'8. Fisheries and aquaculture'!O76</f>
        <v/>
      </c>
      <c r="E102" s="2224">
        <f>'8. Fisheries and aquaculture'!P76</f>
        <v/>
      </c>
      <c r="F102" s="2225">
        <f>VLOOKUP('8. Fisheries and aquaculture'!Q76, list!$I$48:$J$50,2,FALSE )</f>
        <v/>
      </c>
      <c r="G102" s="2224">
        <f>'8. Fisheries and aquaculture'!R76</f>
        <v/>
      </c>
      <c r="H102" s="2225">
        <f>VLOOKUP('8. Fisheries and aquaculture'!S76, list!$I$48:$J$50,2,FALSE )</f>
        <v/>
      </c>
      <c r="K102" s="2218">
        <f>D102*$E79</f>
        <v/>
      </c>
      <c r="L102" s="2218">
        <f>E102*$E79</f>
        <v/>
      </c>
      <c r="M102" s="2218">
        <f>G102*$E79</f>
        <v/>
      </c>
      <c r="O102" s="2218">
        <f>MIN(K102,L102)*time_tot+ABS(L102-K102)*IF(L102&gt;K102,time_cap+time*(VLOOKUP(F102,list!$J$48:$K$50,2,0)),time*(1-(VLOOKUP(F102,list!$J$48:$K$50,2,0))))</f>
        <v/>
      </c>
      <c r="P102" s="2218">
        <f>MIN(K102,M102)*time_tot+ABS(M102-K102)*IF(M102&gt;K102,time_cap+time*(VLOOKUP(H102,list!$J$48:$K$50,2,0)),time*(1-(VLOOKUP(H102,list!$J$48:$K$50,2,0))))</f>
        <v/>
      </c>
      <c r="Q102" s="2223">
        <f>P102-O102</f>
        <v/>
      </c>
      <c r="U102" s="2225">
        <f>MIN(L102,K102)*time+ABS(L102-K102)*IF(L102&gt;K102,time*(VLOOKUP(F102,list!$J$48:$K$50,2,0)),time*(1-(VLOOKUP(F102,list!$J$48:$K$50,2,0))))</f>
        <v/>
      </c>
      <c r="V102" s="2225">
        <f>MIN(M102,K102)*time+ABS(M102-K102)*IF(M102&gt;K102,time*(VLOOKUP(H102,list!$J$48:$K$50,2,0)),time*(1-(VLOOKUP(H102,list!$J$48:$K$50,2,0))))</f>
        <v/>
      </c>
    </row>
    <row r="103" ht="13" customFormat="1" customHeight="1" s="2192">
      <c r="D103" s="2224">
        <f>'8. Fisheries and aquaculture'!O77</f>
        <v/>
      </c>
      <c r="E103" s="2224">
        <f>'8. Fisheries and aquaculture'!P77</f>
        <v/>
      </c>
      <c r="F103" s="2225">
        <f>VLOOKUP('8. Fisheries and aquaculture'!Q77, list!$I$48:$J$50,2,FALSE )</f>
        <v/>
      </c>
      <c r="G103" s="2224">
        <f>'8. Fisheries and aquaculture'!R77</f>
        <v/>
      </c>
      <c r="H103" s="2225">
        <f>VLOOKUP('8. Fisheries and aquaculture'!S77, list!$I$48:$J$50,2,FALSE )</f>
        <v/>
      </c>
      <c r="K103" s="2218">
        <f>D103*$E80</f>
        <v/>
      </c>
      <c r="L103" s="2218">
        <f>E103*$E80</f>
        <v/>
      </c>
      <c r="M103" s="2218">
        <f>G103*$E80</f>
        <v/>
      </c>
      <c r="O103" s="2218">
        <f>MIN(K103,L103)*time_tot+ABS(L103-K103)*IF(L103&gt;K103,time_cap+time*(VLOOKUP(F103,list!$J$48:$K$50,2,0)),time*(1-(VLOOKUP(F103,list!$J$48:$K$50,2,0))))</f>
        <v/>
      </c>
      <c r="P103" s="2218">
        <f>MIN(K103,M103)*time_tot+ABS(M103-K103)*IF(M103&gt;K103,time_cap+time*(VLOOKUP(H103,list!$J$48:$K$50,2,0)),time*(1-(VLOOKUP(H103,list!$J$48:$K$50,2,0))))</f>
        <v/>
      </c>
      <c r="Q103" s="2223">
        <f>P103-O103</f>
        <v/>
      </c>
      <c r="U103" s="2225">
        <f>MIN(L103,K103)*time+ABS(L103-K103)*IF(L103&gt;K103,time*(VLOOKUP(F103,list!$J$48:$K$50,2,0)),time*(1-(VLOOKUP(F103,list!$J$48:$K$50,2,0))))</f>
        <v/>
      </c>
      <c r="V103" s="2225">
        <f>MIN(M103,K103)*time+ABS(M103-K103)*IF(M103&gt;K103,time*(VLOOKUP(H103,list!$J$48:$K$50,2,0)),time*(1-(VLOOKUP(H103,list!$J$48:$K$50,2,0))))</f>
        <v/>
      </c>
    </row>
    <row r="104" ht="13" customFormat="1" customHeight="1" s="2192">
      <c r="D104" s="2224">
        <f>'8. Fisheries and aquaculture'!O78</f>
        <v/>
      </c>
      <c r="E104" s="2224">
        <f>'8. Fisheries and aquaculture'!P78</f>
        <v/>
      </c>
      <c r="F104" s="2225">
        <f>VLOOKUP('8. Fisheries and aquaculture'!Q78, list!$I$48:$J$50,2,FALSE )</f>
        <v/>
      </c>
      <c r="G104" s="2224">
        <f>'8. Fisheries and aquaculture'!R78</f>
        <v/>
      </c>
      <c r="H104" s="2225">
        <f>VLOOKUP('8. Fisheries and aquaculture'!S78, list!$I$48:$J$50,2,FALSE )</f>
        <v/>
      </c>
      <c r="K104" s="2218">
        <f>D104*$E81</f>
        <v/>
      </c>
      <c r="L104" s="2218">
        <f>E104*$E81</f>
        <v/>
      </c>
      <c r="M104" s="2218">
        <f>G104*$E81</f>
        <v/>
      </c>
      <c r="O104" s="2218">
        <f>MIN(K104,L104)*time_tot+ABS(L104-K104)*IF(L104&gt;K104,time_cap+time*(VLOOKUP(F104,list!$J$48:$K$50,2,0)),time*(1-(VLOOKUP(F104,list!$J$48:$K$50,2,0))))</f>
        <v/>
      </c>
      <c r="P104" s="2218">
        <f>MIN(K104,M104)*time_tot+ABS(M104-K104)*IF(M104&gt;K104,time_cap+time*(VLOOKUP(H104,list!$J$48:$K$50,2,0)),time*(1-(VLOOKUP(H104,list!$J$48:$K$50,2,0))))</f>
        <v/>
      </c>
      <c r="Q104" s="2223">
        <f>P104-O104</f>
        <v/>
      </c>
      <c r="U104" s="2225">
        <f>MIN(L104,K104)*time+ABS(L104-K104)*IF(L104&gt;K104,time*(VLOOKUP(F104,list!$J$48:$K$50,2,0)),time*(1-(VLOOKUP(F104,list!$J$48:$K$50,2,0))))</f>
        <v/>
      </c>
      <c r="V104" s="2225">
        <f>MIN(M104,K104)*time+ABS(M104-K104)*IF(M104&gt;K104,time*(VLOOKUP(H104,list!$J$48:$K$50,2,0)),time*(1-(VLOOKUP(H104,list!$J$48:$K$50,2,0))))</f>
        <v/>
      </c>
    </row>
    <row r="105" ht="13" customFormat="1" customHeight="1" s="2192">
      <c r="D105" s="2224">
        <f>'8. Fisheries and aquaculture'!O79</f>
        <v/>
      </c>
      <c r="E105" s="2224">
        <f>'8. Fisheries and aquaculture'!P79</f>
        <v/>
      </c>
      <c r="F105" s="2225">
        <f>VLOOKUP('8. Fisheries and aquaculture'!Q79, list!$I$48:$J$50,2,FALSE )</f>
        <v/>
      </c>
      <c r="G105" s="2224">
        <f>'8. Fisheries and aquaculture'!R79</f>
        <v/>
      </c>
      <c r="H105" s="2225">
        <f>VLOOKUP('8. Fisheries and aquaculture'!S79, list!$I$48:$J$50,2,FALSE )</f>
        <v/>
      </c>
      <c r="K105" s="2218">
        <f>D105*$E82</f>
        <v/>
      </c>
      <c r="L105" s="2218">
        <f>E105*$E82</f>
        <v/>
      </c>
      <c r="M105" s="2218">
        <f>G105*$E82</f>
        <v/>
      </c>
      <c r="O105" s="2218">
        <f>MIN(K105,L105)*time_tot+ABS(L105-K105)*IF(L105&gt;K105,time_cap+time*(VLOOKUP(F105,list!$J$48:$K$50,2,0)),time*(1-(VLOOKUP(F105,list!$J$48:$K$50,2,0))))</f>
        <v/>
      </c>
      <c r="P105" s="2218">
        <f>MIN(K105,M105)*time_tot+ABS(M105-K105)*IF(M105&gt;K105,time_cap+time*(VLOOKUP(H105,list!$J$48:$K$50,2,0)),time*(1-(VLOOKUP(H105,list!$J$48:$K$50,2,0))))</f>
        <v/>
      </c>
      <c r="Q105" s="2223">
        <f>P105-O105</f>
        <v/>
      </c>
      <c r="U105" s="2225">
        <f>MIN(L105,K105)*time+ABS(L105-K105)*IF(L105&gt;K105,time*(VLOOKUP(F105,list!$J$48:$K$50,2,0)),time*(1-(VLOOKUP(F105,list!$J$48:$K$50,2,0))))</f>
        <v/>
      </c>
      <c r="V105" s="2225">
        <f>MIN(M105,K105)*time+ABS(M105-K105)*IF(M105&gt;K105,time*(VLOOKUP(H105,list!$J$48:$K$50,2,0)),time*(1-(VLOOKUP(H105,list!$J$48:$K$50,2,0))))</f>
        <v/>
      </c>
    </row>
    <row r="106" ht="13" customFormat="1" customHeight="1" s="2192"/>
    <row r="107" ht="13" customFormat="1" customHeight="1" s="2192"/>
    <row r="108" ht="13" customFormat="1" customHeight="1" s="2192">
      <c r="L108" s="2238" t="n"/>
      <c r="M108" s="2238" t="n"/>
      <c r="N108" s="2239" t="inlineStr">
        <is>
          <t>Total (tCO2eq)</t>
        </is>
      </c>
      <c r="O108" s="2240">
        <f>SUM(O89:O94,Coastal!O115:O120,O100:O105)</f>
        <v/>
      </c>
      <c r="P108" s="2240">
        <f>SUM(P89:P94,Coastal!P115:P120,P100:P105)</f>
        <v/>
      </c>
      <c r="Q108" s="2240">
        <f>SUM(Q89:Q94,Coastal!Q115:Q120,Q100:Q105)</f>
        <v/>
      </c>
    </row>
  </sheetData>
  <pageMargins left="0.7" right="0.7" top="0.75" bottom="0.75" header="0.3" footer="0.3"/>
</worksheet>
</file>

<file path=xl/worksheets/sheet25.xml><?xml version="1.0" encoding="utf-8"?>
<worksheet xmlns="http://schemas.openxmlformats.org/spreadsheetml/2006/main">
  <sheetPr>
    <tabColor rgb="FF172735"/>
    <outlinePr summaryBelow="1" summaryRight="1"/>
    <pageSetUpPr/>
  </sheetPr>
  <dimension ref="A1:MI114"/>
  <sheetViews>
    <sheetView tabSelected="1" zoomScaleNormal="100" workbookViewId="0">
      <selection activeCell="R18" sqref="R18"/>
    </sheetView>
  </sheetViews>
  <sheetFormatPr baseColWidth="10" defaultColWidth="8.83203125" defaultRowHeight="15"/>
  <cols>
    <col width="3.33203125" customWidth="1" min="1" max="1"/>
    <col width="2.5" customWidth="1" min="2" max="2"/>
    <col width="31.5" customWidth="1" min="3" max="3"/>
    <col width="4.5" customWidth="1" min="4" max="4"/>
    <col width="22.5" customWidth="1" min="5" max="5"/>
    <col width="3.5" customWidth="1" min="6" max="6"/>
    <col width="2.5" customWidth="1" min="7" max="7"/>
    <col width="1.33203125" customWidth="1" min="9" max="9"/>
    <col width="1.33203125" customWidth="1" min="11" max="11"/>
    <col width="8.6640625" customWidth="1" min="12" max="12"/>
    <col width="1.33203125" customWidth="1" min="13" max="13"/>
    <col width="12" customWidth="1" min="14" max="14"/>
    <col width="9.6640625" customWidth="1" min="15" max="15"/>
    <col width="3" customWidth="1" min="17" max="17"/>
    <col width="9.33203125" customWidth="1" min="18" max="18"/>
    <col width="2.6640625" customWidth="1" min="19" max="19"/>
    <col width="9.33203125" customWidth="1" min="24" max="24"/>
    <col width="0.6640625" customWidth="1" min="25" max="25"/>
    <col width="9.83203125" bestFit="1" customWidth="1" min="26" max="26"/>
    <col width="2.6640625" customWidth="1" min="27" max="27"/>
    <col width="13" bestFit="1" customWidth="1" min="28" max="28"/>
    <col width="2.6640625" customWidth="1" min="29" max="29"/>
    <col width="10.6640625" customWidth="1" min="31" max="31"/>
    <col width="12.5" customWidth="1" min="33" max="33"/>
    <col width="15.33203125" customWidth="1" min="35" max="35"/>
    <col width="9.33203125" customWidth="1" style="284" min="102" max="347"/>
  </cols>
  <sheetData>
    <row r="1" ht="100.5" customFormat="1" customHeight="1" s="2076">
      <c r="CX1" s="4424" t="n"/>
      <c r="CY1" s="4424" t="n"/>
      <c r="CZ1" s="4424" t="n"/>
      <c r="DA1" s="4424" t="n"/>
      <c r="DB1" s="4424" t="n"/>
      <c r="DC1" s="4424" t="n"/>
      <c r="DD1" s="4424" t="n"/>
      <c r="DE1" s="4424" t="n"/>
      <c r="DF1" s="4424" t="n"/>
      <c r="DG1" s="4424" t="n"/>
      <c r="DH1" s="4424" t="n"/>
      <c r="DI1" s="4424" t="n"/>
      <c r="DJ1" s="4424" t="n"/>
      <c r="DK1" s="4424" t="n"/>
      <c r="DL1" s="4424" t="n"/>
      <c r="DM1" s="4424" t="n"/>
      <c r="DN1" s="4424" t="n"/>
      <c r="DO1" s="4424" t="n"/>
      <c r="DP1" s="4424" t="n"/>
      <c r="DQ1" s="4424" t="n"/>
      <c r="DR1" s="4424" t="n"/>
      <c r="DS1" s="4424" t="n"/>
      <c r="DT1" s="4424" t="n"/>
      <c r="DU1" s="4424" t="n"/>
      <c r="DV1" s="4424" t="n"/>
      <c r="DW1" s="4424" t="n"/>
      <c r="DX1" s="4424" t="n"/>
      <c r="DY1" s="4424" t="n"/>
      <c r="DZ1" s="4424" t="n"/>
      <c r="EA1" s="4424" t="n"/>
      <c r="EB1" s="4424" t="n"/>
      <c r="EC1" s="4424" t="n"/>
      <c r="ED1" s="4424" t="n"/>
      <c r="EE1" s="4424" t="n"/>
      <c r="EF1" s="4424" t="n"/>
      <c r="EG1" s="4424" t="n"/>
      <c r="EH1" s="4424" t="n"/>
      <c r="EI1" s="4424" t="n"/>
      <c r="EJ1" s="4424" t="n"/>
      <c r="EK1" s="4424" t="n"/>
      <c r="EL1" s="4424" t="n"/>
      <c r="EM1" s="4424" t="n"/>
      <c r="EN1" s="4424" t="n"/>
      <c r="EO1" s="4424" t="n"/>
      <c r="EP1" s="4424" t="n"/>
      <c r="EQ1" s="4424" t="n"/>
      <c r="ER1" s="4424" t="n"/>
      <c r="ES1" s="4424" t="n"/>
      <c r="ET1" s="4424" t="n"/>
      <c r="EU1" s="4424" t="n"/>
      <c r="EV1" s="4424" t="n"/>
      <c r="EW1" s="4424" t="n"/>
      <c r="EX1" s="4424" t="n"/>
      <c r="EY1" s="4424" t="n"/>
      <c r="EZ1" s="4424" t="n"/>
      <c r="FA1" s="4424" t="n"/>
      <c r="FB1" s="4424" t="n"/>
      <c r="FC1" s="4424" t="n"/>
      <c r="FD1" s="4424" t="n"/>
      <c r="FE1" s="4424" t="n"/>
      <c r="FF1" s="4424" t="n"/>
      <c r="FG1" s="4424" t="n"/>
      <c r="FH1" s="4424" t="n"/>
      <c r="FI1" s="4424" t="n"/>
      <c r="FJ1" s="4424" t="n"/>
      <c r="FK1" s="4424" t="n"/>
      <c r="FL1" s="4424" t="n"/>
      <c r="FM1" s="4424" t="n"/>
      <c r="FN1" s="4424" t="n"/>
      <c r="FO1" s="4424" t="n"/>
      <c r="FP1" s="4424" t="n"/>
      <c r="FQ1" s="4424" t="n"/>
      <c r="FR1" s="4424" t="n"/>
      <c r="FS1" s="4424" t="n"/>
      <c r="FT1" s="4424" t="n"/>
      <c r="FU1" s="4424" t="n"/>
      <c r="FV1" s="4424" t="n"/>
      <c r="FW1" s="4424" t="n"/>
      <c r="FX1" s="4424" t="n"/>
      <c r="FY1" s="4424" t="n"/>
      <c r="FZ1" s="4424" t="n"/>
      <c r="GA1" s="4424" t="n"/>
      <c r="GB1" s="4424" t="n"/>
      <c r="GC1" s="4424" t="n"/>
      <c r="GD1" s="4424" t="n"/>
      <c r="GE1" s="4424" t="n"/>
      <c r="GF1" s="4424" t="n"/>
      <c r="GG1" s="4424" t="n"/>
      <c r="GH1" s="4424" t="n"/>
      <c r="GI1" s="4424" t="n"/>
      <c r="GJ1" s="4424" t="n"/>
      <c r="GK1" s="4424" t="n"/>
      <c r="GL1" s="4424" t="n"/>
      <c r="GM1" s="4424" t="n"/>
      <c r="GN1" s="4424" t="n"/>
      <c r="GO1" s="4424" t="n"/>
      <c r="GP1" s="4424" t="n"/>
      <c r="GQ1" s="4424" t="n"/>
      <c r="GR1" s="4424" t="n"/>
      <c r="GS1" s="4424" t="n"/>
      <c r="GT1" s="4424" t="n"/>
      <c r="GU1" s="4424" t="n"/>
      <c r="GV1" s="4424" t="n"/>
      <c r="GW1" s="4424" t="n"/>
      <c r="GX1" s="4424" t="n"/>
      <c r="GY1" s="4424" t="n"/>
      <c r="GZ1" s="4424" t="n"/>
      <c r="HA1" s="4424" t="n"/>
      <c r="HB1" s="4424" t="n"/>
      <c r="HC1" s="4424" t="n"/>
      <c r="HD1" s="4424" t="n"/>
      <c r="HE1" s="4424" t="n"/>
      <c r="HF1" s="4424" t="n"/>
      <c r="HG1" s="4424" t="n"/>
      <c r="HH1" s="4424" t="n"/>
      <c r="HI1" s="4424" t="n"/>
      <c r="HJ1" s="4424" t="n"/>
      <c r="HK1" s="4424" t="n"/>
      <c r="HL1" s="4424" t="n"/>
      <c r="HM1" s="4424" t="n"/>
      <c r="HN1" s="4424" t="n"/>
      <c r="HO1" s="4424" t="n"/>
      <c r="HP1" s="4424" t="n"/>
      <c r="HQ1" s="4424" t="n"/>
      <c r="HR1" s="4424" t="n"/>
      <c r="HS1" s="4424" t="n"/>
      <c r="HT1" s="4424" t="n"/>
      <c r="HU1" s="4424" t="n"/>
      <c r="HV1" s="4424" t="n"/>
      <c r="HW1" s="4424" t="n"/>
      <c r="HX1" s="4424" t="n"/>
      <c r="HY1" s="4424" t="n"/>
      <c r="HZ1" s="4424" t="n"/>
      <c r="IA1" s="4424" t="n"/>
      <c r="IB1" s="4424" t="n"/>
      <c r="IC1" s="4424" t="n"/>
      <c r="ID1" s="4424" t="n"/>
      <c r="IE1" s="4424" t="n"/>
      <c r="IF1" s="4424" t="n"/>
      <c r="IG1" s="4424" t="n"/>
      <c r="IH1" s="4424" t="n"/>
      <c r="II1" s="4424" t="n"/>
      <c r="IJ1" s="4424" t="n"/>
      <c r="IK1" s="4424" t="n"/>
      <c r="IL1" s="4424" t="n"/>
      <c r="IM1" s="4424" t="n"/>
      <c r="IN1" s="4424" t="n"/>
      <c r="IO1" s="4424" t="n"/>
      <c r="IP1" s="4424" t="n"/>
      <c r="IQ1" s="4424" t="n"/>
      <c r="IR1" s="4424" t="n"/>
      <c r="IS1" s="4424" t="n"/>
      <c r="IT1" s="4424" t="n"/>
      <c r="IU1" s="4424" t="n"/>
      <c r="IV1" s="4424" t="n"/>
      <c r="IW1" s="4424" t="n"/>
      <c r="IX1" s="4424" t="n"/>
      <c r="IY1" s="4424" t="n"/>
      <c r="IZ1" s="4424" t="n"/>
      <c r="JA1" s="4424" t="n"/>
      <c r="JB1" s="4424" t="n"/>
      <c r="JC1" s="4424" t="n"/>
      <c r="JD1" s="4424" t="n"/>
      <c r="JE1" s="4424" t="n"/>
      <c r="JF1" s="4424" t="n"/>
      <c r="JG1" s="4424" t="n"/>
      <c r="JH1" s="4424" t="n"/>
      <c r="JI1" s="4424" t="n"/>
      <c r="JJ1" s="4424" t="n"/>
      <c r="JK1" s="4424" t="n"/>
      <c r="JL1" s="4424" t="n"/>
      <c r="JM1" s="4424" t="n"/>
      <c r="JN1" s="4424" t="n"/>
      <c r="JO1" s="4424" t="n"/>
      <c r="JP1" s="4424" t="n"/>
      <c r="JQ1" s="4424" t="n"/>
      <c r="JR1" s="4424" t="n"/>
      <c r="JS1" s="4424" t="n"/>
      <c r="JT1" s="4424" t="n"/>
      <c r="JU1" s="4424" t="n"/>
      <c r="JV1" s="4424" t="n"/>
      <c r="JW1" s="4424" t="n"/>
      <c r="JX1" s="4424" t="n"/>
      <c r="JY1" s="4424" t="n"/>
      <c r="JZ1" s="4424" t="n"/>
      <c r="KA1" s="4424" t="n"/>
      <c r="KB1" s="4424" t="n"/>
      <c r="KC1" s="4424" t="n"/>
      <c r="KD1" s="4424" t="n"/>
      <c r="KE1" s="4424" t="n"/>
      <c r="KF1" s="4424" t="n"/>
      <c r="KG1" s="4424" t="n"/>
      <c r="KH1" s="4424" t="n"/>
      <c r="KI1" s="4424" t="n"/>
      <c r="KJ1" s="4424" t="n"/>
      <c r="KK1" s="4424" t="n"/>
      <c r="KL1" s="4424" t="n"/>
      <c r="KM1" s="4424" t="n"/>
      <c r="KN1" s="4424" t="n"/>
      <c r="KO1" s="4424" t="n"/>
      <c r="KP1" s="4424" t="n"/>
      <c r="KQ1" s="4424" t="n"/>
      <c r="KR1" s="4424" t="n"/>
      <c r="KS1" s="4424" t="n"/>
      <c r="KT1" s="4424" t="n"/>
      <c r="KU1" s="4424" t="n"/>
      <c r="KV1" s="4424" t="n"/>
      <c r="KW1" s="4424" t="n"/>
      <c r="KX1" s="4424" t="n"/>
      <c r="KY1" s="4424" t="n"/>
      <c r="KZ1" s="4424" t="n"/>
      <c r="LA1" s="4424" t="n"/>
      <c r="LB1" s="4424" t="n"/>
      <c r="LC1" s="4424" t="n"/>
      <c r="LD1" s="4424" t="n"/>
      <c r="LE1" s="4424" t="n"/>
      <c r="LF1" s="4424" t="n"/>
      <c r="LG1" s="4424" t="n"/>
      <c r="LH1" s="4424" t="n"/>
      <c r="LI1" s="4424" t="n"/>
      <c r="LJ1" s="4424" t="n"/>
      <c r="LK1" s="4424" t="n"/>
      <c r="LL1" s="4424" t="n"/>
      <c r="LM1" s="4424" t="n"/>
      <c r="LN1" s="4424" t="n"/>
      <c r="LO1" s="4424" t="n"/>
      <c r="LP1" s="4424" t="n"/>
      <c r="LQ1" s="4424" t="n"/>
      <c r="LR1" s="4424" t="n"/>
      <c r="LS1" s="4424" t="n"/>
      <c r="LT1" s="4424" t="n"/>
      <c r="LU1" s="4424" t="n"/>
      <c r="LV1" s="4424" t="n"/>
      <c r="LW1" s="4424" t="n"/>
      <c r="LX1" s="4424" t="n"/>
      <c r="LY1" s="4424" t="n"/>
      <c r="LZ1" s="4424" t="n"/>
      <c r="MA1" s="4424" t="n"/>
      <c r="MB1" s="4424" t="n"/>
      <c r="MC1" s="4424" t="n"/>
      <c r="MD1" s="4424" t="n"/>
      <c r="ME1" s="4424" t="n"/>
      <c r="MF1" s="4424" t="n"/>
      <c r="MG1" s="4424" t="n"/>
      <c r="MH1" s="4424" t="n"/>
      <c r="MI1" s="4424" t="n"/>
    </row>
    <row r="2" ht="14" customFormat="1" customHeight="1" s="1771"/>
    <row r="3" ht="14" customFormat="1" customHeight="1" s="1771"/>
    <row r="4" ht="14" customFormat="1" customHeight="1" s="1771"/>
    <row r="5" ht="14" customFormat="1" customHeight="1" s="1771"/>
    <row r="6" ht="47.25" customHeight="1">
      <c r="A6" s="1771" t="n"/>
      <c r="B6" s="1767" t="n"/>
      <c r="C6" s="2172">
        <f>Languages!B563</f>
        <v/>
      </c>
      <c r="D6" s="2172" t="n"/>
      <c r="E6" s="2057" t="n"/>
      <c r="F6" s="1769" t="n"/>
      <c r="G6" s="1769" t="n"/>
      <c r="H6" s="1769" t="n"/>
      <c r="I6" s="1769" t="n"/>
      <c r="J6" s="1769" t="n"/>
      <c r="K6" s="1769" t="n"/>
      <c r="L6" s="1769" t="n"/>
      <c r="M6" s="1769" t="n"/>
      <c r="N6" s="1769" t="n"/>
      <c r="O6" s="1769" t="n"/>
      <c r="P6" s="1769" t="n"/>
      <c r="Q6" s="1769" t="n"/>
      <c r="R6" s="1769" t="n"/>
      <c r="S6" s="1769" t="n"/>
      <c r="T6" s="1769" t="n"/>
      <c r="U6" s="1769" t="n"/>
      <c r="V6" s="1769" t="n"/>
      <c r="W6" s="1769" t="n"/>
      <c r="X6" s="1769" t="n"/>
      <c r="Y6" s="1769" t="n"/>
      <c r="Z6" s="1769" t="n"/>
      <c r="AA6" s="1769" t="n"/>
      <c r="AB6" s="1769" t="n"/>
      <c r="AC6" s="1769" t="n"/>
      <c r="AD6" s="1769" t="n"/>
      <c r="AE6" s="1769" t="n"/>
      <c r="AF6" s="1767" t="n"/>
      <c r="AG6" s="1979">
        <f>'7.Coastal wetlands'!AG4</f>
        <v/>
      </c>
      <c r="AH6" s="1769" t="n"/>
      <c r="AI6" s="1769" t="n"/>
      <c r="AJ6" s="1769" t="n"/>
      <c r="AK6" s="1771" t="n"/>
      <c r="AL6" s="1771" t="n"/>
      <c r="AM6" s="1771" t="n"/>
      <c r="AN6" s="1771" t="n"/>
      <c r="AO6" s="1771" t="n"/>
      <c r="AP6" s="1771" t="n"/>
      <c r="AQ6" s="1771" t="n"/>
      <c r="AR6" s="1771" t="n"/>
      <c r="AS6" s="1771" t="n"/>
      <c r="AT6" s="1771" t="n"/>
      <c r="AU6" s="1771" t="n"/>
      <c r="AV6" s="1771" t="n"/>
      <c r="AW6" s="1771" t="n"/>
      <c r="AX6" s="1771" t="n"/>
      <c r="AY6" s="1771" t="n"/>
      <c r="AZ6" s="1771" t="n"/>
      <c r="BA6" s="1771" t="n"/>
      <c r="BB6" s="1771" t="n"/>
      <c r="BC6" s="1771" t="n"/>
      <c r="BD6" s="1771" t="n"/>
      <c r="BE6" s="1771" t="n"/>
      <c r="BF6" s="1771" t="n"/>
      <c r="BG6" s="1771" t="n"/>
      <c r="BH6" s="1771" t="n"/>
      <c r="BI6" s="1771" t="n"/>
      <c r="BJ6" s="1771" t="n"/>
      <c r="BK6" s="1771" t="n"/>
      <c r="BL6" s="1771" t="n"/>
      <c r="BM6" s="1771" t="n"/>
      <c r="BN6" s="1771" t="n"/>
      <c r="BO6" s="1771" t="n"/>
      <c r="BP6" s="1771" t="n"/>
      <c r="BQ6" s="4248" t="n"/>
      <c r="BR6" s="4249">
        <f>C6</f>
        <v/>
      </c>
      <c r="BS6" s="2172" t="n"/>
      <c r="BT6" s="2172" t="n"/>
      <c r="BU6" s="2172" t="n"/>
      <c r="BV6" s="2172" t="n"/>
      <c r="BW6" s="2172" t="n"/>
      <c r="BX6" s="2172" t="n"/>
      <c r="BY6" s="2172" t="n"/>
      <c r="BZ6" s="2172" t="n"/>
      <c r="CA6" s="2172" t="n"/>
      <c r="CB6" s="2172" t="n"/>
      <c r="CC6" s="2172" t="n"/>
      <c r="CD6" s="2172" t="n"/>
      <c r="CE6" s="2172" t="n"/>
      <c r="CF6" s="2172" t="n"/>
      <c r="CG6" s="2172" t="n"/>
      <c r="CH6" s="2172" t="n"/>
      <c r="CI6" s="2172" t="n"/>
      <c r="CJ6" s="2172" t="n"/>
      <c r="CK6" s="2172" t="n"/>
      <c r="CL6" s="1771" t="n"/>
      <c r="CM6" s="4404" t="inlineStr">
        <is>
          <t>Annual balance</t>
        </is>
      </c>
      <c r="CN6" s="4404" t="n"/>
      <c r="CO6" s="4404" t="n"/>
      <c r="CP6" s="1771" t="n"/>
      <c r="CQ6" s="1771" t="n"/>
      <c r="CR6" s="1771" t="n"/>
      <c r="CS6" s="1771" t="n"/>
      <c r="CT6" s="1771" t="n"/>
      <c r="CU6" s="1771" t="n"/>
      <c r="CV6" s="1771" t="n"/>
      <c r="CW6" s="1771" t="n"/>
      <c r="CX6" s="1771" t="n"/>
      <c r="CY6" s="1771" t="n"/>
    </row>
    <row r="7" ht="17" customHeight="1">
      <c r="A7" s="1771" t="n"/>
      <c r="B7" s="1771" t="n"/>
      <c r="C7" s="1771" t="n"/>
      <c r="D7" s="1771" t="n"/>
      <c r="E7" s="1771" t="n"/>
      <c r="F7" s="1771" t="n"/>
      <c r="G7" s="1771" t="n"/>
      <c r="H7" s="1771" t="n"/>
      <c r="I7" s="1771" t="n"/>
      <c r="J7" s="1771" t="n"/>
      <c r="K7" s="1771" t="n"/>
      <c r="L7" s="1771" t="n"/>
      <c r="M7" s="1771" t="n"/>
      <c r="N7" s="1771" t="n"/>
      <c r="O7" s="1771" t="n"/>
      <c r="P7" s="1771" t="n"/>
      <c r="Q7" s="1771" t="n"/>
      <c r="R7" s="1771" t="n"/>
      <c r="S7" s="1771" t="n"/>
      <c r="T7" s="1771" t="n"/>
      <c r="U7" s="1771" t="n"/>
      <c r="V7" s="1771" t="n"/>
      <c r="W7" s="1771" t="n"/>
      <c r="X7" s="1771" t="n"/>
      <c r="Y7" s="1771" t="n"/>
      <c r="Z7" s="1771" t="n"/>
      <c r="AA7" s="1771" t="n"/>
      <c r="AB7" s="1771" t="n"/>
      <c r="AC7" s="1771" t="n"/>
      <c r="AD7" s="1771" t="n"/>
      <c r="AE7" s="1771" t="n"/>
      <c r="AF7" s="1771" t="n"/>
      <c r="AG7" s="1771" t="n"/>
      <c r="AH7" s="1771" t="n"/>
      <c r="AI7" s="1771" t="n"/>
      <c r="AJ7" s="1771" t="n"/>
      <c r="AK7" s="1771" t="n"/>
      <c r="AL7" s="1771" t="n"/>
      <c r="AM7" s="1771" t="n"/>
      <c r="AN7" s="1771" t="n"/>
      <c r="AO7" s="1771" t="n"/>
      <c r="AP7" s="1771" t="n"/>
      <c r="AQ7" s="1771" t="n"/>
      <c r="AR7" s="1771" t="n"/>
      <c r="AS7" s="1771" t="n"/>
      <c r="AT7" s="1771" t="n"/>
      <c r="AU7" s="1771" t="n"/>
      <c r="AV7" s="1771" t="n"/>
      <c r="AW7" s="1771" t="n"/>
      <c r="AX7" s="1771" t="n"/>
      <c r="AY7" s="1771" t="n"/>
      <c r="AZ7" s="1771" t="n"/>
      <c r="BA7" s="1771" t="n"/>
      <c r="BB7" s="1771" t="n"/>
      <c r="BC7" s="1771" t="n"/>
      <c r="BD7" s="1771" t="n"/>
      <c r="BE7" s="1771" t="n"/>
      <c r="BF7" s="1771" t="n"/>
      <c r="BG7" s="1771" t="n"/>
      <c r="BH7" s="1771" t="n"/>
      <c r="BI7" s="1771" t="n"/>
      <c r="BJ7" s="1771" t="n"/>
      <c r="BK7" s="1771" t="n"/>
      <c r="BL7" s="1771" t="n"/>
      <c r="BM7" s="1771" t="n"/>
      <c r="BN7" s="1771" t="n"/>
      <c r="BO7" s="1771" t="n"/>
      <c r="BP7" s="1771" t="n"/>
      <c r="BQ7" s="1782" t="n"/>
      <c r="BR7" s="1782" t="n"/>
      <c r="BS7" s="1782" t="n"/>
      <c r="BT7" s="1782" t="n"/>
      <c r="BU7" s="1782" t="n"/>
      <c r="BV7" s="1782" t="n"/>
      <c r="BW7" s="1782" t="n"/>
      <c r="BX7" s="1782" t="n"/>
      <c r="BY7" s="1782" t="n"/>
      <c r="BZ7" s="1782" t="n"/>
      <c r="CA7" s="1782" t="n"/>
      <c r="CB7" s="1782" t="n"/>
      <c r="CC7" s="1782" t="n"/>
      <c r="CD7" s="1782" t="n"/>
      <c r="CE7" s="1782" t="n"/>
      <c r="CF7" s="1782" t="n"/>
      <c r="CG7" s="1782" t="n"/>
      <c r="CH7" s="1782" t="n"/>
      <c r="CI7" s="1782" t="n"/>
      <c r="CJ7" s="1782" t="n"/>
      <c r="CK7" s="1782" t="n"/>
      <c r="CL7" s="1771" t="n"/>
      <c r="CM7" s="1916" t="n"/>
      <c r="CN7" s="1916" t="n"/>
      <c r="CO7" s="1771" t="n"/>
      <c r="CP7" s="1771" t="n"/>
      <c r="CQ7" s="1771" t="n"/>
      <c r="CR7" s="1771" t="n"/>
      <c r="CS7" s="1771" t="n"/>
      <c r="CT7" s="1771" t="n"/>
      <c r="CU7" s="1771" t="n"/>
      <c r="CV7" s="1771" t="n"/>
      <c r="CW7" s="1771" t="n"/>
      <c r="CX7" s="1771" t="n"/>
      <c r="CY7" s="1771" t="n"/>
    </row>
    <row r="8">
      <c r="A8" s="1771" t="n"/>
      <c r="B8" s="1781" t="n"/>
      <c r="C8" s="1781">
        <f>Languages!B566</f>
        <v/>
      </c>
      <c r="D8" s="1781" t="n"/>
      <c r="E8" s="1781" t="n"/>
      <c r="F8" s="1781" t="n"/>
      <c r="G8" s="1781" t="n"/>
      <c r="H8" s="1781" t="n"/>
      <c r="I8" s="1781" t="n"/>
      <c r="J8" s="1781" t="n"/>
      <c r="K8" s="1781" t="n"/>
      <c r="L8" s="1781" t="n"/>
      <c r="M8" s="1781" t="n"/>
      <c r="N8" s="1781" t="n"/>
      <c r="O8" s="1781" t="n"/>
      <c r="P8" s="1781" t="n"/>
      <c r="Q8" s="1781" t="n"/>
      <c r="R8" s="1781" t="n"/>
      <c r="S8" s="1781" t="n"/>
      <c r="T8" s="1781" t="n"/>
      <c r="U8" s="1781" t="n"/>
      <c r="V8" s="1781" t="n"/>
      <c r="W8" s="1781" t="n"/>
      <c r="X8" s="1781" t="n"/>
      <c r="Y8" s="1781" t="n"/>
      <c r="Z8" s="1781" t="n"/>
      <c r="AA8" s="1781" t="n"/>
      <c r="AB8" s="1781" t="n"/>
      <c r="AC8" s="1781" t="n"/>
      <c r="AD8" s="1781" t="n"/>
      <c r="AE8" s="1781" t="n"/>
      <c r="AF8" s="1781" t="n"/>
      <c r="AG8" s="1781" t="n"/>
      <c r="AH8" s="1781" t="n"/>
      <c r="AI8" s="1781" t="n"/>
      <c r="AJ8" s="1781" t="n"/>
      <c r="AK8" s="1771" t="n"/>
      <c r="AL8" s="1771" t="n"/>
      <c r="AM8" s="1771" t="n"/>
      <c r="AN8" s="1771" t="n"/>
      <c r="AO8" s="1771" t="n"/>
      <c r="AP8" s="1771" t="n"/>
      <c r="AQ8" s="1771" t="n"/>
      <c r="AR8" s="1771" t="n"/>
      <c r="AS8" s="1771" t="n"/>
      <c r="AT8" s="1771" t="n"/>
      <c r="AU8" s="1771" t="n"/>
      <c r="AV8" s="1771" t="n"/>
      <c r="AW8" s="1771" t="n"/>
      <c r="AX8" s="1771" t="n"/>
      <c r="AY8" s="1771" t="n"/>
      <c r="AZ8" s="1771" t="n"/>
      <c r="BA8" s="1771" t="n"/>
      <c r="BB8" s="1771" t="n"/>
      <c r="BC8" s="1771" t="n"/>
      <c r="BD8" s="1771" t="n"/>
      <c r="BE8" s="1771" t="n"/>
      <c r="BF8" s="1771" t="n"/>
      <c r="BG8" s="1771" t="n"/>
      <c r="BH8" s="1771" t="n"/>
      <c r="BI8" s="1771" t="n"/>
      <c r="BJ8" s="1771" t="n"/>
      <c r="BK8" s="1771" t="n"/>
      <c r="BL8" s="1771" t="n"/>
      <c r="BM8" s="1771" t="n"/>
      <c r="BN8" s="1771" t="n"/>
      <c r="BO8" s="1771" t="n"/>
      <c r="BP8" s="1771" t="n"/>
      <c r="BQ8" s="1782" t="n"/>
      <c r="BR8" s="1782" t="n"/>
      <c r="BS8" s="1782" t="n"/>
      <c r="BT8" s="1782" t="n"/>
      <c r="BU8" s="1782">
        <f>Languages!B589</f>
        <v/>
      </c>
      <c r="BV8" s="4258" t="n"/>
      <c r="BW8" s="4258" t="n"/>
      <c r="BX8" s="4258" t="n"/>
      <c r="BY8" s="4258" t="n"/>
      <c r="BZ8" s="4258" t="n"/>
      <c r="CA8" s="1782" t="n"/>
      <c r="CB8" s="1782" t="n"/>
      <c r="CC8" s="1782" t="n"/>
      <c r="CD8" s="1782" t="n"/>
      <c r="CE8" s="2338">
        <f>Languages!B591</f>
        <v/>
      </c>
      <c r="CF8" s="1785" t="n"/>
      <c r="CG8" s="1785" t="n"/>
      <c r="CH8" s="1785" t="n"/>
      <c r="CI8" s="1785" t="n"/>
      <c r="CJ8" s="1785" t="n"/>
      <c r="CK8" s="1782" t="n"/>
      <c r="CL8" s="1771" t="n"/>
      <c r="CM8" s="1890" t="inlineStr">
        <is>
          <t xml:space="preserve">Start year of </t>
        </is>
      </c>
      <c r="CN8" s="1890" t="n"/>
      <c r="CO8" s="1997" t="n"/>
      <c r="CP8" s="1771" t="n"/>
      <c r="CQ8" s="1771" t="n"/>
      <c r="CR8" s="1771" t="n"/>
      <c r="CS8" s="1771" t="n"/>
      <c r="CT8" s="1771" t="n"/>
      <c r="CU8" s="1771" t="n"/>
      <c r="CV8" s="1771" t="n"/>
      <c r="CW8" s="1771" t="n"/>
      <c r="CX8" s="1771" t="n"/>
      <c r="CY8" s="1771" t="n"/>
    </row>
    <row r="9">
      <c r="A9" s="1771" t="n"/>
      <c r="B9" s="1781" t="n"/>
      <c r="C9" s="1826" t="n"/>
      <c r="D9" s="1781" t="n"/>
      <c r="E9" s="1781" t="n"/>
      <c r="F9" s="1781" t="n"/>
      <c r="G9" s="1781" t="n"/>
      <c r="H9" s="1781" t="n"/>
      <c r="I9" s="1781" t="n"/>
      <c r="J9" s="1781" t="n"/>
      <c r="K9" s="1781" t="n"/>
      <c r="L9" s="1781" t="n"/>
      <c r="M9" s="1781" t="n"/>
      <c r="N9" s="1781" t="n"/>
      <c r="O9" s="1781" t="n"/>
      <c r="P9" s="1781" t="n"/>
      <c r="Q9" s="1781" t="n"/>
      <c r="R9" s="1781" t="n"/>
      <c r="S9" s="1781" t="n"/>
      <c r="T9" s="1781" t="n"/>
      <c r="U9" s="1781" t="n"/>
      <c r="V9" s="1781" t="n"/>
      <c r="W9" s="1781" t="n"/>
      <c r="X9" s="1781" t="n"/>
      <c r="Y9" s="1781" t="n"/>
      <c r="Z9" s="1781" t="n"/>
      <c r="AA9" s="1781" t="n"/>
      <c r="AB9" s="1781" t="n"/>
      <c r="AC9" s="1781" t="n"/>
      <c r="AD9" s="1781" t="n"/>
      <c r="AE9" s="1781" t="n"/>
      <c r="AF9" s="1781" t="n"/>
      <c r="AG9" s="1781" t="n"/>
      <c r="AH9" s="1781" t="n"/>
      <c r="AI9" s="1781" t="n"/>
      <c r="AJ9" s="1781" t="n"/>
      <c r="AK9" s="1771" t="n"/>
      <c r="AL9" s="1771" t="n"/>
      <c r="AM9" s="1771" t="n"/>
      <c r="AN9" s="1771" t="n"/>
      <c r="AO9" s="1771" t="n"/>
      <c r="AP9" s="1771" t="n"/>
      <c r="AQ9" s="1771" t="n"/>
      <c r="AR9" s="1771" t="n"/>
      <c r="AS9" s="1771" t="n"/>
      <c r="AT9" s="1771" t="n"/>
      <c r="AU9" s="1771" t="n"/>
      <c r="AV9" s="1771" t="n"/>
      <c r="AW9" s="1771" t="n"/>
      <c r="AX9" s="1771" t="n"/>
      <c r="AY9" s="1771" t="n"/>
      <c r="AZ9" s="1771" t="n"/>
      <c r="BA9" s="1771" t="n"/>
      <c r="BB9" s="1771" t="n"/>
      <c r="BC9" s="1771" t="n"/>
      <c r="BD9" s="1771" t="n"/>
      <c r="BE9" s="1771" t="n"/>
      <c r="BF9" s="1771" t="n"/>
      <c r="BG9" s="1771" t="n"/>
      <c r="BH9" s="1771" t="n"/>
      <c r="BI9" s="1771" t="n"/>
      <c r="BJ9" s="1771" t="n"/>
      <c r="BK9" s="1771" t="n"/>
      <c r="BL9" s="1771" t="n"/>
      <c r="BM9" s="1771" t="n"/>
      <c r="BN9" s="1771" t="n"/>
      <c r="BO9" s="1771" t="n"/>
      <c r="BP9" s="1771" t="n"/>
      <c r="BQ9" s="1782" t="n"/>
      <c r="BR9" s="1782" t="n"/>
      <c r="BS9" s="1782" t="n"/>
      <c r="BT9" s="1782" t="n"/>
      <c r="BU9" s="1782" t="n"/>
      <c r="BV9" s="2609">
        <f>Languages!B604</f>
        <v/>
      </c>
      <c r="BW9" s="2609" t="n"/>
      <c r="BX9" s="2344">
        <f>AVERAGE(IPCC!B1739:B1741)</f>
        <v/>
      </c>
      <c r="BY9" s="1782" t="n"/>
      <c r="BZ9" s="2129" t="n"/>
      <c r="CA9" s="1782" t="n"/>
      <c r="CB9" s="1782" t="n"/>
      <c r="CC9" s="1782" t="n"/>
      <c r="CD9" s="1782" t="n"/>
      <c r="CE9" s="1782" t="n"/>
      <c r="CF9" s="1782" t="n"/>
      <c r="CG9" s="1782" t="n"/>
      <c r="CH9" s="1782">
        <f>Languages!B593</f>
        <v/>
      </c>
      <c r="CI9" s="1782" t="n"/>
      <c r="CJ9" s="1782" t="n"/>
      <c r="CK9" s="1782" t="n"/>
      <c r="CL9" s="1771" t="n"/>
      <c r="CM9" s="2015" t="inlineStr">
        <is>
          <t>implementation</t>
        </is>
      </c>
      <c r="CN9" s="2015" t="n"/>
      <c r="CO9" s="1997" t="n"/>
      <c r="CP9" s="1771" t="n"/>
      <c r="CQ9" s="1771" t="n"/>
      <c r="CR9" s="1771" t="n"/>
      <c r="CS9" s="1771" t="n"/>
      <c r="CT9" s="1771" t="n"/>
      <c r="CU9" s="1771" t="n"/>
      <c r="CV9" s="1771" t="n"/>
      <c r="CW9" s="1771" t="n"/>
      <c r="CX9" s="1771" t="n"/>
      <c r="CY9" s="1771" t="n"/>
    </row>
    <row r="10" ht="15" customHeight="1">
      <c r="A10" s="1771" t="n"/>
      <c r="B10" s="1781" t="n"/>
      <c r="C10" s="1826">
        <f>Languages!B567</f>
        <v/>
      </c>
      <c r="D10" s="1781" t="n"/>
      <c r="E10" s="1781" t="n"/>
      <c r="F10" s="1781" t="n"/>
      <c r="G10" s="1781" t="n"/>
      <c r="H10" s="1781" t="n"/>
      <c r="I10" s="1781" t="n"/>
      <c r="J10" s="1781" t="n"/>
      <c r="K10" s="1781" t="n"/>
      <c r="L10" s="1781" t="n"/>
      <c r="M10" s="1781" t="n"/>
      <c r="N10" s="1781" t="n"/>
      <c r="O10" s="1781" t="n"/>
      <c r="P10" s="1781" t="n"/>
      <c r="Q10" s="1781" t="n"/>
      <c r="R10" s="1781" t="n"/>
      <c r="S10" s="1781" t="n"/>
      <c r="T10" s="1781" t="n"/>
      <c r="U10" s="1781" t="n"/>
      <c r="V10" s="1781" t="n"/>
      <c r="W10" s="1781" t="n"/>
      <c r="X10" s="1781" t="n"/>
      <c r="Y10" s="1781" t="n"/>
      <c r="Z10" s="1781" t="n"/>
      <c r="AA10" s="1781" t="n"/>
      <c r="AB10" s="1781" t="n"/>
      <c r="AC10" s="1781" t="n"/>
      <c r="AD10" s="1781" t="n"/>
      <c r="AE10" s="1781" t="n"/>
      <c r="AF10" s="1781" t="n"/>
      <c r="AG10" s="1781" t="n"/>
      <c r="AH10" s="1781" t="n"/>
      <c r="AI10" s="1781" t="n"/>
      <c r="AJ10" s="1781" t="n"/>
      <c r="AK10" s="1771" t="n"/>
      <c r="AL10" s="1771" t="n"/>
      <c r="AM10" s="1771" t="n"/>
      <c r="AN10" s="1771" t="n"/>
      <c r="AO10" s="1771" t="n"/>
      <c r="AP10" s="1771" t="n"/>
      <c r="AQ10" s="1771" t="n"/>
      <c r="AR10" s="1771" t="n"/>
      <c r="AS10" s="1771" t="n"/>
      <c r="AT10" s="1771" t="n"/>
      <c r="AU10" s="1771" t="n"/>
      <c r="AV10" s="1771" t="n"/>
      <c r="AW10" s="1771" t="n"/>
      <c r="AX10" s="1771" t="n"/>
      <c r="AY10" s="1771" t="n"/>
      <c r="AZ10" s="1771" t="n"/>
      <c r="BA10" s="1771" t="n"/>
      <c r="BB10" s="1771" t="n"/>
      <c r="BC10" s="1771" t="n"/>
      <c r="BD10" s="1771" t="n"/>
      <c r="BE10" s="1771" t="n"/>
      <c r="BF10" s="1771" t="n"/>
      <c r="BG10" s="1771" t="n"/>
      <c r="BH10" s="1771" t="n"/>
      <c r="BI10" s="1771" t="n"/>
      <c r="BJ10" s="1771" t="n"/>
      <c r="BK10" s="1771" t="n"/>
      <c r="BL10" s="1771" t="n"/>
      <c r="BM10" s="1771" t="n"/>
      <c r="BN10" s="1771" t="n"/>
      <c r="BO10" s="1771" t="n"/>
      <c r="BP10" s="1771" t="n"/>
      <c r="BQ10" s="1782" t="n"/>
      <c r="BR10" s="1782" t="n"/>
      <c r="BS10" s="1782" t="n"/>
      <c r="BT10" s="1782" t="n"/>
      <c r="BU10" s="1782" t="n"/>
      <c r="BV10" s="1782" t="n"/>
      <c r="BW10" s="1782" t="n"/>
      <c r="BX10" s="1782" t="n"/>
      <c r="BY10" s="1782" t="n"/>
      <c r="BZ10" s="1782" t="n"/>
      <c r="CA10" s="1782" t="n"/>
      <c r="CB10" s="1782" t="n"/>
      <c r="CC10" s="1782" t="n"/>
      <c r="CD10" s="1782" t="n"/>
      <c r="CE10" s="4578">
        <f>Languages!B592</f>
        <v/>
      </c>
      <c r="CH10" s="2155">
        <f>Languages!B16</f>
        <v/>
      </c>
      <c r="CI10" s="2155">
        <f>Languages!B17</f>
        <v/>
      </c>
      <c r="CJ10" s="1782" t="n"/>
      <c r="CK10" s="1782" t="n"/>
      <c r="CL10" s="1771" t="n"/>
      <c r="CM10" s="1997" t="n"/>
      <c r="CN10" s="1997" t="n"/>
      <c r="CO10" s="1997" t="n"/>
      <c r="CP10" s="1771" t="n"/>
      <c r="CQ10" s="1771" t="n"/>
      <c r="CR10" s="1771" t="n"/>
      <c r="CS10" s="1771" t="n"/>
      <c r="CT10" s="1771" t="n"/>
      <c r="CU10" s="1771" t="n"/>
      <c r="CV10" s="1771" t="n"/>
      <c r="CW10" s="1771" t="n"/>
      <c r="CX10" s="1771" t="n"/>
      <c r="CY10" s="1771" t="n"/>
    </row>
    <row r="11" ht="15" customHeight="1">
      <c r="A11" s="1771" t="n"/>
      <c r="B11" s="1781" t="n"/>
      <c r="C11" s="1781" t="n"/>
      <c r="D11" s="1781" t="n"/>
      <c r="E11" s="1781" t="n"/>
      <c r="F11" s="1781" t="n"/>
      <c r="G11" s="1781" t="n"/>
      <c r="H11" s="1826">
        <f>Languages!B570</f>
        <v/>
      </c>
      <c r="I11" s="1826" t="n"/>
      <c r="J11" s="1826" t="n"/>
      <c r="K11" s="1826" t="n"/>
      <c r="L11" s="1826" t="n"/>
      <c r="M11" s="1826" t="n"/>
      <c r="N11" s="1826" t="n"/>
      <c r="O11" s="1826" t="n"/>
      <c r="P11" s="1826">
        <f>Languages!B571</f>
        <v/>
      </c>
      <c r="Q11" s="1826" t="n"/>
      <c r="R11" s="1826" t="n"/>
      <c r="S11" s="1826" t="n"/>
      <c r="T11" s="1826" t="n"/>
      <c r="U11" s="1826" t="n"/>
      <c r="V11" s="1826" t="n"/>
      <c r="W11" s="1826" t="n"/>
      <c r="X11" s="1826">
        <f>Languages!B572</f>
        <v/>
      </c>
      <c r="Y11" s="1826" t="n"/>
      <c r="Z11" s="1826" t="n"/>
      <c r="AA11" s="1781" t="n"/>
      <c r="AB11" s="1781" t="n"/>
      <c r="AC11" s="1781" t="n"/>
      <c r="AD11" s="1781" t="n"/>
      <c r="AE11" s="1826">
        <f>Languages!B9</f>
        <v/>
      </c>
      <c r="AF11" s="1826" t="n"/>
      <c r="AG11" s="1826" t="n"/>
      <c r="AH11" s="1826" t="n"/>
      <c r="AI11" s="1780">
        <f>Languages!B10</f>
        <v/>
      </c>
      <c r="AJ11" s="1781" t="n"/>
      <c r="AK11" s="1771" t="n"/>
      <c r="AL11" s="1771" t="n"/>
      <c r="AM11" s="1771" t="n"/>
      <c r="AN11" s="1771" t="n"/>
      <c r="AO11" s="1771" t="n"/>
      <c r="AP11" s="1771" t="n"/>
      <c r="AQ11" s="1771" t="n"/>
      <c r="AR11" s="1771" t="n"/>
      <c r="AS11" s="1771" t="n"/>
      <c r="AT11" s="1771" t="n"/>
      <c r="AU11" s="1771" t="n"/>
      <c r="AV11" s="1771" t="n"/>
      <c r="AW11" s="1771" t="n"/>
      <c r="AX11" s="1771" t="n"/>
      <c r="AY11" s="1771" t="n"/>
      <c r="AZ11" s="1771" t="n"/>
      <c r="BA11" s="1771" t="n"/>
      <c r="BB11" s="1771" t="n"/>
      <c r="BC11" s="1771" t="n"/>
      <c r="BD11" s="1771" t="n"/>
      <c r="BE11" s="1771" t="n"/>
      <c r="BF11" s="1771" t="n"/>
      <c r="BG11" s="1771" t="n"/>
      <c r="BH11" s="1771" t="n"/>
      <c r="BI11" s="1771" t="n"/>
      <c r="BJ11" s="1771" t="n"/>
      <c r="BK11" s="1771" t="n"/>
      <c r="BL11" s="1771" t="n"/>
      <c r="BM11" s="1771" t="n"/>
      <c r="BN11" s="1771" t="n"/>
      <c r="BO11" s="1771" t="n"/>
      <c r="BP11" s="1771" t="n"/>
      <c r="BQ11" s="1782" t="n"/>
      <c r="BR11" s="1782" t="n"/>
      <c r="BS11" s="1782" t="n"/>
      <c r="BT11" s="1782" t="n"/>
      <c r="BU11" s="1782" t="n"/>
      <c r="BV11" s="2334">
        <f>Languages!B590</f>
        <v/>
      </c>
      <c r="BW11" s="2334" t="n"/>
      <c r="BX11" s="2334" t="n"/>
      <c r="BY11" s="2334" t="n"/>
      <c r="BZ11" s="2334" t="n"/>
      <c r="CA11" s="1782" t="n"/>
      <c r="CB11" s="1782" t="n"/>
      <c r="CC11" s="1782" t="n"/>
      <c r="CD11" s="1782" t="n"/>
      <c r="CH11" s="2155">
        <f>'Fish and aqua'!C27</f>
        <v/>
      </c>
      <c r="CI11" s="2129" t="n"/>
      <c r="CJ11" s="1782" t="n"/>
      <c r="CK11" s="1782" t="n"/>
      <c r="CL11" s="1771" t="n"/>
      <c r="CM11" s="1997" t="n"/>
      <c r="CN11" s="1997" t="n"/>
      <c r="CO11" s="1997" t="n"/>
      <c r="CP11" s="1771" t="n"/>
      <c r="CQ11" s="1771" t="n"/>
      <c r="CR11" s="1771" t="n"/>
      <c r="CS11" s="1771" t="n"/>
      <c r="CT11" s="1771" t="n"/>
      <c r="CU11" s="1771" t="n"/>
      <c r="CV11" s="1771" t="n"/>
      <c r="CW11" s="1771" t="n"/>
      <c r="CX11" s="1771" t="n"/>
      <c r="CY11" s="1771" t="n"/>
    </row>
    <row r="12" ht="30" customHeight="1">
      <c r="A12" s="1771" t="n"/>
      <c r="B12" s="1781" t="n"/>
      <c r="C12" s="4263">
        <f>Languages!B568</f>
        <v/>
      </c>
      <c r="D12" s="1781" t="n"/>
      <c r="E12" s="1781">
        <f>Languages!B569</f>
        <v/>
      </c>
      <c r="F12" s="1781" t="n"/>
      <c r="G12" s="1781" t="n"/>
      <c r="H12" s="1806">
        <f>Languages!B11</f>
        <v/>
      </c>
      <c r="I12" s="1806" t="n"/>
      <c r="J12" s="1806">
        <f>Languages!B12</f>
        <v/>
      </c>
      <c r="K12" s="1806" t="n"/>
      <c r="L12" s="1806">
        <f>Languages!B13</f>
        <v/>
      </c>
      <c r="M12" s="1781" t="n"/>
      <c r="N12" s="4487">
        <f>Languages!B581</f>
        <v/>
      </c>
      <c r="O12" s="1781" t="n"/>
      <c r="P12" s="1806">
        <f>Languages!B16</f>
        <v/>
      </c>
      <c r="Q12" s="1806" t="n"/>
      <c r="R12" s="1806">
        <f>H12</f>
        <v/>
      </c>
      <c r="S12" s="1781" t="n"/>
      <c r="T12" s="1806">
        <f>J12</f>
        <v/>
      </c>
      <c r="U12" s="1806">
        <f>L12</f>
        <v/>
      </c>
      <c r="V12" s="1781" t="n"/>
      <c r="W12" s="1781" t="n"/>
      <c r="X12" s="1806">
        <f>H12</f>
        <v/>
      </c>
      <c r="Y12" s="1806" t="n"/>
      <c r="Z12" s="1806">
        <f>J12</f>
        <v/>
      </c>
      <c r="AA12" s="1806" t="inlineStr">
        <is>
          <t>*</t>
        </is>
      </c>
      <c r="AB12" s="1806">
        <f>L12</f>
        <v/>
      </c>
      <c r="AC12" s="1806" t="inlineStr">
        <is>
          <t>*</t>
        </is>
      </c>
      <c r="AD12" s="1781" t="n"/>
      <c r="AE12" s="1806">
        <f>'7.Coastal wetlands'!AE45</f>
        <v/>
      </c>
      <c r="AF12" s="1806" t="n"/>
      <c r="AG12" s="1806">
        <f>'7.Coastal wetlands'!AG45</f>
        <v/>
      </c>
      <c r="AH12" s="1781" t="n"/>
      <c r="AI12" s="1781" t="n"/>
      <c r="AJ12" s="1781" t="n"/>
      <c r="AK12" s="1771" t="n"/>
      <c r="AL12" s="1771" t="n"/>
      <c r="AM12" s="1771" t="n"/>
      <c r="AN12" s="1771" t="n"/>
      <c r="AO12" s="1771" t="n"/>
      <c r="AP12" s="1771" t="n"/>
      <c r="AQ12" s="1771" t="n"/>
      <c r="AR12" s="1771" t="n"/>
      <c r="AS12" s="1771" t="n"/>
      <c r="AT12" s="1771" t="n"/>
      <c r="AU12" s="1771" t="n"/>
      <c r="AV12" s="1771" t="n"/>
      <c r="AW12" s="1771" t="n"/>
      <c r="AX12" s="1771" t="n"/>
      <c r="AY12" s="1771" t="n"/>
      <c r="AZ12" s="1771" t="n"/>
      <c r="BA12" s="1771" t="n"/>
      <c r="BB12" s="1771" t="n"/>
      <c r="BC12" s="1771" t="n"/>
      <c r="BD12" s="1771" t="n"/>
      <c r="BE12" s="1771" t="n"/>
      <c r="BF12" s="1771" t="n"/>
      <c r="BG12" s="1771" t="n"/>
      <c r="BH12" s="1771" t="n"/>
      <c r="BI12" s="1771" t="n"/>
      <c r="BJ12" s="1771" t="n"/>
      <c r="BK12" s="1771" t="n"/>
      <c r="BL12" s="1771" t="n"/>
      <c r="BM12" s="1771" t="n"/>
      <c r="BN12" s="1771" t="n"/>
      <c r="BO12" s="1771" t="n"/>
      <c r="BP12" s="1771" t="n"/>
      <c r="BQ12" s="1782" t="n"/>
      <c r="BR12" s="1783" t="n"/>
      <c r="BS12" s="1783" t="n"/>
      <c r="BT12" s="1782" t="n"/>
      <c r="BU12" s="1782" t="n"/>
      <c r="BV12" s="2155">
        <f>X12</f>
        <v/>
      </c>
      <c r="BW12" s="2155" t="n"/>
      <c r="BX12" s="2155">
        <f>T12</f>
        <v/>
      </c>
      <c r="BY12" s="2155" t="n"/>
      <c r="BZ12" s="2155">
        <f>U12</f>
        <v/>
      </c>
      <c r="CA12" s="1782" t="n"/>
      <c r="CB12" s="1782" t="n"/>
      <c r="CC12" s="1782" t="n"/>
      <c r="CD12" s="1782" t="n"/>
      <c r="CE12" s="1782" t="n"/>
      <c r="CF12" s="1782" t="n"/>
      <c r="CG12" s="1782" t="n"/>
      <c r="CH12" s="1782" t="n"/>
      <c r="CI12" s="1782" t="n"/>
      <c r="CJ12" s="1782" t="n"/>
      <c r="CK12" s="1782" t="n"/>
      <c r="CL12" s="1771" t="n"/>
      <c r="CM12" s="1997" t="n"/>
      <c r="CN12" s="1997" t="n"/>
      <c r="CO12" s="1997" t="n"/>
      <c r="CP12" s="1771" t="n"/>
      <c r="CQ12" s="1771" t="n"/>
      <c r="CR12" s="1771" t="n"/>
      <c r="CS12" s="1771" t="n"/>
      <c r="CT12" s="1771" t="n"/>
      <c r="CU12" s="1771" t="n"/>
      <c r="CV12" s="1771" t="n"/>
      <c r="CW12" s="1771" t="n"/>
      <c r="CX12" s="1771" t="n"/>
      <c r="CY12" s="1771" t="n"/>
    </row>
    <row r="13">
      <c r="A13" s="1771" t="n"/>
      <c r="B13" s="1781" t="n"/>
      <c r="C13" s="2129" t="inlineStr">
        <is>
          <t>Please select</t>
        </is>
      </c>
      <c r="D13" s="1781" t="n"/>
      <c r="E13" s="2129" t="inlineStr">
        <is>
          <t>Please select</t>
        </is>
      </c>
      <c r="F13" s="1781" t="n"/>
      <c r="G13" s="1781" t="n"/>
      <c r="H13" s="4261" t="n">
        <v>0</v>
      </c>
      <c r="I13" s="1781" t="n"/>
      <c r="J13" s="4261" t="n">
        <v>0</v>
      </c>
      <c r="K13" s="1781" t="n"/>
      <c r="L13" s="4261" t="n">
        <v>0</v>
      </c>
      <c r="M13" s="1781" t="n"/>
      <c r="N13" s="4374">
        <f>IF($CF$17= "",$CE$17,$CF$17)</f>
        <v/>
      </c>
      <c r="O13" s="1781" t="n"/>
      <c r="P13" s="2589">
        <f>'Fish and aqua'!K6</f>
        <v/>
      </c>
      <c r="Q13" s="1781" t="n"/>
      <c r="R13" s="4373" t="n"/>
      <c r="S13" s="1781" t="n"/>
      <c r="T13" s="4373" t="n"/>
      <c r="U13" s="4373" t="n"/>
      <c r="V13" s="4353">
        <f>IF('Fish and aqua'!L6 ="not specific", "The Fuel Use Intensity Available is not specific to this type of gear", "")</f>
        <v/>
      </c>
      <c r="W13" s="1781" t="n"/>
      <c r="X13" s="2107" t="n">
        <v>0</v>
      </c>
      <c r="Y13" s="1781" t="n"/>
      <c r="Z13" s="2107">
        <f>X13</f>
        <v/>
      </c>
      <c r="AA13" s="2108" t="inlineStr">
        <is>
          <t>D</t>
        </is>
      </c>
      <c r="AB13" s="2107" t="n">
        <v>0</v>
      </c>
      <c r="AC13" s="2108" t="inlineStr">
        <is>
          <t>D</t>
        </is>
      </c>
      <c r="AD13" s="1781" t="n"/>
      <c r="AE13" s="1841">
        <f>'Fish and aqua'!O16</f>
        <v/>
      </c>
      <c r="AF13" s="1781" t="n"/>
      <c r="AG13" s="1841">
        <f>'Fish and aqua'!P16</f>
        <v/>
      </c>
      <c r="AH13" s="1781" t="n"/>
      <c r="AI13" s="1806">
        <f>AG13-AE13</f>
        <v/>
      </c>
      <c r="AJ13" s="1781" t="n"/>
      <c r="AK13" s="1771" t="n"/>
      <c r="AL13" s="1771" t="n"/>
      <c r="AM13" s="1771" t="n"/>
      <c r="AN13" s="1771" t="n"/>
      <c r="AO13" s="1771" t="n"/>
      <c r="AP13" s="1771" t="n"/>
      <c r="AQ13" s="1771" t="n"/>
      <c r="AR13" s="1771" t="n"/>
      <c r="AS13" s="1771" t="n"/>
      <c r="AT13" s="1771" t="n"/>
      <c r="AU13" s="1771" t="n"/>
      <c r="AV13" s="1771" t="n"/>
      <c r="AW13" s="1771" t="n"/>
      <c r="AX13" s="1771" t="n"/>
      <c r="AY13" s="1771" t="n"/>
      <c r="AZ13" s="1771" t="n"/>
      <c r="BA13" s="1771" t="n"/>
      <c r="BB13" s="1771" t="n"/>
      <c r="BC13" s="1771" t="n"/>
      <c r="BD13" s="1771" t="n"/>
      <c r="BE13" s="1771" t="n"/>
      <c r="BF13" s="1771" t="n"/>
      <c r="BG13" s="1771" t="n"/>
      <c r="BH13" s="1771" t="n"/>
      <c r="BI13" s="1771" t="n"/>
      <c r="BJ13" s="1771" t="n"/>
      <c r="BK13" s="1771" t="n"/>
      <c r="BL13" s="1771" t="n"/>
      <c r="BM13" s="1771" t="n"/>
      <c r="BN13" s="1771" t="n"/>
      <c r="BO13" s="1771" t="n"/>
      <c r="BP13" s="1771" t="n"/>
      <c r="BQ13" s="1782" t="n"/>
      <c r="BR13" s="1782" t="n"/>
      <c r="BS13" s="1782" t="n"/>
      <c r="BT13" s="1782" t="n"/>
      <c r="BU13" s="1782" t="n"/>
      <c r="BV13" s="2344">
        <f>'Fish and aqua'!Q6</f>
        <v/>
      </c>
      <c r="BW13" s="2344" t="n"/>
      <c r="BX13" s="2344">
        <f>'Fish and aqua'!R6</f>
        <v/>
      </c>
      <c r="BY13" s="2344" t="n"/>
      <c r="BZ13" s="2344">
        <f>'Fish and aqua'!S6</f>
        <v/>
      </c>
      <c r="CA13" s="1782" t="n"/>
      <c r="CB13" s="1782" t="n"/>
      <c r="CC13" s="1782" t="n"/>
      <c r="CD13" s="1782" t="n"/>
      <c r="CE13" s="1782" t="n"/>
      <c r="CF13" s="1782" t="n"/>
      <c r="CG13" s="1782" t="n"/>
      <c r="CH13" s="1782" t="n"/>
      <c r="CI13" s="1782" t="n"/>
      <c r="CJ13" s="1782" t="n"/>
      <c r="CK13" s="1782" t="n"/>
      <c r="CL13" s="1771" t="n"/>
      <c r="CM13" s="4401" t="n">
        <v>1</v>
      </c>
      <c r="CN13" s="4402" t="n"/>
      <c r="CO13" s="1997" t="n"/>
      <c r="CP13" s="1771" t="n"/>
      <c r="CQ13" s="1771" t="n"/>
      <c r="CR13" s="1771" t="n"/>
      <c r="CS13" s="1771" t="n"/>
      <c r="CT13" s="1771" t="n"/>
      <c r="CU13" s="1771" t="n"/>
      <c r="CV13" s="1771" t="n"/>
      <c r="CW13" s="1771" t="n"/>
      <c r="CX13" s="1771" t="n"/>
      <c r="CY13" s="1771" t="n"/>
    </row>
    <row r="14">
      <c r="A14" s="1771" t="n"/>
      <c r="B14" s="1781" t="n"/>
      <c r="C14" s="2129" t="inlineStr">
        <is>
          <t>Please select</t>
        </is>
      </c>
      <c r="D14" s="1781" t="n"/>
      <c r="E14" s="2129" t="inlineStr">
        <is>
          <t>Please select</t>
        </is>
      </c>
      <c r="F14" s="1781" t="n"/>
      <c r="G14" s="1781" t="n"/>
      <c r="H14" s="4261" t="n">
        <v>0</v>
      </c>
      <c r="I14" s="1781" t="n"/>
      <c r="J14" s="4261" t="n">
        <v>0</v>
      </c>
      <c r="K14" s="1781" t="n"/>
      <c r="L14" s="4261" t="n">
        <v>0</v>
      </c>
      <c r="M14" s="1781" t="n"/>
      <c r="N14" s="4374">
        <f>IF($CF$17= "",$CE$17,$CF$17)</f>
        <v/>
      </c>
      <c r="O14" s="1781" t="n"/>
      <c r="P14" s="2589">
        <f>'Fish and aqua'!K7</f>
        <v/>
      </c>
      <c r="Q14" s="1781" t="n"/>
      <c r="R14" s="4373" t="n"/>
      <c r="S14" s="1781" t="n"/>
      <c r="T14" s="4373" t="n"/>
      <c r="U14" s="4373" t="n"/>
      <c r="V14" s="4353">
        <f>IF('Fish and aqua'!L7 ="not specific", "The Fuel Use Intensity Available is not specific to this type of gear", "")</f>
        <v/>
      </c>
      <c r="W14" s="1781" t="n"/>
      <c r="X14" s="2107" t="n">
        <v>0</v>
      </c>
      <c r="Y14" s="1781" t="n"/>
      <c r="Z14" s="2107">
        <f>X14</f>
        <v/>
      </c>
      <c r="AA14" s="2108" t="inlineStr">
        <is>
          <t>D</t>
        </is>
      </c>
      <c r="AB14" s="2107" t="n">
        <v>0</v>
      </c>
      <c r="AC14" s="2108" t="inlineStr">
        <is>
          <t>D</t>
        </is>
      </c>
      <c r="AD14" s="1781" t="n"/>
      <c r="AE14" s="1841">
        <f>'Fish and aqua'!O17</f>
        <v/>
      </c>
      <c r="AF14" s="1781" t="n"/>
      <c r="AG14" s="1841">
        <f>'Fish and aqua'!P17</f>
        <v/>
      </c>
      <c r="AH14" s="1781" t="n"/>
      <c r="AI14" s="1806">
        <f>AG14-AE14</f>
        <v/>
      </c>
      <c r="AJ14" s="1781" t="n"/>
      <c r="AK14" s="1771" t="n"/>
      <c r="AL14" s="1771" t="n"/>
      <c r="AM14" s="1771" t="n"/>
      <c r="AN14" s="1771" t="n"/>
      <c r="AO14" s="1771" t="n"/>
      <c r="AP14" s="1771" t="n"/>
      <c r="AQ14" s="1771" t="n"/>
      <c r="AR14" s="1771" t="n"/>
      <c r="AS14" s="1771" t="n"/>
      <c r="AT14" s="1771" t="n"/>
      <c r="AU14" s="1771" t="n"/>
      <c r="AV14" s="1771" t="n"/>
      <c r="AW14" s="1771" t="n"/>
      <c r="AX14" s="1771" t="n"/>
      <c r="AY14" s="1771" t="n"/>
      <c r="AZ14" s="1771" t="n"/>
      <c r="BA14" s="1771" t="n"/>
      <c r="BB14" s="1771" t="n"/>
      <c r="BC14" s="1771" t="n"/>
      <c r="BD14" s="1771" t="n"/>
      <c r="BE14" s="1771" t="n"/>
      <c r="BF14" s="1771" t="n"/>
      <c r="BG14" s="1771" t="n"/>
      <c r="BH14" s="1771" t="n"/>
      <c r="BI14" s="1771" t="n"/>
      <c r="BJ14" s="1771" t="n"/>
      <c r="BK14" s="1771" t="n"/>
      <c r="BL14" s="1771" t="n"/>
      <c r="BM14" s="1771" t="n"/>
      <c r="BN14" s="1771" t="n"/>
      <c r="BO14" s="1771" t="n"/>
      <c r="BP14" s="1771" t="n"/>
      <c r="BQ14" s="1782" t="n"/>
      <c r="BR14" s="1782" t="n"/>
      <c r="BS14" s="1782" t="n"/>
      <c r="BT14" s="1782" t="n"/>
      <c r="BU14" s="1782" t="n"/>
      <c r="BV14" s="2344">
        <f>'Fish and aqua'!Q7</f>
        <v/>
      </c>
      <c r="BW14" s="2344" t="n"/>
      <c r="BX14" s="2344">
        <f>'Fish and aqua'!R7</f>
        <v/>
      </c>
      <c r="BY14" s="2344" t="n"/>
      <c r="BZ14" s="2344">
        <f>'Fish and aqua'!S7</f>
        <v/>
      </c>
      <c r="CA14" s="1782" t="n"/>
      <c r="CB14" s="1782" t="n"/>
      <c r="CC14" s="1782" t="n"/>
      <c r="CD14" s="1782" t="n"/>
      <c r="CE14" s="1782" t="n"/>
      <c r="CF14" s="1782" t="n"/>
      <c r="CG14" s="1782" t="n"/>
      <c r="CH14" s="1782" t="n"/>
      <c r="CI14" s="1782" t="n"/>
      <c r="CJ14" s="1782" t="n"/>
      <c r="CK14" s="1782" t="n"/>
      <c r="CL14" s="1771" t="n"/>
      <c r="CM14" s="4401" t="n">
        <v>1</v>
      </c>
      <c r="CN14" s="4402" t="n"/>
      <c r="CO14" s="1997" t="n"/>
      <c r="CP14" s="1771" t="n"/>
      <c r="CQ14" s="1771" t="n"/>
      <c r="CR14" s="1771" t="n"/>
      <c r="CS14" s="1771" t="n"/>
      <c r="CT14" s="1771" t="n"/>
      <c r="CU14" s="1771" t="n"/>
      <c r="CV14" s="1771" t="n"/>
      <c r="CW14" s="1771" t="n"/>
      <c r="CX14" s="1771" t="n"/>
      <c r="CY14" s="1771" t="n"/>
    </row>
    <row r="15">
      <c r="A15" s="1771" t="n"/>
      <c r="B15" s="1781" t="n"/>
      <c r="C15" s="2129" t="inlineStr">
        <is>
          <t>Please select</t>
        </is>
      </c>
      <c r="D15" s="1781" t="n"/>
      <c r="E15" s="2129" t="inlineStr">
        <is>
          <t>Please select</t>
        </is>
      </c>
      <c r="F15" s="1781" t="n"/>
      <c r="G15" s="1781" t="n"/>
      <c r="H15" s="4261" t="n">
        <v>0</v>
      </c>
      <c r="I15" s="1781" t="n"/>
      <c r="J15" s="4261" t="n">
        <v>0</v>
      </c>
      <c r="K15" s="1781" t="n"/>
      <c r="L15" s="4261" t="n">
        <v>0</v>
      </c>
      <c r="M15" s="1781" t="n"/>
      <c r="N15" s="4374">
        <f>IF($CF$17= "",$CE$17,$CF$17)</f>
        <v/>
      </c>
      <c r="O15" s="1781" t="n"/>
      <c r="P15" s="2589">
        <f>'Fish and aqua'!K8</f>
        <v/>
      </c>
      <c r="Q15" s="1781" t="n"/>
      <c r="R15" s="4373" t="n"/>
      <c r="S15" s="1781" t="n"/>
      <c r="T15" s="4373" t="n"/>
      <c r="U15" s="4373" t="n"/>
      <c r="V15" s="4353">
        <f>IF('Fish and aqua'!L8 ="not specific", "The Fuel Use Intensity Available is not specific to this type of gear", "")</f>
        <v/>
      </c>
      <c r="W15" s="1781" t="n"/>
      <c r="X15" s="2107" t="n">
        <v>0</v>
      </c>
      <c r="Y15" s="1781" t="n"/>
      <c r="Z15" s="2107">
        <f>X15</f>
        <v/>
      </c>
      <c r="AA15" s="2108" t="inlineStr">
        <is>
          <t>D</t>
        </is>
      </c>
      <c r="AB15" s="2107" t="n">
        <v>0</v>
      </c>
      <c r="AC15" s="2108" t="inlineStr">
        <is>
          <t>D</t>
        </is>
      </c>
      <c r="AD15" s="1781" t="n"/>
      <c r="AE15" s="1841">
        <f>'Fish and aqua'!O18</f>
        <v/>
      </c>
      <c r="AF15" s="1781" t="n"/>
      <c r="AG15" s="1841">
        <f>'Fish and aqua'!P18</f>
        <v/>
      </c>
      <c r="AH15" s="1781" t="n"/>
      <c r="AI15" s="1806">
        <f>AG15-AE15</f>
        <v/>
      </c>
      <c r="AJ15" s="1781" t="n"/>
      <c r="AK15" s="1771" t="n"/>
      <c r="AL15" s="1771" t="n"/>
      <c r="AM15" s="1771" t="n"/>
      <c r="AN15" s="1771" t="n"/>
      <c r="AO15" s="1771" t="n"/>
      <c r="AP15" s="1771" t="n"/>
      <c r="AQ15" s="1771" t="n"/>
      <c r="AR15" s="1771" t="n"/>
      <c r="AS15" s="1771" t="n"/>
      <c r="AT15" s="1771" t="n"/>
      <c r="AU15" s="1771" t="n"/>
      <c r="AV15" s="1771" t="n"/>
      <c r="AW15" s="1771" t="n"/>
      <c r="AX15" s="1771" t="n"/>
      <c r="AY15" s="1771" t="n"/>
      <c r="AZ15" s="1771" t="n"/>
      <c r="BA15" s="1771" t="n"/>
      <c r="BB15" s="1771" t="n"/>
      <c r="BC15" s="1771" t="n"/>
      <c r="BD15" s="1771" t="n"/>
      <c r="BE15" s="1771" t="n"/>
      <c r="BF15" s="1771" t="n"/>
      <c r="BG15" s="1771" t="n"/>
      <c r="BH15" s="1771" t="n"/>
      <c r="BI15" s="1771" t="n"/>
      <c r="BJ15" s="1771" t="n"/>
      <c r="BK15" s="1771" t="n"/>
      <c r="BL15" s="1771" t="n"/>
      <c r="BM15" s="1771" t="n"/>
      <c r="BN15" s="1771" t="n"/>
      <c r="BO15" s="1771" t="n"/>
      <c r="BP15" s="1771" t="n"/>
      <c r="BQ15" s="1782" t="n"/>
      <c r="BR15" s="1782" t="n"/>
      <c r="BS15" s="1782" t="n"/>
      <c r="BT15" s="1782" t="n"/>
      <c r="BU15" s="1782" t="n"/>
      <c r="BV15" s="2344">
        <f>'Fish and aqua'!Q8</f>
        <v/>
      </c>
      <c r="BW15" s="2344" t="n"/>
      <c r="BX15" s="2344">
        <f>'Fish and aqua'!R8</f>
        <v/>
      </c>
      <c r="BY15" s="2344" t="n"/>
      <c r="BZ15" s="2344">
        <f>'Fish and aqua'!S8</f>
        <v/>
      </c>
      <c r="CA15" s="1782" t="n"/>
      <c r="CB15" s="1782" t="n"/>
      <c r="CC15" s="1782" t="n"/>
      <c r="CD15" s="1782" t="n"/>
      <c r="CE15" s="1782">
        <f>Languages!B594</f>
        <v/>
      </c>
      <c r="CF15" s="1782" t="n"/>
      <c r="CG15" s="1782" t="n"/>
      <c r="CH15" s="1782" t="n"/>
      <c r="CI15" s="2155">
        <f>Languages!B595</f>
        <v/>
      </c>
      <c r="CJ15" s="1782" t="n"/>
      <c r="CK15" s="1782" t="n"/>
      <c r="CL15" s="1771" t="n"/>
      <c r="CM15" s="4401" t="n">
        <v>1</v>
      </c>
      <c r="CN15" s="4402" t="n"/>
      <c r="CO15" s="1997" t="n"/>
      <c r="CP15" s="1771" t="n"/>
      <c r="CQ15" s="1771" t="n"/>
      <c r="CR15" s="1771" t="n"/>
      <c r="CS15" s="1771" t="n"/>
      <c r="CT15" s="1771" t="n"/>
      <c r="CU15" s="1771" t="n"/>
      <c r="CV15" s="1771" t="n"/>
      <c r="CW15" s="1771" t="n"/>
      <c r="CX15" s="1771" t="n"/>
      <c r="CY15" s="1771" t="n"/>
    </row>
    <row r="16">
      <c r="A16" s="1771" t="n"/>
      <c r="B16" s="1781" t="n"/>
      <c r="C16" s="2129" t="inlineStr">
        <is>
          <t>Please select</t>
        </is>
      </c>
      <c r="D16" s="1781" t="n"/>
      <c r="E16" s="2129" t="inlineStr">
        <is>
          <t>Please select</t>
        </is>
      </c>
      <c r="F16" s="1781" t="n"/>
      <c r="G16" s="1781" t="n"/>
      <c r="H16" s="4261" t="n">
        <v>0</v>
      </c>
      <c r="I16" s="1781" t="n"/>
      <c r="J16" s="4261" t="n">
        <v>0</v>
      </c>
      <c r="K16" s="1781" t="n"/>
      <c r="L16" s="4261" t="n">
        <v>0</v>
      </c>
      <c r="M16" s="1781" t="n"/>
      <c r="N16" s="4374">
        <f>IF($CF$17= "",$CE$17,$CF$17)</f>
        <v/>
      </c>
      <c r="O16" s="1781" t="n"/>
      <c r="P16" s="2589">
        <f>'Fish and aqua'!K9</f>
        <v/>
      </c>
      <c r="Q16" s="1781" t="n"/>
      <c r="R16" s="4373" t="n"/>
      <c r="S16" s="1781" t="n"/>
      <c r="T16" s="4373" t="n"/>
      <c r="U16" s="4373" t="n"/>
      <c r="V16" s="4353">
        <f>IF('Fish and aqua'!L9 ="not specific", "The Fuel Use Intensity Available is not specific to this type of gear", "")</f>
        <v/>
      </c>
      <c r="W16" s="1781" t="n"/>
      <c r="X16" s="2107" t="n">
        <v>0</v>
      </c>
      <c r="Y16" s="1781" t="n"/>
      <c r="Z16" s="2107" t="n">
        <v>0</v>
      </c>
      <c r="AA16" s="2108" t="inlineStr">
        <is>
          <t>D</t>
        </is>
      </c>
      <c r="AB16" s="2107" t="n"/>
      <c r="AC16" s="2108" t="inlineStr">
        <is>
          <t>D</t>
        </is>
      </c>
      <c r="AD16" s="1781" t="n"/>
      <c r="AE16" s="1841">
        <f>'Fish and aqua'!O19</f>
        <v/>
      </c>
      <c r="AF16" s="1781" t="n"/>
      <c r="AG16" s="1841">
        <f>'Fish and aqua'!P19</f>
        <v/>
      </c>
      <c r="AH16" s="1781" t="n"/>
      <c r="AI16" s="1806">
        <f>AG16-AE16</f>
        <v/>
      </c>
      <c r="AJ16" s="1781" t="n"/>
      <c r="AK16" s="1771" t="n"/>
      <c r="AL16" s="1771" t="n"/>
      <c r="AM16" s="1771" t="n"/>
      <c r="AN16" s="1771" t="n"/>
      <c r="AO16" s="1771" t="n"/>
      <c r="AP16" s="1771" t="n"/>
      <c r="AQ16" s="1771" t="n"/>
      <c r="AR16" s="1771" t="n"/>
      <c r="AS16" s="1771" t="n"/>
      <c r="AT16" s="1771" t="n"/>
      <c r="AU16" s="1771" t="n"/>
      <c r="AV16" s="1771" t="n"/>
      <c r="AW16" s="1771" t="n"/>
      <c r="AX16" s="1771" t="n"/>
      <c r="AY16" s="1771" t="n"/>
      <c r="AZ16" s="1771" t="n"/>
      <c r="BA16" s="1771" t="n"/>
      <c r="BB16" s="1771" t="n"/>
      <c r="BC16" s="1771" t="n"/>
      <c r="BD16" s="1771" t="n"/>
      <c r="BE16" s="1771" t="n"/>
      <c r="BF16" s="1771" t="n"/>
      <c r="BG16" s="1771" t="n"/>
      <c r="BH16" s="1771" t="n"/>
      <c r="BI16" s="1771" t="n"/>
      <c r="BJ16" s="1771" t="n"/>
      <c r="BK16" s="1771" t="n"/>
      <c r="BL16" s="1771" t="n"/>
      <c r="BM16" s="1771" t="n"/>
      <c r="BN16" s="1771" t="n"/>
      <c r="BO16" s="1771" t="n"/>
      <c r="BP16" s="1771" t="n"/>
      <c r="BQ16" s="1782" t="n"/>
      <c r="BR16" s="1782" t="n"/>
      <c r="BS16" s="1782" t="n"/>
      <c r="BT16" s="1782" t="n"/>
      <c r="BU16" s="1782" t="n"/>
      <c r="BV16" s="2344">
        <f>'Fish and aqua'!Q9</f>
        <v/>
      </c>
      <c r="BW16" s="2344" t="n"/>
      <c r="BX16" s="2344">
        <f>'Fish and aqua'!R9</f>
        <v/>
      </c>
      <c r="BY16" s="2344" t="n"/>
      <c r="BZ16" s="2344">
        <f>'Fish and aqua'!S9</f>
        <v/>
      </c>
      <c r="CA16" s="1782" t="n"/>
      <c r="CB16" s="1782" t="n"/>
      <c r="CC16" s="1782" t="n"/>
      <c r="CD16" s="1782" t="n"/>
      <c r="CE16" s="1782">
        <f>CH10</f>
        <v/>
      </c>
      <c r="CF16" s="1782">
        <f>CI10</f>
        <v/>
      </c>
      <c r="CG16" s="1782" t="n"/>
      <c r="CH16" s="1782" t="n"/>
      <c r="CI16" s="2155">
        <f>Languages!B596</f>
        <v/>
      </c>
      <c r="CJ16" s="1782" t="n"/>
      <c r="CK16" s="1782" t="n"/>
      <c r="CL16" s="1771" t="n"/>
      <c r="CM16" s="4401" t="n">
        <v>1</v>
      </c>
      <c r="CN16" s="4402" t="n"/>
      <c r="CO16" s="1997" t="n"/>
      <c r="CP16" s="1771" t="n"/>
      <c r="CQ16" s="1771" t="n"/>
      <c r="CR16" s="1771" t="n"/>
      <c r="CS16" s="1771" t="n"/>
      <c r="CT16" s="1771" t="n"/>
      <c r="CU16" s="1771" t="n"/>
      <c r="CV16" s="1771" t="n"/>
      <c r="CW16" s="1771" t="n"/>
      <c r="CX16" s="1771" t="n"/>
      <c r="CY16" s="1771" t="n"/>
    </row>
    <row r="17">
      <c r="A17" s="1771" t="n"/>
      <c r="B17" s="1781" t="n"/>
      <c r="C17" s="2129" t="inlineStr">
        <is>
          <t>Please select</t>
        </is>
      </c>
      <c r="D17" s="1781" t="n"/>
      <c r="E17" s="2129" t="inlineStr">
        <is>
          <t>Please select</t>
        </is>
      </c>
      <c r="F17" s="1781" t="n"/>
      <c r="G17" s="1781" t="n"/>
      <c r="H17" s="4261" t="n">
        <v>0</v>
      </c>
      <c r="I17" s="1781" t="n"/>
      <c r="J17" s="4261" t="n">
        <v>0</v>
      </c>
      <c r="K17" s="1781" t="n"/>
      <c r="L17" s="4261" t="n">
        <v>0</v>
      </c>
      <c r="M17" s="1781" t="n"/>
      <c r="N17" s="4374">
        <f>IF($CF$17= "",$CE$17,$CF$17)</f>
        <v/>
      </c>
      <c r="O17" s="1781" t="n"/>
      <c r="P17" s="2589">
        <f>'Fish and aqua'!K10</f>
        <v/>
      </c>
      <c r="Q17" s="1781" t="n"/>
      <c r="R17" s="4373" t="n"/>
      <c r="S17" s="1781" t="n"/>
      <c r="T17" s="4373" t="n"/>
      <c r="U17" s="4373" t="n"/>
      <c r="V17" s="4353">
        <f>IF('Fish and aqua'!L10 ="not specific", "The Fuel Use Intensity Available is not specific to this type of gear", "")</f>
        <v/>
      </c>
      <c r="W17" s="1781" t="n"/>
      <c r="X17" s="2107" t="n">
        <v>0</v>
      </c>
      <c r="Y17" s="1781" t="n"/>
      <c r="Z17" s="2107" t="n">
        <v>0</v>
      </c>
      <c r="AA17" s="2108" t="inlineStr">
        <is>
          <t>D</t>
        </is>
      </c>
      <c r="AB17" s="2107" t="n">
        <v>0</v>
      </c>
      <c r="AC17" s="2108" t="inlineStr">
        <is>
          <t>D</t>
        </is>
      </c>
      <c r="AD17" s="1781" t="n"/>
      <c r="AE17" s="1841">
        <f>'Fish and aqua'!O20</f>
        <v/>
      </c>
      <c r="AF17" s="1781" t="n"/>
      <c r="AG17" s="1841">
        <f>'Fish and aqua'!P20</f>
        <v/>
      </c>
      <c r="AH17" s="1781" t="n"/>
      <c r="AI17" s="1806">
        <f>AG17-AE17</f>
        <v/>
      </c>
      <c r="AJ17" s="1781" t="n"/>
      <c r="AK17" s="1771" t="n"/>
      <c r="AL17" s="1771" t="n"/>
      <c r="AM17" s="1771" t="n"/>
      <c r="AN17" s="1771" t="n"/>
      <c r="AO17" s="1771" t="n"/>
      <c r="AP17" s="1771" t="n"/>
      <c r="AQ17" s="1771" t="n"/>
      <c r="AR17" s="1771" t="n"/>
      <c r="AS17" s="1771" t="n"/>
      <c r="AT17" s="1771" t="n"/>
      <c r="AU17" s="1771" t="n"/>
      <c r="AV17" s="1771" t="n"/>
      <c r="AW17" s="1771" t="n"/>
      <c r="AX17" s="1771" t="n"/>
      <c r="AY17" s="1771" t="n"/>
      <c r="AZ17" s="1771" t="n"/>
      <c r="BA17" s="1771" t="n"/>
      <c r="BB17" s="1771" t="n"/>
      <c r="BC17" s="1771" t="n"/>
      <c r="BD17" s="1771" t="n"/>
      <c r="BE17" s="1771" t="n"/>
      <c r="BF17" s="1771" t="n"/>
      <c r="BG17" s="1771" t="n"/>
      <c r="BH17" s="1771" t="n"/>
      <c r="BI17" s="1771" t="n"/>
      <c r="BJ17" s="1771" t="n"/>
      <c r="BK17" s="1771" t="n"/>
      <c r="BL17" s="1771" t="n"/>
      <c r="BM17" s="1771" t="n"/>
      <c r="BN17" s="1771" t="n"/>
      <c r="BO17" s="1771" t="n"/>
      <c r="BP17" s="1771" t="n"/>
      <c r="BQ17" s="1782" t="n"/>
      <c r="BR17" s="1782" t="n"/>
      <c r="BS17" s="1782" t="n"/>
      <c r="BT17" s="1782" t="n"/>
      <c r="BU17" s="1782" t="n"/>
      <c r="BV17" s="2344">
        <f>'Fish and aqua'!Q10</f>
        <v/>
      </c>
      <c r="BW17" s="2344" t="n"/>
      <c r="BX17" s="2344">
        <f>'Fish and aqua'!R10</f>
        <v/>
      </c>
      <c r="BY17" s="2344" t="n"/>
      <c r="BZ17" s="2344">
        <f>'Fish and aqua'!S10</f>
        <v/>
      </c>
      <c r="CA17" s="1782" t="n"/>
      <c r="CB17" s="1782" t="n"/>
      <c r="CC17" s="1782" t="n"/>
      <c r="CD17" s="1782" t="n"/>
      <c r="CE17" s="2155">
        <f>'Fish and aqua'!F27</f>
        <v/>
      </c>
      <c r="CF17" s="2129" t="n"/>
      <c r="CG17" s="1782" t="n"/>
      <c r="CH17" s="1782" t="n"/>
      <c r="CI17" s="4669">
        <f>'Fish and aqua'!G27*'Fish and aqua'!D27/100</f>
        <v/>
      </c>
      <c r="CJ17" s="1782" t="n"/>
      <c r="CK17" s="1782" t="n"/>
      <c r="CL17" s="1771" t="n"/>
      <c r="CM17" s="4401" t="n">
        <v>1</v>
      </c>
      <c r="CN17" s="4402" t="n"/>
      <c r="CO17" s="1997" t="n"/>
      <c r="CP17" s="1771" t="n"/>
      <c r="CQ17" s="1771" t="n"/>
      <c r="CR17" s="1771" t="n"/>
      <c r="CS17" s="1771" t="n"/>
      <c r="CT17" s="1771" t="n"/>
      <c r="CU17" s="1771" t="n"/>
      <c r="CV17" s="1771" t="n"/>
      <c r="CW17" s="1771" t="n"/>
      <c r="CX17" s="1771" t="n"/>
      <c r="CY17" s="1771" t="n"/>
    </row>
    <row r="18">
      <c r="A18" s="1771" t="n"/>
      <c r="B18" s="1781" t="n"/>
      <c r="C18" s="2129" t="inlineStr">
        <is>
          <t>Marine</t>
        </is>
      </c>
      <c r="D18" s="1781" t="n"/>
      <c r="E18" s="2129" t="inlineStr">
        <is>
          <t>Pots And Traps</t>
        </is>
      </c>
      <c r="F18" s="1781" t="n"/>
      <c r="G18" s="1781" t="n"/>
      <c r="H18" s="4261" t="n">
        <v>0.763176249767554</v>
      </c>
      <c r="I18" s="1781" t="n"/>
      <c r="J18" s="4261" t="n">
        <v>0.341437978262961</v>
      </c>
      <c r="K18" s="1781" t="n"/>
      <c r="L18" s="4261" t="n">
        <v>0.245119079636459</v>
      </c>
      <c r="M18" s="1781" t="n"/>
      <c r="N18" s="4374">
        <f>IF($CF$17= "",$CE$17,$CF$17)</f>
        <v/>
      </c>
      <c r="O18" s="1781" t="n"/>
      <c r="P18" s="2589" t="n">
        <v>0</v>
      </c>
      <c r="Q18" s="1781" t="n"/>
      <c r="R18" s="4373" t="n">
        <v>69.8206606916808</v>
      </c>
      <c r="S18" s="1781" t="n"/>
      <c r="T18" s="4373" t="n">
        <v>23.8048975711546</v>
      </c>
      <c r="U18" s="4373" t="n">
        <v>15.3885762192704</v>
      </c>
      <c r="V18" s="4353">
        <f>IF('Fish and aqua'!L11 ="not specific", "The Fuel Use Intensity Available is not specific to this type of gear", "")</f>
        <v/>
      </c>
      <c r="W18" s="1781" t="n"/>
      <c r="X18" s="2107" t="n">
        <v>21.9934558513083</v>
      </c>
      <c r="Y18" s="1781" t="n"/>
      <c r="Z18" s="2107" t="n">
        <v>52.1249375014744</v>
      </c>
      <c r="AA18" s="2108" t="inlineStr">
        <is>
          <t>D</t>
        </is>
      </c>
      <c r="AB18" s="2107" t="n">
        <v>50.2581824855408</v>
      </c>
      <c r="AC18" s="2108" t="inlineStr">
        <is>
          <t>D</t>
        </is>
      </c>
      <c r="AD18" s="1781" t="n"/>
      <c r="AE18" s="1841">
        <f>'Fish and aqua'!O21</f>
        <v/>
      </c>
      <c r="AF18" s="1781" t="n"/>
      <c r="AG18" s="1841">
        <f>'Fish and aqua'!P21</f>
        <v/>
      </c>
      <c r="AH18" s="1781" t="n"/>
      <c r="AI18" s="1806">
        <f>AG18-AE18</f>
        <v/>
      </c>
      <c r="AJ18" s="1781" t="n"/>
      <c r="AK18" s="1771" t="n"/>
      <c r="AL18" s="1771" t="n"/>
      <c r="AM18" s="1771" t="n"/>
      <c r="AN18" s="1771" t="n"/>
      <c r="AO18" s="1771" t="n"/>
      <c r="AP18" s="1771" t="n"/>
      <c r="AQ18" s="1771" t="n"/>
      <c r="AR18" s="1771" t="n"/>
      <c r="AS18" s="1771" t="n"/>
      <c r="AT18" s="1771" t="n"/>
      <c r="AU18" s="1771" t="n"/>
      <c r="AV18" s="1771" t="n"/>
      <c r="AW18" s="1771" t="n"/>
      <c r="AX18" s="1771" t="n"/>
      <c r="AY18" s="1771" t="n"/>
      <c r="AZ18" s="1771" t="n"/>
      <c r="BA18" s="1771" t="n"/>
      <c r="BB18" s="1771" t="n"/>
      <c r="BC18" s="1771" t="n"/>
      <c r="BD18" s="1771" t="n"/>
      <c r="BE18" s="1771" t="n"/>
      <c r="BF18" s="1771" t="n"/>
      <c r="BG18" s="1771" t="n"/>
      <c r="BH18" s="1771" t="n"/>
      <c r="BI18" s="1771" t="n"/>
      <c r="BJ18" s="1771" t="n"/>
      <c r="BK18" s="1771" t="n"/>
      <c r="BL18" s="1771" t="n"/>
      <c r="BM18" s="1771" t="n"/>
      <c r="BN18" s="1771" t="n"/>
      <c r="BO18" s="1771" t="n"/>
      <c r="BP18" s="1771" t="n"/>
      <c r="BQ18" s="1782" t="n"/>
      <c r="BR18" s="1782" t="n"/>
      <c r="BS18" s="1782" t="n"/>
      <c r="BT18" s="1782" t="n"/>
      <c r="BU18" s="1782" t="n"/>
      <c r="BV18" s="2344">
        <f>'Fish and aqua'!Q11</f>
        <v/>
      </c>
      <c r="BW18" s="2344" t="n"/>
      <c r="BX18" s="2344">
        <f>'Fish and aqua'!R11</f>
        <v/>
      </c>
      <c r="BY18" s="2344" t="n"/>
      <c r="BZ18" s="2344">
        <f>'Fish and aqua'!S11</f>
        <v/>
      </c>
      <c r="CA18" s="1782" t="n"/>
      <c r="CB18" s="1782" t="n"/>
      <c r="CC18" s="1782" t="n"/>
      <c r="CD18" s="1782" t="n"/>
      <c r="CE18" s="1782" t="n"/>
      <c r="CF18" s="1782" t="n"/>
      <c r="CG18" s="1782" t="n"/>
      <c r="CH18" s="1782" t="n"/>
      <c r="CI18" s="1782" t="n"/>
      <c r="CJ18" s="1782" t="n"/>
      <c r="CK18" s="1782" t="n"/>
      <c r="CL18" s="1771" t="n"/>
      <c r="CM18" s="4401" t="n">
        <v>1</v>
      </c>
      <c r="CN18" s="4402" t="n"/>
      <c r="CO18" s="1997" t="n"/>
      <c r="CP18" s="1771" t="n"/>
      <c r="CQ18" s="1771" t="n"/>
      <c r="CR18" s="1771" t="n"/>
      <c r="CS18" s="1771" t="n"/>
      <c r="CT18" s="1771" t="n"/>
      <c r="CU18" s="1771" t="n"/>
      <c r="CV18" s="1771" t="n"/>
      <c r="CW18" s="1771" t="n"/>
      <c r="CX18" s="1771" t="n"/>
      <c r="CY18" s="1771" t="n"/>
    </row>
    <row r="19">
      <c r="A19" s="1771" t="n"/>
      <c r="B19" s="1781" t="n"/>
      <c r="C19" s="1781" t="n"/>
      <c r="D19" s="1781" t="n"/>
      <c r="E19" s="1781" t="n"/>
      <c r="F19" s="1781" t="n"/>
      <c r="G19" s="1781" t="n"/>
      <c r="H19" s="1781" t="n"/>
      <c r="I19" s="1781" t="n"/>
      <c r="J19" s="1781" t="n"/>
      <c r="K19" s="1781" t="n"/>
      <c r="L19" s="1781" t="n"/>
      <c r="M19" s="1781" t="n"/>
      <c r="N19" s="1781" t="n"/>
      <c r="O19" s="1781" t="n"/>
      <c r="P19" s="1781">
        <f>Languages!B573</f>
        <v/>
      </c>
      <c r="Q19" s="1781" t="n"/>
      <c r="R19" s="1781" t="n"/>
      <c r="S19" s="1781" t="n"/>
      <c r="T19" s="1781" t="n"/>
      <c r="U19" s="1781" t="n"/>
      <c r="V19" s="1781" t="n"/>
      <c r="W19" s="1781" t="n"/>
      <c r="X19" s="1781" t="n"/>
      <c r="Y19" s="1781" t="n"/>
      <c r="Z19" s="1781" t="n"/>
      <c r="AA19" s="1781" t="n"/>
      <c r="AB19" s="1781" t="n"/>
      <c r="AC19" s="1781" t="n"/>
      <c r="AD19" s="1781" t="n"/>
      <c r="AE19" s="1781" t="n"/>
      <c r="AF19" s="1781" t="n"/>
      <c r="AG19" s="1781" t="n"/>
      <c r="AH19" s="1781" t="n"/>
      <c r="AI19" s="1781" t="n"/>
      <c r="AJ19" s="1781" t="n"/>
      <c r="AK19" s="1771" t="n"/>
      <c r="AL19" s="1771" t="n"/>
      <c r="AM19" s="1771" t="n"/>
      <c r="AN19" s="1771" t="n"/>
      <c r="AO19" s="1771" t="n"/>
      <c r="AP19" s="1771" t="n"/>
      <c r="AQ19" s="1771" t="n"/>
      <c r="AR19" s="1771" t="n"/>
      <c r="AS19" s="1771" t="n"/>
      <c r="AT19" s="1771" t="n"/>
      <c r="AU19" s="1771" t="n"/>
      <c r="AV19" s="1771" t="n"/>
      <c r="AW19" s="1771" t="n"/>
      <c r="AX19" s="1771" t="n"/>
      <c r="AY19" s="1771" t="n"/>
      <c r="AZ19" s="1771" t="n"/>
      <c r="BA19" s="1771" t="n"/>
      <c r="BB19" s="1771" t="n"/>
      <c r="BC19" s="1771" t="n"/>
      <c r="BD19" s="1771" t="n"/>
      <c r="BE19" s="1771" t="n"/>
      <c r="BF19" s="1771" t="n"/>
      <c r="BG19" s="1771" t="n"/>
      <c r="BH19" s="1771" t="n"/>
      <c r="BI19" s="1771" t="n"/>
      <c r="BJ19" s="1771" t="n"/>
      <c r="BK19" s="1771" t="n"/>
      <c r="BL19" s="1771" t="n"/>
      <c r="BM19" s="1771" t="n"/>
      <c r="BN19" s="1771" t="n"/>
      <c r="BO19" s="1771" t="n"/>
      <c r="BP19" s="1771" t="n"/>
      <c r="BQ19" s="1782" t="n"/>
      <c r="BR19" s="1782" t="n"/>
      <c r="BS19" s="1782" t="n"/>
      <c r="BT19" s="1782" t="n"/>
      <c r="BU19" s="1782" t="n"/>
      <c r="BV19" s="1782" t="n"/>
      <c r="BW19" s="1782" t="n"/>
      <c r="BX19" s="1782" t="n"/>
      <c r="BY19" s="1782" t="n"/>
      <c r="BZ19" s="1782" t="n"/>
      <c r="CA19" s="1782" t="n"/>
      <c r="CB19" s="1782" t="n"/>
      <c r="CC19" s="1782" t="n"/>
      <c r="CD19" s="1782" t="n"/>
      <c r="CE19" s="1782" t="n"/>
      <c r="CF19" s="1782" t="n"/>
      <c r="CG19" s="1782" t="n"/>
      <c r="CH19" s="1782" t="n"/>
      <c r="CI19" s="1782" t="n"/>
      <c r="CJ19" s="1782" t="n"/>
      <c r="CK19" s="1782" t="n"/>
      <c r="CL19" s="1771" t="n"/>
      <c r="CM19" s="1997" t="n"/>
      <c r="CN19" s="1997" t="n"/>
      <c r="CO19" s="1997" t="n"/>
      <c r="CP19" s="1771" t="n"/>
      <c r="CQ19" s="1771" t="n"/>
      <c r="CR19" s="1771" t="n"/>
      <c r="CS19" s="1771" t="n"/>
      <c r="CT19" s="1771" t="n"/>
      <c r="CU19" s="1771" t="n"/>
      <c r="CV19" s="1771" t="n"/>
      <c r="CW19" s="1771" t="n"/>
      <c r="CX19" s="1771" t="n"/>
      <c r="CY19" s="1771" t="n"/>
    </row>
    <row r="20">
      <c r="A20" s="1771" t="n"/>
      <c r="B20" s="1781" t="n"/>
      <c r="C20" s="1781" t="n"/>
      <c r="D20" s="1781" t="n"/>
      <c r="E20" s="1781" t="n"/>
      <c r="F20" s="1781" t="n"/>
      <c r="G20" s="1781" t="n"/>
      <c r="H20" s="1781" t="n"/>
      <c r="I20" s="1781" t="n"/>
      <c r="J20" s="1781" t="n"/>
      <c r="K20" s="1781" t="n"/>
      <c r="L20" s="1781" t="n"/>
      <c r="M20" s="1781" t="n"/>
      <c r="N20" s="1781" t="n"/>
      <c r="O20" s="1781" t="n"/>
      <c r="P20" s="1781">
        <f>Languages!B574</f>
        <v/>
      </c>
      <c r="Q20" s="1781" t="n"/>
      <c r="R20" s="1781" t="n"/>
      <c r="S20" s="1781" t="n"/>
      <c r="T20" s="1781" t="n"/>
      <c r="U20" s="1781" t="n"/>
      <c r="V20" s="1781" t="n"/>
      <c r="W20" s="1781" t="n"/>
      <c r="X20" s="1781" t="n"/>
      <c r="Y20" s="1781" t="n"/>
      <c r="Z20" s="1781" t="n"/>
      <c r="AA20" s="1781" t="n"/>
      <c r="AB20" s="1781" t="n"/>
      <c r="AC20" s="1781" t="n"/>
      <c r="AD20" s="1781" t="n"/>
      <c r="AE20" s="1781" t="n"/>
      <c r="AF20" s="1781" t="n"/>
      <c r="AG20" s="1781" t="n"/>
      <c r="AH20" s="1781" t="n"/>
      <c r="AI20" s="1781" t="n"/>
      <c r="AJ20" s="1781" t="n"/>
      <c r="AK20" s="1771" t="n"/>
      <c r="AL20" s="1771" t="n"/>
      <c r="AM20" s="1771" t="n"/>
      <c r="AN20" s="1771" t="n"/>
      <c r="AO20" s="1771" t="n"/>
      <c r="AP20" s="1771" t="n"/>
      <c r="AQ20" s="1771" t="n"/>
      <c r="AR20" s="1771" t="n"/>
      <c r="AS20" s="1771" t="n"/>
      <c r="AT20" s="1771" t="n"/>
      <c r="AU20" s="1771" t="n"/>
      <c r="AV20" s="1771" t="n"/>
      <c r="AW20" s="1771" t="n"/>
      <c r="AX20" s="1771" t="n"/>
      <c r="AY20" s="1771" t="n"/>
      <c r="AZ20" s="1771" t="n"/>
      <c r="BA20" s="1771" t="n"/>
      <c r="BB20" s="1771" t="n"/>
      <c r="BC20" s="1771" t="n"/>
      <c r="BD20" s="1771" t="n"/>
      <c r="BE20" s="1771" t="n"/>
      <c r="BF20" s="1771" t="n"/>
      <c r="BG20" s="1771" t="n"/>
      <c r="BH20" s="1771" t="n"/>
      <c r="BI20" s="1771" t="n"/>
      <c r="BJ20" s="1771" t="n"/>
      <c r="BK20" s="1771" t="n"/>
      <c r="BL20" s="1771" t="n"/>
      <c r="BM20" s="1771" t="n"/>
      <c r="BN20" s="1771" t="n"/>
      <c r="BO20" s="1771" t="n"/>
      <c r="BP20" s="1771" t="n"/>
      <c r="BQ20" s="1782" t="n"/>
      <c r="BR20" s="1782" t="n"/>
      <c r="BS20" s="1782" t="n"/>
      <c r="BT20" s="2609">
        <f>Languages!B598</f>
        <v/>
      </c>
      <c r="BU20" s="1782" t="n"/>
      <c r="BV20" s="2589">
        <f>'Fish and aqua'!K23</f>
        <v/>
      </c>
      <c r="BW20" s="2589" t="n"/>
      <c r="BX20" s="2589">
        <f>'Fish and aqua'!L23</f>
        <v/>
      </c>
      <c r="BY20" s="1782" t="n"/>
      <c r="BZ20" s="2589">
        <f>'Fish and aqua'!M23</f>
        <v/>
      </c>
      <c r="CA20" s="1782" t="n"/>
      <c r="CB20" s="1782" t="n"/>
      <c r="CC20" s="1782" t="n"/>
      <c r="CD20" s="1782" t="n"/>
      <c r="CE20" s="1782" t="n"/>
      <c r="CF20" s="1782" t="n"/>
      <c r="CG20" s="1782" t="n"/>
      <c r="CH20" s="1782" t="n"/>
      <c r="CI20" s="1782" t="n"/>
      <c r="CJ20" s="1782" t="n"/>
      <c r="CK20" s="1782" t="n"/>
      <c r="CL20" s="1771" t="n"/>
      <c r="CM20" s="4548" t="inlineStr">
        <is>
          <t>Use this part only if you want to refine yearly GHG fluxes</t>
        </is>
      </c>
      <c r="CP20" s="1771" t="n"/>
      <c r="CQ20" s="1771" t="n"/>
      <c r="CR20" s="1771" t="n"/>
      <c r="CS20" s="1771" t="n"/>
      <c r="CT20" s="1771" t="n"/>
      <c r="CU20" s="1771" t="n"/>
      <c r="CV20" s="1771" t="n"/>
      <c r="CW20" s="1771" t="n"/>
      <c r="CX20" s="1771" t="n"/>
      <c r="CY20" s="1771" t="n"/>
    </row>
    <row r="21">
      <c r="A21" s="1771" t="n"/>
      <c r="B21" s="1781" t="n"/>
      <c r="C21" s="1826">
        <f>Languages!B575</f>
        <v/>
      </c>
      <c r="D21" s="1781" t="n"/>
      <c r="E21" s="1781" t="n"/>
      <c r="F21" s="1781" t="n"/>
      <c r="G21" s="1781" t="n"/>
      <c r="H21" s="1781" t="n"/>
      <c r="I21" s="1781" t="n"/>
      <c r="J21" s="1781" t="n"/>
      <c r="K21" s="1781" t="n"/>
      <c r="L21" s="1781" t="n"/>
      <c r="M21" s="1781" t="n"/>
      <c r="N21" s="1781" t="n"/>
      <c r="O21" s="1781" t="n"/>
      <c r="P21" s="1781" t="n"/>
      <c r="Q21" s="1781" t="n"/>
      <c r="R21" s="1781" t="n"/>
      <c r="S21" s="1781" t="n"/>
      <c r="T21" s="1781" t="n"/>
      <c r="U21" s="1781" t="n"/>
      <c r="V21" s="1781" t="n"/>
      <c r="W21" s="1781" t="n"/>
      <c r="X21" s="1806">
        <f>H12</f>
        <v/>
      </c>
      <c r="Y21" s="1806" t="n"/>
      <c r="Z21" s="1806">
        <f>J12</f>
        <v/>
      </c>
      <c r="AA21" s="1806" t="n"/>
      <c r="AB21" s="1806">
        <f>L12</f>
        <v/>
      </c>
      <c r="AC21" s="1781" t="n"/>
      <c r="AD21" s="1781" t="n"/>
      <c r="AE21" s="1806">
        <f>AE12</f>
        <v/>
      </c>
      <c r="AF21" s="1806" t="n"/>
      <c r="AG21" s="1806">
        <f>AG12</f>
        <v/>
      </c>
      <c r="AH21" s="1806" t="n"/>
      <c r="AI21" s="1806" t="n"/>
      <c r="AJ21" s="1781" t="n"/>
      <c r="AK21" s="1771" t="n"/>
      <c r="AL21" s="1771" t="n"/>
      <c r="AM21" s="1771" t="n"/>
      <c r="AN21" s="1771" t="n"/>
      <c r="AO21" s="1771" t="n"/>
      <c r="AP21" s="1771" t="n"/>
      <c r="AQ21" s="1771" t="n"/>
      <c r="AR21" s="1771" t="n"/>
      <c r="AS21" s="1771" t="n"/>
      <c r="AT21" s="1771" t="n"/>
      <c r="AU21" s="1771" t="n"/>
      <c r="AV21" s="1771" t="n"/>
      <c r="AW21" s="1771" t="n"/>
      <c r="AX21" s="1771" t="n"/>
      <c r="AY21" s="1771" t="n"/>
      <c r="AZ21" s="1771" t="n"/>
      <c r="BA21" s="1771" t="n"/>
      <c r="BB21" s="1771" t="n"/>
      <c r="BC21" s="1771" t="n"/>
      <c r="BD21" s="1771" t="n"/>
      <c r="BE21" s="1771" t="n"/>
      <c r="BF21" s="1771" t="n"/>
      <c r="BG21" s="1771" t="n"/>
      <c r="BH21" s="1771" t="n"/>
      <c r="BI21" s="1771" t="n"/>
      <c r="BJ21" s="1771" t="n"/>
      <c r="BK21" s="1771" t="n"/>
      <c r="BL21" s="1771" t="n"/>
      <c r="BM21" s="1771" t="n"/>
      <c r="BN21" s="1771" t="n"/>
      <c r="BO21" s="1771" t="n"/>
      <c r="BP21" s="1771" t="n"/>
      <c r="BQ21" s="1782" t="n"/>
      <c r="BR21" s="1782" t="n"/>
      <c r="BS21" s="1782" t="n"/>
      <c r="BT21" s="1782" t="n"/>
      <c r="BU21" s="1782" t="n"/>
      <c r="BV21" s="1782" t="n"/>
      <c r="BW21" s="1782" t="n"/>
      <c r="BX21" s="1782" t="n"/>
      <c r="BY21" s="1782" t="n"/>
      <c r="BZ21" s="1782" t="n"/>
      <c r="CA21" s="1782" t="n"/>
      <c r="CB21" s="1782" t="n"/>
      <c r="CC21" s="1782" t="n"/>
      <c r="CD21" s="1782" t="n"/>
      <c r="CE21" s="1782" t="n"/>
      <c r="CF21" s="1782" t="n"/>
      <c r="CG21" s="1782" t="n"/>
      <c r="CH21" s="1782" t="n"/>
      <c r="CI21" s="1782" t="n"/>
      <c r="CJ21" s="1782" t="n"/>
      <c r="CK21" s="1782" t="n"/>
      <c r="CL21" s="1771" t="n"/>
      <c r="CP21" s="1771" t="n"/>
      <c r="CQ21" s="1771" t="n"/>
      <c r="CR21" s="1771" t="n"/>
      <c r="CS21" s="1771" t="n"/>
      <c r="CT21" s="1771" t="n"/>
      <c r="CU21" s="1771" t="n"/>
      <c r="CV21" s="1771" t="n"/>
      <c r="CW21" s="1771" t="n"/>
      <c r="CX21" s="1771" t="n"/>
      <c r="CY21" s="1771" t="n"/>
    </row>
    <row r="22">
      <c r="A22" s="1771" t="n"/>
      <c r="B22" s="1781" t="n"/>
      <c r="C22" s="1781">
        <f>Languages!B576</f>
        <v/>
      </c>
      <c r="D22" s="1781" t="n"/>
      <c r="E22" s="1781" t="n"/>
      <c r="F22" s="1781" t="n"/>
      <c r="G22" s="1781" t="n"/>
      <c r="H22" s="1781" t="n"/>
      <c r="I22" s="1781" t="n"/>
      <c r="J22" s="1781" t="n"/>
      <c r="K22" s="1781" t="n"/>
      <c r="L22" s="1781" t="n"/>
      <c r="M22" s="1781" t="n"/>
      <c r="N22" s="1781" t="n"/>
      <c r="O22" s="1781" t="n"/>
      <c r="P22" s="1781" t="n"/>
      <c r="Q22" s="1781" t="n"/>
      <c r="R22" s="1781" t="n"/>
      <c r="S22" s="1781" t="n"/>
      <c r="T22" s="1781" t="n"/>
      <c r="U22" s="1781" t="n"/>
      <c r="V22" s="1781" t="n"/>
      <c r="W22" s="1781" t="n"/>
      <c r="X22" s="1806">
        <f>SUMPRODUCT(H13:H18,X13:X18)</f>
        <v/>
      </c>
      <c r="Y22" s="1781" t="n"/>
      <c r="Z22" s="1806">
        <f>SUMPRODUCT(J13:J18,Z13:Z18)</f>
        <v/>
      </c>
      <c r="AA22" s="1781" t="n"/>
      <c r="AB22" s="1806">
        <f>SUMPRODUCT(L13:L18,AB13:AB18)</f>
        <v/>
      </c>
      <c r="AC22" s="1781" t="n"/>
      <c r="AD22" s="1781" t="n"/>
      <c r="AE22" s="1841">
        <f>'Fish and aqua'!O27</f>
        <v/>
      </c>
      <c r="AF22" s="1806" t="n"/>
      <c r="AG22" s="1841">
        <f>'Fish and aqua'!P27</f>
        <v/>
      </c>
      <c r="AH22" s="1806" t="n"/>
      <c r="AI22" s="1806">
        <f>AG22-AE22</f>
        <v/>
      </c>
      <c r="AJ22" s="1781" t="n"/>
      <c r="AK22" s="1771" t="n"/>
      <c r="AL22" s="1771" t="n"/>
      <c r="AM22" s="1771" t="n"/>
      <c r="AN22" s="1771" t="n"/>
      <c r="AO22" s="1771" t="n"/>
      <c r="AP22" s="1771" t="n"/>
      <c r="AQ22" s="1771" t="n"/>
      <c r="AR22" s="1771" t="n"/>
      <c r="AS22" s="1771" t="n"/>
      <c r="AT22" s="1771" t="n"/>
      <c r="AU22" s="1771" t="n"/>
      <c r="AV22" s="1771" t="n"/>
      <c r="AW22" s="1771" t="n"/>
      <c r="AX22" s="1771" t="n"/>
      <c r="AY22" s="1771" t="n"/>
      <c r="AZ22" s="1771" t="n"/>
      <c r="BA22" s="1771" t="n"/>
      <c r="BB22" s="1771" t="n"/>
      <c r="BC22" s="1771" t="n"/>
      <c r="BD22" s="1771" t="n"/>
      <c r="BE22" s="1771" t="n"/>
      <c r="BF22" s="1771" t="n"/>
      <c r="BG22" s="1771" t="n"/>
      <c r="BH22" s="1771" t="n"/>
      <c r="BI22" s="1771" t="n"/>
      <c r="BJ22" s="1771" t="n"/>
      <c r="BK22" s="1771" t="n"/>
      <c r="BL22" s="1771" t="n"/>
      <c r="BM22" s="1771" t="n"/>
      <c r="BN22" s="1771" t="n"/>
      <c r="BO22" s="1771" t="n"/>
      <c r="BP22" s="1771" t="n"/>
      <c r="BQ22" s="1782" t="n"/>
      <c r="BR22" s="1783">
        <f>C24</f>
        <v/>
      </c>
      <c r="BS22" s="1782" t="n"/>
      <c r="BT22" s="1782" t="n"/>
      <c r="BU22" s="1782" t="n"/>
      <c r="BV22" s="1782" t="n"/>
      <c r="BW22" s="1782" t="n"/>
      <c r="BX22" s="1782" t="n"/>
      <c r="BY22" s="1782" t="n"/>
      <c r="BZ22" s="1782" t="n"/>
      <c r="CA22" s="1782" t="n"/>
      <c r="CB22" s="1782" t="n"/>
      <c r="CC22" s="1782" t="n"/>
      <c r="CD22" s="1782" t="n"/>
      <c r="CE22" s="1782" t="n"/>
      <c r="CF22" s="1782" t="n"/>
      <c r="CG22" s="1782" t="n"/>
      <c r="CH22" s="1782" t="n"/>
      <c r="CI22" s="1782" t="n"/>
      <c r="CJ22" s="1782" t="n"/>
      <c r="CK22" s="1782" t="n"/>
      <c r="CL22" s="1771" t="n"/>
      <c r="CP22" s="1771" t="n"/>
      <c r="CQ22" s="1771" t="n"/>
      <c r="CR22" s="1771" t="n"/>
      <c r="CS22" s="1771" t="n"/>
      <c r="CT22" s="1771" t="n"/>
      <c r="CU22" s="1771" t="n"/>
      <c r="CV22" s="1771" t="n"/>
      <c r="CW22" s="1771" t="n"/>
      <c r="CX22" s="1771" t="n"/>
      <c r="CY22" s="1771" t="n"/>
    </row>
    <row r="23">
      <c r="A23" s="1771" t="n"/>
      <c r="B23" s="1781" t="n"/>
      <c r="C23" s="1781" t="n"/>
      <c r="D23" s="1781" t="n"/>
      <c r="E23" s="1781" t="n"/>
      <c r="F23" s="1781" t="n"/>
      <c r="G23" s="1781" t="n"/>
      <c r="H23" s="1781" t="n"/>
      <c r="I23" s="1781" t="n"/>
      <c r="J23" s="1781" t="n"/>
      <c r="K23" s="1781" t="n"/>
      <c r="L23" s="1781" t="n"/>
      <c r="M23" s="1781" t="n"/>
      <c r="N23" s="1781" t="n"/>
      <c r="O23" s="1781" t="n"/>
      <c r="P23" s="1781" t="n"/>
      <c r="Q23" s="1781" t="n"/>
      <c r="R23" s="1781" t="n"/>
      <c r="S23" s="1781" t="n"/>
      <c r="T23" s="1781" t="n"/>
      <c r="U23" s="1781" t="n"/>
      <c r="V23" s="1781" t="n"/>
      <c r="W23" s="1781" t="n"/>
      <c r="X23" s="1781" t="n"/>
      <c r="Y23" s="1781" t="n"/>
      <c r="Z23" s="1781" t="n"/>
      <c r="AA23" s="1781" t="n"/>
      <c r="AB23" s="1781" t="n"/>
      <c r="AC23" s="1781" t="n"/>
      <c r="AD23" s="1781" t="n"/>
      <c r="AE23" s="1781" t="n"/>
      <c r="AF23" s="1781" t="n"/>
      <c r="AG23" s="1781" t="n"/>
      <c r="AH23" s="1781" t="n"/>
      <c r="AI23" s="1781" t="n"/>
      <c r="AJ23" s="1781" t="n"/>
      <c r="AK23" s="1771" t="n"/>
      <c r="AL23" s="1771" t="n"/>
      <c r="AM23" s="1771" t="n"/>
      <c r="AN23" s="1771" t="n"/>
      <c r="AO23" s="1771" t="n"/>
      <c r="AP23" s="1771" t="n"/>
      <c r="AQ23" s="1771" t="n"/>
      <c r="AR23" s="1771" t="n"/>
      <c r="AS23" s="1771" t="n"/>
      <c r="AT23" s="1771" t="n"/>
      <c r="AU23" s="1771" t="n"/>
      <c r="AV23" s="1771" t="n"/>
      <c r="AW23" s="1771" t="n"/>
      <c r="AX23" s="1771" t="n"/>
      <c r="AY23" s="1771" t="n"/>
      <c r="AZ23" s="1771" t="n"/>
      <c r="BA23" s="1771" t="n"/>
      <c r="BB23" s="1771" t="n"/>
      <c r="BC23" s="1771" t="n"/>
      <c r="BD23" s="1771" t="n"/>
      <c r="BE23" s="1771" t="n"/>
      <c r="BF23" s="1771" t="n"/>
      <c r="BG23" s="1771" t="n"/>
      <c r="BH23" s="1771" t="n"/>
      <c r="BI23" s="1771" t="n"/>
      <c r="BJ23" s="1771" t="n"/>
      <c r="BK23" s="1771" t="n"/>
      <c r="BL23" s="1771" t="n"/>
      <c r="BM23" s="1771" t="n"/>
      <c r="BN23" s="1771" t="n"/>
      <c r="BO23" s="1771" t="n"/>
      <c r="BP23" s="1771" t="n"/>
      <c r="BQ23" s="1782" t="n"/>
      <c r="BR23" s="1782" t="n"/>
      <c r="BS23" s="1782" t="n"/>
      <c r="BT23" s="1782" t="n"/>
      <c r="BU23" s="1782">
        <f>Languages!B599</f>
        <v/>
      </c>
      <c r="BV23" s="1782" t="n"/>
      <c r="BW23" s="1782" t="n"/>
      <c r="BX23" s="1782" t="n"/>
      <c r="BY23" s="1782" t="n"/>
      <c r="BZ23" s="1782" t="n"/>
      <c r="CA23" s="1782" t="n"/>
      <c r="CB23" s="1782" t="n"/>
      <c r="CC23" s="1782">
        <f>Languages!B597</f>
        <v/>
      </c>
      <c r="CD23" s="1782" t="n"/>
      <c r="CE23" s="1782" t="n"/>
      <c r="CF23" s="1782" t="n"/>
      <c r="CG23" s="1782" t="n"/>
      <c r="CH23" s="1782" t="n"/>
      <c r="CI23" s="2155">
        <f>CI15</f>
        <v/>
      </c>
      <c r="CJ23" s="1782" t="n"/>
      <c r="CK23" s="1782" t="n"/>
      <c r="CL23" s="1771" t="n"/>
      <c r="CM23" s="1997" t="n"/>
      <c r="CN23" s="1997" t="n"/>
      <c r="CO23" s="1997" t="n"/>
      <c r="CP23" s="1771" t="n"/>
      <c r="CQ23" s="1771" t="n"/>
      <c r="CR23" s="1771" t="n"/>
      <c r="CS23" s="1771" t="n"/>
      <c r="CT23" s="1771" t="n"/>
      <c r="CU23" s="1771" t="n"/>
      <c r="CV23" s="1771" t="n"/>
      <c r="CW23" s="1771" t="n"/>
      <c r="CX23" s="1771" t="n"/>
      <c r="CY23" s="1771" t="n"/>
    </row>
    <row r="24">
      <c r="A24" s="1771" t="n"/>
      <c r="B24" s="1781" t="n"/>
      <c r="C24" s="1826">
        <f>Languages!B577</f>
        <v/>
      </c>
      <c r="D24" s="1781" t="n"/>
      <c r="E24" s="1781" t="n"/>
      <c r="F24" s="1781" t="n"/>
      <c r="G24" s="1781" t="n"/>
      <c r="H24" s="1781">
        <f>Languages!B578</f>
        <v/>
      </c>
      <c r="I24" s="1781" t="n"/>
      <c r="J24" s="1781" t="n"/>
      <c r="K24" s="1781" t="n"/>
      <c r="L24" s="1781" t="n"/>
      <c r="M24" s="1781" t="n"/>
      <c r="N24" s="1781" t="n"/>
      <c r="O24" s="1781" t="n"/>
      <c r="P24" s="1781" t="n"/>
      <c r="Q24" s="1781" t="n"/>
      <c r="R24" s="1781" t="n"/>
      <c r="S24" s="1781" t="n"/>
      <c r="T24" s="1781" t="n"/>
      <c r="U24" s="1781" t="n"/>
      <c r="V24" s="1781" t="n"/>
      <c r="W24" s="1781" t="n"/>
      <c r="X24" s="1781" t="n"/>
      <c r="Y24" s="1781" t="n"/>
      <c r="Z24" s="1781" t="n"/>
      <c r="AA24" s="1781" t="n"/>
      <c r="AB24" s="1781" t="n"/>
      <c r="AC24" s="1781" t="n"/>
      <c r="AD24" s="1781" t="n"/>
      <c r="AE24" s="1781" t="n"/>
      <c r="AF24" s="1781" t="n"/>
      <c r="AG24" s="1781" t="n"/>
      <c r="AH24" s="1781" t="n"/>
      <c r="AI24" s="1781" t="n"/>
      <c r="AJ24" s="1781" t="n"/>
      <c r="AK24" s="1771" t="n"/>
      <c r="AL24" s="1771" t="n"/>
      <c r="AM24" s="1771" t="n"/>
      <c r="AN24" s="1771" t="n"/>
      <c r="AO24" s="1771" t="n"/>
      <c r="AP24" s="1771" t="n"/>
      <c r="AQ24" s="1771" t="n"/>
      <c r="AR24" s="1771" t="n"/>
      <c r="AS24" s="1771" t="n"/>
      <c r="AT24" s="1771" t="n"/>
      <c r="AU24" s="1771" t="n"/>
      <c r="AV24" s="1771" t="n"/>
      <c r="AW24" s="1771" t="n"/>
      <c r="AX24" s="1771" t="n"/>
      <c r="AY24" s="1771" t="n"/>
      <c r="AZ24" s="1771" t="n"/>
      <c r="BA24" s="1771" t="n"/>
      <c r="BB24" s="1771" t="n"/>
      <c r="BC24" s="1771" t="n"/>
      <c r="BD24" s="1771" t="n"/>
      <c r="BE24" s="1771" t="n"/>
      <c r="BF24" s="1771" t="n"/>
      <c r="BG24" s="1771" t="n"/>
      <c r="BH24" s="1771" t="n"/>
      <c r="BI24" s="1771" t="n"/>
      <c r="BJ24" s="1771" t="n"/>
      <c r="BK24" s="1771" t="n"/>
      <c r="BL24" s="1771" t="n"/>
      <c r="BM24" s="1771" t="n"/>
      <c r="BN24" s="1771" t="n"/>
      <c r="BO24" s="1771" t="n"/>
      <c r="BP24" s="1771" t="n"/>
      <c r="BQ24" s="1782" t="n"/>
      <c r="BR24" s="1782" t="n"/>
      <c r="BS24" s="1782" t="n"/>
      <c r="BT24" s="1782" t="n"/>
      <c r="BU24" s="1782">
        <f>CH10</f>
        <v/>
      </c>
      <c r="BV24" s="1782">
        <f>CI10</f>
        <v/>
      </c>
      <c r="BW24" s="1782" t="n"/>
      <c r="BX24" s="1782" t="n"/>
      <c r="BY24" s="1782" t="n"/>
      <c r="BZ24" s="1782" t="n"/>
      <c r="CA24" s="1782" t="n"/>
      <c r="CB24" s="1782" t="n"/>
      <c r="CC24" s="2155">
        <f>BU24</f>
        <v/>
      </c>
      <c r="CD24" s="1782" t="n"/>
      <c r="CE24" s="1782">
        <f>BV24</f>
        <v/>
      </c>
      <c r="CF24" s="1782" t="n"/>
      <c r="CG24" s="1782" t="n"/>
      <c r="CH24" s="1782" t="n"/>
      <c r="CI24" s="2155">
        <f>CI16</f>
        <v/>
      </c>
      <c r="CJ24" s="1782" t="n"/>
      <c r="CK24" s="1782" t="n"/>
      <c r="CL24" s="1771" t="n"/>
      <c r="CM24" s="1997" t="n"/>
      <c r="CN24" s="1997" t="n"/>
      <c r="CO24" s="1997" t="n"/>
      <c r="CP24" s="1771" t="n"/>
      <c r="CQ24" s="1771" t="n"/>
      <c r="CR24" s="1771" t="n"/>
      <c r="CS24" s="1771" t="n"/>
      <c r="CT24" s="1771" t="n"/>
      <c r="CU24" s="1771" t="n"/>
      <c r="CV24" s="1771" t="n"/>
      <c r="CW24" s="1771" t="n"/>
      <c r="CX24" s="1771" t="n"/>
      <c r="CY24" s="1771" t="n"/>
    </row>
    <row r="25">
      <c r="A25" s="1771" t="n"/>
      <c r="B25" s="1781" t="n"/>
      <c r="C25" s="1781" t="n"/>
      <c r="D25" s="1781" t="n"/>
      <c r="E25" s="1781" t="n"/>
      <c r="F25" s="1781" t="n"/>
      <c r="G25" s="1781" t="n"/>
      <c r="H25" s="1806">
        <f>H12</f>
        <v/>
      </c>
      <c r="I25" s="1806" t="n"/>
      <c r="J25" s="1806">
        <f>J12</f>
        <v/>
      </c>
      <c r="K25" s="1806" t="n"/>
      <c r="L25" s="1806">
        <f>L12</f>
        <v/>
      </c>
      <c r="M25" s="1806" t="n"/>
      <c r="N25" s="1781" t="n"/>
      <c r="O25" s="1781" t="n"/>
      <c r="P25" s="1781" t="n"/>
      <c r="Q25" s="1781" t="n"/>
      <c r="R25" s="1781" t="n"/>
      <c r="S25" s="1781" t="n"/>
      <c r="T25" s="1781" t="n"/>
      <c r="U25" s="1781" t="n"/>
      <c r="V25" s="1781" t="n"/>
      <c r="W25" s="1781" t="n"/>
      <c r="X25" s="1806">
        <f>X21</f>
        <v/>
      </c>
      <c r="Y25" s="1806" t="n"/>
      <c r="Z25" s="1806">
        <f>Z21</f>
        <v/>
      </c>
      <c r="AA25" s="1806" t="n"/>
      <c r="AB25" s="1806">
        <f>AB21</f>
        <v/>
      </c>
      <c r="AC25" s="1781" t="n"/>
      <c r="AD25" s="1781" t="n"/>
      <c r="AE25" s="1806">
        <f>AE21</f>
        <v/>
      </c>
      <c r="AF25" s="1806" t="n"/>
      <c r="AG25" s="1806">
        <f>AG21</f>
        <v/>
      </c>
      <c r="AH25" s="1781" t="n"/>
      <c r="AI25" s="1781" t="n"/>
      <c r="AJ25" s="1781" t="n"/>
      <c r="AK25" s="1771" t="n"/>
      <c r="AL25" s="1771" t="n"/>
      <c r="AM25" s="1771" t="n"/>
      <c r="AN25" s="1771" t="n"/>
      <c r="AO25" s="1771" t="n"/>
      <c r="AP25" s="1771" t="n"/>
      <c r="AQ25" s="1771" t="n"/>
      <c r="AR25" s="1771" t="n"/>
      <c r="AS25" s="1771" t="n"/>
      <c r="AT25" s="1771" t="n"/>
      <c r="AU25" s="1771" t="n"/>
      <c r="AV25" s="1771" t="n"/>
      <c r="AW25" s="1771" t="n"/>
      <c r="AX25" s="1771" t="n"/>
      <c r="AY25" s="1771" t="n"/>
      <c r="AZ25" s="1771" t="n"/>
      <c r="BA25" s="1771" t="n"/>
      <c r="BB25" s="1771" t="n"/>
      <c r="BC25" s="1771" t="n"/>
      <c r="BD25" s="1771" t="n"/>
      <c r="BE25" s="1771" t="n"/>
      <c r="BF25" s="1771" t="n"/>
      <c r="BG25" s="1771" t="n"/>
      <c r="BH25" s="1771" t="n"/>
      <c r="BI25" s="1771" t="n"/>
      <c r="BJ25" s="1771" t="n"/>
      <c r="BK25" s="1771" t="n"/>
      <c r="BL25" s="1771" t="n"/>
      <c r="BM25" s="1771" t="n"/>
      <c r="BN25" s="1771" t="n"/>
      <c r="BO25" s="1771" t="n"/>
      <c r="BP25" s="1771" t="n"/>
      <c r="BQ25" s="1782" t="n"/>
      <c r="BR25" s="1782">
        <f>Languages!B600</f>
        <v/>
      </c>
      <c r="BS25" s="1782" t="n"/>
      <c r="BT25" s="1782" t="n"/>
      <c r="BU25" s="2155">
        <f>'Fish and aqua'!C32</f>
        <v/>
      </c>
      <c r="BV25" s="2129" t="n"/>
      <c r="BW25" s="1782" t="n"/>
      <c r="BX25" s="1782" t="n"/>
      <c r="BY25" s="1782" t="n"/>
      <c r="BZ25" s="1782" t="n"/>
      <c r="CA25" s="2609">
        <f>Languages!B601</f>
        <v/>
      </c>
      <c r="CB25" s="1782" t="n"/>
      <c r="CC25" s="2155" t="n">
        <v>60</v>
      </c>
      <c r="CD25" s="1782" t="n"/>
      <c r="CE25" s="4266" t="n"/>
      <c r="CF25" s="4260" t="n"/>
      <c r="CG25" s="1782" t="n"/>
      <c r="CH25" s="1782" t="n"/>
      <c r="CI25" s="2345">
        <f>'Fish and aqua'!I32</f>
        <v/>
      </c>
      <c r="CJ25" s="1782" t="n"/>
      <c r="CK25" s="1782" t="n"/>
      <c r="CL25" s="1771" t="n"/>
      <c r="CM25" s="1997" t="n"/>
      <c r="CN25" s="1997" t="n"/>
      <c r="CO25" s="1997" t="n"/>
      <c r="CP25" s="1771" t="n"/>
      <c r="CQ25" s="1771" t="n"/>
      <c r="CR25" s="1771" t="n"/>
      <c r="CS25" s="1771" t="n"/>
      <c r="CT25" s="1771" t="n"/>
      <c r="CU25" s="1771" t="n"/>
      <c r="CV25" s="1771" t="n"/>
      <c r="CW25" s="1771" t="n"/>
      <c r="CX25" s="1771" t="n"/>
      <c r="CY25" s="1771" t="n"/>
    </row>
    <row r="26">
      <c r="A26" s="1771" t="n"/>
      <c r="B26" s="1781" t="n"/>
      <c r="C26" s="1781">
        <f>Languages!B579</f>
        <v/>
      </c>
      <c r="D26" s="1781" t="n"/>
      <c r="E26" s="1781" t="n"/>
      <c r="F26" s="1781" t="n"/>
      <c r="G26" s="1781" t="n"/>
      <c r="H26" s="4261" t="n">
        <v>0.190118343290209</v>
      </c>
      <c r="I26" s="1781" t="n"/>
      <c r="J26" s="4261" t="n">
        <v>0.295542207438415</v>
      </c>
      <c r="K26" s="1781" t="n"/>
      <c r="L26" s="4261" t="n">
        <v>0.530948607275139</v>
      </c>
      <c r="M26" s="4259" t="n"/>
      <c r="N26" s="1781" t="n"/>
      <c r="O26" s="1781" t="n"/>
      <c r="P26" s="1781" t="n"/>
      <c r="Q26" s="1781" t="n"/>
      <c r="R26" s="1781" t="n"/>
      <c r="S26" s="1781" t="n"/>
      <c r="T26" s="1781" t="n"/>
      <c r="U26" s="1781" t="n"/>
      <c r="V26" s="1781" t="n"/>
      <c r="W26" s="1781" t="n"/>
      <c r="X26" s="1806">
        <f>H26*SUM(X13:X18)</f>
        <v/>
      </c>
      <c r="Y26" s="1806" t="n"/>
      <c r="Z26" s="1806">
        <f>J26*SUM(Z13:Z18)</f>
        <v/>
      </c>
      <c r="AA26" s="1806" t="n"/>
      <c r="AB26" s="1806">
        <f>L26*SUM(AB13:AB18)</f>
        <v/>
      </c>
      <c r="AC26" s="1781" t="n"/>
      <c r="AD26" s="1781" t="n"/>
      <c r="AE26" s="1841">
        <f>'Fish and aqua'!O32</f>
        <v/>
      </c>
      <c r="AF26" s="1806" t="n"/>
      <c r="AG26" s="1841">
        <f>'Fish and aqua'!P32</f>
        <v/>
      </c>
      <c r="AH26" s="1781" t="n"/>
      <c r="AI26" s="1806">
        <f>AG26-AE26</f>
        <v/>
      </c>
      <c r="AJ26" s="1781" t="n"/>
      <c r="AK26" s="1771" t="n"/>
      <c r="AL26" s="1771" t="n"/>
      <c r="AM26" s="1771" t="n"/>
      <c r="AN26" s="1771" t="n"/>
      <c r="AO26" s="1771" t="n"/>
      <c r="AP26" s="1771" t="n"/>
      <c r="AQ26" s="1771" t="n"/>
      <c r="AR26" s="1771" t="n"/>
      <c r="AS26" s="1771" t="n"/>
      <c r="AT26" s="1771" t="n"/>
      <c r="AU26" s="1771" t="n"/>
      <c r="AV26" s="1771" t="n"/>
      <c r="AW26" s="1771" t="n"/>
      <c r="AX26" s="1771" t="n"/>
      <c r="AY26" s="1771" t="n"/>
      <c r="AZ26" s="1771" t="n"/>
      <c r="BA26" s="1771" t="n"/>
      <c r="BB26" s="1771" t="n"/>
      <c r="BC26" s="1771" t="n"/>
      <c r="BD26" s="1771" t="n"/>
      <c r="BE26" s="1771" t="n"/>
      <c r="BF26" s="1771" t="n"/>
      <c r="BG26" s="1771" t="n"/>
      <c r="BH26" s="1771" t="n"/>
      <c r="BI26" s="1771" t="n"/>
      <c r="BJ26" s="1771" t="n"/>
      <c r="BK26" s="1771" t="n"/>
      <c r="BL26" s="1771" t="n"/>
      <c r="BM26" s="1771" t="n"/>
      <c r="BN26" s="1771" t="n"/>
      <c r="BO26" s="1771" t="n"/>
      <c r="BP26" s="1771" t="n"/>
      <c r="BQ26" s="1782" t="n"/>
      <c r="BR26" s="1782" t="n"/>
      <c r="BS26" s="1782" t="n"/>
      <c r="BT26" s="1782" t="n"/>
      <c r="BU26" s="1782" t="n"/>
      <c r="BV26" s="1782" t="n"/>
      <c r="BW26" s="1782" t="n"/>
      <c r="BX26" s="1782" t="n"/>
      <c r="BY26" s="1782" t="n"/>
      <c r="BZ26" s="1782" t="n"/>
      <c r="CA26" s="2609">
        <f>Languages!B602</f>
        <v/>
      </c>
      <c r="CB26" s="1782" t="n"/>
      <c r="CC26" s="2261" t="inlineStr">
        <is>
          <t>Please select</t>
        </is>
      </c>
      <c r="CD26" s="1782" t="n"/>
      <c r="CE26" s="1782" t="n"/>
      <c r="CF26" s="1782" t="n"/>
      <c r="CG26" s="1782" t="n"/>
      <c r="CH26" s="1782" t="n"/>
      <c r="CI26" s="2155" t="n"/>
      <c r="CJ26" s="1782" t="n"/>
      <c r="CK26" s="1782" t="n"/>
      <c r="CL26" s="1771" t="n"/>
      <c r="CM26" s="1997" t="n"/>
      <c r="CN26" s="1997" t="n"/>
      <c r="CO26" s="1997" t="n"/>
      <c r="CP26" s="1771" t="n"/>
      <c r="CQ26" s="1771" t="n"/>
      <c r="CR26" s="1771" t="n"/>
      <c r="CS26" s="1771" t="n"/>
      <c r="CT26" s="1771" t="n"/>
      <c r="CU26" s="1771" t="n"/>
      <c r="CV26" s="1771" t="n"/>
      <c r="CW26" s="1771" t="n"/>
      <c r="CX26" s="1771" t="n"/>
      <c r="CY26" s="1771" t="n"/>
    </row>
    <row r="27">
      <c r="A27" s="1771" t="n"/>
      <c r="B27" s="1781" t="n"/>
      <c r="C27" s="1781" t="n"/>
      <c r="D27" s="1781" t="n"/>
      <c r="E27" s="1849" t="n"/>
      <c r="F27" s="1781" t="n"/>
      <c r="G27" s="1781" t="n"/>
      <c r="H27" s="1781" t="n"/>
      <c r="I27" s="1781" t="n"/>
      <c r="J27" s="1781" t="n"/>
      <c r="K27" s="1781" t="n"/>
      <c r="L27" s="1781" t="n"/>
      <c r="M27" s="1781" t="n"/>
      <c r="N27" s="1781" t="n"/>
      <c r="O27" s="1781" t="n"/>
      <c r="P27" s="1781" t="n"/>
      <c r="Q27" s="1781" t="n"/>
      <c r="R27" s="1781" t="n"/>
      <c r="S27" s="1781" t="n"/>
      <c r="T27" s="1781" t="n"/>
      <c r="U27" s="1781" t="n"/>
      <c r="V27" s="1781" t="n"/>
      <c r="W27" s="1781" t="n"/>
      <c r="X27" s="1781" t="n"/>
      <c r="Y27" s="1781" t="n"/>
      <c r="Z27" s="1781" t="n"/>
      <c r="AA27" s="1781" t="n"/>
      <c r="AB27" s="1781" t="n"/>
      <c r="AC27" s="1781" t="n"/>
      <c r="AD27" s="1781" t="n"/>
      <c r="AE27" s="1781" t="n"/>
      <c r="AF27" s="1781" t="n"/>
      <c r="AG27" s="1781" t="n"/>
      <c r="AH27" s="1781" t="n"/>
      <c r="AI27" s="1781" t="n"/>
      <c r="AJ27" s="1781" t="n"/>
      <c r="AK27" s="1771" t="n"/>
      <c r="AL27" s="1771" t="n"/>
      <c r="AM27" s="1771" t="n"/>
      <c r="AN27" s="1771" t="n"/>
      <c r="AO27" s="1771" t="n"/>
      <c r="AP27" s="1771" t="n"/>
      <c r="AQ27" s="1771" t="n"/>
      <c r="AR27" s="1771" t="n"/>
      <c r="AS27" s="1771" t="n"/>
      <c r="AT27" s="1771" t="n"/>
      <c r="AU27" s="1771" t="n"/>
      <c r="AV27" s="1771" t="n"/>
      <c r="AW27" s="1771" t="n"/>
      <c r="AX27" s="1771" t="n"/>
      <c r="AY27" s="1771" t="n"/>
      <c r="AZ27" s="1771" t="n"/>
      <c r="BA27" s="1771" t="n"/>
      <c r="BB27" s="1771" t="n"/>
      <c r="BC27" s="1771" t="n"/>
      <c r="BD27" s="1771" t="n"/>
      <c r="BE27" s="1771" t="n"/>
      <c r="BF27" s="1771" t="n"/>
      <c r="BG27" s="1771" t="n"/>
      <c r="BH27" s="1771" t="n"/>
      <c r="BI27" s="1771" t="n"/>
      <c r="BJ27" s="1771" t="n"/>
      <c r="BK27" s="1771" t="n"/>
      <c r="BL27" s="1771" t="n"/>
      <c r="BM27" s="1771" t="n"/>
      <c r="BN27" s="1771" t="n"/>
      <c r="BO27" s="1771" t="n"/>
      <c r="BP27" s="1771" t="n"/>
      <c r="BQ27" s="1782" t="n"/>
      <c r="BR27" s="1782">
        <f>'7.Coastal wetlands'!BR54</f>
        <v/>
      </c>
      <c r="BS27" s="1782" t="n"/>
      <c r="BT27" s="1782" t="n"/>
      <c r="BU27" s="1782" t="n"/>
      <c r="BV27" s="1782" t="n"/>
      <c r="BW27" s="1782" t="n"/>
      <c r="BX27" s="1782" t="n"/>
      <c r="BY27" s="1782" t="n"/>
      <c r="BZ27" s="1782" t="n"/>
      <c r="CA27" s="1782" t="n"/>
      <c r="CB27" s="1782" t="n"/>
      <c r="CC27" s="1782" t="n"/>
      <c r="CD27" s="1782" t="n"/>
      <c r="CE27" s="1782" t="n"/>
      <c r="CF27" s="1782" t="n"/>
      <c r="CG27" s="1782" t="n"/>
      <c r="CH27" s="1782" t="n"/>
      <c r="CI27" s="2155">
        <f>Languages!B603</f>
        <v/>
      </c>
      <c r="CJ27" s="1782" t="n"/>
      <c r="CK27" s="1782" t="n"/>
      <c r="CL27" s="1771" t="n"/>
      <c r="CM27" s="1997" t="n"/>
      <c r="CN27" s="1997" t="n"/>
      <c r="CO27" s="1997" t="n"/>
      <c r="CP27" s="1771" t="n"/>
      <c r="CQ27" s="1771" t="n"/>
      <c r="CR27" s="1771" t="n"/>
      <c r="CS27" s="1771" t="n"/>
      <c r="CT27" s="1771" t="n"/>
      <c r="CU27" s="1771" t="n"/>
      <c r="CV27" s="1771" t="n"/>
      <c r="CW27" s="1771" t="n"/>
      <c r="CX27" s="1771" t="n"/>
      <c r="CY27" s="1771" t="n"/>
    </row>
    <row r="28">
      <c r="A28" s="1771" t="n"/>
      <c r="B28" s="1781" t="n"/>
      <c r="C28" s="1781" t="n"/>
      <c r="D28" s="1781" t="n"/>
      <c r="E28" s="1781" t="n"/>
      <c r="F28" s="1781" t="n"/>
      <c r="G28" s="1781" t="n"/>
      <c r="H28" s="1781" t="n"/>
      <c r="I28" s="1781" t="n"/>
      <c r="J28" s="1781" t="n"/>
      <c r="K28" s="1781" t="n"/>
      <c r="L28" s="1781" t="n"/>
      <c r="M28" s="1781" t="n"/>
      <c r="N28" s="1781" t="n"/>
      <c r="O28" s="1781" t="n"/>
      <c r="P28" s="1781" t="n"/>
      <c r="Q28" s="1781" t="n"/>
      <c r="R28" s="1781" t="n"/>
      <c r="S28" s="1781" t="n"/>
      <c r="T28" s="1781" t="n"/>
      <c r="U28" s="1781" t="n"/>
      <c r="V28" s="1781" t="n"/>
      <c r="W28" s="1781" t="n"/>
      <c r="X28" s="1781" t="n"/>
      <c r="Y28" s="1781" t="n"/>
      <c r="Z28" s="1781" t="n"/>
      <c r="AA28" s="1781" t="n"/>
      <c r="AB28" s="1781" t="n"/>
      <c r="AC28" s="1781" t="n"/>
      <c r="AD28" s="1781" t="n"/>
      <c r="AE28" s="1781" t="n"/>
      <c r="AF28" s="1781" t="n"/>
      <c r="AG28" s="1781" t="n"/>
      <c r="AH28" s="1781" t="n"/>
      <c r="AI28" s="1781" t="n"/>
      <c r="AJ28" s="1781" t="n"/>
      <c r="AK28" s="1771" t="n"/>
      <c r="AL28" s="1771" t="n"/>
      <c r="AM28" s="1771" t="n"/>
      <c r="AN28" s="1771" t="n"/>
      <c r="AO28" s="1771" t="n"/>
      <c r="AP28" s="1771" t="n"/>
      <c r="AQ28" s="1771" t="n"/>
      <c r="AR28" s="1771" t="n"/>
      <c r="AS28" s="1771" t="n"/>
      <c r="AT28" s="1771" t="n"/>
      <c r="AU28" s="1771" t="n"/>
      <c r="AV28" s="1771" t="n"/>
      <c r="AW28" s="1771" t="n"/>
      <c r="AX28" s="1771" t="n"/>
      <c r="AY28" s="1771" t="n"/>
      <c r="AZ28" s="1771" t="n"/>
      <c r="BA28" s="1771" t="n"/>
      <c r="BB28" s="1771" t="n"/>
      <c r="BC28" s="1771" t="n"/>
      <c r="BD28" s="1771" t="n"/>
      <c r="BE28" s="1771" t="n"/>
      <c r="BF28" s="1771" t="n"/>
      <c r="BG28" s="1771" t="n"/>
      <c r="BH28" s="1771" t="n"/>
      <c r="BI28" s="1771" t="n"/>
      <c r="BJ28" s="1771" t="n"/>
      <c r="BK28" s="1771" t="n"/>
      <c r="BL28" s="1771" t="n"/>
      <c r="BM28" s="1771" t="n"/>
      <c r="BN28" s="1771" t="n"/>
      <c r="BO28" s="1771" t="n"/>
      <c r="BP28" s="1771" t="n"/>
      <c r="BQ28" s="1782" t="n"/>
      <c r="BR28" s="1782">
        <f>'7.Coastal wetlands'!BR55</f>
        <v/>
      </c>
      <c r="BS28" s="1782" t="n"/>
      <c r="BT28" s="1782" t="n"/>
      <c r="BU28" s="1782" t="n"/>
      <c r="BV28" s="1782" t="n"/>
      <c r="BW28" s="1782" t="n"/>
      <c r="BX28" s="1782" t="n"/>
      <c r="BY28" s="1782" t="n"/>
      <c r="BZ28" s="1782" t="n"/>
      <c r="CA28" s="1782" t="n"/>
      <c r="CB28" s="1782" t="n"/>
      <c r="CC28" s="1782" t="n"/>
      <c r="CD28" s="1782" t="n"/>
      <c r="CE28" s="1782" t="n"/>
      <c r="CF28" s="1782" t="n"/>
      <c r="CG28" s="1782" t="n"/>
      <c r="CH28" s="1782" t="n"/>
      <c r="CI28" s="1782" t="n"/>
      <c r="CJ28" s="1782" t="n"/>
      <c r="CK28" s="1782" t="n"/>
      <c r="CL28" s="1771" t="n"/>
      <c r="CM28" s="1997" t="n"/>
      <c r="CN28" s="1997" t="n"/>
      <c r="CO28" s="1997" t="n"/>
      <c r="CP28" s="1771" t="n"/>
      <c r="CQ28" s="1771" t="n"/>
      <c r="CR28" s="1771" t="n"/>
      <c r="CS28" s="1771" t="n"/>
      <c r="CT28" s="1771" t="n"/>
      <c r="CU28" s="1771" t="n"/>
      <c r="CV28" s="1771" t="n"/>
      <c r="CW28" s="1771" t="n"/>
      <c r="CX28" s="1771" t="n"/>
      <c r="CY28" s="1771" t="n"/>
    </row>
    <row r="29">
      <c r="A29" s="1771" t="n"/>
      <c r="B29" s="1781" t="n"/>
      <c r="C29" s="1781" t="n"/>
      <c r="D29" s="1781" t="n"/>
      <c r="E29" s="1781" t="n"/>
      <c r="F29" s="1781" t="n"/>
      <c r="G29" s="1781" t="n"/>
      <c r="H29" s="1781" t="n"/>
      <c r="I29" s="1781" t="n"/>
      <c r="J29" s="1781" t="n"/>
      <c r="K29" s="1781" t="n"/>
      <c r="L29" s="1781" t="n"/>
      <c r="M29" s="1781" t="n"/>
      <c r="N29" s="1781" t="n"/>
      <c r="O29" s="1781" t="n"/>
      <c r="P29" s="1781" t="n"/>
      <c r="Q29" s="1781" t="n"/>
      <c r="R29" s="1781" t="n"/>
      <c r="S29" s="1781" t="n"/>
      <c r="T29" s="1781" t="n"/>
      <c r="U29" s="1781" t="n"/>
      <c r="V29" s="1781" t="n"/>
      <c r="W29" s="1781" t="n"/>
      <c r="X29" s="1781" t="n"/>
      <c r="Y29" s="1781" t="n"/>
      <c r="Z29" s="1781" t="n"/>
      <c r="AA29" s="1781" t="n"/>
      <c r="AB29" s="1781" t="n"/>
      <c r="AC29" s="1781" t="n"/>
      <c r="AD29" s="1781" t="n"/>
      <c r="AE29" s="1781" t="n"/>
      <c r="AF29" s="1781" t="n"/>
      <c r="AG29" s="1781" t="n"/>
      <c r="AH29" s="1781" t="n"/>
      <c r="AI29" s="1781" t="n"/>
      <c r="AJ29" s="1781" t="n"/>
      <c r="AK29" s="1771" t="n"/>
      <c r="AL29" s="1771" t="n"/>
      <c r="AM29" s="1771" t="n"/>
      <c r="AN29" s="1771" t="n"/>
      <c r="AO29" s="1771" t="n"/>
      <c r="AP29" s="1771" t="n"/>
      <c r="AQ29" s="1771" t="n"/>
      <c r="AR29" s="1771" t="n"/>
      <c r="AS29" s="1771" t="n"/>
      <c r="AT29" s="1771" t="n"/>
      <c r="AU29" s="1771" t="n"/>
      <c r="AV29" s="1771" t="n"/>
      <c r="AW29" s="1771" t="n"/>
      <c r="AX29" s="1771" t="n"/>
      <c r="AY29" s="1771" t="n"/>
      <c r="AZ29" s="1771" t="n"/>
      <c r="BA29" s="1771" t="n"/>
      <c r="BB29" s="1771" t="n"/>
      <c r="BC29" s="1771" t="n"/>
      <c r="BD29" s="1771" t="n"/>
      <c r="BE29" s="1771" t="n"/>
      <c r="BF29" s="1771" t="n"/>
      <c r="BG29" s="1771" t="n"/>
      <c r="BH29" s="1771" t="n"/>
      <c r="BI29" s="1771" t="n"/>
      <c r="BJ29" s="1771" t="n"/>
      <c r="BK29" s="1771" t="n"/>
      <c r="BL29" s="1771" t="n"/>
      <c r="BM29" s="1771" t="n"/>
      <c r="BN29" s="1771" t="n"/>
      <c r="BO29" s="1771" t="n"/>
      <c r="BP29" s="1771" t="n"/>
      <c r="BQ29" s="1771" t="n"/>
      <c r="BR29" s="1771" t="n"/>
      <c r="BS29" s="1771" t="n"/>
      <c r="BT29" s="1771" t="n"/>
      <c r="BU29" s="1771" t="n"/>
      <c r="BV29" s="1771" t="n"/>
      <c r="BW29" s="1771" t="n"/>
      <c r="BX29" s="1771" t="n"/>
      <c r="BY29" s="1771" t="n"/>
      <c r="BZ29" s="1771" t="n"/>
      <c r="CA29" s="1771" t="n"/>
      <c r="CB29" s="1771" t="n"/>
      <c r="CC29" s="1771" t="n"/>
      <c r="CD29" s="1771" t="n"/>
      <c r="CE29" s="1771" t="n"/>
      <c r="CF29" s="1771" t="n"/>
      <c r="CG29" s="1771" t="n"/>
      <c r="CH29" s="1771" t="n"/>
      <c r="CI29" s="1771" t="n"/>
      <c r="CJ29" s="1771" t="n"/>
      <c r="CK29" s="1771" t="n"/>
      <c r="CL29" s="1771" t="n"/>
      <c r="CM29" s="1771" t="n"/>
      <c r="CN29" s="1771" t="n"/>
      <c r="CO29" s="1771" t="n"/>
      <c r="CP29" s="1771" t="n"/>
      <c r="CQ29" s="1771" t="n"/>
      <c r="CR29" s="1771" t="n"/>
      <c r="CS29" s="1771" t="n"/>
      <c r="CT29" s="1771" t="n"/>
      <c r="CU29" s="1771" t="n"/>
      <c r="CV29" s="1771" t="n"/>
      <c r="CW29" s="1771" t="n"/>
      <c r="CX29" s="1771" t="n"/>
      <c r="CY29" s="1771" t="n"/>
    </row>
    <row r="30">
      <c r="A30" s="1771" t="n"/>
      <c r="B30" s="1781" t="n"/>
      <c r="C30" s="1781" t="n"/>
      <c r="D30" s="1781" t="n"/>
      <c r="E30" s="1781" t="n"/>
      <c r="F30" s="1781" t="n"/>
      <c r="G30" s="1781" t="n"/>
      <c r="H30" s="1781" t="n"/>
      <c r="I30" s="1781" t="n"/>
      <c r="J30" s="1781" t="n"/>
      <c r="K30" s="1781" t="n"/>
      <c r="L30" s="1781" t="n"/>
      <c r="M30" s="1781" t="n"/>
      <c r="N30" s="1781" t="n"/>
      <c r="O30" s="1781" t="n"/>
      <c r="P30" s="1781" t="n"/>
      <c r="Q30" s="1781" t="n"/>
      <c r="R30" s="1781" t="n"/>
      <c r="S30" s="1781" t="n"/>
      <c r="T30" s="1781" t="n"/>
      <c r="U30" s="1781" t="n"/>
      <c r="V30" s="1853" t="n"/>
      <c r="W30" s="1853" t="n"/>
      <c r="X30" s="1853" t="n"/>
      <c r="Y30" s="1853" t="n"/>
      <c r="Z30" s="1853" t="n"/>
      <c r="AA30" s="1853" t="n"/>
      <c r="AB30" s="2019">
        <f>Languages!B580</f>
        <v/>
      </c>
      <c r="AC30" s="2019" t="n"/>
      <c r="AD30" s="1853" t="n"/>
      <c r="AE30" s="2039">
        <f>SUM(AE13:AE18,AE22,AE26)</f>
        <v/>
      </c>
      <c r="AF30" s="2040" t="n"/>
      <c r="AG30" s="2039">
        <f>SUM(AG13:AG18,AG22,AG26)</f>
        <v/>
      </c>
      <c r="AH30" s="2040" t="n"/>
      <c r="AI30" s="2040">
        <f>SUM(AI13:AI18,AI22,AI26)</f>
        <v/>
      </c>
      <c r="AJ30" s="1781" t="n"/>
      <c r="AK30" s="1771" t="n"/>
      <c r="AL30" s="1771" t="n"/>
      <c r="AM30" s="1771" t="n"/>
      <c r="AN30" s="1771" t="n"/>
      <c r="AO30" s="1771" t="n"/>
      <c r="AP30" s="1771" t="n"/>
      <c r="AQ30" s="1771" t="n"/>
      <c r="AR30" s="1771" t="n"/>
      <c r="AS30" s="1771" t="n"/>
      <c r="AT30" s="1771" t="n"/>
      <c r="AU30" s="1771" t="n"/>
      <c r="AV30" s="1771" t="n"/>
      <c r="AW30" s="1771" t="n"/>
      <c r="AX30" s="1771" t="n"/>
      <c r="AY30" s="1771" t="n"/>
      <c r="AZ30" s="1771" t="n"/>
      <c r="BA30" s="1771" t="n"/>
      <c r="BB30" s="1771" t="n"/>
      <c r="BC30" s="1771" t="n"/>
      <c r="BD30" s="1771" t="n"/>
      <c r="BE30" s="1771" t="n"/>
      <c r="BF30" s="1771" t="n"/>
      <c r="BG30" s="1771" t="n"/>
      <c r="BH30" s="1771" t="n"/>
      <c r="BI30" s="1771" t="n"/>
      <c r="BJ30" s="1771" t="n"/>
      <c r="BK30" s="1771" t="n"/>
      <c r="BL30" s="1771" t="n"/>
      <c r="BM30" s="1771" t="n"/>
      <c r="BN30" s="1771" t="n"/>
      <c r="BO30" s="1771" t="n"/>
      <c r="BP30" s="1771" t="n"/>
      <c r="BQ30" s="1771" t="n"/>
      <c r="BR30" s="1771" t="n"/>
      <c r="BS30" s="1771" t="n"/>
      <c r="BT30" s="1771" t="n"/>
      <c r="BU30" s="1771" t="n"/>
      <c r="BV30" s="1771" t="n"/>
      <c r="BW30" s="1771" t="n"/>
      <c r="BX30" s="1771" t="n"/>
      <c r="BY30" s="1771" t="n"/>
      <c r="BZ30" s="1771" t="n"/>
      <c r="CA30" s="1771" t="n"/>
      <c r="CB30" s="1771" t="n"/>
      <c r="CC30" s="1771" t="n"/>
      <c r="CD30" s="1771" t="n"/>
      <c r="CE30" s="1771" t="n"/>
      <c r="CF30" s="1771" t="n"/>
      <c r="CG30" s="1771" t="n"/>
      <c r="CH30" s="1771" t="n"/>
      <c r="CI30" s="1771" t="n"/>
      <c r="CJ30" s="1771" t="n"/>
      <c r="CK30" s="1771" t="n"/>
      <c r="CL30" s="1771" t="n"/>
      <c r="CM30" s="1771" t="n"/>
      <c r="CN30" s="1771" t="n"/>
      <c r="CO30" s="1771" t="n"/>
      <c r="CP30" s="1771" t="n"/>
      <c r="CQ30" s="1771" t="n"/>
      <c r="CR30" s="1771" t="n"/>
      <c r="CS30" s="1771" t="n"/>
      <c r="CT30" s="1771" t="n"/>
      <c r="CU30" s="1771" t="n"/>
      <c r="CV30" s="1771" t="n"/>
      <c r="CW30" s="1771" t="n"/>
      <c r="CX30" s="1771" t="n"/>
      <c r="CY30" s="1771" t="n"/>
    </row>
    <row r="31">
      <c r="A31" s="1771" t="n"/>
      <c r="B31" s="1781" t="n"/>
      <c r="C31" s="1781" t="n"/>
      <c r="D31" s="1781" t="n"/>
      <c r="E31" s="1781" t="n"/>
      <c r="F31" s="1781" t="n"/>
      <c r="G31" s="1781" t="n"/>
      <c r="H31" s="1781" t="n"/>
      <c r="I31" s="1781" t="n"/>
      <c r="J31" s="1781" t="n"/>
      <c r="K31" s="1781" t="n"/>
      <c r="L31" s="1781" t="n"/>
      <c r="M31" s="1781" t="n"/>
      <c r="N31" s="1781" t="n"/>
      <c r="O31" s="1781" t="n"/>
      <c r="P31" s="1781" t="n"/>
      <c r="Q31" s="1781" t="n"/>
      <c r="R31" s="1781" t="n"/>
      <c r="S31" s="1781" t="n"/>
      <c r="T31" s="1781" t="n"/>
      <c r="U31" s="1781" t="n"/>
      <c r="V31" s="1781" t="n"/>
      <c r="W31" s="1781" t="n"/>
      <c r="X31" s="1781" t="n"/>
      <c r="Y31" s="1781" t="n"/>
      <c r="Z31" s="1781" t="n"/>
      <c r="AA31" s="1781" t="n"/>
      <c r="AB31" s="1781" t="n"/>
      <c r="AC31" s="1781" t="n"/>
      <c r="AD31" s="1781" t="n"/>
      <c r="AE31" s="1781" t="n"/>
      <c r="AF31" s="1781" t="n"/>
      <c r="AG31" s="1781" t="n"/>
      <c r="AH31" s="1781" t="n"/>
      <c r="AI31" s="1781" t="n"/>
      <c r="AJ31" s="1781" t="n"/>
      <c r="AK31" s="1771" t="n"/>
      <c r="AL31" s="1771" t="n"/>
      <c r="AM31" s="1771" t="n"/>
      <c r="AN31" s="1771" t="n"/>
      <c r="AO31" s="1771" t="n"/>
      <c r="AP31" s="1771" t="n"/>
      <c r="AQ31" s="1771" t="n"/>
      <c r="AR31" s="1771" t="n"/>
      <c r="AS31" s="1771" t="n"/>
      <c r="AT31" s="1771" t="n"/>
      <c r="AU31" s="1771" t="n"/>
      <c r="AV31" s="1771" t="n"/>
      <c r="AW31" s="1771" t="n"/>
      <c r="AX31" s="1771" t="n"/>
      <c r="AY31" s="1771" t="n"/>
      <c r="AZ31" s="1771" t="n"/>
      <c r="BA31" s="1771" t="n"/>
      <c r="BB31" s="1771" t="n"/>
      <c r="BC31" s="1771" t="n"/>
      <c r="BD31" s="1771" t="n"/>
      <c r="BE31" s="1771" t="n"/>
      <c r="BF31" s="1771" t="n"/>
      <c r="BG31" s="1771" t="n"/>
      <c r="BH31" s="1771" t="n"/>
      <c r="BI31" s="1771" t="n"/>
      <c r="BJ31" s="1771" t="n"/>
      <c r="BK31" s="1771" t="n"/>
      <c r="BL31" s="1771" t="n"/>
      <c r="BM31" s="1771" t="n"/>
      <c r="BN31" s="1771" t="n"/>
      <c r="BO31" s="1771" t="n"/>
      <c r="BP31" s="1771" t="n"/>
      <c r="BQ31" s="1771" t="n"/>
      <c r="BR31" s="1771" t="n"/>
      <c r="BS31" s="1771" t="n"/>
      <c r="BT31" s="1771" t="n"/>
      <c r="BU31" s="1771" t="n"/>
      <c r="BV31" s="1771" t="n"/>
      <c r="BW31" s="1771" t="n"/>
      <c r="BX31" s="1771" t="n"/>
      <c r="BY31" s="1771" t="n"/>
      <c r="BZ31" s="1771" t="n"/>
      <c r="CA31" s="1771" t="n"/>
      <c r="CB31" s="1771" t="n"/>
      <c r="CC31" s="1771" t="n"/>
      <c r="CD31" s="1771" t="n"/>
      <c r="CE31" s="1771" t="n"/>
      <c r="CF31" s="1771" t="n"/>
      <c r="CG31" s="1771" t="n"/>
      <c r="CH31" s="1771" t="n"/>
      <c r="CI31" s="1771" t="n"/>
      <c r="CJ31" s="1771" t="n"/>
      <c r="CK31" s="1771" t="n"/>
      <c r="CL31" s="1771" t="n"/>
      <c r="CM31" s="1771" t="n"/>
      <c r="CN31" s="1771" t="n"/>
      <c r="CO31" s="1771" t="n"/>
      <c r="CP31" s="1771" t="n"/>
      <c r="CQ31" s="1771" t="n"/>
      <c r="CR31" s="1771" t="n"/>
      <c r="CS31" s="1771" t="n"/>
      <c r="CT31" s="1771" t="n"/>
      <c r="CU31" s="1771" t="n"/>
      <c r="CV31" s="1771" t="n"/>
      <c r="CW31" s="1771" t="n"/>
      <c r="CX31" s="1771" t="n"/>
      <c r="CY31" s="1771" t="n"/>
    </row>
    <row r="32">
      <c r="A32" s="1771" t="n"/>
      <c r="B32" s="1781" t="n"/>
      <c r="C32" s="1820">
        <f>Languages!B23</f>
        <v/>
      </c>
      <c r="D32" s="1781" t="n"/>
      <c r="E32" s="1781" t="n"/>
      <c r="F32" s="1781" t="n"/>
      <c r="G32" s="1781" t="n"/>
      <c r="H32" s="1781" t="n"/>
      <c r="I32" s="1781" t="n"/>
      <c r="J32" s="1781" t="n"/>
      <c r="K32" s="1781" t="n"/>
      <c r="L32" s="1781" t="n"/>
      <c r="M32" s="1781" t="n"/>
      <c r="N32" s="1781" t="n"/>
      <c r="O32" s="1781" t="n"/>
      <c r="P32" s="1781" t="n"/>
      <c r="Q32" s="1781" t="n"/>
      <c r="R32" s="1781" t="n"/>
      <c r="S32" s="1781" t="n"/>
      <c r="T32" s="1781" t="n"/>
      <c r="U32" s="1781" t="n"/>
      <c r="V32" s="1781" t="n"/>
      <c r="W32" s="1781" t="n"/>
      <c r="X32" s="1781" t="n"/>
      <c r="Y32" s="1781" t="n"/>
      <c r="Z32" s="1781" t="n"/>
      <c r="AA32" s="1781" t="n"/>
      <c r="AB32" s="1781" t="n"/>
      <c r="AC32" s="1781" t="n"/>
      <c r="AD32" s="1781" t="n"/>
      <c r="AE32" s="1781" t="n"/>
      <c r="AF32" s="1781" t="n"/>
      <c r="AG32" s="1781" t="n"/>
      <c r="AH32" s="1781" t="n"/>
      <c r="AI32" s="1781" t="n"/>
      <c r="AJ32" s="1781" t="n"/>
      <c r="AK32" s="1771" t="n"/>
      <c r="AL32" s="1771" t="n"/>
      <c r="AM32" s="1771" t="n"/>
      <c r="AN32" s="1771" t="n"/>
      <c r="AO32" s="1771" t="n"/>
      <c r="AP32" s="1771" t="n"/>
      <c r="AQ32" s="1771" t="n"/>
      <c r="AR32" s="1771" t="n"/>
      <c r="AS32" s="1771" t="n"/>
      <c r="AT32" s="1771" t="n"/>
      <c r="AU32" s="1771" t="n"/>
      <c r="AV32" s="1771" t="n"/>
      <c r="AW32" s="1771" t="n"/>
      <c r="AX32" s="1771" t="n"/>
      <c r="AY32" s="1771" t="n"/>
      <c r="AZ32" s="1771" t="n"/>
      <c r="BA32" s="1771" t="n"/>
      <c r="BB32" s="1771" t="n"/>
      <c r="BC32" s="1771" t="n"/>
      <c r="BD32" s="1771" t="n"/>
      <c r="BE32" s="1771" t="n"/>
      <c r="BF32" s="1771" t="n"/>
      <c r="BG32" s="1771" t="n"/>
      <c r="BH32" s="1771" t="n"/>
      <c r="BI32" s="1771" t="n"/>
      <c r="BJ32" s="1771" t="n"/>
      <c r="BK32" s="1771" t="n"/>
      <c r="BL32" s="1771" t="n"/>
      <c r="BM32" s="1771" t="n"/>
      <c r="BN32" s="1771" t="n"/>
      <c r="BO32" s="1771" t="n"/>
      <c r="BP32" s="1771" t="n"/>
      <c r="BQ32" s="1771" t="n"/>
      <c r="BR32" s="1771" t="n"/>
      <c r="BS32" s="1771" t="n"/>
      <c r="BT32" s="1771" t="n"/>
      <c r="BU32" s="1771" t="n"/>
      <c r="BV32" s="1771" t="n"/>
      <c r="BW32" s="1771" t="n"/>
      <c r="BX32" s="1771" t="n"/>
      <c r="BY32" s="1771" t="n"/>
      <c r="BZ32" s="1771" t="n"/>
      <c r="CA32" s="1771" t="n"/>
      <c r="CB32" s="1771" t="n"/>
      <c r="CC32" s="1771" t="n"/>
      <c r="CD32" s="1771" t="n"/>
      <c r="CE32" s="1771" t="n"/>
      <c r="CF32" s="1771" t="n"/>
      <c r="CG32" s="1771" t="n"/>
      <c r="CH32" s="1771" t="n"/>
      <c r="CI32" s="1771" t="n"/>
      <c r="CJ32" s="1771" t="n"/>
      <c r="CK32" s="1771" t="n"/>
      <c r="CL32" s="1771" t="n"/>
      <c r="CM32" s="1771" t="n"/>
      <c r="CN32" s="1771" t="n"/>
      <c r="CO32" s="1771" t="n"/>
      <c r="CP32" s="1771" t="n"/>
      <c r="CQ32" s="1771" t="n"/>
      <c r="CR32" s="1771" t="n"/>
      <c r="CS32" s="1771" t="n"/>
      <c r="CT32" s="1771" t="n"/>
      <c r="CU32" s="1771" t="n"/>
      <c r="CV32" s="1771" t="n"/>
      <c r="CW32" s="1771" t="n"/>
      <c r="CX32" s="1771" t="n"/>
      <c r="CY32" s="1771" t="n"/>
    </row>
    <row r="33">
      <c r="A33" s="1771" t="n"/>
      <c r="B33" s="1781" t="n"/>
      <c r="C33" s="1781" t="n"/>
      <c r="D33" s="1781" t="n"/>
      <c r="E33" s="1781" t="n"/>
      <c r="F33" s="1781" t="n"/>
      <c r="G33" s="1781" t="n"/>
      <c r="H33" s="1781" t="n"/>
      <c r="I33" s="1781" t="n"/>
      <c r="J33" s="1781" t="n"/>
      <c r="K33" s="1781" t="n"/>
      <c r="L33" s="1781" t="n"/>
      <c r="M33" s="1781" t="n"/>
      <c r="N33" s="1781" t="n"/>
      <c r="O33" s="1781" t="n"/>
      <c r="P33" s="1781" t="n"/>
      <c r="Q33" s="1781" t="n"/>
      <c r="R33" s="1781" t="n"/>
      <c r="S33" s="1781" t="n"/>
      <c r="T33" s="1781" t="n"/>
      <c r="U33" s="1781" t="n"/>
      <c r="V33" s="1781" t="n"/>
      <c r="W33" s="1781" t="n"/>
      <c r="X33" s="1781" t="n"/>
      <c r="Y33" s="1781" t="n"/>
      <c r="Z33" s="1781" t="n"/>
      <c r="AA33" s="1781" t="n"/>
      <c r="AB33" s="1781" t="n"/>
      <c r="AC33" s="1781" t="n"/>
      <c r="AD33" s="1781" t="n"/>
      <c r="AE33" s="1781" t="n"/>
      <c r="AF33" s="1781" t="n"/>
      <c r="AG33" s="1781" t="n"/>
      <c r="AH33" s="1781" t="n"/>
      <c r="AI33" s="1781" t="n"/>
      <c r="AJ33" s="1781" t="n"/>
      <c r="AK33" s="1771" t="n"/>
      <c r="AL33" s="1771" t="n"/>
      <c r="AM33" s="1771" t="n"/>
      <c r="AN33" s="1771" t="n"/>
      <c r="AO33" s="1771" t="n"/>
      <c r="AP33" s="1771" t="n"/>
      <c r="AQ33" s="1771" t="n"/>
      <c r="AR33" s="1771" t="n"/>
      <c r="AS33" s="1771" t="n"/>
      <c r="AT33" s="1771" t="n"/>
      <c r="AU33" s="1771" t="n"/>
      <c r="AV33" s="1771" t="n"/>
      <c r="AW33" s="1771" t="n"/>
      <c r="AX33" s="1771" t="n"/>
      <c r="AY33" s="1771" t="n"/>
      <c r="AZ33" s="1771" t="n"/>
      <c r="BA33" s="1771" t="n"/>
      <c r="BB33" s="1771" t="n"/>
      <c r="BC33" s="1771" t="n"/>
      <c r="BD33" s="1771" t="n"/>
      <c r="BE33" s="1771" t="n"/>
      <c r="BF33" s="1771" t="n"/>
      <c r="BG33" s="1771" t="n"/>
      <c r="BH33" s="1771" t="n"/>
      <c r="BI33" s="1771" t="n"/>
      <c r="BJ33" s="1771" t="n"/>
      <c r="BK33" s="1771" t="n"/>
      <c r="BL33" s="1771" t="n"/>
      <c r="BM33" s="1771" t="n"/>
      <c r="BN33" s="1771" t="n"/>
      <c r="BO33" s="1771" t="n"/>
      <c r="BP33" s="1771" t="n"/>
      <c r="BQ33" s="1771" t="n"/>
      <c r="BR33" s="1771" t="n"/>
      <c r="BS33" s="1771" t="n"/>
      <c r="BT33" s="1771" t="n"/>
      <c r="BU33" s="1771" t="n"/>
      <c r="BV33" s="1771" t="n"/>
      <c r="BW33" s="1771" t="n"/>
      <c r="BX33" s="1771" t="n"/>
      <c r="BY33" s="1771" t="n"/>
      <c r="BZ33" s="1771" t="n"/>
      <c r="CA33" s="1771" t="n"/>
      <c r="CB33" s="1771" t="n"/>
      <c r="CC33" s="1771" t="n"/>
      <c r="CD33" s="1771" t="n"/>
      <c r="CE33" s="1771" t="n"/>
      <c r="CF33" s="1771" t="n"/>
      <c r="CG33" s="1771" t="n"/>
      <c r="CH33" s="1771" t="n"/>
      <c r="CI33" s="1771" t="n"/>
      <c r="CJ33" s="1771" t="n"/>
      <c r="CK33" s="1771" t="n"/>
      <c r="CL33" s="1771" t="n"/>
      <c r="CM33" s="1771" t="n"/>
      <c r="CN33" s="1771" t="n"/>
      <c r="CO33" s="1771" t="n"/>
      <c r="CP33" s="1771" t="n"/>
      <c r="CQ33" s="1771" t="n"/>
      <c r="CR33" s="1771" t="n"/>
      <c r="CS33" s="1771" t="n"/>
      <c r="CT33" s="1771" t="n"/>
      <c r="CU33" s="1771" t="n"/>
      <c r="CV33" s="1771" t="n"/>
      <c r="CW33" s="1771" t="n"/>
      <c r="CX33" s="1771" t="n"/>
      <c r="CY33" s="1771" t="n"/>
    </row>
    <row r="34">
      <c r="A34" s="1771" t="n"/>
      <c r="B34" s="1771" t="n"/>
      <c r="C34" s="1771" t="n"/>
      <c r="D34" s="1771" t="n"/>
      <c r="E34" s="1771" t="n"/>
      <c r="F34" s="1771" t="n"/>
      <c r="G34" s="1771" t="n"/>
      <c r="H34" s="1771" t="n"/>
      <c r="I34" s="1771" t="n"/>
      <c r="J34" s="1771" t="n"/>
      <c r="K34" s="1771" t="n"/>
      <c r="L34" s="1771" t="n"/>
      <c r="M34" s="1771" t="n"/>
      <c r="N34" s="1771" t="n"/>
      <c r="O34" s="1771" t="n"/>
      <c r="P34" s="1771" t="n"/>
      <c r="Q34" s="1771" t="n"/>
      <c r="R34" s="1771" t="n"/>
      <c r="S34" s="1771" t="n"/>
      <c r="T34" s="1771" t="n"/>
      <c r="U34" s="1771" t="n"/>
      <c r="V34" s="1771" t="n"/>
      <c r="W34" s="1771" t="n"/>
      <c r="X34" s="1771" t="n"/>
      <c r="Y34" s="1771" t="n"/>
      <c r="Z34" s="1771" t="n"/>
      <c r="AA34" s="1771" t="n"/>
      <c r="AB34" s="1771" t="n"/>
      <c r="AC34" s="1771" t="n"/>
      <c r="AD34" s="1771" t="n"/>
      <c r="AE34" s="1771" t="n"/>
      <c r="AF34" s="1771" t="n"/>
      <c r="AG34" s="1771" t="n"/>
      <c r="AH34" s="1771" t="n"/>
      <c r="AI34" s="1771" t="n"/>
      <c r="AJ34" s="1771" t="n"/>
      <c r="AK34" s="1771" t="n"/>
      <c r="AL34" s="1771" t="n"/>
      <c r="AM34" s="1771" t="n"/>
      <c r="AN34" s="1771" t="n"/>
      <c r="AO34" s="1771" t="n"/>
      <c r="AP34" s="1771" t="n"/>
      <c r="AQ34" s="1771" t="n"/>
      <c r="AR34" s="1771" t="n"/>
      <c r="AS34" s="1771" t="n"/>
      <c r="AT34" s="1771" t="n"/>
      <c r="AU34" s="1771" t="n"/>
      <c r="AV34" s="1771" t="n"/>
      <c r="AW34" s="1771" t="n"/>
      <c r="AX34" s="1771" t="n"/>
      <c r="AY34" s="1771" t="n"/>
      <c r="AZ34" s="1771" t="n"/>
      <c r="BA34" s="1771" t="n"/>
      <c r="BB34" s="1771" t="n"/>
      <c r="BC34" s="1771" t="n"/>
      <c r="BD34" s="1771" t="n"/>
      <c r="BE34" s="1771" t="n"/>
      <c r="BF34" s="1771" t="n"/>
      <c r="BG34" s="1771" t="n"/>
      <c r="BH34" s="1771" t="n"/>
      <c r="BI34" s="1771" t="n"/>
      <c r="BJ34" s="1771" t="n"/>
      <c r="BK34" s="1771" t="n"/>
      <c r="BL34" s="1771" t="n"/>
      <c r="BM34" s="1771" t="n"/>
      <c r="BN34" s="1771" t="n"/>
      <c r="BO34" s="1771" t="n"/>
      <c r="BP34" s="1771" t="n"/>
      <c r="BQ34" s="1771" t="n"/>
      <c r="BR34" s="1771" t="n"/>
      <c r="BS34" s="1771" t="n"/>
      <c r="BT34" s="1771" t="n"/>
      <c r="BU34" s="1771" t="n"/>
      <c r="BV34" s="1771" t="n"/>
      <c r="BW34" s="1771" t="n"/>
      <c r="BX34" s="1771" t="n"/>
      <c r="BY34" s="1771" t="n"/>
      <c r="BZ34" s="1771" t="n"/>
      <c r="CA34" s="1771" t="n"/>
      <c r="CB34" s="1771" t="n"/>
      <c r="CC34" s="1771" t="n"/>
      <c r="CD34" s="1771" t="n"/>
      <c r="CE34" s="1771" t="n"/>
      <c r="CF34" s="1771" t="n"/>
      <c r="CG34" s="1771" t="n"/>
      <c r="CH34" s="1771" t="n"/>
      <c r="CI34" s="1771" t="n"/>
      <c r="CJ34" s="1771" t="n"/>
      <c r="CK34" s="1771" t="n"/>
      <c r="CL34" s="1771" t="n"/>
      <c r="CM34" s="1771" t="n"/>
      <c r="CN34" s="1771" t="n"/>
      <c r="CO34" s="1771" t="n"/>
      <c r="CP34" s="1771" t="n"/>
      <c r="CQ34" s="1771" t="n"/>
      <c r="CR34" s="1771" t="n"/>
      <c r="CS34" s="1771" t="n"/>
      <c r="CT34" s="1771" t="n"/>
      <c r="CU34" s="1771" t="n"/>
      <c r="CV34" s="1771" t="n"/>
      <c r="CW34" s="1771" t="n"/>
      <c r="CX34" s="1771" t="n"/>
      <c r="CY34" s="1771" t="n"/>
    </row>
    <row r="35">
      <c r="A35" s="1771" t="n"/>
      <c r="B35" s="1771" t="n"/>
      <c r="C35" s="1771" t="n"/>
      <c r="D35" s="1771" t="n"/>
      <c r="E35" s="1771" t="n"/>
      <c r="F35" s="1771" t="n"/>
      <c r="G35" s="1771" t="n"/>
      <c r="H35" s="1771" t="n"/>
      <c r="I35" s="1771" t="n"/>
      <c r="J35" s="1771" t="n"/>
      <c r="K35" s="1771" t="n"/>
      <c r="L35" s="1771" t="n"/>
      <c r="M35" s="1771" t="n"/>
      <c r="N35" s="1771" t="n"/>
      <c r="O35" s="1771" t="n"/>
      <c r="P35" s="1771" t="n"/>
      <c r="Q35" s="1771" t="n"/>
      <c r="R35" s="1771" t="n"/>
      <c r="S35" s="1771" t="n"/>
      <c r="T35" s="1771" t="n"/>
      <c r="U35" s="1771" t="n"/>
      <c r="V35" s="1771" t="n"/>
      <c r="W35" s="1771" t="n"/>
      <c r="X35" s="1771" t="n"/>
      <c r="Y35" s="1771" t="n"/>
      <c r="Z35" s="1771" t="n"/>
      <c r="AA35" s="1771" t="n"/>
      <c r="AB35" s="1771" t="n"/>
      <c r="AC35" s="1771" t="n"/>
      <c r="AD35" s="1771" t="n"/>
      <c r="AE35" s="1771" t="n"/>
      <c r="AF35" s="1771" t="n"/>
      <c r="AG35" s="1771" t="n"/>
      <c r="AH35" s="1771" t="n"/>
      <c r="AI35" s="1771" t="n"/>
      <c r="AJ35" s="1771" t="n"/>
      <c r="AK35" s="1771" t="n"/>
      <c r="AL35" s="1771" t="n"/>
      <c r="AM35" s="1771" t="n"/>
      <c r="AN35" s="1771" t="n"/>
      <c r="AO35" s="1771" t="n"/>
      <c r="AP35" s="1771" t="n"/>
      <c r="AQ35" s="1771" t="n"/>
      <c r="AR35" s="1771" t="n"/>
      <c r="AS35" s="1771" t="n"/>
      <c r="AT35" s="1771" t="n"/>
      <c r="AU35" s="1771" t="n"/>
      <c r="AV35" s="1771" t="n"/>
      <c r="AW35" s="1771" t="n"/>
      <c r="AX35" s="1771" t="n"/>
      <c r="AY35" s="1771" t="n"/>
      <c r="AZ35" s="1771" t="n"/>
      <c r="BA35" s="1771" t="n"/>
      <c r="BB35" s="1771" t="n"/>
      <c r="BC35" s="1771" t="n"/>
      <c r="BD35" s="1771" t="n"/>
      <c r="BE35" s="1771" t="n"/>
      <c r="BF35" s="1771" t="n"/>
      <c r="BG35" s="1771" t="n"/>
      <c r="BH35" s="1771" t="n"/>
      <c r="BI35" s="1771" t="n"/>
      <c r="BJ35" s="1771" t="n"/>
      <c r="BK35" s="1771" t="n"/>
      <c r="BL35" s="1771" t="n"/>
      <c r="BM35" s="1771" t="n"/>
      <c r="BN35" s="1771" t="n"/>
      <c r="BO35" s="1771" t="n"/>
      <c r="BP35" s="1771" t="n"/>
      <c r="BQ35" s="1771" t="n"/>
      <c r="BR35" s="1771" t="n"/>
      <c r="BS35" s="1771" t="n"/>
      <c r="BT35" s="1771" t="n"/>
      <c r="BU35" s="1771" t="n"/>
      <c r="BV35" s="1771" t="n"/>
      <c r="BW35" s="1771" t="n"/>
      <c r="BX35" s="1771" t="n"/>
      <c r="BY35" s="1771" t="n"/>
      <c r="BZ35" s="1771" t="n"/>
      <c r="CA35" s="1771" t="n"/>
      <c r="CB35" s="1771" t="n"/>
      <c r="CC35" s="1771" t="n"/>
      <c r="CD35" s="1771" t="n"/>
      <c r="CE35" s="1771" t="n"/>
      <c r="CF35" s="1771" t="n"/>
      <c r="CG35" s="1771" t="n"/>
      <c r="CH35" s="1771" t="n"/>
      <c r="CI35" s="1771" t="n"/>
      <c r="CJ35" s="1771" t="n"/>
      <c r="CK35" s="1771" t="n"/>
      <c r="CL35" s="1771" t="n"/>
      <c r="CM35" s="1771" t="n"/>
      <c r="CN35" s="1771" t="n"/>
      <c r="CO35" s="1771" t="n"/>
      <c r="CP35" s="1771" t="n"/>
      <c r="CQ35" s="1771" t="n"/>
      <c r="CR35" s="1771" t="n"/>
      <c r="CS35" s="1771" t="n"/>
      <c r="CT35" s="1771" t="n"/>
      <c r="CU35" s="1771" t="n"/>
      <c r="CV35" s="1771" t="n"/>
      <c r="CW35" s="1771" t="n"/>
      <c r="CX35" s="1771" t="n"/>
      <c r="CY35" s="1771" t="n"/>
    </row>
    <row r="36">
      <c r="A36" s="1771" t="n"/>
      <c r="B36" s="1771" t="n"/>
      <c r="C36" s="1771" t="n"/>
      <c r="D36" s="1771" t="n"/>
      <c r="E36" s="1771" t="n"/>
      <c r="F36" s="1771" t="n"/>
      <c r="G36" s="1771" t="n"/>
      <c r="H36" s="1771" t="n"/>
      <c r="I36" s="1771" t="n"/>
      <c r="J36" s="1771" t="n"/>
      <c r="K36" s="1771" t="n"/>
      <c r="L36" s="1771" t="n"/>
      <c r="M36" s="1771" t="n"/>
      <c r="N36" s="1771" t="n"/>
      <c r="O36" s="1771" t="n"/>
      <c r="P36" s="1771" t="n"/>
      <c r="Q36" s="1771" t="n"/>
      <c r="R36" s="1771" t="n"/>
      <c r="S36" s="1771" t="n"/>
      <c r="T36" s="1771" t="n"/>
      <c r="U36" s="1771" t="n"/>
      <c r="V36" s="1771" t="n"/>
      <c r="W36" s="1771" t="n"/>
      <c r="X36" s="1771" t="n"/>
      <c r="Y36" s="1771" t="n"/>
      <c r="Z36" s="1771" t="n"/>
      <c r="AA36" s="1771" t="n"/>
      <c r="AB36" s="1771" t="n"/>
      <c r="AC36" s="1771" t="n"/>
      <c r="AD36" s="1771" t="n"/>
      <c r="AE36" s="1771" t="n"/>
      <c r="AF36" s="1771" t="n"/>
      <c r="AG36" s="1771" t="n"/>
      <c r="AH36" s="1771" t="n"/>
      <c r="AI36" s="1771" t="n"/>
      <c r="AJ36" s="1771" t="n"/>
      <c r="AK36" s="1771" t="n"/>
      <c r="AL36" s="1771" t="n"/>
      <c r="AM36" s="1771" t="n"/>
      <c r="AN36" s="1771" t="n"/>
      <c r="AO36" s="1771" t="n"/>
      <c r="AP36" s="1771" t="n"/>
      <c r="AQ36" s="1771" t="n"/>
      <c r="AR36" s="1771" t="n"/>
      <c r="AS36" s="1771" t="n"/>
      <c r="AT36" s="1771" t="n"/>
      <c r="AU36" s="1771" t="n"/>
      <c r="AV36" s="1771" t="n"/>
      <c r="AW36" s="1771" t="n"/>
      <c r="AX36" s="1771" t="n"/>
      <c r="AY36" s="1771" t="n"/>
      <c r="AZ36" s="1771" t="n"/>
      <c r="BA36" s="1771" t="n"/>
      <c r="BB36" s="1771" t="n"/>
      <c r="BC36" s="1771" t="n"/>
      <c r="BD36" s="1771" t="n"/>
      <c r="BE36" s="1771" t="n"/>
      <c r="BF36" s="1771" t="n"/>
      <c r="BG36" s="1771" t="n"/>
      <c r="BH36" s="1771" t="n"/>
      <c r="BI36" s="1771" t="n"/>
      <c r="BJ36" s="1771" t="n"/>
      <c r="BK36" s="1771" t="n"/>
      <c r="BL36" s="1771" t="n"/>
      <c r="BM36" s="1771" t="n"/>
      <c r="BN36" s="1771" t="n"/>
      <c r="BO36" s="1771" t="n"/>
      <c r="BP36" s="1771" t="n"/>
      <c r="BQ36" s="1771" t="n"/>
      <c r="BR36" s="1771" t="n"/>
      <c r="BS36" s="1771" t="n"/>
      <c r="BT36" s="1771" t="n"/>
      <c r="BU36" s="1771" t="n"/>
      <c r="BV36" s="1771" t="n"/>
      <c r="BW36" s="1771" t="n"/>
      <c r="BX36" s="1771" t="n"/>
      <c r="BY36" s="1771" t="n"/>
      <c r="BZ36" s="1771" t="n"/>
      <c r="CA36" s="1771" t="n"/>
      <c r="CB36" s="1771" t="n"/>
      <c r="CC36" s="1771" t="n"/>
      <c r="CD36" s="1771" t="n"/>
      <c r="CE36" s="1771" t="n"/>
      <c r="CF36" s="1771" t="n"/>
      <c r="CG36" s="1771" t="n"/>
      <c r="CH36" s="1771" t="n"/>
      <c r="CI36" s="1771" t="n"/>
      <c r="CJ36" s="1771" t="n"/>
      <c r="CK36" s="1771" t="n"/>
      <c r="CL36" s="1771" t="n"/>
      <c r="CM36" s="1771" t="n"/>
      <c r="CN36" s="1771" t="n"/>
      <c r="CO36" s="1771" t="n"/>
      <c r="CP36" s="1771" t="n"/>
      <c r="CQ36" s="1771" t="n"/>
      <c r="CR36" s="1771" t="n"/>
      <c r="CS36" s="1771" t="n"/>
      <c r="CT36" s="1771" t="n"/>
      <c r="CU36" s="1771" t="n"/>
      <c r="CV36" s="1771" t="n"/>
      <c r="CW36" s="1771" t="n"/>
      <c r="CX36" s="1771" t="n"/>
      <c r="CY36" s="1771" t="n"/>
    </row>
    <row r="37" ht="47.25" customHeight="1">
      <c r="A37" s="1771" t="n"/>
      <c r="B37" s="1767" t="n"/>
      <c r="C37" s="2172">
        <f>Languages!B564</f>
        <v/>
      </c>
      <c r="D37" s="2172" t="n"/>
      <c r="E37" s="2057" t="n"/>
      <c r="F37" s="1769" t="n"/>
      <c r="G37" s="1769" t="n"/>
      <c r="H37" s="1769" t="n"/>
      <c r="I37" s="1769" t="n"/>
      <c r="J37" s="1769" t="n"/>
      <c r="K37" s="1769" t="n"/>
      <c r="L37" s="1769" t="n"/>
      <c r="M37" s="1769" t="n"/>
      <c r="N37" s="1769" t="n"/>
      <c r="O37" s="1769" t="n"/>
      <c r="P37" s="1769" t="n"/>
      <c r="Q37" s="1769" t="n"/>
      <c r="R37" s="1769" t="n"/>
      <c r="S37" s="1769" t="n"/>
      <c r="T37" s="1769" t="n"/>
      <c r="U37" s="1769" t="n"/>
      <c r="V37" s="1769" t="n"/>
      <c r="W37" s="1769" t="n"/>
      <c r="X37" s="1769" t="n"/>
      <c r="Y37" s="1769" t="n"/>
      <c r="Z37" s="1769" t="n"/>
      <c r="AA37" s="1769" t="n"/>
      <c r="AB37" s="1769" t="n"/>
      <c r="AC37" s="1769" t="n"/>
      <c r="AD37" s="1769" t="n"/>
      <c r="AE37" s="1769" t="n"/>
      <c r="AF37" s="1767" t="n"/>
      <c r="AG37" s="1979">
        <f>AG6</f>
        <v/>
      </c>
      <c r="AH37" s="1769" t="n"/>
      <c r="AI37" s="1769" t="n"/>
      <c r="AJ37" s="1769" t="n"/>
      <c r="AK37" s="1771" t="n"/>
      <c r="AL37" s="1771" t="n"/>
      <c r="AM37" s="1771" t="n"/>
      <c r="AN37" s="1771" t="n"/>
      <c r="AO37" s="1771" t="n"/>
      <c r="AP37" s="1771" t="n"/>
      <c r="AQ37" s="1771" t="n"/>
      <c r="AR37" s="1771" t="n"/>
      <c r="AS37" s="1771" t="n"/>
      <c r="AT37" s="1771" t="n"/>
      <c r="AU37" s="1771" t="n"/>
      <c r="AV37" s="1771" t="n"/>
      <c r="AW37" s="1771" t="n"/>
      <c r="AX37" s="1771" t="n"/>
      <c r="AY37" s="1771" t="n"/>
      <c r="AZ37" s="1771" t="n"/>
      <c r="BA37" s="1771" t="n"/>
      <c r="BB37" s="1771" t="n"/>
      <c r="BC37" s="1771" t="n"/>
      <c r="BD37" s="1771" t="n"/>
      <c r="BE37" s="1771" t="n"/>
      <c r="BF37" s="1771" t="n"/>
      <c r="BG37" s="1771" t="n"/>
      <c r="BH37" s="1771" t="n"/>
      <c r="BI37" s="1771" t="n"/>
      <c r="BJ37" s="1771" t="n"/>
      <c r="BK37" s="1771" t="n"/>
      <c r="BL37" s="1771" t="n"/>
      <c r="BM37" s="1771" t="n"/>
      <c r="BN37" s="1771" t="n"/>
      <c r="BO37" s="1771" t="n"/>
      <c r="BP37" s="1771" t="n"/>
      <c r="BQ37" s="4248" t="n"/>
      <c r="BR37" s="4249">
        <f>C37</f>
        <v/>
      </c>
      <c r="BS37" s="2172" t="n"/>
      <c r="BT37" s="2172" t="n"/>
      <c r="BU37" s="2172" t="n"/>
      <c r="BV37" s="2172" t="n"/>
      <c r="BW37" s="2172" t="n"/>
      <c r="BX37" s="2172" t="n"/>
      <c r="BY37" s="2172" t="n"/>
      <c r="BZ37" s="2172" t="n"/>
      <c r="CA37" s="2172" t="n"/>
      <c r="CB37" s="2172" t="n"/>
      <c r="CC37" s="2172" t="n"/>
      <c r="CD37" s="2172" t="n"/>
      <c r="CE37" s="2172" t="n"/>
      <c r="CF37" s="2172" t="n"/>
      <c r="CG37" s="2172" t="n"/>
      <c r="CH37" s="2172" t="n"/>
      <c r="CI37" s="2172" t="n"/>
      <c r="CJ37" s="2172" t="n"/>
      <c r="CK37" s="2172" t="n"/>
      <c r="CL37" s="1771" t="n"/>
      <c r="CM37" s="4404" t="inlineStr">
        <is>
          <t>Annual balance</t>
        </is>
      </c>
      <c r="CN37" s="4404" t="n"/>
      <c r="CO37" s="4404" t="n"/>
      <c r="CP37" s="1771" t="n"/>
      <c r="CQ37" s="1771" t="n"/>
      <c r="CR37" s="1771" t="n"/>
      <c r="CS37" s="1771" t="n"/>
      <c r="CT37" s="1771" t="n"/>
      <c r="CU37" s="1771" t="n"/>
      <c r="CV37" s="1771" t="n"/>
      <c r="CW37" s="1771" t="n"/>
      <c r="CX37" s="1771" t="n"/>
      <c r="CY37" s="1771" t="n"/>
    </row>
    <row r="38">
      <c r="A38" s="1771" t="n"/>
      <c r="B38" s="1771" t="n"/>
      <c r="C38" s="1771" t="n"/>
      <c r="D38" s="1771" t="n"/>
      <c r="E38" s="1771" t="n"/>
      <c r="F38" s="1771" t="n"/>
      <c r="G38" s="1771" t="n"/>
      <c r="H38" s="1771" t="n"/>
      <c r="I38" s="1771" t="n"/>
      <c r="J38" s="1771" t="n"/>
      <c r="K38" s="1771" t="n"/>
      <c r="L38" s="1771" t="n"/>
      <c r="M38" s="1771" t="n"/>
      <c r="N38" s="1771" t="n"/>
      <c r="O38" s="1771" t="n"/>
      <c r="P38" s="1771" t="n"/>
      <c r="Q38" s="1771" t="n"/>
      <c r="R38" s="1771" t="n"/>
      <c r="S38" s="1771" t="n"/>
      <c r="T38" s="1771" t="n"/>
      <c r="U38" s="1771" t="n"/>
      <c r="V38" s="1771" t="n"/>
      <c r="W38" s="1771" t="n"/>
      <c r="X38" s="1771" t="n"/>
      <c r="Y38" s="1771" t="n"/>
      <c r="Z38" s="1771" t="n"/>
      <c r="AA38" s="1771" t="n"/>
      <c r="AB38" s="1771" t="n"/>
      <c r="AC38" s="1771" t="n"/>
      <c r="AD38" s="1771" t="n"/>
      <c r="AE38" s="1771" t="n"/>
      <c r="AF38" s="1771" t="n"/>
      <c r="AG38" s="1771" t="n"/>
      <c r="AH38" s="1771" t="n"/>
      <c r="AI38" s="1771" t="n"/>
      <c r="AJ38" s="1771" t="n"/>
      <c r="AK38" s="1771" t="n"/>
      <c r="AL38" s="1771" t="n"/>
      <c r="AM38" s="1771" t="n"/>
      <c r="AN38" s="1771" t="n"/>
      <c r="AO38" s="1771" t="n"/>
      <c r="AP38" s="1771" t="n"/>
      <c r="AQ38" s="1771" t="n"/>
      <c r="AR38" s="1771" t="n"/>
      <c r="AS38" s="1771" t="n"/>
      <c r="AT38" s="1771" t="n"/>
      <c r="AU38" s="1771" t="n"/>
      <c r="AV38" s="1771" t="n"/>
      <c r="AW38" s="1771" t="n"/>
      <c r="AX38" s="1771" t="n"/>
      <c r="AY38" s="1771" t="n"/>
      <c r="AZ38" s="1771" t="n"/>
      <c r="BA38" s="1771" t="n"/>
      <c r="BB38" s="1771" t="n"/>
      <c r="BC38" s="1771" t="n"/>
      <c r="BD38" s="1771" t="n"/>
      <c r="BE38" s="1771" t="n"/>
      <c r="BF38" s="1771" t="n"/>
      <c r="BG38" s="1771" t="n"/>
      <c r="BH38" s="1771" t="n"/>
      <c r="BI38" s="1771" t="n"/>
      <c r="BJ38" s="1771" t="n"/>
      <c r="BK38" s="1771" t="n"/>
      <c r="BL38" s="1771" t="n"/>
      <c r="BM38" s="1771" t="n"/>
      <c r="BN38" s="1771" t="n"/>
      <c r="BO38" s="1771" t="n"/>
      <c r="BP38" s="1771" t="n"/>
      <c r="BQ38" s="1782" t="n"/>
      <c r="BR38" s="1782" t="n"/>
      <c r="BS38" s="1782" t="n"/>
      <c r="BT38" s="1782" t="n"/>
      <c r="BU38" s="1782" t="n"/>
      <c r="BV38" s="1782" t="n"/>
      <c r="BW38" s="1782" t="n"/>
      <c r="BX38" s="1782" t="n"/>
      <c r="BY38" s="1782" t="n"/>
      <c r="BZ38" s="1782" t="n"/>
      <c r="CA38" s="1782" t="n"/>
      <c r="CB38" s="1782" t="n"/>
      <c r="CC38" s="1782" t="n"/>
      <c r="CD38" s="1782" t="n"/>
      <c r="CE38" s="1782" t="n"/>
      <c r="CF38" s="1782" t="n"/>
      <c r="CG38" s="1782" t="n"/>
      <c r="CH38" s="1782" t="n"/>
      <c r="CI38" s="1782" t="n"/>
      <c r="CJ38" s="1782" t="n"/>
      <c r="CK38" s="1782" t="n"/>
      <c r="CL38" s="1771" t="n"/>
      <c r="CM38" s="1782" t="n"/>
      <c r="CN38" s="1782" t="n"/>
      <c r="CO38" s="1782" t="n"/>
      <c r="CP38" s="1771" t="n"/>
      <c r="CQ38" s="1771" t="n"/>
      <c r="CR38" s="1771" t="n"/>
      <c r="CS38" s="1771" t="n"/>
      <c r="CT38" s="1771" t="n"/>
      <c r="CU38" s="1771" t="n"/>
      <c r="CV38" s="1771" t="n"/>
      <c r="CW38" s="1771" t="n"/>
      <c r="CX38" s="1771" t="n"/>
      <c r="CY38" s="1771" t="n"/>
    </row>
    <row r="39">
      <c r="A39" s="1771" t="n"/>
      <c r="B39" s="1781" t="n"/>
      <c r="C39" s="1781">
        <f>C8</f>
        <v/>
      </c>
      <c r="D39" s="1781" t="n"/>
      <c r="E39" s="1781" t="n"/>
      <c r="F39" s="1781" t="n"/>
      <c r="G39" s="1781" t="n"/>
      <c r="H39" s="1781" t="n"/>
      <c r="I39" s="1781" t="n"/>
      <c r="J39" s="1781" t="n"/>
      <c r="K39" s="1781" t="n"/>
      <c r="L39" s="1781" t="n"/>
      <c r="M39" s="1781" t="n"/>
      <c r="N39" s="1781" t="n"/>
      <c r="O39" s="1781" t="n"/>
      <c r="P39" s="1781" t="n"/>
      <c r="Q39" s="1781" t="n"/>
      <c r="R39" s="1781" t="n"/>
      <c r="S39" s="1781" t="n"/>
      <c r="T39" s="1781" t="n"/>
      <c r="U39" s="1781" t="n"/>
      <c r="V39" s="1781" t="n"/>
      <c r="W39" s="1781" t="n"/>
      <c r="X39" s="1781" t="n"/>
      <c r="Y39" s="1781" t="n"/>
      <c r="Z39" s="1781" t="n"/>
      <c r="AA39" s="1781" t="n"/>
      <c r="AB39" s="1781" t="n"/>
      <c r="AC39" s="1781" t="n"/>
      <c r="AD39" s="1781" t="n"/>
      <c r="AE39" s="1781" t="n"/>
      <c r="AF39" s="1781" t="n"/>
      <c r="AG39" s="1781" t="n"/>
      <c r="AH39" s="1781" t="n"/>
      <c r="AI39" s="1781" t="n"/>
      <c r="AJ39" s="1781" t="n"/>
      <c r="AK39" s="1771" t="n"/>
      <c r="AL39" s="1771" t="n"/>
      <c r="AM39" s="1771" t="n"/>
      <c r="AN39" s="1771" t="n"/>
      <c r="AO39" s="1771" t="n"/>
      <c r="AP39" s="1771" t="n"/>
      <c r="AQ39" s="1771" t="n"/>
      <c r="AR39" s="1771" t="n"/>
      <c r="AS39" s="1771" t="n"/>
      <c r="AT39" s="1771" t="n"/>
      <c r="AU39" s="1771" t="n"/>
      <c r="AV39" s="1771" t="n"/>
      <c r="AW39" s="1771" t="n"/>
      <c r="AX39" s="1771" t="n"/>
      <c r="AY39" s="1771" t="n"/>
      <c r="AZ39" s="1771" t="n"/>
      <c r="BA39" s="1771" t="n"/>
      <c r="BB39" s="1771" t="n"/>
      <c r="BC39" s="1771" t="n"/>
      <c r="BD39" s="1771" t="n"/>
      <c r="BE39" s="1771" t="n"/>
      <c r="BF39" s="1771" t="n"/>
      <c r="BG39" s="1771" t="n"/>
      <c r="BH39" s="1771" t="n"/>
      <c r="BI39" s="1771" t="n"/>
      <c r="BJ39" s="1771" t="n"/>
      <c r="BK39" s="1771" t="n"/>
      <c r="BL39" s="1771" t="n"/>
      <c r="BM39" s="1771" t="n"/>
      <c r="BN39" s="1771" t="n"/>
      <c r="BO39" s="1771" t="n"/>
      <c r="BP39" s="1771" t="n"/>
      <c r="BQ39" s="1782" t="n"/>
      <c r="BR39" s="1782" t="n"/>
      <c r="BS39" s="1782" t="n"/>
      <c r="BT39" s="1782" t="n"/>
      <c r="BU39" s="1782">
        <f>BU8</f>
        <v/>
      </c>
      <c r="BV39" s="4258" t="n"/>
      <c r="BW39" s="4258" t="n"/>
      <c r="BX39" s="4258" t="n"/>
      <c r="BY39" s="4258" t="n"/>
      <c r="BZ39" s="4258" t="n"/>
      <c r="CA39" s="1782" t="n"/>
      <c r="CB39" s="1782" t="n"/>
      <c r="CC39" s="1782" t="n"/>
      <c r="CD39" s="1782" t="n"/>
      <c r="CE39" s="2338">
        <f>CE8</f>
        <v/>
      </c>
      <c r="CF39" s="1785" t="n"/>
      <c r="CG39" s="1785" t="n"/>
      <c r="CH39" s="1785" t="n"/>
      <c r="CI39" s="1785" t="n"/>
      <c r="CJ39" s="1785" t="n"/>
      <c r="CK39" s="1782" t="n"/>
      <c r="CL39" s="1771" t="n"/>
      <c r="CM39" s="1890" t="inlineStr">
        <is>
          <t xml:space="preserve">Start year of </t>
        </is>
      </c>
      <c r="CN39" s="1890" t="n"/>
      <c r="CO39" s="1997" t="n"/>
      <c r="CP39" s="1771" t="n"/>
      <c r="CQ39" s="1771" t="n"/>
      <c r="CR39" s="1771" t="n"/>
      <c r="CS39" s="1771" t="n"/>
      <c r="CT39" s="1771" t="n"/>
      <c r="CU39" s="1771" t="n"/>
      <c r="CV39" s="1771" t="n"/>
      <c r="CW39" s="1771" t="n"/>
      <c r="CX39" s="1771" t="n"/>
      <c r="CY39" s="1771" t="n"/>
    </row>
    <row r="40">
      <c r="A40" s="1771" t="n"/>
      <c r="B40" s="1781" t="n"/>
      <c r="C40" s="1781" t="n"/>
      <c r="D40" s="1781" t="n"/>
      <c r="E40" s="1781" t="n"/>
      <c r="F40" s="1781" t="n"/>
      <c r="G40" s="1781" t="n"/>
      <c r="H40" s="1781" t="n"/>
      <c r="I40" s="1781" t="n"/>
      <c r="J40" s="1781" t="n"/>
      <c r="K40" s="1781" t="n"/>
      <c r="L40" s="1781" t="n"/>
      <c r="M40" s="1781" t="n"/>
      <c r="N40" s="1781" t="n"/>
      <c r="O40" s="1781" t="n"/>
      <c r="P40" s="1781" t="n"/>
      <c r="Q40" s="1781" t="n"/>
      <c r="R40" s="1781" t="n"/>
      <c r="S40" s="1781" t="n"/>
      <c r="T40" s="1781" t="n"/>
      <c r="U40" s="1781" t="n"/>
      <c r="V40" s="1781" t="n"/>
      <c r="W40" s="1781" t="n"/>
      <c r="X40" s="1781" t="n"/>
      <c r="Y40" s="1781" t="n"/>
      <c r="Z40" s="1781" t="n"/>
      <c r="AA40" s="1781" t="n"/>
      <c r="AB40" s="1781" t="n"/>
      <c r="AC40" s="1781" t="n"/>
      <c r="AD40" s="1781" t="n"/>
      <c r="AE40" s="1781" t="n"/>
      <c r="AF40" s="1781" t="n"/>
      <c r="AG40" s="1781" t="n"/>
      <c r="AH40" s="1781" t="n"/>
      <c r="AI40" s="1781" t="n"/>
      <c r="AJ40" s="1781" t="n"/>
      <c r="AK40" s="1771" t="n"/>
      <c r="AL40" s="1771" t="n"/>
      <c r="AM40" s="1771" t="n"/>
      <c r="AN40" s="1771" t="n"/>
      <c r="AO40" s="1771" t="n"/>
      <c r="AP40" s="1771" t="n"/>
      <c r="AQ40" s="1771" t="n"/>
      <c r="AR40" s="1771" t="n"/>
      <c r="AS40" s="1771" t="n"/>
      <c r="AT40" s="1771" t="n"/>
      <c r="AU40" s="1771" t="n"/>
      <c r="AV40" s="1771" t="n"/>
      <c r="AW40" s="1771" t="n"/>
      <c r="AX40" s="1771" t="n"/>
      <c r="AY40" s="1771" t="n"/>
      <c r="AZ40" s="1771" t="n"/>
      <c r="BA40" s="1771" t="n"/>
      <c r="BB40" s="1771" t="n"/>
      <c r="BC40" s="1771" t="n"/>
      <c r="BD40" s="1771" t="n"/>
      <c r="BE40" s="1771" t="n"/>
      <c r="BF40" s="1771" t="n"/>
      <c r="BG40" s="1771" t="n"/>
      <c r="BH40" s="1771" t="n"/>
      <c r="BI40" s="1771" t="n"/>
      <c r="BJ40" s="1771" t="n"/>
      <c r="BK40" s="1771" t="n"/>
      <c r="BL40" s="1771" t="n"/>
      <c r="BM40" s="1771" t="n"/>
      <c r="BN40" s="1771" t="n"/>
      <c r="BO40" s="1771" t="n"/>
      <c r="BP40" s="1771" t="n"/>
      <c r="BQ40" s="1782" t="n"/>
      <c r="BR40" s="1782" t="n"/>
      <c r="BS40" s="1782" t="n"/>
      <c r="BT40" s="1782" t="n"/>
      <c r="BU40" s="1782" t="n"/>
      <c r="BV40" s="2609">
        <f>BV9</f>
        <v/>
      </c>
      <c r="BW40" s="2609" t="n"/>
      <c r="BX40" s="2344">
        <f>AVERAGE(IPCC!B1739:B1741)</f>
        <v/>
      </c>
      <c r="BY40" s="1782" t="n"/>
      <c r="BZ40" s="2129" t="n"/>
      <c r="CA40" s="1782" t="n"/>
      <c r="CB40" s="1782" t="n"/>
      <c r="CC40" s="1782" t="n"/>
      <c r="CD40" s="1782" t="n"/>
      <c r="CE40" s="1782" t="n"/>
      <c r="CF40" s="1782" t="n"/>
      <c r="CG40" s="1782" t="n"/>
      <c r="CH40" s="1782">
        <f>CH9</f>
        <v/>
      </c>
      <c r="CI40" s="1782" t="n"/>
      <c r="CJ40" s="1782" t="n"/>
      <c r="CK40" s="1782" t="n"/>
      <c r="CL40" s="1771" t="n"/>
      <c r="CM40" s="2015" t="inlineStr">
        <is>
          <t>implementation</t>
        </is>
      </c>
      <c r="CN40" s="2015" t="n"/>
      <c r="CO40" s="1997" t="n"/>
      <c r="CP40" s="1771" t="n"/>
      <c r="CQ40" s="1771" t="n"/>
      <c r="CR40" s="1771" t="n"/>
      <c r="CS40" s="1771" t="n"/>
      <c r="CT40" s="1771" t="n"/>
      <c r="CU40" s="1771" t="n"/>
      <c r="CV40" s="1771" t="n"/>
      <c r="CW40" s="1771" t="n"/>
      <c r="CX40" s="1771" t="n"/>
      <c r="CY40" s="1771" t="n"/>
    </row>
    <row r="41">
      <c r="A41" s="1771" t="n"/>
      <c r="B41" s="1781" t="n"/>
      <c r="C41" s="1826">
        <f>C10</f>
        <v/>
      </c>
      <c r="D41" s="1781" t="n"/>
      <c r="E41" s="1781" t="n"/>
      <c r="F41" s="1781" t="n"/>
      <c r="G41" s="1781" t="n"/>
      <c r="H41" s="1781" t="n"/>
      <c r="I41" s="1781" t="n"/>
      <c r="J41" s="1781" t="n"/>
      <c r="K41" s="1781" t="n"/>
      <c r="L41" s="1781" t="n"/>
      <c r="M41" s="1781" t="n"/>
      <c r="N41" s="1781" t="n"/>
      <c r="O41" s="1781" t="n"/>
      <c r="P41" s="1781" t="n"/>
      <c r="Q41" s="1781" t="n"/>
      <c r="R41" s="1781" t="n"/>
      <c r="S41" s="1781" t="n"/>
      <c r="T41" s="1781" t="n"/>
      <c r="U41" s="1781" t="n"/>
      <c r="V41" s="1781" t="n"/>
      <c r="W41" s="1781" t="n"/>
      <c r="X41" s="1781" t="n"/>
      <c r="Y41" s="1781" t="n"/>
      <c r="Z41" s="1781" t="n"/>
      <c r="AA41" s="1781" t="n"/>
      <c r="AB41" s="1781" t="n"/>
      <c r="AC41" s="1781" t="n"/>
      <c r="AD41" s="1781" t="n"/>
      <c r="AE41" s="1781" t="n"/>
      <c r="AF41" s="1781" t="n"/>
      <c r="AG41" s="1781" t="n"/>
      <c r="AH41" s="1781" t="n"/>
      <c r="AI41" s="1781" t="n"/>
      <c r="AJ41" s="1781" t="n"/>
      <c r="AK41" s="1771" t="n"/>
      <c r="AL41" s="1771" t="n"/>
      <c r="AM41" s="1771" t="n"/>
      <c r="AN41" s="1771" t="n"/>
      <c r="AO41" s="1771" t="n"/>
      <c r="AP41" s="1771" t="n"/>
      <c r="AQ41" s="1771" t="n"/>
      <c r="AR41" s="1771" t="n"/>
      <c r="AS41" s="1771" t="n"/>
      <c r="AT41" s="1771" t="n"/>
      <c r="AU41" s="1771" t="n"/>
      <c r="AV41" s="1771" t="n"/>
      <c r="AW41" s="1771" t="n"/>
      <c r="AX41" s="1771" t="n"/>
      <c r="AY41" s="1771" t="n"/>
      <c r="AZ41" s="1771" t="n"/>
      <c r="BA41" s="1771" t="n"/>
      <c r="BB41" s="1771" t="n"/>
      <c r="BC41" s="1771" t="n"/>
      <c r="BD41" s="1771" t="n"/>
      <c r="BE41" s="1771" t="n"/>
      <c r="BF41" s="1771" t="n"/>
      <c r="BG41" s="1771" t="n"/>
      <c r="BH41" s="1771" t="n"/>
      <c r="BI41" s="1771" t="n"/>
      <c r="BJ41" s="1771" t="n"/>
      <c r="BK41" s="1771" t="n"/>
      <c r="BL41" s="1771" t="n"/>
      <c r="BM41" s="1771" t="n"/>
      <c r="BN41" s="1771" t="n"/>
      <c r="BO41" s="1771" t="n"/>
      <c r="BP41" s="1771" t="n"/>
      <c r="BQ41" s="1782" t="n"/>
      <c r="BR41" s="1782" t="n"/>
      <c r="BS41" s="1782" t="n"/>
      <c r="BT41" s="1782" t="n"/>
      <c r="BU41" s="1782" t="n"/>
      <c r="BV41" s="1782" t="n"/>
      <c r="BW41" s="1782" t="n"/>
      <c r="BX41" s="1782" t="n"/>
      <c r="BY41" s="1782" t="n"/>
      <c r="BZ41" s="1782" t="n"/>
      <c r="CA41" s="1782" t="n"/>
      <c r="CB41" s="1782" t="n"/>
      <c r="CC41" s="1782" t="n"/>
      <c r="CD41" s="1782" t="n"/>
      <c r="CE41" s="4579">
        <f>CE10</f>
        <v/>
      </c>
      <c r="CH41" s="2155">
        <f>CH10</f>
        <v/>
      </c>
      <c r="CI41" s="2155">
        <f>CI10</f>
        <v/>
      </c>
      <c r="CJ41" s="1782" t="n"/>
      <c r="CK41" s="1782" t="n"/>
      <c r="CL41" s="1771" t="n"/>
      <c r="CM41" s="1997" t="n"/>
      <c r="CN41" s="1997" t="n"/>
      <c r="CO41" s="1997" t="n"/>
      <c r="CP41" s="1771" t="n"/>
      <c r="CQ41" s="1771" t="n"/>
      <c r="CR41" s="1771" t="n"/>
      <c r="CS41" s="1771" t="n"/>
      <c r="CT41" s="1771" t="n"/>
      <c r="CU41" s="1771" t="n"/>
      <c r="CV41" s="1771" t="n"/>
      <c r="CW41" s="1771" t="n"/>
      <c r="CX41" s="1771" t="n"/>
      <c r="CY41" s="1771" t="n"/>
    </row>
    <row r="42">
      <c r="A42" s="1771" t="n"/>
      <c r="B42" s="1781" t="n"/>
      <c r="C42" s="1781" t="n"/>
      <c r="D42" s="1781" t="n"/>
      <c r="E42" s="1781" t="n"/>
      <c r="F42" s="1781" t="n"/>
      <c r="G42" s="1781" t="n"/>
      <c r="H42" s="1826">
        <f>H11</f>
        <v/>
      </c>
      <c r="I42" s="1826" t="n"/>
      <c r="J42" s="1826" t="n"/>
      <c r="K42" s="1826" t="n"/>
      <c r="L42" s="1826" t="n"/>
      <c r="M42" s="1826" t="n"/>
      <c r="N42" s="1826" t="n"/>
      <c r="O42" s="1826" t="n"/>
      <c r="P42" s="1826">
        <f>P11</f>
        <v/>
      </c>
      <c r="Q42" s="1826" t="n"/>
      <c r="R42" s="1826" t="n"/>
      <c r="S42" s="1826" t="n"/>
      <c r="T42" s="1826" t="n"/>
      <c r="U42" s="1826" t="n"/>
      <c r="V42" s="1826" t="n"/>
      <c r="W42" s="1826" t="n"/>
      <c r="X42" s="1826">
        <f>X11</f>
        <v/>
      </c>
      <c r="Y42" s="1826" t="n"/>
      <c r="Z42" s="1826" t="n"/>
      <c r="AA42" s="1781" t="n"/>
      <c r="AB42" s="1781" t="n"/>
      <c r="AC42" s="1781" t="n"/>
      <c r="AD42" s="1781" t="n"/>
      <c r="AE42" s="1826">
        <f>AE11</f>
        <v/>
      </c>
      <c r="AF42" s="1826" t="n"/>
      <c r="AG42" s="1826" t="n"/>
      <c r="AH42" s="1826" t="n"/>
      <c r="AI42" s="1780">
        <f>AI11</f>
        <v/>
      </c>
      <c r="AJ42" s="1781" t="n"/>
      <c r="AK42" s="1771" t="n"/>
      <c r="AL42" s="1771" t="n"/>
      <c r="AM42" s="1771" t="n"/>
      <c r="AN42" s="1771" t="n"/>
      <c r="AO42" s="1771" t="n"/>
      <c r="AP42" s="1771" t="n"/>
      <c r="AQ42" s="1771" t="n"/>
      <c r="AR42" s="1771" t="n"/>
      <c r="AS42" s="1771" t="n"/>
      <c r="AT42" s="1771" t="n"/>
      <c r="AU42" s="1771" t="n"/>
      <c r="AV42" s="1771" t="n"/>
      <c r="AW42" s="1771" t="n"/>
      <c r="AX42" s="1771" t="n"/>
      <c r="AY42" s="1771" t="n"/>
      <c r="AZ42" s="1771" t="n"/>
      <c r="BA42" s="1771" t="n"/>
      <c r="BB42" s="1771" t="n"/>
      <c r="BC42" s="1771" t="n"/>
      <c r="BD42" s="1771" t="n"/>
      <c r="BE42" s="1771" t="n"/>
      <c r="BF42" s="1771" t="n"/>
      <c r="BG42" s="1771" t="n"/>
      <c r="BH42" s="1771" t="n"/>
      <c r="BI42" s="1771" t="n"/>
      <c r="BJ42" s="1771" t="n"/>
      <c r="BK42" s="1771" t="n"/>
      <c r="BL42" s="1771" t="n"/>
      <c r="BM42" s="1771" t="n"/>
      <c r="BN42" s="1771" t="n"/>
      <c r="BO42" s="1771" t="n"/>
      <c r="BP42" s="1771" t="n"/>
      <c r="BQ42" s="1782" t="n"/>
      <c r="BR42" s="1782" t="n"/>
      <c r="BS42" s="1782" t="n"/>
      <c r="BT42" s="1782" t="n"/>
      <c r="BU42" s="1782" t="n"/>
      <c r="BV42" s="2334">
        <f>BV11</f>
        <v/>
      </c>
      <c r="BW42" s="2334" t="n"/>
      <c r="BX42" s="2334" t="n"/>
      <c r="BY42" s="2334" t="n"/>
      <c r="BZ42" s="2334" t="n"/>
      <c r="CA42" s="1782" t="n"/>
      <c r="CB42" s="1782" t="n"/>
      <c r="CC42" s="1782" t="n"/>
      <c r="CD42" s="1782" t="n"/>
      <c r="CH42" s="2591">
        <f>'Fish and aqua'!C63</f>
        <v/>
      </c>
      <c r="CI42" s="2129" t="n"/>
      <c r="CJ42" s="1782" t="n"/>
      <c r="CK42" s="1782" t="n"/>
      <c r="CL42" s="1771" t="n"/>
      <c r="CM42" s="1997" t="n"/>
      <c r="CN42" s="1997" t="n"/>
      <c r="CO42" s="1997" t="n"/>
      <c r="CP42" s="1771" t="n"/>
      <c r="CQ42" s="1771" t="n"/>
      <c r="CR42" s="1771" t="n"/>
      <c r="CS42" s="1771" t="n"/>
      <c r="CT42" s="1771" t="n"/>
      <c r="CU42" s="1771" t="n"/>
      <c r="CV42" s="1771" t="n"/>
      <c r="CW42" s="1771" t="n"/>
      <c r="CX42" s="1771" t="n"/>
      <c r="CY42" s="1771" t="n"/>
    </row>
    <row r="43" ht="30" customHeight="1">
      <c r="A43" s="1771" t="n"/>
      <c r="B43" s="1781" t="n"/>
      <c r="C43" s="4263">
        <f>Languages!B583</f>
        <v/>
      </c>
      <c r="D43" s="1781" t="n"/>
      <c r="E43" s="1781">
        <f>E12</f>
        <v/>
      </c>
      <c r="F43" s="1781" t="n"/>
      <c r="G43" s="1781" t="n"/>
      <c r="H43" s="1806">
        <f>H12</f>
        <v/>
      </c>
      <c r="I43" s="1806" t="n"/>
      <c r="J43" s="1806">
        <f>J12</f>
        <v/>
      </c>
      <c r="K43" s="1806" t="n"/>
      <c r="L43" s="1806">
        <f>L12</f>
        <v/>
      </c>
      <c r="M43" s="1781" t="n"/>
      <c r="N43" s="4487">
        <f>N12</f>
        <v/>
      </c>
      <c r="O43" s="1781" t="n"/>
      <c r="P43" s="1781">
        <f>P12</f>
        <v/>
      </c>
      <c r="Q43" s="1806" t="n"/>
      <c r="R43" s="1806">
        <f>H43</f>
        <v/>
      </c>
      <c r="S43" s="1781" t="n"/>
      <c r="T43" s="1806">
        <f>J43</f>
        <v/>
      </c>
      <c r="U43" s="1806">
        <f>L43</f>
        <v/>
      </c>
      <c r="V43" s="1781" t="n"/>
      <c r="W43" s="1781" t="n"/>
      <c r="X43" s="1806">
        <f>H43</f>
        <v/>
      </c>
      <c r="Y43" s="1806" t="n"/>
      <c r="Z43" s="1806">
        <f>J43</f>
        <v/>
      </c>
      <c r="AA43" s="1806" t="inlineStr">
        <is>
          <t>*</t>
        </is>
      </c>
      <c r="AB43" s="1806">
        <f>L43</f>
        <v/>
      </c>
      <c r="AC43" s="1806" t="inlineStr">
        <is>
          <t>*</t>
        </is>
      </c>
      <c r="AD43" s="1781" t="n"/>
      <c r="AE43" s="1841">
        <f>AE12</f>
        <v/>
      </c>
      <c r="AF43" s="1806" t="n"/>
      <c r="AG43" s="1841">
        <f>AG12</f>
        <v/>
      </c>
      <c r="AH43" s="1781" t="n"/>
      <c r="AI43" s="1806" t="n"/>
      <c r="AJ43" s="1781" t="n"/>
      <c r="AK43" s="1771" t="n"/>
      <c r="AL43" s="1771" t="n"/>
      <c r="AM43" s="1771" t="n"/>
      <c r="AN43" s="1771" t="n"/>
      <c r="AO43" s="1771" t="n"/>
      <c r="AP43" s="1771" t="n"/>
      <c r="AQ43" s="1771" t="n"/>
      <c r="AR43" s="1771" t="n"/>
      <c r="AS43" s="1771" t="n"/>
      <c r="AT43" s="1771" t="n"/>
      <c r="AU43" s="1771" t="n"/>
      <c r="AV43" s="1771" t="n"/>
      <c r="AW43" s="1771" t="n"/>
      <c r="AX43" s="1771" t="n"/>
      <c r="AY43" s="1771" t="n"/>
      <c r="AZ43" s="1771" t="n"/>
      <c r="BA43" s="1771" t="n"/>
      <c r="BB43" s="1771" t="n"/>
      <c r="BC43" s="1771" t="n"/>
      <c r="BD43" s="1771" t="n"/>
      <c r="BE43" s="1771" t="n"/>
      <c r="BF43" s="1771" t="n"/>
      <c r="BG43" s="1771" t="n"/>
      <c r="BH43" s="1771" t="n"/>
      <c r="BI43" s="1771" t="n"/>
      <c r="BJ43" s="1771" t="n"/>
      <c r="BK43" s="1771" t="n"/>
      <c r="BL43" s="1771" t="n"/>
      <c r="BM43" s="1771" t="n"/>
      <c r="BN43" s="1771" t="n"/>
      <c r="BO43" s="1771" t="n"/>
      <c r="BP43" s="1771" t="n"/>
      <c r="BQ43" s="1782" t="n"/>
      <c r="BR43" s="1782" t="n"/>
      <c r="BS43" s="1782" t="n"/>
      <c r="BT43" s="1782" t="n"/>
      <c r="BU43" s="1782" t="n"/>
      <c r="BV43" s="2155">
        <f>BV12</f>
        <v/>
      </c>
      <c r="BW43" s="2155" t="n"/>
      <c r="BX43" s="2155">
        <f>BX12</f>
        <v/>
      </c>
      <c r="BY43" s="2155" t="n"/>
      <c r="BZ43" s="2155">
        <f>BZ12</f>
        <v/>
      </c>
      <c r="CA43" s="1782" t="n"/>
      <c r="CB43" s="1782" t="n"/>
      <c r="CC43" s="1782" t="n"/>
      <c r="CD43" s="1782" t="n"/>
      <c r="CE43" s="1782" t="n"/>
      <c r="CF43" s="1782" t="n"/>
      <c r="CG43" s="1782" t="n"/>
      <c r="CH43" s="1782" t="n"/>
      <c r="CI43" s="1782" t="n"/>
      <c r="CJ43" s="1782" t="n"/>
      <c r="CK43" s="1782" t="n"/>
      <c r="CL43" s="1771" t="n"/>
      <c r="CM43" s="1997" t="n"/>
      <c r="CN43" s="1997" t="n"/>
      <c r="CO43" s="1997" t="n"/>
      <c r="CP43" s="1771" t="n"/>
      <c r="CQ43" s="1771" t="n"/>
      <c r="CR43" s="1771" t="n"/>
      <c r="CS43" s="1771" t="n"/>
      <c r="CT43" s="1771" t="n"/>
      <c r="CU43" s="1771" t="n"/>
      <c r="CV43" s="1771" t="n"/>
      <c r="CW43" s="1771" t="n"/>
      <c r="CX43" s="1771" t="n"/>
      <c r="CY43" s="1771" t="n"/>
    </row>
    <row r="44">
      <c r="A44" s="1771" t="n"/>
      <c r="B44" s="1781" t="n"/>
      <c r="C44" s="2129" t="inlineStr">
        <is>
          <t>Salmons, trots and smelts</t>
        </is>
      </c>
      <c r="D44" s="1781" t="n"/>
      <c r="E44" s="2129" t="inlineStr">
        <is>
          <t>Please select</t>
        </is>
      </c>
      <c r="F44" s="1781" t="n"/>
      <c r="G44" s="1781" t="n"/>
      <c r="H44" s="4261" t="n">
        <v>0</v>
      </c>
      <c r="I44" s="1781" t="n"/>
      <c r="J44" s="4261" t="n">
        <v>0</v>
      </c>
      <c r="K44" s="1781" t="n"/>
      <c r="L44" s="4261" t="n">
        <v>0</v>
      </c>
      <c r="M44" s="1781" t="n"/>
      <c r="N44" s="4374">
        <f>IF($CF$48= "",$CE$48,$CF$48)</f>
        <v/>
      </c>
      <c r="O44" s="1781" t="n"/>
      <c r="P44" s="2589">
        <f>'Fish and aqua'!K42</f>
        <v/>
      </c>
      <c r="Q44" s="1781" t="n"/>
      <c r="R44" s="4373" t="n"/>
      <c r="S44" s="1781" t="n"/>
      <c r="T44" s="4386" t="n"/>
      <c r="U44" s="4373" t="n"/>
      <c r="V44" s="4353">
        <f>IF('Fish and aqua'!L42 ="not specific", "The default FUI is not available for this type of gear and an average value is proposed", "")</f>
        <v/>
      </c>
      <c r="W44" s="1781" t="n"/>
      <c r="X44" s="2107" t="n">
        <v>0</v>
      </c>
      <c r="Y44" s="1781" t="n"/>
      <c r="Z44" s="2107" t="n">
        <v>0</v>
      </c>
      <c r="AA44" s="2108" t="inlineStr">
        <is>
          <t>D</t>
        </is>
      </c>
      <c r="AB44" s="2107" t="n">
        <v>0</v>
      </c>
      <c r="AC44" s="2108" t="inlineStr">
        <is>
          <t>D</t>
        </is>
      </c>
      <c r="AD44" s="1781" t="n"/>
      <c r="AE44" s="1841">
        <f>'Fish and aqua'!O52</f>
        <v/>
      </c>
      <c r="AF44" s="1781" t="n"/>
      <c r="AG44" s="1841">
        <f>'Fish and aqua'!P52</f>
        <v/>
      </c>
      <c r="AH44" s="1781" t="n"/>
      <c r="AI44" s="1806">
        <f>AG44-AE44</f>
        <v/>
      </c>
      <c r="AJ44" s="1781" t="n"/>
      <c r="AK44" s="1771" t="n"/>
      <c r="AL44" s="1771" t="n"/>
      <c r="AM44" s="1771" t="n"/>
      <c r="AN44" s="1771" t="n"/>
      <c r="AO44" s="1771" t="n"/>
      <c r="AP44" s="1771" t="n"/>
      <c r="AQ44" s="1771" t="n"/>
      <c r="AR44" s="1771" t="n"/>
      <c r="AS44" s="1771" t="n"/>
      <c r="AT44" s="1771" t="n"/>
      <c r="AU44" s="1771" t="n"/>
      <c r="AV44" s="1771" t="n"/>
      <c r="AW44" s="1771" t="n"/>
      <c r="AX44" s="1771" t="n"/>
      <c r="AY44" s="1771" t="n"/>
      <c r="AZ44" s="1771" t="n"/>
      <c r="BA44" s="1771" t="n"/>
      <c r="BB44" s="1771" t="n"/>
      <c r="BC44" s="1771" t="n"/>
      <c r="BD44" s="1771" t="n"/>
      <c r="BE44" s="1771" t="n"/>
      <c r="BF44" s="1771" t="n"/>
      <c r="BG44" s="1771" t="n"/>
      <c r="BH44" s="1771" t="n"/>
      <c r="BI44" s="1771" t="n"/>
      <c r="BJ44" s="1771" t="n"/>
      <c r="BK44" s="1771" t="n"/>
      <c r="BL44" s="1771" t="n"/>
      <c r="BM44" s="1771" t="n"/>
      <c r="BN44" s="1771" t="n"/>
      <c r="BO44" s="1771" t="n"/>
      <c r="BP44" s="1771" t="n"/>
      <c r="BQ44" s="1782" t="n"/>
      <c r="BR44" s="1782" t="n"/>
      <c r="BS44" s="1782" t="n"/>
      <c r="BT44" s="1782" t="n"/>
      <c r="BU44" s="1782" t="n"/>
      <c r="BV44" s="2344">
        <f>'Fish and aqua'!Q42</f>
        <v/>
      </c>
      <c r="BW44" s="2344" t="n"/>
      <c r="BX44" s="2344">
        <f>'Fish and aqua'!R42</f>
        <v/>
      </c>
      <c r="BY44" s="2344" t="n"/>
      <c r="BZ44" s="2344">
        <f>'Fish and aqua'!S42</f>
        <v/>
      </c>
      <c r="CA44" s="1782" t="n"/>
      <c r="CB44" s="1782" t="n"/>
      <c r="CC44" s="1782" t="n"/>
      <c r="CD44" s="1782" t="n"/>
      <c r="CE44" s="1782" t="n"/>
      <c r="CF44" s="1782" t="n"/>
      <c r="CG44" s="1782" t="n"/>
      <c r="CH44" s="1782" t="n"/>
      <c r="CI44" s="1782" t="n"/>
      <c r="CJ44" s="1782" t="n"/>
      <c r="CK44" s="1782" t="n"/>
      <c r="CL44" s="1771" t="n"/>
      <c r="CM44" s="4401" t="n">
        <v>1</v>
      </c>
      <c r="CN44" s="4402" t="n"/>
      <c r="CO44" s="1997" t="n"/>
      <c r="CP44" s="1771" t="n"/>
      <c r="CQ44" s="1771" t="n"/>
      <c r="CR44" s="1771" t="n"/>
      <c r="CS44" s="1771" t="n"/>
      <c r="CT44" s="1771" t="n"/>
      <c r="CU44" s="1771" t="n"/>
      <c r="CV44" s="1771" t="n"/>
      <c r="CW44" s="1771" t="n"/>
      <c r="CX44" s="1771" t="n"/>
      <c r="CY44" s="1771" t="n"/>
    </row>
    <row r="45">
      <c r="A45" s="1771" t="n"/>
      <c r="B45" s="1781" t="n"/>
      <c r="C45" s="2129" t="inlineStr">
        <is>
          <t>Please select</t>
        </is>
      </c>
      <c r="D45" s="1781" t="n"/>
      <c r="E45" s="2129" t="inlineStr">
        <is>
          <t>Please select</t>
        </is>
      </c>
      <c r="F45" s="1781" t="n"/>
      <c r="G45" s="1781" t="n"/>
      <c r="H45" s="4261" t="n">
        <v>0</v>
      </c>
      <c r="I45" s="1781" t="n"/>
      <c r="J45" s="4261" t="n">
        <v>0</v>
      </c>
      <c r="K45" s="1781" t="n"/>
      <c r="L45" s="4261" t="n">
        <v>0</v>
      </c>
      <c r="M45" s="1781" t="n"/>
      <c r="N45" s="4374">
        <f>IF($CF$48= "",$CE$48,$CF$48)</f>
        <v/>
      </c>
      <c r="O45" s="1781" t="n"/>
      <c r="P45" s="2589">
        <f>'Fish and aqua'!K43</f>
        <v/>
      </c>
      <c r="Q45" s="1781" t="n"/>
      <c r="R45" s="4373" t="n"/>
      <c r="S45" s="1781" t="n"/>
      <c r="T45" s="4386" t="n"/>
      <c r="U45" s="4373" t="n"/>
      <c r="V45" s="4353">
        <f>IF('Fish and aqua'!L43 ="not specific", "The default FUI is not available for this type of gear and an average value is proposed", "")</f>
        <v/>
      </c>
      <c r="W45" s="1781" t="n"/>
      <c r="X45" s="2107" t="n">
        <v>0</v>
      </c>
      <c r="Y45" s="1781" t="n"/>
      <c r="Z45" s="2107" t="n">
        <v>0</v>
      </c>
      <c r="AA45" s="2108" t="inlineStr">
        <is>
          <t>D</t>
        </is>
      </c>
      <c r="AB45" s="2107" t="n">
        <v>0</v>
      </c>
      <c r="AC45" s="2108" t="inlineStr">
        <is>
          <t>D</t>
        </is>
      </c>
      <c r="AD45" s="1781" t="n"/>
      <c r="AE45" s="1841">
        <f>'Fish and aqua'!O53</f>
        <v/>
      </c>
      <c r="AF45" s="1781" t="n"/>
      <c r="AG45" s="1841">
        <f>'Fish and aqua'!P53</f>
        <v/>
      </c>
      <c r="AH45" s="1781" t="n"/>
      <c r="AI45" s="1806">
        <f>AG45-AE45</f>
        <v/>
      </c>
      <c r="AJ45" s="1781" t="n"/>
      <c r="AK45" s="1771" t="n"/>
      <c r="AL45" s="1771" t="n"/>
      <c r="AM45" s="1771" t="n"/>
      <c r="AN45" s="1771" t="n"/>
      <c r="AO45" s="1771" t="n"/>
      <c r="AP45" s="1771" t="n"/>
      <c r="AQ45" s="1771" t="n"/>
      <c r="AR45" s="1771" t="n"/>
      <c r="AS45" s="1771" t="n"/>
      <c r="AT45" s="1771" t="n"/>
      <c r="AU45" s="1771" t="n"/>
      <c r="AV45" s="1771" t="n"/>
      <c r="AW45" s="1771" t="n"/>
      <c r="AX45" s="1771" t="n"/>
      <c r="AY45" s="1771" t="n"/>
      <c r="AZ45" s="1771" t="n"/>
      <c r="BA45" s="1771" t="n"/>
      <c r="BB45" s="1771" t="n"/>
      <c r="BC45" s="1771" t="n"/>
      <c r="BD45" s="1771" t="n"/>
      <c r="BE45" s="1771" t="n"/>
      <c r="BF45" s="1771" t="n"/>
      <c r="BG45" s="1771" t="n"/>
      <c r="BH45" s="1771" t="n"/>
      <c r="BI45" s="1771" t="n"/>
      <c r="BJ45" s="1771" t="n"/>
      <c r="BK45" s="1771" t="n"/>
      <c r="BL45" s="1771" t="n"/>
      <c r="BM45" s="1771" t="n"/>
      <c r="BN45" s="1771" t="n"/>
      <c r="BO45" s="1771" t="n"/>
      <c r="BP45" s="1771" t="n"/>
      <c r="BQ45" s="1782" t="n"/>
      <c r="BR45" s="1782" t="n"/>
      <c r="BS45" s="1782" t="n"/>
      <c r="BT45" s="1782" t="n"/>
      <c r="BU45" s="1782" t="n"/>
      <c r="BV45" s="2344">
        <f>'Fish and aqua'!Q43</f>
        <v/>
      </c>
      <c r="BW45" s="2344" t="n"/>
      <c r="BX45" s="2344">
        <f>'Fish and aqua'!R43</f>
        <v/>
      </c>
      <c r="BY45" s="2344" t="n"/>
      <c r="BZ45" s="2344">
        <f>'Fish and aqua'!S43</f>
        <v/>
      </c>
      <c r="CA45" s="1782" t="n"/>
      <c r="CB45" s="1782" t="n"/>
      <c r="CC45" s="1782" t="n"/>
      <c r="CD45" s="1782" t="n"/>
      <c r="CE45" s="1782" t="n"/>
      <c r="CF45" s="1782" t="n"/>
      <c r="CG45" s="1782" t="n"/>
      <c r="CH45" s="1782" t="n"/>
      <c r="CI45" s="1782" t="n"/>
      <c r="CJ45" s="1782" t="n"/>
      <c r="CK45" s="1782" t="n"/>
      <c r="CL45" s="1771" t="n"/>
      <c r="CM45" s="4401" t="n">
        <v>1</v>
      </c>
      <c r="CN45" s="4402" t="n"/>
      <c r="CO45" s="1997" t="n"/>
      <c r="CP45" s="1771" t="n"/>
      <c r="CQ45" s="1771" t="n"/>
      <c r="CR45" s="1771" t="n"/>
      <c r="CS45" s="1771" t="n"/>
      <c r="CT45" s="1771" t="n"/>
      <c r="CU45" s="1771" t="n"/>
      <c r="CV45" s="1771" t="n"/>
      <c r="CW45" s="1771" t="n"/>
      <c r="CX45" s="1771" t="n"/>
      <c r="CY45" s="1771" t="n"/>
    </row>
    <row r="46">
      <c r="A46" s="1771" t="n"/>
      <c r="B46" s="1781" t="n"/>
      <c r="C46" s="2129" t="inlineStr">
        <is>
          <t>Please select</t>
        </is>
      </c>
      <c r="D46" s="1781" t="n"/>
      <c r="E46" s="2129" t="inlineStr">
        <is>
          <t>Please select</t>
        </is>
      </c>
      <c r="F46" s="1781" t="n"/>
      <c r="G46" s="1781" t="n"/>
      <c r="H46" s="4261" t="n">
        <v>0</v>
      </c>
      <c r="I46" s="1781" t="n"/>
      <c r="J46" s="4261" t="n">
        <v>0</v>
      </c>
      <c r="K46" s="1781" t="n"/>
      <c r="L46" s="4261" t="n">
        <v>0</v>
      </c>
      <c r="M46" s="1781" t="n"/>
      <c r="N46" s="4374">
        <f>IF($CF$48= "",$CE$48,$CF$48)</f>
        <v/>
      </c>
      <c r="O46" s="1781" t="n"/>
      <c r="P46" s="2589">
        <f>'Fish and aqua'!K44</f>
        <v/>
      </c>
      <c r="Q46" s="1781" t="n"/>
      <c r="R46" s="4373" t="n"/>
      <c r="S46" s="1781" t="n"/>
      <c r="T46" s="4386" t="n"/>
      <c r="U46" s="4373" t="n"/>
      <c r="V46" s="4353">
        <f>IF('Fish and aqua'!L44 ="not specific", "The default FUI is not available for this type of gear and an average value is proposed", "")</f>
        <v/>
      </c>
      <c r="W46" s="1781" t="n"/>
      <c r="X46" s="2107" t="n">
        <v>0</v>
      </c>
      <c r="Y46" s="1781" t="n"/>
      <c r="Z46" s="2107" t="n">
        <v>0</v>
      </c>
      <c r="AA46" s="2108" t="inlineStr">
        <is>
          <t>D</t>
        </is>
      </c>
      <c r="AB46" s="2107" t="n">
        <v>0</v>
      </c>
      <c r="AC46" s="2108" t="inlineStr">
        <is>
          <t>D</t>
        </is>
      </c>
      <c r="AD46" s="1781" t="n"/>
      <c r="AE46" s="1841">
        <f>'Fish and aqua'!O54</f>
        <v/>
      </c>
      <c r="AF46" s="1781" t="n"/>
      <c r="AG46" s="1841">
        <f>'Fish and aqua'!P54</f>
        <v/>
      </c>
      <c r="AH46" s="1781" t="n"/>
      <c r="AI46" s="1806">
        <f>AG46-AE46</f>
        <v/>
      </c>
      <c r="AJ46" s="1781" t="n"/>
      <c r="AK46" s="1771" t="n"/>
      <c r="AL46" s="1771" t="n"/>
      <c r="AM46" s="1771" t="n"/>
      <c r="AN46" s="1771" t="n"/>
      <c r="AO46" s="1771" t="n"/>
      <c r="AP46" s="1771" t="n"/>
      <c r="AQ46" s="1771" t="n"/>
      <c r="AR46" s="1771" t="n"/>
      <c r="AS46" s="1771" t="n"/>
      <c r="AT46" s="1771" t="n"/>
      <c r="AU46" s="1771" t="n"/>
      <c r="AV46" s="1771" t="n"/>
      <c r="AW46" s="1771" t="n"/>
      <c r="AX46" s="1771" t="n"/>
      <c r="AY46" s="1771" t="n"/>
      <c r="AZ46" s="1771" t="n"/>
      <c r="BA46" s="1771" t="n"/>
      <c r="BB46" s="1771" t="n"/>
      <c r="BC46" s="1771" t="n"/>
      <c r="BD46" s="1771" t="n"/>
      <c r="BE46" s="1771" t="n"/>
      <c r="BF46" s="1771" t="n"/>
      <c r="BG46" s="1771" t="n"/>
      <c r="BH46" s="1771" t="n"/>
      <c r="BI46" s="1771" t="n"/>
      <c r="BJ46" s="1771" t="n"/>
      <c r="BK46" s="1771" t="n"/>
      <c r="BL46" s="1771" t="n"/>
      <c r="BM46" s="1771" t="n"/>
      <c r="BN46" s="1771" t="n"/>
      <c r="BO46" s="1771" t="n"/>
      <c r="BP46" s="1771" t="n"/>
      <c r="BQ46" s="1782" t="n"/>
      <c r="BR46" s="1782" t="n"/>
      <c r="BS46" s="1782" t="n"/>
      <c r="BT46" s="1782" t="n"/>
      <c r="BU46" s="1782" t="n"/>
      <c r="BV46" s="2344">
        <f>'Fish and aqua'!Q44</f>
        <v/>
      </c>
      <c r="BW46" s="2344" t="n"/>
      <c r="BX46" s="2344">
        <f>'Fish and aqua'!R44</f>
        <v/>
      </c>
      <c r="BY46" s="2344" t="n"/>
      <c r="BZ46" s="2344">
        <f>'Fish and aqua'!S44</f>
        <v/>
      </c>
      <c r="CA46" s="1782" t="n"/>
      <c r="CB46" s="1782" t="n"/>
      <c r="CC46" s="1782" t="n"/>
      <c r="CD46" s="1782" t="n"/>
      <c r="CE46" s="1782">
        <f>CE15</f>
        <v/>
      </c>
      <c r="CF46" s="1782" t="n"/>
      <c r="CG46" s="1782" t="n"/>
      <c r="CH46" s="1782" t="n"/>
      <c r="CI46" s="2155">
        <f>CH15:CI15</f>
        <v/>
      </c>
      <c r="CJ46" s="1782" t="n"/>
      <c r="CK46" s="1782" t="n"/>
      <c r="CL46" s="1771" t="n"/>
      <c r="CM46" s="4401" t="n">
        <v>1</v>
      </c>
      <c r="CN46" s="4402" t="n"/>
      <c r="CO46" s="1997" t="n"/>
      <c r="CP46" s="1771" t="n"/>
      <c r="CQ46" s="1771" t="n"/>
      <c r="CR46" s="1771" t="n"/>
      <c r="CS46" s="1771" t="n"/>
      <c r="CT46" s="1771" t="n"/>
      <c r="CU46" s="1771" t="n"/>
      <c r="CV46" s="1771" t="n"/>
      <c r="CW46" s="1771" t="n"/>
      <c r="CX46" s="1771" t="n"/>
      <c r="CY46" s="1771" t="n"/>
    </row>
    <row r="47">
      <c r="A47" s="1771" t="n"/>
      <c r="B47" s="1781" t="n"/>
      <c r="C47" s="2129" t="inlineStr">
        <is>
          <t>Please select</t>
        </is>
      </c>
      <c r="D47" s="1781" t="n"/>
      <c r="E47" s="2129" t="inlineStr">
        <is>
          <t>Please select</t>
        </is>
      </c>
      <c r="F47" s="1781" t="n"/>
      <c r="G47" s="1781" t="n"/>
      <c r="H47" s="4261" t="n">
        <v>0</v>
      </c>
      <c r="I47" s="1781" t="n"/>
      <c r="J47" s="4261" t="n">
        <v>0</v>
      </c>
      <c r="K47" s="1781" t="n"/>
      <c r="L47" s="4261" t="n">
        <v>0</v>
      </c>
      <c r="M47" s="1781" t="n"/>
      <c r="N47" s="4374">
        <f>IF($CF$48= "",$CE$48,$CF$48)</f>
        <v/>
      </c>
      <c r="O47" s="1781" t="n"/>
      <c r="P47" s="2589">
        <f>'Fish and aqua'!K45</f>
        <v/>
      </c>
      <c r="Q47" s="1781" t="n"/>
      <c r="R47" s="4373" t="n"/>
      <c r="S47" s="1781" t="n"/>
      <c r="T47" s="4386" t="n"/>
      <c r="U47" s="4373" t="n"/>
      <c r="V47" s="4353">
        <f>IF('Fish and aqua'!L45 ="not specific", "The default FUI is not available for this type of gear and an average value is proposed", "")</f>
        <v/>
      </c>
      <c r="W47" s="1781" t="n"/>
      <c r="X47" s="2107" t="n">
        <v>0</v>
      </c>
      <c r="Y47" s="1781" t="n"/>
      <c r="Z47" s="2107" t="n">
        <v>0</v>
      </c>
      <c r="AA47" s="2108" t="inlineStr">
        <is>
          <t>D</t>
        </is>
      </c>
      <c r="AB47" s="2107" t="n">
        <v>0</v>
      </c>
      <c r="AC47" s="2108" t="inlineStr">
        <is>
          <t>D</t>
        </is>
      </c>
      <c r="AD47" s="1781" t="n"/>
      <c r="AE47" s="1841">
        <f>'Fish and aqua'!O55</f>
        <v/>
      </c>
      <c r="AF47" s="1781" t="n"/>
      <c r="AG47" s="1841">
        <f>'Fish and aqua'!P55</f>
        <v/>
      </c>
      <c r="AH47" s="1781" t="n"/>
      <c r="AI47" s="1806">
        <f>AG47-AE47</f>
        <v/>
      </c>
      <c r="AJ47" s="1781" t="n"/>
      <c r="AK47" s="1771" t="n"/>
      <c r="AL47" s="1771" t="n"/>
      <c r="AM47" s="1771" t="n"/>
      <c r="AN47" s="1771" t="n"/>
      <c r="AO47" s="1771" t="n"/>
      <c r="AP47" s="1771" t="n"/>
      <c r="AQ47" s="1771" t="n"/>
      <c r="AR47" s="1771" t="n"/>
      <c r="AS47" s="1771" t="n"/>
      <c r="AT47" s="1771" t="n"/>
      <c r="AU47" s="1771" t="n"/>
      <c r="AV47" s="1771" t="n"/>
      <c r="AW47" s="1771" t="n"/>
      <c r="AX47" s="1771" t="n"/>
      <c r="AY47" s="1771" t="n"/>
      <c r="AZ47" s="1771" t="n"/>
      <c r="BA47" s="1771" t="n"/>
      <c r="BB47" s="1771" t="n"/>
      <c r="BC47" s="1771" t="n"/>
      <c r="BD47" s="1771" t="n"/>
      <c r="BE47" s="1771" t="n"/>
      <c r="BF47" s="1771" t="n"/>
      <c r="BG47" s="1771" t="n"/>
      <c r="BH47" s="1771" t="n"/>
      <c r="BI47" s="1771" t="n"/>
      <c r="BJ47" s="1771" t="n"/>
      <c r="BK47" s="1771" t="n"/>
      <c r="BL47" s="1771" t="n"/>
      <c r="BM47" s="1771" t="n"/>
      <c r="BN47" s="1771" t="n"/>
      <c r="BO47" s="1771" t="n"/>
      <c r="BP47" s="1771" t="n"/>
      <c r="BQ47" s="1782" t="n"/>
      <c r="BR47" s="1782" t="n"/>
      <c r="BS47" s="1782" t="n"/>
      <c r="BT47" s="1782" t="n"/>
      <c r="BU47" s="1782" t="n"/>
      <c r="BV47" s="2344">
        <f>'Fish and aqua'!Q45</f>
        <v/>
      </c>
      <c r="BW47" s="2344" t="n"/>
      <c r="BX47" s="2344">
        <f>'Fish and aqua'!R45</f>
        <v/>
      </c>
      <c r="BY47" s="2344" t="n"/>
      <c r="BZ47" s="2344">
        <f>'Fish and aqua'!S45</f>
        <v/>
      </c>
      <c r="CA47" s="1782" t="n"/>
      <c r="CB47" s="1782" t="n"/>
      <c r="CC47" s="1782" t="n"/>
      <c r="CD47" s="1782" t="n"/>
      <c r="CE47" s="1782">
        <f>CH41</f>
        <v/>
      </c>
      <c r="CF47" s="1782">
        <f>CI41</f>
        <v/>
      </c>
      <c r="CG47" s="1782" t="n"/>
      <c r="CH47" s="1782" t="n"/>
      <c r="CI47" s="2155">
        <f>CI16</f>
        <v/>
      </c>
      <c r="CJ47" s="1782" t="n"/>
      <c r="CK47" s="1782" t="n"/>
      <c r="CL47" s="1771" t="n"/>
      <c r="CM47" s="4401" t="n">
        <v>1</v>
      </c>
      <c r="CN47" s="4402" t="n"/>
      <c r="CO47" s="1997" t="n"/>
      <c r="CP47" s="1771" t="n"/>
      <c r="CQ47" s="1771" t="n"/>
      <c r="CR47" s="1771" t="n"/>
      <c r="CS47" s="1771" t="n"/>
      <c r="CT47" s="1771" t="n"/>
      <c r="CU47" s="1771" t="n"/>
      <c r="CV47" s="1771" t="n"/>
      <c r="CW47" s="1771" t="n"/>
      <c r="CX47" s="1771" t="n"/>
      <c r="CY47" s="1771" t="n"/>
    </row>
    <row r="48">
      <c r="A48" s="1771" t="n"/>
      <c r="B48" s="1781" t="n"/>
      <c r="C48" s="2129" t="inlineStr">
        <is>
          <t>Please select</t>
        </is>
      </c>
      <c r="D48" s="1781" t="n"/>
      <c r="E48" s="2129" t="inlineStr">
        <is>
          <t>Please select</t>
        </is>
      </c>
      <c r="F48" s="1781" t="n"/>
      <c r="G48" s="1781" t="n"/>
      <c r="H48" s="4261" t="n">
        <v>0</v>
      </c>
      <c r="I48" s="1781" t="n"/>
      <c r="J48" s="4261" t="n">
        <v>0</v>
      </c>
      <c r="K48" s="1781" t="n"/>
      <c r="L48" s="4261" t="n">
        <v>0</v>
      </c>
      <c r="M48" s="1781" t="n"/>
      <c r="N48" s="4374">
        <f>IF($CF$48= "",$CE$48,$CF$48)</f>
        <v/>
      </c>
      <c r="O48" s="1781" t="n"/>
      <c r="P48" s="2589">
        <f>'Fish and aqua'!K46</f>
        <v/>
      </c>
      <c r="Q48" s="1781" t="n"/>
      <c r="R48" s="4373" t="n"/>
      <c r="S48" s="1781" t="n"/>
      <c r="T48" s="4386" t="n"/>
      <c r="U48" s="4373" t="n"/>
      <c r="V48" s="4353">
        <f>IF('Fish and aqua'!L46 ="not specific", "The default FUI is not available for this type of gear and an average value is proposed", "")</f>
        <v/>
      </c>
      <c r="W48" s="1781" t="n"/>
      <c r="X48" s="2107" t="n">
        <v>0</v>
      </c>
      <c r="Y48" s="1781" t="n"/>
      <c r="Z48" s="2107" t="n">
        <v>0</v>
      </c>
      <c r="AA48" s="2108" t="inlineStr">
        <is>
          <t>D</t>
        </is>
      </c>
      <c r="AB48" s="2107" t="n">
        <v>0</v>
      </c>
      <c r="AC48" s="2108" t="inlineStr">
        <is>
          <t>D</t>
        </is>
      </c>
      <c r="AD48" s="1781" t="n"/>
      <c r="AE48" s="1841">
        <f>'Fish and aqua'!O56</f>
        <v/>
      </c>
      <c r="AF48" s="1781" t="n"/>
      <c r="AG48" s="1841">
        <f>'Fish and aqua'!P56</f>
        <v/>
      </c>
      <c r="AH48" s="1781" t="n"/>
      <c r="AI48" s="1806">
        <f>AG48-AE48</f>
        <v/>
      </c>
      <c r="AJ48" s="1781" t="n"/>
      <c r="AK48" s="1771" t="n"/>
      <c r="AL48" s="1771" t="n"/>
      <c r="AM48" s="1771" t="n"/>
      <c r="AN48" s="1771" t="n"/>
      <c r="AO48" s="1771" t="n"/>
      <c r="AP48" s="1771" t="n"/>
      <c r="AQ48" s="1771" t="n"/>
      <c r="AR48" s="1771" t="n"/>
      <c r="AS48" s="1771" t="n"/>
      <c r="AT48" s="1771" t="n"/>
      <c r="AU48" s="1771" t="n"/>
      <c r="AV48" s="1771" t="n"/>
      <c r="AW48" s="1771" t="n"/>
      <c r="AX48" s="1771" t="n"/>
      <c r="AY48" s="1771" t="n"/>
      <c r="AZ48" s="1771" t="n"/>
      <c r="BA48" s="1771" t="n"/>
      <c r="BB48" s="1771" t="n"/>
      <c r="BC48" s="1771" t="n"/>
      <c r="BD48" s="1771" t="n"/>
      <c r="BE48" s="1771" t="n"/>
      <c r="BF48" s="1771" t="n"/>
      <c r="BG48" s="1771" t="n"/>
      <c r="BH48" s="1771" t="n"/>
      <c r="BI48" s="1771" t="n"/>
      <c r="BJ48" s="1771" t="n"/>
      <c r="BK48" s="1771" t="n"/>
      <c r="BL48" s="1771" t="n"/>
      <c r="BM48" s="1771" t="n"/>
      <c r="BN48" s="1771" t="n"/>
      <c r="BO48" s="1771" t="n"/>
      <c r="BP48" s="1771" t="n"/>
      <c r="BQ48" s="1782" t="n"/>
      <c r="BR48" s="1782" t="n"/>
      <c r="BS48" s="1782" t="n"/>
      <c r="BT48" s="1782" t="n"/>
      <c r="BU48" s="1782" t="n"/>
      <c r="BV48" s="2344">
        <f>'Fish and aqua'!Q46</f>
        <v/>
      </c>
      <c r="BW48" s="2344" t="n"/>
      <c r="BX48" s="2344">
        <f>'Fish and aqua'!R46</f>
        <v/>
      </c>
      <c r="BY48" s="2344" t="n"/>
      <c r="BZ48" s="2344">
        <f>'Fish and aqua'!S46</f>
        <v/>
      </c>
      <c r="CA48" s="1782" t="n"/>
      <c r="CB48" s="1782" t="n"/>
      <c r="CC48" s="1782" t="n"/>
      <c r="CD48" s="1782" t="n"/>
      <c r="CE48" s="2155">
        <f>'Fish and aqua'!F63</f>
        <v/>
      </c>
      <c r="CF48" s="2129" t="n"/>
      <c r="CG48" s="1782" t="n"/>
      <c r="CH48" s="1782" t="n"/>
      <c r="CI48" s="4669">
        <f>'Fish and aqua'!G63*'Fish and aqua'!D63/100</f>
        <v/>
      </c>
      <c r="CJ48" s="1782" t="n"/>
      <c r="CK48" s="1782" t="n"/>
      <c r="CL48" s="1771" t="n"/>
      <c r="CM48" s="4401" t="n">
        <v>1</v>
      </c>
      <c r="CN48" s="4402" t="n"/>
      <c r="CO48" s="1997" t="n"/>
      <c r="CP48" s="1771" t="n"/>
      <c r="CQ48" s="1771" t="n"/>
      <c r="CR48" s="1771" t="n"/>
      <c r="CS48" s="1771" t="n"/>
      <c r="CT48" s="1771" t="n"/>
      <c r="CU48" s="1771" t="n"/>
      <c r="CV48" s="1771" t="n"/>
      <c r="CW48" s="1771" t="n"/>
      <c r="CX48" s="1771" t="n"/>
      <c r="CY48" s="1771" t="n"/>
    </row>
    <row r="49">
      <c r="A49" s="1771" t="n"/>
      <c r="B49" s="1781" t="n"/>
      <c r="C49" s="2129" t="inlineStr">
        <is>
          <t>Please select</t>
        </is>
      </c>
      <c r="D49" s="1781" t="n"/>
      <c r="E49" s="2129" t="inlineStr">
        <is>
          <t>Please select</t>
        </is>
      </c>
      <c r="F49" s="1781" t="n"/>
      <c r="G49" s="1781" t="n"/>
      <c r="H49" s="4261" t="n">
        <v>0</v>
      </c>
      <c r="I49" s="1781" t="n"/>
      <c r="J49" s="4261" t="n">
        <v>0</v>
      </c>
      <c r="K49" s="1781" t="n"/>
      <c r="L49" s="4261" t="n">
        <v>0</v>
      </c>
      <c r="M49" s="1781" t="n"/>
      <c r="N49" s="4374">
        <f>IF($CF$48= "",$CE$48,$CF$48)</f>
        <v/>
      </c>
      <c r="O49" s="1781" t="n"/>
      <c r="P49" s="2589">
        <f>'Fish and aqua'!K47</f>
        <v/>
      </c>
      <c r="Q49" s="1781" t="n"/>
      <c r="R49" s="4373" t="n"/>
      <c r="S49" s="1781" t="n"/>
      <c r="T49" s="4386" t="n"/>
      <c r="U49" s="4373" t="n"/>
      <c r="V49" s="4353">
        <f>IF('Fish and aqua'!L47 ="not specific", "The default FUI is not available for this type of gear and an average value is proposed", "")</f>
        <v/>
      </c>
      <c r="W49" s="1781" t="n"/>
      <c r="X49" s="2107" t="n">
        <v>0</v>
      </c>
      <c r="Y49" s="1781" t="n"/>
      <c r="Z49" s="2107" t="n">
        <v>0</v>
      </c>
      <c r="AA49" s="2108" t="inlineStr">
        <is>
          <t>D</t>
        </is>
      </c>
      <c r="AB49" s="2107" t="n">
        <v>0</v>
      </c>
      <c r="AC49" s="2108" t="inlineStr">
        <is>
          <t>D</t>
        </is>
      </c>
      <c r="AD49" s="1781" t="n"/>
      <c r="AE49" s="1841">
        <f>'Fish and aqua'!O57</f>
        <v/>
      </c>
      <c r="AF49" s="1781" t="n"/>
      <c r="AG49" s="1841">
        <f>'Fish and aqua'!P57</f>
        <v/>
      </c>
      <c r="AH49" s="1781" t="n"/>
      <c r="AI49" s="1806">
        <f>AG49-AE49</f>
        <v/>
      </c>
      <c r="AJ49" s="1781" t="n"/>
      <c r="AK49" s="1771" t="n"/>
      <c r="AL49" s="1771" t="n"/>
      <c r="AM49" s="1771" t="n"/>
      <c r="AN49" s="1771" t="n"/>
      <c r="AO49" s="1771" t="n"/>
      <c r="AP49" s="1771" t="n"/>
      <c r="AQ49" s="1771" t="n"/>
      <c r="AR49" s="1771" t="n"/>
      <c r="AS49" s="1771" t="n"/>
      <c r="AT49" s="1771" t="n"/>
      <c r="AU49" s="1771" t="n"/>
      <c r="AV49" s="1771" t="n"/>
      <c r="AW49" s="1771" t="n"/>
      <c r="AX49" s="1771" t="n"/>
      <c r="AY49" s="1771" t="n"/>
      <c r="AZ49" s="1771" t="n"/>
      <c r="BA49" s="1771" t="n"/>
      <c r="BB49" s="1771" t="n"/>
      <c r="BC49" s="1771" t="n"/>
      <c r="BD49" s="1771" t="n"/>
      <c r="BE49" s="1771" t="n"/>
      <c r="BF49" s="1771" t="n"/>
      <c r="BG49" s="1771" t="n"/>
      <c r="BH49" s="1771" t="n"/>
      <c r="BI49" s="1771" t="n"/>
      <c r="BJ49" s="1771" t="n"/>
      <c r="BK49" s="1771" t="n"/>
      <c r="BL49" s="1771" t="n"/>
      <c r="BM49" s="1771" t="n"/>
      <c r="BN49" s="1771" t="n"/>
      <c r="BO49" s="1771" t="n"/>
      <c r="BP49" s="1771" t="n"/>
      <c r="BQ49" s="1782" t="n"/>
      <c r="BR49" s="1782" t="n"/>
      <c r="BS49" s="1782" t="n"/>
      <c r="BT49" s="1782" t="n"/>
      <c r="BU49" s="1782" t="n"/>
      <c r="BV49" s="2344">
        <f>'Fish and aqua'!Q47</f>
        <v/>
      </c>
      <c r="BW49" s="2344" t="n"/>
      <c r="BX49" s="2344">
        <f>'Fish and aqua'!R47</f>
        <v/>
      </c>
      <c r="BY49" s="2344" t="n"/>
      <c r="BZ49" s="2344">
        <f>'Fish and aqua'!S47</f>
        <v/>
      </c>
      <c r="CA49" s="1782" t="n"/>
      <c r="CB49" s="1782" t="n"/>
      <c r="CC49" s="1782" t="n"/>
      <c r="CD49" s="1782" t="n"/>
      <c r="CE49" s="1782" t="n"/>
      <c r="CF49" s="1782" t="n"/>
      <c r="CG49" s="1782" t="n"/>
      <c r="CH49" s="1782" t="n"/>
      <c r="CI49" s="1782" t="n"/>
      <c r="CJ49" s="1782" t="n"/>
      <c r="CK49" s="1782" t="n"/>
      <c r="CL49" s="1771" t="n"/>
      <c r="CM49" s="4401" t="n">
        <v>1</v>
      </c>
      <c r="CN49" s="4402" t="n"/>
      <c r="CO49" s="1997" t="n"/>
      <c r="CP49" s="1771" t="n"/>
      <c r="CQ49" s="1771" t="n"/>
      <c r="CR49" s="1771" t="n"/>
      <c r="CS49" s="1771" t="n"/>
      <c r="CT49" s="1771" t="n"/>
      <c r="CU49" s="1771" t="n"/>
      <c r="CV49" s="1771" t="n"/>
      <c r="CW49" s="1771" t="n"/>
      <c r="CX49" s="1771" t="n"/>
      <c r="CY49" s="1771" t="n"/>
    </row>
    <row r="50">
      <c r="A50" s="1771" t="n"/>
      <c r="B50" s="1781" t="n"/>
      <c r="C50" s="1781" t="n"/>
      <c r="D50" s="1781" t="n"/>
      <c r="E50" s="1781" t="n"/>
      <c r="F50" s="1781" t="n"/>
      <c r="G50" s="1781" t="n"/>
      <c r="H50" s="1781" t="n"/>
      <c r="I50" s="1781" t="n"/>
      <c r="J50" s="1781" t="n"/>
      <c r="K50" s="1781" t="n"/>
      <c r="L50" s="1781" t="n"/>
      <c r="M50" s="1781" t="n"/>
      <c r="N50" s="1781" t="n"/>
      <c r="O50" s="1781" t="n"/>
      <c r="P50" s="1781">
        <f>P19</f>
        <v/>
      </c>
      <c r="Q50" s="1781" t="n"/>
      <c r="R50" s="1781" t="n"/>
      <c r="S50" s="1781" t="n"/>
      <c r="T50" s="1781" t="n"/>
      <c r="U50" s="1781" t="n"/>
      <c r="V50" s="1781" t="n"/>
      <c r="W50" s="1781" t="n"/>
      <c r="X50" s="1781" t="n"/>
      <c r="Y50" s="1781" t="n"/>
      <c r="Z50" s="1781" t="n"/>
      <c r="AA50" s="1781" t="n"/>
      <c r="AB50" s="1781" t="n"/>
      <c r="AC50" s="1781" t="n"/>
      <c r="AD50" s="1781" t="n"/>
      <c r="AE50" s="1781" t="n"/>
      <c r="AF50" s="1781" t="n"/>
      <c r="AG50" s="1781" t="n"/>
      <c r="AH50" s="1781" t="n"/>
      <c r="AI50" s="1781" t="n"/>
      <c r="AJ50" s="1781" t="n"/>
      <c r="AK50" s="1771" t="n"/>
      <c r="AL50" s="1771" t="n"/>
      <c r="AM50" s="1771" t="n"/>
      <c r="AN50" s="1771" t="n"/>
      <c r="AO50" s="1771" t="n"/>
      <c r="AP50" s="1771" t="n"/>
      <c r="AQ50" s="1771" t="n"/>
      <c r="AR50" s="1771" t="n"/>
      <c r="AS50" s="1771" t="n"/>
      <c r="AT50" s="1771" t="n"/>
      <c r="AU50" s="1771" t="n"/>
      <c r="AV50" s="1771" t="n"/>
      <c r="AW50" s="1771" t="n"/>
      <c r="AX50" s="1771" t="n"/>
      <c r="AY50" s="1771" t="n"/>
      <c r="AZ50" s="1771" t="n"/>
      <c r="BA50" s="1771" t="n"/>
      <c r="BB50" s="1771" t="n"/>
      <c r="BC50" s="1771" t="n"/>
      <c r="BD50" s="1771" t="n"/>
      <c r="BE50" s="1771" t="n"/>
      <c r="BF50" s="1771" t="n"/>
      <c r="BG50" s="1771" t="n"/>
      <c r="BH50" s="1771" t="n"/>
      <c r="BI50" s="1771" t="n"/>
      <c r="BJ50" s="1771" t="n"/>
      <c r="BK50" s="1771" t="n"/>
      <c r="BL50" s="1771" t="n"/>
      <c r="BM50" s="1771" t="n"/>
      <c r="BN50" s="1771" t="n"/>
      <c r="BO50" s="1771" t="n"/>
      <c r="BP50" s="1771" t="n"/>
      <c r="BQ50" s="1782" t="n"/>
      <c r="BR50" s="1782" t="n"/>
      <c r="BS50" s="1782" t="n"/>
      <c r="BT50" s="1782" t="n"/>
      <c r="BU50" s="1782" t="n"/>
      <c r="BV50" s="1782" t="n"/>
      <c r="BW50" s="1782" t="n"/>
      <c r="BX50" s="1782" t="n"/>
      <c r="BY50" s="1782" t="n"/>
      <c r="BZ50" s="1782" t="n"/>
      <c r="CA50" s="1782" t="n"/>
      <c r="CB50" s="1782" t="n"/>
      <c r="CC50" s="1782" t="n"/>
      <c r="CD50" s="1782" t="n"/>
      <c r="CE50" s="1782" t="n"/>
      <c r="CF50" s="1782" t="n"/>
      <c r="CG50" s="1782" t="n"/>
      <c r="CH50" s="1782" t="n"/>
      <c r="CI50" s="1782" t="n"/>
      <c r="CJ50" s="1782" t="n"/>
      <c r="CK50" s="1782" t="n"/>
      <c r="CL50" s="1771" t="n"/>
      <c r="CM50" s="1997" t="n"/>
      <c r="CN50" s="1997" t="n"/>
      <c r="CO50" s="1997" t="n"/>
      <c r="CP50" s="1771" t="n"/>
      <c r="CQ50" s="1771" t="n"/>
      <c r="CR50" s="1771" t="n"/>
      <c r="CS50" s="1771" t="n"/>
      <c r="CT50" s="1771" t="n"/>
      <c r="CU50" s="1771" t="n"/>
      <c r="CV50" s="1771" t="n"/>
      <c r="CW50" s="1771" t="n"/>
      <c r="CX50" s="1771" t="n"/>
      <c r="CY50" s="1771" t="n"/>
    </row>
    <row r="51">
      <c r="A51" s="1771" t="n"/>
      <c r="B51" s="1781" t="n"/>
      <c r="C51" s="1781" t="n"/>
      <c r="D51" s="1781" t="n"/>
      <c r="E51" s="1781" t="n"/>
      <c r="F51" s="1781" t="n"/>
      <c r="G51" s="1781" t="n"/>
      <c r="H51" s="1781" t="n"/>
      <c r="I51" s="1781" t="n"/>
      <c r="J51" s="1781" t="n"/>
      <c r="K51" s="1781" t="n"/>
      <c r="L51" s="1781" t="n"/>
      <c r="M51" s="1781" t="n"/>
      <c r="N51" s="1781" t="n"/>
      <c r="O51" s="1781" t="n"/>
      <c r="P51" s="1781">
        <f>P20</f>
        <v/>
      </c>
      <c r="Q51" s="1781" t="n"/>
      <c r="R51" s="1781" t="n"/>
      <c r="S51" s="1781" t="n"/>
      <c r="T51" s="1781" t="n"/>
      <c r="U51" s="1781" t="n"/>
      <c r="V51" s="1781" t="n"/>
      <c r="W51" s="1781" t="n"/>
      <c r="X51" s="1781" t="n"/>
      <c r="Y51" s="1781" t="n"/>
      <c r="Z51" s="1781" t="n"/>
      <c r="AA51" s="1781" t="n"/>
      <c r="AB51" s="1781" t="n"/>
      <c r="AC51" s="1781" t="n"/>
      <c r="AD51" s="1781" t="n"/>
      <c r="AE51" s="1781" t="n"/>
      <c r="AF51" s="1781" t="n"/>
      <c r="AG51" s="1781" t="n"/>
      <c r="AH51" s="1781" t="n"/>
      <c r="AI51" s="1781" t="n"/>
      <c r="AJ51" s="1781" t="n"/>
      <c r="AK51" s="1771" t="n"/>
      <c r="AL51" s="1771" t="n"/>
      <c r="AM51" s="1771" t="n"/>
      <c r="AN51" s="1771" t="n"/>
      <c r="AO51" s="1771" t="n"/>
      <c r="AP51" s="1771" t="n"/>
      <c r="AQ51" s="1771" t="n"/>
      <c r="AR51" s="1771" t="n"/>
      <c r="AS51" s="1771" t="n"/>
      <c r="AT51" s="1771" t="n"/>
      <c r="AU51" s="1771" t="n"/>
      <c r="AV51" s="1771" t="n"/>
      <c r="AW51" s="1771" t="n"/>
      <c r="AX51" s="1771" t="n"/>
      <c r="AY51" s="1771" t="n"/>
      <c r="AZ51" s="1771" t="n"/>
      <c r="BA51" s="1771" t="n"/>
      <c r="BB51" s="1771" t="n"/>
      <c r="BC51" s="1771" t="n"/>
      <c r="BD51" s="1771" t="n"/>
      <c r="BE51" s="1771" t="n"/>
      <c r="BF51" s="1771" t="n"/>
      <c r="BG51" s="1771" t="n"/>
      <c r="BH51" s="1771" t="n"/>
      <c r="BI51" s="1771" t="n"/>
      <c r="BJ51" s="1771" t="n"/>
      <c r="BK51" s="1771" t="n"/>
      <c r="BL51" s="1771" t="n"/>
      <c r="BM51" s="1771" t="n"/>
      <c r="BN51" s="1771" t="n"/>
      <c r="BO51" s="1771" t="n"/>
      <c r="BP51" s="1771" t="n"/>
      <c r="BQ51" s="1782" t="n"/>
      <c r="BR51" s="1782" t="n"/>
      <c r="BS51" s="1782" t="n"/>
      <c r="BT51" s="2609">
        <f>BT20</f>
        <v/>
      </c>
      <c r="BU51" s="1782" t="n"/>
      <c r="BV51" s="2589">
        <f>'Fish and aqua'!K59</f>
        <v/>
      </c>
      <c r="BW51" s="2589" t="n"/>
      <c r="BX51" s="2589">
        <f>'Fish and aqua'!L59</f>
        <v/>
      </c>
      <c r="BY51" s="1782" t="n"/>
      <c r="BZ51" s="2589">
        <f>'Fish and aqua'!M59</f>
        <v/>
      </c>
      <c r="CA51" s="1782" t="n"/>
      <c r="CB51" s="1782" t="n"/>
      <c r="CC51" s="1782" t="n"/>
      <c r="CD51" s="1782" t="n"/>
      <c r="CE51" s="1782" t="n"/>
      <c r="CF51" s="1782" t="n"/>
      <c r="CG51" s="1782" t="n"/>
      <c r="CH51" s="1782" t="n"/>
      <c r="CI51" s="1782" t="n"/>
      <c r="CJ51" s="1782" t="n"/>
      <c r="CK51" s="1782" t="n"/>
      <c r="CL51" s="1771" t="n"/>
      <c r="CM51" s="4548" t="inlineStr">
        <is>
          <t>Use this part only if you want to refine yearly GHG fluxes</t>
        </is>
      </c>
      <c r="CP51" s="1771" t="n"/>
      <c r="CQ51" s="1771" t="n"/>
      <c r="CR51" s="1771" t="n"/>
      <c r="CS51" s="1771" t="n"/>
      <c r="CT51" s="1771" t="n"/>
      <c r="CU51" s="1771" t="n"/>
      <c r="CV51" s="1771" t="n"/>
      <c r="CW51" s="1771" t="n"/>
      <c r="CX51" s="1771" t="n"/>
      <c r="CY51" s="1771" t="n"/>
    </row>
    <row r="52">
      <c r="A52" s="1771" t="n"/>
      <c r="B52" s="1781" t="n"/>
      <c r="C52" s="1826">
        <f>C21</f>
        <v/>
      </c>
      <c r="D52" s="1781" t="n"/>
      <c r="E52" s="1781" t="n"/>
      <c r="F52" s="1781" t="n"/>
      <c r="G52" s="1781" t="n"/>
      <c r="H52" s="1781" t="n"/>
      <c r="I52" s="1781" t="n"/>
      <c r="J52" s="1781" t="n"/>
      <c r="K52" s="1781" t="n"/>
      <c r="L52" s="1781" t="n"/>
      <c r="M52" s="1781" t="n"/>
      <c r="N52" s="1781" t="n"/>
      <c r="O52" s="1781" t="n"/>
      <c r="P52" s="1781" t="n"/>
      <c r="Q52" s="1781" t="n"/>
      <c r="R52" s="1781" t="n"/>
      <c r="S52" s="1781" t="n"/>
      <c r="T52" s="1781" t="n"/>
      <c r="U52" s="1781" t="n"/>
      <c r="V52" s="1781" t="n"/>
      <c r="W52" s="1781" t="n"/>
      <c r="X52" s="1806">
        <f>H43</f>
        <v/>
      </c>
      <c r="Y52" s="1806" t="n"/>
      <c r="Z52" s="1806">
        <f>J43</f>
        <v/>
      </c>
      <c r="AA52" s="1806" t="n"/>
      <c r="AB52" s="1806">
        <f>L43</f>
        <v/>
      </c>
      <c r="AC52" s="1781" t="n"/>
      <c r="AD52" s="1781" t="n"/>
      <c r="AE52" s="1806">
        <f>AE21</f>
        <v/>
      </c>
      <c r="AF52" s="1806" t="n"/>
      <c r="AG52" s="1806">
        <f>AG21</f>
        <v/>
      </c>
      <c r="AH52" s="1806" t="n"/>
      <c r="AI52" s="1806" t="n"/>
      <c r="AJ52" s="1781" t="n"/>
      <c r="AK52" s="1771" t="n"/>
      <c r="AL52" s="1771" t="n"/>
      <c r="AM52" s="1771" t="n"/>
      <c r="AN52" s="1771" t="n"/>
      <c r="AO52" s="1771" t="n"/>
      <c r="AP52" s="1771" t="n"/>
      <c r="AQ52" s="1771" t="n"/>
      <c r="AR52" s="1771" t="n"/>
      <c r="AS52" s="1771" t="n"/>
      <c r="AT52" s="1771" t="n"/>
      <c r="AU52" s="1771" t="n"/>
      <c r="AV52" s="1771" t="n"/>
      <c r="AW52" s="1771" t="n"/>
      <c r="AX52" s="1771" t="n"/>
      <c r="AY52" s="1771" t="n"/>
      <c r="AZ52" s="1771" t="n"/>
      <c r="BA52" s="1771" t="n"/>
      <c r="BB52" s="1771" t="n"/>
      <c r="BC52" s="1771" t="n"/>
      <c r="BD52" s="1771" t="n"/>
      <c r="BE52" s="1771" t="n"/>
      <c r="BF52" s="1771" t="n"/>
      <c r="BG52" s="1771" t="n"/>
      <c r="BH52" s="1771" t="n"/>
      <c r="BI52" s="1771" t="n"/>
      <c r="BJ52" s="1771" t="n"/>
      <c r="BK52" s="1771" t="n"/>
      <c r="BL52" s="1771" t="n"/>
      <c r="BM52" s="1771" t="n"/>
      <c r="BN52" s="1771" t="n"/>
      <c r="BO52" s="1771" t="n"/>
      <c r="BP52" s="1771" t="n"/>
      <c r="BQ52" s="1782" t="n"/>
      <c r="BR52" s="1782" t="n"/>
      <c r="BS52" s="1782" t="n"/>
      <c r="BT52" s="1782" t="n"/>
      <c r="BU52" s="1782" t="n"/>
      <c r="BV52" s="1782" t="n"/>
      <c r="BW52" s="1782" t="n"/>
      <c r="BX52" s="1782" t="n"/>
      <c r="BY52" s="1782" t="n"/>
      <c r="BZ52" s="1782" t="n"/>
      <c r="CA52" s="1782" t="n"/>
      <c r="CB52" s="1782" t="n"/>
      <c r="CC52" s="1782" t="n"/>
      <c r="CD52" s="1782" t="n"/>
      <c r="CE52" s="1782" t="n"/>
      <c r="CF52" s="1782" t="n"/>
      <c r="CG52" s="1782" t="n"/>
      <c r="CH52" s="1782" t="n"/>
      <c r="CI52" s="1782" t="n"/>
      <c r="CJ52" s="1782" t="n"/>
      <c r="CK52" s="1782" t="n"/>
      <c r="CL52" s="1771" t="n"/>
      <c r="CP52" s="1771" t="n"/>
      <c r="CQ52" s="1771" t="n"/>
      <c r="CR52" s="1771" t="n"/>
      <c r="CS52" s="1771" t="n"/>
      <c r="CT52" s="1771" t="n"/>
      <c r="CU52" s="1771" t="n"/>
      <c r="CV52" s="1771" t="n"/>
      <c r="CW52" s="1771" t="n"/>
      <c r="CX52" s="1771" t="n"/>
      <c r="CY52" s="1771" t="n"/>
    </row>
    <row r="53">
      <c r="A53" s="1771" t="n"/>
      <c r="B53" s="1781" t="n"/>
      <c r="C53" s="1781">
        <f>C22</f>
        <v/>
      </c>
      <c r="D53" s="1781" t="n"/>
      <c r="E53" s="1781" t="n"/>
      <c r="F53" s="1781" t="n"/>
      <c r="G53" s="1781" t="n"/>
      <c r="H53" s="1781" t="n"/>
      <c r="I53" s="1781" t="n"/>
      <c r="J53" s="1781" t="n"/>
      <c r="K53" s="1781" t="n"/>
      <c r="L53" s="1781" t="n"/>
      <c r="M53" s="1781" t="n"/>
      <c r="N53" s="1781" t="n"/>
      <c r="O53" s="1781" t="n"/>
      <c r="P53" s="1781" t="n"/>
      <c r="Q53" s="1781" t="n"/>
      <c r="R53" s="1781" t="n"/>
      <c r="S53" s="1781" t="n"/>
      <c r="T53" s="1781" t="n"/>
      <c r="U53" s="1781" t="n"/>
      <c r="V53" s="1781" t="n"/>
      <c r="W53" s="1781" t="n"/>
      <c r="X53" s="1806">
        <f>SUMPRODUCT(H44:H49,X44:X49)</f>
        <v/>
      </c>
      <c r="Y53" s="1781" t="n"/>
      <c r="Z53" s="1806">
        <f>SUMPRODUCT(J44:J49,Z44:Z49)</f>
        <v/>
      </c>
      <c r="AA53" s="1781" t="n"/>
      <c r="AB53" s="1806">
        <f>SUMPRODUCT(L44:L49,AB44:AB49)</f>
        <v/>
      </c>
      <c r="AC53" s="1781" t="n"/>
      <c r="AD53" s="1781" t="n"/>
      <c r="AE53" s="1841">
        <f>'Fish and aqua'!O63</f>
        <v/>
      </c>
      <c r="AF53" s="1806" t="n"/>
      <c r="AG53" s="1841">
        <f>'Fish and aqua'!P63</f>
        <v/>
      </c>
      <c r="AH53" s="1806" t="n"/>
      <c r="AI53" s="1806">
        <f>AG53-AE53</f>
        <v/>
      </c>
      <c r="AJ53" s="1781" t="n"/>
      <c r="AK53" s="1771" t="n"/>
      <c r="AL53" s="1771" t="n"/>
      <c r="AM53" s="1771" t="n"/>
      <c r="AN53" s="1771" t="n"/>
      <c r="AO53" s="1771" t="n"/>
      <c r="AP53" s="1771" t="n"/>
      <c r="AQ53" s="1771" t="n"/>
      <c r="AR53" s="1771" t="n"/>
      <c r="AS53" s="1771" t="n"/>
      <c r="AT53" s="1771" t="n"/>
      <c r="AU53" s="1771" t="n"/>
      <c r="AV53" s="1771" t="n"/>
      <c r="AW53" s="1771" t="n"/>
      <c r="AX53" s="1771" t="n"/>
      <c r="AY53" s="1771" t="n"/>
      <c r="AZ53" s="1771" t="n"/>
      <c r="BA53" s="1771" t="n"/>
      <c r="BB53" s="1771" t="n"/>
      <c r="BC53" s="1771" t="n"/>
      <c r="BD53" s="1771" t="n"/>
      <c r="BE53" s="1771" t="n"/>
      <c r="BF53" s="1771" t="n"/>
      <c r="BG53" s="1771" t="n"/>
      <c r="BH53" s="1771" t="n"/>
      <c r="BI53" s="1771" t="n"/>
      <c r="BJ53" s="1771" t="n"/>
      <c r="BK53" s="1771" t="n"/>
      <c r="BL53" s="1771" t="n"/>
      <c r="BM53" s="1771" t="n"/>
      <c r="BN53" s="1771" t="n"/>
      <c r="BO53" s="1771" t="n"/>
      <c r="BP53" s="1771" t="n"/>
      <c r="BQ53" s="1782" t="n"/>
      <c r="BR53" s="1783">
        <f>BR22</f>
        <v/>
      </c>
      <c r="BS53" s="1782" t="n"/>
      <c r="BT53" s="1782" t="n"/>
      <c r="BU53" s="1782" t="n"/>
      <c r="BV53" s="1782" t="n"/>
      <c r="BW53" s="1782" t="n"/>
      <c r="BX53" s="1782" t="n"/>
      <c r="BY53" s="1782" t="n"/>
      <c r="BZ53" s="1782" t="n"/>
      <c r="CA53" s="1782" t="n"/>
      <c r="CB53" s="1782" t="n"/>
      <c r="CC53" s="1782" t="n"/>
      <c r="CD53" s="1782" t="n"/>
      <c r="CE53" s="1782" t="n"/>
      <c r="CF53" s="1782" t="n"/>
      <c r="CG53" s="1782" t="n"/>
      <c r="CH53" s="1782" t="n"/>
      <c r="CI53" s="1782" t="n"/>
      <c r="CJ53" s="1782" t="n"/>
      <c r="CK53" s="1782" t="n"/>
      <c r="CL53" s="1771" t="n"/>
      <c r="CP53" s="1771" t="n"/>
      <c r="CQ53" s="1771" t="n"/>
      <c r="CR53" s="1771" t="n"/>
      <c r="CS53" s="1771" t="n"/>
      <c r="CT53" s="1771" t="n"/>
      <c r="CU53" s="1771" t="n"/>
      <c r="CV53" s="1771" t="n"/>
      <c r="CW53" s="1771" t="n"/>
      <c r="CX53" s="1771" t="n"/>
      <c r="CY53" s="1771" t="n"/>
    </row>
    <row r="54">
      <c r="A54" s="1771" t="n"/>
      <c r="B54" s="1781" t="n"/>
      <c r="C54" s="1781" t="n"/>
      <c r="D54" s="1781" t="n"/>
      <c r="E54" s="1781" t="n"/>
      <c r="F54" s="1781" t="n"/>
      <c r="G54" s="1781" t="n"/>
      <c r="H54" s="1781" t="n"/>
      <c r="I54" s="1781" t="n"/>
      <c r="J54" s="1781" t="n"/>
      <c r="K54" s="1781" t="n"/>
      <c r="L54" s="1781" t="n"/>
      <c r="M54" s="1781" t="n"/>
      <c r="N54" s="1781" t="n"/>
      <c r="O54" s="1781" t="n"/>
      <c r="P54" s="1781" t="n"/>
      <c r="Q54" s="1781" t="n"/>
      <c r="R54" s="1781" t="n"/>
      <c r="S54" s="1781" t="n"/>
      <c r="T54" s="1781" t="n"/>
      <c r="U54" s="1781" t="n"/>
      <c r="V54" s="1781" t="n"/>
      <c r="W54" s="1781" t="n"/>
      <c r="X54" s="1781" t="n"/>
      <c r="Y54" s="1781" t="n"/>
      <c r="Z54" s="1781" t="n"/>
      <c r="AA54" s="1781" t="n"/>
      <c r="AB54" s="1781" t="n"/>
      <c r="AC54" s="1781" t="n"/>
      <c r="AD54" s="1781" t="n"/>
      <c r="AE54" s="1781" t="n"/>
      <c r="AF54" s="1781" t="n"/>
      <c r="AG54" s="1781" t="n"/>
      <c r="AH54" s="1781" t="n"/>
      <c r="AI54" s="1781" t="n"/>
      <c r="AJ54" s="1781" t="n"/>
      <c r="AK54" s="1771" t="n"/>
      <c r="AL54" s="1771" t="n"/>
      <c r="AM54" s="1771" t="n"/>
      <c r="AN54" s="1771" t="n"/>
      <c r="AO54" s="1771" t="n"/>
      <c r="AP54" s="1771" t="n"/>
      <c r="AQ54" s="1771" t="n"/>
      <c r="AR54" s="1771" t="n"/>
      <c r="AS54" s="1771" t="n"/>
      <c r="AT54" s="1771" t="n"/>
      <c r="AU54" s="1771" t="n"/>
      <c r="AV54" s="1771" t="n"/>
      <c r="AW54" s="1771" t="n"/>
      <c r="AX54" s="1771" t="n"/>
      <c r="AY54" s="1771" t="n"/>
      <c r="AZ54" s="1771" t="n"/>
      <c r="BA54" s="1771" t="n"/>
      <c r="BB54" s="1771" t="n"/>
      <c r="BC54" s="1771" t="n"/>
      <c r="BD54" s="1771" t="n"/>
      <c r="BE54" s="1771" t="n"/>
      <c r="BF54" s="1771" t="n"/>
      <c r="BG54" s="1771" t="n"/>
      <c r="BH54" s="1771" t="n"/>
      <c r="BI54" s="1771" t="n"/>
      <c r="BJ54" s="1771" t="n"/>
      <c r="BK54" s="1771" t="n"/>
      <c r="BL54" s="1771" t="n"/>
      <c r="BM54" s="1771" t="n"/>
      <c r="BN54" s="1771" t="n"/>
      <c r="BO54" s="1771" t="n"/>
      <c r="BP54" s="1771" t="n"/>
      <c r="BQ54" s="1782" t="n"/>
      <c r="BR54" s="1782" t="n"/>
      <c r="BS54" s="1782" t="n"/>
      <c r="BT54" s="1782" t="n"/>
      <c r="BU54" s="1782">
        <f>BU23</f>
        <v/>
      </c>
      <c r="BV54" s="1782" t="n"/>
      <c r="BW54" s="1782" t="n"/>
      <c r="BX54" s="1782" t="n"/>
      <c r="BY54" s="1782" t="n"/>
      <c r="BZ54" s="1782" t="n"/>
      <c r="CA54" s="1782" t="n"/>
      <c r="CB54" s="1782" t="n"/>
      <c r="CC54" s="1782">
        <f>CC23</f>
        <v/>
      </c>
      <c r="CD54" s="1782" t="n"/>
      <c r="CE54" s="1782" t="n"/>
      <c r="CF54" s="1782" t="n"/>
      <c r="CG54" s="1782" t="n"/>
      <c r="CH54" s="1782" t="n"/>
      <c r="CI54" s="2155">
        <f>CI23</f>
        <v/>
      </c>
      <c r="CJ54" s="1782" t="n"/>
      <c r="CK54" s="1782" t="n"/>
      <c r="CL54" s="1771" t="n"/>
      <c r="CM54" s="1997" t="n"/>
      <c r="CN54" s="1997" t="n"/>
      <c r="CO54" s="1997" t="n"/>
      <c r="CP54" s="1771" t="n"/>
      <c r="CQ54" s="1771" t="n"/>
      <c r="CR54" s="1771" t="n"/>
      <c r="CS54" s="1771" t="n"/>
      <c r="CT54" s="1771" t="n"/>
      <c r="CU54" s="1771" t="n"/>
      <c r="CV54" s="1771" t="n"/>
      <c r="CW54" s="1771" t="n"/>
      <c r="CX54" s="1771" t="n"/>
      <c r="CY54" s="1771" t="n"/>
    </row>
    <row r="55">
      <c r="A55" s="1771" t="n"/>
      <c r="B55" s="1781" t="n"/>
      <c r="C55" s="1826">
        <f>C24</f>
        <v/>
      </c>
      <c r="D55" s="1781" t="n"/>
      <c r="E55" s="1781" t="n"/>
      <c r="F55" s="1781" t="n"/>
      <c r="G55" s="1781" t="n"/>
      <c r="H55" s="1781">
        <f>H24</f>
        <v/>
      </c>
      <c r="I55" s="1781" t="n"/>
      <c r="J55" s="1781" t="n"/>
      <c r="K55" s="1781" t="n"/>
      <c r="L55" s="1781" t="n"/>
      <c r="M55" s="1781" t="n"/>
      <c r="N55" s="1781" t="n"/>
      <c r="O55" s="1781" t="n"/>
      <c r="P55" s="1781" t="n"/>
      <c r="Q55" s="1781" t="n"/>
      <c r="R55" s="1781" t="n"/>
      <c r="S55" s="1781" t="n"/>
      <c r="T55" s="1781" t="n"/>
      <c r="U55" s="1781" t="n"/>
      <c r="V55" s="1781" t="n"/>
      <c r="W55" s="1781" t="n"/>
      <c r="X55" s="1781" t="n"/>
      <c r="Y55" s="1781" t="n"/>
      <c r="Z55" s="1781" t="n"/>
      <c r="AA55" s="1781" t="n"/>
      <c r="AB55" s="1781" t="n"/>
      <c r="AC55" s="1781" t="n"/>
      <c r="AD55" s="1781" t="n"/>
      <c r="AE55" s="1781" t="n"/>
      <c r="AF55" s="1781" t="n"/>
      <c r="AG55" s="1781" t="n"/>
      <c r="AH55" s="1781" t="n"/>
      <c r="AI55" s="1781" t="n"/>
      <c r="AJ55" s="1781" t="n"/>
      <c r="AK55" s="1771" t="n"/>
      <c r="AL55" s="1771" t="n"/>
      <c r="AM55" s="1771" t="n"/>
      <c r="AN55" s="1771" t="n"/>
      <c r="AO55" s="1771" t="n"/>
      <c r="AP55" s="1771" t="n"/>
      <c r="AQ55" s="1771" t="n"/>
      <c r="AR55" s="1771" t="n"/>
      <c r="AS55" s="1771" t="n"/>
      <c r="AT55" s="1771" t="n"/>
      <c r="AU55" s="1771" t="n"/>
      <c r="AV55" s="1771" t="n"/>
      <c r="AW55" s="1771" t="n"/>
      <c r="AX55" s="1771" t="n"/>
      <c r="AY55" s="1771" t="n"/>
      <c r="AZ55" s="1771" t="n"/>
      <c r="BA55" s="1771" t="n"/>
      <c r="BB55" s="1771" t="n"/>
      <c r="BC55" s="1771" t="n"/>
      <c r="BD55" s="1771" t="n"/>
      <c r="BE55" s="1771" t="n"/>
      <c r="BF55" s="1771" t="n"/>
      <c r="BG55" s="1771" t="n"/>
      <c r="BH55" s="1771" t="n"/>
      <c r="BI55" s="1771" t="n"/>
      <c r="BJ55" s="1771" t="n"/>
      <c r="BK55" s="1771" t="n"/>
      <c r="BL55" s="1771" t="n"/>
      <c r="BM55" s="1771" t="n"/>
      <c r="BN55" s="1771" t="n"/>
      <c r="BO55" s="1771" t="n"/>
      <c r="BP55" s="1771" t="n"/>
      <c r="BQ55" s="1782" t="n"/>
      <c r="BR55" s="1782" t="n"/>
      <c r="BS55" s="1782" t="n"/>
      <c r="BT55" s="1782" t="n"/>
      <c r="BU55" s="1782">
        <f>CH41</f>
        <v/>
      </c>
      <c r="BV55" s="1782">
        <f>CI41</f>
        <v/>
      </c>
      <c r="BW55" s="1782" t="n"/>
      <c r="BX55" s="1782" t="n"/>
      <c r="BY55" s="1782" t="n"/>
      <c r="BZ55" s="1782" t="n"/>
      <c r="CA55" s="1782" t="n"/>
      <c r="CB55" s="1782" t="n"/>
      <c r="CC55" s="2155">
        <f>BU55</f>
        <v/>
      </c>
      <c r="CD55" s="1782" t="n"/>
      <c r="CE55" s="1782">
        <f>BV55</f>
        <v/>
      </c>
      <c r="CF55" s="1782" t="n"/>
      <c r="CG55" s="1782" t="n"/>
      <c r="CH55" s="1782" t="n"/>
      <c r="CI55" s="2155">
        <f>CI24</f>
        <v/>
      </c>
      <c r="CJ55" s="1782" t="n"/>
      <c r="CK55" s="1782" t="n"/>
      <c r="CL55" s="1771" t="n"/>
      <c r="CM55" s="1997" t="n"/>
      <c r="CN55" s="1997" t="n"/>
      <c r="CO55" s="1997" t="n"/>
      <c r="CP55" s="1771" t="n"/>
      <c r="CQ55" s="1771" t="n"/>
      <c r="CR55" s="1771" t="n"/>
      <c r="CS55" s="1771" t="n"/>
      <c r="CT55" s="1771" t="n"/>
      <c r="CU55" s="1771" t="n"/>
      <c r="CV55" s="1771" t="n"/>
      <c r="CW55" s="1771" t="n"/>
      <c r="CX55" s="1771" t="n"/>
      <c r="CY55" s="1771" t="n"/>
    </row>
    <row r="56">
      <c r="A56" s="1771" t="n"/>
      <c r="B56" s="1781" t="n"/>
      <c r="C56" s="1781" t="n"/>
      <c r="D56" s="1781" t="n"/>
      <c r="E56" s="1781" t="n"/>
      <c r="F56" s="1781" t="n"/>
      <c r="G56" s="1781" t="n"/>
      <c r="H56" s="1806">
        <f>H43</f>
        <v/>
      </c>
      <c r="I56" s="1806" t="n"/>
      <c r="J56" s="1806">
        <f>J43</f>
        <v/>
      </c>
      <c r="K56" s="1806" t="n"/>
      <c r="L56" s="1806">
        <f>L43</f>
        <v/>
      </c>
      <c r="M56" s="1806" t="n"/>
      <c r="N56" s="1781" t="n"/>
      <c r="O56" s="1781" t="n"/>
      <c r="P56" s="1781" t="n"/>
      <c r="Q56" s="1781" t="n"/>
      <c r="R56" s="1781" t="n"/>
      <c r="S56" s="1781" t="n"/>
      <c r="T56" s="1781" t="n"/>
      <c r="U56" s="1781" t="n"/>
      <c r="V56" s="1781" t="n"/>
      <c r="W56" s="1781" t="n"/>
      <c r="X56" s="1806">
        <f>X52</f>
        <v/>
      </c>
      <c r="Y56" s="1806" t="n"/>
      <c r="Z56" s="1806">
        <f>Z52</f>
        <v/>
      </c>
      <c r="AA56" s="1806" t="n"/>
      <c r="AB56" s="1806">
        <f>AB52</f>
        <v/>
      </c>
      <c r="AC56" s="1781" t="n"/>
      <c r="AD56" s="1781" t="n"/>
      <c r="AE56" s="1806">
        <f>AE52</f>
        <v/>
      </c>
      <c r="AF56" s="1806" t="n"/>
      <c r="AG56" s="1806">
        <f>AG52</f>
        <v/>
      </c>
      <c r="AH56" s="1781" t="n"/>
      <c r="AI56" s="1781" t="n"/>
      <c r="AJ56" s="1781" t="n"/>
      <c r="AK56" s="1771" t="n"/>
      <c r="AL56" s="1771" t="n"/>
      <c r="AM56" s="1771" t="n"/>
      <c r="AN56" s="1771" t="n"/>
      <c r="AO56" s="1771" t="n"/>
      <c r="AP56" s="1771" t="n"/>
      <c r="AQ56" s="1771" t="n"/>
      <c r="AR56" s="1771" t="n"/>
      <c r="AS56" s="1771" t="n"/>
      <c r="AT56" s="1771" t="n"/>
      <c r="AU56" s="1771" t="n"/>
      <c r="AV56" s="1771" t="n"/>
      <c r="AW56" s="1771" t="n"/>
      <c r="AX56" s="1771" t="n"/>
      <c r="AY56" s="1771" t="n"/>
      <c r="AZ56" s="1771" t="n"/>
      <c r="BA56" s="1771" t="n"/>
      <c r="BB56" s="1771" t="n"/>
      <c r="BC56" s="1771" t="n"/>
      <c r="BD56" s="1771" t="n"/>
      <c r="BE56" s="1771" t="n"/>
      <c r="BF56" s="1771" t="n"/>
      <c r="BG56" s="1771" t="n"/>
      <c r="BH56" s="1771" t="n"/>
      <c r="BI56" s="1771" t="n"/>
      <c r="BJ56" s="1771" t="n"/>
      <c r="BK56" s="1771" t="n"/>
      <c r="BL56" s="1771" t="n"/>
      <c r="BM56" s="1771" t="n"/>
      <c r="BN56" s="1771" t="n"/>
      <c r="BO56" s="1771" t="n"/>
      <c r="BP56" s="1771" t="n"/>
      <c r="BQ56" s="1782" t="n"/>
      <c r="BR56" s="1782">
        <f>BR25</f>
        <v/>
      </c>
      <c r="BS56" s="1782" t="n"/>
      <c r="BT56" s="1782" t="n"/>
      <c r="BU56" s="2155">
        <f>'Fish and aqua'!C68</f>
        <v/>
      </c>
      <c r="BV56" s="2129" t="n"/>
      <c r="BW56" s="1782" t="n"/>
      <c r="BX56" s="1782" t="n"/>
      <c r="BY56" s="1782" t="n"/>
      <c r="BZ56" s="1782" t="n"/>
      <c r="CA56" s="2609">
        <f>CA25</f>
        <v/>
      </c>
      <c r="CB56" s="1782" t="n"/>
      <c r="CC56" s="2155" t="n">
        <v>60</v>
      </c>
      <c r="CD56" s="1782" t="n"/>
      <c r="CE56" s="4266" t="n"/>
      <c r="CF56" s="4260" t="n"/>
      <c r="CG56" s="1782" t="n"/>
      <c r="CH56" s="1782" t="n"/>
      <c r="CI56" s="2345">
        <f>'Fish and aqua'!I68</f>
        <v/>
      </c>
      <c r="CJ56" s="1782" t="n"/>
      <c r="CK56" s="1782" t="n"/>
      <c r="CL56" s="1771" t="n"/>
      <c r="CM56" s="1997" t="n"/>
      <c r="CN56" s="1997" t="n"/>
      <c r="CO56" s="1997" t="n"/>
      <c r="CP56" s="1771" t="n"/>
      <c r="CQ56" s="1771" t="n"/>
      <c r="CR56" s="1771" t="n"/>
      <c r="CS56" s="1771" t="n"/>
      <c r="CT56" s="1771" t="n"/>
      <c r="CU56" s="1771" t="n"/>
      <c r="CV56" s="1771" t="n"/>
      <c r="CW56" s="1771" t="n"/>
      <c r="CX56" s="1771" t="n"/>
      <c r="CY56" s="1771" t="n"/>
    </row>
    <row r="57">
      <c r="A57" s="1771" t="n"/>
      <c r="B57" s="1781" t="n"/>
      <c r="C57" s="1781">
        <f>Languages!B584</f>
        <v/>
      </c>
      <c r="D57" s="1781" t="n"/>
      <c r="E57" s="1781" t="n"/>
      <c r="F57" s="1781" t="n"/>
      <c r="G57" s="1781" t="n"/>
      <c r="H57" s="4261" t="n">
        <v>0</v>
      </c>
      <c r="I57" s="1781" t="n"/>
      <c r="J57" s="4261" t="n">
        <v>0</v>
      </c>
      <c r="K57" s="1781" t="n"/>
      <c r="L57" s="4261" t="n">
        <v>0</v>
      </c>
      <c r="M57" s="4259" t="n"/>
      <c r="N57" s="1781" t="n"/>
      <c r="O57" s="1781" t="n"/>
      <c r="P57" s="1781" t="n"/>
      <c r="Q57" s="1781" t="n"/>
      <c r="R57" s="1781" t="n"/>
      <c r="S57" s="1781" t="n"/>
      <c r="T57" s="1781" t="n"/>
      <c r="U57" s="1781" t="n"/>
      <c r="V57" s="1781" t="n"/>
      <c r="W57" s="1781" t="n"/>
      <c r="X57" s="1806">
        <f>H57*SUM(X44:X49)</f>
        <v/>
      </c>
      <c r="Y57" s="1806" t="n"/>
      <c r="Z57" s="1806">
        <f>J57*SUM(Z44:Z49)</f>
        <v/>
      </c>
      <c r="AA57" s="1806" t="n"/>
      <c r="AB57" s="1806">
        <f>L57*SUM(AB44:AB49)</f>
        <v/>
      </c>
      <c r="AC57" s="1781" t="n"/>
      <c r="AD57" s="1781" t="n"/>
      <c r="AE57" s="1841">
        <f>'Fish and aqua'!O68</f>
        <v/>
      </c>
      <c r="AF57" s="1806" t="n"/>
      <c r="AG57" s="1841">
        <f>'Fish and aqua'!P68</f>
        <v/>
      </c>
      <c r="AH57" s="1781" t="n"/>
      <c r="AI57" s="1806">
        <f>AG57-AE57</f>
        <v/>
      </c>
      <c r="AJ57" s="1781" t="n"/>
      <c r="AK57" s="1771" t="n"/>
      <c r="AL57" s="1771" t="n"/>
      <c r="AM57" s="1771" t="n"/>
      <c r="AN57" s="1771" t="n"/>
      <c r="AO57" s="1771" t="n"/>
      <c r="AP57" s="1771" t="n"/>
      <c r="AQ57" s="1771" t="n"/>
      <c r="AR57" s="1771" t="n"/>
      <c r="AS57" s="1771" t="n"/>
      <c r="AT57" s="1771" t="n"/>
      <c r="AU57" s="1771" t="n"/>
      <c r="AV57" s="1771" t="n"/>
      <c r="AW57" s="1771" t="n"/>
      <c r="AX57" s="1771" t="n"/>
      <c r="AY57" s="1771" t="n"/>
      <c r="AZ57" s="1771" t="n"/>
      <c r="BA57" s="1771" t="n"/>
      <c r="BB57" s="1771" t="n"/>
      <c r="BC57" s="1771" t="n"/>
      <c r="BD57" s="1771" t="n"/>
      <c r="BE57" s="1771" t="n"/>
      <c r="BF57" s="1771" t="n"/>
      <c r="BG57" s="1771" t="n"/>
      <c r="BH57" s="1771" t="n"/>
      <c r="BI57" s="1771" t="n"/>
      <c r="BJ57" s="1771" t="n"/>
      <c r="BK57" s="1771" t="n"/>
      <c r="BL57" s="1771" t="n"/>
      <c r="BM57" s="1771" t="n"/>
      <c r="BN57" s="1771" t="n"/>
      <c r="BO57" s="1771" t="n"/>
      <c r="BP57" s="1771" t="n"/>
      <c r="BQ57" s="1782" t="n"/>
      <c r="BR57" s="1782" t="n"/>
      <c r="BS57" s="1782" t="n"/>
      <c r="BT57" s="1782" t="n"/>
      <c r="BU57" s="1782" t="n"/>
      <c r="BV57" s="1782" t="n"/>
      <c r="BW57" s="1782" t="n"/>
      <c r="BX57" s="1782" t="n"/>
      <c r="BY57" s="1782" t="n"/>
      <c r="BZ57" s="1782" t="n"/>
      <c r="CA57" s="2609">
        <f>CA26</f>
        <v/>
      </c>
      <c r="CB57" s="1782" t="n"/>
      <c r="CC57" s="2261" t="inlineStr">
        <is>
          <t>Please select</t>
        </is>
      </c>
      <c r="CD57" s="1782" t="n"/>
      <c r="CE57" s="1782" t="n"/>
      <c r="CF57" s="1782" t="n"/>
      <c r="CG57" s="1782" t="n"/>
      <c r="CH57" s="1782" t="n"/>
      <c r="CI57" s="1782" t="n"/>
      <c r="CJ57" s="1782" t="n"/>
      <c r="CK57" s="1782" t="n"/>
      <c r="CL57" s="1771" t="n"/>
      <c r="CM57" s="1997" t="n"/>
      <c r="CN57" s="1997" t="n"/>
      <c r="CO57" s="1997" t="n"/>
      <c r="CP57" s="1771" t="n"/>
      <c r="CQ57" s="1771" t="n"/>
      <c r="CR57" s="1771" t="n"/>
      <c r="CS57" s="1771" t="n"/>
      <c r="CT57" s="1771" t="n"/>
      <c r="CU57" s="1771" t="n"/>
      <c r="CV57" s="1771" t="n"/>
      <c r="CW57" s="1771" t="n"/>
      <c r="CX57" s="1771" t="n"/>
      <c r="CY57" s="1771" t="n"/>
    </row>
    <row r="58">
      <c r="A58" s="1771" t="n"/>
      <c r="B58" s="1781" t="n"/>
      <c r="C58" s="1781" t="n"/>
      <c r="D58" s="1781" t="n"/>
      <c r="E58" s="1849" t="n"/>
      <c r="F58" s="1781" t="n"/>
      <c r="G58" s="1781" t="n"/>
      <c r="H58" s="1781" t="n"/>
      <c r="I58" s="1781" t="n"/>
      <c r="J58" s="1781" t="n"/>
      <c r="K58" s="1781" t="n"/>
      <c r="L58" s="1781" t="n"/>
      <c r="M58" s="1781" t="n"/>
      <c r="N58" s="1781" t="n"/>
      <c r="O58" s="1781" t="n"/>
      <c r="P58" s="1781" t="n"/>
      <c r="Q58" s="1781" t="n"/>
      <c r="R58" s="1781" t="n"/>
      <c r="S58" s="1781" t="n"/>
      <c r="T58" s="1781" t="n"/>
      <c r="U58" s="1781" t="n"/>
      <c r="V58" s="1781" t="n"/>
      <c r="W58" s="1781" t="n"/>
      <c r="X58" s="1781" t="n"/>
      <c r="Y58" s="1781" t="n"/>
      <c r="Z58" s="1781" t="n"/>
      <c r="AA58" s="1781" t="n"/>
      <c r="AB58" s="1781" t="n"/>
      <c r="AC58" s="1781" t="n"/>
      <c r="AD58" s="1781" t="n"/>
      <c r="AE58" s="1781" t="n"/>
      <c r="AF58" s="1781" t="n"/>
      <c r="AG58" s="1781" t="n"/>
      <c r="AH58" s="1781" t="n"/>
      <c r="AI58" s="1781" t="n"/>
      <c r="AJ58" s="1781" t="n"/>
      <c r="AK58" s="1771" t="n"/>
      <c r="AL58" s="1771" t="n"/>
      <c r="AM58" s="1771" t="n"/>
      <c r="AN58" s="1771" t="n"/>
      <c r="AO58" s="1771" t="n"/>
      <c r="AP58" s="1771" t="n"/>
      <c r="AQ58" s="1771" t="n"/>
      <c r="AR58" s="1771" t="n"/>
      <c r="AS58" s="1771" t="n"/>
      <c r="AT58" s="1771" t="n"/>
      <c r="AU58" s="1771" t="n"/>
      <c r="AV58" s="1771" t="n"/>
      <c r="AW58" s="1771" t="n"/>
      <c r="AX58" s="1771" t="n"/>
      <c r="AY58" s="1771" t="n"/>
      <c r="AZ58" s="1771" t="n"/>
      <c r="BA58" s="1771" t="n"/>
      <c r="BB58" s="1771" t="n"/>
      <c r="BC58" s="1771" t="n"/>
      <c r="BD58" s="1771" t="n"/>
      <c r="BE58" s="1771" t="n"/>
      <c r="BF58" s="1771" t="n"/>
      <c r="BG58" s="1771" t="n"/>
      <c r="BH58" s="1771" t="n"/>
      <c r="BI58" s="1771" t="n"/>
      <c r="BJ58" s="1771" t="n"/>
      <c r="BK58" s="1771" t="n"/>
      <c r="BL58" s="1771" t="n"/>
      <c r="BM58" s="1771" t="n"/>
      <c r="BN58" s="1771" t="n"/>
      <c r="BO58" s="1771" t="n"/>
      <c r="BP58" s="1771" t="n"/>
      <c r="BQ58" s="1782" t="n"/>
      <c r="BR58" s="1782">
        <f>BR27</f>
        <v/>
      </c>
      <c r="BS58" s="1782" t="n"/>
      <c r="BT58" s="1782" t="n"/>
      <c r="BU58" s="1782" t="n"/>
      <c r="BV58" s="1782" t="n"/>
      <c r="BW58" s="1782" t="n"/>
      <c r="BX58" s="1782" t="n"/>
      <c r="BY58" s="1782" t="n"/>
      <c r="BZ58" s="1782" t="n"/>
      <c r="CA58" s="1782" t="n"/>
      <c r="CB58" s="1782" t="n"/>
      <c r="CC58" s="1782" t="n"/>
      <c r="CD58" s="1782" t="n"/>
      <c r="CE58" s="1782" t="n"/>
      <c r="CF58" s="1782" t="n"/>
      <c r="CG58" s="1782" t="n"/>
      <c r="CH58" s="1782" t="n"/>
      <c r="CI58" s="1782">
        <f>CI27</f>
        <v/>
      </c>
      <c r="CJ58" s="1782" t="n"/>
      <c r="CK58" s="1782" t="n"/>
      <c r="CL58" s="1771" t="n"/>
      <c r="CM58" s="1997" t="n"/>
      <c r="CN58" s="1997" t="n"/>
      <c r="CO58" s="1997" t="n"/>
      <c r="CP58" s="1771" t="n"/>
      <c r="CQ58" s="1771" t="n"/>
      <c r="CR58" s="1771" t="n"/>
      <c r="CS58" s="1771" t="n"/>
      <c r="CT58" s="1771" t="n"/>
      <c r="CU58" s="1771" t="n"/>
      <c r="CV58" s="1771" t="n"/>
      <c r="CW58" s="1771" t="n"/>
      <c r="CX58" s="1771" t="n"/>
      <c r="CY58" s="1771" t="n"/>
    </row>
    <row r="59">
      <c r="A59" s="1771" t="n"/>
      <c r="B59" s="1781" t="n"/>
      <c r="C59" s="1781" t="n"/>
      <c r="D59" s="1781" t="n"/>
      <c r="E59" s="1781" t="n"/>
      <c r="F59" s="1781" t="n"/>
      <c r="G59" s="1781" t="n"/>
      <c r="H59" s="1781" t="n"/>
      <c r="I59" s="1781" t="n"/>
      <c r="J59" s="1781" t="n"/>
      <c r="K59" s="1781" t="n"/>
      <c r="L59" s="1781" t="n"/>
      <c r="M59" s="1781" t="n"/>
      <c r="N59" s="1781" t="n"/>
      <c r="O59" s="1781" t="n"/>
      <c r="P59" s="1781" t="n"/>
      <c r="Q59" s="1781" t="n"/>
      <c r="R59" s="1781" t="n"/>
      <c r="S59" s="1781" t="n"/>
      <c r="T59" s="1781" t="n"/>
      <c r="U59" s="1781" t="n"/>
      <c r="V59" s="1781" t="n"/>
      <c r="W59" s="1781" t="n"/>
      <c r="X59" s="1781" t="n"/>
      <c r="Y59" s="1781" t="n"/>
      <c r="Z59" s="1781" t="n"/>
      <c r="AA59" s="1781" t="n"/>
      <c r="AB59" s="1781" t="n"/>
      <c r="AC59" s="1781" t="n"/>
      <c r="AD59" s="1781" t="n"/>
      <c r="AE59" s="1781" t="n"/>
      <c r="AF59" s="1781" t="n"/>
      <c r="AG59" s="1781" t="n"/>
      <c r="AH59" s="1781" t="n"/>
      <c r="AI59" s="1781" t="n"/>
      <c r="AJ59" s="1781" t="n"/>
      <c r="AK59" s="1771" t="n"/>
      <c r="AL59" s="1771" t="n"/>
      <c r="AM59" s="1771" t="n"/>
      <c r="AN59" s="1771" t="n"/>
      <c r="AO59" s="1771" t="n"/>
      <c r="AP59" s="1771" t="n"/>
      <c r="AQ59" s="1771" t="n"/>
      <c r="AR59" s="1771" t="n"/>
      <c r="AS59" s="1771" t="n"/>
      <c r="AT59" s="1771" t="n"/>
      <c r="AU59" s="1771" t="n"/>
      <c r="AV59" s="1771" t="n"/>
      <c r="AW59" s="1771" t="n"/>
      <c r="AX59" s="1771" t="n"/>
      <c r="AY59" s="1771" t="n"/>
      <c r="AZ59" s="1771" t="n"/>
      <c r="BA59" s="1771" t="n"/>
      <c r="BB59" s="1771" t="n"/>
      <c r="BC59" s="1771" t="n"/>
      <c r="BD59" s="1771" t="n"/>
      <c r="BE59" s="1771" t="n"/>
      <c r="BF59" s="1771" t="n"/>
      <c r="BG59" s="1771" t="n"/>
      <c r="BH59" s="1771" t="n"/>
      <c r="BI59" s="1771" t="n"/>
      <c r="BJ59" s="1771" t="n"/>
      <c r="BK59" s="1771" t="n"/>
      <c r="BL59" s="1771" t="n"/>
      <c r="BM59" s="1771" t="n"/>
      <c r="BN59" s="1771" t="n"/>
      <c r="BO59" s="1771" t="n"/>
      <c r="BP59" s="1771" t="n"/>
      <c r="BQ59" s="1782" t="n"/>
      <c r="BR59" s="1782">
        <f>BR28</f>
        <v/>
      </c>
      <c r="BS59" s="1782" t="n"/>
      <c r="BT59" s="1782" t="n"/>
      <c r="BU59" s="1782" t="n"/>
      <c r="BV59" s="1782" t="n"/>
      <c r="BW59" s="1782" t="n"/>
      <c r="BX59" s="1782" t="n"/>
      <c r="BY59" s="1782" t="n"/>
      <c r="BZ59" s="1782" t="n"/>
      <c r="CA59" s="1782" t="n"/>
      <c r="CB59" s="1782" t="n"/>
      <c r="CC59" s="1782" t="n"/>
      <c r="CD59" s="1782" t="n"/>
      <c r="CE59" s="1782" t="n"/>
      <c r="CF59" s="1782" t="n"/>
      <c r="CG59" s="1782" t="n"/>
      <c r="CH59" s="1782" t="n"/>
      <c r="CI59" s="1782" t="n"/>
      <c r="CJ59" s="1782" t="n"/>
      <c r="CK59" s="1782" t="n"/>
      <c r="CL59" s="1771" t="n"/>
      <c r="CM59" s="1997" t="n"/>
      <c r="CN59" s="1997" t="n"/>
      <c r="CO59" s="1997" t="n"/>
      <c r="CP59" s="1771" t="n"/>
      <c r="CQ59" s="1771" t="n"/>
      <c r="CR59" s="1771" t="n"/>
      <c r="CS59" s="1771" t="n"/>
      <c r="CT59" s="1771" t="n"/>
      <c r="CU59" s="1771" t="n"/>
      <c r="CV59" s="1771" t="n"/>
      <c r="CW59" s="1771" t="n"/>
      <c r="CX59" s="1771" t="n"/>
      <c r="CY59" s="1771" t="n"/>
    </row>
    <row r="60">
      <c r="A60" s="1771" t="n"/>
      <c r="B60" s="1781" t="n"/>
      <c r="C60" s="1781" t="n"/>
      <c r="D60" s="1781" t="n"/>
      <c r="E60" s="1781" t="n"/>
      <c r="F60" s="1781" t="n"/>
      <c r="G60" s="1781" t="n"/>
      <c r="H60" s="1781" t="n"/>
      <c r="I60" s="1781" t="n"/>
      <c r="J60" s="1781" t="n"/>
      <c r="K60" s="1781" t="n"/>
      <c r="L60" s="1781" t="n"/>
      <c r="M60" s="1781" t="n"/>
      <c r="N60" s="1781" t="n"/>
      <c r="O60" s="1781" t="n"/>
      <c r="P60" s="1781" t="n"/>
      <c r="Q60" s="1781" t="n"/>
      <c r="R60" s="1781" t="n"/>
      <c r="S60" s="1781" t="n"/>
      <c r="T60" s="1781" t="n"/>
      <c r="U60" s="1781" t="n"/>
      <c r="V60" s="1781" t="n"/>
      <c r="W60" s="1781" t="n"/>
      <c r="X60" s="1781" t="n"/>
      <c r="Y60" s="1781" t="n"/>
      <c r="Z60" s="1781" t="n"/>
      <c r="AA60" s="1781" t="n"/>
      <c r="AB60" s="1781" t="n"/>
      <c r="AC60" s="1781" t="n"/>
      <c r="AD60" s="1781" t="n"/>
      <c r="AE60" s="1781" t="n"/>
      <c r="AF60" s="1781" t="n"/>
      <c r="AG60" s="1781" t="n"/>
      <c r="AH60" s="1781" t="n"/>
      <c r="AI60" s="1781" t="n"/>
      <c r="AJ60" s="1781" t="n"/>
      <c r="AK60" s="1771" t="n"/>
      <c r="AL60" s="1771" t="n"/>
      <c r="AM60" s="1771" t="n"/>
      <c r="AN60" s="1771" t="n"/>
      <c r="AO60" s="1771" t="n"/>
      <c r="AP60" s="1771" t="n"/>
      <c r="AQ60" s="1771" t="n"/>
      <c r="AR60" s="1771" t="n"/>
      <c r="AS60" s="1771" t="n"/>
      <c r="AT60" s="1771" t="n"/>
      <c r="AU60" s="1771" t="n"/>
      <c r="AV60" s="1771" t="n"/>
      <c r="AW60" s="1771" t="n"/>
      <c r="AX60" s="1771" t="n"/>
      <c r="AY60" s="1771" t="n"/>
      <c r="AZ60" s="1771" t="n"/>
      <c r="BA60" s="1771" t="n"/>
      <c r="BB60" s="1771" t="n"/>
      <c r="BC60" s="1771" t="n"/>
      <c r="BD60" s="1771" t="n"/>
      <c r="BE60" s="1771" t="n"/>
      <c r="BF60" s="1771" t="n"/>
      <c r="BG60" s="1771" t="n"/>
      <c r="BH60" s="1771" t="n"/>
      <c r="BI60" s="1771" t="n"/>
      <c r="BJ60" s="1771" t="n"/>
      <c r="BK60" s="1771" t="n"/>
      <c r="BL60" s="1771" t="n"/>
      <c r="BM60" s="1771" t="n"/>
      <c r="BN60" s="1771" t="n"/>
      <c r="BO60" s="1771" t="n"/>
      <c r="BP60" s="1771" t="n"/>
      <c r="BQ60" s="1771" t="n"/>
      <c r="BR60" s="1771" t="n"/>
      <c r="BS60" s="1771" t="n"/>
      <c r="BT60" s="1771" t="n"/>
      <c r="BU60" s="1771" t="n"/>
      <c r="BV60" s="1771" t="n"/>
      <c r="BW60" s="1771" t="n"/>
      <c r="BX60" s="1771" t="n"/>
      <c r="BY60" s="1771" t="n"/>
      <c r="BZ60" s="1771" t="n"/>
      <c r="CA60" s="1771" t="n"/>
      <c r="CB60" s="1771" t="n"/>
      <c r="CC60" s="1771" t="n"/>
      <c r="CD60" s="1771" t="n"/>
      <c r="CE60" s="1771" t="n"/>
      <c r="CF60" s="1771" t="n"/>
      <c r="CG60" s="1771" t="n"/>
      <c r="CH60" s="1771" t="n"/>
      <c r="CI60" s="1771" t="n"/>
      <c r="CJ60" s="1771" t="n"/>
      <c r="CK60" s="1771" t="n"/>
      <c r="CL60" s="1771" t="n"/>
      <c r="CM60" s="1771" t="n"/>
      <c r="CN60" s="1771" t="n"/>
      <c r="CO60" s="1771" t="n"/>
      <c r="CP60" s="1771" t="n"/>
      <c r="CQ60" s="1771" t="n"/>
      <c r="CR60" s="1771" t="n"/>
      <c r="CS60" s="1771" t="n"/>
      <c r="CT60" s="1771" t="n"/>
      <c r="CU60" s="1771" t="n"/>
      <c r="CV60" s="1771" t="n"/>
      <c r="CW60" s="1771" t="n"/>
      <c r="CX60" s="1771" t="n"/>
      <c r="CY60" s="1771" t="n"/>
    </row>
    <row r="61">
      <c r="A61" s="1771" t="n"/>
      <c r="B61" s="1781" t="n"/>
      <c r="C61" s="1781" t="n"/>
      <c r="D61" s="1781" t="n"/>
      <c r="E61" s="1781" t="n"/>
      <c r="F61" s="1781" t="n"/>
      <c r="G61" s="1781" t="n"/>
      <c r="H61" s="1781" t="n"/>
      <c r="I61" s="1781" t="n"/>
      <c r="J61" s="1781" t="n"/>
      <c r="K61" s="1781" t="n"/>
      <c r="L61" s="1781" t="n"/>
      <c r="M61" s="1781" t="n"/>
      <c r="N61" s="1781" t="n"/>
      <c r="O61" s="1781" t="n"/>
      <c r="P61" s="1781" t="n"/>
      <c r="Q61" s="1781" t="n"/>
      <c r="R61" s="1781" t="n"/>
      <c r="S61" s="1781" t="n"/>
      <c r="T61" s="1781" t="n"/>
      <c r="U61" s="1781" t="n"/>
      <c r="V61" s="1853" t="n"/>
      <c r="W61" s="1853" t="n"/>
      <c r="X61" s="1853" t="n"/>
      <c r="Y61" s="1853" t="n"/>
      <c r="Z61" s="1853" t="n"/>
      <c r="AA61" s="1853" t="n"/>
      <c r="AB61" s="2019">
        <f>Languages!B585</f>
        <v/>
      </c>
      <c r="AC61" s="2019" t="n"/>
      <c r="AD61" s="1853" t="n"/>
      <c r="AE61" s="2039">
        <f>SUM(AE44:AE49,AE53,AE57)</f>
        <v/>
      </c>
      <c r="AF61" s="2040" t="n"/>
      <c r="AG61" s="2039">
        <f>SUM(AG44:AG49,AG53,AG57)</f>
        <v/>
      </c>
      <c r="AH61" s="2040" t="n"/>
      <c r="AI61" s="2040">
        <f>SUM(AI44:AI49,AI53,AI57)</f>
        <v/>
      </c>
      <c r="AJ61" s="1781" t="n"/>
      <c r="AK61" s="1771" t="n"/>
      <c r="AL61" s="1771" t="n"/>
      <c r="AM61" s="1771" t="n"/>
      <c r="AN61" s="1771" t="n"/>
      <c r="AO61" s="1771" t="n"/>
      <c r="AP61" s="1771" t="n"/>
      <c r="AQ61" s="1771" t="n"/>
      <c r="AR61" s="1771" t="n"/>
      <c r="AS61" s="1771" t="n"/>
      <c r="AT61" s="1771" t="n"/>
      <c r="AU61" s="1771" t="n"/>
      <c r="AV61" s="1771" t="n"/>
      <c r="AW61" s="1771" t="n"/>
      <c r="AX61" s="1771" t="n"/>
      <c r="AY61" s="1771" t="n"/>
      <c r="AZ61" s="1771" t="n"/>
      <c r="BA61" s="1771" t="n"/>
      <c r="BB61" s="1771" t="n"/>
      <c r="BC61" s="1771" t="n"/>
      <c r="BD61" s="1771" t="n"/>
      <c r="BE61" s="1771" t="n"/>
      <c r="BF61" s="1771" t="n"/>
      <c r="BG61" s="1771" t="n"/>
      <c r="BH61" s="1771" t="n"/>
      <c r="BI61" s="1771" t="n"/>
      <c r="BJ61" s="1771" t="n"/>
      <c r="BK61" s="1771" t="n"/>
      <c r="BL61" s="1771" t="n"/>
      <c r="BM61" s="1771" t="n"/>
      <c r="BN61" s="1771" t="n"/>
      <c r="BO61" s="1771" t="n"/>
      <c r="BP61" s="1771" t="n"/>
      <c r="BQ61" s="1771" t="n"/>
      <c r="BR61" s="1771" t="n"/>
      <c r="BS61" s="1771" t="n"/>
      <c r="BT61" s="1771" t="n"/>
      <c r="BU61" s="1771" t="n"/>
      <c r="BV61" s="1771" t="n"/>
      <c r="BW61" s="1771" t="n"/>
      <c r="BX61" s="1771" t="n"/>
      <c r="BY61" s="1771" t="n"/>
      <c r="BZ61" s="1771" t="n"/>
      <c r="CA61" s="1771" t="n"/>
      <c r="CB61" s="1771" t="n"/>
      <c r="CC61" s="1771" t="n"/>
      <c r="CD61" s="1771" t="n"/>
      <c r="CE61" s="1771" t="n"/>
      <c r="CF61" s="1771" t="n"/>
      <c r="CG61" s="1771" t="n"/>
      <c r="CH61" s="1771" t="n"/>
      <c r="CI61" s="1771" t="n"/>
      <c r="CJ61" s="1771" t="n"/>
      <c r="CK61" s="1771" t="n"/>
      <c r="CL61" s="1771" t="n"/>
      <c r="CM61" s="1771" t="n"/>
      <c r="CN61" s="1771" t="n"/>
      <c r="CO61" s="1771" t="n"/>
      <c r="CP61" s="1771" t="n"/>
      <c r="CQ61" s="1771" t="n"/>
      <c r="CR61" s="1771" t="n"/>
      <c r="CS61" s="1771" t="n"/>
      <c r="CT61" s="1771" t="n"/>
      <c r="CU61" s="1771" t="n"/>
      <c r="CV61" s="1771" t="n"/>
      <c r="CW61" s="1771" t="n"/>
      <c r="CX61" s="1771" t="n"/>
      <c r="CY61" s="1771" t="n"/>
    </row>
    <row r="62">
      <c r="A62" s="1771" t="n"/>
      <c r="B62" s="1781" t="n"/>
      <c r="C62" s="1781" t="n"/>
      <c r="D62" s="1781" t="n"/>
      <c r="E62" s="1781" t="n"/>
      <c r="F62" s="1781" t="n"/>
      <c r="G62" s="1781" t="n"/>
      <c r="H62" s="1781" t="n"/>
      <c r="I62" s="1781" t="n"/>
      <c r="J62" s="1781" t="n"/>
      <c r="K62" s="1781" t="n"/>
      <c r="L62" s="1781" t="n"/>
      <c r="M62" s="1781" t="n"/>
      <c r="N62" s="1781" t="n"/>
      <c r="O62" s="1781" t="n"/>
      <c r="P62" s="1781" t="n"/>
      <c r="Q62" s="1781" t="n"/>
      <c r="R62" s="1781" t="n"/>
      <c r="S62" s="1781" t="n"/>
      <c r="T62" s="1781" t="n"/>
      <c r="U62" s="1781" t="n"/>
      <c r="V62" s="1781" t="n"/>
      <c r="W62" s="1781" t="n"/>
      <c r="X62" s="1781" t="n"/>
      <c r="Y62" s="1781" t="n"/>
      <c r="Z62" s="1781" t="n"/>
      <c r="AA62" s="1781" t="n"/>
      <c r="AB62" s="1781" t="n"/>
      <c r="AC62" s="1781" t="n"/>
      <c r="AD62" s="1781" t="n"/>
      <c r="AE62" s="1781" t="n"/>
      <c r="AF62" s="1781" t="n"/>
      <c r="AG62" s="1781" t="n"/>
      <c r="AH62" s="1781" t="n"/>
      <c r="AI62" s="1781" t="n"/>
      <c r="AJ62" s="1781" t="n"/>
      <c r="AK62" s="1771" t="n"/>
      <c r="AL62" s="1771" t="n"/>
      <c r="AM62" s="1771" t="n"/>
      <c r="AN62" s="1771" t="n"/>
      <c r="AO62" s="1771" t="n"/>
      <c r="AP62" s="1771" t="n"/>
      <c r="AQ62" s="1771" t="n"/>
      <c r="AR62" s="1771" t="n"/>
      <c r="AS62" s="1771" t="n"/>
      <c r="AT62" s="1771" t="n"/>
      <c r="AU62" s="1771" t="n"/>
      <c r="AV62" s="1771" t="n"/>
      <c r="AW62" s="1771" t="n"/>
      <c r="AX62" s="1771" t="n"/>
      <c r="AY62" s="1771" t="n"/>
      <c r="AZ62" s="1771" t="n"/>
      <c r="BA62" s="1771" t="n"/>
      <c r="BB62" s="1771" t="n"/>
      <c r="BC62" s="1771" t="n"/>
      <c r="BD62" s="1771" t="n"/>
      <c r="BE62" s="1771" t="n"/>
      <c r="BF62" s="1771" t="n"/>
      <c r="BG62" s="1771" t="n"/>
      <c r="BH62" s="1771" t="n"/>
      <c r="BI62" s="1771" t="n"/>
      <c r="BJ62" s="1771" t="n"/>
      <c r="BK62" s="1771" t="n"/>
      <c r="BL62" s="1771" t="n"/>
      <c r="BM62" s="1771" t="n"/>
      <c r="BN62" s="1771" t="n"/>
      <c r="BO62" s="1771" t="n"/>
      <c r="BP62" s="1771" t="n"/>
      <c r="BQ62" s="1771" t="n"/>
      <c r="BR62" s="1771" t="n"/>
      <c r="BS62" s="1771" t="n"/>
      <c r="BT62" s="1771" t="n"/>
      <c r="BU62" s="1771" t="n"/>
      <c r="BV62" s="1771" t="n"/>
      <c r="BW62" s="1771" t="n"/>
      <c r="BX62" s="1771" t="n"/>
      <c r="BY62" s="1771" t="n"/>
      <c r="BZ62" s="1771" t="n"/>
      <c r="CA62" s="1771" t="n"/>
      <c r="CB62" s="1771" t="n"/>
      <c r="CC62" s="1771" t="n"/>
      <c r="CD62" s="1771" t="n"/>
      <c r="CE62" s="1771" t="n"/>
      <c r="CF62" s="1771" t="n"/>
      <c r="CG62" s="1771" t="n"/>
      <c r="CH62" s="1771" t="n"/>
      <c r="CI62" s="1771" t="n"/>
      <c r="CJ62" s="1771" t="n"/>
      <c r="CK62" s="1771" t="n"/>
      <c r="CL62" s="1771" t="n"/>
      <c r="CM62" s="1771" t="n"/>
      <c r="CN62" s="1771" t="n"/>
      <c r="CO62" s="1771" t="n"/>
      <c r="CP62" s="1771" t="n"/>
      <c r="CQ62" s="1771" t="n"/>
      <c r="CR62" s="1771" t="n"/>
      <c r="CS62" s="1771" t="n"/>
      <c r="CT62" s="1771" t="n"/>
      <c r="CU62" s="1771" t="n"/>
      <c r="CV62" s="1771" t="n"/>
      <c r="CW62" s="1771" t="n"/>
      <c r="CX62" s="1771" t="n"/>
      <c r="CY62" s="1771" t="n"/>
    </row>
    <row r="63">
      <c r="A63" s="1771" t="n"/>
      <c r="B63" s="1781" t="n"/>
      <c r="C63" s="1820">
        <f>C32</f>
        <v/>
      </c>
      <c r="D63" s="1781" t="n"/>
      <c r="E63" s="1781" t="n"/>
      <c r="F63" s="1781" t="n"/>
      <c r="G63" s="1781" t="n"/>
      <c r="H63" s="1781" t="n"/>
      <c r="I63" s="1781" t="n"/>
      <c r="J63" s="1781" t="n"/>
      <c r="K63" s="1781" t="n"/>
      <c r="L63" s="1781" t="n"/>
      <c r="M63" s="1781" t="n"/>
      <c r="N63" s="1781" t="n"/>
      <c r="O63" s="1781" t="n"/>
      <c r="P63" s="1781" t="n"/>
      <c r="Q63" s="1781" t="n"/>
      <c r="R63" s="1781" t="n"/>
      <c r="S63" s="1781" t="n"/>
      <c r="T63" s="1781" t="n"/>
      <c r="U63" s="1781" t="n"/>
      <c r="V63" s="1781" t="n"/>
      <c r="W63" s="1781" t="n"/>
      <c r="X63" s="1781" t="n"/>
      <c r="Y63" s="1781" t="n"/>
      <c r="Z63" s="1781" t="n"/>
      <c r="AA63" s="1781" t="n"/>
      <c r="AB63" s="1781" t="n"/>
      <c r="AC63" s="1781" t="n"/>
      <c r="AD63" s="1781" t="n"/>
      <c r="AE63" s="1781" t="n"/>
      <c r="AF63" s="1781" t="n"/>
      <c r="AG63" s="1781" t="n"/>
      <c r="AH63" s="1781" t="n"/>
      <c r="AI63" s="1781" t="n"/>
      <c r="AJ63" s="1781" t="n"/>
      <c r="AK63" s="1771" t="n"/>
      <c r="AL63" s="1771" t="n"/>
      <c r="AM63" s="1771" t="n"/>
      <c r="AN63" s="1771" t="n"/>
      <c r="AO63" s="1771" t="n"/>
      <c r="AP63" s="1771" t="n"/>
      <c r="AQ63" s="1771" t="n"/>
      <c r="AR63" s="1771" t="n"/>
      <c r="AS63" s="1771" t="n"/>
      <c r="AT63" s="1771" t="n"/>
      <c r="AU63" s="1771" t="n"/>
      <c r="AV63" s="1771" t="n"/>
      <c r="AW63" s="1771" t="n"/>
      <c r="AX63" s="1771" t="n"/>
      <c r="AY63" s="1771" t="n"/>
      <c r="AZ63" s="1771" t="n"/>
      <c r="BA63" s="1771" t="n"/>
      <c r="BB63" s="1771" t="n"/>
      <c r="BC63" s="1771" t="n"/>
      <c r="BD63" s="1771" t="n"/>
      <c r="BE63" s="1771" t="n"/>
      <c r="BF63" s="1771" t="n"/>
      <c r="BG63" s="1771" t="n"/>
      <c r="BH63" s="1771" t="n"/>
      <c r="BI63" s="1771" t="n"/>
      <c r="BJ63" s="1771" t="n"/>
      <c r="BK63" s="1771" t="n"/>
      <c r="BL63" s="1771" t="n"/>
      <c r="BM63" s="1771" t="n"/>
      <c r="BN63" s="1771" t="n"/>
      <c r="BO63" s="1771" t="n"/>
      <c r="BP63" s="1771" t="n"/>
      <c r="BQ63" s="1771" t="n"/>
      <c r="BR63" s="1771" t="n"/>
      <c r="BS63" s="1771" t="n"/>
      <c r="BT63" s="1771" t="n"/>
      <c r="BU63" s="1771" t="n"/>
      <c r="BV63" s="1771" t="n"/>
      <c r="BW63" s="1771" t="n"/>
      <c r="BX63" s="1771" t="n"/>
      <c r="BY63" s="1771" t="n"/>
      <c r="BZ63" s="1771" t="n"/>
      <c r="CA63" s="1771" t="n"/>
      <c r="CB63" s="1771" t="n"/>
      <c r="CC63" s="1771" t="n"/>
      <c r="CD63" s="1771" t="n"/>
      <c r="CE63" s="1771" t="n"/>
      <c r="CF63" s="1771" t="n"/>
      <c r="CG63" s="1771" t="n"/>
      <c r="CH63" s="1771" t="n"/>
      <c r="CI63" s="1771" t="n"/>
      <c r="CJ63" s="1771" t="n"/>
      <c r="CK63" s="1771" t="n"/>
      <c r="CL63" s="1771" t="n"/>
      <c r="CM63" s="1771" t="n"/>
      <c r="CN63" s="1771" t="n"/>
      <c r="CO63" s="1771" t="n"/>
      <c r="CP63" s="1771" t="n"/>
      <c r="CQ63" s="1771" t="n"/>
      <c r="CR63" s="1771" t="n"/>
      <c r="CS63" s="1771" t="n"/>
      <c r="CT63" s="1771" t="n"/>
      <c r="CU63" s="1771" t="n"/>
      <c r="CV63" s="1771" t="n"/>
      <c r="CW63" s="1771" t="n"/>
      <c r="CX63" s="1771" t="n"/>
      <c r="CY63" s="1771" t="n"/>
    </row>
    <row r="64">
      <c r="A64" s="1771" t="n"/>
      <c r="B64" s="1781" t="n"/>
      <c r="C64" s="1781" t="n"/>
      <c r="D64" s="1781" t="n"/>
      <c r="E64" s="1781" t="n"/>
      <c r="F64" s="1781" t="n"/>
      <c r="G64" s="1781" t="n"/>
      <c r="H64" s="1781" t="n"/>
      <c r="I64" s="1781" t="n"/>
      <c r="J64" s="1781" t="n"/>
      <c r="K64" s="1781" t="n"/>
      <c r="L64" s="1781" t="n"/>
      <c r="M64" s="1781" t="n"/>
      <c r="N64" s="1781" t="n"/>
      <c r="O64" s="1781" t="n"/>
      <c r="P64" s="1781" t="n"/>
      <c r="Q64" s="1781" t="n"/>
      <c r="R64" s="1781" t="n"/>
      <c r="S64" s="1781" t="n"/>
      <c r="T64" s="1781" t="n"/>
      <c r="U64" s="1781" t="n"/>
      <c r="V64" s="1781" t="n"/>
      <c r="W64" s="1781" t="n"/>
      <c r="X64" s="1781" t="n"/>
      <c r="Y64" s="1781" t="n"/>
      <c r="Z64" s="1781" t="n"/>
      <c r="AA64" s="1781" t="n"/>
      <c r="AB64" s="1781" t="n"/>
      <c r="AC64" s="1781" t="n"/>
      <c r="AD64" s="1781" t="n"/>
      <c r="AE64" s="1781" t="n"/>
      <c r="AF64" s="1781" t="n"/>
      <c r="AG64" s="1781" t="n"/>
      <c r="AH64" s="1781" t="n"/>
      <c r="AI64" s="1781" t="n"/>
      <c r="AJ64" s="1781" t="n"/>
      <c r="AK64" s="1771" t="n"/>
      <c r="AL64" s="1771" t="n"/>
      <c r="AM64" s="1771" t="n"/>
      <c r="AN64" s="1771" t="n"/>
      <c r="AO64" s="1771" t="n"/>
      <c r="AP64" s="1771" t="n"/>
      <c r="AQ64" s="1771" t="n"/>
      <c r="AR64" s="1771" t="n"/>
      <c r="AS64" s="1771" t="n"/>
      <c r="AT64" s="1771" t="n"/>
      <c r="AU64" s="1771" t="n"/>
      <c r="AV64" s="1771" t="n"/>
      <c r="AW64" s="1771" t="n"/>
      <c r="AX64" s="1771" t="n"/>
      <c r="AY64" s="1771" t="n"/>
      <c r="AZ64" s="1771" t="n"/>
      <c r="BA64" s="1771" t="n"/>
      <c r="BB64" s="1771" t="n"/>
      <c r="BC64" s="1771" t="n"/>
      <c r="BD64" s="1771" t="n"/>
      <c r="BE64" s="1771" t="n"/>
      <c r="BF64" s="1771" t="n"/>
      <c r="BG64" s="1771" t="n"/>
      <c r="BH64" s="1771" t="n"/>
      <c r="BI64" s="1771" t="n"/>
      <c r="BJ64" s="1771" t="n"/>
      <c r="BK64" s="1771" t="n"/>
      <c r="BL64" s="1771" t="n"/>
      <c r="BM64" s="1771" t="n"/>
      <c r="BN64" s="1771" t="n"/>
      <c r="BO64" s="1771" t="n"/>
      <c r="BP64" s="1771" t="n"/>
      <c r="BQ64" s="1771" t="n"/>
      <c r="BR64" s="1771" t="n"/>
      <c r="BS64" s="1771" t="n"/>
      <c r="BT64" s="1771" t="n"/>
      <c r="BU64" s="1771" t="n"/>
      <c r="BV64" s="1771" t="n"/>
      <c r="BW64" s="1771" t="n"/>
      <c r="BX64" s="1771" t="n"/>
      <c r="BY64" s="1771" t="n"/>
      <c r="BZ64" s="1771" t="n"/>
      <c r="CA64" s="1771" t="n"/>
      <c r="CB64" s="1771" t="n"/>
      <c r="CC64" s="1771" t="n"/>
      <c r="CD64" s="1771" t="n"/>
      <c r="CE64" s="1771" t="n"/>
      <c r="CF64" s="1771" t="n"/>
      <c r="CG64" s="1771" t="n"/>
      <c r="CH64" s="1771" t="n"/>
      <c r="CI64" s="1771" t="n"/>
      <c r="CJ64" s="1771" t="n"/>
      <c r="CK64" s="1771" t="n"/>
      <c r="CL64" s="1771" t="n"/>
      <c r="CM64" s="1771" t="n"/>
      <c r="CN64" s="1771" t="n"/>
      <c r="CO64" s="1771" t="n"/>
      <c r="CP64" s="1771" t="n"/>
      <c r="CQ64" s="1771" t="n"/>
      <c r="CR64" s="1771" t="n"/>
      <c r="CS64" s="1771" t="n"/>
      <c r="CT64" s="1771" t="n"/>
      <c r="CU64" s="1771" t="n"/>
      <c r="CV64" s="1771" t="n"/>
      <c r="CW64" s="1771" t="n"/>
      <c r="CX64" s="1771" t="n"/>
      <c r="CY64" s="1771" t="n"/>
    </row>
    <row r="65">
      <c r="A65" s="1771" t="n"/>
      <c r="B65" s="1771" t="n"/>
      <c r="C65" s="1771" t="n"/>
      <c r="D65" s="1771" t="n"/>
      <c r="E65" s="1771" t="n"/>
      <c r="F65" s="1771" t="n"/>
      <c r="G65" s="1771" t="n"/>
      <c r="H65" s="1771" t="n"/>
      <c r="I65" s="1771" t="n"/>
      <c r="J65" s="1771" t="n"/>
      <c r="K65" s="1771" t="n"/>
      <c r="L65" s="1771" t="n"/>
      <c r="M65" s="1771" t="n"/>
      <c r="N65" s="1771" t="n"/>
      <c r="O65" s="1771" t="n"/>
      <c r="P65" s="1771" t="n"/>
      <c r="Q65" s="1771" t="n"/>
      <c r="R65" s="1771" t="n"/>
      <c r="S65" s="1771" t="n"/>
      <c r="T65" s="1771" t="n"/>
      <c r="U65" s="1771" t="n"/>
      <c r="V65" s="1771" t="n"/>
      <c r="W65" s="1771" t="n"/>
      <c r="X65" s="1771" t="n"/>
      <c r="Y65" s="1771" t="n"/>
      <c r="Z65" s="1771" t="n"/>
      <c r="AA65" s="1771" t="n"/>
      <c r="AB65" s="1771" t="n"/>
      <c r="AC65" s="1771" t="n"/>
      <c r="AD65" s="1771" t="n"/>
      <c r="AE65" s="1771" t="n"/>
      <c r="AF65" s="1771" t="n"/>
      <c r="AG65" s="1771" t="n"/>
      <c r="AH65" s="1771" t="n"/>
      <c r="AI65" s="1771" t="n"/>
      <c r="AJ65" s="1771" t="n"/>
      <c r="AK65" s="1771" t="n"/>
      <c r="AL65" s="1771" t="n"/>
      <c r="AM65" s="1771" t="n"/>
      <c r="AN65" s="1771" t="n"/>
      <c r="AO65" s="1771" t="n"/>
      <c r="AP65" s="1771" t="n"/>
      <c r="AQ65" s="1771" t="n"/>
      <c r="AR65" s="1771" t="n"/>
      <c r="AS65" s="1771" t="n"/>
      <c r="AT65" s="1771" t="n"/>
      <c r="AU65" s="1771" t="n"/>
      <c r="AV65" s="1771" t="n"/>
      <c r="AW65" s="1771" t="n"/>
      <c r="AX65" s="1771" t="n"/>
      <c r="AY65" s="1771" t="n"/>
      <c r="AZ65" s="1771" t="n"/>
      <c r="BA65" s="1771" t="n"/>
      <c r="BB65" s="1771" t="n"/>
      <c r="BC65" s="1771" t="n"/>
      <c r="BD65" s="1771" t="n"/>
      <c r="BE65" s="1771" t="n"/>
      <c r="BF65" s="1771" t="n"/>
      <c r="BG65" s="1771" t="n"/>
      <c r="BH65" s="1771" t="n"/>
      <c r="BI65" s="1771" t="n"/>
      <c r="BJ65" s="1771" t="n"/>
      <c r="BK65" s="1771" t="n"/>
      <c r="BL65" s="1771" t="n"/>
      <c r="BM65" s="1771" t="n"/>
      <c r="BN65" s="1771" t="n"/>
      <c r="BO65" s="1771" t="n"/>
      <c r="BP65" s="1771" t="n"/>
      <c r="BQ65" s="1771" t="n"/>
      <c r="BR65" s="1771" t="n"/>
      <c r="BS65" s="1771" t="n"/>
      <c r="BT65" s="1771" t="n"/>
      <c r="BU65" s="1771" t="n"/>
      <c r="BV65" s="1771" t="n"/>
      <c r="BW65" s="1771" t="n"/>
      <c r="BX65" s="1771" t="n"/>
      <c r="BY65" s="1771" t="n"/>
      <c r="BZ65" s="1771" t="n"/>
      <c r="CA65" s="1771" t="n"/>
      <c r="CB65" s="1771" t="n"/>
      <c r="CC65" s="1771" t="n"/>
      <c r="CD65" s="1771" t="n"/>
      <c r="CE65" s="1771" t="n"/>
      <c r="CF65" s="1771" t="n"/>
      <c r="CG65" s="1771" t="n"/>
      <c r="CH65" s="1771" t="n"/>
      <c r="CI65" s="1771" t="n"/>
      <c r="CJ65" s="1771" t="n"/>
      <c r="CK65" s="1771" t="n"/>
      <c r="CL65" s="1771" t="n"/>
      <c r="CM65" s="1771" t="n"/>
      <c r="CN65" s="1771" t="n"/>
      <c r="CO65" s="1771" t="n"/>
      <c r="CP65" s="1771" t="n"/>
      <c r="CQ65" s="1771" t="n"/>
      <c r="CR65" s="1771" t="n"/>
      <c r="CS65" s="1771" t="n"/>
      <c r="CT65" s="1771" t="n"/>
      <c r="CU65" s="1771" t="n"/>
      <c r="CV65" s="1771" t="n"/>
      <c r="CW65" s="1771" t="n"/>
      <c r="CX65" s="1771" t="n"/>
      <c r="CY65" s="1771" t="n"/>
    </row>
    <row r="66">
      <c r="A66" s="1771" t="n"/>
      <c r="B66" s="1771" t="n"/>
      <c r="C66" s="1771" t="n"/>
      <c r="D66" s="1771" t="n"/>
      <c r="E66" s="1771" t="n"/>
      <c r="F66" s="1771" t="n"/>
      <c r="G66" s="1771" t="n"/>
      <c r="H66" s="1771" t="n"/>
      <c r="I66" s="1771" t="n"/>
      <c r="J66" s="1771" t="n"/>
      <c r="K66" s="1771" t="n"/>
      <c r="L66" s="1771" t="n"/>
      <c r="M66" s="1771" t="n"/>
      <c r="N66" s="1771" t="n"/>
      <c r="O66" s="1771" t="n"/>
      <c r="P66" s="1771" t="n"/>
      <c r="Q66" s="1771" t="n"/>
      <c r="R66" s="1771" t="n"/>
      <c r="S66" s="1771" t="n"/>
      <c r="T66" s="1771" t="n"/>
      <c r="U66" s="1771" t="n"/>
      <c r="V66" s="1771" t="n"/>
      <c r="W66" s="1771" t="n"/>
      <c r="X66" s="1771" t="n"/>
      <c r="Y66" s="1771" t="n"/>
      <c r="Z66" s="1771" t="n"/>
      <c r="AA66" s="1771" t="n"/>
      <c r="AB66" s="1771" t="n"/>
      <c r="AC66" s="1771" t="n"/>
      <c r="AD66" s="1771" t="n"/>
      <c r="AE66" s="1771" t="n"/>
      <c r="AF66" s="1771" t="n"/>
      <c r="AG66" s="1771" t="n"/>
      <c r="AH66" s="1771" t="n"/>
      <c r="AI66" s="1771" t="n"/>
      <c r="AJ66" s="1771" t="n"/>
      <c r="AK66" s="1771" t="n"/>
      <c r="AL66" s="1771" t="n"/>
      <c r="AM66" s="1771" t="n"/>
      <c r="AN66" s="1771" t="n"/>
      <c r="AO66" s="1771" t="n"/>
      <c r="AP66" s="1771" t="n"/>
      <c r="AQ66" s="1771" t="n"/>
      <c r="AR66" s="1771" t="n"/>
      <c r="AS66" s="1771" t="n"/>
      <c r="AT66" s="1771" t="n"/>
      <c r="AU66" s="1771" t="n"/>
      <c r="AV66" s="1771" t="n"/>
      <c r="AW66" s="1771" t="n"/>
      <c r="AX66" s="1771" t="n"/>
      <c r="AY66" s="1771" t="n"/>
      <c r="AZ66" s="1771" t="n"/>
      <c r="BA66" s="1771" t="n"/>
      <c r="BB66" s="1771" t="n"/>
      <c r="BC66" s="1771" t="n"/>
      <c r="BD66" s="1771" t="n"/>
      <c r="BE66" s="1771" t="n"/>
      <c r="BF66" s="1771" t="n"/>
      <c r="BG66" s="1771" t="n"/>
      <c r="BH66" s="1771" t="n"/>
      <c r="BI66" s="1771" t="n"/>
      <c r="BJ66" s="1771" t="n"/>
      <c r="BK66" s="1771" t="n"/>
      <c r="BL66" s="1771" t="n"/>
      <c r="BM66" s="1771" t="n"/>
      <c r="BN66" s="1771" t="n"/>
      <c r="BO66" s="1771" t="n"/>
      <c r="BP66" s="1771" t="n"/>
      <c r="BQ66" s="1771" t="n"/>
      <c r="BR66" s="1771" t="n"/>
      <c r="BS66" s="1771" t="n"/>
      <c r="BT66" s="1771" t="n"/>
      <c r="BU66" s="1771" t="n"/>
      <c r="BV66" s="1771" t="n"/>
      <c r="BW66" s="1771" t="n"/>
      <c r="BX66" s="1771" t="n"/>
      <c r="BY66" s="1771" t="n"/>
      <c r="BZ66" s="1771" t="n"/>
      <c r="CA66" s="1771" t="n"/>
      <c r="CB66" s="1771" t="n"/>
      <c r="CC66" s="1771" t="n"/>
      <c r="CD66" s="1771" t="n"/>
      <c r="CE66" s="1771" t="n"/>
      <c r="CF66" s="1771" t="n"/>
      <c r="CG66" s="1771" t="n"/>
      <c r="CH66" s="1771" t="n"/>
      <c r="CI66" s="1771" t="n"/>
      <c r="CJ66" s="1771" t="n"/>
      <c r="CK66" s="1771" t="n"/>
      <c r="CL66" s="1771" t="n"/>
      <c r="CM66" s="1771" t="n"/>
      <c r="CN66" s="1771" t="n"/>
      <c r="CO66" s="1771" t="n"/>
      <c r="CP66" s="1771" t="n"/>
      <c r="CQ66" s="1771" t="n"/>
      <c r="CR66" s="1771" t="n"/>
      <c r="CS66" s="1771" t="n"/>
      <c r="CT66" s="1771" t="n"/>
      <c r="CU66" s="1771" t="n"/>
      <c r="CV66" s="1771" t="n"/>
      <c r="CW66" s="1771" t="n"/>
      <c r="CX66" s="1771" t="n"/>
      <c r="CY66" s="1771" t="n"/>
    </row>
    <row r="67" ht="47.25" customHeight="1">
      <c r="A67" s="1771" t="n"/>
      <c r="B67" s="1767" t="n"/>
      <c r="C67" s="2172">
        <f>Languages!B565</f>
        <v/>
      </c>
      <c r="D67" s="2172" t="n"/>
      <c r="E67" s="2057" t="n"/>
      <c r="F67" s="1769" t="n"/>
      <c r="G67" s="1769" t="n"/>
      <c r="H67" s="1769" t="n"/>
      <c r="I67" s="1769" t="n"/>
      <c r="J67" s="1769" t="n"/>
      <c r="K67" s="1769" t="n"/>
      <c r="L67" s="1769" t="n"/>
      <c r="M67" s="1769" t="n"/>
      <c r="N67" s="1769" t="n"/>
      <c r="O67" s="1769" t="n"/>
      <c r="P67" s="1769" t="n"/>
      <c r="Q67" s="1769" t="n"/>
      <c r="R67" s="1769" t="n"/>
      <c r="S67" s="1769" t="n"/>
      <c r="T67" s="1769" t="n"/>
      <c r="U67" s="1769" t="n"/>
      <c r="V67" s="1769" t="n"/>
      <c r="W67" s="1769" t="n"/>
      <c r="X67" s="1769" t="n"/>
      <c r="Y67" s="1769" t="n"/>
      <c r="Z67" s="1769" t="n"/>
      <c r="AA67" s="1769" t="n"/>
      <c r="AB67" s="1769" t="n"/>
      <c r="AC67" s="1769" t="n"/>
      <c r="AD67" s="1769" t="n"/>
      <c r="AE67" s="1769" t="n"/>
      <c r="AF67" s="1767" t="n"/>
      <c r="AG67" s="1979">
        <f>AG6</f>
        <v/>
      </c>
      <c r="AH67" s="1769" t="n"/>
      <c r="AI67" s="1769" t="n"/>
      <c r="AJ67" s="1769" t="n"/>
      <c r="AK67" s="1771" t="n"/>
      <c r="AL67" s="1771" t="n"/>
      <c r="AM67" s="1771" t="n"/>
      <c r="AN67" s="1771" t="n"/>
      <c r="AO67" s="1771" t="n"/>
      <c r="AP67" s="1771" t="n"/>
      <c r="AQ67" s="1771" t="n"/>
      <c r="AR67" s="1771" t="n"/>
      <c r="AS67" s="1771" t="n"/>
      <c r="AT67" s="1771" t="n"/>
      <c r="AU67" s="1771" t="n"/>
      <c r="AV67" s="1771" t="n"/>
      <c r="AW67" s="1771" t="n"/>
      <c r="AX67" s="1771" t="n"/>
      <c r="AY67" s="1771" t="n"/>
      <c r="AZ67" s="1771" t="n"/>
      <c r="BA67" s="1771" t="n"/>
      <c r="BB67" s="1771" t="n"/>
      <c r="BC67" s="1771" t="n"/>
      <c r="BD67" s="1771" t="n"/>
      <c r="BE67" s="1771" t="n"/>
      <c r="BF67" s="1771" t="n"/>
      <c r="BG67" s="1771" t="n"/>
      <c r="BH67" s="1771" t="n"/>
      <c r="BI67" s="1771" t="n"/>
      <c r="BJ67" s="1771" t="n"/>
      <c r="BK67" s="1771" t="n"/>
      <c r="BL67" s="1771" t="n"/>
      <c r="BM67" s="1771" t="n"/>
      <c r="BN67" s="1771" t="n"/>
      <c r="BO67" s="1771" t="n"/>
      <c r="BP67" s="1771" t="n"/>
      <c r="BQ67" s="4248" t="n"/>
      <c r="BR67" s="4249">
        <f>C67</f>
        <v/>
      </c>
      <c r="BS67" s="2172" t="n"/>
      <c r="BT67" s="2172" t="n"/>
      <c r="BU67" s="2172" t="n"/>
      <c r="BV67" s="2172" t="n"/>
      <c r="BW67" s="2172" t="n"/>
      <c r="BX67" s="2172" t="n"/>
      <c r="BY67" s="2172" t="n"/>
      <c r="BZ67" s="2172" t="n"/>
      <c r="CA67" s="2172" t="n"/>
      <c r="CB67" s="2172" t="n"/>
      <c r="CC67" s="2172" t="n"/>
      <c r="CD67" s="2172" t="n"/>
      <c r="CE67" s="2172" t="n"/>
      <c r="CF67" s="2172" t="n"/>
      <c r="CG67" s="2172" t="n"/>
      <c r="CH67" s="2172" t="n"/>
      <c r="CI67" s="2172" t="n"/>
      <c r="CJ67" s="2172" t="n"/>
      <c r="CK67" s="2172" t="n"/>
      <c r="CL67" s="1771" t="n"/>
      <c r="CM67" s="4404" t="inlineStr">
        <is>
          <t>Annual balance</t>
        </is>
      </c>
      <c r="CN67" s="4404" t="n"/>
      <c r="CO67" s="4404" t="n"/>
      <c r="CP67" s="1771" t="n"/>
      <c r="CQ67" s="1771" t="n"/>
      <c r="CR67" s="1771" t="n"/>
      <c r="CS67" s="1771" t="n"/>
      <c r="CT67" s="1771" t="n"/>
      <c r="CU67" s="1771" t="n"/>
      <c r="CV67" s="1771" t="n"/>
      <c r="CW67" s="1771" t="n"/>
      <c r="CX67" s="1771" t="n"/>
      <c r="CY67" s="1771" t="n"/>
    </row>
    <row r="68">
      <c r="A68" s="1771" t="n"/>
      <c r="B68" s="1771" t="n"/>
      <c r="C68" s="1771" t="n"/>
      <c r="D68" s="1771" t="n"/>
      <c r="E68" s="1771" t="n"/>
      <c r="F68" s="1771" t="n"/>
      <c r="G68" s="1771" t="n"/>
      <c r="H68" s="1771" t="n"/>
      <c r="I68" s="1771" t="n"/>
      <c r="J68" s="1771" t="n"/>
      <c r="K68" s="1771" t="n"/>
      <c r="L68" s="1771" t="n"/>
      <c r="M68" s="1771" t="n"/>
      <c r="N68" s="1771" t="n"/>
      <c r="O68" s="1771" t="n"/>
      <c r="P68" s="1771" t="n"/>
      <c r="Q68" s="1771" t="n"/>
      <c r="R68" s="1771" t="n"/>
      <c r="S68" s="1771" t="n"/>
      <c r="T68" s="1771" t="n"/>
      <c r="U68" s="1771" t="n"/>
      <c r="V68" s="1771" t="n"/>
      <c r="W68" s="1771" t="n"/>
      <c r="X68" s="1771" t="n"/>
      <c r="Y68" s="1771" t="n"/>
      <c r="Z68" s="1771" t="n"/>
      <c r="AA68" s="1771" t="n"/>
      <c r="AB68" s="1771" t="n"/>
      <c r="AC68" s="1771" t="n"/>
      <c r="AD68" s="1771" t="n"/>
      <c r="AE68" s="1771" t="n"/>
      <c r="AF68" s="1771" t="n"/>
      <c r="AG68" s="1771" t="n"/>
      <c r="AH68" s="1771" t="n"/>
      <c r="AI68" s="1771" t="n"/>
      <c r="AJ68" s="1771" t="n"/>
      <c r="AK68" s="1771" t="n"/>
      <c r="AL68" s="1771" t="n"/>
      <c r="AM68" s="1771" t="n"/>
      <c r="AN68" s="1771" t="n"/>
      <c r="AO68" s="1771" t="n"/>
      <c r="AP68" s="1771" t="n"/>
      <c r="AQ68" s="1771" t="n"/>
      <c r="AR68" s="1771" t="n"/>
      <c r="AS68" s="1771" t="n"/>
      <c r="AT68" s="1771" t="n"/>
      <c r="AU68" s="1771" t="n"/>
      <c r="AV68" s="1771" t="n"/>
      <c r="AW68" s="1771" t="n"/>
      <c r="AX68" s="1771" t="n"/>
      <c r="AY68" s="1771" t="n"/>
      <c r="AZ68" s="1771" t="n"/>
      <c r="BA68" s="1771" t="n"/>
      <c r="BB68" s="1771" t="n"/>
      <c r="BC68" s="1771" t="n"/>
      <c r="BD68" s="1771" t="n"/>
      <c r="BE68" s="1771" t="n"/>
      <c r="BF68" s="1771" t="n"/>
      <c r="BG68" s="1771" t="n"/>
      <c r="BH68" s="1771" t="n"/>
      <c r="BI68" s="1771" t="n"/>
      <c r="BJ68" s="1771" t="n"/>
      <c r="BK68" s="1771" t="n"/>
      <c r="BL68" s="1771" t="n"/>
      <c r="BM68" s="1771" t="n"/>
      <c r="BN68" s="1771" t="n"/>
      <c r="BO68" s="1771" t="n"/>
      <c r="BP68" s="1771" t="n"/>
      <c r="BQ68" s="1782" t="n"/>
      <c r="BR68" s="1782" t="n"/>
      <c r="BS68" s="1782" t="n"/>
      <c r="BT68" s="1782" t="n"/>
      <c r="BU68" s="1782" t="n"/>
      <c r="BV68" s="1782" t="n"/>
      <c r="BW68" s="1782" t="n"/>
      <c r="BX68" s="1782" t="n"/>
      <c r="BY68" s="1782" t="n"/>
      <c r="BZ68" s="1782" t="n"/>
      <c r="CA68" s="1782" t="n"/>
      <c r="CB68" s="1782" t="n"/>
      <c r="CC68" s="1782" t="n"/>
      <c r="CD68" s="1782" t="n"/>
      <c r="CE68" s="1782" t="n"/>
      <c r="CF68" s="1782" t="n"/>
      <c r="CG68" s="1782" t="n"/>
      <c r="CH68" s="1782" t="n"/>
      <c r="CI68" s="1782" t="n"/>
      <c r="CJ68" s="1782" t="n"/>
      <c r="CK68" s="1782" t="n"/>
      <c r="CL68" s="1771" t="n"/>
      <c r="CM68" s="1782" t="n"/>
      <c r="CN68" s="1782" t="n"/>
      <c r="CO68" s="1782" t="n"/>
      <c r="CP68" s="1771" t="n"/>
      <c r="CQ68" s="1771" t="n"/>
      <c r="CR68" s="1771" t="n"/>
      <c r="CS68" s="1771" t="n"/>
      <c r="CT68" s="1771" t="n"/>
      <c r="CU68" s="1771" t="n"/>
      <c r="CV68" s="1771" t="n"/>
      <c r="CW68" s="1771" t="n"/>
      <c r="CX68" s="1771" t="n"/>
      <c r="CY68" s="1771" t="n"/>
    </row>
    <row r="69">
      <c r="A69" s="1771" t="n"/>
      <c r="B69" s="1781" t="n"/>
      <c r="C69" s="1781">
        <f>C39</f>
        <v/>
      </c>
      <c r="D69" s="1781" t="n"/>
      <c r="E69" s="1781" t="n"/>
      <c r="F69" s="1781" t="n"/>
      <c r="G69" s="1781" t="n"/>
      <c r="H69" s="1781" t="n"/>
      <c r="I69" s="1781" t="n"/>
      <c r="J69" s="1781" t="n"/>
      <c r="K69" s="1781" t="n"/>
      <c r="L69" s="1781" t="n"/>
      <c r="M69" s="1781" t="n"/>
      <c r="N69" s="1781" t="n"/>
      <c r="O69" s="1781" t="n"/>
      <c r="P69" s="1781" t="n"/>
      <c r="Q69" s="1781" t="n"/>
      <c r="R69" s="1781" t="n"/>
      <c r="S69" s="1781" t="n"/>
      <c r="T69" s="1781" t="n"/>
      <c r="U69" s="1781" t="n"/>
      <c r="V69" s="1781" t="n"/>
      <c r="W69" s="1781" t="n"/>
      <c r="X69" s="1781" t="n"/>
      <c r="Y69" s="1781" t="n"/>
      <c r="Z69" s="1781" t="n"/>
      <c r="AA69" s="1781" t="n"/>
      <c r="AB69" s="1781" t="n"/>
      <c r="AC69" s="1781" t="n"/>
      <c r="AD69" s="1781" t="n"/>
      <c r="AE69" s="1781" t="n"/>
      <c r="AF69" s="1781" t="n"/>
      <c r="AG69" s="1781" t="n"/>
      <c r="AH69" s="1781" t="n"/>
      <c r="AI69" s="1781" t="n"/>
      <c r="AJ69" s="1781" t="n"/>
      <c r="AK69" s="1771" t="n"/>
      <c r="AL69" s="1771" t="n"/>
      <c r="AM69" s="1771" t="n"/>
      <c r="AN69" s="1771" t="n"/>
      <c r="AO69" s="1771" t="n"/>
      <c r="AP69" s="1771" t="n"/>
      <c r="AQ69" s="1771" t="n"/>
      <c r="AR69" s="1771" t="n"/>
      <c r="AS69" s="1771" t="n"/>
      <c r="AT69" s="1771" t="n"/>
      <c r="AU69" s="1771" t="n"/>
      <c r="AV69" s="1771" t="n"/>
      <c r="AW69" s="1771" t="n"/>
      <c r="AX69" s="1771" t="n"/>
      <c r="AY69" s="1771" t="n"/>
      <c r="AZ69" s="1771" t="n"/>
      <c r="BA69" s="1771" t="n"/>
      <c r="BB69" s="1771" t="n"/>
      <c r="BC69" s="1771" t="n"/>
      <c r="BD69" s="1771" t="n"/>
      <c r="BE69" s="1771" t="n"/>
      <c r="BF69" s="1771" t="n"/>
      <c r="BG69" s="1771" t="n"/>
      <c r="BH69" s="1771" t="n"/>
      <c r="BI69" s="1771" t="n"/>
      <c r="BJ69" s="1771" t="n"/>
      <c r="BK69" s="1771" t="n"/>
      <c r="BL69" s="1771" t="n"/>
      <c r="BM69" s="1771" t="n"/>
      <c r="BN69" s="1771" t="n"/>
      <c r="BO69" s="1771" t="n"/>
      <c r="BP69" s="1771" t="n"/>
      <c r="BQ69" s="1782" t="n"/>
      <c r="BR69" s="1782" t="n"/>
      <c r="BS69" s="1782" t="n"/>
      <c r="BT69" s="1782" t="n"/>
      <c r="BU69" s="1782" t="n"/>
      <c r="BV69" s="1782" t="n"/>
      <c r="BW69" s="1782" t="n"/>
      <c r="BX69" s="1782" t="n"/>
      <c r="BY69" s="1782" t="n"/>
      <c r="BZ69" s="1782" t="n"/>
      <c r="CA69" s="1782" t="n"/>
      <c r="CB69" s="1782" t="n"/>
      <c r="CC69" s="1782" t="n"/>
      <c r="CD69" s="1782" t="n"/>
      <c r="CE69" s="1782" t="n"/>
      <c r="CF69" s="1782" t="n"/>
      <c r="CG69" s="1782" t="n"/>
      <c r="CH69" s="1782" t="n"/>
      <c r="CI69" s="1782" t="n"/>
      <c r="CJ69" s="1782" t="n"/>
      <c r="CK69" s="1782" t="n"/>
      <c r="CL69" s="1771" t="n"/>
      <c r="CM69" s="1890" t="inlineStr">
        <is>
          <t xml:space="preserve">Start year of </t>
        </is>
      </c>
      <c r="CN69" s="1890" t="n"/>
      <c r="CO69" s="1997" t="n"/>
      <c r="CP69" s="1771" t="n"/>
      <c r="CQ69" s="1771" t="n"/>
      <c r="CR69" s="1771" t="n"/>
      <c r="CS69" s="1771" t="n"/>
      <c r="CT69" s="1771" t="n"/>
      <c r="CU69" s="1771" t="n"/>
      <c r="CV69" s="1771" t="n"/>
      <c r="CW69" s="1771" t="n"/>
      <c r="CX69" s="1771" t="n"/>
      <c r="CY69" s="1771" t="n"/>
    </row>
    <row r="70">
      <c r="A70" s="1771" t="n"/>
      <c r="B70" s="1781" t="n"/>
      <c r="C70" s="1781" t="n"/>
      <c r="D70" s="1781" t="n"/>
      <c r="E70" s="1781" t="n"/>
      <c r="F70" s="1781" t="n"/>
      <c r="G70" s="1781" t="n"/>
      <c r="H70" s="1781" t="n"/>
      <c r="I70" s="1781" t="n"/>
      <c r="J70" s="1781" t="n"/>
      <c r="K70" s="1781" t="n"/>
      <c r="L70" s="1781" t="n"/>
      <c r="M70" s="1781" t="n"/>
      <c r="N70" s="1781" t="n"/>
      <c r="O70" s="1781" t="n"/>
      <c r="P70" s="1781" t="n"/>
      <c r="Q70" s="1781" t="n"/>
      <c r="R70" s="1781" t="n"/>
      <c r="S70" s="1781" t="n"/>
      <c r="T70" s="1781" t="n"/>
      <c r="U70" s="1781" t="n"/>
      <c r="V70" s="1781" t="n"/>
      <c r="W70" s="1781" t="n"/>
      <c r="X70" s="1781" t="n"/>
      <c r="Y70" s="1781" t="n"/>
      <c r="Z70" s="1781" t="n"/>
      <c r="AA70" s="1781" t="n"/>
      <c r="AB70" s="1781" t="n"/>
      <c r="AC70" s="1781" t="n"/>
      <c r="AD70" s="1781" t="n"/>
      <c r="AE70" s="1781" t="n"/>
      <c r="AF70" s="1781" t="n"/>
      <c r="AG70" s="1781" t="n"/>
      <c r="AH70" s="1781" t="n"/>
      <c r="AI70" s="1781" t="n"/>
      <c r="AJ70" s="1781" t="n"/>
      <c r="AK70" s="1771" t="n"/>
      <c r="AL70" s="1771" t="n"/>
      <c r="AM70" s="1771" t="n"/>
      <c r="AN70" s="1771" t="n"/>
      <c r="AO70" s="1771" t="n"/>
      <c r="AP70" s="1771" t="n"/>
      <c r="AQ70" s="1771" t="n"/>
      <c r="AR70" s="1771" t="n"/>
      <c r="AS70" s="1771" t="n"/>
      <c r="AT70" s="1771" t="n"/>
      <c r="AU70" s="1771" t="n"/>
      <c r="AV70" s="1771" t="n"/>
      <c r="AW70" s="1771" t="n"/>
      <c r="AX70" s="1771" t="n"/>
      <c r="AY70" s="1771" t="n"/>
      <c r="AZ70" s="1771" t="n"/>
      <c r="BA70" s="1771" t="n"/>
      <c r="BB70" s="1771" t="n"/>
      <c r="BC70" s="1771" t="n"/>
      <c r="BD70" s="1771" t="n"/>
      <c r="BE70" s="1771" t="n"/>
      <c r="BF70" s="1771" t="n"/>
      <c r="BG70" s="1771" t="n"/>
      <c r="BH70" s="1771" t="n"/>
      <c r="BI70" s="1771" t="n"/>
      <c r="BJ70" s="1771" t="n"/>
      <c r="BK70" s="1771" t="n"/>
      <c r="BL70" s="1771" t="n"/>
      <c r="BM70" s="1771" t="n"/>
      <c r="BN70" s="1771" t="n"/>
      <c r="BO70" s="1771" t="n"/>
      <c r="BP70" s="1771" t="n"/>
      <c r="BQ70" s="1782" t="n"/>
      <c r="BR70" s="1783">
        <f>Languages!B605</f>
        <v/>
      </c>
      <c r="BS70" s="1782" t="n"/>
      <c r="BT70" s="1782" t="n"/>
      <c r="BU70" s="1782" t="n"/>
      <c r="BV70" s="1782" t="n"/>
      <c r="BW70" s="1783">
        <f>Languages!B607</f>
        <v/>
      </c>
      <c r="BX70" s="1782" t="n"/>
      <c r="BY70" s="1782" t="n"/>
      <c r="BZ70" s="1782" t="n"/>
      <c r="CA70" s="1782" t="n"/>
      <c r="CB70" s="1782" t="n"/>
      <c r="CC70" s="1782" t="n"/>
      <c r="CD70" s="1782" t="n"/>
      <c r="CE70" s="1782" t="n"/>
      <c r="CF70" s="1782" t="n"/>
      <c r="CG70" s="1782" t="n"/>
      <c r="CH70" s="1782" t="n"/>
      <c r="CI70" s="1782" t="n"/>
      <c r="CJ70" s="1782" t="n"/>
      <c r="CK70" s="1782" t="n"/>
      <c r="CL70" s="1771" t="n"/>
      <c r="CM70" s="2015" t="inlineStr">
        <is>
          <t>implementation</t>
        </is>
      </c>
      <c r="CN70" s="2015" t="n"/>
      <c r="CO70" s="1997" t="n"/>
      <c r="CP70" s="1771" t="n"/>
      <c r="CQ70" s="1771" t="n"/>
      <c r="CR70" s="1771" t="n"/>
      <c r="CS70" s="1771" t="n"/>
      <c r="CT70" s="1771" t="n"/>
      <c r="CU70" s="1771" t="n"/>
      <c r="CV70" s="1771" t="n"/>
      <c r="CW70" s="1771" t="n"/>
      <c r="CX70" s="1771" t="n"/>
      <c r="CY70" s="1771" t="n"/>
    </row>
    <row r="71">
      <c r="A71" s="1771" t="n"/>
      <c r="B71" s="1781" t="n"/>
      <c r="C71" s="4211">
        <f>Languages!B586</f>
        <v/>
      </c>
      <c r="D71" s="1789" t="n"/>
      <c r="E71" s="1789" t="n"/>
      <c r="F71" s="1781" t="n"/>
      <c r="G71" s="1781" t="n"/>
      <c r="H71" s="1781" t="n"/>
      <c r="I71" s="1781" t="n"/>
      <c r="J71" s="1781" t="n"/>
      <c r="K71" s="1781" t="n"/>
      <c r="L71" s="1781" t="n"/>
      <c r="M71" s="1781" t="n"/>
      <c r="N71" s="1781" t="n"/>
      <c r="O71" s="1781" t="n"/>
      <c r="P71" s="1781" t="n"/>
      <c r="Q71" s="1781" t="n"/>
      <c r="R71" s="1781" t="n"/>
      <c r="S71" s="1781" t="n"/>
      <c r="T71" s="1781" t="n"/>
      <c r="U71" s="1781" t="n"/>
      <c r="V71" s="1781" t="n"/>
      <c r="W71" s="1781" t="n"/>
      <c r="X71" s="1781" t="n"/>
      <c r="Y71" s="1781" t="n"/>
      <c r="Z71" s="1781" t="n"/>
      <c r="AA71" s="1781" t="n"/>
      <c r="AB71" s="1781" t="n"/>
      <c r="AC71" s="1781" t="n"/>
      <c r="AD71" s="1781" t="n"/>
      <c r="AE71" s="1781" t="n"/>
      <c r="AF71" s="1781" t="n"/>
      <c r="AG71" s="1781" t="n"/>
      <c r="AH71" s="1781" t="n"/>
      <c r="AI71" s="1781" t="n"/>
      <c r="AJ71" s="1781" t="n"/>
      <c r="AK71" s="1771" t="n"/>
      <c r="AL71" s="1771" t="n"/>
      <c r="AM71" s="1771" t="n"/>
      <c r="AN71" s="1771" t="n"/>
      <c r="AO71" s="1771" t="n"/>
      <c r="AP71" s="1771" t="n"/>
      <c r="AQ71" s="1771" t="n"/>
      <c r="AR71" s="1771" t="n"/>
      <c r="AS71" s="1771" t="n"/>
      <c r="AT71" s="1771" t="n"/>
      <c r="AU71" s="1771" t="n"/>
      <c r="AV71" s="1771" t="n"/>
      <c r="AW71" s="1771" t="n"/>
      <c r="AX71" s="1771" t="n"/>
      <c r="AY71" s="1771" t="n"/>
      <c r="AZ71" s="1771" t="n"/>
      <c r="BA71" s="1771" t="n"/>
      <c r="BB71" s="1771" t="n"/>
      <c r="BC71" s="1771" t="n"/>
      <c r="BD71" s="1771" t="n"/>
      <c r="BE71" s="1771" t="n"/>
      <c r="BF71" s="1771" t="n"/>
      <c r="BG71" s="1771" t="n"/>
      <c r="BH71" s="1771" t="n"/>
      <c r="BI71" s="1771" t="n"/>
      <c r="BJ71" s="1771" t="n"/>
      <c r="BK71" s="1771" t="n"/>
      <c r="BL71" s="1771" t="n"/>
      <c r="BM71" s="1771" t="n"/>
      <c r="BN71" s="1771" t="n"/>
      <c r="BO71" s="1771" t="n"/>
      <c r="BP71" s="1771" t="n"/>
      <c r="BQ71" s="1782" t="n"/>
      <c r="BR71" s="1785">
        <f>Languages!B606</f>
        <v/>
      </c>
      <c r="BS71" s="1785" t="n"/>
      <c r="BT71" s="1782" t="n"/>
      <c r="BU71" s="1782" t="n"/>
      <c r="BV71" s="1782" t="n"/>
      <c r="BW71" s="1785">
        <f>Languages!B608</f>
        <v/>
      </c>
      <c r="BX71" s="1785" t="n"/>
      <c r="BY71" s="1782" t="n"/>
      <c r="BZ71" s="1782" t="n"/>
      <c r="CA71" s="1782" t="n"/>
      <c r="CB71" s="1782" t="n"/>
      <c r="CC71" s="1782" t="n"/>
      <c r="CD71" s="1782" t="n"/>
      <c r="CE71" s="1782" t="n"/>
      <c r="CF71" s="1782" t="n"/>
      <c r="CG71" s="1782" t="n"/>
      <c r="CH71" s="1782" t="n"/>
      <c r="CI71" s="1782" t="n"/>
      <c r="CJ71" s="1782" t="n"/>
      <c r="CK71" s="1782" t="n"/>
      <c r="CL71" s="1771" t="n"/>
      <c r="CM71" s="1997" t="n"/>
      <c r="CN71" s="1997" t="n"/>
      <c r="CO71" s="1997" t="n"/>
      <c r="CP71" s="1771" t="n"/>
      <c r="CQ71" s="1771" t="n"/>
      <c r="CR71" s="1771" t="n"/>
      <c r="CS71" s="1771" t="n"/>
      <c r="CT71" s="1771" t="n"/>
      <c r="CU71" s="1771" t="n"/>
      <c r="CV71" s="1771" t="n"/>
      <c r="CW71" s="1771" t="n"/>
      <c r="CX71" s="1771" t="n"/>
      <c r="CY71" s="1771" t="n"/>
    </row>
    <row r="72">
      <c r="A72" s="1771" t="n"/>
      <c r="B72" s="1781" t="n"/>
      <c r="C72" s="1780" t="n"/>
      <c r="D72" s="1781" t="n"/>
      <c r="E72" s="1780" t="n"/>
      <c r="F72" s="1781" t="n"/>
      <c r="G72" s="1781" t="n"/>
      <c r="H72" s="1781" t="n"/>
      <c r="I72" s="1781" t="n"/>
      <c r="J72" s="1781" t="n"/>
      <c r="K72" s="1781" t="n"/>
      <c r="L72" s="1781" t="n"/>
      <c r="M72" s="1781" t="n"/>
      <c r="N72" s="1781" t="n"/>
      <c r="O72" s="1826">
        <f>Languages!B587</f>
        <v/>
      </c>
      <c r="P72" s="1781" t="n"/>
      <c r="Q72" s="1781" t="n"/>
      <c r="R72" s="1781" t="n"/>
      <c r="S72" s="1781" t="n"/>
      <c r="T72" s="1781" t="n"/>
      <c r="U72" s="1781" t="n"/>
      <c r="V72" s="1781" t="n"/>
      <c r="W72" s="1781" t="n"/>
      <c r="X72" s="1826">
        <f>Languages!B588</f>
        <v/>
      </c>
      <c r="Y72" s="1826" t="n"/>
      <c r="Z72" s="1826" t="n"/>
      <c r="AA72" s="1781" t="n"/>
      <c r="AB72" s="1781" t="n"/>
      <c r="AC72" s="1781" t="n"/>
      <c r="AD72" s="1781" t="n"/>
      <c r="AE72" s="1826">
        <f>Languages!B9</f>
        <v/>
      </c>
      <c r="AF72" s="1781" t="n"/>
      <c r="AG72" s="1781" t="n"/>
      <c r="AH72" s="1781" t="n"/>
      <c r="AI72" s="1780">
        <f>AI11</f>
        <v/>
      </c>
      <c r="AJ72" s="1781" t="n"/>
      <c r="AK72" s="1771" t="n"/>
      <c r="AL72" s="1771" t="n"/>
      <c r="AM72" s="1771" t="n"/>
      <c r="AN72" s="1771" t="n"/>
      <c r="AO72" s="1771" t="n"/>
      <c r="AP72" s="1771" t="n"/>
      <c r="AQ72" s="1771" t="n"/>
      <c r="AR72" s="1771" t="n"/>
      <c r="AS72" s="1771" t="n"/>
      <c r="AT72" s="1771" t="n"/>
      <c r="AU72" s="1771" t="n"/>
      <c r="AV72" s="1771" t="n"/>
      <c r="AW72" s="1771" t="n"/>
      <c r="AX72" s="1771" t="n"/>
      <c r="AY72" s="1771" t="n"/>
      <c r="AZ72" s="1771" t="n"/>
      <c r="BA72" s="1771" t="n"/>
      <c r="BB72" s="1771" t="n"/>
      <c r="BC72" s="1771" t="n"/>
      <c r="BD72" s="1771" t="n"/>
      <c r="BE72" s="1771" t="n"/>
      <c r="BF72" s="1771" t="n"/>
      <c r="BG72" s="1771" t="n"/>
      <c r="BH72" s="1771" t="n"/>
      <c r="BI72" s="1771" t="n"/>
      <c r="BJ72" s="1771" t="n"/>
      <c r="BK72" s="1771" t="n"/>
      <c r="BL72" s="1771" t="n"/>
      <c r="BM72" s="1771" t="n"/>
      <c r="BN72" s="1771" t="n"/>
      <c r="BO72" s="1771" t="n"/>
      <c r="BP72" s="1771" t="n"/>
      <c r="BQ72" s="1782" t="n"/>
      <c r="BR72" s="1782" t="n"/>
      <c r="BS72" s="2155" t="n"/>
      <c r="BT72" s="1782" t="n"/>
      <c r="BU72" s="1782" t="n"/>
      <c r="BV72" s="1782" t="n"/>
      <c r="BW72" s="1782" t="n"/>
      <c r="BX72" s="2155" t="n"/>
      <c r="BY72" s="1782" t="n"/>
      <c r="BZ72" s="1782" t="n"/>
      <c r="CA72" s="1782" t="n"/>
      <c r="CB72" s="1782" t="n"/>
      <c r="CC72" s="1782" t="n"/>
      <c r="CD72" s="1782" t="n"/>
      <c r="CE72" s="1782" t="n"/>
      <c r="CF72" s="1782" t="n"/>
      <c r="CG72" s="1782" t="n"/>
      <c r="CH72" s="1782" t="n"/>
      <c r="CI72" s="1782" t="n"/>
      <c r="CJ72" s="1782" t="n"/>
      <c r="CK72" s="1782" t="n"/>
      <c r="CL72" s="1771" t="n"/>
      <c r="CM72" s="1997" t="n"/>
      <c r="CN72" s="1997" t="n"/>
      <c r="CO72" s="1997" t="n"/>
      <c r="CP72" s="1771" t="n"/>
      <c r="CQ72" s="1771" t="n"/>
      <c r="CR72" s="1771" t="n"/>
      <c r="CS72" s="1771" t="n"/>
      <c r="CT72" s="1771" t="n"/>
      <c r="CU72" s="1771" t="n"/>
      <c r="CV72" s="1771" t="n"/>
      <c r="CW72" s="1771" t="n"/>
      <c r="CX72" s="1771" t="n"/>
      <c r="CY72" s="1771" t="n"/>
    </row>
    <row r="73">
      <c r="A73" s="1771" t="n"/>
      <c r="B73" s="1781" t="n"/>
      <c r="C73" s="1826">
        <f>Languages!B80</f>
        <v/>
      </c>
      <c r="D73" s="1781" t="n"/>
      <c r="E73" s="1781" t="n"/>
      <c r="F73" s="1781" t="n"/>
      <c r="G73" s="1781" t="n"/>
      <c r="H73" s="1781" t="n"/>
      <c r="I73" s="1781" t="n"/>
      <c r="J73" s="1781" t="n"/>
      <c r="K73" s="1781" t="n"/>
      <c r="L73" s="1781" t="n"/>
      <c r="M73" s="1781" t="n"/>
      <c r="N73" s="1781" t="n"/>
      <c r="O73" s="1806">
        <f>X73</f>
        <v/>
      </c>
      <c r="P73" s="1806">
        <f>Z73</f>
        <v/>
      </c>
      <c r="Q73" s="1806" t="inlineStr">
        <is>
          <t>*</t>
        </is>
      </c>
      <c r="R73" s="1806">
        <f>AB73</f>
        <v/>
      </c>
      <c r="S73" s="1806" t="inlineStr">
        <is>
          <t>*</t>
        </is>
      </c>
      <c r="T73" s="1781" t="n"/>
      <c r="U73" s="1781" t="n"/>
      <c r="V73" s="1781" t="n"/>
      <c r="W73" s="1781" t="n"/>
      <c r="X73" s="1806">
        <f>X12</f>
        <v/>
      </c>
      <c r="Y73" s="1806" t="n"/>
      <c r="Z73" s="1806">
        <f>Z12</f>
        <v/>
      </c>
      <c r="AA73" s="1806" t="inlineStr">
        <is>
          <t>*</t>
        </is>
      </c>
      <c r="AB73" s="1806">
        <f>AB12</f>
        <v/>
      </c>
      <c r="AC73" s="1806" t="inlineStr">
        <is>
          <t>*</t>
        </is>
      </c>
      <c r="AD73" s="1806" t="n"/>
      <c r="AE73" s="1806">
        <f>Z73</f>
        <v/>
      </c>
      <c r="AF73" s="1806" t="n"/>
      <c r="AG73" s="1806">
        <f>AB73</f>
        <v/>
      </c>
      <c r="AH73" s="1806" t="n"/>
      <c r="AI73" s="1781" t="n"/>
      <c r="AJ73" s="1781" t="n"/>
      <c r="AK73" s="1771" t="n"/>
      <c r="AL73" s="1771" t="n"/>
      <c r="AM73" s="1771" t="n"/>
      <c r="AN73" s="1771" t="n"/>
      <c r="AO73" s="1771" t="n"/>
      <c r="AP73" s="1771" t="n"/>
      <c r="AQ73" s="1771" t="n"/>
      <c r="AR73" s="1771" t="n"/>
      <c r="AS73" s="1771" t="n"/>
      <c r="AT73" s="1771" t="n"/>
      <c r="AU73" s="1771" t="n"/>
      <c r="AV73" s="1771" t="n"/>
      <c r="AW73" s="1771" t="n"/>
      <c r="AX73" s="1771" t="n"/>
      <c r="AY73" s="1771" t="n"/>
      <c r="AZ73" s="1771" t="n"/>
      <c r="BA73" s="1771" t="n"/>
      <c r="BB73" s="1771" t="n"/>
      <c r="BC73" s="1771" t="n"/>
      <c r="BD73" s="1771" t="n"/>
      <c r="BE73" s="1771" t="n"/>
      <c r="BF73" s="1771" t="n"/>
      <c r="BG73" s="1771" t="n"/>
      <c r="BH73" s="1771" t="n"/>
      <c r="BI73" s="1771" t="n"/>
      <c r="BJ73" s="1771" t="n"/>
      <c r="BK73" s="1771" t="n"/>
      <c r="BL73" s="1771" t="n"/>
      <c r="BM73" s="1771" t="n"/>
      <c r="BN73" s="1771" t="n"/>
      <c r="BO73" s="1771" t="n"/>
      <c r="BP73" s="1771" t="n"/>
      <c r="BQ73" s="1782" t="n"/>
      <c r="BR73" s="2155">
        <f>CH10</f>
        <v/>
      </c>
      <c r="BS73" s="2155">
        <f>CI10</f>
        <v/>
      </c>
      <c r="BT73" s="1782" t="n"/>
      <c r="BU73" s="1782" t="n"/>
      <c r="BV73" s="1782" t="n"/>
      <c r="BW73" s="2155">
        <f>BR73</f>
        <v/>
      </c>
      <c r="BX73" s="2155">
        <f>BS73</f>
        <v/>
      </c>
      <c r="BY73" s="1782" t="n"/>
      <c r="BZ73" s="1782" t="n"/>
      <c r="CA73" s="1782" t="n"/>
      <c r="CB73" s="1782" t="n"/>
      <c r="CC73" s="1782" t="n"/>
      <c r="CD73" s="1782" t="n"/>
      <c r="CE73" s="1782" t="n"/>
      <c r="CF73" s="1782" t="n"/>
      <c r="CG73" s="1782" t="n"/>
      <c r="CH73" s="1782" t="n"/>
      <c r="CI73" s="1782" t="n"/>
      <c r="CJ73" s="1782" t="n"/>
      <c r="CK73" s="1782" t="n"/>
      <c r="CL73" s="1771" t="n"/>
      <c r="CM73" s="1997" t="n"/>
      <c r="CN73" s="1997" t="n"/>
      <c r="CO73" s="1997" t="n"/>
      <c r="CP73" s="1771" t="n"/>
      <c r="CQ73" s="1771" t="n"/>
      <c r="CR73" s="1771" t="n"/>
      <c r="CS73" s="1771" t="n"/>
      <c r="CT73" s="1771" t="n"/>
      <c r="CU73" s="1771" t="n"/>
      <c r="CV73" s="1771" t="n"/>
      <c r="CW73" s="1771" t="n"/>
      <c r="CX73" s="1771" t="n"/>
      <c r="CY73" s="1771" t="n"/>
    </row>
    <row r="74">
      <c r="A74" s="1771" t="n"/>
      <c r="B74" s="1781" t="n"/>
      <c r="C74" s="4580" t="n"/>
      <c r="D74" s="4797" t="n"/>
      <c r="E74" s="4797" t="n"/>
      <c r="F74" s="1781" t="n"/>
      <c r="G74" s="1781" t="n"/>
      <c r="H74" s="1781" t="n"/>
      <c r="I74" s="1781" t="n"/>
      <c r="J74" s="1781" t="n"/>
      <c r="K74" s="1781" t="n"/>
      <c r="L74" s="1781" t="n"/>
      <c r="M74" s="1781" t="n"/>
      <c r="N74" s="1781" t="n"/>
      <c r="O74" s="4385" t="n">
        <v>0</v>
      </c>
      <c r="P74" s="2107" t="n">
        <v>0</v>
      </c>
      <c r="Q74" s="2108" t="inlineStr">
        <is>
          <t>D</t>
        </is>
      </c>
      <c r="R74" s="2107" t="n">
        <v>0</v>
      </c>
      <c r="S74" s="2108" t="inlineStr">
        <is>
          <t>D</t>
        </is>
      </c>
      <c r="T74" s="1781" t="n"/>
      <c r="U74" s="1781" t="n"/>
      <c r="V74" s="1781" t="n"/>
      <c r="W74" s="1781" t="n"/>
      <c r="X74" s="2107" t="n">
        <v>0</v>
      </c>
      <c r="Y74" s="1781" t="n"/>
      <c r="Z74" s="2107" t="n">
        <v>0</v>
      </c>
      <c r="AA74" s="2108" t="inlineStr">
        <is>
          <t>D</t>
        </is>
      </c>
      <c r="AB74" s="2107" t="n">
        <v>0</v>
      </c>
      <c r="AC74" s="2108" t="inlineStr">
        <is>
          <t>D</t>
        </is>
      </c>
      <c r="AD74" s="1781" t="n"/>
      <c r="AE74" s="1841">
        <f>'Fish and aqua'!O89+'Fish and aqua'!O100</f>
        <v/>
      </c>
      <c r="AF74" s="1781" t="n"/>
      <c r="AG74" s="1841">
        <f>'Fish and aqua'!P89+'Fish and aqua'!P100</f>
        <v/>
      </c>
      <c r="AH74" s="1781" t="n"/>
      <c r="AI74" s="1806">
        <f>AG74-AE74</f>
        <v/>
      </c>
      <c r="AJ74" s="1781" t="n"/>
      <c r="AK74" s="1771" t="n"/>
      <c r="AL74" s="1771" t="n"/>
      <c r="AM74" s="1771" t="n"/>
      <c r="AN74" s="1771" t="n"/>
      <c r="AO74" s="1771" t="n"/>
      <c r="AP74" s="1771" t="n"/>
      <c r="AQ74" s="1771" t="n"/>
      <c r="AR74" s="1771" t="n"/>
      <c r="AS74" s="1771" t="n"/>
      <c r="AT74" s="1771" t="n"/>
      <c r="AU74" s="1771" t="n"/>
      <c r="AV74" s="1771" t="n"/>
      <c r="AW74" s="1771" t="n"/>
      <c r="AX74" s="1771" t="n"/>
      <c r="AY74" s="1771" t="n"/>
      <c r="AZ74" s="1771" t="n"/>
      <c r="BA74" s="1771" t="n"/>
      <c r="BB74" s="1771" t="n"/>
      <c r="BC74" s="1771" t="n"/>
      <c r="BD74" s="1771" t="n"/>
      <c r="BE74" s="1771" t="n"/>
      <c r="BF74" s="1771" t="n"/>
      <c r="BG74" s="1771" t="n"/>
      <c r="BH74" s="1771" t="n"/>
      <c r="BI74" s="1771" t="n"/>
      <c r="BJ74" s="1771" t="n"/>
      <c r="BK74" s="1771" t="n"/>
      <c r="BL74" s="1771" t="n"/>
      <c r="BM74" s="1771" t="n"/>
      <c r="BN74" s="1771" t="n"/>
      <c r="BO74" s="1771" t="n"/>
      <c r="BP74" s="1771" t="n"/>
      <c r="BQ74" s="1782" t="n"/>
      <c r="BR74" s="2155">
        <f>'Fish and aqua'!D77</f>
        <v/>
      </c>
      <c r="BS74" s="4789" t="n"/>
      <c r="BT74" s="1782" t="n"/>
      <c r="BU74" s="1782" t="n"/>
      <c r="BV74" s="1782" t="n"/>
      <c r="BW74" s="1782">
        <f>'Fish and aqua'!G77</f>
        <v/>
      </c>
      <c r="BX74" s="4789" t="n"/>
      <c r="BY74" s="1782" t="n"/>
      <c r="BZ74" s="1782" t="n"/>
      <c r="CA74" s="1782" t="n"/>
      <c r="CB74" s="1782" t="n"/>
      <c r="CC74" s="1782" t="n"/>
      <c r="CD74" s="1782" t="n"/>
      <c r="CE74" s="1782" t="n"/>
      <c r="CF74" s="1782" t="n"/>
      <c r="CG74" s="1782" t="n"/>
      <c r="CH74" s="1782" t="n"/>
      <c r="CI74" s="1782" t="n"/>
      <c r="CJ74" s="1782" t="n"/>
      <c r="CK74" s="1782" t="n"/>
      <c r="CL74" s="1771" t="n"/>
      <c r="CM74" s="4401" t="n">
        <v>1</v>
      </c>
      <c r="CN74" s="4402" t="n"/>
      <c r="CO74" s="1997" t="n"/>
      <c r="CP74" s="1771" t="n"/>
      <c r="CQ74" s="1771" t="n"/>
      <c r="CR74" s="1771" t="n"/>
      <c r="CS74" s="1771" t="n"/>
      <c r="CT74" s="1771" t="n"/>
      <c r="CU74" s="1771" t="n"/>
      <c r="CV74" s="1771" t="n"/>
      <c r="CW74" s="1771" t="n"/>
      <c r="CX74" s="1771" t="n"/>
      <c r="CY74" s="1771" t="n"/>
    </row>
    <row r="75">
      <c r="A75" s="1771" t="n"/>
      <c r="B75" s="1781" t="n"/>
      <c r="C75" s="4577" t="n"/>
      <c r="D75" s="4798" t="n"/>
      <c r="E75" s="4798" t="n"/>
      <c r="F75" s="1781" t="n"/>
      <c r="G75" s="1781" t="n"/>
      <c r="H75" s="1781" t="n"/>
      <c r="I75" s="1781" t="n"/>
      <c r="J75" s="1781" t="n"/>
      <c r="K75" s="1781" t="n"/>
      <c r="L75" s="1781" t="n"/>
      <c r="M75" s="1781" t="n"/>
      <c r="N75" s="1781" t="n"/>
      <c r="O75" s="4385" t="n">
        <v>0</v>
      </c>
      <c r="P75" s="2107" t="n">
        <v>0</v>
      </c>
      <c r="Q75" s="2108" t="inlineStr">
        <is>
          <t>D</t>
        </is>
      </c>
      <c r="R75" s="2107" t="n">
        <v>0</v>
      </c>
      <c r="S75" s="2108" t="inlineStr">
        <is>
          <t>D</t>
        </is>
      </c>
      <c r="T75" s="1781" t="n"/>
      <c r="U75" s="1781" t="n"/>
      <c r="V75" s="1781" t="n"/>
      <c r="W75" s="1781" t="n"/>
      <c r="X75" s="2107" t="n">
        <v>0</v>
      </c>
      <c r="Y75" s="1781" t="n"/>
      <c r="Z75" s="2107" t="n">
        <v>0</v>
      </c>
      <c r="AA75" s="2108" t="inlineStr">
        <is>
          <t>D</t>
        </is>
      </c>
      <c r="AB75" s="2107" t="n">
        <v>0</v>
      </c>
      <c r="AC75" s="2108" t="inlineStr">
        <is>
          <t>D</t>
        </is>
      </c>
      <c r="AD75" s="1781" t="n"/>
      <c r="AE75" s="1841">
        <f>'Fish and aqua'!O90+'Fish and aqua'!O101</f>
        <v/>
      </c>
      <c r="AF75" s="1781" t="n"/>
      <c r="AG75" s="1841">
        <f>'Fish and aqua'!P90+'Fish and aqua'!P101</f>
        <v/>
      </c>
      <c r="AH75" s="1781" t="n"/>
      <c r="AI75" s="1806">
        <f>AG75-AE75</f>
        <v/>
      </c>
      <c r="AJ75" s="1781" t="n"/>
      <c r="AK75" s="1771" t="n"/>
      <c r="AL75" s="1771" t="n"/>
      <c r="AM75" s="1771" t="n"/>
      <c r="AN75" s="1771" t="n"/>
      <c r="AO75" s="1771" t="n"/>
      <c r="AP75" s="1771" t="n"/>
      <c r="AQ75" s="1771" t="n"/>
      <c r="AR75" s="1771" t="n"/>
      <c r="AS75" s="1771" t="n"/>
      <c r="AT75" s="1771" t="n"/>
      <c r="AU75" s="1771" t="n"/>
      <c r="AV75" s="1771" t="n"/>
      <c r="AW75" s="1771" t="n"/>
      <c r="AX75" s="1771" t="n"/>
      <c r="AY75" s="1771" t="n"/>
      <c r="AZ75" s="1771" t="n"/>
      <c r="BA75" s="1771" t="n"/>
      <c r="BB75" s="1771" t="n"/>
      <c r="BC75" s="1771" t="n"/>
      <c r="BD75" s="1771" t="n"/>
      <c r="BE75" s="1771" t="n"/>
      <c r="BF75" s="1771" t="n"/>
      <c r="BG75" s="1771" t="n"/>
      <c r="BH75" s="1771" t="n"/>
      <c r="BI75" s="1771" t="n"/>
      <c r="BJ75" s="1771" t="n"/>
      <c r="BK75" s="1771" t="n"/>
      <c r="BL75" s="1771" t="n"/>
      <c r="BM75" s="1771" t="n"/>
      <c r="BN75" s="1771" t="n"/>
      <c r="BO75" s="1771" t="n"/>
      <c r="BP75" s="1771" t="n"/>
      <c r="BQ75" s="1782" t="n"/>
      <c r="BR75" s="2155">
        <f>'Fish and aqua'!D78</f>
        <v/>
      </c>
      <c r="BS75" s="4789" t="n"/>
      <c r="BT75" s="1782" t="n"/>
      <c r="BU75" s="1782" t="n"/>
      <c r="BV75" s="1782" t="n"/>
      <c r="BW75" s="1782">
        <f>'Fish and aqua'!G78</f>
        <v/>
      </c>
      <c r="BX75" s="4789" t="n"/>
      <c r="BY75" s="1782" t="n"/>
      <c r="BZ75" s="1782" t="n"/>
      <c r="CA75" s="1782" t="n"/>
      <c r="CB75" s="1782" t="n"/>
      <c r="CC75" s="1782" t="n"/>
      <c r="CD75" s="1782" t="n"/>
      <c r="CE75" s="1782" t="n"/>
      <c r="CF75" s="1782" t="n"/>
      <c r="CG75" s="1782" t="n"/>
      <c r="CH75" s="1782" t="n"/>
      <c r="CI75" s="1782" t="n"/>
      <c r="CJ75" s="1782" t="n"/>
      <c r="CK75" s="1782" t="n"/>
      <c r="CL75" s="1771" t="n"/>
      <c r="CM75" s="4401" t="n">
        <v>1</v>
      </c>
      <c r="CN75" s="4402" t="n"/>
      <c r="CO75" s="1997" t="n"/>
      <c r="CP75" s="1771" t="n"/>
      <c r="CQ75" s="1771" t="n"/>
      <c r="CR75" s="1771" t="n"/>
      <c r="CS75" s="1771" t="n"/>
      <c r="CT75" s="1771" t="n"/>
      <c r="CU75" s="1771" t="n"/>
      <c r="CV75" s="1771" t="n"/>
      <c r="CW75" s="1771" t="n"/>
      <c r="CX75" s="1771" t="n"/>
      <c r="CY75" s="1771" t="n"/>
    </row>
    <row r="76">
      <c r="A76" s="1771" t="n"/>
      <c r="B76" s="1781" t="n"/>
      <c r="C76" s="4577" t="n"/>
      <c r="D76" s="4798" t="n"/>
      <c r="E76" s="4798" t="n"/>
      <c r="F76" s="1781" t="n"/>
      <c r="G76" s="1781" t="n"/>
      <c r="H76" s="1781" t="n"/>
      <c r="I76" s="1781" t="n"/>
      <c r="J76" s="1781" t="n"/>
      <c r="K76" s="1781" t="n"/>
      <c r="L76" s="1781" t="n"/>
      <c r="M76" s="1781" t="n"/>
      <c r="N76" s="1781" t="n"/>
      <c r="O76" s="4385" t="n">
        <v>0</v>
      </c>
      <c r="P76" s="2107" t="n">
        <v>0</v>
      </c>
      <c r="Q76" s="2108" t="inlineStr">
        <is>
          <t>D</t>
        </is>
      </c>
      <c r="R76" s="2107" t="n">
        <v>0</v>
      </c>
      <c r="S76" s="2108" t="inlineStr">
        <is>
          <t>D</t>
        </is>
      </c>
      <c r="T76" s="1781" t="n"/>
      <c r="U76" s="1781" t="n"/>
      <c r="V76" s="1781" t="n"/>
      <c r="W76" s="1781" t="n"/>
      <c r="X76" s="2107" t="n">
        <v>0</v>
      </c>
      <c r="Y76" s="1781" t="n"/>
      <c r="Z76" s="2107" t="n">
        <v>0</v>
      </c>
      <c r="AA76" s="2108" t="inlineStr">
        <is>
          <t>D</t>
        </is>
      </c>
      <c r="AB76" s="2107" t="n">
        <v>0</v>
      </c>
      <c r="AC76" s="2108" t="inlineStr">
        <is>
          <t>D</t>
        </is>
      </c>
      <c r="AD76" s="1781" t="n"/>
      <c r="AE76" s="1841">
        <f>'Fish and aqua'!O91+'Fish and aqua'!O102</f>
        <v/>
      </c>
      <c r="AF76" s="1781" t="n"/>
      <c r="AG76" s="1841">
        <f>'Fish and aqua'!P91+'Fish and aqua'!P102</f>
        <v/>
      </c>
      <c r="AH76" s="1781" t="n"/>
      <c r="AI76" s="1806">
        <f>AG76-AE76</f>
        <v/>
      </c>
      <c r="AJ76" s="1781" t="n"/>
      <c r="AK76" s="1771" t="n"/>
      <c r="AL76" s="1771" t="n"/>
      <c r="AM76" s="1771" t="n"/>
      <c r="AN76" s="1771" t="n"/>
      <c r="AO76" s="1771" t="n"/>
      <c r="AP76" s="1771" t="n"/>
      <c r="AQ76" s="1771" t="n"/>
      <c r="AR76" s="1771" t="n"/>
      <c r="AS76" s="1771" t="n"/>
      <c r="AT76" s="1771" t="n"/>
      <c r="AU76" s="1771" t="n"/>
      <c r="AV76" s="1771" t="n"/>
      <c r="AW76" s="1771" t="n"/>
      <c r="AX76" s="1771" t="n"/>
      <c r="AY76" s="1771" t="n"/>
      <c r="AZ76" s="1771" t="n"/>
      <c r="BA76" s="1771" t="n"/>
      <c r="BB76" s="1771" t="n"/>
      <c r="BC76" s="1771" t="n"/>
      <c r="BD76" s="1771" t="n"/>
      <c r="BE76" s="1771" t="n"/>
      <c r="BF76" s="1771" t="n"/>
      <c r="BG76" s="1771" t="n"/>
      <c r="BH76" s="1771" t="n"/>
      <c r="BI76" s="1771" t="n"/>
      <c r="BJ76" s="1771" t="n"/>
      <c r="BK76" s="1771" t="n"/>
      <c r="BL76" s="1771" t="n"/>
      <c r="BM76" s="1771" t="n"/>
      <c r="BN76" s="1771" t="n"/>
      <c r="BO76" s="1771" t="n"/>
      <c r="BP76" s="1771" t="n"/>
      <c r="BQ76" s="1782" t="n"/>
      <c r="BR76" s="2155">
        <f>'Fish and aqua'!D79</f>
        <v/>
      </c>
      <c r="BS76" s="4789" t="n"/>
      <c r="BT76" s="1782" t="n"/>
      <c r="BU76" s="1782" t="n"/>
      <c r="BV76" s="1782" t="n"/>
      <c r="BW76" s="1782">
        <f>'Fish and aqua'!G79</f>
        <v/>
      </c>
      <c r="BX76" s="4789" t="n"/>
      <c r="BY76" s="1782" t="n"/>
      <c r="BZ76" s="1782" t="n"/>
      <c r="CA76" s="1782" t="n"/>
      <c r="CB76" s="1782" t="n"/>
      <c r="CC76" s="1782" t="n"/>
      <c r="CD76" s="1782" t="n"/>
      <c r="CE76" s="1782" t="n"/>
      <c r="CF76" s="1782" t="n"/>
      <c r="CG76" s="1782" t="n"/>
      <c r="CH76" s="1782" t="n"/>
      <c r="CI76" s="1782" t="n"/>
      <c r="CJ76" s="1782" t="n"/>
      <c r="CK76" s="1782" t="n"/>
      <c r="CL76" s="1771" t="n"/>
      <c r="CM76" s="4401" t="n">
        <v>1</v>
      </c>
      <c r="CN76" s="4402" t="n"/>
      <c r="CO76" s="1997" t="n"/>
      <c r="CP76" s="1771" t="n"/>
      <c r="CQ76" s="1771" t="n"/>
      <c r="CR76" s="1771" t="n"/>
      <c r="CS76" s="1771" t="n"/>
      <c r="CT76" s="1771" t="n"/>
      <c r="CU76" s="1771" t="n"/>
      <c r="CV76" s="1771" t="n"/>
      <c r="CW76" s="1771" t="n"/>
      <c r="CX76" s="1771" t="n"/>
      <c r="CY76" s="1771" t="n"/>
    </row>
    <row r="77">
      <c r="A77" s="1771" t="n"/>
      <c r="B77" s="1781" t="n"/>
      <c r="C77" s="4577" t="n"/>
      <c r="D77" s="4798" t="n"/>
      <c r="E77" s="4798" t="n"/>
      <c r="F77" s="1781" t="n"/>
      <c r="G77" s="1781" t="n"/>
      <c r="H77" s="1781" t="n"/>
      <c r="I77" s="1781" t="n"/>
      <c r="J77" s="1781" t="n"/>
      <c r="K77" s="1781" t="n"/>
      <c r="L77" s="1781" t="n"/>
      <c r="M77" s="1781" t="n"/>
      <c r="N77" s="1781" t="n"/>
      <c r="O77" s="4385" t="n">
        <v>0</v>
      </c>
      <c r="P77" s="2107" t="n">
        <v>0</v>
      </c>
      <c r="Q77" s="2108" t="inlineStr">
        <is>
          <t>D</t>
        </is>
      </c>
      <c r="R77" s="2107" t="n">
        <v>0</v>
      </c>
      <c r="S77" s="2108" t="inlineStr">
        <is>
          <t>D</t>
        </is>
      </c>
      <c r="T77" s="1781" t="n"/>
      <c r="U77" s="1781" t="n"/>
      <c r="V77" s="1781" t="n"/>
      <c r="W77" s="1781" t="n"/>
      <c r="X77" s="2107" t="n">
        <v>0</v>
      </c>
      <c r="Y77" s="1781" t="n"/>
      <c r="Z77" s="2107" t="n">
        <v>0</v>
      </c>
      <c r="AA77" s="2108" t="inlineStr">
        <is>
          <t>D</t>
        </is>
      </c>
      <c r="AB77" s="2107" t="n">
        <v>0</v>
      </c>
      <c r="AC77" s="2108" t="inlineStr">
        <is>
          <t>D</t>
        </is>
      </c>
      <c r="AD77" s="1781" t="n"/>
      <c r="AE77" s="1841">
        <f>'Fish and aqua'!O92+'Fish and aqua'!O103</f>
        <v/>
      </c>
      <c r="AF77" s="1781" t="n"/>
      <c r="AG77" s="1841">
        <f>'Fish and aqua'!P92+'Fish and aqua'!P103</f>
        <v/>
      </c>
      <c r="AH77" s="1781" t="n"/>
      <c r="AI77" s="1806">
        <f>AG77-AE77</f>
        <v/>
      </c>
      <c r="AJ77" s="1781" t="n"/>
      <c r="AK77" s="1771" t="n"/>
      <c r="AL77" s="1771" t="n"/>
      <c r="AM77" s="1771" t="n"/>
      <c r="AN77" s="1771" t="n"/>
      <c r="AO77" s="1771" t="n"/>
      <c r="AP77" s="1771" t="n"/>
      <c r="AQ77" s="1771" t="n"/>
      <c r="AR77" s="1771" t="n"/>
      <c r="AS77" s="1771" t="n"/>
      <c r="AT77" s="1771" t="n"/>
      <c r="AU77" s="1771" t="n"/>
      <c r="AV77" s="1771" t="n"/>
      <c r="AW77" s="1771" t="n"/>
      <c r="AX77" s="1771" t="n"/>
      <c r="AY77" s="1771" t="n"/>
      <c r="AZ77" s="1771" t="n"/>
      <c r="BA77" s="1771" t="n"/>
      <c r="BB77" s="1771" t="n"/>
      <c r="BC77" s="1771" t="n"/>
      <c r="BD77" s="1771" t="n"/>
      <c r="BE77" s="1771" t="n"/>
      <c r="BF77" s="1771" t="n"/>
      <c r="BG77" s="1771" t="n"/>
      <c r="BH77" s="1771" t="n"/>
      <c r="BI77" s="1771" t="n"/>
      <c r="BJ77" s="1771" t="n"/>
      <c r="BK77" s="1771" t="n"/>
      <c r="BL77" s="1771" t="n"/>
      <c r="BM77" s="1771" t="n"/>
      <c r="BN77" s="1771" t="n"/>
      <c r="BO77" s="1771" t="n"/>
      <c r="BP77" s="1771" t="n"/>
      <c r="BQ77" s="1782" t="n"/>
      <c r="BR77" s="2155">
        <f>'Fish and aqua'!D80</f>
        <v/>
      </c>
      <c r="BS77" s="4789" t="n"/>
      <c r="BT77" s="1782" t="n"/>
      <c r="BU77" s="1782" t="n"/>
      <c r="BV77" s="1782" t="n"/>
      <c r="BW77" s="1782">
        <f>'Fish and aqua'!G80</f>
        <v/>
      </c>
      <c r="BX77" s="4789" t="n"/>
      <c r="BY77" s="1782" t="n"/>
      <c r="BZ77" s="1782" t="n"/>
      <c r="CA77" s="1782" t="n"/>
      <c r="CB77" s="1782" t="n"/>
      <c r="CC77" s="1782" t="n"/>
      <c r="CD77" s="1782" t="n"/>
      <c r="CE77" s="1782" t="n"/>
      <c r="CF77" s="1782" t="n"/>
      <c r="CG77" s="1782" t="n"/>
      <c r="CH77" s="1782" t="n"/>
      <c r="CI77" s="1782" t="n"/>
      <c r="CJ77" s="1782" t="n"/>
      <c r="CK77" s="1782" t="n"/>
      <c r="CL77" s="1771" t="n"/>
      <c r="CM77" s="4401" t="n">
        <v>1</v>
      </c>
      <c r="CN77" s="4402" t="n"/>
      <c r="CO77" s="1997" t="n"/>
      <c r="CP77" s="1771" t="n"/>
      <c r="CQ77" s="1771" t="n"/>
      <c r="CR77" s="1771" t="n"/>
      <c r="CS77" s="1771" t="n"/>
      <c r="CT77" s="1771" t="n"/>
      <c r="CU77" s="1771" t="n"/>
      <c r="CV77" s="1771" t="n"/>
      <c r="CW77" s="1771" t="n"/>
      <c r="CX77" s="1771" t="n"/>
      <c r="CY77" s="1771" t="n"/>
    </row>
    <row r="78">
      <c r="A78" s="1771" t="n"/>
      <c r="B78" s="1781" t="n"/>
      <c r="C78" s="4577" t="n"/>
      <c r="D78" s="4798" t="n"/>
      <c r="E78" s="4798" t="n"/>
      <c r="F78" s="1781" t="n"/>
      <c r="G78" s="1781" t="n"/>
      <c r="H78" s="1781" t="n"/>
      <c r="I78" s="1781" t="n"/>
      <c r="J78" s="1781" t="n"/>
      <c r="K78" s="1781" t="n"/>
      <c r="L78" s="1781" t="n"/>
      <c r="M78" s="1781" t="n"/>
      <c r="N78" s="1781" t="n"/>
      <c r="O78" s="4385" t="n">
        <v>0</v>
      </c>
      <c r="P78" s="2107" t="n">
        <v>0</v>
      </c>
      <c r="Q78" s="2108" t="inlineStr">
        <is>
          <t>D</t>
        </is>
      </c>
      <c r="R78" s="2107" t="n">
        <v>0</v>
      </c>
      <c r="S78" s="2108" t="inlineStr">
        <is>
          <t>D</t>
        </is>
      </c>
      <c r="T78" s="1781" t="n"/>
      <c r="U78" s="1781" t="n"/>
      <c r="V78" s="1781" t="n"/>
      <c r="W78" s="1781" t="n"/>
      <c r="X78" s="2107" t="n">
        <v>0</v>
      </c>
      <c r="Y78" s="1781" t="n"/>
      <c r="Z78" s="2107" t="n">
        <v>0</v>
      </c>
      <c r="AA78" s="2108" t="inlineStr">
        <is>
          <t>D</t>
        </is>
      </c>
      <c r="AB78" s="2107" t="n">
        <v>0</v>
      </c>
      <c r="AC78" s="2108" t="inlineStr">
        <is>
          <t>D</t>
        </is>
      </c>
      <c r="AD78" s="1781" t="n"/>
      <c r="AE78" s="1841">
        <f>'Fish and aqua'!O93+'Fish and aqua'!O104</f>
        <v/>
      </c>
      <c r="AF78" s="1781" t="n"/>
      <c r="AG78" s="1841">
        <f>'Fish and aqua'!P93+'Fish and aqua'!P104</f>
        <v/>
      </c>
      <c r="AH78" s="1781" t="n"/>
      <c r="AI78" s="1806">
        <f>AG78-AE78</f>
        <v/>
      </c>
      <c r="AJ78" s="1781" t="n"/>
      <c r="AK78" s="1771" t="n"/>
      <c r="AL78" s="1771" t="n"/>
      <c r="AM78" s="1771" t="n"/>
      <c r="AN78" s="1771" t="n"/>
      <c r="AO78" s="1771" t="n"/>
      <c r="AP78" s="1771" t="n"/>
      <c r="AQ78" s="1771" t="n"/>
      <c r="AR78" s="1771" t="n"/>
      <c r="AS78" s="1771" t="n"/>
      <c r="AT78" s="1771" t="n"/>
      <c r="AU78" s="1771" t="n"/>
      <c r="AV78" s="1771" t="n"/>
      <c r="AW78" s="1771" t="n"/>
      <c r="AX78" s="1771" t="n"/>
      <c r="AY78" s="1771" t="n"/>
      <c r="AZ78" s="1771" t="n"/>
      <c r="BA78" s="1771" t="n"/>
      <c r="BB78" s="1771" t="n"/>
      <c r="BC78" s="1771" t="n"/>
      <c r="BD78" s="1771" t="n"/>
      <c r="BE78" s="1771" t="n"/>
      <c r="BF78" s="1771" t="n"/>
      <c r="BG78" s="1771" t="n"/>
      <c r="BH78" s="1771" t="n"/>
      <c r="BI78" s="1771" t="n"/>
      <c r="BJ78" s="1771" t="n"/>
      <c r="BK78" s="1771" t="n"/>
      <c r="BL78" s="1771" t="n"/>
      <c r="BM78" s="1771" t="n"/>
      <c r="BN78" s="1771" t="n"/>
      <c r="BO78" s="1771" t="n"/>
      <c r="BP78" s="1771" t="n"/>
      <c r="BQ78" s="1782" t="n"/>
      <c r="BR78" s="2155">
        <f>'Fish and aqua'!D81</f>
        <v/>
      </c>
      <c r="BS78" s="4789" t="n"/>
      <c r="BT78" s="1782" t="n"/>
      <c r="BU78" s="1782" t="n"/>
      <c r="BV78" s="1782" t="n"/>
      <c r="BW78" s="1782">
        <f>'Fish and aqua'!G81</f>
        <v/>
      </c>
      <c r="BX78" s="4789" t="n"/>
      <c r="BY78" s="1782" t="n"/>
      <c r="BZ78" s="1782" t="n"/>
      <c r="CA78" s="1782" t="n"/>
      <c r="CB78" s="1782" t="n"/>
      <c r="CC78" s="1782" t="n"/>
      <c r="CD78" s="1782" t="n"/>
      <c r="CE78" s="1782" t="n"/>
      <c r="CF78" s="1782" t="n"/>
      <c r="CG78" s="1782" t="n"/>
      <c r="CH78" s="1782" t="n"/>
      <c r="CI78" s="1782" t="n"/>
      <c r="CJ78" s="1782" t="n"/>
      <c r="CK78" s="1782" t="n"/>
      <c r="CL78" s="1771" t="n"/>
      <c r="CM78" s="4401" t="n">
        <v>1</v>
      </c>
      <c r="CN78" s="4402" t="n"/>
      <c r="CO78" s="1997" t="n"/>
      <c r="CP78" s="1771" t="n"/>
      <c r="CQ78" s="1771" t="n"/>
      <c r="CR78" s="1771" t="n"/>
      <c r="CS78" s="1771" t="n"/>
      <c r="CT78" s="1771" t="n"/>
      <c r="CU78" s="1771" t="n"/>
      <c r="CV78" s="1771" t="n"/>
      <c r="CW78" s="1771" t="n"/>
      <c r="CX78" s="1771" t="n"/>
      <c r="CY78" s="1771" t="n"/>
    </row>
    <row r="79">
      <c r="A79" s="1771" t="n"/>
      <c r="B79" s="1781" t="n"/>
      <c r="C79" s="4577" t="n"/>
      <c r="D79" s="4798" t="n"/>
      <c r="E79" s="4798" t="n"/>
      <c r="F79" s="1781" t="n"/>
      <c r="G79" s="1781" t="n"/>
      <c r="H79" s="1781" t="n"/>
      <c r="I79" s="1781" t="n"/>
      <c r="J79" s="1781" t="n"/>
      <c r="K79" s="1781" t="n"/>
      <c r="L79" s="1781" t="n"/>
      <c r="M79" s="1781" t="n"/>
      <c r="N79" s="1781" t="n"/>
      <c r="O79" s="4385" t="n">
        <v>0</v>
      </c>
      <c r="P79" s="2107" t="n">
        <v>0</v>
      </c>
      <c r="Q79" s="2108" t="inlineStr">
        <is>
          <t>D</t>
        </is>
      </c>
      <c r="R79" s="2107" t="n">
        <v>0</v>
      </c>
      <c r="S79" s="2108" t="inlineStr">
        <is>
          <t>D</t>
        </is>
      </c>
      <c r="T79" s="1781" t="n"/>
      <c r="U79" s="1781" t="n"/>
      <c r="V79" s="1781" t="n"/>
      <c r="W79" s="1781" t="n"/>
      <c r="X79" s="2107" t="n">
        <v>0</v>
      </c>
      <c r="Y79" s="1781" t="n"/>
      <c r="Z79" s="2107" t="n">
        <v>0</v>
      </c>
      <c r="AA79" s="2108" t="inlineStr">
        <is>
          <t>D</t>
        </is>
      </c>
      <c r="AB79" s="2107" t="n">
        <v>0</v>
      </c>
      <c r="AC79" s="2108" t="inlineStr">
        <is>
          <t>D</t>
        </is>
      </c>
      <c r="AD79" s="1781" t="n"/>
      <c r="AE79" s="1841">
        <f>'Fish and aqua'!O94+'Fish and aqua'!O105</f>
        <v/>
      </c>
      <c r="AF79" s="1781" t="n"/>
      <c r="AG79" s="1841">
        <f>'Fish and aqua'!P94+'Fish and aqua'!P105</f>
        <v/>
      </c>
      <c r="AH79" s="1781" t="n"/>
      <c r="AI79" s="1806">
        <f>AG79-AE79</f>
        <v/>
      </c>
      <c r="AJ79" s="1781" t="n"/>
      <c r="AK79" s="1771" t="n"/>
      <c r="AL79" s="1771" t="n"/>
      <c r="AM79" s="1771" t="n"/>
      <c r="AN79" s="1771" t="n"/>
      <c r="AO79" s="1771" t="n"/>
      <c r="AP79" s="1771" t="n"/>
      <c r="AQ79" s="1771" t="n"/>
      <c r="AR79" s="1771" t="n"/>
      <c r="AS79" s="1771" t="n"/>
      <c r="AT79" s="1771" t="n"/>
      <c r="AU79" s="1771" t="n"/>
      <c r="AV79" s="1771" t="n"/>
      <c r="AW79" s="1771" t="n"/>
      <c r="AX79" s="1771" t="n"/>
      <c r="AY79" s="1771" t="n"/>
      <c r="AZ79" s="1771" t="n"/>
      <c r="BA79" s="1771" t="n"/>
      <c r="BB79" s="1771" t="n"/>
      <c r="BC79" s="1771" t="n"/>
      <c r="BD79" s="1771" t="n"/>
      <c r="BE79" s="1771" t="n"/>
      <c r="BF79" s="1771" t="n"/>
      <c r="BG79" s="1771" t="n"/>
      <c r="BH79" s="1771" t="n"/>
      <c r="BI79" s="1771" t="n"/>
      <c r="BJ79" s="1771" t="n"/>
      <c r="BK79" s="1771" t="n"/>
      <c r="BL79" s="1771" t="n"/>
      <c r="BM79" s="1771" t="n"/>
      <c r="BN79" s="1771" t="n"/>
      <c r="BO79" s="1771" t="n"/>
      <c r="BP79" s="1771" t="n"/>
      <c r="BQ79" s="1782" t="n"/>
      <c r="BR79" s="2155">
        <f>'Fish and aqua'!D82</f>
        <v/>
      </c>
      <c r="BS79" s="4789" t="n"/>
      <c r="BT79" s="1782" t="n"/>
      <c r="BU79" s="1782" t="n"/>
      <c r="BV79" s="1782" t="n"/>
      <c r="BW79" s="1782">
        <f>'Fish and aqua'!G82</f>
        <v/>
      </c>
      <c r="BX79" s="4789" t="n"/>
      <c r="BY79" s="1782" t="n"/>
      <c r="BZ79" s="1782" t="n"/>
      <c r="CA79" s="1782" t="n"/>
      <c r="CB79" s="1782" t="n"/>
      <c r="CC79" s="1782" t="n"/>
      <c r="CD79" s="1782" t="n"/>
      <c r="CE79" s="1782" t="n"/>
      <c r="CF79" s="1782" t="n"/>
      <c r="CG79" s="1782" t="n"/>
      <c r="CH79" s="1782" t="n"/>
      <c r="CI79" s="1782" t="n"/>
      <c r="CJ79" s="1782" t="n"/>
      <c r="CK79" s="1782" t="n"/>
      <c r="CL79" s="1771" t="n"/>
      <c r="CM79" s="4401" t="n">
        <v>1</v>
      </c>
      <c r="CN79" s="4402" t="n"/>
      <c r="CO79" s="1997" t="n"/>
      <c r="CP79" s="1771" t="n"/>
      <c r="CQ79" s="1771" t="n"/>
      <c r="CR79" s="1771" t="n"/>
      <c r="CS79" s="1771" t="n"/>
      <c r="CT79" s="1771" t="n"/>
      <c r="CU79" s="1771" t="n"/>
      <c r="CV79" s="1771" t="n"/>
      <c r="CW79" s="1771" t="n"/>
      <c r="CX79" s="1771" t="n"/>
      <c r="CY79" s="1771" t="n"/>
    </row>
    <row r="80">
      <c r="A80" s="1771" t="n"/>
      <c r="B80" s="1781" t="n"/>
      <c r="C80" s="1781" t="n"/>
      <c r="D80" s="1781" t="n"/>
      <c r="E80" s="1781" t="n"/>
      <c r="F80" s="1781" t="n"/>
      <c r="G80" s="1781" t="n"/>
      <c r="H80" s="1781" t="n"/>
      <c r="I80" s="1781" t="n"/>
      <c r="J80" s="1781" t="n"/>
      <c r="K80" s="1781" t="n"/>
      <c r="L80" s="1781" t="n"/>
      <c r="M80" s="1781" t="n"/>
      <c r="N80" s="4218">
        <f>SUM('7.Coastal wetlands'!L65:L70)</f>
        <v/>
      </c>
      <c r="O80" s="1781" t="n"/>
      <c r="P80" s="4218">
        <f>SUM('7.Coastal wetlands'!N65:N70)</f>
        <v/>
      </c>
      <c r="Q80" s="1781" t="n"/>
      <c r="R80" s="4218">
        <f>SUM('7.Coastal wetlands'!P65:P70)</f>
        <v/>
      </c>
      <c r="S80" s="1781" t="n"/>
      <c r="T80" s="1781" t="n"/>
      <c r="U80" s="1781" t="n"/>
      <c r="V80" s="1781" t="n"/>
      <c r="W80" s="1781" t="n"/>
      <c r="X80" s="1781" t="n"/>
      <c r="Y80" s="1781" t="n"/>
      <c r="Z80" s="1781" t="n"/>
      <c r="AA80" s="1781" t="n"/>
      <c r="AB80" s="1781" t="n"/>
      <c r="AC80" s="1781" t="n"/>
      <c r="AD80" s="1781" t="n"/>
      <c r="AE80" s="1781" t="n"/>
      <c r="AF80" s="1781" t="n"/>
      <c r="AG80" s="1781" t="n"/>
      <c r="AH80" s="1781" t="n"/>
      <c r="AI80" s="1781" t="n"/>
      <c r="AJ80" s="1781" t="n"/>
      <c r="AK80" s="1771" t="n"/>
      <c r="AL80" s="1771" t="n"/>
      <c r="AM80" s="1771" t="n"/>
      <c r="AN80" s="1771" t="n"/>
      <c r="AO80" s="1771" t="n"/>
      <c r="AP80" s="1771" t="n"/>
      <c r="AQ80" s="1771" t="n"/>
      <c r="AR80" s="1771" t="n"/>
      <c r="AS80" s="1771" t="n"/>
      <c r="AT80" s="1771" t="n"/>
      <c r="AU80" s="1771" t="n"/>
      <c r="AV80" s="1771" t="n"/>
      <c r="AW80" s="1771" t="n"/>
      <c r="AX80" s="1771" t="n"/>
      <c r="AY80" s="1771" t="n"/>
      <c r="AZ80" s="1771" t="n"/>
      <c r="BA80" s="1771" t="n"/>
      <c r="BB80" s="1771" t="n"/>
      <c r="BC80" s="1771" t="n"/>
      <c r="BD80" s="1771" t="n"/>
      <c r="BE80" s="1771" t="n"/>
      <c r="BF80" s="1771" t="n"/>
      <c r="BG80" s="1771" t="n"/>
      <c r="BH80" s="1771" t="n"/>
      <c r="BI80" s="1771" t="n"/>
      <c r="BJ80" s="1771" t="n"/>
      <c r="BK80" s="1771" t="n"/>
      <c r="BL80" s="1771" t="n"/>
      <c r="BM80" s="1771" t="n"/>
      <c r="BN80" s="1771" t="n"/>
      <c r="BO80" s="1771" t="n"/>
      <c r="BP80" s="1771" t="n"/>
      <c r="BQ80" s="1782" t="n"/>
      <c r="BR80" s="1782" t="n"/>
      <c r="BS80" s="1782" t="n"/>
      <c r="BT80" s="1782" t="n"/>
      <c r="BU80" s="1782" t="n"/>
      <c r="BV80" s="1782" t="n"/>
      <c r="BW80" s="1782" t="n"/>
      <c r="BX80" s="1782" t="n"/>
      <c r="BY80" s="1782" t="n"/>
      <c r="BZ80" s="1782" t="n"/>
      <c r="CA80" s="1782" t="n"/>
      <c r="CB80" s="1782" t="n"/>
      <c r="CC80" s="1782" t="n"/>
      <c r="CD80" s="1782" t="n"/>
      <c r="CE80" s="1782" t="n"/>
      <c r="CF80" s="1782" t="n"/>
      <c r="CG80" s="1782" t="n"/>
      <c r="CH80" s="1782" t="n"/>
      <c r="CI80" s="1782" t="n"/>
      <c r="CJ80" s="1782" t="n"/>
      <c r="CK80" s="1782" t="n"/>
      <c r="CL80" s="1771" t="n"/>
      <c r="CM80" s="1997" t="n"/>
      <c r="CN80" s="1997" t="n"/>
      <c r="CO80" s="1997" t="n"/>
      <c r="CP80" s="1771" t="n"/>
      <c r="CQ80" s="1771" t="n"/>
      <c r="CR80" s="1771" t="n"/>
      <c r="CS80" s="1771" t="n"/>
      <c r="CT80" s="1771" t="n"/>
      <c r="CU80" s="1771" t="n"/>
      <c r="CV80" s="1771" t="n"/>
      <c r="CW80" s="1771" t="n"/>
      <c r="CX80" s="1771" t="n"/>
      <c r="CY80" s="1771" t="n"/>
    </row>
    <row r="81">
      <c r="A81" s="1771" t="n"/>
      <c r="B81" s="1781" t="n"/>
      <c r="C81" s="1781" t="n"/>
      <c r="D81" s="1781" t="n"/>
      <c r="E81" s="1781" t="n"/>
      <c r="F81" s="1781" t="n"/>
      <c r="G81" s="1781" t="n"/>
      <c r="H81" s="1781" t="n"/>
      <c r="I81" s="1781" t="n"/>
      <c r="J81" s="1781" t="n"/>
      <c r="K81" s="1781" t="n"/>
      <c r="L81" s="1781" t="n"/>
      <c r="M81" s="1781" t="n"/>
      <c r="N81" s="1781" t="n"/>
      <c r="O81" s="1781" t="n"/>
      <c r="P81" s="1781" t="n"/>
      <c r="Q81" s="1781" t="n"/>
      <c r="R81" s="1781" t="n"/>
      <c r="S81" s="1781" t="n"/>
      <c r="T81" s="1781" t="n"/>
      <c r="U81" s="1781" t="n"/>
      <c r="V81" s="1853" t="n"/>
      <c r="W81" s="1853" t="n"/>
      <c r="X81" s="1853" t="n"/>
      <c r="Y81" s="1853" t="n"/>
      <c r="Z81" s="1853" t="n"/>
      <c r="AA81" s="1853" t="n"/>
      <c r="AB81" s="2019">
        <f>Languages!B559</f>
        <v/>
      </c>
      <c r="AC81" s="2019" t="n"/>
      <c r="AD81" s="1853" t="n"/>
      <c r="AE81" s="2039">
        <f>SUM(AE74:AE79)</f>
        <v/>
      </c>
      <c r="AF81" s="2040" t="n"/>
      <c r="AG81" s="2039">
        <f>SUM(AG74:AG79)</f>
        <v/>
      </c>
      <c r="AH81" s="2040" t="n"/>
      <c r="AI81" s="2040">
        <f>SUM(AI74:AI79)</f>
        <v/>
      </c>
      <c r="AJ81" s="1781" t="n"/>
      <c r="AK81" s="1771" t="n"/>
      <c r="AL81" s="1771" t="n"/>
      <c r="AM81" s="1771" t="n"/>
      <c r="AN81" s="1771" t="n"/>
      <c r="AO81" s="1771" t="n"/>
      <c r="AP81" s="1771" t="n"/>
      <c r="AQ81" s="1771" t="n"/>
      <c r="AR81" s="1771" t="n"/>
      <c r="AS81" s="1771" t="n"/>
      <c r="AT81" s="1771" t="n"/>
      <c r="AU81" s="1771" t="n"/>
      <c r="AV81" s="1771" t="n"/>
      <c r="AW81" s="1771" t="n"/>
      <c r="AX81" s="1771" t="n"/>
      <c r="AY81" s="1771" t="n"/>
      <c r="AZ81" s="1771" t="n"/>
      <c r="BA81" s="1771" t="n"/>
      <c r="BB81" s="1771" t="n"/>
      <c r="BC81" s="1771" t="n"/>
      <c r="BD81" s="1771" t="n"/>
      <c r="BE81" s="1771" t="n"/>
      <c r="BF81" s="1771" t="n"/>
      <c r="BG81" s="1771" t="n"/>
      <c r="BH81" s="1771" t="n"/>
      <c r="BI81" s="1771" t="n"/>
      <c r="BJ81" s="1771" t="n"/>
      <c r="BK81" s="1771" t="n"/>
      <c r="BL81" s="1771" t="n"/>
      <c r="BM81" s="1771" t="n"/>
      <c r="BN81" s="1771" t="n"/>
      <c r="BO81" s="1771" t="n"/>
      <c r="BP81" s="1771" t="n"/>
      <c r="BQ81" s="1782" t="n"/>
      <c r="BR81" s="1782" t="n"/>
      <c r="BS81" s="1782" t="n"/>
      <c r="BT81" s="1782" t="n"/>
      <c r="BU81" s="1782" t="n"/>
      <c r="BV81" s="1782" t="n"/>
      <c r="BW81" s="1782" t="n"/>
      <c r="BX81" s="1782" t="n"/>
      <c r="BY81" s="1782" t="n"/>
      <c r="BZ81" s="1782" t="n"/>
      <c r="CA81" s="1782" t="n"/>
      <c r="CB81" s="1782" t="n"/>
      <c r="CC81" s="1782" t="n"/>
      <c r="CD81" s="1782" t="n"/>
      <c r="CE81" s="1782" t="n"/>
      <c r="CF81" s="1782" t="n"/>
      <c r="CG81" s="1782" t="n"/>
      <c r="CH81" s="1782" t="n"/>
      <c r="CI81" s="1782" t="n"/>
      <c r="CJ81" s="1782" t="n"/>
      <c r="CK81" s="1782" t="n"/>
      <c r="CL81" s="1771" t="n"/>
      <c r="CM81" s="4548" t="inlineStr">
        <is>
          <t>Use this part only if you want to refine yearly GHG fluxes</t>
        </is>
      </c>
      <c r="CP81" s="1771" t="n"/>
      <c r="CQ81" s="1771" t="n"/>
      <c r="CR81" s="1771" t="n"/>
      <c r="CS81" s="1771" t="n"/>
      <c r="CT81" s="1771" t="n"/>
      <c r="CU81" s="1771" t="n"/>
      <c r="CV81" s="1771" t="n"/>
      <c r="CW81" s="1771" t="n"/>
      <c r="CX81" s="1771" t="n"/>
      <c r="CY81" s="1771" t="n"/>
    </row>
    <row r="82">
      <c r="A82" s="1771" t="n"/>
      <c r="B82" s="1781" t="n"/>
      <c r="C82" s="1781" t="n"/>
      <c r="D82" s="1781" t="n"/>
      <c r="E82" s="1781" t="n"/>
      <c r="F82" s="1781" t="n"/>
      <c r="G82" s="1781" t="n"/>
      <c r="H82" s="1781" t="n"/>
      <c r="I82" s="1781" t="n"/>
      <c r="J82" s="1781" t="n"/>
      <c r="K82" s="1781" t="n"/>
      <c r="L82" s="1781" t="n"/>
      <c r="M82" s="1781" t="n"/>
      <c r="N82" s="1781" t="n"/>
      <c r="O82" s="1781" t="n"/>
      <c r="P82" s="1781" t="n"/>
      <c r="Q82" s="1781" t="n"/>
      <c r="R82" s="1781" t="n"/>
      <c r="S82" s="1781" t="n"/>
      <c r="T82" s="1781" t="n"/>
      <c r="U82" s="1781" t="n"/>
      <c r="V82" s="1781" t="n"/>
      <c r="W82" s="1781" t="n"/>
      <c r="X82" s="1781" t="n"/>
      <c r="Y82" s="1781" t="n"/>
      <c r="Z82" s="1781" t="n"/>
      <c r="AA82" s="1781" t="n"/>
      <c r="AB82" s="1781" t="n"/>
      <c r="AC82" s="1781" t="n"/>
      <c r="AD82" s="1781" t="n"/>
      <c r="AE82" s="1781" t="n"/>
      <c r="AF82" s="1781" t="n"/>
      <c r="AG82" s="1781" t="n"/>
      <c r="AH82" s="1781" t="n"/>
      <c r="AI82" s="1781" t="n"/>
      <c r="AJ82" s="1781" t="n"/>
      <c r="AK82" s="1771" t="n"/>
      <c r="AL82" s="1771" t="n"/>
      <c r="AM82" s="1771" t="n"/>
      <c r="AN82" s="1771" t="n"/>
      <c r="AO82" s="1771" t="n"/>
      <c r="AP82" s="1771" t="n"/>
      <c r="AQ82" s="1771" t="n"/>
      <c r="AR82" s="1771" t="n"/>
      <c r="AS82" s="1771" t="n"/>
      <c r="AT82" s="1771" t="n"/>
      <c r="AU82" s="1771" t="n"/>
      <c r="AV82" s="1771" t="n"/>
      <c r="AW82" s="1771" t="n"/>
      <c r="AX82" s="1771" t="n"/>
      <c r="AY82" s="1771" t="n"/>
      <c r="AZ82" s="1771" t="n"/>
      <c r="BA82" s="1771" t="n"/>
      <c r="BB82" s="1771" t="n"/>
      <c r="BC82" s="1771" t="n"/>
      <c r="BD82" s="1771" t="n"/>
      <c r="BE82" s="1771" t="n"/>
      <c r="BF82" s="1771" t="n"/>
      <c r="BG82" s="1771" t="n"/>
      <c r="BH82" s="1771" t="n"/>
      <c r="BI82" s="1771" t="n"/>
      <c r="BJ82" s="1771" t="n"/>
      <c r="BK82" s="1771" t="n"/>
      <c r="BL82" s="1771" t="n"/>
      <c r="BM82" s="1771" t="n"/>
      <c r="BN82" s="1771" t="n"/>
      <c r="BO82" s="1771" t="n"/>
      <c r="BP82" s="1771" t="n"/>
      <c r="BQ82" s="1782" t="n"/>
      <c r="BR82" s="1782">
        <f>BR27</f>
        <v/>
      </c>
      <c r="BS82" s="1782" t="n"/>
      <c r="BT82" s="1782" t="n"/>
      <c r="BU82" s="1782" t="n"/>
      <c r="BV82" s="1782" t="n"/>
      <c r="BW82" s="1782" t="n"/>
      <c r="BX82" s="1782" t="n"/>
      <c r="BY82" s="1782" t="n"/>
      <c r="BZ82" s="1782" t="n"/>
      <c r="CA82" s="1782" t="n"/>
      <c r="CB82" s="1782" t="n"/>
      <c r="CC82" s="1782" t="n"/>
      <c r="CD82" s="1782" t="n"/>
      <c r="CE82" s="1782" t="n"/>
      <c r="CF82" s="1782" t="n"/>
      <c r="CG82" s="1782" t="n"/>
      <c r="CH82" s="1782" t="n"/>
      <c r="CI82" s="1782" t="n"/>
      <c r="CJ82" s="1782" t="n"/>
      <c r="CK82" s="1782" t="n"/>
      <c r="CL82" s="1771" t="n"/>
      <c r="CP82" s="1771" t="n"/>
      <c r="CQ82" s="1771" t="n"/>
      <c r="CR82" s="1771" t="n"/>
      <c r="CS82" s="1771" t="n"/>
      <c r="CT82" s="1771" t="n"/>
      <c r="CU82" s="1771" t="n"/>
      <c r="CV82" s="1771" t="n"/>
      <c r="CW82" s="1771" t="n"/>
      <c r="CX82" s="1771" t="n"/>
      <c r="CY82" s="1771" t="n"/>
    </row>
    <row r="83">
      <c r="A83" s="1771" t="n"/>
      <c r="B83" s="1781" t="n"/>
      <c r="C83" s="1781">
        <f>C32</f>
        <v/>
      </c>
      <c r="D83" s="1781" t="n"/>
      <c r="E83" s="1781" t="n"/>
      <c r="F83" s="1781" t="n"/>
      <c r="G83" s="1781" t="n"/>
      <c r="H83" s="1781" t="n"/>
      <c r="I83" s="1781" t="n"/>
      <c r="J83" s="1781" t="n"/>
      <c r="K83" s="1781" t="n"/>
      <c r="L83" s="1781" t="n"/>
      <c r="M83" s="1781" t="n"/>
      <c r="N83" s="1781" t="n"/>
      <c r="O83" s="1781" t="n"/>
      <c r="P83" s="1781" t="n"/>
      <c r="Q83" s="1781" t="n"/>
      <c r="R83" s="1781" t="n"/>
      <c r="S83" s="1781" t="n"/>
      <c r="T83" s="1781" t="n"/>
      <c r="U83" s="1781" t="n"/>
      <c r="V83" s="1781" t="n"/>
      <c r="W83" s="1781" t="n"/>
      <c r="X83" s="1781" t="n"/>
      <c r="Y83" s="1781" t="n"/>
      <c r="Z83" s="1781" t="n"/>
      <c r="AA83" s="1781" t="n"/>
      <c r="AB83" s="1781" t="n"/>
      <c r="AC83" s="1781" t="n"/>
      <c r="AD83" s="1781" t="n"/>
      <c r="AE83" s="1781" t="n"/>
      <c r="AF83" s="1781" t="n"/>
      <c r="AG83" s="1781" t="n"/>
      <c r="AH83" s="1781" t="n"/>
      <c r="AI83" s="1781" t="n"/>
      <c r="AJ83" s="1781" t="n"/>
      <c r="AK83" s="1771" t="n"/>
      <c r="AL83" s="1771" t="n"/>
      <c r="AM83" s="1771" t="n"/>
      <c r="AN83" s="1771" t="n"/>
      <c r="AO83" s="1771" t="n"/>
      <c r="AP83" s="1771" t="n"/>
      <c r="AQ83" s="1771" t="n"/>
      <c r="AR83" s="1771" t="n"/>
      <c r="AS83" s="1771" t="n"/>
      <c r="AT83" s="1771" t="n"/>
      <c r="AU83" s="1771" t="n"/>
      <c r="AV83" s="1771" t="n"/>
      <c r="AW83" s="1771" t="n"/>
      <c r="AX83" s="1771" t="n"/>
      <c r="AY83" s="1771" t="n"/>
      <c r="AZ83" s="1771" t="n"/>
      <c r="BA83" s="1771" t="n"/>
      <c r="BB83" s="1771" t="n"/>
      <c r="BC83" s="1771" t="n"/>
      <c r="BD83" s="1771" t="n"/>
      <c r="BE83" s="1771" t="n"/>
      <c r="BF83" s="1771" t="n"/>
      <c r="BG83" s="1771" t="n"/>
      <c r="BH83" s="1771" t="n"/>
      <c r="BI83" s="1771" t="n"/>
      <c r="BJ83" s="1771" t="n"/>
      <c r="BK83" s="1771" t="n"/>
      <c r="BL83" s="1771" t="n"/>
      <c r="BM83" s="1771" t="n"/>
      <c r="BN83" s="1771" t="n"/>
      <c r="BO83" s="1771" t="n"/>
      <c r="BP83" s="1771" t="n"/>
      <c r="BQ83" s="1782" t="n"/>
      <c r="BR83" s="1782">
        <f>BR28</f>
        <v/>
      </c>
      <c r="BS83" s="1782" t="n"/>
      <c r="BT83" s="1782" t="n"/>
      <c r="BU83" s="1782" t="n"/>
      <c r="BV83" s="1782" t="n"/>
      <c r="BW83" s="1782" t="n"/>
      <c r="BX83" s="1782" t="n"/>
      <c r="BY83" s="1782" t="n"/>
      <c r="BZ83" s="1782" t="n"/>
      <c r="CA83" s="1782" t="n"/>
      <c r="CB83" s="1782" t="n"/>
      <c r="CC83" s="1782" t="n"/>
      <c r="CD83" s="1782" t="n"/>
      <c r="CE83" s="1782" t="n"/>
      <c r="CF83" s="1782" t="n"/>
      <c r="CG83" s="1782" t="n"/>
      <c r="CH83" s="1782" t="n"/>
      <c r="CI83" s="1782" t="n"/>
      <c r="CJ83" s="1782" t="n"/>
      <c r="CK83" s="1782" t="n"/>
      <c r="CL83" s="1771" t="n"/>
      <c r="CP83" s="1771" t="n"/>
      <c r="CQ83" s="1771" t="n"/>
      <c r="CR83" s="1771" t="n"/>
      <c r="CS83" s="1771" t="n"/>
      <c r="CT83" s="1771" t="n"/>
      <c r="CU83" s="1771" t="n"/>
      <c r="CV83" s="1771" t="n"/>
      <c r="CW83" s="1771" t="n"/>
      <c r="CX83" s="1771" t="n"/>
      <c r="CY83" s="1771" t="n"/>
    </row>
    <row r="84">
      <c r="A84" s="1771" t="n"/>
      <c r="B84" s="1781" t="n"/>
      <c r="C84" s="1781" t="n"/>
      <c r="D84" s="1781" t="n"/>
      <c r="E84" s="1781" t="n"/>
      <c r="F84" s="1781" t="n"/>
      <c r="G84" s="1781" t="n"/>
      <c r="H84" s="1781" t="n"/>
      <c r="I84" s="1781" t="n"/>
      <c r="J84" s="1781" t="n"/>
      <c r="K84" s="1781" t="n"/>
      <c r="L84" s="1781" t="n"/>
      <c r="M84" s="1781" t="n"/>
      <c r="N84" s="1781" t="n"/>
      <c r="O84" s="1781" t="n"/>
      <c r="P84" s="1781" t="n"/>
      <c r="Q84" s="1781" t="n"/>
      <c r="R84" s="1781" t="n"/>
      <c r="S84" s="1781" t="n"/>
      <c r="T84" s="1781" t="n"/>
      <c r="U84" s="1781" t="n"/>
      <c r="V84" s="1781" t="n"/>
      <c r="W84" s="1781" t="n"/>
      <c r="X84" s="1781" t="n"/>
      <c r="Y84" s="1781" t="n"/>
      <c r="Z84" s="1781" t="n"/>
      <c r="AA84" s="1781" t="n"/>
      <c r="AB84" s="1781" t="n"/>
      <c r="AC84" s="1781" t="n"/>
      <c r="AD84" s="1781" t="n"/>
      <c r="AE84" s="1781" t="n"/>
      <c r="AF84" s="1781" t="n"/>
      <c r="AG84" s="1781" t="n"/>
      <c r="AH84" s="1781" t="n"/>
      <c r="AI84" s="1781" t="n"/>
      <c r="AJ84" s="1781" t="n"/>
      <c r="AK84" s="1771" t="n"/>
      <c r="AL84" s="1771" t="n"/>
      <c r="AM84" s="1771" t="n"/>
      <c r="AN84" s="1771" t="n"/>
      <c r="AO84" s="1771" t="n"/>
      <c r="AP84" s="1771" t="n"/>
      <c r="AQ84" s="1771" t="n"/>
      <c r="AR84" s="1771" t="n"/>
      <c r="AS84" s="1771" t="n"/>
      <c r="AT84" s="1771" t="n"/>
      <c r="AU84" s="1771" t="n"/>
      <c r="AV84" s="1771" t="n"/>
      <c r="AW84" s="1771" t="n"/>
      <c r="AX84" s="1771" t="n"/>
      <c r="AY84" s="1771" t="n"/>
      <c r="AZ84" s="1771" t="n"/>
      <c r="BA84" s="1771" t="n"/>
      <c r="BB84" s="1771" t="n"/>
      <c r="BC84" s="1771" t="n"/>
      <c r="BD84" s="1771" t="n"/>
      <c r="BE84" s="1771" t="n"/>
      <c r="BF84" s="1771" t="n"/>
      <c r="BG84" s="1771" t="n"/>
      <c r="BH84" s="1771" t="n"/>
      <c r="BI84" s="1771" t="n"/>
      <c r="BJ84" s="1771" t="n"/>
      <c r="BK84" s="1771" t="n"/>
      <c r="BL84" s="1771" t="n"/>
      <c r="BM84" s="1771" t="n"/>
      <c r="BN84" s="1771" t="n"/>
      <c r="BO84" s="1771" t="n"/>
      <c r="BP84" s="1771" t="n"/>
      <c r="BQ84" s="1782" t="n"/>
      <c r="BR84" s="1782" t="n"/>
      <c r="BS84" s="1782" t="n"/>
      <c r="BT84" s="1782" t="n"/>
      <c r="BU84" s="1782" t="n"/>
      <c r="BV84" s="1782" t="n"/>
      <c r="BW84" s="1782" t="n"/>
      <c r="BX84" s="1782" t="n"/>
      <c r="BY84" s="1782" t="n"/>
      <c r="BZ84" s="1782" t="n"/>
      <c r="CA84" s="1782" t="n"/>
      <c r="CB84" s="1782" t="n"/>
      <c r="CC84" s="1782" t="n"/>
      <c r="CD84" s="1782" t="n"/>
      <c r="CE84" s="1782" t="n"/>
      <c r="CF84" s="1782" t="n"/>
      <c r="CG84" s="1782" t="n"/>
      <c r="CH84" s="1782" t="n"/>
      <c r="CI84" s="1782" t="n"/>
      <c r="CJ84" s="1782" t="n"/>
      <c r="CK84" s="1782" t="n"/>
      <c r="CL84" s="1771" t="n"/>
      <c r="CM84" s="1997" t="n"/>
      <c r="CN84" s="1997" t="n"/>
      <c r="CO84" s="1997" t="n"/>
      <c r="CP84" s="1771" t="n"/>
      <c r="CQ84" s="1771" t="n"/>
      <c r="CR84" s="1771" t="n"/>
      <c r="CS84" s="1771" t="n"/>
      <c r="CT84" s="1771" t="n"/>
      <c r="CU84" s="1771" t="n"/>
      <c r="CV84" s="1771" t="n"/>
      <c r="CW84" s="1771" t="n"/>
      <c r="CX84" s="1771" t="n"/>
      <c r="CY84" s="1771" t="n"/>
    </row>
    <row r="85">
      <c r="A85" s="1771" t="n"/>
      <c r="B85" s="1771" t="n"/>
      <c r="C85" s="1771" t="n"/>
      <c r="D85" s="1771" t="n"/>
      <c r="E85" s="1771" t="n"/>
      <c r="F85" s="1771" t="n"/>
      <c r="G85" s="1771" t="n"/>
      <c r="H85" s="1771" t="n"/>
      <c r="I85" s="1771" t="n"/>
      <c r="J85" s="1771" t="n"/>
      <c r="K85" s="1771" t="n"/>
      <c r="L85" s="1771" t="n"/>
      <c r="M85" s="1771" t="n"/>
      <c r="N85" s="1771" t="n"/>
      <c r="O85" s="1771" t="n"/>
      <c r="P85" s="1771" t="n"/>
      <c r="Q85" s="1771" t="n"/>
      <c r="R85" s="1771" t="n"/>
      <c r="S85" s="1771" t="n"/>
      <c r="T85" s="1771" t="n"/>
      <c r="U85" s="1771" t="n"/>
      <c r="V85" s="1771" t="n"/>
      <c r="W85" s="1771" t="n"/>
      <c r="X85" s="1771" t="n"/>
      <c r="Y85" s="1771" t="n"/>
      <c r="Z85" s="1771" t="n"/>
      <c r="AA85" s="1771" t="n"/>
      <c r="AB85" s="1771" t="n"/>
      <c r="AC85" s="1771" t="n"/>
      <c r="AD85" s="1771" t="n"/>
      <c r="AE85" s="1771" t="n"/>
      <c r="AF85" s="1771" t="n"/>
      <c r="AG85" s="1771" t="n"/>
      <c r="AH85" s="1771" t="n"/>
      <c r="AI85" s="1771" t="n"/>
      <c r="AJ85" s="1771" t="n"/>
      <c r="AK85" s="1771" t="n"/>
      <c r="AL85" s="1771" t="n"/>
      <c r="AM85" s="1771" t="n"/>
      <c r="AN85" s="1771" t="n"/>
      <c r="AO85" s="1771" t="n"/>
      <c r="AP85" s="1771" t="n"/>
      <c r="AQ85" s="1771" t="n"/>
      <c r="AR85" s="1771" t="n"/>
      <c r="AS85" s="1771" t="n"/>
      <c r="AT85" s="1771" t="n"/>
      <c r="AU85" s="1771" t="n"/>
      <c r="AV85" s="1771" t="n"/>
      <c r="AW85" s="1771" t="n"/>
      <c r="AX85" s="1771" t="n"/>
      <c r="AY85" s="1771" t="n"/>
      <c r="AZ85" s="1771" t="n"/>
      <c r="BA85" s="1771" t="n"/>
      <c r="BB85" s="1771" t="n"/>
      <c r="BC85" s="1771" t="n"/>
      <c r="BD85" s="1771" t="n"/>
      <c r="BE85" s="1771" t="n"/>
      <c r="BF85" s="1771" t="n"/>
      <c r="BG85" s="1771" t="n"/>
      <c r="BH85" s="1771" t="n"/>
      <c r="BI85" s="1771" t="n"/>
      <c r="BJ85" s="1771" t="n"/>
      <c r="BK85" s="1771" t="n"/>
      <c r="BL85" s="1771" t="n"/>
      <c r="BM85" s="1771" t="n"/>
      <c r="BN85" s="1771" t="n"/>
      <c r="BO85" s="1771" t="n"/>
      <c r="BP85" s="1771" t="n"/>
      <c r="BQ85" s="1771" t="n"/>
      <c r="BR85" s="1771" t="n"/>
      <c r="BS85" s="1771" t="n"/>
      <c r="BT85" s="1771" t="n"/>
      <c r="BU85" s="1771" t="n"/>
      <c r="BV85" s="1771" t="n"/>
      <c r="BW85" s="1771" t="n"/>
      <c r="BX85" s="1771" t="n"/>
      <c r="BY85" s="1771" t="n"/>
      <c r="BZ85" s="1771" t="n"/>
      <c r="CA85" s="1771" t="n"/>
      <c r="CB85" s="1771" t="n"/>
      <c r="CC85" s="1771" t="n"/>
      <c r="CD85" s="1771" t="n"/>
      <c r="CE85" s="1771" t="n"/>
      <c r="CF85" s="1771" t="n"/>
      <c r="CG85" s="1771" t="n"/>
      <c r="CH85" s="1771" t="n"/>
      <c r="CI85" s="1771" t="n"/>
      <c r="CJ85" s="1771" t="n"/>
      <c r="CK85" s="1771" t="n"/>
      <c r="CL85" s="1771" t="n"/>
      <c r="CM85" s="1771" t="n"/>
      <c r="CN85" s="1771" t="n"/>
      <c r="CO85" s="1771" t="n"/>
      <c r="CP85" s="1771" t="n"/>
      <c r="CQ85" s="1771" t="n"/>
      <c r="CR85" s="1771" t="n"/>
      <c r="CS85" s="1771" t="n"/>
      <c r="CT85" s="1771" t="n"/>
      <c r="CU85" s="1771" t="n"/>
      <c r="CV85" s="1771" t="n"/>
      <c r="CW85" s="1771" t="n"/>
      <c r="CX85" s="1771" t="n"/>
      <c r="CY85" s="1771" t="n"/>
    </row>
    <row r="86">
      <c r="A86" s="1771" t="n"/>
      <c r="B86" s="1771" t="n"/>
      <c r="C86" s="1771" t="n"/>
      <c r="D86" s="1771" t="n"/>
      <c r="E86" s="1771" t="n"/>
      <c r="F86" s="1771" t="n"/>
      <c r="G86" s="1771" t="n"/>
      <c r="H86" s="1771" t="n"/>
      <c r="I86" s="1771" t="n"/>
      <c r="J86" s="1771" t="n"/>
      <c r="K86" s="1771" t="n"/>
      <c r="L86" s="1771" t="n"/>
      <c r="M86" s="1771" t="n"/>
      <c r="N86" s="1771" t="n"/>
      <c r="O86" s="1771" t="n"/>
      <c r="P86" s="1771" t="n"/>
      <c r="Q86" s="1771" t="n"/>
      <c r="R86" s="1771" t="n"/>
      <c r="S86" s="1771" t="n"/>
      <c r="T86" s="1771" t="n"/>
      <c r="U86" s="1771" t="n"/>
      <c r="V86" s="1771" t="n"/>
      <c r="W86" s="1771" t="n"/>
      <c r="X86" s="1771" t="n"/>
      <c r="Y86" s="1771" t="n"/>
      <c r="Z86" s="1771" t="n"/>
      <c r="AA86" s="1771" t="n"/>
      <c r="AB86" s="1771" t="n"/>
      <c r="AC86" s="1771" t="n"/>
      <c r="AD86" s="1771" t="n"/>
      <c r="AE86" s="1771" t="n"/>
      <c r="AF86" s="1771" t="n"/>
      <c r="AG86" s="1771" t="n"/>
      <c r="AH86" s="1771" t="n"/>
      <c r="AI86" s="1771" t="n"/>
      <c r="AJ86" s="1771" t="n"/>
      <c r="AK86" s="1771" t="n"/>
      <c r="AL86" s="1771" t="n"/>
      <c r="AM86" s="1771" t="n"/>
      <c r="AN86" s="1771" t="n"/>
      <c r="AO86" s="1771" t="n"/>
      <c r="AP86" s="1771" t="n"/>
      <c r="AQ86" s="1771" t="n"/>
      <c r="AR86" s="1771" t="n"/>
      <c r="AS86" s="1771" t="n"/>
      <c r="AT86" s="1771" t="n"/>
      <c r="AU86" s="1771" t="n"/>
      <c r="AV86" s="1771" t="n"/>
      <c r="AW86" s="1771" t="n"/>
      <c r="AX86" s="1771" t="n"/>
      <c r="AY86" s="1771" t="n"/>
      <c r="AZ86" s="1771" t="n"/>
      <c r="BA86" s="1771" t="n"/>
      <c r="BB86" s="1771" t="n"/>
      <c r="BC86" s="1771" t="n"/>
      <c r="BD86" s="1771" t="n"/>
      <c r="BE86" s="1771" t="n"/>
      <c r="BF86" s="1771" t="n"/>
      <c r="BG86" s="1771" t="n"/>
      <c r="BH86" s="1771" t="n"/>
      <c r="BI86" s="1771" t="n"/>
      <c r="BJ86" s="1771" t="n"/>
      <c r="BK86" s="1771" t="n"/>
      <c r="BL86" s="1771" t="n"/>
      <c r="BM86" s="1771" t="n"/>
      <c r="BN86" s="1771" t="n"/>
      <c r="BO86" s="1771" t="n"/>
      <c r="BP86" s="1771" t="n"/>
      <c r="BQ86" s="1771" t="n"/>
      <c r="BR86" s="1771" t="n"/>
      <c r="BS86" s="1771" t="n"/>
      <c r="BT86" s="1771" t="n"/>
      <c r="BU86" s="1771" t="n"/>
      <c r="BV86" s="1771" t="n"/>
      <c r="BW86" s="1771" t="n"/>
      <c r="BX86" s="1771" t="n"/>
      <c r="BY86" s="1771" t="n"/>
      <c r="BZ86" s="1771" t="n"/>
      <c r="CA86" s="1771" t="n"/>
      <c r="CB86" s="1771" t="n"/>
      <c r="CC86" s="1771" t="n"/>
      <c r="CD86" s="1771" t="n"/>
      <c r="CE86" s="1771" t="n"/>
      <c r="CF86" s="1771" t="n"/>
      <c r="CG86" s="1771" t="n"/>
      <c r="CH86" s="1771" t="n"/>
      <c r="CI86" s="1771" t="n"/>
      <c r="CJ86" s="1771" t="n"/>
      <c r="CK86" s="1771" t="n"/>
      <c r="CL86" s="1771" t="n"/>
      <c r="CM86" s="1771" t="n"/>
      <c r="CN86" s="1771" t="n"/>
      <c r="CO86" s="1771" t="n"/>
      <c r="CP86" s="1771" t="n"/>
      <c r="CQ86" s="1771" t="n"/>
      <c r="CR86" s="1771" t="n"/>
      <c r="CS86" s="1771" t="n"/>
      <c r="CT86" s="1771" t="n"/>
      <c r="CU86" s="1771" t="n"/>
      <c r="CV86" s="1771" t="n"/>
      <c r="CW86" s="1771" t="n"/>
      <c r="CX86" s="1771" t="n"/>
      <c r="CY86" s="1771" t="n"/>
    </row>
    <row r="87">
      <c r="A87" s="1771" t="n"/>
      <c r="B87" s="1771" t="n"/>
      <c r="C87" s="1771" t="n"/>
      <c r="D87" s="1771" t="n"/>
      <c r="E87" s="1771" t="n"/>
      <c r="F87" s="1771" t="n"/>
      <c r="G87" s="1771" t="n"/>
      <c r="H87" s="1771" t="n"/>
      <c r="I87" s="1771" t="n"/>
      <c r="J87" s="1771" t="n"/>
      <c r="K87" s="1771" t="n"/>
      <c r="L87" s="1771" t="n"/>
      <c r="M87" s="1771" t="n"/>
      <c r="N87" s="1771" t="n"/>
      <c r="O87" s="1771" t="n"/>
      <c r="P87" s="1771" t="n"/>
      <c r="Q87" s="1771" t="n"/>
      <c r="R87" s="1771" t="n"/>
      <c r="S87" s="1771" t="n"/>
      <c r="T87" s="1771" t="n"/>
      <c r="U87" s="1771" t="n"/>
      <c r="V87" s="1771" t="n"/>
      <c r="W87" s="1771" t="n"/>
      <c r="X87" s="1771" t="n"/>
      <c r="Y87" s="1771" t="n"/>
      <c r="Z87" s="1771" t="n"/>
      <c r="AA87" s="1771" t="n"/>
      <c r="AB87" s="1771" t="n"/>
      <c r="AC87" s="1771" t="n"/>
      <c r="AD87" s="1771" t="n"/>
      <c r="AE87" s="1771" t="n"/>
      <c r="AF87" s="1771" t="n"/>
      <c r="AG87" s="1771" t="n"/>
      <c r="AH87" s="1771" t="n"/>
      <c r="AI87" s="1771" t="n"/>
      <c r="AJ87" s="1771" t="n"/>
      <c r="AK87" s="1771" t="n"/>
      <c r="AL87" s="1771" t="n"/>
      <c r="AM87" s="1771" t="n"/>
      <c r="AN87" s="1771" t="n"/>
      <c r="AO87" s="1771" t="n"/>
      <c r="AP87" s="1771" t="n"/>
      <c r="AQ87" s="1771" t="n"/>
      <c r="AR87" s="1771" t="n"/>
      <c r="AS87" s="1771" t="n"/>
      <c r="AT87" s="1771" t="n"/>
      <c r="AU87" s="1771" t="n"/>
      <c r="AV87" s="1771" t="n"/>
      <c r="AW87" s="1771" t="n"/>
      <c r="AX87" s="1771" t="n"/>
      <c r="AY87" s="1771" t="n"/>
      <c r="AZ87" s="1771" t="n"/>
      <c r="BA87" s="1771" t="n"/>
      <c r="BB87" s="1771" t="n"/>
      <c r="BC87" s="1771" t="n"/>
      <c r="BD87" s="1771" t="n"/>
      <c r="BE87" s="1771" t="n"/>
      <c r="BF87" s="1771" t="n"/>
      <c r="BG87" s="1771" t="n"/>
      <c r="BH87" s="1771" t="n"/>
      <c r="BI87" s="1771" t="n"/>
      <c r="BJ87" s="1771" t="n"/>
      <c r="BK87" s="1771" t="n"/>
      <c r="BL87" s="1771" t="n"/>
      <c r="BM87" s="1771" t="n"/>
      <c r="BN87" s="1771" t="n"/>
      <c r="BO87" s="1771" t="n"/>
      <c r="BP87" s="1771" t="n"/>
      <c r="BQ87" s="1771" t="n"/>
      <c r="BR87" s="1771" t="n"/>
      <c r="BS87" s="1771" t="n"/>
      <c r="BT87" s="1771" t="n"/>
      <c r="BU87" s="1771" t="n"/>
      <c r="BV87" s="1771" t="n"/>
      <c r="BW87" s="1771" t="n"/>
      <c r="BX87" s="1771" t="n"/>
      <c r="BY87" s="1771" t="n"/>
      <c r="BZ87" s="1771" t="n"/>
      <c r="CA87" s="1771" t="n"/>
      <c r="CB87" s="1771" t="n"/>
      <c r="CC87" s="1771" t="n"/>
      <c r="CD87" s="1771" t="n"/>
      <c r="CE87" s="1771" t="n"/>
      <c r="CF87" s="1771" t="n"/>
      <c r="CG87" s="1771" t="n"/>
      <c r="CH87" s="1771" t="n"/>
      <c r="CI87" s="1771" t="n"/>
      <c r="CJ87" s="1771" t="n"/>
      <c r="CK87" s="1771" t="n"/>
      <c r="CL87" s="1771" t="n"/>
      <c r="CM87" s="1771" t="n"/>
      <c r="CN87" s="1771" t="n"/>
      <c r="CO87" s="1771" t="n"/>
      <c r="CP87" s="1771" t="n"/>
      <c r="CQ87" s="1771" t="n"/>
      <c r="CR87" s="1771" t="n"/>
      <c r="CS87" s="1771" t="n"/>
      <c r="CT87" s="1771" t="n"/>
      <c r="CU87" s="1771" t="n"/>
      <c r="CV87" s="1771" t="n"/>
      <c r="CW87" s="1771" t="n"/>
      <c r="CX87" s="1771" t="n"/>
      <c r="CY87" s="1771" t="n"/>
    </row>
    <row r="88">
      <c r="A88" s="1771" t="n"/>
      <c r="B88" s="1771" t="n"/>
      <c r="C88" s="1771" t="n"/>
      <c r="D88" s="1771" t="n"/>
      <c r="E88" s="1771" t="n"/>
      <c r="F88" s="1771" t="n"/>
      <c r="G88" s="1771" t="n"/>
      <c r="H88" s="1771" t="n"/>
      <c r="I88" s="1771" t="n"/>
      <c r="J88" s="1771" t="n"/>
      <c r="K88" s="1771" t="n"/>
      <c r="L88" s="1771" t="n"/>
      <c r="M88" s="1771" t="n"/>
      <c r="N88" s="1771" t="n"/>
      <c r="O88" s="1771" t="n"/>
      <c r="P88" s="1771" t="n"/>
      <c r="Q88" s="1771" t="n"/>
      <c r="R88" s="1771" t="n"/>
      <c r="S88" s="1771" t="n"/>
      <c r="T88" s="1771" t="n"/>
      <c r="U88" s="1771" t="n"/>
      <c r="V88" s="1771" t="n"/>
      <c r="W88" s="1771" t="n"/>
      <c r="X88" s="1771" t="n"/>
      <c r="Y88" s="1771" t="n"/>
      <c r="Z88" s="1771" t="n"/>
      <c r="AA88" s="1771" t="n"/>
      <c r="AB88" s="1771" t="n"/>
      <c r="AC88" s="1771" t="n"/>
      <c r="AD88" s="1771" t="n"/>
      <c r="AE88" s="1771" t="n"/>
      <c r="AF88" s="1771" t="n"/>
      <c r="AG88" s="1771" t="n"/>
      <c r="AH88" s="1771" t="n"/>
      <c r="AI88" s="1771" t="n"/>
      <c r="AJ88" s="1771" t="n"/>
      <c r="AK88" s="1771" t="n"/>
      <c r="AL88" s="1771" t="n"/>
      <c r="AM88" s="1771" t="n"/>
      <c r="AN88" s="1771" t="n"/>
      <c r="AO88" s="1771" t="n"/>
      <c r="AP88" s="1771" t="n"/>
      <c r="AQ88" s="1771" t="n"/>
      <c r="AR88" s="1771" t="n"/>
      <c r="AS88" s="1771" t="n"/>
      <c r="AT88" s="1771" t="n"/>
      <c r="AU88" s="1771" t="n"/>
      <c r="AV88" s="1771" t="n"/>
      <c r="AW88" s="1771" t="n"/>
      <c r="AX88" s="1771" t="n"/>
      <c r="AY88" s="1771" t="n"/>
      <c r="AZ88" s="1771" t="n"/>
      <c r="BA88" s="1771" t="n"/>
      <c r="BB88" s="1771" t="n"/>
      <c r="BC88" s="1771" t="n"/>
      <c r="BD88" s="1771" t="n"/>
      <c r="BE88" s="1771" t="n"/>
      <c r="BF88" s="1771" t="n"/>
      <c r="BG88" s="1771" t="n"/>
      <c r="BH88" s="1771" t="n"/>
      <c r="BI88" s="1771" t="n"/>
      <c r="BJ88" s="1771" t="n"/>
      <c r="BK88" s="1771" t="n"/>
      <c r="BL88" s="1771" t="n"/>
      <c r="BM88" s="1771" t="n"/>
      <c r="BN88" s="1771" t="n"/>
      <c r="BO88" s="1771" t="n"/>
      <c r="BP88" s="1771" t="n"/>
      <c r="BQ88" s="1771" t="n"/>
      <c r="BR88" s="1771" t="n"/>
      <c r="BS88" s="1771" t="n"/>
      <c r="BT88" s="1771" t="n"/>
      <c r="BU88" s="1771" t="n"/>
      <c r="BV88" s="1771" t="n"/>
      <c r="BW88" s="1771" t="n"/>
      <c r="BX88" s="1771" t="n"/>
      <c r="BY88" s="1771" t="n"/>
      <c r="BZ88" s="1771" t="n"/>
      <c r="CA88" s="1771" t="n"/>
      <c r="CB88" s="1771" t="n"/>
      <c r="CC88" s="1771" t="n"/>
      <c r="CD88" s="1771" t="n"/>
      <c r="CE88" s="1771" t="n"/>
      <c r="CF88" s="1771" t="n"/>
      <c r="CG88" s="1771" t="n"/>
      <c r="CH88" s="1771" t="n"/>
      <c r="CI88" s="1771" t="n"/>
      <c r="CJ88" s="1771" t="n"/>
      <c r="CK88" s="1771" t="n"/>
      <c r="CL88" s="1771" t="n"/>
      <c r="CM88" s="1771" t="n"/>
      <c r="CN88" s="1771" t="n"/>
      <c r="CO88" s="1771" t="n"/>
      <c r="CP88" s="1771" t="n"/>
      <c r="CQ88" s="1771" t="n"/>
      <c r="CR88" s="1771" t="n"/>
      <c r="CS88" s="1771" t="n"/>
      <c r="CT88" s="1771" t="n"/>
      <c r="CU88" s="1771" t="n"/>
      <c r="CV88" s="1771" t="n"/>
      <c r="CW88" s="1771" t="n"/>
      <c r="CX88" s="1771" t="n"/>
      <c r="CY88" s="1771" t="n"/>
    </row>
    <row r="89">
      <c r="A89" s="1771" t="n"/>
      <c r="B89" s="1771" t="n"/>
      <c r="C89" s="1771" t="n"/>
      <c r="D89" s="1771" t="n"/>
      <c r="E89" s="1771" t="n"/>
      <c r="F89" s="1771" t="n"/>
      <c r="G89" s="1771" t="n"/>
      <c r="H89" s="1771" t="n"/>
      <c r="I89" s="1771" t="n"/>
      <c r="J89" s="1771" t="n"/>
      <c r="K89" s="1771" t="n"/>
      <c r="L89" s="1771" t="n"/>
      <c r="M89" s="1771" t="n"/>
      <c r="N89" s="1771" t="n"/>
      <c r="O89" s="1771" t="n"/>
      <c r="P89" s="1771" t="n"/>
      <c r="Q89" s="1771" t="n"/>
      <c r="R89" s="1771" t="n"/>
      <c r="S89" s="1771" t="n"/>
      <c r="T89" s="1771" t="n"/>
      <c r="U89" s="1771" t="n"/>
      <c r="V89" s="1771" t="n"/>
      <c r="W89" s="1771" t="n"/>
      <c r="X89" s="1771" t="n"/>
      <c r="Y89" s="1771" t="n"/>
      <c r="Z89" s="1771" t="n"/>
      <c r="AA89" s="1771" t="n"/>
      <c r="AB89" s="1771" t="n"/>
      <c r="AC89" s="1771" t="n"/>
      <c r="AD89" s="1771" t="n"/>
      <c r="AE89" s="1771" t="n"/>
      <c r="AF89" s="1771" t="n"/>
      <c r="AG89" s="1771" t="n"/>
      <c r="AH89" s="1771" t="n"/>
      <c r="AI89" s="1771" t="n"/>
      <c r="AJ89" s="1771" t="n"/>
      <c r="AK89" s="1771" t="n"/>
      <c r="AL89" s="1771" t="n"/>
      <c r="AM89" s="1771" t="n"/>
      <c r="AN89" s="1771" t="n"/>
      <c r="AO89" s="1771" t="n"/>
      <c r="AP89" s="1771" t="n"/>
      <c r="AQ89" s="1771" t="n"/>
      <c r="AR89" s="1771" t="n"/>
      <c r="AS89" s="1771" t="n"/>
      <c r="AT89" s="1771" t="n"/>
      <c r="AU89" s="1771" t="n"/>
      <c r="AV89" s="1771" t="n"/>
      <c r="AW89" s="1771" t="n"/>
      <c r="AX89" s="1771" t="n"/>
      <c r="AY89" s="1771" t="n"/>
      <c r="AZ89" s="1771" t="n"/>
      <c r="BA89" s="1771" t="n"/>
      <c r="BB89" s="1771" t="n"/>
      <c r="BC89" s="1771" t="n"/>
      <c r="BD89" s="1771" t="n"/>
      <c r="BE89" s="1771" t="n"/>
      <c r="BF89" s="1771" t="n"/>
      <c r="BG89" s="1771" t="n"/>
      <c r="BH89" s="1771" t="n"/>
      <c r="BI89" s="1771" t="n"/>
      <c r="BJ89" s="1771" t="n"/>
      <c r="BK89" s="1771" t="n"/>
      <c r="BL89" s="1771" t="n"/>
      <c r="BM89" s="1771" t="n"/>
      <c r="BN89" s="1771" t="n"/>
      <c r="BO89" s="1771" t="n"/>
      <c r="BP89" s="1771" t="n"/>
      <c r="BQ89" s="1771" t="n"/>
      <c r="BR89" s="1771" t="n"/>
      <c r="BS89" s="1771" t="n"/>
      <c r="BT89" s="1771" t="n"/>
      <c r="BU89" s="1771" t="n"/>
      <c r="BV89" s="1771" t="n"/>
      <c r="BW89" s="1771" t="n"/>
      <c r="BX89" s="1771" t="n"/>
      <c r="BY89" s="1771" t="n"/>
      <c r="BZ89" s="1771" t="n"/>
      <c r="CA89" s="1771" t="n"/>
      <c r="CB89" s="1771" t="n"/>
      <c r="CC89" s="1771" t="n"/>
      <c r="CD89" s="1771" t="n"/>
      <c r="CE89" s="1771" t="n"/>
      <c r="CF89" s="1771" t="n"/>
      <c r="CG89" s="1771" t="n"/>
      <c r="CH89" s="1771" t="n"/>
      <c r="CI89" s="1771" t="n"/>
      <c r="CJ89" s="1771" t="n"/>
      <c r="CK89" s="1771" t="n"/>
      <c r="CL89" s="1771" t="n"/>
      <c r="CM89" s="1771" t="n"/>
      <c r="CN89" s="1771" t="n"/>
      <c r="CO89" s="1771" t="n"/>
      <c r="CP89" s="1771" t="n"/>
      <c r="CQ89" s="1771" t="n"/>
      <c r="CR89" s="1771" t="n"/>
      <c r="CS89" s="1771" t="n"/>
      <c r="CT89" s="1771" t="n"/>
      <c r="CU89" s="1771" t="n"/>
      <c r="CV89" s="1771" t="n"/>
      <c r="CW89" s="1771" t="n"/>
      <c r="CX89" s="1771" t="n"/>
      <c r="CY89" s="1771" t="n"/>
    </row>
    <row r="90">
      <c r="A90" s="1771" t="n"/>
      <c r="B90" s="1771" t="n"/>
      <c r="C90" s="1771" t="n"/>
      <c r="D90" s="1771" t="n"/>
      <c r="E90" s="1771" t="n"/>
      <c r="F90" s="1771" t="n"/>
      <c r="G90" s="1771" t="n"/>
      <c r="H90" s="1771" t="n"/>
      <c r="I90" s="1771" t="n"/>
      <c r="J90" s="1771" t="n"/>
      <c r="K90" s="1771" t="n"/>
      <c r="L90" s="1771" t="n"/>
      <c r="M90" s="1771" t="n"/>
      <c r="N90" s="1771" t="n"/>
      <c r="O90" s="1771" t="n"/>
      <c r="P90" s="1771" t="n"/>
      <c r="Q90" s="1771" t="n"/>
      <c r="R90" s="1771" t="n"/>
      <c r="S90" s="1771" t="n"/>
      <c r="T90" s="1771" t="n"/>
      <c r="U90" s="1771" t="n"/>
      <c r="V90" s="1771" t="n"/>
      <c r="W90" s="1771" t="n"/>
      <c r="X90" s="1771" t="n"/>
      <c r="Y90" s="1771" t="n"/>
      <c r="Z90" s="1771" t="n"/>
      <c r="AA90" s="1771" t="n"/>
      <c r="AB90" s="1771" t="n"/>
      <c r="AC90" s="1771" t="n"/>
      <c r="AD90" s="1771" t="n"/>
      <c r="AE90" s="1771" t="n"/>
      <c r="AF90" s="1771" t="n"/>
      <c r="AG90" s="1771" t="n"/>
      <c r="AH90" s="1771" t="n"/>
      <c r="AI90" s="1771" t="n"/>
      <c r="AJ90" s="1771" t="n"/>
      <c r="AK90" s="1771" t="n"/>
      <c r="AL90" s="1771" t="n"/>
      <c r="AM90" s="1771" t="n"/>
      <c r="AN90" s="1771" t="n"/>
      <c r="AO90" s="1771" t="n"/>
      <c r="AP90" s="1771" t="n"/>
      <c r="AQ90" s="1771" t="n"/>
      <c r="AR90" s="1771" t="n"/>
      <c r="AS90" s="1771" t="n"/>
      <c r="AT90" s="1771" t="n"/>
      <c r="AU90" s="1771" t="n"/>
      <c r="AV90" s="1771" t="n"/>
      <c r="AW90" s="1771" t="n"/>
      <c r="AX90" s="1771" t="n"/>
      <c r="AY90" s="1771" t="n"/>
      <c r="AZ90" s="1771" t="n"/>
      <c r="BA90" s="1771" t="n"/>
      <c r="BB90" s="1771" t="n"/>
      <c r="BC90" s="1771" t="n"/>
      <c r="BD90" s="1771" t="n"/>
      <c r="BE90" s="1771" t="n"/>
      <c r="BF90" s="1771" t="n"/>
      <c r="BG90" s="1771" t="n"/>
      <c r="BH90" s="1771" t="n"/>
      <c r="BI90" s="1771" t="n"/>
      <c r="BJ90" s="1771" t="n"/>
      <c r="BK90" s="1771" t="n"/>
      <c r="BL90" s="1771" t="n"/>
      <c r="BM90" s="1771" t="n"/>
      <c r="BN90" s="1771" t="n"/>
      <c r="BO90" s="1771" t="n"/>
      <c r="BP90" s="1771" t="n"/>
      <c r="BQ90" s="1771" t="n"/>
      <c r="BR90" s="1771" t="n"/>
      <c r="BS90" s="1771" t="n"/>
      <c r="BT90" s="1771" t="n"/>
      <c r="BU90" s="1771" t="n"/>
      <c r="BV90" s="1771" t="n"/>
      <c r="BW90" s="1771" t="n"/>
      <c r="BX90" s="1771" t="n"/>
      <c r="BY90" s="1771" t="n"/>
      <c r="BZ90" s="1771" t="n"/>
      <c r="CA90" s="1771" t="n"/>
      <c r="CB90" s="1771" t="n"/>
      <c r="CC90" s="1771" t="n"/>
      <c r="CD90" s="1771" t="n"/>
      <c r="CE90" s="1771" t="n"/>
      <c r="CF90" s="1771" t="n"/>
      <c r="CG90" s="1771" t="n"/>
      <c r="CH90" s="1771" t="n"/>
      <c r="CI90" s="1771" t="n"/>
      <c r="CJ90" s="1771" t="n"/>
      <c r="CK90" s="1771" t="n"/>
      <c r="CL90" s="1771" t="n"/>
      <c r="CM90" s="1771" t="n"/>
      <c r="CN90" s="1771" t="n"/>
      <c r="CO90" s="1771" t="n"/>
      <c r="CP90" s="1771" t="n"/>
      <c r="CQ90" s="1771" t="n"/>
      <c r="CR90" s="1771" t="n"/>
      <c r="CS90" s="1771" t="n"/>
      <c r="CT90" s="1771" t="n"/>
      <c r="CU90" s="1771" t="n"/>
      <c r="CV90" s="1771" t="n"/>
      <c r="CW90" s="1771" t="n"/>
      <c r="CX90" s="1771" t="n"/>
      <c r="CY90" s="1771" t="n"/>
    </row>
    <row r="91">
      <c r="A91" s="1771" t="n"/>
      <c r="B91" s="1771" t="n"/>
      <c r="C91" s="1771" t="n"/>
      <c r="D91" s="1771" t="n"/>
      <c r="E91" s="1771" t="n"/>
      <c r="F91" s="1771" t="n"/>
      <c r="G91" s="1771" t="n"/>
      <c r="H91" s="1771" t="n"/>
      <c r="I91" s="1771" t="n"/>
      <c r="J91" s="1771" t="n"/>
      <c r="K91" s="1771" t="n"/>
      <c r="L91" s="1771" t="n"/>
      <c r="M91" s="1771" t="n"/>
      <c r="N91" s="1771" t="n"/>
      <c r="O91" s="1771" t="n"/>
      <c r="P91" s="1771" t="n"/>
      <c r="Q91" s="1771" t="n"/>
      <c r="R91" s="1771" t="n"/>
      <c r="S91" s="1771" t="n"/>
      <c r="T91" s="1771" t="n"/>
      <c r="U91" s="1771" t="n"/>
      <c r="V91" s="1771" t="n"/>
      <c r="W91" s="1771" t="n"/>
      <c r="X91" s="1771" t="n"/>
      <c r="Y91" s="1771" t="n"/>
      <c r="Z91" s="1771" t="n"/>
      <c r="AA91" s="1771" t="n"/>
      <c r="AB91" s="1771" t="n"/>
      <c r="AC91" s="1771" t="n"/>
      <c r="AD91" s="1771" t="n"/>
      <c r="AE91" s="1771" t="n"/>
      <c r="AF91" s="1771" t="n"/>
      <c r="AG91" s="1771" t="n"/>
      <c r="AH91" s="1771" t="n"/>
      <c r="AI91" s="1771" t="n"/>
      <c r="AJ91" s="1771" t="n"/>
      <c r="AK91" s="1771" t="n"/>
      <c r="AL91" s="1771" t="n"/>
      <c r="AM91" s="1771" t="n"/>
      <c r="AN91" s="1771" t="n"/>
      <c r="AO91" s="1771" t="n"/>
      <c r="AP91" s="1771" t="n"/>
      <c r="AQ91" s="1771" t="n"/>
      <c r="AR91" s="1771" t="n"/>
      <c r="AS91" s="1771" t="n"/>
      <c r="AT91" s="1771" t="n"/>
      <c r="AU91" s="1771" t="n"/>
      <c r="AV91" s="1771" t="n"/>
      <c r="AW91" s="1771" t="n"/>
      <c r="AX91" s="1771" t="n"/>
      <c r="AY91" s="1771" t="n"/>
      <c r="AZ91" s="1771" t="n"/>
      <c r="BA91" s="1771" t="n"/>
      <c r="BB91" s="1771" t="n"/>
      <c r="BC91" s="1771" t="n"/>
      <c r="BD91" s="1771" t="n"/>
      <c r="BE91" s="1771" t="n"/>
      <c r="BF91" s="1771" t="n"/>
      <c r="BG91" s="1771" t="n"/>
      <c r="BH91" s="1771" t="n"/>
      <c r="BI91" s="1771" t="n"/>
      <c r="BJ91" s="1771" t="n"/>
      <c r="BK91" s="1771" t="n"/>
      <c r="BL91" s="1771" t="n"/>
      <c r="BM91" s="1771" t="n"/>
      <c r="BN91" s="1771" t="n"/>
      <c r="BO91" s="1771" t="n"/>
      <c r="BP91" s="1771" t="n"/>
      <c r="BQ91" s="1771" t="n"/>
      <c r="BR91" s="1771" t="n"/>
      <c r="BS91" s="1771" t="n"/>
      <c r="BT91" s="1771" t="n"/>
      <c r="BU91" s="1771" t="n"/>
      <c r="BV91" s="1771" t="n"/>
      <c r="BW91" s="1771" t="n"/>
      <c r="BX91" s="1771" t="n"/>
      <c r="BY91" s="1771" t="n"/>
      <c r="BZ91" s="1771" t="n"/>
      <c r="CA91" s="1771" t="n"/>
      <c r="CB91" s="1771" t="n"/>
      <c r="CC91" s="1771" t="n"/>
      <c r="CD91" s="1771" t="n"/>
      <c r="CE91" s="1771" t="n"/>
      <c r="CF91" s="1771" t="n"/>
      <c r="CG91" s="1771" t="n"/>
      <c r="CH91" s="1771" t="n"/>
      <c r="CI91" s="1771" t="n"/>
      <c r="CJ91" s="1771" t="n"/>
      <c r="CK91" s="1771" t="n"/>
      <c r="CL91" s="1771" t="n"/>
      <c r="CM91" s="1771" t="n"/>
      <c r="CN91" s="1771" t="n"/>
      <c r="CO91" s="1771" t="n"/>
      <c r="CP91" s="1771" t="n"/>
      <c r="CQ91" s="1771" t="n"/>
      <c r="CR91" s="1771" t="n"/>
      <c r="CS91" s="1771" t="n"/>
      <c r="CT91" s="1771" t="n"/>
      <c r="CU91" s="1771" t="n"/>
      <c r="CV91" s="1771" t="n"/>
      <c r="CW91" s="1771" t="n"/>
      <c r="CX91" s="1771" t="n"/>
      <c r="CY91" s="1771" t="n"/>
    </row>
    <row r="92">
      <c r="A92" s="1771" t="n"/>
      <c r="B92" s="1771" t="n"/>
      <c r="C92" s="1771" t="n"/>
      <c r="D92" s="1771" t="n"/>
      <c r="E92" s="1771" t="n"/>
      <c r="F92" s="1771" t="n"/>
      <c r="G92" s="1771" t="n"/>
      <c r="H92" s="1771" t="n"/>
      <c r="I92" s="1771" t="n"/>
      <c r="J92" s="1771" t="n"/>
      <c r="K92" s="1771" t="n"/>
      <c r="L92" s="1771" t="n"/>
      <c r="M92" s="1771" t="n"/>
      <c r="N92" s="1771" t="n"/>
      <c r="O92" s="1771" t="n"/>
      <c r="P92" s="1771" t="n"/>
      <c r="Q92" s="1771" t="n"/>
      <c r="R92" s="1771" t="n"/>
      <c r="S92" s="1771" t="n"/>
      <c r="T92" s="1771" t="n"/>
      <c r="U92" s="1771" t="n"/>
      <c r="V92" s="1771" t="n"/>
      <c r="W92" s="1771" t="n"/>
      <c r="X92" s="1771" t="n"/>
      <c r="Y92" s="1771" t="n"/>
      <c r="Z92" s="1771" t="n"/>
      <c r="AA92" s="1771" t="n"/>
      <c r="AB92" s="1771" t="n"/>
      <c r="AC92" s="1771" t="n"/>
      <c r="AD92" s="1771" t="n"/>
      <c r="AE92" s="1771" t="n"/>
      <c r="AF92" s="1771" t="n"/>
      <c r="AG92" s="1771" t="n"/>
      <c r="AH92" s="1771" t="n"/>
      <c r="AI92" s="1771" t="n"/>
      <c r="AJ92" s="1771" t="n"/>
      <c r="AK92" s="1771" t="n"/>
      <c r="AL92" s="1771" t="n"/>
      <c r="AM92" s="1771" t="n"/>
      <c r="AN92" s="1771" t="n"/>
      <c r="AO92" s="1771" t="n"/>
      <c r="AP92" s="1771" t="n"/>
      <c r="AQ92" s="1771" t="n"/>
      <c r="AR92" s="1771" t="n"/>
      <c r="AS92" s="1771" t="n"/>
      <c r="AT92" s="1771" t="n"/>
      <c r="AU92" s="1771" t="n"/>
      <c r="AV92" s="1771" t="n"/>
      <c r="AW92" s="1771" t="n"/>
      <c r="AX92" s="1771" t="n"/>
      <c r="AY92" s="1771" t="n"/>
      <c r="AZ92" s="1771" t="n"/>
      <c r="BA92" s="1771" t="n"/>
      <c r="BB92" s="1771" t="n"/>
      <c r="BC92" s="1771" t="n"/>
      <c r="BD92" s="1771" t="n"/>
      <c r="BE92" s="1771" t="n"/>
      <c r="BF92" s="1771" t="n"/>
      <c r="BG92" s="1771" t="n"/>
      <c r="BH92" s="1771" t="n"/>
      <c r="BI92" s="1771" t="n"/>
      <c r="BJ92" s="1771" t="n"/>
      <c r="BK92" s="1771" t="n"/>
      <c r="BL92" s="1771" t="n"/>
      <c r="BM92" s="1771" t="n"/>
      <c r="BN92" s="1771" t="n"/>
      <c r="BO92" s="1771" t="n"/>
      <c r="BP92" s="1771" t="n"/>
      <c r="BQ92" s="1771" t="n"/>
      <c r="BR92" s="1771" t="n"/>
      <c r="BS92" s="1771" t="n"/>
      <c r="BT92" s="1771" t="n"/>
      <c r="BU92" s="1771" t="n"/>
      <c r="BV92" s="1771" t="n"/>
      <c r="BW92" s="1771" t="n"/>
      <c r="BX92" s="1771" t="n"/>
      <c r="BY92" s="1771" t="n"/>
      <c r="BZ92" s="1771" t="n"/>
      <c r="CA92" s="1771" t="n"/>
      <c r="CB92" s="1771" t="n"/>
      <c r="CC92" s="1771" t="n"/>
      <c r="CD92" s="1771" t="n"/>
      <c r="CE92" s="1771" t="n"/>
      <c r="CF92" s="1771" t="n"/>
      <c r="CG92" s="1771" t="n"/>
      <c r="CH92" s="1771" t="n"/>
      <c r="CI92" s="1771" t="n"/>
      <c r="CJ92" s="1771" t="n"/>
      <c r="CK92" s="1771" t="n"/>
      <c r="CL92" s="1771" t="n"/>
      <c r="CM92" s="1771" t="n"/>
      <c r="CN92" s="1771" t="n"/>
      <c r="CO92" s="1771" t="n"/>
      <c r="CP92" s="1771" t="n"/>
      <c r="CQ92" s="1771" t="n"/>
      <c r="CR92" s="1771" t="n"/>
      <c r="CS92" s="1771" t="n"/>
      <c r="CT92" s="1771" t="n"/>
      <c r="CU92" s="1771" t="n"/>
      <c r="CV92" s="1771" t="n"/>
      <c r="CW92" s="1771" t="n"/>
      <c r="CX92" s="1771" t="n"/>
      <c r="CY92" s="1771" t="n"/>
    </row>
    <row r="93">
      <c r="A93" s="1771" t="n"/>
      <c r="B93" s="1771" t="n"/>
      <c r="C93" s="1771" t="n"/>
      <c r="D93" s="1771" t="n"/>
      <c r="E93" s="1771" t="n"/>
      <c r="F93" s="1771" t="n"/>
      <c r="G93" s="1771" t="n"/>
      <c r="H93" s="1771" t="n"/>
      <c r="I93" s="1771" t="n"/>
      <c r="J93" s="1771" t="n"/>
      <c r="K93" s="1771" t="n"/>
      <c r="L93" s="1771" t="n"/>
      <c r="M93" s="1771" t="n"/>
      <c r="N93" s="1771" t="n"/>
      <c r="O93" s="1771" t="n"/>
      <c r="P93" s="1771" t="n"/>
      <c r="Q93" s="1771" t="n"/>
      <c r="R93" s="1771" t="n"/>
      <c r="S93" s="1771" t="n"/>
      <c r="T93" s="1771" t="n"/>
      <c r="U93" s="1771" t="n"/>
      <c r="V93" s="1771" t="n"/>
      <c r="W93" s="1771" t="n"/>
      <c r="X93" s="1771" t="n"/>
      <c r="Y93" s="1771" t="n"/>
      <c r="Z93" s="1771" t="n"/>
      <c r="AA93" s="1771" t="n"/>
      <c r="AB93" s="1771" t="n"/>
      <c r="AC93" s="1771" t="n"/>
      <c r="AD93" s="1771" t="n"/>
      <c r="AE93" s="1771" t="n"/>
      <c r="AF93" s="1771" t="n"/>
      <c r="AG93" s="1771" t="n"/>
      <c r="AH93" s="1771" t="n"/>
      <c r="AI93" s="1771" t="n"/>
      <c r="AJ93" s="1771" t="n"/>
      <c r="AK93" s="1771" t="n"/>
      <c r="AL93" s="1771" t="n"/>
      <c r="AM93" s="1771" t="n"/>
      <c r="AN93" s="1771" t="n"/>
      <c r="AO93" s="1771" t="n"/>
      <c r="AP93" s="1771" t="n"/>
      <c r="AQ93" s="1771" t="n"/>
      <c r="AR93" s="1771" t="n"/>
      <c r="AS93" s="1771" t="n"/>
      <c r="AT93" s="1771" t="n"/>
      <c r="AU93" s="1771" t="n"/>
      <c r="AV93" s="1771" t="n"/>
      <c r="AW93" s="1771" t="n"/>
      <c r="AX93" s="1771" t="n"/>
      <c r="AY93" s="1771" t="n"/>
      <c r="AZ93" s="1771" t="n"/>
      <c r="BA93" s="1771" t="n"/>
      <c r="BB93" s="1771" t="n"/>
      <c r="BC93" s="1771" t="n"/>
      <c r="BD93" s="1771" t="n"/>
      <c r="BE93" s="1771" t="n"/>
      <c r="BF93" s="1771" t="n"/>
      <c r="BG93" s="1771" t="n"/>
      <c r="BH93" s="1771" t="n"/>
      <c r="BI93" s="1771" t="n"/>
      <c r="BJ93" s="1771" t="n"/>
      <c r="BK93" s="1771" t="n"/>
      <c r="BL93" s="1771" t="n"/>
      <c r="BM93" s="1771" t="n"/>
      <c r="BN93" s="1771" t="n"/>
      <c r="BO93" s="1771" t="n"/>
      <c r="BP93" s="1771" t="n"/>
      <c r="BQ93" s="1771" t="n"/>
      <c r="BR93" s="1771" t="n"/>
      <c r="BS93" s="1771" t="n"/>
      <c r="BT93" s="1771" t="n"/>
      <c r="BU93" s="1771" t="n"/>
      <c r="BV93" s="1771" t="n"/>
      <c r="BW93" s="1771" t="n"/>
      <c r="BX93" s="1771" t="n"/>
      <c r="BY93" s="1771" t="n"/>
      <c r="BZ93" s="1771" t="n"/>
      <c r="CA93" s="1771" t="n"/>
      <c r="CB93" s="1771" t="n"/>
      <c r="CC93" s="1771" t="n"/>
      <c r="CD93" s="1771" t="n"/>
      <c r="CE93" s="1771" t="n"/>
      <c r="CF93" s="1771" t="n"/>
      <c r="CG93" s="1771" t="n"/>
      <c r="CH93" s="1771" t="n"/>
      <c r="CI93" s="1771" t="n"/>
      <c r="CJ93" s="1771" t="n"/>
      <c r="CK93" s="1771" t="n"/>
      <c r="CL93" s="1771" t="n"/>
      <c r="CM93" s="1771" t="n"/>
      <c r="CN93" s="1771" t="n"/>
      <c r="CO93" s="1771" t="n"/>
      <c r="CP93" s="1771" t="n"/>
      <c r="CQ93" s="1771" t="n"/>
      <c r="CR93" s="1771" t="n"/>
      <c r="CS93" s="1771" t="n"/>
      <c r="CT93" s="1771" t="n"/>
      <c r="CU93" s="1771" t="n"/>
      <c r="CV93" s="1771" t="n"/>
      <c r="CW93" s="1771" t="n"/>
      <c r="CX93" s="1771" t="n"/>
      <c r="CY93" s="1771" t="n"/>
    </row>
    <row r="94">
      <c r="A94" s="1771" t="n"/>
      <c r="B94" s="1771" t="n"/>
      <c r="C94" s="1771" t="n"/>
      <c r="D94" s="1771" t="n"/>
      <c r="E94" s="1771" t="n"/>
      <c r="F94" s="1771" t="n"/>
      <c r="G94" s="1771" t="n"/>
      <c r="H94" s="1771" t="n"/>
      <c r="I94" s="1771" t="n"/>
      <c r="J94" s="1771" t="n"/>
      <c r="K94" s="1771" t="n"/>
      <c r="L94" s="1771" t="n"/>
      <c r="M94" s="1771" t="n"/>
      <c r="N94" s="1771" t="n"/>
      <c r="O94" s="1771" t="n"/>
      <c r="P94" s="1771" t="n"/>
      <c r="Q94" s="1771" t="n"/>
      <c r="R94" s="1771" t="n"/>
      <c r="S94" s="1771" t="n"/>
      <c r="T94" s="1771" t="n"/>
      <c r="U94" s="1771" t="n"/>
      <c r="V94" s="1771" t="n"/>
      <c r="W94" s="1771" t="n"/>
      <c r="X94" s="1771" t="n"/>
      <c r="Y94" s="1771" t="n"/>
      <c r="Z94" s="1771" t="n"/>
      <c r="AA94" s="1771" t="n"/>
      <c r="AB94" s="1771" t="n"/>
      <c r="AC94" s="1771" t="n"/>
      <c r="AD94" s="1771" t="n"/>
      <c r="AE94" s="1771" t="n"/>
      <c r="AF94" s="1771" t="n"/>
      <c r="AG94" s="1771" t="n"/>
      <c r="AH94" s="1771" t="n"/>
      <c r="AI94" s="1771" t="n"/>
      <c r="AJ94" s="1771" t="n"/>
      <c r="AK94" s="1771" t="n"/>
      <c r="AL94" s="1771" t="n"/>
      <c r="AM94" s="1771" t="n"/>
      <c r="AN94" s="1771" t="n"/>
      <c r="AO94" s="1771" t="n"/>
      <c r="AP94" s="1771" t="n"/>
      <c r="AQ94" s="1771" t="n"/>
      <c r="AR94" s="1771" t="n"/>
      <c r="AS94" s="1771" t="n"/>
      <c r="AT94" s="1771" t="n"/>
      <c r="AU94" s="1771" t="n"/>
      <c r="AV94" s="1771" t="n"/>
      <c r="AW94" s="1771" t="n"/>
      <c r="AX94" s="1771" t="n"/>
      <c r="AY94" s="1771" t="n"/>
      <c r="AZ94" s="1771" t="n"/>
      <c r="BA94" s="1771" t="n"/>
      <c r="BB94" s="1771" t="n"/>
      <c r="BC94" s="1771" t="n"/>
      <c r="BD94" s="1771" t="n"/>
      <c r="BE94" s="1771" t="n"/>
      <c r="BF94" s="1771" t="n"/>
      <c r="BG94" s="1771" t="n"/>
      <c r="BH94" s="1771" t="n"/>
      <c r="BI94" s="1771" t="n"/>
      <c r="BJ94" s="1771" t="n"/>
      <c r="BK94" s="1771" t="n"/>
      <c r="BL94" s="1771" t="n"/>
      <c r="BM94" s="1771" t="n"/>
      <c r="BN94" s="1771" t="n"/>
      <c r="BO94" s="1771" t="n"/>
      <c r="BP94" s="1771" t="n"/>
      <c r="BQ94" s="1771" t="n"/>
      <c r="BR94" s="1771" t="n"/>
      <c r="BS94" s="1771" t="n"/>
      <c r="BT94" s="1771" t="n"/>
      <c r="BU94" s="1771" t="n"/>
      <c r="BV94" s="1771" t="n"/>
      <c r="BW94" s="1771" t="n"/>
      <c r="BX94" s="1771" t="n"/>
      <c r="BY94" s="1771" t="n"/>
      <c r="BZ94" s="1771" t="n"/>
      <c r="CA94" s="1771" t="n"/>
      <c r="CB94" s="1771" t="n"/>
      <c r="CC94" s="1771" t="n"/>
      <c r="CD94" s="1771" t="n"/>
      <c r="CE94" s="1771" t="n"/>
      <c r="CF94" s="1771" t="n"/>
      <c r="CG94" s="1771" t="n"/>
      <c r="CH94" s="1771" t="n"/>
      <c r="CI94" s="1771" t="n"/>
      <c r="CJ94" s="1771" t="n"/>
      <c r="CK94" s="1771" t="n"/>
      <c r="CL94" s="1771" t="n"/>
      <c r="CM94" s="1771" t="n"/>
      <c r="CN94" s="1771" t="n"/>
      <c r="CO94" s="1771" t="n"/>
      <c r="CP94" s="1771" t="n"/>
      <c r="CQ94" s="1771" t="n"/>
      <c r="CR94" s="1771" t="n"/>
      <c r="CS94" s="1771" t="n"/>
      <c r="CT94" s="1771" t="n"/>
      <c r="CU94" s="1771" t="n"/>
      <c r="CV94" s="1771" t="n"/>
      <c r="CW94" s="1771" t="n"/>
      <c r="CX94" s="1771" t="n"/>
      <c r="CY94" s="1771" t="n"/>
    </row>
    <row r="95">
      <c r="A95" s="1771" t="n"/>
      <c r="B95" s="1771" t="n"/>
      <c r="C95" s="1771" t="n"/>
      <c r="D95" s="1771" t="n"/>
      <c r="E95" s="1771" t="n"/>
      <c r="F95" s="1771" t="n"/>
      <c r="G95" s="1771" t="n"/>
      <c r="H95" s="1771" t="n"/>
      <c r="I95" s="1771" t="n"/>
      <c r="J95" s="1771" t="n"/>
      <c r="K95" s="1771" t="n"/>
      <c r="L95" s="1771" t="n"/>
      <c r="M95" s="1771" t="n"/>
      <c r="N95" s="1771" t="n"/>
      <c r="O95" s="1771" t="n"/>
      <c r="P95" s="1771" t="n"/>
      <c r="Q95" s="1771" t="n"/>
      <c r="R95" s="1771" t="n"/>
      <c r="S95" s="1771" t="n"/>
      <c r="T95" s="1771" t="n"/>
      <c r="U95" s="1771" t="n"/>
      <c r="V95" s="1771" t="n"/>
      <c r="W95" s="1771" t="n"/>
      <c r="X95" s="1771" t="n"/>
      <c r="Y95" s="1771" t="n"/>
      <c r="Z95" s="1771" t="n"/>
      <c r="AA95" s="1771" t="n"/>
      <c r="AB95" s="1771" t="n"/>
      <c r="AC95" s="1771" t="n"/>
      <c r="AD95" s="1771" t="n"/>
      <c r="AE95" s="1771" t="n"/>
      <c r="AF95" s="1771" t="n"/>
      <c r="AG95" s="1771" t="n"/>
      <c r="AH95" s="1771" t="n"/>
      <c r="AI95" s="1771" t="n"/>
      <c r="AJ95" s="1771" t="n"/>
      <c r="AK95" s="1771" t="n"/>
      <c r="AL95" s="1771" t="n"/>
      <c r="AM95" s="1771" t="n"/>
      <c r="AN95" s="1771" t="n"/>
      <c r="AO95" s="1771" t="n"/>
      <c r="AP95" s="1771" t="n"/>
      <c r="AQ95" s="1771" t="n"/>
      <c r="AR95" s="1771" t="n"/>
      <c r="AS95" s="1771" t="n"/>
      <c r="AT95" s="1771" t="n"/>
      <c r="AU95" s="1771" t="n"/>
      <c r="AV95" s="1771" t="n"/>
      <c r="AW95" s="1771" t="n"/>
      <c r="AX95" s="1771" t="n"/>
      <c r="AY95" s="1771" t="n"/>
      <c r="AZ95" s="1771" t="n"/>
      <c r="BA95" s="1771" t="n"/>
      <c r="BB95" s="1771" t="n"/>
      <c r="BC95" s="1771" t="n"/>
      <c r="BD95" s="1771" t="n"/>
      <c r="BE95" s="1771" t="n"/>
      <c r="BF95" s="1771" t="n"/>
      <c r="BG95" s="1771" t="n"/>
      <c r="BH95" s="1771" t="n"/>
      <c r="BI95" s="1771" t="n"/>
      <c r="BJ95" s="1771" t="n"/>
      <c r="BK95" s="1771" t="n"/>
      <c r="BL95" s="1771" t="n"/>
      <c r="BM95" s="1771" t="n"/>
      <c r="BN95" s="1771" t="n"/>
      <c r="BO95" s="1771" t="n"/>
      <c r="BP95" s="1771" t="n"/>
      <c r="BQ95" s="1771" t="n"/>
      <c r="BR95" s="1771" t="n"/>
      <c r="BS95" s="1771" t="n"/>
      <c r="BT95" s="1771" t="n"/>
      <c r="BU95" s="1771" t="n"/>
      <c r="BV95" s="1771" t="n"/>
      <c r="BW95" s="1771" t="n"/>
      <c r="BX95" s="1771" t="n"/>
      <c r="BY95" s="1771" t="n"/>
      <c r="BZ95" s="1771" t="n"/>
      <c r="CA95" s="1771" t="n"/>
      <c r="CB95" s="1771" t="n"/>
      <c r="CC95" s="1771" t="n"/>
      <c r="CD95" s="1771" t="n"/>
      <c r="CE95" s="1771" t="n"/>
      <c r="CF95" s="1771" t="n"/>
      <c r="CG95" s="1771" t="n"/>
      <c r="CH95" s="1771" t="n"/>
      <c r="CI95" s="1771" t="n"/>
      <c r="CJ95" s="1771" t="n"/>
      <c r="CK95" s="1771" t="n"/>
      <c r="CL95" s="1771" t="n"/>
      <c r="CM95" s="1771" t="n"/>
      <c r="CN95" s="1771" t="n"/>
      <c r="CO95" s="1771" t="n"/>
      <c r="CP95" s="1771" t="n"/>
      <c r="CQ95" s="1771" t="n"/>
      <c r="CR95" s="1771" t="n"/>
      <c r="CS95" s="1771" t="n"/>
      <c r="CT95" s="1771" t="n"/>
      <c r="CU95" s="1771" t="n"/>
      <c r="CV95" s="1771" t="n"/>
      <c r="CW95" s="1771" t="n"/>
      <c r="CX95" s="1771" t="n"/>
      <c r="CY95" s="1771" t="n"/>
    </row>
    <row r="96">
      <c r="A96" s="1771" t="n"/>
      <c r="B96" s="1771" t="n"/>
      <c r="C96" s="1771" t="n"/>
      <c r="D96" s="1771" t="n"/>
      <c r="E96" s="1771" t="n"/>
      <c r="F96" s="1771" t="n"/>
      <c r="G96" s="1771" t="n"/>
      <c r="H96" s="1771" t="n"/>
      <c r="I96" s="1771" t="n"/>
      <c r="J96" s="1771" t="n"/>
      <c r="K96" s="1771" t="n"/>
      <c r="L96" s="1771" t="n"/>
      <c r="M96" s="1771" t="n"/>
      <c r="N96" s="1771" t="n"/>
      <c r="O96" s="1771" t="n"/>
      <c r="P96" s="1771" t="n"/>
      <c r="Q96" s="1771" t="n"/>
      <c r="R96" s="1771" t="n"/>
      <c r="S96" s="1771" t="n"/>
      <c r="T96" s="1771" t="n"/>
      <c r="U96" s="1771" t="n"/>
      <c r="V96" s="1771" t="n"/>
      <c r="W96" s="1771" t="n"/>
      <c r="X96" s="1771" t="n"/>
      <c r="Y96" s="1771" t="n"/>
      <c r="Z96" s="1771" t="n"/>
      <c r="AA96" s="1771" t="n"/>
      <c r="AB96" s="1771" t="n"/>
      <c r="AC96" s="1771" t="n"/>
      <c r="AD96" s="1771" t="n"/>
      <c r="AE96" s="1771" t="n"/>
      <c r="AF96" s="1771" t="n"/>
      <c r="AG96" s="1771" t="n"/>
      <c r="AH96" s="1771" t="n"/>
      <c r="AI96" s="1771" t="n"/>
      <c r="AJ96" s="1771" t="n"/>
      <c r="AK96" s="1771" t="n"/>
      <c r="AL96" s="1771" t="n"/>
      <c r="AM96" s="1771" t="n"/>
      <c r="AN96" s="1771" t="n"/>
      <c r="AO96" s="1771" t="n"/>
      <c r="AP96" s="1771" t="n"/>
      <c r="AQ96" s="1771" t="n"/>
      <c r="AR96" s="1771" t="n"/>
      <c r="AS96" s="1771" t="n"/>
      <c r="AT96" s="1771" t="n"/>
      <c r="AU96" s="1771" t="n"/>
      <c r="AV96" s="1771" t="n"/>
      <c r="AW96" s="1771" t="n"/>
      <c r="AX96" s="1771" t="n"/>
      <c r="AY96" s="1771" t="n"/>
      <c r="AZ96" s="1771" t="n"/>
      <c r="BA96" s="1771" t="n"/>
      <c r="BB96" s="1771" t="n"/>
      <c r="BC96" s="1771" t="n"/>
      <c r="BD96" s="1771" t="n"/>
      <c r="BE96" s="1771" t="n"/>
      <c r="BF96" s="1771" t="n"/>
      <c r="BG96" s="1771" t="n"/>
      <c r="BH96" s="1771" t="n"/>
      <c r="BI96" s="1771" t="n"/>
      <c r="BJ96" s="1771" t="n"/>
      <c r="BK96" s="1771" t="n"/>
      <c r="BL96" s="1771" t="n"/>
      <c r="BM96" s="1771" t="n"/>
      <c r="BN96" s="1771" t="n"/>
      <c r="BO96" s="1771" t="n"/>
      <c r="BP96" s="1771" t="n"/>
      <c r="BQ96" s="1771" t="n"/>
      <c r="BR96" s="1771" t="n"/>
      <c r="BS96" s="1771" t="n"/>
      <c r="BT96" s="1771" t="n"/>
      <c r="BU96" s="1771" t="n"/>
      <c r="BV96" s="1771" t="n"/>
      <c r="BW96" s="1771" t="n"/>
      <c r="BX96" s="1771" t="n"/>
      <c r="BY96" s="1771" t="n"/>
      <c r="BZ96" s="1771" t="n"/>
      <c r="CA96" s="1771" t="n"/>
      <c r="CB96" s="1771" t="n"/>
      <c r="CC96" s="1771" t="n"/>
      <c r="CD96" s="1771" t="n"/>
      <c r="CE96" s="1771" t="n"/>
      <c r="CF96" s="1771" t="n"/>
      <c r="CG96" s="1771" t="n"/>
      <c r="CH96" s="1771" t="n"/>
      <c r="CI96" s="1771" t="n"/>
      <c r="CJ96" s="1771" t="n"/>
      <c r="CK96" s="1771" t="n"/>
      <c r="CL96" s="1771" t="n"/>
      <c r="CM96" s="1771" t="n"/>
      <c r="CN96" s="1771" t="n"/>
      <c r="CO96" s="1771" t="n"/>
      <c r="CP96" s="1771" t="n"/>
      <c r="CQ96" s="1771" t="n"/>
      <c r="CR96" s="1771" t="n"/>
      <c r="CS96" s="1771" t="n"/>
      <c r="CT96" s="1771" t="n"/>
      <c r="CU96" s="1771" t="n"/>
      <c r="CV96" s="1771" t="n"/>
      <c r="CW96" s="1771" t="n"/>
      <c r="CX96" s="1771" t="n"/>
      <c r="CY96" s="1771" t="n"/>
    </row>
    <row r="97">
      <c r="A97" s="1771" t="n"/>
      <c r="B97" s="1771" t="n"/>
      <c r="C97" s="1771" t="n"/>
      <c r="D97" s="1771" t="n"/>
      <c r="E97" s="1771" t="n"/>
      <c r="F97" s="1771" t="n"/>
      <c r="G97" s="1771" t="n"/>
      <c r="H97" s="1771" t="n"/>
      <c r="I97" s="1771" t="n"/>
      <c r="J97" s="1771" t="n"/>
      <c r="K97" s="1771" t="n"/>
      <c r="L97" s="1771" t="n"/>
      <c r="M97" s="1771" t="n"/>
      <c r="N97" s="1771" t="n"/>
      <c r="O97" s="1771" t="n"/>
      <c r="P97" s="1771" t="n"/>
      <c r="Q97" s="1771" t="n"/>
      <c r="R97" s="1771" t="n"/>
      <c r="S97" s="1771" t="n"/>
      <c r="T97" s="1771" t="n"/>
      <c r="U97" s="1771" t="n"/>
      <c r="V97" s="1771" t="n"/>
      <c r="W97" s="1771" t="n"/>
      <c r="X97" s="1771" t="n"/>
      <c r="Y97" s="1771" t="n"/>
      <c r="Z97" s="1771" t="n"/>
      <c r="AA97" s="1771" t="n"/>
      <c r="AB97" s="1771" t="n"/>
      <c r="AC97" s="1771" t="n"/>
      <c r="AD97" s="1771" t="n"/>
      <c r="AE97" s="1771" t="n"/>
      <c r="AF97" s="1771" t="n"/>
      <c r="AG97" s="1771" t="n"/>
      <c r="AH97" s="1771" t="n"/>
      <c r="AI97" s="1771" t="n"/>
      <c r="AJ97" s="1771" t="n"/>
      <c r="AK97" s="1771" t="n"/>
      <c r="AL97" s="1771" t="n"/>
      <c r="AM97" s="1771" t="n"/>
      <c r="AN97" s="1771" t="n"/>
      <c r="AO97" s="1771" t="n"/>
      <c r="AP97" s="1771" t="n"/>
      <c r="AQ97" s="1771" t="n"/>
      <c r="AR97" s="1771" t="n"/>
      <c r="AS97" s="1771" t="n"/>
      <c r="AT97" s="1771" t="n"/>
      <c r="AU97" s="1771" t="n"/>
      <c r="AV97" s="1771" t="n"/>
      <c r="AW97" s="1771" t="n"/>
      <c r="AX97" s="1771" t="n"/>
      <c r="AY97" s="1771" t="n"/>
      <c r="AZ97" s="1771" t="n"/>
      <c r="BA97" s="1771" t="n"/>
      <c r="BB97" s="1771" t="n"/>
      <c r="BC97" s="1771" t="n"/>
      <c r="BD97" s="1771" t="n"/>
      <c r="BE97" s="1771" t="n"/>
      <c r="BF97" s="1771" t="n"/>
      <c r="BG97" s="1771" t="n"/>
      <c r="BH97" s="1771" t="n"/>
      <c r="BI97" s="1771" t="n"/>
      <c r="BJ97" s="1771" t="n"/>
      <c r="BK97" s="1771" t="n"/>
      <c r="BL97" s="1771" t="n"/>
      <c r="BM97" s="1771" t="n"/>
      <c r="BN97" s="1771" t="n"/>
      <c r="BO97" s="1771" t="n"/>
      <c r="BP97" s="1771" t="n"/>
      <c r="BQ97" s="1771" t="n"/>
      <c r="BR97" s="1771" t="n"/>
      <c r="BS97" s="1771" t="n"/>
      <c r="BT97" s="1771" t="n"/>
      <c r="BU97" s="1771" t="n"/>
      <c r="BV97" s="1771" t="n"/>
      <c r="BW97" s="1771" t="n"/>
      <c r="BX97" s="1771" t="n"/>
      <c r="BY97" s="1771" t="n"/>
      <c r="BZ97" s="1771" t="n"/>
      <c r="CA97" s="1771" t="n"/>
      <c r="CB97" s="1771" t="n"/>
      <c r="CC97" s="1771" t="n"/>
      <c r="CD97" s="1771" t="n"/>
      <c r="CE97" s="1771" t="n"/>
      <c r="CF97" s="1771" t="n"/>
      <c r="CG97" s="1771" t="n"/>
      <c r="CH97" s="1771" t="n"/>
      <c r="CI97" s="1771" t="n"/>
      <c r="CJ97" s="1771" t="n"/>
      <c r="CK97" s="1771" t="n"/>
      <c r="CL97" s="1771" t="n"/>
      <c r="CM97" s="1771" t="n"/>
      <c r="CN97" s="1771" t="n"/>
      <c r="CO97" s="1771" t="n"/>
      <c r="CP97" s="1771" t="n"/>
      <c r="CQ97" s="1771" t="n"/>
      <c r="CR97" s="1771" t="n"/>
      <c r="CS97" s="1771" t="n"/>
      <c r="CT97" s="1771" t="n"/>
      <c r="CU97" s="1771" t="n"/>
      <c r="CV97" s="1771" t="n"/>
      <c r="CW97" s="1771" t="n"/>
      <c r="CX97" s="1771" t="n"/>
      <c r="CY97" s="1771" t="n"/>
    </row>
    <row r="98">
      <c r="A98" s="1771" t="n"/>
      <c r="B98" s="1771" t="n"/>
      <c r="C98" s="1771" t="n"/>
      <c r="D98" s="1771" t="n"/>
      <c r="E98" s="1771" t="n"/>
      <c r="F98" s="1771" t="n"/>
      <c r="G98" s="1771" t="n"/>
      <c r="H98" s="1771" t="n"/>
      <c r="I98" s="1771" t="n"/>
      <c r="J98" s="1771" t="n"/>
      <c r="K98" s="1771" t="n"/>
      <c r="L98" s="1771" t="n"/>
      <c r="M98" s="1771" t="n"/>
      <c r="N98" s="1771" t="n"/>
      <c r="O98" s="1771" t="n"/>
      <c r="P98" s="1771" t="n"/>
      <c r="Q98" s="1771" t="n"/>
      <c r="R98" s="1771" t="n"/>
      <c r="S98" s="1771" t="n"/>
      <c r="T98" s="1771" t="n"/>
      <c r="U98" s="1771" t="n"/>
      <c r="V98" s="1771" t="n"/>
      <c r="W98" s="1771" t="n"/>
      <c r="X98" s="1771" t="n"/>
      <c r="Y98" s="1771" t="n"/>
      <c r="Z98" s="1771" t="n"/>
      <c r="AA98" s="1771" t="n"/>
      <c r="AB98" s="1771" t="n"/>
      <c r="AC98" s="1771" t="n"/>
      <c r="AD98" s="1771" t="n"/>
      <c r="AE98" s="1771" t="n"/>
      <c r="AF98" s="1771" t="n"/>
      <c r="AG98" s="1771" t="n"/>
      <c r="AH98" s="1771" t="n"/>
      <c r="AI98" s="1771" t="n"/>
      <c r="AJ98" s="1771" t="n"/>
      <c r="AK98" s="1771" t="n"/>
      <c r="AL98" s="1771" t="n"/>
      <c r="AM98" s="1771" t="n"/>
      <c r="AN98" s="1771" t="n"/>
      <c r="AO98" s="1771" t="n"/>
      <c r="AP98" s="1771" t="n"/>
      <c r="AQ98" s="1771" t="n"/>
      <c r="AR98" s="1771" t="n"/>
      <c r="AS98" s="1771" t="n"/>
      <c r="AT98" s="1771" t="n"/>
      <c r="AU98" s="1771" t="n"/>
      <c r="AV98" s="1771" t="n"/>
      <c r="AW98" s="1771" t="n"/>
      <c r="AX98" s="1771" t="n"/>
      <c r="AY98" s="1771" t="n"/>
      <c r="AZ98" s="1771" t="n"/>
      <c r="BA98" s="1771" t="n"/>
      <c r="BB98" s="1771" t="n"/>
      <c r="BC98" s="1771" t="n"/>
      <c r="BD98" s="1771" t="n"/>
      <c r="BE98" s="1771" t="n"/>
      <c r="BF98" s="1771" t="n"/>
      <c r="BG98" s="1771" t="n"/>
      <c r="BH98" s="1771" t="n"/>
      <c r="BI98" s="1771" t="n"/>
      <c r="BJ98" s="1771" t="n"/>
      <c r="BK98" s="1771" t="n"/>
      <c r="BL98" s="1771" t="n"/>
      <c r="BM98" s="1771" t="n"/>
      <c r="BN98" s="1771" t="n"/>
      <c r="BO98" s="1771" t="n"/>
      <c r="BP98" s="1771" t="n"/>
      <c r="BQ98" s="1771" t="n"/>
      <c r="BR98" s="1771" t="n"/>
      <c r="BS98" s="1771" t="n"/>
      <c r="BT98" s="1771" t="n"/>
      <c r="BU98" s="1771" t="n"/>
      <c r="BV98" s="1771" t="n"/>
      <c r="BW98" s="1771" t="n"/>
      <c r="BX98" s="1771" t="n"/>
      <c r="BY98" s="1771" t="n"/>
      <c r="BZ98" s="1771" t="n"/>
      <c r="CA98" s="1771" t="n"/>
      <c r="CB98" s="1771" t="n"/>
      <c r="CC98" s="1771" t="n"/>
      <c r="CD98" s="1771" t="n"/>
      <c r="CE98" s="1771" t="n"/>
      <c r="CF98" s="1771" t="n"/>
      <c r="CG98" s="1771" t="n"/>
      <c r="CH98" s="1771" t="n"/>
      <c r="CI98" s="1771" t="n"/>
      <c r="CJ98" s="1771" t="n"/>
      <c r="CK98" s="1771" t="n"/>
      <c r="CL98" s="1771" t="n"/>
      <c r="CM98" s="1771" t="n"/>
      <c r="CN98" s="1771" t="n"/>
      <c r="CO98" s="1771" t="n"/>
      <c r="CP98" s="1771" t="n"/>
      <c r="CQ98" s="1771" t="n"/>
      <c r="CR98" s="1771" t="n"/>
      <c r="CS98" s="1771" t="n"/>
      <c r="CT98" s="1771" t="n"/>
      <c r="CU98" s="1771" t="n"/>
      <c r="CV98" s="1771" t="n"/>
      <c r="CW98" s="1771" t="n"/>
      <c r="CX98" s="1771" t="n"/>
      <c r="CY98" s="1771" t="n"/>
    </row>
    <row r="99">
      <c r="A99" s="1771" t="n"/>
      <c r="B99" s="1771" t="n"/>
      <c r="C99" s="1771" t="n"/>
      <c r="D99" s="1771" t="n"/>
      <c r="E99" s="1771" t="n"/>
      <c r="F99" s="1771" t="n"/>
      <c r="G99" s="1771" t="n"/>
      <c r="H99" s="1771" t="n"/>
      <c r="I99" s="1771" t="n"/>
      <c r="J99" s="1771" t="n"/>
      <c r="K99" s="1771" t="n"/>
      <c r="L99" s="1771" t="n"/>
      <c r="M99" s="1771" t="n"/>
      <c r="N99" s="1771" t="n"/>
      <c r="O99" s="1771" t="n"/>
      <c r="P99" s="1771" t="n"/>
      <c r="Q99" s="1771" t="n"/>
      <c r="R99" s="1771" t="n"/>
      <c r="S99" s="1771" t="n"/>
      <c r="T99" s="1771" t="n"/>
      <c r="U99" s="1771" t="n"/>
      <c r="V99" s="1771" t="n"/>
      <c r="W99" s="1771" t="n"/>
      <c r="X99" s="1771" t="n"/>
      <c r="Y99" s="1771" t="n"/>
      <c r="Z99" s="1771" t="n"/>
      <c r="AA99" s="1771" t="n"/>
      <c r="AB99" s="1771" t="n"/>
      <c r="AC99" s="1771" t="n"/>
      <c r="AD99" s="1771" t="n"/>
      <c r="AE99" s="1771" t="n"/>
      <c r="AF99" s="1771" t="n"/>
      <c r="AG99" s="1771" t="n"/>
      <c r="AH99" s="1771" t="n"/>
      <c r="AI99" s="1771" t="n"/>
      <c r="AJ99" s="1771" t="n"/>
      <c r="AK99" s="1771" t="n"/>
      <c r="AL99" s="1771" t="n"/>
      <c r="AM99" s="1771" t="n"/>
      <c r="AN99" s="1771" t="n"/>
      <c r="AO99" s="1771" t="n"/>
      <c r="AP99" s="1771" t="n"/>
      <c r="AQ99" s="1771" t="n"/>
      <c r="AR99" s="1771" t="n"/>
      <c r="AS99" s="1771" t="n"/>
      <c r="AT99" s="1771" t="n"/>
      <c r="AU99" s="1771" t="n"/>
      <c r="AV99" s="1771" t="n"/>
      <c r="AW99" s="1771" t="n"/>
      <c r="AX99" s="1771" t="n"/>
      <c r="AY99" s="1771" t="n"/>
      <c r="AZ99" s="1771" t="n"/>
      <c r="BA99" s="1771" t="n"/>
      <c r="BB99" s="1771" t="n"/>
      <c r="BC99" s="1771" t="n"/>
      <c r="BD99" s="1771" t="n"/>
      <c r="BE99" s="1771" t="n"/>
      <c r="BF99" s="1771" t="n"/>
      <c r="BG99" s="1771" t="n"/>
      <c r="BH99" s="1771" t="n"/>
      <c r="BI99" s="1771" t="n"/>
      <c r="BJ99" s="1771" t="n"/>
      <c r="BK99" s="1771" t="n"/>
      <c r="BL99" s="1771" t="n"/>
      <c r="BM99" s="1771" t="n"/>
      <c r="BN99" s="1771" t="n"/>
      <c r="BO99" s="1771" t="n"/>
      <c r="BP99" s="1771" t="n"/>
      <c r="BQ99" s="1771" t="n"/>
      <c r="BR99" s="1771" t="n"/>
      <c r="BS99" s="1771" t="n"/>
      <c r="BT99" s="1771" t="n"/>
      <c r="BU99" s="1771" t="n"/>
      <c r="BV99" s="1771" t="n"/>
      <c r="BW99" s="1771" t="n"/>
      <c r="BX99" s="1771" t="n"/>
      <c r="BY99" s="1771" t="n"/>
      <c r="BZ99" s="1771" t="n"/>
      <c r="CA99" s="1771" t="n"/>
      <c r="CB99" s="1771" t="n"/>
      <c r="CC99" s="1771" t="n"/>
      <c r="CD99" s="1771" t="n"/>
      <c r="CE99" s="1771" t="n"/>
      <c r="CF99" s="1771" t="n"/>
      <c r="CG99" s="1771" t="n"/>
      <c r="CH99" s="1771" t="n"/>
      <c r="CI99" s="1771" t="n"/>
      <c r="CJ99" s="1771" t="n"/>
      <c r="CK99" s="1771" t="n"/>
      <c r="CL99" s="1771" t="n"/>
      <c r="CM99" s="1771" t="n"/>
      <c r="CN99" s="1771" t="n"/>
      <c r="CO99" s="1771" t="n"/>
      <c r="CP99" s="1771" t="n"/>
      <c r="CQ99" s="1771" t="n"/>
      <c r="CR99" s="1771" t="n"/>
      <c r="CS99" s="1771" t="n"/>
      <c r="CT99" s="1771" t="n"/>
      <c r="CU99" s="1771" t="n"/>
      <c r="CV99" s="1771" t="n"/>
      <c r="CW99" s="1771" t="n"/>
      <c r="CX99" s="1771" t="n"/>
      <c r="CY99" s="1771" t="n"/>
    </row>
    <row r="100">
      <c r="A100" s="1771" t="n"/>
      <c r="B100" s="1771" t="n"/>
      <c r="C100" s="1771" t="n"/>
      <c r="D100" s="1771" t="n"/>
      <c r="E100" s="1771" t="n"/>
      <c r="F100" s="1771" t="n"/>
      <c r="G100" s="1771" t="n"/>
      <c r="H100" s="1771" t="n"/>
      <c r="I100" s="1771" t="n"/>
      <c r="J100" s="1771" t="n"/>
      <c r="K100" s="1771" t="n"/>
      <c r="L100" s="1771" t="n"/>
      <c r="M100" s="1771" t="n"/>
      <c r="N100" s="1771" t="n"/>
      <c r="O100" s="1771" t="n"/>
      <c r="P100" s="1771" t="n"/>
      <c r="Q100" s="1771" t="n"/>
      <c r="R100" s="1771" t="n"/>
      <c r="S100" s="1771" t="n"/>
      <c r="T100" s="1771" t="n"/>
      <c r="U100" s="1771" t="n"/>
      <c r="V100" s="1771" t="n"/>
      <c r="W100" s="1771" t="n"/>
      <c r="X100" s="1771" t="n"/>
      <c r="Y100" s="1771" t="n"/>
      <c r="Z100" s="1771" t="n"/>
      <c r="AA100" s="1771" t="n"/>
      <c r="AB100" s="1771" t="n"/>
      <c r="AC100" s="1771" t="n"/>
      <c r="AD100" s="1771" t="n"/>
      <c r="AE100" s="1771" t="n"/>
      <c r="AF100" s="1771" t="n"/>
      <c r="AG100" s="1771" t="n"/>
      <c r="AH100" s="1771" t="n"/>
      <c r="AI100" s="1771" t="n"/>
      <c r="AJ100" s="1771" t="n"/>
      <c r="AK100" s="1771" t="n"/>
      <c r="AL100" s="1771" t="n"/>
      <c r="AM100" s="1771" t="n"/>
      <c r="AN100" s="1771" t="n"/>
      <c r="AO100" s="1771" t="n"/>
      <c r="AP100" s="1771" t="n"/>
      <c r="AQ100" s="1771" t="n"/>
      <c r="AR100" s="1771" t="n"/>
      <c r="AS100" s="1771" t="n"/>
      <c r="AT100" s="1771" t="n"/>
      <c r="AU100" s="1771" t="n"/>
      <c r="AV100" s="1771" t="n"/>
      <c r="AW100" s="1771" t="n"/>
      <c r="AX100" s="1771" t="n"/>
      <c r="AY100" s="1771" t="n"/>
      <c r="AZ100" s="1771" t="n"/>
      <c r="BA100" s="1771" t="n"/>
      <c r="BB100" s="1771" t="n"/>
      <c r="BC100" s="1771" t="n"/>
      <c r="BD100" s="1771" t="n"/>
      <c r="BE100" s="1771" t="n"/>
      <c r="BF100" s="1771" t="n"/>
      <c r="BG100" s="1771" t="n"/>
      <c r="BH100" s="1771" t="n"/>
      <c r="BI100" s="1771" t="n"/>
      <c r="BJ100" s="1771" t="n"/>
      <c r="BK100" s="1771" t="n"/>
      <c r="BL100" s="1771" t="n"/>
      <c r="BM100" s="1771" t="n"/>
      <c r="BN100" s="1771" t="n"/>
      <c r="BO100" s="1771" t="n"/>
      <c r="BP100" s="1771" t="n"/>
      <c r="BQ100" s="1771" t="n"/>
      <c r="BR100" s="1771" t="n"/>
      <c r="BS100" s="1771" t="n"/>
      <c r="BT100" s="1771" t="n"/>
      <c r="BU100" s="1771" t="n"/>
      <c r="BV100" s="1771" t="n"/>
      <c r="BW100" s="1771" t="n"/>
      <c r="BX100" s="1771" t="n"/>
      <c r="BY100" s="1771" t="n"/>
      <c r="BZ100" s="1771" t="n"/>
      <c r="CA100" s="1771" t="n"/>
      <c r="CB100" s="1771" t="n"/>
      <c r="CC100" s="1771" t="n"/>
      <c r="CD100" s="1771" t="n"/>
      <c r="CE100" s="1771" t="n"/>
      <c r="CF100" s="1771" t="n"/>
      <c r="CG100" s="1771" t="n"/>
      <c r="CH100" s="1771" t="n"/>
      <c r="CI100" s="1771" t="n"/>
      <c r="CJ100" s="1771" t="n"/>
      <c r="CK100" s="1771" t="n"/>
      <c r="CL100" s="1771" t="n"/>
      <c r="CM100" s="1771" t="n"/>
      <c r="CN100" s="1771" t="n"/>
      <c r="CO100" s="1771" t="n"/>
      <c r="CP100" s="1771" t="n"/>
      <c r="CQ100" s="1771" t="n"/>
      <c r="CR100" s="1771" t="n"/>
      <c r="CS100" s="1771" t="n"/>
      <c r="CT100" s="1771" t="n"/>
      <c r="CU100" s="1771" t="n"/>
      <c r="CV100" s="1771" t="n"/>
      <c r="CW100" s="1771" t="n"/>
      <c r="CX100" s="1771" t="n"/>
      <c r="CY100" s="1771" t="n"/>
    </row>
    <row r="101">
      <c r="A101" s="1771" t="n"/>
      <c r="B101" s="1771" t="n"/>
      <c r="C101" s="1771" t="n"/>
      <c r="D101" s="1771" t="n"/>
      <c r="E101" s="1771" t="n"/>
      <c r="F101" s="1771" t="n"/>
      <c r="G101" s="1771" t="n"/>
      <c r="H101" s="1771" t="n"/>
      <c r="I101" s="1771" t="n"/>
      <c r="J101" s="1771" t="n"/>
      <c r="K101" s="1771" t="n"/>
      <c r="L101" s="1771" t="n"/>
      <c r="M101" s="1771" t="n"/>
      <c r="N101" s="1771" t="n"/>
      <c r="O101" s="1771" t="n"/>
      <c r="P101" s="1771" t="n"/>
      <c r="Q101" s="1771" t="n"/>
      <c r="R101" s="1771" t="n"/>
      <c r="S101" s="1771" t="n"/>
      <c r="T101" s="1771" t="n"/>
      <c r="U101" s="1771" t="n"/>
      <c r="V101" s="1771" t="n"/>
      <c r="W101" s="1771" t="n"/>
      <c r="X101" s="1771" t="n"/>
      <c r="Y101" s="1771" t="n"/>
      <c r="Z101" s="1771" t="n"/>
      <c r="AA101" s="1771" t="n"/>
      <c r="AB101" s="1771" t="n"/>
      <c r="AC101" s="1771" t="n"/>
      <c r="AD101" s="1771" t="n"/>
      <c r="AE101" s="1771" t="n"/>
      <c r="AF101" s="1771" t="n"/>
      <c r="AG101" s="1771" t="n"/>
      <c r="AH101" s="1771" t="n"/>
      <c r="AI101" s="1771" t="n"/>
      <c r="AJ101" s="1771" t="n"/>
      <c r="AK101" s="1771" t="n"/>
      <c r="AL101" s="1771" t="n"/>
      <c r="AM101" s="1771" t="n"/>
      <c r="AN101" s="1771" t="n"/>
      <c r="AO101" s="1771" t="n"/>
      <c r="AP101" s="1771" t="n"/>
      <c r="AQ101" s="1771" t="n"/>
      <c r="AR101" s="1771" t="n"/>
      <c r="AS101" s="1771" t="n"/>
      <c r="AT101" s="1771" t="n"/>
      <c r="AU101" s="1771" t="n"/>
      <c r="AV101" s="1771" t="n"/>
      <c r="AW101" s="1771" t="n"/>
      <c r="AX101" s="1771" t="n"/>
      <c r="AY101" s="1771" t="n"/>
      <c r="AZ101" s="1771" t="n"/>
      <c r="BA101" s="1771" t="n"/>
      <c r="BB101" s="1771" t="n"/>
      <c r="BC101" s="1771" t="n"/>
      <c r="BD101" s="1771" t="n"/>
      <c r="BE101" s="1771" t="n"/>
      <c r="BF101" s="1771" t="n"/>
      <c r="BG101" s="1771" t="n"/>
      <c r="BH101" s="1771" t="n"/>
      <c r="BI101" s="1771" t="n"/>
      <c r="BJ101" s="1771" t="n"/>
      <c r="BK101" s="1771" t="n"/>
      <c r="BL101" s="1771" t="n"/>
      <c r="BM101" s="1771" t="n"/>
      <c r="BN101" s="1771" t="n"/>
      <c r="BO101" s="1771" t="n"/>
      <c r="BP101" s="1771" t="n"/>
      <c r="BQ101" s="1771" t="n"/>
      <c r="BR101" s="1771" t="n"/>
      <c r="BS101" s="1771" t="n"/>
      <c r="BT101" s="1771" t="n"/>
      <c r="BU101" s="1771" t="n"/>
      <c r="BV101" s="1771" t="n"/>
      <c r="BW101" s="1771" t="n"/>
      <c r="BX101" s="1771" t="n"/>
      <c r="BY101" s="1771" t="n"/>
      <c r="BZ101" s="1771" t="n"/>
      <c r="CA101" s="1771" t="n"/>
      <c r="CB101" s="1771" t="n"/>
      <c r="CC101" s="1771" t="n"/>
      <c r="CD101" s="1771" t="n"/>
      <c r="CE101" s="1771" t="n"/>
      <c r="CF101" s="1771" t="n"/>
      <c r="CG101" s="1771" t="n"/>
      <c r="CH101" s="1771" t="n"/>
      <c r="CI101" s="1771" t="n"/>
      <c r="CJ101" s="1771" t="n"/>
      <c r="CK101" s="1771" t="n"/>
      <c r="CL101" s="1771" t="n"/>
      <c r="CM101" s="1771" t="n"/>
      <c r="CN101" s="1771" t="n"/>
      <c r="CO101" s="1771" t="n"/>
      <c r="CP101" s="1771" t="n"/>
      <c r="CQ101" s="1771" t="n"/>
      <c r="CR101" s="1771" t="n"/>
      <c r="CS101" s="1771" t="n"/>
      <c r="CT101" s="1771" t="n"/>
      <c r="CU101" s="1771" t="n"/>
      <c r="CV101" s="1771" t="n"/>
      <c r="CW101" s="1771" t="n"/>
      <c r="CX101" s="1771" t="n"/>
      <c r="CY101" s="1771" t="n"/>
    </row>
    <row r="102">
      <c r="A102" s="1771" t="n"/>
      <c r="B102" s="1771" t="n"/>
      <c r="C102" s="1771" t="n"/>
      <c r="D102" s="1771" t="n"/>
      <c r="E102" s="1771" t="n"/>
      <c r="F102" s="1771" t="n"/>
      <c r="G102" s="1771" t="n"/>
      <c r="H102" s="1771" t="n"/>
      <c r="I102" s="1771" t="n"/>
      <c r="J102" s="1771" t="n"/>
      <c r="K102" s="1771" t="n"/>
      <c r="L102" s="1771" t="n"/>
      <c r="M102" s="1771" t="n"/>
      <c r="N102" s="1771" t="n"/>
      <c r="O102" s="1771" t="n"/>
      <c r="P102" s="1771" t="n"/>
      <c r="Q102" s="1771" t="n"/>
      <c r="R102" s="1771" t="n"/>
      <c r="S102" s="1771" t="n"/>
      <c r="T102" s="1771" t="n"/>
      <c r="U102" s="1771" t="n"/>
      <c r="V102" s="1771" t="n"/>
      <c r="W102" s="1771" t="n"/>
      <c r="X102" s="1771" t="n"/>
      <c r="Y102" s="1771" t="n"/>
      <c r="Z102" s="1771" t="n"/>
      <c r="AA102" s="1771" t="n"/>
      <c r="AB102" s="1771" t="n"/>
      <c r="AC102" s="1771" t="n"/>
      <c r="AD102" s="1771" t="n"/>
      <c r="AE102" s="1771" t="n"/>
      <c r="AF102" s="1771" t="n"/>
      <c r="AG102" s="1771" t="n"/>
      <c r="AH102" s="1771" t="n"/>
      <c r="AI102" s="1771" t="n"/>
      <c r="AJ102" s="1771" t="n"/>
      <c r="AK102" s="1771" t="n"/>
      <c r="AL102" s="1771" t="n"/>
      <c r="AM102" s="1771" t="n"/>
      <c r="AN102" s="1771" t="n"/>
      <c r="AO102" s="1771" t="n"/>
      <c r="AP102" s="1771" t="n"/>
      <c r="AQ102" s="1771" t="n"/>
      <c r="AR102" s="1771" t="n"/>
      <c r="AS102" s="1771" t="n"/>
      <c r="AT102" s="1771" t="n"/>
      <c r="AU102" s="1771" t="n"/>
      <c r="AV102" s="1771" t="n"/>
      <c r="AW102" s="1771" t="n"/>
      <c r="AX102" s="1771" t="n"/>
      <c r="AY102" s="1771" t="n"/>
      <c r="AZ102" s="1771" t="n"/>
      <c r="BA102" s="1771" t="n"/>
      <c r="BB102" s="1771" t="n"/>
      <c r="BC102" s="1771" t="n"/>
      <c r="BD102" s="1771" t="n"/>
      <c r="BE102" s="1771" t="n"/>
      <c r="BF102" s="1771" t="n"/>
      <c r="BG102" s="1771" t="n"/>
      <c r="BH102" s="1771" t="n"/>
      <c r="BI102" s="1771" t="n"/>
      <c r="BJ102" s="1771" t="n"/>
      <c r="BK102" s="1771" t="n"/>
      <c r="BL102" s="1771" t="n"/>
      <c r="BM102" s="1771" t="n"/>
      <c r="BN102" s="1771" t="n"/>
      <c r="BO102" s="1771" t="n"/>
      <c r="BP102" s="1771" t="n"/>
      <c r="BQ102" s="1771" t="n"/>
      <c r="BR102" s="1771" t="n"/>
      <c r="BS102" s="1771" t="n"/>
      <c r="BT102" s="1771" t="n"/>
      <c r="BU102" s="1771" t="n"/>
      <c r="BV102" s="1771" t="n"/>
      <c r="BW102" s="1771" t="n"/>
      <c r="BX102" s="1771" t="n"/>
      <c r="BY102" s="1771" t="n"/>
      <c r="BZ102" s="1771" t="n"/>
      <c r="CA102" s="1771" t="n"/>
      <c r="CB102" s="1771" t="n"/>
      <c r="CC102" s="1771" t="n"/>
      <c r="CD102" s="1771" t="n"/>
      <c r="CE102" s="1771" t="n"/>
      <c r="CF102" s="1771" t="n"/>
      <c r="CG102" s="1771" t="n"/>
      <c r="CH102" s="1771" t="n"/>
      <c r="CI102" s="1771" t="n"/>
      <c r="CJ102" s="1771" t="n"/>
      <c r="CK102" s="1771" t="n"/>
      <c r="CL102" s="1771" t="n"/>
      <c r="CM102" s="1771" t="n"/>
      <c r="CN102" s="1771" t="n"/>
      <c r="CO102" s="1771" t="n"/>
      <c r="CP102" s="1771" t="n"/>
      <c r="CQ102" s="1771" t="n"/>
      <c r="CR102" s="1771" t="n"/>
      <c r="CS102" s="1771" t="n"/>
      <c r="CT102" s="1771" t="n"/>
      <c r="CU102" s="1771" t="n"/>
      <c r="CV102" s="1771" t="n"/>
      <c r="CW102" s="1771" t="n"/>
      <c r="CX102" s="1771" t="n"/>
      <c r="CY102" s="1771" t="n"/>
    </row>
    <row r="103">
      <c r="A103" s="1771" t="n"/>
      <c r="B103" s="1771" t="n"/>
      <c r="C103" s="1771" t="n"/>
      <c r="D103" s="1771" t="n"/>
      <c r="E103" s="1771" t="n"/>
      <c r="F103" s="1771" t="n"/>
      <c r="G103" s="1771" t="n"/>
      <c r="H103" s="1771" t="n"/>
      <c r="I103" s="1771" t="n"/>
      <c r="J103" s="1771" t="n"/>
      <c r="K103" s="1771" t="n"/>
      <c r="L103" s="1771" t="n"/>
      <c r="M103" s="1771" t="n"/>
      <c r="N103" s="1771" t="n"/>
      <c r="O103" s="1771" t="n"/>
      <c r="P103" s="1771" t="n"/>
      <c r="Q103" s="1771" t="n"/>
      <c r="R103" s="1771" t="n"/>
      <c r="S103" s="1771" t="n"/>
      <c r="T103" s="1771" t="n"/>
      <c r="U103" s="1771" t="n"/>
      <c r="V103" s="1771" t="n"/>
      <c r="W103" s="1771" t="n"/>
      <c r="X103" s="1771" t="n"/>
      <c r="Y103" s="1771" t="n"/>
      <c r="Z103" s="1771" t="n"/>
      <c r="AA103" s="1771" t="n"/>
      <c r="AB103" s="1771" t="n"/>
      <c r="AC103" s="1771" t="n"/>
      <c r="AD103" s="1771" t="n"/>
      <c r="AE103" s="1771" t="n"/>
      <c r="AF103" s="1771" t="n"/>
      <c r="AG103" s="1771" t="n"/>
      <c r="AH103" s="1771" t="n"/>
      <c r="AI103" s="1771" t="n"/>
      <c r="AJ103" s="1771" t="n"/>
      <c r="AK103" s="1771" t="n"/>
      <c r="AL103" s="1771" t="n"/>
      <c r="AM103" s="1771" t="n"/>
      <c r="AN103" s="1771" t="n"/>
      <c r="AO103" s="1771" t="n"/>
      <c r="AP103" s="1771" t="n"/>
      <c r="AQ103" s="1771" t="n"/>
      <c r="AR103" s="1771" t="n"/>
      <c r="AS103" s="1771" t="n"/>
      <c r="AT103" s="1771" t="n"/>
      <c r="AU103" s="1771" t="n"/>
      <c r="AV103" s="1771" t="n"/>
      <c r="AW103" s="1771" t="n"/>
      <c r="AX103" s="1771" t="n"/>
      <c r="AY103" s="1771" t="n"/>
      <c r="AZ103" s="1771" t="n"/>
      <c r="BA103" s="1771" t="n"/>
      <c r="BB103" s="1771" t="n"/>
      <c r="BC103" s="1771" t="n"/>
      <c r="BD103" s="1771" t="n"/>
      <c r="BE103" s="1771" t="n"/>
      <c r="BF103" s="1771" t="n"/>
      <c r="BG103" s="1771" t="n"/>
      <c r="BH103" s="1771" t="n"/>
      <c r="BI103" s="1771" t="n"/>
      <c r="BJ103" s="1771" t="n"/>
      <c r="BK103" s="1771" t="n"/>
      <c r="BL103" s="1771" t="n"/>
      <c r="BM103" s="1771" t="n"/>
      <c r="BN103" s="1771" t="n"/>
      <c r="BO103" s="1771" t="n"/>
      <c r="BP103" s="1771" t="n"/>
      <c r="BQ103" s="1771" t="n"/>
      <c r="BR103" s="1771" t="n"/>
      <c r="BS103" s="1771" t="n"/>
      <c r="BT103" s="1771" t="n"/>
      <c r="BU103" s="1771" t="n"/>
      <c r="BV103" s="1771" t="n"/>
      <c r="BW103" s="1771" t="n"/>
      <c r="BX103" s="1771" t="n"/>
      <c r="BY103" s="1771" t="n"/>
      <c r="BZ103" s="1771" t="n"/>
      <c r="CA103" s="1771" t="n"/>
      <c r="CB103" s="1771" t="n"/>
      <c r="CC103" s="1771" t="n"/>
      <c r="CD103" s="1771" t="n"/>
      <c r="CE103" s="1771" t="n"/>
      <c r="CF103" s="1771" t="n"/>
      <c r="CG103" s="1771" t="n"/>
      <c r="CH103" s="1771" t="n"/>
      <c r="CI103" s="1771" t="n"/>
      <c r="CJ103" s="1771" t="n"/>
      <c r="CK103" s="1771" t="n"/>
      <c r="CL103" s="1771" t="n"/>
      <c r="CM103" s="1771" t="n"/>
      <c r="CN103" s="1771" t="n"/>
      <c r="CO103" s="1771" t="n"/>
      <c r="CP103" s="1771" t="n"/>
      <c r="CQ103" s="1771" t="n"/>
      <c r="CR103" s="1771" t="n"/>
      <c r="CS103" s="1771" t="n"/>
      <c r="CT103" s="1771" t="n"/>
      <c r="CU103" s="1771" t="n"/>
      <c r="CV103" s="1771" t="n"/>
      <c r="CW103" s="1771" t="n"/>
      <c r="CX103" s="1771" t="n"/>
      <c r="CY103" s="1771" t="n"/>
    </row>
    <row r="104">
      <c r="A104" s="1771" t="n"/>
      <c r="B104" s="1771" t="n"/>
      <c r="C104" s="1771" t="n"/>
      <c r="D104" s="1771" t="n"/>
      <c r="E104" s="1771" t="n"/>
      <c r="F104" s="1771" t="n"/>
      <c r="G104" s="1771" t="n"/>
      <c r="H104" s="1771" t="n"/>
      <c r="I104" s="1771" t="n"/>
      <c r="J104" s="1771" t="n"/>
      <c r="K104" s="1771" t="n"/>
      <c r="L104" s="1771" t="n"/>
      <c r="M104" s="1771" t="n"/>
      <c r="N104" s="1771" t="n"/>
      <c r="O104" s="1771" t="n"/>
      <c r="P104" s="1771" t="n"/>
      <c r="Q104" s="1771" t="n"/>
      <c r="R104" s="1771" t="n"/>
      <c r="S104" s="1771" t="n"/>
      <c r="T104" s="1771" t="n"/>
      <c r="U104" s="1771" t="n"/>
      <c r="V104" s="1771" t="n"/>
      <c r="W104" s="1771" t="n"/>
      <c r="X104" s="1771" t="n"/>
      <c r="Y104" s="1771" t="n"/>
      <c r="Z104" s="1771" t="n"/>
      <c r="AA104" s="1771" t="n"/>
      <c r="AB104" s="1771" t="n"/>
      <c r="AC104" s="1771" t="n"/>
      <c r="AD104" s="1771" t="n"/>
      <c r="AE104" s="1771" t="n"/>
      <c r="AF104" s="1771" t="n"/>
      <c r="AG104" s="1771" t="n"/>
      <c r="AH104" s="1771" t="n"/>
      <c r="AI104" s="1771" t="n"/>
      <c r="AJ104" s="1771" t="n"/>
      <c r="AK104" s="1771" t="n"/>
      <c r="AL104" s="1771" t="n"/>
      <c r="AM104" s="1771" t="n"/>
      <c r="AN104" s="1771" t="n"/>
      <c r="AO104" s="1771" t="n"/>
      <c r="AP104" s="1771" t="n"/>
      <c r="AQ104" s="1771" t="n"/>
      <c r="AR104" s="1771" t="n"/>
      <c r="AS104" s="1771" t="n"/>
      <c r="AT104" s="1771" t="n"/>
      <c r="AU104" s="1771" t="n"/>
      <c r="AV104" s="1771" t="n"/>
      <c r="AW104" s="1771" t="n"/>
      <c r="AX104" s="1771" t="n"/>
      <c r="AY104" s="1771" t="n"/>
      <c r="AZ104" s="1771" t="n"/>
      <c r="BA104" s="1771" t="n"/>
      <c r="BB104" s="1771" t="n"/>
      <c r="BC104" s="1771" t="n"/>
      <c r="BD104" s="1771" t="n"/>
      <c r="BE104" s="1771" t="n"/>
      <c r="BF104" s="1771" t="n"/>
      <c r="BG104" s="1771" t="n"/>
      <c r="BH104" s="1771" t="n"/>
      <c r="BI104" s="1771" t="n"/>
      <c r="BJ104" s="1771" t="n"/>
      <c r="BK104" s="1771" t="n"/>
      <c r="BL104" s="1771" t="n"/>
      <c r="BM104" s="1771" t="n"/>
      <c r="BN104" s="1771" t="n"/>
      <c r="BO104" s="1771" t="n"/>
      <c r="BP104" s="1771" t="n"/>
      <c r="BQ104" s="1771" t="n"/>
      <c r="BR104" s="1771" t="n"/>
      <c r="BS104" s="1771" t="n"/>
      <c r="BT104" s="1771" t="n"/>
      <c r="BU104" s="1771" t="n"/>
      <c r="BV104" s="1771" t="n"/>
      <c r="BW104" s="1771" t="n"/>
      <c r="BX104" s="1771" t="n"/>
      <c r="BY104" s="1771" t="n"/>
      <c r="BZ104" s="1771" t="n"/>
      <c r="CA104" s="1771" t="n"/>
      <c r="CB104" s="1771" t="n"/>
      <c r="CC104" s="1771" t="n"/>
      <c r="CD104" s="1771" t="n"/>
      <c r="CE104" s="1771" t="n"/>
      <c r="CF104" s="1771" t="n"/>
      <c r="CG104" s="1771" t="n"/>
      <c r="CH104" s="1771" t="n"/>
      <c r="CI104" s="1771" t="n"/>
      <c r="CJ104" s="1771" t="n"/>
      <c r="CK104" s="1771" t="n"/>
      <c r="CL104" s="1771" t="n"/>
      <c r="CM104" s="1771" t="n"/>
      <c r="CN104" s="1771" t="n"/>
      <c r="CO104" s="1771" t="n"/>
      <c r="CP104" s="1771" t="n"/>
      <c r="CQ104" s="1771" t="n"/>
      <c r="CR104" s="1771" t="n"/>
      <c r="CS104" s="1771" t="n"/>
      <c r="CT104" s="1771" t="n"/>
      <c r="CU104" s="1771" t="n"/>
      <c r="CV104" s="1771" t="n"/>
      <c r="CW104" s="1771" t="n"/>
      <c r="CX104" s="1771" t="n"/>
      <c r="CY104" s="1771" t="n"/>
    </row>
    <row r="105">
      <c r="A105" s="1771" t="n"/>
      <c r="B105" s="1771" t="n"/>
      <c r="C105" s="1771" t="n"/>
      <c r="D105" s="1771" t="n"/>
      <c r="E105" s="1771" t="n"/>
      <c r="F105" s="1771" t="n"/>
      <c r="G105" s="1771" t="n"/>
      <c r="H105" s="1771" t="n"/>
      <c r="I105" s="1771" t="n"/>
      <c r="J105" s="1771" t="n"/>
      <c r="K105" s="1771" t="n"/>
      <c r="L105" s="1771" t="n"/>
      <c r="M105" s="1771" t="n"/>
      <c r="N105" s="1771" t="n"/>
      <c r="O105" s="1771" t="n"/>
      <c r="P105" s="1771" t="n"/>
      <c r="Q105" s="1771" t="n"/>
      <c r="R105" s="1771" t="n"/>
      <c r="S105" s="1771" t="n"/>
      <c r="T105" s="1771" t="n"/>
      <c r="U105" s="1771" t="n"/>
      <c r="V105" s="1771" t="n"/>
      <c r="W105" s="1771" t="n"/>
      <c r="X105" s="1771" t="n"/>
      <c r="Y105" s="1771" t="n"/>
      <c r="Z105" s="1771" t="n"/>
      <c r="AA105" s="1771" t="n"/>
      <c r="AB105" s="1771" t="n"/>
      <c r="AC105" s="1771" t="n"/>
      <c r="AD105" s="1771" t="n"/>
      <c r="AE105" s="1771" t="n"/>
      <c r="AF105" s="1771" t="n"/>
      <c r="AG105" s="1771" t="n"/>
      <c r="AH105" s="1771" t="n"/>
      <c r="AI105" s="1771" t="n"/>
      <c r="AJ105" s="1771" t="n"/>
      <c r="AK105" s="1771" t="n"/>
      <c r="AL105" s="1771" t="n"/>
      <c r="AM105" s="1771" t="n"/>
      <c r="AN105" s="1771" t="n"/>
      <c r="AO105" s="1771" t="n"/>
      <c r="AP105" s="1771" t="n"/>
      <c r="AQ105" s="1771" t="n"/>
      <c r="AR105" s="1771" t="n"/>
      <c r="AS105" s="1771" t="n"/>
      <c r="AT105" s="1771" t="n"/>
      <c r="AU105" s="1771" t="n"/>
      <c r="AV105" s="1771" t="n"/>
      <c r="AW105" s="1771" t="n"/>
      <c r="AX105" s="1771" t="n"/>
      <c r="AY105" s="1771" t="n"/>
      <c r="AZ105" s="1771" t="n"/>
      <c r="BA105" s="1771" t="n"/>
      <c r="BB105" s="1771" t="n"/>
      <c r="BC105" s="1771" t="n"/>
      <c r="BD105" s="1771" t="n"/>
      <c r="BE105" s="1771" t="n"/>
      <c r="BF105" s="1771" t="n"/>
      <c r="BG105" s="1771" t="n"/>
      <c r="BH105" s="1771" t="n"/>
      <c r="BI105" s="1771" t="n"/>
      <c r="BJ105" s="1771" t="n"/>
      <c r="BK105" s="1771" t="n"/>
      <c r="BL105" s="1771" t="n"/>
      <c r="BM105" s="1771" t="n"/>
      <c r="BN105" s="1771" t="n"/>
      <c r="BO105" s="1771" t="n"/>
      <c r="BP105" s="1771" t="n"/>
      <c r="BQ105" s="1771" t="n"/>
      <c r="BR105" s="1771" t="n"/>
      <c r="BS105" s="1771" t="n"/>
      <c r="BT105" s="1771" t="n"/>
      <c r="BU105" s="1771" t="n"/>
      <c r="BV105" s="1771" t="n"/>
      <c r="BW105" s="1771" t="n"/>
      <c r="BX105" s="1771" t="n"/>
      <c r="BY105" s="1771" t="n"/>
      <c r="BZ105" s="1771" t="n"/>
      <c r="CA105" s="1771" t="n"/>
      <c r="CB105" s="1771" t="n"/>
      <c r="CC105" s="1771" t="n"/>
      <c r="CD105" s="1771" t="n"/>
      <c r="CE105" s="1771" t="n"/>
      <c r="CF105" s="1771" t="n"/>
      <c r="CG105" s="1771" t="n"/>
      <c r="CH105" s="1771" t="n"/>
      <c r="CI105" s="1771" t="n"/>
      <c r="CJ105" s="1771" t="n"/>
      <c r="CK105" s="1771" t="n"/>
      <c r="CL105" s="1771" t="n"/>
      <c r="CM105" s="1771" t="n"/>
      <c r="CN105" s="1771" t="n"/>
      <c r="CO105" s="1771" t="n"/>
      <c r="CP105" s="1771" t="n"/>
      <c r="CQ105" s="1771" t="n"/>
      <c r="CR105" s="1771" t="n"/>
      <c r="CS105" s="1771" t="n"/>
      <c r="CT105" s="1771" t="n"/>
      <c r="CU105" s="1771" t="n"/>
      <c r="CV105" s="1771" t="n"/>
      <c r="CW105" s="1771" t="n"/>
      <c r="CX105" s="1771" t="n"/>
      <c r="CY105" s="1771" t="n"/>
    </row>
    <row r="106">
      <c r="A106" s="1771" t="n"/>
      <c r="B106" s="1771" t="n"/>
      <c r="C106" s="1771" t="n"/>
      <c r="D106" s="1771" t="n"/>
      <c r="E106" s="1771" t="n"/>
      <c r="F106" s="1771" t="n"/>
      <c r="G106" s="1771" t="n"/>
      <c r="H106" s="1771" t="n"/>
      <c r="I106" s="1771" t="n"/>
      <c r="J106" s="1771" t="n"/>
      <c r="K106" s="1771" t="n"/>
      <c r="L106" s="1771" t="n"/>
      <c r="M106" s="1771" t="n"/>
      <c r="N106" s="1771" t="n"/>
      <c r="O106" s="1771" t="n"/>
      <c r="P106" s="1771" t="n"/>
      <c r="Q106" s="1771" t="n"/>
      <c r="R106" s="1771" t="n"/>
      <c r="S106" s="1771" t="n"/>
      <c r="T106" s="1771" t="n"/>
      <c r="U106" s="1771" t="n"/>
      <c r="V106" s="1771" t="n"/>
      <c r="W106" s="1771" t="n"/>
      <c r="X106" s="1771" t="n"/>
      <c r="Y106" s="1771" t="n"/>
      <c r="Z106" s="1771" t="n"/>
      <c r="AA106" s="1771" t="n"/>
      <c r="AB106" s="1771" t="n"/>
      <c r="AC106" s="1771" t="n"/>
      <c r="AD106" s="1771" t="n"/>
      <c r="AE106" s="1771" t="n"/>
      <c r="AF106" s="1771" t="n"/>
      <c r="AG106" s="1771" t="n"/>
      <c r="AH106" s="1771" t="n"/>
      <c r="AI106" s="1771" t="n"/>
      <c r="AJ106" s="1771" t="n"/>
      <c r="AK106" s="1771" t="n"/>
      <c r="AL106" s="1771" t="n"/>
      <c r="AM106" s="1771" t="n"/>
      <c r="AN106" s="1771" t="n"/>
      <c r="AO106" s="1771" t="n"/>
      <c r="AP106" s="1771" t="n"/>
      <c r="AQ106" s="1771" t="n"/>
      <c r="AR106" s="1771" t="n"/>
      <c r="AS106" s="1771" t="n"/>
      <c r="AT106" s="1771" t="n"/>
      <c r="AU106" s="1771" t="n"/>
      <c r="AV106" s="1771" t="n"/>
      <c r="AW106" s="1771" t="n"/>
      <c r="AX106" s="1771" t="n"/>
      <c r="AY106" s="1771" t="n"/>
      <c r="AZ106" s="1771" t="n"/>
      <c r="BA106" s="1771" t="n"/>
      <c r="BB106" s="1771" t="n"/>
      <c r="BC106" s="1771" t="n"/>
      <c r="BD106" s="1771" t="n"/>
      <c r="BE106" s="1771" t="n"/>
      <c r="BF106" s="1771" t="n"/>
      <c r="BG106" s="1771" t="n"/>
      <c r="BH106" s="1771" t="n"/>
      <c r="BI106" s="1771" t="n"/>
      <c r="BJ106" s="1771" t="n"/>
      <c r="BK106" s="1771" t="n"/>
      <c r="BL106" s="1771" t="n"/>
      <c r="BM106" s="1771" t="n"/>
      <c r="BN106" s="1771" t="n"/>
      <c r="BO106" s="1771" t="n"/>
      <c r="BP106" s="1771" t="n"/>
      <c r="BQ106" s="1771" t="n"/>
      <c r="BR106" s="1771" t="n"/>
      <c r="BS106" s="1771" t="n"/>
      <c r="BT106" s="1771" t="n"/>
      <c r="BU106" s="1771" t="n"/>
      <c r="BV106" s="1771" t="n"/>
      <c r="BW106" s="1771" t="n"/>
      <c r="BX106" s="1771" t="n"/>
      <c r="BY106" s="1771" t="n"/>
      <c r="BZ106" s="1771" t="n"/>
      <c r="CA106" s="1771" t="n"/>
      <c r="CB106" s="1771" t="n"/>
      <c r="CC106" s="1771" t="n"/>
      <c r="CD106" s="1771" t="n"/>
      <c r="CE106" s="1771" t="n"/>
      <c r="CF106" s="1771" t="n"/>
      <c r="CG106" s="1771" t="n"/>
      <c r="CH106" s="1771" t="n"/>
      <c r="CI106" s="1771" t="n"/>
      <c r="CJ106" s="1771" t="n"/>
      <c r="CK106" s="1771" t="n"/>
      <c r="CL106" s="1771" t="n"/>
      <c r="CM106" s="1771" t="n"/>
      <c r="CN106" s="1771" t="n"/>
      <c r="CO106" s="1771" t="n"/>
      <c r="CP106" s="1771" t="n"/>
      <c r="CQ106" s="1771" t="n"/>
      <c r="CR106" s="1771" t="n"/>
      <c r="CS106" s="1771" t="n"/>
      <c r="CT106" s="1771" t="n"/>
      <c r="CU106" s="1771" t="n"/>
      <c r="CV106" s="1771" t="n"/>
      <c r="CW106" s="1771" t="n"/>
      <c r="CX106" s="1771" t="n"/>
      <c r="CY106" s="1771" t="n"/>
    </row>
    <row r="107">
      <c r="A107" s="1771" t="n"/>
      <c r="B107" s="1771" t="n"/>
      <c r="C107" s="1771" t="n"/>
      <c r="D107" s="1771" t="n"/>
      <c r="E107" s="1771" t="n"/>
      <c r="F107" s="1771" t="n"/>
      <c r="G107" s="1771" t="n"/>
      <c r="H107" s="1771" t="n"/>
      <c r="I107" s="1771" t="n"/>
      <c r="J107" s="1771" t="n"/>
      <c r="K107" s="1771" t="n"/>
      <c r="L107" s="1771" t="n"/>
      <c r="M107" s="1771" t="n"/>
      <c r="N107" s="1771" t="n"/>
      <c r="O107" s="1771" t="n"/>
      <c r="P107" s="1771" t="n"/>
      <c r="Q107" s="1771" t="n"/>
      <c r="R107" s="1771" t="n"/>
      <c r="S107" s="1771" t="n"/>
      <c r="T107" s="1771" t="n"/>
      <c r="U107" s="1771" t="n"/>
      <c r="V107" s="1771" t="n"/>
      <c r="W107" s="1771" t="n"/>
      <c r="X107" s="1771" t="n"/>
      <c r="Y107" s="1771" t="n"/>
      <c r="Z107" s="1771" t="n"/>
      <c r="AA107" s="1771" t="n"/>
      <c r="AB107" s="1771" t="n"/>
      <c r="AC107" s="1771" t="n"/>
      <c r="AD107" s="1771" t="n"/>
      <c r="AE107" s="1771" t="n"/>
      <c r="AF107" s="1771" t="n"/>
      <c r="AG107" s="1771" t="n"/>
      <c r="AH107" s="1771" t="n"/>
      <c r="AI107" s="1771" t="n"/>
      <c r="AJ107" s="1771" t="n"/>
      <c r="AK107" s="1771" t="n"/>
      <c r="AL107" s="1771" t="n"/>
      <c r="AM107" s="1771" t="n"/>
      <c r="AN107" s="1771" t="n"/>
      <c r="AO107" s="1771" t="n"/>
      <c r="AP107" s="1771" t="n"/>
      <c r="AQ107" s="1771" t="n"/>
      <c r="AR107" s="1771" t="n"/>
      <c r="AS107" s="1771" t="n"/>
      <c r="AT107" s="1771" t="n"/>
      <c r="AU107" s="1771" t="n"/>
      <c r="AV107" s="1771" t="n"/>
      <c r="AW107" s="1771" t="n"/>
      <c r="AX107" s="1771" t="n"/>
      <c r="AY107" s="1771" t="n"/>
      <c r="AZ107" s="1771" t="n"/>
      <c r="BA107" s="1771" t="n"/>
      <c r="BB107" s="1771" t="n"/>
      <c r="BC107" s="1771" t="n"/>
      <c r="BD107" s="1771" t="n"/>
      <c r="BE107" s="1771" t="n"/>
      <c r="BF107" s="1771" t="n"/>
      <c r="BG107" s="1771" t="n"/>
      <c r="BH107" s="1771" t="n"/>
      <c r="BI107" s="1771" t="n"/>
      <c r="BJ107" s="1771" t="n"/>
      <c r="BK107" s="1771" t="n"/>
      <c r="BL107" s="1771" t="n"/>
      <c r="BM107" s="1771" t="n"/>
      <c r="BN107" s="1771" t="n"/>
      <c r="BO107" s="1771" t="n"/>
      <c r="BP107" s="1771" t="n"/>
      <c r="BQ107" s="1771" t="n"/>
      <c r="BR107" s="1771" t="n"/>
      <c r="BS107" s="1771" t="n"/>
      <c r="BT107" s="1771" t="n"/>
      <c r="BU107" s="1771" t="n"/>
      <c r="BV107" s="1771" t="n"/>
      <c r="BW107" s="1771" t="n"/>
      <c r="BX107" s="1771" t="n"/>
      <c r="BY107" s="1771" t="n"/>
      <c r="BZ107" s="1771" t="n"/>
      <c r="CA107" s="1771" t="n"/>
      <c r="CB107" s="1771" t="n"/>
      <c r="CC107" s="1771" t="n"/>
      <c r="CD107" s="1771" t="n"/>
      <c r="CE107" s="1771" t="n"/>
      <c r="CF107" s="1771" t="n"/>
      <c r="CG107" s="1771" t="n"/>
      <c r="CH107" s="1771" t="n"/>
      <c r="CI107" s="1771" t="n"/>
      <c r="CJ107" s="1771" t="n"/>
      <c r="CK107" s="1771" t="n"/>
      <c r="CL107" s="1771" t="n"/>
      <c r="CM107" s="1771" t="n"/>
      <c r="CN107" s="1771" t="n"/>
      <c r="CO107" s="1771" t="n"/>
      <c r="CP107" s="1771" t="n"/>
      <c r="CQ107" s="1771" t="n"/>
      <c r="CR107" s="1771" t="n"/>
      <c r="CS107" s="1771" t="n"/>
      <c r="CT107" s="1771" t="n"/>
      <c r="CU107" s="1771" t="n"/>
      <c r="CV107" s="1771" t="n"/>
      <c r="CW107" s="1771" t="n"/>
      <c r="CX107" s="1771" t="n"/>
      <c r="CY107" s="1771" t="n"/>
    </row>
    <row r="108">
      <c r="A108" s="1771" t="n"/>
      <c r="B108" s="1771" t="n"/>
      <c r="C108" s="1771" t="n"/>
      <c r="D108" s="1771" t="n"/>
      <c r="E108" s="1771" t="n"/>
      <c r="F108" s="1771" t="n"/>
      <c r="G108" s="1771" t="n"/>
      <c r="H108" s="1771" t="n"/>
      <c r="I108" s="1771" t="n"/>
      <c r="J108" s="1771" t="n"/>
      <c r="K108" s="1771" t="n"/>
      <c r="L108" s="1771" t="n"/>
      <c r="M108" s="1771" t="n"/>
      <c r="N108" s="1771" t="n"/>
      <c r="O108" s="1771" t="n"/>
      <c r="P108" s="1771" t="n"/>
      <c r="Q108" s="1771" t="n"/>
      <c r="R108" s="1771" t="n"/>
      <c r="S108" s="1771" t="n"/>
      <c r="T108" s="1771" t="n"/>
      <c r="U108" s="1771" t="n"/>
      <c r="V108" s="1771" t="n"/>
      <c r="W108" s="1771" t="n"/>
      <c r="X108" s="1771" t="n"/>
      <c r="Y108" s="1771" t="n"/>
      <c r="Z108" s="1771" t="n"/>
      <c r="AA108" s="1771" t="n"/>
      <c r="AB108" s="1771" t="n"/>
      <c r="AC108" s="1771" t="n"/>
      <c r="AD108" s="1771" t="n"/>
      <c r="AE108" s="1771" t="n"/>
      <c r="AF108" s="1771" t="n"/>
      <c r="AG108" s="1771" t="n"/>
      <c r="AH108" s="1771" t="n"/>
      <c r="AI108" s="1771" t="n"/>
      <c r="AJ108" s="1771" t="n"/>
      <c r="AK108" s="1771" t="n"/>
      <c r="AL108" s="1771" t="n"/>
      <c r="AM108" s="1771" t="n"/>
      <c r="AN108" s="1771" t="n"/>
      <c r="AO108" s="1771" t="n"/>
      <c r="AP108" s="1771" t="n"/>
      <c r="AQ108" s="1771" t="n"/>
      <c r="AR108" s="1771" t="n"/>
      <c r="AS108" s="1771" t="n"/>
      <c r="AT108" s="1771" t="n"/>
      <c r="AU108" s="1771" t="n"/>
      <c r="AV108" s="1771" t="n"/>
      <c r="AW108" s="1771" t="n"/>
      <c r="AX108" s="1771" t="n"/>
      <c r="AY108" s="1771" t="n"/>
      <c r="AZ108" s="1771" t="n"/>
      <c r="BA108" s="1771" t="n"/>
      <c r="BB108" s="1771" t="n"/>
      <c r="BC108" s="1771" t="n"/>
      <c r="BD108" s="1771" t="n"/>
      <c r="BE108" s="1771" t="n"/>
      <c r="BF108" s="1771" t="n"/>
      <c r="BG108" s="1771" t="n"/>
      <c r="BH108" s="1771" t="n"/>
      <c r="BI108" s="1771" t="n"/>
      <c r="BJ108" s="1771" t="n"/>
      <c r="BK108" s="1771" t="n"/>
      <c r="BL108" s="1771" t="n"/>
      <c r="BM108" s="1771" t="n"/>
      <c r="BN108" s="1771" t="n"/>
      <c r="BO108" s="1771" t="n"/>
      <c r="BP108" s="1771" t="n"/>
      <c r="BQ108" s="1771" t="n"/>
      <c r="BR108" s="1771" t="n"/>
      <c r="BS108" s="1771" t="n"/>
      <c r="BT108" s="1771" t="n"/>
      <c r="BU108" s="1771" t="n"/>
      <c r="BV108" s="1771" t="n"/>
      <c r="BW108" s="1771" t="n"/>
      <c r="BX108" s="1771" t="n"/>
      <c r="BY108" s="1771" t="n"/>
      <c r="BZ108" s="1771" t="n"/>
      <c r="CA108" s="1771" t="n"/>
      <c r="CB108" s="1771" t="n"/>
      <c r="CC108" s="1771" t="n"/>
      <c r="CD108" s="1771" t="n"/>
      <c r="CE108" s="1771" t="n"/>
      <c r="CF108" s="1771" t="n"/>
      <c r="CG108" s="1771" t="n"/>
      <c r="CH108" s="1771" t="n"/>
      <c r="CI108" s="1771" t="n"/>
      <c r="CJ108" s="1771" t="n"/>
      <c r="CK108" s="1771" t="n"/>
      <c r="CL108" s="1771" t="n"/>
      <c r="CM108" s="1771" t="n"/>
      <c r="CN108" s="1771" t="n"/>
      <c r="CO108" s="1771" t="n"/>
      <c r="CP108" s="1771" t="n"/>
      <c r="CQ108" s="1771" t="n"/>
      <c r="CR108" s="1771" t="n"/>
      <c r="CS108" s="1771" t="n"/>
      <c r="CT108" s="1771" t="n"/>
      <c r="CU108" s="1771" t="n"/>
      <c r="CV108" s="1771" t="n"/>
      <c r="CW108" s="1771" t="n"/>
      <c r="CX108" s="1771" t="n"/>
      <c r="CY108" s="1771" t="n"/>
    </row>
    <row r="109">
      <c r="A109" s="1771" t="n"/>
      <c r="B109" s="1771" t="n"/>
      <c r="C109" s="1771" t="n"/>
      <c r="D109" s="1771" t="n"/>
      <c r="E109" s="1771" t="n"/>
      <c r="F109" s="1771" t="n"/>
      <c r="G109" s="1771" t="n"/>
      <c r="H109" s="1771" t="n"/>
      <c r="I109" s="1771" t="n"/>
      <c r="J109" s="1771" t="n"/>
      <c r="K109" s="1771" t="n"/>
      <c r="L109" s="1771" t="n"/>
      <c r="M109" s="1771" t="n"/>
      <c r="N109" s="1771" t="n"/>
      <c r="O109" s="1771" t="n"/>
      <c r="P109" s="1771" t="n"/>
      <c r="Q109" s="1771" t="n"/>
      <c r="R109" s="1771" t="n"/>
      <c r="S109" s="1771" t="n"/>
      <c r="T109" s="1771" t="n"/>
      <c r="U109" s="1771" t="n"/>
      <c r="V109" s="1771" t="n"/>
      <c r="W109" s="1771" t="n"/>
      <c r="X109" s="1771" t="n"/>
      <c r="Y109" s="1771" t="n"/>
      <c r="Z109" s="1771" t="n"/>
      <c r="AA109" s="1771" t="n"/>
      <c r="AB109" s="1771" t="n"/>
      <c r="AC109" s="1771" t="n"/>
      <c r="AD109" s="1771" t="n"/>
      <c r="AE109" s="1771" t="n"/>
      <c r="AF109" s="1771" t="n"/>
      <c r="AG109" s="1771" t="n"/>
      <c r="AH109" s="1771" t="n"/>
      <c r="AI109" s="1771" t="n"/>
      <c r="AJ109" s="1771" t="n"/>
      <c r="AK109" s="1771" t="n"/>
      <c r="AL109" s="1771" t="n"/>
      <c r="AM109" s="1771" t="n"/>
      <c r="AN109" s="1771" t="n"/>
      <c r="AO109" s="1771" t="n"/>
      <c r="AP109" s="1771" t="n"/>
      <c r="AQ109" s="1771" t="n"/>
      <c r="AR109" s="1771" t="n"/>
      <c r="AS109" s="1771" t="n"/>
      <c r="AT109" s="1771" t="n"/>
      <c r="AU109" s="1771" t="n"/>
      <c r="AV109" s="1771" t="n"/>
      <c r="AW109" s="1771" t="n"/>
      <c r="AX109" s="1771" t="n"/>
      <c r="AY109" s="1771" t="n"/>
      <c r="AZ109" s="1771" t="n"/>
      <c r="BA109" s="1771" t="n"/>
      <c r="BB109" s="1771" t="n"/>
      <c r="BC109" s="1771" t="n"/>
      <c r="BD109" s="1771" t="n"/>
      <c r="BE109" s="1771" t="n"/>
      <c r="BF109" s="1771" t="n"/>
      <c r="BG109" s="1771" t="n"/>
      <c r="BH109" s="1771" t="n"/>
      <c r="BI109" s="1771" t="n"/>
      <c r="BJ109" s="1771" t="n"/>
      <c r="BK109" s="1771" t="n"/>
      <c r="BL109" s="1771" t="n"/>
      <c r="BM109" s="1771" t="n"/>
      <c r="BN109" s="1771" t="n"/>
      <c r="BO109" s="1771" t="n"/>
      <c r="BP109" s="1771" t="n"/>
      <c r="BQ109" s="1771" t="n"/>
      <c r="BR109" s="1771" t="n"/>
      <c r="BS109" s="1771" t="n"/>
      <c r="BT109" s="1771" t="n"/>
      <c r="BU109" s="1771" t="n"/>
      <c r="BV109" s="1771" t="n"/>
      <c r="BW109" s="1771" t="n"/>
      <c r="BX109" s="1771" t="n"/>
      <c r="BY109" s="1771" t="n"/>
      <c r="BZ109" s="1771" t="n"/>
      <c r="CA109" s="1771" t="n"/>
      <c r="CB109" s="1771" t="n"/>
      <c r="CC109" s="1771" t="n"/>
      <c r="CD109" s="1771" t="n"/>
      <c r="CE109" s="1771" t="n"/>
      <c r="CF109" s="1771" t="n"/>
      <c r="CG109" s="1771" t="n"/>
      <c r="CH109" s="1771" t="n"/>
      <c r="CI109" s="1771" t="n"/>
      <c r="CJ109" s="1771" t="n"/>
      <c r="CK109" s="1771" t="n"/>
      <c r="CL109" s="1771" t="n"/>
      <c r="CM109" s="1771" t="n"/>
      <c r="CN109" s="1771" t="n"/>
      <c r="CO109" s="1771" t="n"/>
      <c r="CP109" s="1771" t="n"/>
      <c r="CQ109" s="1771" t="n"/>
      <c r="CR109" s="1771" t="n"/>
      <c r="CS109" s="1771" t="n"/>
      <c r="CT109" s="1771" t="n"/>
      <c r="CU109" s="1771" t="n"/>
      <c r="CV109" s="1771" t="n"/>
      <c r="CW109" s="1771" t="n"/>
      <c r="CX109" s="1771" t="n"/>
      <c r="CY109" s="1771" t="n"/>
    </row>
    <row r="110">
      <c r="A110" s="1771" t="n"/>
      <c r="B110" s="1771" t="n"/>
      <c r="C110" s="1771" t="n"/>
      <c r="D110" s="1771" t="n"/>
      <c r="E110" s="1771" t="n"/>
      <c r="F110" s="1771" t="n"/>
      <c r="G110" s="1771" t="n"/>
      <c r="H110" s="1771" t="n"/>
      <c r="I110" s="1771" t="n"/>
      <c r="J110" s="1771" t="n"/>
      <c r="K110" s="1771" t="n"/>
      <c r="L110" s="1771" t="n"/>
      <c r="M110" s="1771" t="n"/>
      <c r="N110" s="1771" t="n"/>
      <c r="O110" s="1771" t="n"/>
      <c r="P110" s="1771" t="n"/>
      <c r="Q110" s="1771" t="n"/>
      <c r="R110" s="1771" t="n"/>
      <c r="S110" s="1771" t="n"/>
      <c r="T110" s="1771" t="n"/>
      <c r="U110" s="1771" t="n"/>
      <c r="V110" s="1771" t="n"/>
      <c r="W110" s="1771" t="n"/>
      <c r="X110" s="1771" t="n"/>
      <c r="Y110" s="1771" t="n"/>
      <c r="Z110" s="1771" t="n"/>
      <c r="AA110" s="1771" t="n"/>
      <c r="AB110" s="1771" t="n"/>
      <c r="AC110" s="1771" t="n"/>
      <c r="AD110" s="1771" t="n"/>
      <c r="AE110" s="1771" t="n"/>
      <c r="AF110" s="1771" t="n"/>
      <c r="AG110" s="1771" t="n"/>
      <c r="AH110" s="1771" t="n"/>
      <c r="AI110" s="1771" t="n"/>
      <c r="AJ110" s="1771" t="n"/>
      <c r="AK110" s="1771" t="n"/>
      <c r="AL110" s="1771" t="n"/>
      <c r="AM110" s="1771" t="n"/>
      <c r="AN110" s="1771" t="n"/>
      <c r="AO110" s="1771" t="n"/>
      <c r="AP110" s="1771" t="n"/>
      <c r="AQ110" s="1771" t="n"/>
      <c r="AR110" s="1771" t="n"/>
      <c r="AS110" s="1771" t="n"/>
      <c r="AT110" s="1771" t="n"/>
      <c r="AU110" s="1771" t="n"/>
      <c r="AV110" s="1771" t="n"/>
      <c r="AW110" s="1771" t="n"/>
      <c r="AX110" s="1771" t="n"/>
      <c r="AY110" s="1771" t="n"/>
      <c r="AZ110" s="1771" t="n"/>
      <c r="BA110" s="1771" t="n"/>
      <c r="BB110" s="1771" t="n"/>
      <c r="BC110" s="1771" t="n"/>
      <c r="BD110" s="1771" t="n"/>
      <c r="BE110" s="1771" t="n"/>
      <c r="BF110" s="1771" t="n"/>
      <c r="BG110" s="1771" t="n"/>
      <c r="BH110" s="1771" t="n"/>
      <c r="BI110" s="1771" t="n"/>
      <c r="BJ110" s="1771" t="n"/>
      <c r="BK110" s="1771" t="n"/>
      <c r="BL110" s="1771" t="n"/>
      <c r="BM110" s="1771" t="n"/>
      <c r="BN110" s="1771" t="n"/>
      <c r="BO110" s="1771" t="n"/>
      <c r="BP110" s="1771" t="n"/>
      <c r="BQ110" s="1771" t="n"/>
      <c r="BR110" s="1771" t="n"/>
      <c r="BS110" s="1771" t="n"/>
      <c r="BT110" s="1771" t="n"/>
      <c r="BU110" s="1771" t="n"/>
      <c r="BV110" s="1771" t="n"/>
      <c r="BW110" s="1771" t="n"/>
      <c r="BX110" s="1771" t="n"/>
      <c r="BY110" s="1771" t="n"/>
      <c r="BZ110" s="1771" t="n"/>
      <c r="CA110" s="1771" t="n"/>
      <c r="CB110" s="1771" t="n"/>
      <c r="CC110" s="1771" t="n"/>
      <c r="CD110" s="1771" t="n"/>
      <c r="CE110" s="1771" t="n"/>
      <c r="CF110" s="1771" t="n"/>
      <c r="CG110" s="1771" t="n"/>
      <c r="CH110" s="1771" t="n"/>
      <c r="CI110" s="1771" t="n"/>
      <c r="CJ110" s="1771" t="n"/>
      <c r="CK110" s="1771" t="n"/>
      <c r="CL110" s="1771" t="n"/>
      <c r="CM110" s="1771" t="n"/>
      <c r="CN110" s="1771" t="n"/>
      <c r="CO110" s="1771" t="n"/>
      <c r="CP110" s="1771" t="n"/>
      <c r="CQ110" s="1771" t="n"/>
      <c r="CR110" s="1771" t="n"/>
      <c r="CS110" s="1771" t="n"/>
      <c r="CT110" s="1771" t="n"/>
      <c r="CU110" s="1771" t="n"/>
      <c r="CV110" s="1771" t="n"/>
      <c r="CW110" s="1771" t="n"/>
      <c r="CX110" s="1771" t="n"/>
      <c r="CY110" s="1771" t="n"/>
    </row>
    <row r="111">
      <c r="A111" s="1771" t="n"/>
      <c r="B111" s="1771" t="n"/>
      <c r="C111" s="1771" t="n"/>
      <c r="D111" s="1771" t="n"/>
      <c r="E111" s="1771" t="n"/>
      <c r="F111" s="1771" t="n"/>
      <c r="G111" s="1771" t="n"/>
      <c r="H111" s="1771" t="n"/>
      <c r="I111" s="1771" t="n"/>
      <c r="J111" s="1771" t="n"/>
      <c r="K111" s="1771" t="n"/>
      <c r="L111" s="1771" t="n"/>
      <c r="M111" s="1771" t="n"/>
      <c r="N111" s="1771" t="n"/>
      <c r="O111" s="1771" t="n"/>
      <c r="P111" s="1771" t="n"/>
      <c r="Q111" s="1771" t="n"/>
      <c r="R111" s="1771" t="n"/>
      <c r="S111" s="1771" t="n"/>
      <c r="T111" s="1771" t="n"/>
      <c r="U111" s="1771" t="n"/>
      <c r="V111" s="1771" t="n"/>
      <c r="W111" s="1771" t="n"/>
      <c r="X111" s="1771" t="n"/>
      <c r="Y111" s="1771" t="n"/>
      <c r="Z111" s="1771" t="n"/>
      <c r="AA111" s="1771" t="n"/>
      <c r="AB111" s="1771" t="n"/>
      <c r="AC111" s="1771" t="n"/>
      <c r="AD111" s="1771" t="n"/>
      <c r="AE111" s="1771" t="n"/>
      <c r="AF111" s="1771" t="n"/>
      <c r="AG111" s="1771" t="n"/>
      <c r="AH111" s="1771" t="n"/>
      <c r="AI111" s="1771" t="n"/>
      <c r="AJ111" s="1771" t="n"/>
      <c r="AK111" s="1771" t="n"/>
      <c r="AL111" s="1771" t="n"/>
      <c r="AM111" s="1771" t="n"/>
      <c r="AN111" s="1771" t="n"/>
      <c r="AO111" s="1771" t="n"/>
      <c r="AP111" s="1771" t="n"/>
      <c r="AQ111" s="1771" t="n"/>
      <c r="AR111" s="1771" t="n"/>
      <c r="AS111" s="1771" t="n"/>
      <c r="AT111" s="1771" t="n"/>
      <c r="AU111" s="1771" t="n"/>
      <c r="AV111" s="1771" t="n"/>
      <c r="AW111" s="1771" t="n"/>
      <c r="AX111" s="1771" t="n"/>
      <c r="AY111" s="1771" t="n"/>
      <c r="AZ111" s="1771" t="n"/>
      <c r="BA111" s="1771" t="n"/>
      <c r="BB111" s="1771" t="n"/>
      <c r="BC111" s="1771" t="n"/>
      <c r="BD111" s="1771" t="n"/>
      <c r="BE111" s="1771" t="n"/>
      <c r="BF111" s="1771" t="n"/>
      <c r="BG111" s="1771" t="n"/>
      <c r="BH111" s="1771" t="n"/>
      <c r="BI111" s="1771" t="n"/>
      <c r="BJ111" s="1771" t="n"/>
      <c r="BK111" s="1771" t="n"/>
      <c r="BL111" s="1771" t="n"/>
      <c r="BM111" s="1771" t="n"/>
      <c r="BN111" s="1771" t="n"/>
      <c r="BO111" s="1771" t="n"/>
      <c r="BP111" s="1771" t="n"/>
      <c r="BQ111" s="1771" t="n"/>
      <c r="BR111" s="1771" t="n"/>
      <c r="BS111" s="1771" t="n"/>
      <c r="BT111" s="1771" t="n"/>
      <c r="BU111" s="1771" t="n"/>
      <c r="BV111" s="1771" t="n"/>
      <c r="BW111" s="1771" t="n"/>
      <c r="BX111" s="1771" t="n"/>
      <c r="BY111" s="1771" t="n"/>
      <c r="BZ111" s="1771" t="n"/>
      <c r="CA111" s="1771" t="n"/>
      <c r="CB111" s="1771" t="n"/>
      <c r="CC111" s="1771" t="n"/>
      <c r="CD111" s="1771" t="n"/>
      <c r="CE111" s="1771" t="n"/>
      <c r="CF111" s="1771" t="n"/>
      <c r="CG111" s="1771" t="n"/>
      <c r="CH111" s="1771" t="n"/>
      <c r="CI111" s="1771" t="n"/>
      <c r="CJ111" s="1771" t="n"/>
      <c r="CK111" s="1771" t="n"/>
      <c r="CL111" s="1771" t="n"/>
      <c r="CM111" s="1771" t="n"/>
      <c r="CN111" s="1771" t="n"/>
      <c r="CO111" s="1771" t="n"/>
      <c r="CP111" s="1771" t="n"/>
      <c r="CQ111" s="1771" t="n"/>
      <c r="CR111" s="1771" t="n"/>
      <c r="CS111" s="1771" t="n"/>
      <c r="CT111" s="1771" t="n"/>
      <c r="CU111" s="1771" t="n"/>
      <c r="CV111" s="1771" t="n"/>
      <c r="CW111" s="1771" t="n"/>
      <c r="CX111" s="1771" t="n"/>
      <c r="CY111" s="1771" t="n"/>
    </row>
    <row r="112">
      <c r="A112" s="1771" t="n"/>
      <c r="B112" s="1771" t="n"/>
      <c r="C112" s="1771" t="n"/>
      <c r="D112" s="1771" t="n"/>
      <c r="E112" s="1771" t="n"/>
      <c r="F112" s="1771" t="n"/>
      <c r="G112" s="1771" t="n"/>
      <c r="H112" s="1771" t="n"/>
      <c r="I112" s="1771" t="n"/>
      <c r="J112" s="1771" t="n"/>
      <c r="K112" s="1771" t="n"/>
      <c r="L112" s="1771" t="n"/>
      <c r="M112" s="1771" t="n"/>
      <c r="N112" s="1771" t="n"/>
      <c r="O112" s="1771" t="n"/>
      <c r="P112" s="1771" t="n"/>
      <c r="Q112" s="1771" t="n"/>
      <c r="R112" s="1771" t="n"/>
      <c r="S112" s="1771" t="n"/>
      <c r="T112" s="1771" t="n"/>
      <c r="U112" s="1771" t="n"/>
      <c r="V112" s="1771" t="n"/>
      <c r="W112" s="1771" t="n"/>
      <c r="X112" s="1771" t="n"/>
      <c r="Y112" s="1771" t="n"/>
      <c r="Z112" s="1771" t="n"/>
      <c r="AA112" s="1771" t="n"/>
      <c r="AB112" s="1771" t="n"/>
      <c r="AC112" s="1771" t="n"/>
      <c r="AD112" s="1771" t="n"/>
      <c r="AE112" s="1771" t="n"/>
      <c r="AF112" s="1771" t="n"/>
      <c r="AG112" s="1771" t="n"/>
      <c r="AH112" s="1771" t="n"/>
      <c r="AI112" s="1771" t="n"/>
      <c r="AJ112" s="1771" t="n"/>
      <c r="AK112" s="1771" t="n"/>
      <c r="AL112" s="1771" t="n"/>
      <c r="AM112" s="1771" t="n"/>
      <c r="AN112" s="1771" t="n"/>
      <c r="AO112" s="1771" t="n"/>
      <c r="AP112" s="1771" t="n"/>
      <c r="AQ112" s="1771" t="n"/>
      <c r="AR112" s="1771" t="n"/>
      <c r="AS112" s="1771" t="n"/>
      <c r="AT112" s="1771" t="n"/>
      <c r="AU112" s="1771" t="n"/>
      <c r="AV112" s="1771" t="n"/>
      <c r="AW112" s="1771" t="n"/>
      <c r="AX112" s="1771" t="n"/>
      <c r="AY112" s="1771" t="n"/>
      <c r="AZ112" s="1771" t="n"/>
      <c r="BA112" s="1771" t="n"/>
      <c r="BB112" s="1771" t="n"/>
      <c r="BC112" s="1771" t="n"/>
      <c r="BD112" s="1771" t="n"/>
      <c r="BE112" s="1771" t="n"/>
      <c r="BF112" s="1771" t="n"/>
      <c r="BG112" s="1771" t="n"/>
      <c r="BH112" s="1771" t="n"/>
      <c r="BI112" s="1771" t="n"/>
      <c r="BJ112" s="1771" t="n"/>
      <c r="BK112" s="1771" t="n"/>
      <c r="BL112" s="1771" t="n"/>
      <c r="BM112" s="1771" t="n"/>
      <c r="BN112" s="1771" t="n"/>
      <c r="BO112" s="1771" t="n"/>
      <c r="BP112" s="1771" t="n"/>
      <c r="BQ112" s="1771" t="n"/>
      <c r="BR112" s="1771" t="n"/>
      <c r="BS112" s="1771" t="n"/>
      <c r="BT112" s="1771" t="n"/>
      <c r="BU112" s="1771" t="n"/>
      <c r="BV112" s="1771" t="n"/>
      <c r="BW112" s="1771" t="n"/>
      <c r="BX112" s="1771" t="n"/>
      <c r="BY112" s="1771" t="n"/>
      <c r="BZ112" s="1771" t="n"/>
      <c r="CA112" s="1771" t="n"/>
      <c r="CB112" s="1771" t="n"/>
      <c r="CC112" s="1771" t="n"/>
      <c r="CD112" s="1771" t="n"/>
      <c r="CE112" s="1771" t="n"/>
      <c r="CF112" s="1771" t="n"/>
      <c r="CG112" s="1771" t="n"/>
      <c r="CH112" s="1771" t="n"/>
      <c r="CI112" s="1771" t="n"/>
      <c r="CJ112" s="1771" t="n"/>
      <c r="CK112" s="1771" t="n"/>
      <c r="CL112" s="1771" t="n"/>
      <c r="CM112" s="1771" t="n"/>
      <c r="CN112" s="1771" t="n"/>
      <c r="CO112" s="1771" t="n"/>
      <c r="CP112" s="1771" t="n"/>
      <c r="CQ112" s="1771" t="n"/>
      <c r="CR112" s="1771" t="n"/>
      <c r="CS112" s="1771" t="n"/>
      <c r="CT112" s="1771" t="n"/>
      <c r="CU112" s="1771" t="n"/>
      <c r="CV112" s="1771" t="n"/>
      <c r="CW112" s="1771" t="n"/>
      <c r="CX112" s="1771" t="n"/>
      <c r="CY112" s="1771" t="n"/>
    </row>
    <row r="113">
      <c r="A113" s="1771" t="n"/>
      <c r="B113" s="1771" t="n"/>
      <c r="C113" s="1771" t="n"/>
      <c r="D113" s="1771" t="n"/>
      <c r="E113" s="1771" t="n"/>
      <c r="F113" s="1771" t="n"/>
      <c r="G113" s="1771" t="n"/>
      <c r="H113" s="1771" t="n"/>
      <c r="I113" s="1771" t="n"/>
      <c r="J113" s="1771" t="n"/>
      <c r="K113" s="1771" t="n"/>
      <c r="L113" s="1771" t="n"/>
      <c r="M113" s="1771" t="n"/>
      <c r="N113" s="1771" t="n"/>
      <c r="O113" s="1771" t="n"/>
      <c r="P113" s="1771" t="n"/>
      <c r="Q113" s="1771" t="n"/>
      <c r="R113" s="1771" t="n"/>
      <c r="S113" s="1771" t="n"/>
      <c r="T113" s="1771" t="n"/>
      <c r="U113" s="1771" t="n"/>
      <c r="V113" s="1771" t="n"/>
      <c r="W113" s="1771" t="n"/>
      <c r="X113" s="1771" t="n"/>
      <c r="Y113" s="1771" t="n"/>
      <c r="Z113" s="1771" t="n"/>
      <c r="AA113" s="1771" t="n"/>
      <c r="AB113" s="1771" t="n"/>
      <c r="AC113" s="1771" t="n"/>
      <c r="AD113" s="1771" t="n"/>
      <c r="AE113" s="1771" t="n"/>
      <c r="AF113" s="1771" t="n"/>
      <c r="AG113" s="1771" t="n"/>
      <c r="AH113" s="1771" t="n"/>
      <c r="AI113" s="1771" t="n"/>
      <c r="AJ113" s="1771" t="n"/>
      <c r="AK113" s="1771" t="n"/>
      <c r="AL113" s="1771" t="n"/>
      <c r="AM113" s="1771" t="n"/>
      <c r="AN113" s="1771" t="n"/>
      <c r="AO113" s="1771" t="n"/>
      <c r="AP113" s="1771" t="n"/>
      <c r="AQ113" s="1771" t="n"/>
      <c r="AR113" s="1771" t="n"/>
      <c r="AS113" s="1771" t="n"/>
      <c r="AT113" s="1771" t="n"/>
      <c r="AU113" s="1771" t="n"/>
      <c r="AV113" s="1771" t="n"/>
      <c r="AW113" s="1771" t="n"/>
      <c r="AX113" s="1771" t="n"/>
      <c r="AY113" s="1771" t="n"/>
      <c r="AZ113" s="1771" t="n"/>
      <c r="BA113" s="1771" t="n"/>
      <c r="BB113" s="1771" t="n"/>
      <c r="BC113" s="1771" t="n"/>
      <c r="BD113" s="1771" t="n"/>
      <c r="BE113" s="1771" t="n"/>
      <c r="BF113" s="1771" t="n"/>
      <c r="BG113" s="1771" t="n"/>
      <c r="BH113" s="1771" t="n"/>
      <c r="BI113" s="1771" t="n"/>
      <c r="BJ113" s="1771" t="n"/>
      <c r="BK113" s="1771" t="n"/>
      <c r="BL113" s="1771" t="n"/>
      <c r="BM113" s="1771" t="n"/>
      <c r="BN113" s="1771" t="n"/>
      <c r="BO113" s="1771" t="n"/>
      <c r="BP113" s="1771" t="n"/>
      <c r="BQ113" s="1771" t="n"/>
      <c r="BR113" s="1771" t="n"/>
      <c r="BS113" s="1771" t="n"/>
      <c r="BT113" s="1771" t="n"/>
      <c r="BU113" s="1771" t="n"/>
      <c r="BV113" s="1771" t="n"/>
      <c r="BW113" s="1771" t="n"/>
      <c r="BX113" s="1771" t="n"/>
      <c r="BY113" s="1771" t="n"/>
      <c r="BZ113" s="1771" t="n"/>
      <c r="CA113" s="1771" t="n"/>
      <c r="CB113" s="1771" t="n"/>
      <c r="CC113" s="1771" t="n"/>
      <c r="CD113" s="1771" t="n"/>
      <c r="CE113" s="1771" t="n"/>
      <c r="CF113" s="1771" t="n"/>
      <c r="CG113" s="1771" t="n"/>
      <c r="CH113" s="1771" t="n"/>
      <c r="CI113" s="1771" t="n"/>
      <c r="CJ113" s="1771" t="n"/>
      <c r="CK113" s="1771" t="n"/>
      <c r="CL113" s="1771" t="n"/>
      <c r="CM113" s="1771" t="n"/>
      <c r="CN113" s="1771" t="n"/>
      <c r="CO113" s="1771" t="n"/>
      <c r="CP113" s="1771" t="n"/>
      <c r="CQ113" s="1771" t="n"/>
      <c r="CR113" s="1771" t="n"/>
      <c r="CS113" s="1771" t="n"/>
      <c r="CT113" s="1771" t="n"/>
      <c r="CU113" s="1771" t="n"/>
      <c r="CV113" s="1771" t="n"/>
      <c r="CW113" s="1771" t="n"/>
      <c r="CX113" s="1771" t="n"/>
      <c r="CY113" s="1771" t="n"/>
    </row>
    <row r="114">
      <c r="A114" s="1771" t="n"/>
      <c r="B114" s="1771" t="n"/>
      <c r="C114" s="1771" t="n"/>
      <c r="D114" s="1771" t="n"/>
      <c r="AO114" s="1771" t="n"/>
      <c r="AP114" s="1771" t="n"/>
      <c r="AQ114" s="1771" t="n"/>
      <c r="AR114" s="1771" t="n"/>
      <c r="AS114" s="1771" t="n"/>
      <c r="AT114" s="1771" t="n"/>
      <c r="AU114" s="1771" t="n"/>
      <c r="AV114" s="1771" t="n"/>
      <c r="AW114" s="1771" t="n"/>
      <c r="AX114" s="1771" t="n"/>
      <c r="AY114" s="1771" t="n"/>
      <c r="AZ114" s="1771" t="n"/>
      <c r="BA114" s="1771" t="n"/>
      <c r="BB114" s="1771" t="n"/>
      <c r="BC114" s="1771" t="n"/>
      <c r="BD114" s="1771" t="n"/>
      <c r="BE114" s="1771" t="n"/>
      <c r="BF114" s="1771" t="n"/>
      <c r="BG114" s="1771" t="n"/>
      <c r="BH114" s="1771" t="n"/>
      <c r="BI114" s="1771" t="n"/>
      <c r="BJ114" s="1771" t="n"/>
      <c r="BK114" s="1771" t="n"/>
      <c r="BL114" s="1771" t="n"/>
      <c r="BM114" s="1771" t="n"/>
      <c r="BN114" s="1771" t="n"/>
      <c r="BO114" s="1771" t="n"/>
      <c r="BP114" s="1771" t="n"/>
      <c r="BQ114" s="1771" t="n"/>
      <c r="BR114" s="1771" t="n"/>
      <c r="BS114" s="1771" t="n"/>
      <c r="BT114" s="1771" t="n"/>
      <c r="BU114" s="1771" t="n"/>
      <c r="BV114" s="1771" t="n"/>
      <c r="BW114" s="1771" t="n"/>
      <c r="BX114" s="1771" t="n"/>
      <c r="BY114" s="1771" t="n"/>
      <c r="BZ114" s="1771" t="n"/>
      <c r="CA114" s="1771" t="n"/>
      <c r="CB114" s="1771" t="n"/>
      <c r="CC114" s="1771" t="n"/>
      <c r="CD114" s="1771" t="n"/>
      <c r="CE114" s="1771" t="n"/>
      <c r="CF114" s="1771" t="n"/>
      <c r="CG114" s="1771" t="n"/>
      <c r="CH114" s="1771" t="n"/>
      <c r="CI114" s="1771" t="n"/>
      <c r="CJ114" s="1771" t="n"/>
      <c r="CK114" s="1771" t="n"/>
      <c r="CL114" s="1771" t="n"/>
      <c r="CM114" s="1771" t="n"/>
      <c r="CN114" s="1771" t="n"/>
      <c r="CO114" s="1771" t="n"/>
      <c r="CP114" s="1771" t="n"/>
      <c r="CQ114" s="1771" t="n"/>
      <c r="CR114" s="1771" t="n"/>
      <c r="CS114" s="1771" t="n"/>
      <c r="CT114" s="1771" t="n"/>
      <c r="CU114" s="1771" t="n"/>
      <c r="CV114" s="1771" t="n"/>
      <c r="CW114" s="1771" t="n"/>
      <c r="CX114" s="1771" t="n"/>
      <c r="CY114" s="1771" t="n"/>
    </row>
  </sheetData>
  <sheetProtection selectLockedCells="0" selectUnlockedCells="0" algorithmName="SHA-512" sheet="1" objects="0" insertRows="1" insertHyperlinks="1" autoFilter="1" scenarios="0" formatColumns="1" deleteColumns="1" insertColumns="1" pivotTables="1" deleteRows="1" formatCells="1" saltValue="aFFAsdFUImH5jtTdZuZ8fA==" formatRows="1" sort="1" spinCount="100000" hashValue="N5tkY4PYwOQHu2xzzodhy6G74LkawK8INLi4NyC/OKl5aFTa/gaQiTcE7nlkIsuUuE1gLUkM/TSd39erVpQC1g=="/>
  <mergeCells count="11">
    <mergeCell ref="C76:E76"/>
    <mergeCell ref="C74:E74"/>
    <mergeCell ref="CM51:CO53"/>
    <mergeCell ref="CM81:CO83"/>
    <mergeCell ref="C75:E75"/>
    <mergeCell ref="C79:E79"/>
    <mergeCell ref="CE10:CG11"/>
    <mergeCell ref="CE41:CG42"/>
    <mergeCell ref="CM20:CO22"/>
    <mergeCell ref="C78:E78"/>
    <mergeCell ref="C77:E77"/>
  </mergeCells>
  <dataValidations count="1">
    <dataValidation sqref="H26 H57 J26 J57 L26 L57" showDropDown="0" showInputMessage="1" showErrorMessage="1" allowBlank="0" type="decimal" operator="lessThanOrEqual">
      <formula1>100</formula1>
    </dataValidation>
  </dataValidations>
  <pageMargins left="0.7" right="0.7" top="0.75" bottom="0.75" header="0.3" footer="0.3"/>
  <pageSetup orientation="portrait" paperSize="9"/>
</worksheet>
</file>

<file path=xl/worksheets/sheet26.xml><?xml version="1.0" encoding="utf-8"?>
<worksheet xmlns="http://schemas.openxmlformats.org/spreadsheetml/2006/main">
  <sheetPr codeName="Sheet25">
    <outlinePr summaryBelow="1" summaryRight="1"/>
    <pageSetUpPr/>
  </sheetPr>
  <dimension ref="A1:AQ43"/>
  <sheetViews>
    <sheetView topLeftCell="A15" zoomScale="125" zoomScaleNormal="70" workbookViewId="0">
      <selection activeCell="K18" sqref="K18"/>
    </sheetView>
  </sheetViews>
  <sheetFormatPr baseColWidth="10" defaultColWidth="9.33203125" defaultRowHeight="15"/>
  <cols>
    <col width="31.5" customWidth="1" style="284" min="1" max="1"/>
    <col width="22.33203125" customWidth="1" style="284" min="2" max="2"/>
    <col width="23.6640625" customWidth="1" style="284" min="3" max="3"/>
    <col width="9.33203125" customWidth="1" style="284" min="4" max="6"/>
    <col width="21" customWidth="1" style="284" min="7" max="7"/>
    <col width="9.33203125" customWidth="1" style="284" min="8" max="16384"/>
  </cols>
  <sheetData>
    <row r="1">
      <c r="A1" s="875" t="inlineStr">
        <is>
          <t>Fuel Use Intensity (FUI) from Fuel and Energy Use Database (FEUD) of Dalhousie University</t>
        </is>
      </c>
      <c r="D1" s="875" t="inlineStr">
        <is>
          <t>l /t fish</t>
        </is>
      </c>
    </row>
    <row r="2">
      <c r="A2" s="875" t="n"/>
      <c r="P2" s="4581" t="n"/>
      <c r="Q2" s="4581" t="n"/>
      <c r="R2" s="4581" t="n"/>
      <c r="S2" s="4581" t="n"/>
    </row>
    <row r="3">
      <c r="A3" s="875" t="inlineStr">
        <is>
          <t>LARGE SCALE FISHERIES</t>
        </is>
      </c>
      <c r="C3" s="2814" t="inlineStr">
        <is>
          <t>full database on the right</t>
        </is>
      </c>
      <c r="P3" s="4581" t="n"/>
      <c r="Q3" s="4581" t="n"/>
      <c r="R3" s="4581" t="n"/>
      <c r="S3" s="4581" t="n"/>
    </row>
    <row r="4">
      <c r="A4" s="875" t="inlineStr">
        <is>
          <t>By gear</t>
        </is>
      </c>
      <c r="W4" s="875" t="inlineStr">
        <is>
          <t>By gear</t>
        </is>
      </c>
      <c r="AP4" s="4581" t="inlineStr">
        <is>
          <t>All (Average)</t>
        </is>
      </c>
    </row>
    <row r="5" ht="33" customHeight="1">
      <c r="W5" s="2188" t="inlineStr">
        <is>
          <t>Please select</t>
        </is>
      </c>
      <c r="X5" s="4582" t="inlineStr">
        <is>
          <t>Bottom trawls</t>
        </is>
      </c>
      <c r="Y5" s="362" t="n"/>
      <c r="Z5" s="4583" t="inlineStr">
        <is>
          <t>Gillnets and entangling nets</t>
        </is>
      </c>
      <c r="AA5" s="362" t="n"/>
      <c r="AB5" s="4582" t="inlineStr">
        <is>
          <t>Hooks and lines</t>
        </is>
      </c>
      <c r="AC5" s="362" t="n"/>
      <c r="AD5" s="4582" t="inlineStr">
        <is>
          <t>Midwater trawls</t>
        </is>
      </c>
      <c r="AE5" s="362" t="n"/>
      <c r="AF5" s="4582" t="inlineStr">
        <is>
          <t>Traps and lift nets</t>
        </is>
      </c>
      <c r="AG5" s="362" t="n"/>
      <c r="AH5" s="4582" t="inlineStr">
        <is>
          <t>Surrounding nets</t>
        </is>
      </c>
      <c r="AI5" s="362" t="n"/>
      <c r="AJ5" s="4582" t="inlineStr">
        <is>
          <t>Dredges</t>
        </is>
      </c>
      <c r="AK5" s="362" t="n"/>
      <c r="AL5" s="4582" t="inlineStr">
        <is>
          <t>Other or mixed</t>
        </is>
      </c>
      <c r="AM5" s="362" t="n"/>
      <c r="AN5" s="4582" t="inlineStr">
        <is>
          <t>Mobile seine</t>
        </is>
      </c>
      <c r="AO5" s="362" t="n"/>
      <c r="AP5" s="4582" t="inlineStr">
        <is>
          <t>Not specified</t>
        </is>
      </c>
      <c r="AQ5" s="362" t="n"/>
    </row>
    <row r="6" ht="29" customHeight="1">
      <c r="A6" s="4365" t="inlineStr">
        <is>
          <t>Please select</t>
        </is>
      </c>
      <c r="B6" s="4366" t="inlineStr">
        <is>
          <t>Bottom trawls</t>
        </is>
      </c>
      <c r="C6" s="4365" t="inlineStr">
        <is>
          <t>Gillnets and entangling nets</t>
        </is>
      </c>
      <c r="D6" s="4365" t="inlineStr">
        <is>
          <t>Hooks and lines</t>
        </is>
      </c>
      <c r="E6" s="4365" t="inlineStr">
        <is>
          <t>Midwater trawls</t>
        </is>
      </c>
      <c r="F6" s="4365" t="inlineStr">
        <is>
          <t>Traps and lift nets</t>
        </is>
      </c>
      <c r="G6" s="4365" t="inlineStr">
        <is>
          <t>Surrounding nets</t>
        </is>
      </c>
      <c r="H6" s="4365" t="inlineStr">
        <is>
          <t>Dredges</t>
        </is>
      </c>
      <c r="I6" s="4365" t="inlineStr">
        <is>
          <t>Other or mixed</t>
        </is>
      </c>
      <c r="J6" s="4365" t="inlineStr">
        <is>
          <t>Mobile seine</t>
        </is>
      </c>
      <c r="K6" s="4368" t="inlineStr">
        <is>
          <t>Not specified</t>
        </is>
      </c>
      <c r="W6" s="2187" t="inlineStr">
        <is>
          <t>Please select</t>
        </is>
      </c>
      <c r="X6" s="2183" t="inlineStr">
        <is>
          <t>n</t>
        </is>
      </c>
      <c r="Y6" s="2183" t="inlineStr">
        <is>
          <t>Median</t>
        </is>
      </c>
      <c r="Z6" s="2183" t="inlineStr">
        <is>
          <t>n</t>
        </is>
      </c>
      <c r="AA6" s="2183" t="inlineStr">
        <is>
          <t>Median</t>
        </is>
      </c>
      <c r="AB6" s="2183" t="inlineStr">
        <is>
          <t>n</t>
        </is>
      </c>
      <c r="AC6" s="2183" t="inlineStr">
        <is>
          <t>Median</t>
        </is>
      </c>
      <c r="AD6" s="2183" t="inlineStr">
        <is>
          <t>n</t>
        </is>
      </c>
      <c r="AE6" s="2183" t="inlineStr">
        <is>
          <t>Median</t>
        </is>
      </c>
      <c r="AF6" s="2183" t="inlineStr">
        <is>
          <t>n</t>
        </is>
      </c>
      <c r="AG6" s="2183" t="inlineStr">
        <is>
          <t>Median</t>
        </is>
      </c>
      <c r="AH6" s="2183" t="inlineStr">
        <is>
          <t>n</t>
        </is>
      </c>
      <c r="AI6" s="2183" t="inlineStr">
        <is>
          <t>Median</t>
        </is>
      </c>
      <c r="AJ6" s="2183" t="inlineStr">
        <is>
          <t>n</t>
        </is>
      </c>
      <c r="AK6" s="2183" t="inlineStr">
        <is>
          <t>Median</t>
        </is>
      </c>
      <c r="AL6" s="2183" t="inlineStr">
        <is>
          <t xml:space="preserve">n </t>
        </is>
      </c>
      <c r="AM6" s="2183" t="inlineStr">
        <is>
          <t>Median</t>
        </is>
      </c>
      <c r="AN6" s="2183" t="inlineStr">
        <is>
          <t>n</t>
        </is>
      </c>
      <c r="AO6" s="2183" t="inlineStr">
        <is>
          <t>Median</t>
        </is>
      </c>
      <c r="AP6" s="2183" t="inlineStr">
        <is>
          <t>n</t>
        </is>
      </c>
      <c r="AQ6" s="2183" t="inlineStr">
        <is>
          <t>Average</t>
        </is>
      </c>
    </row>
    <row r="7">
      <c r="A7" s="2180" t="inlineStr">
        <is>
          <t>Abalones, winkles and conchs</t>
        </is>
      </c>
      <c r="B7" s="2936">
        <f>Y7</f>
        <v/>
      </c>
      <c r="C7" s="2936">
        <f>AA7</f>
        <v/>
      </c>
      <c r="D7" s="2936">
        <f>AC7</f>
        <v/>
      </c>
      <c r="E7" s="2936">
        <f>AE7</f>
        <v/>
      </c>
      <c r="F7" s="2936">
        <f>AG7</f>
        <v/>
      </c>
      <c r="G7" s="2936">
        <f>AI7</f>
        <v/>
      </c>
      <c r="H7" s="2936">
        <f>AK7</f>
        <v/>
      </c>
      <c r="I7" s="2936">
        <f>AM7</f>
        <v/>
      </c>
      <c r="J7" s="2936">
        <f>AO7</f>
        <v/>
      </c>
      <c r="K7" s="4367">
        <f>AQ7</f>
        <v/>
      </c>
      <c r="W7" s="2180" t="inlineStr">
        <is>
          <t>Abalones, winkles and conchs</t>
        </is>
      </c>
      <c r="X7" s="682" t="n"/>
      <c r="Y7" s="2181" t="n"/>
      <c r="Z7" s="682" t="n">
        <v>1</v>
      </c>
      <c r="AA7" s="2181" t="n">
        <v>2162</v>
      </c>
      <c r="AB7" s="682" t="n"/>
      <c r="AC7" s="2181" t="n"/>
      <c r="AD7" s="682" t="n"/>
      <c r="AE7" s="2181" t="n"/>
      <c r="AF7" s="682" t="n">
        <v>7</v>
      </c>
      <c r="AG7" s="2181" t="n">
        <v>484</v>
      </c>
      <c r="AH7" s="682" t="n"/>
      <c r="AI7" s="2181" t="n"/>
      <c r="AJ7" s="682" t="n"/>
      <c r="AK7" s="2181" t="n"/>
      <c r="AL7" s="682" t="n">
        <v>16</v>
      </c>
      <c r="AM7" s="2181" t="n">
        <v>839</v>
      </c>
      <c r="AN7" s="2181" t="n"/>
      <c r="AO7" s="2181" t="n"/>
      <c r="AP7" s="2182">
        <f>X7+Z7+AB7+AD7+AF7+AH7+AJ7+AL7+AN7</f>
        <v/>
      </c>
      <c r="AQ7" s="2182">
        <f>(Y7*X7+AA7*Z7+AC7*AB7+AE7*AD7+AG7*AF7+AI7*AH7+AK7*AJ7+AM7*AL7+AO7*AN7)/AP7</f>
        <v/>
      </c>
    </row>
    <row r="8">
      <c r="A8" s="2180" t="inlineStr">
        <is>
          <t>Clams, cockles and arkshells</t>
        </is>
      </c>
      <c r="B8" s="2936">
        <f>Y8</f>
        <v/>
      </c>
      <c r="C8" s="2936">
        <f>AA8</f>
        <v/>
      </c>
      <c r="D8" s="2936">
        <f>AC8</f>
        <v/>
      </c>
      <c r="E8" s="2936">
        <f>AE8</f>
        <v/>
      </c>
      <c r="F8" s="2936">
        <f>AG8</f>
        <v/>
      </c>
      <c r="G8" s="2936">
        <f>AI8</f>
        <v/>
      </c>
      <c r="H8" s="2936">
        <f>AK8</f>
        <v/>
      </c>
      <c r="I8" s="2936">
        <f>AM8</f>
        <v/>
      </c>
      <c r="J8" s="2936">
        <f>AO8</f>
        <v/>
      </c>
      <c r="K8" s="4367">
        <f>AQ8</f>
        <v/>
      </c>
      <c r="W8" s="2180" t="inlineStr">
        <is>
          <t>Clams, cockles and arkshells</t>
        </is>
      </c>
      <c r="X8" s="682" t="n"/>
      <c r="Y8" s="2181" t="n"/>
      <c r="Z8" s="682" t="n"/>
      <c r="AA8" s="2181" t="n"/>
      <c r="AB8" s="682" t="n"/>
      <c r="AC8" s="2181" t="n"/>
      <c r="AD8" s="682" t="n"/>
      <c r="AE8" s="2181" t="n"/>
      <c r="AF8" s="682" t="n">
        <v>1</v>
      </c>
      <c r="AG8" s="2181" t="n">
        <v>1430</v>
      </c>
      <c r="AH8" s="2181" t="n"/>
      <c r="AI8" s="2181" t="n"/>
      <c r="AJ8" s="682" t="n">
        <v>9</v>
      </c>
      <c r="AK8" s="2181" t="n">
        <v>835</v>
      </c>
      <c r="AL8" s="682" t="n">
        <v>3</v>
      </c>
      <c r="AM8" s="2181" t="n">
        <v>430</v>
      </c>
      <c r="AN8" s="2181" t="n"/>
      <c r="AO8" s="2181" t="n"/>
      <c r="AP8" s="2182">
        <f>X8+Z8+AB8+AD8+AF8+AH8+AJ8+AL8+AN8</f>
        <v/>
      </c>
      <c r="AQ8" s="2182">
        <f>(Y8*X8+AA8*Z8+AC8*AB8+AE8*AD8+AG8*AF8+AI8*AH8+AK8*AJ8+AM8*AL8+AO8*AN8)/AP8</f>
        <v/>
      </c>
    </row>
    <row r="9">
      <c r="A9" s="2180" t="inlineStr">
        <is>
          <t>Cods, hakes and haddocks</t>
        </is>
      </c>
      <c r="B9" s="2936">
        <f>Y9</f>
        <v/>
      </c>
      <c r="C9" s="2936">
        <f>AA9</f>
        <v/>
      </c>
      <c r="D9" s="2936">
        <f>AC9</f>
        <v/>
      </c>
      <c r="E9" s="2936">
        <f>AE9</f>
        <v/>
      </c>
      <c r="F9" s="2936">
        <f>AG9</f>
        <v/>
      </c>
      <c r="G9" s="2936">
        <f>AI9</f>
        <v/>
      </c>
      <c r="H9" s="2936">
        <f>AK9</f>
        <v/>
      </c>
      <c r="I9" s="2936">
        <f>AM9</f>
        <v/>
      </c>
      <c r="J9" s="2936">
        <f>AO9</f>
        <v/>
      </c>
      <c r="K9" s="4367">
        <f>AQ9</f>
        <v/>
      </c>
      <c r="W9" s="2180" t="inlineStr">
        <is>
          <t>Cods, hakes and haddocks</t>
        </is>
      </c>
      <c r="X9" s="682" t="n">
        <v>75</v>
      </c>
      <c r="Y9" s="2181" t="n">
        <v>490</v>
      </c>
      <c r="Z9" s="682" t="n">
        <v>38</v>
      </c>
      <c r="AA9" s="2181" t="n">
        <v>511</v>
      </c>
      <c r="AB9" s="682" t="n">
        <v>40</v>
      </c>
      <c r="AC9" s="2181" t="n">
        <v>702</v>
      </c>
      <c r="AD9" s="682" t="n">
        <v>38</v>
      </c>
      <c r="AE9" s="2181" t="n">
        <v>138</v>
      </c>
      <c r="AF9" s="682" t="n"/>
      <c r="AG9" s="2181" t="n"/>
      <c r="AH9" s="2181" t="n">
        <v>12</v>
      </c>
      <c r="AI9" s="2181" t="n">
        <v>512</v>
      </c>
      <c r="AJ9" s="682" t="n"/>
      <c r="AK9" s="2181" t="n"/>
      <c r="AL9" s="682" t="n">
        <v>57</v>
      </c>
      <c r="AM9" s="2181" t="n">
        <v>436</v>
      </c>
      <c r="AN9" s="2181" t="n"/>
      <c r="AO9" s="2181" t="n"/>
      <c r="AP9" s="2182">
        <f>X9+Z9+AB9+AD9+AF9+AH9+AJ9+AL9+AN9</f>
        <v/>
      </c>
      <c r="AQ9" s="2182">
        <f>(Y9*X9+AA9*Z9+AC9*AB9+AE9*AD9+AG9*AF9+AI9*AH9+AK9*AJ9+AM9*AL9+AO9*AN9)/AP9</f>
        <v/>
      </c>
    </row>
    <row r="10">
      <c r="A10" s="2180" t="inlineStr">
        <is>
          <t>Flounders, halibuts and soles</t>
        </is>
      </c>
      <c r="B10" s="2936">
        <f>Y10</f>
        <v/>
      </c>
      <c r="C10" s="2936">
        <f>AA10</f>
        <v/>
      </c>
      <c r="D10" s="2936">
        <f>AC10</f>
        <v/>
      </c>
      <c r="E10" s="2936">
        <f>AE10</f>
        <v/>
      </c>
      <c r="F10" s="2936">
        <f>AG10</f>
        <v/>
      </c>
      <c r="G10" s="2936">
        <f>AI10</f>
        <v/>
      </c>
      <c r="H10" s="2936">
        <f>AK10</f>
        <v/>
      </c>
      <c r="I10" s="2936">
        <f>AM10</f>
        <v/>
      </c>
      <c r="J10" s="2936">
        <f>AO10</f>
        <v/>
      </c>
      <c r="K10" s="4367">
        <f>AQ10</f>
        <v/>
      </c>
      <c r="W10" s="2180" t="inlineStr">
        <is>
          <t>Flounders, halibuts and soles</t>
        </is>
      </c>
      <c r="X10" s="682" t="n">
        <v>35</v>
      </c>
      <c r="Y10" s="2181" t="n">
        <v>2903</v>
      </c>
      <c r="Z10" s="682" t="n">
        <v>6</v>
      </c>
      <c r="AA10" s="2181" t="n">
        <v>502</v>
      </c>
      <c r="AB10" s="682" t="n">
        <v>2</v>
      </c>
      <c r="AC10" s="2181" t="n">
        <v>570</v>
      </c>
      <c r="AD10" s="682" t="n">
        <v>5</v>
      </c>
      <c r="AE10" s="2181" t="n">
        <v>982</v>
      </c>
      <c r="AF10" s="682" t="n"/>
      <c r="AG10" s="2181" t="n"/>
      <c r="AH10" s="2181" t="n">
        <v>7</v>
      </c>
      <c r="AI10" s="2181" t="n">
        <v>694</v>
      </c>
      <c r="AJ10" s="682" t="n"/>
      <c r="AK10" s="2181" t="n"/>
      <c r="AL10" s="682" t="n">
        <v>21</v>
      </c>
      <c r="AM10" s="2181" t="n">
        <v>1094</v>
      </c>
      <c r="AN10" s="2181" t="n"/>
      <c r="AO10" s="2181" t="n"/>
      <c r="AP10" s="2182">
        <f>X10+Z10+AB10+AD10+AF10+AH10+AJ10+AL10+AN10</f>
        <v/>
      </c>
      <c r="AQ10" s="2182">
        <f>(Y10*X10+AA10*Z10+AC10*AB10+AE10*AD10+AG10*AF10+AI10*AH10+AK10*AJ10+AM10*AL10+AO10*AN10)/AP10</f>
        <v/>
      </c>
    </row>
    <row r="11">
      <c r="A11" s="2180" t="inlineStr">
        <is>
          <t>Herrings, sardines and anchovies</t>
        </is>
      </c>
      <c r="B11" s="2936">
        <f>Y11</f>
        <v/>
      </c>
      <c r="C11" s="2936">
        <f>AA11</f>
        <v/>
      </c>
      <c r="D11" s="2936">
        <f>AC11</f>
        <v/>
      </c>
      <c r="E11" s="2936">
        <f>AE11</f>
        <v/>
      </c>
      <c r="F11" s="2936">
        <f>AG11</f>
        <v/>
      </c>
      <c r="G11" s="2936">
        <f>AI11</f>
        <v/>
      </c>
      <c r="H11" s="2936">
        <f>AK11</f>
        <v/>
      </c>
      <c r="I11" s="2936">
        <f>AM11</f>
        <v/>
      </c>
      <c r="J11" s="2936">
        <f>AO11</f>
        <v/>
      </c>
      <c r="K11" s="4367">
        <f>AQ11</f>
        <v/>
      </c>
      <c r="W11" s="2180" t="inlineStr">
        <is>
          <t>Herrings, sardines and anchovies</t>
        </is>
      </c>
      <c r="X11" s="682" t="n">
        <v>3</v>
      </c>
      <c r="Y11" s="2181" t="n">
        <v>91</v>
      </c>
      <c r="Z11" s="682" t="n">
        <v>1</v>
      </c>
      <c r="AA11" s="2181" t="n">
        <v>602</v>
      </c>
      <c r="AB11" s="682" t="n"/>
      <c r="AC11" s="2181" t="n"/>
      <c r="AD11" s="682" t="n">
        <v>19</v>
      </c>
      <c r="AE11" s="2181" t="n">
        <v>118</v>
      </c>
      <c r="AF11" s="682" t="n">
        <v>1</v>
      </c>
      <c r="AG11" s="2181" t="n">
        <v>559</v>
      </c>
      <c r="AH11" s="682" t="n">
        <v>96</v>
      </c>
      <c r="AI11" s="2181" t="n">
        <v>68</v>
      </c>
      <c r="AJ11" s="682" t="n"/>
      <c r="AK11" s="2181" t="n"/>
      <c r="AL11" s="682" t="n">
        <v>51</v>
      </c>
      <c r="AM11" s="2181" t="n">
        <v>287</v>
      </c>
      <c r="AN11" s="2181" t="n">
        <v>2</v>
      </c>
      <c r="AO11" s="2181" t="n">
        <v>146</v>
      </c>
      <c r="AP11" s="2182">
        <f>X11+Z11+AB11+AD11+AF11+AH11+AJ11+AL11+AN11</f>
        <v/>
      </c>
      <c r="AQ11" s="2182">
        <f>(Y11*X11+AA11*Z11+AC11*AB11+AE11*AD11+AG11*AF11+AI11*AH11+AK11*AJ11+AM11*AL11+AO11*AN11)/AP11</f>
        <v/>
      </c>
    </row>
    <row r="12">
      <c r="A12" s="2180" t="inlineStr">
        <is>
          <t>Jacks, mullets and sauries</t>
        </is>
      </c>
      <c r="B12" s="2936">
        <f>Y12</f>
        <v/>
      </c>
      <c r="C12" s="2936">
        <f>AA12</f>
        <v/>
      </c>
      <c r="D12" s="2936">
        <f>AC12</f>
        <v/>
      </c>
      <c r="E12" s="2936">
        <f>AE12</f>
        <v/>
      </c>
      <c r="F12" s="2936">
        <f>AG12</f>
        <v/>
      </c>
      <c r="G12" s="2936">
        <f>AI12</f>
        <v/>
      </c>
      <c r="H12" s="2936">
        <f>AK12</f>
        <v/>
      </c>
      <c r="I12" s="2936">
        <f>AM12</f>
        <v/>
      </c>
      <c r="J12" s="2936">
        <f>AO12</f>
        <v/>
      </c>
      <c r="K12" s="4367">
        <f>AQ12</f>
        <v/>
      </c>
      <c r="W12" s="2180" t="inlineStr">
        <is>
          <t>Jacks, mullets and sauries</t>
        </is>
      </c>
      <c r="X12" s="682" t="n">
        <v>18</v>
      </c>
      <c r="Y12" s="2181" t="n">
        <v>492</v>
      </c>
      <c r="Z12" s="682" t="n">
        <v>2</v>
      </c>
      <c r="AA12" s="2181" t="n">
        <v>496</v>
      </c>
      <c r="AB12" s="682" t="n">
        <v>10</v>
      </c>
      <c r="AC12" s="2181" t="n">
        <v>1836</v>
      </c>
      <c r="AD12" s="682" t="n">
        <v>23</v>
      </c>
      <c r="AE12" s="2181" t="n">
        <v>489</v>
      </c>
      <c r="AF12" s="682" t="n"/>
      <c r="AG12" s="2181" t="n"/>
      <c r="AH12" s="2181" t="n">
        <v>17</v>
      </c>
      <c r="AI12" s="2181" t="n">
        <v>434</v>
      </c>
      <c r="AJ12" s="682" t="n">
        <v>1</v>
      </c>
      <c r="AK12" s="2181" t="n">
        <v>445</v>
      </c>
      <c r="AL12" s="682" t="n">
        <v>12</v>
      </c>
      <c r="AM12" s="2181" t="n">
        <v>497</v>
      </c>
      <c r="AN12" s="2181" t="n"/>
      <c r="AO12" s="2181" t="n"/>
      <c r="AP12" s="2182">
        <f>X12+Z12+AB12+AD12+AF12+AH12+AJ12+AL12+AN12</f>
        <v/>
      </c>
      <c r="AQ12" s="2182">
        <f>(Y12*X12+AA12*Z12+AC12*AB12+AE12*AD12+AG12*AF12+AI12*AH12+AK12*AJ12+AM12*AL12+AO12*AN12)/AP12</f>
        <v/>
      </c>
    </row>
    <row r="13">
      <c r="A13" s="2180" t="inlineStr">
        <is>
          <t>Krill and plankton</t>
        </is>
      </c>
      <c r="B13" s="2936">
        <f>Y13</f>
        <v/>
      </c>
      <c r="C13" s="2936">
        <f>AA13</f>
        <v/>
      </c>
      <c r="D13" s="2936">
        <f>AC13</f>
        <v/>
      </c>
      <c r="E13" s="2936">
        <f>AE13</f>
        <v/>
      </c>
      <c r="F13" s="2936">
        <f>AG13</f>
        <v/>
      </c>
      <c r="G13" s="2936">
        <f>AI13</f>
        <v/>
      </c>
      <c r="H13" s="2936">
        <f>AK13</f>
        <v/>
      </c>
      <c r="I13" s="2936">
        <f>AM13</f>
        <v/>
      </c>
      <c r="J13" s="2936">
        <f>AO13</f>
        <v/>
      </c>
      <c r="K13" s="4367">
        <f>AQ13</f>
        <v/>
      </c>
      <c r="W13" s="2180" t="inlineStr">
        <is>
          <t>Krill and plankton</t>
        </is>
      </c>
      <c r="X13" s="682" t="n"/>
      <c r="Y13" s="2181" t="n"/>
      <c r="Z13" s="682" t="n"/>
      <c r="AA13" s="2181" t="n"/>
      <c r="AB13" s="682" t="n"/>
      <c r="AC13" s="2181" t="n"/>
      <c r="AD13" s="682" t="n">
        <v>7</v>
      </c>
      <c r="AE13" s="2181" t="n">
        <v>121</v>
      </c>
      <c r="AF13" s="682" t="n"/>
      <c r="AG13" s="2181" t="n"/>
      <c r="AH13" s="2181" t="n"/>
      <c r="AI13" s="2181" t="n"/>
      <c r="AJ13" s="682" t="n"/>
      <c r="AK13" s="2181" t="n"/>
      <c r="AL13" s="682" t="n"/>
      <c r="AM13" s="2181" t="n"/>
      <c r="AN13" s="2181" t="n"/>
      <c r="AO13" s="2181" t="n"/>
      <c r="AP13" s="2182">
        <f>X13+Z13+AB13+AD13+AF13+AH13+AJ13+AL13+AN13</f>
        <v/>
      </c>
      <c r="AQ13" s="2182">
        <f>(Y13*X13+AA13*Z13+AC13*AB13+AE13*AD13+AG13*AF13+AI13*AH13+AK13*AJ13+AM13*AL13+AO13*AN13)/AP13</f>
        <v/>
      </c>
    </row>
    <row r="14">
      <c r="A14" s="2180" t="inlineStr">
        <is>
          <t>Lobsters and spiny-rock lobsters</t>
        </is>
      </c>
      <c r="B14" s="2936">
        <f>Y14</f>
        <v/>
      </c>
      <c r="C14" s="2936">
        <f>AA14</f>
        <v/>
      </c>
      <c r="D14" s="2936">
        <f>AC14</f>
        <v/>
      </c>
      <c r="E14" s="2936">
        <f>AE14</f>
        <v/>
      </c>
      <c r="F14" s="2936">
        <f>AG14</f>
        <v/>
      </c>
      <c r="G14" s="2936">
        <f>AI14</f>
        <v/>
      </c>
      <c r="H14" s="2936">
        <f>AK14</f>
        <v/>
      </c>
      <c r="I14" s="2936">
        <f>AM14</f>
        <v/>
      </c>
      <c r="J14" s="2936">
        <f>AO14</f>
        <v/>
      </c>
      <c r="K14" s="4367">
        <f>AQ14</f>
        <v/>
      </c>
      <c r="W14" s="2180" t="inlineStr">
        <is>
          <t>Lobsters and spiny-rock lobsters</t>
        </is>
      </c>
      <c r="X14" s="682" t="n">
        <v>27</v>
      </c>
      <c r="Y14" s="2181" t="n">
        <v>5200</v>
      </c>
      <c r="Z14" s="682" t="n"/>
      <c r="AA14" s="2181" t="n"/>
      <c r="AB14" s="682" t="n"/>
      <c r="AC14" s="2181" t="n"/>
      <c r="AD14" s="682" t="n">
        <v>2</v>
      </c>
      <c r="AE14" s="2181" t="n">
        <v>1667</v>
      </c>
      <c r="AF14" s="682" t="n">
        <v>48</v>
      </c>
      <c r="AG14" s="2181" t="n">
        <v>3564</v>
      </c>
      <c r="AH14" s="2181" t="n"/>
      <c r="AI14" s="2181" t="n"/>
      <c r="AJ14" s="682" t="n"/>
      <c r="AK14" s="2181" t="n"/>
      <c r="AL14" s="682" t="n">
        <v>4</v>
      </c>
      <c r="AM14" s="2181" t="n">
        <v>1028</v>
      </c>
      <c r="AN14" s="2181" t="n"/>
      <c r="AO14" s="2181" t="n"/>
      <c r="AP14" s="2182">
        <f>X14+Z14+AB14+AD14+AF14+AH14+AJ14+AL14+AN14</f>
        <v/>
      </c>
      <c r="AQ14" s="2182">
        <f>(Y14*X14+AA14*Z14+AC14*AB14+AE14*AD14+AG14*AF14+AI14*AH14+AK14*AJ14+AM14*AL14+AO14*AN14)/AP14</f>
        <v/>
      </c>
    </row>
    <row r="15">
      <c r="A15" s="2180" t="inlineStr">
        <is>
          <t>Mackerels, snoeks and cutlassfish</t>
        </is>
      </c>
      <c r="B15" s="2936">
        <f>Y15</f>
        <v/>
      </c>
      <c r="C15" s="2936">
        <f>AA15</f>
        <v/>
      </c>
      <c r="D15" s="2936">
        <f>AC15</f>
        <v/>
      </c>
      <c r="E15" s="2936">
        <f>AE15</f>
        <v/>
      </c>
      <c r="F15" s="2936">
        <f>AG15</f>
        <v/>
      </c>
      <c r="G15" s="2936">
        <f>AI15</f>
        <v/>
      </c>
      <c r="H15" s="2936">
        <f>AK15</f>
        <v/>
      </c>
      <c r="I15" s="2936">
        <f>AM15</f>
        <v/>
      </c>
      <c r="J15" s="2936">
        <f>AO15</f>
        <v/>
      </c>
      <c r="K15" s="4367">
        <f>AQ15</f>
        <v/>
      </c>
      <c r="W15" s="2180" t="inlineStr">
        <is>
          <t>Mackerels, snoeks and cutlassfish</t>
        </is>
      </c>
      <c r="X15" s="682" t="n">
        <v>5</v>
      </c>
      <c r="Y15" s="2181" t="n">
        <v>922</v>
      </c>
      <c r="Z15" s="682" t="n"/>
      <c r="AA15" s="2181" t="n"/>
      <c r="AB15" s="682" t="n">
        <v>2</v>
      </c>
      <c r="AC15" s="2181" t="n">
        <v>322</v>
      </c>
      <c r="AD15" s="682" t="n">
        <v>11</v>
      </c>
      <c r="AE15" s="2181" t="n">
        <v>167</v>
      </c>
      <c r="AF15" s="682" t="n"/>
      <c r="AG15" s="2181" t="n"/>
      <c r="AH15" s="2181" t="n">
        <v>18</v>
      </c>
      <c r="AI15" s="2181" t="n">
        <v>39</v>
      </c>
      <c r="AJ15" s="682" t="n"/>
      <c r="AK15" s="2181" t="n"/>
      <c r="AL15" s="682" t="n">
        <v>3</v>
      </c>
      <c r="AM15" s="2181" t="n">
        <v>106</v>
      </c>
      <c r="AN15" s="2181" t="n"/>
      <c r="AO15" s="2181" t="n"/>
      <c r="AP15" s="2182">
        <f>X15+Z15+AB15+AD15+AF15+AH15+AJ15+AL15+AN15</f>
        <v/>
      </c>
      <c r="AQ15" s="2182">
        <f>(Y15*X15+AA15*Z15+AC15*AB15+AE15*AD15+AG15*AF15+AI15*AH15+AK15*AJ15+AM15*AL15+AO15*AN15)/AP15</f>
        <v/>
      </c>
    </row>
    <row r="16">
      <c r="A16" s="2180" t="inlineStr">
        <is>
          <t>Miscellaneous marine crustaceans</t>
        </is>
      </c>
      <c r="B16" s="2936">
        <f>Y16</f>
        <v/>
      </c>
      <c r="C16" s="2936">
        <f>AA16</f>
        <v/>
      </c>
      <c r="D16" s="2936">
        <f>AC16</f>
        <v/>
      </c>
      <c r="E16" s="2936">
        <f>AE16</f>
        <v/>
      </c>
      <c r="F16" s="2936">
        <f>AG16</f>
        <v/>
      </c>
      <c r="G16" s="2936">
        <f>AI16</f>
        <v/>
      </c>
      <c r="H16" s="2936">
        <f>AK16</f>
        <v/>
      </c>
      <c r="I16" s="2936">
        <f>AM16</f>
        <v/>
      </c>
      <c r="J16" s="2936">
        <f>AO16</f>
        <v/>
      </c>
      <c r="K16" s="4367">
        <f>AQ16</f>
        <v/>
      </c>
      <c r="W16" s="2180" t="inlineStr">
        <is>
          <t>Miscellaneous marine crustaceans</t>
        </is>
      </c>
      <c r="X16" s="682" t="n"/>
      <c r="Y16" s="2181" t="n"/>
      <c r="Z16" s="682" t="n"/>
      <c r="AA16" s="2181" t="n"/>
      <c r="AB16" s="682" t="n"/>
      <c r="AC16" s="2181" t="n"/>
      <c r="AD16" s="682" t="n"/>
      <c r="AE16" s="2181" t="n"/>
      <c r="AF16" s="682" t="n"/>
      <c r="AG16" s="2181" t="n"/>
      <c r="AH16" s="2181" t="n"/>
      <c r="AI16" s="2181" t="n"/>
      <c r="AJ16" s="682" t="n"/>
      <c r="AK16" s="2181" t="n"/>
      <c r="AL16" s="682" t="n">
        <v>3</v>
      </c>
      <c r="AM16" s="2181" t="n">
        <v>2230</v>
      </c>
      <c r="AN16" s="2181" t="n"/>
      <c r="AO16" s="2181" t="n"/>
      <c r="AP16" s="2182">
        <f>X16+Z16+AB16+AD16+AF16+AH16+AJ16+AL16+AN16</f>
        <v/>
      </c>
      <c r="AQ16" s="2182">
        <f>(Y16*X16+AA16*Z16+AC16*AB16+AE16*AD16+AG16*AF16+AI16*AH16+AK16*AJ16+AM16*AL16+AO16*AN16)/AP16</f>
        <v/>
      </c>
    </row>
    <row r="17">
      <c r="A17" s="2180" t="inlineStr">
        <is>
          <t>Miscellaneous marine fishes</t>
        </is>
      </c>
      <c r="B17" s="2936">
        <f>Y17</f>
        <v/>
      </c>
      <c r="C17" s="2936">
        <f>AA17</f>
        <v/>
      </c>
      <c r="D17" s="2936">
        <f>AC17</f>
        <v/>
      </c>
      <c r="E17" s="2936">
        <f>AE17</f>
        <v/>
      </c>
      <c r="F17" s="2936">
        <f>AG17</f>
        <v/>
      </c>
      <c r="G17" s="2936">
        <f>AI17</f>
        <v/>
      </c>
      <c r="H17" s="2936">
        <f>AK17</f>
        <v/>
      </c>
      <c r="I17" s="2936">
        <f>AM17</f>
        <v/>
      </c>
      <c r="J17" s="2936">
        <f>AO17</f>
        <v/>
      </c>
      <c r="K17" s="4367">
        <f>AQ17</f>
        <v/>
      </c>
      <c r="W17" s="2180" t="inlineStr">
        <is>
          <t>Miscellaneous marine fishes</t>
        </is>
      </c>
      <c r="X17" s="682" t="n">
        <v>2</v>
      </c>
      <c r="Y17" s="2181" t="n">
        <v>171</v>
      </c>
      <c r="Z17" s="682" t="n"/>
      <c r="AA17" s="2181" t="n"/>
      <c r="AB17" s="682" t="n"/>
      <c r="AC17" s="2181" t="n"/>
      <c r="AD17" s="682" t="n">
        <v>10</v>
      </c>
      <c r="AE17" s="2181" t="n">
        <v>350</v>
      </c>
      <c r="AF17" s="682" t="n"/>
      <c r="AG17" s="2181" t="n"/>
      <c r="AH17" s="2181" t="n"/>
      <c r="AI17" s="2181" t="n"/>
      <c r="AJ17" s="682" t="n"/>
      <c r="AK17" s="2181" t="n"/>
      <c r="AL17" s="682" t="n">
        <v>3</v>
      </c>
      <c r="AM17" s="2181" t="n">
        <v>1903</v>
      </c>
      <c r="AN17" s="2181" t="n"/>
      <c r="AO17" s="2181" t="n"/>
      <c r="AP17" s="2182">
        <f>X17+Z17+AB17+AD17+AF17+AH17+AJ17+AL17+AN17</f>
        <v/>
      </c>
      <c r="AQ17" s="2182">
        <f>(Y17*X17+AA17*Z17+AC17*AB17+AE17*AD17+AG17*AF17+AI17*AH17+AK17*AJ17+AM17*AL17+AO17*AN17)/AP17</f>
        <v/>
      </c>
    </row>
    <row r="18">
      <c r="A18" s="2180" t="inlineStr">
        <is>
          <t>Miscellaneous marine molluscs</t>
        </is>
      </c>
      <c r="B18" s="2936">
        <f>Y18</f>
        <v/>
      </c>
      <c r="C18" s="2936">
        <f>AA18</f>
        <v/>
      </c>
      <c r="D18" s="2936">
        <f>AC18</f>
        <v/>
      </c>
      <c r="E18" s="2936">
        <f>AE18</f>
        <v/>
      </c>
      <c r="F18" s="2936">
        <f>AG18</f>
        <v/>
      </c>
      <c r="G18" s="2936">
        <f>AI18</f>
        <v/>
      </c>
      <c r="H18" s="2936">
        <f>AK18</f>
        <v/>
      </c>
      <c r="I18" s="2936">
        <f>AM18</f>
        <v/>
      </c>
      <c r="J18" s="2936">
        <f>AO18</f>
        <v/>
      </c>
      <c r="K18" s="4367">
        <f>AQ18</f>
        <v/>
      </c>
      <c r="W18" s="2180" t="inlineStr">
        <is>
          <t>Miscellaneous marine molluscs</t>
        </is>
      </c>
      <c r="X18" s="682" t="n">
        <v>4</v>
      </c>
      <c r="Y18" s="2181" t="n">
        <v>2904</v>
      </c>
      <c r="Z18" s="682" t="n"/>
      <c r="AA18" s="2181" t="n"/>
      <c r="AB18" s="682" t="n"/>
      <c r="AC18" s="2181" t="n"/>
      <c r="AD18" s="682" t="n"/>
      <c r="AE18" s="2181" t="n"/>
      <c r="AF18" s="682" t="n"/>
      <c r="AG18" s="2181" t="n"/>
      <c r="AH18" s="2181" t="n"/>
      <c r="AI18" s="2181" t="n"/>
      <c r="AJ18" s="682" t="n"/>
      <c r="AK18" s="2181" t="n"/>
      <c r="AL18" s="682" t="n"/>
      <c r="AM18" s="2181" t="n"/>
      <c r="AN18" s="2181" t="n"/>
      <c r="AO18" s="2181" t="n"/>
      <c r="AP18" s="2182">
        <f>X18+Z18+AB18+AD18+AF18+AH18+AJ18+AL18+AN18</f>
        <v/>
      </c>
      <c r="AQ18" s="2182">
        <f>(Y18*X18+AA18*Z18+AC18*AB18+AE18*AD18+AG18*AF18+AI18*AH18+AK18*AJ18+AM18*AL18+AO18*AN18)/AP18</f>
        <v/>
      </c>
    </row>
    <row r="19">
      <c r="A19" s="2180" t="inlineStr">
        <is>
          <t>Mussels</t>
        </is>
      </c>
      <c r="B19" s="2936">
        <f>Y19</f>
        <v/>
      </c>
      <c r="C19" s="2936">
        <f>AA19</f>
        <v/>
      </c>
      <c r="D19" s="2936">
        <f>AC19</f>
        <v/>
      </c>
      <c r="E19" s="2936">
        <f>AE19</f>
        <v/>
      </c>
      <c r="F19" s="2936">
        <f>AG19</f>
        <v/>
      </c>
      <c r="G19" s="2936">
        <f>AI19</f>
        <v/>
      </c>
      <c r="H19" s="2936">
        <f>AK19</f>
        <v/>
      </c>
      <c r="I19" s="2936">
        <f>AM19</f>
        <v/>
      </c>
      <c r="J19" s="2936">
        <f>AO19</f>
        <v/>
      </c>
      <c r="K19" s="4367">
        <f>AQ19</f>
        <v/>
      </c>
      <c r="W19" s="2180" t="inlineStr">
        <is>
          <t>Mussels</t>
        </is>
      </c>
      <c r="X19" s="682" t="n"/>
      <c r="Y19" s="2181" t="n"/>
      <c r="Z19" s="682" t="n"/>
      <c r="AA19" s="2181" t="n"/>
      <c r="AB19" s="682" t="n"/>
      <c r="AC19" s="2181" t="n"/>
      <c r="AD19" s="682" t="n"/>
      <c r="AE19" s="2181" t="n"/>
      <c r="AF19" s="682" t="n"/>
      <c r="AG19" s="2181" t="n"/>
      <c r="AH19" s="2181" t="n"/>
      <c r="AI19" s="2181" t="n"/>
      <c r="AJ19" s="682" t="n">
        <v>14</v>
      </c>
      <c r="AK19" s="2181" t="n">
        <v>20</v>
      </c>
      <c r="AL19" s="682" t="n">
        <v>1</v>
      </c>
      <c r="AM19" s="2181" t="n">
        <v>13</v>
      </c>
      <c r="AN19" s="2181" t="n"/>
      <c r="AO19" s="2181" t="n"/>
      <c r="AP19" s="2182">
        <f>X19+Z19+AB19+AD19+AF19+AH19+AJ19+AL19+AN19</f>
        <v/>
      </c>
      <c r="AQ19" s="2182">
        <f>(Y19*X19+AA19*Z19+AC19*AB19+AE19*AD19+AG19*AF19+AI19*AH19+AK19*AJ19+AM19*AL19+AO19*AN19)/AP19</f>
        <v/>
      </c>
    </row>
    <row r="20">
      <c r="A20" s="2180" t="inlineStr">
        <is>
          <t>Redfish, basses and congers</t>
        </is>
      </c>
      <c r="B20" s="2936">
        <f>Y20</f>
        <v/>
      </c>
      <c r="C20" s="2936">
        <f>AA20</f>
        <v/>
      </c>
      <c r="D20" s="2936">
        <f>AC20</f>
        <v/>
      </c>
      <c r="E20" s="2936">
        <f>AE20</f>
        <v/>
      </c>
      <c r="F20" s="2936">
        <f>AG20</f>
        <v/>
      </c>
      <c r="G20" s="2936">
        <f>AI20</f>
        <v/>
      </c>
      <c r="H20" s="2936">
        <f>AK20</f>
        <v/>
      </c>
      <c r="I20" s="2936">
        <f>AM20</f>
        <v/>
      </c>
      <c r="J20" s="2936">
        <f>AO20</f>
        <v/>
      </c>
      <c r="K20" s="4367">
        <f>AQ20</f>
        <v/>
      </c>
      <c r="W20" s="2180" t="inlineStr">
        <is>
          <t>Redfish, basses and congers</t>
        </is>
      </c>
      <c r="X20" s="682" t="n">
        <v>9</v>
      </c>
      <c r="Y20" s="2181" t="n">
        <v>754</v>
      </c>
      <c r="Z20" s="682" t="n">
        <v>2</v>
      </c>
      <c r="AA20" s="2181" t="n">
        <v>304</v>
      </c>
      <c r="AB20" s="682" t="n">
        <v>2</v>
      </c>
      <c r="AC20" s="2181" t="n">
        <v>472</v>
      </c>
      <c r="AD20" s="682" t="n">
        <v>11</v>
      </c>
      <c r="AE20" s="2181" t="n">
        <v>232</v>
      </c>
      <c r="AF20" s="682" t="n">
        <v>1</v>
      </c>
      <c r="AG20" s="2181" t="n">
        <v>921</v>
      </c>
      <c r="AH20" s="2181" t="n">
        <v>9</v>
      </c>
      <c r="AI20" s="2181" t="n">
        <v>254</v>
      </c>
      <c r="AJ20" s="682" t="n"/>
      <c r="AK20" s="2181" t="n"/>
      <c r="AL20" s="682" t="n">
        <v>4</v>
      </c>
      <c r="AM20" s="2181" t="n">
        <v>912</v>
      </c>
      <c r="AN20" s="2181" t="n"/>
      <c r="AO20" s="2181" t="n"/>
      <c r="AP20" s="2182">
        <f>X20+Z20+AB20+AD20+AF20+AH20+AJ20+AL20+AN20</f>
        <v/>
      </c>
      <c r="AQ20" s="2182">
        <f>(Y20*X20+AA20*Z20+AC20*AB20+AE20*AD20+AG20*AF20+AI20*AH20+AK20*AJ20+AM20*AL20+AO20*AN20)/AP20</f>
        <v/>
      </c>
    </row>
    <row r="21">
      <c r="A21" s="2180" t="inlineStr">
        <is>
          <t>Salmons, trots and smelts</t>
        </is>
      </c>
      <c r="B21" s="2936">
        <f>Y21</f>
        <v/>
      </c>
      <c r="C21" s="2936">
        <f>AA21</f>
        <v/>
      </c>
      <c r="D21" s="2936">
        <f>AC21</f>
        <v/>
      </c>
      <c r="E21" s="2936">
        <f>AE21</f>
        <v/>
      </c>
      <c r="F21" s="2936">
        <f>AG21</f>
        <v/>
      </c>
      <c r="G21" s="2936">
        <f>AI21</f>
        <v/>
      </c>
      <c r="H21" s="2936">
        <f>AK21</f>
        <v/>
      </c>
      <c r="I21" s="2936">
        <f>AM21</f>
        <v/>
      </c>
      <c r="J21" s="2936">
        <f>AO21</f>
        <v/>
      </c>
      <c r="K21" s="4367">
        <f>AQ21</f>
        <v/>
      </c>
      <c r="W21" s="2180" t="inlineStr">
        <is>
          <t>Salmons, trots and smelts</t>
        </is>
      </c>
      <c r="X21" s="682" t="n"/>
      <c r="Y21" s="2181" t="n"/>
      <c r="Z21" s="682" t="n">
        <v>2</v>
      </c>
      <c r="AA21" s="2181" t="n">
        <v>886</v>
      </c>
      <c r="AB21" s="682" t="n">
        <v>2</v>
      </c>
      <c r="AC21" s="2181" t="n">
        <v>835</v>
      </c>
      <c r="AD21" s="682" t="n"/>
      <c r="AE21" s="2181" t="n"/>
      <c r="AF21" s="682" t="n"/>
      <c r="AG21" s="2181" t="n"/>
      <c r="AH21" s="2181" t="n">
        <v>3</v>
      </c>
      <c r="AI21" s="2181" t="n">
        <v>304</v>
      </c>
      <c r="AJ21" s="682" t="n"/>
      <c r="AK21" s="2181" t="n"/>
      <c r="AL21" s="682" t="n"/>
      <c r="AM21" s="2181" t="n"/>
      <c r="AN21" s="2181" t="n"/>
      <c r="AO21" s="2181" t="n"/>
      <c r="AP21" s="2182">
        <f>X21+Z21+AB21+AD21+AF21+AH21+AJ21+AL21+AN21</f>
        <v/>
      </c>
      <c r="AQ21" s="2182">
        <f>(Y21*X21+AA21*Z21+AC21*AB21+AE21*AD21+AG21*AF21+AI21*AH21+AK21*AJ21+AM21*AL21+AO21*AN21)/AP21</f>
        <v/>
      </c>
    </row>
    <row r="22">
      <c r="A22" s="2180" t="inlineStr">
        <is>
          <t>Scallops and pectens</t>
        </is>
      </c>
      <c r="B22" s="2936">
        <f>Y22</f>
        <v/>
      </c>
      <c r="C22" s="2936">
        <f>AA22</f>
        <v/>
      </c>
      <c r="D22" s="2936">
        <f>AC22</f>
        <v/>
      </c>
      <c r="E22" s="2936">
        <f>AE22</f>
        <v/>
      </c>
      <c r="F22" s="2936">
        <f>AG22</f>
        <v/>
      </c>
      <c r="G22" s="2936">
        <f>AI22</f>
        <v/>
      </c>
      <c r="H22" s="2936">
        <f>AK22</f>
        <v/>
      </c>
      <c r="I22" s="2936">
        <f>AM22</f>
        <v/>
      </c>
      <c r="J22" s="2936">
        <f>AO22</f>
        <v/>
      </c>
      <c r="K22" s="4367">
        <f>AQ22</f>
        <v/>
      </c>
      <c r="W22" s="2180" t="inlineStr">
        <is>
          <t>Scallops and pectens</t>
        </is>
      </c>
      <c r="X22" s="682" t="n">
        <v>1</v>
      </c>
      <c r="Y22" s="2181" t="n">
        <v>1405</v>
      </c>
      <c r="Z22" s="682" t="n"/>
      <c r="AA22" s="2181" t="n"/>
      <c r="AB22" s="682" t="n"/>
      <c r="AC22" s="2181" t="n"/>
      <c r="AD22" s="682" t="n">
        <v>1</v>
      </c>
      <c r="AE22" s="2181" t="n">
        <v>1787</v>
      </c>
      <c r="AF22" s="682" t="n"/>
      <c r="AG22" s="2181" t="n"/>
      <c r="AH22" s="2181" t="n"/>
      <c r="AI22" s="2181" t="n"/>
      <c r="AJ22" s="682" t="n">
        <v>24</v>
      </c>
      <c r="AK22" s="2181" t="n">
        <v>577</v>
      </c>
      <c r="AL22" s="682" t="n">
        <v>8</v>
      </c>
      <c r="AM22" s="2181" t="n">
        <v>834</v>
      </c>
      <c r="AN22" s="2181" t="n"/>
      <c r="AO22" s="2181" t="n"/>
      <c r="AP22" s="2182">
        <f>X22+Z22+AB22+AD22+AF22+AH22+AJ22+AL22+AN22</f>
        <v/>
      </c>
      <c r="AQ22" s="2182">
        <f>(Y22*X22+AA22*Z22+AC22*AB22+AE22*AD22+AG22*AF22+AI22*AH22+AK22*AJ22+AM22*AL22+AO22*AN22)/AP22</f>
        <v/>
      </c>
    </row>
    <row r="23">
      <c r="A23" s="2180" t="inlineStr">
        <is>
          <t>Sea-spiders and crabs</t>
        </is>
      </c>
      <c r="B23" s="2936">
        <f>Y23</f>
        <v/>
      </c>
      <c r="C23" s="2936">
        <f>AA23</f>
        <v/>
      </c>
      <c r="D23" s="2936">
        <f>AC23</f>
        <v/>
      </c>
      <c r="E23" s="2936">
        <f>AE23</f>
        <v/>
      </c>
      <c r="F23" s="2936">
        <f>AG23</f>
        <v/>
      </c>
      <c r="G23" s="2936">
        <f>AI23</f>
        <v/>
      </c>
      <c r="H23" s="2936">
        <f>AK23</f>
        <v/>
      </c>
      <c r="I23" s="2936">
        <f>AM23</f>
        <v/>
      </c>
      <c r="J23" s="2936">
        <f>AO23</f>
        <v/>
      </c>
      <c r="K23" s="4367">
        <f>AQ23</f>
        <v/>
      </c>
      <c r="W23" s="2180" t="inlineStr">
        <is>
          <t>Sea-spiders and crabs</t>
        </is>
      </c>
      <c r="X23" s="682" t="n"/>
      <c r="Y23" s="2181" t="n"/>
      <c r="Z23" s="682" t="n"/>
      <c r="AA23" s="2181" t="n"/>
      <c r="AB23" s="682" t="n">
        <v>2</v>
      </c>
      <c r="AC23" s="2181" t="n">
        <v>1031</v>
      </c>
      <c r="AD23" s="682" t="n"/>
      <c r="AE23" s="2181" t="n"/>
      <c r="AF23" s="682" t="n">
        <v>22</v>
      </c>
      <c r="AG23" s="2181" t="n">
        <v>1074</v>
      </c>
      <c r="AH23" s="2181" t="n"/>
      <c r="AI23" s="2181" t="n"/>
      <c r="AJ23" s="682" t="n"/>
      <c r="AK23" s="2181" t="n"/>
      <c r="AL23" s="682" t="n">
        <v>4</v>
      </c>
      <c r="AM23" s="2181" t="n">
        <v>1062</v>
      </c>
      <c r="AN23" s="2181" t="n"/>
      <c r="AO23" s="2181" t="n"/>
      <c r="AP23" s="2182">
        <f>X23+Z23+AB23+AD23+AF23+AH23+AJ23+AL23+AN23</f>
        <v/>
      </c>
      <c r="AQ23" s="2182">
        <f>(Y23*X23+AA23*Z23+AC23*AB23+AE23*AD23+AG23*AF23+AI23*AH23+AK23*AJ23+AM23*AL23+AO23*AN23)/AP23</f>
        <v/>
      </c>
    </row>
    <row r="24">
      <c r="A24" s="2180" t="inlineStr">
        <is>
          <t>Shads</t>
        </is>
      </c>
      <c r="B24" s="2936">
        <f>Y24</f>
        <v/>
      </c>
      <c r="C24" s="2936">
        <f>AA24</f>
        <v/>
      </c>
      <c r="D24" s="2936">
        <f>AC24</f>
        <v/>
      </c>
      <c r="E24" s="2936">
        <f>AE24</f>
        <v/>
      </c>
      <c r="F24" s="2936">
        <f>AG24</f>
        <v/>
      </c>
      <c r="G24" s="2936">
        <f>AI24</f>
        <v/>
      </c>
      <c r="H24" s="2936">
        <f>AK24</f>
        <v/>
      </c>
      <c r="I24" s="2936">
        <f>AM24</f>
        <v/>
      </c>
      <c r="J24" s="2936">
        <f>AO24</f>
        <v/>
      </c>
      <c r="K24" s="4367">
        <f>AQ24</f>
        <v/>
      </c>
      <c r="W24" s="2180" t="inlineStr">
        <is>
          <t>Shads</t>
        </is>
      </c>
      <c r="X24" s="682" t="n"/>
      <c r="Y24" s="2181" t="n"/>
      <c r="Z24" s="682" t="n"/>
      <c r="AA24" s="2181" t="n"/>
      <c r="AB24" s="682" t="n"/>
      <c r="AC24" s="2181" t="n"/>
      <c r="AD24" s="682" t="n">
        <v>1</v>
      </c>
      <c r="AE24" s="2181" t="n">
        <v>16</v>
      </c>
      <c r="AF24" s="682" t="n"/>
      <c r="AG24" s="2181" t="n"/>
      <c r="AH24" s="2181" t="n"/>
      <c r="AI24" s="2181" t="n"/>
      <c r="AJ24" s="682" t="n"/>
      <c r="AK24" s="2181" t="n"/>
      <c r="AL24" s="682" t="n"/>
      <c r="AM24" s="2181" t="n"/>
      <c r="AN24" s="2181" t="n"/>
      <c r="AO24" s="2181" t="n"/>
      <c r="AP24" s="2182">
        <f>X24+Z24+AB24+AD24+AF24+AH24+AJ24+AL24+AN24</f>
        <v/>
      </c>
      <c r="AQ24" s="2182">
        <f>(Y24*X24+AA24*Z24+AC24*AB24+AE24*AD24+AG24*AF24+AI24*AH24+AK24*AJ24+AM24*AL24+AO24*AN24)/AP24</f>
        <v/>
      </c>
    </row>
    <row r="25">
      <c r="A25" s="2180" t="inlineStr">
        <is>
          <t>Sharks and rays</t>
        </is>
      </c>
      <c r="B25" s="2936">
        <f>Y25</f>
        <v/>
      </c>
      <c r="C25" s="2936">
        <f>AA25</f>
        <v/>
      </c>
      <c r="D25" s="2936">
        <f>AC25</f>
        <v/>
      </c>
      <c r="E25" s="2936">
        <f>AE25</f>
        <v/>
      </c>
      <c r="F25" s="2936">
        <f>AG25</f>
        <v/>
      </c>
      <c r="G25" s="2936">
        <f>AI25</f>
        <v/>
      </c>
      <c r="H25" s="2936">
        <f>AK25</f>
        <v/>
      </c>
      <c r="I25" s="2936">
        <f>AM25</f>
        <v/>
      </c>
      <c r="J25" s="2936">
        <f>AO25</f>
        <v/>
      </c>
      <c r="K25" s="4367">
        <f>AQ25</f>
        <v/>
      </c>
      <c r="W25" s="2180" t="inlineStr">
        <is>
          <t>Sharks and rays</t>
        </is>
      </c>
      <c r="X25" s="682" t="n">
        <v>14</v>
      </c>
      <c r="Y25" s="2181" t="n">
        <v>982</v>
      </c>
      <c r="Z25" s="682" t="n">
        <v>11</v>
      </c>
      <c r="AA25" s="2181" t="n">
        <v>661</v>
      </c>
      <c r="AB25" s="682" t="n">
        <v>5</v>
      </c>
      <c r="AC25" s="2181" t="n">
        <v>365</v>
      </c>
      <c r="AD25" s="682" t="n">
        <v>14</v>
      </c>
      <c r="AE25" s="2181" t="n">
        <v>494</v>
      </c>
      <c r="AF25" s="682" t="n">
        <v>1</v>
      </c>
      <c r="AG25" s="2181" t="n">
        <v>153</v>
      </c>
      <c r="AH25" s="2181" t="n">
        <v>4</v>
      </c>
      <c r="AI25" s="2181" t="n">
        <v>118</v>
      </c>
      <c r="AJ25" s="682" t="n"/>
      <c r="AK25" s="2181" t="n"/>
      <c r="AL25" s="682" t="n">
        <v>2</v>
      </c>
      <c r="AM25" s="2181" t="n">
        <v>253</v>
      </c>
      <c r="AN25" s="2181" t="n"/>
      <c r="AO25" s="2181" t="n"/>
      <c r="AP25" s="2182">
        <f>X25+Z25+AB25+AD25+AF25+AH25+AJ25+AL25+AN25</f>
        <v/>
      </c>
      <c r="AQ25" s="2182">
        <f>(Y25*X25+AA25*Z25+AC25*AB25+AE25*AD25+AG25*AF25+AI25*AH25+AK25*AJ25+AM25*AL25+AO25*AN25)/AP25</f>
        <v/>
      </c>
    </row>
    <row r="26">
      <c r="A26" s="2180" t="inlineStr">
        <is>
          <t>Shrimps and prawns</t>
        </is>
      </c>
      <c r="B26" s="2936">
        <f>Y26</f>
        <v/>
      </c>
      <c r="C26" s="2936">
        <f>AA26</f>
        <v/>
      </c>
      <c r="D26" s="2936">
        <f>AC26</f>
        <v/>
      </c>
      <c r="E26" s="2936">
        <f>AE26</f>
        <v/>
      </c>
      <c r="F26" s="2936">
        <f>AG26</f>
        <v/>
      </c>
      <c r="G26" s="2936">
        <f>AI26</f>
        <v/>
      </c>
      <c r="H26" s="2936">
        <f>AK26</f>
        <v/>
      </c>
      <c r="I26" s="2936">
        <f>AM26</f>
        <v/>
      </c>
      <c r="J26" s="2936">
        <f>AO26</f>
        <v/>
      </c>
      <c r="K26" s="4367">
        <f>AQ26</f>
        <v/>
      </c>
      <c r="W26" s="2180" t="inlineStr">
        <is>
          <t>Shrimps and prawns</t>
        </is>
      </c>
      <c r="X26" s="682" t="n">
        <v>168</v>
      </c>
      <c r="Y26" s="2181" t="n">
        <v>2550</v>
      </c>
      <c r="Z26" s="682" t="n">
        <v>1</v>
      </c>
      <c r="AA26" s="2181" t="n">
        <v>630</v>
      </c>
      <c r="AB26" s="682" t="n"/>
      <c r="AC26" s="2181" t="n"/>
      <c r="AD26" s="682" t="n">
        <v>13</v>
      </c>
      <c r="AE26" s="2181" t="n">
        <v>3074</v>
      </c>
      <c r="AF26" s="682" t="n"/>
      <c r="AG26" s="2181" t="n"/>
      <c r="AH26" s="2181" t="n"/>
      <c r="AI26" s="2181" t="n"/>
      <c r="AJ26" s="682" t="n"/>
      <c r="AK26" s="2181" t="n"/>
      <c r="AL26" s="682" t="n">
        <v>1</v>
      </c>
      <c r="AM26" s="2181" t="n">
        <v>1224</v>
      </c>
      <c r="AN26" s="2181" t="n"/>
      <c r="AO26" s="2181" t="n"/>
      <c r="AP26" s="2182">
        <f>X26+Z26+AB26+AD26+AF26+AH26+AJ26+AL26+AN26</f>
        <v/>
      </c>
      <c r="AQ26" s="2182">
        <f>(Y26*X26+AA26*Z26+AC26*AB26+AE26*AD26+AG26*AF26+AI26*AH26+AK26*AJ26+AM26*AL26+AO26*AN26)/AP26</f>
        <v/>
      </c>
    </row>
    <row r="27">
      <c r="A27" s="2180" t="inlineStr">
        <is>
          <t>Squat lobsters</t>
        </is>
      </c>
      <c r="B27" s="2936">
        <f>Y27</f>
        <v/>
      </c>
      <c r="C27" s="2936">
        <f>AA27</f>
        <v/>
      </c>
      <c r="D27" s="2936">
        <f>AC27</f>
        <v/>
      </c>
      <c r="E27" s="2936">
        <f>AE27</f>
        <v/>
      </c>
      <c r="F27" s="2936">
        <f>AG27</f>
        <v/>
      </c>
      <c r="G27" s="2936">
        <f>AI27</f>
        <v/>
      </c>
      <c r="H27" s="2936">
        <f>AK27</f>
        <v/>
      </c>
      <c r="I27" s="2936">
        <f>AM27</f>
        <v/>
      </c>
      <c r="J27" s="2936">
        <f>AO27</f>
        <v/>
      </c>
      <c r="K27" s="4367">
        <f>AQ27</f>
        <v/>
      </c>
      <c r="W27" s="2180" t="inlineStr">
        <is>
          <t>Squat lobsters</t>
        </is>
      </c>
      <c r="X27" s="682" t="n"/>
      <c r="Y27" s="2181" t="n"/>
      <c r="Z27" s="682" t="n"/>
      <c r="AA27" s="2181" t="n"/>
      <c r="AB27" s="682" t="n"/>
      <c r="AC27" s="2181" t="n"/>
      <c r="AD27" s="682" t="n"/>
      <c r="AE27" s="2181" t="n"/>
      <c r="AF27" s="682" t="n"/>
      <c r="AG27" s="2181" t="n"/>
      <c r="AH27" s="2181" t="n"/>
      <c r="AI27" s="2181" t="n"/>
      <c r="AJ27" s="682" t="n"/>
      <c r="AK27" s="2181" t="n"/>
      <c r="AL27" s="682" t="n">
        <v>1</v>
      </c>
      <c r="AM27" s="2181" t="n">
        <v>165</v>
      </c>
      <c r="AN27" s="2181" t="n"/>
      <c r="AO27" s="2181" t="n"/>
      <c r="AP27" s="2182">
        <f>X27+Z27+AB27+AD27+AF27+AH27+AJ27+AL27+AN27</f>
        <v/>
      </c>
      <c r="AQ27" s="2182">
        <f>(Y27*X27+AA27*Z27+AC27*AB27+AE27*AD27+AG27*AF27+AI27*AH27+AK27*AJ27+AM27*AL27+AO27*AN27)/AP27</f>
        <v/>
      </c>
    </row>
    <row r="28">
      <c r="A28" s="2180" t="inlineStr">
        <is>
          <t>Squids, cuttlefish and octopuses</t>
        </is>
      </c>
      <c r="B28" s="2936">
        <f>Y28</f>
        <v/>
      </c>
      <c r="C28" s="2936">
        <f>AA28</f>
        <v/>
      </c>
      <c r="D28" s="2936">
        <f>AC28</f>
        <v/>
      </c>
      <c r="E28" s="2936">
        <f>AE28</f>
        <v/>
      </c>
      <c r="F28" s="2936">
        <f>AG28</f>
        <v/>
      </c>
      <c r="G28" s="2936">
        <f>AI28</f>
        <v/>
      </c>
      <c r="H28" s="2936">
        <f>AK28</f>
        <v/>
      </c>
      <c r="I28" s="2936">
        <f>AM28</f>
        <v/>
      </c>
      <c r="J28" s="2936">
        <f>AO28</f>
        <v/>
      </c>
      <c r="K28" s="4367">
        <f>AQ28</f>
        <v/>
      </c>
      <c r="W28" s="2180" t="inlineStr">
        <is>
          <t>Squids, cuttlefish and octopuses</t>
        </is>
      </c>
      <c r="X28" s="682" t="n">
        <v>7</v>
      </c>
      <c r="Y28" s="2181" t="n">
        <v>313</v>
      </c>
      <c r="Z28" s="682" t="n"/>
      <c r="AA28" s="2181" t="n"/>
      <c r="AB28" s="682" t="n"/>
      <c r="AC28" s="2181" t="n"/>
      <c r="AD28" s="682" t="n">
        <v>1</v>
      </c>
      <c r="AE28" s="2181" t="n">
        <v>406</v>
      </c>
      <c r="AF28" s="682" t="n"/>
      <c r="AG28" s="2181" t="n"/>
      <c r="AH28" s="2181" t="n"/>
      <c r="AI28" s="2181" t="n"/>
      <c r="AJ28" s="682" t="n"/>
      <c r="AK28" s="2181" t="n"/>
      <c r="AL28" s="682" t="n"/>
      <c r="AM28" s="2181" t="n"/>
      <c r="AN28" s="2181" t="n"/>
      <c r="AO28" s="2181" t="n"/>
      <c r="AP28" s="2182">
        <f>X28+Z28+AB28+AD28+AF28+AH28+AJ28+AL28+AN28</f>
        <v/>
      </c>
      <c r="AQ28" s="2182">
        <f>(Y28*X28+AA28*Z28+AC28*AB28+AE28*AD28+AG28*AF28+AI28*AH28+AK28*AJ28+AM28*AL28+AO28*AN28)/AP28</f>
        <v/>
      </c>
    </row>
    <row r="29">
      <c r="A29" s="2180" t="inlineStr">
        <is>
          <t>Tunas, bonitos and billfishes</t>
        </is>
      </c>
      <c r="B29" s="2936">
        <f>Y29</f>
        <v/>
      </c>
      <c r="C29" s="2936">
        <f>AA29</f>
        <v/>
      </c>
      <c r="D29" s="2936">
        <f>AC29</f>
        <v/>
      </c>
      <c r="E29" s="2936">
        <f>AE29</f>
        <v/>
      </c>
      <c r="F29" s="2936">
        <f>AG29</f>
        <v/>
      </c>
      <c r="G29" s="2936">
        <f>AI29</f>
        <v/>
      </c>
      <c r="H29" s="2936">
        <f>AK29</f>
        <v/>
      </c>
      <c r="I29" s="2936">
        <f>AM29</f>
        <v/>
      </c>
      <c r="J29" s="2936">
        <f>AO29</f>
        <v/>
      </c>
      <c r="K29" s="4367">
        <f>AQ29</f>
        <v/>
      </c>
      <c r="W29" s="2180" t="inlineStr">
        <is>
          <t>Tunas, bonitos and billfishes</t>
        </is>
      </c>
      <c r="X29" s="682" t="n"/>
      <c r="Y29" s="2181" t="n"/>
      <c r="Z29" s="682" t="n">
        <v>1</v>
      </c>
      <c r="AA29" s="2181" t="n">
        <v>683</v>
      </c>
      <c r="AB29" s="682" t="n">
        <v>42</v>
      </c>
      <c r="AC29" s="2181" t="n">
        <v>1554</v>
      </c>
      <c r="AD29" s="682" t="n">
        <v>1</v>
      </c>
      <c r="AE29" s="2181" t="n">
        <v>1649</v>
      </c>
      <c r="AF29" s="682" t="n"/>
      <c r="AG29" s="2181" t="n"/>
      <c r="AH29" s="2181" t="n">
        <v>11</v>
      </c>
      <c r="AI29" s="2181" t="n">
        <v>433</v>
      </c>
      <c r="AJ29" s="682" t="n"/>
      <c r="AK29" s="2181" t="n"/>
      <c r="AL29" s="682" t="n">
        <v>3</v>
      </c>
      <c r="AM29" s="2181" t="n">
        <v>915</v>
      </c>
      <c r="AN29" s="2181" t="n"/>
      <c r="AO29" s="2181" t="n"/>
      <c r="AP29" s="2182">
        <f>X29+Z29+AB29+AD29+AF29+AH29+AJ29+AL29+AN29</f>
        <v/>
      </c>
      <c r="AQ29" s="2182">
        <f>(Y29*X29+AA29*Z29+AC29*AB29+AE29*AD29+AG29*AF29+AI29*AH29+AK29*AJ29+AM29*AL29+AO29*AN29)/AP29</f>
        <v/>
      </c>
    </row>
    <row r="30">
      <c r="A30" s="2184" t="inlineStr">
        <is>
          <t>Not Specified</t>
        </is>
      </c>
      <c r="B30" s="4369">
        <f>Y30</f>
        <v/>
      </c>
      <c r="C30" s="4369">
        <f>AA30</f>
        <v/>
      </c>
      <c r="D30" s="4369">
        <f>AB30</f>
        <v/>
      </c>
      <c r="E30" s="4369">
        <f>AC30</f>
        <v/>
      </c>
      <c r="F30" s="4369">
        <f>AD30</f>
        <v/>
      </c>
      <c r="G30" s="4369">
        <f>AE30</f>
        <v/>
      </c>
      <c r="H30" s="4369">
        <f>AF30</f>
        <v/>
      </c>
      <c r="I30" s="4369">
        <f>AG30</f>
        <v/>
      </c>
      <c r="J30" s="4369">
        <f>AH30</f>
        <v/>
      </c>
      <c r="K30" s="4369">
        <f>AI30</f>
        <v/>
      </c>
      <c r="W30" s="2184" t="inlineStr">
        <is>
          <t>Not Specified</t>
        </is>
      </c>
      <c r="X30" s="2185" t="n"/>
      <c r="Y30" s="2185">
        <f>AVERAGE(Y7:Y29)</f>
        <v/>
      </c>
      <c r="Z30" s="2185" t="n"/>
      <c r="AA30" s="2185">
        <f>AVERAGE(AA7:AA29)</f>
        <v/>
      </c>
      <c r="AB30" s="2185" t="n"/>
      <c r="AC30" s="2185">
        <f>AVERAGE(AC7:AC29)</f>
        <v/>
      </c>
      <c r="AD30" s="2185" t="n"/>
      <c r="AE30" s="2185">
        <f>AVERAGE(AE7:AE29)</f>
        <v/>
      </c>
      <c r="AF30" s="2185" t="n"/>
      <c r="AG30" s="2185">
        <f>AVERAGE(AG7:AG29)</f>
        <v/>
      </c>
      <c r="AH30" s="2185" t="n"/>
      <c r="AI30" s="2185">
        <f>AVERAGE(AI7:AI29)</f>
        <v/>
      </c>
      <c r="AJ30" s="2185" t="n"/>
      <c r="AK30" s="2185">
        <f>AVERAGE(AK7:AK29)</f>
        <v/>
      </c>
      <c r="AL30" s="2185" t="n"/>
      <c r="AM30" s="2185">
        <f>AVERAGE(AM7:AM29)</f>
        <v/>
      </c>
      <c r="AN30" s="2185" t="n"/>
      <c r="AO30" s="2185" t="n"/>
      <c r="AP30" s="2186" t="n"/>
      <c r="AQ30" s="2185">
        <f>AVERAGE(AQ7:AQ29)</f>
        <v/>
      </c>
    </row>
    <row r="31">
      <c r="A31" s="4363" t="n"/>
      <c r="B31" s="4364" t="n"/>
      <c r="C31" s="4364" t="n"/>
      <c r="D31" s="4364" t="n"/>
      <c r="E31" s="4364" t="n"/>
      <c r="F31" s="4364" t="n"/>
      <c r="G31" s="4364" t="n"/>
      <c r="H31" s="4364" t="n"/>
      <c r="I31" s="4364" t="n"/>
      <c r="J31" s="4364" t="n"/>
      <c r="K31" s="4364" t="n"/>
      <c r="L31" s="4364" t="n"/>
      <c r="M31" s="4364" t="n"/>
      <c r="N31" s="4364" t="n"/>
      <c r="O31" s="4364" t="n"/>
      <c r="P31" s="4052" t="n"/>
      <c r="Q31" s="4364" t="n"/>
      <c r="R31" s="4364" t="n"/>
      <c r="S31" s="4364" t="n"/>
    </row>
    <row r="32">
      <c r="A32" s="4363" t="n"/>
      <c r="B32" s="4364" t="n"/>
      <c r="C32" s="4364" t="n"/>
      <c r="D32" s="4364" t="n"/>
      <c r="E32" s="4364" t="n"/>
      <c r="F32" s="4364" t="n"/>
      <c r="G32" s="4364" t="n"/>
      <c r="H32" s="4364" t="n"/>
      <c r="I32" s="4364" t="n"/>
      <c r="J32" s="4364" t="n"/>
      <c r="K32" s="4364" t="n"/>
      <c r="L32" s="4364" t="n"/>
      <c r="M32" s="4364" t="n"/>
      <c r="N32" s="4364" t="n"/>
      <c r="O32" s="4364" t="n"/>
      <c r="P32" s="4052" t="n"/>
      <c r="Q32" s="4364" t="n"/>
      <c r="R32" s="4364" t="n"/>
      <c r="S32" s="4364" t="n"/>
    </row>
    <row r="33">
      <c r="A33" s="875" t="inlineStr">
        <is>
          <t xml:space="preserve">Fuel Use Intensity (FUI) from Illuminating Hidden Harvests project </t>
        </is>
      </c>
      <c r="B33" s="4364" t="n"/>
      <c r="C33" s="4364" t="n"/>
      <c r="D33" s="4364" t="n"/>
      <c r="E33" s="4364" t="n"/>
      <c r="F33" s="4364" t="n"/>
      <c r="G33" s="4364" t="n"/>
      <c r="H33" s="4364" t="n"/>
      <c r="I33" s="4364" t="n"/>
      <c r="J33" s="4364" t="n"/>
      <c r="K33" s="4364" t="n"/>
      <c r="L33" s="4364" t="n"/>
      <c r="M33" s="4364" t="n"/>
      <c r="N33" s="4364" t="n"/>
      <c r="O33" s="4364" t="n"/>
      <c r="P33" s="4052" t="n"/>
      <c r="Q33" s="4364" t="n"/>
      <c r="R33" s="4364" t="n"/>
      <c r="S33" s="4364" t="n"/>
    </row>
    <row r="34">
      <c r="A34" s="4363" t="n"/>
      <c r="B34" s="4364" t="n"/>
      <c r="C34" s="4364" t="n"/>
      <c r="D34" s="4364" t="n"/>
      <c r="E34" s="4364" t="n"/>
      <c r="F34" s="4364" t="n"/>
      <c r="G34" s="4364" t="n"/>
      <c r="H34" s="4364" t="n"/>
      <c r="I34" s="4364" t="n"/>
      <c r="J34" s="4364" t="n"/>
      <c r="K34" s="4364" t="n"/>
      <c r="L34" s="4364" t="n"/>
      <c r="M34" s="4364" t="n"/>
      <c r="N34" s="4364" t="n"/>
      <c r="O34" s="4364" t="n"/>
      <c r="P34" s="4052" t="n"/>
      <c r="Q34" s="4364" t="n"/>
      <c r="R34" s="4364" t="n"/>
      <c r="S34" s="4364" t="n"/>
    </row>
    <row r="35">
      <c r="A35" s="284" t="inlineStr">
        <is>
          <t>SMALL SCALE FISHERIES</t>
        </is>
      </c>
      <c r="I35" s="4581" t="inlineStr">
        <is>
          <t>All (Average)</t>
        </is>
      </c>
    </row>
    <row r="36">
      <c r="A36" s="2190" t="inlineStr">
        <is>
          <t>Please select</t>
        </is>
      </c>
      <c r="B36" s="2190" t="inlineStr">
        <is>
          <t>Trawls</t>
        </is>
      </c>
      <c r="C36" s="2190" t="inlineStr">
        <is>
          <t>Gillnets and entangling nets</t>
        </is>
      </c>
      <c r="D36" s="2190" t="inlineStr">
        <is>
          <t>Hooks and lines</t>
        </is>
      </c>
      <c r="E36" s="2190" t="inlineStr">
        <is>
          <t>Multiple</t>
        </is>
      </c>
      <c r="F36" s="2190" t="inlineStr">
        <is>
          <t>Pots and traps</t>
        </is>
      </c>
      <c r="G36" s="2190" t="inlineStr">
        <is>
          <t>Surrounding nets</t>
        </is>
      </c>
      <c r="H36" s="2190" t="inlineStr">
        <is>
          <t>Dredges</t>
        </is>
      </c>
      <c r="I36" s="2190" t="inlineStr">
        <is>
          <t>Not specified</t>
        </is>
      </c>
    </row>
    <row r="37">
      <c r="A37" s="1202" t="inlineStr">
        <is>
          <t>Marine</t>
        </is>
      </c>
      <c r="B37" s="3518" t="n">
        <v>671</v>
      </c>
      <c r="C37" s="3518" t="n">
        <v>336</v>
      </c>
      <c r="D37" s="3518" t="n">
        <v>607</v>
      </c>
      <c r="E37" s="3518" t="n">
        <v>1415</v>
      </c>
      <c r="F37" s="3518" t="n">
        <v>884</v>
      </c>
      <c r="G37" s="3518" t="n">
        <v>73</v>
      </c>
      <c r="H37" s="3518" t="n">
        <v>880</v>
      </c>
      <c r="I37" s="3518">
        <f>AVERAGE(B37:H37)</f>
        <v/>
      </c>
    </row>
    <row r="38">
      <c r="A38" s="1202" t="inlineStr">
        <is>
          <t>Inland</t>
        </is>
      </c>
      <c r="B38" s="3518" t="n"/>
      <c r="C38" s="3518" t="n">
        <v>247</v>
      </c>
      <c r="D38" s="3518" t="n"/>
      <c r="E38" s="3518" t="n">
        <v>465</v>
      </c>
      <c r="F38" s="3518" t="n"/>
      <c r="G38" s="3518" t="n"/>
      <c r="H38" s="3518" t="n"/>
      <c r="I38" s="3518">
        <f>AVERAGE(B38:H38)</f>
        <v/>
      </c>
    </row>
    <row r="39">
      <c r="A39" s="2173" t="inlineStr">
        <is>
          <t>Unmotorized fishing</t>
        </is>
      </c>
      <c r="B39" s="2189" t="n">
        <v>0</v>
      </c>
      <c r="C39" s="2189" t="n">
        <v>0</v>
      </c>
      <c r="D39" s="2189" t="n">
        <v>0</v>
      </c>
      <c r="E39" s="2189" t="n">
        <v>0</v>
      </c>
      <c r="F39" s="2189" t="n">
        <v>0</v>
      </c>
      <c r="G39" s="2189" t="n">
        <v>0</v>
      </c>
      <c r="H39" s="2189" t="n">
        <v>0</v>
      </c>
      <c r="I39" s="2189" t="n">
        <v>0</v>
      </c>
    </row>
    <row r="42">
      <c r="A42" s="1202" t="n"/>
      <c r="B42" s="3518" t="n"/>
      <c r="C42" s="3518" t="n"/>
      <c r="D42" s="3518" t="n"/>
      <c r="E42" s="3518" t="n"/>
      <c r="F42" s="3518" t="n"/>
      <c r="G42" s="3518" t="n"/>
      <c r="H42" s="3518" t="n"/>
      <c r="I42" s="3518" t="n"/>
    </row>
    <row r="43">
      <c r="A43" s="1202" t="n"/>
      <c r="B43" s="3518" t="n"/>
      <c r="C43" s="3518" t="n"/>
      <c r="D43" s="3518" t="n"/>
      <c r="E43" s="3518" t="n"/>
      <c r="F43" s="3518" t="n"/>
      <c r="G43" s="3518" t="n"/>
      <c r="H43" s="3518" t="n"/>
      <c r="I43" s="3518" t="n"/>
    </row>
  </sheetData>
  <mergeCells count="12">
    <mergeCell ref="I35:J35"/>
    <mergeCell ref="X5:Y5"/>
    <mergeCell ref="AB5:AC5"/>
    <mergeCell ref="Z5:AA5"/>
    <mergeCell ref="AF5:AG5"/>
    <mergeCell ref="AD5:AE5"/>
    <mergeCell ref="AJ5:AK5"/>
    <mergeCell ref="AH5:AI5"/>
    <mergeCell ref="AN5:AO5"/>
    <mergeCell ref="AL5:AM5"/>
    <mergeCell ref="AP4:AQ4"/>
    <mergeCell ref="AP5:AQ5"/>
  </mergeCells>
  <pageMargins left="0.7" right="0.7" top="0.75" bottom="0.75" header="0.3" footer="0.3"/>
  <pageSetup orientation="portrait" paperSize="9"/>
</worksheet>
</file>

<file path=xl/worksheets/sheet27.xml><?xml version="1.0" encoding="utf-8"?>
<worksheet xmlns="http://schemas.openxmlformats.org/spreadsheetml/2006/main">
  <sheetPr codeName="Sheet27">
    <outlinePr summaryBelow="1" summaryRight="1"/>
    <pageSetUpPr/>
  </sheetPr>
  <dimension ref="A1:J116"/>
  <sheetViews>
    <sheetView topLeftCell="A73" workbookViewId="0">
      <selection activeCell="E3" sqref="E3"/>
    </sheetView>
  </sheetViews>
  <sheetFormatPr baseColWidth="10" defaultColWidth="9.33203125" defaultRowHeight="15"/>
  <cols>
    <col width="49.5" bestFit="1" customWidth="1" style="284" min="1" max="1"/>
    <col width="26.5" bestFit="1" customWidth="1" style="284" min="2" max="2"/>
    <col width="9.33203125" customWidth="1" style="284" min="3" max="3"/>
    <col width="19.5" bestFit="1" customWidth="1" style="4724" min="4" max="4"/>
    <col width="14.5" bestFit="1" customWidth="1" style="284" min="5" max="5"/>
    <col width="14.5" customWidth="1" style="284" min="6" max="6"/>
    <col width="15.5" bestFit="1" customWidth="1" style="284" min="7" max="7"/>
    <col width="9.33203125" customWidth="1" style="284" min="8" max="9"/>
    <col width="149.5" customWidth="1" style="284" min="10" max="10"/>
    <col width="9.33203125" customWidth="1" style="284" min="11" max="16384"/>
  </cols>
  <sheetData>
    <row r="1" ht="60.75" customHeight="1">
      <c r="A1" s="2411" t="n"/>
      <c r="B1" s="2411" t="n"/>
      <c r="C1" s="2411" t="n"/>
      <c r="D1" s="4799" t="inlineStr">
        <is>
          <t xml:space="preserve">Total mangrove </t>
        </is>
      </c>
      <c r="E1" s="4584" t="inlineStr">
        <is>
          <t xml:space="preserve">Soil C stocks </t>
        </is>
      </c>
      <c r="G1" s="2411" t="inlineStr">
        <is>
          <t xml:space="preserve">Data quality </t>
        </is>
      </c>
      <c r="J1" s="2403" t="inlineStr">
        <is>
          <t xml:space="preserve">Estimates of mean (± sd) total soil carbon (C) stocks and C stocks per unit area for countries where mangroves occur. 
Mangrove forest area are based on values from Hamilton and Casey 2016. C stock (Mg ha-1) represent the top 1 m of soil. 
Countries with an * next to their name are missing soil C data. For these countries total C stocks were estimated using the average global soil C stock per unit area of 283 MgC/ha. </t>
        </is>
      </c>
    </row>
    <row r="2">
      <c r="A2" s="2413" t="inlineStr">
        <is>
          <t>Country EX-ACT</t>
        </is>
      </c>
      <c r="B2" s="2413" t="inlineStr">
        <is>
          <t xml:space="preserve">Country </t>
        </is>
      </c>
      <c r="C2" s="2414" t="inlineStr">
        <is>
          <t xml:space="preserve">n   </t>
        </is>
      </c>
      <c r="D2" s="4800" t="inlineStr">
        <is>
          <t xml:space="preserve">area-2014 (km2) </t>
        </is>
      </c>
      <c r="E2" s="2414" t="inlineStr">
        <is>
          <t xml:space="preserve"> Mg C/ha</t>
        </is>
      </c>
      <c r="F2" s="2414" t="inlineStr">
        <is>
          <t>sd</t>
        </is>
      </c>
      <c r="G2" s="2416" t="inlineStr">
        <is>
          <t xml:space="preserve">score </t>
        </is>
      </c>
      <c r="J2" s="2403" t="inlineStr">
        <is>
          <t xml:space="preserve">n = number of soil cores from which estimates are based. Data quality score was calculated using Table S3 and S4. Maximum data quality score is 21.  </t>
        </is>
      </c>
    </row>
    <row r="3">
      <c r="A3" s="2405" t="inlineStr">
        <is>
          <t>Angola</t>
        </is>
      </c>
      <c r="B3" s="2405" t="inlineStr">
        <is>
          <t xml:space="preserve">Angola* </t>
        </is>
      </c>
      <c r="C3" s="2406" t="n">
        <v>0</v>
      </c>
      <c r="D3" s="4726" t="n">
        <v>213.27</v>
      </c>
      <c r="E3" s="2406" t="n">
        <v>283</v>
      </c>
      <c r="F3" s="2406" t="n"/>
      <c r="G3" s="2407" t="n"/>
    </row>
    <row r="4">
      <c r="A4" s="2405" t="inlineStr">
        <is>
          <t>Antigua and Barbuda</t>
        </is>
      </c>
      <c r="B4" s="2405" t="inlineStr">
        <is>
          <t xml:space="preserve">Antigua/Barbuda* </t>
        </is>
      </c>
      <c r="C4" s="2406" t="n">
        <v>0</v>
      </c>
      <c r="D4" s="4726" t="n">
        <v>1.67</v>
      </c>
      <c r="E4" s="2406" t="n">
        <v>283</v>
      </c>
      <c r="F4" s="2406" t="n"/>
      <c r="G4" s="2407" t="n"/>
    </row>
    <row r="5">
      <c r="A5" s="2405" t="inlineStr">
        <is>
          <t>Australia</t>
        </is>
      </c>
      <c r="B5" s="2405" t="inlineStr">
        <is>
          <t xml:space="preserve">Australia </t>
        </is>
      </c>
      <c r="C5" s="2406" t="n">
        <v>269</v>
      </c>
      <c r="D5" s="4726" t="n">
        <v>3314.68</v>
      </c>
      <c r="E5" s="2406" t="n">
        <v>249.4</v>
      </c>
      <c r="F5" s="2406" t="n">
        <v>154.02</v>
      </c>
      <c r="G5" s="2407" t="n">
        <v>15.8</v>
      </c>
    </row>
    <row r="6">
      <c r="A6" s="2405" t="inlineStr">
        <is>
          <t>Bahamas</t>
        </is>
      </c>
      <c r="B6" s="2405" t="inlineStr">
        <is>
          <t xml:space="preserve">Bahamas </t>
        </is>
      </c>
      <c r="C6" s="2406" t="n">
        <v>2</v>
      </c>
      <c r="D6" s="4726" t="n">
        <v>36.77</v>
      </c>
      <c r="E6" s="2406" t="n">
        <v>80.7</v>
      </c>
      <c r="F6" s="2406" t="n">
        <v>14.57</v>
      </c>
      <c r="G6" s="2407" t="n">
        <v>14</v>
      </c>
    </row>
    <row r="7">
      <c r="A7" s="2405" t="inlineStr">
        <is>
          <t>Bangladesh</t>
        </is>
      </c>
      <c r="B7" s="2405" t="inlineStr">
        <is>
          <t xml:space="preserve">Bangladesh </t>
        </is>
      </c>
      <c r="C7" s="2406" t="n">
        <v>11</v>
      </c>
      <c r="D7" s="4726" t="n">
        <v>1772.67</v>
      </c>
      <c r="E7" s="2406" t="n">
        <v>118.01</v>
      </c>
      <c r="F7" s="2406" t="n">
        <v>28.83</v>
      </c>
      <c r="G7" s="2407" t="n">
        <v>18.2</v>
      </c>
    </row>
    <row r="8">
      <c r="A8" s="2405" t="inlineStr">
        <is>
          <t>Barbados</t>
        </is>
      </c>
      <c r="B8" s="2405" t="inlineStr">
        <is>
          <t xml:space="preserve">Barbados* </t>
        </is>
      </c>
      <c r="C8" s="2406" t="n">
        <v>0</v>
      </c>
      <c r="D8" s="4726" t="n">
        <v>0.06</v>
      </c>
      <c r="E8" s="2406" t="n">
        <v>283</v>
      </c>
      <c r="F8" s="2406" t="n"/>
      <c r="G8" s="2407" t="n"/>
    </row>
    <row r="9">
      <c r="A9" s="2405" t="inlineStr">
        <is>
          <t>Belize</t>
        </is>
      </c>
      <c r="B9" s="2405" t="inlineStr">
        <is>
          <t xml:space="preserve">Belize </t>
        </is>
      </c>
      <c r="C9" s="2406" t="n">
        <v>13</v>
      </c>
      <c r="D9" s="4726" t="n">
        <v>302.02</v>
      </c>
      <c r="E9" s="2406" t="n">
        <v>647.05</v>
      </c>
      <c r="F9" s="2406" t="n">
        <v>69.84999999999999</v>
      </c>
      <c r="G9" s="2407" t="n">
        <v>15.2</v>
      </c>
    </row>
    <row r="10">
      <c r="A10" s="2405" t="inlineStr">
        <is>
          <t>Benin</t>
        </is>
      </c>
      <c r="B10" s="2405" t="inlineStr">
        <is>
          <t xml:space="preserve">Benin </t>
        </is>
      </c>
      <c r="C10" s="2406" t="n">
        <v>3</v>
      </c>
      <c r="D10" s="4726" t="n">
        <v>6.97</v>
      </c>
      <c r="E10" s="2406" t="n">
        <v>234.68</v>
      </c>
      <c r="F10" s="2406" t="n">
        <v>52.29</v>
      </c>
      <c r="G10" s="2407" t="n">
        <v>18</v>
      </c>
    </row>
    <row r="11">
      <c r="A11" s="2405" t="inlineStr">
        <is>
          <t>Bermuda</t>
        </is>
      </c>
      <c r="B11" s="2405" t="inlineStr">
        <is>
          <t xml:space="preserve">Bermuda* </t>
        </is>
      </c>
      <c r="C11" s="2406" t="n">
        <v>0</v>
      </c>
      <c r="D11" s="4726" t="n">
        <v>0.02</v>
      </c>
      <c r="E11" s="2406" t="n">
        <v>283</v>
      </c>
      <c r="F11" s="2406" t="n"/>
      <c r="G11" s="2407" t="n"/>
    </row>
    <row r="12">
      <c r="A12" s="2405" t="inlineStr">
        <is>
          <t>Brazil</t>
        </is>
      </c>
      <c r="B12" s="2405" t="inlineStr">
        <is>
          <t xml:space="preserve">Brazil </t>
        </is>
      </c>
      <c r="C12" s="2406" t="n">
        <v>41</v>
      </c>
      <c r="D12" s="4726" t="n">
        <v>7662.74</v>
      </c>
      <c r="E12" s="2406" t="n">
        <v>307.79</v>
      </c>
      <c r="F12" s="2406" t="n">
        <v>130.56</v>
      </c>
      <c r="G12" s="2407" t="n">
        <v>15.2</v>
      </c>
    </row>
    <row r="13">
      <c r="A13" s="2405" t="inlineStr">
        <is>
          <t>Brunei Darussalam</t>
        </is>
      </c>
      <c r="B13" s="2405" t="inlineStr">
        <is>
          <t xml:space="preserve">Brunei* </t>
        </is>
      </c>
      <c r="C13" s="2406" t="n">
        <v>0</v>
      </c>
      <c r="D13" s="4726" t="n">
        <v>103.27</v>
      </c>
      <c r="E13" s="2406" t="n">
        <v>283</v>
      </c>
      <c r="F13" s="2406" t="n"/>
      <c r="G13" s="2407" t="n"/>
    </row>
    <row r="14">
      <c r="A14" s="2405" t="inlineStr">
        <is>
          <t>Cambodia</t>
        </is>
      </c>
      <c r="B14" s="2405" t="inlineStr">
        <is>
          <t xml:space="preserve">Cambodia* </t>
        </is>
      </c>
      <c r="C14" s="2406" t="n">
        <v>0</v>
      </c>
      <c r="D14" s="4726" t="n">
        <v>320.04</v>
      </c>
      <c r="E14" s="2406" t="n">
        <v>283</v>
      </c>
      <c r="F14" s="2406" t="n"/>
      <c r="G14" s="2407" t="n"/>
    </row>
    <row r="15">
      <c r="A15" s="2405" t="inlineStr">
        <is>
          <t>Cameroon</t>
        </is>
      </c>
      <c r="B15" s="2405" t="inlineStr">
        <is>
          <t xml:space="preserve">Cameroon </t>
        </is>
      </c>
      <c r="C15" s="2406" t="n">
        <v>6</v>
      </c>
      <c r="D15" s="4726" t="n">
        <v>1112.53</v>
      </c>
      <c r="E15" s="2406" t="n">
        <v>596.64</v>
      </c>
      <c r="F15" s="2406" t="n">
        <v>347.69</v>
      </c>
      <c r="G15" s="2407" t="n">
        <v>15.5</v>
      </c>
    </row>
    <row r="16">
      <c r="A16" s="2405" t="inlineStr">
        <is>
          <t>China</t>
        </is>
      </c>
      <c r="B16" s="2405" t="inlineStr">
        <is>
          <t xml:space="preserve">China </t>
        </is>
      </c>
      <c r="C16" s="2406" t="n">
        <v>34</v>
      </c>
      <c r="D16" s="4726" t="n">
        <v>30.68</v>
      </c>
      <c r="E16" s="2406" t="n">
        <v>186.18</v>
      </c>
      <c r="F16" s="2406" t="n">
        <v>67.29000000000001</v>
      </c>
      <c r="G16" s="2407" t="n">
        <v>13.6</v>
      </c>
    </row>
    <row r="17">
      <c r="A17" s="2405" t="inlineStr">
        <is>
          <t>Colombia</t>
        </is>
      </c>
      <c r="B17" s="2405" t="inlineStr">
        <is>
          <t xml:space="preserve">Colombia </t>
        </is>
      </c>
      <c r="C17" s="2406" t="n">
        <v>4</v>
      </c>
      <c r="D17" s="4726" t="n">
        <v>1671.68</v>
      </c>
      <c r="E17" s="2406" t="n">
        <v>448.93</v>
      </c>
      <c r="F17" s="2406" t="n">
        <v>164.23</v>
      </c>
      <c r="G17" s="2407" t="n">
        <v>13</v>
      </c>
    </row>
    <row r="18">
      <c r="A18" s="2405" t="inlineStr">
        <is>
          <t>Comoros</t>
        </is>
      </c>
      <c r="B18" s="2405" t="inlineStr">
        <is>
          <t xml:space="preserve">Comoros* </t>
        </is>
      </c>
      <c r="C18" s="2406" t="n">
        <v>0</v>
      </c>
      <c r="D18" s="4726" t="n">
        <v>0.72</v>
      </c>
      <c r="E18" s="2406" t="n">
        <v>283</v>
      </c>
      <c r="F18" s="2406" t="n"/>
      <c r="G18" s="2407" t="n"/>
    </row>
    <row r="19">
      <c r="A19" s="2405" t="inlineStr">
        <is>
          <t>Congo</t>
        </is>
      </c>
      <c r="B19" s="2405" t="inlineStr">
        <is>
          <t xml:space="preserve">Congo </t>
        </is>
      </c>
      <c r="C19" s="2406" t="n">
        <v>3</v>
      </c>
      <c r="D19" s="4726" t="n">
        <v>70.40000000000001</v>
      </c>
      <c r="E19" s="2406" t="n">
        <v>470.1</v>
      </c>
      <c r="F19" s="2406" t="n">
        <v>384.74</v>
      </c>
      <c r="G19" s="2407" t="n">
        <v>16.3</v>
      </c>
    </row>
    <row r="20">
      <c r="A20" s="2405" t="inlineStr">
        <is>
          <t>Costa Rica</t>
        </is>
      </c>
      <c r="B20" s="2405" t="inlineStr">
        <is>
          <t xml:space="preserve">Costa Rica* </t>
        </is>
      </c>
      <c r="C20" s="2406" t="n">
        <v>0</v>
      </c>
      <c r="D20" s="4726" t="n">
        <v>334.99</v>
      </c>
      <c r="E20" s="2406" t="n">
        <v>283</v>
      </c>
      <c r="F20" s="2406" t="n"/>
      <c r="G20" s="2407" t="n"/>
    </row>
    <row r="21">
      <c r="A21" s="2405" t="inlineStr">
        <is>
          <t>Côte d’Ivoire</t>
        </is>
      </c>
      <c r="B21" s="2405" t="inlineStr">
        <is>
          <t xml:space="preserve">Ivory Coast* </t>
        </is>
      </c>
      <c r="C21" s="2406" t="n">
        <v>0</v>
      </c>
      <c r="D21" s="4726" t="n">
        <v>22.52</v>
      </c>
      <c r="E21" s="2406" t="n">
        <v>283</v>
      </c>
      <c r="F21" s="2406" t="n"/>
      <c r="G21" s="2407" t="n">
        <v>0</v>
      </c>
    </row>
    <row r="22">
      <c r="A22" s="2405" t="inlineStr">
        <is>
          <t>Cuba</t>
        </is>
      </c>
      <c r="B22" s="2405" t="inlineStr">
        <is>
          <t xml:space="preserve">Cuba* </t>
        </is>
      </c>
      <c r="C22" s="2406" t="n">
        <v>0</v>
      </c>
      <c r="D22" s="4726" t="n">
        <v>1624.23</v>
      </c>
      <c r="E22" s="2406" t="n">
        <v>283</v>
      </c>
      <c r="F22" s="2406" t="n"/>
      <c r="G22" s="2407" t="n"/>
    </row>
    <row r="23">
      <c r="A23" s="2405" t="inlineStr">
        <is>
          <t>Democratic Republic of the Congo</t>
        </is>
      </c>
      <c r="B23" s="2405" t="inlineStr">
        <is>
          <t>Democratic Republic of Congo</t>
        </is>
      </c>
      <c r="C23" s="2406" t="n">
        <v>3</v>
      </c>
      <c r="D23" s="4726" t="n">
        <v>146.09</v>
      </c>
      <c r="E23" s="2406" t="n">
        <v>935.67</v>
      </c>
      <c r="F23" s="2406" t="n">
        <v>84.72</v>
      </c>
      <c r="G23" s="2407" t="n"/>
    </row>
    <row r="24">
      <c r="A24" s="2405" t="inlineStr">
        <is>
          <t>Djibouti</t>
        </is>
      </c>
      <c r="B24" s="2405" t="inlineStr">
        <is>
          <t xml:space="preserve">Djibouti* </t>
        </is>
      </c>
      <c r="C24" s="2406" t="n">
        <v>0</v>
      </c>
      <c r="D24" s="4726" t="n">
        <v>0.17</v>
      </c>
      <c r="E24" s="2406" t="n">
        <v>283</v>
      </c>
      <c r="F24" s="2406" t="n"/>
      <c r="G24" s="2407" t="n"/>
    </row>
    <row r="25">
      <c r="A25" s="2405" t="inlineStr">
        <is>
          <t>Dominican Republic</t>
        </is>
      </c>
      <c r="B25" s="2405" t="inlineStr">
        <is>
          <t xml:space="preserve">Dominican Republic </t>
        </is>
      </c>
      <c r="C25" s="2406" t="n">
        <v>9</v>
      </c>
      <c r="D25" s="4726" t="n">
        <v>100.63</v>
      </c>
      <c r="E25" s="2406" t="n">
        <v>419.08</v>
      </c>
      <c r="F25" s="2406" t="n">
        <v>88.3</v>
      </c>
      <c r="G25" s="2407" t="n">
        <v>19</v>
      </c>
    </row>
    <row r="26">
      <c r="A26" s="2405" t="inlineStr">
        <is>
          <t>Ecuador</t>
        </is>
      </c>
      <c r="B26" s="2405" t="inlineStr">
        <is>
          <t xml:space="preserve">Ecuador </t>
        </is>
      </c>
      <c r="C26" s="2406" t="n">
        <v>12</v>
      </c>
      <c r="D26" s="4726" t="n">
        <v>935.4</v>
      </c>
      <c r="E26" s="2406" t="n">
        <v>327.03</v>
      </c>
      <c r="F26" s="2406" t="n">
        <v>60.58</v>
      </c>
      <c r="G26" s="2407" t="n">
        <v>13.5</v>
      </c>
    </row>
    <row r="27">
      <c r="A27" s="2405" t="inlineStr">
        <is>
          <t>Egypt</t>
        </is>
      </c>
      <c r="B27" s="2405" t="inlineStr">
        <is>
          <t xml:space="preserve">Egypt </t>
        </is>
      </c>
      <c r="C27" s="2406" t="n">
        <v>43</v>
      </c>
      <c r="D27" s="4726" t="n">
        <v>0.01</v>
      </c>
      <c r="E27" s="2406" t="n">
        <v>184.75</v>
      </c>
      <c r="F27" s="2406" t="n">
        <v>54.79</v>
      </c>
      <c r="G27" s="2407" t="n">
        <v>12.2</v>
      </c>
    </row>
    <row r="28">
      <c r="A28" s="2405" t="inlineStr">
        <is>
          <t>El Salvador</t>
        </is>
      </c>
      <c r="B28" s="2405" t="inlineStr">
        <is>
          <t xml:space="preserve">El Salvador* </t>
        </is>
      </c>
      <c r="C28" s="2406" t="n">
        <v>0</v>
      </c>
      <c r="D28" s="4726" t="n">
        <v>236.01</v>
      </c>
      <c r="E28" s="2406" t="n">
        <v>283</v>
      </c>
      <c r="F28" s="2406" t="n"/>
      <c r="G28" s="2407" t="n">
        <v>0</v>
      </c>
    </row>
    <row r="29">
      <c r="A29" s="2405" t="inlineStr">
        <is>
          <t>Equatorial Guinea</t>
        </is>
      </c>
      <c r="B29" s="2405" t="inlineStr">
        <is>
          <t xml:space="preserve">Equatorial Guinea* </t>
        </is>
      </c>
      <c r="C29" s="2406" t="n">
        <v>0</v>
      </c>
      <c r="D29" s="4726" t="n">
        <v>155</v>
      </c>
      <c r="E29" s="2406" t="n">
        <v>283</v>
      </c>
      <c r="F29" s="2406" t="n"/>
      <c r="G29" s="2407" t="n">
        <v>0</v>
      </c>
    </row>
    <row r="30">
      <c r="A30" s="2405" t="inlineStr">
        <is>
          <t>Eritrea</t>
        </is>
      </c>
      <c r="B30" s="2405" t="inlineStr">
        <is>
          <t xml:space="preserve">Eritrea* </t>
        </is>
      </c>
      <c r="C30" s="2406" t="n">
        <v>0</v>
      </c>
      <c r="D30" s="4726" t="n">
        <v>1.28</v>
      </c>
      <c r="E30" s="2406" t="n">
        <v>283</v>
      </c>
      <c r="F30" s="2406" t="n"/>
      <c r="G30" s="2407" t="n">
        <v>0</v>
      </c>
    </row>
    <row r="31">
      <c r="A31" s="2405" t="inlineStr">
        <is>
          <t>Fiji</t>
        </is>
      </c>
      <c r="B31" s="2405" t="inlineStr">
        <is>
          <t xml:space="preserve">Fiji* </t>
        </is>
      </c>
      <c r="C31" s="2406" t="n">
        <v>0</v>
      </c>
      <c r="D31" s="4726" t="n">
        <v>400.77</v>
      </c>
      <c r="E31" s="2406" t="n">
        <v>283</v>
      </c>
      <c r="F31" s="2406" t="n"/>
      <c r="G31" s="2407" t="n">
        <v>0</v>
      </c>
    </row>
    <row r="32">
      <c r="A32" s="2405" t="inlineStr">
        <is>
          <t>French Guiana</t>
        </is>
      </c>
      <c r="B32" s="2405" t="inlineStr">
        <is>
          <t xml:space="preserve">French Guiana/Guadeloupe </t>
        </is>
      </c>
      <c r="C32" s="2406" t="n">
        <v>31</v>
      </c>
      <c r="D32" s="4726" t="n">
        <v>697.78</v>
      </c>
      <c r="E32" s="2406" t="n">
        <v>185.35</v>
      </c>
      <c r="F32" s="2406" t="n">
        <v>129.05</v>
      </c>
      <c r="G32" s="2407" t="n">
        <v>15.9</v>
      </c>
    </row>
    <row r="33">
      <c r="A33" s="2405" t="inlineStr">
        <is>
          <t>Gabon</t>
        </is>
      </c>
      <c r="B33" s="2405" t="inlineStr">
        <is>
          <t xml:space="preserve">Gabon </t>
        </is>
      </c>
      <c r="C33" s="2406" t="n">
        <v>3</v>
      </c>
      <c r="D33" s="4726" t="n">
        <v>1081.23</v>
      </c>
      <c r="E33" s="2406" t="n">
        <v>736.0700000000001</v>
      </c>
      <c r="F33" s="2406" t="n">
        <v>192.43</v>
      </c>
      <c r="G33" s="2407" t="n">
        <v>17</v>
      </c>
    </row>
    <row r="34">
      <c r="A34" s="2405" t="inlineStr">
        <is>
          <t>Gambia</t>
        </is>
      </c>
      <c r="B34" s="2405" t="inlineStr">
        <is>
          <t xml:space="preserve">Gambia, The* </t>
        </is>
      </c>
      <c r="C34" s="2406" t="n">
        <v>0</v>
      </c>
      <c r="D34" s="4726" t="n">
        <v>48.05</v>
      </c>
      <c r="E34" s="2406" t="n">
        <v>283</v>
      </c>
      <c r="F34" s="2406" t="n"/>
      <c r="G34" s="2407" t="n">
        <v>0</v>
      </c>
    </row>
    <row r="35">
      <c r="A35" s="2405" t="inlineStr">
        <is>
          <t>Ghana</t>
        </is>
      </c>
      <c r="B35" s="2405" t="inlineStr">
        <is>
          <t xml:space="preserve">Ghana </t>
        </is>
      </c>
      <c r="C35" s="2406" t="n">
        <v>3</v>
      </c>
      <c r="D35" s="4726" t="n">
        <v>23.36</v>
      </c>
      <c r="E35" s="2406" t="n">
        <v>245.36</v>
      </c>
      <c r="F35" s="2406" t="n">
        <v>39.76</v>
      </c>
      <c r="G35" s="2407" t="n">
        <v>13</v>
      </c>
    </row>
    <row r="36">
      <c r="A36" s="2405" t="inlineStr">
        <is>
          <t>Grenada</t>
        </is>
      </c>
      <c r="B36" s="2405" t="inlineStr">
        <is>
          <t xml:space="preserve">Grenada* </t>
        </is>
      </c>
      <c r="C36" s="2406" t="n">
        <v>0</v>
      </c>
      <c r="D36" s="4726" t="n">
        <v>1.09</v>
      </c>
      <c r="E36" s="2406" t="n">
        <v>283</v>
      </c>
      <c r="F36" s="2406" t="n"/>
      <c r="G36" s="2407" t="n">
        <v>0</v>
      </c>
    </row>
    <row r="37">
      <c r="A37" s="2405" t="inlineStr">
        <is>
          <t>Guadeloupe</t>
        </is>
      </c>
      <c r="B37" s="2405" t="inlineStr">
        <is>
          <t xml:space="preserve">French Guiana/Guadeloupe </t>
        </is>
      </c>
      <c r="C37" s="2406" t="n">
        <v>31</v>
      </c>
      <c r="D37" s="4726" t="n">
        <v>697.78</v>
      </c>
      <c r="E37" s="2406" t="n">
        <v>185.35</v>
      </c>
      <c r="F37" s="2406" t="n">
        <v>129.05</v>
      </c>
      <c r="G37" s="2407" t="n">
        <v>15.9</v>
      </c>
    </row>
    <row r="38">
      <c r="A38" s="2405" t="inlineStr">
        <is>
          <t>Guatemala</t>
        </is>
      </c>
      <c r="B38" s="2405" t="inlineStr">
        <is>
          <t xml:space="preserve">Guatemala* </t>
        </is>
      </c>
      <c r="C38" s="2406" t="n">
        <v>0</v>
      </c>
      <c r="D38" s="4726" t="n">
        <v>253.01</v>
      </c>
      <c r="E38" s="2406" t="n">
        <v>283</v>
      </c>
      <c r="F38" s="2406" t="n"/>
      <c r="G38" s="2407" t="n">
        <v>0</v>
      </c>
    </row>
    <row r="39">
      <c r="A39" s="2405" t="inlineStr">
        <is>
          <t>Guinea</t>
        </is>
      </c>
      <c r="B39" s="2405" t="inlineStr">
        <is>
          <t xml:space="preserve">Guinea* </t>
        </is>
      </c>
      <c r="C39" s="2406" t="n">
        <v>0</v>
      </c>
      <c r="D39" s="4726" t="n">
        <v>819.86</v>
      </c>
      <c r="E39" s="2406" t="n">
        <v>283</v>
      </c>
      <c r="F39" s="2406" t="n"/>
      <c r="G39" s="2407" t="n">
        <v>0</v>
      </c>
    </row>
    <row r="40">
      <c r="A40" s="2405" t="inlineStr">
        <is>
          <t>Guinea-Bissau</t>
        </is>
      </c>
      <c r="B40" s="2405" t="inlineStr">
        <is>
          <t xml:space="preserve">Guinea-Bissau </t>
        </is>
      </c>
      <c r="C40" s="2406" t="n">
        <v>2</v>
      </c>
      <c r="D40" s="4726" t="n">
        <v>744.71</v>
      </c>
      <c r="E40" s="2406" t="n">
        <v>125.55</v>
      </c>
      <c r="F40" s="2406" t="n">
        <v>56.36</v>
      </c>
      <c r="G40" s="2407" t="n">
        <v>18</v>
      </c>
    </row>
    <row r="41">
      <c r="A41" s="2405" t="inlineStr">
        <is>
          <t>Guyana</t>
        </is>
      </c>
      <c r="B41" s="2405" t="inlineStr">
        <is>
          <t xml:space="preserve">Guyana* </t>
        </is>
      </c>
      <c r="C41" s="2406" t="n">
        <v>0</v>
      </c>
      <c r="D41" s="4726" t="n">
        <v>187.7</v>
      </c>
      <c r="E41" s="2406" t="n">
        <v>283</v>
      </c>
      <c r="F41" s="2406" t="n"/>
      <c r="G41" s="2407" t="n">
        <v>0</v>
      </c>
    </row>
    <row r="42">
      <c r="A42" s="2405" t="inlineStr">
        <is>
          <t>Haiti</t>
        </is>
      </c>
      <c r="B42" s="2405" t="inlineStr">
        <is>
          <t xml:space="preserve">Haiti* </t>
        </is>
      </c>
      <c r="C42" s="2406" t="n">
        <v>0</v>
      </c>
      <c r="D42" s="4726" t="n">
        <v>42.31</v>
      </c>
      <c r="E42" s="2406" t="n">
        <v>283</v>
      </c>
      <c r="F42" s="2406" t="n"/>
      <c r="G42" s="2407" t="n">
        <v>0</v>
      </c>
    </row>
    <row r="43">
      <c r="A43" s="2405" t="inlineStr">
        <is>
          <t>Honduras</t>
        </is>
      </c>
      <c r="B43" s="2405" t="inlineStr">
        <is>
          <t xml:space="preserve">Honduras </t>
        </is>
      </c>
      <c r="C43" s="2406" t="n">
        <v>18</v>
      </c>
      <c r="D43" s="4726" t="n">
        <v>523.61</v>
      </c>
      <c r="E43" s="2406" t="n">
        <v>397.34</v>
      </c>
      <c r="F43" s="2406" t="n">
        <v>141.93</v>
      </c>
      <c r="G43" s="2407" t="n">
        <v>17</v>
      </c>
    </row>
    <row r="44">
      <c r="A44" s="2405" t="inlineStr">
        <is>
          <t>India</t>
        </is>
      </c>
      <c r="B44" s="2405" t="inlineStr">
        <is>
          <t xml:space="preserve">India </t>
        </is>
      </c>
      <c r="C44" s="2406" t="n">
        <v>160</v>
      </c>
      <c r="D44" s="4726" t="n">
        <v>791.4</v>
      </c>
      <c r="E44" s="2406" t="n">
        <v>252.58</v>
      </c>
      <c r="F44" s="2406" t="n">
        <v>90.51000000000001</v>
      </c>
      <c r="G44" s="2407" t="n">
        <v>13.4</v>
      </c>
    </row>
    <row r="45">
      <c r="A45" s="2405" t="inlineStr">
        <is>
          <t>Indonesia</t>
        </is>
      </c>
      <c r="B45" s="2405" t="inlineStr">
        <is>
          <t xml:space="preserve">Indonesia </t>
        </is>
      </c>
      <c r="C45" s="2406" t="n">
        <v>40</v>
      </c>
      <c r="D45" s="4726" t="n">
        <v>23142.77</v>
      </c>
      <c r="E45" s="2406" t="n">
        <v>359.19</v>
      </c>
      <c r="F45" s="2406" t="n">
        <v>180.68</v>
      </c>
      <c r="G45" s="2407" t="n">
        <v>14.1</v>
      </c>
    </row>
    <row r="46">
      <c r="A46" s="2405" t="inlineStr">
        <is>
          <t>Iran</t>
        </is>
      </c>
      <c r="B46" s="2405" t="inlineStr">
        <is>
          <t xml:space="preserve">Iran* </t>
        </is>
      </c>
      <c r="C46" s="2406" t="n">
        <v>0</v>
      </c>
      <c r="D46" s="4726" t="n">
        <v>0.04</v>
      </c>
      <c r="E46" s="2406" t="n">
        <v>283</v>
      </c>
      <c r="F46" s="2406" t="n"/>
      <c r="G46" s="2407" t="n">
        <v>0</v>
      </c>
    </row>
    <row r="47">
      <c r="A47" s="2405" t="inlineStr">
        <is>
          <t>Jamaica</t>
        </is>
      </c>
      <c r="B47" s="2405" t="inlineStr">
        <is>
          <t xml:space="preserve">Jamaica* </t>
        </is>
      </c>
      <c r="C47" s="2406" t="n">
        <v>0</v>
      </c>
      <c r="D47" s="4726" t="n">
        <v>43.74</v>
      </c>
      <c r="E47" s="2406" t="n">
        <v>283</v>
      </c>
      <c r="F47" s="2406" t="n"/>
      <c r="G47" s="2407" t="n">
        <v>0</v>
      </c>
    </row>
    <row r="48">
      <c r="A48" s="2405" t="inlineStr">
        <is>
          <t>Japan</t>
        </is>
      </c>
      <c r="B48" s="2405" t="inlineStr">
        <is>
          <t xml:space="preserve">Japan </t>
        </is>
      </c>
      <c r="C48" s="2406" t="n">
        <v>47</v>
      </c>
      <c r="D48" s="4726" t="n">
        <v>7.84</v>
      </c>
      <c r="E48" s="2406" t="n">
        <v>273.99</v>
      </c>
      <c r="F48" s="2406" t="n">
        <v>135.51</v>
      </c>
      <c r="G48" s="2407" t="n">
        <v>12.8</v>
      </c>
    </row>
    <row r="49">
      <c r="A49" s="2405" t="inlineStr">
        <is>
          <t>Kenya</t>
        </is>
      </c>
      <c r="B49" s="2405" t="inlineStr">
        <is>
          <t xml:space="preserve">Kenya </t>
        </is>
      </c>
      <c r="C49" s="2406" t="n">
        <v>48</v>
      </c>
      <c r="D49" s="4726" t="n">
        <v>230.01</v>
      </c>
      <c r="E49" s="2406" t="n">
        <v>445.92</v>
      </c>
      <c r="F49" s="2406" t="n">
        <v>422.41</v>
      </c>
      <c r="G49" s="2407" t="n">
        <v>16.1</v>
      </c>
    </row>
    <row r="50">
      <c r="A50" s="2405" t="inlineStr">
        <is>
          <t>Liberia</t>
        </is>
      </c>
      <c r="B50" s="2405" t="inlineStr">
        <is>
          <t xml:space="preserve">Liberia* </t>
        </is>
      </c>
      <c r="C50" s="2406" t="n">
        <v>0</v>
      </c>
      <c r="D50" s="4726" t="n">
        <v>46.97</v>
      </c>
      <c r="E50" s="2406" t="n">
        <v>283</v>
      </c>
      <c r="F50" s="2406" t="n"/>
      <c r="G50" s="2407" t="n">
        <v>0</v>
      </c>
    </row>
    <row r="51">
      <c r="A51" s="2405" t="inlineStr">
        <is>
          <t>Madagascar</t>
        </is>
      </c>
      <c r="B51" s="2405" t="inlineStr">
        <is>
          <t xml:space="preserve">Madagascar </t>
        </is>
      </c>
      <c r="C51" s="2406" t="n">
        <v>7</v>
      </c>
      <c r="D51" s="4726" t="n">
        <v>849.5599999999999</v>
      </c>
      <c r="E51" s="2406" t="n">
        <v>166.58</v>
      </c>
      <c r="F51" s="2406" t="n">
        <v>74.51000000000001</v>
      </c>
      <c r="G51" s="2407" t="n">
        <v>16.7</v>
      </c>
    </row>
    <row r="52">
      <c r="A52" s="2405" t="inlineStr">
        <is>
          <t>Malaysia</t>
        </is>
      </c>
      <c r="B52" s="2405" t="inlineStr">
        <is>
          <t xml:space="preserve">Malaysia </t>
        </is>
      </c>
      <c r="C52" s="2406" t="n">
        <v>35</v>
      </c>
      <c r="D52" s="4726" t="n">
        <v>4691.5</v>
      </c>
      <c r="E52" s="2406" t="n">
        <v>424.37</v>
      </c>
      <c r="F52" s="2406" t="n">
        <v>399.78</v>
      </c>
      <c r="G52" s="2407" t="n">
        <v>13.8</v>
      </c>
    </row>
    <row r="53">
      <c r="A53" s="2405" t="inlineStr">
        <is>
          <t>Maldives</t>
        </is>
      </c>
      <c r="B53" s="2405" t="inlineStr">
        <is>
          <t xml:space="preserve">Maldives* </t>
        </is>
      </c>
      <c r="C53" s="2406" t="n">
        <v>0</v>
      </c>
      <c r="D53" s="4726" t="n">
        <v>0.3</v>
      </c>
      <c r="E53" s="2406" t="n">
        <v>283</v>
      </c>
      <c r="F53" s="2406" t="n"/>
      <c r="G53" s="2407" t="n">
        <v>0</v>
      </c>
    </row>
    <row r="54">
      <c r="A54" s="2405" t="inlineStr">
        <is>
          <t>Mexico</t>
        </is>
      </c>
      <c r="B54" s="2405" t="inlineStr">
        <is>
          <t xml:space="preserve">Mexico </t>
        </is>
      </c>
      <c r="C54" s="2406" t="n">
        <v>38</v>
      </c>
      <c r="D54" s="4726" t="n">
        <v>2985.02</v>
      </c>
      <c r="E54" s="2406" t="n">
        <v>370.35</v>
      </c>
      <c r="F54" s="2406" t="n">
        <v>176.16</v>
      </c>
      <c r="G54" s="2407" t="n">
        <v>16.2</v>
      </c>
    </row>
    <row r="55">
      <c r="A55" s="2405" t="inlineStr">
        <is>
          <t>Micronesia (Federated States of)</t>
        </is>
      </c>
      <c r="B55" s="2405" t="inlineStr">
        <is>
          <t xml:space="preserve">Fed. States of Micronesia </t>
        </is>
      </c>
      <c r="C55" s="2406" t="n">
        <v>27</v>
      </c>
      <c r="D55" s="4726" t="n">
        <v>6.92</v>
      </c>
      <c r="E55" s="2406" t="n">
        <v>453.28</v>
      </c>
      <c r="F55" s="2406" t="n">
        <v>243.65</v>
      </c>
      <c r="G55" s="2407" t="n">
        <v>15.3</v>
      </c>
    </row>
    <row r="56">
      <c r="A56" s="2405" t="inlineStr">
        <is>
          <t>Morocco</t>
        </is>
      </c>
      <c r="B56" s="2408" t="inlineStr">
        <is>
          <t xml:space="preserve">Morocco* </t>
        </is>
      </c>
      <c r="C56" s="2409" t="n">
        <v>0</v>
      </c>
      <c r="D56" s="4727" t="n">
        <v>0.29</v>
      </c>
      <c r="E56" s="2409" t="n">
        <v>283</v>
      </c>
      <c r="F56" s="2409" t="n"/>
      <c r="G56" s="2410" t="n">
        <v>0</v>
      </c>
    </row>
    <row r="57">
      <c r="A57" s="2405" t="inlineStr">
        <is>
          <t>Mozambique</t>
        </is>
      </c>
      <c r="B57" s="2408" t="inlineStr">
        <is>
          <t xml:space="preserve">Mozambique </t>
        </is>
      </c>
      <c r="C57" s="2409" t="n">
        <v>6</v>
      </c>
      <c r="D57" s="4727" t="n">
        <v>1223.16</v>
      </c>
      <c r="E57" s="2409" t="n">
        <v>153.07</v>
      </c>
      <c r="F57" s="2409" t="n">
        <v>7.45</v>
      </c>
      <c r="G57" s="2410" t="n">
        <v>17</v>
      </c>
      <c r="H57" s="681" t="n"/>
    </row>
    <row r="58">
      <c r="A58" s="2405" t="inlineStr">
        <is>
          <t>Myanmar</t>
        </is>
      </c>
      <c r="B58" s="2408" t="inlineStr">
        <is>
          <t xml:space="preserve">Myanmar* </t>
        </is>
      </c>
      <c r="C58" s="2409" t="n">
        <v>0</v>
      </c>
      <c r="D58" s="4727" t="n">
        <v>2508.25</v>
      </c>
      <c r="E58" s="2409" t="n">
        <v>283</v>
      </c>
      <c r="F58" s="2409" t="n"/>
      <c r="G58" s="2410" t="n">
        <v>0</v>
      </c>
    </row>
    <row r="59">
      <c r="A59" s="2405" t="inlineStr">
        <is>
          <t>New Caledonia</t>
        </is>
      </c>
      <c r="B59" s="2408" t="inlineStr">
        <is>
          <t xml:space="preserve">New Caledonia </t>
        </is>
      </c>
      <c r="C59" s="2409" t="n">
        <v>7</v>
      </c>
      <c r="D59" s="4727" t="n">
        <v>97.87</v>
      </c>
      <c r="E59" s="2409" t="n">
        <v>400.65</v>
      </c>
      <c r="F59" s="2409" t="n">
        <v>75.72</v>
      </c>
      <c r="G59" s="2410" t="n">
        <v>14.4</v>
      </c>
    </row>
    <row r="60">
      <c r="A60" s="2405" t="inlineStr">
        <is>
          <t>New Zealand</t>
        </is>
      </c>
      <c r="B60" s="2408" t="inlineStr">
        <is>
          <t xml:space="preserve">New Zealand </t>
        </is>
      </c>
      <c r="C60" s="2409" t="n">
        <v>92</v>
      </c>
      <c r="D60" s="4727" t="n">
        <v>77.34999999999999</v>
      </c>
      <c r="E60" s="2409" t="n">
        <v>208.94</v>
      </c>
      <c r="F60" s="2409" t="n">
        <v>52.34</v>
      </c>
      <c r="G60" s="2410" t="n">
        <v>14.4</v>
      </c>
    </row>
    <row r="61">
      <c r="A61" s="2405" t="inlineStr">
        <is>
          <t>Nicaragua</t>
        </is>
      </c>
      <c r="B61" s="2408" t="inlineStr">
        <is>
          <t xml:space="preserve">Nicaragua* </t>
        </is>
      </c>
      <c r="C61" s="2409" t="n">
        <v>0</v>
      </c>
      <c r="D61" s="4727" t="n">
        <v>552.22</v>
      </c>
      <c r="E61" s="2409" t="n">
        <v>283</v>
      </c>
      <c r="F61" s="2409" t="n"/>
      <c r="G61" s="2410" t="n">
        <v>0</v>
      </c>
    </row>
    <row r="62">
      <c r="A62" s="2405" t="inlineStr">
        <is>
          <t>Nigeria</t>
        </is>
      </c>
      <c r="B62" s="2408" t="inlineStr">
        <is>
          <t xml:space="preserve">Nigeria </t>
        </is>
      </c>
      <c r="C62" s="2409" t="n">
        <v>11</v>
      </c>
      <c r="D62" s="4727" t="n">
        <v>2653.32</v>
      </c>
      <c r="E62" s="2409" t="n">
        <v>234.74</v>
      </c>
      <c r="F62" s="2409" t="n">
        <v>44.07</v>
      </c>
      <c r="G62" s="2410" t="n">
        <v>15</v>
      </c>
    </row>
    <row r="63">
      <c r="A63" s="2405" t="inlineStr">
        <is>
          <t>Oman</t>
        </is>
      </c>
      <c r="B63" s="2408" t="inlineStr">
        <is>
          <t xml:space="preserve">Oman* </t>
        </is>
      </c>
      <c r="C63" s="2409" t="n">
        <v>0</v>
      </c>
      <c r="D63" s="4727" t="n">
        <v>0.02</v>
      </c>
      <c r="E63" s="2409" t="n">
        <v>283</v>
      </c>
      <c r="F63" s="2409" t="n"/>
      <c r="G63" s="2410" t="n">
        <v>0</v>
      </c>
    </row>
    <row r="64">
      <c r="A64" s="2405" t="inlineStr">
        <is>
          <t>Pakistan</t>
        </is>
      </c>
      <c r="B64" s="2408" t="inlineStr">
        <is>
          <t xml:space="preserve">Pakistan </t>
        </is>
      </c>
      <c r="C64" s="2409" t="n">
        <v>3</v>
      </c>
      <c r="D64" s="4727" t="n">
        <v>11.66</v>
      </c>
      <c r="E64" s="2409" t="n">
        <v>180.53</v>
      </c>
      <c r="F64" s="2409" t="n">
        <v>6.86</v>
      </c>
      <c r="G64" s="2410" t="n">
        <v>11</v>
      </c>
    </row>
    <row r="65">
      <c r="A65" s="2405" t="inlineStr">
        <is>
          <t>Palau</t>
        </is>
      </c>
      <c r="B65" s="2408" t="inlineStr">
        <is>
          <t xml:space="preserve">Palau </t>
        </is>
      </c>
      <c r="C65" s="2409" t="n">
        <v>7</v>
      </c>
      <c r="D65" s="4727" t="n">
        <v>47.87</v>
      </c>
      <c r="E65" s="2409" t="n">
        <v>481.92</v>
      </c>
      <c r="F65" s="2409" t="n">
        <v>84.12</v>
      </c>
      <c r="G65" s="2410" t="n">
        <v>15.7</v>
      </c>
    </row>
    <row r="66">
      <c r="A66" s="2405" t="inlineStr">
        <is>
          <t>Panama</t>
        </is>
      </c>
      <c r="B66" s="2408" t="inlineStr">
        <is>
          <t xml:space="preserve">Panama </t>
        </is>
      </c>
      <c r="C66" s="2409" t="n">
        <v>10</v>
      </c>
      <c r="D66" s="4727" t="n">
        <v>1323.06</v>
      </c>
      <c r="E66" s="2409" t="n">
        <v>298.95</v>
      </c>
      <c r="F66" s="2409" t="n">
        <v>46.43</v>
      </c>
      <c r="G66" s="2410" t="n">
        <v>12</v>
      </c>
    </row>
    <row r="67">
      <c r="A67" s="2405" t="inlineStr">
        <is>
          <t>Papua New Guinea</t>
        </is>
      </c>
      <c r="B67" s="2408" t="inlineStr">
        <is>
          <t xml:space="preserve">Papua New Guinea </t>
        </is>
      </c>
      <c r="C67" s="2409" t="n">
        <v>6</v>
      </c>
      <c r="D67" s="4727" t="n">
        <v>4169.04</v>
      </c>
      <c r="E67" s="2409" t="n">
        <v>140.38</v>
      </c>
      <c r="F67" s="2409" t="n">
        <v>25.04</v>
      </c>
      <c r="G67" s="2410" t="n">
        <v>11</v>
      </c>
    </row>
    <row r="68">
      <c r="A68" s="2405" t="inlineStr">
        <is>
          <t>Peru</t>
        </is>
      </c>
      <c r="B68" s="2408" t="inlineStr">
        <is>
          <t xml:space="preserve">Peru* </t>
        </is>
      </c>
      <c r="C68" s="2409" t="n">
        <v>0</v>
      </c>
      <c r="D68" s="4727" t="n">
        <v>14.33</v>
      </c>
      <c r="E68" s="2409" t="n">
        <v>283</v>
      </c>
      <c r="F68" s="2409" t="n"/>
      <c r="G68" s="2410" t="n">
        <v>0</v>
      </c>
    </row>
    <row r="69">
      <c r="A69" s="2405" t="inlineStr">
        <is>
          <t>Philippines</t>
        </is>
      </c>
      <c r="B69" s="2408" t="inlineStr">
        <is>
          <t xml:space="preserve">Philippines </t>
        </is>
      </c>
      <c r="C69" s="2409" t="n">
        <v>8</v>
      </c>
      <c r="D69" s="4727" t="n">
        <v>2059.75</v>
      </c>
      <c r="E69" s="2409" t="n">
        <v>227.23</v>
      </c>
      <c r="F69" s="2409" t="n">
        <v>162.14</v>
      </c>
      <c r="G69" s="2410" t="n">
        <v>15</v>
      </c>
      <c r="H69" s="681" t="n"/>
    </row>
    <row r="70">
      <c r="A70" s="2405" t="inlineStr">
        <is>
          <t>Puerto Rico</t>
        </is>
      </c>
      <c r="B70" s="2408" t="inlineStr">
        <is>
          <t xml:space="preserve">Puerto Rico* </t>
        </is>
      </c>
      <c r="C70" s="2409" t="n">
        <v>0</v>
      </c>
      <c r="D70" s="4727" t="n">
        <v>45.94</v>
      </c>
      <c r="E70" s="2409" t="n">
        <v>283</v>
      </c>
      <c r="F70" s="2409" t="n"/>
      <c r="G70" s="2410" t="n">
        <v>0</v>
      </c>
    </row>
    <row r="71">
      <c r="A71" s="2405" t="inlineStr">
        <is>
          <t>Saudi Arabia</t>
        </is>
      </c>
      <c r="B71" s="2408" t="inlineStr">
        <is>
          <t xml:space="preserve">Saudi Arabia </t>
        </is>
      </c>
      <c r="C71" s="2409" t="n">
        <v>31</v>
      </c>
      <c r="D71" s="4727" t="n">
        <v>0.33</v>
      </c>
      <c r="E71" s="2409" t="n">
        <v>71.47</v>
      </c>
      <c r="F71" s="2409" t="n">
        <v>52.74</v>
      </c>
      <c r="G71" s="2410" t="n">
        <v>12</v>
      </c>
    </row>
    <row r="72">
      <c r="A72" s="2405" t="inlineStr">
        <is>
          <t>Senegal</t>
        </is>
      </c>
      <c r="B72" s="2408" t="inlineStr">
        <is>
          <t xml:space="preserve">Senegal </t>
        </is>
      </c>
      <c r="C72" s="2409" t="n">
        <v>2</v>
      </c>
      <c r="D72" s="4727" t="n">
        <v>155.32</v>
      </c>
      <c r="E72" s="2409" t="n">
        <v>138.92</v>
      </c>
      <c r="F72" s="2409" t="n">
        <v>70.65000000000001</v>
      </c>
      <c r="G72" s="2410" t="n">
        <v>14</v>
      </c>
    </row>
    <row r="73">
      <c r="A73" s="2405" t="inlineStr">
        <is>
          <t>Seychelles</t>
        </is>
      </c>
      <c r="B73" s="2408" t="inlineStr">
        <is>
          <t xml:space="preserve">Seychelles* </t>
        </is>
      </c>
      <c r="C73" s="2409" t="n">
        <v>0</v>
      </c>
      <c r="D73" s="4727" t="n">
        <v>5.41</v>
      </c>
      <c r="E73" s="2409" t="n">
        <v>283</v>
      </c>
      <c r="F73" s="2409" t="n"/>
      <c r="G73" s="2410" t="n">
        <v>0</v>
      </c>
    </row>
    <row r="74">
      <c r="A74" s="2405" t="inlineStr">
        <is>
          <t>Sierra Leone</t>
        </is>
      </c>
      <c r="B74" s="2408" t="inlineStr">
        <is>
          <t xml:space="preserve">Sierra Leone* </t>
        </is>
      </c>
      <c r="C74" s="2409" t="n">
        <v>0</v>
      </c>
      <c r="D74" s="4727" t="n">
        <v>655.3200000000001</v>
      </c>
      <c r="E74" s="2409" t="n">
        <v>283</v>
      </c>
      <c r="F74" s="2409" t="n"/>
      <c r="G74" s="2410" t="n">
        <v>0</v>
      </c>
    </row>
    <row r="75">
      <c r="A75" s="2405" t="inlineStr">
        <is>
          <t>Singapore</t>
        </is>
      </c>
      <c r="B75" s="2408" t="inlineStr">
        <is>
          <t xml:space="preserve">Singapore </t>
        </is>
      </c>
      <c r="C75" s="2409" t="n">
        <v>1</v>
      </c>
      <c r="D75" s="4727" t="n">
        <v>1.67</v>
      </c>
      <c r="E75" s="2409" t="n">
        <v>329.66</v>
      </c>
      <c r="F75" s="2409" t="n"/>
      <c r="G75" s="2410" t="n">
        <v>18</v>
      </c>
    </row>
    <row r="76">
      <c r="A76" s="2405" t="inlineStr">
        <is>
          <t>Solomon Islands</t>
        </is>
      </c>
      <c r="B76" s="2408" t="inlineStr">
        <is>
          <t xml:space="preserve">Solomon Islands* </t>
        </is>
      </c>
      <c r="C76" s="2409" t="n">
        <v>0</v>
      </c>
      <c r="D76" s="4727" t="n">
        <v>392.6</v>
      </c>
      <c r="E76" s="2409" t="n">
        <v>283</v>
      </c>
      <c r="F76" s="2409" t="n"/>
      <c r="G76" s="2410" t="n">
        <v>0</v>
      </c>
    </row>
    <row r="77">
      <c r="A77" s="2405" t="inlineStr">
        <is>
          <t>Somalia</t>
        </is>
      </c>
      <c r="B77" s="2408" t="inlineStr">
        <is>
          <t xml:space="preserve">Somalia* </t>
        </is>
      </c>
      <c r="C77" s="2409" t="n">
        <v>0</v>
      </c>
      <c r="D77" s="4727" t="n">
        <v>7.83</v>
      </c>
      <c r="E77" s="2409" t="n">
        <v>283</v>
      </c>
      <c r="F77" s="2409" t="n"/>
      <c r="G77" s="2410" t="n">
        <v>0</v>
      </c>
    </row>
    <row r="78">
      <c r="A78" s="2405" t="inlineStr">
        <is>
          <t>South Africa</t>
        </is>
      </c>
      <c r="B78" s="2408" t="inlineStr">
        <is>
          <t xml:space="preserve">South Africa </t>
        </is>
      </c>
      <c r="C78" s="2409" t="n">
        <v>7</v>
      </c>
      <c r="D78" s="4727" t="n">
        <v>7.04</v>
      </c>
      <c r="E78" s="2409" t="n">
        <v>234.59</v>
      </c>
      <c r="F78" s="2409" t="n">
        <v>47.29</v>
      </c>
      <c r="G78" s="2410" t="n">
        <v>13</v>
      </c>
      <c r="H78" s="681" t="n"/>
    </row>
    <row r="79">
      <c r="A79" s="2405" t="inlineStr">
        <is>
          <t>Sri Lanka</t>
        </is>
      </c>
      <c r="B79" s="2408" t="inlineStr">
        <is>
          <t xml:space="preserve">Sri Lanka </t>
        </is>
      </c>
      <c r="C79" s="2409" t="n">
        <v>6</v>
      </c>
      <c r="D79" s="4727" t="n">
        <v>35.22</v>
      </c>
      <c r="E79" s="2409" t="n">
        <v>502.6</v>
      </c>
      <c r="F79" s="2409" t="n">
        <v>163.1</v>
      </c>
      <c r="G79" s="2410" t="n">
        <v>13</v>
      </c>
    </row>
    <row r="80">
      <c r="A80" s="2405" t="inlineStr">
        <is>
          <t>Saint Vincent and the Grenadines</t>
        </is>
      </c>
      <c r="B80" s="2408" t="inlineStr">
        <is>
          <t xml:space="preserve">St. Vincent/ The Grenadines* </t>
        </is>
      </c>
      <c r="C80" s="2409" t="n">
        <v>0</v>
      </c>
      <c r="D80" s="4727" t="n">
        <v>0.19</v>
      </c>
      <c r="E80" s="2409" t="n">
        <v>283</v>
      </c>
      <c r="F80" s="2409" t="n"/>
      <c r="G80" s="2410" t="n">
        <v>0</v>
      </c>
    </row>
    <row r="81">
      <c r="A81" s="2405" t="inlineStr">
        <is>
          <t>Sudan</t>
        </is>
      </c>
      <c r="B81" s="2408" t="inlineStr">
        <is>
          <t xml:space="preserve">Sudan* </t>
        </is>
      </c>
      <c r="C81" s="2409" t="n">
        <v>0</v>
      </c>
      <c r="D81" s="4727" t="n">
        <v>0.01</v>
      </c>
      <c r="E81" s="2409" t="n">
        <v>283</v>
      </c>
      <c r="F81" s="2409" t="n"/>
      <c r="G81" s="2410" t="n">
        <v>0</v>
      </c>
    </row>
    <row r="82">
      <c r="A82" s="2405" t="inlineStr">
        <is>
          <t>Suriname</t>
        </is>
      </c>
      <c r="B82" s="2408" t="inlineStr">
        <is>
          <t xml:space="preserve">Suriname* </t>
        </is>
      </c>
      <c r="C82" s="2409" t="n">
        <v>0</v>
      </c>
      <c r="D82" s="4727" t="n">
        <v>509.77</v>
      </c>
      <c r="E82" s="2409" t="n">
        <v>283</v>
      </c>
      <c r="F82" s="2409" t="n"/>
      <c r="G82" s="2410" t="n">
        <v>0</v>
      </c>
    </row>
    <row r="83">
      <c r="A83" s="2405" t="inlineStr">
        <is>
          <t xml:space="preserve">Taiwan </t>
        </is>
      </c>
      <c r="B83" s="2408" t="inlineStr">
        <is>
          <t xml:space="preserve">Taiwan </t>
        </is>
      </c>
      <c r="C83" s="2409" t="n">
        <v>3</v>
      </c>
      <c r="D83" s="4727" t="n">
        <v>0.8100000000000001</v>
      </c>
      <c r="E83" s="2409" t="n">
        <v>122.21</v>
      </c>
      <c r="F83" s="2409" t="n">
        <v>30.81</v>
      </c>
      <c r="G83" s="2410" t="n">
        <v>11</v>
      </c>
      <c r="H83" s="681" t="n"/>
    </row>
    <row r="84">
      <c r="A84" s="2405" t="inlineStr">
        <is>
          <t>United Republic of Tanzania</t>
        </is>
      </c>
      <c r="B84" s="2408" t="inlineStr">
        <is>
          <t xml:space="preserve">Tanzania </t>
        </is>
      </c>
      <c r="C84" s="2409" t="n">
        <v>30</v>
      </c>
      <c r="D84" s="4727" t="n">
        <v>478.23</v>
      </c>
      <c r="E84" s="2409" t="n">
        <v>243.48</v>
      </c>
      <c r="F84" s="2409" t="n">
        <v>82.73</v>
      </c>
      <c r="G84" s="2410" t="n">
        <v>15.2</v>
      </c>
    </row>
    <row r="85">
      <c r="A85" s="2405" t="inlineStr">
        <is>
          <t>Thailand</t>
        </is>
      </c>
      <c r="B85" s="2408" t="inlineStr">
        <is>
          <t xml:space="preserve">Thailand </t>
        </is>
      </c>
      <c r="C85" s="2409" t="n">
        <v>14</v>
      </c>
      <c r="D85" s="4727" t="n">
        <v>1875.62</v>
      </c>
      <c r="E85" s="2409" t="n">
        <v>245.87</v>
      </c>
      <c r="F85" s="2409" t="n">
        <v>81.81999999999999</v>
      </c>
      <c r="G85" s="2410" t="n">
        <v>12.6</v>
      </c>
    </row>
    <row r="86">
      <c r="A86" s="682" t="n"/>
    </row>
    <row r="87">
      <c r="A87" s="682" t="n"/>
    </row>
    <row r="88">
      <c r="A88" s="682" t="n"/>
    </row>
    <row r="89">
      <c r="A89" s="682" t="n"/>
    </row>
    <row r="90">
      <c r="A90" s="682" t="n"/>
    </row>
    <row r="91">
      <c r="A91" s="682" t="n"/>
    </row>
    <row r="92">
      <c r="A92" s="682" t="n"/>
    </row>
    <row r="93">
      <c r="A93" s="682" t="n"/>
    </row>
    <row r="94">
      <c r="A94" s="682" t="n"/>
    </row>
    <row r="95">
      <c r="A95" s="682" t="n"/>
    </row>
    <row r="96">
      <c r="A96" s="682" t="n"/>
    </row>
    <row r="97">
      <c r="A97" s="682" t="n"/>
    </row>
    <row r="98">
      <c r="A98" s="682" t="n"/>
    </row>
    <row r="99">
      <c r="A99" s="682" t="n"/>
    </row>
    <row r="100">
      <c r="A100" s="682" t="n"/>
    </row>
    <row r="101">
      <c r="A101" s="682" t="n"/>
    </row>
    <row r="102">
      <c r="A102" s="682" t="n"/>
    </row>
    <row r="103">
      <c r="A103" s="682" t="n"/>
    </row>
    <row r="104">
      <c r="A104" s="682" t="n"/>
    </row>
    <row r="105">
      <c r="A105" s="682" t="n"/>
    </row>
    <row r="106">
      <c r="A106" s="682" t="n"/>
    </row>
    <row r="107">
      <c r="A107" s="682" t="n"/>
    </row>
    <row r="108">
      <c r="A108" s="682" t="n"/>
    </row>
    <row r="109">
      <c r="A109" s="682" t="n"/>
    </row>
    <row r="110">
      <c r="A110" s="682" t="n"/>
    </row>
    <row r="111">
      <c r="A111" s="682" t="n"/>
    </row>
    <row r="112">
      <c r="A112" s="682" t="n"/>
    </row>
    <row r="113">
      <c r="A113" s="682" t="n"/>
    </row>
    <row r="114">
      <c r="A114" s="682" t="n"/>
    </row>
    <row r="115">
      <c r="A115" s="682" t="n"/>
    </row>
    <row r="116">
      <c r="A116" s="2417" t="n"/>
    </row>
  </sheetData>
  <mergeCells count="1">
    <mergeCell ref="E1:F1"/>
  </mergeCells>
  <pageMargins left="0.7" right="0.7" top="0.75" bottom="0.75" header="0.3" footer="0.3"/>
</worksheet>
</file>

<file path=xl/worksheets/sheet28.xml><?xml version="1.0" encoding="utf-8"?>
<worksheet xmlns:r="http://schemas.openxmlformats.org/officeDocument/2006/relationships" xmlns="http://schemas.openxmlformats.org/spreadsheetml/2006/main">
  <sheetPr codeName="Sheet28">
    <outlinePr summaryBelow="1" summaryRight="1"/>
    <pageSetUpPr/>
  </sheetPr>
  <dimension ref="A1:K249"/>
  <sheetViews>
    <sheetView topLeftCell="A229" workbookViewId="0">
      <selection activeCell="U14" sqref="U14"/>
    </sheetView>
  </sheetViews>
  <sheetFormatPr baseColWidth="10" defaultColWidth="9.33203125" defaultRowHeight="15"/>
  <cols>
    <col width="49.5" bestFit="1" customWidth="1" style="674" min="1" max="1"/>
    <col width="37.5" bestFit="1" customWidth="1" style="682" min="2" max="2"/>
    <col width="20" customWidth="1" style="682" min="3" max="3"/>
    <col width="31" customWidth="1" style="682" min="4" max="4"/>
    <col width="9.33203125" customWidth="1" style="284" min="5" max="5"/>
    <col width="30.5" bestFit="1" customWidth="1" style="284" min="6" max="7"/>
    <col width="9.33203125" customWidth="1" style="284" min="8" max="16384"/>
  </cols>
  <sheetData>
    <row r="1">
      <c r="A1" s="1621" t="inlineStr">
        <is>
          <t>Countries</t>
        </is>
      </c>
      <c r="B1" s="3484" t="inlineStr">
        <is>
          <t>GLEAM</t>
        </is>
      </c>
      <c r="C1" s="3484" t="inlineStr">
        <is>
          <t>EX-ACT</t>
        </is>
      </c>
      <c r="D1" s="3484" t="inlineStr">
        <is>
          <t>IPCC</t>
        </is>
      </c>
      <c r="F1" s="284" t="inlineStr">
        <is>
          <t>LIST REGION GLEAM</t>
        </is>
      </c>
      <c r="G1" s="284" t="inlineStr">
        <is>
          <t>LIST REGION EX-ACT</t>
        </is>
      </c>
      <c r="H1" s="284" t="inlineStr">
        <is>
          <t>LIST REGION IPCC</t>
        </is>
      </c>
    </row>
    <row r="2">
      <c r="A2" s="682" t="inlineStr">
        <is>
          <t>American Samoa</t>
        </is>
      </c>
      <c r="B2" s="682" t="inlineStr">
        <is>
          <t>East Asia and South-East Asia</t>
        </is>
      </c>
      <c r="C2" s="682" t="inlineStr">
        <is>
          <t>Oceania</t>
        </is>
      </c>
      <c r="D2" s="682">
        <f>IF(Regional_eq_livestock[[#This Row],[GLEAM]]="NENA",CONCATENATE("NENA","/Middle East"),Regional_eq_livestock[[#This Row],[GLEAM]])</f>
        <v/>
      </c>
      <c r="F2" s="284">
        <f>INDEX(Regional_eq_livestock[GLEAM],MATCH(0,INDEX(COUNTIF($F$1:F1,Regional_eq_livestock[GLEAM]),),0))</f>
        <v/>
      </c>
      <c r="G2" s="284">
        <f>INDEX(Regional_eq_livestock[EX-ACT],MATCH(0,INDEX(COUNTIF($F$1:G1,Regional_eq_livestock[EX-ACT]),),0))</f>
        <v/>
      </c>
      <c r="H2" s="284" t="inlineStr">
        <is>
          <t>Select other</t>
        </is>
      </c>
      <c r="K2" s="284" t="inlineStr">
        <is>
          <t>South Asia = Indian sub-continent</t>
        </is>
      </c>
    </row>
    <row r="3">
      <c r="A3" s="682" t="inlineStr">
        <is>
          <t>Brunei Darussalam</t>
        </is>
      </c>
      <c r="B3" s="682" t="inlineStr">
        <is>
          <t>East Asia and South-East Asia</t>
        </is>
      </c>
      <c r="C3" s="682" t="inlineStr">
        <is>
          <t>South-eastern Asia</t>
        </is>
      </c>
      <c r="D3" s="682">
        <f>IF(Regional_eq_livestock[[#This Row],[GLEAM]]="NENA",CONCATENATE("NENA","/Middle East"),Regional_eq_livestock[[#This Row],[GLEAM]])</f>
        <v/>
      </c>
      <c r="F3" s="284">
        <f>INDEX(Regional_eq_livestock[GLEAM],MATCH(0,INDEX(COUNTIF($F$1:F2,Regional_eq_livestock[GLEAM]),),0))</f>
        <v/>
      </c>
      <c r="G3" s="284">
        <f>INDEX(Regional_eq_livestock[EX-ACT],MATCH(0,INDEX(COUNTIF($F$1:G2,Regional_eq_livestock[EX-ACT]),),0))</f>
        <v/>
      </c>
      <c r="H3" s="284">
        <f>INDEX(Regional_eq_livestock[IPCC],MATCH(0,INDEX(COUNTIF($F$1:H1,Regional_eq_livestock[IPCC]),),0))</f>
        <v/>
      </c>
      <c r="K3" s="284" t="inlineStr">
        <is>
          <t>Only Australia and NZ are considered in the category Oceania. All Pacific SIDS are under the East Asia and South East Asia</t>
        </is>
      </c>
    </row>
    <row r="4">
      <c r="A4" s="682" t="inlineStr">
        <is>
          <t>Cambodia</t>
        </is>
      </c>
      <c r="B4" s="682" t="inlineStr">
        <is>
          <t>East Asia and South-East Asia</t>
        </is>
      </c>
      <c r="C4" s="682" t="inlineStr">
        <is>
          <t>South-eastern Asia</t>
        </is>
      </c>
      <c r="D4" s="682">
        <f>IF(Regional_eq_livestock[[#This Row],[GLEAM]]="NENA",CONCATENATE("NENA","/Middle East"),Regional_eq_livestock[[#This Row],[GLEAM]])</f>
        <v/>
      </c>
      <c r="F4" s="284">
        <f>INDEX(Regional_eq_livestock[GLEAM],MATCH(0,INDEX(COUNTIF($F$1:F3,Regional_eq_livestock[GLEAM]),),0))</f>
        <v/>
      </c>
      <c r="G4" s="284">
        <f>INDEX(Regional_eq_livestock[EX-ACT],MATCH(0,INDEX(COUNTIF($F$1:G3,Regional_eq_livestock[EX-ACT]),),0))</f>
        <v/>
      </c>
      <c r="H4" s="284">
        <f>INDEX(Regional_eq_livestock[IPCC],MATCH(0,INDEX(COUNTIF($F$1:H2,Regional_eq_livestock[IPCC]),),0))</f>
        <v/>
      </c>
    </row>
    <row r="5">
      <c r="A5" s="682" t="inlineStr">
        <is>
          <t>China</t>
        </is>
      </c>
      <c r="B5" s="682" t="inlineStr">
        <is>
          <t>East Asia and South-East Asia</t>
        </is>
      </c>
      <c r="C5" s="1623" t="inlineStr">
        <is>
          <t>Eastern Asia</t>
        </is>
      </c>
      <c r="D5" s="682">
        <f>IF(Regional_eq_livestock[[#This Row],[GLEAM]]="NENA",CONCATENATE("NENA","/Middle East"),Regional_eq_livestock[[#This Row],[GLEAM]])</f>
        <v/>
      </c>
      <c r="F5" s="284">
        <f>INDEX(Regional_eq_livestock[GLEAM],MATCH(0,INDEX(COUNTIF($F$1:F4,Regional_eq_livestock[GLEAM]),),0))</f>
        <v/>
      </c>
      <c r="G5" s="284">
        <f>INDEX(Regional_eq_livestock[EX-ACT],MATCH(0,INDEX(COUNTIF($F$1:G4,Regional_eq_livestock[EX-ACT]),),0))</f>
        <v/>
      </c>
      <c r="H5" s="284">
        <f>INDEX(Regional_eq_livestock[IPCC],MATCH(0,INDEX(COUNTIF($F$1:H3,Regional_eq_livestock[IPCC]),),0))</f>
        <v/>
      </c>
    </row>
    <row r="6">
      <c r="A6" s="682" t="inlineStr">
        <is>
          <t>China, Hong Kong Special Administrative Region</t>
        </is>
      </c>
      <c r="B6" s="682" t="inlineStr">
        <is>
          <t>East Asia and South-East Asia</t>
        </is>
      </c>
      <c r="C6" s="1623" t="inlineStr">
        <is>
          <t>Eastern Asia</t>
        </is>
      </c>
      <c r="D6" s="682">
        <f>IF(Regional_eq_livestock[[#This Row],[GLEAM]]="NENA",CONCATENATE("NENA","/Middle East"),Regional_eq_livestock[[#This Row],[GLEAM]])</f>
        <v/>
      </c>
      <c r="F6" s="284">
        <f>INDEX(Regional_eq_livestock[GLEAM],MATCH(0,INDEX(COUNTIF($F$1:F5,Regional_eq_livestock[GLEAM]),),0))</f>
        <v/>
      </c>
      <c r="G6" s="284">
        <f>INDEX(Regional_eq_livestock[EX-ACT],MATCH(0,INDEX(COUNTIF($F$1:G5,Regional_eq_livestock[EX-ACT]),),0))</f>
        <v/>
      </c>
      <c r="H6" s="284">
        <f>INDEX(Regional_eq_livestock[IPCC],MATCH(0,INDEX(COUNTIF($F$1:H4,Regional_eq_livestock[IPCC]),),0))</f>
        <v/>
      </c>
    </row>
    <row r="7">
      <c r="A7" s="682" t="inlineStr">
        <is>
          <t>China, Macao Special Administrative Region</t>
        </is>
      </c>
      <c r="B7" s="682" t="inlineStr">
        <is>
          <t>East Asia and South-East Asia</t>
        </is>
      </c>
      <c r="C7" s="1623" t="inlineStr">
        <is>
          <t>Eastern Asia</t>
        </is>
      </c>
      <c r="D7" s="682">
        <f>IF(Regional_eq_livestock[[#This Row],[GLEAM]]="NENA",CONCATENATE("NENA","/Middle East"),Regional_eq_livestock[[#This Row],[GLEAM]])</f>
        <v/>
      </c>
      <c r="F7" s="284">
        <f>INDEX(Regional_eq_livestock[GLEAM],MATCH(0,INDEX(COUNTIF($F$1:F6,Regional_eq_livestock[GLEAM]),),0))</f>
        <v/>
      </c>
      <c r="G7" s="284">
        <f>INDEX(Regional_eq_livestock[EX-ACT],MATCH(0,INDEX(COUNTIF($F$1:G6,Regional_eq_livestock[EX-ACT]),),0))</f>
        <v/>
      </c>
      <c r="H7" s="284">
        <f>INDEX(Regional_eq_livestock[IPCC],MATCH(0,INDEX(COUNTIF($F$1:H5,Regional_eq_livestock[IPCC]),),0))</f>
        <v/>
      </c>
    </row>
    <row r="8">
      <c r="A8" s="682" t="inlineStr">
        <is>
          <t>Christmas Island</t>
        </is>
      </c>
      <c r="B8" s="682" t="inlineStr">
        <is>
          <t>East Asia and South-East Asia</t>
        </is>
      </c>
      <c r="C8" s="682" t="inlineStr">
        <is>
          <t>Oceania</t>
        </is>
      </c>
      <c r="D8" s="682">
        <f>IF(Regional_eq_livestock[[#This Row],[GLEAM]]="NENA",CONCATENATE("NENA","/Middle East"),Regional_eq_livestock[[#This Row],[GLEAM]])</f>
        <v/>
      </c>
      <c r="F8" s="284">
        <f>INDEX(Regional_eq_livestock[GLEAM],MATCH(0,INDEX(COUNTIF($F$1:F7,Regional_eq_livestock[GLEAM]),),0))</f>
        <v/>
      </c>
      <c r="G8" s="284">
        <f>INDEX(Regional_eq_livestock[EX-ACT],MATCH(0,INDEX(COUNTIF($F$1:G7,Regional_eq_livestock[EX-ACT]),),0))</f>
        <v/>
      </c>
      <c r="H8" s="284">
        <f>INDEX(Regional_eq_livestock[IPCC],MATCH(0,INDEX(COUNTIF($F$1:H6,Regional_eq_livestock[IPCC]),),0))</f>
        <v/>
      </c>
    </row>
    <row r="9">
      <c r="A9" s="682" t="inlineStr">
        <is>
          <t>Cocos (Keeling) Islands</t>
        </is>
      </c>
      <c r="B9" s="682" t="inlineStr">
        <is>
          <t>East Asia and South-East Asia</t>
        </is>
      </c>
      <c r="C9" s="682" t="inlineStr">
        <is>
          <t>Oceania</t>
        </is>
      </c>
      <c r="D9" s="682">
        <f>IF(Regional_eq_livestock[[#This Row],[GLEAM]]="NENA",CONCATENATE("NENA","/Middle East"),Regional_eq_livestock[[#This Row],[GLEAM]])</f>
        <v/>
      </c>
      <c r="F9" s="284">
        <f>INDEX(Regional_eq_livestock[GLEAM],MATCH(0,INDEX(COUNTIF($F$1:F8,Regional_eq_livestock[GLEAM]),),0))</f>
        <v/>
      </c>
      <c r="G9" s="284">
        <f>INDEX(Regional_eq_livestock[EX-ACT],MATCH(0,INDEX(COUNTIF($F$1:G8,Regional_eq_livestock[EX-ACT]),),0))</f>
        <v/>
      </c>
      <c r="H9" s="284">
        <f>INDEX(Regional_eq_livestock[IPCC],MATCH(0,INDEX(COUNTIF($F$1:H7,Regional_eq_livestock[IPCC]),),0))</f>
        <v/>
      </c>
    </row>
    <row r="10">
      <c r="A10" s="682" t="inlineStr">
        <is>
          <t>Cook Islands</t>
        </is>
      </c>
      <c r="B10" s="682" t="inlineStr">
        <is>
          <t>East Asia and South-East Asia</t>
        </is>
      </c>
      <c r="C10" s="682" t="inlineStr">
        <is>
          <t>Oceania</t>
        </is>
      </c>
      <c r="D10" s="682">
        <f>IF(Regional_eq_livestock[[#This Row],[GLEAM]]="NENA",CONCATENATE("NENA","/Middle East"),Regional_eq_livestock[[#This Row],[GLEAM]])</f>
        <v/>
      </c>
      <c r="F10" s="284">
        <f>INDEX(Regional_eq_livestock[GLEAM],MATCH(0,INDEX(COUNTIF($F$1:F9,Regional_eq_livestock[GLEAM]),),0))</f>
        <v/>
      </c>
      <c r="G10" s="284">
        <f>INDEX(Regional_eq_livestock[EX-ACT],MATCH(0,INDEX(COUNTIF($F$1:G9,Regional_eq_livestock[EX-ACT]),),0))</f>
        <v/>
      </c>
      <c r="H10" s="284">
        <f>INDEX(Regional_eq_livestock[IPCC],MATCH(0,INDEX(COUNTIF($F$1:H8,Regional_eq_livestock[IPCC]),),0))</f>
        <v/>
      </c>
    </row>
    <row r="11">
      <c r="A11" s="682" t="inlineStr">
        <is>
          <t>Democratic People's Republic of Korea</t>
        </is>
      </c>
      <c r="B11" s="682" t="inlineStr">
        <is>
          <t>East Asia and South-East Asia</t>
        </is>
      </c>
      <c r="C11" s="1623" t="inlineStr">
        <is>
          <t>Eastern Asia</t>
        </is>
      </c>
      <c r="D11" s="682">
        <f>IF(Regional_eq_livestock[[#This Row],[GLEAM]]="NENA",CONCATENATE("NENA","/Middle East"),Regional_eq_livestock[[#This Row],[GLEAM]])</f>
        <v/>
      </c>
      <c r="F11" s="284">
        <f>INDEX(Regional_eq_livestock[GLEAM],MATCH(0,INDEX(COUNTIF($F$1:F10,Regional_eq_livestock[GLEAM]),),0))</f>
        <v/>
      </c>
      <c r="G11" s="284">
        <f>INDEX(Regional_eq_livestock[EX-ACT],MATCH(0,INDEX(COUNTIF($F$1:G10,Regional_eq_livestock[EX-ACT]),),0))</f>
        <v/>
      </c>
      <c r="H11" s="284">
        <f>INDEX(Regional_eq_livestock[IPCC],MATCH(0,INDEX(COUNTIF($F$1:H9,Regional_eq_livestock[IPCC]),),0))</f>
        <v/>
      </c>
    </row>
    <row r="12">
      <c r="A12" s="682" t="inlineStr">
        <is>
          <t>Fiji</t>
        </is>
      </c>
      <c r="B12" s="682" t="inlineStr">
        <is>
          <t>East Asia and South-East Asia</t>
        </is>
      </c>
      <c r="C12" s="682" t="inlineStr">
        <is>
          <t>Oceania</t>
        </is>
      </c>
      <c r="D12" s="682">
        <f>IF(Regional_eq_livestock[[#This Row],[GLEAM]]="NENA",CONCATENATE("NENA","/Middle East"),Regional_eq_livestock[[#This Row],[GLEAM]])</f>
        <v/>
      </c>
      <c r="G12" s="284">
        <f>INDEX(Regional_eq_livestock[EX-ACT],MATCH(0,INDEX(COUNTIF($F$1:G11,Regional_eq_livestock[EX-ACT]),),0))</f>
        <v/>
      </c>
    </row>
    <row r="13">
      <c r="A13" s="682" t="inlineStr">
        <is>
          <t>French Polynesia</t>
        </is>
      </c>
      <c r="B13" s="682" t="inlineStr">
        <is>
          <t>East Asia and South-East Asia</t>
        </is>
      </c>
      <c r="C13" s="682" t="inlineStr">
        <is>
          <t>Oceania</t>
        </is>
      </c>
      <c r="D13" s="682">
        <f>IF(Regional_eq_livestock[[#This Row],[GLEAM]]="NENA",CONCATENATE("NENA","/Middle East"),Regional_eq_livestock[[#This Row],[GLEAM]])</f>
        <v/>
      </c>
      <c r="G13" s="284">
        <f>INDEX(Regional_eq_livestock[EX-ACT],MATCH(0,INDEX(COUNTIF($F$1:G12,Regional_eq_livestock[EX-ACT]),),0))</f>
        <v/>
      </c>
    </row>
    <row r="14">
      <c r="A14" s="682" t="inlineStr">
        <is>
          <t>Guam</t>
        </is>
      </c>
      <c r="B14" s="682" t="inlineStr">
        <is>
          <t>East Asia and South-East Asia</t>
        </is>
      </c>
      <c r="C14" s="682" t="inlineStr">
        <is>
          <t>Oceania</t>
        </is>
      </c>
      <c r="D14" s="682">
        <f>IF(Regional_eq_livestock[[#This Row],[GLEAM]]="NENA",CONCATENATE("NENA","/Middle East"),Regional_eq_livestock[[#This Row],[GLEAM]])</f>
        <v/>
      </c>
      <c r="G14" s="284">
        <f>INDEX(Regional_eq_livestock[EX-ACT],MATCH(0,INDEX(COUNTIF($F$1:G13,Regional_eq_livestock[EX-ACT]),),0))</f>
        <v/>
      </c>
    </row>
    <row r="15">
      <c r="A15" s="682" t="inlineStr">
        <is>
          <t>Heard Island and McDonald Islands</t>
        </is>
      </c>
      <c r="B15" s="682" t="inlineStr">
        <is>
          <t>East Asia and South-East Asia</t>
        </is>
      </c>
      <c r="C15" s="682" t="inlineStr">
        <is>
          <t>Oceania</t>
        </is>
      </c>
      <c r="D15" s="682">
        <f>IF(Regional_eq_livestock[[#This Row],[GLEAM]]="NENA",CONCATENATE("NENA","/Middle East"),Regional_eq_livestock[[#This Row],[GLEAM]])</f>
        <v/>
      </c>
      <c r="G15" s="284">
        <f>INDEX(Regional_eq_livestock[EX-ACT],MATCH(0,INDEX(COUNTIF($F$1:G14,Regional_eq_livestock[EX-ACT]),),0))</f>
        <v/>
      </c>
    </row>
    <row r="16">
      <c r="A16" s="682" t="inlineStr">
        <is>
          <t>Indonesia</t>
        </is>
      </c>
      <c r="B16" s="682" t="inlineStr">
        <is>
          <t>East Asia and South-East Asia</t>
        </is>
      </c>
      <c r="C16" s="682" t="inlineStr">
        <is>
          <t>South-eastern Asia</t>
        </is>
      </c>
      <c r="D16" s="682">
        <f>IF(Regional_eq_livestock[[#This Row],[GLEAM]]="NENA",CONCATENATE("NENA","/Middle East"),Regional_eq_livestock[[#This Row],[GLEAM]])</f>
        <v/>
      </c>
      <c r="G16" s="284">
        <f>INDEX(Regional_eq_livestock[EX-ACT],MATCH(0,INDEX(COUNTIF($F$1:G15,Regional_eq_livestock[EX-ACT]),),0))</f>
        <v/>
      </c>
    </row>
    <row r="17">
      <c r="A17" s="682" t="inlineStr">
        <is>
          <t>Japan</t>
        </is>
      </c>
      <c r="B17" s="682" t="inlineStr">
        <is>
          <t>East Asia and South-East Asia</t>
        </is>
      </c>
      <c r="C17" s="1623" t="inlineStr">
        <is>
          <t>Eastern Asia</t>
        </is>
      </c>
      <c r="D17" s="682">
        <f>IF(Regional_eq_livestock[[#This Row],[GLEAM]]="NENA",CONCATENATE("NENA","/Middle East"),Regional_eq_livestock[[#This Row],[GLEAM]])</f>
        <v/>
      </c>
    </row>
    <row r="18">
      <c r="A18" s="682" t="inlineStr">
        <is>
          <t>Kiribati</t>
        </is>
      </c>
      <c r="B18" s="682" t="inlineStr">
        <is>
          <t>East Asia and South-East Asia</t>
        </is>
      </c>
      <c r="C18" s="682" t="inlineStr">
        <is>
          <t>Oceania</t>
        </is>
      </c>
      <c r="D18" s="682">
        <f>IF(Regional_eq_livestock[[#This Row],[GLEAM]]="NENA",CONCATENATE("NENA","/Middle East"),Regional_eq_livestock[[#This Row],[GLEAM]])</f>
        <v/>
      </c>
    </row>
    <row r="19">
      <c r="A19" s="682" t="inlineStr">
        <is>
          <t>Lao People's Democratic Republic</t>
        </is>
      </c>
      <c r="B19" s="682" t="inlineStr">
        <is>
          <t>East Asia and South-East Asia</t>
        </is>
      </c>
      <c r="C19" s="682" t="inlineStr">
        <is>
          <t>South-eastern Asia</t>
        </is>
      </c>
      <c r="D19" s="682">
        <f>IF(Regional_eq_livestock[[#This Row],[GLEAM]]="NENA",CONCATENATE("NENA","/Middle East"),Regional_eq_livestock[[#This Row],[GLEAM]])</f>
        <v/>
      </c>
    </row>
    <row r="20">
      <c r="A20" s="682" t="inlineStr">
        <is>
          <t>Malaysia</t>
        </is>
      </c>
      <c r="B20" s="682" t="inlineStr">
        <is>
          <t>East Asia and South-East Asia</t>
        </is>
      </c>
      <c r="C20" s="682" t="inlineStr">
        <is>
          <t>South-eastern Asia</t>
        </is>
      </c>
      <c r="D20" s="682">
        <f>IF(Regional_eq_livestock[[#This Row],[GLEAM]]="NENA",CONCATENATE("NENA","/Middle East"),Regional_eq_livestock[[#This Row],[GLEAM]])</f>
        <v/>
      </c>
    </row>
    <row r="21">
      <c r="A21" s="682" t="inlineStr">
        <is>
          <t>Marshall Islands</t>
        </is>
      </c>
      <c r="B21" s="682" t="inlineStr">
        <is>
          <t>East Asia and South-East Asia</t>
        </is>
      </c>
      <c r="C21" s="682" t="inlineStr">
        <is>
          <t>Oceania</t>
        </is>
      </c>
      <c r="D21" s="682">
        <f>IF(Regional_eq_livestock[[#This Row],[GLEAM]]="NENA",CONCATENATE("NENA","/Middle East"),Regional_eq_livestock[[#This Row],[GLEAM]])</f>
        <v/>
      </c>
    </row>
    <row r="22">
      <c r="A22" s="682" t="inlineStr">
        <is>
          <t>Micronesia (Federated States of)</t>
        </is>
      </c>
      <c r="B22" s="682" t="inlineStr">
        <is>
          <t>East Asia and South-East Asia</t>
        </is>
      </c>
      <c r="C22" s="682" t="inlineStr">
        <is>
          <t>Oceania</t>
        </is>
      </c>
      <c r="D22" s="682">
        <f>IF(Regional_eq_livestock[[#This Row],[GLEAM]]="NENA",CONCATENATE("NENA","/Middle East"),Regional_eq_livestock[[#This Row],[GLEAM]])</f>
        <v/>
      </c>
    </row>
    <row r="23">
      <c r="A23" s="682" t="inlineStr">
        <is>
          <t>Mongolia</t>
        </is>
      </c>
      <c r="B23" s="682" t="inlineStr">
        <is>
          <t>East Asia and South-East Asia</t>
        </is>
      </c>
      <c r="C23" s="1623" t="inlineStr">
        <is>
          <t>Eastern Asia</t>
        </is>
      </c>
      <c r="D23" s="682">
        <f>IF(Regional_eq_livestock[[#This Row],[GLEAM]]="NENA",CONCATENATE("NENA","/Middle East"),Regional_eq_livestock[[#This Row],[GLEAM]])</f>
        <v/>
      </c>
    </row>
    <row r="24">
      <c r="A24" s="682" t="inlineStr">
        <is>
          <t>Myanmar</t>
        </is>
      </c>
      <c r="B24" s="682" t="inlineStr">
        <is>
          <t>East Asia and South-East Asia</t>
        </is>
      </c>
      <c r="C24" s="682" t="inlineStr">
        <is>
          <t>South-eastern Asia</t>
        </is>
      </c>
      <c r="D24" s="682">
        <f>IF(Regional_eq_livestock[[#This Row],[GLEAM]]="NENA",CONCATENATE("NENA","/Middle East"),Regional_eq_livestock[[#This Row],[GLEAM]])</f>
        <v/>
      </c>
    </row>
    <row r="25">
      <c r="A25" s="682" t="inlineStr">
        <is>
          <t>Nauru</t>
        </is>
      </c>
      <c r="B25" s="682" t="inlineStr">
        <is>
          <t>East Asia and South-East Asia</t>
        </is>
      </c>
      <c r="C25" s="682" t="inlineStr">
        <is>
          <t>Oceania</t>
        </is>
      </c>
      <c r="D25" s="682">
        <f>IF(Regional_eq_livestock[[#This Row],[GLEAM]]="NENA",CONCATENATE("NENA","/Middle East"),Regional_eq_livestock[[#This Row],[GLEAM]])</f>
        <v/>
      </c>
    </row>
    <row r="26">
      <c r="A26" s="682" t="inlineStr">
        <is>
          <t>New Caledonia</t>
        </is>
      </c>
      <c r="B26" s="682" t="inlineStr">
        <is>
          <t>East Asia and South-East Asia</t>
        </is>
      </c>
      <c r="C26" s="682" t="inlineStr">
        <is>
          <t>Oceania</t>
        </is>
      </c>
      <c r="D26" s="682">
        <f>IF(Regional_eq_livestock[[#This Row],[GLEAM]]="NENA",CONCATENATE("NENA","/Middle East"),Regional_eq_livestock[[#This Row],[GLEAM]])</f>
        <v/>
      </c>
    </row>
    <row r="27">
      <c r="A27" s="682" t="inlineStr">
        <is>
          <t>Niue</t>
        </is>
      </c>
      <c r="B27" s="682" t="inlineStr">
        <is>
          <t>East Asia and South-East Asia</t>
        </is>
      </c>
      <c r="C27" s="682" t="inlineStr">
        <is>
          <t>Oceania</t>
        </is>
      </c>
      <c r="D27" s="682">
        <f>IF(Regional_eq_livestock[[#This Row],[GLEAM]]="NENA",CONCATENATE("NENA","/Middle East"),Regional_eq_livestock[[#This Row],[GLEAM]])</f>
        <v/>
      </c>
    </row>
    <row r="28">
      <c r="A28" s="682" t="inlineStr">
        <is>
          <t>Norfolk Island</t>
        </is>
      </c>
      <c r="B28" s="682" t="inlineStr">
        <is>
          <t>East Asia and South-East Asia</t>
        </is>
      </c>
      <c r="C28" s="682" t="inlineStr">
        <is>
          <t>Oceania</t>
        </is>
      </c>
      <c r="D28" s="682">
        <f>IF(Regional_eq_livestock[[#This Row],[GLEAM]]="NENA",CONCATENATE("NENA","/Middle East"),Regional_eq_livestock[[#This Row],[GLEAM]])</f>
        <v/>
      </c>
    </row>
    <row r="29">
      <c r="A29" s="682" t="inlineStr">
        <is>
          <t>Northern Mariana Islands</t>
        </is>
      </c>
      <c r="B29" s="682" t="inlineStr">
        <is>
          <t>East Asia and South-East Asia</t>
        </is>
      </c>
      <c r="C29" s="682" t="inlineStr">
        <is>
          <t>Oceania</t>
        </is>
      </c>
      <c r="D29" s="682">
        <f>IF(Regional_eq_livestock[[#This Row],[GLEAM]]="NENA",CONCATENATE("NENA","/Middle East"),Regional_eq_livestock[[#This Row],[GLEAM]])</f>
        <v/>
      </c>
    </row>
    <row r="30">
      <c r="A30" s="682" t="inlineStr">
        <is>
          <t>Palau</t>
        </is>
      </c>
      <c r="B30" s="682" t="inlineStr">
        <is>
          <t>East Asia and South-East Asia</t>
        </is>
      </c>
      <c r="C30" s="682" t="inlineStr">
        <is>
          <t>Oceania</t>
        </is>
      </c>
      <c r="D30" s="682">
        <f>IF(Regional_eq_livestock[[#This Row],[GLEAM]]="NENA",CONCATENATE("NENA","/Middle East"),Regional_eq_livestock[[#This Row],[GLEAM]])</f>
        <v/>
      </c>
    </row>
    <row r="31">
      <c r="A31" s="682" t="inlineStr">
        <is>
          <t>Papua New Guinea</t>
        </is>
      </c>
      <c r="B31" s="682" t="inlineStr">
        <is>
          <t>East Asia and South-East Asia</t>
        </is>
      </c>
      <c r="C31" s="682" t="inlineStr">
        <is>
          <t>Oceania</t>
        </is>
      </c>
      <c r="D31" s="682">
        <f>IF(Regional_eq_livestock[[#This Row],[GLEAM]]="NENA",CONCATENATE("NENA","/Middle East"),Regional_eq_livestock[[#This Row],[GLEAM]])</f>
        <v/>
      </c>
    </row>
    <row r="32">
      <c r="A32" s="682" t="inlineStr">
        <is>
          <t>Philippines</t>
        </is>
      </c>
      <c r="B32" s="682" t="inlineStr">
        <is>
          <t>East Asia and South-East Asia</t>
        </is>
      </c>
      <c r="C32" s="682" t="inlineStr">
        <is>
          <t>South-eastern Asia</t>
        </is>
      </c>
      <c r="D32" s="682">
        <f>IF(Regional_eq_livestock[[#This Row],[GLEAM]]="NENA",CONCATENATE("NENA","/Middle East"),Regional_eq_livestock[[#This Row],[GLEAM]])</f>
        <v/>
      </c>
    </row>
    <row r="33">
      <c r="A33" s="682" t="inlineStr">
        <is>
          <t>Republic of Korea</t>
        </is>
      </c>
      <c r="B33" s="682" t="inlineStr">
        <is>
          <t>East Asia and South-East Asia</t>
        </is>
      </c>
      <c r="C33" s="1623" t="inlineStr">
        <is>
          <t>Eastern Asia</t>
        </is>
      </c>
      <c r="D33" s="682">
        <f>IF(Regional_eq_livestock[[#This Row],[GLEAM]]="NENA",CONCATENATE("NENA","/Middle East"),Regional_eq_livestock[[#This Row],[GLEAM]])</f>
        <v/>
      </c>
    </row>
    <row r="34">
      <c r="A34" s="682" t="inlineStr">
        <is>
          <t>Samoa</t>
        </is>
      </c>
      <c r="B34" s="682" t="inlineStr">
        <is>
          <t>East Asia and South-East Asia</t>
        </is>
      </c>
      <c r="C34" s="682" t="inlineStr">
        <is>
          <t>Oceania</t>
        </is>
      </c>
      <c r="D34" s="682">
        <f>IF(Regional_eq_livestock[[#This Row],[GLEAM]]="NENA",CONCATENATE("NENA","/Middle East"),Regional_eq_livestock[[#This Row],[GLEAM]])</f>
        <v/>
      </c>
    </row>
    <row r="35">
      <c r="A35" s="682" t="inlineStr">
        <is>
          <t>Singapore</t>
        </is>
      </c>
      <c r="B35" s="682" t="inlineStr">
        <is>
          <t>East Asia and South-East Asia</t>
        </is>
      </c>
      <c r="C35" s="682" t="inlineStr">
        <is>
          <t>South-eastern Asia</t>
        </is>
      </c>
      <c r="D35" s="682">
        <f>IF(Regional_eq_livestock[[#This Row],[GLEAM]]="NENA",CONCATENATE("NENA","/Middle East"),Regional_eq_livestock[[#This Row],[GLEAM]])</f>
        <v/>
      </c>
    </row>
    <row r="36">
      <c r="A36" s="682" t="inlineStr">
        <is>
          <t>Solomon Islands</t>
        </is>
      </c>
      <c r="B36" s="682" t="inlineStr">
        <is>
          <t>East Asia and South-East Asia</t>
        </is>
      </c>
      <c r="C36" s="682" t="inlineStr">
        <is>
          <t>Oceania</t>
        </is>
      </c>
      <c r="D36" s="682">
        <f>IF(Regional_eq_livestock[[#This Row],[GLEAM]]="NENA",CONCATENATE("NENA","/Middle East"),Regional_eq_livestock[[#This Row],[GLEAM]])</f>
        <v/>
      </c>
    </row>
    <row r="37">
      <c r="A37" s="682" t="inlineStr">
        <is>
          <t>Thailand</t>
        </is>
      </c>
      <c r="B37" s="682" t="inlineStr">
        <is>
          <t>East Asia and South-East Asia</t>
        </is>
      </c>
      <c r="C37" s="682" t="inlineStr">
        <is>
          <t>South-eastern Asia</t>
        </is>
      </c>
      <c r="D37" s="682">
        <f>IF(Regional_eq_livestock[[#This Row],[GLEAM]]="NENA",CONCATENATE("NENA","/Middle East"),Regional_eq_livestock[[#This Row],[GLEAM]])</f>
        <v/>
      </c>
    </row>
    <row r="38">
      <c r="A38" s="682" t="inlineStr">
        <is>
          <t>Timor-Leste</t>
        </is>
      </c>
      <c r="B38" s="682" t="inlineStr">
        <is>
          <t>East Asia and South-East Asia</t>
        </is>
      </c>
      <c r="C38" s="682" t="inlineStr">
        <is>
          <t>South-eastern Asia</t>
        </is>
      </c>
      <c r="D38" s="682">
        <f>IF(Regional_eq_livestock[[#This Row],[GLEAM]]="NENA",CONCATENATE("NENA","/Middle East"),Regional_eq_livestock[[#This Row],[GLEAM]])</f>
        <v/>
      </c>
    </row>
    <row r="39">
      <c r="A39" s="682" t="inlineStr">
        <is>
          <t>Tokelau</t>
        </is>
      </c>
      <c r="B39" s="682" t="inlineStr">
        <is>
          <t>East Asia and South-East Asia</t>
        </is>
      </c>
      <c r="C39" s="682" t="inlineStr">
        <is>
          <t>Oceania</t>
        </is>
      </c>
      <c r="D39" s="682">
        <f>IF(Regional_eq_livestock[[#This Row],[GLEAM]]="NENA",CONCATENATE("NENA","/Middle East"),Regional_eq_livestock[[#This Row],[GLEAM]])</f>
        <v/>
      </c>
    </row>
    <row r="40">
      <c r="A40" s="682" t="inlineStr">
        <is>
          <t>Tonga</t>
        </is>
      </c>
      <c r="B40" s="682" t="inlineStr">
        <is>
          <t>East Asia and South-East Asia</t>
        </is>
      </c>
      <c r="C40" s="682" t="inlineStr">
        <is>
          <t>Oceania</t>
        </is>
      </c>
      <c r="D40" s="682">
        <f>IF(Regional_eq_livestock[[#This Row],[GLEAM]]="NENA",CONCATENATE("NENA","/Middle East"),Regional_eq_livestock[[#This Row],[GLEAM]])</f>
        <v/>
      </c>
    </row>
    <row r="41">
      <c r="A41" s="682" t="inlineStr">
        <is>
          <t>Tuvalu</t>
        </is>
      </c>
      <c r="B41" s="682" t="inlineStr">
        <is>
          <t>East Asia and South-East Asia</t>
        </is>
      </c>
      <c r="C41" s="682" t="inlineStr">
        <is>
          <t>Oceania</t>
        </is>
      </c>
      <c r="D41" s="682">
        <f>IF(Regional_eq_livestock[[#This Row],[GLEAM]]="NENA",CONCATENATE("NENA","/Middle East"),Regional_eq_livestock[[#This Row],[GLEAM]])</f>
        <v/>
      </c>
    </row>
    <row r="42">
      <c r="A42" s="682" t="inlineStr">
        <is>
          <t>United States Minor Outlying Islands</t>
        </is>
      </c>
      <c r="B42" s="682" t="inlineStr">
        <is>
          <t>East Asia and South-East Asia</t>
        </is>
      </c>
      <c r="C42" s="682" t="inlineStr">
        <is>
          <t>Oceania</t>
        </is>
      </c>
      <c r="D42" s="682">
        <f>IF(Regional_eq_livestock[[#This Row],[GLEAM]]="NENA",CONCATENATE("NENA","/Middle East"),Regional_eq_livestock[[#This Row],[GLEAM]])</f>
        <v/>
      </c>
    </row>
    <row r="43">
      <c r="A43" s="682" t="inlineStr">
        <is>
          <t>Vanuatu</t>
        </is>
      </c>
      <c r="B43" s="682" t="inlineStr">
        <is>
          <t>East Asia and South-East Asia</t>
        </is>
      </c>
      <c r="C43" s="682" t="inlineStr">
        <is>
          <t>Oceania</t>
        </is>
      </c>
      <c r="D43" s="682">
        <f>IF(Regional_eq_livestock[[#This Row],[GLEAM]]="NENA",CONCATENATE("NENA","/Middle East"),Regional_eq_livestock[[#This Row],[GLEAM]])</f>
        <v/>
      </c>
    </row>
    <row r="44">
      <c r="A44" s="682" t="inlineStr">
        <is>
          <t>Viet Nam</t>
        </is>
      </c>
      <c r="B44" s="682" t="inlineStr">
        <is>
          <t>East Asia and South-East Asia</t>
        </is>
      </c>
      <c r="C44" s="682" t="inlineStr">
        <is>
          <t>South-eastern Asia</t>
        </is>
      </c>
      <c r="D44" s="682">
        <f>IF(Regional_eq_livestock[[#This Row],[GLEAM]]="NENA",CONCATENATE("NENA","/Middle East"),Regional_eq_livestock[[#This Row],[GLEAM]])</f>
        <v/>
      </c>
    </row>
    <row r="45">
      <c r="A45" s="682" t="inlineStr">
        <is>
          <t>Wallis and Futuna Islands</t>
        </is>
      </c>
      <c r="B45" s="682" t="inlineStr">
        <is>
          <t>East Asia and South-East Asia</t>
        </is>
      </c>
      <c r="C45" s="682" t="inlineStr">
        <is>
          <t>Oceania</t>
        </is>
      </c>
      <c r="D45" s="682">
        <f>IF(Regional_eq_livestock[[#This Row],[GLEAM]]="NENA",CONCATENATE("NENA","/Middle East"),Regional_eq_livestock[[#This Row],[GLEAM]])</f>
        <v/>
      </c>
    </row>
    <row r="46">
      <c r="A46" s="682" t="inlineStr">
        <is>
          <t>Belarus</t>
        </is>
      </c>
      <c r="B46" s="682" t="inlineStr">
        <is>
          <t>Eastern Europe</t>
        </is>
      </c>
      <c r="C46" s="682" t="inlineStr">
        <is>
          <t>Europe</t>
        </is>
      </c>
      <c r="D46" s="682">
        <f>IF(Regional_eq_livestock[[#This Row],[GLEAM]]="NENA",CONCATENATE("NENA","/Middle East"),Regional_eq_livestock[[#This Row],[GLEAM]])</f>
        <v/>
      </c>
    </row>
    <row r="47">
      <c r="A47" s="682" t="inlineStr">
        <is>
          <t>Bulgaria</t>
        </is>
      </c>
      <c r="B47" s="682" t="inlineStr">
        <is>
          <t>Eastern Europe</t>
        </is>
      </c>
      <c r="C47" s="682" t="inlineStr">
        <is>
          <t>Europe</t>
        </is>
      </c>
      <c r="D47" s="682">
        <f>IF(Regional_eq_livestock[[#This Row],[GLEAM]]="NENA",CONCATENATE("NENA","/Middle East"),Regional_eq_livestock[[#This Row],[GLEAM]])</f>
        <v/>
      </c>
    </row>
    <row r="48">
      <c r="A48" s="682" t="inlineStr">
        <is>
          <t>Czechia</t>
        </is>
      </c>
      <c r="B48" s="682" t="inlineStr">
        <is>
          <t>Eastern Europe</t>
        </is>
      </c>
      <c r="C48" s="682" t="inlineStr">
        <is>
          <t>Europe</t>
        </is>
      </c>
      <c r="D48" s="682">
        <f>IF(Regional_eq_livestock[[#This Row],[GLEAM]]="NENA",CONCATENATE("NENA","/Middle East"),Regional_eq_livestock[[#This Row],[GLEAM]])</f>
        <v/>
      </c>
    </row>
    <row r="49">
      <c r="A49" s="682" t="inlineStr">
        <is>
          <t>Hungary</t>
        </is>
      </c>
      <c r="B49" s="682" t="inlineStr">
        <is>
          <t>Eastern Europe</t>
        </is>
      </c>
      <c r="C49" s="682" t="inlineStr">
        <is>
          <t>Europe</t>
        </is>
      </c>
      <c r="D49" s="682">
        <f>IF(Regional_eq_livestock[[#This Row],[GLEAM]]="NENA",CONCATENATE("NENA","/Middle East"),Regional_eq_livestock[[#This Row],[GLEAM]])</f>
        <v/>
      </c>
    </row>
    <row r="50">
      <c r="A50" s="682" t="inlineStr">
        <is>
          <t>Poland</t>
        </is>
      </c>
      <c r="B50" s="682" t="inlineStr">
        <is>
          <t>Eastern Europe</t>
        </is>
      </c>
      <c r="C50" s="682" t="inlineStr">
        <is>
          <t>Europe</t>
        </is>
      </c>
      <c r="D50" s="682">
        <f>IF(Regional_eq_livestock[[#This Row],[GLEAM]]="NENA",CONCATENATE("NENA","/Middle East"),Regional_eq_livestock[[#This Row],[GLEAM]])</f>
        <v/>
      </c>
    </row>
    <row r="51">
      <c r="A51" s="682" t="inlineStr">
        <is>
          <t>Republic of Moldova</t>
        </is>
      </c>
      <c r="B51" s="682" t="inlineStr">
        <is>
          <t>Eastern Europe</t>
        </is>
      </c>
      <c r="C51" s="682" t="inlineStr">
        <is>
          <t>Europe</t>
        </is>
      </c>
      <c r="D51" s="682">
        <f>IF(Regional_eq_livestock[[#This Row],[GLEAM]]="NENA",CONCATENATE("NENA","/Middle East"),Regional_eq_livestock[[#This Row],[GLEAM]])</f>
        <v/>
      </c>
    </row>
    <row r="52">
      <c r="A52" s="682" t="inlineStr">
        <is>
          <t>Romania</t>
        </is>
      </c>
      <c r="B52" s="682" t="inlineStr">
        <is>
          <t>Eastern Europe</t>
        </is>
      </c>
      <c r="C52" s="682" t="inlineStr">
        <is>
          <t>Europe</t>
        </is>
      </c>
      <c r="D52" s="682">
        <f>IF(Regional_eq_livestock[[#This Row],[GLEAM]]="NENA",CONCATENATE("NENA","/Middle East"),Regional_eq_livestock[[#This Row],[GLEAM]])</f>
        <v/>
      </c>
    </row>
    <row r="53">
      <c r="A53" s="682" t="inlineStr">
        <is>
          <t>Slovakia</t>
        </is>
      </c>
      <c r="B53" s="682" t="inlineStr">
        <is>
          <t>Eastern Europe</t>
        </is>
      </c>
      <c r="C53" s="682" t="inlineStr">
        <is>
          <t>Europe</t>
        </is>
      </c>
      <c r="D53" s="682">
        <f>IF(Regional_eq_livestock[[#This Row],[GLEAM]]="NENA",CONCATENATE("NENA","/Middle East"),Regional_eq_livestock[[#This Row],[GLEAM]])</f>
        <v/>
      </c>
    </row>
    <row r="54">
      <c r="A54" s="682" t="inlineStr">
        <is>
          <t>Ukraine</t>
        </is>
      </c>
      <c r="B54" s="682" t="inlineStr">
        <is>
          <t>Eastern Europe</t>
        </is>
      </c>
      <c r="C54" s="682" t="inlineStr">
        <is>
          <t>Europe</t>
        </is>
      </c>
      <c r="D54" s="682">
        <f>IF(Regional_eq_livestock[[#This Row],[GLEAM]]="NENA",CONCATENATE("NENA","/Middle East"),Regional_eq_livestock[[#This Row],[GLEAM]])</f>
        <v/>
      </c>
    </row>
    <row r="55">
      <c r="A55" s="682" t="inlineStr">
        <is>
          <t>Anguilla</t>
        </is>
      </c>
      <c r="B55" s="682" t="inlineStr">
        <is>
          <t>Latin America and the Caribbean</t>
        </is>
      </c>
      <c r="C55" s="682" t="inlineStr">
        <is>
          <t>Caribbean</t>
        </is>
      </c>
      <c r="D55" s="682">
        <f>IF(Regional_eq_livestock[[#This Row],[GLEAM]]="NENA",CONCATENATE("NENA","/Middle East"),Regional_eq_livestock[[#This Row],[GLEAM]])</f>
        <v/>
      </c>
    </row>
    <row r="56">
      <c r="A56" s="682" t="inlineStr">
        <is>
          <t>Antigua and Barbuda</t>
        </is>
      </c>
      <c r="B56" s="682" t="inlineStr">
        <is>
          <t>Latin America and the Caribbean</t>
        </is>
      </c>
      <c r="C56" s="682" t="inlineStr">
        <is>
          <t>Caribbean</t>
        </is>
      </c>
      <c r="D56" s="682">
        <f>IF(Regional_eq_livestock[[#This Row],[GLEAM]]="NENA",CONCATENATE("NENA","/Middle East"),Regional_eq_livestock[[#This Row],[GLEAM]])</f>
        <v/>
      </c>
    </row>
    <row r="57">
      <c r="A57" s="682" t="inlineStr">
        <is>
          <t>Argentina</t>
        </is>
      </c>
      <c r="B57" s="682" t="inlineStr">
        <is>
          <t>Latin America and the Caribbean</t>
        </is>
      </c>
      <c r="C57" s="682" t="inlineStr">
        <is>
          <t>Central America</t>
        </is>
      </c>
      <c r="D57" s="682">
        <f>IF(Regional_eq_livestock[[#This Row],[GLEAM]]="NENA",CONCATENATE("NENA","/Middle East"),Regional_eq_livestock[[#This Row],[GLEAM]])</f>
        <v/>
      </c>
    </row>
    <row r="58">
      <c r="A58" s="682" t="inlineStr">
        <is>
          <t>Aruba</t>
        </is>
      </c>
      <c r="B58" s="682" t="inlineStr">
        <is>
          <t>Latin America and the Caribbean</t>
        </is>
      </c>
      <c r="C58" s="682" t="inlineStr">
        <is>
          <t>Caribbean</t>
        </is>
      </c>
      <c r="D58" s="682">
        <f>IF(Regional_eq_livestock[[#This Row],[GLEAM]]="NENA",CONCATENATE("NENA","/Middle East"),Regional_eq_livestock[[#This Row],[GLEAM]])</f>
        <v/>
      </c>
    </row>
    <row r="59">
      <c r="A59" s="682" t="inlineStr">
        <is>
          <t>Bahamas</t>
        </is>
      </c>
      <c r="B59" s="682" t="inlineStr">
        <is>
          <t>Latin America and the Caribbean</t>
        </is>
      </c>
      <c r="C59" s="682" t="inlineStr">
        <is>
          <t>Caribbean</t>
        </is>
      </c>
      <c r="D59" s="682">
        <f>IF(Regional_eq_livestock[[#This Row],[GLEAM]]="NENA",CONCATENATE("NENA","/Middle East"),Regional_eq_livestock[[#This Row],[GLEAM]])</f>
        <v/>
      </c>
    </row>
    <row r="60">
      <c r="A60" s="682" t="inlineStr">
        <is>
          <t>Barbados</t>
        </is>
      </c>
      <c r="B60" s="682" t="inlineStr">
        <is>
          <t>Latin America and the Caribbean</t>
        </is>
      </c>
      <c r="C60" s="682" t="inlineStr">
        <is>
          <t>Caribbean</t>
        </is>
      </c>
      <c r="D60" s="682">
        <f>IF(Regional_eq_livestock[[#This Row],[GLEAM]]="NENA",CONCATENATE("NENA","/Middle East"),Regional_eq_livestock[[#This Row],[GLEAM]])</f>
        <v/>
      </c>
    </row>
    <row r="61">
      <c r="A61" s="682" t="inlineStr">
        <is>
          <t>Belize</t>
        </is>
      </c>
      <c r="B61" s="682" t="inlineStr">
        <is>
          <t>Latin America and the Caribbean</t>
        </is>
      </c>
      <c r="C61" s="682" t="inlineStr">
        <is>
          <t>Central America</t>
        </is>
      </c>
      <c r="D61" s="682">
        <f>IF(Regional_eq_livestock[[#This Row],[GLEAM]]="NENA",CONCATENATE("NENA","/Middle East"),Regional_eq_livestock[[#This Row],[GLEAM]])</f>
        <v/>
      </c>
    </row>
    <row r="62">
      <c r="A62" s="682" t="inlineStr">
        <is>
          <t>Bolivia</t>
        </is>
      </c>
      <c r="B62" s="682" t="inlineStr">
        <is>
          <t>Latin America and the Caribbean</t>
        </is>
      </c>
      <c r="C62" s="682" t="inlineStr">
        <is>
          <t>Central America</t>
        </is>
      </c>
      <c r="D62" s="682">
        <f>IF(Regional_eq_livestock[[#This Row],[GLEAM]]="NENA",CONCATENATE("NENA","/Middle East"),Regional_eq_livestock[[#This Row],[GLEAM]])</f>
        <v/>
      </c>
    </row>
    <row r="63">
      <c r="A63" s="682" t="inlineStr">
        <is>
          <t>Bonaire, Sint Eustatius and Saba</t>
        </is>
      </c>
      <c r="B63" s="682" t="inlineStr">
        <is>
          <t>Latin America and the Caribbean</t>
        </is>
      </c>
      <c r="C63" s="682" t="inlineStr">
        <is>
          <t>Caribbean</t>
        </is>
      </c>
      <c r="D63" s="682">
        <f>IF(Regional_eq_livestock[[#This Row],[GLEAM]]="NENA",CONCATENATE("NENA","/Middle East"),Regional_eq_livestock[[#This Row],[GLEAM]])</f>
        <v/>
      </c>
    </row>
    <row r="64">
      <c r="A64" s="682" t="inlineStr">
        <is>
          <t>Bouvet Island</t>
        </is>
      </c>
      <c r="B64" s="682" t="inlineStr">
        <is>
          <t>Latin America and the Caribbean</t>
        </is>
      </c>
      <c r="C64" s="682" t="inlineStr">
        <is>
          <t>Central America</t>
        </is>
      </c>
      <c r="D64" s="682">
        <f>IF(Regional_eq_livestock[[#This Row],[GLEAM]]="NENA",CONCATENATE("NENA","/Middle East"),Regional_eq_livestock[[#This Row],[GLEAM]])</f>
        <v/>
      </c>
    </row>
    <row r="65">
      <c r="A65" s="682" t="inlineStr">
        <is>
          <t>Brazil</t>
        </is>
      </c>
      <c r="B65" s="682" t="inlineStr">
        <is>
          <t>Latin America and the Caribbean</t>
        </is>
      </c>
      <c r="C65" s="682" t="inlineStr">
        <is>
          <t>South America</t>
        </is>
      </c>
      <c r="D65" s="682">
        <f>IF(Regional_eq_livestock[[#This Row],[GLEAM]]="NENA",CONCATENATE("NENA","/Middle East"),Regional_eq_livestock[[#This Row],[GLEAM]])</f>
        <v/>
      </c>
    </row>
    <row r="66">
      <c r="A66" s="682" t="inlineStr">
        <is>
          <t>British Virgin Islands</t>
        </is>
      </c>
      <c r="B66" s="682" t="inlineStr">
        <is>
          <t>Latin America and the Caribbean</t>
        </is>
      </c>
      <c r="C66" s="682" t="inlineStr">
        <is>
          <t>Caribbean</t>
        </is>
      </c>
      <c r="D66" s="682">
        <f>IF(Regional_eq_livestock[[#This Row],[GLEAM]]="NENA",CONCATENATE("NENA","/Middle East"),Regional_eq_livestock[[#This Row],[GLEAM]])</f>
        <v/>
      </c>
    </row>
    <row r="67">
      <c r="A67" s="682" t="inlineStr">
        <is>
          <t>Cayman Islands</t>
        </is>
      </c>
      <c r="B67" s="682" t="inlineStr">
        <is>
          <t>Latin America and the Caribbean</t>
        </is>
      </c>
      <c r="C67" s="682" t="inlineStr">
        <is>
          <t>Caribbean</t>
        </is>
      </c>
      <c r="D67" s="682">
        <f>IF(Regional_eq_livestock[[#This Row],[GLEAM]]="NENA",CONCATENATE("NENA","/Middle East"),Regional_eq_livestock[[#This Row],[GLEAM]])</f>
        <v/>
      </c>
    </row>
    <row r="68">
      <c r="A68" s="682" t="inlineStr">
        <is>
          <t>Chile</t>
        </is>
      </c>
      <c r="B68" s="682" t="inlineStr">
        <is>
          <t>Latin America and the Caribbean</t>
        </is>
      </c>
      <c r="C68" s="682" t="inlineStr">
        <is>
          <t>South America</t>
        </is>
      </c>
      <c r="D68" s="682">
        <f>IF(Regional_eq_livestock[[#This Row],[GLEAM]]="NENA",CONCATENATE("NENA","/Middle East"),Regional_eq_livestock[[#This Row],[GLEAM]])</f>
        <v/>
      </c>
    </row>
    <row r="69">
      <c r="A69" s="682" t="inlineStr">
        <is>
          <t>Colombia</t>
        </is>
      </c>
      <c r="B69" s="682" t="inlineStr">
        <is>
          <t>Latin America and the Caribbean</t>
        </is>
      </c>
      <c r="C69" s="682" t="inlineStr">
        <is>
          <t>South America</t>
        </is>
      </c>
      <c r="D69" s="682">
        <f>IF(Regional_eq_livestock[[#This Row],[GLEAM]]="NENA",CONCATENATE("NENA","/Middle East"),Regional_eq_livestock[[#This Row],[GLEAM]])</f>
        <v/>
      </c>
    </row>
    <row r="70">
      <c r="A70" s="682" t="inlineStr">
        <is>
          <t>Costa Rica</t>
        </is>
      </c>
      <c r="B70" s="682" t="inlineStr">
        <is>
          <t>Latin America and the Caribbean</t>
        </is>
      </c>
      <c r="C70" s="682" t="inlineStr">
        <is>
          <t>Central America</t>
        </is>
      </c>
      <c r="D70" s="682">
        <f>IF(Regional_eq_livestock[[#This Row],[GLEAM]]="NENA",CONCATENATE("NENA","/Middle East"),Regional_eq_livestock[[#This Row],[GLEAM]])</f>
        <v/>
      </c>
    </row>
    <row r="71">
      <c r="A71" s="682" t="inlineStr">
        <is>
          <t>Cuba</t>
        </is>
      </c>
      <c r="B71" s="682" t="inlineStr">
        <is>
          <t>Latin America and the Caribbean</t>
        </is>
      </c>
      <c r="C71" s="682" t="inlineStr">
        <is>
          <t>Caribbean</t>
        </is>
      </c>
      <c r="D71" s="682">
        <f>IF(Regional_eq_livestock[[#This Row],[GLEAM]]="NENA",CONCATENATE("NENA","/Middle East"),Regional_eq_livestock[[#This Row],[GLEAM]])</f>
        <v/>
      </c>
    </row>
    <row r="72">
      <c r="A72" s="682" t="inlineStr">
        <is>
          <t>Curaçao</t>
        </is>
      </c>
      <c r="B72" s="682" t="inlineStr">
        <is>
          <t>Latin America and the Caribbean</t>
        </is>
      </c>
      <c r="C72" s="682" t="inlineStr">
        <is>
          <t>Caribbean</t>
        </is>
      </c>
      <c r="D72" s="682">
        <f>IF(Regional_eq_livestock[[#This Row],[GLEAM]]="NENA",CONCATENATE("NENA","/Middle East"),Regional_eq_livestock[[#This Row],[GLEAM]])</f>
        <v/>
      </c>
    </row>
    <row r="73">
      <c r="A73" s="682" t="inlineStr">
        <is>
          <t>Dominica</t>
        </is>
      </c>
      <c r="B73" s="682" t="inlineStr">
        <is>
          <t>Latin America and the Caribbean</t>
        </is>
      </c>
      <c r="C73" s="682" t="inlineStr">
        <is>
          <t>Caribbean</t>
        </is>
      </c>
      <c r="D73" s="682">
        <f>IF(Regional_eq_livestock[[#This Row],[GLEAM]]="NENA",CONCATENATE("NENA","/Middle East"),Regional_eq_livestock[[#This Row],[GLEAM]])</f>
        <v/>
      </c>
    </row>
    <row r="74">
      <c r="A74" s="682" t="inlineStr">
        <is>
          <t>Dominican Republic</t>
        </is>
      </c>
      <c r="B74" s="682" t="inlineStr">
        <is>
          <t>Latin America and the Caribbean</t>
        </is>
      </c>
      <c r="C74" s="682" t="inlineStr">
        <is>
          <t>Caribbean</t>
        </is>
      </c>
      <c r="D74" s="682">
        <f>IF(Regional_eq_livestock[[#This Row],[GLEAM]]="NENA",CONCATENATE("NENA","/Middle East"),Regional_eq_livestock[[#This Row],[GLEAM]])</f>
        <v/>
      </c>
    </row>
    <row r="75">
      <c r="A75" s="682" t="inlineStr">
        <is>
          <t>Ecuador</t>
        </is>
      </c>
      <c r="B75" s="682" t="inlineStr">
        <is>
          <t>Latin America and the Caribbean</t>
        </is>
      </c>
      <c r="C75" s="682" t="inlineStr">
        <is>
          <t>South America</t>
        </is>
      </c>
      <c r="D75" s="682">
        <f>IF(Regional_eq_livestock[[#This Row],[GLEAM]]="NENA",CONCATENATE("NENA","/Middle East"),Regional_eq_livestock[[#This Row],[GLEAM]])</f>
        <v/>
      </c>
    </row>
    <row r="76">
      <c r="A76" s="682" t="inlineStr">
        <is>
          <t>El Salvador</t>
        </is>
      </c>
      <c r="B76" s="682" t="inlineStr">
        <is>
          <t>Latin America and the Caribbean</t>
        </is>
      </c>
      <c r="C76" s="682" t="inlineStr">
        <is>
          <t>Central America</t>
        </is>
      </c>
      <c r="D76" s="682">
        <f>IF(Regional_eq_livestock[[#This Row],[GLEAM]]="NENA",CONCATENATE("NENA","/Middle East"),Regional_eq_livestock[[#This Row],[GLEAM]])</f>
        <v/>
      </c>
    </row>
    <row r="77">
      <c r="A77" s="682" t="inlineStr">
        <is>
          <t>Falkland Islands (Malvinas)</t>
        </is>
      </c>
      <c r="B77" s="682" t="inlineStr">
        <is>
          <t>Latin America and the Caribbean</t>
        </is>
      </c>
      <c r="C77" s="682" t="inlineStr">
        <is>
          <t>South America</t>
        </is>
      </c>
      <c r="D77" s="682">
        <f>IF(Regional_eq_livestock[[#This Row],[GLEAM]]="NENA",CONCATENATE("NENA","/Middle East"),Regional_eq_livestock[[#This Row],[GLEAM]])</f>
        <v/>
      </c>
    </row>
    <row r="78">
      <c r="A78" s="682" t="inlineStr">
        <is>
          <t>French Guiana</t>
        </is>
      </c>
      <c r="B78" s="682" t="inlineStr">
        <is>
          <t>Latin America and the Caribbean</t>
        </is>
      </c>
      <c r="C78" s="682" t="inlineStr">
        <is>
          <t>South America</t>
        </is>
      </c>
      <c r="D78" s="682">
        <f>IF(Regional_eq_livestock[[#This Row],[GLEAM]]="NENA",CONCATENATE("NENA","/Middle East"),Regional_eq_livestock[[#This Row],[GLEAM]])</f>
        <v/>
      </c>
    </row>
    <row r="79">
      <c r="A79" s="682" t="inlineStr">
        <is>
          <t>Grenada</t>
        </is>
      </c>
      <c r="B79" s="682" t="inlineStr">
        <is>
          <t>Latin America and the Caribbean</t>
        </is>
      </c>
      <c r="C79" s="682" t="inlineStr">
        <is>
          <t>Caribbean</t>
        </is>
      </c>
      <c r="D79" s="682">
        <f>IF(Regional_eq_livestock[[#This Row],[GLEAM]]="NENA",CONCATENATE("NENA","/Middle East"),Regional_eq_livestock[[#This Row],[GLEAM]])</f>
        <v/>
      </c>
    </row>
    <row r="80">
      <c r="A80" s="682" t="inlineStr">
        <is>
          <t>Guadeloupe</t>
        </is>
      </c>
      <c r="B80" s="682" t="inlineStr">
        <is>
          <t>Latin America and the Caribbean</t>
        </is>
      </c>
      <c r="C80" s="682" t="inlineStr">
        <is>
          <t>Caribbean</t>
        </is>
      </c>
      <c r="D80" s="682">
        <f>IF(Regional_eq_livestock[[#This Row],[GLEAM]]="NENA",CONCATENATE("NENA","/Middle East"),Regional_eq_livestock[[#This Row],[GLEAM]])</f>
        <v/>
      </c>
    </row>
    <row r="81">
      <c r="A81" s="682" t="inlineStr">
        <is>
          <t>Guatemala</t>
        </is>
      </c>
      <c r="B81" s="682" t="inlineStr">
        <is>
          <t>Latin America and the Caribbean</t>
        </is>
      </c>
      <c r="C81" s="682" t="inlineStr">
        <is>
          <t>Central America</t>
        </is>
      </c>
      <c r="D81" s="682">
        <f>IF(Regional_eq_livestock[[#This Row],[GLEAM]]="NENA",CONCATENATE("NENA","/Middle East"),Regional_eq_livestock[[#This Row],[GLEAM]])</f>
        <v/>
      </c>
    </row>
    <row r="82">
      <c r="A82" s="682" t="inlineStr">
        <is>
          <t>Guyana</t>
        </is>
      </c>
      <c r="B82" s="682" t="inlineStr">
        <is>
          <t>Latin America and the Caribbean</t>
        </is>
      </c>
      <c r="C82" s="682" t="inlineStr">
        <is>
          <t>South America</t>
        </is>
      </c>
      <c r="D82" s="682">
        <f>IF(Regional_eq_livestock[[#This Row],[GLEAM]]="NENA",CONCATENATE("NENA","/Middle East"),Regional_eq_livestock[[#This Row],[GLEAM]])</f>
        <v/>
      </c>
    </row>
    <row r="83">
      <c r="A83" s="682" t="inlineStr">
        <is>
          <t>Haiti</t>
        </is>
      </c>
      <c r="B83" s="682" t="inlineStr">
        <is>
          <t>Latin America and the Caribbean</t>
        </is>
      </c>
      <c r="C83" s="682" t="inlineStr">
        <is>
          <t>Caribbean</t>
        </is>
      </c>
      <c r="D83" s="682">
        <f>IF(Regional_eq_livestock[[#This Row],[GLEAM]]="NENA",CONCATENATE("NENA","/Middle East"),Regional_eq_livestock[[#This Row],[GLEAM]])</f>
        <v/>
      </c>
    </row>
    <row r="84">
      <c r="A84" s="682" t="inlineStr">
        <is>
          <t>Honduras</t>
        </is>
      </c>
      <c r="B84" s="682" t="inlineStr">
        <is>
          <t>Latin America and the Caribbean</t>
        </is>
      </c>
      <c r="C84" s="682" t="inlineStr">
        <is>
          <t>Central America</t>
        </is>
      </c>
      <c r="D84" s="682">
        <f>IF(Regional_eq_livestock[[#This Row],[GLEAM]]="NENA",CONCATENATE("NENA","/Middle East"),Regional_eq_livestock[[#This Row],[GLEAM]])</f>
        <v/>
      </c>
    </row>
    <row r="85">
      <c r="A85" s="682" t="inlineStr">
        <is>
          <t>Jamaica</t>
        </is>
      </c>
      <c r="B85" s="682" t="inlineStr">
        <is>
          <t>Latin America and the Caribbean</t>
        </is>
      </c>
      <c r="C85" s="682" t="inlineStr">
        <is>
          <t>Caribbean</t>
        </is>
      </c>
      <c r="D85" s="682">
        <f>IF(Regional_eq_livestock[[#This Row],[GLEAM]]="NENA",CONCATENATE("NENA","/Middle East"),Regional_eq_livestock[[#This Row],[GLEAM]])</f>
        <v/>
      </c>
    </row>
    <row r="86">
      <c r="A86" s="682" t="inlineStr">
        <is>
          <t>Martinique</t>
        </is>
      </c>
      <c r="B86" s="682" t="inlineStr">
        <is>
          <t>Latin America and the Caribbean</t>
        </is>
      </c>
      <c r="C86" s="682" t="inlineStr">
        <is>
          <t>Caribbean</t>
        </is>
      </c>
      <c r="D86" s="682">
        <f>IF(Regional_eq_livestock[[#This Row],[GLEAM]]="NENA",CONCATENATE("NENA","/Middle East"),Regional_eq_livestock[[#This Row],[GLEAM]])</f>
        <v/>
      </c>
    </row>
    <row r="87">
      <c r="A87" s="682" t="inlineStr">
        <is>
          <t>Mexico</t>
        </is>
      </c>
      <c r="B87" s="682" t="inlineStr">
        <is>
          <t>Latin America and the Caribbean</t>
        </is>
      </c>
      <c r="C87" s="682" t="inlineStr">
        <is>
          <t>Central America</t>
        </is>
      </c>
      <c r="D87" s="682">
        <f>IF(Regional_eq_livestock[[#This Row],[GLEAM]]="NENA",CONCATENATE("NENA","/Middle East"),Regional_eq_livestock[[#This Row],[GLEAM]])</f>
        <v/>
      </c>
    </row>
    <row r="88">
      <c r="A88" s="682" t="inlineStr">
        <is>
          <t>Montserrat</t>
        </is>
      </c>
      <c r="B88" s="682" t="inlineStr">
        <is>
          <t>Latin America and the Caribbean</t>
        </is>
      </c>
      <c r="C88" s="682" t="inlineStr">
        <is>
          <t>Caribbean</t>
        </is>
      </c>
      <c r="D88" s="682">
        <f>IF(Regional_eq_livestock[[#This Row],[GLEAM]]="NENA",CONCATENATE("NENA","/Middle East"),Regional_eq_livestock[[#This Row],[GLEAM]])</f>
        <v/>
      </c>
    </row>
    <row r="89">
      <c r="A89" s="682" t="inlineStr">
        <is>
          <t>Nicaragua</t>
        </is>
      </c>
      <c r="B89" s="682" t="inlineStr">
        <is>
          <t>Latin America and the Caribbean</t>
        </is>
      </c>
      <c r="C89" s="682" t="inlineStr">
        <is>
          <t>Central America</t>
        </is>
      </c>
      <c r="D89" s="682">
        <f>IF(Regional_eq_livestock[[#This Row],[GLEAM]]="NENA",CONCATENATE("NENA","/Middle East"),Regional_eq_livestock[[#This Row],[GLEAM]])</f>
        <v/>
      </c>
    </row>
    <row r="90">
      <c r="A90" s="682" t="inlineStr">
        <is>
          <t>Panama</t>
        </is>
      </c>
      <c r="B90" s="682" t="inlineStr">
        <is>
          <t>Latin America and the Caribbean</t>
        </is>
      </c>
      <c r="C90" s="682" t="inlineStr">
        <is>
          <t>Central America</t>
        </is>
      </c>
      <c r="D90" s="682">
        <f>IF(Regional_eq_livestock[[#This Row],[GLEAM]]="NENA",CONCATENATE("NENA","/Middle East"),Regional_eq_livestock[[#This Row],[GLEAM]])</f>
        <v/>
      </c>
    </row>
    <row r="91">
      <c r="A91" s="682" t="inlineStr">
        <is>
          <t>Paraguay</t>
        </is>
      </c>
      <c r="B91" s="682" t="inlineStr">
        <is>
          <t>Latin America and the Caribbean</t>
        </is>
      </c>
      <c r="C91" s="682" t="inlineStr">
        <is>
          <t>South America</t>
        </is>
      </c>
      <c r="D91" s="682">
        <f>IF(Regional_eq_livestock[[#This Row],[GLEAM]]="NENA",CONCATENATE("NENA","/Middle East"),Regional_eq_livestock[[#This Row],[GLEAM]])</f>
        <v/>
      </c>
    </row>
    <row r="92">
      <c r="A92" s="682" t="inlineStr">
        <is>
          <t>Peru</t>
        </is>
      </c>
      <c r="B92" s="682" t="inlineStr">
        <is>
          <t>Latin America and the Caribbean</t>
        </is>
      </c>
      <c r="C92" s="682" t="inlineStr">
        <is>
          <t>South America</t>
        </is>
      </c>
      <c r="D92" s="682">
        <f>IF(Regional_eq_livestock[[#This Row],[GLEAM]]="NENA",CONCATENATE("NENA","/Middle East"),Regional_eq_livestock[[#This Row],[GLEAM]])</f>
        <v/>
      </c>
    </row>
    <row r="93">
      <c r="A93" s="682" t="inlineStr">
        <is>
          <t>Puerto Rico</t>
        </is>
      </c>
      <c r="B93" s="682" t="inlineStr">
        <is>
          <t>Latin America and the Caribbean</t>
        </is>
      </c>
      <c r="C93" s="682" t="inlineStr">
        <is>
          <t>Caribbean</t>
        </is>
      </c>
      <c r="D93" s="682">
        <f>IF(Regional_eq_livestock[[#This Row],[GLEAM]]="NENA",CONCATENATE("NENA","/Middle East"),Regional_eq_livestock[[#This Row],[GLEAM]])</f>
        <v/>
      </c>
    </row>
    <row r="94">
      <c r="A94" s="682" t="inlineStr">
        <is>
          <t>Saint Barthélemy</t>
        </is>
      </c>
      <c r="B94" s="682" t="inlineStr">
        <is>
          <t>Latin America and the Caribbean</t>
        </is>
      </c>
      <c r="C94" s="682" t="inlineStr">
        <is>
          <t>Caribbean</t>
        </is>
      </c>
      <c r="D94" s="682">
        <f>IF(Regional_eq_livestock[[#This Row],[GLEAM]]="NENA",CONCATENATE("NENA","/Middle East"),Regional_eq_livestock[[#This Row],[GLEAM]])</f>
        <v/>
      </c>
    </row>
    <row r="95">
      <c r="A95" s="682" t="inlineStr">
        <is>
          <t>Saint Kitts and Nevis</t>
        </is>
      </c>
      <c r="B95" s="682" t="inlineStr">
        <is>
          <t>Latin America and the Caribbean</t>
        </is>
      </c>
      <c r="C95" s="682" t="inlineStr">
        <is>
          <t>Caribbean</t>
        </is>
      </c>
      <c r="D95" s="682">
        <f>IF(Regional_eq_livestock[[#This Row],[GLEAM]]="NENA",CONCATENATE("NENA","/Middle East"),Regional_eq_livestock[[#This Row],[GLEAM]])</f>
        <v/>
      </c>
    </row>
    <row r="96">
      <c r="A96" s="682" t="inlineStr">
        <is>
          <t>Saint Lucia</t>
        </is>
      </c>
      <c r="B96" s="682" t="inlineStr">
        <is>
          <t>Latin America and the Caribbean</t>
        </is>
      </c>
      <c r="C96" s="682" t="inlineStr">
        <is>
          <t>Caribbean</t>
        </is>
      </c>
      <c r="D96" s="682">
        <f>IF(Regional_eq_livestock[[#This Row],[GLEAM]]="NENA",CONCATENATE("NENA","/Middle East"),Regional_eq_livestock[[#This Row],[GLEAM]])</f>
        <v/>
      </c>
    </row>
    <row r="97">
      <c r="A97" s="682" t="inlineStr">
        <is>
          <t>Saint Martin (French Part)</t>
        </is>
      </c>
      <c r="B97" s="682" t="inlineStr">
        <is>
          <t>Latin America and the Caribbean</t>
        </is>
      </c>
      <c r="C97" s="682" t="inlineStr">
        <is>
          <t>Caribbean</t>
        </is>
      </c>
      <c r="D97" s="682">
        <f>IF(Regional_eq_livestock[[#This Row],[GLEAM]]="NENA",CONCATENATE("NENA","/Middle East"),Regional_eq_livestock[[#This Row],[GLEAM]])</f>
        <v/>
      </c>
    </row>
    <row r="98">
      <c r="A98" s="682" t="inlineStr">
        <is>
          <t>Saint Vincent and the Grenadines</t>
        </is>
      </c>
      <c r="B98" s="682" t="inlineStr">
        <is>
          <t>Latin America and the Caribbean</t>
        </is>
      </c>
      <c r="C98" s="682" t="inlineStr">
        <is>
          <t>Caribbean</t>
        </is>
      </c>
      <c r="D98" s="682">
        <f>IF(Regional_eq_livestock[[#This Row],[GLEAM]]="NENA",CONCATENATE("NENA","/Middle East"),Regional_eq_livestock[[#This Row],[GLEAM]])</f>
        <v/>
      </c>
    </row>
    <row r="99">
      <c r="A99" s="682" t="inlineStr">
        <is>
          <t>Sint Maarten (Dutch part)</t>
        </is>
      </c>
      <c r="B99" s="682" t="inlineStr">
        <is>
          <t>Latin America and the Caribbean</t>
        </is>
      </c>
      <c r="C99" s="682" t="inlineStr">
        <is>
          <t>Caribbean</t>
        </is>
      </c>
      <c r="D99" s="682">
        <f>IF(Regional_eq_livestock[[#This Row],[GLEAM]]="NENA",CONCATENATE("NENA","/Middle East"),Regional_eq_livestock[[#This Row],[GLEAM]])</f>
        <v/>
      </c>
    </row>
    <row r="100">
      <c r="A100" s="682" t="inlineStr">
        <is>
          <t>South Georgia and the South Sandwich Islands</t>
        </is>
      </c>
      <c r="B100" s="682" t="inlineStr">
        <is>
          <t>Latin America and the Caribbean</t>
        </is>
      </c>
      <c r="C100" s="682" t="inlineStr">
        <is>
          <t>South America</t>
        </is>
      </c>
      <c r="D100" s="682">
        <f>IF(Regional_eq_livestock[[#This Row],[GLEAM]]="NENA",CONCATENATE("NENA","/Middle East"),Regional_eq_livestock[[#This Row],[GLEAM]])</f>
        <v/>
      </c>
    </row>
    <row r="101">
      <c r="A101" s="682" t="inlineStr">
        <is>
          <t>Suriname</t>
        </is>
      </c>
      <c r="B101" s="682" t="inlineStr">
        <is>
          <t>Latin America and the Caribbean</t>
        </is>
      </c>
      <c r="C101" s="682" t="inlineStr">
        <is>
          <t>South America</t>
        </is>
      </c>
      <c r="D101" s="682">
        <f>IF(Regional_eq_livestock[[#This Row],[GLEAM]]="NENA",CONCATENATE("NENA","/Middle East"),Regional_eq_livestock[[#This Row],[GLEAM]])</f>
        <v/>
      </c>
    </row>
    <row r="102">
      <c r="A102" s="682" t="inlineStr">
        <is>
          <t>Trinidad and Tobago</t>
        </is>
      </c>
      <c r="B102" s="682" t="inlineStr">
        <is>
          <t>Latin America and the Caribbean</t>
        </is>
      </c>
      <c r="C102" s="682" t="inlineStr">
        <is>
          <t>Caribbean</t>
        </is>
      </c>
      <c r="D102" s="682">
        <f>IF(Regional_eq_livestock[[#This Row],[GLEAM]]="NENA",CONCATENATE("NENA","/Middle East"),Regional_eq_livestock[[#This Row],[GLEAM]])</f>
        <v/>
      </c>
    </row>
    <row r="103">
      <c r="A103" s="682" t="inlineStr">
        <is>
          <t>Turks and Caicos Islands</t>
        </is>
      </c>
      <c r="B103" s="682" t="inlineStr">
        <is>
          <t>Latin America and the Caribbean</t>
        </is>
      </c>
      <c r="C103" s="682" t="inlineStr">
        <is>
          <t>Caribbean</t>
        </is>
      </c>
      <c r="D103" s="682">
        <f>IF(Regional_eq_livestock[[#This Row],[GLEAM]]="NENA",CONCATENATE("NENA","/Middle East"),Regional_eq_livestock[[#This Row],[GLEAM]])</f>
        <v/>
      </c>
    </row>
    <row r="104">
      <c r="A104" s="682" t="inlineStr">
        <is>
          <t>United States Virgin Islands</t>
        </is>
      </c>
      <c r="B104" s="682" t="inlineStr">
        <is>
          <t>Latin America and the Caribbean</t>
        </is>
      </c>
      <c r="C104" s="682" t="inlineStr">
        <is>
          <t>Caribbean</t>
        </is>
      </c>
      <c r="D104" s="682">
        <f>IF(Regional_eq_livestock[[#This Row],[GLEAM]]="NENA",CONCATENATE("NENA","/Middle East"),Regional_eq_livestock[[#This Row],[GLEAM]])</f>
        <v/>
      </c>
    </row>
    <row r="105">
      <c r="A105" s="682" t="inlineStr">
        <is>
          <t>Uruguay</t>
        </is>
      </c>
      <c r="B105" s="682" t="inlineStr">
        <is>
          <t>Latin America and the Caribbean</t>
        </is>
      </c>
      <c r="C105" s="682" t="inlineStr">
        <is>
          <t>South America</t>
        </is>
      </c>
      <c r="D105" s="682">
        <f>IF(Regional_eq_livestock[[#This Row],[GLEAM]]="NENA",CONCATENATE("NENA","/Middle East"),Regional_eq_livestock[[#This Row],[GLEAM]])</f>
        <v/>
      </c>
    </row>
    <row r="106">
      <c r="A106" s="682" t="inlineStr">
        <is>
          <t>Venezuela</t>
        </is>
      </c>
      <c r="B106" s="682" t="inlineStr">
        <is>
          <t>Latin America and the Caribbean</t>
        </is>
      </c>
      <c r="C106" s="682" t="inlineStr">
        <is>
          <t>South America</t>
        </is>
      </c>
      <c r="D106" s="682">
        <f>IF(Regional_eq_livestock[[#This Row],[GLEAM]]="NENA",CONCATENATE("NENA","/Middle East"),Regional_eq_livestock[[#This Row],[GLEAM]])</f>
        <v/>
      </c>
    </row>
    <row r="107">
      <c r="A107" s="1622" t="inlineStr">
        <is>
          <t>Algeria</t>
        </is>
      </c>
      <c r="B107" s="1622" t="inlineStr">
        <is>
          <t>NENA</t>
        </is>
      </c>
      <c r="C107" s="1622" t="inlineStr">
        <is>
          <t>Northern Africa</t>
        </is>
      </c>
      <c r="D107" s="453">
        <f>IF(Regional_eq_livestock[[#This Row],[GLEAM]]="NENA",CONCATENATE("NENA","/Middle East"),Regional_eq_livestock[[#This Row],[GLEAM]])</f>
        <v/>
      </c>
    </row>
    <row r="108">
      <c r="A108" s="682" t="inlineStr">
        <is>
          <t>Armenia</t>
        </is>
      </c>
      <c r="B108" s="682" t="inlineStr">
        <is>
          <t>NENA</t>
        </is>
      </c>
      <c r="C108" s="682" t="inlineStr">
        <is>
          <t>Western Asia</t>
        </is>
      </c>
      <c r="D108" s="682">
        <f>IF(Regional_eq_livestock[[#This Row],[GLEAM]]="NENA",CONCATENATE("NENA","/Middle East"),Regional_eq_livestock[[#This Row],[GLEAM]])</f>
        <v/>
      </c>
    </row>
    <row r="109">
      <c r="A109" s="682" t="inlineStr">
        <is>
          <t>Azerbaijan</t>
        </is>
      </c>
      <c r="B109" s="682" t="inlineStr">
        <is>
          <t>NENA</t>
        </is>
      </c>
      <c r="C109" s="682" t="inlineStr">
        <is>
          <t>Western Asia</t>
        </is>
      </c>
      <c r="D109" s="682">
        <f>IF(Regional_eq_livestock[[#This Row],[GLEAM]]="NENA",CONCATENATE("NENA","/Middle East"),Regional_eq_livestock[[#This Row],[GLEAM]])</f>
        <v/>
      </c>
    </row>
    <row r="110">
      <c r="A110" s="682" t="inlineStr">
        <is>
          <t>Bahrain</t>
        </is>
      </c>
      <c r="B110" s="682" t="inlineStr">
        <is>
          <t>NENA</t>
        </is>
      </c>
      <c r="C110" s="682" t="inlineStr">
        <is>
          <t>Western Asia</t>
        </is>
      </c>
      <c r="D110" s="682">
        <f>IF(Regional_eq_livestock[[#This Row],[GLEAM]]="NENA",CONCATENATE("NENA","/Middle East"),Regional_eq_livestock[[#This Row],[GLEAM]])</f>
        <v/>
      </c>
    </row>
    <row r="111">
      <c r="A111" s="682" t="inlineStr">
        <is>
          <t>Cyprus</t>
        </is>
      </c>
      <c r="B111" s="682" t="inlineStr">
        <is>
          <t>NENA</t>
        </is>
      </c>
      <c r="C111" s="682" t="inlineStr">
        <is>
          <t>Western Asia</t>
        </is>
      </c>
      <c r="D111" s="682">
        <f>IF(Regional_eq_livestock[[#This Row],[GLEAM]]="NENA",CONCATENATE("NENA","/Middle East"),Regional_eq_livestock[[#This Row],[GLEAM]])</f>
        <v/>
      </c>
    </row>
    <row r="112">
      <c r="A112" s="1622" t="inlineStr">
        <is>
          <t>Egypt</t>
        </is>
      </c>
      <c r="B112" s="1622" t="inlineStr">
        <is>
          <t>NENA</t>
        </is>
      </c>
      <c r="C112" s="1622" t="inlineStr">
        <is>
          <t>Northern Africa</t>
        </is>
      </c>
      <c r="D112" s="682">
        <f>IF(Regional_eq_livestock[[#This Row],[GLEAM]]="NENA",CONCATENATE("NENA","/Middle East"),Regional_eq_livestock[[#This Row],[GLEAM]])</f>
        <v/>
      </c>
    </row>
    <row r="113">
      <c r="A113" s="682" t="inlineStr">
        <is>
          <t>Georgia</t>
        </is>
      </c>
      <c r="B113" s="682" t="inlineStr">
        <is>
          <t>NENA</t>
        </is>
      </c>
      <c r="C113" s="682" t="inlineStr">
        <is>
          <t>Western Asia</t>
        </is>
      </c>
      <c r="D113" s="682">
        <f>IF(Regional_eq_livestock[[#This Row],[GLEAM]]="NENA",CONCATENATE("NENA","/Middle East"),Regional_eq_livestock[[#This Row],[GLEAM]])</f>
        <v/>
      </c>
    </row>
    <row r="114">
      <c r="A114" s="682" t="inlineStr">
        <is>
          <t>Iraq</t>
        </is>
      </c>
      <c r="B114" s="682" t="inlineStr">
        <is>
          <t>NENA</t>
        </is>
      </c>
      <c r="C114" s="682" t="inlineStr">
        <is>
          <t>Western Asia</t>
        </is>
      </c>
      <c r="D114" s="682">
        <f>IF(Regional_eq_livestock[[#This Row],[GLEAM]]="NENA",CONCATENATE("NENA","/Middle East"),Regional_eq_livestock[[#This Row],[GLEAM]])</f>
        <v/>
      </c>
    </row>
    <row r="115">
      <c r="A115" s="682" t="inlineStr">
        <is>
          <t>Israel</t>
        </is>
      </c>
      <c r="B115" s="682" t="inlineStr">
        <is>
          <t>NENA</t>
        </is>
      </c>
      <c r="C115" s="682" t="inlineStr">
        <is>
          <t>Western Asia</t>
        </is>
      </c>
      <c r="D115" s="682">
        <f>IF(Regional_eq_livestock[[#This Row],[GLEAM]]="NENA",CONCATENATE("NENA","/Middle East"),Regional_eq_livestock[[#This Row],[GLEAM]])</f>
        <v/>
      </c>
    </row>
    <row r="116">
      <c r="A116" s="682" t="inlineStr">
        <is>
          <t>Jordan</t>
        </is>
      </c>
      <c r="B116" s="682" t="inlineStr">
        <is>
          <t>NENA</t>
        </is>
      </c>
      <c r="C116" s="682" t="inlineStr">
        <is>
          <t>Western Asia</t>
        </is>
      </c>
      <c r="D116" s="682">
        <f>IF(Regional_eq_livestock[[#This Row],[GLEAM]]="NENA",CONCATENATE("NENA","/Middle East"),Regional_eq_livestock[[#This Row],[GLEAM]])</f>
        <v/>
      </c>
    </row>
    <row r="117">
      <c r="A117" s="682" t="inlineStr">
        <is>
          <t>Kazakhstan</t>
        </is>
      </c>
      <c r="B117" s="682" t="inlineStr">
        <is>
          <t>NENA</t>
        </is>
      </c>
      <c r="C117" s="682" t="inlineStr">
        <is>
          <t>Central Asia</t>
        </is>
      </c>
      <c r="D117" s="682">
        <f>IF(Regional_eq_livestock[[#This Row],[GLEAM]]="NENA",CONCATENATE("NENA","/Middle East"),Regional_eq_livestock[[#This Row],[GLEAM]])</f>
        <v/>
      </c>
    </row>
    <row r="118">
      <c r="A118" s="682" t="inlineStr">
        <is>
          <t>Kuwait</t>
        </is>
      </c>
      <c r="B118" s="682" t="inlineStr">
        <is>
          <t>NENA</t>
        </is>
      </c>
      <c r="C118" s="682" t="inlineStr">
        <is>
          <t>Western Asia</t>
        </is>
      </c>
      <c r="D118" s="682">
        <f>IF(Regional_eq_livestock[[#This Row],[GLEAM]]="NENA",CONCATENATE("NENA","/Middle East"),Regional_eq_livestock[[#This Row],[GLEAM]])</f>
        <v/>
      </c>
    </row>
    <row r="119">
      <c r="A119" s="682" t="inlineStr">
        <is>
          <t>Kyrgyzstan</t>
        </is>
      </c>
      <c r="B119" s="682" t="inlineStr">
        <is>
          <t>NENA</t>
        </is>
      </c>
      <c r="C119" s="682" t="inlineStr">
        <is>
          <t>Central Asia</t>
        </is>
      </c>
      <c r="D119" s="682">
        <f>IF(Regional_eq_livestock[[#This Row],[GLEAM]]="NENA",CONCATENATE("NENA","/Middle East"),Regional_eq_livestock[[#This Row],[GLEAM]])</f>
        <v/>
      </c>
    </row>
    <row r="120">
      <c r="A120" s="682" t="inlineStr">
        <is>
          <t>Lebanon</t>
        </is>
      </c>
      <c r="B120" s="682" t="inlineStr">
        <is>
          <t>NENA</t>
        </is>
      </c>
      <c r="C120" s="682" t="inlineStr">
        <is>
          <t>Western Asia</t>
        </is>
      </c>
      <c r="D120" s="682">
        <f>IF(Regional_eq_livestock[[#This Row],[GLEAM]]="NENA",CONCATENATE("NENA","/Middle East"),Regional_eq_livestock[[#This Row],[GLEAM]])</f>
        <v/>
      </c>
    </row>
    <row r="121">
      <c r="A121" s="1622" t="inlineStr">
        <is>
          <t>Libya</t>
        </is>
      </c>
      <c r="B121" s="1622" t="inlineStr">
        <is>
          <t>NENA</t>
        </is>
      </c>
      <c r="C121" s="1622" t="inlineStr">
        <is>
          <t>Northern Africa</t>
        </is>
      </c>
      <c r="D121" s="682">
        <f>IF(Regional_eq_livestock[[#This Row],[GLEAM]]="NENA",CONCATENATE("NENA","/Middle East"),Regional_eq_livestock[[#This Row],[GLEAM]])</f>
        <v/>
      </c>
    </row>
    <row r="122">
      <c r="A122" s="1622" t="inlineStr">
        <is>
          <t>Morocco</t>
        </is>
      </c>
      <c r="B122" s="1622" t="inlineStr">
        <is>
          <t>NENA</t>
        </is>
      </c>
      <c r="C122" s="1622" t="inlineStr">
        <is>
          <t>Northern Africa</t>
        </is>
      </c>
      <c r="D122" s="682">
        <f>IF(Regional_eq_livestock[[#This Row],[GLEAM]]="NENA",CONCATENATE("NENA","/Middle East"),Regional_eq_livestock[[#This Row],[GLEAM]])</f>
        <v/>
      </c>
    </row>
    <row r="123">
      <c r="A123" s="682" t="inlineStr">
        <is>
          <t>Oman</t>
        </is>
      </c>
      <c r="B123" s="682" t="inlineStr">
        <is>
          <t>NENA</t>
        </is>
      </c>
      <c r="C123" s="682" t="inlineStr">
        <is>
          <t>Western Asia</t>
        </is>
      </c>
      <c r="D123" s="682">
        <f>IF(Regional_eq_livestock[[#This Row],[GLEAM]]="NENA",CONCATENATE("NENA","/Middle East"),Regional_eq_livestock[[#This Row],[GLEAM]])</f>
        <v/>
      </c>
    </row>
    <row r="124">
      <c r="A124" s="682" t="inlineStr">
        <is>
          <t>Qatar</t>
        </is>
      </c>
      <c r="B124" s="682" t="inlineStr">
        <is>
          <t>NENA</t>
        </is>
      </c>
      <c r="C124" s="682" t="inlineStr">
        <is>
          <t>Western Asia</t>
        </is>
      </c>
      <c r="D124" s="682">
        <f>IF(Regional_eq_livestock[[#This Row],[GLEAM]]="NENA",CONCATENATE("NENA","/Middle East"),Regional_eq_livestock[[#This Row],[GLEAM]])</f>
        <v/>
      </c>
    </row>
    <row r="125">
      <c r="A125" s="682" t="inlineStr">
        <is>
          <t>Saudi Arabia</t>
        </is>
      </c>
      <c r="B125" s="682" t="inlineStr">
        <is>
          <t>NENA</t>
        </is>
      </c>
      <c r="C125" s="682" t="inlineStr">
        <is>
          <t>Western Asia</t>
        </is>
      </c>
      <c r="D125" s="682">
        <f>IF(Regional_eq_livestock[[#This Row],[GLEAM]]="NENA",CONCATENATE("NENA","/Middle East"),Regional_eq_livestock[[#This Row],[GLEAM]])</f>
        <v/>
      </c>
    </row>
    <row r="126">
      <c r="A126" s="1622" t="inlineStr">
        <is>
          <t>South Sudan</t>
        </is>
      </c>
      <c r="B126" s="1622" t="inlineStr">
        <is>
          <t>NENA</t>
        </is>
      </c>
      <c r="C126" s="1622" t="inlineStr">
        <is>
          <t>Northern Africa</t>
        </is>
      </c>
      <c r="D126" s="682">
        <f>IF(Regional_eq_livestock[[#This Row],[GLEAM]]="NENA",CONCATENATE("NENA","/Middle East"),Regional_eq_livestock[[#This Row],[GLEAM]])</f>
        <v/>
      </c>
    </row>
    <row r="127">
      <c r="A127" s="682" t="inlineStr">
        <is>
          <t>State of Palestine</t>
        </is>
      </c>
      <c r="B127" s="682" t="inlineStr">
        <is>
          <t>NENA</t>
        </is>
      </c>
      <c r="C127" s="682" t="inlineStr">
        <is>
          <t>Western Asia</t>
        </is>
      </c>
      <c r="D127" s="682">
        <f>IF(Regional_eq_livestock[[#This Row],[GLEAM]]="NENA",CONCATENATE("NENA","/Middle East"),Regional_eq_livestock[[#This Row],[GLEAM]])</f>
        <v/>
      </c>
    </row>
    <row r="128">
      <c r="A128" s="1622" t="inlineStr">
        <is>
          <t>Sudan</t>
        </is>
      </c>
      <c r="B128" s="1622" t="inlineStr">
        <is>
          <t>NENA</t>
        </is>
      </c>
      <c r="C128" s="1622" t="inlineStr">
        <is>
          <t>Northern Africa</t>
        </is>
      </c>
      <c r="D128" s="682">
        <f>IF(Regional_eq_livestock[[#This Row],[GLEAM]]="NENA",CONCATENATE("NENA","/Middle East"),Regional_eq_livestock[[#This Row],[GLEAM]])</f>
        <v/>
      </c>
    </row>
    <row r="129">
      <c r="A129" s="682" t="inlineStr">
        <is>
          <t>Syrian Arab Republic</t>
        </is>
      </c>
      <c r="B129" s="682" t="inlineStr">
        <is>
          <t>NENA</t>
        </is>
      </c>
      <c r="C129" s="682" t="inlineStr">
        <is>
          <t>Western Asia</t>
        </is>
      </c>
      <c r="D129" s="682">
        <f>IF(Regional_eq_livestock[[#This Row],[GLEAM]]="NENA",CONCATENATE("NENA","/Middle East"),Regional_eq_livestock[[#This Row],[GLEAM]])</f>
        <v/>
      </c>
    </row>
    <row r="130">
      <c r="A130" s="682" t="inlineStr">
        <is>
          <t>Tajikistan</t>
        </is>
      </c>
      <c r="B130" s="682" t="inlineStr">
        <is>
          <t>NENA</t>
        </is>
      </c>
      <c r="C130" s="682" t="inlineStr">
        <is>
          <t>Central Asia</t>
        </is>
      </c>
      <c r="D130" s="682">
        <f>IF(Regional_eq_livestock[[#This Row],[GLEAM]]="NENA",CONCATENATE("NENA","/Middle East"),Regional_eq_livestock[[#This Row],[GLEAM]])</f>
        <v/>
      </c>
    </row>
    <row r="131" ht="15.75" customHeight="1">
      <c r="A131" s="1622" t="inlineStr">
        <is>
          <t>Tunisia</t>
        </is>
      </c>
      <c r="B131" s="1622" t="inlineStr">
        <is>
          <t>NENA</t>
        </is>
      </c>
      <c r="C131" s="1622" t="inlineStr">
        <is>
          <t>Northern Africa</t>
        </is>
      </c>
      <c r="D131" s="682">
        <f>IF(Regional_eq_livestock[[#This Row],[GLEAM]]="NENA",CONCATENATE("NENA","/Middle East"),Regional_eq_livestock[[#This Row],[GLEAM]])</f>
        <v/>
      </c>
    </row>
    <row r="132">
      <c r="A132" s="682" t="inlineStr">
        <is>
          <t>Turkey</t>
        </is>
      </c>
      <c r="B132" s="682" t="inlineStr">
        <is>
          <t>NENA</t>
        </is>
      </c>
      <c r="C132" s="682" t="inlineStr">
        <is>
          <t>Western Asia</t>
        </is>
      </c>
      <c r="D132" s="682">
        <f>IF(Regional_eq_livestock[[#This Row],[GLEAM]]="NENA",CONCATENATE("NENA","/Middle East"),Regional_eq_livestock[[#This Row],[GLEAM]])</f>
        <v/>
      </c>
    </row>
    <row r="133">
      <c r="A133" s="682" t="inlineStr">
        <is>
          <t>Turkmenistan</t>
        </is>
      </c>
      <c r="B133" s="682" t="inlineStr">
        <is>
          <t>NENA</t>
        </is>
      </c>
      <c r="C133" s="682" t="inlineStr">
        <is>
          <t>Central Asia</t>
        </is>
      </c>
      <c r="D133" s="682">
        <f>IF(Regional_eq_livestock[[#This Row],[GLEAM]]="NENA",CONCATENATE("NENA","/Middle East"),Regional_eq_livestock[[#This Row],[GLEAM]])</f>
        <v/>
      </c>
    </row>
    <row r="134">
      <c r="A134" s="682" t="inlineStr">
        <is>
          <t>United Arab Emirates</t>
        </is>
      </c>
      <c r="B134" s="682" t="inlineStr">
        <is>
          <t>NENA</t>
        </is>
      </c>
      <c r="C134" s="682" t="inlineStr">
        <is>
          <t>Western Asia</t>
        </is>
      </c>
      <c r="D134" s="682">
        <f>IF(Regional_eq_livestock[[#This Row],[GLEAM]]="NENA",CONCATENATE("NENA","/Middle East"),Regional_eq_livestock[[#This Row],[GLEAM]])</f>
        <v/>
      </c>
    </row>
    <row r="135">
      <c r="A135" s="682" t="inlineStr">
        <is>
          <t>Uzbekistan</t>
        </is>
      </c>
      <c r="B135" s="682" t="inlineStr">
        <is>
          <t>NENA</t>
        </is>
      </c>
      <c r="C135" s="682" t="inlineStr">
        <is>
          <t>Central Asia</t>
        </is>
      </c>
      <c r="D135" s="682">
        <f>IF(Regional_eq_livestock[[#This Row],[GLEAM]]="NENA",CONCATENATE("NENA","/Middle East"),Regional_eq_livestock[[#This Row],[GLEAM]])</f>
        <v/>
      </c>
    </row>
    <row r="136">
      <c r="A136" s="1622" t="inlineStr">
        <is>
          <t>Western Sahara</t>
        </is>
      </c>
      <c r="B136" s="1622" t="inlineStr">
        <is>
          <t>NENA</t>
        </is>
      </c>
      <c r="C136" s="1622" t="inlineStr">
        <is>
          <t>Northern Africa</t>
        </is>
      </c>
      <c r="D136" s="682">
        <f>IF(Regional_eq_livestock[[#This Row],[GLEAM]]="NENA",CONCATENATE("NENA","/Middle East"),Regional_eq_livestock[[#This Row],[GLEAM]])</f>
        <v/>
      </c>
    </row>
    <row r="137">
      <c r="A137" s="682" t="inlineStr">
        <is>
          <t>Yemen</t>
        </is>
      </c>
      <c r="B137" s="682" t="inlineStr">
        <is>
          <t>NENA</t>
        </is>
      </c>
      <c r="C137" s="682" t="inlineStr">
        <is>
          <t>Western Asia</t>
        </is>
      </c>
      <c r="D137" s="682">
        <f>IF(Regional_eq_livestock[[#This Row],[GLEAM]]="NENA",CONCATENATE("NENA","/Middle East"),Regional_eq_livestock[[#This Row],[GLEAM]])</f>
        <v/>
      </c>
    </row>
    <row r="138">
      <c r="A138" s="682" t="inlineStr">
        <is>
          <t>Bermuda</t>
        </is>
      </c>
      <c r="B138" s="682" t="inlineStr">
        <is>
          <t>North America</t>
        </is>
      </c>
      <c r="C138" s="682" t="inlineStr">
        <is>
          <t>North America</t>
        </is>
      </c>
      <c r="D138" s="682">
        <f>IF(Regional_eq_livestock[[#This Row],[GLEAM]]="NENA",CONCATENATE("NENA","/Middle East"),Regional_eq_livestock[[#This Row],[GLEAM]])</f>
        <v/>
      </c>
    </row>
    <row r="139">
      <c r="A139" s="682" t="inlineStr">
        <is>
          <t>Canada</t>
        </is>
      </c>
      <c r="B139" s="682" t="inlineStr">
        <is>
          <t>North America</t>
        </is>
      </c>
      <c r="C139" s="682" t="inlineStr">
        <is>
          <t>North America</t>
        </is>
      </c>
      <c r="D139" s="682">
        <f>IF(Regional_eq_livestock[[#This Row],[GLEAM]]="NENA",CONCATENATE("NENA","/Middle East"),Regional_eq_livestock[[#This Row],[GLEAM]])</f>
        <v/>
      </c>
    </row>
    <row r="140">
      <c r="A140" s="682" t="inlineStr">
        <is>
          <t>Greenland</t>
        </is>
      </c>
      <c r="B140" s="682" t="inlineStr">
        <is>
          <t>North America</t>
        </is>
      </c>
      <c r="C140" s="682" t="inlineStr">
        <is>
          <t>North America</t>
        </is>
      </c>
      <c r="D140" s="682">
        <f>IF(Regional_eq_livestock[[#This Row],[GLEAM]]="NENA",CONCATENATE("NENA","/Middle East"),Regional_eq_livestock[[#This Row],[GLEAM]])</f>
        <v/>
      </c>
    </row>
    <row r="141">
      <c r="A141" s="682" t="inlineStr">
        <is>
          <t>Saint Pierre and Miquelon</t>
        </is>
      </c>
      <c r="B141" s="682" t="inlineStr">
        <is>
          <t>North America</t>
        </is>
      </c>
      <c r="C141" s="682" t="inlineStr">
        <is>
          <t>North America</t>
        </is>
      </c>
      <c r="D141" s="682">
        <f>IF(Regional_eq_livestock[[#This Row],[GLEAM]]="NENA",CONCATENATE("NENA","/Middle East"),Regional_eq_livestock[[#This Row],[GLEAM]])</f>
        <v/>
      </c>
    </row>
    <row r="142">
      <c r="A142" s="682" t="inlineStr">
        <is>
          <t>United States of America</t>
        </is>
      </c>
      <c r="B142" s="682" t="inlineStr">
        <is>
          <t>North America</t>
        </is>
      </c>
      <c r="C142" s="682" t="inlineStr">
        <is>
          <t>North America</t>
        </is>
      </c>
      <c r="D142" s="682">
        <f>IF(Regional_eq_livestock[[#This Row],[GLEAM]]="NENA",CONCATENATE("NENA","/Middle East"),Regional_eq_livestock[[#This Row],[GLEAM]])</f>
        <v/>
      </c>
    </row>
    <row r="143">
      <c r="A143" s="682" t="inlineStr">
        <is>
          <t>Australia</t>
        </is>
      </c>
      <c r="B143" s="682" t="inlineStr">
        <is>
          <t>Oceania</t>
        </is>
      </c>
      <c r="C143" s="682" t="inlineStr">
        <is>
          <t>Oceania</t>
        </is>
      </c>
      <c r="D143" s="682">
        <f>IF(Regional_eq_livestock[[#This Row],[GLEAM]]="NENA",CONCATENATE("NENA","/Middle East"),Regional_eq_livestock[[#This Row],[GLEAM]])</f>
        <v/>
      </c>
    </row>
    <row r="144">
      <c r="A144" s="682" t="inlineStr">
        <is>
          <t>New Zealand</t>
        </is>
      </c>
      <c r="B144" s="682" t="inlineStr">
        <is>
          <t>Oceania</t>
        </is>
      </c>
      <c r="C144" s="682" t="inlineStr">
        <is>
          <t>Oceania</t>
        </is>
      </c>
      <c r="D144" s="682">
        <f>IF(Regional_eq_livestock[[#This Row],[GLEAM]]="NENA",CONCATENATE("NENA","/Middle East"),Regional_eq_livestock[[#This Row],[GLEAM]])</f>
        <v/>
      </c>
    </row>
    <row r="145">
      <c r="A145" s="682" t="inlineStr">
        <is>
          <t>Russian Federation</t>
        </is>
      </c>
      <c r="B145" s="682" t="inlineStr">
        <is>
          <t>Russian Federation</t>
        </is>
      </c>
      <c r="C145" s="682" t="inlineStr">
        <is>
          <t>Europe</t>
        </is>
      </c>
      <c r="D145" s="682">
        <f>IF(Regional_eq_livestock[[#This Row],[GLEAM]]="NENA",CONCATENATE("NENA","/Middle East"),Regional_eq_livestock[[#This Row],[GLEAM]])</f>
        <v/>
      </c>
    </row>
    <row r="146">
      <c r="A146" s="682" t="inlineStr">
        <is>
          <t>Afghanistan</t>
        </is>
      </c>
      <c r="B146" s="682" t="inlineStr">
        <is>
          <t>South Asia</t>
        </is>
      </c>
      <c r="C146" s="682" t="inlineStr">
        <is>
          <t>Southern Asia</t>
        </is>
      </c>
      <c r="D146" s="682">
        <f>IF(Regional_eq_livestock[[#This Row],[GLEAM]]="NENA",CONCATENATE("NENA","/Middle East"),Regional_eq_livestock[[#This Row],[GLEAM]])</f>
        <v/>
      </c>
    </row>
    <row r="147">
      <c r="A147" s="682" t="inlineStr">
        <is>
          <t>Bangladesh</t>
        </is>
      </c>
      <c r="B147" s="682" t="inlineStr">
        <is>
          <t>South Asia</t>
        </is>
      </c>
      <c r="C147" s="682" t="inlineStr">
        <is>
          <t>Southern Asia</t>
        </is>
      </c>
      <c r="D147" s="682">
        <f>IF(Regional_eq_livestock[[#This Row],[GLEAM]]="NENA",CONCATENATE("NENA","/Middle East"),Regional_eq_livestock[[#This Row],[GLEAM]])</f>
        <v/>
      </c>
    </row>
    <row r="148">
      <c r="A148" s="682" t="inlineStr">
        <is>
          <t>Bhutan</t>
        </is>
      </c>
      <c r="B148" s="682" t="inlineStr">
        <is>
          <t>South Asia</t>
        </is>
      </c>
      <c r="C148" s="682" t="inlineStr">
        <is>
          <t>Southern Asia</t>
        </is>
      </c>
      <c r="D148" s="682">
        <f>IF(Regional_eq_livestock[[#This Row],[GLEAM]]="NENA",CONCATENATE("NENA","/Middle East"),Regional_eq_livestock[[#This Row],[GLEAM]])</f>
        <v/>
      </c>
    </row>
    <row r="149">
      <c r="A149" s="682" t="inlineStr">
        <is>
          <t>British Indian Ocean Territory</t>
        </is>
      </c>
      <c r="B149" s="682" t="inlineStr">
        <is>
          <t>South Asia</t>
        </is>
      </c>
      <c r="C149" s="682" t="inlineStr">
        <is>
          <t>Eastern Africa</t>
        </is>
      </c>
      <c r="D149" s="453">
        <f>IF(Regional_eq_livestock[[#This Row],[GLEAM]]="NENA",CONCATENATE("NENA","/Middle East"),Regional_eq_livestock[[#This Row],[GLEAM]])</f>
        <v/>
      </c>
    </row>
    <row r="150">
      <c r="A150" s="682" t="inlineStr">
        <is>
          <t>India</t>
        </is>
      </c>
      <c r="B150" s="682" t="inlineStr">
        <is>
          <t>South Asia</t>
        </is>
      </c>
      <c r="C150" s="682" t="inlineStr">
        <is>
          <t>Southern Asia</t>
        </is>
      </c>
      <c r="D150" s="682">
        <f>IF(Regional_eq_livestock[[#This Row],[GLEAM]]="NENA",CONCATENATE("NENA","/Middle East"),Regional_eq_livestock[[#This Row],[GLEAM]])</f>
        <v/>
      </c>
    </row>
    <row r="151">
      <c r="A151" s="1622" t="inlineStr">
        <is>
          <t>Iran</t>
        </is>
      </c>
      <c r="B151" s="1622" t="inlineStr">
        <is>
          <t>South Asia</t>
        </is>
      </c>
      <c r="C151" s="1622" t="inlineStr">
        <is>
          <t>Southern Asia</t>
        </is>
      </c>
      <c r="D151" s="682">
        <f>IF(Regional_eq_livestock[[#This Row],[GLEAM]]="NENA",CONCATENATE("NENA","/Middle East"),Regional_eq_livestock[[#This Row],[GLEAM]])</f>
        <v/>
      </c>
    </row>
    <row r="152">
      <c r="A152" s="682" t="inlineStr">
        <is>
          <t>Maldives</t>
        </is>
      </c>
      <c r="B152" s="682" t="inlineStr">
        <is>
          <t>South Asia</t>
        </is>
      </c>
      <c r="C152" s="682" t="inlineStr">
        <is>
          <t>Southern Asia</t>
        </is>
      </c>
      <c r="D152" s="682">
        <f>IF(Regional_eq_livestock[[#This Row],[GLEAM]]="NENA",CONCATENATE("NENA","/Middle East"),Regional_eq_livestock[[#This Row],[GLEAM]])</f>
        <v/>
      </c>
    </row>
    <row r="153">
      <c r="A153" s="682" t="inlineStr">
        <is>
          <t>Nepal</t>
        </is>
      </c>
      <c r="B153" s="682" t="inlineStr">
        <is>
          <t>South Asia</t>
        </is>
      </c>
      <c r="C153" s="682" t="inlineStr">
        <is>
          <t>Southern Asia</t>
        </is>
      </c>
      <c r="D153" s="682">
        <f>IF(Regional_eq_livestock[[#This Row],[GLEAM]]="NENA",CONCATENATE("NENA","/Middle East"),Regional_eq_livestock[[#This Row],[GLEAM]])</f>
        <v/>
      </c>
    </row>
    <row r="154">
      <c r="A154" s="682" t="inlineStr">
        <is>
          <t>Pakistan</t>
        </is>
      </c>
      <c r="B154" s="682" t="inlineStr">
        <is>
          <t>South Asia</t>
        </is>
      </c>
      <c r="C154" s="682" t="inlineStr">
        <is>
          <t>Southern Asia</t>
        </is>
      </c>
      <c r="D154" s="682">
        <f>IF(Regional_eq_livestock[[#This Row],[GLEAM]]="NENA",CONCATENATE("NENA","/Middle East"),Regional_eq_livestock[[#This Row],[GLEAM]])</f>
        <v/>
      </c>
    </row>
    <row r="155">
      <c r="A155" s="682" t="inlineStr">
        <is>
          <t>Pitcairn</t>
        </is>
      </c>
      <c r="B155" s="682" t="inlineStr">
        <is>
          <t>South Asia</t>
        </is>
      </c>
      <c r="C155" s="1620" t="inlineStr">
        <is>
          <t>Oceania</t>
        </is>
      </c>
      <c r="D155" s="682">
        <f>IF(Regional_eq_livestock[[#This Row],[GLEAM]]="NENA",CONCATENATE("NENA","/Middle East"),Regional_eq_livestock[[#This Row],[GLEAM]])</f>
        <v/>
      </c>
    </row>
    <row r="156">
      <c r="A156" s="682" t="inlineStr">
        <is>
          <t>Sri Lanka</t>
        </is>
      </c>
      <c r="B156" s="682" t="inlineStr">
        <is>
          <t>South Asia</t>
        </is>
      </c>
      <c r="C156" s="682" t="inlineStr">
        <is>
          <t>Southern Asia</t>
        </is>
      </c>
      <c r="D156" s="682">
        <f>IF(Regional_eq_livestock[[#This Row],[GLEAM]]="NENA",CONCATENATE("NENA","/Middle East"),Regional_eq_livestock[[#This Row],[GLEAM]])</f>
        <v/>
      </c>
    </row>
    <row r="157">
      <c r="A157" s="682" t="inlineStr">
        <is>
          <t>Angola</t>
        </is>
      </c>
      <c r="B157" s="682" t="inlineStr">
        <is>
          <t>Sub-Saharan Africa</t>
        </is>
      </c>
      <c r="C157" s="682" t="inlineStr">
        <is>
          <t>Central Africa</t>
        </is>
      </c>
      <c r="D157" s="682">
        <f>IF(Regional_eq_livestock[[#This Row],[GLEAM]]="NENA",CONCATENATE("NENA","/Middle East"),Regional_eq_livestock[[#This Row],[GLEAM]])</f>
        <v/>
      </c>
    </row>
    <row r="158">
      <c r="A158" s="682" t="inlineStr">
        <is>
          <t>Benin</t>
        </is>
      </c>
      <c r="B158" s="682" t="inlineStr">
        <is>
          <t>Sub-Saharan Africa</t>
        </is>
      </c>
      <c r="C158" s="682" t="inlineStr">
        <is>
          <t>Western Africa</t>
        </is>
      </c>
      <c r="D158" s="682">
        <f>IF(Regional_eq_livestock[[#This Row],[GLEAM]]="NENA",CONCATENATE("NENA","/Middle East"),Regional_eq_livestock[[#This Row],[GLEAM]])</f>
        <v/>
      </c>
    </row>
    <row r="159">
      <c r="A159" s="682" t="inlineStr">
        <is>
          <t>Botswana</t>
        </is>
      </c>
      <c r="B159" s="682" t="inlineStr">
        <is>
          <t>Sub-Saharan Africa</t>
        </is>
      </c>
      <c r="C159" s="682" t="inlineStr">
        <is>
          <t>South Africa</t>
        </is>
      </c>
      <c r="D159" s="682">
        <f>IF(Regional_eq_livestock[[#This Row],[GLEAM]]="NENA",CONCATENATE("NENA","/Middle East"),Regional_eq_livestock[[#This Row],[GLEAM]])</f>
        <v/>
      </c>
    </row>
    <row r="160">
      <c r="A160" s="682" t="inlineStr">
        <is>
          <t>Burkina Faso</t>
        </is>
      </c>
      <c r="B160" s="682" t="inlineStr">
        <is>
          <t>Sub-Saharan Africa</t>
        </is>
      </c>
      <c r="C160" s="682" t="inlineStr">
        <is>
          <t>Western Africa</t>
        </is>
      </c>
      <c r="D160" s="682">
        <f>IF(Regional_eq_livestock[[#This Row],[GLEAM]]="NENA",CONCATENATE("NENA","/Middle East"),Regional_eq_livestock[[#This Row],[GLEAM]])</f>
        <v/>
      </c>
    </row>
    <row r="161">
      <c r="A161" s="682" t="inlineStr">
        <is>
          <t>Burundi</t>
        </is>
      </c>
      <c r="B161" s="682" t="inlineStr">
        <is>
          <t>Sub-Saharan Africa</t>
        </is>
      </c>
      <c r="C161" s="682" t="inlineStr">
        <is>
          <t>Western Africa</t>
        </is>
      </c>
      <c r="D161" s="682">
        <f>IF(Regional_eq_livestock[[#This Row],[GLEAM]]="NENA",CONCATENATE("NENA","/Middle East"),Regional_eq_livestock[[#This Row],[GLEAM]])</f>
        <v/>
      </c>
    </row>
    <row r="162">
      <c r="A162" s="682" t="inlineStr">
        <is>
          <t>Cabo Verde</t>
        </is>
      </c>
      <c r="B162" s="682" t="inlineStr">
        <is>
          <t>Sub-Saharan Africa</t>
        </is>
      </c>
      <c r="C162" s="682" t="inlineStr">
        <is>
          <t>Western Africa</t>
        </is>
      </c>
      <c r="D162" s="682">
        <f>IF(Regional_eq_livestock[[#This Row],[GLEAM]]="NENA",CONCATENATE("NENA","/Middle East"),Regional_eq_livestock[[#This Row],[GLEAM]])</f>
        <v/>
      </c>
    </row>
    <row r="163">
      <c r="A163" s="682" t="inlineStr">
        <is>
          <t>Cameroon</t>
        </is>
      </c>
      <c r="B163" s="682" t="inlineStr">
        <is>
          <t>Sub-Saharan Africa</t>
        </is>
      </c>
      <c r="C163" s="682" t="inlineStr">
        <is>
          <t>Central Africa</t>
        </is>
      </c>
      <c r="D163" s="682">
        <f>IF(Regional_eq_livestock[[#This Row],[GLEAM]]="NENA",CONCATENATE("NENA","/Middle East"),Regional_eq_livestock[[#This Row],[GLEAM]])</f>
        <v/>
      </c>
    </row>
    <row r="164">
      <c r="A164" s="682" t="inlineStr">
        <is>
          <t>Central African Republic</t>
        </is>
      </c>
      <c r="B164" s="682" t="inlineStr">
        <is>
          <t>Sub-Saharan Africa</t>
        </is>
      </c>
      <c r="C164" s="682" t="inlineStr">
        <is>
          <t>Central Africa</t>
        </is>
      </c>
      <c r="D164" s="682">
        <f>IF(Regional_eq_livestock[[#This Row],[GLEAM]]="NENA",CONCATENATE("NENA","/Middle East"),Regional_eq_livestock[[#This Row],[GLEAM]])</f>
        <v/>
      </c>
    </row>
    <row r="165">
      <c r="A165" s="682" t="inlineStr">
        <is>
          <t>Chad</t>
        </is>
      </c>
      <c r="B165" s="682" t="inlineStr">
        <is>
          <t>Sub-Saharan Africa</t>
        </is>
      </c>
      <c r="C165" s="682" t="inlineStr">
        <is>
          <t>Central Africa</t>
        </is>
      </c>
      <c r="D165" s="682">
        <f>IF(Regional_eq_livestock[[#This Row],[GLEAM]]="NENA",CONCATENATE("NENA","/Middle East"),Regional_eq_livestock[[#This Row],[GLEAM]])</f>
        <v/>
      </c>
    </row>
    <row r="166">
      <c r="A166" s="682" t="inlineStr">
        <is>
          <t>Comoros</t>
        </is>
      </c>
      <c r="B166" s="682" t="inlineStr">
        <is>
          <t>Sub-Saharan Africa</t>
        </is>
      </c>
      <c r="C166" s="682" t="inlineStr">
        <is>
          <t>Eastern Africa</t>
        </is>
      </c>
      <c r="D166" s="682">
        <f>IF(Regional_eq_livestock[[#This Row],[GLEAM]]="NENA",CONCATENATE("NENA","/Middle East"),Regional_eq_livestock[[#This Row],[GLEAM]])</f>
        <v/>
      </c>
    </row>
    <row r="167">
      <c r="A167" s="682" t="inlineStr">
        <is>
          <t>Congo</t>
        </is>
      </c>
      <c r="B167" s="682" t="inlineStr">
        <is>
          <t>Sub-Saharan Africa</t>
        </is>
      </c>
      <c r="C167" s="682" t="inlineStr">
        <is>
          <t>Central Africa</t>
        </is>
      </c>
      <c r="D167" s="682">
        <f>IF(Regional_eq_livestock[[#This Row],[GLEAM]]="NENA",CONCATENATE("NENA","/Middle East"),Regional_eq_livestock[[#This Row],[GLEAM]])</f>
        <v/>
      </c>
    </row>
    <row r="168">
      <c r="A168" s="682" t="inlineStr">
        <is>
          <t>Côte d’Ivoire</t>
        </is>
      </c>
      <c r="B168" s="682" t="inlineStr">
        <is>
          <t>Sub-Saharan Africa</t>
        </is>
      </c>
      <c r="C168" s="682" t="inlineStr">
        <is>
          <t>Western Africa</t>
        </is>
      </c>
      <c r="D168" s="682">
        <f>IF(Regional_eq_livestock[[#This Row],[GLEAM]]="NENA",CONCATENATE("NENA","/Middle East"),Regional_eq_livestock[[#This Row],[GLEAM]])</f>
        <v/>
      </c>
    </row>
    <row r="169">
      <c r="A169" s="682" t="inlineStr">
        <is>
          <t>Democratic Republic of the Congo</t>
        </is>
      </c>
      <c r="B169" s="682" t="inlineStr">
        <is>
          <t>Sub-Saharan Africa</t>
        </is>
      </c>
      <c r="C169" s="682" t="inlineStr">
        <is>
          <t>Central Africa</t>
        </is>
      </c>
      <c r="D169" s="682">
        <f>IF(Regional_eq_livestock[[#This Row],[GLEAM]]="NENA",CONCATENATE("NENA","/Middle East"),Regional_eq_livestock[[#This Row],[GLEAM]])</f>
        <v/>
      </c>
    </row>
    <row r="170">
      <c r="A170" s="682" t="inlineStr">
        <is>
          <t>Djibouti</t>
        </is>
      </c>
      <c r="B170" s="682" t="inlineStr">
        <is>
          <t>Sub-Saharan Africa</t>
        </is>
      </c>
      <c r="C170" s="682" t="inlineStr">
        <is>
          <t>Eastern Africa</t>
        </is>
      </c>
      <c r="D170" s="682">
        <f>IF(Regional_eq_livestock[[#This Row],[GLEAM]]="NENA",CONCATENATE("NENA","/Middle East"),Regional_eq_livestock[[#This Row],[GLEAM]])</f>
        <v/>
      </c>
    </row>
    <row r="171">
      <c r="A171" s="682" t="inlineStr">
        <is>
          <t>Equatorial Guinea</t>
        </is>
      </c>
      <c r="B171" s="682" t="inlineStr">
        <is>
          <t>Sub-Saharan Africa</t>
        </is>
      </c>
      <c r="C171" s="682" t="inlineStr">
        <is>
          <t>Central Africa</t>
        </is>
      </c>
      <c r="D171" s="682">
        <f>IF(Regional_eq_livestock[[#This Row],[GLEAM]]="NENA",CONCATENATE("NENA","/Middle East"),Regional_eq_livestock[[#This Row],[GLEAM]])</f>
        <v/>
      </c>
    </row>
    <row r="172">
      <c r="A172" s="682" t="inlineStr">
        <is>
          <t>Eritrea</t>
        </is>
      </c>
      <c r="B172" s="682" t="inlineStr">
        <is>
          <t>Sub-Saharan Africa</t>
        </is>
      </c>
      <c r="C172" s="682" t="inlineStr">
        <is>
          <t>Eastern Africa</t>
        </is>
      </c>
      <c r="D172" s="682">
        <f>IF(Regional_eq_livestock[[#This Row],[GLEAM]]="NENA",CONCATENATE("NENA","/Middle East"),Regional_eq_livestock[[#This Row],[GLEAM]])</f>
        <v/>
      </c>
    </row>
    <row r="173">
      <c r="A173" s="682" t="inlineStr">
        <is>
          <t>Eswatini</t>
        </is>
      </c>
      <c r="B173" s="682" t="inlineStr">
        <is>
          <t>Sub-Saharan Africa</t>
        </is>
      </c>
      <c r="C173" s="682" t="inlineStr">
        <is>
          <t>South Africa</t>
        </is>
      </c>
      <c r="D173" s="682">
        <f>IF(Regional_eq_livestock[[#This Row],[GLEAM]]="NENA",CONCATENATE("NENA","/Middle East"),Regional_eq_livestock[[#This Row],[GLEAM]])</f>
        <v/>
      </c>
    </row>
    <row r="174">
      <c r="A174" s="682" t="inlineStr">
        <is>
          <t>Ethiopia</t>
        </is>
      </c>
      <c r="B174" s="682" t="inlineStr">
        <is>
          <t>Sub-Saharan Africa</t>
        </is>
      </c>
      <c r="C174" s="682" t="inlineStr">
        <is>
          <t>Eastern Africa</t>
        </is>
      </c>
      <c r="D174" s="682">
        <f>IF(Regional_eq_livestock[[#This Row],[GLEAM]]="NENA",CONCATENATE("NENA","/Middle East"),Regional_eq_livestock[[#This Row],[GLEAM]])</f>
        <v/>
      </c>
    </row>
    <row r="175">
      <c r="A175" s="682" t="inlineStr">
        <is>
          <t>French Southern Territories</t>
        </is>
      </c>
      <c r="B175" s="682" t="inlineStr">
        <is>
          <t>Sub-Saharan Africa</t>
        </is>
      </c>
      <c r="C175" s="682" t="inlineStr">
        <is>
          <t>Eastern Africa</t>
        </is>
      </c>
      <c r="D175" s="682">
        <f>IF(Regional_eq_livestock[[#This Row],[GLEAM]]="NENA",CONCATENATE("NENA","/Middle East"),Regional_eq_livestock[[#This Row],[GLEAM]])</f>
        <v/>
      </c>
    </row>
    <row r="176">
      <c r="A176" s="682" t="inlineStr">
        <is>
          <t>Gabon</t>
        </is>
      </c>
      <c r="B176" s="682" t="inlineStr">
        <is>
          <t>Sub-Saharan Africa</t>
        </is>
      </c>
      <c r="C176" s="682" t="inlineStr">
        <is>
          <t>Central Africa</t>
        </is>
      </c>
      <c r="D176" s="682">
        <f>IF(Regional_eq_livestock[[#This Row],[GLEAM]]="NENA",CONCATENATE("NENA","/Middle East"),Regional_eq_livestock[[#This Row],[GLEAM]])</f>
        <v/>
      </c>
    </row>
    <row r="177">
      <c r="A177" s="682" t="inlineStr">
        <is>
          <t>Gambia</t>
        </is>
      </c>
      <c r="B177" s="682" t="inlineStr">
        <is>
          <t>Sub-Saharan Africa</t>
        </is>
      </c>
      <c r="C177" s="682" t="inlineStr">
        <is>
          <t>Western Africa</t>
        </is>
      </c>
      <c r="D177" s="682">
        <f>IF(Regional_eq_livestock[[#This Row],[GLEAM]]="NENA",CONCATENATE("NENA","/Middle East"),Regional_eq_livestock[[#This Row],[GLEAM]])</f>
        <v/>
      </c>
    </row>
    <row r="178">
      <c r="A178" s="682" t="inlineStr">
        <is>
          <t>Ghana</t>
        </is>
      </c>
      <c r="B178" s="682" t="inlineStr">
        <is>
          <t>Sub-Saharan Africa</t>
        </is>
      </c>
      <c r="C178" s="682" t="inlineStr">
        <is>
          <t>Western Africa</t>
        </is>
      </c>
      <c r="D178" s="682">
        <f>IF(Regional_eq_livestock[[#This Row],[GLEAM]]="NENA",CONCATENATE("NENA","/Middle East"),Regional_eq_livestock[[#This Row],[GLEAM]])</f>
        <v/>
      </c>
    </row>
    <row r="179">
      <c r="A179" s="682" t="inlineStr">
        <is>
          <t>Guinea</t>
        </is>
      </c>
      <c r="B179" s="682" t="inlineStr">
        <is>
          <t>Sub-Saharan Africa</t>
        </is>
      </c>
      <c r="C179" s="682" t="inlineStr">
        <is>
          <t>Western Africa</t>
        </is>
      </c>
      <c r="D179" s="682">
        <f>IF(Regional_eq_livestock[[#This Row],[GLEAM]]="NENA",CONCATENATE("NENA","/Middle East"),Regional_eq_livestock[[#This Row],[GLEAM]])</f>
        <v/>
      </c>
    </row>
    <row r="180">
      <c r="A180" s="682" t="inlineStr">
        <is>
          <t>Guinea-Bissau</t>
        </is>
      </c>
      <c r="B180" s="682" t="inlineStr">
        <is>
          <t>Sub-Saharan Africa</t>
        </is>
      </c>
      <c r="C180" s="682" t="inlineStr">
        <is>
          <t>Western Africa</t>
        </is>
      </c>
      <c r="D180" s="682">
        <f>IF(Regional_eq_livestock[[#This Row],[GLEAM]]="NENA",CONCATENATE("NENA","/Middle East"),Regional_eq_livestock[[#This Row],[GLEAM]])</f>
        <v/>
      </c>
    </row>
    <row r="181">
      <c r="A181" s="682" t="inlineStr">
        <is>
          <t>Kenya</t>
        </is>
      </c>
      <c r="B181" s="682" t="inlineStr">
        <is>
          <t>Sub-Saharan Africa</t>
        </is>
      </c>
      <c r="C181" s="682" t="inlineStr">
        <is>
          <t>Eastern Africa</t>
        </is>
      </c>
      <c r="D181" s="682">
        <f>IF(Regional_eq_livestock[[#This Row],[GLEAM]]="NENA",CONCATENATE("NENA","/Middle East"),Regional_eq_livestock[[#This Row],[GLEAM]])</f>
        <v/>
      </c>
    </row>
    <row r="182">
      <c r="A182" s="682" t="inlineStr">
        <is>
          <t>Lesotho</t>
        </is>
      </c>
      <c r="B182" s="682" t="inlineStr">
        <is>
          <t>Sub-Saharan Africa</t>
        </is>
      </c>
      <c r="C182" s="682" t="inlineStr">
        <is>
          <t>South Africa</t>
        </is>
      </c>
      <c r="D182" s="682">
        <f>IF(Regional_eq_livestock[[#This Row],[GLEAM]]="NENA",CONCATENATE("NENA","/Middle East"),Regional_eq_livestock[[#This Row],[GLEAM]])</f>
        <v/>
      </c>
    </row>
    <row r="183">
      <c r="A183" s="682" t="inlineStr">
        <is>
          <t>Liberia</t>
        </is>
      </c>
      <c r="B183" s="682" t="inlineStr">
        <is>
          <t>Sub-Saharan Africa</t>
        </is>
      </c>
      <c r="C183" s="682" t="inlineStr">
        <is>
          <t>Western Africa</t>
        </is>
      </c>
      <c r="D183" s="682">
        <f>IF(Regional_eq_livestock[[#This Row],[GLEAM]]="NENA",CONCATENATE("NENA","/Middle East"),Regional_eq_livestock[[#This Row],[GLEAM]])</f>
        <v/>
      </c>
    </row>
    <row r="184">
      <c r="A184" s="682" t="inlineStr">
        <is>
          <t>Madagascar</t>
        </is>
      </c>
      <c r="B184" s="682" t="inlineStr">
        <is>
          <t>Sub-Saharan Africa</t>
        </is>
      </c>
      <c r="C184" s="682" t="inlineStr">
        <is>
          <t>Eastern Africa</t>
        </is>
      </c>
      <c r="D184" s="682">
        <f>IF(Regional_eq_livestock[[#This Row],[GLEAM]]="NENA",CONCATENATE("NENA","/Middle East"),Regional_eq_livestock[[#This Row],[GLEAM]])</f>
        <v/>
      </c>
    </row>
    <row r="185">
      <c r="A185" s="682" t="inlineStr">
        <is>
          <t>Malawi</t>
        </is>
      </c>
      <c r="B185" s="682" t="inlineStr">
        <is>
          <t>Sub-Saharan Africa</t>
        </is>
      </c>
      <c r="C185" s="682" t="inlineStr">
        <is>
          <t>Eastern Africa</t>
        </is>
      </c>
      <c r="D185" s="682">
        <f>IF(Regional_eq_livestock[[#This Row],[GLEAM]]="NENA",CONCATENATE("NENA","/Middle East"),Regional_eq_livestock[[#This Row],[GLEAM]])</f>
        <v/>
      </c>
    </row>
    <row r="186">
      <c r="A186" s="682" t="inlineStr">
        <is>
          <t>Mali</t>
        </is>
      </c>
      <c r="B186" s="682" t="inlineStr">
        <is>
          <t>Sub-Saharan Africa</t>
        </is>
      </c>
      <c r="C186" s="682" t="inlineStr">
        <is>
          <t>Western Africa</t>
        </is>
      </c>
      <c r="D186" s="682">
        <f>IF(Regional_eq_livestock[[#This Row],[GLEAM]]="NENA",CONCATENATE("NENA","/Middle East"),Regional_eq_livestock[[#This Row],[GLEAM]])</f>
        <v/>
      </c>
    </row>
    <row r="187">
      <c r="A187" s="682" t="inlineStr">
        <is>
          <t>Mauritania</t>
        </is>
      </c>
      <c r="B187" s="682" t="inlineStr">
        <is>
          <t>Sub-Saharan Africa</t>
        </is>
      </c>
      <c r="C187" s="682" t="inlineStr">
        <is>
          <t>Western Africa</t>
        </is>
      </c>
      <c r="D187" s="682">
        <f>IF(Regional_eq_livestock[[#This Row],[GLEAM]]="NENA",CONCATENATE("NENA","/Middle East"),Regional_eq_livestock[[#This Row],[GLEAM]])</f>
        <v/>
      </c>
    </row>
    <row r="188">
      <c r="A188" s="682" t="inlineStr">
        <is>
          <t>Mauritius</t>
        </is>
      </c>
      <c r="B188" s="682" t="inlineStr">
        <is>
          <t>Sub-Saharan Africa</t>
        </is>
      </c>
      <c r="C188" s="682" t="inlineStr">
        <is>
          <t>Eastern Africa</t>
        </is>
      </c>
      <c r="D188" s="682">
        <f>IF(Regional_eq_livestock[[#This Row],[GLEAM]]="NENA",CONCATENATE("NENA","/Middle East"),Regional_eq_livestock[[#This Row],[GLEAM]])</f>
        <v/>
      </c>
    </row>
    <row r="189">
      <c r="A189" s="682" t="inlineStr">
        <is>
          <t>Mayotte</t>
        </is>
      </c>
      <c r="B189" s="682" t="inlineStr">
        <is>
          <t>Sub-Saharan Africa</t>
        </is>
      </c>
      <c r="C189" s="682" t="inlineStr">
        <is>
          <t>Eastern Africa</t>
        </is>
      </c>
      <c r="D189" s="682">
        <f>IF(Regional_eq_livestock[[#This Row],[GLEAM]]="NENA",CONCATENATE("NENA","/Middle East"),Regional_eq_livestock[[#This Row],[GLEAM]])</f>
        <v/>
      </c>
    </row>
    <row r="190">
      <c r="A190" s="682" t="inlineStr">
        <is>
          <t>Mozambique</t>
        </is>
      </c>
      <c r="B190" s="682" t="inlineStr">
        <is>
          <t>Sub-Saharan Africa</t>
        </is>
      </c>
      <c r="C190" s="682" t="inlineStr">
        <is>
          <t>Eastern Africa</t>
        </is>
      </c>
      <c r="D190" s="682">
        <f>IF(Regional_eq_livestock[[#This Row],[GLEAM]]="NENA",CONCATENATE("NENA","/Middle East"),Regional_eq_livestock[[#This Row],[GLEAM]])</f>
        <v/>
      </c>
    </row>
    <row r="191">
      <c r="A191" s="682" t="inlineStr">
        <is>
          <t>Namibia</t>
        </is>
      </c>
      <c r="B191" s="682" t="inlineStr">
        <is>
          <t>Sub-Saharan Africa</t>
        </is>
      </c>
      <c r="C191" s="682" t="inlineStr">
        <is>
          <t>South Africa</t>
        </is>
      </c>
      <c r="D191" s="682">
        <f>IF(Regional_eq_livestock[[#This Row],[GLEAM]]="NENA",CONCATENATE("NENA","/Middle East"),Regional_eq_livestock[[#This Row],[GLEAM]])</f>
        <v/>
      </c>
    </row>
    <row r="192">
      <c r="A192" s="682" t="inlineStr">
        <is>
          <t>Niger</t>
        </is>
      </c>
      <c r="B192" s="682" t="inlineStr">
        <is>
          <t>Sub-Saharan Africa</t>
        </is>
      </c>
      <c r="C192" s="682" t="inlineStr">
        <is>
          <t>Western Africa</t>
        </is>
      </c>
      <c r="D192" s="682">
        <f>IF(Regional_eq_livestock[[#This Row],[GLEAM]]="NENA",CONCATENATE("NENA","/Middle East"),Regional_eq_livestock[[#This Row],[GLEAM]])</f>
        <v/>
      </c>
    </row>
    <row r="193">
      <c r="A193" s="682" t="inlineStr">
        <is>
          <t>Nigeria</t>
        </is>
      </c>
      <c r="B193" s="682" t="inlineStr">
        <is>
          <t>Sub-Saharan Africa</t>
        </is>
      </c>
      <c r="C193" s="682" t="inlineStr">
        <is>
          <t>Western Africa</t>
        </is>
      </c>
      <c r="D193" s="682">
        <f>IF(Regional_eq_livestock[[#This Row],[GLEAM]]="NENA",CONCATENATE("NENA","/Middle East"),Regional_eq_livestock[[#This Row],[GLEAM]])</f>
        <v/>
      </c>
    </row>
    <row r="194">
      <c r="A194" s="682" t="inlineStr">
        <is>
          <t>Réunion</t>
        </is>
      </c>
      <c r="B194" s="682" t="inlineStr">
        <is>
          <t>Sub-Saharan Africa</t>
        </is>
      </c>
      <c r="C194" s="682" t="inlineStr">
        <is>
          <t>Eastern Africa</t>
        </is>
      </c>
      <c r="D194" s="682">
        <f>IF(Regional_eq_livestock[[#This Row],[GLEAM]]="NENA",CONCATENATE("NENA","/Middle East"),Regional_eq_livestock[[#This Row],[GLEAM]])</f>
        <v/>
      </c>
    </row>
    <row r="195">
      <c r="A195" s="682" t="inlineStr">
        <is>
          <t>Rwanda</t>
        </is>
      </c>
      <c r="B195" s="682" t="inlineStr">
        <is>
          <t>Sub-Saharan Africa</t>
        </is>
      </c>
      <c r="C195" s="682" t="inlineStr">
        <is>
          <t>Eastern Africa</t>
        </is>
      </c>
      <c r="D195" s="682">
        <f>IF(Regional_eq_livestock[[#This Row],[GLEAM]]="NENA",CONCATENATE("NENA","/Middle East"),Regional_eq_livestock[[#This Row],[GLEAM]])</f>
        <v/>
      </c>
    </row>
    <row r="196">
      <c r="A196" s="682" t="inlineStr">
        <is>
          <t>Saint Helena</t>
        </is>
      </c>
      <c r="B196" s="682" t="inlineStr">
        <is>
          <t>Sub-Saharan Africa</t>
        </is>
      </c>
      <c r="C196" s="682" t="inlineStr">
        <is>
          <t>Western Africa</t>
        </is>
      </c>
      <c r="D196" s="682">
        <f>IF(Regional_eq_livestock[[#This Row],[GLEAM]]="NENA",CONCATENATE("NENA","/Middle East"),Regional_eq_livestock[[#This Row],[GLEAM]])</f>
        <v/>
      </c>
    </row>
    <row r="197">
      <c r="A197" s="682" t="inlineStr">
        <is>
          <t>Sao Tome and Principe</t>
        </is>
      </c>
      <c r="B197" s="682" t="inlineStr">
        <is>
          <t>Sub-Saharan Africa</t>
        </is>
      </c>
      <c r="C197" s="682" t="inlineStr">
        <is>
          <t>Central Africa</t>
        </is>
      </c>
      <c r="D197" s="682">
        <f>IF(Regional_eq_livestock[[#This Row],[GLEAM]]="NENA",CONCATENATE("NENA","/Middle East"),Regional_eq_livestock[[#This Row],[GLEAM]])</f>
        <v/>
      </c>
    </row>
    <row r="198">
      <c r="A198" s="682" t="inlineStr">
        <is>
          <t>Senegal</t>
        </is>
      </c>
      <c r="B198" s="682" t="inlineStr">
        <is>
          <t>Sub-Saharan Africa</t>
        </is>
      </c>
      <c r="C198" s="682" t="inlineStr">
        <is>
          <t>Western Africa</t>
        </is>
      </c>
      <c r="D198" s="682">
        <f>IF(Regional_eq_livestock[[#This Row],[GLEAM]]="NENA",CONCATENATE("NENA","/Middle East"),Regional_eq_livestock[[#This Row],[GLEAM]])</f>
        <v/>
      </c>
    </row>
    <row r="199">
      <c r="A199" s="682" t="inlineStr">
        <is>
          <t>Seychelles</t>
        </is>
      </c>
      <c r="B199" s="682" t="inlineStr">
        <is>
          <t>Sub-Saharan Africa</t>
        </is>
      </c>
      <c r="C199" s="682" t="inlineStr">
        <is>
          <t>Eastern Africa</t>
        </is>
      </c>
      <c r="D199" s="682">
        <f>IF(Regional_eq_livestock[[#This Row],[GLEAM]]="NENA",CONCATENATE("NENA","/Middle East"),Regional_eq_livestock[[#This Row],[GLEAM]])</f>
        <v/>
      </c>
    </row>
    <row r="200">
      <c r="A200" s="682" t="inlineStr">
        <is>
          <t>Sierra Leone</t>
        </is>
      </c>
      <c r="B200" s="682" t="inlineStr">
        <is>
          <t>Sub-Saharan Africa</t>
        </is>
      </c>
      <c r="C200" s="682" t="inlineStr">
        <is>
          <t>Western Africa</t>
        </is>
      </c>
      <c r="D200" s="682">
        <f>IF(Regional_eq_livestock[[#This Row],[GLEAM]]="NENA",CONCATENATE("NENA","/Middle East"),Regional_eq_livestock[[#This Row],[GLEAM]])</f>
        <v/>
      </c>
    </row>
    <row r="201">
      <c r="A201" s="682" t="inlineStr">
        <is>
          <t>Somalia</t>
        </is>
      </c>
      <c r="B201" s="682" t="inlineStr">
        <is>
          <t>Sub-Saharan Africa</t>
        </is>
      </c>
      <c r="C201" s="682" t="inlineStr">
        <is>
          <t>Eastern Africa</t>
        </is>
      </c>
      <c r="D201" s="682">
        <f>IF(Regional_eq_livestock[[#This Row],[GLEAM]]="NENA",CONCATENATE("NENA","/Middle East"),Regional_eq_livestock[[#This Row],[GLEAM]])</f>
        <v/>
      </c>
    </row>
    <row r="202">
      <c r="A202" s="682" t="inlineStr">
        <is>
          <t>South Africa</t>
        </is>
      </c>
      <c r="B202" s="682" t="inlineStr">
        <is>
          <t>Sub-Saharan Africa</t>
        </is>
      </c>
      <c r="C202" s="682" t="inlineStr">
        <is>
          <t>South Africa</t>
        </is>
      </c>
      <c r="D202" s="682">
        <f>IF(Regional_eq_livestock[[#This Row],[GLEAM]]="NENA",CONCATENATE("NENA","/Middle East"),Regional_eq_livestock[[#This Row],[GLEAM]])</f>
        <v/>
      </c>
    </row>
    <row r="203">
      <c r="A203" s="682" t="inlineStr">
        <is>
          <t>Togo</t>
        </is>
      </c>
      <c r="B203" s="682" t="inlineStr">
        <is>
          <t>Sub-Saharan Africa</t>
        </is>
      </c>
      <c r="C203" s="682" t="inlineStr">
        <is>
          <t>Western Africa</t>
        </is>
      </c>
      <c r="D203" s="682">
        <f>IF(Regional_eq_livestock[[#This Row],[GLEAM]]="NENA",CONCATENATE("NENA","/Middle East"),Regional_eq_livestock[[#This Row],[GLEAM]])</f>
        <v/>
      </c>
    </row>
    <row r="204">
      <c r="A204" s="682" t="inlineStr">
        <is>
          <t>Uganda</t>
        </is>
      </c>
      <c r="B204" s="682" t="inlineStr">
        <is>
          <t>Sub-Saharan Africa</t>
        </is>
      </c>
      <c r="C204" s="682" t="inlineStr">
        <is>
          <t>Eastern Africa</t>
        </is>
      </c>
      <c r="D204" s="682">
        <f>IF(Regional_eq_livestock[[#This Row],[GLEAM]]="NENA",CONCATENATE("NENA","/Middle East"),Regional_eq_livestock[[#This Row],[GLEAM]])</f>
        <v/>
      </c>
    </row>
    <row r="205">
      <c r="A205" s="682" t="inlineStr">
        <is>
          <t>United Republic of Tanzania</t>
        </is>
      </c>
      <c r="B205" s="682" t="inlineStr">
        <is>
          <t>Sub-Saharan Africa</t>
        </is>
      </c>
      <c r="C205" s="682" t="inlineStr">
        <is>
          <t>Eastern Africa</t>
        </is>
      </c>
      <c r="D205" s="682">
        <f>IF(Regional_eq_livestock[[#This Row],[GLEAM]]="NENA",CONCATENATE("NENA","/Middle East"),Regional_eq_livestock[[#This Row],[GLEAM]])</f>
        <v/>
      </c>
    </row>
    <row r="206">
      <c r="A206" s="682" t="inlineStr">
        <is>
          <t>Zambia</t>
        </is>
      </c>
      <c r="B206" s="682" t="inlineStr">
        <is>
          <t>Sub-Saharan Africa</t>
        </is>
      </c>
      <c r="C206" s="682" t="inlineStr">
        <is>
          <t>Eastern Africa</t>
        </is>
      </c>
      <c r="D206" s="682">
        <f>IF(Regional_eq_livestock[[#This Row],[GLEAM]]="NENA",CONCATENATE("NENA","/Middle East"),Regional_eq_livestock[[#This Row],[GLEAM]])</f>
        <v/>
      </c>
    </row>
    <row r="207">
      <c r="A207" s="682" t="inlineStr">
        <is>
          <t>Zimbabwe</t>
        </is>
      </c>
      <c r="B207" s="682" t="inlineStr">
        <is>
          <t>Sub-Saharan Africa</t>
        </is>
      </c>
      <c r="C207" s="682" t="inlineStr">
        <is>
          <t>Eastern Africa</t>
        </is>
      </c>
      <c r="D207" s="682">
        <f>IF(Regional_eq_livestock[[#This Row],[GLEAM]]="NENA",CONCATENATE("NENA","/Middle East"),Regional_eq_livestock[[#This Row],[GLEAM]])</f>
        <v/>
      </c>
    </row>
    <row r="208">
      <c r="A208" s="682" t="inlineStr">
        <is>
          <t>Åland Islands</t>
        </is>
      </c>
      <c r="B208" s="682" t="inlineStr">
        <is>
          <t>Western Europe</t>
        </is>
      </c>
      <c r="C208" s="682" t="inlineStr">
        <is>
          <t>Europe</t>
        </is>
      </c>
      <c r="D208" s="682">
        <f>IF(Regional_eq_livestock[[#This Row],[GLEAM]]="NENA",CONCATENATE("NENA","/Middle East"),Regional_eq_livestock[[#This Row],[GLEAM]])</f>
        <v/>
      </c>
    </row>
    <row r="209">
      <c r="A209" s="682" t="inlineStr">
        <is>
          <t>Albania</t>
        </is>
      </c>
      <c r="B209" s="682" t="inlineStr">
        <is>
          <t>Western Europe</t>
        </is>
      </c>
      <c r="C209" s="682" t="inlineStr">
        <is>
          <t>Europe</t>
        </is>
      </c>
      <c r="D209" s="682">
        <f>IF(Regional_eq_livestock[[#This Row],[GLEAM]]="NENA",CONCATENATE("NENA","/Middle East"),Regional_eq_livestock[[#This Row],[GLEAM]])</f>
        <v/>
      </c>
    </row>
    <row r="210">
      <c r="A210" s="682" t="inlineStr">
        <is>
          <t>Andorra</t>
        </is>
      </c>
      <c r="B210" s="682" t="inlineStr">
        <is>
          <t>Western Europe</t>
        </is>
      </c>
      <c r="C210" s="682" t="inlineStr">
        <is>
          <t>Europe</t>
        </is>
      </c>
      <c r="D210" s="682">
        <f>IF(Regional_eq_livestock[[#This Row],[GLEAM]]="NENA",CONCATENATE("NENA","/Middle East"),Regional_eq_livestock[[#This Row],[GLEAM]])</f>
        <v/>
      </c>
    </row>
    <row r="211">
      <c r="A211" s="682" t="inlineStr">
        <is>
          <t>Austria</t>
        </is>
      </c>
      <c r="B211" s="682" t="inlineStr">
        <is>
          <t>Western Europe</t>
        </is>
      </c>
      <c r="C211" s="682" t="inlineStr">
        <is>
          <t>Europe</t>
        </is>
      </c>
      <c r="D211" s="682">
        <f>IF(Regional_eq_livestock[[#This Row],[GLEAM]]="NENA",CONCATENATE("NENA","/Middle East"),Regional_eq_livestock[[#This Row],[GLEAM]])</f>
        <v/>
      </c>
    </row>
    <row r="212">
      <c r="A212" s="682" t="inlineStr">
        <is>
          <t>Belgium</t>
        </is>
      </c>
      <c r="B212" s="682" t="inlineStr">
        <is>
          <t>Western Europe</t>
        </is>
      </c>
      <c r="C212" s="682" t="inlineStr">
        <is>
          <t>Europe</t>
        </is>
      </c>
      <c r="D212" s="682">
        <f>IF(Regional_eq_livestock[[#This Row],[GLEAM]]="NENA",CONCATENATE("NENA","/Middle East"),Regional_eq_livestock[[#This Row],[GLEAM]])</f>
        <v/>
      </c>
    </row>
    <row r="213">
      <c r="A213" s="682" t="inlineStr">
        <is>
          <t>Bosnia and Herzegovina</t>
        </is>
      </c>
      <c r="B213" s="682" t="inlineStr">
        <is>
          <t>Western Europe</t>
        </is>
      </c>
      <c r="C213" s="682" t="inlineStr">
        <is>
          <t>Europe</t>
        </is>
      </c>
      <c r="D213" s="682">
        <f>IF(Regional_eq_livestock[[#This Row],[GLEAM]]="NENA",CONCATENATE("NENA","/Middle East"),Regional_eq_livestock[[#This Row],[GLEAM]])</f>
        <v/>
      </c>
    </row>
    <row r="214">
      <c r="A214" s="682" t="inlineStr">
        <is>
          <t>Croatia</t>
        </is>
      </c>
      <c r="B214" s="682" t="inlineStr">
        <is>
          <t>Western Europe</t>
        </is>
      </c>
      <c r="C214" s="682" t="inlineStr">
        <is>
          <t>Europe</t>
        </is>
      </c>
      <c r="D214" s="682">
        <f>IF(Regional_eq_livestock[[#This Row],[GLEAM]]="NENA",CONCATENATE("NENA","/Middle East"),Regional_eq_livestock[[#This Row],[GLEAM]])</f>
        <v/>
      </c>
    </row>
    <row r="215">
      <c r="A215" s="682" t="inlineStr">
        <is>
          <t>Denmark</t>
        </is>
      </c>
      <c r="B215" s="682" t="inlineStr">
        <is>
          <t>Western Europe</t>
        </is>
      </c>
      <c r="C215" s="682" t="inlineStr">
        <is>
          <t>Europe</t>
        </is>
      </c>
      <c r="D215" s="682">
        <f>IF(Regional_eq_livestock[[#This Row],[GLEAM]]="NENA",CONCATENATE("NENA","/Middle East"),Regional_eq_livestock[[#This Row],[GLEAM]])</f>
        <v/>
      </c>
    </row>
    <row r="216">
      <c r="A216" s="682" t="inlineStr">
        <is>
          <t>Estonia</t>
        </is>
      </c>
      <c r="B216" s="682" t="inlineStr">
        <is>
          <t>Western Europe</t>
        </is>
      </c>
      <c r="C216" s="682" t="inlineStr">
        <is>
          <t>Europe</t>
        </is>
      </c>
      <c r="D216" s="682">
        <f>IF(Regional_eq_livestock[[#This Row],[GLEAM]]="NENA",CONCATENATE("NENA","/Middle East"),Regional_eq_livestock[[#This Row],[GLEAM]])</f>
        <v/>
      </c>
    </row>
    <row r="217">
      <c r="A217" s="682" t="inlineStr">
        <is>
          <t>Faroe Islands</t>
        </is>
      </c>
      <c r="B217" s="682" t="inlineStr">
        <is>
          <t>Western Europe</t>
        </is>
      </c>
      <c r="C217" s="682" t="inlineStr">
        <is>
          <t>Europe</t>
        </is>
      </c>
      <c r="D217" s="682">
        <f>IF(Regional_eq_livestock[[#This Row],[GLEAM]]="NENA",CONCATENATE("NENA","/Middle East"),Regional_eq_livestock[[#This Row],[GLEAM]])</f>
        <v/>
      </c>
    </row>
    <row r="218">
      <c r="A218" s="682" t="inlineStr">
        <is>
          <t>Finland</t>
        </is>
      </c>
      <c r="B218" s="682" t="inlineStr">
        <is>
          <t>Western Europe</t>
        </is>
      </c>
      <c r="C218" s="682" t="inlineStr">
        <is>
          <t>Europe</t>
        </is>
      </c>
      <c r="D218" s="682">
        <f>IF(Regional_eq_livestock[[#This Row],[GLEAM]]="NENA",CONCATENATE("NENA","/Middle East"),Regional_eq_livestock[[#This Row],[GLEAM]])</f>
        <v/>
      </c>
    </row>
    <row r="219">
      <c r="A219" s="682" t="inlineStr">
        <is>
          <t>France</t>
        </is>
      </c>
      <c r="B219" s="682" t="inlineStr">
        <is>
          <t>Western Europe</t>
        </is>
      </c>
      <c r="C219" s="682" t="inlineStr">
        <is>
          <t>Europe</t>
        </is>
      </c>
      <c r="D219" s="682">
        <f>IF(Regional_eq_livestock[[#This Row],[GLEAM]]="NENA",CONCATENATE("NENA","/Middle East"),Regional_eq_livestock[[#This Row],[GLEAM]])</f>
        <v/>
      </c>
    </row>
    <row r="220">
      <c r="A220" s="682" t="inlineStr">
        <is>
          <t>Germany</t>
        </is>
      </c>
      <c r="B220" s="682" t="inlineStr">
        <is>
          <t>Western Europe</t>
        </is>
      </c>
      <c r="C220" s="682" t="inlineStr">
        <is>
          <t>Europe</t>
        </is>
      </c>
      <c r="D220" s="682">
        <f>IF(Regional_eq_livestock[[#This Row],[GLEAM]]="NENA",CONCATENATE("NENA","/Middle East"),Regional_eq_livestock[[#This Row],[GLEAM]])</f>
        <v/>
      </c>
    </row>
    <row r="221">
      <c r="A221" s="682" t="inlineStr">
        <is>
          <t>Gibraltar</t>
        </is>
      </c>
      <c r="B221" s="682" t="inlineStr">
        <is>
          <t>Western Europe</t>
        </is>
      </c>
      <c r="C221" s="682" t="inlineStr">
        <is>
          <t>Europe</t>
        </is>
      </c>
      <c r="D221" s="682">
        <f>IF(Regional_eq_livestock[[#This Row],[GLEAM]]="NENA",CONCATENATE("NENA","/Middle East"),Regional_eq_livestock[[#This Row],[GLEAM]])</f>
        <v/>
      </c>
    </row>
    <row r="222">
      <c r="A222" s="682" t="inlineStr">
        <is>
          <t>Greece</t>
        </is>
      </c>
      <c r="B222" s="682" t="inlineStr">
        <is>
          <t>Western Europe</t>
        </is>
      </c>
      <c r="C222" s="682" t="inlineStr">
        <is>
          <t>Europe</t>
        </is>
      </c>
      <c r="D222" s="682">
        <f>IF(Regional_eq_livestock[[#This Row],[GLEAM]]="NENA",CONCATENATE("NENA","/Middle East"),Regional_eq_livestock[[#This Row],[GLEAM]])</f>
        <v/>
      </c>
    </row>
    <row r="223">
      <c r="A223" s="682" t="inlineStr">
        <is>
          <t>Guernsey</t>
        </is>
      </c>
      <c r="B223" s="682" t="inlineStr">
        <is>
          <t>Western Europe</t>
        </is>
      </c>
      <c r="C223" s="682" t="inlineStr">
        <is>
          <t>Europe</t>
        </is>
      </c>
      <c r="D223" s="682">
        <f>IF(Regional_eq_livestock[[#This Row],[GLEAM]]="NENA",CONCATENATE("NENA","/Middle East"),Regional_eq_livestock[[#This Row],[GLEAM]])</f>
        <v/>
      </c>
    </row>
    <row r="224">
      <c r="A224" s="682" t="inlineStr">
        <is>
          <t>Holy See</t>
        </is>
      </c>
      <c r="B224" s="682" t="inlineStr">
        <is>
          <t>Western Europe</t>
        </is>
      </c>
      <c r="C224" s="682" t="inlineStr">
        <is>
          <t>Europe</t>
        </is>
      </c>
      <c r="D224" s="682">
        <f>IF(Regional_eq_livestock[[#This Row],[GLEAM]]="NENA",CONCATENATE("NENA","/Middle East"),Regional_eq_livestock[[#This Row],[GLEAM]])</f>
        <v/>
      </c>
    </row>
    <row r="225">
      <c r="A225" s="682" t="inlineStr">
        <is>
          <t>Iceland</t>
        </is>
      </c>
      <c r="B225" s="682" t="inlineStr">
        <is>
          <t>Western Europe</t>
        </is>
      </c>
      <c r="C225" s="682" t="inlineStr">
        <is>
          <t>Europe</t>
        </is>
      </c>
      <c r="D225" s="682">
        <f>IF(Regional_eq_livestock[[#This Row],[GLEAM]]="NENA",CONCATENATE("NENA","/Middle East"),Regional_eq_livestock[[#This Row],[GLEAM]])</f>
        <v/>
      </c>
    </row>
    <row r="226">
      <c r="A226" s="682" t="inlineStr">
        <is>
          <t>Ireland</t>
        </is>
      </c>
      <c r="B226" s="682" t="inlineStr">
        <is>
          <t>Western Europe</t>
        </is>
      </c>
      <c r="C226" s="682" t="inlineStr">
        <is>
          <t>Europe</t>
        </is>
      </c>
      <c r="D226" s="682">
        <f>IF(Regional_eq_livestock[[#This Row],[GLEAM]]="NENA",CONCATENATE("NENA","/Middle East"),Regional_eq_livestock[[#This Row],[GLEAM]])</f>
        <v/>
      </c>
    </row>
    <row r="227">
      <c r="A227" s="682" t="inlineStr">
        <is>
          <t>Isle of Man</t>
        </is>
      </c>
      <c r="B227" s="682" t="inlineStr">
        <is>
          <t>Western Europe</t>
        </is>
      </c>
      <c r="C227" s="682" t="inlineStr">
        <is>
          <t>Europe</t>
        </is>
      </c>
      <c r="D227" s="682">
        <f>IF(Regional_eq_livestock[[#This Row],[GLEAM]]="NENA",CONCATENATE("NENA","/Middle East"),Regional_eq_livestock[[#This Row],[GLEAM]])</f>
        <v/>
      </c>
    </row>
    <row r="228">
      <c r="A228" s="682" t="inlineStr">
        <is>
          <t>Italy</t>
        </is>
      </c>
      <c r="B228" s="682" t="inlineStr">
        <is>
          <t>Western Europe</t>
        </is>
      </c>
      <c r="C228" s="682" t="inlineStr">
        <is>
          <t>Europe</t>
        </is>
      </c>
      <c r="D228" s="682">
        <f>IF(Regional_eq_livestock[[#This Row],[GLEAM]]="NENA",CONCATENATE("NENA","/Middle East"),Regional_eq_livestock[[#This Row],[GLEAM]])</f>
        <v/>
      </c>
    </row>
    <row r="229">
      <c r="A229" s="682" t="inlineStr">
        <is>
          <t>Jersey</t>
        </is>
      </c>
      <c r="B229" s="682" t="inlineStr">
        <is>
          <t>Western Europe</t>
        </is>
      </c>
      <c r="C229" s="682" t="inlineStr">
        <is>
          <t>Europe</t>
        </is>
      </c>
      <c r="D229" s="682">
        <f>IF(Regional_eq_livestock[[#This Row],[GLEAM]]="NENA",CONCATENATE("NENA","/Middle East"),Regional_eq_livestock[[#This Row],[GLEAM]])</f>
        <v/>
      </c>
    </row>
    <row r="230">
      <c r="A230" s="682" t="inlineStr">
        <is>
          <t>Latvia</t>
        </is>
      </c>
      <c r="B230" s="682" t="inlineStr">
        <is>
          <t>Western Europe</t>
        </is>
      </c>
      <c r="C230" s="682" t="inlineStr">
        <is>
          <t>Europe</t>
        </is>
      </c>
      <c r="D230" s="682">
        <f>IF(Regional_eq_livestock[[#This Row],[GLEAM]]="NENA",CONCATENATE("NENA","/Middle East"),Regional_eq_livestock[[#This Row],[GLEAM]])</f>
        <v/>
      </c>
    </row>
    <row r="231">
      <c r="A231" s="682" t="inlineStr">
        <is>
          <t>Liechtenstein</t>
        </is>
      </c>
      <c r="B231" s="682" t="inlineStr">
        <is>
          <t>Western Europe</t>
        </is>
      </c>
      <c r="C231" s="682" t="inlineStr">
        <is>
          <t>Europe</t>
        </is>
      </c>
      <c r="D231" s="682">
        <f>IF(Regional_eq_livestock[[#This Row],[GLEAM]]="NENA",CONCATENATE("NENA","/Middle East"),Regional_eq_livestock[[#This Row],[GLEAM]])</f>
        <v/>
      </c>
    </row>
    <row r="232">
      <c r="A232" s="682" t="inlineStr">
        <is>
          <t>Lithuania</t>
        </is>
      </c>
      <c r="B232" s="682" t="inlineStr">
        <is>
          <t>Western Europe</t>
        </is>
      </c>
      <c r="C232" s="682" t="inlineStr">
        <is>
          <t>Europe</t>
        </is>
      </c>
      <c r="D232" s="682">
        <f>IF(Regional_eq_livestock[[#This Row],[GLEAM]]="NENA",CONCATENATE("NENA","/Middle East"),Regional_eq_livestock[[#This Row],[GLEAM]])</f>
        <v/>
      </c>
    </row>
    <row r="233">
      <c r="A233" s="682" t="inlineStr">
        <is>
          <t>Luxembourg</t>
        </is>
      </c>
      <c r="B233" s="682" t="inlineStr">
        <is>
          <t>Western Europe</t>
        </is>
      </c>
      <c r="C233" s="682" t="inlineStr">
        <is>
          <t>Europe</t>
        </is>
      </c>
      <c r="D233" s="682">
        <f>IF(Regional_eq_livestock[[#This Row],[GLEAM]]="NENA",CONCATENATE("NENA","/Middle East"),Regional_eq_livestock[[#This Row],[GLEAM]])</f>
        <v/>
      </c>
    </row>
    <row r="234">
      <c r="A234" s="682" t="inlineStr">
        <is>
          <t>Malta</t>
        </is>
      </c>
      <c r="B234" s="682" t="inlineStr">
        <is>
          <t>Western Europe</t>
        </is>
      </c>
      <c r="C234" s="682" t="inlineStr">
        <is>
          <t>Europe</t>
        </is>
      </c>
      <c r="D234" s="682">
        <f>IF(Regional_eq_livestock[[#This Row],[GLEAM]]="NENA",CONCATENATE("NENA","/Middle East"),Regional_eq_livestock[[#This Row],[GLEAM]])</f>
        <v/>
      </c>
    </row>
    <row r="235">
      <c r="A235" s="682" t="inlineStr">
        <is>
          <t>Monaco</t>
        </is>
      </c>
      <c r="B235" s="682" t="inlineStr">
        <is>
          <t>Western Europe</t>
        </is>
      </c>
      <c r="C235" s="682" t="inlineStr">
        <is>
          <t>Europe</t>
        </is>
      </c>
      <c r="D235" s="682">
        <f>IF(Regional_eq_livestock[[#This Row],[GLEAM]]="NENA",CONCATENATE("NENA","/Middle East"),Regional_eq_livestock[[#This Row],[GLEAM]])</f>
        <v/>
      </c>
    </row>
    <row r="236">
      <c r="A236" s="682" t="inlineStr">
        <is>
          <t>Montenegro</t>
        </is>
      </c>
      <c r="B236" s="682" t="inlineStr">
        <is>
          <t>Western Europe</t>
        </is>
      </c>
      <c r="C236" s="682" t="inlineStr">
        <is>
          <t>Europe</t>
        </is>
      </c>
      <c r="D236" s="682">
        <f>IF(Regional_eq_livestock[[#This Row],[GLEAM]]="NENA",CONCATENATE("NENA","/Middle East"),Regional_eq_livestock[[#This Row],[GLEAM]])</f>
        <v/>
      </c>
    </row>
    <row r="237">
      <c r="A237" s="682" t="inlineStr">
        <is>
          <t>Netherlands</t>
        </is>
      </c>
      <c r="B237" s="682" t="inlineStr">
        <is>
          <t>Western Europe</t>
        </is>
      </c>
      <c r="C237" s="682" t="inlineStr">
        <is>
          <t>Europe</t>
        </is>
      </c>
      <c r="D237" s="682">
        <f>IF(Regional_eq_livestock[[#This Row],[GLEAM]]="NENA",CONCATENATE("NENA","/Middle East"),Regional_eq_livestock[[#This Row],[GLEAM]])</f>
        <v/>
      </c>
    </row>
    <row r="238">
      <c r="A238" s="682" t="inlineStr">
        <is>
          <t>North Macedonia</t>
        </is>
      </c>
      <c r="B238" s="682" t="inlineStr">
        <is>
          <t>Western Europe</t>
        </is>
      </c>
      <c r="C238" s="682" t="inlineStr">
        <is>
          <t>Europe</t>
        </is>
      </c>
      <c r="D238" s="682">
        <f>IF(Regional_eq_livestock[[#This Row],[GLEAM]]="NENA",CONCATENATE("NENA","/Middle East"),Regional_eq_livestock[[#This Row],[GLEAM]])</f>
        <v/>
      </c>
    </row>
    <row r="239">
      <c r="A239" s="682" t="inlineStr">
        <is>
          <t>Norway</t>
        </is>
      </c>
      <c r="B239" s="682" t="inlineStr">
        <is>
          <t>Western Europe</t>
        </is>
      </c>
      <c r="C239" s="682" t="inlineStr">
        <is>
          <t>Europe</t>
        </is>
      </c>
      <c r="D239" s="682">
        <f>IF(Regional_eq_livestock[[#This Row],[GLEAM]]="NENA",CONCATENATE("NENA","/Middle East"),Regional_eq_livestock[[#This Row],[GLEAM]])</f>
        <v/>
      </c>
    </row>
    <row r="240">
      <c r="A240" s="682" t="inlineStr">
        <is>
          <t>Portugal</t>
        </is>
      </c>
      <c r="B240" s="682" t="inlineStr">
        <is>
          <t>Western Europe</t>
        </is>
      </c>
      <c r="C240" s="682" t="inlineStr">
        <is>
          <t>Europe</t>
        </is>
      </c>
      <c r="D240" s="682">
        <f>IF(Regional_eq_livestock[[#This Row],[GLEAM]]="NENA",CONCATENATE("NENA","/Middle East"),Regional_eq_livestock[[#This Row],[GLEAM]])</f>
        <v/>
      </c>
    </row>
    <row r="241">
      <c r="A241" s="682" t="inlineStr">
        <is>
          <t>San Marino</t>
        </is>
      </c>
      <c r="B241" s="682" t="inlineStr">
        <is>
          <t>Western Europe</t>
        </is>
      </c>
      <c r="C241" s="682" t="inlineStr">
        <is>
          <t>Europe</t>
        </is>
      </c>
      <c r="D241" s="682">
        <f>IF(Regional_eq_livestock[[#This Row],[GLEAM]]="NENA",CONCATENATE("NENA","/Middle East"),Regional_eq_livestock[[#This Row],[GLEAM]])</f>
        <v/>
      </c>
    </row>
    <row r="242">
      <c r="A242" s="682" t="inlineStr">
        <is>
          <t>Sark</t>
        </is>
      </c>
      <c r="B242" s="682" t="inlineStr">
        <is>
          <t>Western Europe</t>
        </is>
      </c>
      <c r="C242" s="682" t="inlineStr">
        <is>
          <t>Europe</t>
        </is>
      </c>
      <c r="D242" s="682">
        <f>IF(Regional_eq_livestock[[#This Row],[GLEAM]]="NENA",CONCATENATE("NENA","/Middle East"),Regional_eq_livestock[[#This Row],[GLEAM]])</f>
        <v/>
      </c>
    </row>
    <row r="243">
      <c r="A243" s="682" t="inlineStr">
        <is>
          <t>Serbia</t>
        </is>
      </c>
      <c r="B243" s="682" t="inlineStr">
        <is>
          <t>Western Europe</t>
        </is>
      </c>
      <c r="C243" s="682" t="inlineStr">
        <is>
          <t>Europe</t>
        </is>
      </c>
      <c r="D243" s="682">
        <f>IF(Regional_eq_livestock[[#This Row],[GLEAM]]="NENA",CONCATENATE("NENA","/Middle East"),Regional_eq_livestock[[#This Row],[GLEAM]])</f>
        <v/>
      </c>
    </row>
    <row r="244">
      <c r="A244" s="682" t="inlineStr">
        <is>
          <t>Slovenia</t>
        </is>
      </c>
      <c r="B244" s="682" t="inlineStr">
        <is>
          <t>Western Europe</t>
        </is>
      </c>
      <c r="C244" s="682" t="inlineStr">
        <is>
          <t>Europe</t>
        </is>
      </c>
      <c r="D244" s="682">
        <f>IF(Regional_eq_livestock[[#This Row],[GLEAM]]="NENA",CONCATENATE("NENA","/Middle East"),Regional_eq_livestock[[#This Row],[GLEAM]])</f>
        <v/>
      </c>
    </row>
    <row r="245">
      <c r="A245" s="682" t="inlineStr">
        <is>
          <t>Spain</t>
        </is>
      </c>
      <c r="B245" s="682" t="inlineStr">
        <is>
          <t>Western Europe</t>
        </is>
      </c>
      <c r="C245" s="682" t="inlineStr">
        <is>
          <t>Europe</t>
        </is>
      </c>
      <c r="D245" s="682">
        <f>IF(Regional_eq_livestock[[#This Row],[GLEAM]]="NENA",CONCATENATE("NENA","/Middle East"),Regional_eq_livestock[[#This Row],[GLEAM]])</f>
        <v/>
      </c>
    </row>
    <row r="246">
      <c r="A246" s="682" t="inlineStr">
        <is>
          <t>Svalbard and Jan Mayen Islands</t>
        </is>
      </c>
      <c r="B246" s="682" t="inlineStr">
        <is>
          <t>Western Europe</t>
        </is>
      </c>
      <c r="C246" s="682" t="inlineStr">
        <is>
          <t>Europe</t>
        </is>
      </c>
      <c r="D246" s="682">
        <f>IF(Regional_eq_livestock[[#This Row],[GLEAM]]="NENA",CONCATENATE("NENA","/Middle East"),Regional_eq_livestock[[#This Row],[GLEAM]])</f>
        <v/>
      </c>
    </row>
    <row r="247">
      <c r="A247" s="682" t="inlineStr">
        <is>
          <t>Sweden</t>
        </is>
      </c>
      <c r="B247" s="682" t="inlineStr">
        <is>
          <t>Western Europe</t>
        </is>
      </c>
      <c r="C247" s="682" t="inlineStr">
        <is>
          <t>Europe</t>
        </is>
      </c>
      <c r="D247" s="682">
        <f>IF(Regional_eq_livestock[[#This Row],[GLEAM]]="NENA",CONCATENATE("NENA","/Middle East"),Regional_eq_livestock[[#This Row],[GLEAM]])</f>
        <v/>
      </c>
    </row>
    <row r="248">
      <c r="A248" s="682" t="inlineStr">
        <is>
          <t>Switzerland</t>
        </is>
      </c>
      <c r="B248" s="682" t="inlineStr">
        <is>
          <t>Western Europe</t>
        </is>
      </c>
      <c r="C248" s="682" t="inlineStr">
        <is>
          <t>Europe</t>
        </is>
      </c>
      <c r="D248" s="682">
        <f>IF(Regional_eq_livestock[[#This Row],[GLEAM]]="NENA",CONCATENATE("NENA","/Middle East"),Regional_eq_livestock[[#This Row],[GLEAM]])</f>
        <v/>
      </c>
    </row>
    <row r="249">
      <c r="A249" s="682" t="inlineStr">
        <is>
          <t>United Kingdom of Great Britain and Northern Ireland</t>
        </is>
      </c>
      <c r="B249" s="682" t="inlineStr">
        <is>
          <t>Western Europe</t>
        </is>
      </c>
      <c r="C249" s="682" t="inlineStr">
        <is>
          <t>Europe</t>
        </is>
      </c>
      <c r="D249" s="682">
        <f>IF(Regional_eq_livestock[[#This Row],[GLEAM]]="NENA",CONCATENATE("NENA","/Middle East"),Regional_eq_livestock[[#This Row],[GLEAM]])</f>
        <v/>
      </c>
    </row>
  </sheetData>
  <pageMargins left="0.7" right="0.7" top="0.75" bottom="0.75" header="0.3" footer="0.3"/>
  <pageSetup orientation="portrait"/>
  <tableParts count="1">
    <tablePart r:id="rId1"/>
  </tableParts>
</worksheet>
</file>

<file path=xl/worksheets/sheet29.xml><?xml version="1.0" encoding="utf-8"?>
<worksheet xmlns="http://schemas.openxmlformats.org/spreadsheetml/2006/main">
  <sheetPr codeName="Sheet29">
    <tabColor rgb="FF172735"/>
    <outlinePr summaryBelow="1" summaryRight="1"/>
    <pageSetUpPr/>
  </sheetPr>
  <dimension ref="A4:BJ125"/>
  <sheetViews>
    <sheetView zoomScale="115" zoomScaleNormal="115" workbookViewId="0">
      <selection activeCell="A1" sqref="A1"/>
    </sheetView>
  </sheetViews>
  <sheetFormatPr baseColWidth="10" defaultColWidth="9.33203125" defaultRowHeight="14"/>
  <cols>
    <col width="7.33203125" customWidth="1" style="1813" min="1" max="1"/>
    <col width="1.5" customWidth="1" style="1813" min="2" max="2"/>
    <col width="66.5" customWidth="1" style="1813" min="3" max="3"/>
    <col width="12.33203125" bestFit="1" customWidth="1" style="1813" min="4" max="5"/>
    <col width="3.5" customWidth="1" style="1813" min="6" max="6"/>
    <col width="9.5" bestFit="1" customWidth="1" style="1813" min="7" max="7"/>
    <col width="3.5" customWidth="1" style="1813" min="8" max="8"/>
    <col width="9.33203125" customWidth="1" style="1813" min="9" max="10"/>
    <col width="17.6640625" customWidth="1" style="1813" min="11" max="11"/>
    <col width="14.6640625" customWidth="1" style="1813" min="12" max="12"/>
    <col width="12" customWidth="1" style="1813" min="13" max="13"/>
    <col width="12.33203125" customWidth="1" style="1813" min="14" max="14"/>
    <col width="9.33203125" customWidth="1" style="1813" min="15" max="15"/>
    <col width="17.33203125" customWidth="1" style="1813" min="16" max="16"/>
    <col width="13.33203125" customWidth="1" style="1813" min="17" max="17"/>
    <col width="35.5" customWidth="1" style="1813" min="18" max="18"/>
    <col width="14" customWidth="1" style="1813" min="19" max="19"/>
    <col width="14.33203125" customWidth="1" style="1813" min="20" max="20"/>
    <col width="4.5" customWidth="1" style="1813" min="21" max="21"/>
    <col width="16.6640625" customWidth="1" style="1813" min="22" max="22"/>
    <col width="9.33203125" customWidth="1" style="1813" min="23" max="36"/>
    <col width="48.6640625" customWidth="1" style="1813" min="37" max="37"/>
    <col width="20.6640625" customWidth="1" style="1813" min="38" max="38"/>
    <col width="9.33203125" customWidth="1" style="1813" min="39" max="41"/>
    <col width="17.5" customWidth="1" style="1813" min="42" max="42"/>
    <col width="9.33203125" customWidth="1" style="1813" min="43" max="45"/>
    <col width="13.5" customWidth="1" style="1813" min="46" max="46"/>
    <col width="9.33203125" customWidth="1" style="1813" min="47" max="50"/>
    <col width="12.5" customWidth="1" style="1813" min="51" max="51"/>
    <col width="9.33203125" customWidth="1" style="1813" min="52" max="54"/>
    <col width="17.5" customWidth="1" style="1813" min="55" max="55"/>
    <col width="9.33203125" customWidth="1" style="1813" min="56" max="58"/>
    <col width="24.5" customWidth="1" style="1813" min="59" max="59"/>
    <col width="14.5" customWidth="1" style="1813" min="60" max="60"/>
    <col width="9.33203125" customWidth="1" style="1813" min="61" max="16384"/>
  </cols>
  <sheetData>
    <row r="1" ht="100.5" customFormat="1" customHeight="1" s="2080"/>
    <row r="2" ht="27" customHeight="1"/>
    <row r="3" ht="52.5" customHeight="1"/>
    <row r="4" ht="45" customHeight="1">
      <c r="B4" s="1769" t="n"/>
      <c r="C4" s="2042">
        <f>Languages!B418</f>
        <v/>
      </c>
      <c r="D4" s="1769" t="n"/>
      <c r="E4" s="1769" t="n"/>
      <c r="F4" s="1769" t="n"/>
      <c r="G4" s="1769" t="n"/>
      <c r="H4" s="1769" t="n"/>
      <c r="I4" s="1769" t="n"/>
      <c r="J4" s="1769" t="n"/>
      <c r="K4" s="1769" t="n"/>
      <c r="L4" s="1769" t="n"/>
      <c r="M4" s="1769" t="n"/>
      <c r="N4" s="1769" t="n"/>
      <c r="O4" s="1769" t="n"/>
      <c r="P4" s="1769" t="n"/>
      <c r="Q4" s="1769" t="n"/>
      <c r="R4" s="1769" t="n"/>
      <c r="S4" s="1769" t="n"/>
      <c r="T4" s="1770">
        <f>Languages!B22</f>
        <v/>
      </c>
      <c r="U4" s="1769" t="n"/>
      <c r="V4" s="1769" t="n"/>
      <c r="W4" s="1769" t="n"/>
      <c r="AK4" s="2077">
        <f>C4</f>
        <v/>
      </c>
      <c r="AL4" s="1977" t="n"/>
      <c r="AM4" s="1977" t="n"/>
      <c r="AN4" s="1977" t="n"/>
      <c r="AO4" s="1977" t="n"/>
      <c r="AP4" s="1977" t="n"/>
      <c r="AQ4" s="1977" t="n"/>
      <c r="AR4" s="1977" t="n"/>
      <c r="AS4" s="1977" t="n"/>
      <c r="AT4" s="1977" t="n"/>
      <c r="AU4" s="1977" t="n"/>
      <c r="AV4" s="1977" t="n"/>
      <c r="AW4" s="1977" t="n"/>
      <c r="AX4" s="1977" t="n"/>
      <c r="AY4" s="1977" t="n"/>
      <c r="AZ4" s="1977" t="n"/>
      <c r="BA4" s="1977" t="n"/>
      <c r="BB4" s="1977" t="n"/>
      <c r="BD4" s="4404" t="inlineStr">
        <is>
          <t>Annual balance</t>
        </is>
      </c>
      <c r="BE4" s="4404" t="n"/>
      <c r="BF4" s="4404" t="n"/>
    </row>
    <row r="5" ht="5.25" customHeight="1">
      <c r="B5" s="1771" t="n"/>
      <c r="C5" s="1771" t="n"/>
      <c r="D5" s="1771" t="n"/>
      <c r="E5" s="1771" t="n"/>
      <c r="F5" s="1771" t="n"/>
      <c r="G5" s="1771" t="n"/>
      <c r="H5" s="1771" t="n"/>
      <c r="I5" s="1771" t="n"/>
      <c r="J5" s="1771" t="n"/>
      <c r="K5" s="1771" t="n"/>
      <c r="L5" s="1771" t="n"/>
      <c r="M5" s="1771" t="n"/>
      <c r="N5" s="1771" t="n"/>
      <c r="O5" s="1771" t="n"/>
      <c r="P5" s="1771" t="n"/>
      <c r="Q5" s="1771" t="n"/>
      <c r="R5" s="1771" t="n"/>
      <c r="S5" s="1771" t="n"/>
      <c r="T5" s="1771" t="n"/>
      <c r="U5" s="1771" t="n"/>
      <c r="V5" s="1771" t="n"/>
      <c r="W5" s="1771" t="n"/>
      <c r="AK5" s="1771" t="n"/>
      <c r="AL5" s="1771" t="n"/>
      <c r="AM5" s="1771" t="n"/>
      <c r="AN5" s="1771" t="n"/>
      <c r="AO5" s="1771" t="n"/>
      <c r="AP5" s="1771" t="n"/>
      <c r="AQ5" s="1771" t="n"/>
      <c r="AR5" s="1771" t="n"/>
      <c r="AS5" s="1771" t="n"/>
      <c r="AT5" s="1771" t="n"/>
      <c r="AU5" s="1771" t="n"/>
      <c r="AV5" s="1771" t="n"/>
      <c r="AW5" s="1771" t="n"/>
      <c r="AX5" s="1771" t="n"/>
      <c r="AY5" s="1771" t="n"/>
      <c r="AZ5" s="1771" t="n"/>
      <c r="BA5" s="1771" t="n"/>
      <c r="BB5" s="1771" t="n"/>
      <c r="BD5" s="1916" t="n"/>
      <c r="BE5" s="1916" t="n"/>
    </row>
    <row r="6" ht="22" customHeight="1">
      <c r="B6" s="2081" t="n"/>
      <c r="C6" s="2082" t="n"/>
      <c r="D6" s="2081" t="n"/>
      <c r="E6" s="2083" t="n"/>
      <c r="F6" s="2084" t="n"/>
      <c r="G6" s="2084" t="n"/>
      <c r="H6" s="2084" t="n"/>
      <c r="I6" s="2085" t="n"/>
      <c r="J6" s="2082" t="n"/>
      <c r="K6" s="2085" t="n"/>
      <c r="L6" s="2085" t="n"/>
      <c r="M6" s="2085" t="n"/>
      <c r="N6" s="2086" t="n"/>
      <c r="O6" s="2086" t="n"/>
      <c r="P6" s="2087" t="n"/>
      <c r="Q6" s="2088" t="n"/>
      <c r="R6" s="2088" t="n"/>
      <c r="S6" s="2089" t="n"/>
      <c r="T6" s="2090" t="n"/>
      <c r="U6" s="2089" t="n"/>
      <c r="V6" s="2090" t="n"/>
      <c r="W6" s="2089" t="n"/>
      <c r="AK6" s="2621">
        <f>Languages!B14</f>
        <v/>
      </c>
      <c r="AL6" s="1782" t="n"/>
      <c r="AM6" s="1782" t="n"/>
      <c r="AN6" s="1782" t="n"/>
      <c r="AO6" s="1782" t="n"/>
      <c r="AP6" s="1782" t="n"/>
      <c r="AQ6" s="1782" t="n"/>
      <c r="AR6" s="1782" t="n"/>
      <c r="AS6" s="1782" t="n"/>
      <c r="AT6" s="1782" t="n"/>
      <c r="AU6" s="1782" t="n"/>
      <c r="AV6" s="1782" t="n"/>
      <c r="AW6" s="1782" t="n"/>
      <c r="AX6" s="1782" t="n"/>
      <c r="AY6" s="1782" t="n"/>
      <c r="AZ6" s="1782" t="n"/>
      <c r="BA6" s="1782" t="n"/>
      <c r="BB6" s="1782" t="n"/>
      <c r="BD6" s="1890" t="inlineStr">
        <is>
          <t xml:space="preserve">Start year of </t>
        </is>
      </c>
      <c r="BE6" s="1890" t="n"/>
      <c r="BF6" s="1997" t="n"/>
    </row>
    <row r="7" ht="16" customHeight="1">
      <c r="B7" s="2081" t="n"/>
      <c r="C7" s="2082" t="n"/>
      <c r="D7" s="2091" t="n"/>
      <c r="E7" s="2083" t="n"/>
      <c r="F7" s="2084" t="n"/>
      <c r="G7" s="2084" t="n"/>
      <c r="H7" s="2084" t="n"/>
      <c r="I7" s="2085" t="n"/>
      <c r="J7" s="2082" t="n"/>
      <c r="K7" s="2085" t="n"/>
      <c r="L7" s="2085" t="n"/>
      <c r="M7" s="2085" t="n"/>
      <c r="N7" s="2086" t="n"/>
      <c r="O7" s="2086" t="n"/>
      <c r="P7" s="2087" t="n"/>
      <c r="Q7" s="2088" t="n"/>
      <c r="R7" s="2088" t="n"/>
      <c r="S7" s="2089" t="n"/>
      <c r="T7" s="2090" t="n"/>
      <c r="U7" s="2089" t="n"/>
      <c r="V7" s="2090" t="n"/>
      <c r="W7" s="2089" t="n"/>
      <c r="AK7" s="1782" t="n"/>
      <c r="AL7" s="1783" t="n"/>
      <c r="AM7" s="1783" t="n"/>
      <c r="AN7" s="2337">
        <f>Languages!B451</f>
        <v/>
      </c>
      <c r="AO7" s="2291" t="n"/>
      <c r="AP7" s="2622" t="n"/>
      <c r="AQ7" s="1847" t="n"/>
      <c r="AR7" s="1847" t="n"/>
      <c r="AS7" s="1847" t="n"/>
      <c r="AT7" s="2337">
        <f>Languages!B455</f>
        <v/>
      </c>
      <c r="AU7" s="1847" t="n"/>
      <c r="AV7" s="2623" t="n"/>
      <c r="AW7" s="2624" t="n"/>
      <c r="AX7" s="2321" t="n"/>
      <c r="AY7" s="2028" t="n"/>
      <c r="AZ7" s="2027" t="n"/>
      <c r="BA7" s="2321" t="n"/>
      <c r="BB7" s="1782" t="n"/>
      <c r="BD7" s="2015" t="inlineStr">
        <is>
          <t>implementation</t>
        </is>
      </c>
      <c r="BE7" s="2015" t="n"/>
      <c r="BF7" s="1997" t="n"/>
    </row>
    <row r="8" ht="21" customHeight="1">
      <c r="B8" s="2081" t="n"/>
      <c r="C8" s="2092">
        <f>Languages!B425</f>
        <v/>
      </c>
      <c r="D8" s="2093">
        <f>Languages!B419</f>
        <v/>
      </c>
      <c r="E8" s="2094" t="n"/>
      <c r="F8" s="2095" t="n"/>
      <c r="G8" s="2096" t="n"/>
      <c r="H8" s="2097" t="n"/>
      <c r="I8" s="2089" t="n"/>
      <c r="J8" s="2098">
        <f>Languages!B422</f>
        <v/>
      </c>
      <c r="K8" s="2099" t="n"/>
      <c r="L8" s="2099" t="n"/>
      <c r="M8" s="2099" t="n"/>
      <c r="N8" s="2096" t="n"/>
      <c r="O8" s="1929" t="n"/>
      <c r="P8" s="2100">
        <f>Languages!B423</f>
        <v/>
      </c>
      <c r="Q8" s="2081" t="n"/>
      <c r="R8" s="1929" t="n"/>
      <c r="S8" s="2293">
        <f>Languages!B9</f>
        <v/>
      </c>
      <c r="T8" s="2094" t="n"/>
      <c r="U8" s="2097" t="n"/>
      <c r="V8" s="2101" t="n"/>
      <c r="W8" s="2082" t="n"/>
      <c r="AK8" s="2625">
        <f>C8</f>
        <v/>
      </c>
      <c r="AL8" s="1782" t="n"/>
      <c r="AM8" s="1782" t="n"/>
      <c r="AN8" s="1782" t="n"/>
      <c r="AO8" s="1782" t="n"/>
      <c r="AP8" s="1782" t="n"/>
      <c r="AQ8" s="1782" t="n"/>
      <c r="AR8" s="1782" t="n"/>
      <c r="AS8" s="1847" t="n"/>
      <c r="AT8" s="2626" t="n"/>
      <c r="AU8" s="1847" t="n"/>
      <c r="AV8" s="1887" t="n"/>
      <c r="AW8" s="1887" t="n"/>
      <c r="AX8" s="1887" t="n"/>
      <c r="AY8" s="2026" t="n"/>
      <c r="AZ8" s="1887" t="n"/>
      <c r="BA8" s="1887" t="n"/>
      <c r="BB8" s="1782" t="n"/>
      <c r="BD8" s="1997" t="n"/>
      <c r="BE8" s="1997" t="n"/>
      <c r="BF8" s="1997" t="n"/>
    </row>
    <row r="9" ht="16" customHeight="1">
      <c r="B9" s="2081" t="n"/>
      <c r="C9" s="2102" t="n"/>
      <c r="D9" s="2103" t="n"/>
      <c r="E9" s="2103" t="n"/>
      <c r="F9" s="2103" t="n"/>
      <c r="G9" s="2103" t="n"/>
      <c r="H9" s="2089" t="n"/>
      <c r="I9" s="2089" t="n"/>
      <c r="J9" s="2104" t="inlineStr">
        <is>
          <t>CO2 emissions</t>
        </is>
      </c>
      <c r="K9" s="2105" t="n"/>
      <c r="L9" s="2105" t="n"/>
      <c r="M9" s="2104" t="inlineStr">
        <is>
          <t>N2O emissions</t>
        </is>
      </c>
      <c r="N9" s="1929" t="n"/>
      <c r="O9" s="1929" t="n"/>
      <c r="P9" s="2100">
        <f>Languages!B424</f>
        <v/>
      </c>
      <c r="Q9" s="1929" t="n"/>
      <c r="R9" s="1929" t="n"/>
      <c r="S9" s="2090" t="n"/>
      <c r="T9" s="2090" t="n"/>
      <c r="U9" s="2090" t="n"/>
      <c r="V9" s="2090" t="n"/>
      <c r="W9" s="2089" t="n"/>
      <c r="AK9" s="2319" t="n"/>
      <c r="AL9" s="2627">
        <f>Languages!B452</f>
        <v/>
      </c>
      <c r="AM9" s="1785" t="n"/>
      <c r="AN9" s="1785" t="n"/>
      <c r="AO9" s="2291" t="n"/>
      <c r="AP9" s="2628">
        <f>Languages!B453</f>
        <v/>
      </c>
      <c r="AQ9" s="2629" t="n"/>
      <c r="AR9" s="2629" t="n"/>
      <c r="AS9" s="1847" t="n"/>
      <c r="AT9" s="2630">
        <f>Languages!B454</f>
        <v/>
      </c>
      <c r="AU9" s="2629" t="n"/>
      <c r="AV9" s="2631" t="n"/>
      <c r="AW9" s="2026" t="n"/>
      <c r="AX9" s="2026" t="n"/>
      <c r="AY9" s="2632" t="n"/>
      <c r="AZ9" s="2026" t="n"/>
      <c r="BA9" s="2633" t="n"/>
      <c r="BB9" s="1782" t="n"/>
      <c r="BD9" s="1997" t="n"/>
      <c r="BE9" s="1997" t="n"/>
      <c r="BF9" s="1997" t="n"/>
    </row>
    <row r="10" ht="16" customHeight="1">
      <c r="B10" s="2081" t="n"/>
      <c r="C10" s="1779" t="n"/>
      <c r="D10" s="1929">
        <f>Languages!B11</f>
        <v/>
      </c>
      <c r="E10" s="1929">
        <f>Languages!B12</f>
        <v/>
      </c>
      <c r="F10" s="1929" t="n"/>
      <c r="G10" s="1929">
        <f>Languages!B13</f>
        <v/>
      </c>
      <c r="H10" s="1929" t="n"/>
      <c r="I10" s="2090" t="n"/>
      <c r="J10" s="1929">
        <f>E10</f>
        <v/>
      </c>
      <c r="K10" s="1929">
        <f>G10</f>
        <v/>
      </c>
      <c r="L10" s="1929" t="n"/>
      <c r="M10" s="1929">
        <f>J10</f>
        <v/>
      </c>
      <c r="N10" s="1929">
        <f>K10</f>
        <v/>
      </c>
      <c r="O10" s="1929" t="n"/>
      <c r="P10" s="1929">
        <f>M10</f>
        <v/>
      </c>
      <c r="Q10" s="1929">
        <f>N10</f>
        <v/>
      </c>
      <c r="R10" s="1806" t="n"/>
      <c r="S10" s="1929">
        <f>P10</f>
        <v/>
      </c>
      <c r="T10" s="1929">
        <f>Q10</f>
        <v/>
      </c>
      <c r="U10" s="1929" t="n"/>
      <c r="V10" s="2081">
        <f>Languages!B10</f>
        <v/>
      </c>
      <c r="W10" s="2089" t="n"/>
      <c r="AK10" s="2319" t="n"/>
      <c r="AL10" s="2591">
        <f>Languages!B15</f>
        <v/>
      </c>
      <c r="AM10" s="2155">
        <f>Languages!B16</f>
        <v/>
      </c>
      <c r="AN10" s="2155">
        <f>Languages!B17</f>
        <v/>
      </c>
      <c r="AO10" s="2321" t="n"/>
      <c r="AP10" s="2155">
        <f>AL10</f>
        <v/>
      </c>
      <c r="AQ10" s="2155">
        <f>AM10</f>
        <v/>
      </c>
      <c r="AR10" s="2155">
        <f>AN10</f>
        <v/>
      </c>
      <c r="AS10" s="1847" t="n"/>
      <c r="AT10" s="2155">
        <f>AP10</f>
        <v/>
      </c>
      <c r="AU10" s="2155">
        <f>AQ10</f>
        <v/>
      </c>
      <c r="AV10" s="2155">
        <f>AR10</f>
        <v/>
      </c>
      <c r="AW10" s="1887" t="n"/>
      <c r="AX10" s="1887" t="n"/>
      <c r="AY10" s="1887" t="n"/>
      <c r="AZ10" s="1887" t="n"/>
      <c r="BA10" s="1887" t="n"/>
      <c r="BB10" s="1782" t="n"/>
      <c r="BD10" s="1997" t="n"/>
      <c r="BE10" s="1997" t="n"/>
      <c r="BF10" s="1997" t="n"/>
    </row>
    <row r="11" ht="16" customHeight="1">
      <c r="B11" s="2081" t="n"/>
      <c r="C11" s="1779">
        <f>Languages!B426</f>
        <v/>
      </c>
      <c r="D11" s="1806" t="n"/>
      <c r="E11" s="1806" t="n"/>
      <c r="F11" s="1929" t="inlineStr">
        <is>
          <t>*</t>
        </is>
      </c>
      <c r="G11" s="2103" t="n"/>
      <c r="H11" s="1929" t="inlineStr">
        <is>
          <t>*</t>
        </is>
      </c>
      <c r="I11" s="2090" t="n"/>
      <c r="J11" s="1806" t="n"/>
      <c r="K11" s="1929" t="n"/>
      <c r="L11" s="1929" t="n"/>
      <c r="M11" s="1929" t="n"/>
      <c r="N11" s="1929" t="n"/>
      <c r="O11" s="1929" t="n"/>
      <c r="P11" s="1929" t="n"/>
      <c r="Q11" s="1929" t="n"/>
      <c r="R11" s="1806" t="n"/>
      <c r="S11" s="1929" t="n"/>
      <c r="T11" s="1929" t="n"/>
      <c r="U11" s="1929" t="n"/>
      <c r="V11" s="2090" t="n"/>
      <c r="W11" s="2089" t="n"/>
      <c r="AK11" s="2319" t="n"/>
      <c r="AL11" s="1782" t="n"/>
      <c r="AM11" s="1782" t="n"/>
      <c r="AN11" s="1782" t="n"/>
      <c r="AO11" s="2291" t="n"/>
      <c r="AP11" s="1886" t="n"/>
      <c r="AQ11" s="1847" t="n"/>
      <c r="AR11" s="1847" t="n"/>
      <c r="AS11" s="1847" t="n"/>
      <c r="AT11" s="1782" t="n"/>
      <c r="AU11" s="2155" t="n"/>
      <c r="AV11" s="1887" t="n"/>
      <c r="AW11" s="1887" t="n"/>
      <c r="AX11" s="1887" t="n"/>
      <c r="AY11" s="1887" t="n"/>
      <c r="AZ11" s="1887" t="n"/>
      <c r="BA11" s="1887" t="n"/>
      <c r="BB11" s="1782" t="n"/>
      <c r="BD11" s="4401" t="n"/>
      <c r="BE11" s="4401" t="n"/>
      <c r="BF11" s="1997" t="n"/>
    </row>
    <row r="12" ht="16" customHeight="1">
      <c r="B12" s="2081" t="n"/>
      <c r="C12" s="1781">
        <f>Languages!B427</f>
        <v/>
      </c>
      <c r="D12" s="4347" t="n">
        <v>0</v>
      </c>
      <c r="E12" s="4348" t="n">
        <v>0</v>
      </c>
      <c r="F12" s="2108" t="inlineStr">
        <is>
          <t>D</t>
        </is>
      </c>
      <c r="G12" s="4348" t="n">
        <v>0</v>
      </c>
      <c r="H12" s="2108" t="inlineStr">
        <is>
          <t>D</t>
        </is>
      </c>
      <c r="I12" s="2090" t="n"/>
      <c r="J12" s="1841">
        <f>Inputs!O8</f>
        <v/>
      </c>
      <c r="K12" s="1841">
        <f>Inputs!P8</f>
        <v/>
      </c>
      <c r="L12" s="1929" t="n"/>
      <c r="M12" s="1929" t="inlineStr">
        <is>
          <t>-</t>
        </is>
      </c>
      <c r="N12" s="1929" t="inlineStr">
        <is>
          <t>-</t>
        </is>
      </c>
      <c r="O12" s="1929" t="n"/>
      <c r="P12" s="2109">
        <f>Inputs!O47</f>
        <v/>
      </c>
      <c r="Q12" s="2109">
        <f>Inputs!P47</f>
        <v/>
      </c>
      <c r="R12" s="1806" t="n"/>
      <c r="S12" s="2109">
        <f>J12+P12</f>
        <v/>
      </c>
      <c r="T12" s="2109">
        <f>K12+Q12</f>
        <v/>
      </c>
      <c r="U12" s="2109" t="n"/>
      <c r="V12" s="1929">
        <f>T12-S12</f>
        <v/>
      </c>
      <c r="W12" s="2089" t="n"/>
      <c r="AK12" s="2319">
        <f>C12</f>
        <v/>
      </c>
      <c r="AL12" s="1782" t="inlineStr">
        <is>
          <t>tC/t lime</t>
        </is>
      </c>
      <c r="AM12" s="4801">
        <f>Inputs!C8</f>
        <v/>
      </c>
      <c r="AN12" s="4802" t="n"/>
      <c r="AO12" s="2291" t="n"/>
      <c r="AP12" s="1886" t="n"/>
      <c r="AQ12" s="1847" t="n"/>
      <c r="AR12" s="1847" t="n"/>
      <c r="AS12" s="1847" t="n"/>
      <c r="AT12" s="1782" t="inlineStr">
        <is>
          <t>tCO2/t lime</t>
        </is>
      </c>
      <c r="AU12" s="4801">
        <f>Inputs!C47</f>
        <v/>
      </c>
      <c r="AV12" s="4803" t="n"/>
      <c r="AW12" s="1887" t="n"/>
      <c r="AX12" s="1887" t="n"/>
      <c r="AY12" s="1887" t="n"/>
      <c r="AZ12" s="1887" t="n"/>
      <c r="BA12" s="1887" t="n"/>
      <c r="BB12" s="1782" t="n"/>
      <c r="BD12" s="4401" t="n">
        <v>1</v>
      </c>
      <c r="BE12" s="4402" t="n"/>
      <c r="BF12" s="1997" t="n"/>
    </row>
    <row r="13" ht="16" customHeight="1">
      <c r="B13" s="2081" t="n"/>
      <c r="C13" s="1781">
        <f>Languages!B428</f>
        <v/>
      </c>
      <c r="D13" s="4347" t="n">
        <v>0</v>
      </c>
      <c r="E13" s="4348" t="n">
        <v>0</v>
      </c>
      <c r="F13" s="2108" t="inlineStr">
        <is>
          <t>D</t>
        </is>
      </c>
      <c r="G13" s="4348" t="n">
        <v>0</v>
      </c>
      <c r="H13" s="2108" t="inlineStr">
        <is>
          <t>D</t>
        </is>
      </c>
      <c r="I13" s="2090" t="n"/>
      <c r="J13" s="1841">
        <f>Inputs!O9</f>
        <v/>
      </c>
      <c r="K13" s="1841">
        <f>Inputs!P9</f>
        <v/>
      </c>
      <c r="L13" s="1929" t="n"/>
      <c r="M13" s="1929" t="inlineStr">
        <is>
          <t>-</t>
        </is>
      </c>
      <c r="N13" s="1929" t="inlineStr">
        <is>
          <t>-</t>
        </is>
      </c>
      <c r="O13" s="1929" t="n"/>
      <c r="P13" s="2109">
        <f>Inputs!O48</f>
        <v/>
      </c>
      <c r="Q13" s="2109">
        <f>Inputs!P48</f>
        <v/>
      </c>
      <c r="R13" s="1806" t="n"/>
      <c r="S13" s="2109">
        <f>J13+P13</f>
        <v/>
      </c>
      <c r="T13" s="2109">
        <f>K13+Q13</f>
        <v/>
      </c>
      <c r="U13" s="2109" t="n"/>
      <c r="V13" s="1929">
        <f>T13-S13</f>
        <v/>
      </c>
      <c r="W13" s="2089" t="n"/>
      <c r="AK13" s="2319">
        <f>C13</f>
        <v/>
      </c>
      <c r="AL13" s="1782">
        <f>AL12</f>
        <v/>
      </c>
      <c r="AM13" s="4801">
        <f>Inputs!C9</f>
        <v/>
      </c>
      <c r="AN13" s="4802" t="n"/>
      <c r="AO13" s="2291" t="n"/>
      <c r="AP13" s="1886" t="n"/>
      <c r="AQ13" s="1847" t="n"/>
      <c r="AR13" s="1847" t="n"/>
      <c r="AS13" s="1847" t="n"/>
      <c r="AT13" s="1782">
        <f>AT12</f>
        <v/>
      </c>
      <c r="AU13" s="4801">
        <f>Inputs!C48</f>
        <v/>
      </c>
      <c r="AV13" s="4803" t="n"/>
      <c r="AW13" s="1887" t="n"/>
      <c r="AX13" s="1887" t="n"/>
      <c r="AY13" s="1887" t="n"/>
      <c r="AZ13" s="1887" t="n"/>
      <c r="BA13" s="1887" t="n"/>
      <c r="BB13" s="1782" t="n"/>
      <c r="BD13" s="4401" t="n">
        <v>1</v>
      </c>
      <c r="BE13" s="4402" t="n"/>
      <c r="BF13" s="1997" t="n"/>
    </row>
    <row r="14" ht="16" customHeight="1">
      <c r="B14" s="2081" t="n"/>
      <c r="C14" s="1781">
        <f>Languages!B429</f>
        <v/>
      </c>
      <c r="D14" s="4347" t="n">
        <v>0</v>
      </c>
      <c r="E14" s="4348" t="n">
        <v>0</v>
      </c>
      <c r="F14" s="2108" t="inlineStr">
        <is>
          <t>D</t>
        </is>
      </c>
      <c r="G14" s="4348" t="n">
        <v>0</v>
      </c>
      <c r="H14" s="2108" t="inlineStr">
        <is>
          <t>D</t>
        </is>
      </c>
      <c r="I14" s="2090" t="n"/>
      <c r="J14" s="1841">
        <f>Inputs!O10</f>
        <v/>
      </c>
      <c r="K14" s="1841">
        <f>Inputs!P10</f>
        <v/>
      </c>
      <c r="L14" s="1929" t="n"/>
      <c r="M14" s="1929" t="inlineStr">
        <is>
          <t>-</t>
        </is>
      </c>
      <c r="N14" s="1929" t="inlineStr">
        <is>
          <t>-</t>
        </is>
      </c>
      <c r="O14" s="1929" t="n"/>
      <c r="P14" s="2109">
        <f>Inputs!O49</f>
        <v/>
      </c>
      <c r="Q14" s="2109">
        <f>Inputs!P49</f>
        <v/>
      </c>
      <c r="R14" s="1806" t="n"/>
      <c r="S14" s="2109">
        <f>J14+P14</f>
        <v/>
      </c>
      <c r="T14" s="2109">
        <f>K14+Q14</f>
        <v/>
      </c>
      <c r="U14" s="2109" t="n"/>
      <c r="V14" s="1929">
        <f>T14-S14</f>
        <v/>
      </c>
      <c r="W14" s="2089" t="n"/>
      <c r="AK14" s="2319">
        <f>C14</f>
        <v/>
      </c>
      <c r="AL14" s="1782">
        <f>AL13</f>
        <v/>
      </c>
      <c r="AM14" s="4801">
        <f>Inputs!C10</f>
        <v/>
      </c>
      <c r="AN14" s="4802" t="n"/>
      <c r="AO14" s="2291" t="n"/>
      <c r="AP14" s="1886" t="n"/>
      <c r="AQ14" s="1847" t="n"/>
      <c r="AR14" s="1847" t="n"/>
      <c r="AS14" s="1847" t="n"/>
      <c r="AT14" s="1782">
        <f>AT12</f>
        <v/>
      </c>
      <c r="AU14" s="4801">
        <f>Inputs!C49</f>
        <v/>
      </c>
      <c r="AV14" s="4803" t="n"/>
      <c r="AW14" s="1887" t="n"/>
      <c r="AX14" s="1887" t="n"/>
      <c r="AY14" s="1887" t="n"/>
      <c r="AZ14" s="1887" t="n"/>
      <c r="BA14" s="1887" t="n"/>
      <c r="BB14" s="1782" t="n"/>
      <c r="BD14" s="4401" t="n">
        <v>1</v>
      </c>
      <c r="BE14" s="4402" t="n"/>
      <c r="BF14" s="1997" t="n"/>
    </row>
    <row r="15" ht="16" customHeight="1">
      <c r="B15" s="2081" t="n"/>
      <c r="C15" s="1779">
        <f>Languages!B430</f>
        <v/>
      </c>
      <c r="D15" s="2103" t="n"/>
      <c r="E15" s="2103" t="n"/>
      <c r="F15" s="1781" t="n"/>
      <c r="G15" s="1781" t="n"/>
      <c r="H15" s="1781" t="n"/>
      <c r="I15" s="2089" t="n"/>
      <c r="J15" s="2081" t="n"/>
      <c r="K15" s="2105" t="n"/>
      <c r="L15" s="2105" t="n"/>
      <c r="M15" s="2105" t="n"/>
      <c r="N15" s="2105" t="n"/>
      <c r="O15" s="1929" t="n"/>
      <c r="P15" s="2109" t="n"/>
      <c r="Q15" s="2109" t="n"/>
      <c r="R15" s="1929" t="n"/>
      <c r="S15" s="2109" t="n"/>
      <c r="T15" s="2109" t="n"/>
      <c r="U15" s="2110" t="n"/>
      <c r="V15" s="1929" t="n"/>
      <c r="W15" s="2089" t="n"/>
      <c r="AK15" s="2319" t="n"/>
      <c r="AL15" s="1782" t="n"/>
      <c r="AM15" s="1782" t="n"/>
      <c r="AN15" s="1782" t="n"/>
      <c r="AO15" s="2291" t="n"/>
      <c r="AP15" s="1795" t="n"/>
      <c r="AQ15" s="1847" t="n"/>
      <c r="AR15" s="1847" t="n"/>
      <c r="AS15" s="1847" t="n"/>
      <c r="AT15" s="1782" t="n"/>
      <c r="AU15" s="4801" t="n"/>
      <c r="AV15" s="2001" t="n"/>
      <c r="AW15" s="2639" t="n"/>
      <c r="AX15" s="2026" t="n"/>
      <c r="AY15" s="2001" t="n"/>
      <c r="AZ15" s="2032" t="n"/>
      <c r="BA15" s="2291" t="n"/>
      <c r="BB15" s="1782" t="n"/>
      <c r="BD15" s="4401" t="n"/>
      <c r="BE15" s="4401" t="n"/>
      <c r="BF15" s="1997" t="n"/>
    </row>
    <row r="16" ht="16" customHeight="1">
      <c r="B16" s="2081" t="n"/>
      <c r="C16" s="1781">
        <f>Languages!B431</f>
        <v/>
      </c>
      <c r="D16" s="4347" t="n">
        <v>0</v>
      </c>
      <c r="E16" s="4348" t="n">
        <v>0</v>
      </c>
      <c r="F16" s="2108" t="inlineStr">
        <is>
          <t>D</t>
        </is>
      </c>
      <c r="G16" s="4348" t="n">
        <v>0</v>
      </c>
      <c r="H16" s="2108" t="inlineStr">
        <is>
          <t>D</t>
        </is>
      </c>
      <c r="I16" s="2089" t="n"/>
      <c r="J16" s="1841">
        <f>Inputs!O21</f>
        <v/>
      </c>
      <c r="K16" s="1841">
        <f>Inputs!P21</f>
        <v/>
      </c>
      <c r="L16" s="1838" t="n"/>
      <c r="M16" s="2111">
        <f>Inputs!O28</f>
        <v/>
      </c>
      <c r="N16" s="2111">
        <f>Inputs!P28</f>
        <v/>
      </c>
      <c r="O16" s="1838" t="n"/>
      <c r="P16" s="2109">
        <f>Inputs!O51</f>
        <v/>
      </c>
      <c r="Q16" s="2109">
        <f>Inputs!P51</f>
        <v/>
      </c>
      <c r="R16" s="2112" t="inlineStr">
        <is>
          <t>Manufactured in the country</t>
        </is>
      </c>
      <c r="S16" s="2109">
        <f>J16+M16+P16</f>
        <v/>
      </c>
      <c r="T16" s="2109">
        <f>K16+N16+Q16</f>
        <v/>
      </c>
      <c r="U16" s="1843" t="n"/>
      <c r="V16" s="1929">
        <f>T16-S16</f>
        <v/>
      </c>
      <c r="W16" s="2089" t="n"/>
      <c r="AK16" s="2319">
        <f>C16</f>
        <v/>
      </c>
      <c r="AL16" s="1782" t="inlineStr">
        <is>
          <t>tC/t Urea</t>
        </is>
      </c>
      <c r="AM16" s="4801">
        <f>Inputs!C19</f>
        <v/>
      </c>
      <c r="AN16" s="4802" t="n"/>
      <c r="AO16" s="2291" t="n"/>
      <c r="AP16" s="1795" t="inlineStr">
        <is>
          <t>kg N-N2O/kg N</t>
        </is>
      </c>
      <c r="AQ16" s="4801">
        <f>Inputs!C28</f>
        <v/>
      </c>
      <c r="AR16" s="4804" t="n"/>
      <c r="AS16" s="1847" t="n"/>
      <c r="AT16" s="1782" t="inlineStr">
        <is>
          <t>tCO2/t N</t>
        </is>
      </c>
      <c r="AU16" s="4801">
        <f>Inputs!C51</f>
        <v/>
      </c>
      <c r="AV16" s="4803" t="n"/>
      <c r="AW16" s="2639" t="n"/>
      <c r="AX16" s="2026" t="n"/>
      <c r="AY16" s="2001" t="n"/>
      <c r="AZ16" s="2032" t="n"/>
      <c r="BA16" s="2291" t="n"/>
      <c r="BB16" s="1782" t="n"/>
      <c r="BD16" s="4401" t="n">
        <v>1</v>
      </c>
      <c r="BE16" s="4402" t="n"/>
      <c r="BF16" s="1997" t="n"/>
    </row>
    <row r="17" ht="16" customHeight="1">
      <c r="B17" s="2081" t="n"/>
      <c r="C17" s="1781">
        <f>Languages!B432</f>
        <v/>
      </c>
      <c r="D17" s="4347" t="n">
        <v>0</v>
      </c>
      <c r="E17" s="4348" t="n">
        <v>0</v>
      </c>
      <c r="F17" s="2108" t="inlineStr">
        <is>
          <t>D</t>
        </is>
      </c>
      <c r="G17" s="4348" t="n">
        <v>0</v>
      </c>
      <c r="H17" s="2108" t="inlineStr">
        <is>
          <t>D</t>
        </is>
      </c>
      <c r="I17" s="2089" t="n"/>
      <c r="J17" s="1929" t="inlineStr">
        <is>
          <t>-</t>
        </is>
      </c>
      <c r="K17" s="1929" t="inlineStr">
        <is>
          <t>-</t>
        </is>
      </c>
      <c r="L17" s="1838" t="n"/>
      <c r="M17" s="2111">
        <f>Inputs!O29</f>
        <v/>
      </c>
      <c r="N17" s="2111">
        <f>Inputs!P29</f>
        <v/>
      </c>
      <c r="O17" s="1838" t="n"/>
      <c r="P17" s="2109">
        <f>Inputs!O52</f>
        <v/>
      </c>
      <c r="Q17" s="2109">
        <f>Inputs!P52</f>
        <v/>
      </c>
      <c r="R17" s="1806" t="n"/>
      <c r="S17" s="2109">
        <f>M17+P17</f>
        <v/>
      </c>
      <c r="T17" s="2109">
        <f>N17+Q17</f>
        <v/>
      </c>
      <c r="U17" s="1843" t="n"/>
      <c r="V17" s="1929">
        <f>T17-S17</f>
        <v/>
      </c>
      <c r="W17" s="2089" t="n"/>
      <c r="AK17" s="2319">
        <f>C17</f>
        <v/>
      </c>
      <c r="AL17" s="1782" t="n"/>
      <c r="AM17" s="1782" t="n"/>
      <c r="AN17" s="1782" t="n"/>
      <c r="AO17" s="2291" t="n"/>
      <c r="AP17" s="1795">
        <f>AP16</f>
        <v/>
      </c>
      <c r="AQ17" s="4801">
        <f>Inputs!C29</f>
        <v/>
      </c>
      <c r="AR17" s="4804" t="n"/>
      <c r="AS17" s="1847" t="n"/>
      <c r="AT17" s="1782">
        <f>AT16</f>
        <v/>
      </c>
      <c r="AU17" s="4801">
        <f>Inputs!C52</f>
        <v/>
      </c>
      <c r="AV17" s="4803" t="n"/>
      <c r="AW17" s="2639" t="n"/>
      <c r="AX17" s="2026" t="n"/>
      <c r="AY17" s="2034" t="n"/>
      <c r="AZ17" s="2032" t="n"/>
      <c r="BA17" s="2291" t="n"/>
      <c r="BB17" s="1782" t="n"/>
      <c r="BD17" s="4401" t="n">
        <v>1</v>
      </c>
      <c r="BE17" s="4402" t="n"/>
      <c r="BF17" s="1997" t="n"/>
    </row>
    <row r="18" ht="16" customHeight="1">
      <c r="B18" s="2081" t="n"/>
      <c r="C18" s="1781">
        <f>Languages!B433</f>
        <v/>
      </c>
      <c r="D18" s="4347" t="n">
        <v>0</v>
      </c>
      <c r="E18" s="4348" t="n">
        <v>0</v>
      </c>
      <c r="F18" s="2108" t="inlineStr">
        <is>
          <t>D</t>
        </is>
      </c>
      <c r="G18" s="4348" t="n">
        <v>0</v>
      </c>
      <c r="H18" s="2108" t="inlineStr">
        <is>
          <t>D</t>
        </is>
      </c>
      <c r="I18" s="2089" t="n"/>
      <c r="J18" s="1929" t="inlineStr">
        <is>
          <t>-</t>
        </is>
      </c>
      <c r="K18" s="1929" t="inlineStr">
        <is>
          <t>-</t>
        </is>
      </c>
      <c r="L18" s="1838" t="n"/>
      <c r="M18" s="1929" t="inlineStr">
        <is>
          <t>-</t>
        </is>
      </c>
      <c r="N18" s="1929" t="inlineStr">
        <is>
          <t>-</t>
        </is>
      </c>
      <c r="O18" s="1838" t="n"/>
      <c r="P18" s="2109">
        <f>Inputs!O53</f>
        <v/>
      </c>
      <c r="Q18" s="2109">
        <f>Inputs!P53</f>
        <v/>
      </c>
      <c r="R18" s="1806" t="n"/>
      <c r="S18" s="2109">
        <f>P18</f>
        <v/>
      </c>
      <c r="T18" s="2109">
        <f>Q18</f>
        <v/>
      </c>
      <c r="U18" s="1843" t="n"/>
      <c r="V18" s="1929">
        <f>T18-S18</f>
        <v/>
      </c>
      <c r="W18" s="2089" t="n"/>
      <c r="AK18" s="2319">
        <f>C18</f>
        <v/>
      </c>
      <c r="AL18" s="1782" t="n"/>
      <c r="AM18" s="1782" t="n"/>
      <c r="AN18" s="1782" t="n"/>
      <c r="AO18" s="2291" t="n"/>
      <c r="AP18" s="1795" t="n"/>
      <c r="AQ18" s="4801" t="n"/>
      <c r="AR18" s="2638" t="n"/>
      <c r="AS18" s="1847" t="n"/>
      <c r="AT18" s="1782" t="inlineStr">
        <is>
          <t>tCO2/t P2O5</t>
        </is>
      </c>
      <c r="AU18" s="4801">
        <f>Inputs!C53</f>
        <v/>
      </c>
      <c r="AV18" s="4803" t="n"/>
      <c r="AW18" s="2639" t="n"/>
      <c r="AX18" s="2026" t="n"/>
      <c r="AY18" s="2034" t="n"/>
      <c r="AZ18" s="2032" t="n"/>
      <c r="BA18" s="2291" t="n"/>
      <c r="BB18" s="1782" t="n"/>
      <c r="BD18" s="4401" t="n">
        <v>1</v>
      </c>
      <c r="BE18" s="4402" t="n"/>
      <c r="BF18" s="1997" t="n"/>
    </row>
    <row r="19" ht="16" customHeight="1">
      <c r="B19" s="2081" t="n"/>
      <c r="C19" s="1781">
        <f>Languages!B434</f>
        <v/>
      </c>
      <c r="D19" s="4347" t="n">
        <v>0</v>
      </c>
      <c r="E19" s="4348" t="n">
        <v>0</v>
      </c>
      <c r="F19" s="2108" t="inlineStr">
        <is>
          <t>D</t>
        </is>
      </c>
      <c r="G19" s="4348" t="n">
        <v>0</v>
      </c>
      <c r="H19" s="2108" t="inlineStr">
        <is>
          <t>D</t>
        </is>
      </c>
      <c r="I19" s="2089" t="n"/>
      <c r="J19" s="1929" t="inlineStr">
        <is>
          <t>-</t>
        </is>
      </c>
      <c r="K19" s="1929" t="inlineStr">
        <is>
          <t>-</t>
        </is>
      </c>
      <c r="L19" s="1838" t="n"/>
      <c r="M19" s="1929" t="inlineStr">
        <is>
          <t>-</t>
        </is>
      </c>
      <c r="N19" s="1929" t="inlineStr">
        <is>
          <t>-</t>
        </is>
      </c>
      <c r="O19" s="1838" t="n"/>
      <c r="P19" s="2109">
        <f>Inputs!O54</f>
        <v/>
      </c>
      <c r="Q19" s="2109">
        <f>Inputs!P54</f>
        <v/>
      </c>
      <c r="R19" s="1806" t="n"/>
      <c r="S19" s="2109">
        <f>P19</f>
        <v/>
      </c>
      <c r="T19" s="2109">
        <f>Q19</f>
        <v/>
      </c>
      <c r="U19" s="1843" t="n"/>
      <c r="V19" s="1929">
        <f>T19-S19</f>
        <v/>
      </c>
      <c r="W19" s="2089" t="n"/>
      <c r="AK19" s="2319">
        <f>C19</f>
        <v/>
      </c>
      <c r="AL19" s="1782" t="n"/>
      <c r="AM19" s="1782" t="n"/>
      <c r="AN19" s="1782" t="n"/>
      <c r="AO19" s="2291" t="n"/>
      <c r="AP19" s="1795" t="n"/>
      <c r="AQ19" s="4801" t="n"/>
      <c r="AR19" s="2638" t="n"/>
      <c r="AS19" s="1847" t="n"/>
      <c r="AT19" s="1782" t="inlineStr">
        <is>
          <t>tCO2/t K2O</t>
        </is>
      </c>
      <c r="AU19" s="4801">
        <f>Inputs!C54</f>
        <v/>
      </c>
      <c r="AV19" s="4803" t="n"/>
      <c r="AW19" s="2291" t="n"/>
      <c r="AX19" s="2291" t="n"/>
      <c r="AY19" s="2311" t="n"/>
      <c r="AZ19" s="2291" t="n"/>
      <c r="BA19" s="2291" t="n"/>
      <c r="BB19" s="1782" t="n"/>
      <c r="BD19" s="4401" t="n">
        <v>1</v>
      </c>
      <c r="BE19" s="4402" t="n"/>
      <c r="BF19" s="1997" t="n"/>
    </row>
    <row r="20" ht="16" customHeight="1">
      <c r="B20" s="2081" t="n"/>
      <c r="C20" s="1779">
        <f>Languages!B435</f>
        <v/>
      </c>
      <c r="D20" s="1806" t="n"/>
      <c r="E20" s="1806" t="n"/>
      <c r="F20" s="2113" t="n"/>
      <c r="G20" s="1806" t="n"/>
      <c r="H20" s="2113" t="n"/>
      <c r="I20" s="2089" t="n"/>
      <c r="J20" s="1838" t="n"/>
      <c r="K20" s="1838" t="n"/>
      <c r="L20" s="1838" t="n"/>
      <c r="M20" s="2105" t="n"/>
      <c r="N20" s="1838" t="n"/>
      <c r="O20" s="1838" t="n"/>
      <c r="P20" s="2109" t="n"/>
      <c r="Q20" s="2109" t="n"/>
      <c r="R20" s="1806" t="n"/>
      <c r="S20" s="2109" t="n"/>
      <c r="T20" s="2109" t="n"/>
      <c r="U20" s="1843" t="n"/>
      <c r="V20" s="1929" t="n"/>
      <c r="W20" s="2089" t="n"/>
      <c r="AK20" s="2319" t="n"/>
      <c r="AL20" s="1782" t="n"/>
      <c r="AM20" s="1782" t="n"/>
      <c r="AN20" s="1782" t="n"/>
      <c r="AO20" s="2291" t="n"/>
      <c r="AP20" s="1795" t="n"/>
      <c r="AQ20" s="4801" t="n"/>
      <c r="AR20" s="2638" t="n"/>
      <c r="AS20" s="1847" t="n"/>
      <c r="AT20" s="1782" t="n"/>
      <c r="AU20" s="4801" t="n"/>
      <c r="AV20" s="2311" t="n"/>
      <c r="AW20" s="2291" t="n"/>
      <c r="AX20" s="2291" t="n"/>
      <c r="AY20" s="2311" t="n"/>
      <c r="AZ20" s="2291" t="n"/>
      <c r="BA20" s="2291" t="n"/>
      <c r="BB20" s="1782" t="n"/>
      <c r="BD20" s="4401" t="n"/>
      <c r="BE20" s="4401" t="n"/>
      <c r="BF20" s="1997" t="n"/>
    </row>
    <row r="21" ht="16" customHeight="1">
      <c r="B21" s="2081" t="n"/>
      <c r="C21" s="1781">
        <f>Languages!B436</f>
        <v/>
      </c>
      <c r="D21" s="4347" t="n">
        <v>0</v>
      </c>
      <c r="E21" s="4348" t="n">
        <v>0</v>
      </c>
      <c r="F21" s="2108" t="inlineStr">
        <is>
          <t>D</t>
        </is>
      </c>
      <c r="G21" s="4348" t="n">
        <v>0</v>
      </c>
      <c r="H21" s="2108" t="inlineStr">
        <is>
          <t>D</t>
        </is>
      </c>
      <c r="I21" s="2089" t="n"/>
      <c r="J21" s="1929" t="inlineStr">
        <is>
          <t>-</t>
        </is>
      </c>
      <c r="K21" s="1929" t="inlineStr">
        <is>
          <t>-</t>
        </is>
      </c>
      <c r="L21" s="1838" t="n"/>
      <c r="M21" s="2111">
        <f>Inputs!O33</f>
        <v/>
      </c>
      <c r="N21" s="2111">
        <f>Inputs!P33</f>
        <v/>
      </c>
      <c r="O21" s="1838" t="n"/>
      <c r="P21" s="2109">
        <f>Inputs!O56</f>
        <v/>
      </c>
      <c r="Q21" s="2109">
        <f>Inputs!P56</f>
        <v/>
      </c>
      <c r="R21" s="1806" t="n"/>
      <c r="S21" s="2109">
        <f>M21+P21</f>
        <v/>
      </c>
      <c r="T21" s="2109">
        <f>N21+Q21</f>
        <v/>
      </c>
      <c r="U21" s="1843" t="n"/>
      <c r="V21" s="1929">
        <f>T21-S21</f>
        <v/>
      </c>
      <c r="W21" s="2089" t="n"/>
      <c r="AK21" s="2319">
        <f>C21</f>
        <v/>
      </c>
      <c r="AL21" s="1782" t="n"/>
      <c r="AM21" s="1782" t="n"/>
      <c r="AN21" s="1782" t="n"/>
      <c r="AO21" s="2291" t="n"/>
      <c r="AP21" s="1795">
        <f>AP16</f>
        <v/>
      </c>
      <c r="AQ21" s="4801">
        <f>Inputs!C33</f>
        <v/>
      </c>
      <c r="AR21" s="4804" t="n"/>
      <c r="AS21" s="1847" t="n"/>
      <c r="AT21" s="1782">
        <f>AT16</f>
        <v/>
      </c>
      <c r="AU21" s="4801">
        <f>Inputs!C56</f>
        <v/>
      </c>
      <c r="AV21" s="4803" t="n"/>
      <c r="AW21" s="2291" t="n"/>
      <c r="AX21" s="2291" t="n"/>
      <c r="AY21" s="2311" t="n"/>
      <c r="AZ21" s="2291" t="n"/>
      <c r="BA21" s="2291" t="n"/>
      <c r="BB21" s="1782" t="n"/>
      <c r="BD21" s="4401" t="n">
        <v>1</v>
      </c>
      <c r="BE21" s="4402" t="n"/>
      <c r="BF21" s="1997" t="n"/>
    </row>
    <row r="22" ht="16" customHeight="1">
      <c r="B22" s="2081" t="n"/>
      <c r="C22" s="1781">
        <f>Languages!B437</f>
        <v/>
      </c>
      <c r="D22" s="4347" t="n">
        <v>0</v>
      </c>
      <c r="E22" s="4348" t="n">
        <v>0</v>
      </c>
      <c r="F22" s="2108" t="inlineStr">
        <is>
          <t>D</t>
        </is>
      </c>
      <c r="G22" s="4348" t="n">
        <v>0</v>
      </c>
      <c r="H22" s="2108" t="inlineStr">
        <is>
          <t>D</t>
        </is>
      </c>
      <c r="I22" s="2089" t="n"/>
      <c r="J22" s="1929" t="inlineStr">
        <is>
          <t>-</t>
        </is>
      </c>
      <c r="K22" s="1929" t="inlineStr">
        <is>
          <t>-</t>
        </is>
      </c>
      <c r="L22" s="1838" t="n"/>
      <c r="M22" s="2111">
        <f>Inputs!O34</f>
        <v/>
      </c>
      <c r="N22" s="2111">
        <f>Inputs!P34</f>
        <v/>
      </c>
      <c r="O22" s="1838" t="n"/>
      <c r="P22" s="2109">
        <f>Inputs!O57</f>
        <v/>
      </c>
      <c r="Q22" s="2109">
        <f>Inputs!P57</f>
        <v/>
      </c>
      <c r="R22" s="1806" t="n"/>
      <c r="S22" s="2109">
        <f>M22+P22</f>
        <v/>
      </c>
      <c r="T22" s="2109">
        <f>N22+Q22</f>
        <v/>
      </c>
      <c r="U22" s="1843" t="n"/>
      <c r="V22" s="1929">
        <f>T22-S22</f>
        <v/>
      </c>
      <c r="W22" s="2089" t="n"/>
      <c r="AK22" s="2319">
        <f>C22</f>
        <v/>
      </c>
      <c r="AL22" s="1782" t="n"/>
      <c r="AM22" s="1782" t="n"/>
      <c r="AN22" s="1782" t="n"/>
      <c r="AO22" s="2291" t="n"/>
      <c r="AP22" s="1795">
        <f>AP16</f>
        <v/>
      </c>
      <c r="AQ22" s="4801">
        <f>Inputs!C34</f>
        <v/>
      </c>
      <c r="AR22" s="4804" t="n"/>
      <c r="AS22" s="1847" t="n"/>
      <c r="AT22" s="1782">
        <f>AT16</f>
        <v/>
      </c>
      <c r="AU22" s="4801">
        <f>Inputs!C57</f>
        <v/>
      </c>
      <c r="AV22" s="4803" t="n"/>
      <c r="AW22" s="2291" t="n"/>
      <c r="AX22" s="2291" t="n"/>
      <c r="AY22" s="2311" t="n"/>
      <c r="AZ22" s="2291" t="n"/>
      <c r="BA22" s="2291" t="n"/>
      <c r="BB22" s="1782" t="n"/>
      <c r="BD22" s="4401" t="n">
        <v>1</v>
      </c>
      <c r="BE22" s="4402" t="n"/>
      <c r="BF22" s="1997" t="n"/>
    </row>
    <row r="23" ht="16" customHeight="1">
      <c r="B23" s="2081" t="n"/>
      <c r="C23" s="1779">
        <f>Languages!B438</f>
        <v/>
      </c>
      <c r="D23" s="1806" t="n"/>
      <c r="E23" s="1806" t="n"/>
      <c r="F23" s="2114" t="n"/>
      <c r="G23" s="1806" t="n"/>
      <c r="H23" s="2114" t="n"/>
      <c r="I23" s="2089" t="n"/>
      <c r="J23" s="1806" t="n"/>
      <c r="K23" s="1806" t="n"/>
      <c r="L23" s="1838" t="n"/>
      <c r="M23" s="1838" t="n"/>
      <c r="N23" s="1838" t="n"/>
      <c r="O23" s="1838" t="n"/>
      <c r="P23" s="2109" t="n"/>
      <c r="Q23" s="2109" t="n"/>
      <c r="R23" s="1806" t="n"/>
      <c r="S23" s="2109" t="n"/>
      <c r="T23" s="2109" t="n"/>
      <c r="U23" s="1843" t="n"/>
      <c r="V23" s="1929" t="n"/>
      <c r="W23" s="2089" t="n"/>
      <c r="AK23" s="2319" t="n"/>
      <c r="AL23" s="1782" t="n"/>
      <c r="AM23" s="1782" t="n"/>
      <c r="AN23" s="1782" t="n"/>
      <c r="AO23" s="2291" t="n"/>
      <c r="AP23" s="1795" t="n"/>
      <c r="AQ23" s="4801" t="n"/>
      <c r="AR23" s="2638" t="n"/>
      <c r="AS23" s="1847" t="n"/>
      <c r="AT23" s="1782" t="n"/>
      <c r="AU23" s="4801" t="n"/>
      <c r="AV23" s="4805" t="n"/>
      <c r="AW23" s="2291" t="n"/>
      <c r="AX23" s="2291" t="n"/>
      <c r="AY23" s="2311" t="n"/>
      <c r="AZ23" s="2291" t="n"/>
      <c r="BA23" s="2291" t="n"/>
      <c r="BB23" s="1782" t="n"/>
      <c r="BD23" s="4401" t="n"/>
      <c r="BE23" s="4401" t="n"/>
      <c r="BF23" s="1997" t="n"/>
    </row>
    <row r="24" ht="16" customHeight="1">
      <c r="B24" s="2081" t="n"/>
      <c r="C24" s="1781">
        <f>Languages!B439</f>
        <v/>
      </c>
      <c r="D24" s="4347" t="n">
        <v>0</v>
      </c>
      <c r="E24" s="4348" t="n">
        <v>0</v>
      </c>
      <c r="F24" s="2108" t="inlineStr">
        <is>
          <t>D</t>
        </is>
      </c>
      <c r="G24" s="4348" t="n">
        <v>0</v>
      </c>
      <c r="H24" s="2108" t="inlineStr">
        <is>
          <t>D</t>
        </is>
      </c>
      <c r="I24" s="2089" t="n"/>
      <c r="J24" s="1929" t="inlineStr">
        <is>
          <t>-</t>
        </is>
      </c>
      <c r="K24" s="1929" t="inlineStr">
        <is>
          <t>-</t>
        </is>
      </c>
      <c r="L24" s="1838" t="n"/>
      <c r="M24" s="2111">
        <f>Inputs!O36</f>
        <v/>
      </c>
      <c r="N24" s="2111">
        <f>Inputs!P36</f>
        <v/>
      </c>
      <c r="O24" s="1838" t="n"/>
      <c r="P24" s="2109" t="inlineStr">
        <is>
          <t>-</t>
        </is>
      </c>
      <c r="Q24" s="2109" t="inlineStr">
        <is>
          <t>-</t>
        </is>
      </c>
      <c r="R24" s="1806" t="n"/>
      <c r="S24" s="2109">
        <f>M24</f>
        <v/>
      </c>
      <c r="T24" s="2109">
        <f>N24</f>
        <v/>
      </c>
      <c r="U24" s="1843" t="n"/>
      <c r="V24" s="1929">
        <f>T24-S24</f>
        <v/>
      </c>
      <c r="W24" s="2089" t="n"/>
      <c r="AK24" s="2319">
        <f>C24</f>
        <v/>
      </c>
      <c r="AL24" s="1782" t="n"/>
      <c r="AM24" s="1782" t="n"/>
      <c r="AN24" s="1782" t="n"/>
      <c r="AO24" s="2291" t="n"/>
      <c r="AP24" s="1795">
        <f>AP16</f>
        <v/>
      </c>
      <c r="AQ24" s="4801">
        <f>Inputs!C36</f>
        <v/>
      </c>
      <c r="AR24" s="4804" t="n"/>
      <c r="AS24" s="1847" t="n"/>
      <c r="AT24" s="1782" t="n"/>
      <c r="AU24" s="4801" t="n"/>
      <c r="AV24" s="2034" t="n"/>
      <c r="AW24" s="2639" t="n"/>
      <c r="AX24" s="2026" t="n"/>
      <c r="AY24" s="2034" t="n"/>
      <c r="AZ24" s="2032" t="n"/>
      <c r="BA24" s="2291" t="n"/>
      <c r="BB24" s="1782" t="n"/>
      <c r="BD24" s="4401" t="n">
        <v>1</v>
      </c>
      <c r="BE24" s="4402" t="n"/>
      <c r="BF24" s="1997" t="n"/>
    </row>
    <row r="25" ht="16" customHeight="1">
      <c r="B25" s="2081" t="n"/>
      <c r="C25" s="1781">
        <f>Languages!B440</f>
        <v/>
      </c>
      <c r="D25" s="4347" t="n">
        <v>0</v>
      </c>
      <c r="E25" s="4348" t="n">
        <v>0</v>
      </c>
      <c r="F25" s="2108" t="inlineStr">
        <is>
          <t>D</t>
        </is>
      </c>
      <c r="G25" s="4348" t="n">
        <v>0</v>
      </c>
      <c r="H25" s="2108" t="inlineStr">
        <is>
          <t>D</t>
        </is>
      </c>
      <c r="I25" s="2089" t="n"/>
      <c r="J25" s="1929" t="inlineStr">
        <is>
          <t>-</t>
        </is>
      </c>
      <c r="K25" s="1929" t="inlineStr">
        <is>
          <t>-</t>
        </is>
      </c>
      <c r="L25" s="1838" t="n"/>
      <c r="M25" s="2111">
        <f>Inputs!O37</f>
        <v/>
      </c>
      <c r="N25" s="2111">
        <f>Inputs!P37</f>
        <v/>
      </c>
      <c r="O25" s="1838" t="n"/>
      <c r="P25" s="2109" t="inlineStr">
        <is>
          <t>-</t>
        </is>
      </c>
      <c r="Q25" s="2109" t="inlineStr">
        <is>
          <t>-</t>
        </is>
      </c>
      <c r="R25" s="1806" t="n"/>
      <c r="S25" s="2109">
        <f>M25</f>
        <v/>
      </c>
      <c r="T25" s="2109">
        <f>N25</f>
        <v/>
      </c>
      <c r="U25" s="1843" t="n"/>
      <c r="V25" s="1929">
        <f>T25-S25</f>
        <v/>
      </c>
      <c r="W25" s="2089" t="n"/>
      <c r="AK25" s="2319">
        <f>C25</f>
        <v/>
      </c>
      <c r="AL25" s="1782" t="n"/>
      <c r="AM25" s="1782" t="n"/>
      <c r="AN25" s="1782" t="n"/>
      <c r="AO25" s="2291" t="n"/>
      <c r="AP25" s="1795">
        <f>AP16</f>
        <v/>
      </c>
      <c r="AQ25" s="4801">
        <f>Inputs!C37</f>
        <v/>
      </c>
      <c r="AR25" s="4804" t="n"/>
      <c r="AS25" s="2320" t="n"/>
      <c r="AT25" s="1782" t="n"/>
      <c r="AU25" s="4801" t="n"/>
      <c r="AV25" s="2034" t="n"/>
      <c r="AW25" s="2032" t="n"/>
      <c r="AX25" s="2291" t="n"/>
      <c r="AY25" s="2034" t="n"/>
      <c r="AZ25" s="2032" t="n"/>
      <c r="BA25" s="2291" t="n"/>
      <c r="BB25" s="1782" t="n"/>
      <c r="BD25" s="4401" t="n">
        <v>1</v>
      </c>
      <c r="BE25" s="4402" t="n"/>
      <c r="BF25" s="1997" t="n"/>
    </row>
    <row r="26" ht="16" customHeight="1">
      <c r="B26" s="2081" t="n"/>
      <c r="C26" s="1781">
        <f>Languages!B441</f>
        <v/>
      </c>
      <c r="D26" s="4347" t="n">
        <v>0</v>
      </c>
      <c r="E26" s="4348" t="n">
        <v>0</v>
      </c>
      <c r="F26" s="2108" t="inlineStr">
        <is>
          <t>D</t>
        </is>
      </c>
      <c r="G26" s="4348" t="n">
        <v>0</v>
      </c>
      <c r="H26" s="2108" t="inlineStr">
        <is>
          <t>D</t>
        </is>
      </c>
      <c r="I26" s="2089" t="n"/>
      <c r="J26" s="1929" t="inlineStr">
        <is>
          <t>-</t>
        </is>
      </c>
      <c r="K26" s="1929" t="inlineStr">
        <is>
          <t>-</t>
        </is>
      </c>
      <c r="L26" s="1838" t="n"/>
      <c r="M26" s="2111">
        <f>Inputs!O38</f>
        <v/>
      </c>
      <c r="N26" s="2111">
        <f>Inputs!P38</f>
        <v/>
      </c>
      <c r="O26" s="1838" t="n"/>
      <c r="P26" s="2109" t="inlineStr">
        <is>
          <t>-</t>
        </is>
      </c>
      <c r="Q26" s="2109" t="inlineStr">
        <is>
          <t>-</t>
        </is>
      </c>
      <c r="R26" s="1806" t="n"/>
      <c r="S26" s="2109">
        <f>M26</f>
        <v/>
      </c>
      <c r="T26" s="2109">
        <f>N26</f>
        <v/>
      </c>
      <c r="U26" s="1843" t="n"/>
      <c r="V26" s="1929">
        <f>T26-S26</f>
        <v/>
      </c>
      <c r="W26" s="2089" t="n"/>
      <c r="AK26" s="2319">
        <f>C26</f>
        <v/>
      </c>
      <c r="AL26" s="1782" t="n"/>
      <c r="AM26" s="1782" t="n"/>
      <c r="AN26" s="1782" t="n"/>
      <c r="AO26" s="2291" t="n"/>
      <c r="AP26" s="1795">
        <f>AP16</f>
        <v/>
      </c>
      <c r="AQ26" s="4801">
        <f>Inputs!C38</f>
        <v/>
      </c>
      <c r="AR26" s="4804" t="n"/>
      <c r="AS26" s="2320" t="n"/>
      <c r="AT26" s="1782" t="n"/>
      <c r="AU26" s="4801" t="n"/>
      <c r="AV26" s="2034" t="n"/>
      <c r="AW26" s="2032" t="n"/>
      <c r="AX26" s="2291" t="n"/>
      <c r="AY26" s="2034" t="n"/>
      <c r="AZ26" s="2032" t="n"/>
      <c r="BA26" s="2291" t="n"/>
      <c r="BB26" s="1782" t="n"/>
      <c r="BD26" s="4401" t="n">
        <v>1</v>
      </c>
      <c r="BE26" s="4402" t="n"/>
      <c r="BF26" s="1997" t="n"/>
    </row>
    <row r="27" ht="16" customHeight="1">
      <c r="B27" s="2081" t="n"/>
      <c r="C27" s="1779" t="n"/>
      <c r="D27" s="1806" t="n"/>
      <c r="E27" s="1806" t="n"/>
      <c r="F27" s="2113" t="n"/>
      <c r="G27" s="1806" t="n"/>
      <c r="H27" s="2113" t="n"/>
      <c r="I27" s="2089" t="n"/>
      <c r="J27" s="1838" t="n"/>
      <c r="K27" s="1838" t="n"/>
      <c r="L27" s="1838" t="n"/>
      <c r="M27" s="2105" t="n"/>
      <c r="N27" s="1838" t="n"/>
      <c r="O27" s="1838" t="n"/>
      <c r="P27" s="2109" t="n"/>
      <c r="Q27" s="2109" t="n"/>
      <c r="R27" s="1806" t="n"/>
      <c r="S27" s="2109" t="n"/>
      <c r="T27" s="2109" t="n"/>
      <c r="U27" s="2110" t="n"/>
      <c r="V27" s="1929" t="n"/>
      <c r="W27" s="2089" t="n"/>
      <c r="AK27" s="2319" t="n"/>
      <c r="AL27" s="1782" t="n"/>
      <c r="AM27" s="1782" t="n"/>
      <c r="AN27" s="1782" t="n"/>
      <c r="AO27" s="2291" t="n"/>
      <c r="AP27" s="2320" t="n"/>
      <c r="AQ27" s="2320" t="n"/>
      <c r="AR27" s="2320" t="n"/>
      <c r="AS27" s="2320" t="n"/>
      <c r="AT27" s="1782" t="n"/>
      <c r="AU27" s="4801" t="n"/>
      <c r="AV27" s="2034" t="n"/>
      <c r="AW27" s="2032" t="n"/>
      <c r="AX27" s="2291" t="n"/>
      <c r="AY27" s="2034" t="n"/>
      <c r="AZ27" s="2032" t="n"/>
      <c r="BA27" s="2291" t="n"/>
      <c r="BB27" s="1782" t="n"/>
      <c r="BD27" s="4401" t="n"/>
      <c r="BE27" s="4401" t="n"/>
      <c r="BF27" s="1997" t="n"/>
    </row>
    <row r="28" ht="16" customHeight="1">
      <c r="B28" s="2081" t="n"/>
      <c r="C28" s="1779">
        <f>Languages!B442</f>
        <v/>
      </c>
      <c r="D28" s="1806" t="n"/>
      <c r="E28" s="1806" t="n"/>
      <c r="F28" s="2113" t="n"/>
      <c r="G28" s="1806" t="n"/>
      <c r="H28" s="2113" t="n"/>
      <c r="I28" s="2089" t="n"/>
      <c r="J28" s="1838" t="n"/>
      <c r="K28" s="1838" t="n"/>
      <c r="L28" s="1838" t="n"/>
      <c r="M28" s="2105" t="n"/>
      <c r="N28" s="1838" t="n"/>
      <c r="O28" s="1838" t="n"/>
      <c r="P28" s="2109" t="n"/>
      <c r="Q28" s="2109" t="n"/>
      <c r="R28" s="1806" t="n"/>
      <c r="S28" s="2109" t="n"/>
      <c r="T28" s="2109" t="n"/>
      <c r="U28" s="2110" t="n"/>
      <c r="V28" s="1929" t="n"/>
      <c r="W28" s="2089" t="n"/>
      <c r="AK28" s="2319" t="n"/>
      <c r="AL28" s="1782" t="n"/>
      <c r="AM28" s="1782" t="n"/>
      <c r="AN28" s="1782" t="n"/>
      <c r="AO28" s="2291" t="n"/>
      <c r="AP28" s="2320" t="n"/>
      <c r="AQ28" s="2320" t="n"/>
      <c r="AR28" s="2320" t="n"/>
      <c r="AS28" s="2320" t="n"/>
      <c r="AT28" s="1782" t="n"/>
      <c r="AU28" s="4801" t="n"/>
      <c r="AV28" s="2034" t="n"/>
      <c r="AW28" s="2032" t="n"/>
      <c r="AX28" s="2291" t="n"/>
      <c r="AY28" s="2034" t="n"/>
      <c r="AZ28" s="2032" t="n"/>
      <c r="BA28" s="2291" t="n"/>
      <c r="BB28" s="1782" t="n"/>
      <c r="BD28" s="4401" t="n"/>
      <c r="BE28" s="4401" t="n"/>
      <c r="BF28" s="1997" t="n"/>
    </row>
    <row r="29" ht="16" customHeight="1">
      <c r="B29" s="2081" t="n"/>
      <c r="C29" s="1781">
        <f>Languages!B443</f>
        <v/>
      </c>
      <c r="D29" s="4347" t="n">
        <v>0</v>
      </c>
      <c r="E29" s="4348" t="n">
        <v>0</v>
      </c>
      <c r="F29" s="2108" t="inlineStr">
        <is>
          <t>D</t>
        </is>
      </c>
      <c r="G29" s="4348" t="n">
        <v>0</v>
      </c>
      <c r="H29" s="2108" t="inlineStr">
        <is>
          <t>D</t>
        </is>
      </c>
      <c r="I29" s="2089" t="n"/>
      <c r="J29" s="1929" t="inlineStr">
        <is>
          <t>-</t>
        </is>
      </c>
      <c r="K29" s="1929" t="inlineStr">
        <is>
          <t>-</t>
        </is>
      </c>
      <c r="L29" s="1838" t="n"/>
      <c r="M29" s="1929" t="inlineStr">
        <is>
          <t>-</t>
        </is>
      </c>
      <c r="N29" s="1929" t="inlineStr">
        <is>
          <t>-</t>
        </is>
      </c>
      <c r="O29" s="1838" t="n"/>
      <c r="P29" s="2109">
        <f>Inputs!O65</f>
        <v/>
      </c>
      <c r="Q29" s="2109">
        <f>Inputs!P65</f>
        <v/>
      </c>
      <c r="R29" s="1806" t="n"/>
      <c r="S29" s="2109">
        <f>P29</f>
        <v/>
      </c>
      <c r="T29" s="2109">
        <f>Q29</f>
        <v/>
      </c>
      <c r="U29" s="2110" t="n"/>
      <c r="V29" s="1929">
        <f>T29-S29</f>
        <v/>
      </c>
      <c r="W29" s="2089" t="n"/>
      <c r="AK29" s="2319">
        <f>C29</f>
        <v/>
      </c>
      <c r="AL29" s="1782" t="n"/>
      <c r="AM29" s="1782" t="n"/>
      <c r="AN29" s="1782" t="n"/>
      <c r="AO29" s="2291" t="n"/>
      <c r="AP29" s="2320" t="n"/>
      <c r="AQ29" s="2320" t="n"/>
      <c r="AR29" s="2320" t="n"/>
      <c r="AS29" s="2320" t="n"/>
      <c r="AT29" s="2609" t="inlineStr">
        <is>
          <t>tCO2-e/t active ingredient</t>
        </is>
      </c>
      <c r="AU29" s="4669">
        <f>Inputs!C65</f>
        <v/>
      </c>
      <c r="AV29" s="4803" t="n"/>
      <c r="AW29" s="2032" t="n"/>
      <c r="AX29" s="2291" t="n"/>
      <c r="AY29" s="2034" t="n"/>
      <c r="AZ29" s="2032" t="n"/>
      <c r="BA29" s="2291" t="n"/>
      <c r="BB29" s="1782" t="n"/>
      <c r="BD29" s="4401" t="n">
        <v>1</v>
      </c>
      <c r="BE29" s="4402" t="n"/>
      <c r="BF29" s="1997" t="n"/>
    </row>
    <row r="30" ht="16" customHeight="1">
      <c r="B30" s="2081" t="n"/>
      <c r="C30" s="1781">
        <f>Languages!B444</f>
        <v/>
      </c>
      <c r="D30" s="4347" t="n">
        <v>0</v>
      </c>
      <c r="E30" s="4348" t="n">
        <v>0</v>
      </c>
      <c r="F30" s="2108" t="inlineStr">
        <is>
          <t>D</t>
        </is>
      </c>
      <c r="G30" s="4348" t="n">
        <v>0</v>
      </c>
      <c r="H30" s="2108" t="inlineStr">
        <is>
          <t>D</t>
        </is>
      </c>
      <c r="I30" s="2089" t="n"/>
      <c r="J30" s="1929" t="inlineStr">
        <is>
          <t>-</t>
        </is>
      </c>
      <c r="K30" s="1929" t="inlineStr">
        <is>
          <t>-</t>
        </is>
      </c>
      <c r="L30" s="1838" t="n"/>
      <c r="M30" s="1929" t="inlineStr">
        <is>
          <t>-</t>
        </is>
      </c>
      <c r="N30" s="1929" t="inlineStr">
        <is>
          <t>-</t>
        </is>
      </c>
      <c r="O30" s="1838" t="n"/>
      <c r="P30" s="2109">
        <f>Inputs!O66</f>
        <v/>
      </c>
      <c r="Q30" s="2109">
        <f>Inputs!P66</f>
        <v/>
      </c>
      <c r="R30" s="1806" t="n"/>
      <c r="S30" s="2109">
        <f>P30</f>
        <v/>
      </c>
      <c r="T30" s="2109">
        <f>Q30</f>
        <v/>
      </c>
      <c r="U30" s="2110" t="n"/>
      <c r="V30" s="1929">
        <f>T30-S30</f>
        <v/>
      </c>
      <c r="W30" s="2089" t="n"/>
      <c r="AK30" s="2319">
        <f>C30</f>
        <v/>
      </c>
      <c r="AL30" s="1782" t="n"/>
      <c r="AM30" s="1782" t="n"/>
      <c r="AN30" s="1782" t="n"/>
      <c r="AO30" s="2291" t="n"/>
      <c r="AP30" s="2320" t="n"/>
      <c r="AQ30" s="2320" t="n"/>
      <c r="AR30" s="2320" t="n"/>
      <c r="AS30" s="2320" t="n"/>
      <c r="AT30" s="2609">
        <f>AT29</f>
        <v/>
      </c>
      <c r="AU30" s="4669">
        <f>Inputs!C66</f>
        <v/>
      </c>
      <c r="AV30" s="4803" t="n"/>
      <c r="AW30" s="2032" t="n"/>
      <c r="AX30" s="2291" t="n"/>
      <c r="AY30" s="2034" t="n"/>
      <c r="AZ30" s="2032" t="n"/>
      <c r="BA30" s="2291" t="n"/>
      <c r="BB30" s="1782" t="n"/>
      <c r="BD30" s="4401" t="n">
        <v>1</v>
      </c>
      <c r="BE30" s="4402" t="n"/>
      <c r="BF30" s="1997" t="n"/>
    </row>
    <row r="31" ht="16" customHeight="1">
      <c r="B31" s="2081" t="n"/>
      <c r="C31" s="1781">
        <f>Languages!B445</f>
        <v/>
      </c>
      <c r="D31" s="4347" t="n">
        <v>0</v>
      </c>
      <c r="E31" s="4348" t="n">
        <v>0</v>
      </c>
      <c r="F31" s="2108" t="inlineStr">
        <is>
          <t>D</t>
        </is>
      </c>
      <c r="G31" s="4348" t="n">
        <v>0</v>
      </c>
      <c r="H31" s="2108" t="inlineStr">
        <is>
          <t>D</t>
        </is>
      </c>
      <c r="I31" s="2089" t="n"/>
      <c r="J31" s="1929" t="inlineStr">
        <is>
          <t>-</t>
        </is>
      </c>
      <c r="K31" s="1929" t="inlineStr">
        <is>
          <t>-</t>
        </is>
      </c>
      <c r="L31" s="1838" t="n"/>
      <c r="M31" s="1929" t="inlineStr">
        <is>
          <t>-</t>
        </is>
      </c>
      <c r="N31" s="1929" t="inlineStr">
        <is>
          <t>-</t>
        </is>
      </c>
      <c r="O31" s="1838" t="n"/>
      <c r="P31" s="2109">
        <f>Inputs!O67</f>
        <v/>
      </c>
      <c r="Q31" s="2109">
        <f>Inputs!P67</f>
        <v/>
      </c>
      <c r="R31" s="1806" t="n"/>
      <c r="S31" s="2109">
        <f>P31</f>
        <v/>
      </c>
      <c r="T31" s="2109">
        <f>Q31</f>
        <v/>
      </c>
      <c r="U31" s="2110" t="n"/>
      <c r="V31" s="1929">
        <f>T31-S31</f>
        <v/>
      </c>
      <c r="W31" s="2089" t="n"/>
      <c r="AK31" s="2319">
        <f>C31</f>
        <v/>
      </c>
      <c r="AL31" s="1782" t="n"/>
      <c r="AM31" s="1782" t="n"/>
      <c r="AN31" s="1782" t="n"/>
      <c r="AO31" s="2291" t="n"/>
      <c r="AP31" s="2320" t="n"/>
      <c r="AQ31" s="2320" t="n"/>
      <c r="AR31" s="2320" t="n"/>
      <c r="AS31" s="2320" t="n"/>
      <c r="AT31" s="2609">
        <f>AT30</f>
        <v/>
      </c>
      <c r="AU31" s="4669">
        <f>Inputs!C67</f>
        <v/>
      </c>
      <c r="AV31" s="4803" t="n"/>
      <c r="AW31" s="2032" t="n"/>
      <c r="AX31" s="2291" t="n"/>
      <c r="AY31" s="2034" t="n"/>
      <c r="AZ31" s="2032" t="n"/>
      <c r="BA31" s="2291" t="n"/>
      <c r="BB31" s="1782" t="n"/>
      <c r="BD31" s="4401" t="n">
        <v>1</v>
      </c>
      <c r="BE31" s="4402" t="n"/>
      <c r="BF31" s="1997" t="n"/>
    </row>
    <row r="32" ht="16" customHeight="1">
      <c r="B32" s="2081" t="n"/>
      <c r="C32" s="1781" t="n"/>
      <c r="D32" s="1806" t="n"/>
      <c r="E32" s="1806" t="n"/>
      <c r="F32" s="2113" t="n"/>
      <c r="G32" s="1806" t="n"/>
      <c r="H32" s="2113" t="n"/>
      <c r="I32" s="2089" t="n"/>
      <c r="J32" s="1838" t="n"/>
      <c r="K32" s="1838" t="n"/>
      <c r="L32" s="1838" t="n"/>
      <c r="M32" s="2085" t="n"/>
      <c r="N32" s="1838" t="n"/>
      <c r="O32" s="1838" t="n"/>
      <c r="P32" s="2087" t="n"/>
      <c r="Q32" s="1806" t="n"/>
      <c r="R32" s="1806" t="n"/>
      <c r="S32" s="2110" t="n"/>
      <c r="T32" s="2110" t="n"/>
      <c r="U32" s="2110" t="n"/>
      <c r="V32" s="2110" t="n"/>
      <c r="W32" s="2089" t="n"/>
      <c r="AK32" s="2604" t="n"/>
      <c r="AL32" s="1782" t="n"/>
      <c r="AM32" s="1782" t="n"/>
      <c r="AN32" s="1782" t="n"/>
      <c r="AO32" s="2291" t="n"/>
      <c r="AP32" s="2320" t="n"/>
      <c r="AQ32" s="2320" t="n"/>
      <c r="AR32" s="2320" t="n"/>
      <c r="AS32" s="2320" t="n"/>
      <c r="AT32" s="1782" t="n"/>
      <c r="AU32" s="2636" t="n"/>
      <c r="AV32" s="2034" t="n"/>
      <c r="AW32" s="2032" t="n"/>
      <c r="AX32" s="2291" t="n"/>
      <c r="AY32" s="2034" t="n"/>
      <c r="AZ32" s="2032" t="n"/>
      <c r="BA32" s="2291" t="n"/>
      <c r="BB32" s="1782" t="n"/>
      <c r="BD32" s="4401" t="n"/>
      <c r="BE32" s="4401" t="n"/>
      <c r="BF32" s="1997" t="n"/>
    </row>
    <row r="33" ht="16" customHeight="1">
      <c r="B33" s="2081" t="n"/>
      <c r="C33" s="1779">
        <f>Languages!B507</f>
        <v/>
      </c>
      <c r="D33" s="1806" t="n"/>
      <c r="E33" s="1806" t="n"/>
      <c r="F33" s="2113" t="n"/>
      <c r="G33" s="1806" t="n"/>
      <c r="H33" s="2113" t="n"/>
      <c r="I33" s="2089" t="n"/>
      <c r="J33" s="1838" t="n"/>
      <c r="K33" s="1838" t="n"/>
      <c r="L33" s="1838" t="n"/>
      <c r="M33" s="2085" t="n"/>
      <c r="N33" s="1838" t="n"/>
      <c r="O33" s="1838" t="n"/>
      <c r="P33" s="2087" t="n"/>
      <c r="Q33" s="1806" t="n"/>
      <c r="R33" s="1806" t="n"/>
      <c r="S33" s="2110" t="n"/>
      <c r="T33" s="2110" t="n"/>
      <c r="U33" s="2110" t="n"/>
      <c r="V33" s="2110" t="n"/>
      <c r="W33" s="2089" t="n"/>
      <c r="AK33" s="2604" t="n"/>
      <c r="AL33" s="1782" t="n"/>
      <c r="AM33" s="1782" t="n"/>
      <c r="AN33" s="1782" t="n"/>
      <c r="AO33" s="2291" t="n"/>
      <c r="AP33" s="2320" t="n"/>
      <c r="AQ33" s="2320" t="n"/>
      <c r="AR33" s="2320" t="n"/>
      <c r="AS33" s="2320" t="n"/>
      <c r="AT33" s="1782" t="n"/>
      <c r="AU33" s="2636" t="n"/>
      <c r="AV33" s="2034" t="n"/>
      <c r="AW33" s="2032" t="n"/>
      <c r="AX33" s="2291" t="n"/>
      <c r="AY33" s="2034" t="n"/>
      <c r="AZ33" s="2032" t="n"/>
      <c r="BA33" s="2291" t="n"/>
      <c r="BB33" s="1782" t="n"/>
      <c r="BD33" s="4401" t="n"/>
      <c r="BE33" s="4401" t="n"/>
      <c r="BF33" s="1997" t="n"/>
    </row>
    <row r="34" ht="16" customHeight="1">
      <c r="B34" s="2081" t="n"/>
      <c r="C34" s="1781">
        <f>CONCATENATE(Languages!B461,A57,AL57)</f>
        <v/>
      </c>
      <c r="D34" s="4349" t="n">
        <v>0</v>
      </c>
      <c r="E34" s="4350" t="n">
        <v>0</v>
      </c>
      <c r="F34" s="2108" t="inlineStr">
        <is>
          <t>D</t>
        </is>
      </c>
      <c r="G34" s="4350" t="n">
        <v>0</v>
      </c>
      <c r="H34" s="2108" t="inlineStr">
        <is>
          <t>D</t>
        </is>
      </c>
      <c r="I34" s="2089" t="n"/>
      <c r="J34" s="1806" t="n"/>
      <c r="K34" s="1806" t="n"/>
      <c r="L34" s="1838" t="n"/>
      <c r="M34" s="1838" t="n"/>
      <c r="N34" s="1838" t="n"/>
      <c r="O34" s="1838" t="n"/>
      <c r="P34" s="2109" t="n"/>
      <c r="Q34" s="2109" t="n"/>
      <c r="R34" s="1806" t="n"/>
      <c r="S34" s="2109">
        <f>Inputs!O71</f>
        <v/>
      </c>
      <c r="T34" s="2109">
        <f>Inputs!P71</f>
        <v/>
      </c>
      <c r="U34" s="1843" t="n"/>
      <c r="V34" s="1929">
        <f>Inputs!Q71</f>
        <v/>
      </c>
      <c r="W34" s="2089" t="n"/>
      <c r="AK34" s="2579">
        <f>C34</f>
        <v/>
      </c>
      <c r="AL34" s="2635">
        <f>Languages!B509</f>
        <v/>
      </c>
      <c r="AM34" s="2155" t="n"/>
      <c r="AN34" s="2567" t="n"/>
      <c r="AO34" s="2600" t="n"/>
      <c r="AP34" s="4732" t="n"/>
      <c r="AQ34" s="4732" t="n"/>
      <c r="AR34" s="4732" t="n"/>
      <c r="AS34" s="2320" t="n"/>
      <c r="AT34" s="1782" t="inlineStr">
        <is>
          <t>tCO2-e/t feed</t>
        </is>
      </c>
      <c r="AU34" s="2636" t="n"/>
      <c r="AV34" s="4803" t="n"/>
      <c r="AW34" s="2032" t="n"/>
      <c r="AX34" s="2291" t="n"/>
      <c r="AY34" s="2034" t="n"/>
      <c r="AZ34" s="2032" t="n"/>
      <c r="BA34" s="2291" t="n"/>
      <c r="BB34" s="1782" t="n"/>
      <c r="BD34" s="4401" t="n">
        <v>1</v>
      </c>
      <c r="BE34" s="4402" t="n"/>
      <c r="BF34" s="1997" t="n"/>
    </row>
    <row r="35" ht="16" customHeight="1">
      <c r="B35" s="2081" t="n"/>
      <c r="C35" s="1781" t="n"/>
      <c r="D35" s="1806" t="n"/>
      <c r="E35" s="1806" t="n"/>
      <c r="F35" s="2113" t="n"/>
      <c r="G35" s="1806" t="n"/>
      <c r="H35" s="2113" t="n"/>
      <c r="I35" s="2089" t="n"/>
      <c r="J35" s="1838" t="n"/>
      <c r="K35" s="1838" t="n"/>
      <c r="L35" s="1838" t="n"/>
      <c r="M35" s="2085" t="n"/>
      <c r="N35" s="1838" t="n"/>
      <c r="O35" s="1838" t="n"/>
      <c r="P35" s="2087" t="n"/>
      <c r="Q35" s="1806" t="n"/>
      <c r="R35" s="1806" t="n"/>
      <c r="S35" s="2110" t="n"/>
      <c r="T35" s="2110" t="n"/>
      <c r="U35" s="2110" t="n"/>
      <c r="V35" s="2110" t="n"/>
      <c r="W35" s="2089" t="n"/>
      <c r="AK35" s="2635" t="n"/>
      <c r="AL35" s="1782" t="n"/>
      <c r="AM35" s="1782" t="n"/>
      <c r="AN35" s="1782" t="n"/>
      <c r="AO35" s="2291" t="n"/>
      <c r="AP35" s="2320" t="n"/>
      <c r="AQ35" s="2320" t="n"/>
      <c r="AR35" s="2320" t="n"/>
      <c r="AS35" s="2320" t="n"/>
      <c r="AT35" s="1782" t="n"/>
      <c r="AU35" s="2636" t="n"/>
      <c r="AV35" s="2034" t="n"/>
      <c r="AW35" s="2032" t="n"/>
      <c r="AX35" s="2291" t="n"/>
      <c r="AY35" s="2034" t="n"/>
      <c r="AZ35" s="2032" t="n"/>
      <c r="BA35" s="2291" t="n"/>
      <c r="BB35" s="1782" t="n"/>
      <c r="BD35" s="4401" t="n"/>
      <c r="BE35" s="4401" t="n"/>
      <c r="BF35" s="1997" t="n"/>
    </row>
    <row r="36" ht="16" customHeight="1">
      <c r="B36" s="2081" t="n"/>
      <c r="C36" s="1781" t="n"/>
      <c r="D36" s="1781" t="n"/>
      <c r="E36" s="1781" t="n"/>
      <c r="F36" s="1781" t="n"/>
      <c r="G36" s="1781" t="n"/>
      <c r="H36" s="1781" t="n"/>
      <c r="I36" s="1781" t="n"/>
      <c r="J36" s="1781" t="n"/>
      <c r="K36" s="1781" t="n"/>
      <c r="L36" s="1781" t="n"/>
      <c r="M36" s="1781" t="n"/>
      <c r="N36" s="1781" t="n"/>
      <c r="O36" s="1781" t="n"/>
      <c r="P36" s="1781" t="n"/>
      <c r="Q36" s="1781" t="n"/>
      <c r="R36" s="1806" t="n"/>
      <c r="S36" s="2110" t="n"/>
      <c r="T36" s="2110" t="n"/>
      <c r="U36" s="2110" t="n"/>
      <c r="V36" s="2110" t="n"/>
      <c r="W36" s="2089" t="n"/>
      <c r="AK36" s="1782" t="n"/>
      <c r="AL36" s="2634">
        <f>Languages!B447</f>
        <v/>
      </c>
      <c r="AM36" s="2635">
        <f>Languages!B448</f>
        <v/>
      </c>
      <c r="AN36" s="2155" t="n"/>
      <c r="AO36" s="2155" t="n"/>
      <c r="AP36" s="2599" t="n"/>
      <c r="AQ36" s="2155" t="n"/>
      <c r="AR36" s="2599" t="n"/>
      <c r="AS36" s="2565" t="n"/>
      <c r="AT36" s="2567" t="n"/>
      <c r="AU36" s="2567" t="n"/>
      <c r="AV36" s="2567" t="n"/>
      <c r="AW36" s="2572" t="n"/>
      <c r="AX36" s="2567" t="n"/>
      <c r="AY36" s="2567" t="n"/>
      <c r="AZ36" s="2574" t="n"/>
      <c r="BA36" s="2155" t="n"/>
      <c r="BB36" s="1782" t="n"/>
      <c r="BD36" s="4548" t="inlineStr">
        <is>
          <t>Use this part only if you want to refine yearly GHG fluxes</t>
        </is>
      </c>
    </row>
    <row r="37" ht="16" customHeight="1">
      <c r="B37" s="2081" t="n"/>
      <c r="C37" s="1781" t="n"/>
      <c r="D37" s="1781" t="n"/>
      <c r="E37" s="1781" t="n"/>
      <c r="F37" s="1781" t="n"/>
      <c r="G37" s="1781" t="n"/>
      <c r="H37" s="1781" t="n"/>
      <c r="I37" s="1781" t="n"/>
      <c r="J37" s="1781" t="n"/>
      <c r="K37" s="1781" t="n"/>
      <c r="L37" s="1781" t="n"/>
      <c r="M37" s="1781" t="n"/>
      <c r="N37" s="1781" t="n"/>
      <c r="O37" s="1781" t="n"/>
      <c r="P37" s="1781" t="n"/>
      <c r="Q37" s="1853" t="n"/>
      <c r="R37" s="2283">
        <f>Languages!B504</f>
        <v/>
      </c>
      <c r="S37" s="2115">
        <f>SUM(S12:S34)</f>
        <v/>
      </c>
      <c r="T37" s="2115">
        <f>SUM(T12:T34)</f>
        <v/>
      </c>
      <c r="U37" s="2039" t="n"/>
      <c r="V37" s="2116">
        <f>SUM(V12:V34)</f>
        <v/>
      </c>
      <c r="W37" s="2086" t="n"/>
      <c r="AK37" s="1782" t="n"/>
      <c r="AL37" s="1782" t="n"/>
      <c r="AM37" s="2635">
        <f>Languages!B449</f>
        <v/>
      </c>
      <c r="AN37" s="2573" t="n"/>
      <c r="AO37" s="2573" t="n"/>
      <c r="AP37" s="2573" t="n"/>
      <c r="AQ37" s="2573" t="n"/>
      <c r="AR37" s="2573" t="n"/>
      <c r="AS37" s="2573" t="n"/>
      <c r="AT37" s="2573" t="n"/>
      <c r="AU37" s="2573" t="n"/>
      <c r="AV37" s="2573" t="n"/>
      <c r="AW37" s="2574" t="n"/>
      <c r="AX37" s="2637" t="n"/>
      <c r="AY37" s="2573" t="n"/>
      <c r="AZ37" s="2634">
        <f>Languages!B450</f>
        <v/>
      </c>
      <c r="BA37" s="4119" t="inlineStr">
        <is>
          <t>NO</t>
        </is>
      </c>
      <c r="BB37" s="1782" t="n"/>
    </row>
    <row r="38">
      <c r="B38" s="1781" t="n"/>
      <c r="C38" s="1781" t="n"/>
      <c r="D38" s="1781" t="n"/>
      <c r="E38" s="1781" t="n"/>
      <c r="F38" s="1781" t="n"/>
      <c r="G38" s="1781" t="n"/>
      <c r="H38" s="1781" t="n"/>
      <c r="I38" s="1781" t="n"/>
      <c r="J38" s="1781" t="n"/>
      <c r="K38" s="1781" t="n"/>
      <c r="L38" s="1781" t="n"/>
      <c r="M38" s="1781" t="n"/>
      <c r="N38" s="1781" t="n"/>
      <c r="O38" s="1781" t="n"/>
      <c r="P38" s="1781" t="n"/>
      <c r="Q38" s="1781" t="n"/>
      <c r="R38" s="1781" t="n"/>
      <c r="S38" s="1781" t="n"/>
      <c r="T38" s="1781" t="n"/>
      <c r="U38" s="1781" t="n"/>
      <c r="V38" s="1781" t="n"/>
      <c r="W38" s="1781" t="n"/>
      <c r="AK38" s="1782" t="n"/>
      <c r="AL38" s="1782" t="n"/>
      <c r="AM38" s="1782" t="n"/>
      <c r="AN38" s="1782" t="n"/>
      <c r="AO38" s="1782" t="n"/>
      <c r="AP38" s="1782" t="n"/>
      <c r="AQ38" s="1782" t="n"/>
      <c r="AR38" s="1782" t="n"/>
      <c r="AS38" s="1782" t="n"/>
      <c r="AT38" s="1782" t="n"/>
      <c r="AU38" s="1782" t="n"/>
      <c r="AV38" s="1782" t="n"/>
      <c r="AW38" s="1782" t="n"/>
      <c r="AX38" s="1782" t="n"/>
      <c r="AY38" s="1782" t="n"/>
      <c r="AZ38" s="1782" t="n"/>
      <c r="BA38" s="1782" t="n"/>
      <c r="BB38" s="1782" t="n"/>
    </row>
    <row r="40" ht="61.25" customHeight="1"/>
    <row r="41" ht="45" customHeight="1">
      <c r="B41" s="1769" t="n"/>
      <c r="C41" s="2042">
        <f>Languages!B456</f>
        <v/>
      </c>
      <c r="D41" s="1769" t="n"/>
      <c r="E41" s="1769" t="n"/>
      <c r="F41" s="1769" t="n"/>
      <c r="G41" s="1769" t="n"/>
      <c r="H41" s="1769" t="n"/>
      <c r="I41" s="1769" t="n"/>
      <c r="J41" s="1769" t="n"/>
      <c r="K41" s="1769" t="n"/>
      <c r="L41" s="1769" t="n"/>
      <c r="M41" s="1769" t="n"/>
      <c r="N41" s="1769" t="n"/>
      <c r="O41" s="1769" t="n"/>
      <c r="P41" s="1769" t="n"/>
      <c r="Q41" s="1769" t="n"/>
      <c r="R41" s="1769" t="n"/>
      <c r="S41" s="1769" t="n"/>
      <c r="T41" s="1770">
        <f>T4</f>
        <v/>
      </c>
      <c r="U41" s="1769" t="n"/>
      <c r="V41" s="1769" t="n"/>
      <c r="W41" s="1769" t="n"/>
      <c r="AK41" s="2042">
        <f>C41</f>
        <v/>
      </c>
      <c r="AL41" s="1769" t="n"/>
      <c r="AM41" s="1769" t="n"/>
      <c r="AN41" s="1769" t="n"/>
      <c r="AO41" s="1769" t="n"/>
      <c r="AP41" s="1769" t="n"/>
      <c r="AQ41" s="1769" t="n"/>
      <c r="AR41" s="1769" t="n"/>
      <c r="AS41" s="1769" t="n"/>
      <c r="AT41" s="1769" t="n"/>
      <c r="AU41" s="1769" t="n"/>
      <c r="AV41" s="1769" t="n"/>
      <c r="AW41" s="1769" t="n"/>
      <c r="AX41" s="1769" t="n"/>
      <c r="AY41" s="1769" t="n"/>
      <c r="AZ41" s="1769" t="n"/>
      <c r="BA41" s="1769" t="n"/>
      <c r="BB41" s="1769" t="n"/>
      <c r="BD41" s="4404" t="inlineStr">
        <is>
          <t>Annual balance</t>
        </is>
      </c>
      <c r="BE41" s="4404" t="n"/>
      <c r="BF41" s="4404" t="n"/>
    </row>
    <row r="42" ht="5.25" customHeight="1">
      <c r="B42" s="1771" t="n"/>
      <c r="C42" s="1771" t="n"/>
      <c r="D42" s="1771" t="n"/>
      <c r="E42" s="1771" t="n"/>
      <c r="F42" s="1771" t="n"/>
      <c r="G42" s="1771" t="n"/>
      <c r="H42" s="1771" t="n"/>
      <c r="I42" s="1771" t="n"/>
      <c r="J42" s="1771" t="n"/>
      <c r="K42" s="1771" t="n"/>
      <c r="L42" s="1771" t="n"/>
      <c r="M42" s="1771" t="n"/>
      <c r="N42" s="1771" t="n"/>
      <c r="O42" s="1771" t="n"/>
      <c r="P42" s="1771" t="n"/>
      <c r="Q42" s="1771" t="n"/>
      <c r="R42" s="1771" t="n"/>
      <c r="S42" s="1771" t="n"/>
      <c r="T42" s="1771" t="n"/>
      <c r="U42" s="1771" t="n"/>
      <c r="V42" s="1771" t="n"/>
      <c r="W42" s="1771" t="n"/>
      <c r="AK42" s="1771" t="n"/>
      <c r="AL42" s="1771" t="n"/>
      <c r="AM42" s="1771" t="n"/>
      <c r="AN42" s="1771" t="n"/>
      <c r="AO42" s="1771" t="n"/>
      <c r="AP42" s="1771" t="n"/>
      <c r="AQ42" s="1771" t="n"/>
      <c r="AR42" s="1771" t="n"/>
      <c r="AS42" s="1771" t="n"/>
      <c r="AT42" s="1771" t="n"/>
      <c r="AU42" s="1771" t="n"/>
      <c r="AV42" s="1771" t="n"/>
      <c r="AW42" s="1771" t="n"/>
      <c r="AX42" s="1771" t="n"/>
      <c r="AY42" s="1771" t="n"/>
      <c r="AZ42" s="1771" t="n"/>
      <c r="BA42" s="1771" t="n"/>
      <c r="BB42" s="1771" t="n"/>
      <c r="BD42" s="1916" t="n"/>
      <c r="BE42" s="1916" t="n"/>
    </row>
    <row r="43" ht="16" customHeight="1">
      <c r="B43" s="2081" t="n"/>
      <c r="C43" s="2082" t="n"/>
      <c r="D43" s="2081" t="n"/>
      <c r="E43" s="2083" t="n"/>
      <c r="F43" s="2084" t="n"/>
      <c r="G43" s="2084" t="n"/>
      <c r="H43" s="2084" t="n"/>
      <c r="I43" s="2085" t="n"/>
      <c r="J43" s="2082" t="n"/>
      <c r="K43" s="2085" t="n"/>
      <c r="L43" s="2085" t="n"/>
      <c r="M43" s="2085" t="n"/>
      <c r="N43" s="2086" t="n"/>
      <c r="O43" s="2086" t="n"/>
      <c r="P43" s="2087" t="n"/>
      <c r="Q43" s="2088" t="n"/>
      <c r="R43" s="2088" t="n"/>
      <c r="S43" s="2089" t="n"/>
      <c r="T43" s="2090" t="n"/>
      <c r="U43" s="2089" t="n"/>
      <c r="V43" s="2090" t="n"/>
      <c r="W43" s="2089" t="n"/>
      <c r="AK43" s="2568" t="n"/>
      <c r="AL43" s="2569" t="n"/>
      <c r="AM43" s="2568" t="n"/>
      <c r="AN43" s="2570" t="n"/>
      <c r="AO43" s="2571" t="n"/>
      <c r="AP43" s="2571" t="n"/>
      <c r="AQ43" s="2571" t="n"/>
      <c r="AR43" s="2572" t="n"/>
      <c r="AS43" s="2569" t="n"/>
      <c r="AT43" s="2572" t="n"/>
      <c r="AU43" s="2572" t="n"/>
      <c r="AV43" s="2572" t="n"/>
      <c r="AW43" s="2573" t="n"/>
      <c r="AX43" s="2573" t="n"/>
      <c r="AY43" s="2574" t="n"/>
      <c r="AZ43" s="2575" t="n"/>
      <c r="BA43" s="2575" t="n"/>
      <c r="BB43" s="2565" t="n"/>
      <c r="BD43" s="1890" t="inlineStr">
        <is>
          <t xml:space="preserve">Start year of </t>
        </is>
      </c>
      <c r="BE43" s="1890" t="n"/>
      <c r="BF43" s="1997" t="n"/>
    </row>
    <row r="44" ht="16" customHeight="1">
      <c r="B44" s="2081" t="n"/>
      <c r="C44" s="2117">
        <f>Languages!B457</f>
        <v/>
      </c>
      <c r="D44" s="2091" t="n"/>
      <c r="E44" s="2083" t="n"/>
      <c r="F44" s="2084" t="n"/>
      <c r="G44" s="2084" t="n"/>
      <c r="H44" s="2084" t="n"/>
      <c r="I44" s="2085" t="n"/>
      <c r="J44" s="2082" t="n"/>
      <c r="K44" s="2085" t="n"/>
      <c r="L44" s="2085" t="n"/>
      <c r="M44" s="2085" t="n"/>
      <c r="N44" s="2086" t="n"/>
      <c r="O44" s="2086" t="n"/>
      <c r="P44" s="2087" t="n"/>
      <c r="Q44" s="2088" t="n"/>
      <c r="R44" s="2088" t="n"/>
      <c r="S44" s="2089" t="n"/>
      <c r="T44" s="2090" t="n"/>
      <c r="U44" s="2089" t="n"/>
      <c r="V44" s="2090" t="n"/>
      <c r="W44" s="2089" t="n"/>
      <c r="AK44" s="2576">
        <f>C44</f>
        <v/>
      </c>
      <c r="AL44" s="2576" t="n"/>
      <c r="AM44" s="2577" t="n"/>
      <c r="AN44" s="2570" t="n"/>
      <c r="AO44" s="2571" t="n"/>
      <c r="AP44" s="2571" t="n"/>
      <c r="AQ44" s="2571" t="n"/>
      <c r="AR44" s="2572" t="n"/>
      <c r="AS44" s="2569" t="n"/>
      <c r="AT44" s="2572" t="n"/>
      <c r="AU44" s="2572" t="n"/>
      <c r="AV44" s="2572" t="n"/>
      <c r="AW44" s="2573" t="n"/>
      <c r="AX44" s="2573" t="n"/>
      <c r="AY44" s="2574" t="n"/>
      <c r="AZ44" s="2575" t="n"/>
      <c r="BA44" s="2575" t="n"/>
      <c r="BB44" s="2565" t="n"/>
      <c r="BD44" s="2015" t="inlineStr">
        <is>
          <t>implementation</t>
        </is>
      </c>
      <c r="BE44" s="2015" t="n"/>
      <c r="BF44" s="1997" t="n"/>
    </row>
    <row r="45" ht="21" customHeight="1">
      <c r="B45" s="2081" t="n"/>
      <c r="C45" s="2092" t="n"/>
      <c r="D45" s="2093">
        <f>Languages!B458</f>
        <v/>
      </c>
      <c r="E45" s="2094" t="n"/>
      <c r="F45" s="2095" t="n"/>
      <c r="G45" s="2096" t="n"/>
      <c r="H45" s="2097" t="n"/>
      <c r="I45" s="2089" t="n"/>
      <c r="J45" s="2102" t="n"/>
      <c r="K45" s="2105" t="n"/>
      <c r="L45" s="2105" t="n"/>
      <c r="M45" s="2105" t="n"/>
      <c r="N45" s="1929" t="n"/>
      <c r="O45" s="1929" t="n"/>
      <c r="P45" s="2117" t="n"/>
      <c r="Q45" s="2081" t="n"/>
      <c r="R45" s="1929" t="n"/>
      <c r="S45" s="2118">
        <f>S8</f>
        <v/>
      </c>
      <c r="T45" s="2090" t="n"/>
      <c r="U45" s="2090" t="n"/>
      <c r="V45" s="2081">
        <f>V10</f>
        <v/>
      </c>
      <c r="W45" s="2082" t="n"/>
      <c r="AK45" s="1782" t="n"/>
      <c r="AL45" s="2578" t="n"/>
      <c r="AM45" s="2579" t="n"/>
      <c r="AN45" s="2568" t="n"/>
      <c r="AO45" s="2155" t="n"/>
      <c r="AP45" s="2580" t="n"/>
      <c r="AQ45" s="2581" t="n"/>
      <c r="AR45" s="2565" t="n"/>
      <c r="AS45" s="2582" t="n"/>
      <c r="AT45" s="2580">
        <f>Languages!B510</f>
        <v/>
      </c>
      <c r="AU45" s="2583" t="n"/>
      <c r="AV45" s="2583" t="n"/>
      <c r="AW45" s="2580" t="n"/>
      <c r="AX45" s="2580" t="n"/>
      <c r="AY45" s="2576" t="n"/>
      <c r="AZ45" s="2568" t="n"/>
      <c r="BA45" s="2580" t="n"/>
      <c r="BB45" s="2584" t="n"/>
      <c r="BD45" s="1997" t="n"/>
      <c r="BE45" s="1997" t="n"/>
      <c r="BF45" s="1997" t="n"/>
    </row>
    <row r="46" ht="16" customHeight="1">
      <c r="B46" s="2081" t="n"/>
      <c r="C46" s="2102" t="n"/>
      <c r="D46" s="2103" t="n"/>
      <c r="E46" s="2103" t="n"/>
      <c r="F46" s="2103" t="n"/>
      <c r="G46" s="2103" t="n"/>
      <c r="H46" s="2089" t="n"/>
      <c r="I46" s="2089" t="n"/>
      <c r="J46" s="2104" t="n"/>
      <c r="K46" s="2105" t="n"/>
      <c r="L46" s="2105" t="n"/>
      <c r="M46" s="2104" t="n"/>
      <c r="N46" s="1929" t="n"/>
      <c r="O46" s="1929" t="n"/>
      <c r="P46" s="2117" t="n"/>
      <c r="Q46" s="1929" t="n"/>
      <c r="R46" s="1929" t="n"/>
      <c r="S46" s="2090" t="n"/>
      <c r="T46" s="2090" t="n"/>
      <c r="U46" s="2090" t="n"/>
      <c r="V46" s="2090" t="n"/>
      <c r="W46" s="2089" t="n"/>
      <c r="AK46" s="2576">
        <f>Languages!B469</f>
        <v/>
      </c>
      <c r="AL46" s="2582" t="n"/>
      <c r="AM46" s="2594" t="n"/>
      <c r="AN46" s="2579">
        <f>AL10</f>
        <v/>
      </c>
      <c r="AO46" s="1782" t="n"/>
      <c r="AP46" s="2580">
        <f>AM10</f>
        <v/>
      </c>
      <c r="AQ46" s="2580">
        <f>AN10</f>
        <v/>
      </c>
      <c r="AR46" s="2565" t="n"/>
      <c r="AS46" s="2587" t="n"/>
      <c r="AT46" s="2583" t="n"/>
      <c r="AU46" s="2583" t="n"/>
      <c r="AV46" s="2587" t="n"/>
      <c r="AW46" s="2580" t="n"/>
      <c r="AX46" s="2580" t="n"/>
      <c r="AY46" s="2576" t="n"/>
      <c r="AZ46" s="2580" t="n"/>
      <c r="BA46" s="2580" t="n"/>
      <c r="BB46" s="2581" t="n"/>
      <c r="BD46" s="1997" t="n"/>
      <c r="BE46" s="1997" t="n"/>
      <c r="BF46" s="1997" t="n"/>
    </row>
    <row r="47" ht="16" customHeight="1">
      <c r="B47" s="2081" t="n"/>
      <c r="C47" s="1779">
        <f>Languages!B460</f>
        <v/>
      </c>
      <c r="D47" s="1929">
        <f>D10</f>
        <v/>
      </c>
      <c r="E47" s="1929">
        <f>E10</f>
        <v/>
      </c>
      <c r="F47" s="1929" t="n"/>
      <c r="G47" s="1929">
        <f>G10</f>
        <v/>
      </c>
      <c r="H47" s="1806" t="n"/>
      <c r="I47" s="2090" t="n"/>
      <c r="J47" s="1806" t="n"/>
      <c r="K47" s="1929" t="n"/>
      <c r="L47" s="1929" t="n"/>
      <c r="M47" s="1929" t="n"/>
      <c r="N47" s="1929" t="n"/>
      <c r="O47" s="1929" t="n"/>
      <c r="P47" s="1929" t="n"/>
      <c r="Q47" s="1929" t="n"/>
      <c r="R47" s="1806" t="n"/>
      <c r="S47" s="1929">
        <f>S10</f>
        <v/>
      </c>
      <c r="T47" s="1929">
        <f>T10</f>
        <v/>
      </c>
      <c r="U47" s="1929" t="n"/>
      <c r="V47" s="2090" t="n"/>
      <c r="W47" s="2089" t="n"/>
      <c r="AK47" s="2579">
        <f>Languages!B470</f>
        <v/>
      </c>
      <c r="AL47" s="2595" t="n"/>
      <c r="AM47" s="2155" t="n"/>
      <c r="AN47" s="2567" t="inlineStr">
        <is>
          <t>tCO2/MWh</t>
        </is>
      </c>
      <c r="AO47" s="2567" t="n"/>
      <c r="AP47" s="4427">
        <f>Inputs!C82</f>
        <v/>
      </c>
      <c r="AQ47" s="4806" t="n"/>
      <c r="AR47" s="2581" t="n"/>
      <c r="AS47" s="2155" t="n"/>
      <c r="AT47" s="2129" t="inlineStr">
        <is>
          <t>UNFCCC -  Operating Margin</t>
        </is>
      </c>
      <c r="AU47" s="2580" t="n"/>
      <c r="AV47" s="2580" t="n"/>
      <c r="AW47" s="2580" t="n"/>
      <c r="AX47" s="2580" t="n"/>
      <c r="AY47" s="2580" t="n"/>
      <c r="AZ47" s="2580" t="n"/>
      <c r="BA47" s="2155" t="n"/>
      <c r="BB47" s="2580" t="n"/>
      <c r="BD47" s="4401" t="n">
        <v>1</v>
      </c>
      <c r="BE47" s="4402" t="n"/>
      <c r="BF47" s="1997" t="n"/>
    </row>
    <row r="48" ht="16" customHeight="1">
      <c r="B48" s="2081" t="n"/>
      <c r="C48" s="1849">
        <f>Languages!B459</f>
        <v/>
      </c>
      <c r="D48" s="1806" t="n"/>
      <c r="E48" s="1806" t="n"/>
      <c r="F48" s="1929" t="inlineStr">
        <is>
          <t>*</t>
        </is>
      </c>
      <c r="G48" s="2103" t="n"/>
      <c r="H48" s="1929" t="inlineStr">
        <is>
          <t>*</t>
        </is>
      </c>
      <c r="I48" s="2090" t="n"/>
      <c r="J48" s="1806" t="n"/>
      <c r="K48" s="1929" t="n"/>
      <c r="L48" s="1929" t="n"/>
      <c r="M48" s="1929" t="n"/>
      <c r="N48" s="1929" t="n"/>
      <c r="O48" s="1929" t="n"/>
      <c r="P48" s="1929" t="n"/>
      <c r="Q48" s="1929" t="n"/>
      <c r="R48" s="1806" t="n"/>
      <c r="S48" s="1929" t="n"/>
      <c r="T48" s="1929" t="n"/>
      <c r="U48" s="1929" t="n"/>
      <c r="V48" s="2090" t="n"/>
      <c r="W48" s="2089" t="n"/>
      <c r="AK48" s="2579">
        <f>Languages!B471</f>
        <v/>
      </c>
      <c r="AL48" s="2595" t="n"/>
      <c r="AM48" s="2155" t="n"/>
      <c r="AN48" s="2567" t="inlineStr">
        <is>
          <t>%</t>
        </is>
      </c>
      <c r="AO48" s="2596" t="n"/>
      <c r="AP48" s="4207">
        <f>Inputs!C83</f>
        <v/>
      </c>
      <c r="AQ48" s="4272" t="n"/>
      <c r="AR48" s="2588" t="n"/>
      <c r="AS48" s="2155" t="n"/>
      <c r="AT48" s="2580" t="n"/>
      <c r="AU48" s="2580" t="n"/>
      <c r="AV48" s="2580" t="n"/>
      <c r="AW48" s="2580" t="n"/>
      <c r="AX48" s="2580" t="n"/>
      <c r="AY48" s="2580" t="n"/>
      <c r="AZ48" s="2580" t="n"/>
      <c r="BA48" s="2155" t="n"/>
      <c r="BB48" s="2580" t="n"/>
      <c r="BD48" s="4401" t="n"/>
      <c r="BE48" s="4401" t="n"/>
      <c r="BF48" s="1997" t="n"/>
    </row>
    <row r="49" ht="16" customHeight="1">
      <c r="B49" s="2081" t="n"/>
      <c r="C49" s="2119" t="inlineStr">
        <is>
          <t>Please select</t>
        </is>
      </c>
      <c r="D49" s="4349" t="n">
        <v>0</v>
      </c>
      <c r="E49" s="4350" t="n">
        <v>0</v>
      </c>
      <c r="F49" s="2108" t="inlineStr">
        <is>
          <t>D</t>
        </is>
      </c>
      <c r="G49" s="4350" t="n">
        <v>0</v>
      </c>
      <c r="H49" s="2108" t="inlineStr">
        <is>
          <t>D</t>
        </is>
      </c>
      <c r="I49" s="2090" t="n"/>
      <c r="J49" s="4413">
        <f>IFERROR(IF(AP47= AVERAGEIF(Elec!$B$5:$B$252,VLOOKUP(C49, Elec!A5:B252, 2, FALSE),Elec!$I$5:$I$252), "Please note that the Emission Factor provided is an average of EFs for the region of the selected country", IF(AP47=0, "No Operating Margin Emission Factor is available for the selected country. Please go to tier 2 to refine the analysis", "")), "")</f>
        <v/>
      </c>
      <c r="K49" s="1841" t="n"/>
      <c r="L49" s="1929" t="n"/>
      <c r="M49" s="1929" t="n"/>
      <c r="N49" s="1929" t="n"/>
      <c r="O49" s="1929" t="n"/>
      <c r="P49" s="2109" t="n"/>
      <c r="Q49" s="2109" t="n"/>
      <c r="R49" s="1806" t="n"/>
      <c r="S49" s="2109">
        <f>Inputs!O82</f>
        <v/>
      </c>
      <c r="T49" s="2109">
        <f>Inputs!P82</f>
        <v/>
      </c>
      <c r="U49" s="2109" t="n"/>
      <c r="V49" s="1929">
        <f>Inputs!Q82</f>
        <v/>
      </c>
      <c r="W49" s="2089" t="n"/>
      <c r="AK49" s="2579">
        <f>Languages!B461</f>
        <v/>
      </c>
      <c r="AL49" s="2261" t="n"/>
      <c r="AM49" s="2155" t="n"/>
      <c r="AN49" s="2567">
        <f>AN47</f>
        <v/>
      </c>
      <c r="AO49" s="2600" t="n"/>
      <c r="AP49" s="2567" t="n"/>
      <c r="AQ49" s="4806" t="n"/>
      <c r="AR49" s="2581" t="n"/>
      <c r="AS49" s="2589" t="n"/>
      <c r="AT49" s="2580" t="n"/>
      <c r="AU49" s="2580" t="n"/>
      <c r="AV49" s="2580" t="n"/>
      <c r="AW49" s="2580" t="n"/>
      <c r="AX49" s="2580" t="n"/>
      <c r="AY49" s="2590" t="n"/>
      <c r="AZ49" s="2590" t="n"/>
      <c r="BA49" s="2155" t="n"/>
      <c r="BB49" s="2590" t="n"/>
      <c r="BD49" s="4401" t="n">
        <v>1</v>
      </c>
      <c r="BE49" s="4402" t="n"/>
      <c r="BF49" s="1997" t="n"/>
    </row>
    <row r="50" ht="16" customHeight="1">
      <c r="A50" s="1813" t="inlineStr">
        <is>
          <t> </t>
        </is>
      </c>
      <c r="B50" s="2081" t="n"/>
      <c r="C50" s="2086">
        <f>CONCATENATE(Languages!B461,A50,AL50)</f>
        <v/>
      </c>
      <c r="D50" s="4349" t="n">
        <v>0</v>
      </c>
      <c r="E50" s="4350" t="n">
        <v>0</v>
      </c>
      <c r="F50" s="2108" t="inlineStr">
        <is>
          <t>D</t>
        </is>
      </c>
      <c r="G50" s="4350" t="n">
        <v>0</v>
      </c>
      <c r="H50" s="2108" t="inlineStr">
        <is>
          <t>D</t>
        </is>
      </c>
      <c r="I50" s="2090" t="n"/>
      <c r="J50" s="1841" t="n"/>
      <c r="K50" s="1841" t="n"/>
      <c r="L50" s="1929" t="n"/>
      <c r="M50" s="1929" t="n"/>
      <c r="N50" s="1929" t="n"/>
      <c r="O50" s="1929" t="n"/>
      <c r="P50" s="2109" t="n"/>
      <c r="Q50" s="2109" t="n"/>
      <c r="R50" s="1806" t="n"/>
      <c r="S50" s="2109">
        <f>Inputs!O84</f>
        <v/>
      </c>
      <c r="T50" s="2109">
        <f>Inputs!P84</f>
        <v/>
      </c>
      <c r="U50" s="2109" t="n"/>
      <c r="V50" s="1929">
        <f>Inputs!Q84</f>
        <v/>
      </c>
      <c r="W50" s="2089" t="n"/>
      <c r="AK50" s="2579">
        <f>AK48</f>
        <v/>
      </c>
      <c r="AL50" s="2591" t="n"/>
      <c r="AM50" s="2155" t="n"/>
      <c r="AN50" s="2567">
        <f>AN48</f>
        <v/>
      </c>
      <c r="AO50" s="2600" t="n"/>
      <c r="AP50" s="2601">
        <f>Inputs!C85</f>
        <v/>
      </c>
      <c r="AQ50" s="4273" t="n"/>
      <c r="AR50" s="2581" t="n"/>
      <c r="AS50" s="2589" t="n"/>
      <c r="AT50" s="2580" t="n"/>
      <c r="AU50" s="2580" t="n"/>
      <c r="AV50" s="2580" t="n"/>
      <c r="AW50" s="2580" t="n"/>
      <c r="AX50" s="2580" t="n"/>
      <c r="AY50" s="2590" t="n"/>
      <c r="AZ50" s="2590" t="n"/>
      <c r="BA50" s="2155" t="n"/>
      <c r="BB50" s="2590" t="n"/>
      <c r="BD50" s="4401" t="n"/>
      <c r="BE50" s="4401" t="n"/>
      <c r="BF50" s="1997" t="n"/>
    </row>
    <row r="51" ht="16" customHeight="1">
      <c r="B51" s="2081" t="n"/>
      <c r="C51" s="2100" t="n"/>
      <c r="D51" s="2100" t="n"/>
      <c r="E51" s="2100" t="n"/>
      <c r="F51" s="2100" t="n"/>
      <c r="G51" s="2100" t="n"/>
      <c r="H51" s="2100" t="n"/>
      <c r="I51" s="1849" t="n"/>
      <c r="J51" s="1841" t="n"/>
      <c r="K51" s="1841" t="n"/>
      <c r="L51" s="1929" t="n"/>
      <c r="M51" s="1929" t="n"/>
      <c r="N51" s="1929" t="n"/>
      <c r="O51" s="1929" t="n"/>
      <c r="P51" s="2109" t="n"/>
      <c r="Q51" s="2109" t="n"/>
      <c r="R51" s="1806" t="n"/>
      <c r="S51" s="2109" t="n"/>
      <c r="T51" s="2109" t="n"/>
      <c r="U51" s="2109" t="n"/>
      <c r="V51" s="1929" t="n"/>
      <c r="W51" s="2089" t="n"/>
      <c r="AK51" s="2568" t="n"/>
      <c r="AL51" s="2591" t="n"/>
      <c r="AM51" s="2591" t="n"/>
      <c r="AN51" s="2323" t="n"/>
      <c r="AO51" s="2323" t="n"/>
      <c r="AP51" s="2323" t="n"/>
      <c r="AQ51" s="2323" t="n"/>
      <c r="AR51" s="2591" t="n"/>
      <c r="AS51" s="2589" t="n"/>
      <c r="AT51" s="2589" t="n"/>
      <c r="AU51" s="2580" t="n"/>
      <c r="AV51" s="2580" t="n"/>
      <c r="AW51" s="2580" t="n"/>
      <c r="AX51" s="2580" t="n"/>
      <c r="AY51" s="2590" t="n"/>
      <c r="AZ51" s="2590" t="n"/>
      <c r="BA51" s="2155" t="n"/>
      <c r="BB51" s="2590" t="n"/>
      <c r="BD51" s="4401" t="n"/>
      <c r="BE51" s="4401" t="n"/>
      <c r="BF51" s="1997" t="n"/>
    </row>
    <row r="52" ht="16" customHeight="1">
      <c r="B52" s="2081" t="n"/>
      <c r="C52" s="2117">
        <f>Languages!B462</f>
        <v/>
      </c>
      <c r="D52" s="2103" t="n"/>
      <c r="E52" s="2103" t="n"/>
      <c r="F52" s="2086" t="n"/>
      <c r="G52" s="2086" t="n"/>
      <c r="H52" s="2086" t="n"/>
      <c r="I52" s="2089" t="n"/>
      <c r="J52" s="2081" t="n"/>
      <c r="K52" s="2105" t="n"/>
      <c r="L52" s="2105" t="n"/>
      <c r="M52" s="2105" t="n"/>
      <c r="N52" s="2105" t="n"/>
      <c r="O52" s="1929" t="n"/>
      <c r="P52" s="2109" t="n"/>
      <c r="Q52" s="2109" t="n"/>
      <c r="R52" s="1929" t="n"/>
      <c r="S52" s="2109" t="n"/>
      <c r="T52" s="2109" t="n"/>
      <c r="U52" s="2110" t="n"/>
      <c r="V52" s="1929" t="n"/>
      <c r="W52" s="2089" t="n"/>
      <c r="AK52" s="2576">
        <f>Languages!B463</f>
        <v/>
      </c>
      <c r="AL52" s="2595" t="n"/>
      <c r="AM52" s="2594" t="n"/>
      <c r="AN52" s="2602" t="n"/>
      <c r="AO52" s="2598" t="n"/>
      <c r="AP52" s="2598" t="n"/>
      <c r="AQ52" s="2598" t="n"/>
      <c r="AR52" s="2565" t="n"/>
      <c r="AS52" s="2568" t="n"/>
      <c r="AT52" s="2583" t="n"/>
      <c r="AU52" s="2583" t="n"/>
      <c r="AV52" s="2583" t="n"/>
      <c r="AW52" s="2583" t="n"/>
      <c r="AX52" s="2580" t="n"/>
      <c r="AY52" s="2590" t="n"/>
      <c r="AZ52" s="2590" t="n"/>
      <c r="BA52" s="2580" t="n"/>
      <c r="BB52" s="2590" t="n"/>
      <c r="BD52" s="4401" t="n"/>
      <c r="BE52" s="4401" t="n"/>
      <c r="BF52" s="1997" t="n"/>
    </row>
    <row r="53" ht="16" customHeight="1">
      <c r="B53" s="2081" t="n"/>
      <c r="C53" s="2119" t="inlineStr">
        <is>
          <t>Please select</t>
        </is>
      </c>
      <c r="D53" s="4349" t="n">
        <v>0</v>
      </c>
      <c r="E53" s="4350" t="n">
        <v>0</v>
      </c>
      <c r="F53" s="2108" t="inlineStr">
        <is>
          <t>D</t>
        </is>
      </c>
      <c r="G53" s="4350" t="n">
        <v>0</v>
      </c>
      <c r="H53" s="2108" t="inlineStr">
        <is>
          <t>D</t>
        </is>
      </c>
      <c r="I53" s="2089" t="n"/>
      <c r="J53" s="1841" t="n"/>
      <c r="K53" s="1841" t="n"/>
      <c r="L53" s="1838" t="n"/>
      <c r="M53" s="2111" t="n"/>
      <c r="N53" s="2111" t="n"/>
      <c r="O53" s="1838" t="n"/>
      <c r="P53" s="2109" t="n"/>
      <c r="Q53" s="2109" t="n"/>
      <c r="R53" s="2112" t="inlineStr">
        <is>
          <t>Manufactured in the country</t>
        </is>
      </c>
      <c r="S53" s="2109">
        <f>Inputs!O88</f>
        <v/>
      </c>
      <c r="T53" s="2109">
        <f>Inputs!P88</f>
        <v/>
      </c>
      <c r="U53" s="2109" t="n"/>
      <c r="V53" s="1929">
        <f>Inputs!Q88</f>
        <v/>
      </c>
      <c r="W53" s="2089" t="n"/>
      <c r="AK53" s="2579">
        <f>C53</f>
        <v/>
      </c>
      <c r="AL53" s="2591" t="n"/>
      <c r="AM53" s="2155" t="n"/>
      <c r="AN53" s="2567" t="inlineStr">
        <is>
          <t>tCO2-e/m3</t>
        </is>
      </c>
      <c r="AO53" s="2600" t="n"/>
      <c r="AP53" s="4732">
        <f>Inputs!C88</f>
        <v/>
      </c>
      <c r="AQ53" s="4141" t="n"/>
      <c r="AR53" s="2565" t="n"/>
      <c r="AS53" s="2589" t="n"/>
      <c r="AT53" s="2589" t="n"/>
      <c r="AU53" s="2567" t="n"/>
      <c r="AV53" s="2592" t="n"/>
      <c r="AW53" s="2592" t="n"/>
      <c r="AX53" s="2567" t="n"/>
      <c r="AY53" s="2590" t="n"/>
      <c r="AZ53" s="2590" t="n"/>
      <c r="BA53" s="2593" t="n"/>
      <c r="BB53" s="2590" t="n"/>
      <c r="BD53" s="4401" t="n">
        <v>1</v>
      </c>
      <c r="BE53" s="4402" t="n"/>
      <c r="BF53" s="1997" t="n"/>
    </row>
    <row r="54" ht="16" customHeight="1">
      <c r="B54" s="2081" t="n"/>
      <c r="C54" s="2119" t="inlineStr">
        <is>
          <t>Please select</t>
        </is>
      </c>
      <c r="D54" s="4349" t="n">
        <v>0</v>
      </c>
      <c r="E54" s="4350" t="n">
        <v>0</v>
      </c>
      <c r="F54" s="2108" t="inlineStr">
        <is>
          <t>D</t>
        </is>
      </c>
      <c r="G54" s="4350" t="n">
        <v>0</v>
      </c>
      <c r="H54" s="2108" t="inlineStr">
        <is>
          <t>D</t>
        </is>
      </c>
      <c r="I54" s="2089" t="n"/>
      <c r="J54" s="1929" t="n"/>
      <c r="K54" s="1929" t="n"/>
      <c r="L54" s="1838" t="n"/>
      <c r="M54" s="2111" t="n"/>
      <c r="N54" s="2111" t="n"/>
      <c r="O54" s="1838" t="n"/>
      <c r="P54" s="2109" t="n"/>
      <c r="Q54" s="2109" t="n"/>
      <c r="R54" s="1806" t="n"/>
      <c r="S54" s="2109">
        <f>Inputs!O89</f>
        <v/>
      </c>
      <c r="T54" s="2109">
        <f>Inputs!P89</f>
        <v/>
      </c>
      <c r="U54" s="2109" t="n"/>
      <c r="V54" s="1929">
        <f>Inputs!Q89</f>
        <v/>
      </c>
      <c r="W54" s="2089" t="n"/>
      <c r="AK54" s="2579">
        <f>C54</f>
        <v/>
      </c>
      <c r="AL54" s="2591" t="n"/>
      <c r="AM54" s="2155" t="n"/>
      <c r="AN54" s="2567">
        <f>AN53</f>
        <v/>
      </c>
      <c r="AO54" s="2600" t="n"/>
      <c r="AP54" s="4732">
        <f>Inputs!C89</f>
        <v/>
      </c>
      <c r="AQ54" s="4141" t="n"/>
      <c r="AR54" s="2565" t="n"/>
      <c r="AS54" s="2580" t="n"/>
      <c r="AT54" s="2580" t="n"/>
      <c r="AU54" s="2567" t="n"/>
      <c r="AV54" s="2592" t="n"/>
      <c r="AW54" s="2592" t="n"/>
      <c r="AX54" s="2567" t="n"/>
      <c r="AY54" s="2590" t="n"/>
      <c r="AZ54" s="2590" t="n"/>
      <c r="BA54" s="2155" t="n"/>
      <c r="BB54" s="2590" t="n"/>
      <c r="BD54" s="4401" t="n">
        <v>1</v>
      </c>
      <c r="BE54" s="4402" t="n"/>
      <c r="BF54" s="1997" t="n"/>
    </row>
    <row r="55" ht="16" customHeight="1">
      <c r="B55" s="2081" t="n"/>
      <c r="C55" s="2119" t="inlineStr">
        <is>
          <t>Please select</t>
        </is>
      </c>
      <c r="D55" s="4349" t="n">
        <v>0</v>
      </c>
      <c r="E55" s="4350" t="n">
        <v>0</v>
      </c>
      <c r="F55" s="2108" t="inlineStr">
        <is>
          <t>D</t>
        </is>
      </c>
      <c r="G55" s="4350" t="n">
        <v>0</v>
      </c>
      <c r="H55" s="2108" t="inlineStr">
        <is>
          <t>D</t>
        </is>
      </c>
      <c r="I55" s="2089" t="n"/>
      <c r="J55" s="1929" t="n"/>
      <c r="K55" s="1929" t="n"/>
      <c r="L55" s="1838" t="n"/>
      <c r="M55" s="1929" t="n"/>
      <c r="N55" s="1929" t="n"/>
      <c r="O55" s="1838" t="n"/>
      <c r="P55" s="2109" t="n"/>
      <c r="Q55" s="2109" t="n"/>
      <c r="R55" s="1806" t="n"/>
      <c r="S55" s="2109">
        <f>Inputs!O90</f>
        <v/>
      </c>
      <c r="T55" s="2109">
        <f>Inputs!P90</f>
        <v/>
      </c>
      <c r="U55" s="2109" t="n"/>
      <c r="V55" s="1929">
        <f>Inputs!Q90</f>
        <v/>
      </c>
      <c r="W55" s="2089" t="n"/>
      <c r="AK55" s="2579">
        <f>C55</f>
        <v/>
      </c>
      <c r="AL55" s="2591" t="n"/>
      <c r="AM55" s="2155" t="n"/>
      <c r="AN55" s="2567">
        <f>AN53</f>
        <v/>
      </c>
      <c r="AO55" s="2600" t="n"/>
      <c r="AP55" s="4732">
        <f>Inputs!C90</f>
        <v/>
      </c>
      <c r="AQ55" s="4141" t="n"/>
      <c r="AR55" s="2565" t="n"/>
      <c r="AS55" s="2580" t="n"/>
      <c r="AT55" s="2580" t="n"/>
      <c r="AU55" s="2567" t="n"/>
      <c r="AV55" s="2580" t="n"/>
      <c r="AW55" s="2580" t="n"/>
      <c r="AX55" s="2567" t="n"/>
      <c r="AY55" s="2590" t="n"/>
      <c r="AZ55" s="2590" t="n"/>
      <c r="BA55" s="2155" t="n"/>
      <c r="BB55" s="2590" t="n"/>
      <c r="BD55" s="4401" t="n">
        <v>1</v>
      </c>
      <c r="BE55" s="4402" t="n"/>
      <c r="BF55" s="1997" t="n"/>
    </row>
    <row r="56" ht="16" customHeight="1">
      <c r="B56" s="2081" t="n"/>
      <c r="C56" s="2119" t="inlineStr">
        <is>
          <t>Please select</t>
        </is>
      </c>
      <c r="D56" s="4349" t="n">
        <v>0</v>
      </c>
      <c r="E56" s="4350" t="n">
        <v>0</v>
      </c>
      <c r="F56" s="2108" t="inlineStr">
        <is>
          <t>D</t>
        </is>
      </c>
      <c r="G56" s="4350" t="n">
        <v>0</v>
      </c>
      <c r="H56" s="2108" t="inlineStr">
        <is>
          <t>D</t>
        </is>
      </c>
      <c r="I56" s="2089" t="n"/>
      <c r="J56" s="1929" t="n"/>
      <c r="K56" s="1929" t="n"/>
      <c r="L56" s="1838" t="n"/>
      <c r="M56" s="1929" t="n"/>
      <c r="N56" s="1929" t="n"/>
      <c r="O56" s="1838" t="n"/>
      <c r="P56" s="2109" t="n"/>
      <c r="Q56" s="2109" t="n"/>
      <c r="R56" s="1806" t="n"/>
      <c r="S56" s="2109">
        <f>Inputs!O91</f>
        <v/>
      </c>
      <c r="T56" s="2109">
        <f>Inputs!P91</f>
        <v/>
      </c>
      <c r="U56" s="2109" t="n"/>
      <c r="V56" s="1929">
        <f>Inputs!Q91</f>
        <v/>
      </c>
      <c r="W56" s="2089" t="n"/>
      <c r="AK56" s="2579">
        <f>C56</f>
        <v/>
      </c>
      <c r="AL56" s="2591" t="n"/>
      <c r="AM56" s="2155" t="n"/>
      <c r="AN56" s="2567">
        <f>AN53</f>
        <v/>
      </c>
      <c r="AO56" s="2600" t="n"/>
      <c r="AP56" s="4732">
        <f>Inputs!C91</f>
        <v/>
      </c>
      <c r="AQ56" s="4141" t="n"/>
      <c r="AR56" s="2565" t="n"/>
      <c r="AS56" s="2580" t="n"/>
      <c r="AT56" s="2580" t="n"/>
      <c r="AU56" s="2567" t="n"/>
      <c r="AV56" s="2580" t="n"/>
      <c r="AW56" s="2580" t="n"/>
      <c r="AX56" s="2567" t="n"/>
      <c r="AY56" s="2590" t="n"/>
      <c r="AZ56" s="2590" t="n"/>
      <c r="BA56" s="2155" t="n"/>
      <c r="BB56" s="2590" t="n"/>
      <c r="BD56" s="4401" t="n">
        <v>1</v>
      </c>
      <c r="BE56" s="4402" t="n"/>
      <c r="BF56" s="1997" t="n"/>
    </row>
    <row r="57" ht="16" customHeight="1">
      <c r="A57" s="1813" t="inlineStr">
        <is>
          <t> </t>
        </is>
      </c>
      <c r="B57" s="2081" t="n"/>
      <c r="C57" s="2086">
        <f>CONCATENATE(Languages!B461,A57,AL57)</f>
        <v/>
      </c>
      <c r="D57" s="4349" t="n">
        <v>0</v>
      </c>
      <c r="E57" s="4350" t="n">
        <v>0</v>
      </c>
      <c r="F57" s="2108" t="inlineStr">
        <is>
          <t>D</t>
        </is>
      </c>
      <c r="G57" s="4350" t="n">
        <v>0</v>
      </c>
      <c r="H57" s="2108" t="inlineStr">
        <is>
          <t>D</t>
        </is>
      </c>
      <c r="I57" s="2089" t="n"/>
      <c r="J57" s="1838" t="n"/>
      <c r="K57" s="1838" t="n"/>
      <c r="L57" s="1838" t="n"/>
      <c r="M57" s="2105" t="n"/>
      <c r="N57" s="1838" t="n"/>
      <c r="O57" s="1838" t="n"/>
      <c r="P57" s="2109" t="n"/>
      <c r="Q57" s="2109" t="n"/>
      <c r="R57" s="1806" t="n"/>
      <c r="S57" s="2109">
        <f>Inputs!O92</f>
        <v/>
      </c>
      <c r="T57" s="2109">
        <f>Inputs!P92</f>
        <v/>
      </c>
      <c r="U57" s="2109" t="n"/>
      <c r="V57" s="1929">
        <f>Inputs!Q92</f>
        <v/>
      </c>
      <c r="W57" s="2089" t="n"/>
      <c r="AK57" s="2579">
        <f>C57</f>
        <v/>
      </c>
      <c r="AL57" s="1783" t="n"/>
      <c r="AM57" s="2155" t="n"/>
      <c r="AN57" s="2567">
        <f>AN53</f>
        <v/>
      </c>
      <c r="AO57" s="2599" t="n"/>
      <c r="AP57" s="2567" t="n"/>
      <c r="AQ57" s="4141" t="n"/>
      <c r="AR57" s="2565" t="n"/>
      <c r="AS57" s="2567" t="n"/>
      <c r="AT57" s="2567" t="n"/>
      <c r="AU57" s="2567" t="n"/>
      <c r="AV57" s="2583" t="n"/>
      <c r="AW57" s="2567" t="n"/>
      <c r="AX57" s="2567" t="n"/>
      <c r="AY57" s="2590" t="n"/>
      <c r="AZ57" s="2590" t="n"/>
      <c r="BA57" s="2155" t="n"/>
      <c r="BB57" s="2590" t="n"/>
      <c r="BD57" s="4401" t="n">
        <v>1</v>
      </c>
      <c r="BE57" s="4402" t="n"/>
      <c r="BF57" s="1997" t="n"/>
    </row>
    <row r="58" ht="16" customHeight="1">
      <c r="B58" s="2081" t="n"/>
      <c r="C58" s="2121" t="n"/>
      <c r="D58" s="1929" t="n"/>
      <c r="E58" s="1929" t="n"/>
      <c r="F58" s="2122" t="n"/>
      <c r="G58" s="1929" t="n"/>
      <c r="H58" s="2122" t="n"/>
      <c r="I58" s="2089" t="n"/>
      <c r="J58" s="1838" t="n"/>
      <c r="K58" s="1838" t="n"/>
      <c r="L58" s="1838" t="n"/>
      <c r="M58" s="2105" t="n"/>
      <c r="N58" s="1838" t="n"/>
      <c r="O58" s="1838" t="n"/>
      <c r="P58" s="2109" t="n"/>
      <c r="Q58" s="2109" t="n"/>
      <c r="R58" s="1806" t="n"/>
      <c r="S58" s="2109" t="n"/>
      <c r="T58" s="2109" t="n"/>
      <c r="U58" s="1843" t="n"/>
      <c r="V58" s="1929" t="n"/>
      <c r="W58" s="2089" t="n"/>
      <c r="AK58" s="2568" t="n"/>
      <c r="AL58" s="1783" t="n"/>
      <c r="AM58" s="2155" t="n"/>
      <c r="AN58" s="2567" t="n"/>
      <c r="AO58" s="2599" t="n"/>
      <c r="AP58" s="2567" t="n"/>
      <c r="AQ58" s="2599" t="n"/>
      <c r="AR58" s="2565" t="n"/>
      <c r="AS58" s="2567" t="n"/>
      <c r="AT58" s="2567" t="n"/>
      <c r="AU58" s="2567" t="n"/>
      <c r="AV58" s="2583" t="n"/>
      <c r="AW58" s="2567" t="n"/>
      <c r="AX58" s="2567" t="n"/>
      <c r="AY58" s="2590" t="n"/>
      <c r="AZ58" s="2590" t="n"/>
      <c r="BA58" s="2155" t="n"/>
      <c r="BB58" s="2590" t="n"/>
      <c r="BD58" s="4401" t="n"/>
      <c r="BE58" s="4401" t="n"/>
      <c r="BF58" s="1997" t="n"/>
    </row>
    <row r="59" ht="16" customHeight="1">
      <c r="B59" s="2081" t="n"/>
      <c r="C59" s="2117">
        <f>Languages!B464</f>
        <v/>
      </c>
      <c r="D59" s="2086" t="n"/>
      <c r="E59" s="2086" t="n"/>
      <c r="F59" s="2086" t="n"/>
      <c r="G59" s="2086" t="n"/>
      <c r="H59" s="2086" t="n"/>
      <c r="I59" s="2089" t="n"/>
      <c r="J59" s="1929" t="n"/>
      <c r="K59" s="1929" t="n"/>
      <c r="L59" s="1838" t="n"/>
      <c r="M59" s="2111" t="n"/>
      <c r="N59" s="2111" t="n"/>
      <c r="O59" s="1838" t="n"/>
      <c r="P59" s="2109" t="n"/>
      <c r="Q59" s="2109" t="n"/>
      <c r="R59" s="1806" t="n"/>
      <c r="S59" s="1781" t="n"/>
      <c r="T59" s="1781" t="n"/>
      <c r="U59" s="1781" t="n"/>
      <c r="V59" s="1781" t="n"/>
      <c r="W59" s="2089" t="n"/>
      <c r="AK59" s="2576">
        <f>Languages!B465</f>
        <v/>
      </c>
      <c r="AL59" s="2595" t="n"/>
      <c r="AM59" s="1782" t="n"/>
      <c r="AN59" s="2598" t="n"/>
      <c r="AO59" s="2598" t="n"/>
      <c r="AP59" s="2598" t="n"/>
      <c r="AQ59" s="2598" t="n"/>
      <c r="AR59" s="2565" t="n"/>
      <c r="AS59" s="2580" t="n"/>
      <c r="AT59" s="2580" t="n"/>
      <c r="AU59" s="2567" t="n"/>
      <c r="AV59" s="2592" t="n"/>
      <c r="AW59" s="2592" t="n"/>
      <c r="AX59" s="2567" t="n"/>
      <c r="AY59" s="2590" t="n"/>
      <c r="AZ59" s="2590" t="n"/>
      <c r="BA59" s="2155" t="n"/>
      <c r="BB59" s="1782" t="n"/>
      <c r="BD59" s="4401" t="n"/>
      <c r="BE59" s="4401" t="n"/>
      <c r="BF59" s="1997" t="n"/>
    </row>
    <row r="60" ht="16" customHeight="1">
      <c r="B60" s="2081" t="n"/>
      <c r="C60" s="2100">
        <f>Languages!B466</f>
        <v/>
      </c>
      <c r="D60" s="4349" t="n">
        <v>0</v>
      </c>
      <c r="E60" s="4350" t="n">
        <v>0</v>
      </c>
      <c r="F60" s="2108" t="inlineStr">
        <is>
          <t>D</t>
        </is>
      </c>
      <c r="G60" s="4350" t="n">
        <v>0</v>
      </c>
      <c r="H60" s="2108" t="inlineStr">
        <is>
          <t>D</t>
        </is>
      </c>
      <c r="I60" s="2089" t="n"/>
      <c r="J60" s="1929" t="n"/>
      <c r="K60" s="1929" t="n"/>
      <c r="L60" s="1838" t="n"/>
      <c r="M60" s="2111" t="n"/>
      <c r="N60" s="2111" t="n"/>
      <c r="O60" s="1838" t="n"/>
      <c r="P60" s="2109" t="n"/>
      <c r="Q60" s="2109" t="n"/>
      <c r="R60" s="1806" t="n"/>
      <c r="S60" s="2109">
        <f>Inputs!O95</f>
        <v/>
      </c>
      <c r="T60" s="2109">
        <f>Inputs!P95</f>
        <v/>
      </c>
      <c r="U60" s="1843" t="n"/>
      <c r="V60" s="1929">
        <f>Inputs!Q95</f>
        <v/>
      </c>
      <c r="W60" s="2089" t="n"/>
      <c r="AK60" s="2579">
        <f>C60</f>
        <v/>
      </c>
      <c r="AL60" s="2591" t="n"/>
      <c r="AM60" s="2155" t="n"/>
      <c r="AN60" s="2567">
        <f>CONCATENATE("tCO2-e/t d.m. ",AK60)</f>
        <v/>
      </c>
      <c r="AO60" s="2600" t="n"/>
      <c r="AP60" s="4732">
        <f>Inputs!C95</f>
        <v/>
      </c>
      <c r="AQ60" s="4803" t="n"/>
      <c r="AR60" s="2565" t="n"/>
      <c r="AS60" s="2580" t="n"/>
      <c r="AT60" s="2566">
        <f>Languages!B511</f>
        <v/>
      </c>
      <c r="AU60" s="4274" t="inlineStr">
        <is>
          <t>No</t>
        </is>
      </c>
      <c r="AV60" s="2592" t="n"/>
      <c r="AW60" s="2592" t="n"/>
      <c r="AX60" s="2567" t="n"/>
      <c r="AY60" s="2590" t="n"/>
      <c r="AZ60" s="2590" t="n"/>
      <c r="BA60" s="2155" t="n"/>
      <c r="BB60" s="2590" t="n"/>
      <c r="BD60" s="4401" t="n">
        <v>1</v>
      </c>
      <c r="BE60" s="4402" t="n"/>
      <c r="BF60" s="1997" t="n"/>
    </row>
    <row r="61" ht="16" customHeight="1">
      <c r="B61" s="2081" t="n"/>
      <c r="C61" s="2100">
        <f>Languages!B468</f>
        <v/>
      </c>
      <c r="D61" s="4349" t="n">
        <v>0</v>
      </c>
      <c r="E61" s="4350" t="n">
        <v>0</v>
      </c>
      <c r="F61" s="2108" t="inlineStr">
        <is>
          <t>D</t>
        </is>
      </c>
      <c r="G61" s="4350" t="n">
        <v>0</v>
      </c>
      <c r="H61" s="2108" t="inlineStr">
        <is>
          <t>D</t>
        </is>
      </c>
      <c r="I61" s="2089" t="n"/>
      <c r="J61" s="1929" t="n"/>
      <c r="K61" s="1929" t="n"/>
      <c r="L61" s="1838" t="n"/>
      <c r="M61" s="2111" t="n"/>
      <c r="N61" s="2111" t="n"/>
      <c r="O61" s="1838" t="n"/>
      <c r="P61" s="2109" t="n"/>
      <c r="Q61" s="2109" t="n"/>
      <c r="R61" s="1806" t="n"/>
      <c r="S61" s="2109">
        <f>Inputs!O96</f>
        <v/>
      </c>
      <c r="T61" s="2109">
        <f>Inputs!P96</f>
        <v/>
      </c>
      <c r="U61" s="1843" t="n"/>
      <c r="V61" s="1929">
        <f>Inputs!Q96</f>
        <v/>
      </c>
      <c r="W61" s="2089" t="n"/>
      <c r="AK61" s="2579">
        <f>C61</f>
        <v/>
      </c>
      <c r="AL61" s="2591" t="n"/>
      <c r="AM61" s="2155" t="n"/>
      <c r="AN61" s="2567">
        <f>CONCATENATE("tCO2-e/t d.m. ",AK61)</f>
        <v/>
      </c>
      <c r="AO61" s="2600" t="n"/>
      <c r="AP61" s="4732">
        <f>Inputs!C96</f>
        <v/>
      </c>
      <c r="AQ61" s="4803" t="n"/>
      <c r="AR61" s="2565" t="n"/>
      <c r="AS61" s="2580" t="n"/>
      <c r="AT61" s="2566">
        <f>AT60</f>
        <v/>
      </c>
      <c r="AU61" s="4274" t="inlineStr">
        <is>
          <t>No</t>
        </is>
      </c>
      <c r="AV61" s="2592" t="n"/>
      <c r="AW61" s="2592" t="n"/>
      <c r="AX61" s="2567" t="n"/>
      <c r="AY61" s="2590" t="n"/>
      <c r="AZ61" s="2590" t="n"/>
      <c r="BA61" s="2155" t="n"/>
      <c r="BB61" s="2590" t="n"/>
      <c r="BD61" s="4401" t="n">
        <v>1</v>
      </c>
      <c r="BE61" s="4402" t="n"/>
      <c r="BF61" s="1997" t="n"/>
    </row>
    <row r="62" ht="16" customHeight="1">
      <c r="B62" s="2081" t="n"/>
      <c r="C62" s="2100">
        <f>Languages!B473</f>
        <v/>
      </c>
      <c r="D62" s="4349" t="n">
        <v>0</v>
      </c>
      <c r="E62" s="4350" t="n">
        <v>0</v>
      </c>
      <c r="F62" s="2108" t="inlineStr">
        <is>
          <t>D</t>
        </is>
      </c>
      <c r="G62" s="4350" t="n">
        <v>0</v>
      </c>
      <c r="H62" s="2108" t="inlineStr">
        <is>
          <t>D</t>
        </is>
      </c>
      <c r="I62" s="2089" t="n"/>
      <c r="J62" s="1929" t="n"/>
      <c r="K62" s="1929" t="n"/>
      <c r="L62" s="1838" t="n"/>
      <c r="M62" s="2111" t="n"/>
      <c r="N62" s="2111" t="n"/>
      <c r="O62" s="1838" t="n"/>
      <c r="P62" s="1929" t="n"/>
      <c r="Q62" s="1929" t="n"/>
      <c r="R62" s="1806" t="n"/>
      <c r="S62" s="2109">
        <f>Inputs!O97</f>
        <v/>
      </c>
      <c r="T62" s="2109">
        <f>Inputs!P97</f>
        <v/>
      </c>
      <c r="U62" s="1843" t="n"/>
      <c r="V62" s="1929">
        <f>Inputs!Q97</f>
        <v/>
      </c>
      <c r="W62" s="2089" t="n"/>
      <c r="AK62" s="2579">
        <f>C62</f>
        <v/>
      </c>
      <c r="AL62" s="2591" t="n"/>
      <c r="AM62" s="2155" t="n"/>
      <c r="AN62" s="2567">
        <f>CONCATENATE("tCO2-e/t d.m. ",AK62)</f>
        <v/>
      </c>
      <c r="AO62" s="2600" t="n"/>
      <c r="AP62" s="4732">
        <f>Inputs!C97</f>
        <v/>
      </c>
      <c r="AQ62" s="4803" t="n"/>
      <c r="AR62" s="2565" t="n"/>
      <c r="AS62" s="2580" t="n"/>
      <c r="AT62" s="2566">
        <f>AT61</f>
        <v/>
      </c>
      <c r="AU62" s="4274" t="inlineStr">
        <is>
          <t>No</t>
        </is>
      </c>
      <c r="AV62" s="2592" t="n"/>
      <c r="AW62" s="2592" t="n"/>
      <c r="AX62" s="2567" t="n"/>
      <c r="AY62" s="2580" t="n"/>
      <c r="AZ62" s="2580" t="n"/>
      <c r="BA62" s="2155" t="n"/>
      <c r="BB62" s="2590" t="n"/>
      <c r="BD62" s="4401" t="n">
        <v>1</v>
      </c>
      <c r="BE62" s="4402" t="n"/>
      <c r="BF62" s="1997" t="n"/>
    </row>
    <row r="63" ht="16" customHeight="1">
      <c r="B63" s="2081" t="n"/>
      <c r="C63" s="2100">
        <f>Languages!B467</f>
        <v/>
      </c>
      <c r="D63" s="4351">
        <f>IF('6.Inland wetlands'!$CU175="Yes",'6.Inland wetlands'!AA176,0)+IF('6.Inland wetlands'!$CU176="Yes", '6.Inland wetlands'!AA177,0)+IF('6.Inland wetlands'!$CU177="Yes", '6.Inland wetlands'!AA178,0)+IF('6.Inland wetlands'!$CU178="Yes", '6.Inland wetlands'!AA179,0)</f>
        <v/>
      </c>
      <c r="E63" s="4351">
        <f>IF('6.Inland wetlands'!$CU175="Yes",'6.Inland wetlands'!AB176,0)+IF('6.Inland wetlands'!$CU176="Yes", '6.Inland wetlands'!AB177,0)+IF('6.Inland wetlands'!$CU177="Yes", '6.Inland wetlands'!AB178,0)+IF('6.Inland wetlands'!$CU178="Yes", '6.Inland wetlands'!AB179,0)</f>
        <v/>
      </c>
      <c r="F63" s="4169" t="inlineStr">
        <is>
          <t>D</t>
        </is>
      </c>
      <c r="G63" s="4351">
        <f>IF('6.Inland wetlands'!$CU175="Yes",'6.Inland wetlands'!AC176,0)+IF('6.Inland wetlands'!$CU176="Yes", '6.Inland wetlands'!AC177,0)+IF('6.Inland wetlands'!$CU177="Yes", '6.Inland wetlands'!AC178,0)+IF('6.Inland wetlands'!$CU178="Yes", '6.Inland wetlands'!AC179,0)</f>
        <v/>
      </c>
      <c r="H63" s="4169" t="inlineStr">
        <is>
          <t>D</t>
        </is>
      </c>
      <c r="I63" s="2089" t="n"/>
      <c r="J63" s="1806" t="n"/>
      <c r="K63" s="1806" t="n"/>
      <c r="L63" s="1838" t="n"/>
      <c r="M63" s="1838" t="n"/>
      <c r="N63" s="1838" t="n"/>
      <c r="O63" s="1838" t="n"/>
      <c r="P63" s="2109" t="n"/>
      <c r="Q63" s="2109" t="n"/>
      <c r="R63" s="1806" t="n"/>
      <c r="S63" s="2109">
        <f>Inputs!O98</f>
        <v/>
      </c>
      <c r="T63" s="2109">
        <f>Inputs!P98</f>
        <v/>
      </c>
      <c r="U63" s="1843" t="n"/>
      <c r="V63" s="1929">
        <f>Inputs!Q98</f>
        <v/>
      </c>
      <c r="W63" s="2089" t="n"/>
      <c r="AK63" s="2579">
        <f>C63</f>
        <v/>
      </c>
      <c r="AL63" s="2591" t="n"/>
      <c r="AM63" s="2155" t="n"/>
      <c r="AN63" s="2567">
        <f>CONCATENATE("tCO2-e/t d.m. ",AK61)</f>
        <v/>
      </c>
      <c r="AO63" s="2600" t="n"/>
      <c r="AP63" s="4732">
        <f>Inputs!C98</f>
        <v/>
      </c>
      <c r="AQ63" s="4803" t="n"/>
      <c r="AR63" s="2565" t="n"/>
      <c r="AS63" s="2155" t="n"/>
      <c r="AT63" s="2566" t="n"/>
      <c r="AU63" s="2567" t="n"/>
      <c r="AV63" s="2567" t="n"/>
      <c r="AW63" s="2567" t="n"/>
      <c r="AX63" s="2567" t="n"/>
      <c r="AY63" s="2590" t="n"/>
      <c r="AZ63" s="2590" t="n"/>
      <c r="BA63" s="2155" t="n"/>
      <c r="BB63" s="2590" t="n"/>
      <c r="BD63" s="4401" t="n">
        <v>1</v>
      </c>
      <c r="BE63" s="4402" t="n"/>
      <c r="BF63" s="1997" t="n"/>
    </row>
    <row r="64" ht="16" customHeight="1">
      <c r="B64" s="2081" t="n"/>
      <c r="C64" s="2086">
        <f>CONCATENATE(Languages!B461,A57,AL57)</f>
        <v/>
      </c>
      <c r="D64" s="4349" t="n">
        <v>0</v>
      </c>
      <c r="E64" s="4350" t="n">
        <v>0</v>
      </c>
      <c r="F64" s="2108" t="inlineStr">
        <is>
          <t>D</t>
        </is>
      </c>
      <c r="G64" s="4350" t="n">
        <v>0</v>
      </c>
      <c r="H64" s="2108" t="inlineStr">
        <is>
          <t>D</t>
        </is>
      </c>
      <c r="I64" s="2089" t="n"/>
      <c r="J64" s="1806" t="n"/>
      <c r="K64" s="1806" t="n"/>
      <c r="L64" s="1838" t="n"/>
      <c r="M64" s="1838" t="n"/>
      <c r="N64" s="1838" t="n"/>
      <c r="O64" s="1838" t="n"/>
      <c r="P64" s="2109" t="n"/>
      <c r="Q64" s="2109" t="n"/>
      <c r="R64" s="1806" t="n"/>
      <c r="S64" s="2109">
        <f>Inputs!O99</f>
        <v/>
      </c>
      <c r="T64" s="2109">
        <f>Inputs!P99</f>
        <v/>
      </c>
      <c r="U64" s="1843" t="n"/>
      <c r="V64" s="1929">
        <f>Inputs!Q99</f>
        <v/>
      </c>
      <c r="W64" s="2089" t="n"/>
      <c r="AK64" s="2579">
        <f>C64</f>
        <v/>
      </c>
      <c r="AL64" s="2591" t="n"/>
      <c r="AM64" s="2155" t="n"/>
      <c r="AN64" s="2567" t="inlineStr">
        <is>
          <t>tCO2-e/t d.m.</t>
        </is>
      </c>
      <c r="AO64" s="2600" t="n"/>
      <c r="AP64" s="4732" t="n"/>
      <c r="AQ64" s="4803" t="n"/>
      <c r="AR64" s="2565" t="n"/>
      <c r="AS64" s="2155" t="n"/>
      <c r="AT64" s="2566" t="n"/>
      <c r="AU64" s="2567" t="n"/>
      <c r="AV64" s="2567" t="n"/>
      <c r="AW64" s="2567" t="n"/>
      <c r="AX64" s="2567" t="n"/>
      <c r="AY64" s="2590" t="n"/>
      <c r="AZ64" s="2590" t="n"/>
      <c r="BA64" s="2155" t="n"/>
      <c r="BB64" s="2590" t="n"/>
      <c r="BD64" s="4401" t="n">
        <v>1</v>
      </c>
      <c r="BE64" s="4402" t="n"/>
      <c r="BF64" s="1997" t="n"/>
    </row>
    <row r="65" ht="16" customHeight="1">
      <c r="B65" s="2081" t="n"/>
      <c r="C65" s="1781" t="n"/>
      <c r="D65" s="1781" t="n"/>
      <c r="E65" s="1781" t="n"/>
      <c r="F65" s="1781" t="n"/>
      <c r="G65" s="1781" t="n"/>
      <c r="H65" s="1781" t="n"/>
      <c r="I65" s="1781" t="n"/>
      <c r="J65" s="1781" t="n"/>
      <c r="K65" s="1781" t="n"/>
      <c r="L65" s="1781" t="n"/>
      <c r="M65" s="1781" t="n"/>
      <c r="N65" s="1781" t="n"/>
      <c r="O65" s="1781" t="n"/>
      <c r="P65" s="1781" t="n"/>
      <c r="Q65" s="1781" t="n"/>
      <c r="R65" s="1806" t="n"/>
      <c r="S65" s="2110" t="n"/>
      <c r="T65" s="2110" t="n"/>
      <c r="U65" s="2110" t="n"/>
      <c r="V65" s="2090" t="n"/>
      <c r="W65" s="2089" t="n"/>
      <c r="AK65" s="2568" t="n"/>
      <c r="AL65" s="1782" t="n"/>
      <c r="AM65" s="1782" t="n"/>
      <c r="AN65" s="1782" t="n"/>
      <c r="AO65" s="1782" t="n"/>
      <c r="AP65" s="1782" t="n"/>
      <c r="AQ65" s="1782" t="n"/>
      <c r="AR65" s="1782" t="n"/>
      <c r="AS65" s="1782" t="n"/>
      <c r="AT65" s="1782" t="n"/>
      <c r="AU65" s="1782" t="n"/>
      <c r="AV65" s="1782" t="n"/>
      <c r="AW65" s="1782" t="n"/>
      <c r="AX65" s="1782" t="n"/>
      <c r="AY65" s="1782" t="n"/>
      <c r="AZ65" s="1782" t="n"/>
      <c r="BA65" s="2155" t="n"/>
      <c r="BB65" s="2585" t="n"/>
      <c r="BD65" s="4401" t="n"/>
      <c r="BE65" s="4401" t="n"/>
      <c r="BF65" s="1997" t="n"/>
    </row>
    <row r="66" ht="16" customHeight="1">
      <c r="B66" s="2081" t="n"/>
      <c r="C66" s="1781" t="n"/>
      <c r="D66" s="1781" t="n"/>
      <c r="E66" s="1781" t="n"/>
      <c r="F66" s="1781" t="n"/>
      <c r="G66" s="1781" t="n"/>
      <c r="H66" s="1781" t="n"/>
      <c r="I66" s="1781" t="n"/>
      <c r="J66" s="1781" t="n"/>
      <c r="K66" s="1781" t="n"/>
      <c r="L66" s="1781" t="n"/>
      <c r="M66" s="1781" t="n"/>
      <c r="N66" s="1781" t="n"/>
      <c r="O66" s="1781" t="n"/>
      <c r="P66" s="1781" t="n"/>
      <c r="Q66" s="1853" t="n"/>
      <c r="R66" s="2283">
        <f>Languages!B503</f>
        <v/>
      </c>
      <c r="S66" s="2115">
        <f>SUM(S49:S64)</f>
        <v/>
      </c>
      <c r="T66" s="2115">
        <f>SUM(T49:T64)</f>
        <v/>
      </c>
      <c r="U66" s="2039" t="n"/>
      <c r="V66" s="2116">
        <f>SUM(V49:V64)</f>
        <v/>
      </c>
      <c r="W66" s="2086" t="n"/>
      <c r="AK66" s="2568" t="n"/>
      <c r="AL66" s="1782" t="n"/>
      <c r="AM66" s="1782" t="n"/>
      <c r="AN66" s="1782" t="n"/>
      <c r="AO66" s="1782" t="n"/>
      <c r="AP66" s="1782" t="n"/>
      <c r="AQ66" s="1782" t="n"/>
      <c r="AR66" s="1782" t="n"/>
      <c r="AS66" s="1782" t="n"/>
      <c r="AT66" s="1782" t="n"/>
      <c r="AU66" s="1782" t="n"/>
      <c r="AV66" s="1782" t="n"/>
      <c r="AW66" s="1782" t="n"/>
      <c r="AX66" s="1782" t="n"/>
      <c r="AY66" s="1782" t="n"/>
      <c r="AZ66" s="1782" t="n"/>
      <c r="BA66" s="2568" t="n"/>
      <c r="BB66" s="2586" t="n"/>
      <c r="BD66" s="4548" t="inlineStr">
        <is>
          <t>Use this part only if you want to refine yearly GHG fluxes</t>
        </is>
      </c>
    </row>
    <row r="67">
      <c r="B67" s="1781" t="n"/>
      <c r="C67" s="1781" t="n"/>
      <c r="D67" s="1781" t="n"/>
      <c r="E67" s="1781" t="n"/>
      <c r="F67" s="1781" t="n"/>
      <c r="G67" s="1781" t="n"/>
      <c r="H67" s="1781" t="n"/>
      <c r="I67" s="1781" t="n"/>
      <c r="J67" s="1781" t="n"/>
      <c r="K67" s="1781" t="n"/>
      <c r="L67" s="1781" t="n"/>
      <c r="M67" s="1781" t="n"/>
      <c r="N67" s="1781" t="n"/>
      <c r="O67" s="1781" t="n"/>
      <c r="P67" s="1781" t="n"/>
      <c r="Q67" s="1781" t="n"/>
      <c r="R67" s="1781" t="n"/>
      <c r="S67" s="1781" t="n"/>
      <c r="T67" s="1781" t="n"/>
      <c r="U67" s="1781" t="n"/>
      <c r="V67" s="1781" t="n"/>
      <c r="W67" s="1781" t="n"/>
      <c r="AK67" s="1782" t="n"/>
      <c r="AL67" s="1782" t="n"/>
      <c r="AM67" s="1782" t="n"/>
      <c r="AN67" s="1782" t="n"/>
      <c r="AO67" s="1782" t="n"/>
      <c r="AP67" s="1782" t="n"/>
      <c r="AQ67" s="1782" t="n"/>
      <c r="AR67" s="1782" t="n"/>
      <c r="AS67" s="1782" t="n"/>
      <c r="AT67" s="1782" t="n"/>
      <c r="AU67" s="1782" t="n"/>
      <c r="AV67" s="1782" t="n"/>
      <c r="AW67" s="1782" t="n"/>
      <c r="AX67" s="1782" t="n"/>
      <c r="AY67" s="1782" t="n"/>
      <c r="AZ67" s="1782" t="n"/>
      <c r="BA67" s="1782" t="n"/>
      <c r="BB67" s="1782" t="n"/>
    </row>
    <row r="68" ht="39.5" customHeight="1"/>
    <row r="69" ht="56.25" customHeight="1"/>
    <row r="70" ht="45" customHeight="1">
      <c r="B70" s="1769" t="n"/>
      <c r="C70" s="2042">
        <f>Languages!B474</f>
        <v/>
      </c>
      <c r="D70" s="1769" t="n"/>
      <c r="E70" s="1769" t="n"/>
      <c r="F70" s="1769" t="n"/>
      <c r="G70" s="1769" t="n"/>
      <c r="H70" s="1769" t="n"/>
      <c r="I70" s="1769" t="n"/>
      <c r="J70" s="1769" t="n"/>
      <c r="K70" s="1769" t="n"/>
      <c r="L70" s="1769" t="n"/>
      <c r="M70" s="1769" t="n"/>
      <c r="N70" s="1769" t="n"/>
      <c r="O70" s="1769" t="n"/>
      <c r="P70" s="1769" t="n"/>
      <c r="Q70" s="1769" t="n"/>
      <c r="R70" s="1769" t="n"/>
      <c r="S70" s="1769" t="n"/>
      <c r="T70" s="1770">
        <f>T41</f>
        <v/>
      </c>
      <c r="U70" s="1769" t="n"/>
      <c r="V70" s="1769" t="n"/>
      <c r="W70" s="1769" t="n"/>
      <c r="AK70" s="2042">
        <f>C70</f>
        <v/>
      </c>
      <c r="AL70" s="1769" t="n"/>
      <c r="AM70" s="1769" t="n"/>
      <c r="AN70" s="1769" t="n"/>
      <c r="AO70" s="1769" t="n"/>
      <c r="AP70" s="1769" t="n"/>
      <c r="AQ70" s="1769" t="n"/>
      <c r="AR70" s="1769" t="n"/>
      <c r="AS70" s="1769" t="n"/>
      <c r="AT70" s="1769" t="n"/>
      <c r="AU70" s="1769" t="n"/>
      <c r="AV70" s="1769" t="n"/>
      <c r="AW70" s="1769" t="n"/>
      <c r="AX70" s="1769" t="n"/>
      <c r="AY70" s="1769" t="n"/>
      <c r="AZ70" s="1769" t="n"/>
      <c r="BA70" s="1769" t="n"/>
      <c r="BB70" s="1769" t="n"/>
      <c r="BD70" s="4404" t="inlineStr">
        <is>
          <t>Annual balance</t>
        </is>
      </c>
      <c r="BE70" s="4404" t="n"/>
      <c r="BF70" s="4404" t="n"/>
    </row>
    <row r="71" ht="5.25" customHeight="1">
      <c r="B71" s="1771" t="n"/>
      <c r="C71" s="1771" t="n"/>
      <c r="D71" s="1771" t="n"/>
      <c r="E71" s="1771" t="n"/>
      <c r="F71" s="1771" t="n"/>
      <c r="G71" s="1771" t="n"/>
      <c r="H71" s="1771" t="n"/>
      <c r="I71" s="1771" t="n"/>
      <c r="J71" s="1771" t="n"/>
      <c r="K71" s="1771" t="n"/>
      <c r="L71" s="1771" t="n"/>
      <c r="M71" s="1771" t="n"/>
      <c r="N71" s="1771" t="n"/>
      <c r="O71" s="1771" t="n"/>
      <c r="P71" s="1771" t="n"/>
      <c r="Q71" s="1771" t="n"/>
      <c r="R71" s="1771" t="n"/>
      <c r="S71" s="1771" t="n"/>
      <c r="T71" s="1771" t="n"/>
      <c r="U71" s="1771" t="n"/>
      <c r="V71" s="1771" t="n"/>
      <c r="W71" s="1771" t="n"/>
      <c r="AK71" s="1771" t="n"/>
      <c r="AL71" s="1771" t="n"/>
      <c r="AM71" s="1771" t="n"/>
      <c r="AN71" s="1771" t="n"/>
      <c r="AO71" s="1771" t="n"/>
      <c r="AP71" s="1771" t="n"/>
      <c r="AQ71" s="1771" t="n"/>
      <c r="AR71" s="1771" t="n"/>
      <c r="AS71" s="1771" t="n"/>
      <c r="AT71" s="1771" t="n"/>
      <c r="AU71" s="1771" t="n"/>
      <c r="AV71" s="1771" t="n"/>
      <c r="AW71" s="1771" t="n"/>
      <c r="AX71" s="1771" t="n"/>
      <c r="AY71" s="1771" t="n"/>
      <c r="AZ71" s="1771" t="n"/>
      <c r="BA71" s="1771" t="n"/>
      <c r="BB71" s="1771" t="n"/>
      <c r="BD71" s="1916" t="n"/>
      <c r="BE71" s="1916" t="n"/>
    </row>
    <row r="72" ht="16" customHeight="1">
      <c r="B72" s="2081" t="n"/>
      <c r="C72" s="2082" t="n"/>
      <c r="D72" s="2081" t="n"/>
      <c r="E72" s="2083" t="n"/>
      <c r="F72" s="2084" t="n"/>
      <c r="G72" s="2084" t="n"/>
      <c r="H72" s="2084" t="n"/>
      <c r="I72" s="2085" t="n"/>
      <c r="J72" s="2082" t="n"/>
      <c r="K72" s="2085" t="n"/>
      <c r="L72" s="2085" t="n"/>
      <c r="M72" s="2085" t="n"/>
      <c r="N72" s="2086" t="n"/>
      <c r="O72" s="2086" t="n"/>
      <c r="P72" s="2087" t="n"/>
      <c r="Q72" s="2088" t="n"/>
      <c r="R72" s="2088" t="n"/>
      <c r="S72" s="2089" t="n"/>
      <c r="T72" s="2090" t="n"/>
      <c r="U72" s="2089" t="n"/>
      <c r="V72" s="2090" t="n"/>
      <c r="W72" s="2089" t="n"/>
      <c r="AK72" s="2568" t="n"/>
      <c r="AL72" s="2569" t="n"/>
      <c r="AM72" s="2568" t="n"/>
      <c r="AN72" s="2570" t="n"/>
      <c r="AO72" s="2571" t="n"/>
      <c r="AP72" s="2571" t="n"/>
      <c r="AQ72" s="2571" t="n"/>
      <c r="AR72" s="2572" t="n"/>
      <c r="AS72" s="2569" t="n"/>
      <c r="AT72" s="2572" t="n"/>
      <c r="AU72" s="2572" t="n"/>
      <c r="AV72" s="2572" t="n"/>
      <c r="AW72" s="2573" t="n"/>
      <c r="AX72" s="2573" t="n"/>
      <c r="AY72" s="2574" t="n"/>
      <c r="AZ72" s="2575" t="n"/>
      <c r="BA72" s="2575" t="n"/>
      <c r="BB72" s="2565" t="n"/>
      <c r="BD72" s="1890" t="inlineStr">
        <is>
          <t xml:space="preserve">Start year of </t>
        </is>
      </c>
      <c r="BE72" s="1890" t="n"/>
      <c r="BF72" s="1997" t="n"/>
    </row>
    <row r="73" ht="16" customHeight="1">
      <c r="B73" s="2081" t="n"/>
      <c r="C73" s="2117">
        <f>C44</f>
        <v/>
      </c>
      <c r="D73" s="2091" t="n"/>
      <c r="E73" s="2083" t="n"/>
      <c r="F73" s="2084" t="n"/>
      <c r="G73" s="2084" t="n"/>
      <c r="H73" s="2084" t="n"/>
      <c r="I73" s="2085" t="n"/>
      <c r="J73" s="2082" t="n"/>
      <c r="K73" s="2085" t="n"/>
      <c r="L73" s="2085" t="n"/>
      <c r="M73" s="2085" t="n"/>
      <c r="N73" s="2086" t="n"/>
      <c r="O73" s="2086" t="n"/>
      <c r="P73" s="2087" t="n"/>
      <c r="Q73" s="2088" t="n"/>
      <c r="R73" s="2088" t="n"/>
      <c r="S73" s="2089" t="n"/>
      <c r="T73" s="2090" t="n"/>
      <c r="U73" s="2089" t="n"/>
      <c r="V73" s="2090" t="n"/>
      <c r="W73" s="2089" t="n"/>
      <c r="AK73" s="2568">
        <f>C73</f>
        <v/>
      </c>
      <c r="AL73" s="2576" t="n"/>
      <c r="AM73" s="2577" t="n"/>
      <c r="AN73" s="2570" t="n"/>
      <c r="AO73" s="2571" t="n"/>
      <c r="AP73" s="2571" t="n"/>
      <c r="AQ73" s="2571" t="n"/>
      <c r="AR73" s="2572" t="n"/>
      <c r="AS73" s="2569" t="n"/>
      <c r="AT73" s="2572" t="n"/>
      <c r="AU73" s="2572" t="n"/>
      <c r="AV73" s="2572" t="n"/>
      <c r="AW73" s="2573" t="n"/>
      <c r="AX73" s="2573" t="n"/>
      <c r="AY73" s="2574" t="n"/>
      <c r="AZ73" s="2575" t="n"/>
      <c r="BA73" s="2575" t="n"/>
      <c r="BB73" s="2565" t="n"/>
      <c r="BD73" s="2015" t="inlineStr">
        <is>
          <t>implementation</t>
        </is>
      </c>
      <c r="BE73" s="2015" t="n"/>
      <c r="BF73" s="1997" t="n"/>
    </row>
    <row r="74" ht="21" customHeight="1">
      <c r="B74" s="2081" t="n"/>
      <c r="C74" s="2092" t="n"/>
      <c r="D74" s="1781" t="n"/>
      <c r="E74" s="2093">
        <f>Languages!B478</f>
        <v/>
      </c>
      <c r="F74" s="2095" t="n"/>
      <c r="G74" s="2096" t="n"/>
      <c r="H74" s="2097" t="n"/>
      <c r="I74" s="2089" t="n"/>
      <c r="J74" s="2102" t="n"/>
      <c r="K74" s="2105" t="n"/>
      <c r="L74" s="2105" t="n"/>
      <c r="M74" s="2105" t="n"/>
      <c r="N74" s="1929" t="n"/>
      <c r="O74" s="1929" t="n"/>
      <c r="P74" s="2117" t="n"/>
      <c r="Q74" s="2081" t="n"/>
      <c r="R74" s="1929" t="n"/>
      <c r="S74" s="2118">
        <f>S45</f>
        <v/>
      </c>
      <c r="T74" s="2090" t="n"/>
      <c r="U74" s="2090" t="n"/>
      <c r="V74" s="2081">
        <f>V45</f>
        <v/>
      </c>
      <c r="W74" s="2082" t="n"/>
      <c r="AK74" s="1782" t="n"/>
      <c r="AL74" s="2578" t="n"/>
      <c r="AM74" s="2579" t="n"/>
      <c r="AN74" s="2568" t="n"/>
      <c r="AO74" s="2155" t="n"/>
      <c r="AP74" s="2580" t="n"/>
      <c r="AQ74" s="2581" t="n"/>
      <c r="AR74" s="2565" t="n"/>
      <c r="AS74" s="2582" t="n"/>
      <c r="AT74" s="2583" t="n"/>
      <c r="AU74" s="2583" t="n"/>
      <c r="AV74" s="2583" t="n"/>
      <c r="AW74" s="2580" t="n"/>
      <c r="AX74" s="2580" t="n"/>
      <c r="AY74" s="2576" t="n"/>
      <c r="AZ74" s="2568" t="n"/>
      <c r="BA74" s="2580" t="n"/>
      <c r="BB74" s="2584" t="n"/>
      <c r="BD74" s="1997" t="n"/>
      <c r="BE74" s="1997" t="n"/>
      <c r="BF74" s="1997" t="n"/>
    </row>
    <row r="75" ht="16" customHeight="1">
      <c r="B75" s="2081" t="n"/>
      <c r="C75" s="2102" t="n"/>
      <c r="D75" s="2103" t="n"/>
      <c r="E75" s="2103" t="n"/>
      <c r="F75" s="2103" t="n"/>
      <c r="G75" s="2103" t="n"/>
      <c r="H75" s="2089" t="n"/>
      <c r="I75" s="2089" t="n"/>
      <c r="J75" s="2104" t="n"/>
      <c r="K75" s="2105" t="n"/>
      <c r="L75" s="2105" t="n"/>
      <c r="M75" s="2104" t="n"/>
      <c r="N75" s="1929" t="n"/>
      <c r="O75" s="1929" t="n"/>
      <c r="P75" s="2117" t="n"/>
      <c r="Q75" s="1929" t="n"/>
      <c r="R75" s="1929" t="n"/>
      <c r="S75" s="2090" t="n"/>
      <c r="T75" s="2090" t="n"/>
      <c r="U75" s="2090" t="n"/>
      <c r="V75" s="2090" t="n"/>
      <c r="W75" s="2089" t="n"/>
      <c r="AK75" s="1782" t="n"/>
      <c r="AL75" s="2582" t="n"/>
      <c r="AM75" s="2594" t="n"/>
      <c r="AN75" s="2604" t="n"/>
      <c r="AO75" s="2604" t="n"/>
      <c r="AP75" s="2604" t="n"/>
      <c r="AQ75" s="2604" t="n"/>
      <c r="AR75" s="2565" t="n"/>
      <c r="AS75" s="2587" t="n"/>
      <c r="AT75" s="2583" t="n"/>
      <c r="AU75" s="2583" t="n"/>
      <c r="AV75" s="2587" t="n"/>
      <c r="AW75" s="2580" t="n"/>
      <c r="AX75" s="2580" t="n"/>
      <c r="AY75" s="2576" t="n"/>
      <c r="AZ75" s="2580" t="n"/>
      <c r="BA75" s="2580" t="n"/>
      <c r="BB75" s="2581" t="n"/>
      <c r="BD75" s="1997" t="n"/>
      <c r="BE75" s="1997" t="n"/>
      <c r="BF75" s="1997" t="n"/>
    </row>
    <row r="76" ht="16" customHeight="1">
      <c r="B76" s="2081" t="n"/>
      <c r="C76" s="2117">
        <f>Languages!B475</f>
        <v/>
      </c>
      <c r="D76" s="1806" t="n"/>
      <c r="E76" s="1806">
        <f>E47</f>
        <v/>
      </c>
      <c r="F76" s="1806" t="n"/>
      <c r="G76" s="1806">
        <f>G47</f>
        <v/>
      </c>
      <c r="H76" s="1806" t="n"/>
      <c r="I76" s="2090" t="n"/>
      <c r="J76" s="1806" t="n"/>
      <c r="K76" s="1929" t="n"/>
      <c r="L76" s="1929" t="n"/>
      <c r="M76" s="1929" t="n"/>
      <c r="N76" s="1929" t="n"/>
      <c r="O76" s="1929" t="n"/>
      <c r="P76" s="1929" t="n"/>
      <c r="Q76" s="1929" t="n"/>
      <c r="R76" s="1806" t="n"/>
      <c r="S76" s="1929">
        <f>E76</f>
        <v/>
      </c>
      <c r="T76" s="1929">
        <f>G76</f>
        <v/>
      </c>
      <c r="U76" s="1929" t="n"/>
      <c r="V76" s="2090" t="n"/>
      <c r="W76" s="2089" t="n"/>
      <c r="AK76" s="2576">
        <f>C76</f>
        <v/>
      </c>
      <c r="AL76" s="2595" t="n"/>
      <c r="AM76" s="2155" t="n"/>
      <c r="AN76" s="2155" t="n"/>
      <c r="AO76" s="2155" t="n"/>
      <c r="AP76" s="4807" t="n"/>
      <c r="AQ76" s="4808" t="n"/>
      <c r="AR76" s="2581" t="n"/>
      <c r="AS76" s="2155" t="n"/>
      <c r="AT76" s="2580" t="n"/>
      <c r="AU76" s="2580" t="n"/>
      <c r="AV76" s="2580" t="n"/>
      <c r="AW76" s="2580" t="n"/>
      <c r="AX76" s="2580" t="n"/>
      <c r="AY76" s="2580" t="n"/>
      <c r="AZ76" s="2580" t="n"/>
      <c r="BA76" s="2155" t="n"/>
      <c r="BB76" s="2580" t="n"/>
      <c r="BD76" s="1997" t="n"/>
      <c r="BE76" s="1997" t="n"/>
      <c r="BF76" s="1997" t="n"/>
    </row>
    <row r="77" ht="30.5" customHeight="1">
      <c r="B77" s="2081" t="n"/>
      <c r="C77" s="2100">
        <f>Languages!B486</f>
        <v/>
      </c>
      <c r="D77" s="1806" t="n"/>
      <c r="E77" s="1806" t="n"/>
      <c r="F77" s="1929" t="n"/>
      <c r="G77" s="2103" t="n"/>
      <c r="H77" s="1929" t="n"/>
      <c r="I77" s="2090" t="n"/>
      <c r="J77" s="1806" t="n"/>
      <c r="K77" s="1929" t="n"/>
      <c r="L77" s="1929" t="n"/>
      <c r="M77" s="1929" t="n"/>
      <c r="N77" s="1929" t="n"/>
      <c r="O77" s="1929" t="n"/>
      <c r="P77" s="1929" t="n"/>
      <c r="Q77" s="1929" t="n"/>
      <c r="R77" s="1806" t="n"/>
      <c r="S77" s="1929" t="n"/>
      <c r="T77" s="1929" t="n"/>
      <c r="U77" s="1929" t="n"/>
      <c r="V77" s="2090" t="n"/>
      <c r="W77" s="2089" t="n"/>
      <c r="AK77" s="2579">
        <f>C77</f>
        <v/>
      </c>
      <c r="AL77" s="2595" t="n"/>
      <c r="AM77" s="2155" t="n"/>
      <c r="AN77" s="2591">
        <f>AN46</f>
        <v/>
      </c>
      <c r="AO77" s="1782" t="n"/>
      <c r="AP77" s="2155">
        <f>AP46</f>
        <v/>
      </c>
      <c r="AQ77" s="2155">
        <f>AQ46</f>
        <v/>
      </c>
      <c r="AR77" s="2581" t="n"/>
      <c r="AS77" s="2155" t="n"/>
      <c r="AT77" s="2580" t="n"/>
      <c r="AU77" s="2580" t="n"/>
      <c r="AV77" s="2580" t="n"/>
      <c r="AW77" s="2580" t="n"/>
      <c r="AX77" s="2580" t="n"/>
      <c r="AY77" s="2580" t="n"/>
      <c r="AZ77" s="2580" t="n"/>
      <c r="BA77" s="2155" t="n"/>
      <c r="BB77" s="2580" t="n"/>
      <c r="BD77" s="4401" t="n"/>
      <c r="BE77" s="1997" t="n"/>
      <c r="BF77" s="1997" t="n"/>
    </row>
    <row r="78" ht="16" customHeight="1">
      <c r="B78" s="2081" t="n"/>
      <c r="C78" s="2123" t="inlineStr">
        <is>
          <t>Please select</t>
        </is>
      </c>
      <c r="D78" s="1929" t="n"/>
      <c r="E78" s="2120" t="n">
        <v>0</v>
      </c>
      <c r="F78" s="2124" t="n"/>
      <c r="G78" s="2120" t="n">
        <v>0</v>
      </c>
      <c r="H78" s="2114" t="n"/>
      <c r="I78" s="2089" t="n"/>
      <c r="J78" s="1841" t="n"/>
      <c r="K78" s="1841" t="n"/>
      <c r="L78" s="1838" t="n"/>
      <c r="M78" s="2111" t="n"/>
      <c r="N78" s="2111" t="n"/>
      <c r="O78" s="1838" t="n"/>
      <c r="P78" s="2109" t="n"/>
      <c r="Q78" s="2109" t="n"/>
      <c r="R78" s="2112" t="inlineStr">
        <is>
          <t>Manufactured in the country</t>
        </is>
      </c>
      <c r="S78" s="2109">
        <f>Inputs!O110</f>
        <v/>
      </c>
      <c r="T78" s="2109">
        <f>Inputs!P110</f>
        <v/>
      </c>
      <c r="U78" s="2109" t="n"/>
      <c r="V78" s="1929">
        <f>Inputs!Q110</f>
        <v/>
      </c>
      <c r="W78" s="2089" t="n"/>
      <c r="AK78" s="2579">
        <f>C78</f>
        <v/>
      </c>
      <c r="AL78" s="2591" t="n"/>
      <c r="AM78" s="2155" t="n"/>
      <c r="AN78" s="2155" t="inlineStr">
        <is>
          <t>kg CO2-e/ha</t>
        </is>
      </c>
      <c r="AO78" s="2600" t="n"/>
      <c r="AP78" s="2344">
        <f>Inputs!C110</f>
        <v/>
      </c>
      <c r="AQ78" s="2125" t="n"/>
      <c r="AR78" s="2565" t="n"/>
      <c r="AS78" s="2589" t="n"/>
      <c r="AT78" s="2589" t="n"/>
      <c r="AU78" s="2567" t="n"/>
      <c r="AV78" s="2592" t="n"/>
      <c r="AW78" s="2592" t="n"/>
      <c r="AX78" s="2567" t="n"/>
      <c r="AY78" s="2590" t="n"/>
      <c r="AZ78" s="2590" t="n"/>
      <c r="BA78" s="2593" t="n"/>
      <c r="BB78" s="2590" t="n"/>
      <c r="BD78" s="4401" t="n">
        <v>1</v>
      </c>
      <c r="BE78" s="4402" t="n"/>
      <c r="BF78" s="1997" t="n"/>
    </row>
    <row r="79" ht="16" customHeight="1">
      <c r="B79" s="2081" t="n"/>
      <c r="C79" s="2123" t="inlineStr">
        <is>
          <t>Please select</t>
        </is>
      </c>
      <c r="D79" s="1929" t="n"/>
      <c r="E79" s="2120" t="n">
        <v>0</v>
      </c>
      <c r="F79" s="2124" t="n"/>
      <c r="G79" s="2120" t="n">
        <v>0</v>
      </c>
      <c r="H79" s="2114" t="n"/>
      <c r="I79" s="2089" t="n"/>
      <c r="J79" s="1929" t="n"/>
      <c r="K79" s="1929" t="n"/>
      <c r="L79" s="1838" t="n"/>
      <c r="M79" s="2111" t="n"/>
      <c r="N79" s="2111" t="n"/>
      <c r="O79" s="1838" t="n"/>
      <c r="P79" s="2109" t="n"/>
      <c r="Q79" s="2109" t="n"/>
      <c r="R79" s="1806" t="n"/>
      <c r="S79" s="2109">
        <f>Inputs!O111</f>
        <v/>
      </c>
      <c r="T79" s="2109">
        <f>Inputs!P111</f>
        <v/>
      </c>
      <c r="U79" s="2109" t="n"/>
      <c r="V79" s="1929">
        <f>Inputs!Q111</f>
        <v/>
      </c>
      <c r="W79" s="2089" t="n"/>
      <c r="AK79" s="2579">
        <f>C79</f>
        <v/>
      </c>
      <c r="AL79" s="2591" t="n"/>
      <c r="AM79" s="2155" t="n"/>
      <c r="AN79" s="2155">
        <f>AN78</f>
        <v/>
      </c>
      <c r="AO79" s="2600" t="n"/>
      <c r="AP79" s="2344">
        <f>Inputs!C111</f>
        <v/>
      </c>
      <c r="AQ79" s="2125" t="n"/>
      <c r="AR79" s="2565" t="n"/>
      <c r="AS79" s="2580" t="n"/>
      <c r="AT79" s="2580" t="n"/>
      <c r="AU79" s="2567" t="n"/>
      <c r="AV79" s="2592" t="n"/>
      <c r="AW79" s="2592" t="n"/>
      <c r="AX79" s="2567" t="n"/>
      <c r="AY79" s="2590" t="n"/>
      <c r="AZ79" s="2590" t="n"/>
      <c r="BA79" s="2155" t="n"/>
      <c r="BB79" s="2590" t="n"/>
      <c r="BD79" s="4401" t="n">
        <v>1</v>
      </c>
      <c r="BE79" s="4402" t="n"/>
      <c r="BF79" s="1997" t="n"/>
    </row>
    <row r="80" ht="16" customHeight="1">
      <c r="B80" s="2081" t="n"/>
      <c r="C80" s="2123" t="inlineStr">
        <is>
          <t>Please select</t>
        </is>
      </c>
      <c r="D80" s="1929" t="n"/>
      <c r="E80" s="2120" t="n">
        <v>0</v>
      </c>
      <c r="F80" s="2124" t="n"/>
      <c r="G80" s="2120" t="n">
        <v>0</v>
      </c>
      <c r="H80" s="2114" t="n"/>
      <c r="I80" s="2089" t="n"/>
      <c r="J80" s="1929" t="n"/>
      <c r="K80" s="1929" t="n"/>
      <c r="L80" s="1838" t="n"/>
      <c r="M80" s="1929" t="n"/>
      <c r="N80" s="1929" t="n"/>
      <c r="O80" s="1838" t="n"/>
      <c r="P80" s="2109" t="n"/>
      <c r="Q80" s="2109" t="n"/>
      <c r="R80" s="1806" t="n"/>
      <c r="S80" s="2109">
        <f>Inputs!O112</f>
        <v/>
      </c>
      <c r="T80" s="2109">
        <f>Inputs!P112</f>
        <v/>
      </c>
      <c r="U80" s="2109" t="n"/>
      <c r="V80" s="1929">
        <f>Inputs!Q112</f>
        <v/>
      </c>
      <c r="W80" s="2089" t="n"/>
      <c r="AK80" s="2579">
        <f>C80</f>
        <v/>
      </c>
      <c r="AL80" s="2591" t="n"/>
      <c r="AM80" s="2155" t="n"/>
      <c r="AN80" s="2155">
        <f>AN78</f>
        <v/>
      </c>
      <c r="AO80" s="2600" t="n"/>
      <c r="AP80" s="2344">
        <f>Inputs!C112</f>
        <v/>
      </c>
      <c r="AQ80" s="2125" t="n"/>
      <c r="AR80" s="2565" t="n"/>
      <c r="AS80" s="2580" t="n"/>
      <c r="AT80" s="2580" t="n"/>
      <c r="AU80" s="2567" t="n"/>
      <c r="AV80" s="2580" t="n"/>
      <c r="AW80" s="2580" t="n"/>
      <c r="AX80" s="2567" t="n"/>
      <c r="AY80" s="2590" t="n"/>
      <c r="AZ80" s="2590" t="n"/>
      <c r="BA80" s="2155" t="n"/>
      <c r="BB80" s="2590" t="n"/>
      <c r="BD80" s="4401" t="n">
        <v>1</v>
      </c>
      <c r="BE80" s="4402" t="n"/>
      <c r="BF80" s="1997" t="n"/>
    </row>
    <row r="81" ht="16.25" customHeight="1">
      <c r="B81" s="2081" t="n"/>
      <c r="C81" s="2123" t="inlineStr">
        <is>
          <t>Please select</t>
        </is>
      </c>
      <c r="D81" s="1929" t="n"/>
      <c r="E81" s="2120" t="n">
        <v>0</v>
      </c>
      <c r="F81" s="2124" t="n"/>
      <c r="G81" s="2120" t="n">
        <v>0</v>
      </c>
      <c r="H81" s="2114" t="n"/>
      <c r="I81" s="2089" t="n"/>
      <c r="J81" s="1929" t="n"/>
      <c r="K81" s="1929" t="n"/>
      <c r="L81" s="1838" t="n"/>
      <c r="M81" s="1929" t="n"/>
      <c r="N81" s="1929" t="n"/>
      <c r="O81" s="1838" t="n"/>
      <c r="P81" s="2109" t="n"/>
      <c r="Q81" s="2109" t="n"/>
      <c r="R81" s="1806" t="n"/>
      <c r="S81" s="2109">
        <f>Inputs!O113</f>
        <v/>
      </c>
      <c r="T81" s="2109">
        <f>Inputs!P113</f>
        <v/>
      </c>
      <c r="U81" s="2109" t="n"/>
      <c r="V81" s="1929">
        <f>Inputs!Q113</f>
        <v/>
      </c>
      <c r="W81" s="2089" t="n"/>
      <c r="AK81" s="2579">
        <f>C81</f>
        <v/>
      </c>
      <c r="AL81" s="2591" t="n"/>
      <c r="AM81" s="2155" t="n"/>
      <c r="AN81" s="2155">
        <f>AN78</f>
        <v/>
      </c>
      <c r="AO81" s="2600" t="n"/>
      <c r="AP81" s="2344">
        <f>Inputs!C113</f>
        <v/>
      </c>
      <c r="AQ81" s="2125" t="n"/>
      <c r="AR81" s="2565" t="n"/>
      <c r="AS81" s="2580" t="n"/>
      <c r="AT81" s="2580" t="n"/>
      <c r="AU81" s="2567" t="n"/>
      <c r="AV81" s="2580" t="n"/>
      <c r="AW81" s="2580" t="n"/>
      <c r="AX81" s="2567" t="n"/>
      <c r="AY81" s="2590" t="n"/>
      <c r="AZ81" s="2590" t="n"/>
      <c r="BA81" s="2155" t="n"/>
      <c r="BB81" s="2590" t="n"/>
      <c r="BD81" s="4401" t="n">
        <v>1</v>
      </c>
      <c r="BE81" s="4402" t="n"/>
      <c r="BF81" s="1997" t="n"/>
    </row>
    <row r="82" ht="16.25" customHeight="1">
      <c r="B82" s="2081" t="n"/>
      <c r="C82" s="2121" t="n"/>
      <c r="D82" s="1929" t="n"/>
      <c r="E82" s="1929" t="n"/>
      <c r="F82" s="2122" t="n"/>
      <c r="G82" s="1929" t="n"/>
      <c r="H82" s="2113" t="n"/>
      <c r="I82" s="2089" t="n"/>
      <c r="J82" s="1838" t="n"/>
      <c r="K82" s="1838" t="n"/>
      <c r="L82" s="1838" t="n"/>
      <c r="M82" s="2105" t="n"/>
      <c r="N82" s="1838" t="n"/>
      <c r="O82" s="1838" t="n"/>
      <c r="P82" s="2109" t="n"/>
      <c r="Q82" s="2109" t="n"/>
      <c r="R82" s="1806" t="n"/>
      <c r="S82" s="2109" t="n"/>
      <c r="T82" s="2109" t="n"/>
      <c r="U82" s="1843" t="n"/>
      <c r="V82" s="1929" t="n"/>
      <c r="W82" s="2089" t="n"/>
      <c r="AK82" s="2568" t="n"/>
      <c r="AL82" s="1783" t="n"/>
      <c r="AM82" s="2155" t="n"/>
      <c r="AN82" s="2155" t="n"/>
      <c r="AO82" s="2599" t="n"/>
      <c r="AP82" s="2155" t="n"/>
      <c r="AQ82" s="2599" t="n"/>
      <c r="AR82" s="2565" t="n"/>
      <c r="AS82" s="2567" t="n"/>
      <c r="AT82" s="2567" t="n"/>
      <c r="AU82" s="2567" t="n"/>
      <c r="AV82" s="2583" t="n"/>
      <c r="AW82" s="2567" t="n"/>
      <c r="AX82" s="2567" t="n"/>
      <c r="AY82" s="2590" t="n"/>
      <c r="AZ82" s="2590" t="n"/>
      <c r="BA82" s="2155" t="n"/>
      <c r="BB82" s="2590" t="n"/>
      <c r="BD82" s="4401" t="n"/>
      <c r="BE82" s="1997" t="n"/>
      <c r="BF82" s="1997" t="n"/>
    </row>
    <row r="83" ht="25.5" customHeight="1">
      <c r="B83" s="2081" t="n"/>
      <c r="C83" s="2117">
        <f>Languages!B477</f>
        <v/>
      </c>
      <c r="D83" s="2126">
        <f>E74</f>
        <v/>
      </c>
      <c r="E83" s="2127" t="n"/>
      <c r="F83" s="2127" t="n"/>
      <c r="G83" s="2127" t="n"/>
      <c r="H83" s="1789" t="n"/>
      <c r="I83" s="2089" t="n"/>
      <c r="J83" s="1929" t="n"/>
      <c r="K83" s="1929" t="n"/>
      <c r="L83" s="1838" t="n"/>
      <c r="M83" s="1929" t="n"/>
      <c r="N83" s="1929" t="n"/>
      <c r="O83" s="1929" t="n"/>
      <c r="P83" s="4310">
        <f>Languages!B491</f>
        <v/>
      </c>
      <c r="Q83" s="2128" t="n"/>
      <c r="R83" s="1806" t="n"/>
      <c r="S83" s="2086" t="n"/>
      <c r="T83" s="2086" t="n"/>
      <c r="U83" s="1781" t="n"/>
      <c r="V83" s="1781" t="n"/>
      <c r="W83" s="2089" t="n"/>
      <c r="AK83" s="2576">
        <f>C83</f>
        <v/>
      </c>
      <c r="AL83" s="1782" t="n"/>
      <c r="AM83" s="1782" t="n"/>
      <c r="AN83" s="1782" t="n"/>
      <c r="AO83" s="1782" t="n"/>
      <c r="AP83" s="1782" t="n"/>
      <c r="AQ83" s="2611" t="n"/>
      <c r="AR83" s="2611" t="n"/>
      <c r="AS83" s="2580" t="n"/>
      <c r="AT83" s="2612">
        <f>Languages!B512</f>
        <v/>
      </c>
      <c r="AU83" s="2567" t="n"/>
      <c r="AV83" s="2592" t="n"/>
      <c r="AW83" s="2592" t="n"/>
      <c r="AX83" s="2567" t="n"/>
      <c r="AY83" s="2590" t="n"/>
      <c r="AZ83" s="2590" t="n"/>
      <c r="BA83" s="2155" t="n"/>
      <c r="BB83" s="1782" t="n"/>
      <c r="BC83" s="1813">
        <f>Languages!B491</f>
        <v/>
      </c>
      <c r="BD83" s="4548" t="n"/>
      <c r="BG83" s="1813">
        <f>Languages!B494</f>
        <v/>
      </c>
    </row>
    <row r="84" ht="42" customHeight="1">
      <c r="B84" s="2081" t="n"/>
      <c r="C84" s="2117" t="n"/>
      <c r="D84" s="1929">
        <f>D47</f>
        <v/>
      </c>
      <c r="E84" s="1929">
        <f>E47</f>
        <v/>
      </c>
      <c r="F84" s="1929" t="n"/>
      <c r="G84" s="1929">
        <f>G47</f>
        <v/>
      </c>
      <c r="H84" s="1781" t="n"/>
      <c r="I84" s="2089" t="n"/>
      <c r="J84" s="1781" t="n"/>
      <c r="K84" s="1781">
        <f>Languages!B479</f>
        <v/>
      </c>
      <c r="L84" s="1781" t="n"/>
      <c r="M84" s="1781" t="n"/>
      <c r="N84" s="1781" t="n"/>
      <c r="O84" s="1838" t="n"/>
      <c r="P84" s="1842">
        <f>Languages!B481</f>
        <v/>
      </c>
      <c r="Q84" s="1841">
        <f>Languages!B483</f>
        <v/>
      </c>
      <c r="R84" s="1806" t="n"/>
      <c r="S84" s="2086" t="n"/>
      <c r="T84" s="2086" t="n"/>
      <c r="U84" s="1781" t="n"/>
      <c r="V84" s="1781" t="n"/>
      <c r="W84" s="2089" t="n"/>
      <c r="AK84" s="2576" t="n"/>
      <c r="AL84" s="2595" t="n"/>
      <c r="AM84" s="1782" t="n"/>
      <c r="AN84" s="2607">
        <f>Languages!B488</f>
        <v/>
      </c>
      <c r="AO84" s="1785" t="n"/>
      <c r="AP84" s="1785" t="n"/>
      <c r="AQ84" s="1785" t="n"/>
      <c r="AR84" s="2565" t="n"/>
      <c r="AS84" s="2613">
        <f>Languages!B487</f>
        <v/>
      </c>
      <c r="AT84" s="2614" t="n"/>
      <c r="AU84" s="2567" t="n"/>
      <c r="AV84" s="2613">
        <f>Languages!B489</f>
        <v/>
      </c>
      <c r="AW84" s="2615" t="n"/>
      <c r="AX84" s="2615" t="n"/>
      <c r="AY84" s="2590" t="n"/>
      <c r="AZ84" s="2616">
        <f>Languages!B490</f>
        <v/>
      </c>
      <c r="BA84" s="2617" t="n"/>
      <c r="BB84" s="1782" t="n"/>
      <c r="BG84" s="1813">
        <f>N84</f>
        <v/>
      </c>
      <c r="BI84" s="1813">
        <f>P84</f>
        <v/>
      </c>
    </row>
    <row r="85" ht="17.75" customHeight="1">
      <c r="B85" s="2081" t="n"/>
      <c r="C85" s="2100">
        <f>C77</f>
        <v/>
      </c>
      <c r="D85" s="2086" t="n"/>
      <c r="E85" s="2086" t="n"/>
      <c r="F85" s="1929" t="inlineStr">
        <is>
          <t>*</t>
        </is>
      </c>
      <c r="G85" s="2086" t="n"/>
      <c r="H85" s="1929" t="inlineStr">
        <is>
          <t>*</t>
        </is>
      </c>
      <c r="I85" s="2089" t="n"/>
      <c r="J85" s="2086" t="n"/>
      <c r="K85" s="1806">
        <f>Languages!B497</f>
        <v/>
      </c>
      <c r="L85" s="1781" t="n"/>
      <c r="M85" s="1781" t="n"/>
      <c r="N85" s="1781" t="n"/>
      <c r="O85" s="1838" t="n"/>
      <c r="P85" s="1841">
        <f>Languages!B482</f>
        <v/>
      </c>
      <c r="Q85" s="1841">
        <f>Languages!B484</f>
        <v/>
      </c>
      <c r="R85" s="1806" t="n"/>
      <c r="S85" s="2086" t="n"/>
      <c r="T85" s="2086" t="n"/>
      <c r="U85" s="1781" t="n"/>
      <c r="V85" s="1781" t="n"/>
      <c r="W85" s="2089" t="n"/>
      <c r="AK85" s="2576">
        <f>AK77</f>
        <v/>
      </c>
      <c r="AL85" s="2576">
        <f>K84</f>
        <v/>
      </c>
      <c r="AM85" s="1782" t="n"/>
      <c r="AN85" s="2155">
        <f>AN77</f>
        <v/>
      </c>
      <c r="AO85" s="2155" t="n"/>
      <c r="AP85" s="2155">
        <f>AP77</f>
        <v/>
      </c>
      <c r="AQ85" s="2155">
        <f>AQ77</f>
        <v/>
      </c>
      <c r="AR85" s="2565" t="n"/>
      <c r="AS85" s="2155">
        <f>AP85</f>
        <v/>
      </c>
      <c r="AT85" s="2155">
        <f>AQ85</f>
        <v/>
      </c>
      <c r="AU85" s="1782" t="n"/>
      <c r="AV85" s="2567">
        <f>AS85</f>
        <v/>
      </c>
      <c r="AW85" s="2567">
        <f>AT85</f>
        <v/>
      </c>
      <c r="AX85" s="2567" t="n"/>
      <c r="AY85" s="2590" t="n"/>
      <c r="AZ85" s="2590">
        <f>AV85</f>
        <v/>
      </c>
      <c r="BA85" s="2155">
        <f>AW85</f>
        <v/>
      </c>
      <c r="BB85" s="1782" t="n"/>
      <c r="BI85" s="1813">
        <f>P85</f>
        <v/>
      </c>
    </row>
    <row r="86" ht="16.25" customHeight="1">
      <c r="B86" s="2081" t="n"/>
      <c r="C86" s="2123" t="inlineStr">
        <is>
          <t>Please select</t>
        </is>
      </c>
      <c r="D86" s="4228" t="n">
        <v>0</v>
      </c>
      <c r="E86" s="4229" t="n">
        <v>0</v>
      </c>
      <c r="F86" s="4169" t="inlineStr">
        <is>
          <t>D</t>
        </is>
      </c>
      <c r="G86" s="2120" t="n">
        <v>0</v>
      </c>
      <c r="H86" s="4169" t="inlineStr">
        <is>
          <t>D</t>
        </is>
      </c>
      <c r="I86" s="2089" t="n"/>
      <c r="J86" s="1771" t="n"/>
      <c r="K86" s="2137" t="inlineStr">
        <is>
          <t>Please select</t>
        </is>
      </c>
      <c r="L86" s="4353">
        <f>IF(AND(K86&lt;&gt;"Please select", K91="Please select"), "Please select country of origin of electricity", "")</f>
        <v/>
      </c>
      <c r="M86" s="1781" t="n"/>
      <c r="N86" s="1781" t="n"/>
      <c r="O86" s="4354" t="inlineStr">
        <is>
          <t>Barley/Oats/Wheat</t>
        </is>
      </c>
      <c r="P86" s="4228" t="n"/>
      <c r="Q86" s="4229" t="n"/>
      <c r="R86" s="1806" t="n"/>
      <c r="S86" s="2109">
        <f>Inputs!O117+Inputs!O123</f>
        <v/>
      </c>
      <c r="T86" s="2109">
        <f>Inputs!P117+Inputs!P123</f>
        <v/>
      </c>
      <c r="U86" s="1843" t="n"/>
      <c r="V86" s="1929">
        <f>Inputs!Q117+Inputs!Q123</f>
        <v/>
      </c>
      <c r="W86" s="2089" t="n"/>
      <c r="AK86" s="2579">
        <f>C86</f>
        <v/>
      </c>
      <c r="AL86" s="2591">
        <f>K86</f>
        <v/>
      </c>
      <c r="AM86" s="2155" t="n"/>
      <c r="AN86" s="2155">
        <f>IF(AL86="Electricity","tCO2-eq/MWh",IF(F258="solar","-","tCO2-eq/m3"))</f>
        <v/>
      </c>
      <c r="AO86" s="2600" t="n"/>
      <c r="AP86" s="4801">
        <f>IF(AL86="Please select",0,VLOOKUP(AL86,'Energy DB'!$G$7:$H$13,2,))</f>
        <v/>
      </c>
      <c r="AQ86" s="2125" t="n"/>
      <c r="AR86" s="2565" t="n"/>
      <c r="AS86" s="2618">
        <f>IF(AK86="Please select",0,VLOOKUP(AK86,'Energy DB'!$O$7:$S$12,4,))</f>
        <v/>
      </c>
      <c r="AT86" s="2125" t="n"/>
      <c r="AU86" s="2567" t="n"/>
      <c r="AV86" s="4728">
        <f>IF(AT86="",AS86*10.19,AT86*10.19)</f>
        <v/>
      </c>
      <c r="AW86" s="2125" t="n"/>
      <c r="AX86" s="2567" t="n"/>
      <c r="AY86" s="2590" t="n"/>
      <c r="AZ86" s="2620" t="n">
        <v>0.45</v>
      </c>
      <c r="BA86" s="2125" t="n"/>
      <c r="BB86" s="2590" t="n"/>
      <c r="BC86" s="1813">
        <f>O86</f>
        <v/>
      </c>
      <c r="BD86" s="4401" t="n">
        <v>1</v>
      </c>
      <c r="BE86" s="4402" t="n"/>
      <c r="BF86" s="1997" t="n"/>
      <c r="BH86" s="1813" t="inlineStr">
        <is>
          <t>Barley/Oats/Wheat</t>
        </is>
      </c>
      <c r="BI86" s="1813" t="n">
        <v>0</v>
      </c>
    </row>
    <row r="87" ht="16.25" customHeight="1">
      <c r="B87" s="2081" t="n"/>
      <c r="C87" s="2123" t="inlineStr">
        <is>
          <t>Please select</t>
        </is>
      </c>
      <c r="D87" s="4228" t="n">
        <v>0</v>
      </c>
      <c r="E87" s="4229" t="n">
        <v>0</v>
      </c>
      <c r="F87" s="4169" t="inlineStr">
        <is>
          <t>D</t>
        </is>
      </c>
      <c r="G87" s="2120" t="n">
        <v>0</v>
      </c>
      <c r="H87" s="4169" t="inlineStr">
        <is>
          <t>D</t>
        </is>
      </c>
      <c r="I87" s="2089" t="n"/>
      <c r="J87" s="1771" t="n"/>
      <c r="K87" s="2137" t="inlineStr">
        <is>
          <t>Please select</t>
        </is>
      </c>
      <c r="L87" s="1781" t="n"/>
      <c r="M87" s="1781" t="n"/>
      <c r="N87" s="1781" t="n"/>
      <c r="O87" s="4354" t="inlineStr">
        <is>
          <t>Alfalfa</t>
        </is>
      </c>
      <c r="P87" s="4228" t="n"/>
      <c r="Q87" s="4229" t="n"/>
      <c r="R87" s="1806" t="n"/>
      <c r="S87" s="2109">
        <f>Inputs!O118+Inputs!O124</f>
        <v/>
      </c>
      <c r="T87" s="2109">
        <f>Inputs!P118+Inputs!P124</f>
        <v/>
      </c>
      <c r="U87" s="1843" t="n"/>
      <c r="V87" s="1929">
        <f>Inputs!Q118+Inputs!Q124</f>
        <v/>
      </c>
      <c r="W87" s="2089" t="n"/>
      <c r="AK87" s="2579">
        <f>C87</f>
        <v/>
      </c>
      <c r="AL87" s="2591">
        <f>K87</f>
        <v/>
      </c>
      <c r="AM87" s="2155" t="n"/>
      <c r="AN87" s="2155">
        <f>IF(AL87="Electricity","tCO2-eq/MWh",IF(F259="solar","-","tCO2-eq/m3"))</f>
        <v/>
      </c>
      <c r="AO87" s="2600" t="n"/>
      <c r="AP87" s="4801">
        <f>IF(AL87="Please select",0,VLOOKUP(AL87,'Energy DB'!$G$7:$H$13,2,))</f>
        <v/>
      </c>
      <c r="AQ87" s="2125" t="n"/>
      <c r="AR87" s="2565" t="n"/>
      <c r="AS87" s="2618">
        <f>IF(AK87="Please select",0,VLOOKUP(AK87,'Energy DB'!$O$7:$S$12,4,))</f>
        <v/>
      </c>
      <c r="AT87" s="2125" t="n"/>
      <c r="AU87" s="2567" t="n"/>
      <c r="AV87" s="4728">
        <f>IF(AT87="",AS87*10.19,AT87*10.19)</f>
        <v/>
      </c>
      <c r="AW87" s="2125" t="n"/>
      <c r="AX87" s="2567" t="n"/>
      <c r="AY87" s="2590" t="n"/>
      <c r="AZ87" s="2620" t="n">
        <v>0.45</v>
      </c>
      <c r="BA87" s="2125" t="n"/>
      <c r="BB87" s="2590" t="n"/>
      <c r="BC87" s="1813">
        <f>O87</f>
        <v/>
      </c>
      <c r="BD87" s="4401" t="n">
        <v>1</v>
      </c>
      <c r="BE87" s="4402" t="n"/>
      <c r="BF87" s="1997" t="n"/>
      <c r="BG87" s="1813" t="inlineStr">
        <is>
          <t>Barley/Oats/Wheat</t>
        </is>
      </c>
      <c r="BH87" s="1813" t="inlineStr">
        <is>
          <t>Barley/Oats/Wheat</t>
        </is>
      </c>
      <c r="BI87" s="1813" t="n">
        <v>0</v>
      </c>
    </row>
    <row r="88" ht="16.25" customHeight="1">
      <c r="B88" s="2081" t="n"/>
      <c r="C88" s="2123" t="inlineStr">
        <is>
          <t>Please select</t>
        </is>
      </c>
      <c r="D88" s="4228" t="n">
        <v>0</v>
      </c>
      <c r="E88" s="4229" t="n">
        <v>0</v>
      </c>
      <c r="F88" s="4169" t="inlineStr">
        <is>
          <t>D</t>
        </is>
      </c>
      <c r="G88" s="2120" t="n">
        <v>0</v>
      </c>
      <c r="H88" s="4169" t="inlineStr">
        <is>
          <t>D</t>
        </is>
      </c>
      <c r="I88" s="2089" t="n"/>
      <c r="J88" s="1771" t="n"/>
      <c r="K88" s="2137" t="inlineStr">
        <is>
          <t>Please select</t>
        </is>
      </c>
      <c r="L88" s="1781" t="n"/>
      <c r="M88" s="1781" t="n"/>
      <c r="N88" s="1781" t="n"/>
      <c r="O88" s="4354" t="inlineStr">
        <is>
          <t>Maize</t>
        </is>
      </c>
      <c r="P88" s="4228" t="n"/>
      <c r="Q88" s="4229" t="n"/>
      <c r="R88" s="1806" t="n"/>
      <c r="S88" s="2109">
        <f>Inputs!O119+Inputs!O125</f>
        <v/>
      </c>
      <c r="T88" s="2109">
        <f>Inputs!P119+Inputs!P125</f>
        <v/>
      </c>
      <c r="U88" s="1843" t="n"/>
      <c r="V88" s="1929">
        <f>Inputs!Q119+Inputs!Q125</f>
        <v/>
      </c>
      <c r="W88" s="2089" t="n"/>
      <c r="AK88" s="2579">
        <f>C88</f>
        <v/>
      </c>
      <c r="AL88" s="2591">
        <f>K88</f>
        <v/>
      </c>
      <c r="AM88" s="2155" t="n"/>
      <c r="AN88" s="2155">
        <f>IF(AL88="Electricity","tCO2-eq/MWh",IF(F260="solar","-","tCO2-eq/m3"))</f>
        <v/>
      </c>
      <c r="AO88" s="2600" t="n"/>
      <c r="AP88" s="4801">
        <f>IF(AL88="Please select",0,VLOOKUP(AL88,'Energy DB'!$G$7:$H$13,2,))</f>
        <v/>
      </c>
      <c r="AQ88" s="2125" t="n"/>
      <c r="AR88" s="2565" t="n"/>
      <c r="AS88" s="2618">
        <f>IF(AK88="Please select",0,VLOOKUP(AK88,'Energy DB'!$O$7:$S$12,4,))</f>
        <v/>
      </c>
      <c r="AT88" s="2125" t="n"/>
      <c r="AU88" s="2567" t="n"/>
      <c r="AV88" s="4728">
        <f>IF(AT88="",AS88*10.19,AT88*10.19)</f>
        <v/>
      </c>
      <c r="AW88" s="2125" t="n"/>
      <c r="AX88" s="2567" t="n"/>
      <c r="AY88" s="2580" t="n"/>
      <c r="AZ88" s="2620" t="n">
        <v>0.45</v>
      </c>
      <c r="BA88" s="2125" t="n"/>
      <c r="BB88" s="2590" t="n"/>
      <c r="BC88" s="1813">
        <f>O88</f>
        <v/>
      </c>
      <c r="BD88" s="4401" t="n">
        <v>1</v>
      </c>
      <c r="BE88" s="4402" t="n"/>
      <c r="BF88" s="1997" t="n"/>
      <c r="BG88" s="1813" t="inlineStr">
        <is>
          <t>Barley/Oats/Wheat</t>
        </is>
      </c>
      <c r="BH88" s="1813" t="inlineStr">
        <is>
          <t>Barley/Oats/Wheat</t>
        </is>
      </c>
      <c r="BI88" s="1813" t="n">
        <v>0</v>
      </c>
    </row>
    <row r="89" ht="16.25" customHeight="1">
      <c r="B89" s="2081" t="n"/>
      <c r="C89" s="2123" t="inlineStr">
        <is>
          <t>Please select</t>
        </is>
      </c>
      <c r="D89" s="4228" t="n">
        <v>0</v>
      </c>
      <c r="E89" s="4229" t="n">
        <v>0</v>
      </c>
      <c r="F89" s="4169" t="inlineStr">
        <is>
          <t>D</t>
        </is>
      </c>
      <c r="G89" s="2120" t="n">
        <v>0</v>
      </c>
      <c r="H89" s="4169" t="inlineStr">
        <is>
          <t>D</t>
        </is>
      </c>
      <c r="I89" s="2089" t="n"/>
      <c r="J89" s="1771" t="n"/>
      <c r="K89" s="2137" t="inlineStr">
        <is>
          <t>Please select</t>
        </is>
      </c>
      <c r="L89" s="1781" t="n"/>
      <c r="M89" s="1781" t="n"/>
      <c r="N89" s="1781" t="n"/>
      <c r="O89" s="4354" t="inlineStr">
        <is>
          <t>Melon</t>
        </is>
      </c>
      <c r="P89" s="4228" t="n"/>
      <c r="Q89" s="4229" t="n"/>
      <c r="R89" s="1806" t="n"/>
      <c r="S89" s="2109">
        <f>Inputs!O120+Inputs!O126</f>
        <v/>
      </c>
      <c r="T89" s="2109">
        <f>Inputs!P120+Inputs!P126</f>
        <v/>
      </c>
      <c r="U89" s="1843" t="n"/>
      <c r="V89" s="1929">
        <f>Inputs!Q120+Inputs!Q126</f>
        <v/>
      </c>
      <c r="W89" s="2089" t="n"/>
      <c r="AK89" s="2579">
        <f>C89</f>
        <v/>
      </c>
      <c r="AL89" s="2591">
        <f>K89</f>
        <v/>
      </c>
      <c r="AM89" s="2155" t="n"/>
      <c r="AN89" s="2155">
        <f>IF(AL89="Electricity","tCO2-eq/MWh",IF(F261="solar","-","tCO2-eq/m3"))</f>
        <v/>
      </c>
      <c r="AO89" s="2600" t="n"/>
      <c r="AP89" s="4801">
        <f>IF(AL89="Please select",0,VLOOKUP(AL89,'Energy DB'!$G$7:$H$13,2,))</f>
        <v/>
      </c>
      <c r="AQ89" s="2125" t="n"/>
      <c r="AR89" s="2565" t="n"/>
      <c r="AS89" s="2618">
        <f>IF(AK89="Please select",0,VLOOKUP(AK89,'Energy DB'!$O$7:$S$12,4,))</f>
        <v/>
      </c>
      <c r="AT89" s="2125" t="n"/>
      <c r="AU89" s="2567" t="n"/>
      <c r="AV89" s="4728">
        <f>IF(AT89="",AS89*10.19,AT89*10.19)</f>
        <v/>
      </c>
      <c r="AW89" s="2125" t="n"/>
      <c r="AX89" s="2567" t="n"/>
      <c r="AY89" s="2590" t="n"/>
      <c r="AZ89" s="2620" t="n">
        <v>0.45</v>
      </c>
      <c r="BA89" s="2125" t="n"/>
      <c r="BB89" s="2590" t="n"/>
      <c r="BC89" s="1813">
        <f>O89</f>
        <v/>
      </c>
      <c r="BD89" s="4401" t="n">
        <v>1</v>
      </c>
      <c r="BE89" s="4402" t="n"/>
      <c r="BF89" s="1997" t="n"/>
      <c r="BG89" s="1813" t="inlineStr">
        <is>
          <t>Barley/Oats/Wheat</t>
        </is>
      </c>
      <c r="BH89" s="1813" t="inlineStr">
        <is>
          <t>Barley/Oats/Wheat</t>
        </is>
      </c>
      <c r="BI89" s="1813" t="n">
        <v>0</v>
      </c>
    </row>
    <row r="90" ht="16.25" customHeight="1">
      <c r="B90" s="2081" t="n"/>
      <c r="C90" s="1781" t="n"/>
      <c r="D90" s="1781" t="n"/>
      <c r="E90" s="1781" t="n"/>
      <c r="F90" s="1781" t="n"/>
      <c r="G90" s="2134" t="n"/>
      <c r="H90" s="1781" t="n"/>
      <c r="I90" s="1781" t="n"/>
      <c r="J90" s="1781" t="n"/>
      <c r="K90" s="1781" t="n"/>
      <c r="L90" s="1781" t="n"/>
      <c r="M90" s="1781" t="n"/>
      <c r="N90" s="1781" t="n"/>
      <c r="O90" s="1781" t="n"/>
      <c r="P90" s="1781" t="n"/>
      <c r="Q90" s="1781" t="n"/>
      <c r="R90" s="1806" t="n"/>
      <c r="S90" s="2110" t="n"/>
      <c r="T90" s="2110" t="n"/>
      <c r="U90" s="2110" t="n"/>
      <c r="V90" s="2090" t="n"/>
      <c r="W90" s="2089" t="n"/>
      <c r="AK90" s="2568" t="n"/>
      <c r="AL90" s="1782" t="n"/>
      <c r="AM90" s="1782" t="n"/>
      <c r="AN90" s="1782" t="n"/>
      <c r="AO90" s="1782" t="n"/>
      <c r="AP90" s="1782" t="n"/>
      <c r="AQ90" s="1782" t="n"/>
      <c r="AR90" s="1782" t="n"/>
      <c r="AS90" s="1782" t="n"/>
      <c r="AT90" s="1782" t="n"/>
      <c r="AU90" s="1782" t="n"/>
      <c r="AV90" s="1782" t="n"/>
      <c r="AW90" s="1782" t="n"/>
      <c r="AX90" s="1782" t="n"/>
      <c r="AY90" s="1782" t="n"/>
      <c r="AZ90" s="1782" t="n"/>
      <c r="BA90" s="2155" t="n"/>
      <c r="BB90" s="2585" t="n"/>
      <c r="BD90" s="1997" t="n"/>
      <c r="BE90" s="1997" t="n"/>
      <c r="BF90" s="1997" t="n"/>
    </row>
    <row r="91" ht="16.25" customHeight="1">
      <c r="B91" s="2081" t="n"/>
      <c r="C91" s="1850" t="n"/>
      <c r="D91" s="1781" t="n"/>
      <c r="E91" s="1781" t="n"/>
      <c r="F91" s="1781" t="n"/>
      <c r="G91" s="1781" t="n"/>
      <c r="H91" s="1781" t="n"/>
      <c r="I91" s="1781" t="n"/>
      <c r="J91" s="1850">
        <f>Languages!B459</f>
        <v/>
      </c>
      <c r="K91" s="2137" t="inlineStr">
        <is>
          <t>Please select</t>
        </is>
      </c>
      <c r="L91" s="1781" t="n"/>
      <c r="M91" s="1781" t="n"/>
      <c r="N91" s="1781" t="n"/>
      <c r="O91" s="1781" t="n"/>
      <c r="P91" s="1781" t="n"/>
      <c r="Q91" s="1781" t="n"/>
      <c r="R91" s="2136" t="n"/>
      <c r="S91" s="2136" t="n"/>
      <c r="T91" s="2136" t="n"/>
      <c r="U91" s="2136" t="n"/>
      <c r="V91" s="2136" t="n"/>
      <c r="W91" s="2086" t="n"/>
      <c r="AK91" s="2568" t="n"/>
      <c r="AL91" s="1782" t="n"/>
      <c r="AM91" s="1782" t="n"/>
      <c r="AN91" s="2609" t="n"/>
      <c r="AO91" s="2609">
        <f>Languages!B471</f>
        <v/>
      </c>
      <c r="AP91" s="2610" t="n">
        <v>0.1</v>
      </c>
      <c r="AQ91" s="2125" t="n"/>
      <c r="AR91" s="1782" t="n"/>
      <c r="AS91" s="1782" t="n"/>
      <c r="AT91" s="1782" t="n"/>
      <c r="AU91" s="1782" t="n"/>
      <c r="AV91" s="1782" t="n"/>
      <c r="AW91" s="1782" t="n"/>
      <c r="AX91" s="1782" t="n"/>
      <c r="AY91" s="1782" t="n"/>
      <c r="AZ91" s="1782" t="n"/>
      <c r="BA91" s="2568" t="n"/>
      <c r="BB91" s="2586" t="n"/>
      <c r="BD91" s="4548" t="inlineStr">
        <is>
          <t>Use this part only if you want to refine yearly GHG fluxes</t>
        </is>
      </c>
    </row>
    <row r="92" ht="16.25" customHeight="1">
      <c r="B92" s="2081" t="n"/>
      <c r="C92" s="1850" t="n"/>
      <c r="D92" s="1781" t="n"/>
      <c r="E92" s="1781" t="n"/>
      <c r="F92" s="1781" t="n"/>
      <c r="G92" s="1781" t="n"/>
      <c r="H92" s="1781" t="n"/>
      <c r="I92" s="1781" t="n"/>
      <c r="J92" s="1850" t="n"/>
      <c r="K92" s="1806" t="n"/>
      <c r="L92" s="1781" t="n"/>
      <c r="M92" s="1781" t="n"/>
      <c r="N92" s="1781" t="n"/>
      <c r="O92" s="1781" t="n"/>
      <c r="P92" s="1781" t="n"/>
      <c r="Q92" s="1853" t="n"/>
      <c r="R92" s="2283">
        <f>Languages!B505</f>
        <v/>
      </c>
      <c r="S92" s="2115">
        <f>SUM(S78:S89)</f>
        <v/>
      </c>
      <c r="T92" s="2115">
        <f>SUM(T78:T89)</f>
        <v/>
      </c>
      <c r="U92" s="2039" t="n"/>
      <c r="V92" s="2116">
        <f>SUM(V78:V89)</f>
        <v/>
      </c>
      <c r="W92" s="2086" t="n"/>
      <c r="AK92" s="2568" t="n"/>
      <c r="AL92" s="1782" t="n"/>
      <c r="AM92" s="1782" t="n"/>
      <c r="AN92" s="2609" t="n"/>
      <c r="AO92" s="2609" t="n"/>
      <c r="AP92" s="2610" t="n"/>
      <c r="AQ92" s="4268" t="n"/>
      <c r="AR92" s="1782" t="n"/>
      <c r="AS92" s="1782" t="n"/>
      <c r="AT92" s="1782" t="n"/>
      <c r="AU92" s="1782" t="n"/>
      <c r="AV92" s="1782" t="n"/>
      <c r="AW92" s="1782" t="n"/>
      <c r="AX92" s="1782" t="n"/>
      <c r="AY92" s="1782" t="n"/>
      <c r="AZ92" s="1782" t="n"/>
      <c r="BA92" s="2568" t="n"/>
      <c r="BB92" s="2586" t="n"/>
    </row>
    <row r="93" ht="16.25" customHeight="1">
      <c r="B93" s="2086">
        <f>Languages!B508</f>
        <v/>
      </c>
      <c r="C93" s="2086" t="n"/>
      <c r="D93" s="1781" t="n"/>
      <c r="E93" s="1781" t="n"/>
      <c r="F93" s="4467" t="inlineStr">
        <is>
          <t>Help tab</t>
        </is>
      </c>
      <c r="G93" s="1781" t="n"/>
      <c r="H93" s="1781" t="n"/>
      <c r="I93" s="1781" t="n"/>
      <c r="J93" s="1781" t="n"/>
      <c r="K93" s="1781" t="n"/>
      <c r="L93" s="1781" t="n"/>
      <c r="M93" s="1781" t="n"/>
      <c r="N93" s="1781" t="n"/>
      <c r="O93" s="1781" t="n"/>
      <c r="P93" s="1781" t="n"/>
      <c r="Q93" s="1781" t="n"/>
      <c r="R93" s="1781" t="n"/>
      <c r="S93" s="1781" t="n"/>
      <c r="T93" s="1781" t="n"/>
      <c r="U93" s="1781" t="n"/>
      <c r="V93" s="1781" t="n"/>
      <c r="W93" s="1781" t="n"/>
      <c r="AK93" s="1782" t="n"/>
      <c r="AL93" s="1782" t="n"/>
      <c r="AM93" s="1782" t="n"/>
      <c r="AN93" s="1782" t="n"/>
      <c r="AO93" s="1782" t="n"/>
      <c r="AP93" s="1782" t="n"/>
      <c r="AQ93" s="1782" t="n"/>
      <c r="AR93" s="1782" t="n"/>
      <c r="AS93" s="1782" t="n"/>
      <c r="AT93" s="1782" t="n"/>
      <c r="AU93" s="1782" t="n"/>
      <c r="AV93" s="1782" t="n"/>
      <c r="AW93" s="1782" t="n"/>
      <c r="AX93" s="1782" t="n"/>
      <c r="AY93" s="1782" t="n"/>
      <c r="AZ93" s="1782" t="n"/>
      <c r="BA93" s="1782" t="n"/>
      <c r="BB93" s="1782" t="n"/>
    </row>
    <row r="94" ht="16.25" customHeight="1">
      <c r="B94" s="1771" t="n"/>
      <c r="C94" s="1771" t="n"/>
      <c r="D94" s="1771" t="n"/>
      <c r="E94" s="1771" t="n"/>
      <c r="F94" s="1771" t="n"/>
      <c r="G94" s="1771" t="n"/>
      <c r="H94" s="1771" t="n"/>
      <c r="I94" s="1771" t="n"/>
      <c r="J94" s="1771" t="n"/>
      <c r="K94" s="1771" t="n"/>
      <c r="L94" s="1771" t="n"/>
      <c r="M94" s="1771" t="n"/>
      <c r="N94" s="1771" t="n"/>
      <c r="O94" s="1771" t="n"/>
      <c r="P94" s="1771" t="n"/>
      <c r="Q94" s="1771" t="n"/>
      <c r="R94" s="1771" t="n"/>
      <c r="S94" s="1771" t="n"/>
      <c r="T94" s="1771" t="n"/>
      <c r="U94" s="1771" t="n"/>
      <c r="V94" s="1771" t="n"/>
      <c r="W94" s="1771" t="n"/>
      <c r="AK94" s="1771" t="n"/>
      <c r="AL94" s="1771" t="n"/>
      <c r="AM94" s="1771" t="n"/>
      <c r="AN94" s="1771" t="n"/>
      <c r="AO94" s="1771" t="n"/>
      <c r="AP94" s="1771" t="n"/>
      <c r="AQ94" s="1771" t="n"/>
      <c r="AR94" s="1771" t="n"/>
      <c r="AS94" s="1771" t="n"/>
      <c r="AT94" s="1771" t="n"/>
      <c r="AU94" s="1771" t="n"/>
      <c r="AV94" s="1771" t="n"/>
      <c r="AW94" s="1771" t="n"/>
      <c r="AX94" s="1771" t="n"/>
      <c r="AY94" s="1771" t="n"/>
      <c r="AZ94" s="1771" t="n"/>
      <c r="BA94" s="1771" t="n"/>
      <c r="BB94" s="1771" t="n"/>
      <c r="BC94" s="1771" t="n"/>
      <c r="BD94" s="1771" t="n"/>
      <c r="BE94" s="1771" t="n"/>
      <c r="BF94" s="1771" t="n"/>
      <c r="BG94" s="1771" t="n"/>
      <c r="BH94" s="1771" t="n"/>
      <c r="BI94" s="1771" t="n"/>
      <c r="BJ94" s="1771" t="n"/>
    </row>
    <row r="95" ht="16.25" customHeight="1">
      <c r="B95" s="1771" t="n"/>
      <c r="C95" s="1771" t="n"/>
      <c r="D95" s="1771" t="n"/>
      <c r="E95" s="1771" t="n"/>
      <c r="F95" s="1771" t="n"/>
      <c r="G95" s="1771" t="n"/>
      <c r="H95" s="1771" t="n"/>
      <c r="I95" s="1771" t="n"/>
      <c r="J95" s="1771" t="n"/>
      <c r="K95" s="1771" t="n"/>
      <c r="L95" s="1771" t="n"/>
      <c r="M95" s="1771" t="n"/>
      <c r="N95" s="1771" t="n"/>
      <c r="O95" s="1771" t="n"/>
      <c r="P95" s="1771" t="n"/>
      <c r="Q95" s="1771" t="n"/>
      <c r="R95" s="1771" t="n"/>
      <c r="S95" s="1771" t="n"/>
      <c r="T95" s="1771" t="n"/>
      <c r="U95" s="1771" t="n"/>
      <c r="V95" s="1771" t="n"/>
      <c r="W95" s="1771" t="n"/>
      <c r="AK95" s="1771" t="n"/>
      <c r="AL95" s="1771" t="n"/>
      <c r="AM95" s="1771" t="n"/>
      <c r="AN95" s="1771" t="n"/>
      <c r="AO95" s="1771" t="n"/>
      <c r="AP95" s="1771" t="n"/>
      <c r="AQ95" s="1771" t="n"/>
      <c r="AR95" s="1771" t="n"/>
      <c r="AS95" s="1771" t="n"/>
      <c r="AT95" s="1771" t="n"/>
      <c r="AU95" s="1771" t="n"/>
      <c r="AV95" s="1771" t="n"/>
      <c r="AW95" s="1771" t="n"/>
      <c r="AX95" s="1771" t="n"/>
      <c r="AY95" s="1771" t="n"/>
      <c r="AZ95" s="1771" t="n"/>
      <c r="BA95" s="1771" t="n"/>
      <c r="BB95" s="1771" t="n"/>
      <c r="BC95" s="1771" t="n"/>
      <c r="BD95" s="1771" t="n"/>
      <c r="BE95" s="1771" t="n"/>
      <c r="BF95" s="1771" t="n"/>
      <c r="BG95" s="1771" t="n"/>
      <c r="BH95" s="1771" t="n"/>
      <c r="BI95" s="1771" t="n"/>
      <c r="BJ95" s="1771" t="n"/>
    </row>
    <row r="96" ht="16.25" customHeight="1">
      <c r="B96" s="1771" t="n"/>
      <c r="C96" s="1771" t="n"/>
      <c r="D96" s="1771" t="n"/>
      <c r="E96" s="1771" t="n"/>
      <c r="F96" s="1771" t="n"/>
      <c r="G96" s="1771" t="n"/>
      <c r="H96" s="1771" t="n"/>
      <c r="I96" s="1771" t="n"/>
      <c r="J96" s="1771" t="n"/>
      <c r="K96" s="1771" t="n"/>
      <c r="L96" s="1771" t="n"/>
      <c r="M96" s="1771" t="n"/>
      <c r="N96" s="1771" t="n"/>
      <c r="O96" s="1771" t="n"/>
      <c r="P96" s="1771" t="n"/>
      <c r="Q96" s="1771" t="n"/>
      <c r="R96" s="1771" t="n"/>
      <c r="S96" s="1771" t="n"/>
      <c r="T96" s="1771" t="n"/>
      <c r="U96" s="1771" t="n"/>
      <c r="V96" s="1771" t="n"/>
      <c r="W96" s="1771" t="n"/>
      <c r="AK96" s="1771" t="n"/>
      <c r="AL96" s="1771" t="n"/>
      <c r="AM96" s="1771" t="n"/>
      <c r="AN96" s="1771" t="n"/>
      <c r="AO96" s="1771" t="n"/>
      <c r="AP96" s="1771" t="n"/>
      <c r="AQ96" s="1771" t="n"/>
      <c r="AR96" s="1771" t="n"/>
      <c r="AS96" s="1771" t="n"/>
      <c r="AT96" s="1771" t="n"/>
      <c r="AU96" s="1771" t="n"/>
      <c r="AV96" s="1771" t="n"/>
      <c r="AW96" s="1771" t="n"/>
      <c r="AX96" s="1771" t="n"/>
      <c r="AY96" s="1771" t="n"/>
      <c r="AZ96" s="1771" t="n"/>
      <c r="BA96" s="1771" t="n"/>
      <c r="BB96" s="1771" t="n"/>
      <c r="BC96" s="1771" t="n"/>
      <c r="BD96" s="1771" t="n"/>
      <c r="BE96" s="1771" t="n"/>
      <c r="BF96" s="1771" t="n"/>
      <c r="BG96" s="1771" t="n"/>
      <c r="BH96" s="1771" t="n"/>
      <c r="BI96" s="1771" t="n"/>
      <c r="BJ96" s="1771" t="n"/>
    </row>
    <row r="97">
      <c r="B97" s="1771" t="n"/>
      <c r="C97" s="1771" t="n"/>
      <c r="D97" s="1771" t="n"/>
      <c r="E97" s="1771" t="n"/>
      <c r="F97" s="1771" t="n"/>
      <c r="G97" s="1771" t="n"/>
      <c r="H97" s="1771" t="n"/>
      <c r="I97" s="1771" t="n"/>
      <c r="J97" s="1771" t="n"/>
      <c r="K97" s="1771" t="n"/>
      <c r="L97" s="1771" t="n"/>
      <c r="M97" s="1771" t="n"/>
      <c r="N97" s="1771" t="n"/>
      <c r="O97" s="1771" t="n"/>
      <c r="P97" s="1771" t="n"/>
      <c r="Q97" s="1771" t="n"/>
      <c r="R97" s="1771" t="n"/>
      <c r="S97" s="1771" t="n"/>
      <c r="T97" s="1771" t="n"/>
      <c r="U97" s="1771" t="n"/>
      <c r="V97" s="1771" t="n"/>
      <c r="W97" s="1771" t="n"/>
      <c r="AK97" s="1771" t="n"/>
      <c r="AL97" s="1771" t="n"/>
      <c r="AM97" s="1771" t="n"/>
      <c r="AN97" s="1771" t="n"/>
      <c r="AO97" s="1771" t="n"/>
      <c r="AP97" s="1771" t="n"/>
      <c r="AQ97" s="1771" t="n"/>
      <c r="AR97" s="1771" t="n"/>
      <c r="AS97" s="1771" t="n"/>
      <c r="AT97" s="1771" t="n"/>
      <c r="AU97" s="1771" t="n"/>
      <c r="AV97" s="1771" t="n"/>
      <c r="AW97" s="1771" t="n"/>
      <c r="AX97" s="1771" t="n"/>
      <c r="AY97" s="1771" t="n"/>
      <c r="AZ97" s="1771" t="n"/>
      <c r="BA97" s="1771" t="n"/>
      <c r="BB97" s="1771" t="n"/>
      <c r="BC97" s="1771" t="n"/>
      <c r="BD97" s="1771" t="n"/>
      <c r="BE97" s="1771" t="n"/>
      <c r="BF97" s="1771" t="n"/>
      <c r="BG97" s="1771" t="n"/>
      <c r="BH97" s="1771" t="n"/>
      <c r="BI97" s="1771" t="n"/>
      <c r="BJ97" s="1771" t="n"/>
    </row>
    <row r="98">
      <c r="B98" s="1771" t="n"/>
      <c r="C98" s="1771" t="n"/>
      <c r="D98" s="1771" t="n"/>
      <c r="E98" s="1771" t="n"/>
      <c r="F98" s="1771" t="n"/>
      <c r="G98" s="1771" t="n"/>
      <c r="H98" s="1771" t="n"/>
      <c r="I98" s="1771" t="n"/>
      <c r="J98" s="1771" t="n"/>
      <c r="K98" s="1771" t="n"/>
      <c r="L98" s="1771" t="n"/>
      <c r="M98" s="1771" t="n"/>
      <c r="N98" s="1771" t="n"/>
      <c r="O98" s="1771" t="n"/>
      <c r="P98" s="1771" t="n"/>
      <c r="Q98" s="1771" t="n"/>
      <c r="R98" s="1771" t="n"/>
      <c r="S98" s="1771" t="n"/>
      <c r="T98" s="1771" t="n"/>
      <c r="U98" s="1771" t="n"/>
      <c r="V98" s="1771" t="n"/>
      <c r="W98" s="1771" t="n"/>
      <c r="AK98" s="1771" t="n"/>
      <c r="AL98" s="1771" t="n"/>
      <c r="AM98" s="1771" t="n"/>
      <c r="AN98" s="1771" t="n"/>
      <c r="AO98" s="1771" t="n"/>
      <c r="AP98" s="1771" t="n"/>
      <c r="AQ98" s="1771" t="n"/>
      <c r="AR98" s="1771" t="n"/>
      <c r="AS98" s="1771" t="n"/>
      <c r="AT98" s="1771" t="n"/>
      <c r="AU98" s="1771" t="n"/>
      <c r="AV98" s="1771" t="n"/>
      <c r="AW98" s="1771" t="n"/>
      <c r="AX98" s="1771" t="n"/>
      <c r="AY98" s="1771" t="n"/>
      <c r="AZ98" s="1771" t="n"/>
      <c r="BA98" s="1771" t="n"/>
      <c r="BB98" s="1771" t="n"/>
      <c r="BC98" s="1771" t="n"/>
      <c r="BD98" s="1771" t="n"/>
      <c r="BE98" s="1771" t="n"/>
      <c r="BF98" s="1771" t="n"/>
      <c r="BG98" s="1771" t="n"/>
      <c r="BH98" s="1771" t="n"/>
      <c r="BI98" s="1771" t="n"/>
      <c r="BJ98" s="1771" t="n"/>
    </row>
    <row r="99">
      <c r="B99" s="1771" t="n"/>
      <c r="C99" s="1771" t="n"/>
      <c r="D99" s="1771" t="n"/>
      <c r="E99" s="1771" t="n"/>
      <c r="F99" s="1771" t="n"/>
      <c r="G99" s="1771" t="n"/>
      <c r="H99" s="1771" t="n"/>
      <c r="I99" s="1771" t="n"/>
      <c r="J99" s="1771" t="n"/>
      <c r="K99" s="1771" t="n"/>
      <c r="L99" s="1771" t="n"/>
      <c r="M99" s="1771" t="n"/>
      <c r="N99" s="1771" t="n"/>
      <c r="O99" s="1771" t="n"/>
      <c r="P99" s="1771" t="n"/>
      <c r="Q99" s="1771" t="n"/>
      <c r="R99" s="1771" t="n"/>
      <c r="S99" s="1771" t="n"/>
      <c r="T99" s="1771" t="n"/>
      <c r="U99" s="1771" t="n"/>
      <c r="V99" s="1771" t="n"/>
      <c r="W99" s="1771" t="n"/>
      <c r="AK99" s="1771" t="n"/>
      <c r="AL99" s="1771" t="n"/>
      <c r="AM99" s="1771" t="n"/>
      <c r="AN99" s="1771" t="n"/>
      <c r="AO99" s="1771" t="n"/>
      <c r="AP99" s="1771" t="n"/>
      <c r="AQ99" s="1771" t="n"/>
      <c r="AR99" s="1771" t="n"/>
      <c r="AS99" s="1771" t="n"/>
      <c r="AT99" s="1771" t="n"/>
      <c r="AU99" s="1771" t="n"/>
      <c r="AV99" s="1771" t="n"/>
      <c r="AW99" s="1771" t="n"/>
      <c r="AX99" s="1771" t="n"/>
      <c r="AY99" s="1771" t="n"/>
      <c r="AZ99" s="1771" t="n"/>
      <c r="BA99" s="1771" t="n"/>
      <c r="BB99" s="1771" t="n"/>
      <c r="BC99" s="1771" t="n"/>
      <c r="BD99" s="1771" t="n"/>
      <c r="BE99" s="1771" t="n"/>
      <c r="BF99" s="1771" t="n"/>
      <c r="BG99" s="1771" t="n"/>
      <c r="BH99" s="1771" t="n"/>
      <c r="BI99" s="1771" t="n"/>
      <c r="BJ99" s="1771" t="n"/>
    </row>
    <row r="101" ht="15.5" customHeight="1"/>
    <row r="102" ht="45" customHeight="1">
      <c r="B102" s="1769" t="n"/>
      <c r="C102" s="2042">
        <f>Languages!B499</f>
        <v/>
      </c>
      <c r="D102" s="1769" t="n"/>
      <c r="E102" s="1769" t="n"/>
      <c r="F102" s="1769" t="n"/>
      <c r="G102" s="1769" t="n"/>
      <c r="H102" s="1769" t="n"/>
      <c r="I102" s="1769" t="n"/>
      <c r="J102" s="1769" t="n"/>
      <c r="K102" s="1769" t="n"/>
      <c r="L102" s="1769" t="n"/>
      <c r="M102" s="1769" t="n"/>
      <c r="N102" s="1769" t="n"/>
      <c r="O102" s="1769" t="n"/>
      <c r="P102" s="1769" t="n"/>
      <c r="Q102" s="1769" t="n"/>
      <c r="R102" s="1769" t="n"/>
      <c r="S102" s="1769" t="n"/>
      <c r="T102" s="1770">
        <f>T70</f>
        <v/>
      </c>
      <c r="U102" s="1769" t="n"/>
      <c r="V102" s="1769" t="n"/>
      <c r="W102" s="1769" t="n"/>
      <c r="AK102" s="2042">
        <f>C102</f>
        <v/>
      </c>
      <c r="AL102" s="1769" t="n"/>
      <c r="AM102" s="1769" t="n"/>
      <c r="AN102" s="1769" t="n"/>
      <c r="AO102" s="1769" t="n"/>
      <c r="AP102" s="1769" t="n"/>
      <c r="AQ102" s="1769" t="n"/>
      <c r="AR102" s="1769" t="n"/>
      <c r="AS102" s="1769" t="n"/>
      <c r="AT102" s="1769" t="n"/>
      <c r="AV102" s="4404" t="inlineStr">
        <is>
          <t>Annual balance</t>
        </is>
      </c>
      <c r="AW102" s="4404" t="n"/>
      <c r="AX102" s="4404" t="n"/>
    </row>
    <row r="103" ht="5.25" customHeight="1">
      <c r="B103" s="1771" t="n"/>
      <c r="C103" s="1771" t="n"/>
      <c r="D103" s="1771" t="n"/>
      <c r="E103" s="1771" t="n"/>
      <c r="F103" s="1771" t="n"/>
      <c r="G103" s="1771" t="n"/>
      <c r="H103" s="1771" t="n"/>
      <c r="I103" s="1771" t="n"/>
      <c r="J103" s="1771" t="n"/>
      <c r="K103" s="1771" t="n"/>
      <c r="L103" s="1771" t="n"/>
      <c r="M103" s="1771" t="n"/>
      <c r="N103" s="1771" t="n"/>
      <c r="O103" s="1771" t="n"/>
      <c r="P103" s="1771" t="n"/>
      <c r="Q103" s="1771" t="n"/>
      <c r="R103" s="1771" t="n"/>
      <c r="S103" s="1771" t="n"/>
      <c r="T103" s="1771" t="n"/>
      <c r="U103" s="1771" t="n"/>
      <c r="V103" s="1771" t="n"/>
      <c r="W103" s="1771" t="n"/>
      <c r="AK103" s="1771" t="n"/>
      <c r="AL103" s="1771" t="n"/>
      <c r="AM103" s="1771" t="n"/>
      <c r="AN103" s="1771" t="n"/>
      <c r="AO103" s="1771" t="n"/>
      <c r="AP103" s="1771" t="n"/>
      <c r="AQ103" s="1771" t="n"/>
      <c r="AR103" s="1771" t="n"/>
      <c r="AS103" s="1771" t="n"/>
      <c r="AT103" s="1771" t="n"/>
      <c r="AV103" s="1916" t="n"/>
      <c r="AW103" s="1916" t="n"/>
    </row>
    <row r="104">
      <c r="B104" s="1781" t="n"/>
      <c r="C104" s="1781" t="n"/>
      <c r="D104" s="1781" t="n"/>
      <c r="E104" s="1781" t="n"/>
      <c r="F104" s="1781" t="n"/>
      <c r="G104" s="1781" t="n"/>
      <c r="H104" s="1781" t="n"/>
      <c r="I104" s="1781" t="n"/>
      <c r="J104" s="1781" t="n"/>
      <c r="K104" s="1781" t="n"/>
      <c r="L104" s="1781" t="n"/>
      <c r="M104" s="1781" t="n"/>
      <c r="N104" s="1781" t="n"/>
      <c r="O104" s="1781" t="n"/>
      <c r="P104" s="1781" t="n"/>
      <c r="Q104" s="1781" t="n"/>
      <c r="R104" s="1781" t="n"/>
      <c r="S104" s="1781" t="n"/>
      <c r="T104" s="1781" t="n"/>
      <c r="U104" s="1781" t="n"/>
      <c r="V104" s="1781" t="n"/>
      <c r="W104" s="1781" t="n"/>
      <c r="AK104" s="1782" t="n"/>
      <c r="AL104" s="1782" t="n"/>
      <c r="AM104" s="1782" t="n"/>
      <c r="AN104" s="1782" t="n"/>
      <c r="AO104" s="1782" t="n"/>
      <c r="AP104" s="1782" t="n"/>
      <c r="AQ104" s="1782" t="n"/>
      <c r="AR104" s="1782" t="n"/>
      <c r="AS104" s="1782" t="n"/>
      <c r="AT104" s="1782" t="n"/>
      <c r="AV104" s="1890" t="inlineStr">
        <is>
          <t xml:space="preserve">Start year of </t>
        </is>
      </c>
      <c r="AW104" s="1890" t="n"/>
      <c r="AX104" s="1997" t="n"/>
    </row>
    <row r="105" ht="16" customHeight="1">
      <c r="B105" s="1781" t="n"/>
      <c r="C105" s="2117">
        <f>C73</f>
        <v/>
      </c>
      <c r="D105" s="1781" t="n"/>
      <c r="E105" s="2093">
        <f>Languages!B501</f>
        <v/>
      </c>
      <c r="F105" s="1789" t="n"/>
      <c r="G105" s="1789" t="n"/>
      <c r="H105" s="1781" t="n"/>
      <c r="I105" s="1781" t="n"/>
      <c r="J105" s="1781" t="n"/>
      <c r="K105" s="1781" t="n"/>
      <c r="L105" s="1781" t="n"/>
      <c r="M105" s="1781" t="n"/>
      <c r="N105" s="1781" t="n"/>
      <c r="O105" s="1781" t="n"/>
      <c r="P105" s="1781" t="n"/>
      <c r="Q105" s="1781" t="n"/>
      <c r="R105" s="1781" t="n"/>
      <c r="S105" s="2118">
        <f>S74</f>
        <v/>
      </c>
      <c r="T105" s="2090" t="n"/>
      <c r="U105" s="2090" t="n"/>
      <c r="V105" s="2081">
        <f>V74</f>
        <v/>
      </c>
      <c r="W105" s="1781" t="n"/>
      <c r="AK105" s="1783">
        <f>C105</f>
        <v/>
      </c>
      <c r="AL105" s="1782" t="n"/>
      <c r="AM105" s="1782" t="n"/>
      <c r="AN105" s="1782" t="n"/>
      <c r="AO105" s="1782" t="n"/>
      <c r="AP105" s="1782" t="n"/>
      <c r="AQ105" s="1782" t="n"/>
      <c r="AR105" s="1782" t="n"/>
      <c r="AS105" s="1782" t="n"/>
      <c r="AT105" s="1782" t="n"/>
      <c r="AV105" s="2015" t="inlineStr">
        <is>
          <t>implementation</t>
        </is>
      </c>
      <c r="AW105" s="2015" t="n"/>
      <c r="AX105" s="1997" t="n"/>
    </row>
    <row r="106">
      <c r="B106" s="1781" t="n"/>
      <c r="C106" s="1781" t="n"/>
      <c r="D106" s="1781" t="n"/>
      <c r="E106" s="1781" t="n"/>
      <c r="F106" s="1781" t="n"/>
      <c r="G106" s="1781" t="n"/>
      <c r="H106" s="1781" t="n"/>
      <c r="I106" s="1781" t="n"/>
      <c r="J106" s="1781" t="n"/>
      <c r="K106" s="1781" t="n"/>
      <c r="L106" s="1781" t="n"/>
      <c r="M106" s="1781" t="n"/>
      <c r="N106" s="1781" t="n"/>
      <c r="O106" s="1781" t="n"/>
      <c r="P106" s="1781" t="n"/>
      <c r="Q106" s="1781" t="n"/>
      <c r="R106" s="1781" t="n"/>
      <c r="S106" s="1781" t="n"/>
      <c r="T106" s="1781" t="n"/>
      <c r="U106" s="1781" t="n"/>
      <c r="V106" s="1781" t="n"/>
      <c r="W106" s="1781" t="n"/>
      <c r="AK106" s="1782" t="n"/>
      <c r="AL106" s="1782" t="n"/>
      <c r="AM106" s="1782" t="n"/>
      <c r="AN106" s="1782" t="n"/>
      <c r="AO106" s="1782" t="n"/>
      <c r="AP106" s="1782" t="n"/>
      <c r="AQ106" s="1782" t="n"/>
      <c r="AR106" s="1782" t="n"/>
      <c r="AS106" s="1782" t="n"/>
      <c r="AT106" s="1782" t="n"/>
      <c r="AV106" s="1997" t="n"/>
      <c r="AW106" s="1997" t="n"/>
      <c r="AX106" s="1997" t="n"/>
    </row>
    <row r="107" ht="16" customHeight="1">
      <c r="B107" s="1781" t="n"/>
      <c r="C107" s="2121">
        <f>Languages!B500</f>
        <v/>
      </c>
      <c r="D107" s="1781" t="n"/>
      <c r="E107" s="1806">
        <f>E76</f>
        <v/>
      </c>
      <c r="F107" s="1806" t="n"/>
      <c r="G107" s="1806">
        <f>G76</f>
        <v/>
      </c>
      <c r="H107" s="1781" t="n"/>
      <c r="I107" s="1781" t="n"/>
      <c r="J107" s="1781" t="n"/>
      <c r="K107" s="1781" t="n"/>
      <c r="L107" s="1781" t="n"/>
      <c r="M107" s="1781" t="n"/>
      <c r="N107" s="1781" t="n"/>
      <c r="O107" s="1781" t="n"/>
      <c r="P107" s="1781" t="n"/>
      <c r="Q107" s="1781" t="n"/>
      <c r="R107" s="1781" t="n"/>
      <c r="S107" s="1929">
        <f>S76</f>
        <v/>
      </c>
      <c r="T107" s="1929">
        <f>T76</f>
        <v/>
      </c>
      <c r="U107" s="2090" t="n"/>
      <c r="V107" s="2090" t="n"/>
      <c r="W107" s="1781" t="n"/>
      <c r="AK107" s="1783">
        <f>C107</f>
        <v/>
      </c>
      <c r="AL107" s="2155">
        <f>AN46</f>
        <v/>
      </c>
      <c r="AM107" s="2155">
        <f>AP77</f>
        <v/>
      </c>
      <c r="AN107" s="2155">
        <f>AQ77</f>
        <v/>
      </c>
      <c r="AO107" s="1782" t="n"/>
      <c r="AP107" s="1782" t="n"/>
      <c r="AQ107" s="1782" t="n"/>
      <c r="AR107" s="1782" t="n"/>
      <c r="AS107" s="1782" t="n"/>
      <c r="AT107" s="1782" t="n"/>
      <c r="AV107" s="1997" t="n"/>
      <c r="AW107" s="1997" t="n"/>
      <c r="AX107" s="1997" t="n"/>
    </row>
    <row r="108" ht="16" customHeight="1">
      <c r="B108" s="1781" t="n"/>
      <c r="C108" s="1781" t="n"/>
      <c r="D108" s="1781" t="n"/>
      <c r="E108" s="1781" t="n"/>
      <c r="F108" s="1781" t="n"/>
      <c r="G108" s="1781" t="n"/>
      <c r="H108" s="1781" t="n"/>
      <c r="I108" s="1781" t="n"/>
      <c r="J108" s="1781" t="n"/>
      <c r="K108" s="1781" t="n"/>
      <c r="L108" s="1781" t="n"/>
      <c r="M108" s="1781" t="n"/>
      <c r="N108" s="1781" t="n"/>
      <c r="O108" s="1781" t="n"/>
      <c r="P108" s="1781" t="n"/>
      <c r="Q108" s="1781" t="n"/>
      <c r="R108" s="1781" t="n"/>
      <c r="S108" s="1781" t="n"/>
      <c r="T108" s="1781" t="n"/>
      <c r="U108" s="1929" t="n"/>
      <c r="V108" s="2090" t="n"/>
      <c r="W108" s="1781" t="n"/>
      <c r="AK108" s="1782" t="n"/>
      <c r="AL108" s="2155" t="n"/>
      <c r="AM108" s="2155" t="n"/>
      <c r="AN108" s="2155" t="n"/>
      <c r="AO108" s="1782" t="n"/>
      <c r="AP108" s="1782" t="n"/>
      <c r="AQ108" s="1782" t="n"/>
      <c r="AR108" s="1782" t="n"/>
      <c r="AS108" s="1782" t="n"/>
      <c r="AT108" s="1782" t="n"/>
      <c r="AV108" s="1997" t="n"/>
      <c r="AW108" s="1997" t="n"/>
      <c r="AX108" s="1997" t="n"/>
    </row>
    <row r="109" ht="16" customHeight="1">
      <c r="B109" s="1781" t="n"/>
      <c r="C109" s="2137" t="inlineStr">
        <is>
          <t>Please select</t>
        </is>
      </c>
      <c r="D109" s="2086" t="n"/>
      <c r="E109" s="2138" t="n">
        <v>0</v>
      </c>
      <c r="F109" s="2086" t="n"/>
      <c r="G109" s="2138" t="n">
        <v>0</v>
      </c>
      <c r="H109" s="1781" t="n"/>
      <c r="I109" s="1781" t="n"/>
      <c r="J109" s="1781" t="n"/>
      <c r="K109" s="1781" t="n"/>
      <c r="L109" s="1781" t="n"/>
      <c r="M109" s="1781" t="n"/>
      <c r="N109" s="1781" t="n"/>
      <c r="O109" s="1781" t="n"/>
      <c r="P109" s="1781" t="n"/>
      <c r="Q109" s="1781" t="n"/>
      <c r="R109" s="1781" t="n"/>
      <c r="S109" s="2109">
        <f>Inputs!O140</f>
        <v/>
      </c>
      <c r="T109" s="2109">
        <f>Inputs!P140</f>
        <v/>
      </c>
      <c r="U109" s="1806" t="n"/>
      <c r="V109" s="1929">
        <f>T109-S109</f>
        <v/>
      </c>
      <c r="W109" s="1781" t="n"/>
      <c r="AK109" s="1782">
        <f>C109</f>
        <v/>
      </c>
      <c r="AL109" s="2155" t="inlineStr">
        <is>
          <t>tCO2/m2</t>
        </is>
      </c>
      <c r="AM109" s="4801">
        <f>Inputs!C140</f>
        <v/>
      </c>
      <c r="AN109" s="2107" t="n"/>
      <c r="AO109" s="1782" t="n"/>
      <c r="AP109" s="1782" t="n"/>
      <c r="AQ109" s="1782" t="n"/>
      <c r="AR109" s="1782" t="n"/>
      <c r="AS109" s="1782" t="n"/>
      <c r="AT109" s="1782" t="n"/>
      <c r="AV109" s="4401" t="n">
        <v>1</v>
      </c>
      <c r="AW109" s="4402" t="n"/>
      <c r="AX109" s="1997" t="n"/>
    </row>
    <row r="110" ht="16" customHeight="1">
      <c r="B110" s="1781" t="n"/>
      <c r="C110" s="2137" t="inlineStr">
        <is>
          <t>Please select</t>
        </is>
      </c>
      <c r="D110" s="2086" t="n"/>
      <c r="E110" s="2138" t="n">
        <v>0</v>
      </c>
      <c r="F110" s="2086" t="n"/>
      <c r="G110" s="2138" t="n">
        <v>0</v>
      </c>
      <c r="H110" s="1781" t="n"/>
      <c r="I110" s="1781" t="n"/>
      <c r="J110" s="1781" t="n"/>
      <c r="K110" s="1781" t="n"/>
      <c r="L110" s="1781" t="n"/>
      <c r="M110" s="1781" t="n"/>
      <c r="N110" s="1781" t="n"/>
      <c r="O110" s="1781" t="n"/>
      <c r="P110" s="1781" t="n"/>
      <c r="Q110" s="1781" t="n"/>
      <c r="R110" s="1781" t="n"/>
      <c r="S110" s="2109">
        <f>Inputs!O141</f>
        <v/>
      </c>
      <c r="T110" s="2109">
        <f>Inputs!P141</f>
        <v/>
      </c>
      <c r="U110" s="1806" t="n"/>
      <c r="V110" s="1929">
        <f>T110-S110</f>
        <v/>
      </c>
      <c r="W110" s="1781" t="n"/>
      <c r="AK110" s="1782">
        <f>C110</f>
        <v/>
      </c>
      <c r="AL110" s="2155" t="inlineStr">
        <is>
          <t>tCO2/m2</t>
        </is>
      </c>
      <c r="AM110" s="4801">
        <f>Inputs!C141</f>
        <v/>
      </c>
      <c r="AN110" s="2107" t="n"/>
      <c r="AO110" s="1782" t="n"/>
      <c r="AP110" s="1782" t="n"/>
      <c r="AQ110" s="1782" t="n"/>
      <c r="AR110" s="1782" t="n"/>
      <c r="AS110" s="1782" t="n"/>
      <c r="AT110" s="1782" t="n"/>
      <c r="AV110" s="4401" t="n">
        <v>1</v>
      </c>
      <c r="AW110" s="4402" t="n"/>
      <c r="AX110" s="1997" t="n"/>
    </row>
    <row r="111" ht="16" customHeight="1">
      <c r="B111" s="1781" t="n"/>
      <c r="C111" s="2137" t="inlineStr">
        <is>
          <t>Please select</t>
        </is>
      </c>
      <c r="D111" s="2086" t="n"/>
      <c r="E111" s="2138" t="n">
        <v>0</v>
      </c>
      <c r="F111" s="2086" t="n"/>
      <c r="G111" s="2138" t="n">
        <v>0</v>
      </c>
      <c r="H111" s="1781" t="n"/>
      <c r="I111" s="1781" t="n"/>
      <c r="J111" s="1781" t="n"/>
      <c r="K111" s="1781" t="n"/>
      <c r="L111" s="1781" t="n"/>
      <c r="M111" s="1781" t="n"/>
      <c r="N111" s="1781" t="n"/>
      <c r="O111" s="1781" t="n"/>
      <c r="P111" s="1781" t="n"/>
      <c r="Q111" s="1781" t="n"/>
      <c r="R111" s="1781" t="n"/>
      <c r="S111" s="2109">
        <f>Inputs!O142</f>
        <v/>
      </c>
      <c r="T111" s="2109">
        <f>Inputs!P142</f>
        <v/>
      </c>
      <c r="U111" s="1806" t="n"/>
      <c r="V111" s="1929">
        <f>T111-S111</f>
        <v/>
      </c>
      <c r="W111" s="1781" t="n"/>
      <c r="AK111" s="1782">
        <f>C111</f>
        <v/>
      </c>
      <c r="AL111" s="2155" t="inlineStr">
        <is>
          <t>tCO2/m2</t>
        </is>
      </c>
      <c r="AM111" s="4801">
        <f>Inputs!C142</f>
        <v/>
      </c>
      <c r="AN111" s="2107" t="n"/>
      <c r="AO111" s="1782" t="n"/>
      <c r="AP111" s="1782" t="n"/>
      <c r="AQ111" s="1782" t="n"/>
      <c r="AR111" s="1782" t="n"/>
      <c r="AS111" s="1782" t="n"/>
      <c r="AT111" s="1782" t="n"/>
      <c r="AV111" s="4401" t="n">
        <v>1</v>
      </c>
      <c r="AW111" s="4402" t="n"/>
      <c r="AX111" s="1997" t="n"/>
    </row>
    <row r="112" ht="16" customHeight="1">
      <c r="B112" s="1781" t="n"/>
      <c r="C112" s="2137" t="inlineStr">
        <is>
          <t>Please select</t>
        </is>
      </c>
      <c r="D112" s="2086" t="n"/>
      <c r="E112" s="2138" t="n">
        <v>0</v>
      </c>
      <c r="F112" s="2086" t="n"/>
      <c r="G112" s="2138" t="n">
        <v>0</v>
      </c>
      <c r="H112" s="1781" t="n"/>
      <c r="I112" s="1781" t="n"/>
      <c r="J112" s="1781" t="n"/>
      <c r="K112" s="1781" t="n"/>
      <c r="L112" s="1781" t="n"/>
      <c r="M112" s="1781" t="n"/>
      <c r="N112" s="1781" t="n"/>
      <c r="O112" s="1781" t="n"/>
      <c r="P112" s="1781" t="n"/>
      <c r="Q112" s="1781" t="n"/>
      <c r="R112" s="1781" t="n"/>
      <c r="S112" s="2109">
        <f>Inputs!O143</f>
        <v/>
      </c>
      <c r="T112" s="2109">
        <f>Inputs!P143</f>
        <v/>
      </c>
      <c r="U112" s="1806" t="n"/>
      <c r="V112" s="1929">
        <f>T112-S112</f>
        <v/>
      </c>
      <c r="W112" s="1781" t="n"/>
      <c r="AK112" s="1782">
        <f>C112</f>
        <v/>
      </c>
      <c r="AL112" s="2155" t="inlineStr">
        <is>
          <t>tCO2/m2</t>
        </is>
      </c>
      <c r="AM112" s="4801">
        <f>Inputs!C143</f>
        <v/>
      </c>
      <c r="AN112" s="2107" t="n"/>
      <c r="AO112" s="1782" t="n"/>
      <c r="AP112" s="1782" t="n"/>
      <c r="AQ112" s="1782" t="n"/>
      <c r="AR112" s="1782" t="n"/>
      <c r="AS112" s="1782" t="n"/>
      <c r="AT112" s="1782" t="n"/>
      <c r="AV112" s="4401" t="n">
        <v>1</v>
      </c>
      <c r="AW112" s="4402" t="n"/>
      <c r="AX112" s="1997" t="n"/>
    </row>
    <row r="113" ht="16" customHeight="1">
      <c r="B113" s="1781" t="n"/>
      <c r="C113" s="2137" t="inlineStr">
        <is>
          <t>Please select</t>
        </is>
      </c>
      <c r="D113" s="1781" t="n"/>
      <c r="E113" s="2138" t="n">
        <v>0</v>
      </c>
      <c r="F113" s="1781" t="n"/>
      <c r="G113" s="2138" t="n">
        <v>0</v>
      </c>
      <c r="H113" s="1781" t="n"/>
      <c r="I113" s="1781" t="n"/>
      <c r="J113" s="1781" t="n"/>
      <c r="K113" s="1781" t="n"/>
      <c r="L113" s="1781" t="n"/>
      <c r="M113" s="1781" t="n"/>
      <c r="N113" s="1781" t="n"/>
      <c r="O113" s="1781" t="n"/>
      <c r="P113" s="1781" t="n"/>
      <c r="Q113" s="1781" t="n"/>
      <c r="R113" s="1781" t="n"/>
      <c r="S113" s="2109">
        <f>Inputs!O144</f>
        <v/>
      </c>
      <c r="T113" s="2109">
        <f>Inputs!P144</f>
        <v/>
      </c>
      <c r="U113" s="1781" t="n"/>
      <c r="V113" s="1929">
        <f>T113-S113</f>
        <v/>
      </c>
      <c r="W113" s="2086" t="n"/>
      <c r="AK113" s="1782">
        <f>C113</f>
        <v/>
      </c>
      <c r="AL113" s="2155" t="inlineStr">
        <is>
          <t>tCO2/m2</t>
        </is>
      </c>
      <c r="AM113" s="4801">
        <f>Inputs!C144</f>
        <v/>
      </c>
      <c r="AN113" s="2107" t="n"/>
      <c r="AO113" s="1782" t="n"/>
      <c r="AP113" s="1782" t="n"/>
      <c r="AQ113" s="1782" t="n"/>
      <c r="AR113" s="1782" t="n"/>
      <c r="AS113" s="1782" t="n"/>
      <c r="AT113" s="1782" t="n"/>
      <c r="AV113" s="4401" t="n">
        <v>1</v>
      </c>
      <c r="AW113" s="4402" t="n"/>
      <c r="AX113" s="1997" t="n"/>
    </row>
    <row r="114" ht="15.5" customHeight="1">
      <c r="B114" s="1781" t="n"/>
      <c r="C114" s="2137" t="inlineStr">
        <is>
          <t>Please select</t>
        </is>
      </c>
      <c r="D114" s="1781" t="n"/>
      <c r="E114" s="2138" t="n">
        <v>0</v>
      </c>
      <c r="F114" s="1781" t="n"/>
      <c r="G114" s="2138" t="n">
        <v>0</v>
      </c>
      <c r="H114" s="1781" t="n"/>
      <c r="I114" s="1781" t="n"/>
      <c r="J114" s="1781" t="n"/>
      <c r="K114" s="1781" t="n"/>
      <c r="L114" s="1781" t="n"/>
      <c r="M114" s="1781" t="n"/>
      <c r="N114" s="1781" t="n"/>
      <c r="O114" s="1781" t="n"/>
      <c r="P114" s="1781" t="n"/>
      <c r="Q114" s="1781" t="n"/>
      <c r="R114" s="1781" t="n"/>
      <c r="S114" s="2109">
        <f>Inputs!O145</f>
        <v/>
      </c>
      <c r="T114" s="2109">
        <f>Inputs!P145</f>
        <v/>
      </c>
      <c r="U114" s="1781" t="n"/>
      <c r="V114" s="1929">
        <f>T114-S114</f>
        <v/>
      </c>
      <c r="W114" s="1781" t="n"/>
      <c r="AK114" s="1782">
        <f>C114</f>
        <v/>
      </c>
      <c r="AL114" s="2155" t="inlineStr">
        <is>
          <t>tCO2/m2</t>
        </is>
      </c>
      <c r="AM114" s="4801">
        <f>Inputs!C145</f>
        <v/>
      </c>
      <c r="AN114" s="2107" t="n"/>
      <c r="AO114" s="1782" t="n"/>
      <c r="AP114" s="1782" t="n"/>
      <c r="AQ114" s="1782" t="n"/>
      <c r="AR114" s="1782" t="n"/>
      <c r="AS114" s="1782" t="n"/>
      <c r="AT114" s="1782" t="n"/>
      <c r="AV114" s="4401" t="n">
        <v>1</v>
      </c>
      <c r="AW114" s="4402" t="n"/>
      <c r="AX114" s="4401" t="n"/>
    </row>
    <row r="115" ht="16" customHeight="1">
      <c r="B115" s="1781" t="n"/>
      <c r="C115" s="2137" t="inlineStr">
        <is>
          <t>Please select</t>
        </is>
      </c>
      <c r="D115" s="1781" t="n"/>
      <c r="E115" s="2138" t="n">
        <v>0</v>
      </c>
      <c r="F115" s="1781" t="n"/>
      <c r="G115" s="2138" t="n">
        <v>0</v>
      </c>
      <c r="H115" s="1781" t="n"/>
      <c r="I115" s="1781" t="n"/>
      <c r="J115" s="1781" t="n"/>
      <c r="K115" s="1781" t="n"/>
      <c r="L115" s="1781" t="n"/>
      <c r="M115" s="1781" t="n"/>
      <c r="N115" s="1781" t="n"/>
      <c r="O115" s="1781" t="n"/>
      <c r="P115" s="1781" t="n"/>
      <c r="Q115" s="1781" t="n"/>
      <c r="R115" s="1781" t="n"/>
      <c r="S115" s="2109">
        <f>Inputs!O146</f>
        <v/>
      </c>
      <c r="T115" s="2109">
        <f>Inputs!P146</f>
        <v/>
      </c>
      <c r="U115" s="1781" t="n"/>
      <c r="V115" s="1929">
        <f>T115-S115</f>
        <v/>
      </c>
      <c r="W115" s="1781" t="n"/>
      <c r="AK115" s="1782">
        <f>C115</f>
        <v/>
      </c>
      <c r="AL115" s="2155" t="inlineStr">
        <is>
          <t>tCO2/m2</t>
        </is>
      </c>
      <c r="AM115" s="4801">
        <f>Inputs!C146</f>
        <v/>
      </c>
      <c r="AN115" s="2107" t="n"/>
      <c r="AO115" s="1782" t="n"/>
      <c r="AP115" s="1782" t="n"/>
      <c r="AQ115" s="1782" t="n"/>
      <c r="AR115" s="1782" t="n"/>
      <c r="AS115" s="1782" t="n"/>
      <c r="AT115" s="1782" t="n"/>
      <c r="AV115" s="4401" t="n">
        <v>1</v>
      </c>
      <c r="AW115" s="4402" t="n"/>
      <c r="AX115" s="4401" t="n"/>
    </row>
    <row r="116" ht="16" customHeight="1">
      <c r="B116" s="1781" t="n"/>
      <c r="C116" s="2137" t="inlineStr">
        <is>
          <t>Please select</t>
        </is>
      </c>
      <c r="D116" s="1781" t="n"/>
      <c r="E116" s="2138" t="n">
        <v>0</v>
      </c>
      <c r="F116" s="1781" t="n"/>
      <c r="G116" s="2138" t="n">
        <v>0</v>
      </c>
      <c r="H116" s="1781" t="n"/>
      <c r="I116" s="1781" t="n"/>
      <c r="J116" s="1781" t="n"/>
      <c r="K116" s="1781" t="n"/>
      <c r="L116" s="1781" t="n"/>
      <c r="M116" s="1781" t="n"/>
      <c r="N116" s="1781" t="n"/>
      <c r="O116" s="1781" t="n"/>
      <c r="P116" s="1781" t="n"/>
      <c r="Q116" s="1781" t="n"/>
      <c r="R116" s="1781" t="n"/>
      <c r="S116" s="2109">
        <f>Inputs!O147</f>
        <v/>
      </c>
      <c r="T116" s="2109">
        <f>Inputs!P147</f>
        <v/>
      </c>
      <c r="U116" s="1781" t="n"/>
      <c r="V116" s="1929">
        <f>T116-S116</f>
        <v/>
      </c>
      <c r="W116" s="1781" t="n"/>
      <c r="AK116" s="1782">
        <f>C116</f>
        <v/>
      </c>
      <c r="AL116" s="2155" t="inlineStr">
        <is>
          <t>tCO2/m2</t>
        </is>
      </c>
      <c r="AM116" s="4801">
        <f>Inputs!C147</f>
        <v/>
      </c>
      <c r="AN116" s="2107" t="n"/>
      <c r="AO116" s="1782" t="n"/>
      <c r="AP116" s="1782" t="n"/>
      <c r="AQ116" s="1782" t="n"/>
      <c r="AR116" s="1782" t="n"/>
      <c r="AS116" s="1782" t="n"/>
      <c r="AT116" s="1782" t="n"/>
      <c r="AV116" s="4401" t="n">
        <v>1</v>
      </c>
      <c r="AW116" s="4402" t="n"/>
      <c r="AX116" s="4401" t="n"/>
    </row>
    <row r="117" ht="16" customHeight="1">
      <c r="B117" s="1781" t="n"/>
      <c r="C117" s="2137" t="inlineStr">
        <is>
          <t>Please select</t>
        </is>
      </c>
      <c r="D117" s="1781" t="n"/>
      <c r="E117" s="2138" t="n">
        <v>0</v>
      </c>
      <c r="F117" s="1781" t="n"/>
      <c r="G117" s="2138" t="n">
        <v>0</v>
      </c>
      <c r="H117" s="1781" t="n"/>
      <c r="I117" s="1781" t="n"/>
      <c r="J117" s="1781" t="n"/>
      <c r="K117" s="1781" t="n"/>
      <c r="L117" s="1781" t="n"/>
      <c r="M117" s="1781" t="n"/>
      <c r="N117" s="1781" t="n"/>
      <c r="O117" s="1781" t="n"/>
      <c r="P117" s="1781" t="n"/>
      <c r="Q117" s="1781" t="n"/>
      <c r="R117" s="1781" t="n"/>
      <c r="S117" s="2109">
        <f>Inputs!O148</f>
        <v/>
      </c>
      <c r="T117" s="2109">
        <f>Inputs!P148</f>
        <v/>
      </c>
      <c r="U117" s="1781" t="n"/>
      <c r="V117" s="1929">
        <f>T117-S117</f>
        <v/>
      </c>
      <c r="W117" s="1781" t="n"/>
      <c r="AK117" s="1782">
        <f>C117</f>
        <v/>
      </c>
      <c r="AL117" s="2155" t="inlineStr">
        <is>
          <t>tCO2/m2</t>
        </is>
      </c>
      <c r="AM117" s="4801">
        <f>Inputs!C148</f>
        <v/>
      </c>
      <c r="AN117" s="2107" t="n"/>
      <c r="AO117" s="1782" t="n"/>
      <c r="AP117" s="1782" t="n"/>
      <c r="AQ117" s="1782" t="n"/>
      <c r="AR117" s="1782" t="n"/>
      <c r="AS117" s="1782" t="n"/>
      <c r="AT117" s="1782" t="n"/>
      <c r="AV117" s="4401" t="n">
        <v>1</v>
      </c>
      <c r="AW117" s="4402" t="n"/>
      <c r="AX117" s="4401" t="n"/>
    </row>
    <row r="118" ht="16" customHeight="1">
      <c r="B118" s="1781" t="n"/>
      <c r="C118" s="2137" t="inlineStr">
        <is>
          <t>Please select</t>
        </is>
      </c>
      <c r="D118" s="1781" t="n"/>
      <c r="E118" s="2138" t="n">
        <v>0</v>
      </c>
      <c r="F118" s="1781" t="n"/>
      <c r="G118" s="2138" t="n">
        <v>0</v>
      </c>
      <c r="H118" s="1781" t="n"/>
      <c r="I118" s="1781" t="n"/>
      <c r="J118" s="1781" t="n"/>
      <c r="K118" s="1781" t="n"/>
      <c r="L118" s="1781" t="n"/>
      <c r="M118" s="1781" t="n"/>
      <c r="N118" s="1781" t="n"/>
      <c r="O118" s="1781" t="n"/>
      <c r="P118" s="1781" t="n"/>
      <c r="Q118" s="1781" t="n"/>
      <c r="R118" s="1781" t="n"/>
      <c r="S118" s="2109">
        <f>Inputs!O149</f>
        <v/>
      </c>
      <c r="T118" s="2109">
        <f>Inputs!P149</f>
        <v/>
      </c>
      <c r="U118" s="1781" t="n"/>
      <c r="V118" s="1929">
        <f>T118-S118</f>
        <v/>
      </c>
      <c r="W118" s="1781" t="n"/>
      <c r="AK118" s="1782">
        <f>C118</f>
        <v/>
      </c>
      <c r="AL118" s="2155" t="inlineStr">
        <is>
          <t>tCO2/m2</t>
        </is>
      </c>
      <c r="AM118" s="4801">
        <f>Inputs!C149</f>
        <v/>
      </c>
      <c r="AN118" s="2107" t="n"/>
      <c r="AO118" s="1782" t="n"/>
      <c r="AP118" s="1782" t="n"/>
      <c r="AQ118" s="1782" t="n"/>
      <c r="AR118" s="1782" t="n"/>
      <c r="AS118" s="1782" t="n"/>
      <c r="AT118" s="1782" t="n"/>
      <c r="AV118" s="4401" t="n">
        <v>1</v>
      </c>
      <c r="AW118" s="4402" t="n"/>
      <c r="AX118" s="4401" t="n"/>
    </row>
    <row r="119" ht="16" customHeight="1">
      <c r="B119" s="1781" t="n"/>
      <c r="C119" s="1781" t="n"/>
      <c r="D119" s="1781" t="n"/>
      <c r="E119" s="1781" t="n"/>
      <c r="F119" s="1781" t="n"/>
      <c r="G119" s="1781" t="n"/>
      <c r="H119" s="1781" t="n"/>
      <c r="I119" s="1781" t="n"/>
      <c r="J119" s="1781" t="n"/>
      <c r="K119" s="1781" t="n"/>
      <c r="L119" s="1781" t="n"/>
      <c r="M119" s="1781" t="n"/>
      <c r="N119" s="1781" t="n"/>
      <c r="O119" s="1781" t="n"/>
      <c r="P119" s="1781" t="n"/>
      <c r="Q119" s="1781" t="n"/>
      <c r="R119" s="1781" t="n"/>
      <c r="S119" s="2086" t="n"/>
      <c r="T119" s="2086" t="n"/>
      <c r="U119" s="1781" t="n"/>
      <c r="V119" s="1781" t="n"/>
      <c r="W119" s="1781" t="n"/>
      <c r="AK119" s="1782" t="n"/>
      <c r="AL119" s="1782" t="n"/>
      <c r="AM119" s="1782" t="n"/>
      <c r="AN119" s="1782" t="n"/>
      <c r="AO119" s="1782" t="n"/>
      <c r="AP119" s="1782" t="n"/>
      <c r="AQ119" s="1782" t="n"/>
      <c r="AR119" s="1782" t="n"/>
      <c r="AS119" s="1782" t="n"/>
      <c r="AT119" s="1782" t="n"/>
      <c r="AV119" s="4401" t="n">
        <v>1</v>
      </c>
      <c r="AW119" s="4402" t="n"/>
      <c r="AX119" s="4401" t="n"/>
    </row>
    <row r="120" ht="16" customHeight="1">
      <c r="B120" s="1781" t="n"/>
      <c r="C120" s="1781" t="n"/>
      <c r="D120" s="1781" t="n"/>
      <c r="E120" s="1781" t="n"/>
      <c r="F120" s="1781" t="n"/>
      <c r="G120" s="1781" t="n"/>
      <c r="H120" s="1781" t="n"/>
      <c r="I120" s="1781" t="n"/>
      <c r="J120" s="1781" t="n"/>
      <c r="K120" s="1781" t="n"/>
      <c r="L120" s="1781" t="n"/>
      <c r="M120" s="1781" t="n"/>
      <c r="N120" s="1781" t="n"/>
      <c r="O120" s="1781" t="n"/>
      <c r="P120" s="1781" t="n"/>
      <c r="Q120" s="1853" t="n"/>
      <c r="R120" s="2283">
        <f>Languages!B506</f>
        <v/>
      </c>
      <c r="S120" s="2115">
        <f>SUM(S109:S118)</f>
        <v/>
      </c>
      <c r="T120" s="2115">
        <f>SUM(T109:T118)</f>
        <v/>
      </c>
      <c r="U120" s="2115" t="n"/>
      <c r="V120" s="2115">
        <f>SUM(V109:V118)</f>
        <v/>
      </c>
      <c r="W120" s="1781" t="n"/>
      <c r="AK120" s="1782" t="n"/>
      <c r="AL120" s="1782" t="n"/>
      <c r="AM120" s="1782" t="n"/>
      <c r="AN120" s="1782" t="n"/>
      <c r="AO120" s="1782" t="n"/>
      <c r="AP120" s="1782" t="n"/>
      <c r="AQ120" s="1782" t="n"/>
      <c r="AR120" s="1782" t="n"/>
      <c r="AS120" s="1782" t="n"/>
      <c r="AT120" s="1782" t="n"/>
      <c r="AV120" s="4401" t="n"/>
      <c r="AW120" s="4401" t="n"/>
      <c r="AX120" s="4401" t="n"/>
    </row>
    <row r="121">
      <c r="B121" s="1781" t="n"/>
      <c r="C121" s="1781" t="n"/>
      <c r="D121" s="1781" t="n"/>
      <c r="E121" s="1781" t="n"/>
      <c r="F121" s="1781" t="n"/>
      <c r="G121" s="1781" t="n"/>
      <c r="H121" s="1781" t="n"/>
      <c r="I121" s="1781" t="n"/>
      <c r="J121" s="1781" t="n"/>
      <c r="K121" s="1781" t="n"/>
      <c r="L121" s="1781" t="n"/>
      <c r="M121" s="1781" t="n"/>
      <c r="N121" s="1781" t="n"/>
      <c r="O121" s="1781" t="n"/>
      <c r="P121" s="1781" t="n"/>
      <c r="Q121" s="1781" t="n"/>
      <c r="R121" s="1781" t="n"/>
      <c r="S121" s="1781" t="n"/>
      <c r="T121" s="1781" t="n"/>
      <c r="U121" s="1781" t="n"/>
      <c r="V121" s="1781" t="n"/>
      <c r="W121" s="1781" t="n"/>
      <c r="AK121" s="1782" t="n"/>
      <c r="AL121" s="1782" t="n"/>
      <c r="AM121" s="1782" t="n"/>
      <c r="AN121" s="1782" t="n"/>
      <c r="AO121" s="1782" t="n"/>
      <c r="AP121" s="1782" t="n"/>
      <c r="AQ121" s="1782" t="n"/>
      <c r="AR121" s="1782" t="n"/>
      <c r="AS121" s="1782" t="n"/>
      <c r="AT121" s="1782" t="n"/>
      <c r="AV121" s="4401" t="n"/>
      <c r="AW121" s="4401" t="n"/>
      <c r="AX121" s="4401" t="n"/>
    </row>
    <row r="122">
      <c r="AK122" s="1782" t="n"/>
      <c r="AL122" s="1782" t="n"/>
      <c r="AM122" s="1782" t="n"/>
      <c r="AN122" s="1782" t="n"/>
      <c r="AO122" s="1782" t="n"/>
      <c r="AP122" s="1782" t="n"/>
      <c r="AQ122" s="1782" t="n"/>
      <c r="AR122" s="1782" t="n"/>
      <c r="AS122" s="1782" t="n"/>
      <c r="AT122" s="1782" t="n"/>
      <c r="AV122" s="4548" t="inlineStr">
        <is>
          <t>Use this part only if you want to refine yearly GHG fluxes</t>
        </is>
      </c>
    </row>
    <row r="123">
      <c r="AK123" s="1782" t="n"/>
      <c r="AL123" s="1782" t="n"/>
      <c r="AM123" s="1782" t="n"/>
      <c r="AN123" s="1782" t="n"/>
      <c r="AO123" s="1782" t="n"/>
      <c r="AP123" s="1782" t="n"/>
      <c r="AQ123" s="1782" t="n"/>
      <c r="AR123" s="1782" t="n"/>
      <c r="AS123" s="1782" t="n"/>
      <c r="AT123" s="1782" t="n"/>
    </row>
    <row r="124" ht="14.5" customHeight="1">
      <c r="AK124" s="1782" t="n"/>
      <c r="AL124" s="1782" t="n"/>
      <c r="AM124" s="1782" t="n"/>
      <c r="AN124" s="1782" t="n"/>
      <c r="AO124" s="1782" t="n"/>
      <c r="AP124" s="1782" t="n"/>
      <c r="AQ124" s="1782" t="n"/>
      <c r="AR124" s="1782" t="n"/>
      <c r="AS124" s="1782" t="n"/>
      <c r="AT124" s="1782" t="n"/>
    </row>
    <row r="125">
      <c r="AV125" s="1771" t="n"/>
      <c r="AW125" s="1771" t="n"/>
      <c r="AX125" s="1771" t="n"/>
    </row>
  </sheetData>
  <sheetProtection selectLockedCells="0" selectUnlockedCells="0" algorithmName="SHA-512" sheet="1" objects="0" insertRows="1" insertHyperlinks="1" autoFilter="1" scenarios="0" formatColumns="0" deleteColumns="1" insertColumns="1" pivotTables="1" deleteRows="1" formatCells="1" saltValue="ockU1nNmO1YTzG/Wk3Ewdw==" formatRows="1" sort="1" spinCount="100000" hashValue="UsCtFXgqls5C+W90Os9YVTvntq3tYfd2C8p6iRHnYHTaG9PfmJJp0JB6Tc4L9wzK+b0JM3hEahbVR5DOWLKSyw=="/>
  <mergeCells count="5">
    <mergeCell ref="BD83:BF85"/>
    <mergeCell ref="BD91:BF93"/>
    <mergeCell ref="BD36:BF38"/>
    <mergeCell ref="BD66:BF68"/>
    <mergeCell ref="AV122:AX124"/>
  </mergeCells>
  <conditionalFormatting sqref="P16:Q16">
    <cfRule type="expression" priority="1" dxfId="59">
      <formula>$BA$37="Yes"</formula>
    </cfRule>
  </conditionalFormatting>
  <conditionalFormatting sqref="R16">
    <cfRule type="expression" priority="6" dxfId="54">
      <formula>$BA$37="Yes"</formula>
    </cfRule>
  </conditionalFormatting>
  <conditionalFormatting sqref="R53">
    <cfRule type="expression" priority="5" dxfId="54">
      <formula>$BA$40="Yes"</formula>
    </cfRule>
  </conditionalFormatting>
  <conditionalFormatting sqref="R78">
    <cfRule type="expression" priority="3" dxfId="54">
      <formula>$BA$40="Yes"</formula>
    </cfRule>
  </conditionalFormatting>
  <conditionalFormatting sqref="BA53">
    <cfRule type="expression" priority="4" dxfId="54">
      <formula>$BA$40="Yes"</formula>
    </cfRule>
  </conditionalFormatting>
  <conditionalFormatting sqref="BA78">
    <cfRule type="expression" priority="2" dxfId="54">
      <formula>$BA$39="Yes"</formula>
    </cfRule>
  </conditionalFormatting>
  <dataValidations count="2">
    <dataValidation sqref="K27:K28 K32:K33 K35:L35 L27:L33 O27:O33 O35 AU36:AV36 AY36" showDropDown="0" showInputMessage="1" showErrorMessage="1" allowBlank="0" type="custom">
      <formula1>"&gt;=0"</formula1>
    </dataValidation>
    <dataValidation sqref="Q32:Q33 Q35 R27:R33 R35:R36 R65 R90 AW15:AW18 AW24:AW35 AZ15:AZ18 AZ24:AZ35 BA36 BA65 BA90" showDropDown="0" showInputMessage="1" showErrorMessage="1" allowBlank="0" type="decimal" operator="greaterThanOrEqual">
      <formula1>0</formula1>
    </dataValidation>
  </dataValidations>
  <hyperlinks>
    <hyperlink ref="F93" location="HELP!A130" display="Help tab"/>
  </hyperlinks>
  <pageMargins left="0.7" right="0.7" top="0.75" bottom="0.75" header="0.3" footer="0.3"/>
  <pageSetup orientation="portrait"/>
</worksheet>
</file>

<file path=xl/worksheets/sheet30.xml><?xml version="1.0" encoding="utf-8"?>
<worksheet xmlns="http://schemas.openxmlformats.org/spreadsheetml/2006/main">
  <sheetPr codeName="Sheet30">
    <outlinePr summaryBelow="1" summaryRight="1"/>
    <pageSetUpPr/>
  </sheetPr>
  <dimension ref="A1:Y153"/>
  <sheetViews>
    <sheetView topLeftCell="A67" zoomScale="70" zoomScaleNormal="70" workbookViewId="0">
      <selection activeCell="C82" sqref="C82"/>
    </sheetView>
  </sheetViews>
  <sheetFormatPr baseColWidth="10" defaultColWidth="9.33203125" defaultRowHeight="14"/>
  <cols>
    <col width="9.33203125" customWidth="1" style="973" min="1" max="1"/>
    <col width="63" customWidth="1" style="973" min="2" max="2"/>
    <col width="15.5" bestFit="1" customWidth="1" style="973" min="3" max="3"/>
    <col width="10.5" bestFit="1" customWidth="1" style="973" min="4" max="4"/>
    <col width="15.5" customWidth="1" style="973" min="5" max="5"/>
    <col width="12.33203125" customWidth="1" style="973" min="6" max="7"/>
    <col width="10.5" customWidth="1" style="973" min="8" max="8"/>
    <col width="11.6640625" customWidth="1" style="973" min="9" max="9"/>
    <col width="9.33203125" customWidth="1" style="973" min="10" max="10"/>
    <col width="9.5" bestFit="1" customWidth="1" style="973" min="11" max="11"/>
    <col width="12.5" customWidth="1" style="973" min="12" max="12"/>
    <col width="10" bestFit="1" customWidth="1" style="973" min="13" max="13"/>
    <col width="9.33203125" customWidth="1" style="973" min="14" max="14"/>
    <col width="15" customWidth="1" style="973" min="15" max="15"/>
    <col width="10.5" bestFit="1" customWidth="1" style="973" min="16" max="16"/>
    <col width="11.6640625" customWidth="1" style="973" min="17" max="17"/>
    <col width="9.33203125" customWidth="1" style="973" min="18" max="20"/>
    <col width="9.33203125" customWidth="1" style="992" min="21" max="23"/>
    <col width="9.33203125" customWidth="1" style="973" min="24" max="16384"/>
  </cols>
  <sheetData>
    <row r="1" ht="53.75" customHeight="1">
      <c r="A1" s="973" t="inlineStr">
        <is>
          <t>Emissions from agricultural inputs - Chapter 11 IPCC 2019</t>
        </is>
      </c>
      <c r="D1" s="1059" t="inlineStr">
        <is>
          <t>Emissions from electricity</t>
        </is>
      </c>
      <c r="X1" s="974" t="n"/>
      <c r="Y1" s="974" t="n"/>
    </row>
    <row r="2">
      <c r="X2" s="974" t="n"/>
      <c r="Y2" s="974" t="n"/>
    </row>
    <row r="3" ht="47.25" customHeight="1">
      <c r="A3" s="975" t="n"/>
      <c r="B3" s="975" t="inlineStr">
        <is>
          <t>CO2 emissions from lime application</t>
        </is>
      </c>
      <c r="C3" s="975" t="n"/>
      <c r="D3" s="975" t="n"/>
      <c r="E3" s="975" t="n"/>
      <c r="F3" s="975" t="n"/>
      <c r="G3" s="975" t="n"/>
      <c r="H3" s="975" t="n"/>
      <c r="I3" s="975" t="n"/>
      <c r="J3" s="975" t="n"/>
      <c r="K3" s="975" t="n"/>
      <c r="L3" s="975" t="n"/>
      <c r="M3" s="975" t="n"/>
      <c r="N3" s="975" t="n"/>
      <c r="O3" s="975" t="n"/>
      <c r="P3" s="975" t="n"/>
      <c r="Q3" s="975" t="n"/>
      <c r="R3" s="975" t="n"/>
      <c r="X3" s="974" t="n"/>
      <c r="Y3" s="974" t="n"/>
    </row>
    <row r="4">
      <c r="B4" s="973" t="inlineStr">
        <is>
          <t>Type of lime</t>
        </is>
      </c>
      <c r="E4" s="973" t="inlineStr">
        <is>
          <t>Amount of Lime applied (tonne per year)</t>
        </is>
      </c>
      <c r="K4" s="973" t="inlineStr">
        <is>
          <t>Emissions (tCO2 eq) per year</t>
        </is>
      </c>
      <c r="O4" s="973" t="inlineStr">
        <is>
          <t xml:space="preserve">Total Emissions (tCO2 eq) </t>
        </is>
      </c>
    </row>
    <row r="5">
      <c r="C5" s="1688" t="inlineStr">
        <is>
          <t>IPCC</t>
        </is>
      </c>
      <c r="D5" s="1688" t="inlineStr">
        <is>
          <t xml:space="preserve">Specific </t>
        </is>
      </c>
      <c r="E5" s="976" t="inlineStr">
        <is>
          <t>Tonnes Lime</t>
        </is>
      </c>
      <c r="F5" s="977">
        <f>E5</f>
        <v/>
      </c>
      <c r="G5" s="978" t="n"/>
      <c r="H5" s="977">
        <f>E5</f>
        <v/>
      </c>
      <c r="I5" s="978" t="n"/>
      <c r="K5" s="979" t="n"/>
      <c r="L5" s="979" t="n"/>
      <c r="M5" s="979" t="n"/>
      <c r="O5" s="979" t="n"/>
      <c r="P5" s="979" t="n"/>
      <c r="Q5" s="979" t="n"/>
    </row>
    <row r="6">
      <c r="C6" s="1688" t="inlineStr">
        <is>
          <t>Factor</t>
        </is>
      </c>
      <c r="D6" s="1688" t="inlineStr">
        <is>
          <t>Factor</t>
        </is>
      </c>
      <c r="E6" s="980" t="inlineStr">
        <is>
          <t xml:space="preserve">Start </t>
        </is>
      </c>
      <c r="F6" s="1098" t="inlineStr">
        <is>
          <t xml:space="preserve">Without project </t>
        </is>
      </c>
      <c r="G6" s="981" t="n"/>
      <c r="H6" s="1099" t="inlineStr">
        <is>
          <t xml:space="preserve">With project </t>
        </is>
      </c>
      <c r="I6" s="982" t="n"/>
      <c r="K6" s="980" t="inlineStr">
        <is>
          <t>Start</t>
        </is>
      </c>
      <c r="L6" s="983" t="inlineStr">
        <is>
          <t>Without</t>
        </is>
      </c>
      <c r="M6" s="984" t="inlineStr">
        <is>
          <t>With</t>
        </is>
      </c>
      <c r="O6" s="983" t="inlineStr">
        <is>
          <t>Without</t>
        </is>
      </c>
      <c r="P6" s="984" t="inlineStr">
        <is>
          <t>With</t>
        </is>
      </c>
      <c r="Q6" s="985" t="inlineStr">
        <is>
          <t>Difference</t>
        </is>
      </c>
      <c r="U6" s="973" t="inlineStr">
        <is>
          <t>IMPLEMENTATION PHASE</t>
        </is>
      </c>
      <c r="V6" s="973" t="n"/>
    </row>
    <row r="7" ht="15" customHeight="1">
      <c r="C7" s="973" t="inlineStr">
        <is>
          <t>tC/tlime</t>
        </is>
      </c>
      <c r="E7" s="980" t="n"/>
      <c r="F7" s="986" t="inlineStr">
        <is>
          <t>End</t>
        </is>
      </c>
      <c r="G7" s="987" t="inlineStr">
        <is>
          <t>Rate</t>
        </is>
      </c>
      <c r="H7" s="988" t="inlineStr">
        <is>
          <t>End</t>
        </is>
      </c>
      <c r="I7" s="988" t="inlineStr">
        <is>
          <t>Rate</t>
        </is>
      </c>
      <c r="K7" s="989" t="n"/>
      <c r="L7" s="990" t="n"/>
      <c r="M7" s="991" t="n"/>
      <c r="O7" s="990" t="n"/>
      <c r="P7" s="991" t="n"/>
      <c r="Q7" s="979" t="n"/>
      <c r="U7" s="1102" t="inlineStr">
        <is>
          <t>WITHOUT</t>
        </is>
      </c>
      <c r="V7" s="1103" t="inlineStr">
        <is>
          <t>WITH</t>
        </is>
      </c>
    </row>
    <row r="8">
      <c r="B8" s="973">
        <f>'9.Inputs'!C12</f>
        <v/>
      </c>
      <c r="C8" s="4741" t="n">
        <v>0.12</v>
      </c>
      <c r="D8" s="1104">
        <f>IF('9.Inputs'!AN12="",Inputs!C8,'9.Inputs'!#REF!)</f>
        <v/>
      </c>
      <c r="E8" s="1688">
        <f>'9.Inputs'!D12</f>
        <v/>
      </c>
      <c r="F8" s="1688">
        <f>'9.Inputs'!E12</f>
        <v/>
      </c>
      <c r="G8" s="1688">
        <f>VLOOKUP('9.Inputs'!F12, list!$I$48:$J$50, 2, FALSE)</f>
        <v/>
      </c>
      <c r="H8" s="1688">
        <f>'9.Inputs'!G12</f>
        <v/>
      </c>
      <c r="I8" s="1688">
        <f>VLOOKUP('9.Inputs'!H12, list!$I$48:$J$50, 2, FALSE)</f>
        <v/>
      </c>
      <c r="K8" s="992">
        <f>E8*$D8*44/12</f>
        <v/>
      </c>
      <c r="L8" s="992">
        <f>F8*$D8*44/12</f>
        <v/>
      </c>
      <c r="M8" s="992">
        <f>H8*$D8*44/12</f>
        <v/>
      </c>
      <c r="N8" s="1246" t="n"/>
      <c r="O8" s="992">
        <f>MIN(K8,L8)*time_tot+ABS(L8-K8)*IF(L8&gt;K8,time_cap+time*(VLOOKUP(G8,list!$J$47:$K$50,2,FALSE)),time*(1-(VLOOKUP(G8,list!$J$47:$K$50,2,FALSE))))</f>
        <v/>
      </c>
      <c r="P8" s="992">
        <f>MIN(K8,M8)*time_tot+ABS(M8-K8)*IF(M8&gt;K8,time_cap+time*(VLOOKUP(I8,list!$J$47:$K$50,2,FALSE)),time*(1-(VLOOKUP(I8,list!$J$47:$K$50,2,FALSE))))</f>
        <v/>
      </c>
      <c r="Q8" s="992">
        <f>P8-O8</f>
        <v/>
      </c>
      <c r="U8" s="992">
        <f>MIN(K8,L8)*time+ABS(L8-K8)*IF(L8&gt;K8,time*(VLOOKUP(G8,list!$J$48:$L$50,2,FALSE)),time*(1-(VLOOKUP(Inputs!G8,list!$J$48:$L$50,2,FALSE))))</f>
        <v/>
      </c>
      <c r="V8" s="992">
        <f>MIN(L8,M8)*time+ABS(M8-L8)*IF(M8&gt;L8,time*(VLOOKUP(I8,list!$J$48:$L$50,2,FALSE)),time*(1-(VLOOKUP(Inputs!I8,list!$J$48:$L$50,2,FALSE))))</f>
        <v/>
      </c>
    </row>
    <row r="9">
      <c r="B9" s="973">
        <f>'9.Inputs'!C13</f>
        <v/>
      </c>
      <c r="C9" s="4741" t="n">
        <v>0.13</v>
      </c>
      <c r="D9" s="1104">
        <f>IF('9.Inputs'!AN13="",Inputs!C9,'9.Inputs'!#REF!)</f>
        <v/>
      </c>
      <c r="E9" s="1688">
        <f>'9.Inputs'!D13</f>
        <v/>
      </c>
      <c r="F9" s="1688">
        <f>'9.Inputs'!E13</f>
        <v/>
      </c>
      <c r="G9" s="1688">
        <f>VLOOKUP('9.Inputs'!F13, list!$I$48:$J$50, 2, FALSE)</f>
        <v/>
      </c>
      <c r="H9" s="1688">
        <f>'9.Inputs'!G13</f>
        <v/>
      </c>
      <c r="I9" s="1688">
        <f>VLOOKUP('9.Inputs'!H13, list!$I$48:$J$50, 2, FALSE)</f>
        <v/>
      </c>
      <c r="K9" s="992">
        <f>E9*$D9*44/12</f>
        <v/>
      </c>
      <c r="L9" s="992">
        <f>F9*$D9*44/12</f>
        <v/>
      </c>
      <c r="M9" s="992">
        <f>H9*$D9*44/12</f>
        <v/>
      </c>
      <c r="N9" s="1246" t="n"/>
      <c r="O9" s="992">
        <f>MIN(K9,L9)*time_tot+ABS(L9-K9)*IF(L9&gt;K9,time_cap+time*(VLOOKUP(G9,list!$J$47:$K$50,2,FALSE)),time*(1-(VLOOKUP(G9,list!$J$47:$K$50,2,FALSE))))</f>
        <v/>
      </c>
      <c r="P9" s="992">
        <f>MIN(K9,M9)*time_tot+ABS(M9-K9)*IF(M9&gt;K9,time_cap+time*(VLOOKUP(I9,list!$J$47:$K$50,2,FALSE)),time*(1-(VLOOKUP(I9,list!$J$47:$K$50,2,FALSE))))</f>
        <v/>
      </c>
      <c r="Q9" s="992">
        <f>P9-O9</f>
        <v/>
      </c>
      <c r="U9" s="992">
        <f>MIN(K9,L9)*time+ABS(L9-K9)*IF(L9&gt;K9,time*(VLOOKUP(G9,list!$J$48:$L$50,2,FALSE)),time*(1-(VLOOKUP(Inputs!G9,list!$J$48:$L$50,2,FALSE))))</f>
        <v/>
      </c>
      <c r="V9" s="992">
        <f>MIN(L9,M9)*time+ABS(M9-L9)*IF(M9&gt;L9,time*(VLOOKUP(I9,list!$J$48:$L$50,2,FALSE)),time*(1-(VLOOKUP(Inputs!I9,list!$J$48:$L$50,2,FALSE))))</f>
        <v/>
      </c>
    </row>
    <row r="10">
      <c r="B10" s="973">
        <f>'9.Inputs'!C14</f>
        <v/>
      </c>
      <c r="C10" s="4741">
        <f>AVERAGE(C8:C9)</f>
        <v/>
      </c>
      <c r="D10" s="1104">
        <f>IF('9.Inputs'!AN14="",Inputs!C10,'9.Inputs'!#REF!)</f>
        <v/>
      </c>
      <c r="E10" s="1688">
        <f>'9.Inputs'!D14</f>
        <v/>
      </c>
      <c r="F10" s="1688">
        <f>'9.Inputs'!E14</f>
        <v/>
      </c>
      <c r="G10" s="1688">
        <f>VLOOKUP('9.Inputs'!F14, list!$I$48:$J$50, 2, FALSE)</f>
        <v/>
      </c>
      <c r="H10" s="1688">
        <f>'9.Inputs'!G14</f>
        <v/>
      </c>
      <c r="I10" s="1688">
        <f>VLOOKUP('9.Inputs'!H14, list!$I$48:$J$50, 2, FALSE)</f>
        <v/>
      </c>
      <c r="K10" s="992">
        <f>E10*$D10*44/12</f>
        <v/>
      </c>
      <c r="L10" s="992">
        <f>F10*$D10*44/12</f>
        <v/>
      </c>
      <c r="M10" s="992">
        <f>H10*$D10*44/12</f>
        <v/>
      </c>
      <c r="N10" s="1246" t="n"/>
      <c r="O10" s="992">
        <f>MIN(K10,L10)*time_tot+ABS(L10-K10)*IF(L10&gt;K10,time_cap+time*(VLOOKUP(G10,list!$J$47:$K$50,2,FALSE)),time*(1-(VLOOKUP(G10,list!$J$47:$K$50,2,FALSE))))</f>
        <v/>
      </c>
      <c r="P10" s="992">
        <f>MIN(K10,M10)*time_tot+ABS(M10-K10)*IF(M10&gt;K10,time_cap+time*(VLOOKUP(I10,list!$J$47:$K$50,2,FALSE)),time*(1-(VLOOKUP(I10,list!$J$47:$K$50,2,FALSE))))</f>
        <v/>
      </c>
      <c r="Q10" s="992">
        <f>P10-O10</f>
        <v/>
      </c>
      <c r="U10" s="992">
        <f>MIN(K10,L10)*time+ABS(L10-K10)*IF(L10&gt;K10,time*(VLOOKUP(G10,list!$J$48:$L$50,2,FALSE)),time*(1-(VLOOKUP(Inputs!G10,list!$J$48:$L$50,2,FALSE))))</f>
        <v/>
      </c>
      <c r="V10" s="992">
        <f>MIN(L10,M10)*time+ABS(M10-L10)*IF(M10&gt;L10,time*(VLOOKUP(I10,list!$J$48:$L$50,2,FALSE)),time*(1-(VLOOKUP(Inputs!I10,list!$J$48:$L$50,2,FALSE))))</f>
        <v/>
      </c>
    </row>
    <row r="11">
      <c r="W11" s="3154">
        <f>SUM(V8:V10)-SUM(U8:U10)</f>
        <v/>
      </c>
    </row>
    <row r="12">
      <c r="I12" s="3489" t="inlineStr">
        <is>
          <t>Sub-Total</t>
        </is>
      </c>
      <c r="J12" s="3489" t="n"/>
      <c r="K12" s="3490">
        <f>SUM(K8:K10)</f>
        <v/>
      </c>
      <c r="L12" s="3490">
        <f>SUM(L8:L10)</f>
        <v/>
      </c>
      <c r="M12" s="3490">
        <f>SUM(M8:M10)</f>
        <v/>
      </c>
      <c r="N12" s="3490" t="n"/>
      <c r="O12" s="3490">
        <f>SUM(O8:O10)</f>
        <v/>
      </c>
      <c r="P12" s="3490">
        <f>SUM(P8:P10)</f>
        <v/>
      </c>
      <c r="Q12" s="993">
        <f>SUM(Q8:Q10)</f>
        <v/>
      </c>
    </row>
    <row r="14" ht="47.25" customHeight="1">
      <c r="A14" s="975" t="n"/>
      <c r="B14" s="975" t="inlineStr">
        <is>
          <t>CO2 emissions from urea application</t>
        </is>
      </c>
      <c r="C14" s="975" t="n"/>
      <c r="D14" s="975" t="n"/>
      <c r="E14" s="975" t="n"/>
      <c r="F14" s="975" t="n"/>
      <c r="G14" s="975" t="n"/>
      <c r="H14" s="975" t="n"/>
      <c r="I14" s="975" t="n"/>
      <c r="J14" s="975" t="n"/>
      <c r="K14" s="975" t="n"/>
      <c r="L14" s="975" t="n"/>
      <c r="M14" s="975" t="n"/>
      <c r="N14" s="975" t="n"/>
      <c r="O14" s="975" t="n"/>
      <c r="P14" s="975" t="n"/>
      <c r="Q14" s="975" t="n"/>
      <c r="R14" s="975" t="n"/>
      <c r="X14" s="974" t="n"/>
      <c r="Y14" s="974" t="n"/>
    </row>
    <row r="15">
      <c r="A15" s="973" t="inlineStr">
        <is>
          <t>If Urea is produced in the country, these emissions are not accounted for</t>
        </is>
      </c>
      <c r="E15" s="973" t="inlineStr">
        <is>
          <t>Amount of urea applied (tonne per year)</t>
        </is>
      </c>
      <c r="K15" s="973" t="inlineStr">
        <is>
          <t>Emissions (tCO2 eq) per year</t>
        </is>
      </c>
      <c r="O15" s="973" t="inlineStr">
        <is>
          <t xml:space="preserve">Total Emissions (tCO2 eq) </t>
        </is>
      </c>
      <c r="X15" s="974" t="n"/>
      <c r="Y15" s="974" t="n"/>
    </row>
    <row r="16">
      <c r="C16" s="1688" t="inlineStr">
        <is>
          <t>IPCC</t>
        </is>
      </c>
      <c r="D16" s="1688" t="inlineStr">
        <is>
          <t xml:space="preserve">Specific </t>
        </is>
      </c>
      <c r="E16" s="976" t="inlineStr">
        <is>
          <t>Tonnes Urea</t>
        </is>
      </c>
      <c r="F16" s="977">
        <f>E16</f>
        <v/>
      </c>
      <c r="G16" s="978" t="n"/>
      <c r="H16" s="977">
        <f>E16</f>
        <v/>
      </c>
      <c r="I16" s="978" t="n"/>
      <c r="K16" s="979" t="n"/>
      <c r="L16" s="979" t="n"/>
      <c r="M16" s="979" t="n"/>
      <c r="O16" s="979" t="n"/>
      <c r="P16" s="979" t="n"/>
      <c r="Q16" s="979" t="n"/>
      <c r="X16" s="974" t="n"/>
      <c r="Y16" s="974" t="n"/>
    </row>
    <row r="17">
      <c r="C17" s="1688" t="inlineStr">
        <is>
          <t>Factor</t>
        </is>
      </c>
      <c r="D17" s="1688" t="inlineStr">
        <is>
          <t>Factor</t>
        </is>
      </c>
      <c r="E17" s="980" t="inlineStr">
        <is>
          <t xml:space="preserve">Start </t>
        </is>
      </c>
      <c r="F17" s="994" t="inlineStr">
        <is>
          <t xml:space="preserve">Without project </t>
        </is>
      </c>
      <c r="G17" s="995" t="n"/>
      <c r="H17" s="996" t="inlineStr">
        <is>
          <t xml:space="preserve">With project </t>
        </is>
      </c>
      <c r="I17" s="997" t="n"/>
      <c r="K17" s="980" t="inlineStr">
        <is>
          <t>Start</t>
        </is>
      </c>
      <c r="L17" s="983" t="inlineStr">
        <is>
          <t>Without</t>
        </is>
      </c>
      <c r="M17" s="984" t="inlineStr">
        <is>
          <t>With</t>
        </is>
      </c>
      <c r="O17" s="983" t="inlineStr">
        <is>
          <t>Without</t>
        </is>
      </c>
      <c r="P17" s="984" t="inlineStr">
        <is>
          <t>With</t>
        </is>
      </c>
      <c r="Q17" s="985" t="inlineStr">
        <is>
          <t>Difference</t>
        </is>
      </c>
      <c r="U17" s="973" t="inlineStr">
        <is>
          <t>IMPLEMENTATION PHASE</t>
        </is>
      </c>
      <c r="V17" s="973" t="n"/>
      <c r="X17" s="974" t="n"/>
      <c r="Y17" s="974" t="n"/>
    </row>
    <row r="18" ht="15" customHeight="1">
      <c r="C18" s="973" t="inlineStr">
        <is>
          <t>tC/t Urea</t>
        </is>
      </c>
      <c r="E18" s="980" t="n"/>
      <c r="F18" s="986" t="inlineStr">
        <is>
          <t>End</t>
        </is>
      </c>
      <c r="G18" s="987" t="inlineStr">
        <is>
          <t>Rate</t>
        </is>
      </c>
      <c r="H18" s="988" t="inlineStr">
        <is>
          <t>End</t>
        </is>
      </c>
      <c r="I18" s="988" t="inlineStr">
        <is>
          <t>Rate</t>
        </is>
      </c>
      <c r="K18" s="989" t="n"/>
      <c r="L18" s="990" t="n"/>
      <c r="M18" s="991" t="n"/>
      <c r="O18" s="990" t="n"/>
      <c r="P18" s="991" t="n"/>
      <c r="Q18" s="979" t="n"/>
      <c r="U18" s="1102" t="inlineStr">
        <is>
          <t>WITHOUT</t>
        </is>
      </c>
      <c r="V18" s="1103" t="inlineStr">
        <is>
          <t>WITH</t>
        </is>
      </c>
      <c r="X18" s="974" t="n"/>
      <c r="Y18" s="974" t="n"/>
    </row>
    <row r="19">
      <c r="B19" s="973" t="inlineStr">
        <is>
          <t xml:space="preserve">Urea </t>
        </is>
      </c>
      <c r="C19" s="4741" t="n">
        <v>0.2</v>
      </c>
      <c r="D19" s="4715">
        <f>IF('9.Inputs'!AN19="",Inputs!C19,'9.Inputs'!AN19)</f>
        <v/>
      </c>
      <c r="E19" s="992">
        <f>'9.Inputs'!D16</f>
        <v/>
      </c>
      <c r="F19" s="992">
        <f>'9.Inputs'!E16</f>
        <v/>
      </c>
      <c r="G19" s="1688">
        <f>VLOOKUP('9.Inputs'!F16, list!$I$48:$J$50, 2, FALSE)</f>
        <v/>
      </c>
      <c r="H19" s="992">
        <f>'9.Inputs'!G16</f>
        <v/>
      </c>
      <c r="I19" s="1688">
        <f>VLOOKUP('9.Inputs'!H16, list!$I$48:$J$50, 2, FALSE)</f>
        <v/>
      </c>
      <c r="K19" s="992">
        <f>IF('9.Inputs'!BA37="No",E19*D19*44/12,0)</f>
        <v/>
      </c>
      <c r="L19" s="992">
        <f>IF('9.Inputs'!BA37="No",F19*D19*44/12,0)</f>
        <v/>
      </c>
      <c r="M19" s="992">
        <f>IF('9.Inputs'!BA37="No",H19*D19*44/12,0)</f>
        <v/>
      </c>
      <c r="O19" s="992">
        <f>MIN(K19,L19)*time_tot+ABS(L19-K19)*IF(L19&gt;K19,time_cap+time*(VLOOKUP(G19,list!$J$47:$K$50,2,FALSE)),time*(1-(VLOOKUP(G19,list!$J$47:$K$50,2,FALSE))))</f>
        <v/>
      </c>
      <c r="P19" s="992">
        <f>MIN(K19,M19)*time_tot+ABS(M19-K19)*IF(M19&gt;K19,time_cap+time*(VLOOKUP(I19,list!$J$47:$K$50,2,FALSE)),time*(1-(VLOOKUP(I19,list!$J$47:$K$50,2,FALSE))))</f>
        <v/>
      </c>
      <c r="Q19" s="992">
        <f>P19-O19</f>
        <v/>
      </c>
      <c r="U19" s="992">
        <f>MIN(K19,L19)*time+ABS(L19-K19)*IF(L19&gt;K19,time*(VLOOKUP(G19,list!$J$48:$L$50,2,FALSE)),time*(1-(VLOOKUP(Inputs!G19,list!$J$48:$L$50,2,FALSE))))</f>
        <v/>
      </c>
      <c r="V19" s="992">
        <f>MIN(L19,M19)*time+ABS(M19-L19)*IF(M19&gt;L19,time*(VLOOKUP(I19,list!$J$48:$L$50,2,FALSE)),time*(1-(VLOOKUP(Inputs!I19,list!$J$48:$L$50,2,FALSE))))</f>
        <v/>
      </c>
      <c r="X19" s="974" t="n"/>
      <c r="Y19" s="974" t="n"/>
    </row>
    <row r="20">
      <c r="K20" s="1246" t="n"/>
      <c r="L20" s="1246" t="n"/>
      <c r="M20" s="1246" t="n"/>
      <c r="W20" s="3154">
        <f>V19-U19</f>
        <v/>
      </c>
      <c r="X20" s="974" t="n"/>
      <c r="Y20" s="974" t="n"/>
    </row>
    <row r="21">
      <c r="I21" s="3489" t="inlineStr">
        <is>
          <t>Sub-Total</t>
        </is>
      </c>
      <c r="J21" s="3489" t="n"/>
      <c r="K21" s="3490">
        <f>K19</f>
        <v/>
      </c>
      <c r="L21" s="3490">
        <f>L19</f>
        <v/>
      </c>
      <c r="M21" s="3490">
        <f>M19</f>
        <v/>
      </c>
      <c r="N21" s="3490" t="n"/>
      <c r="O21" s="3490">
        <f>O19</f>
        <v/>
      </c>
      <c r="P21" s="3490">
        <f>P19</f>
        <v/>
      </c>
      <c r="Q21" s="993">
        <f>Q19</f>
        <v/>
      </c>
      <c r="X21" s="974" t="n"/>
      <c r="Y21" s="974" t="n"/>
    </row>
    <row r="23" ht="47.25" customHeight="1">
      <c r="A23" s="975" t="n"/>
      <c r="B23" s="975" t="inlineStr">
        <is>
          <t>N2O emissions from N application on managed soils (except manure, i.e. see livestock)</t>
        </is>
      </c>
      <c r="C23" s="975" t="n"/>
      <c r="D23" s="975" t="n"/>
      <c r="E23" s="975" t="n"/>
      <c r="F23" s="975" t="n"/>
      <c r="G23" s="975" t="n"/>
      <c r="H23" s="975" t="n"/>
      <c r="I23" s="975" t="n"/>
      <c r="J23" s="975" t="n"/>
      <c r="K23" s="975" t="n"/>
      <c r="L23" s="975" t="n"/>
      <c r="M23" s="975" t="n"/>
      <c r="N23" s="975" t="n"/>
      <c r="O23" s="975" t="n"/>
      <c r="P23" s="975" t="n"/>
      <c r="Q23" s="975" t="n"/>
      <c r="R23" s="975" t="n"/>
      <c r="X23" s="974" t="n"/>
      <c r="Y23" s="974" t="n"/>
    </row>
    <row r="24">
      <c r="E24" s="973" t="inlineStr">
        <is>
          <t>Amount of N applied (tonne per year)</t>
        </is>
      </c>
      <c r="K24" s="973" t="inlineStr">
        <is>
          <t>Emissions (tCO2 eq) per year</t>
        </is>
      </c>
      <c r="O24" s="973" t="inlineStr">
        <is>
          <t xml:space="preserve">Total Emissions (tCO2 eq) </t>
        </is>
      </c>
      <c r="X24" s="974" t="n"/>
      <c r="Y24" s="974" t="n"/>
    </row>
    <row r="25">
      <c r="B25" s="973" t="inlineStr">
        <is>
          <t>Type of input</t>
        </is>
      </c>
      <c r="C25" s="1688" t="inlineStr">
        <is>
          <t>IPCC</t>
        </is>
      </c>
      <c r="D25" s="1688" t="inlineStr">
        <is>
          <t xml:space="preserve">Specific </t>
        </is>
      </c>
      <c r="E25" s="976" t="inlineStr">
        <is>
          <t>Tonnes N</t>
        </is>
      </c>
      <c r="F25" s="977">
        <f>E25</f>
        <v/>
      </c>
      <c r="G25" s="978" t="n"/>
      <c r="H25" s="998">
        <f>F25</f>
        <v/>
      </c>
      <c r="I25" s="978" t="n"/>
      <c r="K25" s="979" t="n"/>
      <c r="L25" s="979" t="n"/>
      <c r="M25" s="979" t="n"/>
      <c r="O25" s="979" t="n"/>
      <c r="P25" s="979" t="n"/>
      <c r="Q25" s="979" t="n"/>
      <c r="X25" s="974" t="n"/>
      <c r="Y25" s="974" t="n"/>
    </row>
    <row r="26">
      <c r="C26" s="1688" t="inlineStr">
        <is>
          <t>Factor</t>
        </is>
      </c>
      <c r="D26" s="1688" t="inlineStr">
        <is>
          <t>Factor</t>
        </is>
      </c>
      <c r="E26" s="980" t="inlineStr">
        <is>
          <t xml:space="preserve">Start </t>
        </is>
      </c>
      <c r="F26" s="994" t="inlineStr">
        <is>
          <t xml:space="preserve">Without project </t>
        </is>
      </c>
      <c r="G26" s="999" t="n"/>
      <c r="H26" s="1000" t="inlineStr">
        <is>
          <t xml:space="preserve">With project </t>
        </is>
      </c>
      <c r="I26" s="982" t="n"/>
      <c r="K26" s="980" t="inlineStr">
        <is>
          <t>Start</t>
        </is>
      </c>
      <c r="L26" s="994" t="inlineStr">
        <is>
          <t>Without</t>
        </is>
      </c>
      <c r="M26" s="1000" t="inlineStr">
        <is>
          <t>With</t>
        </is>
      </c>
      <c r="O26" s="994" t="inlineStr">
        <is>
          <t>Without</t>
        </is>
      </c>
      <c r="P26" s="1000" t="inlineStr">
        <is>
          <t>With</t>
        </is>
      </c>
      <c r="Q26" s="979" t="inlineStr">
        <is>
          <t>Difference</t>
        </is>
      </c>
      <c r="U26" s="973" t="inlineStr">
        <is>
          <t>IMPLEMENTATION PHASE</t>
        </is>
      </c>
      <c r="V26" s="973" t="n"/>
      <c r="X26" s="974" t="n"/>
      <c r="Y26" s="974" t="n"/>
    </row>
    <row r="27" ht="15" customHeight="1">
      <c r="C27" s="973" t="inlineStr">
        <is>
          <t>kgN2O-N/kgN</t>
        </is>
      </c>
      <c r="E27" s="980" t="n"/>
      <c r="F27" s="986" t="inlineStr">
        <is>
          <t>End</t>
        </is>
      </c>
      <c r="G27" s="987" t="inlineStr">
        <is>
          <t>Rate</t>
        </is>
      </c>
      <c r="H27" s="988" t="inlineStr">
        <is>
          <t>End</t>
        </is>
      </c>
      <c r="I27" s="988" t="inlineStr">
        <is>
          <t>Rate</t>
        </is>
      </c>
      <c r="K27" s="989" t="n"/>
      <c r="L27" s="990" t="n"/>
      <c r="M27" s="991" t="n"/>
      <c r="O27" s="990" t="n"/>
      <c r="P27" s="991" t="n"/>
      <c r="Q27" s="979" t="n"/>
      <c r="U27" s="1102" t="inlineStr">
        <is>
          <t>WITHOUT</t>
        </is>
      </c>
      <c r="V27" s="1103" t="inlineStr">
        <is>
          <t>WITH</t>
        </is>
      </c>
      <c r="X27" s="974" t="n"/>
      <c r="Y27" s="974" t="n"/>
    </row>
    <row r="28">
      <c r="B28" s="973">
        <f>'9.Inputs'!C16</f>
        <v/>
      </c>
      <c r="C28" s="4720">
        <f>IF(country_selected="Please select",0,IF(climate="Tropical Montane",IPCC!$B$1709,INDEX(IPCC!$A$1705:$C$1709,MATCH(moist_type,IPCC!$A$1705:$A$1709,0),MATCH(IPCC!$B$1705,IPCC!$A$1705:$C$1705,0))))</f>
        <v/>
      </c>
      <c r="D28" s="4715">
        <f>IF('9.Inputs'!AR16="",'9.Inputs'!AQ16,'9.Inputs'!AR16)</f>
        <v/>
      </c>
      <c r="E28" s="1688">
        <f>'9.Inputs'!D16*0.467</f>
        <v/>
      </c>
      <c r="F28" s="1688">
        <f>'9.Inputs'!E16*0.467</f>
        <v/>
      </c>
      <c r="G28" s="1688">
        <f>VLOOKUP('9.Inputs'!F16, list!$I$48:$J$50, 2, FALSE)</f>
        <v/>
      </c>
      <c r="H28" s="1688">
        <f>'9.Inputs'!G16*0.467</f>
        <v/>
      </c>
      <c r="I28" s="1688">
        <f>VLOOKUP('9.Inputs'!H16, list!$I$48:$J$50, 2, FALSE)</f>
        <v/>
      </c>
      <c r="K28" s="992">
        <f>$D28*E28*Nitrous*(44/28)</f>
        <v/>
      </c>
      <c r="L28" s="992">
        <f>$D28*F28*Nitrous*(44/28)</f>
        <v/>
      </c>
      <c r="M28" s="992">
        <f>$D28*H28*Nitrous*(44/28)</f>
        <v/>
      </c>
      <c r="N28" s="1246" t="n"/>
      <c r="O28" s="992">
        <f>MIN(K28,L28)*time_tot+ABS(L28-K28)*IF(L28&gt;K28,time_cap+time*(VLOOKUP(G28,list!$J$47:$K$50,2,FALSE)),time*(1-(VLOOKUP(G28,list!$J$47:$K$50,2,FALSE))))</f>
        <v/>
      </c>
      <c r="P28" s="992">
        <f>MIN(K28,M28)*time_tot+ABS(M28-K28)*IF(M28&gt;K28,time_cap+time*(VLOOKUP(I28,list!$J$47:$K$50,2,FALSE)),time*(1-(VLOOKUP(I28,list!$J$47:$K$50,2,FALSE))))</f>
        <v/>
      </c>
      <c r="Q28" s="992">
        <f>P28-O28</f>
        <v/>
      </c>
      <c r="U28" s="992">
        <f>MIN(K28,L28)*time+ABS(L28-K28)*IF(L28&gt;K28,time*(VLOOKUP(G28,list!$J$48:$L$50,2,FALSE)),time*(1-(VLOOKUP(Inputs!G28,list!$J$48:$L$50,2,FALSE))))</f>
        <v/>
      </c>
      <c r="V28" s="992">
        <f>MIN(L28,M28)*time+ABS(M28-L28)*IF(M28&gt;L28,time*(VLOOKUP(I28,list!$J$48:$L$50,2,FALSE)),time*(1-(VLOOKUP(Inputs!I28,list!$J$48:$L$50,2,FALSE))))</f>
        <v/>
      </c>
    </row>
    <row r="29">
      <c r="B29" s="973">
        <f>'9.Inputs'!C17</f>
        <v/>
      </c>
      <c r="C29" s="4720">
        <f>IF(country_selected="Please select",0,IF(climate="Tropical Montane",IPCC!B1706,INDEX(IPCC!$A$1705:$C$1709,MATCH(moist_type,IPCC!$A$1705:$A$1709,0),MATCH(IPCC!$B$1705,IPCC!$A$1705:$C$1705,0))))</f>
        <v/>
      </c>
      <c r="D29" s="4715">
        <f>IF('9.Inputs'!AR17="",'9.Inputs'!AQ17,'9.Inputs'!AR17)</f>
        <v/>
      </c>
      <c r="E29" s="1688">
        <f>'9.Inputs'!D17</f>
        <v/>
      </c>
      <c r="F29" s="1688">
        <f>'9.Inputs'!E17</f>
        <v/>
      </c>
      <c r="G29" s="1688">
        <f>VLOOKUP('9.Inputs'!F17, list!$I$48:$J$50, 2, FALSE)</f>
        <v/>
      </c>
      <c r="H29" s="1688">
        <f>'9.Inputs'!G17</f>
        <v/>
      </c>
      <c r="I29" s="1688">
        <f>VLOOKUP('9.Inputs'!H17, list!$I$48:$J$50, 2, FALSE)</f>
        <v/>
      </c>
      <c r="K29" s="992">
        <f>$D29*E29*Nitrous*(44/28)</f>
        <v/>
      </c>
      <c r="L29" s="992">
        <f>$D29*F29*Nitrous*(44/28)</f>
        <v/>
      </c>
      <c r="M29" s="992">
        <f>$D29*H29*Nitrous*(44/28)</f>
        <v/>
      </c>
      <c r="N29" s="1246" t="n"/>
      <c r="O29" s="992">
        <f>MIN(K29,L29)*time_tot+ABS(L29-K29)*IF(L29&gt;K29,time_cap+time*(VLOOKUP(G29,list!$J$47:$K$50,2,FALSE)),time*(1-(VLOOKUP(G29,list!$J$47:$K$50,2,FALSE))))</f>
        <v/>
      </c>
      <c r="P29" s="992">
        <f>MIN(K29,M29)*time_tot+ABS(M29-K29)*IF(M29&gt;K29,time_cap+time*(VLOOKUP(I29,list!$J$47:$K$50,2,FALSE)),time*(1-(VLOOKUP(I29,list!$J$47:$K$50,2,FALSE))))</f>
        <v/>
      </c>
      <c r="Q29" s="992">
        <f>P29-O29</f>
        <v/>
      </c>
      <c r="U29" s="992">
        <f>MIN(K29,L29)*time+ABS(L29-K29)*IF(L29&gt;K29,time*(VLOOKUP(G29,list!$J$48:$L$50,2,FALSE)),time*(1-(VLOOKUP(Inputs!G29,list!$J$48:$L$50,2,FALSE))))</f>
        <v/>
      </c>
      <c r="V29" s="992">
        <f>MIN(L29,M29)*time+ABS(M29-L29)*IF(M29&gt;L29,time*(VLOOKUP(I29,list!$J$48:$L$50,2,FALSE)),time*(1-(VLOOKUP(Inputs!I29,list!$J$48:$L$50,2,FALSE))))</f>
        <v/>
      </c>
    </row>
    <row r="30">
      <c r="B30" s="973">
        <f>'9.Inputs'!C18</f>
        <v/>
      </c>
      <c r="D30" s="4809" t="n"/>
      <c r="E30" s="1688" t="n"/>
      <c r="F30" s="1688" t="n"/>
      <c r="G30" s="1688" t="n"/>
      <c r="H30" s="1688" t="n"/>
      <c r="I30" s="1688" t="n"/>
      <c r="K30" s="992" t="n"/>
      <c r="L30" s="992" t="n"/>
      <c r="M30" s="992" t="n"/>
      <c r="N30" s="1246" t="n"/>
      <c r="O30" s="992" t="n"/>
      <c r="P30" s="992" t="n"/>
      <c r="Q30" s="992" t="n"/>
    </row>
    <row r="31">
      <c r="B31" s="973">
        <f>'9.Inputs'!C19</f>
        <v/>
      </c>
      <c r="D31" s="4809" t="n"/>
      <c r="E31" s="1688" t="n"/>
      <c r="F31" s="1688" t="n"/>
      <c r="G31" s="1688" t="n"/>
      <c r="H31" s="1688" t="n"/>
      <c r="I31" s="1688" t="n"/>
      <c r="K31" s="992" t="n"/>
      <c r="L31" s="992" t="n"/>
      <c r="M31" s="992" t="n"/>
      <c r="N31" s="1246" t="n"/>
      <c r="O31" s="992" t="n"/>
      <c r="P31" s="992" t="n"/>
      <c r="Q31" s="992" t="n"/>
    </row>
    <row r="32">
      <c r="D32" s="4809" t="n"/>
      <c r="E32" s="1688" t="n"/>
      <c r="F32" s="1688" t="n"/>
      <c r="G32" s="1688" t="n"/>
      <c r="H32" s="1688" t="n"/>
      <c r="I32" s="1688" t="n"/>
      <c r="K32" s="992" t="n"/>
      <c r="L32" s="992" t="n"/>
      <c r="M32" s="992" t="n"/>
      <c r="N32" s="1246" t="n"/>
      <c r="O32" s="992" t="n"/>
      <c r="P32" s="992" t="n"/>
      <c r="Q32" s="992" t="n"/>
    </row>
    <row r="33">
      <c r="B33" s="973">
        <f>'9.Inputs'!C21</f>
        <v/>
      </c>
      <c r="C33" s="4720">
        <f>IPCC!B1717</f>
        <v/>
      </c>
      <c r="D33" s="4715">
        <f>IF('9.Inputs'!AR21="",'9.Inputs'!AQ21,'9.Inputs'!AR21)</f>
        <v/>
      </c>
      <c r="E33" s="1688">
        <f>'9.Inputs'!D21</f>
        <v/>
      </c>
      <c r="F33" s="1688">
        <f>'9.Inputs'!E21</f>
        <v/>
      </c>
      <c r="G33" s="1688">
        <f>VLOOKUP('9.Inputs'!F21, list!$I$48:$J$50, 2, FALSE)</f>
        <v/>
      </c>
      <c r="H33" s="1688">
        <f>'9.Inputs'!G21</f>
        <v/>
      </c>
      <c r="I33" s="1688">
        <f>VLOOKUP('9.Inputs'!H21, list!$I$48:$J$50, 2, FALSE)</f>
        <v/>
      </c>
      <c r="K33" s="992">
        <f>$D33*E33*Nitrous*(44/28)</f>
        <v/>
      </c>
      <c r="L33" s="992">
        <f>$D33*F33*Nitrous*(44/28)</f>
        <v/>
      </c>
      <c r="M33" s="992">
        <f>$D33*H33*Nitrous*(44/28)</f>
        <v/>
      </c>
      <c r="N33" s="1246" t="n"/>
      <c r="O33" s="992">
        <f>MIN(K33,L33)*time_tot+ABS(L33-K33)*IF(L33&gt;K33,time_cap+time*(VLOOKUP(G33,list!$J$47:$K$50,2,FALSE)),time*(1-(VLOOKUP(G33,list!$J$47:$K$50,2,FALSE))))</f>
        <v/>
      </c>
      <c r="P33" s="992">
        <f>MIN(K33,M33)*time_tot+ABS(M33-K33)*IF(M33&gt;K33,time_cap+time*(VLOOKUP(I33,list!$J$47:$K$50,2,FALSE)),time*(1-(VLOOKUP(I33,list!$J$47:$K$50,2,FALSE))))</f>
        <v/>
      </c>
      <c r="Q33" s="992">
        <f>P33-O33</f>
        <v/>
      </c>
      <c r="U33" s="992">
        <f>MIN(K33,L33)*time+ABS(L33-K33)*IF(L33&gt;K33,time*(VLOOKUP(G33,list!$J$48:$L$50,2,FALSE)),time*(1-(VLOOKUP(Inputs!G33,list!$J$48:$L$50,2,FALSE))))</f>
        <v/>
      </c>
      <c r="V33" s="992">
        <f>MIN(L33,M33)*time+ABS(M33-L33)*IF(M33&gt;L33,time*(VLOOKUP(I33,list!$J$48:$L$50,2,FALSE)),time*(1-(VLOOKUP(Inputs!I33,list!$J$48:$L$50,2,FALSE))))</f>
        <v/>
      </c>
    </row>
    <row r="34">
      <c r="B34" s="973">
        <f>'9.Inputs'!C22</f>
        <v/>
      </c>
      <c r="C34" s="4720">
        <f>IPCC!B1718</f>
        <v/>
      </c>
      <c r="D34" s="4715">
        <f>IF('9.Inputs'!AR22="",'9.Inputs'!AQ22,'9.Inputs'!AR22)</f>
        <v/>
      </c>
      <c r="E34" s="1688">
        <f>'9.Inputs'!D22</f>
        <v/>
      </c>
      <c r="F34" s="1688">
        <f>'9.Inputs'!E22</f>
        <v/>
      </c>
      <c r="G34" s="1688">
        <f>VLOOKUP('9.Inputs'!F22, list!$I$48:$J$50, 2, FALSE)</f>
        <v/>
      </c>
      <c r="H34" s="1688">
        <f>'9.Inputs'!G22</f>
        <v/>
      </c>
      <c r="I34" s="1688">
        <f>VLOOKUP('9.Inputs'!H22, list!$I$48:$J$50, 2, FALSE)</f>
        <v/>
      </c>
      <c r="K34" s="992">
        <f>$D34*E34*Nitrous*(44/28)</f>
        <v/>
      </c>
      <c r="L34" s="992">
        <f>$D34*F34*Nitrous*(44/28)</f>
        <v/>
      </c>
      <c r="M34" s="992">
        <f>$D34*H34*Nitrous*(44/28)</f>
        <v/>
      </c>
      <c r="N34" s="1246" t="n"/>
      <c r="O34" s="992">
        <f>MIN(K34,L34)*time_tot+ABS(L34-K34)*IF(L34&gt;K34,time_cap+time*(VLOOKUP(G34,list!$J$47:$K$50,2,FALSE)),time*(1-(VLOOKUP(G34,list!$J$47:$K$50,2,FALSE))))</f>
        <v/>
      </c>
      <c r="P34" s="992">
        <f>MIN(K34,M34)*time_tot+ABS(M34-K34)*IF(M34&gt;K34,time_cap+time*(VLOOKUP(I34,list!$J$47:$K$50,2,FALSE)),time*(1-(VLOOKUP(I34,list!$J$47:$K$50,2,FALSE))))</f>
        <v/>
      </c>
      <c r="Q34" s="992">
        <f>P34-O34</f>
        <v/>
      </c>
      <c r="U34" s="992">
        <f>MIN(K34,L34)*time+ABS(L34-K34)*IF(L34&gt;K34,time*(VLOOKUP(G34,list!$J$48:$L$50,2,FALSE)),time*(1-(VLOOKUP(Inputs!G34,list!$J$48:$L$50,2,FALSE))))</f>
        <v/>
      </c>
      <c r="V34" s="992">
        <f>MIN(L34,M34)*time+ABS(M34-L34)*IF(M34&gt;L34,time*(VLOOKUP(I34,list!$J$48:$L$50,2,FALSE)),time*(1-(VLOOKUP(Inputs!I34,list!$J$48:$L$50,2,FALSE))))</f>
        <v/>
      </c>
    </row>
    <row r="35">
      <c r="D35" s="4809" t="n"/>
      <c r="E35" s="1688" t="n"/>
      <c r="F35" s="1688" t="n"/>
      <c r="G35" s="1688" t="n"/>
      <c r="H35" s="1688" t="n"/>
      <c r="I35" s="1688" t="n"/>
      <c r="K35" s="992" t="n"/>
      <c r="L35" s="992" t="n"/>
      <c r="M35" s="992" t="n"/>
      <c r="N35" s="1246" t="n"/>
      <c r="O35" s="992" t="n"/>
      <c r="P35" s="992" t="n"/>
      <c r="Q35" s="992" t="n"/>
    </row>
    <row r="36">
      <c r="B36" s="973">
        <f>'9.Inputs'!C24</f>
        <v/>
      </c>
      <c r="C36" s="4720">
        <f>IF(country_selected="Please select",0,IF(climate="Tropical Montane",IPCC!C1706,INDEX(IPCC!$A$1705:$C$1709,MATCH(moist_type,IPCC!$A$1705:$A$1709,0),MATCH(IPCC!$C$1705,IPCC!$A$1705:$C$1705,0))))</f>
        <v/>
      </c>
      <c r="D36" s="4715">
        <f>IF('9.Inputs'!AR24="",'9.Inputs'!AQ24,'9.Inputs'!AR24)</f>
        <v/>
      </c>
      <c r="E36" s="1688">
        <f>'9.Inputs'!D24</f>
        <v/>
      </c>
      <c r="F36" s="1688">
        <f>'9.Inputs'!E24</f>
        <v/>
      </c>
      <c r="G36" s="1688">
        <f>VLOOKUP('9.Inputs'!F24, list!$I$48:$J$50, 2, FALSE)</f>
        <v/>
      </c>
      <c r="H36" s="1688">
        <f>'9.Inputs'!G24</f>
        <v/>
      </c>
      <c r="I36" s="1688">
        <f>VLOOKUP('9.Inputs'!H24, list!$I$48:$J$50, 2, FALSE)</f>
        <v/>
      </c>
      <c r="K36" s="992">
        <f>$D36*E36*Nitrous*(44/28)</f>
        <v/>
      </c>
      <c r="L36" s="992">
        <f>$D36*F36*Nitrous*(44/28)</f>
        <v/>
      </c>
      <c r="M36" s="992">
        <f>$D36*H36*Nitrous*(44/28)</f>
        <v/>
      </c>
      <c r="N36" s="1246" t="n"/>
      <c r="O36" s="992">
        <f>MIN(K36,L36)*time_tot+ABS(L36-K36)*IF(L36&gt;K36,time_cap+time*(VLOOKUP(G36,list!$J$47:$K$50,2,FALSE)),time*(1-(VLOOKUP(G36,list!$J$47:$K$50,2,FALSE))))</f>
        <v/>
      </c>
      <c r="P36" s="992">
        <f>MIN(K36,M36)*time_tot+ABS(M36-K36)*IF(M36&gt;K36,time_cap+time*(VLOOKUP(I36,list!$J$47:$K$50,2,FALSE)),time*(1-(VLOOKUP(I36,list!$J$47:$K$50,2,FALSE))))</f>
        <v/>
      </c>
      <c r="Q36" s="992">
        <f>P36-O36</f>
        <v/>
      </c>
      <c r="U36" s="992">
        <f>MIN(K36,L36)*time+ABS(L36-K36)*IF(L36&gt;K36,time*(VLOOKUP(G36,list!$J$48:$L$50,2,FALSE)),time*(1-(VLOOKUP(Inputs!G36,list!$J$48:$L$50,2,FALSE))))</f>
        <v/>
      </c>
      <c r="V36" s="992">
        <f>MIN(L36,M36)*time+ABS(M36-L36)*IF(M36&gt;L36,time*(VLOOKUP(I36,list!$J$48:$L$50,2,FALSE)),time*(1-(VLOOKUP(Inputs!I36,list!$J$48:$L$50,2,FALSE))))</f>
        <v/>
      </c>
    </row>
    <row r="37">
      <c r="B37" s="973">
        <f>'9.Inputs'!C25</f>
        <v/>
      </c>
      <c r="C37" s="4720">
        <f>IF(country_selected="Please select",0,IF(climate="Tropical Montane",IPCC!C1706,INDEX(IPCC!$A$1705:$C$1709,MATCH(moist_type,IPCC!$A$1705:$A$1709,0),MATCH(IPCC!$C$1705,IPCC!$A$1705:$C$1705,0))))</f>
        <v/>
      </c>
      <c r="D37" s="4715">
        <f>IF('9.Inputs'!AR25="",'9.Inputs'!AQ25,'9.Inputs'!AR25)</f>
        <v/>
      </c>
      <c r="E37" s="1688">
        <f>'9.Inputs'!D25</f>
        <v/>
      </c>
      <c r="F37" s="1688">
        <f>'9.Inputs'!E25</f>
        <v/>
      </c>
      <c r="G37" s="1688">
        <f>VLOOKUP('9.Inputs'!F25, list!$I$48:$J$50, 2, FALSE)</f>
        <v/>
      </c>
      <c r="H37" s="1688">
        <f>'9.Inputs'!G25</f>
        <v/>
      </c>
      <c r="I37" s="1688">
        <f>VLOOKUP('9.Inputs'!H25, list!$I$48:$J$50, 2, FALSE)</f>
        <v/>
      </c>
      <c r="K37" s="992">
        <f>$D37*E37*Nitrous*(44/28)</f>
        <v/>
      </c>
      <c r="L37" s="992">
        <f>$D37*F37*Nitrous*(44/28)</f>
        <v/>
      </c>
      <c r="M37" s="992">
        <f>$D37*H37*Nitrous*(44/28)</f>
        <v/>
      </c>
      <c r="N37" s="1246" t="n"/>
      <c r="O37" s="992">
        <f>MIN(K37,L37)*time_tot+ABS(L37-K37)*IF(L37&gt;K37,time_cap+time*(VLOOKUP(G37,list!$J$47:$K$50,2,FALSE)),time*(1-(VLOOKUP(G37,list!$J$47:$K$50,2,FALSE))))</f>
        <v/>
      </c>
      <c r="P37" s="992">
        <f>MIN(K37,M37)*time_tot+ABS(M37-K37)*IF(M37&gt;K37,time_cap+time*(VLOOKUP(I37,list!$J$47:$K$50,2,FALSE)),time*(1-(VLOOKUP(I37,list!$J$47:$K$50,2,FALSE))))</f>
        <v/>
      </c>
      <c r="Q37" s="992">
        <f>P37-O37</f>
        <v/>
      </c>
      <c r="U37" s="992">
        <f>MIN(K37,L37)*time+ABS(L37-K37)*IF(L37&gt;K37,time*(VLOOKUP(G37,list!$J$48:$L$50,2,FALSE)),time*(1-(VLOOKUP(Inputs!G37,list!$J$48:$L$50,2,FALSE))))</f>
        <v/>
      </c>
      <c r="V37" s="992">
        <f>MIN(L37,M37)*time+ABS(M37-L37)*IF(M37&gt;L37,time*(VLOOKUP(I37,list!$J$48:$L$50,2,FALSE)),time*(1-(VLOOKUP(Inputs!I37,list!$J$48:$L$50,2,FALSE))))</f>
        <v/>
      </c>
    </row>
    <row r="38">
      <c r="B38" s="973">
        <f>'9.Inputs'!C26</f>
        <v/>
      </c>
      <c r="C38" s="4720">
        <f>IF(country_selected="Please select",0,IF(climate="Tropical Montane",IPCC!C1706,INDEX(IPCC!$A$1705:$C$1709,MATCH(moist_type,IPCC!$A$1705:$A$1709,0),MATCH(IPCC!$C$1705,IPCC!$A$1705:$C$1705,0))))</f>
        <v/>
      </c>
      <c r="D38" s="4715">
        <f>IF('9.Inputs'!AR26="",'9.Inputs'!AQ26,'9.Inputs'!AR26)</f>
        <v/>
      </c>
      <c r="E38" s="1688">
        <f>'9.Inputs'!D26</f>
        <v/>
      </c>
      <c r="F38" s="1688">
        <f>'9.Inputs'!E26</f>
        <v/>
      </c>
      <c r="G38" s="1688">
        <f>VLOOKUP('9.Inputs'!F26, list!$I$48:$J$50, 2, FALSE)</f>
        <v/>
      </c>
      <c r="H38" s="1688">
        <f>'9.Inputs'!G26</f>
        <v/>
      </c>
      <c r="I38" s="1688">
        <f>VLOOKUP('9.Inputs'!H26, list!$I$48:$J$50, 2, FALSE)</f>
        <v/>
      </c>
      <c r="K38" s="992">
        <f>$D38*E38*Nitrous*(44/28)</f>
        <v/>
      </c>
      <c r="L38" s="992">
        <f>$D38*F38*Nitrous*(44/28)</f>
        <v/>
      </c>
      <c r="M38" s="992">
        <f>$D38*H38*Nitrous*(44/28)</f>
        <v/>
      </c>
      <c r="N38" s="1246" t="n"/>
      <c r="O38" s="992">
        <f>MIN(K38,L38)*time_tot+ABS(L38-K38)*IF(L38&gt;K38,time_cap+time*(VLOOKUP(G38,list!$J$47:$K$50,2,FALSE)),time*(1-(VLOOKUP(G38,list!$J$47:$K$50,2,FALSE))))</f>
        <v/>
      </c>
      <c r="P38" s="992">
        <f>MIN(K38,M38)*time_tot+ABS(M38-K38)*IF(M38&gt;K38,time_cap+time*(VLOOKUP(I38,list!$J$47:$K$50,2,FALSE)),time*(1-(VLOOKUP(I38,list!$J$47:$K$50,2,FALSE))))</f>
        <v/>
      </c>
      <c r="Q38" s="992">
        <f>P38-O38</f>
        <v/>
      </c>
      <c r="U38" s="992">
        <f>MIN(K38,L38)*time+ABS(L38-K38)*IF(L38&gt;K38,time*(VLOOKUP(G38,list!$J$48:$L$50,2,FALSE)),time*(1-(VLOOKUP(Inputs!G38,list!$J$48:$L$50,2,FALSE))))</f>
        <v/>
      </c>
      <c r="V38" s="992">
        <f>MIN(L38,M38)*time+ABS(M38-L38)*IF(M38&gt;L38,time*(VLOOKUP(I38,list!$J$48:$L$50,2,FALSE)),time*(1-(VLOOKUP(Inputs!I38,list!$J$48:$L$50,2,FALSE))))</f>
        <v/>
      </c>
    </row>
    <row r="40">
      <c r="I40" s="3489" t="inlineStr">
        <is>
          <t>Sub-Total</t>
        </is>
      </c>
      <c r="J40" s="3489" t="n"/>
      <c r="K40" s="3490">
        <f>SUM(K28:K38)</f>
        <v/>
      </c>
      <c r="L40" s="3490">
        <f>SUM(L28:L38)</f>
        <v/>
      </c>
      <c r="M40" s="3490">
        <f>SUM(M28:M38)</f>
        <v/>
      </c>
      <c r="N40" s="3490" t="n"/>
      <c r="O40" s="3490">
        <f>SUM(O28:O38)</f>
        <v/>
      </c>
      <c r="P40" s="3490">
        <f>SUM(P28:P38)</f>
        <v/>
      </c>
      <c r="Q40" s="993">
        <f>SUM(Q28:Q38)</f>
        <v/>
      </c>
      <c r="W40" s="3154">
        <f>SUM(V28:V38)-SUM(U28:U38)</f>
        <v/>
      </c>
    </row>
    <row r="42" ht="47.25" customHeight="1">
      <c r="A42" s="975" t="n"/>
      <c r="B42" s="975" t="inlineStr">
        <is>
          <t>CO2 eq emissions from production, transportation, storage and transfer of agricultural chemicals</t>
        </is>
      </c>
      <c r="C42" s="975" t="n"/>
      <c r="D42" s="975" t="n"/>
      <c r="E42" s="975" t="n"/>
      <c r="F42" s="975" t="n"/>
      <c r="G42" s="975" t="n"/>
      <c r="H42" s="975" t="n"/>
      <c r="I42" s="975" t="n"/>
      <c r="J42" s="975" t="n"/>
      <c r="K42" s="975" t="n"/>
      <c r="L42" s="975" t="n"/>
      <c r="M42" s="975" t="n"/>
      <c r="N42" s="975" t="n"/>
      <c r="O42" s="975" t="n"/>
      <c r="P42" s="975" t="n"/>
      <c r="Q42" s="975" t="n"/>
      <c r="R42" s="975" t="n"/>
      <c r="X42" s="974" t="n"/>
      <c r="Y42" s="974" t="n"/>
    </row>
    <row r="43">
      <c r="E43" s="973" t="inlineStr">
        <is>
          <t>Amount of N applied (tonne per year)</t>
        </is>
      </c>
      <c r="K43" s="973" t="inlineStr">
        <is>
          <t>Emissions (tCO2 eq) per year</t>
        </is>
      </c>
      <c r="O43" s="973" t="inlineStr">
        <is>
          <t xml:space="preserve">Total Emissions (tCO2 eq) </t>
        </is>
      </c>
      <c r="X43" s="974" t="n"/>
      <c r="Y43" s="974" t="n"/>
    </row>
    <row r="44">
      <c r="B44" s="973" t="inlineStr">
        <is>
          <t>Type of input</t>
        </is>
      </c>
      <c r="C44" s="1688" t="inlineStr">
        <is>
          <t>Emission</t>
        </is>
      </c>
      <c r="D44" s="1688" t="inlineStr">
        <is>
          <t xml:space="preserve">Specific </t>
        </is>
      </c>
      <c r="E44" s="976" t="inlineStr">
        <is>
          <t>Tonnes inputs</t>
        </is>
      </c>
      <c r="F44" s="977">
        <f>E44</f>
        <v/>
      </c>
      <c r="G44" s="978" t="n"/>
      <c r="H44" s="998">
        <f>F44</f>
        <v/>
      </c>
      <c r="I44" s="978" t="n"/>
      <c r="K44" s="979" t="n"/>
      <c r="L44" s="979" t="n"/>
      <c r="M44" s="979" t="n"/>
      <c r="O44" s="979" t="n"/>
      <c r="P44" s="979" t="n"/>
      <c r="Q44" s="979" t="n"/>
      <c r="X44" s="974" t="n"/>
      <c r="Y44" s="974" t="n"/>
    </row>
    <row r="45">
      <c r="B45" s="974" t="inlineStr">
        <is>
          <t>EF from Lal 2004</t>
        </is>
      </c>
      <c r="C45" s="1688" t="inlineStr">
        <is>
          <t>Factor</t>
        </is>
      </c>
      <c r="D45" s="1688" t="inlineStr">
        <is>
          <t>Factor</t>
        </is>
      </c>
      <c r="E45" s="980" t="inlineStr">
        <is>
          <t xml:space="preserve">Start </t>
        </is>
      </c>
      <c r="F45" s="994" t="inlineStr">
        <is>
          <t xml:space="preserve">Without project </t>
        </is>
      </c>
      <c r="G45" s="999" t="n"/>
      <c r="H45" s="1000" t="inlineStr">
        <is>
          <t xml:space="preserve">With project </t>
        </is>
      </c>
      <c r="I45" s="982" t="n"/>
      <c r="K45" s="980" t="inlineStr">
        <is>
          <t>Start</t>
        </is>
      </c>
      <c r="L45" s="994" t="inlineStr">
        <is>
          <t>Without</t>
        </is>
      </c>
      <c r="M45" s="1000" t="inlineStr">
        <is>
          <t>With</t>
        </is>
      </c>
      <c r="O45" s="994" t="inlineStr">
        <is>
          <t>Without</t>
        </is>
      </c>
      <c r="P45" s="1000" t="inlineStr">
        <is>
          <t>With</t>
        </is>
      </c>
      <c r="Q45" s="979" t="inlineStr">
        <is>
          <t>Difference</t>
        </is>
      </c>
      <c r="X45" s="974" t="n"/>
      <c r="Y45" s="974" t="n"/>
    </row>
    <row r="46" ht="15" customHeight="1">
      <c r="B46" s="1281">
        <f>'9.Inputs'!C11</f>
        <v/>
      </c>
      <c r="C46" s="973" t="inlineStr">
        <is>
          <t>tCO2 eq/t lime</t>
        </is>
      </c>
      <c r="E46" s="980" t="n"/>
      <c r="F46" s="986" t="inlineStr">
        <is>
          <t>End</t>
        </is>
      </c>
      <c r="G46" s="987" t="inlineStr">
        <is>
          <t>Rate</t>
        </is>
      </c>
      <c r="H46" s="988" t="inlineStr">
        <is>
          <t>End</t>
        </is>
      </c>
      <c r="I46" s="988" t="inlineStr">
        <is>
          <t>Rate</t>
        </is>
      </c>
      <c r="K46" s="989" t="n"/>
      <c r="L46" s="990" t="n"/>
      <c r="M46" s="991" t="n"/>
      <c r="O46" s="990" t="n"/>
      <c r="P46" s="991" t="n"/>
      <c r="Q46" s="979" t="n"/>
      <c r="U46" s="973" t="inlineStr">
        <is>
          <t>IMPLEMENTATION PHASE</t>
        </is>
      </c>
      <c r="V46" s="973" t="n"/>
      <c r="X46" s="974" t="n"/>
      <c r="Y46" s="974" t="n"/>
    </row>
    <row r="47">
      <c r="B47" s="973">
        <f>'9.Inputs'!C12</f>
        <v/>
      </c>
      <c r="C47" s="4741">
        <f>0.16*44/12</f>
        <v/>
      </c>
      <c r="D47" s="4810">
        <f>IF('9.Inputs'!AV12="",'9.Inputs'!AU12,'9.Inputs'!AV12)</f>
        <v/>
      </c>
      <c r="E47" s="1688">
        <f>'9.Inputs'!D12</f>
        <v/>
      </c>
      <c r="F47" s="1688">
        <f>'9.Inputs'!E12</f>
        <v/>
      </c>
      <c r="G47" s="1688">
        <f>VLOOKUP('9.Inputs'!F12, list!$I$48:$J$50, 2, FALSE)</f>
        <v/>
      </c>
      <c r="H47" s="1688">
        <f>'9.Inputs'!G12</f>
        <v/>
      </c>
      <c r="I47" s="1688">
        <f>VLOOKUP('9.Inputs'!H12, list!$I$48:$J$50, 2, FALSE)</f>
        <v/>
      </c>
      <c r="K47" s="992">
        <f>E47*$D47</f>
        <v/>
      </c>
      <c r="L47" s="992">
        <f>F47*$D47</f>
        <v/>
      </c>
      <c r="M47" s="992">
        <f>H47*$D47</f>
        <v/>
      </c>
      <c r="O47" s="992">
        <f>MIN(K47,L47)*time_tot+ABS(L47-K47)*IF(L47&gt;K47,time_cap+time*(VLOOKUP(G47,list!$J$47:$K$50,2,FALSE)),time*(1-(VLOOKUP(G47,list!$J$47:$K$50,2,FALSE))))</f>
        <v/>
      </c>
      <c r="P47" s="992">
        <f>MIN(K47,M47)*time_tot+ABS(M47-K47)*IF(M47&gt;K47,time_cap+time*(VLOOKUP(I47,list!$J$47:$K$50,2,FALSE)),time*(1-(VLOOKUP(I47,list!$J$47:$K$50,2,FALSE))))</f>
        <v/>
      </c>
      <c r="Q47" s="992">
        <f>P47-O47</f>
        <v/>
      </c>
      <c r="U47" s="1102" t="inlineStr">
        <is>
          <t>WITHOUT</t>
        </is>
      </c>
      <c r="V47" s="1103" t="inlineStr">
        <is>
          <t>WITH</t>
        </is>
      </c>
      <c r="X47" s="974" t="n"/>
      <c r="Y47" s="974" t="n"/>
    </row>
    <row r="48">
      <c r="B48" s="973">
        <f>'9.Inputs'!C13</f>
        <v/>
      </c>
      <c r="C48" s="4741">
        <f>0.16*44/12</f>
        <v/>
      </c>
      <c r="D48" s="4810">
        <f>IF('9.Inputs'!AV13="",'9.Inputs'!AU13,'9.Inputs'!AV13)</f>
        <v/>
      </c>
      <c r="E48" s="1688">
        <f>'9.Inputs'!D13</f>
        <v/>
      </c>
      <c r="F48" s="1688">
        <f>'9.Inputs'!E13</f>
        <v/>
      </c>
      <c r="G48" s="1688">
        <f>VLOOKUP('9.Inputs'!F13, list!$I$48:$J$50, 2, FALSE)</f>
        <v/>
      </c>
      <c r="H48" s="1688">
        <f>'9.Inputs'!G13</f>
        <v/>
      </c>
      <c r="I48" s="1688">
        <f>VLOOKUP('9.Inputs'!H13, list!$I$48:$J$50, 2, FALSE)</f>
        <v/>
      </c>
      <c r="K48" s="992">
        <f>E48*$D48</f>
        <v/>
      </c>
      <c r="L48" s="992">
        <f>F48*$D48</f>
        <v/>
      </c>
      <c r="M48" s="992">
        <f>H48*$D48</f>
        <v/>
      </c>
      <c r="O48" s="992">
        <f>MIN(K48,L48)*time_tot+ABS(L48-K48)*IF(L48&gt;K48,time_cap+time*(VLOOKUP(G48,list!$J$47:$K$50,2,FALSE)),time*(1-(VLOOKUP(G48,list!$J$47:$K$50,2,FALSE))))</f>
        <v/>
      </c>
      <c r="P48" s="992">
        <f>MIN(K48,M48)*time_tot+ABS(M48-K48)*IF(M48&gt;K48,time_cap+time*(VLOOKUP(I48,list!$J$47:$K$50,2,FALSE)),time*(1-(VLOOKUP(I48,list!$J$47:$K$50,2,FALSE))))</f>
        <v/>
      </c>
      <c r="Q48" s="992">
        <f>P48-O48</f>
        <v/>
      </c>
      <c r="U48" s="992">
        <f>MIN(K48,L48)*time+ABS(L48-K48)*IF(L48&gt;K48,time*(VLOOKUP(G48,list!$J$48:$L$50,2,FALSE)),time*(1-(VLOOKUP(Inputs!G48,list!$J$48:$L$50,2,FALSE))))</f>
        <v/>
      </c>
      <c r="V48" s="992">
        <f>MIN(L48,M48)*time+ABS(M48-L48)*IF(M48&gt;L48,time*(VLOOKUP(I48,list!$J$48:$L$50,2,FALSE)),time*(1-(VLOOKUP(Inputs!I48,list!$J$48:$L$50,2,FALSE))))</f>
        <v/>
      </c>
    </row>
    <row r="49">
      <c r="B49" s="973">
        <f>'9.Inputs'!C14</f>
        <v/>
      </c>
      <c r="C49" s="4741">
        <f>0.16*44/12</f>
        <v/>
      </c>
      <c r="D49" s="4810">
        <f>IF('9.Inputs'!AV14="",'9.Inputs'!AU14,'9.Inputs'!AV14)</f>
        <v/>
      </c>
      <c r="E49" s="1688">
        <f>'9.Inputs'!D14</f>
        <v/>
      </c>
      <c r="F49" s="1688">
        <f>'9.Inputs'!E14</f>
        <v/>
      </c>
      <c r="G49" s="1688">
        <f>VLOOKUP('9.Inputs'!F14, list!$I$48:$J$50, 2, FALSE)</f>
        <v/>
      </c>
      <c r="H49" s="1688">
        <f>'9.Inputs'!G14</f>
        <v/>
      </c>
      <c r="I49" s="1688">
        <f>VLOOKUP('9.Inputs'!H14, list!$I$48:$J$50, 2, FALSE)</f>
        <v/>
      </c>
      <c r="K49" s="992">
        <f>E49*$D49</f>
        <v/>
      </c>
      <c r="L49" s="992">
        <f>F49*$D49</f>
        <v/>
      </c>
      <c r="M49" s="992">
        <f>H49*$D49</f>
        <v/>
      </c>
      <c r="O49" s="992">
        <f>MIN(K49,L49)*time_tot+ABS(L49-K49)*IF(L49&gt;K49,time_cap+time*(VLOOKUP(G49,list!$J$47:$K$50,2,FALSE)),time*(1-(VLOOKUP(G49,list!$J$47:$K$50,2,FALSE))))</f>
        <v/>
      </c>
      <c r="P49" s="992">
        <f>MIN(K49,M49)*time_tot+ABS(M49-K49)*IF(M49&gt;K49,time_cap+time*(VLOOKUP(I49,list!$J$47:$K$50,2,FALSE)),time*(1-(VLOOKUP(I49,list!$J$47:$K$50,2,FALSE))))</f>
        <v/>
      </c>
      <c r="Q49" s="992">
        <f>P49-O49</f>
        <v/>
      </c>
      <c r="U49" s="992">
        <f>MIN(K49,L49)*time+ABS(L49-K49)*IF(L49&gt;K49,time*(VLOOKUP(G49,list!$J$48:$L$50,2,FALSE)),time*(1-(VLOOKUP(Inputs!G49,list!$J$48:$L$50,2,FALSE))))</f>
        <v/>
      </c>
      <c r="V49" s="992">
        <f>MIN(L49,M49)*time+ABS(M49-L49)*IF(M49&gt;L49,time*(VLOOKUP(I49,list!$J$48:$L$50,2,FALSE)),time*(1-(VLOOKUP(Inputs!I49,list!$J$48:$L$50,2,FALSE))))</f>
        <v/>
      </c>
    </row>
    <row r="50">
      <c r="B50" s="1281">
        <f>'9.Inputs'!C15</f>
        <v/>
      </c>
      <c r="C50" s="1058" t="inlineStr">
        <is>
          <t>tCO2 eq/t N(P2O5,K2O)</t>
        </is>
      </c>
      <c r="D50" s="4811" t="n"/>
      <c r="E50" s="1688">
        <f>'9.Inputs'!D15</f>
        <v/>
      </c>
      <c r="F50" s="1688">
        <f>'9.Inputs'!E15</f>
        <v/>
      </c>
      <c r="G50" s="1688" t="n"/>
      <c r="H50" s="1688" t="n"/>
      <c r="I50" s="1688" t="n"/>
      <c r="K50" s="992" t="n"/>
      <c r="L50" s="992" t="n"/>
      <c r="M50" s="992" t="n"/>
      <c r="O50" s="992" t="n"/>
      <c r="P50" s="992" t="n"/>
      <c r="Q50" s="992" t="n"/>
    </row>
    <row r="51">
      <c r="B51" s="973">
        <f>'9.Inputs'!C16</f>
        <v/>
      </c>
      <c r="C51" s="4741">
        <f>44*1.3/12</f>
        <v/>
      </c>
      <c r="D51" s="4810">
        <f>IF('9.Inputs'!AV16="",'9.Inputs'!AU16,'9.Inputs'!AV16)</f>
        <v/>
      </c>
      <c r="E51" s="1688">
        <f>'9.Inputs'!D16*0.467</f>
        <v/>
      </c>
      <c r="F51" s="1688">
        <f>'9.Inputs'!E16*0.467</f>
        <v/>
      </c>
      <c r="G51" s="1688">
        <f>VLOOKUP('9.Inputs'!F16, list!$I$48:$J$50, 2, FALSE)</f>
        <v/>
      </c>
      <c r="H51" s="1688">
        <f>'9.Inputs'!G16*0.467</f>
        <v/>
      </c>
      <c r="I51" s="1688">
        <f>VLOOKUP('9.Inputs'!H16, list!$I$48:$J$50, 2, FALSE)</f>
        <v/>
      </c>
      <c r="K51" s="992">
        <f>E51*$D51</f>
        <v/>
      </c>
      <c r="L51" s="992">
        <f>F51*$D51</f>
        <v/>
      </c>
      <c r="M51" s="992">
        <f>H51*$D51</f>
        <v/>
      </c>
      <c r="O51" s="992">
        <f>MIN(K51,L51)*time_tot+ABS(L51-K51)*IF(L51&gt;K51,time_cap+time*(VLOOKUP(G51,list!$J$47:$K$50,2,FALSE)),time*(1-(VLOOKUP(G51,list!$J$47:$K$50,2,FALSE))))</f>
        <v/>
      </c>
      <c r="P51" s="992">
        <f>MIN(K51,M51)*time_tot+ABS(M51-K51)*IF(M51&gt;K51,time_cap+time*(VLOOKUP(I51,list!$J$47:$K$50,2,FALSE)),time*(1-(VLOOKUP(I51,list!$J$47:$K$50,2,FALSE))))</f>
        <v/>
      </c>
      <c r="Q51" s="992">
        <f>P51-O51</f>
        <v/>
      </c>
      <c r="U51" s="992">
        <f>MIN(K51,L51)*time+ABS(L51-K51)*IF(L51&gt;K51,time*(VLOOKUP(G51,list!$J$48:$L$50,2,FALSE)),time*(1-(VLOOKUP(Inputs!G51,list!$J$48:$L$50,2,FALSE))))</f>
        <v/>
      </c>
      <c r="V51" s="992">
        <f>MIN(L51,M51)*time+ABS(M51-L51)*IF(M51&gt;L51,time*(VLOOKUP(I51,list!$J$48:$L$50,2,FALSE)),time*(1-(VLOOKUP(Inputs!I51,list!$J$48:$L$50,2,FALSE))))</f>
        <v/>
      </c>
    </row>
    <row r="52">
      <c r="B52" s="973">
        <f>'9.Inputs'!C17</f>
        <v/>
      </c>
      <c r="C52" s="4741">
        <f>44*1.3/12</f>
        <v/>
      </c>
      <c r="D52" s="4810">
        <f>IF('9.Inputs'!AV17="",'9.Inputs'!AU17,'9.Inputs'!AV17)</f>
        <v/>
      </c>
      <c r="E52" s="1688">
        <f>'9.Inputs'!D17</f>
        <v/>
      </c>
      <c r="F52" s="1688">
        <f>'9.Inputs'!E17</f>
        <v/>
      </c>
      <c r="G52" s="1688">
        <f>VLOOKUP('9.Inputs'!F17, list!$I$48:$J$50, 2, FALSE)</f>
        <v/>
      </c>
      <c r="H52" s="1688">
        <f>'9.Inputs'!G17</f>
        <v/>
      </c>
      <c r="I52" s="1688">
        <f>VLOOKUP('9.Inputs'!H17, list!$I$48:$J$50, 2, FALSE)</f>
        <v/>
      </c>
      <c r="K52" s="992">
        <f>E52*$D52</f>
        <v/>
      </c>
      <c r="L52" s="992">
        <f>F52*$D52</f>
        <v/>
      </c>
      <c r="M52" s="992">
        <f>H52*$D52</f>
        <v/>
      </c>
      <c r="O52" s="992">
        <f>MIN(K52,L52)*time_tot+ABS(L52-K52)*IF(L52&gt;K52,time_cap+time*(VLOOKUP(G52,list!$J$47:$K$50,2,FALSE)),time*(1-(VLOOKUP(G52,list!$J$47:$K$50,2,FALSE))))</f>
        <v/>
      </c>
      <c r="P52" s="992">
        <f>MIN(K52,M52)*time_tot+ABS(M52-K52)*IF(M52&gt;K52,time_cap+time*(VLOOKUP(I52,list!$J$47:$K$50,2,FALSE)),time*(1-(VLOOKUP(I52,list!$J$47:$K$50,2,FALSE))))</f>
        <v/>
      </c>
      <c r="Q52" s="992">
        <f>P52-O52</f>
        <v/>
      </c>
      <c r="U52" s="992">
        <f>MIN(K52,L52)*time+ABS(L52-K52)*IF(L52&gt;K52,time*(VLOOKUP(G52,list!$J$48:$L$50,2,FALSE)),time*(1-(VLOOKUP(Inputs!G52,list!$J$48:$L$50,2,FALSE))))</f>
        <v/>
      </c>
      <c r="V52" s="992">
        <f>MIN(L52,M52)*time+ABS(M52-L52)*IF(M52&gt;L52,time*(VLOOKUP(I52,list!$J$48:$L$50,2,FALSE)),time*(1-(VLOOKUP(Inputs!I52,list!$J$48:$L$50,2,FALSE))))</f>
        <v/>
      </c>
    </row>
    <row r="53">
      <c r="B53" s="973">
        <f>'9.Inputs'!C18</f>
        <v/>
      </c>
      <c r="C53" s="4741">
        <f>44*0.2/12</f>
        <v/>
      </c>
      <c r="D53" s="4810">
        <f>IF('9.Inputs'!AV18="",'9.Inputs'!AU18,'9.Inputs'!AV18)</f>
        <v/>
      </c>
      <c r="E53" s="1688">
        <f>'9.Inputs'!D18</f>
        <v/>
      </c>
      <c r="F53" s="1688">
        <f>'9.Inputs'!E18</f>
        <v/>
      </c>
      <c r="G53" s="1688">
        <f>VLOOKUP('9.Inputs'!F18, list!$I$48:$J$50, 2, FALSE)</f>
        <v/>
      </c>
      <c r="H53" s="1688">
        <f>'9.Inputs'!G18</f>
        <v/>
      </c>
      <c r="I53" s="1688">
        <f>VLOOKUP('9.Inputs'!H18, list!$I$48:$J$50, 2, FALSE)</f>
        <v/>
      </c>
      <c r="K53" s="992">
        <f>E53*$D53</f>
        <v/>
      </c>
      <c r="L53" s="992">
        <f>F53*$D53</f>
        <v/>
      </c>
      <c r="M53" s="992">
        <f>H53*$D53</f>
        <v/>
      </c>
      <c r="O53" s="992">
        <f>MIN(K53,L53)*time_tot+ABS(L53-K53)*IF(L53&gt;K53,time_cap+time*(VLOOKUP(G53,list!$J$47:$K$50,2,FALSE)),time*(1-(VLOOKUP(G53,list!$J$47:$K$50,2,FALSE))))</f>
        <v/>
      </c>
      <c r="P53" s="992">
        <f>MIN(K53,M53)*time_tot+ABS(M53-K53)*IF(M53&gt;K53,time_cap+time*(VLOOKUP(I53,list!$J$47:$K$50,2,FALSE)),time*(1-(VLOOKUP(I53,list!$J$47:$K$50,2,FALSE))))</f>
        <v/>
      </c>
      <c r="Q53" s="992">
        <f>P53-O53</f>
        <v/>
      </c>
      <c r="U53" s="992">
        <f>MIN(K53,L53)*time+ABS(L53-K53)*IF(L53&gt;K53,time*(VLOOKUP(G53,list!$J$48:$L$50,2,FALSE)),time*(1-(VLOOKUP(Inputs!G53,list!$J$48:$L$50,2,FALSE))))</f>
        <v/>
      </c>
      <c r="V53" s="992">
        <f>MIN(L53,M53)*time+ABS(M53-L53)*IF(M53&gt;L53,time*(VLOOKUP(I53,list!$J$48:$L$50,2,FALSE)),time*(1-(VLOOKUP(Inputs!I53,list!$J$48:$L$50,2,FALSE))))</f>
        <v/>
      </c>
    </row>
    <row r="54">
      <c r="B54" s="973">
        <f>'9.Inputs'!C19</f>
        <v/>
      </c>
      <c r="C54" s="4741">
        <f>0.15*44/12</f>
        <v/>
      </c>
      <c r="D54" s="4810">
        <f>IF('9.Inputs'!AV19="",'9.Inputs'!AU19,'9.Inputs'!AV19)</f>
        <v/>
      </c>
      <c r="E54" s="1688">
        <f>'9.Inputs'!D19</f>
        <v/>
      </c>
      <c r="F54" s="1688">
        <f>'9.Inputs'!E19</f>
        <v/>
      </c>
      <c r="G54" s="1688">
        <f>VLOOKUP('9.Inputs'!F19, list!$I$48:$J$50, 2, FALSE)</f>
        <v/>
      </c>
      <c r="H54" s="1688">
        <f>'9.Inputs'!G19</f>
        <v/>
      </c>
      <c r="I54" s="1688">
        <f>VLOOKUP('9.Inputs'!H19, list!$I$48:$J$50, 2, FALSE)</f>
        <v/>
      </c>
      <c r="K54" s="992">
        <f>E54*$D54</f>
        <v/>
      </c>
      <c r="L54" s="992">
        <f>F54*$D54</f>
        <v/>
      </c>
      <c r="M54" s="992">
        <f>H54*$D54</f>
        <v/>
      </c>
      <c r="O54" s="992">
        <f>MIN(K54,L54)*time_tot+ABS(L54-K54)*IF(L54&gt;K54,time_cap+time*(VLOOKUP(G54,list!$J$47:$K$50,2,FALSE)),time*(1-(VLOOKUP(G54,list!$J$47:$K$50,2,FALSE))))</f>
        <v/>
      </c>
      <c r="P54" s="992">
        <f>MIN(K54,M54)*time_tot+ABS(M54-K54)*IF(M54&gt;K54,time_cap+time*(VLOOKUP(I54,list!$J$47:$K$50,2,FALSE)),time*(1-(VLOOKUP(I54,list!$J$47:$K$50,2,FALSE))))</f>
        <v/>
      </c>
      <c r="Q54" s="992">
        <f>P54-O54</f>
        <v/>
      </c>
      <c r="U54" s="992">
        <f>MIN(K54,L54)*time+ABS(L54-K54)*IF(L54&gt;K54,time*(VLOOKUP(G54,list!$J$48:$L$50,2,FALSE)),time*(1-(VLOOKUP(Inputs!G54,list!$J$48:$L$50,2,FALSE))))</f>
        <v/>
      </c>
      <c r="V54" s="992">
        <f>MIN(L54,M54)*time+ABS(M54-L54)*IF(M54&gt;L54,time*(VLOOKUP(I54,list!$J$48:$L$50,2,FALSE)),time*(1-(VLOOKUP(Inputs!I54,list!$J$48:$L$50,2,FALSE))))</f>
        <v/>
      </c>
    </row>
    <row r="55">
      <c r="B55" s="1281">
        <f>'9.Inputs'!C20</f>
        <v/>
      </c>
      <c r="C55" s="973" t="inlineStr">
        <is>
          <t>tCO2 eq/tN</t>
        </is>
      </c>
      <c r="D55" s="4811" t="n"/>
      <c r="E55" s="1688">
        <f>'9.Inputs'!D20</f>
        <v/>
      </c>
      <c r="F55" s="1688">
        <f>'9.Inputs'!E20</f>
        <v/>
      </c>
      <c r="G55" s="1688" t="n"/>
      <c r="H55" s="1688" t="n"/>
      <c r="I55" s="1688" t="n"/>
      <c r="K55" s="992" t="n"/>
      <c r="L55" s="992" t="n"/>
      <c r="M55" s="992" t="n"/>
      <c r="O55" s="992" t="n"/>
      <c r="P55" s="992" t="n"/>
      <c r="Q55" s="992" t="n"/>
    </row>
    <row r="56">
      <c r="B56" s="973">
        <f>'9.Inputs'!C21</f>
        <v/>
      </c>
      <c r="C56" s="4741">
        <f>44*1.3/12</f>
        <v/>
      </c>
      <c r="D56" s="4810">
        <f>IF('9.Inputs'!AV21="",'9.Inputs'!AU21,'9.Inputs'!AV21)</f>
        <v/>
      </c>
      <c r="E56" s="1688">
        <f>'9.Inputs'!D21</f>
        <v/>
      </c>
      <c r="F56" s="1688">
        <f>'9.Inputs'!E21</f>
        <v/>
      </c>
      <c r="G56" s="1688">
        <f>VLOOKUP('9.Inputs'!F21, list!$I$48:$J$50, 2, FALSE)</f>
        <v/>
      </c>
      <c r="H56" s="1688">
        <f>'9.Inputs'!G21</f>
        <v/>
      </c>
      <c r="I56" s="1688">
        <f>VLOOKUP('9.Inputs'!H21, list!$I$48:$J$50, 2, FALSE)</f>
        <v/>
      </c>
      <c r="K56" s="992">
        <f>E56*$D56</f>
        <v/>
      </c>
      <c r="L56" s="992">
        <f>F56*$D56</f>
        <v/>
      </c>
      <c r="M56" s="992">
        <f>H56*$D56</f>
        <v/>
      </c>
      <c r="O56" s="992">
        <f>MIN(K56,L56)*time_tot+ABS(L56-K56)*IF(L56&gt;K56,time_cap+time*(VLOOKUP(G56,list!$J$47:$K$50,2,FALSE)),time*(1-(VLOOKUP(G56,list!$J$47:$K$50,2,FALSE))))</f>
        <v/>
      </c>
      <c r="P56" s="992">
        <f>MIN(K56,M56)*time_tot+ABS(M56-K56)*IF(M56&gt;K56,time_cap+time*(VLOOKUP(I56,list!$J$47:$K$50,2,FALSE)),time*(1-(VLOOKUP(I56,list!$J$47:$K$50,2,FALSE))))</f>
        <v/>
      </c>
      <c r="Q56" s="992">
        <f>P56-O56</f>
        <v/>
      </c>
      <c r="U56" s="992">
        <f>MIN(K56,L56)*time+ABS(L56-K56)*IF(L56&gt;K56,time*(VLOOKUP(G56,list!$J$48:$L$50,2,FALSE)),time*(1-(VLOOKUP(Inputs!G56,list!$J$48:$L$50,2,FALSE))))</f>
        <v/>
      </c>
      <c r="V56" s="992">
        <f>MIN(L56,M56)*time+ABS(M56-L56)*IF(M56&gt;L56,time*(VLOOKUP(I56,list!$J$48:$L$50,2,FALSE)),time*(1-(VLOOKUP(Inputs!I56,list!$J$48:$L$50,2,FALSE))))</f>
        <v/>
      </c>
    </row>
    <row r="57">
      <c r="B57" s="973">
        <f>'9.Inputs'!C22</f>
        <v/>
      </c>
      <c r="C57" s="4741">
        <f>44*1.3/12</f>
        <v/>
      </c>
      <c r="D57" s="4810">
        <f>IF('9.Inputs'!AV22="",'9.Inputs'!AU22,'9.Inputs'!AV22)</f>
        <v/>
      </c>
      <c r="E57" s="1688">
        <f>'9.Inputs'!D22</f>
        <v/>
      </c>
      <c r="F57" s="1688">
        <f>'9.Inputs'!E22</f>
        <v/>
      </c>
      <c r="G57" s="1688">
        <f>VLOOKUP('9.Inputs'!F22, list!$I$48:$J$50, 2, FALSE)</f>
        <v/>
      </c>
      <c r="H57" s="1688">
        <f>'9.Inputs'!G22</f>
        <v/>
      </c>
      <c r="I57" s="1688">
        <f>VLOOKUP('9.Inputs'!H22, list!$I$48:$J$50, 2, FALSE)</f>
        <v/>
      </c>
      <c r="K57" s="992">
        <f>E57*$D57</f>
        <v/>
      </c>
      <c r="L57" s="992">
        <f>F57*$D57</f>
        <v/>
      </c>
      <c r="M57" s="992">
        <f>H57*$D57</f>
        <v/>
      </c>
      <c r="O57" s="992">
        <f>MIN(K57,L57)*time_tot+ABS(L57-K57)*IF(L57&gt;K57,time_cap+time*(VLOOKUP(G57,list!$J$47:$K$50,2,FALSE)),time*(1-(VLOOKUP(G57,list!$J$47:$K$50,2,FALSE))))</f>
        <v/>
      </c>
      <c r="P57" s="992">
        <f>MIN(K57,M57)*time_tot+ABS(M57-K57)*IF(M57&gt;K57,time_cap+time*(VLOOKUP(I57,list!$J$47:$K$50,2,FALSE)),time*(1-(VLOOKUP(I57,list!$J$47:$K$50,2,FALSE))))</f>
        <v/>
      </c>
      <c r="Q57" s="992">
        <f>P57-O57</f>
        <v/>
      </c>
      <c r="U57" s="992">
        <f>MIN(K57,L57)*time+ABS(L57-K57)*IF(L57&gt;K57,time*(VLOOKUP(G57,list!$J$48:$L$50,2,FALSE)),time*(1-(VLOOKUP(Inputs!G57,list!$J$48:$L$50,2,FALSE))))</f>
        <v/>
      </c>
      <c r="V57" s="992">
        <f>MIN(L57,M57)*time+ABS(M57-L57)*IF(M57&gt;L57,time*(VLOOKUP(I57,list!$J$48:$L$50,2,FALSE)),time*(1-(VLOOKUP(Inputs!I57,list!$J$48:$L$50,2,FALSE))))</f>
        <v/>
      </c>
    </row>
    <row r="58">
      <c r="B58" s="1281">
        <f>'9.Inputs'!C23</f>
        <v/>
      </c>
      <c r="D58" s="4811" t="n"/>
      <c r="E58" s="1688" t="n"/>
      <c r="F58" s="1688" t="n"/>
      <c r="G58" s="1688" t="n"/>
      <c r="H58" s="1688" t="n"/>
      <c r="I58" s="1688" t="n"/>
      <c r="K58" s="992" t="n"/>
      <c r="L58" s="992" t="n"/>
      <c r="M58" s="992" t="n"/>
      <c r="O58" s="992" t="n"/>
      <c r="P58" s="992" t="n"/>
      <c r="Q58" s="992" t="n"/>
    </row>
    <row r="59">
      <c r="B59" s="973">
        <f>'9.Inputs'!C24</f>
        <v/>
      </c>
      <c r="D59" s="4811" t="n"/>
      <c r="E59" s="1688" t="n"/>
      <c r="F59" s="1688" t="n"/>
      <c r="G59" s="1688" t="n"/>
      <c r="H59" s="1688" t="n"/>
      <c r="I59" s="1688" t="n"/>
      <c r="K59" s="992" t="n"/>
      <c r="L59" s="992" t="n"/>
      <c r="M59" s="992" t="n"/>
      <c r="O59" s="992" t="n"/>
      <c r="P59" s="992" t="n"/>
      <c r="Q59" s="992" t="n"/>
    </row>
    <row r="60">
      <c r="B60" s="973">
        <f>'9.Inputs'!C25</f>
        <v/>
      </c>
      <c r="D60" s="4811" t="n"/>
      <c r="E60" s="1688" t="n"/>
      <c r="F60" s="1688" t="n"/>
      <c r="G60" s="1688" t="n"/>
      <c r="H60" s="1688" t="n"/>
      <c r="I60" s="1688" t="n"/>
      <c r="K60" s="992" t="n"/>
      <c r="L60" s="992" t="n"/>
      <c r="M60" s="992" t="n"/>
      <c r="O60" s="992" t="n"/>
      <c r="P60" s="992" t="n"/>
      <c r="Q60" s="992" t="n"/>
    </row>
    <row r="61">
      <c r="B61" s="973">
        <f>'9.Inputs'!C26</f>
        <v/>
      </c>
      <c r="D61" s="4811" t="n"/>
      <c r="E61" s="1688" t="n"/>
      <c r="F61" s="1688" t="n"/>
      <c r="G61" s="1688" t="n"/>
      <c r="H61" s="1688" t="n"/>
      <c r="I61" s="1688" t="n"/>
      <c r="K61" s="992" t="n"/>
      <c r="L61" s="992" t="n"/>
      <c r="M61" s="992" t="n"/>
      <c r="O61" s="992" t="n"/>
      <c r="P61" s="992" t="n"/>
      <c r="Q61" s="992" t="n"/>
    </row>
    <row r="62">
      <c r="D62" s="4811" t="n"/>
      <c r="E62" s="1688" t="n"/>
      <c r="F62" s="1688" t="n"/>
      <c r="G62" s="1688" t="n"/>
      <c r="H62" s="1688" t="n"/>
      <c r="I62" s="1688" t="n"/>
      <c r="K62" s="992" t="n"/>
      <c r="L62" s="992" t="n"/>
      <c r="M62" s="992" t="n"/>
      <c r="O62" s="992" t="n"/>
      <c r="P62" s="992" t="n"/>
      <c r="Q62" s="992" t="n"/>
    </row>
    <row r="63">
      <c r="D63" s="4811" t="n"/>
      <c r="E63" s="1688" t="n"/>
      <c r="F63" s="1688" t="n"/>
      <c r="G63" s="1688" t="n"/>
      <c r="H63" s="1688" t="n"/>
      <c r="I63" s="1688" t="n"/>
      <c r="K63" s="992" t="n"/>
      <c r="L63" s="992" t="n"/>
      <c r="M63" s="992" t="n"/>
      <c r="O63" s="992" t="n"/>
      <c r="P63" s="992" t="n"/>
      <c r="Q63" s="992" t="n"/>
    </row>
    <row r="64">
      <c r="B64" s="1281">
        <f>'9.Inputs'!C28</f>
        <v/>
      </c>
      <c r="C64" s="1057" t="inlineStr">
        <is>
          <t>tCO2 eq/t active ingredient</t>
        </is>
      </c>
      <c r="D64" s="4811" t="n"/>
      <c r="E64" s="1688" t="n"/>
      <c r="F64" s="1688" t="n"/>
      <c r="G64" s="1688" t="n"/>
      <c r="H64" s="1688" t="n"/>
      <c r="I64" s="1688" t="n"/>
      <c r="K64" s="992" t="n"/>
      <c r="L64" s="992" t="n"/>
      <c r="M64" s="992" t="n"/>
      <c r="O64" s="992" t="n"/>
      <c r="P64" s="992" t="n"/>
      <c r="Q64" s="992" t="n"/>
    </row>
    <row r="65">
      <c r="B65" s="973">
        <f>'9.Inputs'!C29</f>
        <v/>
      </c>
      <c r="C65" s="1004">
        <f>44*3.9/12</f>
        <v/>
      </c>
      <c r="D65" s="4810">
        <f>IF('9.Inputs'!AV29="",'9.Inputs'!AU29,'9.Inputs'!AV29)</f>
        <v/>
      </c>
      <c r="E65" s="1688">
        <f>'9.Inputs'!D29</f>
        <v/>
      </c>
      <c r="F65" s="1688">
        <f>'9.Inputs'!E29</f>
        <v/>
      </c>
      <c r="G65" s="1688">
        <f>VLOOKUP('9.Inputs'!F29, list!$I$48:$J$50, 2, FALSE)</f>
        <v/>
      </c>
      <c r="H65" s="1688">
        <f>'9.Inputs'!G29</f>
        <v/>
      </c>
      <c r="I65" s="1688">
        <f>VLOOKUP('9.Inputs'!H29, list!$I$48:$J$50, 2, FALSE)</f>
        <v/>
      </c>
      <c r="K65" s="992">
        <f>E65*$D65</f>
        <v/>
      </c>
      <c r="L65" s="992">
        <f>F65*$D65</f>
        <v/>
      </c>
      <c r="M65" s="992">
        <f>H65*$D65</f>
        <v/>
      </c>
      <c r="O65" s="992">
        <f>MIN(K65,L65)*time_tot+ABS(L65-K65)*IF(L65&gt;K65,time_cap+time*(VLOOKUP(G65,list!$J$47:$K$50,2,FALSE)),time*(1-(VLOOKUP(G65,list!$J$47:$K$50,2,FALSE))))</f>
        <v/>
      </c>
      <c r="P65" s="992">
        <f>MIN(K65,M65)*time_tot+ABS(M65-K65)*IF(M65&gt;K65,time_cap+time*(VLOOKUP(I65,list!$J$47:$K$50,2,FALSE)),time*(1-(VLOOKUP(I65,list!$J$47:$K$50,2,FALSE))))</f>
        <v/>
      </c>
      <c r="Q65" s="992">
        <f>P65-O65</f>
        <v/>
      </c>
      <c r="U65" s="992">
        <f>MIN(K65,L65)*time+ABS(L65-K65)*IF(L65&gt;K65,time*(VLOOKUP(G65,list!$J$48:$L$50,2,FALSE)),time*(1-(VLOOKUP(Inputs!G65,list!$J$48:$L$50,2,FALSE))))</f>
        <v/>
      </c>
      <c r="V65" s="992">
        <f>MIN(L65,M65)*time+ABS(M65-L65)*IF(M65&gt;L65,time*(VLOOKUP(I65,list!$J$48:$L$50,2,FALSE)),time*(1-(VLOOKUP(Inputs!I65,list!$J$48:$L$50,2,FALSE))))</f>
        <v/>
      </c>
    </row>
    <row r="66">
      <c r="B66" s="973">
        <f>'9.Inputs'!C30</f>
        <v/>
      </c>
      <c r="C66" s="1004">
        <f>44*6.3/12</f>
        <v/>
      </c>
      <c r="D66" s="4810">
        <f>IF('9.Inputs'!AV30="",'9.Inputs'!AU30,'9.Inputs'!AV30)</f>
        <v/>
      </c>
      <c r="E66" s="1688">
        <f>'9.Inputs'!D30</f>
        <v/>
      </c>
      <c r="F66" s="1688">
        <f>'9.Inputs'!E30</f>
        <v/>
      </c>
      <c r="G66" s="1688">
        <f>VLOOKUP('9.Inputs'!F30, list!$I$48:$J$50, 2, FALSE)</f>
        <v/>
      </c>
      <c r="H66" s="1688">
        <f>'9.Inputs'!G30</f>
        <v/>
      </c>
      <c r="I66" s="1688">
        <f>VLOOKUP('9.Inputs'!H30, list!$I$48:$J$50, 2, FALSE)</f>
        <v/>
      </c>
      <c r="K66" s="992">
        <f>E66*$D66</f>
        <v/>
      </c>
      <c r="L66" s="992">
        <f>F66*$D66</f>
        <v/>
      </c>
      <c r="M66" s="992">
        <f>H66*$D66</f>
        <v/>
      </c>
      <c r="O66" s="992">
        <f>MIN(K66,L66)*time_tot+ABS(L66-K66)*IF(L66&gt;K66,time_cap+time*(VLOOKUP(G66,list!$J$47:$K$50,2,FALSE)),time*(1-(VLOOKUP(G66,list!$J$47:$K$50,2,FALSE))))</f>
        <v/>
      </c>
      <c r="P66" s="992">
        <f>MIN(K66,M66)*time_tot+ABS(M66-K66)*IF(M66&gt;K66,time_cap+time*(VLOOKUP(I66,list!$J$47:$K$50,2,FALSE)),time*(1-(VLOOKUP(I66,list!$J$47:$K$50,2,FALSE))))</f>
        <v/>
      </c>
      <c r="Q66" s="992">
        <f>P66-O66</f>
        <v/>
      </c>
      <c r="U66" s="992">
        <f>MIN(K66,L66)*time+ABS(L66-K66)*IF(L66&gt;K66,time*(VLOOKUP(G66,list!$J$48:$L$50,2,FALSE)),time*(1-(VLOOKUP(Inputs!G66,list!$J$48:$L$50,2,FALSE))))</f>
        <v/>
      </c>
      <c r="V66" s="992">
        <f>MIN(L66,M66)*time+ABS(M66-L66)*IF(M66&gt;L66,time*(VLOOKUP(I66,list!$J$48:$L$50,2,FALSE)),time*(1-(VLOOKUP(Inputs!I66,list!$J$48:$L$50,2,FALSE))))</f>
        <v/>
      </c>
    </row>
    <row r="67">
      <c r="B67" s="973">
        <f>'9.Inputs'!C31</f>
        <v/>
      </c>
      <c r="C67" s="1004">
        <f>44*5.1/12</f>
        <v/>
      </c>
      <c r="D67" s="4810">
        <f>IF('9.Inputs'!AV31="",'9.Inputs'!AU31,'9.Inputs'!AV31)</f>
        <v/>
      </c>
      <c r="E67" s="1688">
        <f>'9.Inputs'!D31</f>
        <v/>
      </c>
      <c r="F67" s="1688">
        <f>'9.Inputs'!E31</f>
        <v/>
      </c>
      <c r="G67" s="1688">
        <f>VLOOKUP('9.Inputs'!F31, list!$I$48:$J$50, 2, FALSE)</f>
        <v/>
      </c>
      <c r="H67" s="1688">
        <f>'9.Inputs'!G31</f>
        <v/>
      </c>
      <c r="I67" s="1688">
        <f>VLOOKUP('9.Inputs'!H31, list!$I$48:$J$50, 2, FALSE)</f>
        <v/>
      </c>
      <c r="K67" s="992">
        <f>E67*$D67</f>
        <v/>
      </c>
      <c r="L67" s="992">
        <f>F67*$D67</f>
        <v/>
      </c>
      <c r="M67" s="992">
        <f>H67*$D67</f>
        <v/>
      </c>
      <c r="O67" s="992">
        <f>MIN(K67,L67)*time_tot+ABS(L67-K67)*IF(L67&gt;K67,time_cap+time*(VLOOKUP(G67,list!$J$47:$K$50,2,FALSE)),time*(1-(VLOOKUP(G67,list!$J$47:$K$50,2,FALSE))))</f>
        <v/>
      </c>
      <c r="P67" s="992">
        <f>MIN(K67,M67)*time_tot+ABS(M67-K67)*IF(M67&gt;K67,time_cap+time*(VLOOKUP(I67,list!$J$47:$K$50,2,FALSE)),time*(1-(VLOOKUP(I67,list!$J$47:$K$50,2,FALSE))))</f>
        <v/>
      </c>
      <c r="Q67" s="992">
        <f>P67-O67</f>
        <v/>
      </c>
      <c r="U67" s="992">
        <f>MIN(K67,L67)*time+ABS(L67-K67)*IF(L67&gt;K67,time*(VLOOKUP(G67,list!$J$48:$L$50,2,FALSE)),time*(1-(VLOOKUP(Inputs!G67,list!$J$48:$L$50,2,FALSE))))</f>
        <v/>
      </c>
      <c r="V67" s="992">
        <f>MIN(L67,M67)*time+ABS(M67-L67)*IF(M67&gt;L67,time*(VLOOKUP(I67,list!$J$48:$L$50,2,FALSE)),time*(1-(VLOOKUP(Inputs!I67,list!$J$48:$L$50,2,FALSE))))</f>
        <v/>
      </c>
    </row>
    <row r="68">
      <c r="W68" s="3154">
        <f>SUM(V48:V67)-SUM(U48:U67)</f>
        <v/>
      </c>
    </row>
    <row r="69">
      <c r="I69" s="3489" t="inlineStr">
        <is>
          <t>Sub-Total</t>
        </is>
      </c>
      <c r="J69" s="3489" t="n"/>
      <c r="K69" s="3490">
        <f>SUM(K47:K67)</f>
        <v/>
      </c>
      <c r="L69" s="3490">
        <f>SUM(L47:L67)</f>
        <v/>
      </c>
      <c r="M69" s="3490">
        <f>SUM(M47:M67)</f>
        <v/>
      </c>
      <c r="N69" s="3490" t="n"/>
      <c r="O69" s="3490">
        <f>SUM(O47:O67)</f>
        <v/>
      </c>
      <c r="P69" s="3490">
        <f>SUM(P47:P67)</f>
        <v/>
      </c>
      <c r="Q69" s="993">
        <f>SUM(Q47:Q67)</f>
        <v/>
      </c>
    </row>
    <row r="70">
      <c r="B70" s="973" t="inlineStr">
        <is>
          <t>Animal feed</t>
        </is>
      </c>
      <c r="K70" s="992" t="n"/>
      <c r="L70" s="992" t="n"/>
      <c r="M70" s="992" t="n"/>
      <c r="N70" s="992" t="n"/>
      <c r="O70" s="992" t="n"/>
      <c r="P70" s="992" t="n"/>
      <c r="Q70" s="3154" t="n"/>
    </row>
    <row r="71">
      <c r="B71" s="973" t="inlineStr">
        <is>
          <t>user defined - Tier 2</t>
        </is>
      </c>
      <c r="D71" s="4810">
        <f>'9.Inputs'!AV34</f>
        <v/>
      </c>
      <c r="E71" s="1581">
        <f>'9.Inputs'!D34</f>
        <v/>
      </c>
      <c r="F71" s="1581">
        <f>'9.Inputs'!E34</f>
        <v/>
      </c>
      <c r="G71" s="1688">
        <f>VLOOKUP('9.Inputs'!F34, list!$I$48:$J$50, 2, FALSE)</f>
        <v/>
      </c>
      <c r="H71" s="1581">
        <f>'9.Inputs'!G34</f>
        <v/>
      </c>
      <c r="I71" s="1688">
        <f>VLOOKUP('9.Inputs'!H34, list!$I$48:$J$50, 2, FALSE)</f>
        <v/>
      </c>
      <c r="K71" s="992">
        <f>E71*$D71</f>
        <v/>
      </c>
      <c r="L71" s="992">
        <f>F71*$D71</f>
        <v/>
      </c>
      <c r="M71" s="992">
        <f>H71*$D71</f>
        <v/>
      </c>
      <c r="N71" s="1246" t="n"/>
      <c r="O71" s="992">
        <f>MIN(K71,L71)*time_tot+ABS(L71-K71)*IF(L71&gt;K71,time_cap+time*(VLOOKUP(G71,list!$J$47:$K$50,2,FALSE)),time*(1-(VLOOKUP(G71,list!$J$47:$K$50,2,FALSE))))</f>
        <v/>
      </c>
      <c r="P71" s="992">
        <f>MIN(K71,M71)*time_tot+ABS(M71-K71)*IF(M71&gt;K71,time_cap+time*(VLOOKUP(I71,list!$J$47:$K$50,2,FALSE)),time*(1-(VLOOKUP(I71,list!$J$47:$K$50,2,FALSE))))</f>
        <v/>
      </c>
      <c r="Q71" s="992">
        <f>P71-O71</f>
        <v/>
      </c>
    </row>
    <row r="72">
      <c r="K72" s="992" t="n"/>
      <c r="L72" s="992" t="n"/>
      <c r="M72" s="992" t="n"/>
      <c r="N72" s="992" t="n"/>
      <c r="O72" s="992" t="n"/>
      <c r="P72" s="992" t="n"/>
      <c r="Q72" s="3154" t="n"/>
    </row>
    <row r="75" ht="18" customHeight="1">
      <c r="I75" s="1005" t="inlineStr">
        <is>
          <t>Total inputs</t>
        </is>
      </c>
      <c r="J75" s="1005" t="n"/>
      <c r="K75" s="1005" t="n"/>
      <c r="L75" s="1005" t="n"/>
      <c r="M75" s="1005" t="n"/>
      <c r="N75" s="1005" t="n"/>
      <c r="O75" s="1006">
        <f>SUM(O69,O40,O21,O12,O71)</f>
        <v/>
      </c>
      <c r="P75" s="1006">
        <f>SUM(P69,P40,P21,P12,P71)</f>
        <v/>
      </c>
      <c r="Q75" s="1006">
        <f>SUM(Q69,Q40,Q21,Q12,Q71)</f>
        <v/>
      </c>
    </row>
    <row r="77" ht="47.25" customHeight="1">
      <c r="A77" s="975" t="n"/>
      <c r="B77" s="975" t="inlineStr">
        <is>
          <t>CO2 eq emissions from electricity, fuel and Solid</t>
        </is>
      </c>
      <c r="C77" s="975" t="n"/>
      <c r="D77" s="975" t="n"/>
      <c r="E77" s="975" t="n"/>
      <c r="F77" s="975" t="n"/>
      <c r="G77" s="975" t="n"/>
      <c r="H77" s="975" t="n"/>
      <c r="I77" s="975" t="n"/>
      <c r="J77" s="975" t="n"/>
      <c r="K77" s="975" t="n"/>
      <c r="L77" s="975" t="n"/>
      <c r="M77" s="975" t="n"/>
      <c r="N77" s="975" t="n"/>
      <c r="O77" s="975" t="n"/>
      <c r="P77" s="975" t="n"/>
      <c r="Q77" s="975" t="n"/>
      <c r="R77" s="975" t="n"/>
      <c r="X77" s="974" t="n"/>
      <c r="Y77" s="974" t="n"/>
    </row>
    <row r="78">
      <c r="E78" s="973" t="inlineStr">
        <is>
          <t>Quantity consumed per year</t>
        </is>
      </c>
      <c r="K78" s="973" t="inlineStr">
        <is>
          <t>Emissions (tCO2 eq) per year</t>
        </is>
      </c>
      <c r="O78" s="973" t="inlineStr">
        <is>
          <t xml:space="preserve">Total Emissions (tCO2 eq) </t>
        </is>
      </c>
      <c r="X78" s="974" t="n"/>
      <c r="Y78" s="974" t="n"/>
    </row>
    <row r="79">
      <c r="B79" s="1281" t="inlineStr">
        <is>
          <t>Electricity consumption</t>
        </is>
      </c>
      <c r="C79" s="973" t="inlineStr">
        <is>
          <t xml:space="preserve">Emission </t>
        </is>
      </c>
      <c r="D79" s="973">
        <f>D44</f>
        <v/>
      </c>
      <c r="E79" s="976" t="inlineStr">
        <is>
          <t>MWh per year</t>
        </is>
      </c>
      <c r="F79" s="977">
        <f>E79</f>
        <v/>
      </c>
      <c r="G79" s="978" t="n"/>
      <c r="H79" s="998">
        <f>F79</f>
        <v/>
      </c>
      <c r="I79" s="978" t="n"/>
      <c r="K79" s="979" t="n"/>
      <c r="L79" s="979" t="n"/>
      <c r="M79" s="979" t="n"/>
      <c r="O79" s="979" t="n"/>
      <c r="P79" s="979" t="n"/>
      <c r="Q79" s="979" t="n"/>
      <c r="X79" s="974" t="n"/>
      <c r="Y79" s="974" t="n"/>
    </row>
    <row r="80">
      <c r="C80" s="973" t="inlineStr">
        <is>
          <t>Factor</t>
        </is>
      </c>
      <c r="D80" s="973">
        <f>D45</f>
        <v/>
      </c>
      <c r="E80" s="980" t="inlineStr">
        <is>
          <t xml:space="preserve">Start </t>
        </is>
      </c>
      <c r="F80" s="994" t="inlineStr">
        <is>
          <t xml:space="preserve">Without project </t>
        </is>
      </c>
      <c r="G80" s="999" t="n"/>
      <c r="H80" s="1000" t="inlineStr">
        <is>
          <t xml:space="preserve">With project </t>
        </is>
      </c>
      <c r="I80" s="982" t="n"/>
      <c r="K80" s="980" t="inlineStr">
        <is>
          <t>Start</t>
        </is>
      </c>
      <c r="L80" s="994" t="inlineStr">
        <is>
          <t>Without</t>
        </is>
      </c>
      <c r="M80" s="1000" t="inlineStr">
        <is>
          <t>With</t>
        </is>
      </c>
      <c r="O80" s="994" t="inlineStr">
        <is>
          <t>Without</t>
        </is>
      </c>
      <c r="P80" s="1000" t="inlineStr">
        <is>
          <t>With</t>
        </is>
      </c>
      <c r="Q80" s="979" t="inlineStr">
        <is>
          <t>Difference</t>
        </is>
      </c>
      <c r="U80" s="973" t="inlineStr">
        <is>
          <t>IMPLEMENTATION PHASE</t>
        </is>
      </c>
      <c r="V80" s="973" t="n"/>
      <c r="X80" s="974" t="n"/>
      <c r="Y80" s="974" t="n"/>
    </row>
    <row r="81" ht="15" customHeight="1">
      <c r="E81" s="980" t="n"/>
      <c r="F81" s="986" t="inlineStr">
        <is>
          <t>End</t>
        </is>
      </c>
      <c r="G81" s="987" t="inlineStr">
        <is>
          <t>Rate</t>
        </is>
      </c>
      <c r="H81" s="988" t="inlineStr">
        <is>
          <t>End</t>
        </is>
      </c>
      <c r="I81" s="988" t="inlineStr">
        <is>
          <t>Rate</t>
        </is>
      </c>
      <c r="K81" s="989" t="n"/>
      <c r="L81" s="990" t="n"/>
      <c r="M81" s="991" t="n"/>
      <c r="O81" s="990" t="n"/>
      <c r="P81" s="991" t="n"/>
      <c r="Q81" s="979" t="n"/>
      <c r="U81" s="1102" t="inlineStr">
        <is>
          <t>WITHOUT</t>
        </is>
      </c>
      <c r="V81" s="1103" t="inlineStr">
        <is>
          <t>WITH</t>
        </is>
      </c>
      <c r="X81" s="974" t="n"/>
      <c r="Y81" s="974" t="n"/>
    </row>
    <row r="82">
      <c r="B82" s="973">
        <f>'9.Inputs'!C49</f>
        <v/>
      </c>
      <c r="C82" s="4741">
        <f>IF(B82="Please select",0, IF(OR('9.Inputs'!AT47 = "Please select", '9.Inputs'!AT47=Elec!J2), VLOOKUP(B82,Elec!$A$5:$G$252,6,FALSE),VLOOKUP(B82,Elec!$A$5:$G$252,7,FALSE)))</f>
        <v/>
      </c>
      <c r="D82" s="4810">
        <f>IF('9.Inputs'!AQ47="",'9.Inputs'!AP47,'9.Inputs'!AQ47)</f>
        <v/>
      </c>
      <c r="E82" s="1688">
        <f>'9.Inputs'!D49</f>
        <v/>
      </c>
      <c r="F82" s="1688">
        <f>'9.Inputs'!E49</f>
        <v/>
      </c>
      <c r="G82" s="1688">
        <f>VLOOKUP('9.Inputs'!F49, list!$I$48:$J$50, 2, FALSE)</f>
        <v/>
      </c>
      <c r="H82" s="1688">
        <f>'9.Inputs'!G49</f>
        <v/>
      </c>
      <c r="I82" s="1688">
        <f>VLOOKUP('9.Inputs'!H49, list!$I$48:$J$50, 2, FALSE)</f>
        <v/>
      </c>
      <c r="K82" s="992">
        <f>E82*$D82</f>
        <v/>
      </c>
      <c r="L82" s="992">
        <f>F82*$D82</f>
        <v/>
      </c>
      <c r="M82" s="992">
        <f>H82*$D82</f>
        <v/>
      </c>
      <c r="N82" s="1246" t="n"/>
      <c r="O82" s="992">
        <f>(MIN(K82,L82)*time_tot+ABS(L82-K82)*IF(L82&gt;K82,time_cap+time*(VLOOKUP(G82,list!$J$47:$K$50,2,FALSE)),time*(1-(VLOOKUP(G82,list!$J$47:$K$50,2,FALSE)))))*(1+$D$83)</f>
        <v/>
      </c>
      <c r="P82" s="992">
        <f>(MIN(K82,M82)*time_tot+ABS(M82-K82)*IF(M82&gt;K82,time_cap+time*(VLOOKUP(I82,list!$J$47:$K$50,2,FALSE)),time*(1-(VLOOKUP(I82,list!$J$47:$K$50,2,FALSE)))))*(1+$D$83)</f>
        <v/>
      </c>
      <c r="Q82" s="992">
        <f>P82-O82</f>
        <v/>
      </c>
      <c r="U82" s="992">
        <f>MIN(K82,L82)*time+ABS(L82-K82)*IF(L82&gt;K82,time*(VLOOKUP(G82,list!$J$48:$L$50,2,FALSE)),time*(1-(VLOOKUP(Inputs!G82,list!$J$48:$L$50,2,FALSE))))</f>
        <v/>
      </c>
      <c r="V82" s="992">
        <f>MIN(L82,M82)*time+ABS(M82-L82)*IF(M82&gt;L82,time*(VLOOKUP(I82,list!$J$48:$L$50,2,FALSE)),time*(1-(VLOOKUP(Inputs!I82,list!$J$48:$L$50,2,FALSE))))</f>
        <v/>
      </c>
    </row>
    <row r="83">
      <c r="B83" s="973">
        <f>Languages!B471</f>
        <v/>
      </c>
      <c r="C83" s="1043" t="n">
        <v>0.1</v>
      </c>
      <c r="D83" s="4810">
        <f>IF('9.Inputs'!AQ48="",'9.Inputs'!AP48,'9.Inputs'!AQ48)</f>
        <v/>
      </c>
      <c r="E83" s="1688" t="n"/>
      <c r="F83" s="1688" t="n"/>
      <c r="G83" s="1688" t="n"/>
      <c r="H83" s="1688" t="n"/>
      <c r="I83" s="1688" t="n"/>
      <c r="K83" s="1246" t="n"/>
      <c r="L83" s="1246" t="n"/>
      <c r="M83" s="1246" t="n"/>
      <c r="N83" s="1246" t="n"/>
      <c r="O83" s="992" t="n"/>
      <c r="P83" s="992" t="n"/>
      <c r="Q83" s="992" t="n"/>
    </row>
    <row r="84">
      <c r="B84" s="973">
        <f>'9.Inputs'!C50</f>
        <v/>
      </c>
      <c r="C84" s="4812" t="n"/>
      <c r="D84" s="4810">
        <f>IF('9.Inputs'!AQ49="",'9.Inputs'!AP49,'9.Inputs'!AQ49)</f>
        <v/>
      </c>
      <c r="E84" s="1688">
        <f>'9.Inputs'!D50</f>
        <v/>
      </c>
      <c r="F84" s="1688">
        <f>'9.Inputs'!E50</f>
        <v/>
      </c>
      <c r="G84" s="1688">
        <f>VLOOKUP('9.Inputs'!F50, list!$I$48:$J$50, 2, FALSE)</f>
        <v/>
      </c>
      <c r="H84" s="1688">
        <f>'9.Inputs'!G50</f>
        <v/>
      </c>
      <c r="I84" s="1688">
        <f>VLOOKUP('9.Inputs'!H50, list!$I$48:$J$50, 2, FALSE)</f>
        <v/>
      </c>
      <c r="K84" s="992">
        <f>E84*$D84</f>
        <v/>
      </c>
      <c r="L84" s="992">
        <f>F84*$D84</f>
        <v/>
      </c>
      <c r="M84" s="992">
        <f>H84*$D84</f>
        <v/>
      </c>
      <c r="N84" s="1246" t="n"/>
      <c r="O84" s="992">
        <f>(MIN(K84,L84)*time_tot+ABS(L84-K84)*IF(L84&gt;K84,time_cap+time*(VLOOKUP(G84,list!$J$47:$K$50,2,FALSE)),time*(1-(VLOOKUP(G84,list!$J$47:$K$50,2,FALSE)))))*(1+$D$85)</f>
        <v/>
      </c>
      <c r="P84" s="992">
        <f>(MIN(K84,M84)*time_tot+ABS(M84-K84)*IF(M84&gt;K84,time_cap+time*(VLOOKUP(I84,list!$J$47:$K$50,2,FALSE)),time*(1-(VLOOKUP(I84,list!$J$47:$K$50,2,FALSE)))))*(1+$D$85)</f>
        <v/>
      </c>
      <c r="Q84" s="992">
        <f>P84-O84</f>
        <v/>
      </c>
      <c r="U84" s="992">
        <f>MIN(K84,L84)*time+ABS(L84-K84)*IF(L84&gt;K84,time*(VLOOKUP(G84,list!$J$48:$L$50,2,FALSE)),time*(1-(VLOOKUP(Inputs!G84,list!$J$48:$L$50,2,FALSE))))</f>
        <v/>
      </c>
      <c r="V84" s="992">
        <f>MIN(L84,M84)*time+ABS(M84-L84)*IF(M84&gt;L84,time*(VLOOKUP(I84,list!$J$48:$L$50,2,FALSE)),time*(1-(VLOOKUP(Inputs!I84,list!$J$48:$L$50,2,FALSE))))</f>
        <v/>
      </c>
    </row>
    <row r="85">
      <c r="B85" s="973">
        <f>B83</f>
        <v/>
      </c>
      <c r="C85" s="1043" t="n">
        <v>0.1</v>
      </c>
      <c r="D85" s="4810">
        <f>IF('9.Inputs'!AQ50="",'9.Inputs'!AP50,'9.Inputs'!AQ50)</f>
        <v/>
      </c>
      <c r="E85" s="1688" t="n"/>
      <c r="F85" s="1688" t="n"/>
      <c r="G85" s="1688" t="n"/>
      <c r="H85" s="1688" t="n"/>
      <c r="I85" s="1688" t="n"/>
      <c r="K85" s="1246" t="n"/>
      <c r="L85" s="1246" t="n"/>
      <c r="M85" s="1246" t="n"/>
      <c r="N85" s="1246" t="n"/>
      <c r="O85" s="992" t="n"/>
      <c r="P85" s="992" t="n"/>
      <c r="Q85" s="992" t="n"/>
    </row>
    <row r="86">
      <c r="C86" s="1688" t="n"/>
      <c r="D86" s="1688" t="n"/>
      <c r="E86" s="1688" t="n"/>
      <c r="F86" s="1688" t="n"/>
      <c r="G86" s="1688" t="n"/>
      <c r="H86" s="1688" t="n"/>
      <c r="I86" s="1688" t="n"/>
      <c r="K86" s="1246" t="n"/>
      <c r="L86" s="1246" t="n"/>
      <c r="M86" s="1246" t="n"/>
      <c r="N86" s="1246" t="n"/>
      <c r="O86" s="992" t="n"/>
      <c r="P86" s="992" t="n"/>
      <c r="Q86" s="992" t="n"/>
    </row>
    <row r="87">
      <c r="B87" s="1281" t="inlineStr">
        <is>
          <t>Fuel consumption</t>
        </is>
      </c>
      <c r="C87" s="1688" t="n"/>
      <c r="D87" s="1688" t="n"/>
      <c r="E87" s="1688" t="n"/>
      <c r="F87" s="1688" t="n"/>
      <c r="G87" s="1688" t="n"/>
      <c r="H87" s="1688" t="n"/>
      <c r="I87" s="1688" t="n"/>
      <c r="K87" s="1246" t="n"/>
      <c r="L87" s="1246" t="n"/>
      <c r="M87" s="1246" t="n"/>
      <c r="N87" s="1246" t="n"/>
      <c r="O87" s="992" t="n"/>
      <c r="P87" s="992" t="n"/>
      <c r="Q87" s="992" t="n"/>
    </row>
    <row r="88">
      <c r="B88" s="973">
        <f>'9.Inputs'!C53</f>
        <v/>
      </c>
      <c r="C88" s="4720">
        <f>IF(B88="Please select",0,VLOOKUP(B88,IPCC!$A$1727:$B$1741,2,))</f>
        <v/>
      </c>
      <c r="D88" s="4810">
        <f>IF('9.Inputs'!AQ53="",'9.Inputs'!AP53,'9.Inputs'!AQ53)</f>
        <v/>
      </c>
      <c r="E88" s="1688">
        <f>'9.Inputs'!D53</f>
        <v/>
      </c>
      <c r="F88" s="1688">
        <f>'9.Inputs'!E53</f>
        <v/>
      </c>
      <c r="G88" s="1688">
        <f>VLOOKUP('9.Inputs'!F53, list!$I$48:$J$50, 2, FALSE)</f>
        <v/>
      </c>
      <c r="H88" s="1688">
        <f>'9.Inputs'!G53</f>
        <v/>
      </c>
      <c r="I88" s="1688">
        <f>VLOOKUP('9.Inputs'!H53, list!$I$48:$J$50, 2, FALSE)</f>
        <v/>
      </c>
      <c r="K88" s="992">
        <f>E88*$D88</f>
        <v/>
      </c>
      <c r="L88" s="992">
        <f>F88*$D88</f>
        <v/>
      </c>
      <c r="M88" s="992">
        <f>H88*$D88</f>
        <v/>
      </c>
      <c r="N88" s="1246" t="n"/>
      <c r="O88" s="992">
        <f>MIN(K88,L88)*time_tot+ABS(L88-K88)*IF(L88&gt;K88,time_cap+time*(VLOOKUP(G88,list!$J$47:$K$50,2,FALSE)),time*(1-(VLOOKUP(G88,list!$J$47:$K$50,2,FALSE))))</f>
        <v/>
      </c>
      <c r="P88" s="992">
        <f>MIN(K88,M88)*time_tot+ABS(M88-K88)*IF(M88&gt;K88,time_cap+time*(VLOOKUP(I88,list!$J$47:$K$50,2,FALSE)),time*(1-(VLOOKUP(I88,list!$J$47:$K$50,2,FALSE))))</f>
        <v/>
      </c>
      <c r="Q88" s="992">
        <f>P88-O88</f>
        <v/>
      </c>
      <c r="U88" s="992">
        <f>MIN(K88,L88)*time+ABS(L88-K88)*IF(L88&gt;K88,time*(VLOOKUP(G88,list!$J$48:$L$50,2,FALSE)),time*(1-(VLOOKUP(Inputs!G88,list!$J$48:$L$50,2,FALSE))))</f>
        <v/>
      </c>
      <c r="V88" s="992">
        <f>MIN(L88,M88)*time+ABS(M88-L88)*IF(M88&gt;L88,time*(VLOOKUP(I88,list!$J$48:$L$50,2,FALSE)),time*(1-(VLOOKUP(Inputs!I88,list!$J$48:$L$50,2,FALSE))))</f>
        <v/>
      </c>
    </row>
    <row r="89">
      <c r="B89" s="973">
        <f>'9.Inputs'!C54</f>
        <v/>
      </c>
      <c r="C89" s="4720">
        <f>IF(B89="Please select",0,VLOOKUP(B89,IPCC!$A$1727:$B$1741,2,))</f>
        <v/>
      </c>
      <c r="D89" s="4810">
        <f>IF('9.Inputs'!AQ54="",'9.Inputs'!AP54,'9.Inputs'!AQ54)</f>
        <v/>
      </c>
      <c r="E89" s="1688">
        <f>'9.Inputs'!D54</f>
        <v/>
      </c>
      <c r="F89" s="1688">
        <f>'9.Inputs'!E54</f>
        <v/>
      </c>
      <c r="G89" s="1688">
        <f>VLOOKUP('9.Inputs'!F54, list!$I$48:$J$50, 2, FALSE)</f>
        <v/>
      </c>
      <c r="H89" s="1688">
        <f>'9.Inputs'!G54</f>
        <v/>
      </c>
      <c r="I89" s="1688">
        <f>VLOOKUP('9.Inputs'!H54, list!$I$48:$J$50, 2, FALSE)</f>
        <v/>
      </c>
      <c r="K89" s="992">
        <f>E89*$D89</f>
        <v/>
      </c>
      <c r="L89" s="992">
        <f>F89*$D89</f>
        <v/>
      </c>
      <c r="M89" s="992">
        <f>H89*$D89</f>
        <v/>
      </c>
      <c r="N89" s="1246" t="n"/>
      <c r="O89" s="992">
        <f>MIN(K89,L89)*time_tot+ABS(L89-K89)*IF(L89&gt;K89,time_cap+time*(VLOOKUP(G89,list!$J$47:$K$50,2,FALSE)),time*(1-(VLOOKUP(G89,list!$J$47:$K$50,2,FALSE))))</f>
        <v/>
      </c>
      <c r="P89" s="992">
        <f>MIN(K89,M89)*time_tot+ABS(M89-K89)*IF(M89&gt;K89,time_cap+time*(VLOOKUP(I89,list!$J$47:$K$50,2,FALSE)),time*(1-(VLOOKUP(I89,list!$J$47:$K$50,2,FALSE))))</f>
        <v/>
      </c>
      <c r="Q89" s="992">
        <f>P89-O89</f>
        <v/>
      </c>
      <c r="U89" s="992">
        <f>MIN(K89,L89)*time+ABS(L89-K89)*IF(L89&gt;K89,time*(VLOOKUP(G89,list!$J$48:$L$50,2,FALSE)),time*(1-(VLOOKUP(Inputs!G89,list!$J$48:$L$50,2,FALSE))))</f>
        <v/>
      </c>
      <c r="V89" s="992">
        <f>MIN(L89,M89)*time+ABS(M89-L89)*IF(M89&gt;L89,time*(VLOOKUP(I89,list!$J$48:$L$50,2,FALSE)),time*(1-(VLOOKUP(Inputs!I89,list!$J$48:$L$50,2,FALSE))))</f>
        <v/>
      </c>
    </row>
    <row r="90">
      <c r="B90" s="973">
        <f>'9.Inputs'!C55</f>
        <v/>
      </c>
      <c r="C90" s="4720">
        <f>IF(B90="Please select",0,VLOOKUP(B90,IPCC!$A$1727:$B$1741,2,))</f>
        <v/>
      </c>
      <c r="D90" s="4810">
        <f>IF('9.Inputs'!AQ55="",'9.Inputs'!AP55,'9.Inputs'!AQ55)</f>
        <v/>
      </c>
      <c r="E90" s="1688">
        <f>'9.Inputs'!D55</f>
        <v/>
      </c>
      <c r="F90" s="1688">
        <f>'9.Inputs'!E55</f>
        <v/>
      </c>
      <c r="G90" s="1688">
        <f>VLOOKUP('9.Inputs'!F55, list!$I$48:$J$50, 2, FALSE)</f>
        <v/>
      </c>
      <c r="H90" s="1688">
        <f>'9.Inputs'!G55</f>
        <v/>
      </c>
      <c r="I90" s="1688">
        <f>VLOOKUP('9.Inputs'!H55, list!$I$48:$J$50, 2, FALSE)</f>
        <v/>
      </c>
      <c r="K90" s="992">
        <f>E90*$D90</f>
        <v/>
      </c>
      <c r="L90" s="992">
        <f>F90*$D90</f>
        <v/>
      </c>
      <c r="M90" s="992">
        <f>H90*$D90</f>
        <v/>
      </c>
      <c r="N90" s="1246" t="n"/>
      <c r="O90" s="992">
        <f>MIN(K90,L90)*time_tot+ABS(L90-K90)*IF(L90&gt;K90,time_cap+time*(VLOOKUP(G90,list!$J$47:$K$50,2,FALSE)),time*(1-(VLOOKUP(G90,list!$J$47:$K$50,2,FALSE))))</f>
        <v/>
      </c>
      <c r="P90" s="992">
        <f>MIN(K90,M90)*time_tot+ABS(M90-K90)*IF(M90&gt;K90,time_cap+time*(VLOOKUP(I90,list!$J$47:$K$50,2,FALSE)),time*(1-(VLOOKUP(I90,list!$J$47:$K$50,2,FALSE))))</f>
        <v/>
      </c>
      <c r="Q90" s="992">
        <f>P90-O90</f>
        <v/>
      </c>
      <c r="U90" s="992">
        <f>MIN(K90,L90)*time+ABS(L90-K90)*IF(L90&gt;K90,time*(VLOOKUP(G90,list!$J$48:$L$50,2,FALSE)),time*(1-(VLOOKUP(Inputs!G90,list!$J$48:$L$50,2,FALSE))))</f>
        <v/>
      </c>
      <c r="V90" s="992">
        <f>MIN(L90,M90)*time+ABS(M90-L90)*IF(M90&gt;L90,time*(VLOOKUP(I90,list!$J$48:$L$50,2,FALSE)),time*(1-(VLOOKUP(Inputs!I90,list!$J$48:$L$50,2,FALSE))))</f>
        <v/>
      </c>
    </row>
    <row r="91">
      <c r="B91" s="973">
        <f>'9.Inputs'!C56</f>
        <v/>
      </c>
      <c r="C91" s="4720">
        <f>IF(B91="Please select",0,VLOOKUP(B91,IPCC!$A$1727:$B$1741,2,))</f>
        <v/>
      </c>
      <c r="D91" s="4810">
        <f>IF('9.Inputs'!AQ56="",'9.Inputs'!AP56,'9.Inputs'!AQ56)</f>
        <v/>
      </c>
      <c r="E91" s="1688">
        <f>'9.Inputs'!D56</f>
        <v/>
      </c>
      <c r="F91" s="1688">
        <f>'9.Inputs'!E56</f>
        <v/>
      </c>
      <c r="G91" s="1688">
        <f>VLOOKUP('9.Inputs'!F56, list!$I$48:$J$50, 2, FALSE)</f>
        <v/>
      </c>
      <c r="H91" s="1688">
        <f>'9.Inputs'!G56</f>
        <v/>
      </c>
      <c r="I91" s="1688">
        <f>VLOOKUP('9.Inputs'!H56, list!$I$48:$J$50, 2, FALSE)</f>
        <v/>
      </c>
      <c r="K91" s="992">
        <f>E91*$D91</f>
        <v/>
      </c>
      <c r="L91" s="992">
        <f>F91*$D91</f>
        <v/>
      </c>
      <c r="M91" s="992">
        <f>H91*$D91</f>
        <v/>
      </c>
      <c r="N91" s="1246" t="n"/>
      <c r="O91" s="992">
        <f>MIN(K91,L91)*time_tot+ABS(L91-K91)*IF(L91&gt;K91,time_cap+time*(VLOOKUP(G91,list!$J$47:$K$50,2,FALSE)),time*(1-(VLOOKUP(G91,list!$J$47:$K$50,2,FALSE))))</f>
        <v/>
      </c>
      <c r="P91" s="992">
        <f>MIN(K91,M91)*time_tot+ABS(M91-K91)*IF(M91&gt;K91,time_cap+time*(VLOOKUP(I91,list!$J$47:$K$50,2,FALSE)),time*(1-(VLOOKUP(I91,list!$J$47:$K$50,2,FALSE))))</f>
        <v/>
      </c>
      <c r="Q91" s="992">
        <f>P91-O91</f>
        <v/>
      </c>
      <c r="U91" s="992">
        <f>MIN(K91,L91)*time+ABS(L91-K91)*IF(L91&gt;K91,time*(VLOOKUP(G91,list!$J$48:$L$50,2,FALSE)),time*(1-(VLOOKUP(Inputs!G91,list!$J$48:$L$50,2,FALSE))))</f>
        <v/>
      </c>
      <c r="V91" s="992">
        <f>MIN(L91,M91)*time+ABS(M91-L91)*IF(M91&gt;L91,time*(VLOOKUP(I91,list!$J$48:$L$50,2,FALSE)),time*(1-(VLOOKUP(Inputs!I91,list!$J$48:$L$50,2,FALSE))))</f>
        <v/>
      </c>
    </row>
    <row r="92">
      <c r="B92" s="973">
        <f>'9.Inputs'!C57</f>
        <v/>
      </c>
      <c r="C92" s="1041" t="n"/>
      <c r="D92" s="4810">
        <f>'9.Inputs'!AQ57</f>
        <v/>
      </c>
      <c r="E92" s="1688">
        <f>'9.Inputs'!D57</f>
        <v/>
      </c>
      <c r="F92" s="1688">
        <f>'9.Inputs'!E57</f>
        <v/>
      </c>
      <c r="G92" s="1688">
        <f>VLOOKUP('9.Inputs'!F57, list!$I$48:$J$50, 2, FALSE)</f>
        <v/>
      </c>
      <c r="H92" s="1688">
        <f>'9.Inputs'!G57</f>
        <v/>
      </c>
      <c r="I92" s="1688">
        <f>VLOOKUP('9.Inputs'!H57, list!$I$48:$J$50, 2, FALSE)</f>
        <v/>
      </c>
      <c r="K92" s="992">
        <f>E92*$D92</f>
        <v/>
      </c>
      <c r="L92" s="992">
        <f>F92*$D92</f>
        <v/>
      </c>
      <c r="M92" s="992">
        <f>H92*$D92</f>
        <v/>
      </c>
      <c r="N92" s="1246" t="n"/>
      <c r="O92" s="992">
        <f>MIN(K92,L92)*time_tot+ABS(L92-K92)*IF(L92&gt;K92,time_cap+time*(VLOOKUP(G92,list!$J$47:$K$50,2,FALSE)),time*(1-(VLOOKUP(G92,list!$J$47:$K$50,2,FALSE))))</f>
        <v/>
      </c>
      <c r="P92" s="992">
        <f>MIN(K92,M92)*time_tot+ABS(M92-K92)*IF(M92&gt;K92,time_cap+time*(VLOOKUP(I92,list!$J$47:$K$50,2,FALSE)),time*(1-(VLOOKUP(I92,list!$J$47:$K$50,2,FALSE))))</f>
        <v/>
      </c>
      <c r="Q92" s="992">
        <f>P92-O92</f>
        <v/>
      </c>
      <c r="U92" s="992">
        <f>MIN(K92,L92)*time+ABS(L92-K92)*IF(L92&gt;K92,time*(VLOOKUP(G92,list!$J$48:$L$50,2,FALSE)),time*(1-(VLOOKUP(Inputs!G92,list!$J$48:$L$50,2,FALSE))))</f>
        <v/>
      </c>
      <c r="V92" s="992">
        <f>MIN(L92,M92)*time+ABS(M92-L92)*IF(M92&gt;L92,time*(VLOOKUP(I92,list!$J$48:$L$50,2,FALSE)),time*(1-(VLOOKUP(Inputs!I92,list!$J$48:$L$50,2,FALSE))))</f>
        <v/>
      </c>
    </row>
    <row r="93">
      <c r="C93" s="1688" t="n"/>
      <c r="D93" s="1688" t="n"/>
      <c r="E93" s="1688" t="n"/>
      <c r="F93" s="1688" t="n"/>
      <c r="G93" s="1688" t="n"/>
      <c r="H93" s="1688" t="n"/>
      <c r="I93" s="1688" t="n"/>
      <c r="K93" s="1246" t="n"/>
      <c r="L93" s="1246" t="n"/>
      <c r="M93" s="1246" t="n"/>
      <c r="N93" s="1246" t="n"/>
      <c r="O93" s="992" t="n"/>
      <c r="P93" s="992" t="n"/>
      <c r="Q93" s="992" t="n"/>
    </row>
    <row r="94">
      <c r="B94" s="1281" t="inlineStr">
        <is>
          <t>Solid consumption</t>
        </is>
      </c>
      <c r="C94" s="1688" t="n"/>
      <c r="D94" s="1688" t="n"/>
      <c r="E94" s="1688" t="n"/>
      <c r="F94" s="1688" t="n"/>
      <c r="G94" s="1688" t="n"/>
      <c r="H94" s="1688" t="n"/>
      <c r="I94" s="1688" t="n"/>
      <c r="K94" s="1246" t="n"/>
      <c r="L94" s="1246" t="n"/>
      <c r="M94" s="1246" t="n"/>
      <c r="N94" s="1246" t="n"/>
      <c r="O94" s="992" t="n"/>
      <c r="P94" s="992" t="n"/>
      <c r="Q94" s="992" t="n"/>
    </row>
    <row r="95">
      <c r="B95" s="973">
        <f>'9.Inputs'!C60</f>
        <v/>
      </c>
      <c r="C95" s="4720">
        <f>IF('9.Inputs'!AU60="Yes",IPCC!C1751*(IPCC!D1751+IPCC!E1751*methane+IPCC!F1751*Nitrous)/10^6,IPCC!C1751*(IPCC!E1751*methane+IPCC!F1751*Nitrous)/10^6)</f>
        <v/>
      </c>
      <c r="D95" s="4810">
        <f>IF('9.Inputs'!AQ60="",'9.Inputs'!AP60,'9.Inputs'!AQ60)</f>
        <v/>
      </c>
      <c r="E95" s="1688">
        <f>'9.Inputs'!D60</f>
        <v/>
      </c>
      <c r="F95" s="1688">
        <f>'9.Inputs'!E60</f>
        <v/>
      </c>
      <c r="G95" s="1688">
        <f>VLOOKUP('9.Inputs'!F60, list!$I$48:$J$50, 2, FALSE)</f>
        <v/>
      </c>
      <c r="H95" s="1688">
        <f>'9.Inputs'!G60</f>
        <v/>
      </c>
      <c r="I95" s="1688">
        <f>VLOOKUP('9.Inputs'!H60, list!$I$48:$J$50, 2, FALSE)</f>
        <v/>
      </c>
      <c r="K95" s="992">
        <f>E95*$D95</f>
        <v/>
      </c>
      <c r="L95" s="992">
        <f>F95*$D95</f>
        <v/>
      </c>
      <c r="M95" s="992">
        <f>H95*$D95</f>
        <v/>
      </c>
      <c r="N95" s="1246" t="n"/>
      <c r="O95" s="992">
        <f>MIN(K95,L95)*time_tot+ABS(L95-K95)*IF(L95&gt;K95,time_cap+time*(VLOOKUP(G95,list!$J$47:$K$50,2,FALSE)),time*(1-(VLOOKUP(G95,list!$J$47:$K$50,2,FALSE))))</f>
        <v/>
      </c>
      <c r="P95" s="992">
        <f>MIN(K95,M95)*time_tot+ABS(M95-K95)*IF(M95&gt;K95,time_cap+time*(VLOOKUP(I95,list!$J$47:$K$50,2,FALSE)),time*(1-(VLOOKUP(I95,list!$J$47:$K$50,2,FALSE))))</f>
        <v/>
      </c>
      <c r="Q95" s="992">
        <f>P95-O95</f>
        <v/>
      </c>
      <c r="U95" s="992">
        <f>MIN(K95,L95)*time+ABS(L95-K95)*IF(L95&gt;K95,time*(VLOOKUP(G95,list!$J$48:$L$50,2,FALSE)),time*(1-(VLOOKUP(Inputs!G95,list!$J$48:$L$50,2,FALSE))))</f>
        <v/>
      </c>
      <c r="V95" s="992">
        <f>MIN(L95,M95)*time+ABS(M95-L95)*IF(M95&gt;L95,time*(VLOOKUP(I95,list!$J$48:$L$50,2,FALSE)),time*(1-(VLOOKUP(Inputs!I95,list!$J$48:$L$50,2,FALSE))))</f>
        <v/>
      </c>
    </row>
    <row r="96">
      <c r="B96" s="973">
        <f>'9.Inputs'!C61</f>
        <v/>
      </c>
      <c r="C96" s="4720">
        <f>IF('9.Inputs'!AU61="Yes",IPCC!C1752*(IPCC!D1752+IPCC!E1752*methanefossil+IPCC!F1752*Nitrous)/10^6,IPCC!C1752*(IPCC!E1752*methanefossil+IPCC!F1752*Nitrous)/10^6)</f>
        <v/>
      </c>
      <c r="D96" s="4810">
        <f>IF('9.Inputs'!AQ61="",'9.Inputs'!AP61,'9.Inputs'!AQ61)</f>
        <v/>
      </c>
      <c r="E96" s="1688">
        <f>'9.Inputs'!D61</f>
        <v/>
      </c>
      <c r="F96" s="1688">
        <f>'9.Inputs'!E61</f>
        <v/>
      </c>
      <c r="G96" s="1688">
        <f>VLOOKUP('9.Inputs'!F61, list!$I$48:$J$50, 2, FALSE)</f>
        <v/>
      </c>
      <c r="H96" s="1688">
        <f>'9.Inputs'!G61</f>
        <v/>
      </c>
      <c r="I96" s="1688">
        <f>VLOOKUP('9.Inputs'!H61, list!$I$48:$J$50, 2, FALSE)</f>
        <v/>
      </c>
      <c r="K96" s="992">
        <f>E96*$D96</f>
        <v/>
      </c>
      <c r="L96" s="992">
        <f>F96*$D96</f>
        <v/>
      </c>
      <c r="M96" s="992">
        <f>H96*$D96</f>
        <v/>
      </c>
      <c r="N96" s="1246" t="n"/>
      <c r="O96" s="992">
        <f>MIN(K96,L96)*time_tot+ABS(L96-K96)*IF(L96&gt;K96,time_cap+time*(VLOOKUP(G96,list!$J$47:$K$50,2,FALSE)),time*(1-(VLOOKUP(G96,list!$J$47:$K$50,2,FALSE))))</f>
        <v/>
      </c>
      <c r="P96" s="992">
        <f>MIN(K96,M96)*time_tot+ABS(M96-K96)*IF(M96&gt;K96,time_cap+time*(VLOOKUP(I96,list!$J$47:$K$50,2,FALSE)),time*(1-(VLOOKUP(I96,list!$J$47:$K$50,2,FALSE))))</f>
        <v/>
      </c>
      <c r="Q96" s="992">
        <f>P96-O96</f>
        <v/>
      </c>
      <c r="U96" s="992">
        <f>MIN(K96,L96)*time+ABS(L96-K96)*IF(L96&gt;K96,time*(VLOOKUP(G96,list!$J$48:$L$50,2,FALSE)),time*(1-(VLOOKUP(Inputs!G96,list!$J$48:$L$50,2,FALSE))))</f>
        <v/>
      </c>
      <c r="V96" s="992">
        <f>MIN(L96,M96)*time+ABS(M96-L96)*IF(M96&gt;L96,time*(VLOOKUP(I96,list!$J$48:$L$50,2,FALSE)),time*(1-(VLOOKUP(Inputs!I96,list!$J$48:$L$50,2,FALSE))))</f>
        <v/>
      </c>
    </row>
    <row r="97">
      <c r="B97" s="973">
        <f>'9.Inputs'!C62</f>
        <v/>
      </c>
      <c r="C97" s="4720">
        <f>IF('9.Inputs'!AU62="Yes",IPCC!C1753*(IPCC!D1753+IPCC!E1753*methanefossil+IPCC!F1753*Nitrous)/10^6,IPCC!C1753*(IPCC!E1753*methanefossil+IPCC!F1753*Nitrous)/10^6)</f>
        <v/>
      </c>
      <c r="D97" s="4810">
        <f>IF('9.Inputs'!AQ62="",'9.Inputs'!AP62,'9.Inputs'!AQ62)</f>
        <v/>
      </c>
      <c r="E97" s="1688">
        <f>'9.Inputs'!D62</f>
        <v/>
      </c>
      <c r="F97" s="1688">
        <f>'9.Inputs'!E62</f>
        <v/>
      </c>
      <c r="G97" s="1688">
        <f>VLOOKUP('9.Inputs'!F62, list!$I$48:$J$50, 2, FALSE)</f>
        <v/>
      </c>
      <c r="H97" s="1688">
        <f>'9.Inputs'!G62</f>
        <v/>
      </c>
      <c r="I97" s="1688">
        <f>VLOOKUP('9.Inputs'!H62, list!$I$48:$J$50, 2, FALSE)</f>
        <v/>
      </c>
      <c r="K97" s="992">
        <f>E97*$D97</f>
        <v/>
      </c>
      <c r="L97" s="992">
        <f>F97*$D97</f>
        <v/>
      </c>
      <c r="M97" s="992">
        <f>H97*$D97</f>
        <v/>
      </c>
      <c r="N97" s="1246" t="n"/>
      <c r="O97" s="992">
        <f>MIN(K97,L97)*time_tot+ABS(L97-K97)*IF(L97&gt;K97,time_cap+time*(VLOOKUP(G97,list!$J$47:$K$50,2,FALSE)),time*(1-(VLOOKUP(G97,list!$J$47:$K$50,2,FALSE))))</f>
        <v/>
      </c>
      <c r="P97" s="992">
        <f>MIN(K97,M97)*time_tot+ABS(M97-K97)*IF(M97&gt;K97,time_cap+time*(VLOOKUP(I97,list!$J$47:$K$50,2,FALSE)),time*(1-(VLOOKUP(I97,list!$J$47:$K$50,2,FALSE))))</f>
        <v/>
      </c>
      <c r="Q97" s="992">
        <f>P97-O97</f>
        <v/>
      </c>
      <c r="U97" s="992">
        <f>MIN(K97,L97)*time+ABS(L97-K97)*IF(L97&gt;K97,time*(VLOOKUP(G97,list!$J$48:$L$50,2,FALSE)),time*(1-(VLOOKUP(Inputs!G97,list!$J$48:$L$50,2,FALSE))))</f>
        <v/>
      </c>
      <c r="V97" s="992">
        <f>MIN(L97,M97)*time+ABS(M97-L97)*IF(M97&gt;L97,time*(VLOOKUP(I97,list!$J$48:$L$50,2,FALSE)),time*(1-(VLOOKUP(Inputs!I97,list!$J$48:$L$50,2,FALSE))))</f>
        <v/>
      </c>
    </row>
    <row r="98">
      <c r="B98" s="973">
        <f>'9.Inputs'!C63</f>
        <v/>
      </c>
      <c r="C98" s="4720">
        <f>IF('9.Inputs'!AU61="Yes",IPCC!C1752*(IPCC!D1752+IPCC!E1752*methane+IPCC!F1752*Nitrous)/10^6,IPCC!C1752*(IPCC!E1752*methane+IPCC!F1752*Nitrous)/10^6)</f>
        <v/>
      </c>
      <c r="D98" s="4810">
        <f>IF('9.Inputs'!AQ63="",'9.Inputs'!AP63,'9.Inputs'!AQ63)</f>
        <v/>
      </c>
      <c r="E98" s="992">
        <f>'9.Inputs'!D63</f>
        <v/>
      </c>
      <c r="F98" s="992">
        <f>'9.Inputs'!E63</f>
        <v/>
      </c>
      <c r="G98" s="1688">
        <f>VLOOKUP('9.Inputs'!F63, list!$I$48:$J$50, 2, FALSE)</f>
        <v/>
      </c>
      <c r="H98" s="992">
        <f>'9.Inputs'!G63</f>
        <v/>
      </c>
      <c r="I98" s="1688">
        <f>VLOOKUP('9.Inputs'!H63, list!$I$48:$J$50, 2, FALSE)</f>
        <v/>
      </c>
      <c r="K98" s="992">
        <f>E98*$D98</f>
        <v/>
      </c>
      <c r="L98" s="992">
        <f>F98*$D98</f>
        <v/>
      </c>
      <c r="M98" s="992">
        <f>H98*$D98</f>
        <v/>
      </c>
      <c r="N98" s="1246" t="n"/>
      <c r="O98" s="992">
        <f>MIN(K98,L98)*time_tot+ABS(L98-K98)*IF(L98&gt;K98,time_cap+time*(VLOOKUP(G98,list!$J$47:$K$50,2,FALSE)),time*(1-(VLOOKUP(G98,list!$J$47:$K$50,2,FALSE))))</f>
        <v/>
      </c>
      <c r="P98" s="992">
        <f>MIN(K98,M98)*time_tot+ABS(M98-K98)*IF(M98&gt;K98,time_cap+time*(VLOOKUP(I98,list!$J$47:$K$50,2,FALSE)),time*(1-(VLOOKUP(I98,list!$J$47:$K$50,2,FALSE))))</f>
        <v/>
      </c>
      <c r="Q98" s="992">
        <f>P98-O98</f>
        <v/>
      </c>
      <c r="W98" s="3154">
        <f>SUM(V82:V97)-SUM(U82:U97)</f>
        <v/>
      </c>
    </row>
    <row r="99">
      <c r="B99" s="973">
        <f>'9.Inputs'!C64</f>
        <v/>
      </c>
      <c r="C99" s="1041" t="n"/>
      <c r="D99" s="4810">
        <f>'9.Inputs'!AQ64</f>
        <v/>
      </c>
      <c r="E99" s="1688">
        <f>'9.Inputs'!D64</f>
        <v/>
      </c>
      <c r="F99" s="1688">
        <f>'9.Inputs'!E64</f>
        <v/>
      </c>
      <c r="G99" s="1688">
        <f>VLOOKUP('9.Inputs'!F64, list!$I$48:$J$50, 2, FALSE)</f>
        <v/>
      </c>
      <c r="H99" s="1688">
        <f>'9.Inputs'!G64</f>
        <v/>
      </c>
      <c r="I99" s="1688">
        <f>VLOOKUP('9.Inputs'!H64, list!$I$48:$J$50, 2, FALSE)</f>
        <v/>
      </c>
      <c r="K99" s="992">
        <f>E99*$D99</f>
        <v/>
      </c>
      <c r="L99" s="992">
        <f>F99*$D99</f>
        <v/>
      </c>
      <c r="M99" s="992">
        <f>H99*$D99</f>
        <v/>
      </c>
      <c r="N99" s="1246" t="n"/>
      <c r="O99" s="992">
        <f>MIN(K99,L99)*time_tot+ABS(L99-K99)*IF(L99&gt;K99,time_cap+time*(VLOOKUP(G99,list!$J$47:$K$50,2,FALSE)),time*(1-(VLOOKUP(G99,list!$J$47:$K$50,2,FALSE))))</f>
        <v/>
      </c>
      <c r="P99" s="992">
        <f>MIN(K99,M99)*time_tot+ABS(M99-K99)*IF(M99&gt;K99,time_cap+time*(VLOOKUP(I99,list!$J$47:$K$50,2,FALSE)),time*(1-(VLOOKUP(I99,list!$J$47:$K$50,2,FALSE))))</f>
        <v/>
      </c>
      <c r="Q99" s="992">
        <f>P99-O99</f>
        <v/>
      </c>
      <c r="U99" s="992">
        <f>MIN(K99,L99)*time+ABS(L99-K99)*IF(L99&gt;K99,time*(VLOOKUP(G99,list!$J$48:$L$50,2,FALSE)),time*(1-(VLOOKUP(Inputs!G99,list!$J$48:$L$50,2,FALSE))))</f>
        <v/>
      </c>
      <c r="V99" s="992">
        <f>MIN(L99,M99)*time+ABS(M99-L99)*IF(M99&gt;L99,time*(VLOOKUP(I99,list!$J$48:$L$50,2,FALSE)),time*(1-(VLOOKUP(Inputs!I99,list!$J$48:$L$50,2,FALSE))))</f>
        <v/>
      </c>
    </row>
    <row r="101">
      <c r="C101" s="1246" t="n"/>
      <c r="D101" s="1246" t="n"/>
      <c r="E101" s="1246" t="n"/>
      <c r="I101" s="3489" t="inlineStr">
        <is>
          <t>Sub-Total</t>
        </is>
      </c>
      <c r="J101" s="3489" t="n"/>
      <c r="K101" s="3490">
        <f>SUM(K82:K99)</f>
        <v/>
      </c>
      <c r="L101" s="3490">
        <f>SUM(L82:L99)</f>
        <v/>
      </c>
      <c r="M101" s="3490">
        <f>SUM(M82:M99)</f>
        <v/>
      </c>
      <c r="N101" s="3490" t="n"/>
      <c r="O101" s="3490">
        <f>SUM(O82:O99)</f>
        <v/>
      </c>
      <c r="P101" s="3490">
        <f>SUM(P82:P99)</f>
        <v/>
      </c>
      <c r="Q101" s="993">
        <f>SUM(Q82:Q99)</f>
        <v/>
      </c>
    </row>
    <row r="102">
      <c r="K102" s="992" t="n"/>
      <c r="L102" s="992" t="n"/>
      <c r="M102" s="992" t="n"/>
      <c r="N102" s="992" t="n"/>
      <c r="O102" s="992" t="n"/>
      <c r="P102" s="992" t="n"/>
      <c r="Q102" s="992" t="n"/>
    </row>
    <row r="103" ht="18" customHeight="1">
      <c r="I103" s="1005" t="inlineStr">
        <is>
          <t>Total energy</t>
        </is>
      </c>
      <c r="J103" s="1005" t="n"/>
      <c r="K103" s="1005" t="n"/>
      <c r="L103" s="1005" t="n"/>
      <c r="M103" s="1005" t="n"/>
      <c r="N103" s="1005" t="n"/>
      <c r="O103" s="1006">
        <f>O101</f>
        <v/>
      </c>
      <c r="P103" s="1006">
        <f>P101</f>
        <v/>
      </c>
      <c r="Q103" s="1006">
        <f>Q101</f>
        <v/>
      </c>
    </row>
    <row r="105" ht="47.25" customHeight="1">
      <c r="A105" s="975" t="n"/>
      <c r="B105" s="975" t="inlineStr">
        <is>
          <t>Computations for CO2 eq emissions from groundwater irrigation -&gt; See Energy DB sheet</t>
        </is>
      </c>
      <c r="C105" s="975" t="n"/>
      <c r="D105" s="975" t="n"/>
      <c r="E105" s="975" t="n"/>
      <c r="F105" s="975" t="n"/>
      <c r="G105" s="975" t="n"/>
      <c r="H105" s="975" t="n"/>
      <c r="I105" s="975" t="n"/>
      <c r="J105" s="975" t="n"/>
      <c r="K105" s="975" t="n"/>
      <c r="L105" s="975" t="n"/>
      <c r="M105" s="975" t="n"/>
      <c r="N105" s="975" t="n"/>
      <c r="O105" s="975" t="n"/>
      <c r="P105" s="975" t="n"/>
      <c r="Q105" s="975" t="n"/>
      <c r="R105" s="975" t="n"/>
      <c r="X105" s="974" t="n"/>
      <c r="Y105" s="974" t="n"/>
    </row>
    <row r="106">
      <c r="E106" s="973" t="inlineStr">
        <is>
          <t>Surface (ha)</t>
        </is>
      </c>
      <c r="K106" s="973" t="inlineStr">
        <is>
          <t>Emissions (tCO2 eq) per year</t>
        </is>
      </c>
      <c r="O106" s="973" t="inlineStr">
        <is>
          <t xml:space="preserve">Total Emissions (tCO2 eq) </t>
        </is>
      </c>
      <c r="X106" s="974" t="n"/>
      <c r="Y106" s="974" t="n"/>
    </row>
    <row r="107">
      <c r="C107" s="973">
        <f>C79</f>
        <v/>
      </c>
      <c r="D107" s="973">
        <f>D79</f>
        <v/>
      </c>
      <c r="E107" s="976" t="inlineStr">
        <is>
          <t>Ha</t>
        </is>
      </c>
      <c r="F107" s="977">
        <f>E107</f>
        <v/>
      </c>
      <c r="G107" s="978" t="n"/>
      <c r="H107" s="998">
        <f>F107</f>
        <v/>
      </c>
      <c r="I107" s="978" t="n"/>
      <c r="K107" s="979" t="n"/>
      <c r="L107" s="979" t="n"/>
      <c r="M107" s="979" t="n"/>
      <c r="O107" s="979" t="n"/>
      <c r="P107" s="979" t="n"/>
      <c r="Q107" s="979" t="n"/>
      <c r="X107" s="974" t="n"/>
      <c r="Y107" s="974" t="n"/>
    </row>
    <row r="108">
      <c r="C108" s="973">
        <f>C80</f>
        <v/>
      </c>
      <c r="D108" s="973">
        <f>D80</f>
        <v/>
      </c>
      <c r="E108" s="980" t="inlineStr">
        <is>
          <t xml:space="preserve">Start </t>
        </is>
      </c>
      <c r="F108" s="994" t="inlineStr">
        <is>
          <t xml:space="preserve">Without project </t>
        </is>
      </c>
      <c r="G108" s="999" t="n"/>
      <c r="H108" s="1000" t="inlineStr">
        <is>
          <t xml:space="preserve">With project </t>
        </is>
      </c>
      <c r="I108" s="982" t="n"/>
      <c r="K108" s="980" t="inlineStr">
        <is>
          <t>Start</t>
        </is>
      </c>
      <c r="L108" s="994" t="inlineStr">
        <is>
          <t>Without</t>
        </is>
      </c>
      <c r="M108" s="1000" t="inlineStr">
        <is>
          <t>With</t>
        </is>
      </c>
      <c r="O108" s="994" t="inlineStr">
        <is>
          <t>Without</t>
        </is>
      </c>
      <c r="P108" s="1000" t="inlineStr">
        <is>
          <t>With</t>
        </is>
      </c>
      <c r="Q108" s="979" t="inlineStr">
        <is>
          <t>Difference</t>
        </is>
      </c>
      <c r="U108" s="973" t="inlineStr">
        <is>
          <t>IMPLEMENTATION PHASE</t>
        </is>
      </c>
      <c r="V108" s="973" t="n"/>
      <c r="X108" s="974" t="n"/>
      <c r="Y108" s="974" t="n"/>
    </row>
    <row r="109" ht="15" customHeight="1">
      <c r="B109" s="1281" t="inlineStr">
        <is>
          <t>Implementation of new irrigation systems</t>
        </is>
      </c>
      <c r="C109" s="973" t="inlineStr">
        <is>
          <t>kgCO2eq/ha</t>
        </is>
      </c>
      <c r="E109" s="980" t="n"/>
      <c r="F109" s="986" t="inlineStr">
        <is>
          <t>End</t>
        </is>
      </c>
      <c r="G109" s="987" t="inlineStr">
        <is>
          <t>Rate</t>
        </is>
      </c>
      <c r="H109" s="988" t="inlineStr">
        <is>
          <t>End</t>
        </is>
      </c>
      <c r="I109" s="988" t="inlineStr">
        <is>
          <t>Rate</t>
        </is>
      </c>
      <c r="K109" s="989" t="n"/>
      <c r="L109" s="990" t="n"/>
      <c r="M109" s="991" t="n"/>
      <c r="O109" s="990" t="n"/>
      <c r="P109" s="991" t="n"/>
      <c r="Q109" s="979" t="n"/>
      <c r="U109" s="1102" t="inlineStr">
        <is>
          <t>WITHOUT</t>
        </is>
      </c>
      <c r="V109" s="1103" t="inlineStr">
        <is>
          <t>WITH</t>
        </is>
      </c>
      <c r="X109" s="974" t="n"/>
      <c r="Y109" s="974" t="n"/>
    </row>
    <row r="110">
      <c r="B110" s="973">
        <f>'9.Inputs'!C78</f>
        <v/>
      </c>
      <c r="C110" s="1044">
        <f>IF(B110="Please select",0,VLOOKUP(B110,'Energy DB'!$A$7:$B$16,2,))</f>
        <v/>
      </c>
      <c r="D110" s="1045">
        <f>IF('9.Inputs'!AQ78="",'9.Inputs'!AP78,'9.Inputs'!AQ78)</f>
        <v/>
      </c>
      <c r="F110" s="992">
        <f>'9.Inputs'!E78</f>
        <v/>
      </c>
      <c r="G110" s="1688" t="n"/>
      <c r="H110" s="992">
        <f>'9.Inputs'!G78</f>
        <v/>
      </c>
      <c r="L110" s="992">
        <f>F110*$D110/1000</f>
        <v/>
      </c>
      <c r="M110" s="992">
        <f>H110*$D110/1000</f>
        <v/>
      </c>
      <c r="O110" s="992">
        <f>L110</f>
        <v/>
      </c>
      <c r="P110" s="992">
        <f>M110</f>
        <v/>
      </c>
      <c r="Q110" s="992">
        <f>P110-O110</f>
        <v/>
      </c>
      <c r="U110" s="992">
        <f>O110</f>
        <v/>
      </c>
      <c r="V110" s="992">
        <f>P110</f>
        <v/>
      </c>
    </row>
    <row r="111">
      <c r="B111" s="973">
        <f>'9.Inputs'!C79</f>
        <v/>
      </c>
      <c r="C111" s="1044">
        <f>IF(B111="Please select",0,VLOOKUP(B111,'Energy DB'!$A$7:$B$16,2,))</f>
        <v/>
      </c>
      <c r="D111" s="1045">
        <f>IF('9.Inputs'!AQ79="",'9.Inputs'!AP79,'9.Inputs'!AQ79)</f>
        <v/>
      </c>
      <c r="F111" s="992">
        <f>'9.Inputs'!E79</f>
        <v/>
      </c>
      <c r="G111" s="1688" t="n"/>
      <c r="H111" s="992">
        <f>'9.Inputs'!G79</f>
        <v/>
      </c>
      <c r="L111" s="992">
        <f>F111*$D111/1000</f>
        <v/>
      </c>
      <c r="M111" s="992">
        <f>H111*$D111/1000</f>
        <v/>
      </c>
      <c r="O111" s="992">
        <f>L111</f>
        <v/>
      </c>
      <c r="P111" s="992">
        <f>M111</f>
        <v/>
      </c>
      <c r="Q111" s="992">
        <f>P111-O111</f>
        <v/>
      </c>
      <c r="U111" s="992">
        <f>O111</f>
        <v/>
      </c>
      <c r="V111" s="992">
        <f>P111</f>
        <v/>
      </c>
    </row>
    <row r="112">
      <c r="B112" s="973">
        <f>'9.Inputs'!C80</f>
        <v/>
      </c>
      <c r="C112" s="1044">
        <f>IF(B112="Please select",0,VLOOKUP(B112,'Energy DB'!$A$7:$B$16,2,))</f>
        <v/>
      </c>
      <c r="D112" s="1045">
        <f>IF('9.Inputs'!AQ80="",'9.Inputs'!AP80,'9.Inputs'!AQ80)</f>
        <v/>
      </c>
      <c r="F112" s="992">
        <f>'9.Inputs'!E80</f>
        <v/>
      </c>
      <c r="G112" s="1688" t="n"/>
      <c r="H112" s="992">
        <f>'9.Inputs'!G80</f>
        <v/>
      </c>
      <c r="L112" s="992">
        <f>F112*$D112/1000</f>
        <v/>
      </c>
      <c r="M112" s="992">
        <f>H112*$D112/1000</f>
        <v/>
      </c>
      <c r="O112" s="992">
        <f>L112</f>
        <v/>
      </c>
      <c r="P112" s="992">
        <f>M112</f>
        <v/>
      </c>
      <c r="Q112" s="992">
        <f>P112-O112</f>
        <v/>
      </c>
      <c r="U112" s="992">
        <f>O112</f>
        <v/>
      </c>
      <c r="V112" s="992">
        <f>P112</f>
        <v/>
      </c>
    </row>
    <row r="113">
      <c r="B113" s="973">
        <f>'9.Inputs'!C81</f>
        <v/>
      </c>
      <c r="C113" s="1044">
        <f>IF(B113="Please select",0,VLOOKUP(B113,'Energy DB'!$A$7:$B$16,2,))</f>
        <v/>
      </c>
      <c r="D113" s="1045">
        <f>IF('9.Inputs'!AQ81="",'9.Inputs'!AP81,'9.Inputs'!AQ81)</f>
        <v/>
      </c>
      <c r="F113" s="992">
        <f>'9.Inputs'!E81</f>
        <v/>
      </c>
      <c r="G113" s="1688" t="n"/>
      <c r="H113" s="992">
        <f>'9.Inputs'!G81</f>
        <v/>
      </c>
      <c r="L113" s="992">
        <f>F113*$D113/1000</f>
        <v/>
      </c>
      <c r="M113" s="992">
        <f>H113*$D113/1000</f>
        <v/>
      </c>
      <c r="O113" s="992">
        <f>L113</f>
        <v/>
      </c>
      <c r="P113" s="992">
        <f>M113</f>
        <v/>
      </c>
      <c r="Q113" s="992">
        <f>P113-O113</f>
        <v/>
      </c>
      <c r="U113" s="992">
        <f>O113</f>
        <v/>
      </c>
      <c r="V113" s="992">
        <f>P113</f>
        <v/>
      </c>
    </row>
    <row r="115">
      <c r="B115" s="1120">
        <f>Languages!B477</f>
        <v/>
      </c>
      <c r="C115" s="1120" t="inlineStr">
        <is>
          <t>NB: not yet fully developed and not used</t>
        </is>
      </c>
    </row>
    <row r="116">
      <c r="B116" s="1281" t="inlineStr">
        <is>
          <t>Main season crop</t>
        </is>
      </c>
    </row>
    <row r="117">
      <c r="B117" s="1246">
        <f>'9.Inputs'!BC86</f>
        <v/>
      </c>
      <c r="C117" s="1051" t="n"/>
      <c r="D117" s="4811">
        <f>'Energy DB'!AP7</f>
        <v/>
      </c>
      <c r="E117" s="992">
        <f>'9.Inputs'!D86</f>
        <v/>
      </c>
      <c r="F117" s="992">
        <f>'9.Inputs'!E86</f>
        <v/>
      </c>
      <c r="G117" s="992">
        <f>VLOOKUP('9.Inputs'!F86, list!$I$48:$J$50, 2, FALSE)</f>
        <v/>
      </c>
      <c r="H117" s="992">
        <f>'9.Inputs'!G86</f>
        <v/>
      </c>
      <c r="I117" s="992">
        <f>VLOOKUP('9.Inputs'!H86, list!$I$48:$J$50, 2, FALSE)</f>
        <v/>
      </c>
      <c r="K117" s="992">
        <f>E117*$D117</f>
        <v/>
      </c>
      <c r="L117" s="992">
        <f>F117*$D117</f>
        <v/>
      </c>
      <c r="M117" s="992">
        <f>H117*D117</f>
        <v/>
      </c>
      <c r="O117" s="992">
        <f>IF('9.Inputs'!AL86="Electricity",(MIN(K117,L117)*time_tot+ABS(L117-K117)*IF(L117&gt;K117,time_cap+time*(VLOOKUP(G117,list!$J$47:$K$50,2,FALSE)),time*(1-(VLOOKUP(G117,list!$J$47:$K$50,2,FALSE)))))*(1+Inputs!$D$128),MIN(K117,L117)*time_tot+ABS(L117-K117)*IF(L117&gt;K117,time_cap+time*(VLOOKUP(G117,list!$J$47:$K$50,2,FALSE)),time*(1-(VLOOKUP(G117,list!$J$47:$K$50,2,FALSE)))))</f>
        <v/>
      </c>
      <c r="P117" s="992">
        <f>IF('9.Inputs'!AL86="Electricity",(MIN(K117,M117)*time_tot+ABS(M117-K117)*IF(M117&gt;K117,time_cap+time*(VLOOKUP(I117,list!$J$47:$K$50,2,FALSE)),time*(1-(VLOOKUP(I117,list!$J$47:$K$50,2,FALSE)))))*(1+Inputs!$D$128),MIN(K117,M117)*time_tot+ABS(M117-K117)*IF(M117&gt;K117,time_cap+time*(VLOOKUP(I117,list!$J$47:$K$50,2,FALSE)),time*(1-(VLOOKUP(I117,list!$J$47:$K$50,2,FALSE)))))</f>
        <v/>
      </c>
      <c r="Q117" s="992">
        <f>P117-O117</f>
        <v/>
      </c>
      <c r="U117" s="4118">
        <f>MIN(K117,L117)*time+ABS(L117-K117)*IF(L117&gt;K117,time*(VLOOKUP(G117,list!$J$48:$L$50,2,FALSE)),time*(1-(VLOOKUP(Inputs!G117,list!$J$48:$L$50,2,FALSE))))</f>
        <v/>
      </c>
      <c r="V117" s="4118">
        <f>MIN(L117,M117)*time+ABS(M117-L117)*IF(M117&gt;L117,time*(VLOOKUP(I117,list!$J$48:$L$50,2,FALSE)),time*(1-(VLOOKUP(Inputs!I117,list!$J$48:$L$50,2,FALSE))))</f>
        <v/>
      </c>
    </row>
    <row r="118">
      <c r="B118" s="1246">
        <f>'9.Inputs'!BC87</f>
        <v/>
      </c>
      <c r="C118" s="1051" t="n"/>
      <c r="D118" s="4811">
        <f>'Energy DB'!AP8</f>
        <v/>
      </c>
      <c r="E118" s="992">
        <f>'9.Inputs'!D87</f>
        <v/>
      </c>
      <c r="F118" s="992">
        <f>'9.Inputs'!E87</f>
        <v/>
      </c>
      <c r="G118" s="992">
        <f>VLOOKUP('9.Inputs'!F87, list!$I$48:$J$50, 2, FALSE)</f>
        <v/>
      </c>
      <c r="H118" s="992">
        <f>'9.Inputs'!G87</f>
        <v/>
      </c>
      <c r="I118" s="992">
        <f>VLOOKUP('9.Inputs'!H87, list!$I$48:$J$50, 2, FALSE)</f>
        <v/>
      </c>
      <c r="K118" s="992">
        <f>E118*$D118</f>
        <v/>
      </c>
      <c r="L118" s="992">
        <f>F118*$D118</f>
        <v/>
      </c>
      <c r="M118" s="992">
        <f>H118*D118</f>
        <v/>
      </c>
      <c r="O118" s="992">
        <f>IF('9.Inputs'!AL87="Electricity",(MIN(K118,L118)*time_tot+ABS(L118-K118)*IF(L118&gt;K118,time_cap+time*(VLOOKUP(G118,list!$J$47:$K$50,2,FALSE)),time*(1-(VLOOKUP(G118,list!$J$47:$K$50,2,FALSE)))))*(1+Inputs!$D$128),MIN(K118,L118)*time_tot+ABS(L118-K118)*IF(L118&gt;K118,time_cap+time*(VLOOKUP(G118,list!$J$47:$K$50,2,FALSE)),time*(1-(VLOOKUP(G118,list!$J$47:$K$50,2,FALSE)))))</f>
        <v/>
      </c>
      <c r="P118" s="992">
        <f>IF('9.Inputs'!AL87="Electricity",(MIN(K118,M118)*time_tot+ABS(M118-K118)*IF(M118&gt;K118,time_cap+time*(VLOOKUP(I118,list!$J$47:$K$50,2,FALSE)),time*(1-(VLOOKUP(I118,list!$J$47:$K$50,2,FALSE)))))*(1+Inputs!$D$128),MIN(K118,M118)*time_tot+ABS(M118-K118)*IF(M118&gt;K118,time_cap+time*(VLOOKUP(I118,list!$J$47:$K$50,2,FALSE)),time*(1-(VLOOKUP(I118,list!$J$47:$K$50,2,FALSE)))))</f>
        <v/>
      </c>
      <c r="Q118" s="992">
        <f>P118-O118</f>
        <v/>
      </c>
      <c r="U118" s="4118">
        <f>MIN(K118,L118)*time+ABS(L118-K118)*IF(L118&gt;K118,time*(VLOOKUP(G118,list!$J$48:$L$50,2,FALSE)),time*(1-(VLOOKUP(Inputs!G118,list!$J$48:$L$50,2,FALSE))))</f>
        <v/>
      </c>
      <c r="V118" s="4118">
        <f>MIN(L118,M118)*time+ABS(M118-L118)*IF(M118&gt;L118,time*(VLOOKUP(I118,list!$J$48:$L$50,2,FALSE)),time*(1-(VLOOKUP(Inputs!I118,list!$J$48:$L$50,2,FALSE))))</f>
        <v/>
      </c>
    </row>
    <row r="119">
      <c r="B119" s="1246">
        <f>'9.Inputs'!BC88</f>
        <v/>
      </c>
      <c r="C119" s="1051" t="n"/>
      <c r="D119" s="4811">
        <f>'Energy DB'!AP9</f>
        <v/>
      </c>
      <c r="E119" s="992">
        <f>'9.Inputs'!D88</f>
        <v/>
      </c>
      <c r="F119" s="992">
        <f>'9.Inputs'!E88</f>
        <v/>
      </c>
      <c r="G119" s="992">
        <f>VLOOKUP('9.Inputs'!F88, list!$I$48:$J$50, 2, FALSE)</f>
        <v/>
      </c>
      <c r="H119" s="992">
        <f>'9.Inputs'!G88</f>
        <v/>
      </c>
      <c r="I119" s="992">
        <f>VLOOKUP('9.Inputs'!H88, list!$I$48:$J$50, 2, FALSE)</f>
        <v/>
      </c>
      <c r="K119" s="992">
        <f>E119*$D119</f>
        <v/>
      </c>
      <c r="L119" s="992">
        <f>F119*$D119</f>
        <v/>
      </c>
      <c r="M119" s="992">
        <f>H119*D119</f>
        <v/>
      </c>
      <c r="O119" s="992">
        <f>IF('9.Inputs'!AL88="Electricity",(MIN(K119,L119)*time_tot+ABS(L119-K119)*IF(L119&gt;K119,time_cap+time*(VLOOKUP(G119,list!$J$47:$K$50,2,FALSE)),time*(1-(VLOOKUP(G119,list!$J$47:$K$50,2,FALSE)))))*(1+Inputs!$D$128),MIN(K119,L119)*time_tot+ABS(L119-K119)*IF(L119&gt;K119,time_cap+time*(VLOOKUP(G119,list!$J$47:$K$50,2,FALSE)),time*(1-(VLOOKUP(G119,list!$J$47:$K$50,2,FALSE)))))</f>
        <v/>
      </c>
      <c r="P119" s="992">
        <f>IF('9.Inputs'!AL88="Electricity",(MIN(K119,M119)*time_tot+ABS(M119-K119)*IF(M119&gt;K119,time_cap+time*(VLOOKUP(I119,list!$J$47:$K$50,2,FALSE)),time*(1-(VLOOKUP(I119,list!$J$47:$K$50,2,FALSE)))))*(1+Inputs!$D$128),MIN(K119,M119)*time_tot+ABS(M119-K119)*IF(M119&gt;K119,time_cap+time*(VLOOKUP(I119,list!$J$47:$K$50,2,FALSE)),time*(1-(VLOOKUP(I119,list!$J$47:$K$50,2,FALSE)))))</f>
        <v/>
      </c>
      <c r="Q119" s="992">
        <f>P119-O119</f>
        <v/>
      </c>
      <c r="U119" s="4118">
        <f>MIN(K119,L119)*time+ABS(L119-K119)*IF(L119&gt;K119,time*(VLOOKUP(G119,list!$J$48:$L$50,2,FALSE)),time*(1-(VLOOKUP(Inputs!G119,list!$J$48:$L$50,2,FALSE))))</f>
        <v/>
      </c>
      <c r="V119" s="4118">
        <f>MIN(L119,M119)*time+ABS(M119-L119)*IF(M119&gt;L119,time*(VLOOKUP(I119,list!$J$48:$L$50,2,FALSE)),time*(1-(VLOOKUP(Inputs!I119,list!$J$48:$L$50,2,FALSE))))</f>
        <v/>
      </c>
    </row>
    <row r="120">
      <c r="B120" s="1246">
        <f>'9.Inputs'!BC89</f>
        <v/>
      </c>
      <c r="C120" s="1051" t="n"/>
      <c r="D120" s="4811">
        <f>'Energy DB'!AP10</f>
        <v/>
      </c>
      <c r="E120" s="992">
        <f>'9.Inputs'!D89</f>
        <v/>
      </c>
      <c r="F120" s="992">
        <f>'9.Inputs'!E89</f>
        <v/>
      </c>
      <c r="G120" s="992">
        <f>VLOOKUP('9.Inputs'!F89, list!$I$48:$J$50, 2, FALSE)</f>
        <v/>
      </c>
      <c r="H120" s="992">
        <f>'9.Inputs'!G89</f>
        <v/>
      </c>
      <c r="I120" s="992">
        <f>VLOOKUP('9.Inputs'!H89, list!$I$48:$J$50, 2, FALSE)</f>
        <v/>
      </c>
      <c r="K120" s="992">
        <f>E120*$D120</f>
        <v/>
      </c>
      <c r="L120" s="992">
        <f>F120*$D120</f>
        <v/>
      </c>
      <c r="M120" s="992">
        <f>H120*D120</f>
        <v/>
      </c>
      <c r="O120" s="992">
        <f>IF('9.Inputs'!AL89="Electricity",(MIN(K120,L120)*time_tot+ABS(L120-K120)*IF(L120&gt;K120,time_cap+time*(VLOOKUP(G120,list!$J$47:$K$50,2,FALSE)),time*(1-(VLOOKUP(G120,list!$J$47:$K$50,2,FALSE)))))*(1+Inputs!$D$128),MIN(K120,L120)*time_tot+ABS(L120-K120)*IF(L120&gt;K120,time_cap+time*(VLOOKUP(G120,list!$J$47:$K$50,2,FALSE)),time*(1-(VLOOKUP(G120,list!$J$47:$K$50,2,FALSE)))))</f>
        <v/>
      </c>
      <c r="P120" s="992">
        <f>IF('9.Inputs'!AL89="Electricity",(MIN(K120,M120)*time_tot+ABS(M120-K120)*IF(M120&gt;K120,time_cap+time*(VLOOKUP(I120,list!$J$47:$K$50,2,FALSE)),time*(1-(VLOOKUP(I120,list!$J$47:$K$50,2,FALSE)))))*(1+Inputs!$D$128),MIN(K120,M120)*time_tot+ABS(M120-K120)*IF(M120&gt;K120,time_cap+time*(VLOOKUP(I120,list!$J$47:$K$50,2,FALSE)),time*(1-(VLOOKUP(I120,list!$J$47:$K$50,2,FALSE)))))</f>
        <v/>
      </c>
      <c r="Q120" s="992">
        <f>P120-O120</f>
        <v/>
      </c>
      <c r="U120" s="4118">
        <f>MIN(K120,L120)*time+ABS(L120-K120)*IF(L120&gt;K120,time*(VLOOKUP(G120,list!$J$48:$L$50,2,FALSE)),time*(1-(VLOOKUP(Inputs!G120,list!$J$48:$L$50,2,FALSE))))</f>
        <v/>
      </c>
      <c r="V120" s="4118">
        <f>MIN(L120,M120)*time+ABS(M120-L120)*IF(M120&gt;L120,time*(VLOOKUP(I120,list!$J$48:$L$50,2,FALSE)),time*(1-(VLOOKUP(Inputs!I120,list!$J$48:$L$50,2,FALSE))))</f>
        <v/>
      </c>
    </row>
    <row r="121">
      <c r="U121" s="4118" t="n"/>
      <c r="V121" s="4118" t="n"/>
    </row>
    <row r="122">
      <c r="B122" s="1281" t="inlineStr">
        <is>
          <t>Minor season crop</t>
        </is>
      </c>
      <c r="U122" s="4118" t="n"/>
      <c r="V122" s="4118" t="n"/>
    </row>
    <row r="123">
      <c r="B123" s="1246">
        <f>'9.Inputs'!BH86</f>
        <v/>
      </c>
      <c r="D123" s="4811">
        <f>'Energy DB'!AP14</f>
        <v/>
      </c>
      <c r="E123" s="992">
        <f>E117</f>
        <v/>
      </c>
      <c r="F123" s="992">
        <f>F117</f>
        <v/>
      </c>
      <c r="G123" s="992">
        <f>G117</f>
        <v/>
      </c>
      <c r="H123" s="992">
        <f>H117</f>
        <v/>
      </c>
      <c r="I123" s="992">
        <f>I117</f>
        <v/>
      </c>
      <c r="K123" s="992">
        <f>E123*$D123</f>
        <v/>
      </c>
      <c r="L123" s="992">
        <f>F123*$D123</f>
        <v/>
      </c>
      <c r="M123" s="992">
        <f>H123*D123</f>
        <v/>
      </c>
      <c r="O123" s="992">
        <f>IF('9.Inputs'!AL101="Electricity",(MIN(K123,L123)*time_tot+ABS(L123-K123)*IF(L123&gt;K123,time_cap+time*(VLOOKUP(G123,list!$J$47:$K$50,2,FALSE)),time*(1-(VLOOKUP(G123,list!$J$47:$K$50,2,FALSE)))))*(1+Inputs!$D$128),MIN(K123,L123)*time_tot+ABS(L123-K123)*IF(L123&gt;K123,time_cap+time*(VLOOKUP(G123,list!$J$47:$K$50,2,FALSE)),time*(1-(VLOOKUP(G123,list!$J$47:$K$50,2,FALSE)))))</f>
        <v/>
      </c>
      <c r="P123" s="992">
        <f>IF('9.Inputs'!AL101="Electricity",(MIN(K123,M123)*time_tot+ABS(M123-K123)*IF(M123&gt;K123,time_cap+time*(VLOOKUP(I123,list!$J$47:$K$50,2,FALSE)),time*(1-(VLOOKUP(I123,list!$J$47:$K$50,2,FALSE)))))*(1+Inputs!$D$128),MIN(K123,M123)*time_tot+ABS(M123-K123)*IF(M123&gt;K123,time_cap+time*(VLOOKUP(I123,list!$J$47:$K$50,2,FALSE)),time*(1-(VLOOKUP(I123,list!$J$47:$K$50,2,FALSE)))))</f>
        <v/>
      </c>
      <c r="Q123" s="992">
        <f>P123-O123</f>
        <v/>
      </c>
      <c r="U123" s="4118">
        <f>MIN(K123,L123)*time+ABS(L123-K123)*IF(L123&gt;K123,time*(VLOOKUP(G123,list!$J$48:$L$50,2,FALSE)),time*(1-(VLOOKUP(Inputs!G123,list!$J$48:$L$50,2,FALSE))))</f>
        <v/>
      </c>
      <c r="V123" s="4118">
        <f>MIN(L123,M123)*time+ABS(M123-L123)*IF(M123&gt;L123,time*(VLOOKUP(I123,list!$J$48:$L$50,2,FALSE)),time*(1-(VLOOKUP(Inputs!I123,list!$J$48:$L$50,2,FALSE))))</f>
        <v/>
      </c>
    </row>
    <row r="124">
      <c r="B124" s="1246">
        <f>'9.Inputs'!BH87</f>
        <v/>
      </c>
      <c r="D124" s="4811">
        <f>'Energy DB'!AP15</f>
        <v/>
      </c>
      <c r="E124" s="992">
        <f>E118</f>
        <v/>
      </c>
      <c r="F124" s="992">
        <f>F118</f>
        <v/>
      </c>
      <c r="G124" s="992">
        <f>G118</f>
        <v/>
      </c>
      <c r="H124" s="992">
        <f>H118</f>
        <v/>
      </c>
      <c r="I124" s="992">
        <f>I118</f>
        <v/>
      </c>
      <c r="K124" s="992">
        <f>E124*$D124</f>
        <v/>
      </c>
      <c r="L124" s="992">
        <f>F124*$D124</f>
        <v/>
      </c>
      <c r="M124" s="992">
        <f>H124*D124</f>
        <v/>
      </c>
      <c r="O124" s="992">
        <f>IF('9.Inputs'!AL102="Electricity",(MIN(K124,L124)*time_tot+ABS(L124-K124)*IF(L124&gt;K124,time_cap+time*(VLOOKUP(G124,list!$J$47:$K$50,2,FALSE)),time*(1-(VLOOKUP(G124,list!$J$47:$K$50,2,FALSE)))))*(1+Inputs!$D$128),MIN(K124,L124)*time_tot+ABS(L124-K124)*IF(L124&gt;K124,time_cap+time*(VLOOKUP(G124,list!$J$47:$K$50,2,FALSE)),time*(1-(VLOOKUP(G124,list!$J$47:$K$50,2,FALSE)))))</f>
        <v/>
      </c>
      <c r="P124" s="992">
        <f>IF('9.Inputs'!AL102="Electricity",(MIN(K124,M124)*time_tot+ABS(M124-K124)*IF(M124&gt;K124,time_cap+time*(VLOOKUP(I124,list!$J$47:$K$50,2,FALSE)),time*(1-(VLOOKUP(I124,list!$J$47:$K$50,2,FALSE)))))*(1+Inputs!$D$128),MIN(K124,M124)*time_tot+ABS(M124-K124)*IF(M124&gt;K124,time_cap+time*(VLOOKUP(I124,list!$J$47:$K$50,2,FALSE)),time*(1-(VLOOKUP(I124,list!$J$47:$K$50,2,FALSE)))))</f>
        <v/>
      </c>
      <c r="Q124" s="992">
        <f>P124-O124</f>
        <v/>
      </c>
      <c r="U124" s="4118">
        <f>MIN(K124,L124)*time+ABS(L124-K124)*IF(L124&gt;K124,time*(VLOOKUP(G124,list!$J$48:$L$50,2,FALSE)),time*(1-(VLOOKUP(Inputs!G124,list!$J$48:$L$50,2,FALSE))))</f>
        <v/>
      </c>
      <c r="V124" s="4118">
        <f>MIN(L124,M124)*time+ABS(M124-L124)*IF(M124&gt;L124,time*(VLOOKUP(I124,list!$J$48:$L$50,2,FALSE)),time*(1-(VLOOKUP(Inputs!I124,list!$J$48:$L$50,2,FALSE))))</f>
        <v/>
      </c>
    </row>
    <row r="125">
      <c r="B125" s="1246">
        <f>'9.Inputs'!BH88</f>
        <v/>
      </c>
      <c r="D125" s="4811">
        <f>'Energy DB'!AP16</f>
        <v/>
      </c>
      <c r="E125" s="992">
        <f>E119</f>
        <v/>
      </c>
      <c r="F125" s="992">
        <f>F119</f>
        <v/>
      </c>
      <c r="G125" s="992">
        <f>G119</f>
        <v/>
      </c>
      <c r="H125" s="992">
        <f>H119</f>
        <v/>
      </c>
      <c r="I125" s="992">
        <f>I119</f>
        <v/>
      </c>
      <c r="K125" s="992">
        <f>E125*$D125</f>
        <v/>
      </c>
      <c r="L125" s="992">
        <f>F125*$D125</f>
        <v/>
      </c>
      <c r="M125" s="992">
        <f>H125*D125</f>
        <v/>
      </c>
      <c r="O125" s="992">
        <f>IF('9.Inputs'!AL103="Electricity",(MIN(K125,L125)*time_tot+ABS(L125-K125)*IF(L125&gt;K125,time_cap+time*(VLOOKUP(G125,list!$J$47:$K$50,2,FALSE)),time*(1-(VLOOKUP(G125,list!$J$47:$K$50,2,FALSE)))))*(1+Inputs!$D$128),MIN(K125,L125)*time_tot+ABS(L125-K125)*IF(L125&gt;K125,time_cap+time*(VLOOKUP(G125,list!$J$47:$K$50,2,FALSE)),time*(1-(VLOOKUP(G125,list!$J$47:$K$50,2,FALSE)))))</f>
        <v/>
      </c>
      <c r="P125" s="992">
        <f>IF('9.Inputs'!AL103="Electricity",(MIN(K125,M125)*time_tot+ABS(M125-K125)*IF(M125&gt;K125,time_cap+time*(VLOOKUP(I125,list!$J$47:$K$50,2,FALSE)),time*(1-(VLOOKUP(I125,list!$J$47:$K$50,2,FALSE)))))*(1+Inputs!$D$128),MIN(K125,M125)*time_tot+ABS(M125-K125)*IF(M125&gt;K125,time_cap+time*(VLOOKUP(I125,list!$J$47:$K$50,2,FALSE)),time*(1-(VLOOKUP(I125,list!$J$47:$K$50,2,FALSE)))))</f>
        <v/>
      </c>
      <c r="Q125" s="992">
        <f>P125-O125</f>
        <v/>
      </c>
      <c r="U125" s="4118">
        <f>MIN(K125,L125)*time+ABS(L125-K125)*IF(L125&gt;K125,time*(VLOOKUP(G125,list!$J$48:$L$50,2,FALSE)),time*(1-(VLOOKUP(Inputs!G125,list!$J$48:$L$50,2,FALSE))))</f>
        <v/>
      </c>
      <c r="V125" s="4118">
        <f>MIN(L125,M125)*time+ABS(M125-L125)*IF(M125&gt;L125,time*(VLOOKUP(I125,list!$J$48:$L$50,2,FALSE)),time*(1-(VLOOKUP(Inputs!I125,list!$J$48:$L$50,2,FALSE))))</f>
        <v/>
      </c>
    </row>
    <row r="126">
      <c r="B126" s="1246">
        <f>'9.Inputs'!BH89</f>
        <v/>
      </c>
      <c r="D126" s="4811">
        <f>'Energy DB'!AP17</f>
        <v/>
      </c>
      <c r="E126" s="992">
        <f>E120</f>
        <v/>
      </c>
      <c r="F126" s="992">
        <f>F120</f>
        <v/>
      </c>
      <c r="G126" s="992">
        <f>G120</f>
        <v/>
      </c>
      <c r="H126" s="992">
        <f>H120</f>
        <v/>
      </c>
      <c r="I126" s="992">
        <f>I120</f>
        <v/>
      </c>
      <c r="K126" s="992">
        <f>E126*$D126</f>
        <v/>
      </c>
      <c r="L126" s="992">
        <f>F126*$D126</f>
        <v/>
      </c>
      <c r="M126" s="992">
        <f>H126*D126</f>
        <v/>
      </c>
      <c r="O126" s="992">
        <f>IF('9.Inputs'!AL104="Electricity",(MIN(K126,L126)*time_tot+ABS(L126-K126)*IF(L126&gt;K126,time_cap+time*(VLOOKUP(G126,list!$J$47:$K$50,2,FALSE)),time*(1-(VLOOKUP(G126,list!$J$47:$K$50,2,FALSE)))))*(1+Inputs!$D$128),MIN(K126,L126)*time_tot+ABS(L126-K126)*IF(L126&gt;K126,time_cap+time*(VLOOKUP(G126,list!$J$47:$K$50,2,FALSE)),time*(1-(VLOOKUP(G126,list!$J$47:$K$50,2,FALSE)))))</f>
        <v/>
      </c>
      <c r="P126" s="992">
        <f>IF('9.Inputs'!AL104="Electricity",(MIN(K126,M126)*time_tot+ABS(M126-K126)*IF(M126&gt;K126,time_cap+time*(VLOOKUP(I126,list!$J$47:$K$50,2,FALSE)),time*(1-(VLOOKUP(I126,list!$J$47:$K$50,2,FALSE)))))*(1+Inputs!$D$128),MIN(K126,M126)*time_tot+ABS(M126-K126)*IF(M126&gt;K126,time_cap+time*(VLOOKUP(I126,list!$J$47:$K$50,2,FALSE)),time*(1-(VLOOKUP(I126,list!$J$47:$K$50,2,FALSE)))))</f>
        <v/>
      </c>
      <c r="Q126" s="992">
        <f>P126-O126</f>
        <v/>
      </c>
      <c r="U126" s="4118">
        <f>MIN(K126,L126)*time+ABS(L126-K126)*IF(L126&gt;K126,time*(VLOOKUP(G126,list!$J$48:$L$50,2,FALSE)),time*(1-(VLOOKUP(Inputs!G126,list!$J$48:$L$50,2,FALSE))))</f>
        <v/>
      </c>
      <c r="V126" s="4118">
        <f>MIN(L126,M126)*time+ABS(M126-L126)*IF(M126&gt;L126,time*(VLOOKUP(I126,list!$J$48:$L$50,2,FALSE)),time*(1-(VLOOKUP(Inputs!I126,list!$J$48:$L$50,2,FALSE))))</f>
        <v/>
      </c>
    </row>
    <row r="127">
      <c r="B127" s="1246" t="n"/>
      <c r="D127" s="4811" t="n"/>
      <c r="E127" s="992" t="n"/>
      <c r="F127" s="992" t="n"/>
      <c r="G127" s="992" t="n"/>
      <c r="H127" s="992" t="n"/>
      <c r="I127" s="992" t="n"/>
      <c r="K127" s="992" t="n"/>
      <c r="L127" s="992" t="n"/>
      <c r="M127" s="992" t="n"/>
      <c r="O127" s="992" t="n"/>
      <c r="P127" s="992" t="n"/>
      <c r="Q127" s="992" t="n"/>
    </row>
    <row r="128">
      <c r="B128" s="1246">
        <f>Languages!B471</f>
        <v/>
      </c>
      <c r="C128" s="1070">
        <f>'9.Inputs'!AP91</f>
        <v/>
      </c>
      <c r="D128" s="1580">
        <f>IF('9.Inputs'!AQ91="",'9.Inputs'!AP91,'9.Inputs'!AQ91)</f>
        <v/>
      </c>
      <c r="E128" s="992" t="n"/>
      <c r="F128" s="992" t="n"/>
      <c r="G128" s="992" t="n"/>
      <c r="H128" s="992" t="n"/>
      <c r="I128" s="992" t="n"/>
      <c r="K128" s="992" t="n"/>
      <c r="L128" s="992" t="n"/>
      <c r="M128" s="992" t="n"/>
      <c r="O128" s="992" t="n"/>
      <c r="P128" s="992" t="n"/>
      <c r="Q128" s="992" t="n"/>
    </row>
    <row r="129">
      <c r="W129" s="3154">
        <f>SUM(V110:V126)-SUM(U110:U126)</f>
        <v/>
      </c>
    </row>
    <row r="130">
      <c r="I130" s="3489" t="inlineStr">
        <is>
          <t>Sub-Total</t>
        </is>
      </c>
      <c r="J130" s="3489" t="n"/>
      <c r="K130" s="3490">
        <f>SUM(K110:K126)</f>
        <v/>
      </c>
      <c r="L130" s="3490">
        <f>SUM(L110:L126)</f>
        <v/>
      </c>
      <c r="M130" s="3490">
        <f>SUM(M110:M126)</f>
        <v/>
      </c>
      <c r="N130" s="3490" t="n"/>
      <c r="O130" s="3490">
        <f>SUM(O110:O126)</f>
        <v/>
      </c>
      <c r="P130" s="3490">
        <f>SUM(P110:P126)</f>
        <v/>
      </c>
      <c r="Q130" s="993">
        <f>SUM(Q110:Q126)</f>
        <v/>
      </c>
    </row>
    <row r="133" ht="18" customHeight="1">
      <c r="I133" s="1005" t="inlineStr">
        <is>
          <t>Total irrigation</t>
        </is>
      </c>
      <c r="J133" s="1005" t="n"/>
      <c r="K133" s="1005" t="n"/>
      <c r="L133" s="1005" t="n"/>
      <c r="M133" s="1005" t="n"/>
      <c r="N133" s="1005" t="n"/>
      <c r="O133" s="1006">
        <f>O130</f>
        <v/>
      </c>
      <c r="P133" s="1006">
        <f>P130</f>
        <v/>
      </c>
      <c r="Q133" s="1006">
        <f>Q130</f>
        <v/>
      </c>
    </row>
    <row r="135" ht="47.25" customHeight="1">
      <c r="A135" s="975" t="n"/>
      <c r="B135" s="975" t="inlineStr">
        <is>
          <t>Computations for CO2 eq emissions from infrastructures</t>
        </is>
      </c>
      <c r="C135" s="975" t="n"/>
      <c r="D135" s="975" t="n"/>
      <c r="E135" s="975" t="n"/>
      <c r="F135" s="975" t="n"/>
      <c r="G135" s="975" t="n"/>
      <c r="H135" s="975" t="n"/>
      <c r="I135" s="975" t="n"/>
      <c r="J135" s="975" t="n"/>
      <c r="K135" s="975" t="n"/>
      <c r="L135" s="975" t="n"/>
      <c r="M135" s="975" t="n"/>
      <c r="N135" s="975" t="n"/>
      <c r="O135" s="975" t="n"/>
      <c r="P135" s="975" t="n"/>
      <c r="Q135" s="975" t="n"/>
      <c r="R135" s="975" t="n"/>
      <c r="X135" s="974" t="n"/>
      <c r="Y135" s="974" t="n"/>
    </row>
    <row r="136">
      <c r="E136" s="973" t="inlineStr">
        <is>
          <t>Surface (m2)</t>
        </is>
      </c>
      <c r="K136" s="973" t="inlineStr">
        <is>
          <t>Emissions (tCO2 eq) per year</t>
        </is>
      </c>
      <c r="O136" s="973" t="inlineStr">
        <is>
          <t xml:space="preserve">Total Emissions (tCO2 eq) </t>
        </is>
      </c>
      <c r="X136" s="974" t="n"/>
      <c r="Y136" s="974" t="n"/>
    </row>
    <row r="137">
      <c r="C137" s="973">
        <f>C107</f>
        <v/>
      </c>
      <c r="D137" s="973">
        <f>D107</f>
        <v/>
      </c>
      <c r="E137" s="976" t="inlineStr">
        <is>
          <t>Ha</t>
        </is>
      </c>
      <c r="F137" s="977">
        <f>E137</f>
        <v/>
      </c>
      <c r="G137" s="978" t="n"/>
      <c r="H137" s="998">
        <f>F137</f>
        <v/>
      </c>
      <c r="I137" s="978" t="n"/>
      <c r="K137" s="979" t="n"/>
      <c r="L137" s="979" t="n"/>
      <c r="M137" s="979" t="n"/>
      <c r="O137" s="979" t="n"/>
      <c r="P137" s="979" t="n"/>
      <c r="Q137" s="979" t="n"/>
      <c r="X137" s="974" t="n"/>
      <c r="Y137" s="974" t="n"/>
    </row>
    <row r="138">
      <c r="C138" s="973">
        <f>C108</f>
        <v/>
      </c>
      <c r="D138" s="973">
        <f>D108</f>
        <v/>
      </c>
      <c r="E138" s="980" t="inlineStr">
        <is>
          <t xml:space="preserve">Start </t>
        </is>
      </c>
      <c r="F138" s="994" t="inlineStr">
        <is>
          <t xml:space="preserve">Without project </t>
        </is>
      </c>
      <c r="G138" s="999" t="n"/>
      <c r="H138" s="1000" t="inlineStr">
        <is>
          <t xml:space="preserve">With project </t>
        </is>
      </c>
      <c r="I138" s="982" t="n"/>
      <c r="K138" s="980" t="inlineStr">
        <is>
          <t>Start</t>
        </is>
      </c>
      <c r="L138" s="994" t="inlineStr">
        <is>
          <t>Without</t>
        </is>
      </c>
      <c r="M138" s="1000" t="inlineStr">
        <is>
          <t>With</t>
        </is>
      </c>
      <c r="O138" s="994" t="inlineStr">
        <is>
          <t>Without</t>
        </is>
      </c>
      <c r="P138" s="1000" t="inlineStr">
        <is>
          <t>With</t>
        </is>
      </c>
      <c r="Q138" s="979" t="inlineStr">
        <is>
          <t>Difference</t>
        </is>
      </c>
      <c r="U138" s="973" t="inlineStr">
        <is>
          <t>IMPLEMENTATION PHASE</t>
        </is>
      </c>
      <c r="V138" s="973" t="n"/>
      <c r="X138" s="974" t="n"/>
      <c r="Y138" s="974" t="n"/>
    </row>
    <row r="139" ht="15" customHeight="1">
      <c r="B139" s="973" t="inlineStr">
        <is>
          <t>Buildings and roads</t>
        </is>
      </c>
      <c r="C139" s="973" t="inlineStr">
        <is>
          <t>tCO2eq/m2</t>
        </is>
      </c>
      <c r="E139" s="980" t="n"/>
      <c r="F139" s="986" t="inlineStr">
        <is>
          <t>End</t>
        </is>
      </c>
      <c r="G139" s="987" t="inlineStr">
        <is>
          <t>Rate</t>
        </is>
      </c>
      <c r="H139" s="988" t="inlineStr">
        <is>
          <t>End</t>
        </is>
      </c>
      <c r="I139" s="988" t="inlineStr">
        <is>
          <t>Rate</t>
        </is>
      </c>
      <c r="K139" s="989" t="n"/>
      <c r="L139" s="990" t="n"/>
      <c r="M139" s="991" t="n"/>
      <c r="O139" s="990" t="n"/>
      <c r="P139" s="991" t="n"/>
      <c r="Q139" s="979" t="n"/>
      <c r="U139" s="1102" t="inlineStr">
        <is>
          <t>WITHOUT</t>
        </is>
      </c>
      <c r="V139" s="1103" t="inlineStr">
        <is>
          <t>WITH</t>
        </is>
      </c>
      <c r="X139" s="974" t="n"/>
      <c r="Y139" s="974" t="n"/>
    </row>
    <row r="140">
      <c r="B140" s="973">
        <f>'9.Inputs'!C109</f>
        <v/>
      </c>
      <c r="C140" s="4720">
        <f>IF(B140="Please select",0,VLOOKUP(Inputs!B140,'Energy DB'!$A$26:$B$45,2,)/1000)</f>
        <v/>
      </c>
      <c r="D140" s="4810">
        <f>IF('9.Inputs'!AN109="",'9.Inputs'!AM109,'9.Inputs'!AN109)</f>
        <v/>
      </c>
      <c r="F140" s="992">
        <f>'9.Inputs'!E109</f>
        <v/>
      </c>
      <c r="G140" s="1688" t="n"/>
      <c r="H140" s="992">
        <f>'9.Inputs'!G109</f>
        <v/>
      </c>
      <c r="L140" s="992">
        <f>F140*$D140</f>
        <v/>
      </c>
      <c r="M140" s="992">
        <f>H140*$D140</f>
        <v/>
      </c>
      <c r="O140" s="992">
        <f>L140</f>
        <v/>
      </c>
      <c r="P140" s="992">
        <f>M140</f>
        <v/>
      </c>
      <c r="Q140" s="992">
        <f>P140-O140</f>
        <v/>
      </c>
      <c r="U140" s="992">
        <f>O140</f>
        <v/>
      </c>
      <c r="V140" s="992">
        <f>P140</f>
        <v/>
      </c>
    </row>
    <row r="141">
      <c r="B141" s="973">
        <f>'9.Inputs'!C110</f>
        <v/>
      </c>
      <c r="C141" s="4720">
        <f>IF(B141="Please select",0,VLOOKUP(Inputs!B141,'Energy DB'!$A$26:$B$45,2,)/1000)</f>
        <v/>
      </c>
      <c r="D141" s="4810">
        <f>IF('9.Inputs'!AN110="",'9.Inputs'!AM110,'9.Inputs'!AN110)</f>
        <v/>
      </c>
      <c r="F141" s="992">
        <f>'9.Inputs'!E110</f>
        <v/>
      </c>
      <c r="G141" s="1688" t="n"/>
      <c r="H141" s="992">
        <f>'9.Inputs'!G110</f>
        <v/>
      </c>
      <c r="L141" s="992">
        <f>F141*$D141</f>
        <v/>
      </c>
      <c r="M141" s="992">
        <f>H141*$D141</f>
        <v/>
      </c>
      <c r="O141" s="992">
        <f>L141</f>
        <v/>
      </c>
      <c r="P141" s="992">
        <f>M141</f>
        <v/>
      </c>
      <c r="Q141" s="992">
        <f>P141-O141</f>
        <v/>
      </c>
      <c r="U141" s="992">
        <f>O141</f>
        <v/>
      </c>
      <c r="V141" s="992">
        <f>P141</f>
        <v/>
      </c>
    </row>
    <row r="142">
      <c r="B142" s="973">
        <f>'9.Inputs'!C111</f>
        <v/>
      </c>
      <c r="C142" s="4720">
        <f>IF(B142="Please select",0,VLOOKUP(Inputs!B142,'Energy DB'!$A$26:$B$45,2,)/1000)</f>
        <v/>
      </c>
      <c r="D142" s="4810">
        <f>IF('9.Inputs'!AN111="",'9.Inputs'!AM111,'9.Inputs'!AN111)</f>
        <v/>
      </c>
      <c r="F142" s="992">
        <f>'9.Inputs'!E111</f>
        <v/>
      </c>
      <c r="G142" s="1688" t="n"/>
      <c r="H142" s="992">
        <f>'9.Inputs'!G111</f>
        <v/>
      </c>
      <c r="L142" s="992">
        <f>F142*$D142</f>
        <v/>
      </c>
      <c r="M142" s="992">
        <f>H142*$D142</f>
        <v/>
      </c>
      <c r="O142" s="992">
        <f>L142</f>
        <v/>
      </c>
      <c r="P142" s="992">
        <f>M142</f>
        <v/>
      </c>
      <c r="Q142" s="992">
        <f>P142-O142</f>
        <v/>
      </c>
      <c r="U142" s="992">
        <f>O142</f>
        <v/>
      </c>
      <c r="V142" s="992">
        <f>P142</f>
        <v/>
      </c>
    </row>
    <row r="143">
      <c r="B143" s="973">
        <f>'9.Inputs'!C112</f>
        <v/>
      </c>
      <c r="C143" s="4720">
        <f>IF(B143="Please select",0,VLOOKUP(Inputs!B143,'Energy DB'!$A$26:$B$45,2,)/1000)</f>
        <v/>
      </c>
      <c r="D143" s="4810">
        <f>IF('9.Inputs'!AN112="",'9.Inputs'!AM112,'9.Inputs'!AN112)</f>
        <v/>
      </c>
      <c r="F143" s="992">
        <f>'9.Inputs'!E112</f>
        <v/>
      </c>
      <c r="G143" s="1688" t="n"/>
      <c r="H143" s="992">
        <f>'9.Inputs'!G112</f>
        <v/>
      </c>
      <c r="L143" s="992">
        <f>F143*$D143</f>
        <v/>
      </c>
      <c r="M143" s="992">
        <f>H143*$D143</f>
        <v/>
      </c>
      <c r="O143" s="992">
        <f>L143</f>
        <v/>
      </c>
      <c r="P143" s="992">
        <f>M143</f>
        <v/>
      </c>
      <c r="Q143" s="992">
        <f>P143-O143</f>
        <v/>
      </c>
      <c r="U143" s="992">
        <f>O143</f>
        <v/>
      </c>
      <c r="V143" s="992">
        <f>P143</f>
        <v/>
      </c>
    </row>
    <row r="144">
      <c r="B144" s="973">
        <f>'9.Inputs'!C113</f>
        <v/>
      </c>
      <c r="C144" s="4720">
        <f>IF(B144="Please select",0,VLOOKUP(Inputs!B144,'Energy DB'!$A$26:$B$45,2,)/1000)</f>
        <v/>
      </c>
      <c r="D144" s="4810">
        <f>IF('9.Inputs'!AN113="",'9.Inputs'!AM113,'9.Inputs'!AN113)</f>
        <v/>
      </c>
      <c r="F144" s="992">
        <f>'9.Inputs'!E113</f>
        <v/>
      </c>
      <c r="H144" s="992">
        <f>'9.Inputs'!G113</f>
        <v/>
      </c>
      <c r="L144" s="992">
        <f>F144*$D144</f>
        <v/>
      </c>
      <c r="M144" s="992">
        <f>H144*$D144</f>
        <v/>
      </c>
      <c r="O144" s="992">
        <f>L144</f>
        <v/>
      </c>
      <c r="P144" s="992">
        <f>M144</f>
        <v/>
      </c>
      <c r="Q144" s="992">
        <f>P144-O144</f>
        <v/>
      </c>
      <c r="W144" s="3154">
        <f>SUM(V140:V143)-SUM(U140:U143)</f>
        <v/>
      </c>
    </row>
    <row r="145">
      <c r="B145" s="973">
        <f>'9.Inputs'!C114</f>
        <v/>
      </c>
      <c r="C145" s="4720">
        <f>IF(B145="Please select",0,VLOOKUP(Inputs!B145,'Energy DB'!$A$26:$B$45,2,)/1000)</f>
        <v/>
      </c>
      <c r="D145" s="4810">
        <f>IF('9.Inputs'!AN114="",'9.Inputs'!AM114,'9.Inputs'!AN114)</f>
        <v/>
      </c>
      <c r="F145" s="992">
        <f>'9.Inputs'!E114</f>
        <v/>
      </c>
      <c r="H145" s="992">
        <f>'9.Inputs'!G114</f>
        <v/>
      </c>
      <c r="L145" s="992">
        <f>F145*$D145</f>
        <v/>
      </c>
      <c r="M145" s="992">
        <f>H145*$D145</f>
        <v/>
      </c>
      <c r="O145" s="992">
        <f>L145</f>
        <v/>
      </c>
      <c r="P145" s="992">
        <f>M145</f>
        <v/>
      </c>
      <c r="Q145" s="992">
        <f>P145-O145</f>
        <v/>
      </c>
    </row>
    <row r="146">
      <c r="B146" s="973">
        <f>'9.Inputs'!C115</f>
        <v/>
      </c>
      <c r="C146" s="4720">
        <f>IF(B146="Please select",0,VLOOKUP(Inputs!B146,'Energy DB'!$A$26:$B$45,2,)/1000)</f>
        <v/>
      </c>
      <c r="D146" s="4810">
        <f>IF('9.Inputs'!AN115="",'9.Inputs'!AM115,'9.Inputs'!AN115)</f>
        <v/>
      </c>
      <c r="F146" s="992">
        <f>'9.Inputs'!E115</f>
        <v/>
      </c>
      <c r="H146" s="992">
        <f>'9.Inputs'!G115</f>
        <v/>
      </c>
      <c r="L146" s="992">
        <f>F146*$D146</f>
        <v/>
      </c>
      <c r="M146" s="992">
        <f>H146*$D146</f>
        <v/>
      </c>
      <c r="O146" s="992">
        <f>L146</f>
        <v/>
      </c>
      <c r="P146" s="992">
        <f>M146</f>
        <v/>
      </c>
      <c r="Q146" s="992">
        <f>P146-O146</f>
        <v/>
      </c>
    </row>
    <row r="147">
      <c r="B147" s="973">
        <f>'9.Inputs'!C116</f>
        <v/>
      </c>
      <c r="C147" s="4720">
        <f>IF(B147="Please select",0,VLOOKUP(Inputs!B147,'Energy DB'!$A$26:$B$45,2,)/1000)</f>
        <v/>
      </c>
      <c r="D147" s="4810">
        <f>IF('9.Inputs'!AN116="",'9.Inputs'!AM116,'9.Inputs'!AN116)</f>
        <v/>
      </c>
      <c r="F147" s="992">
        <f>'9.Inputs'!E116</f>
        <v/>
      </c>
      <c r="H147" s="992">
        <f>'9.Inputs'!G116</f>
        <v/>
      </c>
      <c r="L147" s="992">
        <f>F147*$D147</f>
        <v/>
      </c>
      <c r="M147" s="992">
        <f>H147*$D147</f>
        <v/>
      </c>
      <c r="O147" s="992">
        <f>L147</f>
        <v/>
      </c>
      <c r="P147" s="992">
        <f>M147</f>
        <v/>
      </c>
      <c r="Q147" s="992">
        <f>P147-O147</f>
        <v/>
      </c>
    </row>
    <row r="148">
      <c r="B148" s="973">
        <f>'9.Inputs'!C117</f>
        <v/>
      </c>
      <c r="C148" s="4720">
        <f>IF(B148="Please select",0,VLOOKUP(Inputs!B148,'Energy DB'!$A$26:$B$45,2,)/1000)</f>
        <v/>
      </c>
      <c r="D148" s="4810">
        <f>IF('9.Inputs'!AN117="",'9.Inputs'!AM117,'9.Inputs'!AN117)</f>
        <v/>
      </c>
      <c r="F148" s="992">
        <f>'9.Inputs'!E117</f>
        <v/>
      </c>
      <c r="H148" s="992">
        <f>'9.Inputs'!G117</f>
        <v/>
      </c>
      <c r="L148" s="992">
        <f>F148*$D148</f>
        <v/>
      </c>
      <c r="M148" s="992">
        <f>H148*$D148</f>
        <v/>
      </c>
      <c r="O148" s="992">
        <f>L148</f>
        <v/>
      </c>
      <c r="P148" s="992">
        <f>M148</f>
        <v/>
      </c>
      <c r="Q148" s="992">
        <f>P148-O148</f>
        <v/>
      </c>
    </row>
    <row r="149">
      <c r="B149" s="973">
        <f>'9.Inputs'!C118</f>
        <v/>
      </c>
      <c r="C149" s="4720">
        <f>IF(B149="Please select",0,VLOOKUP(Inputs!B149,'Energy DB'!$A$26:$B$45,2,)/1000)</f>
        <v/>
      </c>
      <c r="D149" s="4810">
        <f>IF('9.Inputs'!AN118="",'9.Inputs'!AM118,'9.Inputs'!AN118)</f>
        <v/>
      </c>
      <c r="F149" s="992">
        <f>'9.Inputs'!E118</f>
        <v/>
      </c>
      <c r="H149" s="992">
        <f>'9.Inputs'!G118</f>
        <v/>
      </c>
      <c r="L149" s="992">
        <f>F149*$D149</f>
        <v/>
      </c>
      <c r="M149" s="992">
        <f>H149*$D149</f>
        <v/>
      </c>
      <c r="O149" s="992">
        <f>L149</f>
        <v/>
      </c>
      <c r="P149" s="992">
        <f>M149</f>
        <v/>
      </c>
      <c r="Q149" s="992">
        <f>P149-O149</f>
        <v/>
      </c>
    </row>
    <row r="151">
      <c r="I151" s="3489" t="inlineStr">
        <is>
          <t>Sub-Total</t>
        </is>
      </c>
      <c r="J151" s="3489" t="n"/>
      <c r="K151" s="3490" t="n"/>
      <c r="L151" s="3490">
        <f>SUM(L140:L143)</f>
        <v/>
      </c>
      <c r="M151" s="3490">
        <f>SUM(M140:M143)</f>
        <v/>
      </c>
      <c r="N151" s="3490" t="n"/>
      <c r="O151" s="3490">
        <f>SUM(O140:O149)</f>
        <v/>
      </c>
      <c r="P151" s="3490">
        <f>SUM(P140:P149)</f>
        <v/>
      </c>
      <c r="Q151" s="993">
        <f>SUM(Q140:Q149)</f>
        <v/>
      </c>
    </row>
    <row r="153" ht="18" customHeight="1">
      <c r="I153" s="1005" t="inlineStr">
        <is>
          <t>Total buildings and roads</t>
        </is>
      </c>
      <c r="J153" s="1005" t="n"/>
      <c r="K153" s="1005" t="n"/>
      <c r="L153" s="1005" t="n"/>
      <c r="M153" s="1005" t="n"/>
      <c r="N153" s="1005" t="n"/>
      <c r="O153" s="1006">
        <f>O151</f>
        <v/>
      </c>
      <c r="P153" s="1006">
        <f>P151</f>
        <v/>
      </c>
      <c r="Q153" s="1006">
        <f>Q151</f>
        <v/>
      </c>
    </row>
  </sheetData>
  <dataValidations count="1">
    <dataValidation sqref="C79" showDropDown="0" showInputMessage="1" showErrorMessage="1" allowBlank="0" prompt="tCO2 eq/MWh"/>
  </dataValidations>
  <hyperlinks>
    <hyperlink ref="D1" location="Inputs!E83" display="Emissions from electricity"/>
  </hyperlinks>
  <pageMargins left="0.7" right="0.7" top="0.75" bottom="0.75" header="0.3" footer="0.3"/>
  <pageSetup orientation="portrait"/>
</worksheet>
</file>

<file path=xl/worksheets/sheet31.xml><?xml version="1.0" encoding="utf-8"?>
<worksheet xmlns:r="http://schemas.openxmlformats.org/officeDocument/2006/relationships" xmlns="http://schemas.openxmlformats.org/spreadsheetml/2006/main">
  <sheetPr codeName="Sheet32">
    <outlinePr summaryBelow="1" summaryRight="1"/>
    <pageSetUpPr/>
  </sheetPr>
  <dimension ref="A2:AS45"/>
  <sheetViews>
    <sheetView zoomScale="50" zoomScaleNormal="50" workbookViewId="0">
      <selection activeCell="H13" sqref="H13"/>
    </sheetView>
  </sheetViews>
  <sheetFormatPr baseColWidth="10" defaultColWidth="9.33203125" defaultRowHeight="15"/>
  <cols>
    <col width="30.5" bestFit="1" customWidth="1" style="284" min="1" max="1"/>
    <col width="25.6640625" bestFit="1" customWidth="1" style="284" min="2" max="2"/>
    <col width="9.33203125" customWidth="1" style="284" min="3" max="4"/>
    <col width="11.5" customWidth="1" style="284" min="5" max="5"/>
    <col width="9.33203125" customWidth="1" style="284" min="6" max="6"/>
    <col width="13.33203125" customWidth="1" style="284" min="7" max="7"/>
    <col width="12.5" customWidth="1" style="284" min="8" max="8"/>
    <col width="9.33203125" customWidth="1" style="284" min="9" max="9"/>
    <col width="11.5" customWidth="1" style="284" min="10" max="10"/>
    <col width="12.5" customWidth="1" style="284" min="11" max="11"/>
    <col width="12.33203125" customWidth="1" style="284" min="12" max="12"/>
    <col width="9.33203125" customWidth="1" style="284" min="13" max="14"/>
    <col width="24.5" customWidth="1" style="284" min="15" max="15"/>
    <col width="18.5" customWidth="1" style="284" min="16" max="16"/>
    <col width="9.33203125" customWidth="1" style="284" min="17" max="21"/>
    <col width="16.5" customWidth="1" style="284" min="22" max="22"/>
    <col width="13.5" customWidth="1" style="284" min="23" max="23"/>
    <col width="11.5" customWidth="1" style="284" min="24" max="24"/>
    <col width="15.5" customWidth="1" style="284" min="25" max="25"/>
    <col width="18.33203125" customWidth="1" style="284" min="26" max="26"/>
    <col width="18" customWidth="1" style="284" min="27" max="27"/>
    <col width="27.6640625" customWidth="1" style="284" min="28" max="28"/>
    <col width="9.33203125" customWidth="1" style="284" min="29" max="35"/>
    <col width="15.33203125" customWidth="1" style="284" min="36" max="36"/>
    <col width="14.5" customWidth="1" style="284" min="37" max="37"/>
    <col width="9.33203125" customWidth="1" style="284" min="38" max="38"/>
    <col width="16.6640625" customWidth="1" style="284" min="39" max="39"/>
    <col width="17.6640625" customWidth="1" style="284" min="40" max="40"/>
    <col width="24.5" customWidth="1" style="284" min="41" max="41"/>
    <col width="13" customWidth="1" style="284" min="42" max="42"/>
    <col width="16.5" customWidth="1" style="284" min="43" max="43"/>
    <col width="14.33203125" customWidth="1" style="284" min="44" max="44"/>
    <col width="9.33203125" customWidth="1" style="284" min="45" max="16384"/>
  </cols>
  <sheetData>
    <row r="2" ht="29.25" customFormat="1" customHeight="1" s="876">
      <c r="A2" s="4813" t="inlineStr">
        <is>
          <t>Installation of irrigation system</t>
        </is>
      </c>
      <c r="B2" s="362" t="n"/>
      <c r="C2" s="362" t="n"/>
      <c r="D2" s="362" t="n"/>
      <c r="E2" s="365" t="n"/>
      <c r="G2" s="877" t="inlineStr">
        <is>
          <t>Operational phase of irrigation systems</t>
        </is>
      </c>
      <c r="H2" s="878" t="n"/>
      <c r="I2" s="878" t="n"/>
      <c r="J2" s="879" t="n"/>
      <c r="K2" s="879" t="n"/>
      <c r="L2" s="879" t="n"/>
      <c r="O2" s="880" t="n"/>
      <c r="P2" s="881" t="n"/>
      <c r="Q2" s="881" t="n"/>
      <c r="R2" s="881" t="n"/>
      <c r="S2" s="882" t="n"/>
      <c r="V2" s="4602" t="n"/>
      <c r="Y2" s="879" t="n"/>
      <c r="AI2" s="883" t="n"/>
      <c r="AJ2" s="884" t="inlineStr">
        <is>
          <t>1 m3 on 1 meter</t>
        </is>
      </c>
      <c r="AK2" s="885" t="inlineStr">
        <is>
          <t>tCO2-eq/MWh</t>
        </is>
      </c>
    </row>
    <row r="3" ht="23" customFormat="1" customHeight="1" s="876">
      <c r="A3" s="926" t="inlineStr">
        <is>
          <t>from Lal 2004 Table 3</t>
        </is>
      </c>
      <c r="B3" s="4602" t="n"/>
      <c r="C3" s="4602" t="n"/>
      <c r="D3" s="4602" t="n"/>
      <c r="E3" s="887" t="n"/>
      <c r="G3" s="888" t="n"/>
      <c r="H3" s="4597" t="inlineStr">
        <is>
          <t>Fuel Stationary Chapter 2 IPCC 2006</t>
        </is>
      </c>
      <c r="I3" s="362" t="n"/>
      <c r="J3" s="362" t="n"/>
      <c r="K3" s="362" t="n"/>
      <c r="L3" s="362" t="n"/>
      <c r="M3" s="365" t="n"/>
      <c r="N3" s="4602" t="n"/>
      <c r="O3" s="889" t="n"/>
      <c r="Q3" s="890" t="inlineStr">
        <is>
          <t>Conversion bar to meter head</t>
        </is>
      </c>
      <c r="R3" s="876" t="n">
        <v>10.19</v>
      </c>
      <c r="S3" s="887" t="n"/>
      <c r="V3" s="891" t="n"/>
      <c r="X3" s="4464" t="inlineStr">
        <is>
          <t>NOT USED</t>
        </is>
      </c>
      <c r="Y3" s="3775" t="n"/>
      <c r="AI3" s="883" t="inlineStr">
        <is>
          <t>kWh</t>
        </is>
      </c>
      <c r="AJ3" s="885">
        <f>9.81/(3.6*10^6)*1000</f>
        <v/>
      </c>
      <c r="AK3" s="887" t="n"/>
      <c r="AM3" s="4814" t="inlineStr">
        <is>
          <t>Main and minor crop growing seasons</t>
        </is>
      </c>
    </row>
    <row r="4" ht="16" customFormat="1" customHeight="1" s="876">
      <c r="A4" s="889" t="n"/>
      <c r="E4" s="887" t="n"/>
      <c r="F4" s="892" t="n"/>
      <c r="G4" s="893" t="inlineStr">
        <is>
          <t xml:space="preserve">IPCC 2006 Volume 2. Energy </t>
        </is>
      </c>
      <c r="H4" s="894" t="n"/>
      <c r="I4" s="895" t="inlineStr">
        <is>
          <t>Table 1.2</t>
        </is>
      </c>
      <c r="J4" s="895" t="inlineStr">
        <is>
          <t>Table 2.5</t>
        </is>
      </c>
      <c r="K4" s="895" t="inlineStr">
        <is>
          <t>Table 2.5</t>
        </is>
      </c>
      <c r="L4" s="895" t="inlineStr">
        <is>
          <t>Table 2.5</t>
        </is>
      </c>
      <c r="M4" s="896" t="n"/>
      <c r="O4" s="897" t="inlineStr">
        <is>
          <t>Source: Energypedia 2020, FAO&amp;GIZ tool box</t>
        </is>
      </c>
      <c r="S4" s="887" t="n"/>
      <c r="U4" s="892" t="n"/>
      <c r="V4" s="898" t="n"/>
      <c r="W4" s="892" t="n"/>
      <c r="X4" s="899" t="n"/>
      <c r="AI4" s="900" t="inlineStr">
        <is>
          <t>MWh</t>
        </is>
      </c>
      <c r="AJ4" s="4815">
        <f>AJ3/10^3</f>
        <v/>
      </c>
      <c r="AK4" s="4816">
        <f>IF('9.Inputs'!K91="Please select", 0,VLOOKUP('9.Inputs'!K91,Elec!A2:E252,5,FALSE))</f>
        <v/>
      </c>
      <c r="AN4" s="879" t="n"/>
      <c r="AO4" s="879" t="n"/>
      <c r="AP4" s="879" t="n"/>
      <c r="AQ4" s="4598" t="inlineStr">
        <is>
          <t>tCO2-eq</t>
        </is>
      </c>
    </row>
    <row r="5" ht="28" customFormat="1" customHeight="1" s="876">
      <c r="A5" s="927" t="n"/>
      <c r="B5" s="903" t="n"/>
      <c r="C5" s="4602" t="n"/>
      <c r="D5" s="4602" t="n"/>
      <c r="E5" s="887" t="n"/>
      <c r="F5" s="892" t="n"/>
      <c r="G5" s="889" t="inlineStr">
        <is>
          <t>Fuel Type</t>
        </is>
      </c>
      <c r="H5" s="904" t="inlineStr">
        <is>
          <t>Emission factor</t>
        </is>
      </c>
      <c r="I5" s="905" t="inlineStr">
        <is>
          <t>Net calorific values</t>
        </is>
      </c>
      <c r="J5" s="906" t="inlineStr">
        <is>
          <t>CO2 emission</t>
        </is>
      </c>
      <c r="K5" s="907" t="inlineStr">
        <is>
          <t>CH4 emissions</t>
        </is>
      </c>
      <c r="L5" s="907" t="inlineStr">
        <is>
          <t>N2O emisisons</t>
        </is>
      </c>
      <c r="M5" s="896" t="inlineStr">
        <is>
          <t>Density</t>
        </is>
      </c>
      <c r="O5" s="908" t="inlineStr">
        <is>
          <t>Pressure requirement irrigation systems PR</t>
        </is>
      </c>
      <c r="P5" s="4602" t="n"/>
      <c r="S5" s="887" t="n"/>
      <c r="T5" s="3775" t="n"/>
      <c r="U5" s="4599" t="inlineStr">
        <is>
          <t>Main season crop
over the growing period</t>
        </is>
      </c>
      <c r="V5" s="341" t="n"/>
      <c r="W5" s="341" t="n"/>
      <c r="X5" s="341" t="n"/>
      <c r="Y5" s="341" t="n"/>
      <c r="Z5" s="341" t="n"/>
      <c r="AA5" s="341" t="n"/>
      <c r="AB5" s="879" t="n"/>
      <c r="AC5" s="4601" t="inlineStr">
        <is>
          <t>Surface in ha</t>
        </is>
      </c>
      <c r="AD5" s="341" t="n"/>
      <c r="AE5" s="341" t="n"/>
      <c r="AF5" s="341" t="n"/>
      <c r="AG5" s="341" t="n"/>
      <c r="AM5" s="892" t="inlineStr">
        <is>
          <t>A</t>
        </is>
      </c>
      <c r="AN5" s="892" t="inlineStr">
        <is>
          <t>B</t>
        </is>
      </c>
      <c r="AO5" s="892" t="inlineStr">
        <is>
          <t>C</t>
        </is>
      </c>
      <c r="AP5" s="895" t="inlineStr">
        <is>
          <t>D</t>
        </is>
      </c>
      <c r="AQ5" s="4602" t="inlineStr">
        <is>
          <t>WITHOUT PROJECT</t>
        </is>
      </c>
      <c r="AR5" s="909" t="inlineStr">
        <is>
          <t>WITH PROJECT</t>
        </is>
      </c>
    </row>
    <row r="6" ht="99" customFormat="1" customHeight="1" s="876">
      <c r="A6" s="928" t="inlineStr">
        <is>
          <t>Irrigation system</t>
        </is>
      </c>
      <c r="B6" s="895" t="inlineStr">
        <is>
          <t>kgCO2-e/ha</t>
        </is>
      </c>
      <c r="C6" s="4602" t="n"/>
      <c r="D6" s="4602" t="inlineStr">
        <is>
          <t>IRSS = Irrigation runoff return system</t>
        </is>
      </c>
      <c r="E6" s="887" t="n"/>
      <c r="F6" s="892" t="n"/>
      <c r="G6" s="900" t="inlineStr">
        <is>
          <t>Please select</t>
        </is>
      </c>
      <c r="H6" s="910" t="inlineStr">
        <is>
          <t>t CO2 Eq/m3</t>
        </is>
      </c>
      <c r="I6" s="911" t="inlineStr">
        <is>
          <t>(Tj/Gg)</t>
        </is>
      </c>
      <c r="J6" s="912" t="inlineStr">
        <is>
          <t>kg CO2/TJ</t>
        </is>
      </c>
      <c r="K6" s="912" t="inlineStr">
        <is>
          <t>kg CH4/TJ</t>
        </is>
      </c>
      <c r="L6" s="912" t="inlineStr">
        <is>
          <t>kg N2O/TJ</t>
        </is>
      </c>
      <c r="M6" s="913" t="inlineStr">
        <is>
          <t>kg/ m3</t>
        </is>
      </c>
      <c r="O6" s="889" t="inlineStr">
        <is>
          <t>Please select</t>
        </is>
      </c>
      <c r="P6" s="876" t="inlineStr">
        <is>
          <t>Initial denomination</t>
        </is>
      </c>
      <c r="Q6" s="895" t="inlineStr">
        <is>
          <t>Bar</t>
        </is>
      </c>
      <c r="R6" s="899" t="inlineStr">
        <is>
          <t>Avg Pressure</t>
        </is>
      </c>
      <c r="S6" s="914" t="inlineStr">
        <is>
          <t>head (m) corrected for friction with parameter 0.05</t>
        </is>
      </c>
      <c r="T6" s="3775" t="n"/>
      <c r="U6" s="3199" t="inlineStr">
        <is>
          <t>Crop</t>
        </is>
      </c>
      <c r="V6" s="4460" t="inlineStr">
        <is>
          <t>Average crop water need (mm/total growing period)</t>
        </is>
      </c>
      <c r="W6" s="4460" t="inlineStr">
        <is>
          <t>Average Total growing period (days)</t>
        </is>
      </c>
      <c r="X6" s="4460" t="inlineStr">
        <is>
          <t>Water need (l/ha/growing period)</t>
        </is>
      </c>
      <c r="Y6" s="4460" t="inlineStr">
        <is>
          <t>Average precipitation (P)
in litre/growing period/ha</t>
        </is>
      </c>
      <c r="Z6" s="4460" t="inlineStr">
        <is>
          <t>Effective precipitation (Pe)
in litre/growing period/ha</t>
        </is>
      </c>
      <c r="AA6" s="4460" t="inlineStr">
        <is>
          <t>Irrigation needed (IN)
in m3/ha/growing period</t>
        </is>
      </c>
      <c r="AB6" s="4465" t="inlineStr">
        <is>
          <t>Gross Water Irrigation Requirement (GWIR) in m3/ha/yr</t>
        </is>
      </c>
      <c r="AC6" s="4602" t="inlineStr">
        <is>
          <t>Start</t>
        </is>
      </c>
      <c r="AD6" s="4602" t="inlineStr">
        <is>
          <t>Without</t>
        </is>
      </c>
      <c r="AE6" s="4602" t="inlineStr">
        <is>
          <t>D</t>
        </is>
      </c>
      <c r="AF6" s="4602" t="inlineStr">
        <is>
          <t>With</t>
        </is>
      </c>
      <c r="AG6" s="4602" t="inlineStr">
        <is>
          <t>D</t>
        </is>
      </c>
      <c r="AK6" s="915" t="inlineStr">
        <is>
          <t>Erh (MWh or m3 to lift 1m3 of water)</t>
        </is>
      </c>
      <c r="AM6" s="909" t="inlineStr">
        <is>
          <t xml:space="preserve">Total energy (m3 or MWh per hectare) </t>
        </is>
      </c>
      <c r="AN6" s="909" t="inlineStr">
        <is>
          <t>A/ efficiency
(m3 or MWh per hectare)</t>
        </is>
      </c>
      <c r="AO6" s="909" t="inlineStr">
        <is>
          <t>B *(depth+Total Pressure head)
(in m3 or MWH per hectare)</t>
        </is>
      </c>
      <c r="AP6" s="909" t="inlineStr">
        <is>
          <t>C*tCO2-eq/MWh(m3)/ha</t>
        </is>
      </c>
      <c r="AQ6" s="892" t="inlineStr">
        <is>
          <t>D*surface*time_tot</t>
        </is>
      </c>
      <c r="AR6" s="892" t="inlineStr">
        <is>
          <t>D*surface*time_tot</t>
        </is>
      </c>
    </row>
    <row r="7" customFormat="1" s="921">
      <c r="A7" s="923" t="inlineStr">
        <is>
          <t>Please select</t>
        </is>
      </c>
      <c r="B7" s="917" t="n"/>
      <c r="E7" s="929" t="n"/>
      <c r="G7" s="920" t="inlineStr">
        <is>
          <t>Motor Gasoline</t>
        </is>
      </c>
      <c r="H7" s="4817">
        <f>(M7/10^9)*I7*(J7+K7*methane+L7*Nitrous)</f>
        <v/>
      </c>
      <c r="I7" s="918" t="n">
        <v>44.3</v>
      </c>
      <c r="J7" s="918" t="n">
        <v>69300</v>
      </c>
      <c r="K7" s="918" t="n">
        <v>10</v>
      </c>
      <c r="L7" s="918" t="n">
        <v>0.6</v>
      </c>
      <c r="M7" s="918" t="n">
        <v>741</v>
      </c>
      <c r="O7" s="923" t="inlineStr">
        <is>
          <t>Center-pivot sprinkler</t>
        </is>
      </c>
      <c r="P7" s="916" t="inlineStr">
        <is>
          <t>Pivot</t>
        </is>
      </c>
      <c r="Q7" s="924" t="inlineStr">
        <is>
          <t>1-3</t>
        </is>
      </c>
      <c r="R7" s="918">
        <f>AVERAGE(1,3)</f>
        <v/>
      </c>
      <c r="S7" s="925">
        <f>R7*$R$3*(1+0.05)</f>
        <v/>
      </c>
      <c r="T7" s="455" t="n"/>
      <c r="U7" s="4461">
        <f>'9.Inputs'!O86</f>
        <v/>
      </c>
      <c r="V7" s="3716">
        <f>INDEX('crop H2O'!$A$3:$J$25,MATCH(U7,'crop H2O'!$A$3:$A$25,0),MATCH('crop H2O'!$D$3,'crop H2O'!$A$3:$J$3,0))</f>
        <v/>
      </c>
      <c r="W7" s="3716">
        <f>IF(U7="Please select",0,INDEX('crop H2O'!$A$3:$J$25,MATCH(U7,'crop H2O'!$A$3:$A$25,0),MATCH('crop H2O'!$E$3,'crop H2O'!$A$3:$J$3,0)))</f>
        <v/>
      </c>
      <c r="X7" s="4462">
        <f>V7*10000</f>
        <v/>
      </c>
      <c r="Y7" s="4462">
        <f>'9.Inputs'!P86*10000</f>
        <v/>
      </c>
      <c r="Z7" s="4462">
        <f>0.7*Y7</f>
        <v/>
      </c>
      <c r="AA7" s="4462">
        <f>IF('9.Inputs'!BE86="",(X7-Z7)/1000,'9.Inputs'!BE86)</f>
        <v/>
      </c>
      <c r="AB7" s="1046">
        <f>'9.Inputs'!P86*10</f>
        <v/>
      </c>
      <c r="AC7" s="1048">
        <f>Inputs!E117</f>
        <v/>
      </c>
      <c r="AD7" s="1048">
        <f>Inputs!F117</f>
        <v/>
      </c>
      <c r="AE7" s="1048">
        <f>Inputs!G117</f>
        <v/>
      </c>
      <c r="AF7" s="1048">
        <f>Inputs!H117</f>
        <v/>
      </c>
      <c r="AG7" s="1048">
        <f>Inputs!I117</f>
        <v/>
      </c>
      <c r="AJ7" s="1049">
        <f>'9.Inputs'!K86</f>
        <v/>
      </c>
      <c r="AK7" s="4818">
        <f>IFERROR(IF(AJ7="Electricity",$AJ$4,9.81/(((IF(AJ7="Please select",0,INDEX($G$6:$M$13,MATCH(AJ7,$G$6:$G$13,0),MATCH($I$6,$G$6:$M$6,0))))*IF(AJ7="Please select",0,INDEX($G$6:$M$13,MATCH(AJ7,$G$6:$G$13,0),MATCH($M$6,$G$6:$M$6,0)))))/10^6*1000),0)</f>
        <v/>
      </c>
      <c r="AM7" s="4311">
        <f>AK7*AB7</f>
        <v/>
      </c>
      <c r="AN7" s="4819">
        <f>AM7/IF('9.Inputs'!BA86="",'9.Inputs'!AZ86,'9.Inputs'!BA86)</f>
        <v/>
      </c>
      <c r="AO7" s="4819">
        <f>AN7*('9.Inputs'!Q86+IF('9.Inputs'!AW86="",'9.Inputs'!AV86,'9.Inputs'!AW86))</f>
        <v/>
      </c>
      <c r="AP7" s="4819">
        <f>IFERROR(AO7*(IF('9.Inputs'!AQ86="",'9.Inputs'!AP86,'9.Inputs'!AQ86)),0)</f>
        <v/>
      </c>
      <c r="AQ7" s="1048">
        <f>Inputs!O117</f>
        <v/>
      </c>
      <c r="AR7" s="1048">
        <f>Inputs!P117</f>
        <v/>
      </c>
      <c r="AS7" s="1048" t="n"/>
    </row>
    <row r="8" customFormat="1" s="921">
      <c r="A8" s="934" t="inlineStr">
        <is>
          <t>Surface without IRRS</t>
        </is>
      </c>
      <c r="B8" s="935" t="n">
        <v>34.46666666666667</v>
      </c>
      <c r="E8" s="929" t="n"/>
      <c r="G8" s="920" t="inlineStr">
        <is>
          <t>Gasoil /Diesel Oil</t>
        </is>
      </c>
      <c r="H8" s="4817">
        <f>(M8/10^9)*I8*(J8+K8*methane+L8*Nitrous)</f>
        <v/>
      </c>
      <c r="I8" s="919" t="n">
        <v>43</v>
      </c>
      <c r="J8" s="918" t="n">
        <v>74100</v>
      </c>
      <c r="K8" s="918" t="n">
        <v>10</v>
      </c>
      <c r="L8" s="918" t="n">
        <v>0.6</v>
      </c>
      <c r="M8" s="918" t="n">
        <v>837</v>
      </c>
      <c r="O8" s="923" t="inlineStr">
        <is>
          <t>Trickle</t>
        </is>
      </c>
      <c r="P8" s="916" t="inlineStr">
        <is>
          <t>Drip</t>
        </is>
      </c>
      <c r="Q8" s="924" t="inlineStr">
        <is>
          <t>0.5-3</t>
        </is>
      </c>
      <c r="R8" s="918">
        <f>AVERAGE(0.5,1.3)</f>
        <v/>
      </c>
      <c r="S8" s="925">
        <f>R8*$R$3*(1+0.05)</f>
        <v/>
      </c>
      <c r="T8" s="455" t="n"/>
      <c r="U8" s="4461">
        <f>'9.Inputs'!O87</f>
        <v/>
      </c>
      <c r="V8" s="3716">
        <f>INDEX('crop H2O'!$A$3:$J$25,MATCH(U8,'crop H2O'!$A$3:$A$25,0),MATCH('crop H2O'!$D$3,'crop H2O'!$A$3:$J$3,0))</f>
        <v/>
      </c>
      <c r="W8" s="3716">
        <f>IF(U8="Please select",0,INDEX('crop H2O'!$A$3:$J$25,MATCH(U8,'crop H2O'!$A$3:$A$25,0),MATCH('crop H2O'!$E$3,'crop H2O'!$A$3:$J$3,0)))</f>
        <v/>
      </c>
      <c r="X8" s="4462">
        <f>V8*10000</f>
        <v/>
      </c>
      <c r="Y8" s="4462">
        <f>'9.Inputs'!P87*10000</f>
        <v/>
      </c>
      <c r="Z8" s="4462">
        <f>0.7*Y8</f>
        <v/>
      </c>
      <c r="AA8" s="4462">
        <f>IF('9.Inputs'!BE87="",(X8-Z8)/1000,'9.Inputs'!BE87)</f>
        <v/>
      </c>
      <c r="AB8" s="1046">
        <f>'9.Inputs'!P87*10</f>
        <v/>
      </c>
      <c r="AC8" s="1048">
        <f>Inputs!E118</f>
        <v/>
      </c>
      <c r="AD8" s="1048">
        <f>Inputs!F118</f>
        <v/>
      </c>
      <c r="AE8" s="1048">
        <f>Inputs!G118</f>
        <v/>
      </c>
      <c r="AF8" s="1048">
        <f>Inputs!H118</f>
        <v/>
      </c>
      <c r="AG8" s="1048">
        <f>Inputs!I118</f>
        <v/>
      </c>
      <c r="AJ8" s="1049">
        <f>'9.Inputs'!K87</f>
        <v/>
      </c>
      <c r="AK8" s="4818">
        <f>IFERROR(IF(AJ8="Electricity",$AJ$4,9.81/(((IF(AJ8="Please select",0,INDEX($G$6:$M$13,MATCH(AJ8,$G$6:$G$13,0),MATCH($I$6,$G$6:$M$6,0))))*IF(AJ8="Please select",0,INDEX($G$6:$M$13,MATCH(AJ8,$G$6:$G$13,0),MATCH($M$6,$G$6:$M$6,0)))))/10^6*1000),0)</f>
        <v/>
      </c>
      <c r="AM8" s="4311">
        <f>AK8*AB8</f>
        <v/>
      </c>
      <c r="AN8" s="4819">
        <f>AM8/IF('9.Inputs'!BA87="",'9.Inputs'!AZ87,'9.Inputs'!BA87)</f>
        <v/>
      </c>
      <c r="AO8" s="4819">
        <f>AN8*('9.Inputs'!Q87+IF('9.Inputs'!AW87="",'9.Inputs'!AV87,'9.Inputs'!AW87))</f>
        <v/>
      </c>
      <c r="AP8" s="4819">
        <f>IFERROR(AO8*(IF('9.Inputs'!AQ87="",'9.Inputs'!AP87,'9.Inputs'!AQ87)),0)</f>
        <v/>
      </c>
      <c r="AQ8" s="1048">
        <f>Inputs!O118</f>
        <v/>
      </c>
      <c r="AR8" s="1048">
        <f>Inputs!P118</f>
        <v/>
      </c>
      <c r="AS8" s="1048" t="n"/>
    </row>
    <row r="9" customFormat="1" s="921">
      <c r="A9" s="934" t="inlineStr">
        <is>
          <t>Surface with IRRS</t>
        </is>
      </c>
      <c r="B9" s="935" t="n">
        <v>90.2</v>
      </c>
      <c r="E9" s="929" t="n"/>
      <c r="G9" s="920" t="inlineStr">
        <is>
          <t>Waste Oil / Lubrificants</t>
        </is>
      </c>
      <c r="H9" s="4817">
        <f>(M9/10^9)*I9*(J9+K9*methane+L9*Nitrous)</f>
        <v/>
      </c>
      <c r="I9" s="919" t="n">
        <v>40.2</v>
      </c>
      <c r="J9" s="918" t="n">
        <v>73300</v>
      </c>
      <c r="K9" s="918" t="n">
        <v>10</v>
      </c>
      <c r="L9" s="918" t="n">
        <v>0.6</v>
      </c>
      <c r="M9" s="918" t="n">
        <v>950</v>
      </c>
      <c r="O9" s="923" t="inlineStr">
        <is>
          <t>Micro sprinkler</t>
        </is>
      </c>
      <c r="P9" s="916" t="n"/>
      <c r="Q9" s="924" t="inlineStr">
        <is>
          <t>0.5-2</t>
        </is>
      </c>
      <c r="R9" s="918">
        <f>AVERAGE(0.5,2)</f>
        <v/>
      </c>
      <c r="S9" s="925">
        <f>R9*$R$3*(1+0.05)</f>
        <v/>
      </c>
      <c r="T9" s="455" t="n"/>
      <c r="U9" s="4461">
        <f>'9.Inputs'!O88</f>
        <v/>
      </c>
      <c r="V9" s="3716">
        <f>INDEX('crop H2O'!$A$3:$J$25,MATCH(U9,'crop H2O'!$A$3:$A$25,0),MATCH('crop H2O'!$D$3,'crop H2O'!$A$3:$J$3,0))</f>
        <v/>
      </c>
      <c r="W9" s="3716">
        <f>IF(U9="Please select",0,INDEX('crop H2O'!$A$3:$J$25,MATCH(U9,'crop H2O'!$A$3:$A$25,0),MATCH('crop H2O'!$E$3,'crop H2O'!$A$3:$J$3,0)))</f>
        <v/>
      </c>
      <c r="X9" s="4462">
        <f>V9*10000</f>
        <v/>
      </c>
      <c r="Y9" s="4462">
        <f>'9.Inputs'!P88*10000</f>
        <v/>
      </c>
      <c r="Z9" s="4462">
        <f>0.7*Y9</f>
        <v/>
      </c>
      <c r="AA9" s="4462">
        <f>IF('9.Inputs'!BE88="",(X9-Z9)/1000,'9.Inputs'!BE88)</f>
        <v/>
      </c>
      <c r="AB9" s="1046">
        <f>'9.Inputs'!P88*10</f>
        <v/>
      </c>
      <c r="AC9" s="1048">
        <f>Inputs!E119</f>
        <v/>
      </c>
      <c r="AD9" s="1048">
        <f>Inputs!F119</f>
        <v/>
      </c>
      <c r="AE9" s="1048">
        <f>Inputs!G119</f>
        <v/>
      </c>
      <c r="AF9" s="1048">
        <f>Inputs!H119</f>
        <v/>
      </c>
      <c r="AG9" s="1048">
        <f>Inputs!I119</f>
        <v/>
      </c>
      <c r="AJ9" s="1049">
        <f>'9.Inputs'!K88</f>
        <v/>
      </c>
      <c r="AK9" s="4818">
        <f>IFERROR(IF(AJ9="Electricity",$AJ$4,9.81/(((IF(AJ9="Please select",0,INDEX($G$6:$M$13,MATCH(AJ9,$G$6:$G$13,0),MATCH($I$6,$G$6:$M$6,0))))*IF(AJ9="Please select",0,INDEX($G$6:$M$13,MATCH(AJ9,$G$6:$G$13,0),MATCH($M$6,$G$6:$M$6,0)))))/10^6*1000),0)</f>
        <v/>
      </c>
      <c r="AM9" s="4311">
        <f>AK9*AB9</f>
        <v/>
      </c>
      <c r="AN9" s="4819">
        <f>AM9/IF('9.Inputs'!BA88="",'9.Inputs'!AZ88,'9.Inputs'!BA88)</f>
        <v/>
      </c>
      <c r="AO9" s="4819">
        <f>AN9*('9.Inputs'!Q88+IF('9.Inputs'!AW88="",'9.Inputs'!AV88,'9.Inputs'!AW88))</f>
        <v/>
      </c>
      <c r="AP9" s="4819">
        <f>IFERROR(AO9*(IF('9.Inputs'!AQ88="",'9.Inputs'!AP88,'9.Inputs'!AQ88)),0)</f>
        <v/>
      </c>
      <c r="AQ9" s="1048">
        <f>Inputs!O119</f>
        <v/>
      </c>
      <c r="AR9" s="1048">
        <f>Inputs!P119</f>
        <v/>
      </c>
      <c r="AS9" s="1048" t="n"/>
    </row>
    <row r="10" customFormat="1" s="921">
      <c r="A10" s="934" t="inlineStr">
        <is>
          <t>Solid set sprinkler</t>
        </is>
      </c>
      <c r="B10" s="935" t="n">
        <v>444.7666666666667</v>
      </c>
      <c r="E10" s="929" t="n"/>
      <c r="G10" s="920" t="inlineStr">
        <is>
          <t>LPG</t>
        </is>
      </c>
      <c r="H10" s="4817">
        <f>(M10/10^9)*I10*(J10+K10*methane+L10*Nitrous)</f>
        <v/>
      </c>
      <c r="I10" s="919" t="n">
        <v>47.3</v>
      </c>
      <c r="J10" s="918" t="n">
        <v>63100</v>
      </c>
      <c r="K10" s="918" t="n">
        <v>5</v>
      </c>
      <c r="L10" s="918" t="n">
        <v>0.1</v>
      </c>
      <c r="M10" s="918" t="n">
        <v>533</v>
      </c>
      <c r="O10" s="923" t="inlineStr">
        <is>
          <t>Sprinkler</t>
        </is>
      </c>
      <c r="P10" s="916" t="n"/>
      <c r="Q10" s="924" t="inlineStr">
        <is>
          <t>2-5</t>
        </is>
      </c>
      <c r="R10" s="918">
        <f>AVERAGE(2,5)</f>
        <v/>
      </c>
      <c r="S10" s="925">
        <f>R10*$R$3*(1+0.05)</f>
        <v/>
      </c>
      <c r="T10" s="455" t="n"/>
      <c r="U10" s="4461">
        <f>'9.Inputs'!O89</f>
        <v/>
      </c>
      <c r="V10" s="3716">
        <f>INDEX('crop H2O'!$A$3:$J$25,MATCH(U10,'crop H2O'!$A$3:$A$25,0),MATCH('crop H2O'!$D$3,'crop H2O'!$A$3:$J$3,0))</f>
        <v/>
      </c>
      <c r="W10" s="3716">
        <f>IF(U10="Please select",0,INDEX('crop H2O'!$A$3:$J$25,MATCH(U10,'crop H2O'!$A$3:$A$25,0),MATCH('crop H2O'!$E$3,'crop H2O'!$A$3:$J$3,0)))</f>
        <v/>
      </c>
      <c r="X10" s="4462">
        <f>V10*10000</f>
        <v/>
      </c>
      <c r="Y10" s="4462">
        <f>'9.Inputs'!P89*10000</f>
        <v/>
      </c>
      <c r="Z10" s="4462">
        <f>0.7*Y10</f>
        <v/>
      </c>
      <c r="AA10" s="4462">
        <f>IF('9.Inputs'!BE89="",(X10-Z10)/1000,'9.Inputs'!BE89)</f>
        <v/>
      </c>
      <c r="AB10" s="1046">
        <f>'9.Inputs'!P89*10</f>
        <v/>
      </c>
      <c r="AC10" s="1048">
        <f>Inputs!E120</f>
        <v/>
      </c>
      <c r="AD10" s="1048">
        <f>Inputs!F120</f>
        <v/>
      </c>
      <c r="AE10" s="1048">
        <f>Inputs!G120</f>
        <v/>
      </c>
      <c r="AF10" s="1048">
        <f>Inputs!H120</f>
        <v/>
      </c>
      <c r="AG10" s="1048">
        <f>Inputs!I120</f>
        <v/>
      </c>
      <c r="AJ10" s="1049">
        <f>'9.Inputs'!K89</f>
        <v/>
      </c>
      <c r="AK10" s="4818">
        <f>IFERROR(IF(AJ10="Electricity",$AJ$4,9.81/(((IF(AJ10="Please select",0,INDEX($G$6:$M$13,MATCH(AJ10,$G$6:$G$13,0),MATCH($I$6,$G$6:$M$6,0))))*IF(AJ10="Please select",0,INDEX($G$6:$M$13,MATCH(AJ10,$G$6:$G$13,0),MATCH($M$6,$G$6:$M$6,0)))))/10^6*1000),0)</f>
        <v/>
      </c>
      <c r="AM10" s="4311">
        <f>AK10*AB10</f>
        <v/>
      </c>
      <c r="AN10" s="4819">
        <f>AM10/IF('9.Inputs'!BA89="",'9.Inputs'!AZ89,'9.Inputs'!BA89)</f>
        <v/>
      </c>
      <c r="AO10" s="4819">
        <f>AN10*('9.Inputs'!Q89+IF('9.Inputs'!AW89="",'9.Inputs'!AV89,'9.Inputs'!AW89))</f>
        <v/>
      </c>
      <c r="AP10" s="4819">
        <f>IFERROR(AO10*(IF('9.Inputs'!AQ89="",'9.Inputs'!AP89,'9.Inputs'!AQ89)),0)</f>
        <v/>
      </c>
      <c r="AQ10" s="1048">
        <f>Inputs!O120</f>
        <v/>
      </c>
      <c r="AR10" s="1048">
        <f>Inputs!P120</f>
        <v/>
      </c>
      <c r="AS10" s="1048" t="n"/>
    </row>
    <row r="11" customFormat="1" s="921">
      <c r="A11" s="934" t="inlineStr">
        <is>
          <t>Permanent sprinkler</t>
        </is>
      </c>
      <c r="B11" s="935" t="n">
        <v>130.1666666666667</v>
      </c>
      <c r="E11" s="929" t="n"/>
      <c r="G11" s="920" t="inlineStr">
        <is>
          <t>Natural Gas</t>
        </is>
      </c>
      <c r="H11" s="4817">
        <f>(M11/10^9)*I11*(J11+K11*methane+L11*Nitrous)</f>
        <v/>
      </c>
      <c r="I11" s="918" t="n">
        <v>48</v>
      </c>
      <c r="J11" s="918" t="n">
        <v>56100</v>
      </c>
      <c r="K11" s="918" t="n">
        <v>5</v>
      </c>
      <c r="L11" s="918" t="n">
        <v>0.1</v>
      </c>
      <c r="M11" s="918" t="n">
        <v>0.768</v>
      </c>
      <c r="O11" s="923" t="inlineStr">
        <is>
          <t>Traveling sprinkler</t>
        </is>
      </c>
      <c r="P11" s="916" t="inlineStr">
        <is>
          <t xml:space="preserve">Traveling gun </t>
        </is>
      </c>
      <c r="Q11" s="924" t="inlineStr">
        <is>
          <t>2-8</t>
        </is>
      </c>
      <c r="R11" s="918">
        <f>AVERAGE(2,8)</f>
        <v/>
      </c>
      <c r="S11" s="925">
        <f>R11*$R$3*(1+0.05)</f>
        <v/>
      </c>
      <c r="T11" s="455" t="n"/>
      <c r="U11" s="4463" t="n"/>
      <c r="V11" s="455" t="n"/>
      <c r="W11" s="455" t="n"/>
      <c r="X11" s="455" t="n"/>
      <c r="Y11" s="455" t="n"/>
      <c r="Z11" s="455" t="n"/>
      <c r="AA11" s="455" t="n"/>
      <c r="AM11" s="4820" t="n"/>
      <c r="AN11" s="4820" t="n"/>
      <c r="AO11" s="4820" t="n"/>
      <c r="AP11" s="4820" t="n"/>
    </row>
    <row r="12" customFormat="1" s="921">
      <c r="A12" s="934" t="inlineStr">
        <is>
          <t>Hand moved sprinkler</t>
        </is>
      </c>
      <c r="B12" s="935" t="n">
        <v>59.76666666666667</v>
      </c>
      <c r="E12" s="929" t="n"/>
      <c r="G12" s="916" t="inlineStr">
        <is>
          <t>Electricity</t>
        </is>
      </c>
      <c r="H12" s="1047">
        <f>IF('9.Inputs'!$K$91="Please select",0,VLOOKUP('9.Inputs'!$K$91,Elec!$A$2:$F$252,6,FALSE))</f>
        <v/>
      </c>
      <c r="O12" s="923" t="inlineStr">
        <is>
          <t>Other (set up Tier 2)</t>
        </is>
      </c>
      <c r="P12" s="916" t="n"/>
      <c r="Q12" s="918" t="n"/>
      <c r="R12" s="918">
        <f>AVERAGE(R7:R11)</f>
        <v/>
      </c>
      <c r="S12" s="925">
        <f>R12*$R$3*(1+0.05)</f>
        <v/>
      </c>
      <c r="T12" s="455" t="n"/>
      <c r="U12" s="455" t="n"/>
      <c r="V12" s="455" t="n"/>
      <c r="W12" s="455" t="n"/>
      <c r="X12" s="455" t="n"/>
      <c r="Y12" s="455" t="n"/>
      <c r="Z12" s="455" t="n"/>
      <c r="AA12" s="455" t="n"/>
      <c r="AM12" s="4820" t="n"/>
      <c r="AN12" s="4820" t="n"/>
      <c r="AO12" s="4820" t="n"/>
      <c r="AP12" s="4820" t="n"/>
    </row>
    <row r="13" customFormat="1" s="921">
      <c r="A13" s="934" t="inlineStr">
        <is>
          <t>Solid roll sprinkler</t>
        </is>
      </c>
      <c r="B13" s="935" t="n">
        <v>85.43333333333334</v>
      </c>
      <c r="E13" s="929" t="n"/>
      <c r="G13" s="916" t="inlineStr">
        <is>
          <t>Solar</t>
        </is>
      </c>
      <c r="H13" s="4817" t="n">
        <v>0</v>
      </c>
      <c r="T13" s="455" t="n"/>
      <c r="U13" s="455" t="n"/>
      <c r="V13" s="455" t="n"/>
      <c r="W13" s="455" t="n"/>
      <c r="X13" s="455" t="n"/>
      <c r="Y13" s="455" t="n"/>
      <c r="Z13" s="455" t="n"/>
      <c r="AA13" s="455" t="n"/>
      <c r="AM13" s="4820" t="n"/>
      <c r="AN13" s="4820" t="n"/>
      <c r="AO13" s="4820" t="n"/>
      <c r="AP13" s="4820" t="n"/>
    </row>
    <row r="14" customFormat="1" s="921">
      <c r="A14" s="934" t="inlineStr">
        <is>
          <t>Center-pivot sprinkler</t>
        </is>
      </c>
      <c r="B14" s="935" t="n">
        <v>79.2</v>
      </c>
      <c r="E14" s="929" t="n"/>
      <c r="T14" s="455" t="n"/>
      <c r="U14" s="4461">
        <f>'9.Inputs'!BH86</f>
        <v/>
      </c>
      <c r="V14" s="3716">
        <f>INDEX('crop H2O'!$A$3:$J$25,MATCH(U14,'crop H2O'!$A$3:$A$25,0),MATCH('crop H2O'!$D$3,'crop H2O'!$A$3:$J$3,0))</f>
        <v/>
      </c>
      <c r="W14" s="3716">
        <f>IF(U14="Please select",0,INDEX('crop H2O'!$A$3:$J$25,MATCH(U14,'crop H2O'!$A$3:$A$25,0),MATCH('crop H2O'!$E$3,'crop H2O'!$A$3:$J$3,0)))</f>
        <v/>
      </c>
      <c r="X14" s="4462">
        <f>V14*10000</f>
        <v/>
      </c>
      <c r="Y14" s="4462">
        <f>'9.Inputs'!BI86*10000</f>
        <v/>
      </c>
      <c r="Z14" s="4462">
        <f>0.7*Y14</f>
        <v/>
      </c>
      <c r="AA14" s="3716">
        <f>IF('9.Inputs'!BE89="",(X14-Z14)/1000,'9.Inputs'!BE89)</f>
        <v/>
      </c>
      <c r="AC14" s="1048">
        <f>AC7</f>
        <v/>
      </c>
      <c r="AD14" s="1048">
        <f>AD7</f>
        <v/>
      </c>
      <c r="AE14" s="1048">
        <f>AE7</f>
        <v/>
      </c>
      <c r="AF14" s="1048">
        <f>AF7</f>
        <v/>
      </c>
      <c r="AG14" s="1048">
        <f>AG7</f>
        <v/>
      </c>
      <c r="AJ14" s="1049">
        <f>AJ7</f>
        <v/>
      </c>
      <c r="AK14" s="4818">
        <f>IFERROR(IF(AJ14="Electricity",$AJ$4,9.81/(((IF(AJ14="Please select",0,INDEX($G$6:$M$13,MATCH(AJ14,$G$6:$G$13,0),MATCH($I$6,$G$6:$M$6,0))))*IF(AJ14="Please select",0,INDEX($G$6:$M$13,MATCH(AJ14,$G$6:$G$13,0),MATCH($M$6,$G$6:$M$6,0)))))/10^6*1000),0)</f>
        <v/>
      </c>
      <c r="AM14" s="4819">
        <f>AK14*AA14</f>
        <v/>
      </c>
      <c r="AN14" s="4819">
        <f>AM14/IF('9.Inputs'!BA86="",'9.Inputs'!AZ86,'9.Inputs'!BA86)</f>
        <v/>
      </c>
      <c r="AO14" s="4819">
        <f>AN14*('9.Inputs'!Q100+IF('9.Inputs'!AW100="",'9.Inputs'!AV100,'9.Inputs'!AW100))</f>
        <v/>
      </c>
      <c r="AP14" s="4819">
        <f>IFERROR(AO14*(IF('9.Inputs'!AQ88="",'9.Inputs'!AP88,'9.Inputs'!AQ88)),0)</f>
        <v/>
      </c>
      <c r="AQ14" s="1048">
        <f>Inputs!O123</f>
        <v/>
      </c>
      <c r="AR14" s="1048">
        <f>Inputs!P123</f>
        <v/>
      </c>
    </row>
    <row r="15" customFormat="1" s="921">
      <c r="A15" s="934" t="inlineStr">
        <is>
          <t>Traveler sprinkler</t>
        </is>
      </c>
      <c r="B15" s="935" t="n">
        <v>61.96666666666666</v>
      </c>
      <c r="E15" s="929" t="n"/>
      <c r="T15" s="455" t="n"/>
      <c r="U15" s="4461">
        <f>'9.Inputs'!BH87</f>
        <v/>
      </c>
      <c r="V15" s="3716">
        <f>INDEX('crop H2O'!$A$3:$J$25,MATCH(U15,'crop H2O'!$A$3:$A$25,0),MATCH('crop H2O'!$D$3,'crop H2O'!$A$3:$J$3,0))</f>
        <v/>
      </c>
      <c r="W15" s="3716">
        <f>IF(U15="Please select",0,INDEX('crop H2O'!$A$3:$J$25,MATCH(U15,'crop H2O'!$A$3:$A$25,0),MATCH('crop H2O'!$E$3,'crop H2O'!$A$3:$J$3,0)))</f>
        <v/>
      </c>
      <c r="X15" s="4462">
        <f>V15*10000</f>
        <v/>
      </c>
      <c r="Y15" s="4462">
        <f>'9.Inputs'!BI87*10000</f>
        <v/>
      </c>
      <c r="Z15" s="4462">
        <f>0.7*Y15</f>
        <v/>
      </c>
      <c r="AA15" s="3716">
        <f>IF('9.Inputs'!BE90="",(X15-Z15)/1000,'9.Inputs'!BE90)</f>
        <v/>
      </c>
      <c r="AC15" s="1048">
        <f>AC8</f>
        <v/>
      </c>
      <c r="AD15" s="1048">
        <f>AD8</f>
        <v/>
      </c>
      <c r="AE15" s="1048">
        <f>AE8</f>
        <v/>
      </c>
      <c r="AF15" s="1048">
        <f>AF8</f>
        <v/>
      </c>
      <c r="AG15" s="1048">
        <f>AG8</f>
        <v/>
      </c>
      <c r="AJ15" s="1049">
        <f>AJ8</f>
        <v/>
      </c>
      <c r="AK15" s="4818">
        <f>IFERROR(IF(AJ15="Electricity",$AJ$4,9.81/(((IF(AJ15="Please select",0,INDEX($G$6:$M$13,MATCH(AJ15,$G$6:$G$13,0),MATCH($I$6,$G$6:$M$6,0))))*IF(AJ15="Please select",0,INDEX($G$6:$M$13,MATCH(AJ15,$G$6:$G$13,0),MATCH($M$6,$G$6:$M$6,0)))))/10^6*1000),0)</f>
        <v/>
      </c>
      <c r="AM15" s="4819">
        <f>AK15*AA15</f>
        <v/>
      </c>
      <c r="AN15" s="4819">
        <f>AM15/IF('9.Inputs'!BA87="",'9.Inputs'!AZ87,'9.Inputs'!BA87)</f>
        <v/>
      </c>
      <c r="AO15" s="4819">
        <f>AN15*('9.Inputs'!Q101+IF('9.Inputs'!AW101="",'9.Inputs'!AV101,'9.Inputs'!AW101))</f>
        <v/>
      </c>
      <c r="AP15" s="4819">
        <f>IFERROR(AO15*(IF('9.Inputs'!AQ89="",'9.Inputs'!AP89,'9.Inputs'!AQ89)),0)</f>
        <v/>
      </c>
      <c r="AQ15" s="1048">
        <f>Inputs!O124</f>
        <v/>
      </c>
      <c r="AR15" s="1048">
        <f>Inputs!P124</f>
        <v/>
      </c>
    </row>
    <row r="16" customFormat="1" s="921">
      <c r="A16" s="934" t="inlineStr">
        <is>
          <t>Trickle</t>
        </is>
      </c>
      <c r="B16" s="935" t="n">
        <v>311.3</v>
      </c>
      <c r="E16" s="929" t="n"/>
      <c r="T16" s="455" t="n"/>
      <c r="U16" s="4461">
        <f>'9.Inputs'!BH88</f>
        <v/>
      </c>
      <c r="V16" s="3716">
        <f>INDEX('crop H2O'!$A$3:$J$25,MATCH(U16,'crop H2O'!$A$3:$A$25,0),MATCH('crop H2O'!$D$3,'crop H2O'!$A$3:$J$3,0))</f>
        <v/>
      </c>
      <c r="W16" s="3716">
        <f>IF(U16="Please select",0,INDEX('crop H2O'!$A$3:$J$25,MATCH(U16,'crop H2O'!$A$3:$A$25,0),MATCH('crop H2O'!$E$3,'crop H2O'!$A$3:$J$3,0)))</f>
        <v/>
      </c>
      <c r="X16" s="4462">
        <f>V16*10000</f>
        <v/>
      </c>
      <c r="Y16" s="4462">
        <f>'9.Inputs'!BI88*10000</f>
        <v/>
      </c>
      <c r="Z16" s="4462">
        <f>0.7*Y16</f>
        <v/>
      </c>
      <c r="AA16" s="3716">
        <f>IF('9.Inputs'!BE91="",(X16-Z16)/1000,'9.Inputs'!BE91)</f>
        <v/>
      </c>
      <c r="AC16" s="1048">
        <f>AC9</f>
        <v/>
      </c>
      <c r="AD16" s="1048">
        <f>AD9</f>
        <v/>
      </c>
      <c r="AE16" s="1048">
        <f>AE9</f>
        <v/>
      </c>
      <c r="AF16" s="1048">
        <f>AF9</f>
        <v/>
      </c>
      <c r="AG16" s="1048">
        <f>AG9</f>
        <v/>
      </c>
      <c r="AJ16" s="1049">
        <f>AJ9</f>
        <v/>
      </c>
      <c r="AK16" s="4818">
        <f>IFERROR(IF(AJ16="Electricity",$AJ$4,9.81/(((IF(AJ16="Please select",0,INDEX($G$6:$M$13,MATCH(AJ16,$G$6:$G$13,0),MATCH($I$6,$G$6:$M$6,0))))*IF(AJ16="Please select",0,INDEX($G$6:$M$13,MATCH(AJ16,$G$6:$G$13,0),MATCH($M$6,$G$6:$M$6,0)))))/10^6*1000),0)</f>
        <v/>
      </c>
      <c r="AM16" s="4819">
        <f>AK16*AA16</f>
        <v/>
      </c>
      <c r="AN16" s="4819">
        <f>AM16/IF('9.Inputs'!BA88="",'9.Inputs'!AZ88,'9.Inputs'!BA88)</f>
        <v/>
      </c>
      <c r="AO16" s="4819">
        <f>AN16*('9.Inputs'!Q102+IF('9.Inputs'!AW102="",'9.Inputs'!AV102,'9.Inputs'!AW102))</f>
        <v/>
      </c>
      <c r="AP16" s="4819">
        <f>IFERROR(AO16*(IF('9.Inputs'!AQ90="",'9.Inputs'!AP90,'9.Inputs'!AQ90)),0)</f>
        <v/>
      </c>
      <c r="AQ16" s="1048">
        <f>Inputs!O125</f>
        <v/>
      </c>
      <c r="AR16" s="1048">
        <f>Inputs!P125</f>
        <v/>
      </c>
    </row>
    <row r="17" customFormat="1" s="921">
      <c r="A17" s="930" t="n"/>
      <c r="E17" s="929" t="n"/>
      <c r="T17" s="455" t="n"/>
      <c r="U17" s="4461">
        <f>'9.Inputs'!BH89</f>
        <v/>
      </c>
      <c r="V17" s="3716">
        <f>INDEX('crop H2O'!$A$3:$J$25,MATCH(U17,'crop H2O'!$A$3:$A$25,0),MATCH('crop H2O'!$D$3,'crop H2O'!$A$3:$J$3,0))</f>
        <v/>
      </c>
      <c r="W17" s="3716">
        <f>IF(U17="Please select",0,INDEX('crop H2O'!$A$3:$J$25,MATCH(U17,'crop H2O'!$A$3:$A$25,0),MATCH('crop H2O'!$E$3,'crop H2O'!$A$3:$J$3,0)))</f>
        <v/>
      </c>
      <c r="X17" s="4462">
        <f>V17*10000</f>
        <v/>
      </c>
      <c r="Y17" s="4462">
        <f>'9.Inputs'!BI89*10000</f>
        <v/>
      </c>
      <c r="Z17" s="4462">
        <f>0.7*Y17</f>
        <v/>
      </c>
      <c r="AA17" s="3716">
        <f>IF('9.Inputs'!BE93="",(X17-Z17)/1000,'9.Inputs'!BE93)</f>
        <v/>
      </c>
      <c r="AC17" s="1048">
        <f>AC10</f>
        <v/>
      </c>
      <c r="AD17" s="1048">
        <f>AD10</f>
        <v/>
      </c>
      <c r="AE17" s="1048">
        <f>AE10</f>
        <v/>
      </c>
      <c r="AF17" s="1048">
        <f>AF10</f>
        <v/>
      </c>
      <c r="AG17" s="1048">
        <f>AG10</f>
        <v/>
      </c>
      <c r="AJ17" s="1049">
        <f>AJ10</f>
        <v/>
      </c>
      <c r="AK17" s="4818">
        <f>IFERROR(IF(AJ17="Electricity",$AJ$4,9.81/(((IF(AJ17="Please select",0,INDEX($G$6:$M$13,MATCH(AJ17,$G$6:$G$13,0),MATCH($I$6,$G$6:$M$6,0))))*IF(AJ17="Please select",0,INDEX($G$6:$M$13,MATCH(AJ17,$G$6:$G$13,0),MATCH($M$6,$G$6:$M$6,0)))))/10^6*1000),0)</f>
        <v/>
      </c>
      <c r="AM17" s="4819">
        <f>AK17*AA17</f>
        <v/>
      </c>
      <c r="AN17" s="4819">
        <f>AM17/IF('9.Inputs'!BA89="",'9.Inputs'!AZ89,'9.Inputs'!BA89)</f>
        <v/>
      </c>
      <c r="AO17" s="4819">
        <f>AN17*('9.Inputs'!Q103+IF('9.Inputs'!AW103="",'9.Inputs'!AV103,'9.Inputs'!AW103))</f>
        <v/>
      </c>
      <c r="AP17" s="4819">
        <f>IFERROR(AO17*(IF('9.Inputs'!AQ91="",'9.Inputs'!AP91,'9.Inputs'!AQ91)),0)</f>
        <v/>
      </c>
      <c r="AQ17" s="1048">
        <f>Inputs!O126</f>
        <v/>
      </c>
      <c r="AR17" s="1048">
        <f>Inputs!P126</f>
        <v/>
      </c>
    </row>
    <row r="18" customFormat="1" s="921">
      <c r="A18" s="930" t="n"/>
      <c r="E18" s="929" t="n"/>
      <c r="T18" s="455" t="n"/>
      <c r="U18" s="455" t="n"/>
      <c r="V18" s="455" t="n"/>
      <c r="W18" s="455" t="n"/>
      <c r="X18" s="455" t="n"/>
      <c r="Y18" s="455" t="n"/>
      <c r="Z18" s="455" t="n"/>
      <c r="AA18" s="455" t="n"/>
    </row>
    <row r="19" customFormat="1" s="921">
      <c r="A19" s="930" t="n"/>
      <c r="E19" s="929" t="n"/>
    </row>
    <row r="20" customFormat="1" s="921">
      <c r="A20" s="931" t="n"/>
      <c r="B20" s="932" t="n"/>
      <c r="C20" s="932" t="n"/>
      <c r="D20" s="932" t="n"/>
      <c r="E20" s="933" t="n"/>
    </row>
    <row r="22" ht="23.25" customFormat="1" customHeight="1" s="961" thickBot="1">
      <c r="A22" s="959" t="inlineStr">
        <is>
          <t>Emissions associated with construction of infrastructures</t>
        </is>
      </c>
      <c r="B22" s="960" t="n"/>
      <c r="C22" s="960" t="n"/>
      <c r="D22" s="960" t="n"/>
      <c r="O22" s="959" t="n"/>
      <c r="P22" s="960" t="n"/>
      <c r="Q22" s="960" t="n"/>
      <c r="R22" s="960" t="n"/>
    </row>
    <row r="23" customFormat="1" s="962">
      <c r="A23" s="4821" t="inlineStr">
        <is>
          <t>EF value from: Bilan Carbone AFD/Adème http://bilans-ges.ademe.fr/en/ &amp; BID (2012) GHG assessment emission methodology</t>
        </is>
      </c>
      <c r="B23" s="4822" t="n"/>
      <c r="C23" s="4822" t="n"/>
      <c r="D23" s="4823" t="n"/>
      <c r="O23" s="4589" t="n"/>
    </row>
    <row r="24" customFormat="1" s="962">
      <c r="A24" s="4640" t="n"/>
      <c r="D24" s="4824" t="n"/>
      <c r="J24" s="963" t="n"/>
    </row>
    <row r="25" ht="16" customFormat="1" customHeight="1" s="962" thickBot="1">
      <c r="A25" s="4825" t="n"/>
      <c r="B25" s="4826" t="n"/>
      <c r="C25" s="4826" t="n"/>
      <c r="D25" s="4827" t="n"/>
      <c r="J25" s="963" t="n"/>
    </row>
    <row r="26" customFormat="1" s="962">
      <c r="A26" s="966" t="inlineStr">
        <is>
          <t>Type</t>
        </is>
      </c>
      <c r="B26" s="967" t="inlineStr">
        <is>
          <t>kgCO2e/m2</t>
        </is>
      </c>
      <c r="C26" s="964" t="inlineStr">
        <is>
          <t>Source</t>
        </is>
      </c>
      <c r="D26" s="965" t="n"/>
      <c r="J26" s="963" t="n"/>
      <c r="P26" s="1054" t="n"/>
      <c r="Q26" s="964" t="n"/>
      <c r="R26" s="965" t="n"/>
    </row>
    <row r="27" customFormat="1" s="954">
      <c r="A27" s="968" t="inlineStr">
        <is>
          <t>Please select</t>
        </is>
      </c>
      <c r="B27" s="969" t="n">
        <v>0</v>
      </c>
      <c r="C27" s="955" t="n"/>
      <c r="D27" s="955" t="n"/>
      <c r="G27" s="955" t="n"/>
      <c r="H27" s="955" t="n"/>
      <c r="J27" s="956" t="n"/>
      <c r="P27" s="1055" t="n"/>
      <c r="Q27" s="955" t="n"/>
      <c r="R27" s="955" t="n"/>
    </row>
    <row r="28" customFormat="1" s="954">
      <c r="A28" s="968" t="inlineStr">
        <is>
          <t>Housing (concrete)</t>
        </is>
      </c>
      <c r="B28" s="969" t="n">
        <v>436</v>
      </c>
      <c r="C28" s="957" t="inlineStr">
        <is>
          <t>Bilan</t>
        </is>
      </c>
      <c r="D28" s="955" t="n"/>
      <c r="G28" s="955" t="n"/>
      <c r="H28" s="955" t="n"/>
      <c r="J28" s="956" t="n"/>
      <c r="P28" s="1055" t="n"/>
      <c r="Q28" s="957" t="n"/>
      <c r="R28" s="955" t="n"/>
    </row>
    <row r="29" customFormat="1" s="954">
      <c r="A29" s="968" t="inlineStr">
        <is>
          <t>Agricultural Buildings (concrete)</t>
        </is>
      </c>
      <c r="B29" s="969" t="n">
        <v>656</v>
      </c>
      <c r="C29" s="957" t="inlineStr">
        <is>
          <t>Bilan</t>
        </is>
      </c>
      <c r="D29" s="955" t="n"/>
      <c r="G29" s="955" t="n"/>
      <c r="H29" s="955" t="n"/>
      <c r="J29" s="956" t="n"/>
      <c r="P29" s="1055" t="n"/>
      <c r="Q29" s="957" t="n"/>
      <c r="R29" s="955" t="n"/>
    </row>
    <row r="30" customFormat="1" s="954">
      <c r="A30" s="968" t="inlineStr">
        <is>
          <t>Agricultural Buildings (metal)</t>
        </is>
      </c>
      <c r="B30" s="969" t="n">
        <v>220</v>
      </c>
      <c r="C30" s="957" t="inlineStr">
        <is>
          <t>Bilan</t>
        </is>
      </c>
      <c r="D30" s="955" t="n"/>
      <c r="G30" s="955" t="n"/>
      <c r="H30" s="955" t="n"/>
      <c r="J30" s="956" t="n"/>
      <c r="P30" s="1055" t="n"/>
      <c r="Q30" s="957" t="n"/>
      <c r="R30" s="955" t="n"/>
    </row>
    <row r="31" customFormat="1" s="954">
      <c r="A31" s="968" t="inlineStr">
        <is>
          <t>Industrial Buildings (concrete)</t>
        </is>
      </c>
      <c r="B31" s="969" t="n">
        <v>825</v>
      </c>
      <c r="C31" s="957" t="inlineStr">
        <is>
          <t>Bilan</t>
        </is>
      </c>
      <c r="D31" s="955" t="n"/>
      <c r="G31" s="955" t="n"/>
      <c r="H31" s="955" t="n"/>
      <c r="J31" s="956" t="n"/>
      <c r="P31" s="1055" t="n"/>
      <c r="Q31" s="957" t="n"/>
      <c r="R31" s="955" t="n"/>
    </row>
    <row r="32" customFormat="1" s="954">
      <c r="A32" s="968" t="inlineStr">
        <is>
          <t>Industrial Buildings (metal)</t>
        </is>
      </c>
      <c r="B32" s="969" t="n">
        <v>275</v>
      </c>
      <c r="C32" s="957" t="inlineStr">
        <is>
          <t>Bilan</t>
        </is>
      </c>
      <c r="D32" s="955" t="n"/>
      <c r="G32" s="955" t="n"/>
      <c r="H32" s="955" t="n"/>
      <c r="J32" s="956" t="n"/>
      <c r="P32" s="1055" t="n"/>
      <c r="Q32" s="957" t="n"/>
      <c r="R32" s="955" t="n"/>
    </row>
    <row r="33" customFormat="1" s="954">
      <c r="A33" s="968" t="inlineStr">
        <is>
          <t>Garage (concrete)</t>
        </is>
      </c>
      <c r="B33" s="969" t="n">
        <v>656</v>
      </c>
      <c r="C33" s="957" t="inlineStr">
        <is>
          <t>Bilan</t>
        </is>
      </c>
      <c r="D33" s="955" t="n"/>
      <c r="G33" s="955" t="n"/>
      <c r="H33" s="955" t="n"/>
      <c r="J33" s="956" t="n"/>
      <c r="P33" s="1055" t="n"/>
      <c r="Q33" s="957" t="n"/>
      <c r="R33" s="955" t="n"/>
    </row>
    <row r="34" customFormat="1" s="954">
      <c r="A34" s="968" t="inlineStr">
        <is>
          <t>Garage (metal)</t>
        </is>
      </c>
      <c r="B34" s="969" t="n">
        <v>220</v>
      </c>
      <c r="C34" s="957" t="inlineStr">
        <is>
          <t>Bilan</t>
        </is>
      </c>
      <c r="D34" s="955" t="n"/>
      <c r="G34" s="955" t="n"/>
      <c r="H34" s="955" t="n"/>
      <c r="J34" s="956" t="n"/>
      <c r="P34" s="1055" t="n"/>
      <c r="Q34" s="957" t="n"/>
      <c r="R34" s="955" t="n"/>
    </row>
    <row r="35" customFormat="1" s="954">
      <c r="A35" s="968" t="inlineStr">
        <is>
          <t>Offices (concrete)</t>
        </is>
      </c>
      <c r="B35" s="969" t="n">
        <v>650</v>
      </c>
      <c r="C35" s="957" t="inlineStr">
        <is>
          <t>Bilan</t>
        </is>
      </c>
      <c r="D35" s="955" t="inlineStr">
        <is>
          <t>updated on 10/1/21</t>
        </is>
      </c>
      <c r="E35" s="954" t="inlineStr">
        <is>
          <t>Ademe</t>
        </is>
      </c>
      <c r="G35" s="955" t="n"/>
      <c r="H35" s="955" t="n"/>
      <c r="J35" s="956" t="n"/>
      <c r="P35" s="1055" t="n"/>
      <c r="Q35" s="955" t="n"/>
      <c r="R35" s="955" t="n"/>
    </row>
    <row r="36" customFormat="1" s="954">
      <c r="A36" s="968" t="inlineStr">
        <is>
          <t>Offices (metal)</t>
        </is>
      </c>
      <c r="B36" s="969" t="n">
        <v>158</v>
      </c>
      <c r="C36" s="957" t="inlineStr">
        <is>
          <t>Bilan</t>
        </is>
      </c>
      <c r="D36" s="955" t="n"/>
      <c r="G36" s="955" t="n"/>
      <c r="H36" s="955" t="n"/>
      <c r="J36" s="956" t="n"/>
      <c r="P36" s="1055" t="n"/>
      <c r="Q36" s="955" t="n"/>
      <c r="R36" s="955" t="n"/>
    </row>
    <row r="37" customFormat="1" s="954">
      <c r="A37" s="968" t="inlineStr">
        <is>
          <t>Road (bitumen)</t>
        </is>
      </c>
      <c r="B37" s="969">
        <f>AVERAGE(15,20)</f>
        <v/>
      </c>
      <c r="C37" s="957" t="inlineStr">
        <is>
          <t>Bilan</t>
        </is>
      </c>
      <c r="D37" s="955" t="n"/>
      <c r="G37" s="955" t="n"/>
      <c r="H37" s="955" t="n"/>
      <c r="J37" s="956" t="n"/>
      <c r="P37" s="1055" t="n"/>
      <c r="Q37" s="955" t="n"/>
      <c r="R37" s="955" t="n"/>
    </row>
    <row r="38" customFormat="1" s="954">
      <c r="A38" s="968" t="inlineStr">
        <is>
          <t>Road (asphalt)</t>
        </is>
      </c>
      <c r="B38" s="969">
        <f>20/12*44</f>
        <v/>
      </c>
      <c r="C38" s="957" t="inlineStr">
        <is>
          <t>?</t>
        </is>
      </c>
      <c r="D38" s="955" t="n"/>
      <c r="G38" s="955" t="n"/>
      <c r="H38" s="955" t="n"/>
      <c r="J38" s="956" t="n"/>
      <c r="P38" s="1055" t="n"/>
      <c r="Q38" s="955" t="n"/>
      <c r="R38" s="955" t="n"/>
    </row>
    <row r="39" customFormat="1" s="954">
      <c r="A39" s="968" t="inlineStr">
        <is>
          <t>Road (reinforced concrete)</t>
        </is>
      </c>
      <c r="B39" s="969">
        <f>AVERAGE(85,87)</f>
        <v/>
      </c>
      <c r="C39" s="957" t="inlineStr">
        <is>
          <t>Bilan</t>
        </is>
      </c>
      <c r="D39" s="955" t="n"/>
      <c r="G39" s="955" t="n"/>
      <c r="H39" s="955" t="n"/>
      <c r="J39" s="956" t="n"/>
      <c r="P39" s="1055" t="n"/>
      <c r="Q39" s="955" t="n"/>
      <c r="R39" s="955" t="n"/>
    </row>
    <row r="40" customFormat="1" s="954">
      <c r="A40" s="968" t="inlineStr">
        <is>
          <t>Road rehabilitated (pavement)</t>
        </is>
      </c>
      <c r="B40" s="969" t="n">
        <v>8.880000000000001</v>
      </c>
      <c r="C40" s="958" t="inlineStr">
        <is>
          <t>BID - 2017</t>
        </is>
      </c>
      <c r="D40" s="955" t="n"/>
      <c r="G40" s="955" t="n"/>
      <c r="H40" s="955" t="n"/>
      <c r="J40" s="956" t="n"/>
      <c r="P40" s="1055" t="n"/>
      <c r="Q40" s="958" t="n"/>
      <c r="R40" s="955" t="n"/>
    </row>
    <row r="41" customFormat="1" s="954">
      <c r="A41" s="970" t="inlineStr">
        <is>
          <t>Food sales (retail or wholesale)</t>
        </is>
      </c>
      <c r="B41" s="971" t="n">
        <v>515.9</v>
      </c>
      <c r="C41" s="956" t="inlineStr">
        <is>
          <t>BID - 2017</t>
        </is>
      </c>
      <c r="O41" s="956" t="n"/>
      <c r="P41" s="955" t="n"/>
      <c r="Q41" s="956" t="n"/>
    </row>
    <row r="42" customFormat="1" s="954">
      <c r="A42" s="968" t="inlineStr">
        <is>
          <t>Food service (restaurants)</t>
        </is>
      </c>
      <c r="B42" s="971" t="n">
        <v>517.4</v>
      </c>
      <c r="C42" s="956" t="inlineStr">
        <is>
          <t>BID - 2017</t>
        </is>
      </c>
      <c r="P42" s="955" t="n"/>
      <c r="Q42" s="956" t="n"/>
    </row>
    <row r="43" customFormat="1" s="954">
      <c r="A43" s="968" t="inlineStr">
        <is>
          <t>Warehouse and storage</t>
        </is>
      </c>
      <c r="B43" s="972" t="n">
        <v>1568.3</v>
      </c>
      <c r="C43" s="954" t="inlineStr">
        <is>
          <t>BID - 2017</t>
        </is>
      </c>
      <c r="P43" s="1056" t="n"/>
    </row>
    <row r="44" customFormat="1" s="954">
      <c r="A44" s="968" t="inlineStr">
        <is>
          <t>Education</t>
        </is>
      </c>
      <c r="B44" s="971" t="n">
        <v>440</v>
      </c>
      <c r="C44" s="956" t="inlineStr">
        <is>
          <t>Bilan</t>
        </is>
      </c>
      <c r="P44" s="955" t="n"/>
      <c r="Q44" s="956" t="n"/>
    </row>
    <row r="45" customFormat="1" s="954">
      <c r="A45" s="968" t="inlineStr">
        <is>
          <t>Health care (metal)</t>
        </is>
      </c>
      <c r="B45" s="971" t="n">
        <v>440</v>
      </c>
      <c r="C45" s="956" t="inlineStr">
        <is>
          <t>Bilan</t>
        </is>
      </c>
      <c r="P45" s="955" t="n"/>
      <c r="Q45" s="956" t="n"/>
    </row>
  </sheetData>
  <mergeCells count="9">
    <mergeCell ref="AM3:AR3"/>
    <mergeCell ref="O23:R25"/>
    <mergeCell ref="V2:W2"/>
    <mergeCell ref="A2:E2"/>
    <mergeCell ref="A23:D25"/>
    <mergeCell ref="AQ4:AR4"/>
    <mergeCell ref="AC5:AG5"/>
    <mergeCell ref="H3:M3"/>
    <mergeCell ref="U5:AA5"/>
  </mergeCells>
  <dataValidations count="2">
    <dataValidation sqref="AJ3" showDropDown="0" showInputMessage="1" showErrorMessage="1" allowBlank="0" prompt="Assuming a perfect pumping system, i.e. with no loss of energy from the pump, it would require 9.81 MJ  of energy to lift 1 000 m3 of water of 1 m height"/>
    <dataValidation sqref="AM5 AN6:AP6" showDropDown="0" showInputMessage="1" showErrorMessage="1" allowBlank="0" prompt="one growing season_x000a_"/>
  </dataValidations>
  <hyperlinks>
    <hyperlink ref="O4" r:id="rId1"/>
  </hyperlinks>
  <pageMargins left="0.7" right="0.7" top="0.75" bottom="0.75" header="0.3" footer="0.3"/>
  <pageSetup orientation="portrait" paperSize="9"/>
</worksheet>
</file>

<file path=xl/worksheets/sheet32.xml><?xml version="1.0" encoding="utf-8"?>
<worksheet xmlns:r="http://schemas.openxmlformats.org/officeDocument/2006/relationships" xmlns="http://schemas.openxmlformats.org/spreadsheetml/2006/main">
  <sheetPr codeName="Sheet33">
    <outlinePr summaryBelow="1" summaryRight="1"/>
    <pageSetUpPr/>
  </sheetPr>
  <dimension ref="A2:W165"/>
  <sheetViews>
    <sheetView topLeftCell="A35" zoomScale="70" zoomScaleNormal="70" workbookViewId="0">
      <selection activeCell="P154" sqref="P154"/>
    </sheetView>
  </sheetViews>
  <sheetFormatPr baseColWidth="10" defaultColWidth="9.33203125" defaultRowHeight="14"/>
  <cols>
    <col width="9.33203125" customWidth="1" style="973" min="1" max="1"/>
    <col width="28.6640625" bestFit="1" customWidth="1" style="973" min="2" max="2"/>
    <col width="10.5" bestFit="1" customWidth="1" style="973" min="3" max="3"/>
    <col width="31.5" bestFit="1" customWidth="1" style="973" min="4" max="4"/>
    <col width="15.5" customWidth="1" style="973" min="5" max="9"/>
    <col width="12.5" customWidth="1" style="973" min="10" max="10"/>
    <col width="15.5" customWidth="1" style="973" min="11" max="15"/>
    <col width="9.33203125" customWidth="1" style="973" min="16" max="16"/>
    <col width="15.5" customWidth="1" style="973" min="17" max="21"/>
    <col width="10.5" bestFit="1" customWidth="1" style="973" min="22" max="22"/>
    <col width="13.5" bestFit="1" customWidth="1" style="973" min="23" max="23"/>
    <col width="9.33203125" customWidth="1" style="973" min="24" max="16384"/>
  </cols>
  <sheetData>
    <row r="1" ht="46.5" customFormat="1" customHeight="1" s="1398"/>
    <row r="2">
      <c r="B2" s="3538" t="inlineStr">
        <is>
          <t>Project summary</t>
        </is>
      </c>
      <c r="C2" s="3538" t="n"/>
      <c r="D2" s="3538" t="n"/>
      <c r="F2" s="3538" t="inlineStr">
        <is>
          <t>Area (initial state in ha)</t>
        </is>
      </c>
      <c r="G2" s="3538" t="n"/>
      <c r="H2" s="3538" t="n"/>
      <c r="I2" s="3538" t="n"/>
      <c r="J2" s="3538" t="n"/>
      <c r="K2" s="3538" t="n"/>
      <c r="M2" s="3538" t="inlineStr">
        <is>
          <t>Duration of the project (yrs)</t>
        </is>
      </c>
      <c r="N2" s="3538" t="n"/>
      <c r="O2" s="3538" t="n"/>
      <c r="Q2" s="3538" t="inlineStr">
        <is>
          <t>Total area (ha)</t>
        </is>
      </c>
      <c r="R2" s="3538" t="n"/>
      <c r="S2" s="3538" t="n"/>
    </row>
    <row r="3">
      <c r="B3" s="1281" t="inlineStr">
        <is>
          <t>Name</t>
        </is>
      </c>
      <c r="C3" s="973">
        <f>'1.Description'!G10</f>
        <v/>
      </c>
      <c r="F3" s="1281" t="inlineStr">
        <is>
          <t>Forest plantation</t>
        </is>
      </c>
      <c r="H3" s="3530" t="n"/>
      <c r="K3" s="992">
        <f>Matrix!P7</f>
        <v/>
      </c>
      <c r="M3" s="1281" t="inlineStr">
        <is>
          <t>Implementation</t>
        </is>
      </c>
      <c r="O3" s="973">
        <f>time</f>
        <v/>
      </c>
      <c r="Q3" s="1281" t="inlineStr">
        <is>
          <t>Mineral soil</t>
        </is>
      </c>
      <c r="S3" s="992">
        <f>SUM(Matrix!P7:P13)-S5</f>
        <v/>
      </c>
    </row>
    <row r="4">
      <c r="B4" s="1281" t="inlineStr">
        <is>
          <t>Continent</t>
        </is>
      </c>
      <c r="C4" s="973">
        <f>continent</f>
        <v/>
      </c>
      <c r="F4" s="1281" t="inlineStr">
        <is>
          <t>Cropland</t>
        </is>
      </c>
      <c r="H4" s="3531" t="inlineStr">
        <is>
          <t>Annual</t>
        </is>
      </c>
      <c r="K4" s="992">
        <f>Matrix!P8</f>
        <v/>
      </c>
      <c r="M4" s="1281" t="inlineStr">
        <is>
          <t>Capitalisation</t>
        </is>
      </c>
      <c r="O4" s="973">
        <f>time_cap</f>
        <v/>
      </c>
      <c r="Q4" s="1281" t="inlineStr">
        <is>
          <t>Organic soil</t>
        </is>
      </c>
      <c r="S4" s="992">
        <f>SUM(Matrix!P50:P56)</f>
        <v/>
      </c>
    </row>
    <row r="5">
      <c r="B5" s="1281" t="inlineStr">
        <is>
          <t>Climate</t>
        </is>
      </c>
      <c r="C5" s="973">
        <f>clim_moist</f>
        <v/>
      </c>
      <c r="F5" s="1281" t="n"/>
      <c r="H5" s="3531" t="inlineStr">
        <is>
          <t>Perennial</t>
        </is>
      </c>
      <c r="K5" s="992">
        <f>Matrix!P9</f>
        <v/>
      </c>
      <c r="M5" s="2167" t="inlineStr">
        <is>
          <t>Total</t>
        </is>
      </c>
      <c r="N5" s="3489" t="n"/>
      <c r="O5" s="2167">
        <f>time_tot</f>
        <v/>
      </c>
      <c r="Q5" s="1281" t="inlineStr">
        <is>
          <t>Waterbodies</t>
        </is>
      </c>
      <c r="S5" s="992">
        <f>MAX('Inl. wetlands'!C513,'Inl. wetlands'!D513,'Inl. wetlands'!F513)+MAX(SUM(Coastal!D115:D120),SUM(Coastal!E115:E120),SUM(Coastal!G115:G120))</f>
        <v/>
      </c>
    </row>
    <row r="6">
      <c r="B6" s="2167" t="inlineStr">
        <is>
          <t>Dominant soil</t>
        </is>
      </c>
      <c r="C6" s="3489">
        <f>soil_full</f>
        <v/>
      </c>
      <c r="D6" s="3489" t="n"/>
      <c r="F6" s="1281" t="n"/>
      <c r="H6" s="3531" t="inlineStr">
        <is>
          <t>Rice</t>
        </is>
      </c>
      <c r="K6" s="992">
        <f>Matrix!P10</f>
        <v/>
      </c>
      <c r="Q6" s="3500" t="inlineStr">
        <is>
          <t>Total area</t>
        </is>
      </c>
      <c r="R6" s="3491" t="n"/>
      <c r="S6" s="3515">
        <f>SUM(K3:K10)</f>
        <v/>
      </c>
    </row>
    <row r="7">
      <c r="F7" s="1281" t="inlineStr">
        <is>
          <t>Grassland</t>
        </is>
      </c>
      <c r="H7" s="3531" t="n"/>
      <c r="K7" s="992">
        <f>Matrix!P11</f>
        <v/>
      </c>
    </row>
    <row r="8">
      <c r="F8" s="1281" t="inlineStr">
        <is>
          <t>Other land</t>
        </is>
      </c>
      <c r="H8" s="3531" t="inlineStr">
        <is>
          <t>Degraded</t>
        </is>
      </c>
      <c r="K8" s="992">
        <f>Matrix!P12</f>
        <v/>
      </c>
    </row>
    <row r="9">
      <c r="F9" s="1281" t="n"/>
      <c r="H9" s="3531" t="inlineStr">
        <is>
          <t>Other land non vegetated</t>
        </is>
      </c>
      <c r="K9" s="992">
        <f>Matrix!P13</f>
        <v/>
      </c>
    </row>
    <row r="10">
      <c r="F10" s="2167" t="inlineStr">
        <is>
          <t>Organic soil</t>
        </is>
      </c>
      <c r="G10" s="3489" t="n"/>
      <c r="H10" s="3532" t="n"/>
      <c r="I10" s="3489" t="n"/>
      <c r="J10" s="3489" t="n"/>
      <c r="K10" s="3490">
        <f>SUM(Matrix!P50:P56)</f>
        <v/>
      </c>
    </row>
    <row r="12">
      <c r="B12" s="2167" t="inlineStr">
        <is>
          <t>MINERAL SOILS</t>
        </is>
      </c>
      <c r="C12" s="2167" t="n"/>
      <c r="D12" s="2167" t="n"/>
      <c r="E12" s="2167" t="n"/>
      <c r="F12" s="2167" t="n"/>
      <c r="G12" s="2167" t="n"/>
      <c r="H12" s="2167" t="n"/>
      <c r="I12" s="2167" t="n"/>
      <c r="J12" s="2167" t="n"/>
      <c r="K12" s="2167" t="n"/>
      <c r="L12" s="2167" t="n"/>
      <c r="M12" s="2167" t="n"/>
      <c r="N12" s="2167" t="n"/>
      <c r="O12" s="2167" t="n"/>
      <c r="P12" s="2167" t="n"/>
      <c r="Q12" s="1281" t="n"/>
      <c r="R12" s="1281" t="n"/>
      <c r="S12" s="1281" t="n"/>
      <c r="T12" s="1281" t="n"/>
    </row>
    <row r="14">
      <c r="B14" s="1281">
        <f>B41</f>
        <v/>
      </c>
      <c r="C14" s="1281" t="n"/>
      <c r="D14" s="4566">
        <f>D41</f>
        <v/>
      </c>
      <c r="E14" s="1576" t="n"/>
      <c r="F14" s="3586">
        <f>F41</f>
        <v/>
      </c>
      <c r="G14" s="3583" t="n"/>
      <c r="H14" s="1688" t="n"/>
      <c r="I14" s="1595" t="inlineStr">
        <is>
          <t>N2O</t>
        </is>
      </c>
      <c r="J14" s="3594" t="n"/>
      <c r="K14" s="3594" t="n"/>
      <c r="L14" s="3628">
        <f>L41</f>
        <v/>
      </c>
      <c r="M14" s="3585" t="n"/>
      <c r="N14" s="3585" t="n"/>
      <c r="O14" s="3630" t="inlineStr">
        <is>
          <t>OTHER</t>
        </is>
      </c>
      <c r="P14" s="3502" t="n"/>
      <c r="Q14" s="4566">
        <f>Q41</f>
        <v/>
      </c>
      <c r="R14" s="4566" t="n"/>
      <c r="S14" s="1576" t="n"/>
      <c r="T14" s="4566">
        <f>T41</f>
        <v/>
      </c>
      <c r="U14" s="4566" t="n"/>
      <c r="V14" s="4566" t="n"/>
    </row>
    <row r="15" ht="15" customHeight="1">
      <c r="D15" s="1688">
        <f>D42</f>
        <v/>
      </c>
      <c r="E15" s="1688" t="n"/>
      <c r="F15" s="3583">
        <f>F42</f>
        <v/>
      </c>
      <c r="G15" s="3583">
        <f>G42</f>
        <v/>
      </c>
      <c r="H15" s="1688" t="n"/>
      <c r="I15" s="3594" t="inlineStr">
        <is>
          <t>Soil</t>
        </is>
      </c>
      <c r="J15" s="3594">
        <f>J42</f>
        <v/>
      </c>
      <c r="K15" s="3594" t="inlineStr">
        <is>
          <t>Livestock</t>
        </is>
      </c>
      <c r="L15" s="3629">
        <f>L42</f>
        <v/>
      </c>
      <c r="M15" s="3585">
        <f>M42</f>
        <v/>
      </c>
      <c r="N15" s="3623" t="inlineStr">
        <is>
          <t>Livestock</t>
        </is>
      </c>
      <c r="P15" s="1688" t="n"/>
      <c r="Q15" s="1688">
        <f>Q42</f>
        <v/>
      </c>
      <c r="R15" s="1688">
        <f>R42</f>
        <v/>
      </c>
      <c r="S15" s="1688" t="n"/>
      <c r="T15" s="1688">
        <f>T42</f>
        <v/>
      </c>
      <c r="U15" s="1688">
        <f>U42</f>
        <v/>
      </c>
      <c r="V15" s="1688">
        <f>V42</f>
        <v/>
      </c>
    </row>
    <row r="16">
      <c r="B16" s="1281" t="inlineStr">
        <is>
          <t>Forest land</t>
        </is>
      </c>
    </row>
    <row r="17">
      <c r="B17" s="1469" t="inlineStr">
        <is>
          <t>Deforestation</t>
        </is>
      </c>
      <c r="D17" s="3536">
        <f>defo!$Y$41</f>
        <v/>
      </c>
      <c r="E17" s="992" t="n"/>
      <c r="F17" s="3587">
        <f>defo!$Y$35+defo!$Y$36</f>
        <v/>
      </c>
      <c r="G17" s="3588">
        <f>defo!$Y$37</f>
        <v/>
      </c>
      <c r="H17" s="992" t="n"/>
      <c r="I17" s="3595">
        <f>(SUMPRODUCT(defo!$V$23:$V$30,defo!$H$35:$H$42)-SUMPRODUCT(defo!$V$23:$V$30,defo!$G$35:$G$42))/1000*Nitrous</f>
        <v/>
      </c>
      <c r="J17" s="3596">
        <f>defo!Y39</f>
        <v/>
      </c>
      <c r="K17" s="3558" t="n"/>
      <c r="L17" s="3501" t="n"/>
      <c r="M17" s="3611">
        <f>defo!Y38</f>
        <v/>
      </c>
      <c r="N17" s="3558" t="n"/>
      <c r="O17" s="992" t="n"/>
      <c r="P17" s="992" t="n"/>
      <c r="Q17" s="3497">
        <f>defo!$Z$41</f>
        <v/>
      </c>
      <c r="R17" s="3537">
        <f>defo!$AA$41</f>
        <v/>
      </c>
      <c r="S17" s="992" t="n"/>
      <c r="T17" s="3516">
        <f>IFERROR($D$17/$O$5,0)</f>
        <v/>
      </c>
      <c r="U17" s="3503">
        <f>IFERROR(Q17/$O$5,0)</f>
        <v/>
      </c>
      <c r="V17" s="3498">
        <f>IFERROR(R17/$O$5,0)</f>
        <v/>
      </c>
    </row>
    <row r="18">
      <c r="B18" s="1469" t="inlineStr">
        <is>
          <t>Forest degradation</t>
        </is>
      </c>
      <c r="D18" s="3533">
        <f>degradation!$AV$61</f>
        <v/>
      </c>
      <c r="E18" s="992" t="n"/>
      <c r="F18" s="3589">
        <f>degradation!$AV$56+degradation!$AV$57</f>
        <v/>
      </c>
      <c r="G18" s="3590">
        <f>degradation!$AV$58</f>
        <v/>
      </c>
      <c r="H18" s="992" t="n"/>
      <c r="I18" s="3598" t="n"/>
      <c r="J18" s="3599">
        <f>degradation!AV60</f>
        <v/>
      </c>
      <c r="K18" s="3509" t="n"/>
      <c r="L18" s="3508" t="n"/>
      <c r="M18" s="3612">
        <f>degradation!AV59</f>
        <v/>
      </c>
      <c r="N18" s="3509" t="n"/>
      <c r="O18" s="992" t="n"/>
      <c r="P18" s="992" t="n"/>
      <c r="Q18" s="3497">
        <f>degradation!AW61</f>
        <v/>
      </c>
      <c r="R18" s="3537">
        <f>degradation!AX61</f>
        <v/>
      </c>
      <c r="S18" s="992" t="n"/>
      <c r="T18" s="3516">
        <f>IFERROR($D$17/$O$5,0)</f>
        <v/>
      </c>
      <c r="U18" s="3503">
        <f>IFERROR(Q18/$O$5,0)</f>
        <v/>
      </c>
      <c r="V18" s="3498">
        <f>IFERROR(R18/$O$5,0)</f>
        <v/>
      </c>
    </row>
    <row r="19">
      <c r="B19" s="1469" t="inlineStr">
        <is>
          <t>Af/reforestation</t>
        </is>
      </c>
      <c r="D19" s="3534">
        <f>affo!$AL$40</f>
        <v/>
      </c>
      <c r="E19" s="992" t="n"/>
      <c r="F19" s="3589">
        <f>affo!$AL$35+affo!$AL$36</f>
        <v/>
      </c>
      <c r="G19" s="3590">
        <f>affo!AL37</f>
        <v/>
      </c>
      <c r="H19" s="992" t="n"/>
      <c r="I19" s="3598" t="n"/>
      <c r="J19" s="3599">
        <f>affo!AL39</f>
        <v/>
      </c>
      <c r="K19" s="3509" t="n"/>
      <c r="L19" s="3508" t="n"/>
      <c r="M19" s="3612">
        <f>affo!AL38</f>
        <v/>
      </c>
      <c r="N19" s="3509" t="n"/>
      <c r="O19" s="992" t="n"/>
      <c r="P19" s="992" t="n"/>
      <c r="Q19" s="3493">
        <f>affo!$AM$40</f>
        <v/>
      </c>
      <c r="R19" s="3494">
        <f>affo!$AN$40</f>
        <v/>
      </c>
      <c r="S19" s="992" t="n"/>
      <c r="T19" s="3516">
        <f>IFERROR($D$17/$O$5,0)</f>
        <v/>
      </c>
      <c r="U19" s="3503">
        <f>IFERROR(Q19/$O$5,0)</f>
        <v/>
      </c>
      <c r="V19" s="3498">
        <f>IFERROR(R19/$O$5,0)</f>
        <v/>
      </c>
    </row>
    <row r="20">
      <c r="B20" s="1281" t="inlineStr">
        <is>
          <t>Non-forest land-use change</t>
        </is>
      </c>
      <c r="D20" s="3533">
        <f>luc!$T$10</f>
        <v/>
      </c>
      <c r="E20" s="992" t="n"/>
      <c r="F20" s="3591">
        <f>luc!$T$5</f>
        <v/>
      </c>
      <c r="G20" s="3592">
        <f>luc!$T$6</f>
        <v/>
      </c>
      <c r="H20" s="992" t="n"/>
      <c r="I20" s="3601">
        <f>luc!$T$7</f>
        <v/>
      </c>
      <c r="J20" s="3602">
        <f>luc!$T$9</f>
        <v/>
      </c>
      <c r="K20" s="3510" t="n"/>
      <c r="L20" s="3559" t="n"/>
      <c r="M20" s="3613">
        <f>luc!$T$8</f>
        <v/>
      </c>
      <c r="N20" s="3510" t="n"/>
      <c r="O20" s="992" t="n"/>
      <c r="P20" s="992" t="n"/>
      <c r="Q20" s="3496">
        <f>luc!$U$10</f>
        <v/>
      </c>
      <c r="R20" s="3505">
        <f>luc!$V$10</f>
        <v/>
      </c>
      <c r="S20" s="992" t="n"/>
      <c r="T20" s="3516">
        <f>IFERROR($D$17/$O$5,0)</f>
        <v/>
      </c>
      <c r="U20" s="3503">
        <f>IFERROR(Q20/$O$5,0)</f>
        <v/>
      </c>
      <c r="V20" s="3498">
        <f>IFERROR(R20/$O$5,0)</f>
        <v/>
      </c>
    </row>
    <row r="21">
      <c r="B21" s="1281" t="inlineStr">
        <is>
          <t>Cropland</t>
        </is>
      </c>
      <c r="D21" s="992" t="n"/>
      <c r="E21" s="992" t="n"/>
      <c r="F21" s="992" t="n"/>
      <c r="G21" s="992" t="n"/>
      <c r="H21" s="992" t="n"/>
      <c r="I21" s="992" t="n"/>
      <c r="J21" s="992" t="n"/>
      <c r="K21" s="992" t="n"/>
      <c r="L21" s="992" t="n"/>
      <c r="M21" s="992" t="n"/>
      <c r="N21" s="992" t="n"/>
      <c r="O21" s="992" t="n"/>
      <c r="P21" s="992" t="n"/>
      <c r="Q21" s="992" t="n"/>
      <c r="R21" s="992" t="n"/>
      <c r="S21" s="992" t="n"/>
      <c r="T21" s="992" t="n"/>
      <c r="U21" s="992" t="n"/>
      <c r="V21" s="992" t="n"/>
    </row>
    <row r="22">
      <c r="B22" s="973" t="inlineStr">
        <is>
          <t>Annual crops</t>
        </is>
      </c>
      <c r="D22" s="3536">
        <f>annual!$X$36</f>
        <v/>
      </c>
      <c r="E22" s="992" t="n"/>
      <c r="F22" s="3587">
        <f>annual!X31</f>
        <v/>
      </c>
      <c r="G22" s="3588">
        <f>annual!X32</f>
        <v/>
      </c>
      <c r="H22" s="992" t="n"/>
      <c r="I22" s="3595">
        <f>annual!X33</f>
        <v/>
      </c>
      <c r="J22" s="3596">
        <f>annual!X35</f>
        <v/>
      </c>
      <c r="K22" s="3558" t="n"/>
      <c r="L22" s="3501" t="n"/>
      <c r="M22" s="3611">
        <f>annual!X34</f>
        <v/>
      </c>
      <c r="N22" s="3558" t="n"/>
      <c r="O22" s="992" t="n"/>
      <c r="P22" s="992" t="n"/>
      <c r="Q22" s="3493">
        <f>annual!$Y$36</f>
        <v/>
      </c>
      <c r="R22" s="3494">
        <f>annual!$Z$36</f>
        <v/>
      </c>
      <c r="S22" s="992" t="n"/>
      <c r="T22" s="3517">
        <f>IFERROR(D22/$O$5,0)</f>
        <v/>
      </c>
      <c r="U22" s="3535">
        <f>IFERROR(Q22/$O$5,0)</f>
        <v/>
      </c>
      <c r="V22" s="3499">
        <f>IFERROR(R22/$O$5,0)</f>
        <v/>
      </c>
    </row>
    <row r="23">
      <c r="B23" s="973" t="inlineStr">
        <is>
          <t>Agroforestry</t>
        </is>
      </c>
      <c r="D23" s="3533">
        <f>perennial!$AB$34</f>
        <v/>
      </c>
      <c r="E23" s="992" t="n"/>
      <c r="F23" s="3589">
        <f>perennial!AB29</f>
        <v/>
      </c>
      <c r="G23" s="3590">
        <f>perennial!AB30</f>
        <v/>
      </c>
      <c r="H23" s="992" t="n"/>
      <c r="I23" s="3598">
        <f>perennial!AB31</f>
        <v/>
      </c>
      <c r="J23" s="3599">
        <f>perennial!AB33</f>
        <v/>
      </c>
      <c r="K23" s="3509" t="n"/>
      <c r="L23" s="3508" t="n"/>
      <c r="M23" s="3612">
        <f>perennial!AB32</f>
        <v/>
      </c>
      <c r="N23" s="3509" t="n"/>
      <c r="O23" s="992" t="n"/>
      <c r="P23" s="992" t="n"/>
      <c r="Q23" s="3495">
        <f>perennial!$AC$34</f>
        <v/>
      </c>
      <c r="R23" s="3504">
        <f>perennial!$AD$34</f>
        <v/>
      </c>
      <c r="S23" s="992" t="n"/>
      <c r="T23" s="3517">
        <f>IFERROR(D23/$O$5,0)</f>
        <v/>
      </c>
      <c r="U23" s="3535">
        <f>IFERROR(Q23/$O$5,0)</f>
        <v/>
      </c>
      <c r="V23" s="3499">
        <f>IFERROR(R23/$O$5,0)</f>
        <v/>
      </c>
    </row>
    <row r="24">
      <c r="B24" s="973" t="inlineStr">
        <is>
          <t>Irrigated rice</t>
        </is>
      </c>
      <c r="D24" s="3533">
        <f>rice!$W$11</f>
        <v/>
      </c>
      <c r="E24" s="992" t="n"/>
      <c r="F24" s="3589">
        <f>rice!W6</f>
        <v/>
      </c>
      <c r="G24" s="3590">
        <f>rice!W7</f>
        <v/>
      </c>
      <c r="H24" s="992" t="n"/>
      <c r="I24" s="3508" t="n"/>
      <c r="J24" s="3599">
        <f>rice!W10</f>
        <v/>
      </c>
      <c r="K24" s="3509" t="n"/>
      <c r="L24" s="3612">
        <f>rice!W8</f>
        <v/>
      </c>
      <c r="M24" s="3612">
        <f>rice!W9</f>
        <v/>
      </c>
      <c r="N24" s="3509" t="n"/>
      <c r="O24" s="992" t="n"/>
      <c r="P24" s="992" t="n"/>
      <c r="Q24" s="3495">
        <f>rice!$X$11</f>
        <v/>
      </c>
      <c r="R24" s="3504">
        <f>rice!$Y$11</f>
        <v/>
      </c>
      <c r="S24" s="992" t="n"/>
      <c r="T24" s="3517">
        <f>IFERROR(D24/$O$5,0)</f>
        <v/>
      </c>
      <c r="U24" s="3535">
        <f>IFERROR(Q24/$O$5,0)</f>
        <v/>
      </c>
      <c r="V24" s="3499">
        <f>IFERROR(R24/$O$5,0)</f>
        <v/>
      </c>
    </row>
    <row r="25">
      <c r="B25" s="1281" t="inlineStr">
        <is>
          <t>Grassland</t>
        </is>
      </c>
      <c r="D25" s="3533">
        <f>grass!$X$41</f>
        <v/>
      </c>
      <c r="E25" s="992" t="n"/>
      <c r="F25" s="3589">
        <f>grass!$X$36</f>
        <v/>
      </c>
      <c r="G25" s="3590">
        <f>grass!$X$37</f>
        <v/>
      </c>
      <c r="H25" s="992" t="n"/>
      <c r="I25" s="3508" t="n"/>
      <c r="J25" s="3599">
        <f>grass!$X$39</f>
        <v/>
      </c>
      <c r="K25" s="3509" t="n"/>
      <c r="L25" s="3508" t="n"/>
      <c r="M25" s="3612">
        <f>grass!$X$40</f>
        <v/>
      </c>
      <c r="N25" s="3509" t="n"/>
      <c r="O25" s="992" t="n"/>
      <c r="P25" s="992" t="n"/>
      <c r="Q25" s="3495">
        <f>grass!$Y$41</f>
        <v/>
      </c>
      <c r="R25" s="3504">
        <f>grass!$Z$41</f>
        <v/>
      </c>
      <c r="S25" s="992" t="n"/>
      <c r="T25" s="3517">
        <f>IFERROR(D25/$O$5,0)</f>
        <v/>
      </c>
      <c r="U25" s="3535">
        <f>IFERROR(Q25/$O$5,0)</f>
        <v/>
      </c>
      <c r="V25" s="3499">
        <f>IFERROR(R25/$O$5,0)</f>
        <v/>
      </c>
    </row>
    <row r="26">
      <c r="B26" s="1281" t="inlineStr">
        <is>
          <t>Livestock</t>
        </is>
      </c>
      <c r="D26" s="3534">
        <f>Livestock!$AR$11</f>
        <v/>
      </c>
      <c r="E26" s="992" t="n"/>
      <c r="F26" s="3559" t="n"/>
      <c r="G26" s="3510" t="n"/>
      <c r="H26" s="992" t="n"/>
      <c r="I26" s="3559" t="n"/>
      <c r="J26" s="3560" t="n"/>
      <c r="K26" s="3603">
        <f>Livestock!$AR$10</f>
        <v/>
      </c>
      <c r="L26" s="3559" t="n"/>
      <c r="M26" s="3560" t="n"/>
      <c r="N26" s="3619">
        <f>Livestock!$AR$9</f>
        <v/>
      </c>
      <c r="O26" s="992" t="n"/>
      <c r="P26" s="992" t="n"/>
      <c r="Q26" s="3496">
        <f>Livestock!$AS$11</f>
        <v/>
      </c>
      <c r="R26" s="3505">
        <f>Livestock!$AT$11</f>
        <v/>
      </c>
      <c r="S26" s="992" t="n"/>
      <c r="T26" s="3517">
        <f>IFERROR(D26/$O$5,0)</f>
        <v/>
      </c>
      <c r="U26" s="3535">
        <f>IFERROR(Q26/$O$5,0)</f>
        <v/>
      </c>
      <c r="V26" s="3499">
        <f>IFERROR(R26/$O$5,0)</f>
        <v/>
      </c>
    </row>
    <row r="27">
      <c r="B27" s="1281" t="inlineStr">
        <is>
          <t>Coastal wetland</t>
        </is>
      </c>
      <c r="D27" s="3533">
        <f>Coastal!$AA$10+Coastal!$AA$33+Coastal!$AA$69+Coastal!X118</f>
        <v/>
      </c>
      <c r="E27" s="992" t="n"/>
      <c r="F27" s="3589">
        <f>Coastal!$AA$8+Coastal!$AA$31+Coastal!$AA$66</f>
        <v/>
      </c>
      <c r="G27" s="3590">
        <f>Coastal!$AA$9+Coastal!$AA$32+Coastal!$AA$67</f>
        <v/>
      </c>
      <c r="I27" s="3598" t="n">
        <v>0</v>
      </c>
      <c r="J27" s="3578" t="n"/>
      <c r="K27" s="3509" t="n"/>
      <c r="L27" s="3614">
        <f>Coastal!$AA$68+Coastal!X118</f>
        <v/>
      </c>
      <c r="M27" s="3578" t="n"/>
      <c r="O27" s="3509" t="n"/>
      <c r="P27" s="992" t="n"/>
      <c r="Q27" s="3495">
        <f>Coastal!$AB$10+Coastal!$AB$33+Coastal!$AB$69</f>
        <v/>
      </c>
      <c r="R27" s="3504">
        <f>Coastal!$AC$10+Coastal!$AC$33+Coastal!$AC$69</f>
        <v/>
      </c>
      <c r="S27" s="992" t="n"/>
      <c r="T27" s="3517">
        <f>IFERROR(D27/$O$5,0)</f>
        <v/>
      </c>
      <c r="U27" s="3535">
        <f>IFERROR(Q27/$O$5,0)</f>
        <v/>
      </c>
      <c r="V27" s="3499">
        <f>IFERROR(R27/$O$5,0)</f>
        <v/>
      </c>
    </row>
    <row r="28">
      <c r="B28" s="1281" t="inlineStr">
        <is>
          <t>Fisheries &amp; aquaculture</t>
        </is>
      </c>
      <c r="D28" s="3534">
        <f>+'Fish and aqua'!AA79</f>
        <v/>
      </c>
      <c r="E28" s="992" t="n"/>
      <c r="F28" s="3591" t="n">
        <v>0</v>
      </c>
      <c r="G28" s="3593" t="n">
        <v>0</v>
      </c>
      <c r="I28" s="3601">
        <f>'Fish and aqua'!$AA$79</f>
        <v/>
      </c>
      <c r="J28" s="3510" t="n"/>
      <c r="K28" s="992" t="n"/>
      <c r="L28" s="3618" t="n">
        <v>0</v>
      </c>
      <c r="M28" s="3510" t="n"/>
      <c r="O28" s="992" t="n"/>
      <c r="P28" s="992" t="n"/>
      <c r="Q28" s="3496">
        <f>+'Fish and aqua'!AB79+'Fish and aqua'!AB80</f>
        <v/>
      </c>
      <c r="R28" s="3505">
        <f>+'Fish and aqua'!AC79+'Fish and aqua'!AC80</f>
        <v/>
      </c>
      <c r="S28" s="992" t="n"/>
      <c r="T28" s="3517" t="n"/>
      <c r="U28" s="3535" t="n"/>
      <c r="V28" s="3499" t="n"/>
    </row>
    <row r="29">
      <c r="B29" s="1281" t="inlineStr">
        <is>
          <t>Inland Waterbodies</t>
        </is>
      </c>
      <c r="D29" s="3534">
        <f>'Inl. wetlands'!$BP$503</f>
        <v/>
      </c>
      <c r="E29" s="1688" t="n"/>
      <c r="F29" s="3556" t="n"/>
      <c r="H29" s="1688" t="n"/>
      <c r="I29" s="3556" t="n"/>
      <c r="J29" s="3557" t="n"/>
      <c r="K29" s="1688" t="n"/>
      <c r="L29" s="3618">
        <f>'Inl. wetlands'!$BP$503</f>
        <v/>
      </c>
      <c r="M29" s="3557" t="n"/>
      <c r="O29" s="1688" t="n"/>
      <c r="P29" s="1688" t="n"/>
      <c r="Q29" s="3496">
        <f>'Inl. wetlands'!$BQ$503</f>
        <v/>
      </c>
      <c r="R29" s="3505">
        <f>'Inl. wetlands'!$BR$503</f>
        <v/>
      </c>
      <c r="S29" s="1688" t="n"/>
      <c r="T29" s="3517">
        <f>IFERROR(D29/$O$5,0)</f>
        <v/>
      </c>
      <c r="U29" s="3535">
        <f>IFERROR(Q29/$O$5,0)</f>
        <v/>
      </c>
      <c r="V29" s="3499">
        <f>IFERROR(R29/$O$5,0)</f>
        <v/>
      </c>
    </row>
    <row r="30">
      <c r="D30" s="992" t="n"/>
      <c r="E30" s="992" t="n"/>
      <c r="F30" s="992" t="n"/>
      <c r="G30" s="992" t="n"/>
      <c r="H30" s="992" t="n"/>
      <c r="I30" s="992" t="n"/>
      <c r="J30" s="992" t="n"/>
      <c r="K30" s="992" t="n"/>
      <c r="L30" s="992" t="n"/>
      <c r="M30" s="992" t="n"/>
      <c r="N30" s="992" t="n"/>
      <c r="O30" s="992" t="n"/>
      <c r="P30" s="992" t="n"/>
      <c r="Q30" s="992" t="n"/>
      <c r="R30" s="992" t="n"/>
      <c r="S30" s="992" t="n"/>
      <c r="T30" s="992" t="n"/>
      <c r="U30" s="992" t="n"/>
      <c r="V30" s="992" t="n"/>
    </row>
    <row r="31">
      <c r="B31" s="1281" t="inlineStr">
        <is>
          <t>Final balance</t>
        </is>
      </c>
      <c r="D31" s="3492">
        <f>SUM(D17:D29)</f>
        <v/>
      </c>
      <c r="E31" s="992" t="n"/>
      <c r="F31" s="3593">
        <f>SUM(F17:F29)</f>
        <v/>
      </c>
      <c r="G31" s="3593">
        <f>SUM(G17:G29)</f>
        <v/>
      </c>
      <c r="H31" s="992" t="n"/>
      <c r="I31" s="3604">
        <f>SUM(I17:I29)</f>
        <v/>
      </c>
      <c r="J31" s="3605">
        <f>SUM(J17:J29)</f>
        <v/>
      </c>
      <c r="K31" s="3606">
        <f>SUM(K17:K29)</f>
        <v/>
      </c>
      <c r="L31" s="3615">
        <f>SUM(L17:L29)</f>
        <v/>
      </c>
      <c r="M31" s="3616">
        <f>SUM(M17:M29)</f>
        <v/>
      </c>
      <c r="N31" s="3617">
        <f>SUM(N17:N29)</f>
        <v/>
      </c>
      <c r="O31" s="3627" t="n"/>
      <c r="P31" s="992" t="n"/>
      <c r="Q31" s="3492">
        <f>SUM($Q$17:$Q$29)</f>
        <v/>
      </c>
      <c r="R31" s="3492">
        <f>SUM($R$17:$R$29)</f>
        <v/>
      </c>
      <c r="S31" s="992" t="n"/>
      <c r="T31" s="3154">
        <f>SUM(T17:T27)</f>
        <v/>
      </c>
      <c r="U31" s="3154">
        <f>SUM(U17:U27)</f>
        <v/>
      </c>
      <c r="V31" s="3154">
        <f>SUM(V17:V27)</f>
        <v/>
      </c>
    </row>
    <row r="32">
      <c r="D32" s="1688" t="n"/>
      <c r="E32" s="1688" t="n"/>
      <c r="F32" s="1688" t="n"/>
      <c r="G32" s="1688" t="n"/>
      <c r="H32" s="1688" t="n"/>
      <c r="I32" s="1688" t="n"/>
      <c r="J32" s="1688" t="n"/>
      <c r="K32" s="1688" t="n"/>
      <c r="L32" s="1688" t="n"/>
      <c r="M32" s="1688" t="n"/>
      <c r="N32" s="1688" t="n"/>
    </row>
    <row r="34">
      <c r="B34" s="2170" t="inlineStr">
        <is>
          <t>Total Balance</t>
        </is>
      </c>
      <c r="C34" s="1576" t="n"/>
      <c r="D34" s="2276">
        <f>D31+D53+D65</f>
        <v/>
      </c>
      <c r="E34" s="3529" t="n"/>
      <c r="F34" s="3912">
        <f>F31+F53+F65</f>
        <v/>
      </c>
      <c r="G34" s="3913">
        <f>G31+G53+G65</f>
        <v/>
      </c>
      <c r="H34" s="3529" t="n"/>
      <c r="I34" s="3912">
        <f>I31+I53+I65</f>
        <v/>
      </c>
      <c r="J34" s="3914">
        <f>J31+J53+J65</f>
        <v/>
      </c>
      <c r="K34" s="3914">
        <f>K31+K53+K65</f>
        <v/>
      </c>
      <c r="L34" s="3914">
        <f>L31+L53+L65</f>
        <v/>
      </c>
      <c r="M34" s="3914">
        <f>M31+M53+M65</f>
        <v/>
      </c>
      <c r="N34" s="3914">
        <f>N31+N53+N65</f>
        <v/>
      </c>
      <c r="O34" s="3913">
        <f>O31+O53+O65</f>
        <v/>
      </c>
      <c r="T34" s="3912">
        <f>IFERROR(T31+T53+T65,0)</f>
        <v/>
      </c>
      <c r="U34" s="3912">
        <f>IFERROR(U31+U53+U65,0)</f>
        <v/>
      </c>
      <c r="V34" s="3912">
        <f>IFERROR(V31+V53+V65,0)</f>
        <v/>
      </c>
    </row>
    <row r="39">
      <c r="B39" s="2167" t="inlineStr">
        <is>
          <t>INLAND WETLANDS - ORGANIC SOILS</t>
        </is>
      </c>
      <c r="C39" s="2167" t="n"/>
      <c r="D39" s="2167" t="n"/>
      <c r="E39" s="2167" t="n"/>
      <c r="F39" s="2167" t="n"/>
      <c r="G39" s="2167" t="n"/>
      <c r="H39" s="2167" t="n"/>
      <c r="I39" s="2167" t="n"/>
      <c r="J39" s="2167" t="n"/>
      <c r="K39" s="2167" t="n"/>
      <c r="L39" s="2167" t="n"/>
      <c r="M39" s="2167" t="n"/>
      <c r="N39" s="2167" t="n"/>
      <c r="O39" s="2167" t="n"/>
      <c r="P39" s="2167" t="n"/>
    </row>
    <row r="41">
      <c r="B41" s="1281" t="inlineStr">
        <is>
          <t>COMPONENTS OF THE PROJECT</t>
        </is>
      </c>
      <c r="C41" s="1281" t="n"/>
      <c r="D41" s="4566" t="inlineStr">
        <is>
          <t>BALANCE (Project-baseline)</t>
        </is>
      </c>
      <c r="E41" s="1576" t="n"/>
      <c r="F41" s="3586" t="inlineStr">
        <is>
          <t>CO2</t>
        </is>
      </c>
      <c r="G41" s="3583" t="n"/>
      <c r="H41" s="1688" t="n"/>
      <c r="I41" s="1595" t="inlineStr">
        <is>
          <t>N2O</t>
        </is>
      </c>
      <c r="J41" s="3594" t="n"/>
      <c r="K41" s="3594" t="n"/>
      <c r="L41" s="3628" t="inlineStr">
        <is>
          <t xml:space="preserve">CH4 </t>
        </is>
      </c>
      <c r="M41" s="3585" t="n"/>
      <c r="N41" s="3585" t="n"/>
      <c r="O41" s="3630" t="inlineStr">
        <is>
          <t>OTHER</t>
        </is>
      </c>
      <c r="P41" s="3502" t="n"/>
      <c r="Q41" s="4566" t="inlineStr">
        <is>
          <t>Per phase of the project</t>
        </is>
      </c>
      <c r="R41" s="4566" t="n"/>
      <c r="S41" s="1576" t="n"/>
      <c r="T41" s="4566" t="inlineStr">
        <is>
          <t>Mean per year</t>
        </is>
      </c>
      <c r="U41" s="4566" t="n"/>
      <c r="V41" s="4566" t="n"/>
    </row>
    <row r="42">
      <c r="D42" s="1688" t="inlineStr">
        <is>
          <t>All GHG are in tCO2-e</t>
        </is>
      </c>
      <c r="E42" s="1688" t="n"/>
      <c r="F42" s="3583" t="inlineStr">
        <is>
          <t>Biomass</t>
        </is>
      </c>
      <c r="G42" s="3583" t="inlineStr">
        <is>
          <t>Soil</t>
        </is>
      </c>
      <c r="H42" s="1688" t="n"/>
      <c r="I42" s="3594" t="inlineStr">
        <is>
          <t>Soil</t>
        </is>
      </c>
      <c r="J42" s="3594" t="inlineStr">
        <is>
          <t>Fire</t>
        </is>
      </c>
      <c r="K42" s="3594" t="n"/>
      <c r="L42" s="3629" t="inlineStr">
        <is>
          <t>Soil</t>
        </is>
      </c>
      <c r="M42" s="3585" t="inlineStr">
        <is>
          <t>Fire</t>
        </is>
      </c>
      <c r="N42" s="3585" t="n"/>
      <c r="O42" s="1688" t="n"/>
      <c r="P42" s="1688" t="n"/>
      <c r="Q42" s="1688" t="inlineStr">
        <is>
          <t>Implem.</t>
        </is>
      </c>
      <c r="R42" s="1688" t="inlineStr">
        <is>
          <t>Capital.</t>
        </is>
      </c>
      <c r="S42" s="1688" t="n"/>
      <c r="T42" s="1688" t="inlineStr">
        <is>
          <t>Total</t>
        </is>
      </c>
      <c r="U42" s="1688" t="inlineStr">
        <is>
          <t>Implem.</t>
        </is>
      </c>
      <c r="V42" s="1688" t="inlineStr">
        <is>
          <t>Capital.</t>
        </is>
      </c>
    </row>
    <row r="43">
      <c r="D43" s="1688" t="n"/>
      <c r="E43" s="1688" t="n"/>
      <c r="F43" s="1688" t="n"/>
      <c r="G43" s="1688" t="n"/>
      <c r="H43" s="1688" t="n"/>
      <c r="I43" s="1688" t="n"/>
      <c r="J43" s="1688" t="n"/>
      <c r="K43" s="1688" t="n"/>
      <c r="L43" s="1688" t="n"/>
      <c r="M43" s="1688" t="n"/>
      <c r="N43" s="1688" t="n"/>
      <c r="O43" s="1688" t="n"/>
      <c r="P43" s="1688" t="n"/>
      <c r="Q43" s="1688" t="n"/>
      <c r="R43" s="1688" t="n"/>
      <c r="S43" s="1688" t="n"/>
      <c r="T43" s="1688" t="n"/>
      <c r="U43" s="1688" t="n"/>
      <c r="V43" s="1688" t="n"/>
    </row>
    <row r="44">
      <c r="B44" s="1281" t="inlineStr">
        <is>
          <t>Forest land</t>
        </is>
      </c>
      <c r="D44" s="1688" t="n"/>
      <c r="E44" s="1688" t="n"/>
      <c r="F44" s="1576" t="n"/>
      <c r="G44" s="1576" t="n"/>
      <c r="H44" s="1688" t="n"/>
      <c r="I44" s="1688" t="n"/>
      <c r="J44" s="1688" t="n"/>
      <c r="K44" s="1688" t="n"/>
      <c r="L44" s="1576" t="n"/>
      <c r="M44" s="1688" t="n"/>
      <c r="N44" s="1688" t="n"/>
      <c r="O44" s="1688" t="n"/>
      <c r="P44" s="1688" t="n"/>
      <c r="Q44" s="1688" t="n"/>
      <c r="R44" s="1688" t="n"/>
      <c r="S44" s="1688" t="n"/>
      <c r="T44" s="1688" t="n"/>
      <c r="U44" s="1688" t="n"/>
      <c r="V44" s="1688" t="n"/>
    </row>
    <row r="45">
      <c r="B45" s="1469" t="inlineStr">
        <is>
          <t>Deforestation</t>
        </is>
      </c>
      <c r="D45" s="3536">
        <f>'Inl. wetlands'!$BQ$45</f>
        <v/>
      </c>
      <c r="E45" s="992" t="n"/>
      <c r="F45" s="3587">
        <f>'Inl. wetlands'!$BQ$35</f>
        <v/>
      </c>
      <c r="G45" s="3588">
        <f>'Inl. wetlands'!$BQ$36</f>
        <v/>
      </c>
      <c r="H45" s="992" t="n"/>
      <c r="I45" s="3595">
        <f>'Inl. wetlands'!$BQ$38+'Inl. wetlands'!$BQ$41</f>
        <v/>
      </c>
      <c r="J45" s="3597">
        <f>'Inl. wetlands'!$BQ$44</f>
        <v/>
      </c>
      <c r="K45" s="992" t="n"/>
      <c r="L45" s="3620">
        <f>'Inl. wetlands'!$BQ$37+'Inl. wetlands'!$BQ$40</f>
        <v/>
      </c>
      <c r="M45" s="3621">
        <f>'Inl. wetlands'!$BQ$43</f>
        <v/>
      </c>
      <c r="N45" s="992" t="n"/>
      <c r="O45" s="992" t="n"/>
      <c r="P45" s="992" t="n"/>
      <c r="Q45" s="3493">
        <f>'Inl. wetlands'!$BR$45</f>
        <v/>
      </c>
      <c r="R45" s="3494">
        <f>'Inl. wetlands'!$BS$45</f>
        <v/>
      </c>
      <c r="S45" s="992" t="n"/>
      <c r="T45" s="3516">
        <f>IFERROR(D45/time_tot,0)</f>
        <v/>
      </c>
      <c r="U45" s="3503">
        <f>IFERROR(Q45/time_tot,0)</f>
        <v/>
      </c>
      <c r="V45" s="3498">
        <f>IFERROR(R45/time_tot,0)</f>
        <v/>
      </c>
    </row>
    <row r="46">
      <c r="B46" s="1469" t="inlineStr">
        <is>
          <t>Forest degradation</t>
        </is>
      </c>
      <c r="D46" s="3533">
        <f>'Inl. wetlands'!$BQ$349</f>
        <v/>
      </c>
      <c r="E46" s="992" t="n"/>
      <c r="F46" s="3589">
        <f>'Inl. wetlands'!$BQ$339</f>
        <v/>
      </c>
      <c r="G46" s="3590">
        <f>'Inl. wetlands'!$BQ$340+'Inl. wetlands'!$BQ$343</f>
        <v/>
      </c>
      <c r="H46" s="992" t="n"/>
      <c r="I46" s="3598">
        <f>'Inl. wetlands'!$BQ$342+'Inl. wetlands'!$BQ$345</f>
        <v/>
      </c>
      <c r="J46" s="3600">
        <f>'Inl. wetlands'!$BQ$348</f>
        <v/>
      </c>
      <c r="K46" s="992" t="n"/>
      <c r="L46" s="3614">
        <f>'Inl. wetlands'!$BQ$341+'Inl. wetlands'!$BQ$344</f>
        <v/>
      </c>
      <c r="M46" s="3622">
        <f>'Inl. wetlands'!$BQ$347</f>
        <v/>
      </c>
      <c r="N46" s="992" t="n"/>
      <c r="O46" s="992" t="n"/>
      <c r="P46" s="992" t="n"/>
      <c r="Q46" s="3495">
        <f>'Inl. wetlands'!$BR$349</f>
        <v/>
      </c>
      <c r="R46" s="3504">
        <f>'Inl. wetlands'!$BS$349</f>
        <v/>
      </c>
      <c r="S46" s="992" t="n"/>
      <c r="T46" s="3516">
        <f>IFERROR(D46/time_tot,0)</f>
        <v/>
      </c>
      <c r="U46" s="3503">
        <f>IFERROR(Q46/time_tot,0)</f>
        <v/>
      </c>
      <c r="V46" s="3498">
        <f>IFERROR(R46/time_tot,0)</f>
        <v/>
      </c>
    </row>
    <row r="47">
      <c r="B47" s="1469" t="inlineStr">
        <is>
          <t>Af/reforestation</t>
        </is>
      </c>
      <c r="D47" s="3533">
        <f>'Inl. wetlands'!$BQ$144</f>
        <v/>
      </c>
      <c r="E47" s="992" t="n"/>
      <c r="F47" s="3589">
        <f>'Inl. wetlands'!$BQ$134</f>
        <v/>
      </c>
      <c r="G47" s="3590">
        <f>'Inl. wetlands'!$BQ$135+'Inl. wetlands'!$BQ$138</f>
        <v/>
      </c>
      <c r="H47" s="992" t="n"/>
      <c r="I47" s="3598">
        <f>'Inl. wetlands'!$BQ$137+'Inl. wetlands'!$BQ$140</f>
        <v/>
      </c>
      <c r="J47" s="3600">
        <f>'Inl. wetlands'!$BQ$143</f>
        <v/>
      </c>
      <c r="K47" s="992" t="n"/>
      <c r="L47" s="3614">
        <f>'Inl. wetlands'!$BQ$136+'Inl. wetlands'!$BQ$139</f>
        <v/>
      </c>
      <c r="M47" s="3622">
        <f>'Inl. wetlands'!$BQ$142</f>
        <v/>
      </c>
      <c r="N47" s="992" t="n"/>
      <c r="O47" s="992" t="n"/>
      <c r="P47" s="992" t="n"/>
      <c r="Q47" s="3495">
        <f>'Inl. wetlands'!$BR$144</f>
        <v/>
      </c>
      <c r="R47" s="3504">
        <f>'Inl. wetlands'!$BS$144</f>
        <v/>
      </c>
      <c r="S47" s="992" t="n"/>
      <c r="T47" s="3516">
        <f>IFERROR(D47/time_tot,0)</f>
        <v/>
      </c>
      <c r="U47" s="3503">
        <f>IFERROR(Q47/time_tot,0)</f>
        <v/>
      </c>
      <c r="V47" s="3498">
        <f>IFERROR(R47/time_tot,0)</f>
        <v/>
      </c>
    </row>
    <row r="48">
      <c r="B48" s="1281" t="inlineStr">
        <is>
          <t>Non-forest land-use change</t>
        </is>
      </c>
      <c r="D48" s="3533">
        <f>'Inl. wetlands'!$BQ$234</f>
        <v/>
      </c>
      <c r="E48" s="992" t="n"/>
      <c r="F48" s="3589">
        <f>'Inl. wetlands'!$BQ$224</f>
        <v/>
      </c>
      <c r="G48" s="3590">
        <f>'Inl. wetlands'!$BQ$225+'Inl. wetlands'!$BQ$228</f>
        <v/>
      </c>
      <c r="H48" s="992" t="n"/>
      <c r="I48" s="3598">
        <f>'Inl. wetlands'!$BQ$227+'Inl. wetlands'!$BQ$230</f>
        <v/>
      </c>
      <c r="J48" s="3600">
        <f>'Inl. wetlands'!$BQ$233</f>
        <v/>
      </c>
      <c r="K48" s="992" t="n"/>
      <c r="L48" s="3614">
        <f>'Inl. wetlands'!$BQ$226+'Inl. wetlands'!$BQ$229</f>
        <v/>
      </c>
      <c r="M48" s="3622">
        <f>'Inl. wetlands'!$BQ$232</f>
        <v/>
      </c>
      <c r="N48" s="992" t="n"/>
      <c r="O48" s="992" t="n"/>
      <c r="P48" s="992" t="n"/>
      <c r="Q48" s="3495">
        <f>'Inl. wetlands'!$BR$234</f>
        <v/>
      </c>
      <c r="R48" s="3504">
        <f>'Inl. wetlands'!$BS$234</f>
        <v/>
      </c>
      <c r="S48" s="992" t="n"/>
      <c r="T48" s="3516">
        <f>IFERROR(D48/time_tot,0)</f>
        <v/>
      </c>
      <c r="U48" s="3503">
        <f>IFERROR(Q48/time_tot,0)</f>
        <v/>
      </c>
      <c r="V48" s="3498">
        <f>IFERROR(R48/time_tot,0)</f>
        <v/>
      </c>
    </row>
    <row r="49">
      <c r="B49" s="1281" t="inlineStr">
        <is>
          <t>Non-forest land management</t>
        </is>
      </c>
      <c r="D49" s="3533">
        <f>'Inl. wetlands'!$BQ$425</f>
        <v/>
      </c>
      <c r="E49" s="992" t="n"/>
      <c r="F49" s="3589">
        <f>'Inl. wetlands'!$BQ$415</f>
        <v/>
      </c>
      <c r="G49" s="3590">
        <f>'Inl. wetlands'!$BQ$416+'Inl. wetlands'!$BQ$419</f>
        <v/>
      </c>
      <c r="H49" s="992" t="n"/>
      <c r="I49" s="3598">
        <f>'Inl. wetlands'!$BQ$418+'Inl. wetlands'!$BQ$421</f>
        <v/>
      </c>
      <c r="J49" s="3600">
        <f>'Inl. wetlands'!$BQ$424</f>
        <v/>
      </c>
      <c r="K49" s="992" t="n"/>
      <c r="L49" s="3614">
        <f>'Inl. wetlands'!$BQ$417+'Inl. wetlands'!$BQ$420</f>
        <v/>
      </c>
      <c r="M49" s="3622">
        <f>'Inl. wetlands'!$BQ$423</f>
        <v/>
      </c>
      <c r="N49" s="992" t="n"/>
      <c r="O49" s="992" t="n"/>
      <c r="P49" s="992" t="n"/>
      <c r="Q49" s="3495">
        <f>'Inl. wetlands'!$BR$425</f>
        <v/>
      </c>
      <c r="R49" s="3504">
        <f>'Inl. wetlands'!$BS$425</f>
        <v/>
      </c>
      <c r="S49" s="992" t="n"/>
      <c r="T49" s="3516">
        <f>IFERROR(D49/time_tot,0)</f>
        <v/>
      </c>
      <c r="U49" s="3503">
        <f>IFERROR(Q49/time_tot,0)</f>
        <v/>
      </c>
      <c r="V49" s="3498">
        <f>IFERROR(R49/time_tot,0)</f>
        <v/>
      </c>
    </row>
    <row r="50">
      <c r="B50" s="1281" t="inlineStr">
        <is>
          <t>Peat extraction</t>
        </is>
      </c>
      <c r="D50" s="3533">
        <f>'Inl. wetlands'!$BQ$483</f>
        <v/>
      </c>
      <c r="E50" s="992" t="n"/>
      <c r="F50" s="3508" t="n"/>
      <c r="G50" s="3590">
        <f>'Inl. wetlands'!$BQ$474</f>
        <v/>
      </c>
      <c r="H50" s="992" t="n"/>
      <c r="I50" s="3598">
        <f>'Inl. wetlands'!$BQ$476</f>
        <v/>
      </c>
      <c r="J50" s="3509" t="n"/>
      <c r="K50" s="992" t="n"/>
      <c r="L50" s="3614" t="n">
        <v>0</v>
      </c>
      <c r="M50" s="3509" t="n"/>
      <c r="N50" s="992" t="n"/>
      <c r="O50" s="992" t="n"/>
      <c r="P50" s="992" t="n"/>
      <c r="Q50" s="3495">
        <f>'Inl. wetlands'!$BR$474</f>
        <v/>
      </c>
      <c r="R50" s="3504">
        <f>'Inl. wetlands'!$BS$474</f>
        <v/>
      </c>
      <c r="S50" s="992" t="n"/>
      <c r="T50" s="3516">
        <f>IFERROR(D50/time_tot,0)</f>
        <v/>
      </c>
      <c r="U50" s="3503">
        <f>IFERROR(Q50/time_tot,0)</f>
        <v/>
      </c>
      <c r="V50" s="3498">
        <f>IFERROR(R50/time_tot,0)</f>
        <v/>
      </c>
    </row>
    <row r="52">
      <c r="D52" s="1688" t="n"/>
      <c r="E52" s="1688" t="n"/>
      <c r="F52" s="1688" t="n"/>
      <c r="G52" s="1688" t="n"/>
      <c r="H52" s="1688" t="n"/>
      <c r="I52" s="1688" t="n"/>
      <c r="J52" s="1688" t="n"/>
      <c r="K52" s="1688" t="n"/>
      <c r="M52" s="1688" t="n"/>
      <c r="N52" s="1688" t="n"/>
      <c r="O52" s="1688" t="n"/>
      <c r="P52" s="1688" t="n"/>
      <c r="Q52" s="1688" t="n"/>
      <c r="R52" s="1688" t="n"/>
      <c r="S52" s="1688" t="n"/>
      <c r="T52" s="1688" t="n"/>
      <c r="U52" s="1688" t="n"/>
      <c r="V52" s="1688" t="n"/>
    </row>
    <row r="53">
      <c r="B53" s="1281" t="inlineStr">
        <is>
          <t>Final balance</t>
        </is>
      </c>
      <c r="D53" s="992">
        <f>SUM(D45:D50)</f>
        <v/>
      </c>
      <c r="E53" s="992" t="n"/>
      <c r="F53" s="3506">
        <f>SUM(F45:F50)</f>
        <v/>
      </c>
      <c r="G53" s="3506">
        <f>SUM(G45:G50)</f>
        <v/>
      </c>
      <c r="H53" s="3506" t="n"/>
      <c r="I53" s="3506">
        <f>SUM(I45:I50)</f>
        <v/>
      </c>
      <c r="J53" s="3506">
        <f>SUM(J45:J50)</f>
        <v/>
      </c>
      <c r="K53" s="3506" t="n"/>
      <c r="L53" s="3506">
        <f>SUM(L45:L50)</f>
        <v/>
      </c>
      <c r="M53" s="3506">
        <f>SUM(M45:M50)</f>
        <v/>
      </c>
      <c r="N53" s="1688" t="n"/>
      <c r="O53" s="3506" t="n"/>
      <c r="P53" s="3506" t="n"/>
      <c r="Q53" s="3506">
        <f>SUM(Q45:Q50)</f>
        <v/>
      </c>
      <c r="R53" s="3506">
        <f>SUM(R45:R50)</f>
        <v/>
      </c>
      <c r="S53" s="992" t="n"/>
      <c r="T53" s="3506">
        <f>SUM(T45:T51)</f>
        <v/>
      </c>
      <c r="U53" s="3507">
        <f>SUM(U45:U51)</f>
        <v/>
      </c>
      <c r="V53" s="3519">
        <f>SUM(V45:V51)</f>
        <v/>
      </c>
    </row>
    <row r="54">
      <c r="D54" s="1688" t="n"/>
      <c r="E54" s="1688" t="n"/>
      <c r="F54" s="1688" t="n"/>
      <c r="G54" s="1688" t="n"/>
      <c r="H54" s="1688" t="n"/>
      <c r="I54" s="1688" t="n"/>
      <c r="J54" s="1688" t="n"/>
      <c r="K54" s="1688" t="n"/>
      <c r="L54" s="1688" t="n"/>
      <c r="M54" s="1688" t="n"/>
      <c r="N54" s="1688" t="n"/>
      <c r="O54" s="1688" t="n"/>
      <c r="P54" s="1688" t="n"/>
      <c r="Q54" s="1688" t="n"/>
      <c r="R54" s="1688" t="n"/>
      <c r="S54" s="1688" t="n"/>
      <c r="T54" s="1688" t="n"/>
      <c r="U54" s="1688" t="n"/>
      <c r="V54" s="1688" t="n"/>
    </row>
    <row r="55">
      <c r="B55" s="2167" t="inlineStr">
        <is>
          <t>ENERGY &amp; INFRASTRUCTURES</t>
        </is>
      </c>
      <c r="C55" s="2167" t="n"/>
      <c r="D55" s="2167" t="n"/>
      <c r="E55" s="2167" t="n"/>
      <c r="F55" s="2167" t="n"/>
      <c r="G55" s="2167" t="n"/>
      <c r="H55" s="2167" t="n"/>
      <c r="I55" s="2167" t="n"/>
      <c r="J55" s="2167" t="n"/>
      <c r="K55" s="2167" t="n"/>
      <c r="L55" s="2167" t="n"/>
      <c r="M55" s="2167" t="n"/>
      <c r="N55" s="2167" t="n"/>
      <c r="O55" s="2167" t="n"/>
      <c r="P55" s="2167" t="n"/>
    </row>
    <row r="57">
      <c r="B57" s="1281" t="inlineStr">
        <is>
          <t>COMPONENTS OF THE PROJECT</t>
        </is>
      </c>
      <c r="C57" s="1281" t="n"/>
      <c r="D57" s="4566" t="inlineStr">
        <is>
          <t>BALANCE (Project-baseline)</t>
        </is>
      </c>
      <c r="E57" s="1576" t="n"/>
      <c r="F57" s="3586" t="inlineStr">
        <is>
          <t>CO2</t>
        </is>
      </c>
      <c r="G57" s="3583" t="n"/>
      <c r="H57" s="1688" t="n"/>
      <c r="I57" s="1595" t="inlineStr">
        <is>
          <t>N2O</t>
        </is>
      </c>
      <c r="J57" s="3594" t="n"/>
      <c r="K57" s="3594" t="n"/>
      <c r="L57" s="3628" t="inlineStr">
        <is>
          <t xml:space="preserve">CH4 </t>
        </is>
      </c>
      <c r="M57" s="3585" t="n"/>
      <c r="N57" s="3585" t="n"/>
      <c r="O57" s="3630" t="inlineStr">
        <is>
          <t>OTHER</t>
        </is>
      </c>
      <c r="P57" s="3502" t="n"/>
      <c r="Q57" s="4566" t="inlineStr">
        <is>
          <t>Per phase of the project</t>
        </is>
      </c>
      <c r="R57" s="4566" t="n"/>
      <c r="S57" s="1576" t="n"/>
      <c r="T57" s="4566" t="inlineStr">
        <is>
          <t>Mean per year</t>
        </is>
      </c>
      <c r="U57" s="4566" t="n"/>
      <c r="V57" s="4566" t="n"/>
    </row>
    <row r="58">
      <c r="D58" s="1688" t="inlineStr">
        <is>
          <t>All GHG are in tCO2-e</t>
        </is>
      </c>
      <c r="E58" s="1688" t="n"/>
      <c r="F58" s="3583" t="inlineStr">
        <is>
          <t>Biomass</t>
        </is>
      </c>
      <c r="G58" s="3583" t="inlineStr">
        <is>
          <t>Soil</t>
        </is>
      </c>
      <c r="H58" s="1688" t="n"/>
      <c r="I58" s="3594" t="inlineStr">
        <is>
          <t>Soil</t>
        </is>
      </c>
      <c r="J58" s="3594" t="inlineStr">
        <is>
          <t>Fire</t>
        </is>
      </c>
      <c r="K58" s="3594" t="n"/>
      <c r="L58" s="3629" t="inlineStr">
        <is>
          <t>Soil</t>
        </is>
      </c>
      <c r="M58" s="3585" t="inlineStr">
        <is>
          <t>Fire</t>
        </is>
      </c>
      <c r="N58" s="3585" t="n"/>
      <c r="O58" s="3607" t="n"/>
      <c r="P58" s="1688" t="n"/>
      <c r="Q58" s="1688" t="inlineStr">
        <is>
          <t>Implem.</t>
        </is>
      </c>
      <c r="R58" s="1688" t="inlineStr">
        <is>
          <t>Capital.</t>
        </is>
      </c>
      <c r="S58" s="1688" t="n"/>
      <c r="T58" s="1688" t="inlineStr">
        <is>
          <t>Total</t>
        </is>
      </c>
      <c r="U58" s="1688" t="inlineStr">
        <is>
          <t>Implem.</t>
        </is>
      </c>
      <c r="V58" s="1688" t="inlineStr">
        <is>
          <t>Capital.</t>
        </is>
      </c>
    </row>
    <row r="59">
      <c r="B59" s="973" t="inlineStr">
        <is>
          <t>Agricultural inputs</t>
        </is>
      </c>
      <c r="D59" s="3536">
        <f>Inputs!$Q$75</f>
        <v/>
      </c>
      <c r="E59" s="1688" t="n"/>
      <c r="F59" s="1688" t="n"/>
      <c r="G59" s="3590">
        <f>Inputs!Q12</f>
        <v/>
      </c>
      <c r="H59" s="992" t="n"/>
      <c r="I59" s="3598">
        <f>Inputs!Q40</f>
        <v/>
      </c>
      <c r="J59" s="1688" t="n"/>
      <c r="K59" s="1688" t="n"/>
      <c r="L59" s="1688" t="n"/>
      <c r="M59" s="1688" t="n"/>
      <c r="O59" s="3624">
        <f>Inputs!Q21+Inputs!Q69</f>
        <v/>
      </c>
      <c r="P59" s="1688" t="n"/>
      <c r="Q59" s="992">
        <f>Inputs!$W$11+Inputs!$W$20+Inputs!$W$40+Inputs!$W$68</f>
        <v/>
      </c>
      <c r="R59" s="992">
        <f>D59-Q59</f>
        <v/>
      </c>
      <c r="S59" s="1688" t="n"/>
      <c r="T59" s="3516">
        <f>IFERROR(D59/time_tot,0)</f>
        <v/>
      </c>
      <c r="U59" s="3503">
        <f>IFERROR(Q59/time_tot,0)</f>
        <v/>
      </c>
      <c r="V59" s="3498">
        <f>IFERROR(R59/time_tot,0)</f>
        <v/>
      </c>
    </row>
    <row r="60">
      <c r="B60" s="973" t="inlineStr">
        <is>
          <t>Fisheries &amp; Feeds</t>
        </is>
      </c>
      <c r="D60" s="3536">
        <f>'Fish and aqua'!$AG$42+'Fish and aqua'!$AA$78</f>
        <v/>
      </c>
      <c r="E60" s="1688" t="n"/>
      <c r="F60" s="1688" t="n"/>
      <c r="G60" s="1688" t="n"/>
      <c r="H60" s="1688" t="n"/>
      <c r="I60" s="1688" t="n"/>
      <c r="J60" s="1688" t="n"/>
      <c r="K60" s="1688" t="n"/>
      <c r="L60" s="1688" t="n"/>
      <c r="M60" s="1688" t="n"/>
      <c r="O60" s="3625">
        <f>D60</f>
        <v/>
      </c>
      <c r="P60" s="1688" t="n"/>
      <c r="Q60" s="992">
        <f>'Fish and aqua'!AB78+'Fish and aqua'!AH39</f>
        <v/>
      </c>
      <c r="R60" s="992">
        <f>D60-Q60</f>
        <v/>
      </c>
      <c r="S60" s="1688" t="n"/>
      <c r="T60" s="3516">
        <f>IFERROR(D60/time_tot,0)</f>
        <v/>
      </c>
      <c r="U60" s="3503">
        <f>IFERROR(Q60/time_tot,0)</f>
        <v/>
      </c>
      <c r="V60" s="3498">
        <f>IFERROR(R60/time_tot,0)</f>
        <v/>
      </c>
    </row>
    <row r="61">
      <c r="B61" s="973" t="inlineStr">
        <is>
          <t>Energy use</t>
        </is>
      </c>
      <c r="D61" s="3536">
        <f>Inputs!$Q$103</f>
        <v/>
      </c>
      <c r="E61" s="1688" t="n"/>
      <c r="F61" s="1688" t="n"/>
      <c r="G61" s="1688" t="n"/>
      <c r="H61" s="1688" t="n"/>
      <c r="I61" s="1688" t="n"/>
      <c r="J61" s="1688" t="n"/>
      <c r="K61" s="1688" t="n"/>
      <c r="L61" s="1688" t="n"/>
      <c r="M61" s="1688" t="n"/>
      <c r="O61" s="3625">
        <f>D61</f>
        <v/>
      </c>
      <c r="P61" s="1688" t="n"/>
      <c r="Q61" s="992">
        <f>Inputs!$W$98</f>
        <v/>
      </c>
      <c r="R61" s="992">
        <f>D61-Q61</f>
        <v/>
      </c>
      <c r="S61" s="1688" t="n"/>
      <c r="T61" s="3516">
        <f>IFERROR(D61/time_tot,0)</f>
        <v/>
      </c>
      <c r="U61" s="3503">
        <f>IFERROR(Q61/time_tot,0)</f>
        <v/>
      </c>
      <c r="V61" s="3498">
        <f>IFERROR(R61/time_tot,0)</f>
        <v/>
      </c>
    </row>
    <row r="62">
      <c r="B62" s="973" t="inlineStr">
        <is>
          <t>Irrigation</t>
        </is>
      </c>
      <c r="D62" s="3536">
        <f>Inputs!$Q$133</f>
        <v/>
      </c>
      <c r="E62" s="1688" t="n"/>
      <c r="F62" s="1688" t="n"/>
      <c r="G62" s="1688" t="n"/>
      <c r="H62" s="1688" t="n"/>
      <c r="I62" s="1688" t="n"/>
      <c r="J62" s="1688" t="n"/>
      <c r="K62" s="1688" t="n"/>
      <c r="L62" s="1688" t="n"/>
      <c r="M62" s="1688" t="n"/>
      <c r="O62" s="3625">
        <f>D62</f>
        <v/>
      </c>
      <c r="P62" s="1688" t="n"/>
      <c r="Q62" s="992">
        <f>Inputs!$W$129</f>
        <v/>
      </c>
      <c r="R62" s="992">
        <f>D62-Q62</f>
        <v/>
      </c>
      <c r="S62" s="1688" t="n"/>
      <c r="T62" s="3516">
        <f>IFERROR(D62/time_tot,0)</f>
        <v/>
      </c>
      <c r="U62" s="3503">
        <f>IFERROR(Q62/time_tot,0)</f>
        <v/>
      </c>
      <c r="V62" s="3498">
        <f>IFERROR(R62/time_tot,0)</f>
        <v/>
      </c>
    </row>
    <row r="63">
      <c r="B63" s="973" t="inlineStr">
        <is>
          <t>Infrastructures</t>
        </is>
      </c>
      <c r="D63" s="3536">
        <f>Inputs!$Q$153</f>
        <v/>
      </c>
      <c r="F63" s="1688" t="n"/>
      <c r="G63" s="1688" t="n"/>
      <c r="H63" s="1688" t="n"/>
      <c r="I63" s="1688" t="n"/>
      <c r="J63" s="1688" t="n"/>
      <c r="K63" s="1688" t="n"/>
      <c r="L63" s="1688" t="n"/>
      <c r="M63" s="1688" t="n"/>
      <c r="O63" s="3626">
        <f>D63</f>
        <v/>
      </c>
      <c r="Q63" s="992">
        <f>Inputs!$W$144</f>
        <v/>
      </c>
      <c r="R63" s="992">
        <f>D63-Q63</f>
        <v/>
      </c>
      <c r="T63" s="3516">
        <f>IFERROR(D63/time_tot,0)</f>
        <v/>
      </c>
      <c r="U63" s="3503">
        <f>IFERROR(Q63/time_tot,0)</f>
        <v/>
      </c>
      <c r="V63" s="3498">
        <f>IFERROR(R63/time_tot,0)</f>
        <v/>
      </c>
    </row>
    <row r="65">
      <c r="B65" s="973" t="inlineStr">
        <is>
          <t>Balance Inputs &amp; Energy</t>
        </is>
      </c>
      <c r="D65" s="992">
        <f>SUM(D59:D63)</f>
        <v/>
      </c>
      <c r="E65" s="992">
        <f>SUM(E59:E63)</f>
        <v/>
      </c>
      <c r="F65" s="992">
        <f>SUM(F59:F63)</f>
        <v/>
      </c>
      <c r="G65" s="992">
        <f>SUM(G59:G63)</f>
        <v/>
      </c>
      <c r="H65" s="992">
        <f>SUM(H59:H63)</f>
        <v/>
      </c>
      <c r="I65" s="992">
        <f>SUM(I59:I63)</f>
        <v/>
      </c>
      <c r="J65" s="992">
        <f>SUM(J59:J63)</f>
        <v/>
      </c>
      <c r="K65" s="992">
        <f>SUM(K59:K63)</f>
        <v/>
      </c>
      <c r="L65" s="992">
        <f>SUM(L59:L63)</f>
        <v/>
      </c>
      <c r="M65" s="992">
        <f>SUM(M59:M63)</f>
        <v/>
      </c>
      <c r="N65" s="992">
        <f>SUM(N59:N63)</f>
        <v/>
      </c>
      <c r="O65" s="992">
        <f>SUM(O59:O63)</f>
        <v/>
      </c>
      <c r="P65" s="3506" t="n"/>
      <c r="Q65" s="3506">
        <f>SUM(Q57:Q62)</f>
        <v/>
      </c>
      <c r="R65" s="3506">
        <f>SUM(R57:R62)</f>
        <v/>
      </c>
      <c r="S65" s="992" t="n"/>
      <c r="T65" s="3506">
        <f>SUM(T57:T63)</f>
        <v/>
      </c>
      <c r="U65" s="3507">
        <f>SUM(U57:U63)</f>
        <v/>
      </c>
      <c r="V65" s="3519">
        <f>SUM(V57:V63)</f>
        <v/>
      </c>
    </row>
    <row r="67">
      <c r="B67" s="2167" t="inlineStr">
        <is>
          <t>Uncertainties</t>
        </is>
      </c>
      <c r="C67" s="3489" t="n"/>
      <c r="D67" s="3489" t="n"/>
      <c r="E67" s="3489" t="n"/>
      <c r="F67" s="3489" t="n"/>
      <c r="G67" s="3489" t="n"/>
      <c r="H67" s="3489" t="n"/>
      <c r="I67" s="3489" t="n"/>
      <c r="J67" s="3489" t="n"/>
      <c r="K67" s="3489" t="n"/>
      <c r="L67" s="3489" t="n"/>
      <c r="M67" s="3489" t="n"/>
      <c r="N67" s="3489" t="n"/>
      <c r="O67" s="3489" t="n"/>
      <c r="P67" s="3489" t="n"/>
      <c r="Q67" s="3489" t="n"/>
      <c r="R67" s="3489" t="n"/>
      <c r="S67" s="3489" t="n"/>
      <c r="T67" s="3489" t="n"/>
      <c r="U67" s="3489" t="n"/>
      <c r="V67" s="3489" t="n"/>
    </row>
    <row r="68">
      <c r="B68" s="3907" t="inlineStr">
        <is>
          <t>Notes about UNCERTAINTIES</t>
        </is>
      </c>
      <c r="C68" s="3897" t="n"/>
      <c r="D68" s="3897" t="n"/>
      <c r="E68" s="4604" t="inlineStr">
        <is>
          <t>EX-ACT calculations are either on default coefficients (Tier 1 approach) or values provided by the user (Tier 2 approach). A single project may use a combination of Tier 1 and Tier 2 approaches. It is thus extremely difficult to provide uncertainties associated with the values provided by EX-ACT. Most default coefficients are associated with large to extremely large uncertainties. However, as it is important to have an idea of the uncertainties the table below provide indication of the minimum level of uncertainty user may expect. The following representation of the level of uncertainties was used:</t>
        </is>
      </c>
    </row>
    <row r="69">
      <c r="B69" s="3907" t="n"/>
      <c r="C69" s="3897" t="n"/>
      <c r="D69" s="3897" t="n"/>
    </row>
    <row r="70">
      <c r="B70" s="3907" t="n"/>
      <c r="C70" s="3897" t="n"/>
      <c r="D70" s="3897" t="n"/>
    </row>
    <row r="71">
      <c r="B71" s="3897" t="n"/>
      <c r="C71" s="3898" t="n"/>
      <c r="D71" s="3898" t="n"/>
    </row>
    <row r="72">
      <c r="B72" s="3897" t="n"/>
      <c r="C72" s="3898" t="n"/>
      <c r="D72" s="3898" t="n"/>
    </row>
    <row r="73">
      <c r="F73" s="4604" t="n"/>
      <c r="G73" s="4604" t="n"/>
      <c r="H73" s="4604" t="n"/>
      <c r="I73" s="4604" t="n"/>
      <c r="J73" s="4604" t="n"/>
      <c r="K73" s="3899" t="inlineStr">
        <is>
          <t>%</t>
        </is>
      </c>
      <c r="N73" s="1281" t="n"/>
      <c r="O73" s="1281" t="n"/>
      <c r="P73" s="1281" t="n"/>
      <c r="Q73" s="1281" t="n"/>
      <c r="R73" s="1281" t="n"/>
    </row>
    <row r="74" ht="15" customHeight="1">
      <c r="F74" s="3908" t="inlineStr">
        <is>
          <t>*</t>
        </is>
      </c>
      <c r="G74" s="3900" t="inlineStr">
        <is>
          <t>Low uncertainty</t>
        </is>
      </c>
      <c r="H74" s="3901" t="n"/>
      <c r="I74" s="4604" t="n"/>
      <c r="J74" s="4604" t="n"/>
      <c r="K74" s="3902" t="n">
        <v>10</v>
      </c>
    </row>
    <row r="75" ht="15" customHeight="1">
      <c r="F75" s="3908" t="inlineStr">
        <is>
          <t>**</t>
        </is>
      </c>
      <c r="G75" s="3900" t="inlineStr">
        <is>
          <t>Moderate uncertainties</t>
        </is>
      </c>
      <c r="H75" s="3901" t="n"/>
      <c r="I75" s="4604" t="n"/>
      <c r="J75" s="4604" t="n"/>
      <c r="K75" s="3902" t="n">
        <v>20</v>
      </c>
    </row>
    <row r="76" ht="15" customHeight="1">
      <c r="F76" s="3908" t="inlineStr">
        <is>
          <t>***</t>
        </is>
      </c>
      <c r="G76" s="3900" t="inlineStr">
        <is>
          <t>High uncertainties</t>
        </is>
      </c>
      <c r="H76" s="3901" t="n"/>
      <c r="I76" s="4604" t="n"/>
      <c r="J76" s="4604" t="n"/>
      <c r="K76" s="3902" t="n">
        <v>33</v>
      </c>
    </row>
    <row r="77" ht="15" customHeight="1">
      <c r="F77" s="3908" t="inlineStr">
        <is>
          <t>****</t>
        </is>
      </c>
      <c r="G77" s="3900" t="inlineStr">
        <is>
          <t>Very high uncertainty</t>
        </is>
      </c>
      <c r="H77" s="3901" t="n"/>
      <c r="I77" s="4604" t="n"/>
      <c r="J77" s="4604" t="n"/>
      <c r="K77" s="3902" t="n">
        <v>50</v>
      </c>
    </row>
    <row r="80">
      <c r="B80" s="1281" t="inlineStr">
        <is>
          <t>Components of the project</t>
        </is>
      </c>
      <c r="E80" s="1281" t="inlineStr">
        <is>
          <t>Indication of the level of uncertainty</t>
        </is>
      </c>
    </row>
    <row r="81" ht="33" customHeight="1">
      <c r="E81" s="3584" t="inlineStr">
        <is>
          <t>CO2 BIOMASS</t>
        </is>
      </c>
      <c r="F81" s="3584" t="inlineStr">
        <is>
          <t>CO2 SOIL</t>
        </is>
      </c>
      <c r="G81" s="3584" t="inlineStr">
        <is>
          <t>N2O</t>
        </is>
      </c>
      <c r="H81" s="3584" t="inlineStr">
        <is>
          <t>CH4</t>
        </is>
      </c>
      <c r="I81" s="3584" t="inlineStr">
        <is>
          <t>OTHER</t>
        </is>
      </c>
      <c r="K81" s="3584" t="inlineStr">
        <is>
          <t>CO2 BIOMASS</t>
        </is>
      </c>
      <c r="L81" s="3584" t="inlineStr">
        <is>
          <t>CO2 SOIL</t>
        </is>
      </c>
      <c r="M81" s="3584" t="inlineStr">
        <is>
          <t>N2O</t>
        </is>
      </c>
      <c r="N81" s="3584" t="inlineStr">
        <is>
          <t>CH4</t>
        </is>
      </c>
      <c r="O81" s="3584" t="inlineStr">
        <is>
          <t>OTHER</t>
        </is>
      </c>
      <c r="Q81" s="3584" t="inlineStr">
        <is>
          <t>CO2 BIOMASS</t>
        </is>
      </c>
      <c r="R81" s="3584" t="inlineStr">
        <is>
          <t>CO2 SOIL</t>
        </is>
      </c>
      <c r="S81" s="3584" t="inlineStr">
        <is>
          <t>N2O</t>
        </is>
      </c>
      <c r="T81" s="3584" t="inlineStr">
        <is>
          <t>CH4</t>
        </is>
      </c>
      <c r="U81" s="3584" t="inlineStr">
        <is>
          <t>OTHER</t>
        </is>
      </c>
    </row>
    <row r="82">
      <c r="B82" s="973" t="inlineStr">
        <is>
          <t>Deforestation</t>
        </is>
      </c>
      <c r="D82" s="1688" t="n"/>
      <c r="E82" s="3631">
        <f>IF(IF(SUM('2.LUC'!AT11:AT18,'2.LUC'!AW11:AW18,'2.LUC'!AZ11:AZ18,'2.LUC'!BC11:BC18)&gt;0,"Tier 2","Tier 1")="Tier 1","***","**")</f>
        <v/>
      </c>
      <c r="F82" s="3608">
        <f>IF(IF(SUM('2.LUC'!BF11:BF18)&gt;0,"Tier 2","Tier 1")="Tier 1","****","***")</f>
        <v/>
      </c>
      <c r="G82" s="3609" t="inlineStr">
        <is>
          <t>**</t>
        </is>
      </c>
      <c r="H82" s="3610" t="inlineStr">
        <is>
          <t>**</t>
        </is>
      </c>
      <c r="I82" s="3632" t="n"/>
      <c r="K82" s="3589">
        <f>ABS(IF(E82="*",$K$74,IF(E82="**",$K$75,IF(E82="***",$K$76,$K$77)))*F17/100)</f>
        <v/>
      </c>
      <c r="L82" s="3640">
        <f>ABS(IF(F82="*",$K$74,IF(F82="**",$K$75,IF(F82="***",$K$76,$K$77)))*G17/100)</f>
        <v/>
      </c>
      <c r="M82" s="3599">
        <f>ABS(IF(G82="*",$K$74,IF(G82="**",$K$75,IF(G82="***",$K$76,$K$77)))*SUM(I17,J17)/100)</f>
        <v/>
      </c>
      <c r="N82" s="3612">
        <f>ABS(IF(H82="*",$K$74,IF(H82="**",$K$75,IF(H82="***",$K$76,$K$77)))*SUM(L17,M17)/100)</f>
        <v/>
      </c>
      <c r="O82" s="3509" t="n"/>
      <c r="Q82" s="3589">
        <f>IF(F17=0,0,100*ABS(K82/F17))</f>
        <v/>
      </c>
      <c r="R82" s="3640">
        <f>IF(G17=0,0,100*ABS(L82/G17))</f>
        <v/>
      </c>
      <c r="S82" s="3599">
        <f>IF(SUM(I17:J17)=0,0,100*ABS(M82/SUM(I17:J17)))</f>
        <v/>
      </c>
      <c r="T82" s="3612">
        <f>IF(SUM(M17)=0,0,100*ABS(N82/SUM(M17)))</f>
        <v/>
      </c>
    </row>
    <row r="83">
      <c r="B83" s="973" t="inlineStr">
        <is>
          <t>Forest degradation</t>
        </is>
      </c>
      <c r="D83" s="1688" t="n"/>
      <c r="E83" s="3631">
        <f>IF(IF(SUM('5.Management'!AZ13:AZ20,'5.Management'!BB13:BB20,'5.Management'!BD13:BD20,'5.Management'!BF13:BF20)&gt;0,"Tier 2","Tier 1")="Tier 1","***","**")</f>
        <v/>
      </c>
      <c r="F83" s="3608">
        <f>IF(IF(SUM('5.Management'!BI13:BI20)&gt;0,"Tier 2","Tier 1")="Tier 1","****","***")</f>
        <v/>
      </c>
      <c r="G83" s="3609" t="inlineStr">
        <is>
          <t>**</t>
        </is>
      </c>
      <c r="H83" s="3610" t="inlineStr">
        <is>
          <t>**</t>
        </is>
      </c>
      <c r="I83" s="3632" t="n"/>
      <c r="K83" s="3589">
        <f>ABS(IF(E83="*",$K$74,IF(E83="**",$K$75,IF(E83="***",$K$76,$K$77)))*F18/100)</f>
        <v/>
      </c>
      <c r="L83" s="3640">
        <f>ABS(IF(F83="*",$K$74,IF(F83="**",$K$75,IF(F83="***",$K$76,$K$77)))*G18/100)</f>
        <v/>
      </c>
      <c r="M83" s="3599">
        <f>ABS(IF(G83="*",$K$74,IF(G83="**",$K$75,IF(G83="***",$K$76,$K$77)))*SUM(I18,J18)/100)</f>
        <v/>
      </c>
      <c r="N83" s="3612">
        <f>ABS(IF(H83="*",$K$74,IF(H83="**",$K$75,IF(H83="***",$K$76,$K$77)))*SUM(L18,M18)/100)</f>
        <v/>
      </c>
      <c r="O83" s="3509" t="n"/>
      <c r="Q83" s="3589">
        <f>IF(F18=0,0,100*ABS(K83/F18))</f>
        <v/>
      </c>
      <c r="R83" s="3640">
        <f>IF(G18=0,0,100*ABS(L83/G18))</f>
        <v/>
      </c>
      <c r="S83" s="3599">
        <f>IF(SUM(I18:J18)=0,0,100*ABS(M83/SUM(I18:J18)))</f>
        <v/>
      </c>
      <c r="T83" s="3612">
        <f>IF(SUM(M18)=0,0,100*ABS(N83/SUM(M18)))</f>
        <v/>
      </c>
    </row>
    <row r="84">
      <c r="B84" s="973" t="inlineStr">
        <is>
          <t>Afforestation and reforestation</t>
        </is>
      </c>
      <c r="D84" s="1688" t="n"/>
      <c r="E84" s="3631">
        <f>IF(IF(SUM('2.LUC'!BC36:BC43,'2.LUC'!BF36:BF43,'2.LUC'!BI36:BI43,'2.LUC'!BK36:BK43,'2.LUC'!BQ36:BQ43,'2.LUC'!BT36:BT43)&gt;0,"Tier 2","Tier 1")="Tier 1","***","**")</f>
        <v/>
      </c>
      <c r="F84" s="3608">
        <f>IF(IF(SUM('2.LUC'!BW36:BW43)&gt;0,"Tier 2","Tier 1")="Tier 1","****","***")</f>
        <v/>
      </c>
      <c r="G84" s="3609" t="inlineStr">
        <is>
          <t>**</t>
        </is>
      </c>
      <c r="H84" s="3610" t="inlineStr">
        <is>
          <t>**</t>
        </is>
      </c>
      <c r="I84" s="3632" t="n"/>
      <c r="K84" s="3589">
        <f>ABS(IF(E84="*",$K$74,IF(E84="**",$K$75,IF(E84="***",$K$76,$K$77)))*F19/100)</f>
        <v/>
      </c>
      <c r="L84" s="3640">
        <f>ABS(IF(F84="*",$K$74,IF(F84="**",$K$75,IF(F84="***",$K$76,$K$77)))*G19/100)</f>
        <v/>
      </c>
      <c r="M84" s="3599">
        <f>ABS(IF(G84="*",$K$74,IF(G84="**",$K$75,IF(G84="***",$K$76,$K$77)))*SUM(I19,J19)/100)</f>
        <v/>
      </c>
      <c r="N84" s="3612">
        <f>ABS(IF(H84="*",$K$74,IF(H84="**",$K$75,IF(H84="***",$K$76,$K$77)))*SUM(L19,M19)/100)</f>
        <v/>
      </c>
      <c r="O84" s="3509" t="n"/>
      <c r="Q84" s="3589">
        <f>IF(F19=0,0,100*ABS(K84/F19))</f>
        <v/>
      </c>
      <c r="R84" s="3640">
        <f>IF(G19=0,0,100*ABS(L84/G19))</f>
        <v/>
      </c>
      <c r="S84" s="3599">
        <f>IF(SUM(I19:J19)=0,0,100*ABS(M84/SUM(I19:J19)))</f>
        <v/>
      </c>
      <c r="T84" s="3612">
        <f>IF(SUM(M19)=0,0,100*ABS(N84/SUM(M19)))</f>
        <v/>
      </c>
    </row>
    <row r="85">
      <c r="B85" s="973" t="inlineStr">
        <is>
          <t>Non forest land use change</t>
        </is>
      </c>
      <c r="D85" s="1688" t="n"/>
      <c r="E85" s="3631">
        <f>IF(IF(SUM('2.LUC'!AW61:AW70,'2.LUC'!BE61:BE70)&gt;0,"Tier 2","Tier 1")="Tier 1","***","**")</f>
        <v/>
      </c>
      <c r="F85" s="3608">
        <f>IF(IF(SUM('2.LUC'!AZ61:AZ70,'2.LUC'!BH61:BH70)&gt;0,"Tier 2","Tier 1")="Tier 1","****","***")</f>
        <v/>
      </c>
      <c r="G85" s="3609" t="inlineStr">
        <is>
          <t>**</t>
        </is>
      </c>
      <c r="H85" s="3610" t="inlineStr">
        <is>
          <t>**</t>
        </is>
      </c>
      <c r="I85" s="3632" t="n"/>
      <c r="K85" s="3589">
        <f>ABS(IF(E85="*",$K$74,IF(E85="**",$K$75,IF(E85="***",$K$76,$K$77)))*F20/100)</f>
        <v/>
      </c>
      <c r="L85" s="3640">
        <f>ABS(IF(F85="*",$K$74,IF(F85="**",$K$75,IF(F85="***",$K$76,$K$77)))*G20/100)</f>
        <v/>
      </c>
      <c r="M85" s="3599">
        <f>ABS(IF(G85="*",$K$74,IF(G85="**",$K$75,IF(G85="***",$K$76,$K$77)))*SUM(I20,J20)/100)</f>
        <v/>
      </c>
      <c r="N85" s="3612">
        <f>ABS(IF(H85="*",$K$74,IF(H85="**",$K$75,IF(H85="***",$K$76,$K$77)))*SUM(L20,M20)/100)</f>
        <v/>
      </c>
      <c r="O85" s="3509" t="n"/>
      <c r="Q85" s="3589">
        <f>IF(F20=0,0,100*ABS(K85/F20))</f>
        <v/>
      </c>
      <c r="R85" s="3640">
        <f>IF(G20=0,0,100*ABS(L85/G20))</f>
        <v/>
      </c>
      <c r="S85" s="3599">
        <f>IF(SUM(I20:J20)=0,0,100*ABS(M85/SUM(I20:J20)))</f>
        <v/>
      </c>
      <c r="T85" s="3612">
        <f>IF(SUM(M20)=0,0,100*ABS(N85/SUM(M20)))</f>
        <v/>
      </c>
    </row>
    <row r="86">
      <c r="B86" s="1281" t="inlineStr">
        <is>
          <t>Agriculture</t>
        </is>
      </c>
      <c r="E86" s="3633" t="n"/>
      <c r="F86" s="3634" t="n"/>
      <c r="G86" s="3634" t="n"/>
      <c r="H86" s="3634" t="n"/>
      <c r="I86" s="3632" t="n"/>
      <c r="K86" s="3508" t="n"/>
      <c r="L86" s="3578" t="n"/>
      <c r="M86" s="3578" t="n"/>
      <c r="N86" s="3578" t="n"/>
      <c r="O86" s="3509" t="n"/>
    </row>
    <row r="87">
      <c r="B87" s="973" t="inlineStr">
        <is>
          <t>Annual</t>
        </is>
      </c>
      <c r="D87" s="1688" t="n"/>
      <c r="E87" s="3631">
        <f>IF(IF(SUM('3.Cropland'!BB14:BB17,'3.Cropland'!BL14:BL17,'3.Cropland'!BB25:BB34,'3.Cropland'!BL25:BL34)&gt;0,"Tier 2","Tier 1")="Tier 1","**","*")</f>
        <v/>
      </c>
      <c r="F87" s="3608">
        <f>IF(IF(SUM('3.Cropland'!AT16:AT17,'3.Cropland'!AV14:AV17,'3.Cropland'!AX14:AX17,'3.Cropland'!AZ14:AZ17,'3.Cropland'!AT25:AT34,'3.Cropland'!AV25:AV34,'3.Cropland'!AX25:AX34,'3.Cropland'!AZ25:AZ34)&gt;0,"Tier 2","Tier 1")="Tier 1","****","***")</f>
        <v/>
      </c>
      <c r="G87" s="3609" t="inlineStr">
        <is>
          <t>**</t>
        </is>
      </c>
      <c r="H87" s="3610" t="inlineStr">
        <is>
          <t>**</t>
        </is>
      </c>
      <c r="I87" s="3632" t="n"/>
      <c r="K87" s="3589">
        <f>ABS(IF(E87="*",$K$74,IF(E87="**",$K$75,IF(E87="***",$K$76,$K$77)))*F22/100)</f>
        <v/>
      </c>
      <c r="L87" s="3640">
        <f>ABS(IF(F87="*",$K$74,IF(F87="**",$K$75,IF(F87="***",$K$76,$K$77)))*G22/100)</f>
        <v/>
      </c>
      <c r="M87" s="3599">
        <f>ABS(IF(G87="*",$K$74,IF(G87="**",$K$75,IF(G87="***",$K$76,$K$77)))*SUM(I22,J22)/100)</f>
        <v/>
      </c>
      <c r="N87" s="3612">
        <f>ABS(IF(H87="*",$K$74,IF(H87="**",$K$75,IF(H87="***",$K$76,$K$77)))*SUM(L22,M22)/100)</f>
        <v/>
      </c>
      <c r="O87" s="3509" t="n"/>
      <c r="Q87" s="3589">
        <f>IF(F22=0,0,100*ABS(K87/F22))</f>
        <v/>
      </c>
      <c r="R87" s="3640">
        <f>IF(G22=0,0,100*ABS(L87/G22))</f>
        <v/>
      </c>
      <c r="S87" s="3599">
        <f>IF(SUM(I22:J22)=0,0,100*ABS(M87/SUM(I22:J22)))</f>
        <v/>
      </c>
      <c r="T87" s="3612">
        <f>IF(SUM(M22)=0,0,100*ABS(N87/SUM(M22)))</f>
        <v/>
      </c>
    </row>
    <row r="88">
      <c r="B88" s="973" t="inlineStr">
        <is>
          <t>Perennial</t>
        </is>
      </c>
      <c r="D88" s="1688" t="n"/>
      <c r="E88" s="3631">
        <f>IF(IF(SUM('3.Cropland'!AT56:AT59,'3.Cropland'!AV56:AV59,'3.Cropland'!AT66:AT75,'3.Cropland'!AV66:AV75,'3.Cropland'!BF56:BF59,'3.Cropland'!BF66:BF75)&gt;0,"Tier 2","Tier 1")="Tier 1","***","**")</f>
        <v/>
      </c>
      <c r="F88" s="3608">
        <f>IF(IF(SUM('3.Cropland'!AX58:AX59,'3.Cropland'!AZ56:AZ59,'3.Cropland'!BB56:BB59,'3.Cropland'!BD56:BD59,'3.Cropland'!AX66:AX75,'3.Cropland'!AZ66:AZ75,'3.Cropland'!BB66:BB75,'3.Cropland'!BD66:BD75)&gt;0,"Tier 2","Tier 1")="Tier 1","****","***")</f>
        <v/>
      </c>
      <c r="G88" s="3609" t="inlineStr">
        <is>
          <t>**</t>
        </is>
      </c>
      <c r="H88" s="3610" t="inlineStr">
        <is>
          <t>**</t>
        </is>
      </c>
      <c r="I88" s="3632" t="n"/>
      <c r="K88" s="3589">
        <f>ABS(IF(E88="*",$K$74,IF(E88="**",$K$75,IF(E88="***",$K$76,$K$77)))*F23/100)</f>
        <v/>
      </c>
      <c r="L88" s="3640">
        <f>ABS(IF(F88="*",$K$74,IF(F88="**",$K$75,IF(F88="***",$K$76,$K$77)))*G23/100)</f>
        <v/>
      </c>
      <c r="M88" s="3599">
        <f>ABS(IF(G88="*",$K$74,IF(G88="**",$K$75,IF(G88="***",$K$76,$K$77)))*SUM(I23,J23)/100)</f>
        <v/>
      </c>
      <c r="N88" s="3612">
        <f>ABS(IF(H88="*",$K$74,IF(H88="**",$K$75,IF(H88="***",$K$76,$K$77)))*SUM(L23,M23)/100)</f>
        <v/>
      </c>
      <c r="O88" s="3509" t="n"/>
      <c r="Q88" s="3589">
        <f>IF(F23=0,0,100*ABS(K88/F23))</f>
        <v/>
      </c>
      <c r="R88" s="3640">
        <f>IF(G23=0,0,100*ABS(L88/G23))</f>
        <v/>
      </c>
      <c r="S88" s="3599">
        <f>IF(SUM(I23:J23)=0,0,100*ABS(M88/SUM(I23:J23)))</f>
        <v/>
      </c>
      <c r="T88" s="3612">
        <f>IF(SUM(M23)=0,0,100*ABS(N88/SUM(M23)))</f>
        <v/>
      </c>
    </row>
    <row r="89">
      <c r="B89" s="973" t="inlineStr">
        <is>
          <t>Rice</t>
        </is>
      </c>
      <c r="D89" s="1688" t="n"/>
      <c r="E89" s="3631">
        <f>IF(IF(SUM('3.Cropland'!BI97:BI100,'3.Cropland'!BI108:BI117)&gt;0,"Tier 2","Tier 1")="Tier 1","**","*")</f>
        <v/>
      </c>
      <c r="F89" s="3608">
        <f>IF(IF(SUM('3.Cropland'!AU108:AU117,'3.Cropland'!AW108:AW117)&gt;0,"Tier 2","Tier 1")="Tier 1","****","***")</f>
        <v/>
      </c>
      <c r="G89" s="3609" t="inlineStr">
        <is>
          <t>**</t>
        </is>
      </c>
      <c r="H89" s="3610">
        <f>IF(IF(SUM('3.Cropland'!AW108:AW117,'3.Cropland'!AY108:AY117,'3.Cropland'!BA108:BA117,'3.Cropland'!BC108:BC117,'3.Cropland'!BE108:BE117,'3.Cropland'!BG108:BG117)&gt;0,"Tier 2","Tier 1")="Tier 1","**","*")</f>
        <v/>
      </c>
      <c r="I89" s="3632" t="n"/>
      <c r="K89" s="3589">
        <f>ABS(IF(E89="*",$K$74,IF(E89="**",$K$75,IF(E89="***",$K$76,$K$77)))*F24/100)</f>
        <v/>
      </c>
      <c r="L89" s="3640">
        <f>ABS(IF(F89="*",$K$74,IF(F89="**",$K$75,IF(F89="***",$K$76,$K$77)))*G24/100)</f>
        <v/>
      </c>
      <c r="M89" s="3599">
        <f>ABS(IF(G89="*",$K$74,IF(G89="**",$K$75,IF(G89="***",$K$76,$K$77)))*SUM(I24,J24)/100)</f>
        <v/>
      </c>
      <c r="N89" s="3612">
        <f>ABS(IF(H89="*",$K$74,IF(H89="**",$K$75,IF(H89="***",$K$76,$K$77)))*SUM(L24,M24)/100)</f>
        <v/>
      </c>
      <c r="O89" s="3509" t="n"/>
      <c r="Q89" s="3589">
        <f>IF(F24=0,0,100*ABS(K89/F24))</f>
        <v/>
      </c>
      <c r="R89" s="3640">
        <f>IF(G24=0,0,100*ABS(L89/G24))</f>
        <v/>
      </c>
      <c r="S89" s="3599">
        <f>IF(SUM(J24)=0,0,100*ABS(M89/SUM(J24)))</f>
        <v/>
      </c>
      <c r="T89" s="3612">
        <f>IF(SUM(L24:M24)=0,0,100*ABS(N89/SUM(L24:M24)))</f>
        <v/>
      </c>
    </row>
    <row r="90">
      <c r="B90" s="973" t="inlineStr">
        <is>
          <t>Grasslands</t>
        </is>
      </c>
      <c r="D90" s="1688" t="n"/>
      <c r="E90" s="3631">
        <f>IF(IF(SUM('4.Grassland'!BJ13:BJ16,'4.Grassland'!BJ26:BJ35)&gt;0,"Tier 2","Tier 1")="Tier 1","**","*")</f>
        <v/>
      </c>
      <c r="F90" s="3608">
        <f>IF(IF(SUM('4.Grassland'!BD14,'4.Grassland'!BD16,'4.Grassland'!BF13:BF16,'4.Grassland'!BH13:BH16,'4.Grassland'!BD26:BD35,'4.Grassland'!BF26:BF35,'4.Grassland'!BH26:BH35)&gt;0,"Tier 2","Tier 1")="Tier 1","****","***")</f>
        <v/>
      </c>
      <c r="G90" s="3609" t="inlineStr">
        <is>
          <t>**</t>
        </is>
      </c>
      <c r="H90" s="3610" t="inlineStr">
        <is>
          <t>**</t>
        </is>
      </c>
      <c r="I90" s="3632" t="n"/>
      <c r="K90" s="3589">
        <f>ABS(IF(E90="*",$K$74,IF(E90="**",$K$75,IF(E90="***",$K$76,$K$77)))*F25/100)</f>
        <v/>
      </c>
      <c r="L90" s="3640">
        <f>ABS(IF(F90="*",$K$74,IF(F90="**",$K$75,IF(F90="***",$K$76,$K$77)))*G25/100)</f>
        <v/>
      </c>
      <c r="M90" s="3599">
        <f>ABS(IF(G90="*",$K$74,IF(G90="**",$K$75,IF(G90="***",$K$76,$K$77)))*SUM(I25,J25)/100)</f>
        <v/>
      </c>
      <c r="N90" s="3612">
        <f>ABS(IF(H90="*",$K$74,IF(H90="**",$K$75,IF(H90="***",$K$76,$K$77)))*SUM(L25,M25)/100)</f>
        <v/>
      </c>
      <c r="O90" s="3509" t="n"/>
      <c r="Q90" s="3589">
        <f>IF(F25=0,0,100*ABS(K90/F25))</f>
        <v/>
      </c>
      <c r="R90" s="3640">
        <f>IF(G25=0,0,100*ABS(L90/G25))</f>
        <v/>
      </c>
      <c r="S90" s="3599">
        <f>IF(SUM(J25)=0,0,100*ABS(M90/SUM(J25)))</f>
        <v/>
      </c>
      <c r="T90" s="3612">
        <f>IF(M25=0,0,100*ABS(N90/M25))</f>
        <v/>
      </c>
    </row>
    <row r="91">
      <c r="B91" s="973" t="inlineStr">
        <is>
          <t>Livestock</t>
        </is>
      </c>
      <c r="D91" s="1688" t="n"/>
      <c r="E91" s="3633" t="n"/>
      <c r="F91" s="3634" t="n"/>
      <c r="G91" s="3609">
        <f>IF(IF(SUM('4.Grassland'!BS56:BU66,'4.Grassland'!CC56:CC66)&gt;0,"Tier 2","Tier 1")="Tier 1","***","**")</f>
        <v/>
      </c>
      <c r="H91" s="3610">
        <f>IF(IF(SUM('4.Grassland'!BD56:BF66,'4.Grassland'!BN56:BP66,'4.Grassland'!BZ56:BZ66)&gt;0,"Tier 2","Tier 1")="Tier 1","***","**")</f>
        <v/>
      </c>
      <c r="I91" s="3632" t="n"/>
      <c r="K91" s="3508" t="n"/>
      <c r="L91" s="3578" t="n"/>
      <c r="M91" s="3599">
        <f>ABS(IF(G91="*",$K$74,IF(G91="**",$K$75,IF(G91="***",$K$76,$K$77)))*K26/100)</f>
        <v/>
      </c>
      <c r="N91" s="3612">
        <f>ABS(IF(H91="*",$K$74,IF(H91="**",$K$75,IF(H91="***",$K$76,$K$77)))*N26/100)</f>
        <v/>
      </c>
      <c r="O91" s="3509" t="n"/>
      <c r="S91" s="3599">
        <f>IF(SUM(K26)=0,0,100*ABS(M91/SUM(K26)))</f>
        <v/>
      </c>
      <c r="T91" s="3612">
        <f>IF(N26=0,0,100*ABS(N91/N26))</f>
        <v/>
      </c>
    </row>
    <row r="92">
      <c r="B92" s="1281" t="inlineStr">
        <is>
          <t>Coastal wetlands &amp; Aqua</t>
        </is>
      </c>
      <c r="D92" s="1688" t="n"/>
      <c r="E92" s="3631">
        <f>IF(IF(SUM('7.Coastal wetlands'!BU11:BU16,'7.Coastal wetlands'!BW11:BW16,'7.Coastal wetlands'!BY11:BY16,'7.Coastal wetlands'!CA11:CA16,'7.Coastal wetlands'!BU29:BU34,'7.Coastal wetlands'!BW29:BW34,'7.Coastal wetlands'!BY29:BY34,'7.Coastal wetlands'!CA29:CA34,'7.Coastal wetlands'!BU46:BU51,'7.Coastal wetlands'!BW46:BW51,'7.Coastal wetlands'!BY46:BY51,'7.Coastal wetlands'!CA46:CA51)&gt;0,"Tier 2","Tier 1")="Tier 1","***","**")</f>
        <v/>
      </c>
      <c r="F92" s="3608">
        <f>IF(IF(SUM('7.Coastal wetlands'!CG11:CG16,'7.Coastal wetlands'!CJ11:CJ16,'7.Coastal wetlands'!CG29:CG34,'7.Coastal wetlands'!CJ29:CJ34,'7.Coastal wetlands'!CF46:CF51)&gt;0,"Tier 2","Tier 1")="Tier 1","****","***")</f>
        <v/>
      </c>
      <c r="G92" s="3609">
        <f>IF(IF(SUM('8. Fisheries and aquaculture'!BX74:BX79)&gt;0,"Tier 2","Tier 1")="Tier 1","****","***")</f>
        <v/>
      </c>
      <c r="H92" s="3610">
        <f>IF(IF(SUM('7.Coastal wetlands'!BU65:BU70,'7.Coastal wetlands'!BW65:BW70,'7.Coastal wetlands'!BY65:BY70,'7.Coastal wetlands'!CC65:CC70,'7.Coastal wetlands'!CE65:CE70)&gt;0,"Tier ","Tier 1")="Tier 1","****","***")</f>
        <v/>
      </c>
      <c r="I92" s="3632" t="n"/>
      <c r="K92" s="3589">
        <f>ABS(IF(E92="*",$K$74,IF(E92="**",$K$75,IF(E92="***",$K$76,$K$77)))*F27/100)</f>
        <v/>
      </c>
      <c r="L92" s="3640">
        <f>ABS(IF(F92="*",$K$74,IF(F92="**",$K$75,IF(F92="***",$K$76,$K$77)))*G27/100)</f>
        <v/>
      </c>
      <c r="M92" s="3599">
        <f>ABS(IF(G92="*",$K$74,IF(G92="**",$K$75,IF(G92="***",$K$76,$K$77)))*SUM(I27,J27)/100)</f>
        <v/>
      </c>
      <c r="N92" s="3612">
        <f>ABS(IF(H92="*",$K$74,IF(H92="**",$K$75,IF(H92="***",$K$76,$K$77)))*SUM(L27,M27)/100)</f>
        <v/>
      </c>
      <c r="O92" s="3509" t="n"/>
      <c r="Q92" s="3589">
        <f>IF(F27=0,0,100*ABS(K92/F27))</f>
        <v/>
      </c>
      <c r="R92" s="3589">
        <f>IF(G27=0,0,100*ABS(L92/G27))</f>
        <v/>
      </c>
      <c r="S92" s="3599">
        <f>IF(SUM(I27)=0,0,100*ABS(M92/SUM(I27)))</f>
        <v/>
      </c>
      <c r="T92" s="3612">
        <f>IF(L27=0,0,100*ABS(N92/L27))</f>
        <v/>
      </c>
      <c r="U92" s="3578" t="n"/>
    </row>
    <row r="93">
      <c r="B93" s="1281" t="inlineStr">
        <is>
          <t>Waterbodies</t>
        </is>
      </c>
      <c r="D93" s="1688" t="n"/>
      <c r="E93" s="3633" t="n"/>
      <c r="F93" s="3636" t="n"/>
      <c r="G93" s="3636" t="n"/>
      <c r="H93" s="3610">
        <f>IF(IF(SUM('6.Inland wetlands'!CG197:CG204,'6.Inland wetlands'!CI197:CI204,'6.Inland wetlands'!CK197:CK204,'6.Inland wetlands'!CN197:CN204,'6.Inland wetlands'!CP197:CP204)&gt;0,"Tier 2","Tier 1")="Tier 1","****","***")</f>
        <v/>
      </c>
      <c r="I93" s="3632" t="n"/>
      <c r="K93" s="3508" t="n"/>
      <c r="L93" s="3578" t="n"/>
      <c r="M93" s="3578" t="n"/>
      <c r="N93" s="3612">
        <f>ABS(IF(H93="*",$K$74,IF(H93="**",$K$75,IF(H93="***",$K$76,$K$77)))*L29/100)</f>
        <v/>
      </c>
      <c r="O93" s="3509" t="n"/>
      <c r="Q93" s="3508" t="n"/>
      <c r="R93" s="3508" t="n"/>
      <c r="S93" s="3578" t="n"/>
      <c r="T93" s="3612">
        <f>IF(L29=0,0,100*ABS(N93/L29))</f>
        <v/>
      </c>
      <c r="U93" s="3578" t="n"/>
    </row>
    <row r="94">
      <c r="B94" s="1281" t="inlineStr">
        <is>
          <t>Inland wetlands</t>
        </is>
      </c>
      <c r="D94" s="1688" t="n"/>
      <c r="E94" s="3633" t="n"/>
      <c r="F94" s="3634" t="n"/>
      <c r="G94" s="3634" t="n"/>
      <c r="H94" s="3634" t="n"/>
      <c r="I94" s="3632" t="n"/>
      <c r="K94" s="3508" t="n"/>
      <c r="L94" s="3578" t="n"/>
      <c r="M94" s="3578" t="n"/>
      <c r="N94" s="3578" t="n"/>
      <c r="O94" s="3509" t="n"/>
    </row>
    <row r="95">
      <c r="B95" s="973" t="inlineStr">
        <is>
          <t>Deforestation</t>
        </is>
      </c>
      <c r="D95" s="1688" t="n"/>
      <c r="E95" s="3631">
        <f>IF(IF(SUM('6.Inland wetlands'!AZ13:AZ18,'6.Inland wetlands'!BB13:BB18,'6.Inland wetlands'!BD13:BD17,'6.Inland wetlands'!BF13:BF18)&gt;0,"Tier 2","Tier 1")="Tier 1","***","**")</f>
        <v/>
      </c>
      <c r="F95" s="3608">
        <f>IF(IF(SUM('6.Inland wetlands'!CG13:CG18,'6.Inland wetlands'!CN13:CN18,'6.Inland wetlands'!DY12:DY17,'6.Inland wetlands'!EF12:EF17)&gt;0,"Tier 2","Tier 1")="Tier 1","****","***")</f>
        <v/>
      </c>
      <c r="G95" s="3609">
        <f>IF(IF(SUM('6.Inland wetlands'!CK13:CK18,'6.Inland wetlands'!EC12:EC17)&gt;0,"Tier 2","Tier 1")="Tier 1","****","***")</f>
        <v/>
      </c>
      <c r="H95" s="3610">
        <f>IF(IF(SUM('6.Inland wetlands'!CI13:CI18,'6.Inland wetlands'!CP13:CP18,'6.Inland wetlands'!EA12:EA17)&gt;0,"Tier 2","Tier 1")="Tier 1","****","***")</f>
        <v/>
      </c>
      <c r="I95" s="3635">
        <f>IF(IF(SUM('6.Inland wetlands'!DI13:DI18,'6.Inland wetlands'!DK13:DK18,'6.Inland wetlands'!DM13:DM18,'6.Inland wetlands'!DO13:DO18)&gt;0,"Tier 2","Tier 1")="Tier 1","****","***")</f>
        <v/>
      </c>
      <c r="K95" s="3589">
        <f>ABS(IF(E95="*",$K$74,IF(E95="**",$K$75,IF(E95="***",$K$76,$K$77)))*F45/100)</f>
        <v/>
      </c>
      <c r="L95" s="3640">
        <f>ABS(IF(F95="*",$K$74,IF(F95="**",$K$75,IF(F95="***",$K$76,$K$77)))*G45/100)</f>
        <v/>
      </c>
      <c r="M95" s="3599">
        <f>ABS(IF(G95="*",$K$74,IF(G95="**",$K$75,IF(G95="***",$K$76,$K$77)))*SUM(I45,J45)/100)</f>
        <v/>
      </c>
      <c r="N95" s="3612">
        <f>ABS(IF(H95="*",$K$74,IF(H95="**",$K$75,IF(H95="***",$K$76,$K$77)))*L45/100)</f>
        <v/>
      </c>
      <c r="O95" s="3641">
        <f>ABS(IF(H95="*",$K$74,IF(H95="**",$K$75,IF(H95="***",$K$76,$K$77)))*M45/100)</f>
        <v/>
      </c>
      <c r="Q95" s="3589">
        <f>IF(F45=0,0,100*ABS(K95/F45))</f>
        <v/>
      </c>
      <c r="R95" s="3589">
        <f>IF(G45=0,0,100*ABS(L95/G45))</f>
        <v/>
      </c>
      <c r="S95" s="3599">
        <f>IF(SUM(I45:J45)=0,0,100*ABS(M95/SUM(I45:J45)))</f>
        <v/>
      </c>
      <c r="T95" s="3612">
        <f>IF(L45=0,0,100*ABS(N95/L45))</f>
        <v/>
      </c>
      <c r="U95" s="3625">
        <f>IF(M45=0,0,100*ABS(O95/M45))</f>
        <v/>
      </c>
    </row>
    <row r="96">
      <c r="B96" s="973" t="inlineStr">
        <is>
          <t>Forest Degradation</t>
        </is>
      </c>
      <c r="D96" s="1688" t="n"/>
      <c r="E96" s="3631">
        <f>IF(IF(SUM('6.Inland wetlands'!BD118:BD123,'6.Inland wetlands'!BF118:BF123,'6.Inland wetlands'!BH118:BH123,'6.Inland wetlands'!BJ118:BJ123)&gt;0,"Tier 2","Tier 1")="Tier 1","***","**")</f>
        <v/>
      </c>
      <c r="F96" s="3608">
        <f>IF(IF(SUM('6.Inland wetlands'!CG118:CG123,'6.Inland wetlands'!CN118:CN123,'6.Inland wetlands'!DY118:DY123,'6.Inland wetlands'!EF118:EF123)&gt;0,"Tier 2","Tier 1")="Tier 1","****","***")</f>
        <v/>
      </c>
      <c r="G96" s="3609">
        <f>IF(IF(SUM('6.Inland wetlands'!CK118:CK123,'6.Inland wetlands'!EC118:EC123)&gt;0,"Tier 2","Tier 1")="Tier 1","****","***")</f>
        <v/>
      </c>
      <c r="H96" s="3610">
        <f>IF(IF(SUM('6.Inland wetlands'!CI118:CI123,'6.Inland wetlands'!EA118:EA123)&gt;0,"Tier 2","Tier 1")="Tier 1","****","***")</f>
        <v/>
      </c>
      <c r="I96" s="3635">
        <f>IF(IF(SUM('6.Inland wetlands'!DI118:DI123,'6.Inland wetlands'!DK118:DK123,'6.Inland wetlands'!DM118:DM123,'6.Inland wetlands'!DO118:DO123)&gt;0,"Tier 2","Tier 1")="Tier 1","****","***")</f>
        <v/>
      </c>
      <c r="K96" s="3589">
        <f>ABS(IF(E96="*",$K$74,IF(E96="**",$K$75,IF(E96="***",$K$76,$K$77)))*F46/100)</f>
        <v/>
      </c>
      <c r="L96" s="3640">
        <f>ABS(IF(F96="*",$K$74,IF(F96="**",$K$75,IF(F96="***",$K$76,$K$77)))*G46/100)</f>
        <v/>
      </c>
      <c r="M96" s="3599">
        <f>ABS(IF(G96="*",$K$74,IF(G96="**",$K$75,IF(G96="***",$K$76,$K$77)))*SUM(I46,J46)/100)</f>
        <v/>
      </c>
      <c r="N96" s="3612">
        <f>ABS(IF(H96="*",$K$74,IF(H96="**",$K$75,IF(H96="***",$K$76,$K$77)))*L46/100)</f>
        <v/>
      </c>
      <c r="O96" s="3641">
        <f>ABS(IF(H96="*",$K$74,IF(H96="**",$K$75,IF(H96="***",$K$76,$K$77)))*M46/100)</f>
        <v/>
      </c>
      <c r="Q96" s="3589">
        <f>IF(F46=0,0,100*ABS(K96/F46))</f>
        <v/>
      </c>
      <c r="R96" s="3589">
        <f>IF(G46=0,0,100*ABS(L96/G46))</f>
        <v/>
      </c>
      <c r="S96" s="3599">
        <f>IF(SUM(I46:J46)=0,0,100*ABS(M96/SUM(I46:J46)))</f>
        <v/>
      </c>
      <c r="T96" s="3612">
        <f>IF(L46=0,0,100*ABS(N96/L46))</f>
        <v/>
      </c>
      <c r="U96" s="3625">
        <f>IF(M46=0,0,100*ABS(O96/M46))</f>
        <v/>
      </c>
    </row>
    <row r="97">
      <c r="B97" s="973" t="inlineStr">
        <is>
          <t>Af/reforestation</t>
        </is>
      </c>
      <c r="D97" s="1688" t="n"/>
      <c r="E97" s="3631">
        <f>IF(IF(SUM('6.Inland wetlands'!AX58:AX63,'6.Inland wetlands'!AZ58:AZ63,'6.Inland wetlands'!BC58:BC63,'6.Inland wetlands'!BE58:BE63,'6.Inland wetlands'!BL58:BL63,'6.Inland wetlands'!BO58:BO63)&gt;0,"Tier 2","Tier 1")="Tier 1","***","**")</f>
        <v/>
      </c>
      <c r="F97" s="3608">
        <f>IF(IF(SUM('6.Inland wetlands'!CG58:CG63,'6.Inland wetlands'!CN58:CN63,'6.Inland wetlands'!DY58:DY63,'6.Inland wetlands'!EF58:EF63)&gt;0,"Tier 2","Tier 1")="Tier 1","****","***")</f>
        <v/>
      </c>
      <c r="G97" s="3609">
        <f>IF(IF(SUM('6.Inland wetlands'!CK58:CK63,'6.Inland wetlands'!EC58:EC63)&gt;0,"Tier 2","Tier 1")="Tier 1","****","***")</f>
        <v/>
      </c>
      <c r="H97" s="3610">
        <f>IF(IF(SUM('6.Inland wetlands'!CI58:CI63,'6.Inland wetlands'!CP58:CP63,'6.Inland wetlands'!EA58:EA63)&gt;0,"Tier 2","Tier 1")="Tier 1","****","***")</f>
        <v/>
      </c>
      <c r="I97" s="3635">
        <f>IF(IF(SUM('6.Inland wetlands'!DI46:DI51,'6.Inland wetlands'!DK46:DK51,'6.Inland wetlands'!DM46:DM51,'6.Inland wetlands'!DO46:DO51)&gt;0,"Tier 2","Tier 1")="Tier 1","****","***")</f>
        <v/>
      </c>
      <c r="K97" s="3589">
        <f>ABS(IF(E97="*",$K$74,IF(E97="**",$K$75,IF(E97="***",$K$76,$K$77)))*F47/100)</f>
        <v/>
      </c>
      <c r="L97" s="3640">
        <f>ABS(IF(F97="*",$K$74,IF(F97="**",$K$75,IF(F97="***",$K$76,$K$77)))*G47/100)</f>
        <v/>
      </c>
      <c r="M97" s="3599">
        <f>ABS(IF(G97="*",$K$74,IF(G97="**",$K$75,IF(G97="***",$K$76,$K$77)))*SUM(I47,J47)/100)</f>
        <v/>
      </c>
      <c r="N97" s="3612">
        <f>ABS(IF(H97="*",$K$74,IF(H97="**",$K$75,IF(H97="***",$K$76,$K$77)))*L47/100)</f>
        <v/>
      </c>
      <c r="O97" s="3641">
        <f>ABS(IF(H97="*",$K$74,IF(H97="**",$K$75,IF(H97="***",$K$76,$K$77)))*M47/100)</f>
        <v/>
      </c>
      <c r="Q97" s="3589">
        <f>IF(F47=0,0,100*ABS(K97/F47))</f>
        <v/>
      </c>
      <c r="R97" s="3589">
        <f>IF(G47=0,0,100*ABS(L97/G47))</f>
        <v/>
      </c>
      <c r="S97" s="3599">
        <f>IF(SUM(I47:J47)=0,0,100*ABS(M97/SUM(I47:J47)))</f>
        <v/>
      </c>
      <c r="T97" s="3612">
        <f>IF(L47=0,0,100*ABS(N97/L47))</f>
        <v/>
      </c>
      <c r="U97" s="3625">
        <f>IF(M47=0,0,100*ABS(O97/M47))</f>
        <v/>
      </c>
    </row>
    <row r="98">
      <c r="B98" s="973" t="inlineStr">
        <is>
          <t>Non-forest LUC</t>
        </is>
      </c>
      <c r="D98" s="1688" t="n"/>
      <c r="E98" s="3631">
        <f>IF(IF(SUM('6.Inland wetlands'!AX80:AX85,'6.Inland wetlands'!AX92:AX97)&gt;0,"Tier 2","Tier 1")="Tier 1","***","**")</f>
        <v/>
      </c>
      <c r="F98" s="3608">
        <f>IF(IF(SUM('6.Inland wetlands'!CG80:CG85,'6.Inland wetlands'!CN80:CN85,'6.Inland wetlands'!DY91:DY96,'6.Inland wetlands'!EF91:EF96)&gt;0,"Tier 2","Tier 1")="Tier 1","****","***")</f>
        <v/>
      </c>
      <c r="G98" s="3609">
        <f>IF(IF(SUM('6.Inland wetlands'!CK80:CK85,'6.Inland wetlands'!EC91:EC96)&gt;0,"Tier 2","Tier 1")="Tier 1","****","***")</f>
        <v/>
      </c>
      <c r="H98" s="3610">
        <f>IF(IF(SUM('6.Inland wetlands'!CI80:CI85,'6.Inland wetlands'!EA91:EA96)&gt;0,"Tier 2","Tier 1")="Tier 1","****","***")</f>
        <v/>
      </c>
      <c r="I98" s="3635">
        <f>IF(IF(SUM('6.Inland wetlands'!DI80:DI85,'6.Inland wetlands'!DK80:DK85,'6.Inland wetlands'!DM80:DM85,'6.Inland wetlands'!DO80:DO85)&gt;0,"Tier 2","Tier 1")="Tier 1","****","***")</f>
        <v/>
      </c>
      <c r="K98" s="3589">
        <f>ABS(IF(E98="*",$K$74,IF(E98="**",$K$75,IF(E98="***",$K$76,$K$77)))*F48/100)</f>
        <v/>
      </c>
      <c r="L98" s="3640">
        <f>ABS(IF(F98="*",$K$74,IF(F98="**",$K$75,IF(F98="***",$K$76,$K$77)))*G48/100)</f>
        <v/>
      </c>
      <c r="M98" s="3599">
        <f>ABS(IF(G98="*",$K$74,IF(G98="**",$K$75,IF(G98="***",$K$76,$K$77)))*SUM(I48,J48)/100)</f>
        <v/>
      </c>
      <c r="N98" s="3612">
        <f>ABS(IF(H98="*",$K$74,IF(H98="**",$K$75,IF(H98="***",$K$76,$K$77)))*L48/100)</f>
        <v/>
      </c>
      <c r="O98" s="3641">
        <f>ABS(IF(H98="*",$K$74,IF(H98="**",$K$75,IF(H98="***",$K$76,$K$77)))*M48/100)</f>
        <v/>
      </c>
      <c r="Q98" s="3589">
        <f>IF(F48=0,0,100*ABS(K98/F48))</f>
        <v/>
      </c>
      <c r="R98" s="3589">
        <f>IF(G48=0,0,100*ABS(L98/G48))</f>
        <v/>
      </c>
      <c r="S98" s="3599">
        <f>IF(SUM(I48:J48)=0,0,100*ABS(M98/SUM(I48:J48)))</f>
        <v/>
      </c>
      <c r="T98" s="3612">
        <f>IF(L48=0,0,100*ABS(N98/L48))</f>
        <v/>
      </c>
      <c r="U98" s="3625">
        <f>IF(M48=0,0,100*ABS(O98/M48))</f>
        <v/>
      </c>
    </row>
    <row r="99">
      <c r="B99" s="973" t="inlineStr">
        <is>
          <t>Non-forest land mngt</t>
        </is>
      </c>
      <c r="D99" s="1688" t="n"/>
      <c r="E99" s="3633" t="n"/>
      <c r="F99" s="3608">
        <f>IF(IF(SUM('6.Inland wetlands'!CG150:CG155,'6.Inland wetlands'!DY151:DY156,'6.Inland wetlands'!EF151:EF156,'6.Inland wetlands'!CN150:CN155)&gt;0,"Tier 2","Tier 1")="Tier 1","****","***")</f>
        <v/>
      </c>
      <c r="G99" s="3609">
        <f>IF(IF(SUM('6.Inland wetlands'!CK150:CK155,'6.Inland wetlands'!EC151:EC156)&gt;0,"Tier 2","Tier 1")="Tier 1","****","***")</f>
        <v/>
      </c>
      <c r="H99" s="3610">
        <f>IF(IF(SUM('6.Inland wetlands'!CI150:CI155,'6.Inland wetlands'!EA151:EA156)&gt;0,"Tier 2","Tier 1")="Tier 1","****","***")</f>
        <v/>
      </c>
      <c r="I99" s="3635">
        <f>IF(IF(SUM('6.Inland wetlands'!DI151:DI156,'6.Inland wetlands'!DK151:DK156,'6.Inland wetlands'!DM151:DM156,'6.Inland wetlands'!DO151:DO156)&gt;0,"Tier 2","Tier 1")="Tier 1","****","***")</f>
        <v/>
      </c>
      <c r="K99" s="3508" t="n"/>
      <c r="L99" s="3640">
        <f>ABS(IF(F99="*",$K$74,IF(F99="**",$K$75,IF(F99="***",$K$76,$K$77)))*G49/100)</f>
        <v/>
      </c>
      <c r="M99" s="3599">
        <f>ABS(IF(G99="*",$K$74,IF(G99="**",$K$75,IF(G99="***",$K$76,$K$77)))*SUM(I49,J49)/100)</f>
        <v/>
      </c>
      <c r="N99" s="3612">
        <f>ABS(IF(H99="*",$K$74,IF(H99="**",$K$75,IF(H99="***",$K$76,$K$77)))*L49/100)</f>
        <v/>
      </c>
      <c r="O99" s="3641">
        <f>ABS(IF(H99="*",$K$74,IF(H99="**",$K$75,IF(H99="***",$K$76,$K$77)))*M49/100)</f>
        <v/>
      </c>
      <c r="Q99" s="3508" t="n"/>
      <c r="R99" s="3589">
        <f>IF(G49=0,0,100*ABS(L99/G49))</f>
        <v/>
      </c>
      <c r="S99" s="3599">
        <f>IF(SUM(I49:J49)=0,0,100*ABS(M99/SUM(I49:J49)))</f>
        <v/>
      </c>
      <c r="T99" s="3612">
        <f>IF(L49=0,0,100*ABS(N99/L49))</f>
        <v/>
      </c>
      <c r="U99" s="3625">
        <f>IF(M49=0,0,100*ABS(O99/M49))</f>
        <v/>
      </c>
    </row>
    <row r="100">
      <c r="B100" s="973" t="inlineStr">
        <is>
          <t>Peat extraction</t>
        </is>
      </c>
      <c r="D100" s="1688" t="n"/>
      <c r="E100" s="3633" t="n"/>
      <c r="F100" s="3608">
        <f>IF(IF(SUM('6.Inland wetlands'!CG175:CG178,'6.Inland wetlands'!CN175:CN178,'6.Inland wetlands'!CS175:CS178)&gt;0,"Tier 2","Tier 1")="Tier 1","****","***")</f>
        <v/>
      </c>
      <c r="G100" s="3609">
        <f>IF(IF(SUM('6.Inland wetlands'!CK175:CK178)&gt;0,"Tier 2","Tier 1")="Tier 1","****","***")</f>
        <v/>
      </c>
      <c r="H100" s="3610">
        <f>IF(IF(SUM('6.Inland wetlands'!CI175:CI178,'6.Inland wetlands'!CP175:CP178)&gt;0,"Tier 2","Tier 1")="Tier 1","****","***")</f>
        <v/>
      </c>
      <c r="I100" s="3632" t="n"/>
      <c r="K100" s="3508" t="n"/>
      <c r="L100" s="3640">
        <f>ABS(IF(F100="*",$K$74,IF(F100="**",$K$75,IF(F100="***",$K$76,$K$77)))*G50/100)</f>
        <v/>
      </c>
      <c r="M100" s="3599">
        <f>ABS(IF(G100="*",$K$74,IF(G100="**",$K$75,IF(G100="***",$K$76,$K$77)))*SUM(I50,J50)/100)</f>
        <v/>
      </c>
      <c r="N100" s="3612">
        <f>ABS(IF(H100="*",$K$74,IF(H100="**",$K$75,IF(H100="***",$K$76,$K$77)))*L50/100)</f>
        <v/>
      </c>
      <c r="O100" s="3509" t="n"/>
      <c r="Q100" s="3508" t="n"/>
      <c r="R100" s="3589">
        <f>IF(G50=0,0,100*ABS(L100/G50))</f>
        <v/>
      </c>
      <c r="S100" s="3599">
        <f>IF(SUM(I50:J50)=0,0,100*ABS(M100/SUM(I50:J50)))</f>
        <v/>
      </c>
      <c r="T100" s="3612">
        <f>IF(L50=0,0,100*ABS(N100/L50))</f>
        <v/>
      </c>
      <c r="U100" s="3578" t="n"/>
    </row>
    <row r="101">
      <c r="B101" s="1281" t="inlineStr">
        <is>
          <t>Other GHG emissions</t>
        </is>
      </c>
      <c r="D101" s="1688" t="n"/>
      <c r="E101" s="3633" t="n"/>
      <c r="F101" s="3634" t="n"/>
      <c r="G101" s="3634" t="n"/>
      <c r="H101" s="3634" t="n"/>
      <c r="I101" s="3632" t="n"/>
      <c r="K101" s="3508" t="n"/>
      <c r="L101" s="3578" t="n"/>
      <c r="M101" s="3578" t="n"/>
      <c r="N101" s="3578" t="n"/>
      <c r="O101" s="3509" t="n"/>
    </row>
    <row r="102">
      <c r="B102" s="973" t="inlineStr">
        <is>
          <t>Agricultural inputs</t>
        </is>
      </c>
      <c r="D102" s="1688" t="n"/>
      <c r="E102" s="3633" t="n"/>
      <c r="F102" s="3608">
        <f>IF(IF(SUM('9.Inputs'!AN12:AN14,'9.Inputs'!AN16)&gt;0,"Tier 2","Tier 1")="Tier 1","***","**")</f>
        <v/>
      </c>
      <c r="G102" s="3609">
        <f>IF(IF(SUM('9.Inputs'!AR16:AR17,'9.Inputs'!AR21:AR22,'9.Inputs'!AR24:AR26)&gt;0,"Tier 2","Tier 1")="Tier 1","***","**")</f>
        <v/>
      </c>
      <c r="H102" s="3634" t="n"/>
      <c r="I102" s="3635">
        <f>IF(IF(SUM('9.Inputs'!AV12:AV14,'9.Inputs'!AV16:AV19,'9.Inputs'!AV21:AV22,'9.Inputs'!AV29:AV31)&gt;0,"Tier 2","Tier 1")="Tier 1","***","**")</f>
        <v/>
      </c>
      <c r="K102" s="3508" t="n"/>
      <c r="L102" s="3640">
        <f>ABS(IF(F102="*",$K$74,IF(F102="**",$K$75,IF(F102="***",$K$76,$K$77)))*G59/100)</f>
        <v/>
      </c>
      <c r="M102" s="3599">
        <f>ABS(IF(G102="*",$K$74,IF(G102="**",$K$75,IF(G102="***",$K$76,$K$77)))*I59/100)</f>
        <v/>
      </c>
      <c r="N102" s="3578" t="n"/>
      <c r="O102" s="3641">
        <f>ABS(IF(I102="*",$K$74,IF(I102="**",$K$75,IF(I102="***",$K$76,$K$77)))*O59/100)</f>
        <v/>
      </c>
      <c r="R102" s="3589">
        <f>IF(L59=0,0,100*ABS(L102/L59))</f>
        <v/>
      </c>
      <c r="S102" s="3599">
        <f>IF(M59=0,0,100*ABS(M102/M59))</f>
        <v/>
      </c>
      <c r="U102" s="3625">
        <f>IF(O59=0,0,100*ABS(O102/O59))</f>
        <v/>
      </c>
    </row>
    <row r="103">
      <c r="B103" s="973" t="inlineStr">
        <is>
          <t>Fisheries &amp; Feeds</t>
        </is>
      </c>
      <c r="D103" s="1688" t="n"/>
      <c r="E103" s="3637" t="n"/>
      <c r="F103" s="3638" t="n"/>
      <c r="G103" s="3634" t="n"/>
      <c r="H103" s="3634" t="n"/>
      <c r="I103" s="3635">
        <f>IF(IF(SUM('8. Fisheries and aquaculture'!BS74:BS79,'8. Fisheries and aquaculture'!R13:U18,'8. Fisheries and aquaculture'!CI11,'8. Fisheries and aquaculture'!CF17,'8. Fisheries and aquaculture'!BV25,'8. Fisheries and aquaculture'!CE25,'8. Fisheries and aquaculture'!BZ9)&gt;0,"Tier 2","Tier 1")="Tier 1","***","**")</f>
        <v/>
      </c>
      <c r="K103" s="3508" t="n"/>
      <c r="L103" s="3578" t="n"/>
      <c r="M103" s="3578" t="n"/>
      <c r="N103" s="3578" t="n"/>
      <c r="O103" s="3641">
        <f>ABS(IF(I103="*",$K$74,IF(I103="**",$K$75,IF(I103="***",$K$76,$K$77)))*O60/100)</f>
        <v/>
      </c>
      <c r="U103" s="3625">
        <f>IF(O60=0,0,100*ABS(O103/O60))</f>
        <v/>
      </c>
    </row>
    <row r="104">
      <c r="B104" s="973" t="inlineStr">
        <is>
          <t>Energy use</t>
        </is>
      </c>
      <c r="D104" s="1688" t="n"/>
      <c r="E104" s="3633" t="n"/>
      <c r="F104" s="3634" t="n"/>
      <c r="G104" s="3634" t="n"/>
      <c r="H104" s="3634" t="n"/>
      <c r="I104" s="3635">
        <f>IF(IF(SUM('9.Inputs'!AQ47,'9.Inputs'!AQ49,'9.Inputs'!AQ53:AQ57,'9.Inputs'!AQ60:AQ63)&gt;0,"Tier 2","Tier 1")="Tier 1","***","**")</f>
        <v/>
      </c>
      <c r="K104" s="3508" t="n"/>
      <c r="L104" s="3578" t="n"/>
      <c r="M104" s="3578" t="n"/>
      <c r="N104" s="3578" t="n"/>
      <c r="O104" s="3641">
        <f>ABS(IF(I104="*",$K$74,IF(I104="**",$K$75,IF(I104="***",$K$76,$K$77)))*O61/100)</f>
        <v/>
      </c>
      <c r="U104" s="3625">
        <f>IF(O61=0,0,100*ABS(O104/O61))</f>
        <v/>
      </c>
    </row>
    <row r="105">
      <c r="B105" s="973" t="inlineStr">
        <is>
          <t>Irrigation</t>
        </is>
      </c>
      <c r="E105" s="3639" t="n"/>
      <c r="F105" s="3638" t="n"/>
      <c r="G105" s="3638" t="n"/>
      <c r="H105" s="3638" t="n"/>
      <c r="I105" s="3635">
        <f>IF(IF(SUM('9.Inputs'!AQ79:AQ82,'9.Inputs'!AQ87:AQ90)&gt;0,"Tier 2","Tier 1")="Tier 1","***","**")</f>
        <v/>
      </c>
      <c r="K105" s="3508" t="n"/>
      <c r="L105" s="3578" t="n"/>
      <c r="M105" s="3578" t="n"/>
      <c r="N105" s="3578" t="n"/>
      <c r="O105" s="3641">
        <f>ABS(IF(I105="*",$K$74,IF(I105="**",$K$75,IF(I105="***",$K$76,$K$77)))*O62/100)</f>
        <v/>
      </c>
      <c r="U105" s="3625">
        <f>IF(O62=0,0,100*ABS(O105/O62))</f>
        <v/>
      </c>
    </row>
    <row r="106">
      <c r="B106" s="973" t="inlineStr">
        <is>
          <t>Infrastructures</t>
        </is>
      </c>
      <c r="E106" s="3903" t="n"/>
      <c r="F106" s="3904" t="n"/>
      <c r="G106" s="3904" t="n"/>
      <c r="H106" s="3904" t="n"/>
      <c r="I106" s="3635">
        <f>IF(IF(SUM('9.Inputs'!AN111:AN114)&gt;0,"Tier 2","Tier 1")="Tier 1","***","**")</f>
        <v/>
      </c>
      <c r="K106" s="3903" t="n"/>
      <c r="L106" s="3904" t="n"/>
      <c r="M106" s="3904" t="n"/>
      <c r="N106" s="3904" t="n"/>
      <c r="O106" s="3642">
        <f>ABS(IF(I106="*",$K$74,IF(I106="**",$K$75,IF(I106="***",$K$76,$K$77)))*O63/100)</f>
        <v/>
      </c>
      <c r="U106" s="3625">
        <f>IF(O63=0,0,100*ABS(O106/O63))</f>
        <v/>
      </c>
    </row>
    <row r="107">
      <c r="B107" s="1469" t="n"/>
      <c r="K107" s="1281" t="inlineStr">
        <is>
          <t>Total uncertainty</t>
        </is>
      </c>
      <c r="L107" s="1281" t="n"/>
      <c r="M107" s="1281" t="n"/>
      <c r="N107" s="1281" t="n"/>
      <c r="O107" s="3529">
        <f>SUM(K82:O106)</f>
        <v/>
      </c>
      <c r="Q107" s="1281" t="inlineStr">
        <is>
          <t>Global level of uncertainty (%)</t>
        </is>
      </c>
      <c r="R107" s="1281" t="n"/>
      <c r="S107" s="1281" t="n"/>
      <c r="T107" s="1281" t="n"/>
      <c r="U107" s="3909">
        <f>IFERROR(IF(O107=0,"",SUMPRODUCT(K82:O106,Q82:U106)/O107)/100,0)</f>
        <v/>
      </c>
    </row>
    <row r="108">
      <c r="B108" s="1281" t="inlineStr">
        <is>
          <t>Components of the project</t>
        </is>
      </c>
      <c r="E108" s="1281" t="inlineStr">
        <is>
          <t>Indication of the level of uncertainty</t>
        </is>
      </c>
    </row>
    <row r="109" ht="38.25" customHeight="1">
      <c r="B109" s="3910" t="inlineStr">
        <is>
          <t>WITHOUT</t>
        </is>
      </c>
      <c r="E109" s="3584" t="inlineStr">
        <is>
          <t>CO2 BIOMASS</t>
        </is>
      </c>
      <c r="F109" s="3584" t="inlineStr">
        <is>
          <t>CO2 SOIL</t>
        </is>
      </c>
      <c r="G109" s="3584" t="inlineStr">
        <is>
          <t>N2O</t>
        </is>
      </c>
      <c r="H109" s="3584" t="inlineStr">
        <is>
          <t>CH4</t>
        </is>
      </c>
      <c r="I109" s="3584" t="inlineStr">
        <is>
          <t>OTHER</t>
        </is>
      </c>
      <c r="K109" s="3584" t="inlineStr">
        <is>
          <t>CO2 BIOMASS</t>
        </is>
      </c>
      <c r="L109" s="3584" t="inlineStr">
        <is>
          <t>CO2 SOIL</t>
        </is>
      </c>
      <c r="M109" s="3584" t="inlineStr">
        <is>
          <t>N2O</t>
        </is>
      </c>
      <c r="N109" s="3584" t="inlineStr">
        <is>
          <t>CH4</t>
        </is>
      </c>
      <c r="O109" s="3584" t="inlineStr">
        <is>
          <t>OTHER</t>
        </is>
      </c>
      <c r="Q109" s="3584" t="inlineStr">
        <is>
          <t>CO2 BIOMASS</t>
        </is>
      </c>
      <c r="R109" s="3584" t="inlineStr">
        <is>
          <t>CO2 SOIL</t>
        </is>
      </c>
      <c r="S109" s="3584" t="inlineStr">
        <is>
          <t>N2O</t>
        </is>
      </c>
      <c r="T109" s="3584" t="inlineStr">
        <is>
          <t>CH4</t>
        </is>
      </c>
      <c r="U109" s="3584" t="inlineStr">
        <is>
          <t>OTHER</t>
        </is>
      </c>
    </row>
    <row r="110">
      <c r="B110" s="973" t="inlineStr">
        <is>
          <t>Deforestation</t>
        </is>
      </c>
      <c r="E110" s="3589">
        <f>SUM(defo!I35:I42,defo!K35:K42,defo!M35:M42)</f>
        <v/>
      </c>
      <c r="F110" s="3640">
        <f>SUM(defo!O35:O42)</f>
        <v/>
      </c>
      <c r="G110" s="3599">
        <f>SUM(defo!AB23:AB30,defo!AD23:AD30)</f>
        <v/>
      </c>
      <c r="H110" s="3612">
        <f>SUM(defo!Z23:Z30)</f>
        <v/>
      </c>
      <c r="I110" s="3509" t="n"/>
      <c r="K110" s="3589">
        <f>ABS(IF(E82="*",$K$74,IF(E82="**",$K$75,IF(E82="***",$K$76,$K$77)))*E110/100)</f>
        <v/>
      </c>
      <c r="L110" s="3640">
        <f>ABS(IF(F82="*",$K$74,IF(F82="**",$K$75,IF(F82="***",$K$76,$K$77)))*F110/100)</f>
        <v/>
      </c>
      <c r="M110" s="3599">
        <f>ABS(IF(G82="*",$K$74,IF(G82="**",$K$75,IF(G82="***",$K$76,$K$77)))*G110/100)</f>
        <v/>
      </c>
      <c r="N110" s="3612">
        <f>ABS(IF(H82="*",$K$74,IF(H82="**",$K$75,IF(H82="***",$K$76,$K$77)))*H110/100)</f>
        <v/>
      </c>
      <c r="O110" s="3509" t="n"/>
      <c r="Q110" s="3589">
        <f>IF(E110=0,0,100*ABS(K110/E110))</f>
        <v/>
      </c>
      <c r="R110" s="3640">
        <f>IF(F110=0,0,100*ABS(L110/F110))</f>
        <v/>
      </c>
      <c r="S110" s="3599">
        <f>IF(G110=0,0,100*ABS(M110/G110))</f>
        <v/>
      </c>
      <c r="T110" s="3612">
        <f>IF(H110=0,0,100*ABS(N110/H110))</f>
        <v/>
      </c>
      <c r="U110" s="3509" t="n"/>
    </row>
    <row r="111">
      <c r="B111" s="973" t="inlineStr">
        <is>
          <t>Forest degradation</t>
        </is>
      </c>
      <c r="E111" s="3589">
        <f>SUM(degradation!I55:I62,degradation!K55:K62)</f>
        <v/>
      </c>
      <c r="F111" s="3640">
        <f>SUM(degradation!M55:M62)</f>
        <v/>
      </c>
      <c r="G111" s="3599">
        <f>degradation!BB60</f>
        <v/>
      </c>
      <c r="H111" s="3612">
        <f>degradation!BB59</f>
        <v/>
      </c>
      <c r="I111" s="3509" t="n"/>
      <c r="K111" s="3589">
        <f>ABS(IF(E83="*",$K$74,IF(E83="**",$K$75,IF(E83="***",$K$76,$K$77)))*E111/100)</f>
        <v/>
      </c>
      <c r="L111" s="3640">
        <f>ABS(IF(F83="*",$K$74,IF(F83="**",$K$75,IF(F83="***",$K$76,$K$77)))*F111/100)</f>
        <v/>
      </c>
      <c r="M111" s="3599">
        <f>ABS(IF(G83="*",$K$74,IF(G83="**",$K$75,IF(G83="***",$K$76,$K$77)))*G111/100)</f>
        <v/>
      </c>
      <c r="N111" s="3612">
        <f>ABS(IF(H83="*",$K$74,IF(H83="**",$K$75,IF(H83="***",$K$76,$K$77)))*H111/100)</f>
        <v/>
      </c>
      <c r="O111" s="3509" t="n"/>
      <c r="Q111" s="3589">
        <f>IF(E111=0,0,100*ABS(K111/E111))</f>
        <v/>
      </c>
      <c r="R111" s="3640">
        <f>IF(F111=0,0,100*ABS(L111/F111))</f>
        <v/>
      </c>
      <c r="S111" s="3599">
        <f>IF(G111=0,0,100*ABS(M111/G111))</f>
        <v/>
      </c>
      <c r="T111" s="3612">
        <f>IF(H111=0,0,100*ABS(N111/H111))</f>
        <v/>
      </c>
      <c r="U111" s="3509" t="n"/>
    </row>
    <row r="112">
      <c r="B112" s="973" t="inlineStr">
        <is>
          <t>Afforestation and reforestation</t>
        </is>
      </c>
      <c r="E112" s="3589">
        <f>SUM(affo!H37:H44,affo!J37:J44,affo!L37:L44)</f>
        <v/>
      </c>
      <c r="F112" s="3640">
        <f>SUM(affo!N37:N44)</f>
        <v/>
      </c>
      <c r="G112" s="3599">
        <f>SUM(affo!AH8:AH15)</f>
        <v/>
      </c>
      <c r="H112" s="3612">
        <f>SUM(affo!AF8:AF15)</f>
        <v/>
      </c>
      <c r="I112" s="3509" t="n"/>
      <c r="K112" s="3589">
        <f>ABS(IF(E84="*",$K$74,IF(E84="**",$K$75,IF(E84="***",$K$76,$K$77)))*E112/100)</f>
        <v/>
      </c>
      <c r="L112" s="3640">
        <f>ABS(IF(F84="*",$K$74,IF(F84="**",$K$75,IF(F84="***",$K$76,$K$77)))*F112/100)</f>
        <v/>
      </c>
      <c r="M112" s="3599">
        <f>ABS(IF(G84="*",$K$74,IF(G84="**",$K$75,IF(G84="***",$K$76,$K$77)))*G112/100)</f>
        <v/>
      </c>
      <c r="N112" s="3612">
        <f>ABS(IF(H84="*",$K$74,IF(H84="**",$K$75,IF(H84="***",$K$76,$K$77)))*H112/100)</f>
        <v/>
      </c>
      <c r="O112" s="3509" t="n"/>
      <c r="Q112" s="3589">
        <f>IF(E112=0,0,100*ABS(K112/E112))</f>
        <v/>
      </c>
      <c r="R112" s="3640">
        <f>IF(F112=0,0,100*ABS(L112/F112))</f>
        <v/>
      </c>
      <c r="S112" s="3599">
        <f>IF(G112=0,0,100*ABS(M112/G112))</f>
        <v/>
      </c>
      <c r="T112" s="3612">
        <f>IF(H112=0,0,100*ABS(N112/H112))</f>
        <v/>
      </c>
      <c r="U112" s="3509" t="n"/>
    </row>
    <row r="113">
      <c r="B113" s="973" t="inlineStr">
        <is>
          <t>Non forest land use change</t>
        </is>
      </c>
      <c r="E113" s="3589">
        <f>SUM(luc!G41:G50)</f>
        <v/>
      </c>
      <c r="F113" s="3640">
        <f>SUM(luc!I41:I50)</f>
        <v/>
      </c>
      <c r="G113" s="3599">
        <f>SUM(luc!S24:S33,luc!U24:U33)</f>
        <v/>
      </c>
      <c r="H113" s="3612">
        <f>SUM(luc!Q24:Q33)</f>
        <v/>
      </c>
      <c r="I113" s="3509" t="n"/>
      <c r="K113" s="3589">
        <f>ABS(IF(E85="*",$K$74,IF(E85="**",$K$75,IF(E85="***",$K$76,$K$77)))*E113/100)</f>
        <v/>
      </c>
      <c r="L113" s="3640">
        <f>ABS(IF(F85="*",$K$74,IF(F85="**",$K$75,IF(F85="***",$K$76,$K$77)))*F113/100)</f>
        <v/>
      </c>
      <c r="M113" s="3599">
        <f>ABS(IF(G85="*",$K$74,IF(G85="**",$K$75,IF(G85="***",$K$76,$K$77)))*G113/100)</f>
        <v/>
      </c>
      <c r="N113" s="3612">
        <f>ABS(IF(H85="*",$K$74,IF(H85="**",$K$75,IF(H85="***",$K$76,$K$77)))*H113/100)</f>
        <v/>
      </c>
      <c r="O113" s="3509" t="n"/>
      <c r="Q113" s="3589">
        <f>IF(E113=0,0,100*ABS(K113/E113))</f>
        <v/>
      </c>
      <c r="R113" s="3640">
        <f>IF(F113=0,0,100*ABS(L113/F113))</f>
        <v/>
      </c>
      <c r="S113" s="3599">
        <f>IF(G113=0,0,100*ABS(M113/G113))</f>
        <v/>
      </c>
      <c r="T113" s="3612">
        <f>IF(H113=0,0,100*ABS(N113/H113))</f>
        <v/>
      </c>
      <c r="U113" s="3509" t="n"/>
    </row>
    <row r="114">
      <c r="B114" s="1281" t="inlineStr">
        <is>
          <t>Agriculture</t>
        </is>
      </c>
      <c r="E114" s="3508" t="n"/>
      <c r="F114" s="3578" t="n"/>
      <c r="G114" s="3578" t="n"/>
      <c r="H114" s="3578" t="n"/>
      <c r="I114" s="3509" t="n"/>
      <c r="K114" s="3508" t="n"/>
      <c r="L114" s="3578" t="n"/>
      <c r="M114" s="3578" t="n"/>
      <c r="N114" s="3578" t="n"/>
      <c r="O114" s="3509" t="n"/>
      <c r="Q114" s="3508" t="n"/>
      <c r="R114" s="3578" t="n"/>
      <c r="S114" s="3578" t="n"/>
      <c r="T114" s="3578" t="n"/>
      <c r="U114" s="3509" t="n"/>
    </row>
    <row r="115">
      <c r="B115" s="973" t="inlineStr">
        <is>
          <t>Annual</t>
        </is>
      </c>
      <c r="E115" s="3589">
        <f>annual!X31</f>
        <v/>
      </c>
      <c r="F115" s="3640">
        <f>SUM(annual!I34:I47)</f>
        <v/>
      </c>
      <c r="G115" s="3599">
        <f>SUM(annual!M34:M47)+annual!X44</f>
        <v/>
      </c>
      <c r="H115" s="3612">
        <f>annual!X43</f>
        <v/>
      </c>
      <c r="I115" s="3509" t="n"/>
      <c r="K115" s="3589">
        <f>ABS(IF(E87="*",$K$74,IF(E87="**",$K$75,IF(E87="***",$K$76,$K$77)))*E115/100)</f>
        <v/>
      </c>
      <c r="L115" s="3640">
        <f>ABS(IF(F87="*",$K$74,IF(F87="**",$K$75,IF(F87="***",$K$76,$K$77)))*F115/100)</f>
        <v/>
      </c>
      <c r="M115" s="3599">
        <f>ABS(IF(G87="*",$K$74,IF(G87="**",$K$75,IF(G87="***",$K$76,$K$77)))*G115/100)</f>
        <v/>
      </c>
      <c r="N115" s="3612">
        <f>ABS(IF(H87="*",$K$74,IF(H87="**",$K$75,IF(H87="***",$K$76,$K$77)))*H115/100)</f>
        <v/>
      </c>
      <c r="O115" s="3509" t="n"/>
      <c r="Q115" s="3589">
        <f>IF(E115=0,0,100*ABS(K115/E115))</f>
        <v/>
      </c>
      <c r="R115" s="3640">
        <f>IF(F115=0,0,100*ABS(L115/F115))</f>
        <v/>
      </c>
      <c r="S115" s="3599">
        <f>IF(G115=0,0,100*ABS(M115/G115))</f>
        <v/>
      </c>
      <c r="T115" s="3612">
        <f>IF(H115=0,0,100*ABS(N115/H115))</f>
        <v/>
      </c>
      <c r="U115" s="3509" t="n"/>
    </row>
    <row r="116">
      <c r="B116" s="973" t="inlineStr">
        <is>
          <t>Perennial</t>
        </is>
      </c>
      <c r="E116" s="3589">
        <f>perennial!AB38</f>
        <v/>
      </c>
      <c r="F116" s="3640">
        <f>perennial!AB39</f>
        <v/>
      </c>
      <c r="G116" s="3599">
        <f>perennial!AB40+perennial!AB42</f>
        <v/>
      </c>
      <c r="H116" s="3612">
        <f>perennial!AB41</f>
        <v/>
      </c>
      <c r="I116" s="3509" t="n"/>
      <c r="K116" s="3589">
        <f>ABS(IF(E88="*",$K$74,IF(E88="**",$K$75,IF(E88="***",$K$76,$K$77)))*E116/100)</f>
        <v/>
      </c>
      <c r="L116" s="3640">
        <f>ABS(IF(F88="*",$K$74,IF(F88="**",$K$75,IF(F88="***",$K$76,$K$77)))*F116/100)</f>
        <v/>
      </c>
      <c r="M116" s="3599">
        <f>ABS(IF(G88="*",$K$74,IF(G88="**",$K$75,IF(G88="***",$K$76,$K$77)))*G116/100)</f>
        <v/>
      </c>
      <c r="N116" s="3612">
        <f>ABS(IF(H88="*",$K$74,IF(H88="**",$K$75,IF(H88="***",$K$76,$K$77)))*H116/100)</f>
        <v/>
      </c>
      <c r="O116" s="3509" t="n"/>
      <c r="Q116" s="3589">
        <f>IF(E116=0,0,100*ABS(K116/E116))</f>
        <v/>
      </c>
      <c r="R116" s="3640">
        <f>IF(F116=0,0,100*ABS(L116/F116))</f>
        <v/>
      </c>
      <c r="S116" s="3599">
        <f>IF(G116=0,0,100*ABS(M116/G116))</f>
        <v/>
      </c>
      <c r="T116" s="3612">
        <f>IF(H116=0,0,100*ABS(N116/H116))</f>
        <v/>
      </c>
      <c r="U116" s="3509" t="n"/>
    </row>
    <row r="117">
      <c r="B117" s="973" t="inlineStr">
        <is>
          <t>Rice</t>
        </is>
      </c>
      <c r="E117" s="3589">
        <f>rice!W14</f>
        <v/>
      </c>
      <c r="F117" s="3640">
        <f>rice!W15</f>
        <v/>
      </c>
      <c r="G117" s="3599">
        <f>rice!W18</f>
        <v/>
      </c>
      <c r="H117" s="3612">
        <f>rice!W16+rice!W17</f>
        <v/>
      </c>
      <c r="I117" s="3509" t="n"/>
      <c r="K117" s="3589">
        <f>ABS(IF(E89="*",$K$74,IF(E89="**",$K$75,IF(E89="***",$K$76,$K$77)))*E117/100)</f>
        <v/>
      </c>
      <c r="L117" s="3640">
        <f>ABS(IF(F89="*",$K$74,IF(F89="**",$K$75,IF(F89="***",$K$76,$K$77)))*F117/100)</f>
        <v/>
      </c>
      <c r="M117" s="3599">
        <f>ABS(IF(G89="*",$K$74,IF(G89="**",$K$75,IF(G89="***",$K$76,$K$77)))*G117/100)</f>
        <v/>
      </c>
      <c r="N117" s="3612">
        <f>ABS(IF(H89="*",$K$74,IF(H89="**",$K$75,IF(H89="***",$K$76,$K$77)))*H117/100)</f>
        <v/>
      </c>
      <c r="O117" s="3509" t="n"/>
      <c r="Q117" s="3589">
        <f>IF(E117=0,0,100*ABS(K117/E117))</f>
        <v/>
      </c>
      <c r="R117" s="3640">
        <f>IF(F117=0,0,100*ABS(L117/F117))</f>
        <v/>
      </c>
      <c r="S117" s="3599">
        <f>IF(G117=0,0,100*ABS(M117/G117))</f>
        <v/>
      </c>
      <c r="T117" s="3612">
        <f>IF(H117=0,0,100*ABS(N117/H117))</f>
        <v/>
      </c>
      <c r="U117" s="3509" t="n"/>
    </row>
    <row r="118">
      <c r="B118" s="973" t="inlineStr">
        <is>
          <t>Grasslands</t>
        </is>
      </c>
      <c r="E118" s="3589">
        <f>grass!X44</f>
        <v/>
      </c>
      <c r="F118" s="3640">
        <f>grass!X45</f>
        <v/>
      </c>
      <c r="G118" s="3599">
        <f>grass!X46+grass!X47</f>
        <v/>
      </c>
      <c r="H118" s="3612">
        <f>grass!X48</f>
        <v/>
      </c>
      <c r="I118" s="3509" t="n"/>
      <c r="K118" s="3589">
        <f>ABS(IF(E90="*",$K$74,IF(E90="**",$K$75,IF(E90="***",$K$76,$K$77)))*E118/100)</f>
        <v/>
      </c>
      <c r="L118" s="3640">
        <f>ABS(IF(F90="*",$K$74,IF(F90="**",$K$75,IF(F90="***",$K$76,$K$77)))*F118/100)</f>
        <v/>
      </c>
      <c r="M118" s="3599">
        <f>ABS(IF(G90="*",$K$74,IF(G90="**",$K$75,IF(G90="***",$K$76,$K$77)))*G118/100)</f>
        <v/>
      </c>
      <c r="N118" s="3612">
        <f>ABS(IF(H90="*",$K$74,IF(H90="**",$K$75,IF(H90="***",$K$76,$K$77)))*H118/100)</f>
        <v/>
      </c>
      <c r="O118" s="3509" t="n"/>
      <c r="Q118" s="3589">
        <f>IF(E118=0,0,100*ABS(K118/E118))</f>
        <v/>
      </c>
      <c r="R118" s="3640">
        <f>IF(F118=0,0,100*ABS(L118/F118))</f>
        <v/>
      </c>
      <c r="S118" s="3599">
        <f>IF(G118=0,0,100*ABS(M118/G118))</f>
        <v/>
      </c>
      <c r="T118" s="3612">
        <f>IF(H118=0,0,100*ABS(N118/H118))</f>
        <v/>
      </c>
      <c r="U118" s="3509" t="n"/>
    </row>
    <row r="119">
      <c r="B119" s="973" t="inlineStr">
        <is>
          <t>Livestock</t>
        </is>
      </c>
      <c r="E119" s="3508" t="n"/>
      <c r="F119" s="3578" t="n"/>
      <c r="G119" s="3599">
        <f>Livestock!AM10</f>
        <v/>
      </c>
      <c r="H119" s="3612">
        <f>Livestock!AM9</f>
        <v/>
      </c>
      <c r="I119" s="3509" t="n"/>
      <c r="K119" s="3508" t="n"/>
      <c r="L119" s="3578" t="n"/>
      <c r="M119" s="3599">
        <f>ABS(IF(G91="*",$K$74,IF(G91="**",$K$75,IF(G91="***",$K$76,$K$77)))*G119/100)</f>
        <v/>
      </c>
      <c r="N119" s="3612">
        <f>ABS(IF(H91="*",$K$74,IF(H91="**",$K$75,IF(H91="***",$K$76,$K$77)))*H119/100)</f>
        <v/>
      </c>
      <c r="O119" s="3509" t="n"/>
      <c r="Q119" s="3508" t="n"/>
      <c r="R119" s="3578" t="n"/>
      <c r="S119" s="3599">
        <f>IF(G119=0,0,100*ABS(M119/G119))</f>
        <v/>
      </c>
      <c r="T119" s="3612">
        <f>IF(H119=0,0,100*ABS(N119/H119))</f>
        <v/>
      </c>
      <c r="U119" s="3509" t="n"/>
    </row>
    <row r="120">
      <c r="B120" s="1281" t="inlineStr">
        <is>
          <t>Coastal wetlands &amp; Aqua</t>
        </is>
      </c>
      <c r="E120" s="3589">
        <f>Coastal!V8+Coastal!V31+Coastal!V66</f>
        <v/>
      </c>
      <c r="F120" s="3640">
        <f>Coastal!V9+Coastal!V32+Coastal!V67</f>
        <v/>
      </c>
      <c r="G120" s="3599">
        <f>'Fish and aqua'!V79</f>
        <v/>
      </c>
      <c r="H120" s="3612">
        <f>'Fish and aqua'!V80+Coastal!V68</f>
        <v/>
      </c>
      <c r="I120" s="3509" t="n"/>
      <c r="K120" s="3589">
        <f>ABS(IF(E92="*",$K$74,IF(E92="**",$K$75,IF(E92="***",$K$76,$K$77)))*E120/100)</f>
        <v/>
      </c>
      <c r="L120" s="3640">
        <f>ABS(IF(F92="*",$K$74,IF(F92="**",$K$75,IF(F92="***",$K$76,$K$77)))*F120/100)</f>
        <v/>
      </c>
      <c r="M120" s="3599">
        <f>ABS(IF(G92="*",$K$74,IF(G92="**",$K$75,IF(G92="***",$K$76,$K$77)))*G120/100)</f>
        <v/>
      </c>
      <c r="N120" s="3612">
        <f>ABS(IF(H92="*",$K$74,IF(H92="**",$K$75,IF(H92="***",$K$76,$K$77)))*H120/100)</f>
        <v/>
      </c>
      <c r="O120" s="3509" t="n"/>
      <c r="Q120" s="3589">
        <f>IF(E120=0,0,100*ABS(K120/E120))</f>
        <v/>
      </c>
      <c r="R120" s="3640">
        <f>IF(F120=0,0,100*ABS(L120/F120))</f>
        <v/>
      </c>
      <c r="S120" s="3599">
        <f>IF(G120=0,0,100*ABS(M120/G120))</f>
        <v/>
      </c>
      <c r="T120" s="3612">
        <f>IF(H120=0,0,100*ABS(N120/H120))</f>
        <v/>
      </c>
      <c r="U120" s="3509" t="n"/>
    </row>
    <row r="121">
      <c r="B121" s="1281" t="inlineStr">
        <is>
          <t>Waterbodies</t>
        </is>
      </c>
      <c r="E121" s="3508" t="n"/>
      <c r="F121" s="3795" t="n"/>
      <c r="G121" s="3795" t="n"/>
      <c r="H121" s="3612">
        <f>'Inl. wetlands'!BK503</f>
        <v/>
      </c>
      <c r="I121" s="3509" t="n"/>
      <c r="K121" s="3508" t="n"/>
      <c r="L121" s="3795" t="n"/>
      <c r="M121" s="3795" t="n"/>
      <c r="N121" s="3612">
        <f>ABS(IF(H93="*",$K$74,IF(H93="**",$K$75,IF(H93="***",$K$76,$K$77)))*H121/100)</f>
        <v/>
      </c>
      <c r="O121" s="3509" t="n"/>
      <c r="Q121" s="3508" t="n"/>
      <c r="R121" s="3795" t="n"/>
      <c r="S121" s="3795" t="n"/>
      <c r="T121" s="3612">
        <f>IF(H121=0,0,100*ABS(N121/H121))</f>
        <v/>
      </c>
      <c r="U121" s="3509" t="n"/>
    </row>
    <row r="122">
      <c r="B122" s="1281" t="inlineStr">
        <is>
          <t>Inland wetlands</t>
        </is>
      </c>
      <c r="E122" s="3508" t="n"/>
      <c r="F122" s="3578" t="n"/>
      <c r="G122" s="3578" t="n"/>
      <c r="H122" s="3578" t="n"/>
      <c r="I122" s="3509" t="n"/>
      <c r="K122" s="3508" t="n"/>
      <c r="L122" s="3578" t="n"/>
      <c r="M122" s="3578" t="n"/>
      <c r="N122" s="3578" t="n"/>
      <c r="O122" s="3509" t="n"/>
      <c r="Q122" s="3508" t="n"/>
      <c r="R122" s="3578" t="n"/>
      <c r="S122" s="3578" t="n"/>
      <c r="T122" s="3578" t="n"/>
      <c r="U122" s="3509" t="n"/>
    </row>
    <row r="123">
      <c r="B123" s="973" t="inlineStr">
        <is>
          <t>Deforestation</t>
        </is>
      </c>
      <c r="E123" s="3589">
        <f>'Inl. wetlands'!BL35</f>
        <v/>
      </c>
      <c r="F123" s="3640">
        <f>'Inl. wetlands'!BL36+'Inl. wetlands'!BL39</f>
        <v/>
      </c>
      <c r="G123" s="3599">
        <f>'Inl. wetlands'!BL38+'Inl. wetlands'!BL41</f>
        <v/>
      </c>
      <c r="H123" s="3612">
        <f>'Inl. wetlands'!BL40+'Inl. wetlands'!BL37</f>
        <v/>
      </c>
      <c r="I123" s="3641">
        <f>SUM('Inl. wetlands'!BL42:BL44)</f>
        <v/>
      </c>
      <c r="K123" s="3589">
        <f>ABS(IF(E95="*",$K$74,IF(E95="**",$K$75,IF(E95="***",$K$76,$K$77)))*E123/100)</f>
        <v/>
      </c>
      <c r="L123" s="3640">
        <f>ABS(IF(F95="*",$K$74,IF(F95="**",$K$75,IF(F95="***",$K$76,$K$77)))*F123/100)</f>
        <v/>
      </c>
      <c r="M123" s="3599">
        <f>ABS(IF(G95="*",$K$74,IF(G95="**",$K$75,IF(G95="***",$K$76,$K$77)))*G123/100)</f>
        <v/>
      </c>
      <c r="N123" s="3612">
        <f>ABS(IF(H95="*",$K$74,IF(H95="**",$K$75,IF(H95="***",$K$76,$K$77)))*H123/100)</f>
        <v/>
      </c>
      <c r="O123" s="3641">
        <f>ABS(IF(I95="*",$K$74,IF(I95="**",$K$75,IF(I95="***",$K$76,$K$77)))*I123/100)</f>
        <v/>
      </c>
      <c r="Q123" s="3589">
        <f>IF(E123=0,0,100*ABS(K123/E123))</f>
        <v/>
      </c>
      <c r="R123" s="3640">
        <f>IF(F123=0,0,100*ABS(L123/F123))</f>
        <v/>
      </c>
      <c r="S123" s="3599">
        <f>IF(G123=0,0,100*ABS(M123/G123))</f>
        <v/>
      </c>
      <c r="T123" s="3612">
        <f>IF(H123=0,0,100*ABS(N123/H123))</f>
        <v/>
      </c>
      <c r="U123" s="3641">
        <f>IF(I123=0,0,100*ABS(O123/I123))</f>
        <v/>
      </c>
    </row>
    <row r="124">
      <c r="B124" s="973" t="inlineStr">
        <is>
          <t>Forest Degradation</t>
        </is>
      </c>
      <c r="E124" s="3589">
        <f>'Inl. wetlands'!BL339</f>
        <v/>
      </c>
      <c r="F124" s="3640">
        <f>'Inl. wetlands'!BL340+'Inl. wetlands'!BL343</f>
        <v/>
      </c>
      <c r="G124" s="3599">
        <f>'Inl. wetlands'!BL342+'Inl. wetlands'!BL345</f>
        <v/>
      </c>
      <c r="H124" s="3612">
        <f>'Inl. wetlands'!BL341+'Inl. wetlands'!BL344</f>
        <v/>
      </c>
      <c r="I124" s="3641">
        <f>SUM('Inl. wetlands'!BL346:BL348)</f>
        <v/>
      </c>
      <c r="K124" s="3589">
        <f>ABS(IF(E96="*",$K$74,IF(E96="**",$K$75,IF(E96="***",$K$76,$K$77)))*E124/100)</f>
        <v/>
      </c>
      <c r="L124" s="3640">
        <f>ABS(IF(F96="*",$K$74,IF(F96="**",$K$75,IF(F96="***",$K$76,$K$77)))*F124/100)</f>
        <v/>
      </c>
      <c r="M124" s="3599">
        <f>ABS(IF(G96="*",$K$74,IF(G96="**",$K$75,IF(G96="***",$K$76,$K$77)))*G124/100)</f>
        <v/>
      </c>
      <c r="N124" s="3612">
        <f>ABS(IF(H96="*",$K$74,IF(H96="**",$K$75,IF(H96="***",$K$76,$K$77)))*H124/100)</f>
        <v/>
      </c>
      <c r="O124" s="3641">
        <f>ABS(IF(I96="*",$K$74,IF(I96="**",$K$75,IF(I96="***",$K$76,$K$77)))*I124/100)</f>
        <v/>
      </c>
      <c r="Q124" s="3589">
        <f>IF(E124=0,0,100*ABS(K124/E124))</f>
        <v/>
      </c>
      <c r="R124" s="3640">
        <f>IF(F124=0,0,100*ABS(L124/F124))</f>
        <v/>
      </c>
      <c r="S124" s="3599">
        <f>IF(G124=0,0,100*ABS(M124/G124))</f>
        <v/>
      </c>
      <c r="T124" s="3612">
        <f>IF(H124=0,0,100*ABS(N124/H124))</f>
        <v/>
      </c>
      <c r="U124" s="3641">
        <f>IF(I124=0,0,100*ABS(O124/I124))</f>
        <v/>
      </c>
    </row>
    <row r="125">
      <c r="B125" s="973" t="inlineStr">
        <is>
          <t>Af/reforestation</t>
        </is>
      </c>
      <c r="E125" s="3589">
        <f>'Inl. wetlands'!BL134</f>
        <v/>
      </c>
      <c r="F125" s="3640">
        <f>'Inl. wetlands'!BL135+'Inl. wetlands'!BL138</f>
        <v/>
      </c>
      <c r="G125" s="3599">
        <f>'Inl. wetlands'!BL137+'Inl. wetlands'!BL140</f>
        <v/>
      </c>
      <c r="H125" s="3612">
        <f>'Inl. wetlands'!BL136+'Inl. wetlands'!BL139</f>
        <v/>
      </c>
      <c r="I125" s="3641">
        <f>SUM('Inl. wetlands'!BL141:BL143)</f>
        <v/>
      </c>
      <c r="K125" s="3589">
        <f>ABS(IF(E97="*",$K$74,IF(E97="**",$K$75,IF(E97="***",$K$76,$K$77)))*E125/100)</f>
        <v/>
      </c>
      <c r="L125" s="3640">
        <f>ABS(IF(F97="*",$K$74,IF(F97="**",$K$75,IF(F97="***",$K$76,$K$77)))*F125/100)</f>
        <v/>
      </c>
      <c r="M125" s="3599">
        <f>ABS(IF(G97="*",$K$74,IF(G97="**",$K$75,IF(G97="***",$K$76,$K$77)))*G125/100)</f>
        <v/>
      </c>
      <c r="N125" s="3612">
        <f>ABS(IF(H97="*",$K$74,IF(H97="**",$K$75,IF(H97="***",$K$76,$K$77)))*H125/100)</f>
        <v/>
      </c>
      <c r="O125" s="3641">
        <f>ABS(IF(I97="*",$K$74,IF(I97="**",$K$75,IF(I97="***",$K$76,$K$77)))*I125/100)</f>
        <v/>
      </c>
      <c r="Q125" s="3589">
        <f>IF(E125=0,0,100*ABS(K125/E125))</f>
        <v/>
      </c>
      <c r="R125" s="3640">
        <f>IF(F125=0,0,100*ABS(L125/F125))</f>
        <v/>
      </c>
      <c r="S125" s="3599">
        <f>IF(G125=0,0,100*ABS(M125/G125))</f>
        <v/>
      </c>
      <c r="T125" s="3612">
        <f>IF(H125=0,0,100*ABS(N125/H125))</f>
        <v/>
      </c>
      <c r="U125" s="3641">
        <f>IF(I125=0,0,100*ABS(O125/I125))</f>
        <v/>
      </c>
    </row>
    <row r="126">
      <c r="B126" s="973" t="inlineStr">
        <is>
          <t>Non-forest LUC</t>
        </is>
      </c>
      <c r="E126" s="3589">
        <f>'Inl. wetlands'!BL224</f>
        <v/>
      </c>
      <c r="F126" s="3640">
        <f>'Inl. wetlands'!BL225+'Inl. wetlands'!BL228</f>
        <v/>
      </c>
      <c r="G126" s="3599">
        <f>'Inl. wetlands'!BL227+'Inl. wetlands'!BL230</f>
        <v/>
      </c>
      <c r="H126" s="3612">
        <f>'Inl. wetlands'!BL226+'Inl. wetlands'!BL229</f>
        <v/>
      </c>
      <c r="I126" s="3641">
        <f>SUM('Inl. wetlands'!BL231:BL233)</f>
        <v/>
      </c>
      <c r="K126" s="3589">
        <f>ABS(IF(E98="*",$K$74,IF(E98="**",$K$75,IF(E98="***",$K$76,$K$77)))*E126/100)</f>
        <v/>
      </c>
      <c r="L126" s="3640">
        <f>ABS(IF(F98="*",$K$74,IF(F98="**",$K$75,IF(F98="***",$K$76,$K$77)))*F126/100)</f>
        <v/>
      </c>
      <c r="M126" s="3599">
        <f>ABS(IF(G98="*",$K$74,IF(G98="**",$K$75,IF(G98="***",$K$76,$K$77)))*G126/100)</f>
        <v/>
      </c>
      <c r="N126" s="3612">
        <f>ABS(IF(H98="*",$K$74,IF(H98="**",$K$75,IF(H98="***",$K$76,$K$77)))*H126/100)</f>
        <v/>
      </c>
      <c r="O126" s="3641">
        <f>ABS(IF(I98="*",$K$74,IF(I98="**",$K$75,IF(I98="***",$K$76,$K$77)))*I126/100)</f>
        <v/>
      </c>
      <c r="Q126" s="3589">
        <f>IF(E126=0,0,100*ABS(K126/E126))</f>
        <v/>
      </c>
      <c r="R126" s="3640">
        <f>IF(F126=0,0,100*ABS(L126/F126))</f>
        <v/>
      </c>
      <c r="S126" s="3599">
        <f>IF(G126=0,0,100*ABS(M126/G126))</f>
        <v/>
      </c>
      <c r="T126" s="3612">
        <f>IF(H126=0,0,100*ABS(N126/H126))</f>
        <v/>
      </c>
      <c r="U126" s="3641">
        <f>IF(I126=0,0,100*ABS(O126/I126))</f>
        <v/>
      </c>
    </row>
    <row r="127">
      <c r="B127" s="973" t="inlineStr">
        <is>
          <t>Non-forest land mngt</t>
        </is>
      </c>
      <c r="E127" s="3508">
        <f>'Inl. wetlands'!BL415</f>
        <v/>
      </c>
      <c r="F127" s="3640">
        <f>'Inl. wetlands'!BL416+'Inl. wetlands'!BL419</f>
        <v/>
      </c>
      <c r="G127" s="3599">
        <f>'Inl. wetlands'!BL418+'Inl. wetlands'!BL421</f>
        <v/>
      </c>
      <c r="H127" s="3612">
        <f>'Inl. wetlands'!BL417+'Inl. wetlands'!BL420</f>
        <v/>
      </c>
      <c r="I127" s="3641">
        <f>SUM('Inl. wetlands'!BL422:BL424)</f>
        <v/>
      </c>
      <c r="K127" s="3508" t="n"/>
      <c r="L127" s="3640">
        <f>ABS(IF(F99="*",$K$74,IF(F99="**",$K$75,IF(F99="***",$K$76,$K$77)))*F127/100)</f>
        <v/>
      </c>
      <c r="M127" s="3599">
        <f>ABS(IF(G99="*",$K$74,IF(G99="**",$K$75,IF(G99="***",$K$76,$K$77)))*G127/100)</f>
        <v/>
      </c>
      <c r="N127" s="3612">
        <f>ABS(IF(H99="*",$K$74,IF(H99="**",$K$75,IF(H99="***",$K$76,$K$77)))*H127/100)</f>
        <v/>
      </c>
      <c r="O127" s="3641">
        <f>ABS(IF(I99="*",$K$74,IF(I99="**",$K$75,IF(I99="***",$K$76,$K$77)))*I127/100)</f>
        <v/>
      </c>
      <c r="Q127" s="3508" t="n"/>
      <c r="R127" s="3640">
        <f>IF(F127=0,0,100*ABS(L127/F127))</f>
        <v/>
      </c>
      <c r="S127" s="3599">
        <f>IF(G127=0,0,100*ABS(M127/G127))</f>
        <v/>
      </c>
      <c r="T127" s="3612">
        <f>IF(H127=0,0,100*ABS(N127/H127))</f>
        <v/>
      </c>
      <c r="U127" s="3641">
        <f>IF(I127=0,0,100*ABS(O127/I127))</f>
        <v/>
      </c>
    </row>
    <row r="128">
      <c r="B128" s="973" t="inlineStr">
        <is>
          <t>Peat extraction</t>
        </is>
      </c>
      <c r="E128" s="3508" t="n"/>
      <c r="F128" s="3640">
        <f>'Inl. wetlands'!BL474+'Inl. wetlands'!BL477</f>
        <v/>
      </c>
      <c r="G128" s="3599">
        <f>'Inl. wetlands'!BL476+'Inl. wetlands'!BL479</f>
        <v/>
      </c>
      <c r="H128" s="3612">
        <f>'Inl. wetlands'!BL475+'Inl. wetlands'!BL478</f>
        <v/>
      </c>
      <c r="I128" s="3641">
        <f>SUM('Inl. wetlands'!BL480:BL482)</f>
        <v/>
      </c>
      <c r="K128" s="3508" t="n"/>
      <c r="L128" s="3640">
        <f>ABS(IF(F100="*",$K$74,IF(F100="**",$K$75,IF(F100="***",$K$76,$K$77)))*F128/100)</f>
        <v/>
      </c>
      <c r="M128" s="3599">
        <f>ABS(IF(G100="*",$K$74,IF(G100="**",$K$75,IF(G100="***",$K$76,$K$77)))*G128/100)</f>
        <v/>
      </c>
      <c r="N128" s="3612">
        <f>ABS(IF(H100="*",$K$74,IF(H100="**",$K$75,IF(H100="***",$K$76,$K$77)))*H128/100)</f>
        <v/>
      </c>
      <c r="O128" s="3641">
        <f>ABS(IF(I100="*",$K$74,IF(I100="**",$K$75,IF(I100="***",$K$76,$K$77)))*I128/100)</f>
        <v/>
      </c>
      <c r="Q128" s="3508" t="n"/>
      <c r="R128" s="3640">
        <f>IF(F128=0,0,100*ABS(L128/F128))</f>
        <v/>
      </c>
      <c r="S128" s="3599">
        <f>IF(G128=0,0,100*ABS(M128/G128))</f>
        <v/>
      </c>
      <c r="T128" s="3612">
        <f>IF(H128=0,0,100*ABS(N128/H128))</f>
        <v/>
      </c>
      <c r="U128" s="3641">
        <f>IF(I128=0,0,100*ABS(O128/I128))</f>
        <v/>
      </c>
    </row>
    <row r="129">
      <c r="B129" s="1281" t="inlineStr">
        <is>
          <t>Other GHG emissions</t>
        </is>
      </c>
      <c r="E129" s="3508" t="n"/>
      <c r="F129" s="3578" t="n"/>
      <c r="G129" s="3578" t="n"/>
      <c r="H129" s="3578" t="n"/>
      <c r="I129" s="3509" t="n"/>
      <c r="K129" s="3508" t="n"/>
      <c r="L129" s="3578" t="n"/>
      <c r="M129" s="3578" t="n"/>
      <c r="N129" s="3578" t="n"/>
      <c r="O129" s="3509" t="n"/>
      <c r="Q129" s="3508" t="n"/>
      <c r="R129" s="3578" t="n"/>
      <c r="S129" s="3578" t="n"/>
      <c r="T129" s="3578" t="n"/>
      <c r="U129" s="3509" t="n"/>
    </row>
    <row r="130">
      <c r="B130" s="973" t="inlineStr">
        <is>
          <t>Agricultural inputs</t>
        </is>
      </c>
      <c r="E130" s="3508" t="n"/>
      <c r="F130" s="3640">
        <f>Inputs!O12</f>
        <v/>
      </c>
      <c r="G130" s="3599">
        <f>Inputs!O40</f>
        <v/>
      </c>
      <c r="H130" s="3578" t="n"/>
      <c r="I130" s="3641">
        <f>Inputs!O21+Inputs!O69</f>
        <v/>
      </c>
      <c r="K130" s="3508" t="n"/>
      <c r="L130" s="3640">
        <f>ABS(IF(F102="*",$K$74,IF(F102="**",$K$75,IF(F102="***",$K$76,$K$77)))*F130/100)</f>
        <v/>
      </c>
      <c r="M130" s="3599">
        <f>ABS(IF(G102="*",$K$74,IF(G102="**",$K$75,IF(G102="***",$K$76,$K$77)))*G130/100)</f>
        <v/>
      </c>
      <c r="N130" s="3578" t="n"/>
      <c r="O130" s="3641">
        <f>ABS(IF(I102="*",$K$74,IF(I102="**",$K$75,IF(I102="***",$K$76,$K$77)))*I130/100)</f>
        <v/>
      </c>
      <c r="Q130" s="3508" t="n"/>
      <c r="R130" s="3641">
        <f>IF(F130=0,0,100*ABS(L130/F130))</f>
        <v/>
      </c>
      <c r="S130" s="3641">
        <f>IF(G130=0,0,100*ABS(M130/G130))</f>
        <v/>
      </c>
      <c r="T130" s="3578" t="n"/>
      <c r="U130" s="3641">
        <f>IF(I130=0,0,100*ABS(O130/I130))</f>
        <v/>
      </c>
    </row>
    <row r="131">
      <c r="B131" s="973" t="inlineStr">
        <is>
          <t>Fisheries &amp; Feeds</t>
        </is>
      </c>
      <c r="E131" s="3796" t="n"/>
      <c r="F131" s="3797" t="n"/>
      <c r="G131" s="3578" t="n"/>
      <c r="H131" s="3578" t="n"/>
      <c r="I131" s="3641">
        <f>'Fish and aqua'!AB39+'Fish and aqua'!V78</f>
        <v/>
      </c>
      <c r="K131" s="3796" t="n"/>
      <c r="L131" s="3797" t="n"/>
      <c r="M131" s="3578" t="n"/>
      <c r="N131" s="3578" t="n"/>
      <c r="O131" s="3641">
        <f>ABS(IF(I103="*",$K$74,IF(I103="**",$K$75,IF(I103="***",$K$76,$K$77)))*I131/100)</f>
        <v/>
      </c>
      <c r="Q131" s="3796" t="n"/>
      <c r="R131" s="3797" t="n"/>
      <c r="S131" s="3578" t="n"/>
      <c r="T131" s="3578" t="n"/>
      <c r="U131" s="3641">
        <f>IF(I131=0,0,100*ABS(O131/I131))</f>
        <v/>
      </c>
    </row>
    <row r="132">
      <c r="B132" s="973" t="inlineStr">
        <is>
          <t>Energy use</t>
        </is>
      </c>
      <c r="E132" s="3508" t="n"/>
      <c r="F132" s="3578" t="n"/>
      <c r="G132" s="3578" t="n"/>
      <c r="H132" s="3578" t="n"/>
      <c r="I132" s="3641">
        <f>Inputs!O103</f>
        <v/>
      </c>
      <c r="K132" s="3508" t="n"/>
      <c r="L132" s="3578" t="n"/>
      <c r="M132" s="3578" t="n"/>
      <c r="N132" s="3578" t="n"/>
      <c r="O132" s="3641">
        <f>ABS(IF(I104="*",$K$74,IF(I104="**",$K$75,IF(I104="***",$K$76,$K$77)))*I132/100)</f>
        <v/>
      </c>
      <c r="Q132" s="3508" t="n"/>
      <c r="R132" s="3578" t="n"/>
      <c r="S132" s="3578" t="n"/>
      <c r="T132" s="3578" t="n"/>
      <c r="U132" s="3641">
        <f>IF(I132=0,0,100*ABS(O132/I132))</f>
        <v/>
      </c>
    </row>
    <row r="133">
      <c r="B133" s="973" t="inlineStr">
        <is>
          <t>Irrigation</t>
        </is>
      </c>
      <c r="E133" s="3798" t="n"/>
      <c r="F133" s="3797" t="n"/>
      <c r="G133" s="3797" t="n"/>
      <c r="H133" s="3797" t="n"/>
      <c r="I133" s="3641">
        <f>Inputs!O133</f>
        <v/>
      </c>
      <c r="K133" s="3798" t="n"/>
      <c r="L133" s="3797" t="n"/>
      <c r="M133" s="3797" t="n"/>
      <c r="N133" s="3797" t="n"/>
      <c r="O133" s="3641">
        <f>ABS(IF(I105="*",$K$74,IF(I105="**",$K$75,IF(I105="***",$K$76,$K$77)))*I133/100)</f>
        <v/>
      </c>
      <c r="Q133" s="3798" t="n"/>
      <c r="R133" s="3797" t="n"/>
      <c r="S133" s="3797" t="n"/>
      <c r="T133" s="3797" t="n"/>
      <c r="U133" s="3641">
        <f>IF(I133=0,0,100*ABS(O133/I133))</f>
        <v/>
      </c>
    </row>
    <row r="134">
      <c r="B134" s="973" t="inlineStr">
        <is>
          <t>Infrastructures</t>
        </is>
      </c>
      <c r="E134" s="3905" t="n"/>
      <c r="F134" s="3906" t="n"/>
      <c r="G134" s="3906" t="n"/>
      <c r="H134" s="3906" t="n"/>
      <c r="I134" s="3642">
        <f>Inputs!O153</f>
        <v/>
      </c>
      <c r="K134" s="3905" t="n"/>
      <c r="L134" s="3906" t="n"/>
      <c r="M134" s="3906" t="n"/>
      <c r="N134" s="3906" t="n"/>
      <c r="O134" s="3641">
        <f>ABS(IF(I106="*",$K$74,IF(I106="**",$K$75,IF(I106="***",$K$76,$K$77)))*I134/100)</f>
        <v/>
      </c>
      <c r="Q134" s="3905" t="n"/>
      <c r="R134" s="3906" t="n"/>
      <c r="S134" s="3906" t="n"/>
      <c r="T134" s="3906" t="n"/>
      <c r="U134" s="3641">
        <f>IF(I134=0,0,100*ABS(O134/I134))</f>
        <v/>
      </c>
    </row>
    <row r="135">
      <c r="E135" s="3911" t="inlineStr">
        <is>
          <t>Total Without</t>
        </is>
      </c>
      <c r="F135" s="3911" t="n"/>
      <c r="G135" s="3911" t="n"/>
      <c r="H135" s="3911" t="n"/>
      <c r="I135" s="3529">
        <f>SUM(E110:I134)</f>
        <v/>
      </c>
      <c r="K135" s="3911" t="inlineStr">
        <is>
          <t>Total uncertainties Without</t>
        </is>
      </c>
      <c r="L135" s="3911" t="n"/>
      <c r="M135" s="3911" t="n"/>
      <c r="N135" s="3911" t="n"/>
      <c r="O135" s="3529">
        <f>SUM(K110:O134)</f>
        <v/>
      </c>
      <c r="Q135" s="1281" t="inlineStr">
        <is>
          <t>Global level of uncertainty (%)</t>
        </is>
      </c>
      <c r="R135" s="1281" t="n"/>
      <c r="S135" s="1281" t="n"/>
      <c r="T135" s="1281" t="n"/>
      <c r="U135" s="3909">
        <f>IFERROR(IF(O135=0,"",SUMPRODUCT(K110:O134,Q110:U134)/O135)/100,0)</f>
        <v/>
      </c>
    </row>
    <row r="137">
      <c r="B137" s="1281" t="inlineStr">
        <is>
          <t>Components of the project</t>
        </is>
      </c>
      <c r="E137" s="1281" t="inlineStr">
        <is>
          <t>Indication of the level of uncertainty</t>
        </is>
      </c>
    </row>
    <row r="138" ht="38.25" customHeight="1">
      <c r="B138" s="3910" t="inlineStr">
        <is>
          <t>WITH</t>
        </is>
      </c>
      <c r="E138" s="3584" t="inlineStr">
        <is>
          <t>CO2 BIOMASS</t>
        </is>
      </c>
      <c r="F138" s="3584" t="inlineStr">
        <is>
          <t>CO2 SOIL</t>
        </is>
      </c>
      <c r="G138" s="3584" t="inlineStr">
        <is>
          <t>N2O</t>
        </is>
      </c>
      <c r="H138" s="3584" t="inlineStr">
        <is>
          <t>CH4</t>
        </is>
      </c>
      <c r="I138" s="3584" t="inlineStr">
        <is>
          <t>OTHER</t>
        </is>
      </c>
      <c r="K138" s="3584" t="inlineStr">
        <is>
          <t>CO2 BIOMASS</t>
        </is>
      </c>
      <c r="L138" s="3584" t="inlineStr">
        <is>
          <t>CO2 SOIL</t>
        </is>
      </c>
      <c r="M138" s="3584" t="inlineStr">
        <is>
          <t>N2O</t>
        </is>
      </c>
      <c r="N138" s="3584" t="inlineStr">
        <is>
          <t>CH4</t>
        </is>
      </c>
      <c r="O138" s="3584" t="inlineStr">
        <is>
          <t>OTHER</t>
        </is>
      </c>
      <c r="Q138" s="3584" t="inlineStr">
        <is>
          <t>CO2 BIOMASS</t>
        </is>
      </c>
      <c r="R138" s="3584" t="inlineStr">
        <is>
          <t>CO2 SOIL</t>
        </is>
      </c>
      <c r="S138" s="3584" t="inlineStr">
        <is>
          <t>N2O</t>
        </is>
      </c>
      <c r="T138" s="3584" t="inlineStr">
        <is>
          <t>CH4</t>
        </is>
      </c>
      <c r="U138" s="3584" t="inlineStr">
        <is>
          <t>OTHER</t>
        </is>
      </c>
    </row>
    <row r="139">
      <c r="B139" s="973" t="inlineStr">
        <is>
          <t>Deforestation</t>
        </is>
      </c>
      <c r="E139" s="3589">
        <f>SUM(defo!J35:J42,defo!N35:N42,defo!L35:L42)</f>
        <v/>
      </c>
      <c r="F139" s="3640">
        <f>SUM(defo!P35:P42)</f>
        <v/>
      </c>
      <c r="G139" s="3599">
        <f>SUM(defo!AC23:AC30,defo!AE23:AE30)</f>
        <v/>
      </c>
      <c r="H139" s="3612">
        <f>SUM(defo!AA23:AA30)</f>
        <v/>
      </c>
      <c r="I139" s="3509" t="n"/>
      <c r="K139" s="3589">
        <f>ABS(IF(E82="*",$K$74,IF(E82="**",$K$75,IF(E82="***",$K$76,$K$77)))*E139/100)</f>
        <v/>
      </c>
      <c r="L139" s="3640">
        <f>ABS(IF(F82="*",$K$74,IF(F82="**",$K$75,IF(F82="***",$K$76,$K$77)))*F139/100)</f>
        <v/>
      </c>
      <c r="M139" s="3599">
        <f>ABS(IF(G82="*",$K$74,IF(G82="**",$K$75,IF(G82="***",$K$76,$K$77)))*G139/100)</f>
        <v/>
      </c>
      <c r="N139" s="3612">
        <f>ABS(IF(H82="*",$K$74,IF(H82="**",$K$75,IF(H82="***",$K$76,$K$77)))*H139/100)</f>
        <v/>
      </c>
      <c r="O139" s="3509" t="n"/>
      <c r="Q139" s="3589">
        <f>IF(E139=0,0,100*ABS(K139/E139))</f>
        <v/>
      </c>
      <c r="R139" s="3640">
        <f>IF(F139=0,0,100*ABS(L139/F139))</f>
        <v/>
      </c>
      <c r="S139" s="3599">
        <f>IF(G139=0,0,100*ABS(M139/G139))</f>
        <v/>
      </c>
      <c r="T139" s="3612">
        <f>IF(H139=0,0,100*ABS(N139/H139))</f>
        <v/>
      </c>
      <c r="U139" s="3509" t="n"/>
    </row>
    <row r="140">
      <c r="B140" s="973" t="inlineStr">
        <is>
          <t>Forest degradation</t>
        </is>
      </c>
      <c r="E140" s="3589">
        <f>degradation!BC56+degradation!BC57</f>
        <v/>
      </c>
      <c r="F140" s="3640">
        <f>degradation!BC57</f>
        <v/>
      </c>
      <c r="G140" s="3599">
        <f>degradation!BC60</f>
        <v/>
      </c>
      <c r="H140" s="3612">
        <f>degradation!BC59</f>
        <v/>
      </c>
      <c r="I140" s="3509" t="n"/>
      <c r="K140" s="3589">
        <f>ABS(IF(E83="*",$K$74,IF(E83="**",$K$75,IF(E83="***",$K$76,$K$77)))*E140/100)</f>
        <v/>
      </c>
      <c r="L140" s="3640">
        <f>ABS(IF(F83="*",$K$74,IF(F83="**",$K$75,IF(F83="***",$K$76,$K$77)))*F140/100)</f>
        <v/>
      </c>
      <c r="M140" s="3599">
        <f>ABS(IF(G83="*",$K$74,IF(G83="**",$K$75,IF(G83="***",$K$76,$K$77)))*G140/100)</f>
        <v/>
      </c>
      <c r="N140" s="3612">
        <f>ABS(IF(H83="*",$K$74,IF(H83="**",$K$75,IF(H83="***",$K$76,$K$77)))*H140/100)</f>
        <v/>
      </c>
      <c r="O140" s="3509" t="n"/>
      <c r="Q140" s="3589">
        <f>IF(E140=0,0,100*ABS(K140/E140))</f>
        <v/>
      </c>
      <c r="R140" s="3640">
        <f>IF(F140=0,0,100*ABS(L140/F140))</f>
        <v/>
      </c>
      <c r="S140" s="3599">
        <f>IF(G140=0,0,100*ABS(M140/G140))</f>
        <v/>
      </c>
      <c r="T140" s="3612">
        <f>IF(H140=0,0,100*ABS(N140/H140))</f>
        <v/>
      </c>
      <c r="U140" s="3509" t="n"/>
    </row>
    <row r="141">
      <c r="B141" s="973" t="inlineStr">
        <is>
          <t>Afforestation and reforestation</t>
        </is>
      </c>
      <c r="E141" s="3589">
        <f>affo!AM26+affo!AM27</f>
        <v/>
      </c>
      <c r="F141" s="3640">
        <f>affo!AM28</f>
        <v/>
      </c>
      <c r="G141" s="3599">
        <f>affo!AM29</f>
        <v/>
      </c>
      <c r="H141" s="3612">
        <f>affo!AM29</f>
        <v/>
      </c>
      <c r="I141" s="3509" t="n"/>
      <c r="K141" s="3589">
        <f>ABS(IF(E84="*",$K$74,IF(E84="**",$K$75,IF(E84="***",$K$76,$K$77)))*E141/100)</f>
        <v/>
      </c>
      <c r="L141" s="3640">
        <f>ABS(IF(F84="*",$K$74,IF(F84="**",$K$75,IF(F84="***",$K$76,$K$77)))*F141/100)</f>
        <v/>
      </c>
      <c r="M141" s="3599">
        <f>ABS(IF(G84="*",$K$74,IF(G84="**",$K$75,IF(G84="***",$K$76,$K$77)))*G141/100)</f>
        <v/>
      </c>
      <c r="N141" s="3612">
        <f>ABS(IF(H84="*",$K$74,IF(H84="**",$K$75,IF(H84="***",$K$76,$K$77)))*H141/100)</f>
        <v/>
      </c>
      <c r="O141" s="3509" t="n"/>
      <c r="Q141" s="3589">
        <f>IF(E141=0,0,100*ABS(K141/E141))</f>
        <v/>
      </c>
      <c r="R141" s="3640">
        <f>IF(F141=0,0,100*ABS(L141/F141))</f>
        <v/>
      </c>
      <c r="S141" s="3599">
        <f>IF(G141=0,0,100*ABS(M141/G141))</f>
        <v/>
      </c>
      <c r="T141" s="3612">
        <f>IF(H141=0,0,100*ABS(N141/H141))</f>
        <v/>
      </c>
      <c r="U141" s="3509" t="n"/>
    </row>
    <row r="142">
      <c r="B142" s="973" t="inlineStr">
        <is>
          <t>Non forest land use change</t>
        </is>
      </c>
      <c r="E142" s="3589">
        <f>luc!U14</f>
        <v/>
      </c>
      <c r="F142" s="3640">
        <f>luc!U15</f>
        <v/>
      </c>
      <c r="G142" s="3599">
        <f>luc!U16+luc!U18</f>
        <v/>
      </c>
      <c r="H142" s="3612">
        <f>luc!U17</f>
        <v/>
      </c>
      <c r="I142" s="3509" t="n"/>
      <c r="K142" s="3589">
        <f>ABS(IF(E85="*",$K$74,IF(E85="**",$K$75,IF(E85="***",$K$76,$K$77)))*E142/100)</f>
        <v/>
      </c>
      <c r="L142" s="3640">
        <f>ABS(IF(F85="*",$K$74,IF(F85="**",$K$75,IF(F85="***",$K$76,$K$77)))*F142/100)</f>
        <v/>
      </c>
      <c r="M142" s="3599">
        <f>ABS(IF(G85="*",$K$74,IF(G85="**",$K$75,IF(G85="***",$K$76,$K$77)))*G142/100)</f>
        <v/>
      </c>
      <c r="N142" s="3612">
        <f>ABS(IF(H85="*",$K$74,IF(H85="**",$K$75,IF(H85="***",$K$76,$K$77)))*H142/100)</f>
        <v/>
      </c>
      <c r="O142" s="3509" t="n"/>
      <c r="Q142" s="3589">
        <f>IF(E142=0,0,100*ABS(K142/E142))</f>
        <v/>
      </c>
      <c r="R142" s="3640">
        <f>IF(F142=0,0,100*ABS(L142/F142))</f>
        <v/>
      </c>
      <c r="S142" s="3599">
        <f>IF(G142=0,0,100*ABS(M142/G142))</f>
        <v/>
      </c>
      <c r="T142" s="3612">
        <f>IF(H142=0,0,100*ABS(N142/H142))</f>
        <v/>
      </c>
      <c r="U142" s="3509" t="n"/>
    </row>
    <row r="143">
      <c r="B143" s="1281" t="inlineStr">
        <is>
          <t>Agriculture</t>
        </is>
      </c>
      <c r="E143" s="3508" t="n"/>
      <c r="F143" s="3578" t="n"/>
      <c r="G143" s="3578" t="n"/>
      <c r="H143" s="3578" t="n"/>
      <c r="I143" s="3509" t="n"/>
      <c r="K143" s="3508" t="n"/>
      <c r="L143" s="3578" t="n"/>
      <c r="M143" s="3578" t="n"/>
      <c r="N143" s="3578" t="n"/>
      <c r="O143" s="3509" t="n"/>
      <c r="Q143" s="3508" t="n"/>
      <c r="R143" s="3578" t="n"/>
      <c r="S143" s="3578" t="n"/>
      <c r="T143" s="3578" t="n"/>
      <c r="U143" s="3509" t="n"/>
    </row>
    <row r="144">
      <c r="B144" s="973" t="inlineStr">
        <is>
          <t>Annual</t>
        </is>
      </c>
      <c r="E144" s="3589">
        <f>annual!Y40</f>
        <v/>
      </c>
      <c r="F144" s="3640">
        <f>annual!Y41</f>
        <v/>
      </c>
      <c r="G144" s="3599">
        <f>annual!Y42+annual!Y44</f>
        <v/>
      </c>
      <c r="H144" s="3612">
        <f>annual!Y43</f>
        <v/>
      </c>
      <c r="I144" s="3509" t="n"/>
      <c r="K144" s="3589">
        <f>ABS(IF(E87="*",$K$74,IF(E87="**",$K$75,IF(E87="***",$K$76,$K$77)))*E144/100)</f>
        <v/>
      </c>
      <c r="L144" s="3640">
        <f>ABS(IF(F87="*",$K$74,IF(F87="**",$K$75,IF(F87="***",$K$76,$K$77)))*F144/100)</f>
        <v/>
      </c>
      <c r="M144" s="3599">
        <f>ABS(IF(G87="*",$K$74,IF(G87="**",$K$75,IF(G87="***",$K$76,$K$77)))*G144/100)</f>
        <v/>
      </c>
      <c r="N144" s="3612">
        <f>ABS(IF(H87="*",$K$74,IF(H87="**",$K$75,IF(H87="***",$K$76,$K$77)))*H144/100)</f>
        <v/>
      </c>
      <c r="O144" s="3509" t="n"/>
      <c r="Q144" s="3589">
        <f>IF(E144=0,0,100*ABS(K144/E144))</f>
        <v/>
      </c>
      <c r="R144" s="3640">
        <f>IF(F144=0,0,100*ABS(L144/F144))</f>
        <v/>
      </c>
      <c r="S144" s="3599">
        <f>IF(G144=0,0,100*ABS(M144/G144))</f>
        <v/>
      </c>
      <c r="T144" s="3612">
        <f>IF(H144=0,0,100*ABS(N144/H144))</f>
        <v/>
      </c>
      <c r="U144" s="3509" t="n"/>
    </row>
    <row r="145">
      <c r="B145" s="973" t="inlineStr">
        <is>
          <t>Perennial</t>
        </is>
      </c>
      <c r="E145" s="3589">
        <f>perennial!AC38</f>
        <v/>
      </c>
      <c r="F145" s="3640">
        <f>perennial!AC39</f>
        <v/>
      </c>
      <c r="G145" s="3599">
        <f>perennial!AC40+perennial!AC42</f>
        <v/>
      </c>
      <c r="H145" s="3612">
        <f>perennial!AC41</f>
        <v/>
      </c>
      <c r="I145" s="3509" t="n"/>
      <c r="K145" s="3589">
        <f>ABS(IF(E88="*",$K$74,IF(E88="**",$K$75,IF(E88="***",$K$76,$K$77)))*E145/100)</f>
        <v/>
      </c>
      <c r="L145" s="3640">
        <f>ABS(IF(F88="*",$K$74,IF(F88="**",$K$75,IF(F88="***",$K$76,$K$77)))*F145/100)</f>
        <v/>
      </c>
      <c r="M145" s="3599">
        <f>ABS(IF(G88="*",$K$74,IF(G88="**",$K$75,IF(G88="***",$K$76,$K$77)))*G145/100)</f>
        <v/>
      </c>
      <c r="N145" s="3612">
        <f>ABS(IF(H88="*",$K$74,IF(H88="**",$K$75,IF(H88="***",$K$76,$K$77)))*H145/100)</f>
        <v/>
      </c>
      <c r="O145" s="3509" t="n"/>
      <c r="Q145" s="3589">
        <f>IF(E145=0,0,100*ABS(K145/E145))</f>
        <v/>
      </c>
      <c r="R145" s="3640">
        <f>IF(F145=0,0,100*ABS(L145/F145))</f>
        <v/>
      </c>
      <c r="S145" s="3599">
        <f>IF(G145=0,0,100*ABS(M145/G145))</f>
        <v/>
      </c>
      <c r="T145" s="3612">
        <f>IF(H145=0,0,100*ABS(N145/H145))</f>
        <v/>
      </c>
      <c r="U145" s="3509" t="n"/>
    </row>
    <row r="146">
      <c r="B146" s="973" t="inlineStr">
        <is>
          <t>Rice</t>
        </is>
      </c>
      <c r="E146" s="3589">
        <f>rice!X14</f>
        <v/>
      </c>
      <c r="F146" s="3640">
        <f>rice!X15</f>
        <v/>
      </c>
      <c r="G146" s="3599">
        <f>rice!X18</f>
        <v/>
      </c>
      <c r="H146" s="3612">
        <f>rice!X16+rice!X17</f>
        <v/>
      </c>
      <c r="I146" s="3509" t="n"/>
      <c r="K146" s="3589">
        <f>ABS(IF(E89="*",$K$74,IF(E89="**",$K$75,IF(E89="***",$K$76,$K$77)))*E146/100)</f>
        <v/>
      </c>
      <c r="L146" s="3640">
        <f>ABS(IF(F89="*",$K$74,IF(F89="**",$K$75,IF(F89="***",$K$76,$K$77)))*F146/100)</f>
        <v/>
      </c>
      <c r="M146" s="3599">
        <f>ABS(IF(G89="*",$K$74,IF(G89="**",$K$75,IF(G89="***",$K$76,$K$77)))*G146/100)</f>
        <v/>
      </c>
      <c r="N146" s="3612">
        <f>ABS(IF(H89="*",$K$74,IF(H89="**",$K$75,IF(H89="***",$K$76,$K$77)))*H146/100)</f>
        <v/>
      </c>
      <c r="O146" s="3509" t="n"/>
      <c r="Q146" s="3589">
        <f>IF(E146=0,0,100*ABS(K146/E146))</f>
        <v/>
      </c>
      <c r="R146" s="3640">
        <f>IF(F146=0,0,100*ABS(L146/F146))</f>
        <v/>
      </c>
      <c r="S146" s="3599">
        <f>IF(G146=0,0,100*ABS(M146/G146))</f>
        <v/>
      </c>
      <c r="T146" s="3612">
        <f>IF(H146=0,0,100*ABS(N146/H146))</f>
        <v/>
      </c>
      <c r="U146" s="3509" t="n"/>
    </row>
    <row r="147">
      <c r="B147" s="973" t="inlineStr">
        <is>
          <t>Grasslands</t>
        </is>
      </c>
      <c r="E147" s="3589">
        <f>grass!Y44</f>
        <v/>
      </c>
      <c r="F147" s="3640">
        <f>grass!Y45</f>
        <v/>
      </c>
      <c r="G147" s="3599">
        <f>grass!Y46+grass!Y47</f>
        <v/>
      </c>
      <c r="H147" s="3612">
        <f>grass!Y48</f>
        <v/>
      </c>
      <c r="I147" s="3509" t="n"/>
      <c r="K147" s="3589">
        <f>ABS(IF(E90="*",$K$74,IF(E90="**",$K$75,IF(E90="***",$K$76,$K$77)))*E147/100)</f>
        <v/>
      </c>
      <c r="L147" s="3640">
        <f>ABS(IF(F90="*",$K$74,IF(F90="**",$K$75,IF(F90="***",$K$76,$K$77)))*F147/100)</f>
        <v/>
      </c>
      <c r="M147" s="3599">
        <f>ABS(IF(G90="*",$K$74,IF(G90="**",$K$75,IF(G90="***",$K$76,$K$77)))*G147/100)</f>
        <v/>
      </c>
      <c r="N147" s="3612">
        <f>ABS(IF(H90="*",$K$74,IF(H90="**",$K$75,IF(H90="***",$K$76,$K$77)))*H147/100)</f>
        <v/>
      </c>
      <c r="O147" s="3509" t="n"/>
      <c r="Q147" s="3589">
        <f>IF(E147=0,0,100*ABS(K147/E147))</f>
        <v/>
      </c>
      <c r="R147" s="3640">
        <f>IF(F147=0,0,100*ABS(L147/F147))</f>
        <v/>
      </c>
      <c r="S147" s="3599">
        <f>IF(G147=0,0,100*ABS(M147/G147))</f>
        <v/>
      </c>
      <c r="T147" s="3612">
        <f>IF(H147=0,0,100*ABS(N147/H147))</f>
        <v/>
      </c>
      <c r="U147" s="3509" t="n"/>
    </row>
    <row r="148">
      <c r="B148" s="973" t="inlineStr">
        <is>
          <t>Livestock</t>
        </is>
      </c>
      <c r="E148" s="3508" t="n"/>
      <c r="F148" s="3578" t="n"/>
      <c r="G148" s="3599">
        <f>Livestock!AN10</f>
        <v/>
      </c>
      <c r="H148" s="3612">
        <f>Livestock!AN9</f>
        <v/>
      </c>
      <c r="I148" s="3509" t="n"/>
      <c r="K148" s="3508" t="n"/>
      <c r="L148" s="3578" t="n"/>
      <c r="M148" s="3599">
        <f>ABS(IF(G91="*",$K$74,IF(G91="**",$K$75,IF(G91="***",$K$76,$K$77)))*G148/100)</f>
        <v/>
      </c>
      <c r="N148" s="3612">
        <f>ABS(IF(H91="*",$K$74,IF(H91="**",$K$75,IF(H91="***",$K$76,$K$77)))*H148/100)</f>
        <v/>
      </c>
      <c r="O148" s="3509" t="n"/>
      <c r="Q148" s="3508" t="n"/>
      <c r="R148" s="3578" t="n"/>
      <c r="S148" s="3599">
        <f>IF(G148=0,0,100*ABS(M148/G148))</f>
        <v/>
      </c>
      <c r="T148" s="3612">
        <f>IF(H148=0,0,100*ABS(N148/H148))</f>
        <v/>
      </c>
      <c r="U148" s="3509" t="n"/>
    </row>
    <row r="149">
      <c r="B149" s="1281" t="inlineStr">
        <is>
          <t>Coastal wetlands &amp; Aqua</t>
        </is>
      </c>
      <c r="E149" s="3589">
        <f>Coastal!W8+Coastal!W31+Coastal!W66</f>
        <v/>
      </c>
      <c r="F149" s="3640">
        <f>Coastal!W9+Coastal!W32+Coastal!W67</f>
        <v/>
      </c>
      <c r="G149" s="3599">
        <f>'Fish and aqua'!W79</f>
        <v/>
      </c>
      <c r="H149" s="3612">
        <f>Coastal!W68+'Fish and aqua'!W80</f>
        <v/>
      </c>
      <c r="I149" s="3509" t="n"/>
      <c r="K149" s="3589">
        <f>ABS(IF(E92="*",$K$74,IF(E92="**",$K$75,IF(E92="***",$K$76,$K$77)))*E149/100)</f>
        <v/>
      </c>
      <c r="L149" s="3640">
        <f>ABS(IF(F92="*",$K$74,IF(F92="**",$K$75,IF(F92="***",$K$76,$K$77)))*F149/100)</f>
        <v/>
      </c>
      <c r="M149" s="3599">
        <f>ABS(IF(G92="*",$K$74,IF(G92="**",$K$75,IF(G92="***",$K$76,$K$77)))*G149/100)</f>
        <v/>
      </c>
      <c r="N149" s="3612">
        <f>ABS(IF(H92="*",$K$74,IF(H92="**",$K$75,IF(H92="***",$K$76,$K$77)))*H149/100)</f>
        <v/>
      </c>
      <c r="O149" s="3509" t="n"/>
      <c r="Q149" s="3589">
        <f>IF(E149=0,0,100*ABS(K149/E149))</f>
        <v/>
      </c>
      <c r="R149" s="3640">
        <f>IF(F149=0,0,100*ABS(L149/F149))</f>
        <v/>
      </c>
      <c r="S149" s="3599">
        <f>IF(G149=0,0,100*ABS(M149/G149))</f>
        <v/>
      </c>
      <c r="T149" s="3612">
        <f>IF(H149=0,0,100*ABS(N149/H149))</f>
        <v/>
      </c>
      <c r="U149" s="3509" t="n"/>
    </row>
    <row r="150">
      <c r="B150" s="1281" t="inlineStr">
        <is>
          <t>Waterbodies</t>
        </is>
      </c>
      <c r="E150" s="3508" t="n"/>
      <c r="F150" s="3795" t="n"/>
      <c r="G150" s="3795" t="n"/>
      <c r="H150" s="3612">
        <f>'Inl. wetlands'!BL503</f>
        <v/>
      </c>
      <c r="I150" s="3509" t="n"/>
      <c r="K150" s="3508" t="n"/>
      <c r="L150" s="3795" t="n"/>
      <c r="M150" s="3795" t="n"/>
      <c r="N150" s="3612">
        <f>ABS(IF(H93="*",$K$74,IF(H93="**",$K$75,IF(H93="***",$K$76,$K$77)))*H150/100)</f>
        <v/>
      </c>
      <c r="O150" s="3509" t="n"/>
      <c r="Q150" s="3508" t="n"/>
      <c r="R150" s="3795" t="n"/>
      <c r="S150" s="3795" t="n"/>
      <c r="T150" s="3612">
        <f>IF(H150=0,0,100*ABS(N150/H150))</f>
        <v/>
      </c>
      <c r="U150" s="3509" t="n"/>
    </row>
    <row r="151">
      <c r="B151" s="1281" t="inlineStr">
        <is>
          <t>Inland wetlands</t>
        </is>
      </c>
      <c r="E151" s="3508" t="n"/>
      <c r="F151" s="3578" t="n"/>
      <c r="G151" s="3578" t="n"/>
      <c r="H151" s="3578" t="n"/>
      <c r="I151" s="3509" t="n"/>
      <c r="K151" s="3508" t="n"/>
      <c r="L151" s="3578" t="n"/>
      <c r="M151" s="3578" t="n"/>
      <c r="N151" s="3578" t="n"/>
      <c r="O151" s="3509" t="n"/>
      <c r="Q151" s="3508" t="n"/>
      <c r="R151" s="3578" t="n"/>
      <c r="S151" s="3578" t="n"/>
      <c r="T151" s="3578" t="n"/>
      <c r="U151" s="3509" t="n"/>
    </row>
    <row r="152">
      <c r="B152" s="973" t="inlineStr">
        <is>
          <t>Deforestation</t>
        </is>
      </c>
      <c r="E152" s="3589">
        <f>'Inl. wetlands'!BM35</f>
        <v/>
      </c>
      <c r="F152" s="3640">
        <f>'Inl. wetlands'!BM36+'Inl. wetlands'!BM39</f>
        <v/>
      </c>
      <c r="G152" s="3599">
        <f>'Inl. wetlands'!BM38+'Inl. wetlands'!BM41</f>
        <v/>
      </c>
      <c r="H152" s="3612">
        <f>'Inl. wetlands'!BM37+'Inl. wetlands'!BM40</f>
        <v/>
      </c>
      <c r="I152" s="3641">
        <f>SUM('Inl. wetlands'!BM42:BM44)</f>
        <v/>
      </c>
      <c r="K152" s="3589">
        <f>ABS(IF(E95="*",$K$74,IF(E95="**",$K$75,IF(E95="***",$K$76,$K$77)))*E152/100)</f>
        <v/>
      </c>
      <c r="L152" s="3640">
        <f>ABS(IF(F95="*",$K$74,IF(F95="**",$K$75,IF(F95="***",$K$76,$K$77)))*F152/100)</f>
        <v/>
      </c>
      <c r="M152" s="3599">
        <f>ABS(IF(G95="*",$K$74,IF(G95="**",$K$75,IF(G95="***",$K$76,$K$77)))*G152/100)</f>
        <v/>
      </c>
      <c r="N152" s="3612">
        <f>ABS(IF(H95="*",$K$74,IF(H95="**",$K$75,IF(H95="***",$K$76,$K$77)))*H152/100)</f>
        <v/>
      </c>
      <c r="O152" s="3641">
        <f>ABS(IF(I95="*",$K$74,IF(I95="**",$K$75,IF(I95="***",$K$76,$K$77)))*I152/100)</f>
        <v/>
      </c>
      <c r="Q152" s="3589">
        <f>IF(E152=0,0,100*ABS(K152/E152))</f>
        <v/>
      </c>
      <c r="R152" s="3640">
        <f>IF(F152=0,0,100*ABS(L152/F152))</f>
        <v/>
      </c>
      <c r="S152" s="3599">
        <f>IF(G152=0,0,100*ABS(M152/G152))</f>
        <v/>
      </c>
      <c r="T152" s="3612">
        <f>IF(H152=0,0,100*ABS(N152/H152))</f>
        <v/>
      </c>
      <c r="U152" s="3641">
        <f>IF(I152=0,0,100*ABS(O152/I152))</f>
        <v/>
      </c>
    </row>
    <row r="153">
      <c r="B153" s="973" t="inlineStr">
        <is>
          <t>Forest Degradation</t>
        </is>
      </c>
      <c r="E153" s="3589">
        <f>'Inl. wetlands'!BM339</f>
        <v/>
      </c>
      <c r="F153" s="3640">
        <f>'Inl. wetlands'!BM340</f>
        <v/>
      </c>
      <c r="G153" s="3599">
        <f>'Inl. wetlands'!BM342+'Inl. wetlands'!BM345</f>
        <v/>
      </c>
      <c r="H153" s="3612">
        <f>'Inl. wetlands'!BM341+'Inl. wetlands'!BM344</f>
        <v/>
      </c>
      <c r="I153" s="3641">
        <f>SUM('Inl. wetlands'!BM346:BM348)</f>
        <v/>
      </c>
      <c r="K153" s="3589">
        <f>ABS(IF(E96="*",$K$74,IF(E96="**",$K$75,IF(E96="***",$K$76,$K$77)))*E153/100)</f>
        <v/>
      </c>
      <c r="L153" s="3640">
        <f>ABS(IF(F96="*",$K$74,IF(F96="**",$K$75,IF(F96="***",$K$76,$K$77)))*F153/100)</f>
        <v/>
      </c>
      <c r="M153" s="3599">
        <f>ABS(IF(G96="*",$K$74,IF(G96="**",$K$75,IF(G96="***",$K$76,$K$77)))*G153/100)</f>
        <v/>
      </c>
      <c r="N153" s="3612">
        <f>ABS(IF(H96="*",$K$74,IF(H96="**",$K$75,IF(H96="***",$K$76,$K$77)))*H153/100)</f>
        <v/>
      </c>
      <c r="O153" s="3641">
        <f>ABS(IF(I96="*",$K$74,IF(I96="**",$K$75,IF(I96="***",$K$76,$K$77)))*I153/100)</f>
        <v/>
      </c>
      <c r="Q153" s="3589">
        <f>IF(E153=0,0,100*ABS(K153/E153))</f>
        <v/>
      </c>
      <c r="R153" s="3640">
        <f>IF(F153=0,0,100*ABS(L153/F153))</f>
        <v/>
      </c>
      <c r="S153" s="3599">
        <f>IF(G153=0,0,100*ABS(M153/G153))</f>
        <v/>
      </c>
      <c r="T153" s="3612">
        <f>IF(H153=0,0,100*ABS(N153/H153))</f>
        <v/>
      </c>
      <c r="U153" s="3641">
        <f>IF(I153=0,0,100*ABS(O153/I153))</f>
        <v/>
      </c>
    </row>
    <row r="154">
      <c r="B154" s="973" t="inlineStr">
        <is>
          <t>Af/reforestation</t>
        </is>
      </c>
      <c r="E154" s="3589">
        <f>'Inl. wetlands'!BM134</f>
        <v/>
      </c>
      <c r="F154" s="3640">
        <f>'Inl. wetlands'!BM135</f>
        <v/>
      </c>
      <c r="G154" s="3599">
        <f>'Inl. wetlands'!BM137+'Inl. wetlands'!BM140</f>
        <v/>
      </c>
      <c r="H154" s="3612">
        <f>'Inl. wetlands'!BM136+'Inl. wetlands'!BM139</f>
        <v/>
      </c>
      <c r="I154" s="3641">
        <f>SUM('Inl. wetlands'!BM141:BM143)</f>
        <v/>
      </c>
      <c r="K154" s="3589">
        <f>ABS(IF(E97="*",$K$74,IF(E97="**",$K$75,IF(E97="***",$K$76,$K$77)))*E154/100)</f>
        <v/>
      </c>
      <c r="L154" s="3640">
        <f>ABS(IF(F97="*",$K$74,IF(F97="**",$K$75,IF(F97="***",$K$76,$K$77)))*F154/100)</f>
        <v/>
      </c>
      <c r="M154" s="3599">
        <f>ABS(IF(G97="*",$K$74,IF(G97="**",$K$75,IF(G97="***",$K$76,$K$77)))*G154/100)</f>
        <v/>
      </c>
      <c r="N154" s="3612">
        <f>ABS(IF(H97="*",$K$74,IF(H97="**",$K$75,IF(H97="***",$K$76,$K$77)))*H154/100)</f>
        <v/>
      </c>
      <c r="O154" s="3641">
        <f>ABS(IF(I97="*",$K$74,IF(I97="**",$K$75,IF(I97="***",$K$76,$K$77)))*I154/100)</f>
        <v/>
      </c>
      <c r="Q154" s="3589">
        <f>IF(E154=0,0,100*ABS(K154/E154))</f>
        <v/>
      </c>
      <c r="R154" s="3640">
        <f>IF(F154=0,0,100*ABS(L154/F154))</f>
        <v/>
      </c>
      <c r="S154" s="3599">
        <f>IF(G154=0,0,100*ABS(M154/G154))</f>
        <v/>
      </c>
      <c r="T154" s="3612">
        <f>IF(H154=0,0,100*ABS(N154/H154))</f>
        <v/>
      </c>
      <c r="U154" s="3641">
        <f>IF(I154=0,0,100*ABS(O154/I154))</f>
        <v/>
      </c>
    </row>
    <row r="155">
      <c r="B155" s="973" t="inlineStr">
        <is>
          <t>Non-forest LUC</t>
        </is>
      </c>
      <c r="E155" s="3589">
        <f>'Inl. wetlands'!BM224</f>
        <v/>
      </c>
      <c r="F155" s="3640">
        <f>'Inl. wetlands'!BM225</f>
        <v/>
      </c>
      <c r="G155" s="3599">
        <f>'Inl. wetlands'!BM227+'Inl. wetlands'!BM230</f>
        <v/>
      </c>
      <c r="H155" s="3612">
        <f>'Inl. wetlands'!BM226+'Inl. wetlands'!BM229</f>
        <v/>
      </c>
      <c r="I155" s="3641">
        <f>SUM('Inl. wetlands'!BM231:BM233)</f>
        <v/>
      </c>
      <c r="K155" s="3589">
        <f>ABS(IF(E98="*",$K$74,IF(E98="**",$K$75,IF(E98="***",$K$76,$K$77)))*E155/100)</f>
        <v/>
      </c>
      <c r="L155" s="3640">
        <f>ABS(IF(F98="*",$K$74,IF(F98="**",$K$75,IF(F98="***",$K$76,$K$77)))*F155/100)</f>
        <v/>
      </c>
      <c r="M155" s="3599">
        <f>ABS(IF(G98="*",$K$74,IF(G98="**",$K$75,IF(G98="***",$K$76,$K$77)))*G155/100)</f>
        <v/>
      </c>
      <c r="N155" s="3612">
        <f>ABS(IF(H98="*",$K$74,IF(H98="**",$K$75,IF(H98="***",$K$76,$K$77)))*H155/100)</f>
        <v/>
      </c>
      <c r="O155" s="3641">
        <f>ABS(IF(I98="*",$K$74,IF(I98="**",$K$75,IF(I98="***",$K$76,$K$77)))*I155/100)</f>
        <v/>
      </c>
      <c r="Q155" s="3589">
        <f>IF(E155=0,0,100*ABS(K155/E155))</f>
        <v/>
      </c>
      <c r="R155" s="3640">
        <f>IF(F155=0,0,100*ABS(L155/F155))</f>
        <v/>
      </c>
      <c r="S155" s="3599">
        <f>IF(G155=0,0,100*ABS(M155/G155))</f>
        <v/>
      </c>
      <c r="T155" s="3612">
        <f>IF(H155=0,0,100*ABS(N155/H155))</f>
        <v/>
      </c>
      <c r="U155" s="3641">
        <f>IF(I155=0,0,100*ABS(O155/I155))</f>
        <v/>
      </c>
    </row>
    <row r="156">
      <c r="B156" s="973" t="inlineStr">
        <is>
          <t>Non-forest land mngt</t>
        </is>
      </c>
      <c r="E156" s="3508">
        <f>'Inl. wetlands'!BM415</f>
        <v/>
      </c>
      <c r="F156" s="3640">
        <f>'Inl. wetlands'!BM416</f>
        <v/>
      </c>
      <c r="G156" s="3599">
        <f>'Inl. wetlands'!BM418+'Inl. wetlands'!BM421</f>
        <v/>
      </c>
      <c r="H156" s="3612">
        <f>'Inl. wetlands'!BM417+'Inl. wetlands'!BM420</f>
        <v/>
      </c>
      <c r="I156" s="3641">
        <f>SUM('Inl. wetlands'!BM422:BM424)</f>
        <v/>
      </c>
      <c r="K156" s="3508" t="n"/>
      <c r="L156" s="3640">
        <f>ABS(IF(F99="*",$K$74,IF(F99="**",$K$75,IF(F99="***",$K$76,$K$77)))*F156/100)</f>
        <v/>
      </c>
      <c r="M156" s="3599">
        <f>ABS(IF(G99="*",$K$74,IF(G99="**",$K$75,IF(G99="***",$K$76,$K$77)))*G156/100)</f>
        <v/>
      </c>
      <c r="N156" s="3612">
        <f>ABS(IF(H99="*",$K$74,IF(H99="**",$K$75,IF(H99="***",$K$76,$K$77)))*H156/100)</f>
        <v/>
      </c>
      <c r="O156" s="3641">
        <f>ABS(IF(I99="*",$K$74,IF(I99="**",$K$75,IF(I99="***",$K$76,$K$77)))*I156/100)</f>
        <v/>
      </c>
      <c r="Q156" s="3508" t="n"/>
      <c r="R156" s="3640">
        <f>IF(F156=0,0,100*ABS(L156/F156))</f>
        <v/>
      </c>
      <c r="S156" s="3599">
        <f>IF(G156=0,0,100*ABS(M156/G156))</f>
        <v/>
      </c>
      <c r="T156" s="3612">
        <f>IF(H156=0,0,100*ABS(N156/H156))</f>
        <v/>
      </c>
      <c r="U156" s="3641">
        <f>IF(I156=0,0,100*ABS(O156/I156))</f>
        <v/>
      </c>
    </row>
    <row r="157">
      <c r="B157" s="973" t="inlineStr">
        <is>
          <t>Peat extraction</t>
        </is>
      </c>
      <c r="E157" s="3508" t="n"/>
      <c r="F157" s="3640">
        <f>'Inl. wetlands'!BM474</f>
        <v/>
      </c>
      <c r="G157" s="3599">
        <f>'Inl. wetlands'!BM476+'Inl. wetlands'!BM479</f>
        <v/>
      </c>
      <c r="H157" s="3612">
        <f>'Inl. wetlands'!BM475+'Inl. wetlands'!BM478</f>
        <v/>
      </c>
      <c r="I157" s="3641">
        <f>SUM('Inl. wetlands'!BM480:BM482)</f>
        <v/>
      </c>
      <c r="K157" s="3508" t="n"/>
      <c r="L157" s="3640">
        <f>ABS(IF(F100="*",$K$74,IF(F100="**",$K$75,IF(F100="***",$K$76,$K$77)))*F157/100)</f>
        <v/>
      </c>
      <c r="M157" s="3599">
        <f>ABS(IF(G100="*",$K$74,IF(G100="**",$K$75,IF(G100="***",$K$76,$K$77)))*G157/100)</f>
        <v/>
      </c>
      <c r="N157" s="3612">
        <f>ABS(IF(H100="*",$K$74,IF(H100="**",$K$75,IF(H100="***",$K$76,$K$77)))*H157/100)</f>
        <v/>
      </c>
      <c r="O157" s="3641">
        <f>ABS(IF(I100="*",$K$74,IF(I100="**",$K$75,IF(I100="***",$K$76,$K$77)))*I157/100)</f>
        <v/>
      </c>
      <c r="Q157" s="3508" t="n"/>
      <c r="R157" s="3640">
        <f>IF(F157=0,0,100*ABS(L157/F157))</f>
        <v/>
      </c>
      <c r="S157" s="3599">
        <f>IF(G157=0,0,100*ABS(M157/G157))</f>
        <v/>
      </c>
      <c r="T157" s="3612">
        <f>IF(H157=0,0,100*ABS(N157/H157))</f>
        <v/>
      </c>
      <c r="U157" s="3641">
        <f>IF(I157=0,0,100*ABS(O157/I157))</f>
        <v/>
      </c>
    </row>
    <row r="158">
      <c r="B158" s="1281" t="inlineStr">
        <is>
          <t>Other GHG emissions</t>
        </is>
      </c>
      <c r="E158" s="3508" t="n"/>
      <c r="F158" s="3578" t="n"/>
      <c r="G158" s="3578" t="n"/>
      <c r="H158" s="3578" t="n"/>
      <c r="I158" s="3509" t="n"/>
      <c r="K158" s="3508" t="n"/>
      <c r="L158" s="3578" t="n"/>
      <c r="M158" s="3578" t="n"/>
      <c r="N158" s="3578" t="n"/>
      <c r="O158" s="3509" t="n"/>
      <c r="Q158" s="3508" t="n"/>
      <c r="R158" s="3578" t="n"/>
      <c r="S158" s="3578" t="n"/>
      <c r="T158" s="3578" t="n"/>
      <c r="U158" s="3509" t="n"/>
    </row>
    <row r="159">
      <c r="B159" s="973" t="inlineStr">
        <is>
          <t>Agricultural inputs</t>
        </is>
      </c>
      <c r="E159" s="3508" t="n"/>
      <c r="F159" s="3640">
        <f>Inputs!P12</f>
        <v/>
      </c>
      <c r="G159" s="3599">
        <f>Inputs!P40</f>
        <v/>
      </c>
      <c r="H159" s="3578" t="n"/>
      <c r="I159" s="3641">
        <f>Inputs!P21+Inputs!P69</f>
        <v/>
      </c>
      <c r="K159" s="3508" t="n"/>
      <c r="L159" s="3641">
        <f>ABS(IF(F102="*",$K$74,IF(F102="**",$K$75,IF(F102="***",$K$76,$K$77)))*F159/100)</f>
        <v/>
      </c>
      <c r="M159" s="3641">
        <f>ABS(IF(G102="*",$K$74,IF(G102="**",$K$75,IF(G102="***",$K$76,$K$77)))*G159/100)</f>
        <v/>
      </c>
      <c r="N159" s="3509" t="n"/>
      <c r="O159" s="3641">
        <f>ABS(IF(I102="*",$K$74,IF(I102="**",$K$75,IF(I102="***",$K$76,$K$77)))*I159/100)</f>
        <v/>
      </c>
      <c r="Q159" s="3508" t="n"/>
      <c r="R159" s="3641">
        <f>IF(F159=0,0,100*ABS(L159/F159))</f>
        <v/>
      </c>
      <c r="S159" s="3641">
        <f>IF(G159=0,0,100*ABS(M159/G159))</f>
        <v/>
      </c>
      <c r="T159" s="3509" t="n"/>
      <c r="U159" s="3641">
        <f>IF(I159=0,0,100*ABS(O159/I159))</f>
        <v/>
      </c>
    </row>
    <row r="160">
      <c r="B160" s="973" t="inlineStr">
        <is>
          <t>Fisheries &amp; Feeds</t>
        </is>
      </c>
      <c r="E160" s="3796" t="n"/>
      <c r="F160" s="3797" t="n"/>
      <c r="G160" s="3578" t="n"/>
      <c r="H160" s="3578" t="n"/>
      <c r="I160" s="3641">
        <f>'Fish and aqua'!AC39+'Fish and aqua'!W78</f>
        <v/>
      </c>
      <c r="K160" s="3796" t="n"/>
      <c r="L160" s="3797" t="n"/>
      <c r="M160" s="3578" t="n"/>
      <c r="N160" s="3578" t="n"/>
      <c r="O160" s="3641">
        <f>ABS(IF(I103="*",$K$74,IF(I103="**",$K$75,IF(I103="***",$K$76,$K$77)))*I160/100)</f>
        <v/>
      </c>
      <c r="Q160" s="3796" t="n"/>
      <c r="R160" s="3797" t="n"/>
      <c r="S160" s="3578" t="n"/>
      <c r="T160" s="3578" t="n"/>
      <c r="U160" s="3641">
        <f>IF(I160=0,0,100*ABS(O160/I160))</f>
        <v/>
      </c>
    </row>
    <row r="161">
      <c r="B161" s="973" t="inlineStr">
        <is>
          <t>Energy use</t>
        </is>
      </c>
      <c r="E161" s="3508" t="n"/>
      <c r="F161" s="3578" t="n"/>
      <c r="G161" s="3578" t="n"/>
      <c r="H161" s="3578" t="n"/>
      <c r="I161" s="3641">
        <f>Inputs!P103</f>
        <v/>
      </c>
      <c r="K161" s="3508" t="n"/>
      <c r="L161" s="3578" t="n"/>
      <c r="M161" s="3578" t="n"/>
      <c r="N161" s="3578" t="n"/>
      <c r="O161" s="3641">
        <f>ABS(IF(I104="*",$K$74,IF(I104="**",$K$75,IF(I104="***",$K$76,$K$77)))*I161/100)</f>
        <v/>
      </c>
      <c r="Q161" s="3508" t="n"/>
      <c r="R161" s="3578" t="n"/>
      <c r="S161" s="3578" t="n"/>
      <c r="T161" s="3578" t="n"/>
      <c r="U161" s="3641">
        <f>IF(I161=0,0,100*ABS(O161/I161))</f>
        <v/>
      </c>
    </row>
    <row r="162">
      <c r="B162" s="973" t="inlineStr">
        <is>
          <t>Irrigation</t>
        </is>
      </c>
      <c r="E162" s="3798" t="n"/>
      <c r="F162" s="3797" t="n"/>
      <c r="G162" s="3797" t="n"/>
      <c r="H162" s="3797" t="n"/>
      <c r="I162" s="3641">
        <f>Inputs!P133</f>
        <v/>
      </c>
      <c r="K162" s="3798" t="n"/>
      <c r="L162" s="3797" t="n"/>
      <c r="M162" s="3797" t="n"/>
      <c r="N162" s="3797" t="n"/>
      <c r="O162" s="3641">
        <f>ABS(IF(I105="*",$K$74,IF(I105="**",$K$75,IF(I105="***",$K$76,$K$77)))*I162/100)</f>
        <v/>
      </c>
      <c r="Q162" s="3798" t="n"/>
      <c r="R162" s="3797" t="n"/>
      <c r="S162" s="3797" t="n"/>
      <c r="T162" s="3797" t="n"/>
      <c r="U162" s="3641">
        <f>IF(I162=0,0,100*ABS(O162/I162))</f>
        <v/>
      </c>
    </row>
    <row r="163">
      <c r="B163" s="973" t="inlineStr">
        <is>
          <t>Infrastructures</t>
        </is>
      </c>
      <c r="E163" s="3905" t="n"/>
      <c r="F163" s="3906" t="n"/>
      <c r="G163" s="3906" t="n"/>
      <c r="H163" s="3906" t="n"/>
      <c r="I163" s="3641">
        <f>Inputs!P153</f>
        <v/>
      </c>
      <c r="K163" s="3905" t="n"/>
      <c r="L163" s="3906" t="n"/>
      <c r="M163" s="3906" t="n"/>
      <c r="N163" s="3906" t="n"/>
      <c r="O163" s="3641">
        <f>ABS(IF(I106="*",$K$74,IF(I106="**",$K$75,IF(I106="***",$K$76,$K$77)))*I163/100)</f>
        <v/>
      </c>
      <c r="Q163" s="3905" t="n"/>
      <c r="R163" s="3906" t="n"/>
      <c r="S163" s="3906" t="n"/>
      <c r="T163" s="3906" t="n"/>
      <c r="U163" s="3641">
        <f>IF(I163=0,0,100*ABS(O163/I163))</f>
        <v/>
      </c>
    </row>
    <row r="164">
      <c r="E164" s="3911" t="inlineStr">
        <is>
          <t>Total With</t>
        </is>
      </c>
      <c r="F164" s="3911" t="n"/>
      <c r="G164" s="3911" t="n"/>
      <c r="H164" s="3911" t="n"/>
      <c r="I164" s="3529">
        <f>SUM(E139:I163)</f>
        <v/>
      </c>
      <c r="K164" s="3911" t="inlineStr">
        <is>
          <t>Total uncertainties With</t>
        </is>
      </c>
      <c r="L164" s="3911" t="n"/>
      <c r="M164" s="3911" t="n"/>
      <c r="N164" s="3911" t="n"/>
      <c r="O164" s="3529">
        <f>SUM(K139:O163)</f>
        <v/>
      </c>
      <c r="Q164" s="1281" t="inlineStr">
        <is>
          <t>Global level of uncertainty (%)</t>
        </is>
      </c>
      <c r="R164" s="1281" t="n"/>
      <c r="S164" s="1281" t="n"/>
      <c r="T164" s="1281" t="n"/>
      <c r="U164" s="3909">
        <f>IFERROR(IF(O164=0,"",SUMPRODUCT(K139:O163,Q139:U163)/O164)/100,0)</f>
        <v/>
      </c>
    </row>
    <row r="165">
      <c r="A165" s="3489" t="n"/>
      <c r="B165" s="3489" t="n"/>
      <c r="C165" s="3489" t="n"/>
      <c r="D165" s="3489" t="n"/>
      <c r="E165" s="3489" t="n"/>
      <c r="F165" s="3489" t="n"/>
      <c r="G165" s="3489" t="n"/>
      <c r="H165" s="3489" t="n"/>
      <c r="I165" s="3489" t="n"/>
      <c r="J165" s="3489" t="n"/>
      <c r="K165" s="3489" t="n"/>
      <c r="L165" s="3489" t="n"/>
      <c r="M165" s="3489" t="n"/>
      <c r="N165" s="3489" t="n"/>
      <c r="O165" s="3489" t="n"/>
      <c r="P165" s="3489" t="n"/>
      <c r="Q165" s="3489" t="n"/>
      <c r="R165" s="3489" t="n"/>
      <c r="S165" s="3489" t="n"/>
      <c r="T165" s="3489" t="n"/>
      <c r="U165" s="3489" t="n"/>
      <c r="V165" s="3489" t="n"/>
      <c r="W165" s="3489" t="n"/>
    </row>
  </sheetData>
  <mergeCells count="1">
    <mergeCell ref="E68:R72"/>
  </mergeCells>
  <conditionalFormatting sqref="D82:D104">
    <cfRule type="expression" priority="1" dxfId="53">
      <formula>$D82="Tier 2"</formula>
    </cfRule>
    <cfRule type="expression" priority="2" dxfId="52">
      <formula>$D82="Tier 1"</formula>
    </cfRule>
  </conditionalFormatting>
  <pageMargins left="0.7" right="0.7" top="0.75" bottom="0.75" header="0.3" footer="0.3"/>
  <pageSetup orientation="portrait"/>
  <legacyDrawing r:id="anysvml"/>
</worksheet>
</file>

<file path=xl/worksheets/sheet33.xml><?xml version="1.0" encoding="utf-8"?>
<worksheet xmlns="http://schemas.openxmlformats.org/spreadsheetml/2006/main">
  <sheetPr codeName="Sheet34">
    <outlinePr summaryBelow="1" summaryRight="1"/>
    <pageSetUpPr/>
  </sheetPr>
  <dimension ref="B2:S35"/>
  <sheetViews>
    <sheetView workbookViewId="0">
      <selection activeCell="E31" sqref="E31"/>
    </sheetView>
  </sheetViews>
  <sheetFormatPr baseColWidth="10" defaultColWidth="9.33203125" defaultRowHeight="14"/>
  <cols>
    <col width="9.33203125" customWidth="1" style="973" min="1" max="1"/>
    <col width="33.33203125" customWidth="1" style="973" min="2" max="2"/>
    <col width="9.33203125" customWidth="1" style="973" min="3" max="3"/>
    <col width="19" customWidth="1" style="973" min="4" max="4"/>
    <col width="18.5" customWidth="1" style="973" min="5" max="5"/>
    <col width="12.5" customWidth="1" style="973" min="6" max="6"/>
    <col width="9.33203125" customWidth="1" style="973" min="7" max="7"/>
    <col width="14.6640625" customWidth="1" style="973" min="8" max="8"/>
    <col width="12.6640625" customWidth="1" style="973" min="9" max="9"/>
    <col width="10.33203125" customWidth="1" style="973" min="10" max="10"/>
    <col width="9.33203125" customWidth="1" style="973" min="11" max="14"/>
    <col width="12" customWidth="1" style="973" min="15" max="15"/>
    <col width="9.33203125" customWidth="1" style="973" min="16" max="16384"/>
  </cols>
  <sheetData>
    <row r="1" ht="46.5" customFormat="1" customHeight="1" s="1398"/>
    <row r="2">
      <c r="B2" s="3538" t="inlineStr">
        <is>
          <t>Project summary</t>
        </is>
      </c>
      <c r="C2" s="3538" t="n"/>
      <c r="D2" s="3538" t="n"/>
      <c r="F2" s="3538" t="inlineStr">
        <is>
          <t>Area (initial state in ha)</t>
        </is>
      </c>
      <c r="G2" s="3538" t="n"/>
      <c r="H2" s="3538" t="n"/>
      <c r="I2" s="3538" t="n"/>
      <c r="J2" s="3538" t="n"/>
      <c r="K2" s="3538" t="n"/>
      <c r="M2" s="3538" t="inlineStr">
        <is>
          <t>Duration of the project (yrs)</t>
        </is>
      </c>
      <c r="N2" s="3538" t="n"/>
      <c r="O2" s="3538" t="n"/>
      <c r="Q2" s="3538" t="inlineStr">
        <is>
          <t>Total area (ha)</t>
        </is>
      </c>
      <c r="R2" s="3538" t="n"/>
      <c r="S2" s="3538" t="n"/>
    </row>
    <row r="3">
      <c r="B3" s="1281" t="inlineStr">
        <is>
          <t>Name</t>
        </is>
      </c>
      <c r="C3" s="973">
        <f>'1.Description'!G10</f>
        <v/>
      </c>
      <c r="F3" s="1281" t="inlineStr">
        <is>
          <t>Forest plantation</t>
        </is>
      </c>
      <c r="H3" s="3530" t="n"/>
      <c r="K3" s="992">
        <f>Matrix!P7</f>
        <v/>
      </c>
      <c r="M3" s="1281" t="inlineStr">
        <is>
          <t>Implementation</t>
        </is>
      </c>
      <c r="O3" s="973">
        <f>time</f>
        <v/>
      </c>
      <c r="Q3" s="1281" t="inlineStr">
        <is>
          <t>Mineral soil</t>
        </is>
      </c>
      <c r="S3" s="992">
        <f>SUM(Matrix!P7:P13)-S5</f>
        <v/>
      </c>
    </row>
    <row r="4">
      <c r="B4" s="1281" t="inlineStr">
        <is>
          <t>Continent</t>
        </is>
      </c>
      <c r="C4" s="973">
        <f>continent</f>
        <v/>
      </c>
      <c r="F4" s="1281" t="inlineStr">
        <is>
          <t>Cropland</t>
        </is>
      </c>
      <c r="H4" s="3531" t="inlineStr">
        <is>
          <t>Annual</t>
        </is>
      </c>
      <c r="K4" s="992">
        <f>Matrix!P8</f>
        <v/>
      </c>
      <c r="M4" s="1281" t="inlineStr">
        <is>
          <t>Capitalisation</t>
        </is>
      </c>
      <c r="O4" s="973">
        <f>time_cap</f>
        <v/>
      </c>
      <c r="Q4" s="1281" t="inlineStr">
        <is>
          <t>Organic soil</t>
        </is>
      </c>
      <c r="S4" s="992">
        <f>SUM(Matrix!P50:P56)</f>
        <v/>
      </c>
    </row>
    <row r="5">
      <c r="B5" s="1281" t="inlineStr">
        <is>
          <t>Climate</t>
        </is>
      </c>
      <c r="C5" s="973">
        <f>clim_moist</f>
        <v/>
      </c>
      <c r="F5" s="1281" t="n"/>
      <c r="H5" s="3531" t="inlineStr">
        <is>
          <t>Perennial</t>
        </is>
      </c>
      <c r="K5" s="992">
        <f>Matrix!P9</f>
        <v/>
      </c>
      <c r="M5" s="2167" t="inlineStr">
        <is>
          <t>Total</t>
        </is>
      </c>
      <c r="N5" s="3489" t="n"/>
      <c r="O5" s="2167">
        <f>time_tot</f>
        <v/>
      </c>
      <c r="Q5" s="1281" t="inlineStr">
        <is>
          <t>Waterbodies</t>
        </is>
      </c>
      <c r="S5" s="992">
        <f>MAX('Inl. wetlands'!C513,'Inl. wetlands'!D513,'Inl. wetlands'!F513)+MAX(SUM(Coastal!D115:D120),SUM(Coastal!E115:E120),SUM(Coastal!G115:G120))</f>
        <v/>
      </c>
    </row>
    <row r="6">
      <c r="B6" s="2167" t="inlineStr">
        <is>
          <t>Dominant soil</t>
        </is>
      </c>
      <c r="C6" s="3489">
        <f>soil_full</f>
        <v/>
      </c>
      <c r="D6" s="3489" t="n"/>
      <c r="F6" s="1281" t="n"/>
      <c r="H6" s="3531" t="inlineStr">
        <is>
          <t>Rice</t>
        </is>
      </c>
      <c r="K6" s="992">
        <f>Matrix!P10</f>
        <v/>
      </c>
      <c r="Q6" s="3500" t="inlineStr">
        <is>
          <t>Total area</t>
        </is>
      </c>
      <c r="R6" s="3491" t="n"/>
      <c r="S6" s="3515">
        <f>SUM(K3:K10)</f>
        <v/>
      </c>
    </row>
    <row r="7">
      <c r="F7" s="1281" t="inlineStr">
        <is>
          <t>Grassland</t>
        </is>
      </c>
      <c r="H7" s="3531" t="n"/>
      <c r="K7" s="992">
        <f>Matrix!P11</f>
        <v/>
      </c>
    </row>
    <row r="8">
      <c r="F8" s="1281" t="inlineStr">
        <is>
          <t>Other land</t>
        </is>
      </c>
      <c r="H8" s="3531" t="inlineStr">
        <is>
          <t>Degraded</t>
        </is>
      </c>
      <c r="K8" s="992">
        <f>Matrix!P12</f>
        <v/>
      </c>
    </row>
    <row r="9">
      <c r="F9" s="1281" t="n"/>
      <c r="H9" s="3531" t="inlineStr">
        <is>
          <t>Other land non vegetated</t>
        </is>
      </c>
      <c r="K9" s="992">
        <f>Matrix!P13</f>
        <v/>
      </c>
    </row>
    <row r="10">
      <c r="F10" s="2167" t="inlineStr">
        <is>
          <t>Organic soil</t>
        </is>
      </c>
      <c r="G10" s="3489" t="n"/>
      <c r="H10" s="3532" t="n"/>
      <c r="I10" s="3489" t="n"/>
      <c r="J10" s="3489" t="n"/>
      <c r="K10" s="3490">
        <f>SUM(Matrix!P50:P56)</f>
        <v/>
      </c>
    </row>
    <row r="13" ht="18" customHeight="1">
      <c r="D13" s="1265" t="inlineStr">
        <is>
          <t>GROSS FLUXES</t>
        </is>
      </c>
      <c r="E13" s="1265" t="n"/>
      <c r="F13" s="1257" t="n"/>
      <c r="H13" s="1265" t="inlineStr">
        <is>
          <t>GROSS FLUXES PER YEAR</t>
        </is>
      </c>
      <c r="I13" s="1265" t="n"/>
      <c r="J13" s="1265" t="n"/>
    </row>
    <row r="14">
      <c r="D14" s="3562" t="inlineStr">
        <is>
          <t xml:space="preserve"> in tCO2-e over the whole period analysis</t>
        </is>
      </c>
      <c r="H14" s="3562" t="inlineStr">
        <is>
          <t>in tCO2-e/year</t>
        </is>
      </c>
    </row>
    <row r="15">
      <c r="B15" s="1281">
        <f>BALANCE!B14</f>
        <v/>
      </c>
      <c r="D15" s="1576" t="inlineStr">
        <is>
          <t>WITHOUT</t>
        </is>
      </c>
      <c r="E15" s="1576" t="inlineStr">
        <is>
          <t>WITH</t>
        </is>
      </c>
      <c r="H15" s="1576" t="inlineStr">
        <is>
          <t>WITHOUT</t>
        </is>
      </c>
      <c r="I15" s="1576" t="inlineStr">
        <is>
          <t>WITH</t>
        </is>
      </c>
    </row>
    <row r="16">
      <c r="D16" s="1688" t="n"/>
      <c r="E16" s="1688" t="n"/>
    </row>
    <row r="17">
      <c r="B17" s="1115" t="inlineStr">
        <is>
          <t>Land use changes</t>
        </is>
      </c>
      <c r="D17" s="1688" t="n"/>
      <c r="E17" s="1688" t="n"/>
    </row>
    <row r="18">
      <c r="B18" s="2962" t="inlineStr">
        <is>
          <t>Deforestation</t>
        </is>
      </c>
      <c r="D18" s="3493">
        <f>defo!S44</f>
        <v/>
      </c>
      <c r="E18" s="3494">
        <f>defo!T44</f>
        <v/>
      </c>
      <c r="F18" s="1246" t="n"/>
      <c r="G18" s="1246" t="n"/>
      <c r="H18" s="3493">
        <f>IF(time_tot=0,0,D18/time_tot)</f>
        <v/>
      </c>
      <c r="I18" s="3494">
        <f>IF(time_tot=0,0,E18/time_tot)</f>
        <v/>
      </c>
    </row>
    <row r="19">
      <c r="B19" s="2962" t="inlineStr">
        <is>
          <t>Afforestation</t>
        </is>
      </c>
      <c r="D19" s="3495">
        <f>affo!S46</f>
        <v/>
      </c>
      <c r="E19" s="3504">
        <f>affo!T46</f>
        <v/>
      </c>
      <c r="F19" s="1246" t="n"/>
      <c r="G19" s="1246" t="n"/>
      <c r="H19" s="3495">
        <f>IF(time_tot=0,0,D19/time_tot)</f>
        <v/>
      </c>
      <c r="I19" s="3504">
        <f>IF(time_tot=0,0,E19/time_tot)</f>
        <v/>
      </c>
    </row>
    <row r="20">
      <c r="B20" s="2962" t="inlineStr">
        <is>
          <t>Non-forest land use</t>
        </is>
      </c>
      <c r="D20" s="3496">
        <f>luc!M52</f>
        <v/>
      </c>
      <c r="E20" s="3505">
        <f>luc!N52</f>
        <v/>
      </c>
      <c r="F20" s="1246" t="n"/>
      <c r="G20" s="1246" t="n"/>
      <c r="H20" s="3496">
        <f>IF(time_tot=0,0,D20/time_tot)</f>
        <v/>
      </c>
      <c r="I20" s="3505">
        <f>IF(time_tot=0,0,E20/time_tot)</f>
        <v/>
      </c>
    </row>
    <row r="21">
      <c r="B21" s="1115" t="inlineStr">
        <is>
          <t>Cropland</t>
        </is>
      </c>
      <c r="D21" s="992" t="n"/>
      <c r="E21" s="992" t="n"/>
      <c r="F21" s="1246" t="n"/>
      <c r="G21" s="1246" t="n"/>
      <c r="H21" s="992" t="n"/>
      <c r="I21" s="992" t="n"/>
    </row>
    <row r="22">
      <c r="B22" s="2962" t="inlineStr">
        <is>
          <t>Annual</t>
        </is>
      </c>
      <c r="D22" s="3493">
        <f>annual!O49</f>
        <v/>
      </c>
      <c r="E22" s="3494">
        <f>annual!P49</f>
        <v/>
      </c>
      <c r="F22" s="1246" t="n"/>
      <c r="G22" s="1246" t="n"/>
      <c r="H22" s="3493">
        <f>IF(time_tot=0,0,D22/time_tot)</f>
        <v/>
      </c>
      <c r="I22" s="3494">
        <f>IF(time_tot=0,0,E22/time_tot)</f>
        <v/>
      </c>
    </row>
    <row r="23">
      <c r="B23" s="2962" t="inlineStr">
        <is>
          <t>Perennial</t>
        </is>
      </c>
      <c r="D23" s="3495">
        <f>perennial!P48</f>
        <v/>
      </c>
      <c r="E23" s="3504">
        <f>perennial!Q48</f>
        <v/>
      </c>
      <c r="F23" s="1246" t="n"/>
      <c r="G23" s="1246" t="n"/>
      <c r="H23" s="3495">
        <f>IF(time_tot=0,0,D23/time_tot)</f>
        <v/>
      </c>
      <c r="I23" s="3504">
        <f>IF(time_tot=0,0,E23/time_tot)</f>
        <v/>
      </c>
    </row>
    <row r="24">
      <c r="B24" s="2962" t="inlineStr">
        <is>
          <t>Rice</t>
        </is>
      </c>
      <c r="D24" s="3496">
        <f>rice!T45</f>
        <v/>
      </c>
      <c r="E24" s="3505">
        <f>rice!U45</f>
        <v/>
      </c>
      <c r="F24" s="1246" t="n"/>
      <c r="G24" s="1246" t="n"/>
      <c r="H24" s="3496">
        <f>IF(time_tot=0,0,D24/time_tot)</f>
        <v/>
      </c>
      <c r="I24" s="3505">
        <f>IF(time_tot=0,0,E24/time_tot)</f>
        <v/>
      </c>
    </row>
    <row r="25">
      <c r="B25" s="1115" t="inlineStr">
        <is>
          <t>Grasslands &amp; Livestock</t>
        </is>
      </c>
      <c r="D25" s="992" t="n"/>
      <c r="E25" s="992" t="n"/>
      <c r="F25" s="1246" t="n"/>
      <c r="G25" s="1246" t="n"/>
      <c r="H25" s="992" t="n"/>
      <c r="I25" s="992" t="n"/>
    </row>
    <row r="26">
      <c r="B26" s="2962" t="inlineStr">
        <is>
          <t xml:space="preserve">Grasslands </t>
        </is>
      </c>
      <c r="D26" s="3493">
        <f>grass!L44</f>
        <v/>
      </c>
      <c r="E26" s="3494">
        <f>grass!M44</f>
        <v/>
      </c>
      <c r="F26" s="1246" t="n"/>
      <c r="G26" s="1246" t="n"/>
      <c r="H26" s="3493">
        <f>IF(time_tot=0,0,D26/time_tot)</f>
        <v/>
      </c>
      <c r="I26" s="3494">
        <f>IF(time_tot=0,0,E26/time_tot)</f>
        <v/>
      </c>
    </row>
    <row r="27">
      <c r="B27" s="2962" t="inlineStr">
        <is>
          <t>Livestock</t>
        </is>
      </c>
      <c r="D27" s="3495">
        <f>Livestock!AM11</f>
        <v/>
      </c>
      <c r="E27" s="3504">
        <f>Livestock!AN11</f>
        <v/>
      </c>
      <c r="F27" s="1246" t="n"/>
      <c r="G27" s="1246" t="n"/>
      <c r="H27" s="3495">
        <f>IF(time_tot=0,0,D27/time_tot)</f>
        <v/>
      </c>
      <c r="I27" s="3504">
        <f>IF(time_tot=0,0,E27/time_tot)</f>
        <v/>
      </c>
    </row>
    <row r="28">
      <c r="B28" s="1115" t="inlineStr">
        <is>
          <t>Forest management</t>
        </is>
      </c>
      <c r="D28" s="3495">
        <f>degradation!Q65</f>
        <v/>
      </c>
      <c r="E28" s="3504">
        <f>degradation!R65</f>
        <v/>
      </c>
      <c r="F28" s="1246" t="n"/>
      <c r="G28" s="1246" t="n"/>
      <c r="H28" s="3495">
        <f>IF(time_tot=0,0,D28/time_tot)</f>
        <v/>
      </c>
      <c r="I28" s="3504">
        <f>IF(time_tot=0,0,E28/time_tot)</f>
        <v/>
      </c>
    </row>
    <row r="29">
      <c r="B29" s="1115" t="inlineStr">
        <is>
          <t>Inlands wetlands</t>
        </is>
      </c>
      <c r="D29" s="3495">
        <f>'Inl. wetlands'!BL46+'Inl. wetlands'!BL145+'Inl. wetlands'!BL235+'Inl. wetlands'!BL350+'Inl. wetlands'!BL426+'Inl. wetlands'!BL484+'Inl. wetlands'!BK505</f>
        <v/>
      </c>
      <c r="E29" s="3504">
        <f>'Inl. wetlands'!BM46+'Inl. wetlands'!BM145+'Inl. wetlands'!BM235+'Inl. wetlands'!BM350+'Inl. wetlands'!BM426+'Inl. wetlands'!BM484+'Inl. wetlands'!BL505</f>
        <v/>
      </c>
      <c r="F29" s="1246" t="n"/>
      <c r="G29" s="1246" t="n"/>
      <c r="H29" s="3495">
        <f>IF(time_tot=0,0,D29/time_tot)</f>
        <v/>
      </c>
      <c r="I29" s="3504">
        <f>IF(time_tot=0,0,E29/time_tot)</f>
        <v/>
      </c>
    </row>
    <row r="30">
      <c r="B30" s="1115" t="inlineStr">
        <is>
          <t>Coastal wetlands</t>
        </is>
      </c>
      <c r="D30" s="3495">
        <f>Coastal!V10+Coastal!V33+Coastal!V69+Coastal!V118</f>
        <v/>
      </c>
      <c r="E30" s="3504">
        <f>Coastal!W10+Coastal!W33+Coastal!W69+Coastal!W118</f>
        <v/>
      </c>
      <c r="F30" s="1246" t="n"/>
      <c r="G30" s="1246" t="n"/>
      <c r="H30" s="3495">
        <f>IF(time_tot=0,0,D30/time_tot)</f>
        <v/>
      </c>
      <c r="I30" s="3504">
        <f>IF(time_tot=0,0,E30/time_tot)</f>
        <v/>
      </c>
    </row>
    <row r="31">
      <c r="B31" s="1115" t="inlineStr">
        <is>
          <t>Fisheries and aquaculture</t>
        </is>
      </c>
      <c r="D31" s="3496">
        <f>+'Fish and aqua'!AB42+'Fish and aqua'!V81</f>
        <v/>
      </c>
      <c r="E31" s="3505">
        <f>+'Fish and aqua'!AC42+'Fish and aqua'!W81</f>
        <v/>
      </c>
      <c r="F31" s="1246" t="n"/>
      <c r="G31" s="1246" t="n"/>
      <c r="H31" s="3495">
        <f>IF(time_tot=0,0,D31/time_tot)</f>
        <v/>
      </c>
      <c r="I31" s="3504">
        <f>IF(time_tot=0,0,E31/time_tot)</f>
        <v/>
      </c>
    </row>
    <row r="32">
      <c r="B32" s="1115" t="inlineStr">
        <is>
          <t>Inputs &amp; Investments</t>
        </is>
      </c>
      <c r="D32" s="3496">
        <f>Inputs!O75+Inputs!O103+Inputs!O133+Inputs!O153</f>
        <v/>
      </c>
      <c r="E32" s="3505">
        <f>Inputs!P75+Inputs!P103+Inputs!P133+Inputs!P153</f>
        <v/>
      </c>
      <c r="F32" s="1246" t="n"/>
      <c r="G32" s="1246" t="n"/>
      <c r="H32" s="3496">
        <f>IF(time_tot=0,0,D32/time_tot)</f>
        <v/>
      </c>
      <c r="I32" s="3505">
        <f>IF(time_tot=0,0,E32/time_tot)</f>
        <v/>
      </c>
    </row>
    <row r="34">
      <c r="B34" s="1115" t="inlineStr">
        <is>
          <t>Final balance</t>
        </is>
      </c>
      <c r="D34" s="3516">
        <f>SUM(D18:D31)</f>
        <v/>
      </c>
      <c r="E34" s="3498">
        <f>SUM(E18:E31)</f>
        <v/>
      </c>
      <c r="F34" s="1246" t="n"/>
      <c r="H34" s="3516">
        <f>SUM(H18:H30)</f>
        <v/>
      </c>
      <c r="I34" s="3498">
        <f>SUM(I18:I30)</f>
        <v/>
      </c>
    </row>
    <row r="35">
      <c r="B35" s="1115" t="inlineStr">
        <is>
          <t>Results per hectare</t>
        </is>
      </c>
      <c r="D35" s="3148">
        <f>D34/$S$6</f>
        <v/>
      </c>
      <c r="E35" s="3149">
        <f>E34/$S$6</f>
        <v/>
      </c>
      <c r="H35" s="3148">
        <f>H34/$S$6</f>
        <v/>
      </c>
      <c r="I35" s="3149">
        <f>I34/$S$6</f>
        <v/>
      </c>
    </row>
  </sheetData>
  <pageMargins left="0.7" right="0.7" top="0.75" bottom="0.75" header="0.3" footer="0.3"/>
</worksheet>
</file>

<file path=xl/worksheets/sheet34.xml><?xml version="1.0" encoding="utf-8"?>
<worksheet xmlns:r="http://schemas.openxmlformats.org/officeDocument/2006/relationships" xmlns="http://schemas.openxmlformats.org/spreadsheetml/2006/main">
  <sheetPr codeName="Sheet35">
    <outlinePr summaryBelow="1" summaryRight="1"/>
    <pageSetUpPr/>
  </sheetPr>
  <dimension ref="B2:Q120"/>
  <sheetViews>
    <sheetView topLeftCell="A70" workbookViewId="0">
      <selection activeCell="B80" sqref="B80"/>
    </sheetView>
  </sheetViews>
  <sheetFormatPr baseColWidth="10" defaultColWidth="9.33203125" defaultRowHeight="15"/>
  <cols>
    <col width="9.33203125" customWidth="1" style="284" min="1" max="1"/>
    <col width="35.6640625" customWidth="1" style="284" min="2" max="2"/>
    <col width="15.5" customWidth="1" style="284" min="3" max="11"/>
    <col width="9.33203125" customWidth="1" style="284" min="12" max="12"/>
    <col width="15.5" customWidth="1" style="284" min="13" max="15"/>
    <col width="9.33203125" customWidth="1" style="284" min="16" max="16384"/>
  </cols>
  <sheetData>
    <row r="2" ht="17" customHeight="1">
      <c r="B2" s="4011" t="inlineStr">
        <is>
          <t>MINERAL AND ORGANIC SOILS</t>
        </is>
      </c>
      <c r="D2" s="284" t="inlineStr">
        <is>
          <t>see below for detailed results of the organic soils</t>
        </is>
      </c>
    </row>
    <row r="4" ht="22" customHeight="1">
      <c r="B4" s="1771" t="n"/>
      <c r="C4" s="3150" t="inlineStr">
        <is>
          <t>GROSS FLUXES</t>
        </is>
      </c>
      <c r="D4" s="2014" t="n"/>
      <c r="E4" s="2014" t="n"/>
      <c r="F4" s="2014" t="n"/>
      <c r="G4" s="3150" t="inlineStr">
        <is>
          <t>SHARE PER GHG OF THE BALANCE</t>
        </is>
      </c>
      <c r="H4" s="2014" t="n"/>
      <c r="I4" s="2014" t="n"/>
      <c r="J4" s="2014" t="n"/>
      <c r="K4" s="2014" t="n"/>
      <c r="L4" s="2014" t="n"/>
      <c r="M4" s="3150" t="inlineStr">
        <is>
          <t>AVERAGE ANNUAL EMISSIONS</t>
        </is>
      </c>
      <c r="N4" s="2014" t="n"/>
      <c r="O4" s="1771" t="n"/>
    </row>
    <row r="5">
      <c r="B5" s="1970" t="n"/>
      <c r="C5" s="1970" t="inlineStr">
        <is>
          <t>In tCO2-e over the whole period analysis</t>
        </is>
      </c>
      <c r="D5" s="1970" t="n"/>
      <c r="E5" s="1970" t="n"/>
      <c r="F5" s="1970" t="n"/>
      <c r="G5" s="1970" t="inlineStr">
        <is>
          <t>In tCO2-e over the whole period analysis</t>
        </is>
      </c>
      <c r="H5" s="1970" t="n"/>
      <c r="I5" s="1970" t="n"/>
      <c r="J5" s="1970" t="n"/>
      <c r="K5" s="1970" t="n"/>
      <c r="L5" s="1970" t="n"/>
      <c r="M5" s="1970" t="inlineStr">
        <is>
          <t>In tCO2-e/yr</t>
        </is>
      </c>
      <c r="N5" s="1970" t="n"/>
      <c r="O5" s="1970" t="n"/>
    </row>
    <row r="6" ht="35.75" customHeight="1">
      <c r="B6" s="3582" t="inlineStr">
        <is>
          <t>PROJECT COMPONENTS</t>
        </is>
      </c>
      <c r="C6" s="3579" t="inlineStr">
        <is>
          <t>WITHOUT</t>
        </is>
      </c>
      <c r="D6" s="3579" t="inlineStr">
        <is>
          <t>WITH</t>
        </is>
      </c>
      <c r="E6" s="3579" t="inlineStr">
        <is>
          <t>BALANCE</t>
        </is>
      </c>
      <c r="F6" s="1771" t="n"/>
      <c r="G6" s="3579" t="inlineStr">
        <is>
          <t>CO2 BIOMASS</t>
        </is>
      </c>
      <c r="H6" s="3579" t="inlineStr">
        <is>
          <t>CO2 SOIL</t>
        </is>
      </c>
      <c r="I6" s="3579" t="inlineStr">
        <is>
          <t>N2O</t>
        </is>
      </c>
      <c r="J6" s="3579" t="inlineStr">
        <is>
          <t>CH4</t>
        </is>
      </c>
      <c r="K6" s="3579" t="inlineStr">
        <is>
          <t>OTHER</t>
        </is>
      </c>
      <c r="L6" s="1771" t="n"/>
      <c r="M6" s="3579" t="inlineStr">
        <is>
          <t>WITHOUT</t>
        </is>
      </c>
      <c r="N6" s="3579" t="inlineStr">
        <is>
          <t>WITH</t>
        </is>
      </c>
      <c r="O6" s="3579" t="inlineStr">
        <is>
          <t>BALANCE</t>
        </is>
      </c>
    </row>
    <row r="7" ht="15.75" customHeight="1">
      <c r="B7" s="4000" t="inlineStr">
        <is>
          <t>Deforestation</t>
        </is>
      </c>
      <c r="C7" s="4001">
        <f>'Gross results'!D18</f>
        <v/>
      </c>
      <c r="D7" s="4001">
        <f>'Gross results'!E18</f>
        <v/>
      </c>
      <c r="E7" s="4001">
        <f>D7-C7</f>
        <v/>
      </c>
      <c r="F7" s="1970" t="n"/>
      <c r="G7" s="4001">
        <f>BALANCE!$F$17</f>
        <v/>
      </c>
      <c r="H7" s="4001">
        <f>BALANCE!$G$17</f>
        <v/>
      </c>
      <c r="I7" s="4001">
        <f>BALANCE!$I$17+BALANCE!J17</f>
        <v/>
      </c>
      <c r="J7" s="4001">
        <f>BALANCE!$M$17</f>
        <v/>
      </c>
      <c r="K7" s="4001" t="n"/>
      <c r="L7" s="1970" t="n"/>
      <c r="M7" s="4002">
        <f>'Gross results'!H18</f>
        <v/>
      </c>
      <c r="N7" s="4002">
        <f>'Gross results'!I18</f>
        <v/>
      </c>
      <c r="O7" s="4002">
        <f>N7-M7</f>
        <v/>
      </c>
    </row>
    <row r="8">
      <c r="B8" s="4003" t="inlineStr">
        <is>
          <t>Afforestation</t>
        </is>
      </c>
      <c r="C8" s="3513">
        <f>'Gross results'!D19</f>
        <v/>
      </c>
      <c r="D8" s="3513">
        <f>'Gross results'!E19</f>
        <v/>
      </c>
      <c r="E8" s="4610">
        <f>D8-C8</f>
        <v/>
      </c>
      <c r="F8" s="1970" t="n"/>
      <c r="G8" s="4609">
        <f>BALANCE!$F$19</f>
        <v/>
      </c>
      <c r="H8" s="3513">
        <f>BALANCE!$G$19</f>
        <v/>
      </c>
      <c r="I8" s="3513">
        <f>BALANCE!$J$19</f>
        <v/>
      </c>
      <c r="J8" s="3513">
        <f>BALANCE!$M$19</f>
        <v/>
      </c>
      <c r="K8" s="4610" t="n"/>
      <c r="L8" s="1970" t="n"/>
      <c r="M8" s="3513">
        <f>'Gross results'!H19</f>
        <v/>
      </c>
      <c r="N8" s="3513">
        <f>'Gross results'!I19</f>
        <v/>
      </c>
      <c r="O8" s="3513">
        <f>N8-M8</f>
        <v/>
      </c>
    </row>
    <row r="9">
      <c r="B9" s="4004" t="inlineStr">
        <is>
          <t xml:space="preserve">Other land-use </t>
        </is>
      </c>
      <c r="C9" s="4002">
        <f>'Gross results'!D20</f>
        <v/>
      </c>
      <c r="D9" s="4002">
        <f>'Gross results'!E20</f>
        <v/>
      </c>
      <c r="E9" s="4002">
        <f>D9-C9</f>
        <v/>
      </c>
      <c r="F9" s="1970" t="n"/>
      <c r="G9" s="4002">
        <f>BALANCE!$F$20</f>
        <v/>
      </c>
      <c r="H9" s="4002">
        <f>BALANCE!$G$20</f>
        <v/>
      </c>
      <c r="I9" s="4002">
        <f>BALANCE!$I$20+BALANCE!$J$20</f>
        <v/>
      </c>
      <c r="J9" s="4002">
        <f>BALANCE!$M$20</f>
        <v/>
      </c>
      <c r="K9" s="4002" t="n"/>
      <c r="L9" s="1970" t="n"/>
      <c r="M9" s="4002">
        <f>'Gross results'!H20</f>
        <v/>
      </c>
      <c r="N9" s="4002">
        <f>'Gross results'!I20</f>
        <v/>
      </c>
      <c r="O9" s="4002">
        <f>N9-M9</f>
        <v/>
      </c>
    </row>
    <row r="10" ht="15.75" customHeight="1">
      <c r="B10" s="4005" t="inlineStr">
        <is>
          <t>Annual</t>
        </is>
      </c>
      <c r="C10" s="4006">
        <f>'Gross results'!D22</f>
        <v/>
      </c>
      <c r="D10" s="4006">
        <f>'Gross results'!E22</f>
        <v/>
      </c>
      <c r="E10" s="4006">
        <f>D10-C10</f>
        <v/>
      </c>
      <c r="F10" s="1970" t="n"/>
      <c r="G10" s="4006">
        <f>BALANCE!$F$22</f>
        <v/>
      </c>
      <c r="H10" s="4006">
        <f>BALANCE!$G$22</f>
        <v/>
      </c>
      <c r="I10" s="4006">
        <f>BALANCE!$I$22+BALANCE!$J$22</f>
        <v/>
      </c>
      <c r="J10" s="4006">
        <f>BALANCE!$M$22</f>
        <v/>
      </c>
      <c r="K10" s="4006" t="n"/>
      <c r="L10" s="1970" t="n"/>
      <c r="M10" s="4006">
        <f>'Gross results'!H22</f>
        <v/>
      </c>
      <c r="N10" s="4006">
        <f>'Gross results'!I22</f>
        <v/>
      </c>
      <c r="O10" s="4006">
        <f>N10-M10</f>
        <v/>
      </c>
    </row>
    <row r="11">
      <c r="B11" s="4004" t="inlineStr">
        <is>
          <t>Perennial</t>
        </is>
      </c>
      <c r="C11" s="4002">
        <f>'Gross results'!D23</f>
        <v/>
      </c>
      <c r="D11" s="4002">
        <f>'Gross results'!E23</f>
        <v/>
      </c>
      <c r="E11" s="4002">
        <f>D11-C11</f>
        <v/>
      </c>
      <c r="F11" s="1970" t="n"/>
      <c r="G11" s="4002">
        <f>BALANCE!$F$23</f>
        <v/>
      </c>
      <c r="H11" s="4002">
        <f>BALANCE!$G$23</f>
        <v/>
      </c>
      <c r="I11" s="4002">
        <f>BALANCE!$I$23+BALANCE!$J$23</f>
        <v/>
      </c>
      <c r="J11" s="4002">
        <f>BALANCE!$M$23</f>
        <v/>
      </c>
      <c r="K11" s="4002" t="n"/>
      <c r="L11" s="1970" t="n"/>
      <c r="M11" s="4002">
        <f>'Gross results'!H23</f>
        <v/>
      </c>
      <c r="N11" s="4002">
        <f>'Gross results'!I23</f>
        <v/>
      </c>
      <c r="O11" s="4002">
        <f>N11-M11</f>
        <v/>
      </c>
    </row>
    <row r="12">
      <c r="B12" s="4005" t="inlineStr">
        <is>
          <t>Flooded rice</t>
        </is>
      </c>
      <c r="C12" s="4006">
        <f>'Gross results'!D24</f>
        <v/>
      </c>
      <c r="D12" s="4006">
        <f>'Gross results'!E24</f>
        <v/>
      </c>
      <c r="E12" s="4006">
        <f>D12-C12</f>
        <v/>
      </c>
      <c r="F12" s="1970" t="n"/>
      <c r="G12" s="4006">
        <f>BALANCE!$F$24</f>
        <v/>
      </c>
      <c r="H12" s="4006">
        <f>BALANCE!$G$24</f>
        <v/>
      </c>
      <c r="I12" s="4006">
        <f>BALANCE!$J$24</f>
        <v/>
      </c>
      <c r="J12" s="4006">
        <f>BALANCE!$L$24+BALANCE!$M$24</f>
        <v/>
      </c>
      <c r="K12" s="4006" t="n"/>
      <c r="L12" s="1970" t="n"/>
      <c r="M12" s="4006">
        <f>'Gross results'!H24</f>
        <v/>
      </c>
      <c r="N12" s="4006">
        <f>'Gross results'!I24</f>
        <v/>
      </c>
      <c r="O12" s="4006">
        <f>N12-M12</f>
        <v/>
      </c>
    </row>
    <row r="13" ht="15.75" customHeight="1">
      <c r="B13" s="4004" t="inlineStr">
        <is>
          <t xml:space="preserve">Grasslands </t>
        </is>
      </c>
      <c r="C13" s="4002">
        <f>'Gross results'!D26</f>
        <v/>
      </c>
      <c r="D13" s="4002">
        <f>'Gross results'!E26</f>
        <v/>
      </c>
      <c r="E13" s="4002">
        <f>D13-C13</f>
        <v/>
      </c>
      <c r="F13" s="1970" t="n"/>
      <c r="G13" s="4002">
        <f>BALANCE!$F$25</f>
        <v/>
      </c>
      <c r="H13" s="4002">
        <f>BALANCE!$G$25</f>
        <v/>
      </c>
      <c r="I13" s="4002">
        <f>BALANCE!$J$25</f>
        <v/>
      </c>
      <c r="J13" s="4002">
        <f>BALANCE!$M$25</f>
        <v/>
      </c>
      <c r="K13" s="4002" t="n"/>
      <c r="L13" s="1970" t="n"/>
      <c r="M13" s="4002">
        <f>'Gross results'!H26</f>
        <v/>
      </c>
      <c r="N13" s="4002">
        <f>'Gross results'!I26</f>
        <v/>
      </c>
      <c r="O13" s="4002">
        <f>N13-M13</f>
        <v/>
      </c>
    </row>
    <row r="14">
      <c r="B14" s="4007" t="inlineStr">
        <is>
          <t>Livestock</t>
        </is>
      </c>
      <c r="C14" s="4008">
        <f>'Gross results'!D27</f>
        <v/>
      </c>
      <c r="D14" s="4008">
        <f>'Gross results'!E27</f>
        <v/>
      </c>
      <c r="E14" s="3984">
        <f>D14-C14</f>
        <v/>
      </c>
      <c r="F14" s="1970" t="n"/>
      <c r="G14" s="4609" t="n"/>
      <c r="H14" s="3513" t="n"/>
      <c r="I14" s="3513">
        <f>BALANCE!$K$26</f>
        <v/>
      </c>
      <c r="J14" s="3513">
        <f>BALANCE!$N$26</f>
        <v/>
      </c>
      <c r="K14" s="4610" t="n"/>
      <c r="L14" s="1970" t="n"/>
      <c r="M14" s="3513">
        <f>'Gross results'!H27</f>
        <v/>
      </c>
      <c r="N14" s="3513">
        <f>'Gross results'!I27</f>
        <v/>
      </c>
      <c r="O14" s="3513">
        <f>N14-M14</f>
        <v/>
      </c>
    </row>
    <row r="15">
      <c r="B15" s="4009" t="inlineStr">
        <is>
          <t>Forest mngt.</t>
        </is>
      </c>
      <c r="C15" s="4002">
        <f>'Gross results'!D28</f>
        <v/>
      </c>
      <c r="D15" s="4002">
        <f>'Gross results'!E28</f>
        <v/>
      </c>
      <c r="E15" s="4002">
        <f>D15-C15</f>
        <v/>
      </c>
      <c r="F15" s="1970" t="n"/>
      <c r="G15" s="4002">
        <f>BALANCE!$F$18</f>
        <v/>
      </c>
      <c r="H15" s="4002">
        <f>BALANCE!$G$18</f>
        <v/>
      </c>
      <c r="I15" s="4002">
        <f>BALANCE!$J$18</f>
        <v/>
      </c>
      <c r="J15" s="4002">
        <f>BALANCE!$M$18</f>
        <v/>
      </c>
      <c r="K15" s="4002" t="n"/>
      <c r="L15" s="1970" t="n"/>
      <c r="M15" s="4002">
        <f>'Gross results'!H28</f>
        <v/>
      </c>
      <c r="N15" s="4002">
        <f>'Gross results'!I28</f>
        <v/>
      </c>
      <c r="O15" s="4002">
        <f>N15-M15</f>
        <v/>
      </c>
    </row>
    <row r="16">
      <c r="B16" s="1970" t="inlineStr">
        <is>
          <t>Inland wetlands</t>
        </is>
      </c>
      <c r="C16" s="3513">
        <f>'Gross results'!D29</f>
        <v/>
      </c>
      <c r="D16" s="3513">
        <f>'Gross results'!E29</f>
        <v/>
      </c>
      <c r="E16" s="3513">
        <f>D16-C16</f>
        <v/>
      </c>
      <c r="F16" s="1970" t="n"/>
      <c r="G16" s="4609">
        <f>BALANCE!$F$53</f>
        <v/>
      </c>
      <c r="H16" s="3513">
        <f>BALANCE!$G$53</f>
        <v/>
      </c>
      <c r="I16" s="3513">
        <f>BALANCE!$I$53+BALANCE!$J$53</f>
        <v/>
      </c>
      <c r="J16" s="3513">
        <f>BALANCE!$L$53+BALANCE!$M$53+BALANCE!$L$29</f>
        <v/>
      </c>
      <c r="K16" s="4610" t="n"/>
      <c r="L16" s="1970" t="n"/>
      <c r="M16" s="3513">
        <f>'Gross results'!H29</f>
        <v/>
      </c>
      <c r="N16" s="3513">
        <f>'Gross results'!I29</f>
        <v/>
      </c>
      <c r="O16" s="3513">
        <f>N16-M16</f>
        <v/>
      </c>
    </row>
    <row r="17">
      <c r="B17" s="4009" t="inlineStr">
        <is>
          <t>Coastal wetlands</t>
        </is>
      </c>
      <c r="C17" s="4002">
        <f>'Gross results'!D30</f>
        <v/>
      </c>
      <c r="D17" s="4002">
        <f>'Gross results'!E30</f>
        <v/>
      </c>
      <c r="E17" s="4002">
        <f>D17-C17</f>
        <v/>
      </c>
      <c r="F17" s="1970" t="n"/>
      <c r="G17" s="4010">
        <f>BALANCE!$F$27</f>
        <v/>
      </c>
      <c r="H17" s="4010">
        <f>BALANCE!$G$27</f>
        <v/>
      </c>
      <c r="I17" s="4010" t="n"/>
      <c r="J17" s="4010">
        <f>BALANCE!$I$27</f>
        <v/>
      </c>
      <c r="K17" s="4010">
        <f>BALANCE!$L$27+BALANCE!$O$27</f>
        <v/>
      </c>
      <c r="L17" s="1970" t="n"/>
      <c r="M17" s="4002">
        <f>'Gross results'!H30</f>
        <v/>
      </c>
      <c r="N17" s="4002">
        <f>'Gross results'!I30</f>
        <v/>
      </c>
      <c r="O17" s="4002">
        <f>N17-M17</f>
        <v/>
      </c>
    </row>
    <row r="18">
      <c r="B18" s="1970" t="inlineStr">
        <is>
          <t>Inputs &amp; Investments</t>
        </is>
      </c>
      <c r="C18" s="3513">
        <f>'Gross results'!D32</f>
        <v/>
      </c>
      <c r="D18" s="3513">
        <f>'Gross results'!E32</f>
        <v/>
      </c>
      <c r="E18" s="3513">
        <f>D18-C18</f>
        <v/>
      </c>
      <c r="F18" s="1970" t="n"/>
      <c r="G18" s="4006" t="n"/>
      <c r="H18" s="4006">
        <f>BALANCE!G59</f>
        <v/>
      </c>
      <c r="I18" s="4006">
        <f>BALANCE!I59</f>
        <v/>
      </c>
      <c r="J18" s="4006" t="n"/>
      <c r="K18" s="4006">
        <f>BALANCE!$O$59+BALANCE!$O$61+BALANCE!$O$62+BALANCE!$O$63</f>
        <v/>
      </c>
      <c r="L18" s="1970" t="n"/>
      <c r="M18" s="4006">
        <f>'Gross results'!H32</f>
        <v/>
      </c>
      <c r="N18" s="4006">
        <f>'Gross results'!I32</f>
        <v/>
      </c>
      <c r="O18" s="4006">
        <f>N18-M18</f>
        <v/>
      </c>
    </row>
    <row r="19">
      <c r="B19" s="1970" t="n"/>
      <c r="C19" s="1970" t="n"/>
      <c r="D19" s="1970" t="n"/>
      <c r="E19" s="1970" t="n"/>
      <c r="F19" s="1970" t="n"/>
      <c r="G19" s="1970" t="n"/>
      <c r="H19" s="1970" t="n"/>
      <c r="I19" s="1970" t="n"/>
      <c r="J19" s="1970" t="n"/>
      <c r="K19" s="1970" t="n"/>
      <c r="L19" s="1970" t="n"/>
      <c r="M19" s="1970" t="n"/>
      <c r="N19" s="1970" t="n"/>
      <c r="O19" s="1970" t="n"/>
    </row>
    <row r="20">
      <c r="B20" s="3992" t="inlineStr">
        <is>
          <t>Total emissions, tCO2-e</t>
        </is>
      </c>
      <c r="C20" s="3993">
        <f>SUM(C7:C18)</f>
        <v/>
      </c>
      <c r="D20" s="3993">
        <f>SUM(D7:D18)</f>
        <v/>
      </c>
      <c r="E20" s="3993">
        <f>SUM(E7:E18)</f>
        <v/>
      </c>
      <c r="F20" s="1970" t="n"/>
      <c r="G20" s="3993">
        <f>SUM(G7:G18)</f>
        <v/>
      </c>
      <c r="H20" s="3993">
        <f>SUM(H7:H18)</f>
        <v/>
      </c>
      <c r="I20" s="3993">
        <f>SUM(I7:I18)</f>
        <v/>
      </c>
      <c r="J20" s="3993">
        <f>SUM(J7:J18)</f>
        <v/>
      </c>
      <c r="K20" s="3993">
        <f>SUM(K7:K18)</f>
        <v/>
      </c>
      <c r="L20" s="1970" t="n"/>
      <c r="M20" s="3994">
        <f>SUM(M7:M18)</f>
        <v/>
      </c>
      <c r="N20" s="3994">
        <f>SUM(N7:N18)</f>
        <v/>
      </c>
      <c r="O20" s="3994">
        <f>SUM(O7:O18)</f>
        <v/>
      </c>
    </row>
    <row r="21">
      <c r="B21" s="3995" t="inlineStr">
        <is>
          <t>Total emissions, tCO2-e/ha</t>
        </is>
      </c>
      <c r="C21" s="4828">
        <f>'10.Results'!D132</f>
        <v/>
      </c>
      <c r="D21" s="4828">
        <f>'10.Results'!E132</f>
        <v/>
      </c>
      <c r="E21" s="4828">
        <f>'10.Results'!F132</f>
        <v/>
      </c>
      <c r="F21" s="1970" t="n"/>
      <c r="G21" s="4828">
        <f>'10.Results'!H132</f>
        <v/>
      </c>
      <c r="H21" s="4828">
        <f>'10.Results'!I132</f>
        <v/>
      </c>
      <c r="I21" s="4828">
        <f>'10.Results'!J132</f>
        <v/>
      </c>
      <c r="J21" s="4828">
        <f>'10.Results'!K132</f>
        <v/>
      </c>
      <c r="K21" s="4828">
        <f>'10.Results'!L132</f>
        <v/>
      </c>
      <c r="L21" s="1970" t="n"/>
      <c r="M21" s="4829" t="n"/>
      <c r="N21" s="4829" t="n"/>
      <c r="O21" s="4829" t="n"/>
    </row>
    <row r="22">
      <c r="B22" s="3992" t="inlineStr">
        <is>
          <t>Total emissions, tCO2-e/ha/yr</t>
        </is>
      </c>
      <c r="C22" s="4830">
        <f>C21/time_tot</f>
        <v/>
      </c>
      <c r="D22" s="4830">
        <f>D21/time_tot</f>
        <v/>
      </c>
      <c r="E22" s="4830">
        <f>E21/time_tot</f>
        <v/>
      </c>
      <c r="F22" s="1970" t="n"/>
      <c r="G22" s="4830">
        <f>G21/time_tot</f>
        <v/>
      </c>
      <c r="H22" s="4830">
        <f>H21/time_tot</f>
        <v/>
      </c>
      <c r="I22" s="4830">
        <f>I21/time_tot</f>
        <v/>
      </c>
      <c r="J22" s="4830">
        <f>J21/time_tot</f>
        <v/>
      </c>
      <c r="K22" s="4830">
        <f>K21/time_tot</f>
        <v/>
      </c>
      <c r="L22" s="1970" t="n"/>
      <c r="M22" s="4831">
        <f>M20/'10.Results'!$K$107</f>
        <v/>
      </c>
      <c r="N22" s="4831">
        <f>N20/'10.Results'!$K$107</f>
        <v/>
      </c>
      <c r="O22" s="4831">
        <f>O20/'10.Results'!$K$107</f>
        <v/>
      </c>
    </row>
    <row r="23">
      <c r="B23" s="284" t="inlineStr">
        <is>
          <t>Positive fluxes</t>
        </is>
      </c>
      <c r="C23" s="3518">
        <f>IF(C20&gt;0,C20,"")</f>
        <v/>
      </c>
      <c r="D23" s="3518">
        <f>IF(D20&gt;0,D20,"")</f>
        <v/>
      </c>
      <c r="E23" s="3518">
        <f>IF(E20&gt;0,E20,"")</f>
        <v/>
      </c>
      <c r="G23" s="3518">
        <f>IF(G20&gt;0,G20,"")</f>
        <v/>
      </c>
      <c r="H23" s="3518">
        <f>IF(H20&gt;0,H20,"")</f>
        <v/>
      </c>
      <c r="I23" s="3518">
        <f>IF(I20&gt;0,I20,"")</f>
        <v/>
      </c>
      <c r="J23" s="3518">
        <f>IF(J20&gt;0,J20,"")</f>
        <v/>
      </c>
      <c r="K23" s="3518">
        <f>IF(K20&gt;0,K20,"")</f>
        <v/>
      </c>
    </row>
    <row r="24">
      <c r="B24" s="284" t="inlineStr">
        <is>
          <t>Label</t>
        </is>
      </c>
      <c r="C24" s="682">
        <f>IF(C20&gt;0,-1.5,1.5)</f>
        <v/>
      </c>
      <c r="D24" s="682">
        <f>IF(D20&gt;0,-1.5,1.5)</f>
        <v/>
      </c>
      <c r="E24" s="682">
        <f>IF(E20&gt;0,-1.5,1.5)</f>
        <v/>
      </c>
      <c r="G24" s="682">
        <f>IF(G20&gt;0,-1.5,1.5)</f>
        <v/>
      </c>
      <c r="H24" s="682">
        <f>IF(H20&gt;0,-1.5,1.5)</f>
        <v/>
      </c>
      <c r="I24" s="682">
        <f>IF(I20&gt;0,-1.5,1.5)</f>
        <v/>
      </c>
      <c r="J24" s="682">
        <f>IF(J20&gt;0,-1.5,1.5)</f>
        <v/>
      </c>
      <c r="K24" s="682">
        <f>IF(K20&gt;0,-1.5,1.5)</f>
        <v/>
      </c>
    </row>
    <row r="25">
      <c r="C25" s="682" t="n"/>
      <c r="D25" s="682" t="n"/>
      <c r="E25" s="682" t="n"/>
    </row>
    <row r="26">
      <c r="B26" s="3915" t="inlineStr">
        <is>
          <t>DATA FOR CHART</t>
        </is>
      </c>
      <c r="C26" s="3915" t="n"/>
      <c r="D26" s="3915" t="n"/>
      <c r="E26" s="3915" t="n"/>
      <c r="F26" s="3915" t="n"/>
      <c r="G26" s="3915" t="n"/>
      <c r="H26" s="3915" t="n"/>
      <c r="I26" s="3915" t="n"/>
      <c r="J26" s="3915" t="n"/>
      <c r="K26" s="3915" t="n"/>
      <c r="L26" s="3915" t="n"/>
      <c r="M26" s="3915" t="n"/>
      <c r="N26" s="3915" t="n"/>
      <c r="O26" s="3915" t="n"/>
    </row>
    <row r="27" ht="17" customHeight="1">
      <c r="G27" s="284" t="inlineStr">
        <is>
          <t>Carbon-balance in tCO2-e</t>
        </is>
      </c>
    </row>
    <row r="28" ht="32" customHeight="1">
      <c r="B28" s="3582" t="inlineStr">
        <is>
          <t>BALANCE</t>
        </is>
      </c>
      <c r="C28" s="3579" t="inlineStr">
        <is>
          <t>Fluxes</t>
        </is>
      </c>
      <c r="D28" s="3579" t="inlineStr">
        <is>
          <t>Rank</t>
        </is>
      </c>
      <c r="G28" s="3579" t="inlineStr">
        <is>
          <t>Activities</t>
        </is>
      </c>
      <c r="H28" s="3579" t="inlineStr">
        <is>
          <t>Balance</t>
        </is>
      </c>
      <c r="I28" s="3579" t="inlineStr">
        <is>
          <t>+</t>
        </is>
      </c>
      <c r="J28" s="3579" t="inlineStr">
        <is>
          <t>-</t>
        </is>
      </c>
      <c r="K28" s="3643" t="inlineStr">
        <is>
          <t>Labels</t>
        </is>
      </c>
      <c r="L28" s="3978" t="n"/>
      <c r="M28" s="3978" t="n"/>
      <c r="N28" s="3978" t="n"/>
    </row>
    <row r="29">
      <c r="B29" s="284">
        <f>IF(AND(C7=0,D7=0),"",B7)</f>
        <v/>
      </c>
      <c r="C29" s="3518">
        <f>IF(AND(C7=0,D7=0),"",E7)</f>
        <v/>
      </c>
      <c r="D29" s="682">
        <f>IF(AND(C7=0,D7=0),"",RANK($C29,$C$29:$C$40,1))</f>
        <v/>
      </c>
      <c r="F29" s="284" t="n">
        <v>1</v>
      </c>
      <c r="G29" s="284">
        <f>IFERROR(INDEX($B$29:$B$40,MATCH(F29,$D$29:$D$40,0)),"")</f>
        <v/>
      </c>
      <c r="H29" s="3518">
        <f>IFERROR(INDEX($B$7:$E$18,MATCH(G29,$B$7:$B$18,0),MATCH($E$6,$B$6:$E$6,0)),"")</f>
        <v/>
      </c>
      <c r="I29" s="3518">
        <f>IF(G29&lt;&gt;"",IF(H29&gt;=0,H29,0),"")</f>
        <v/>
      </c>
      <c r="J29" s="3518">
        <f>IF(G29&lt;&gt;"",IF(H29&lt;0,H29,0),"")</f>
        <v/>
      </c>
      <c r="K29" s="682">
        <f>IF(G29&lt;&gt;"",IF(H29&lt;0,1,-1),"")</f>
        <v/>
      </c>
      <c r="L29" s="3518" t="n"/>
      <c r="M29" s="682" t="n"/>
      <c r="N29" s="3518" t="n"/>
    </row>
    <row r="30">
      <c r="B30" s="284">
        <f>IF(AND(C8=0,D8=0),"",B8)</f>
        <v/>
      </c>
      <c r="C30" s="3518">
        <f>IF(AND(C8=0,D8=0),"",E8)</f>
        <v/>
      </c>
      <c r="D30" s="682">
        <f>IF(AND(C8=0,D8=0),"",RANK($C30,$C$29:$C$40,1))</f>
        <v/>
      </c>
      <c r="F30" s="284" t="n">
        <v>2</v>
      </c>
      <c r="G30" s="284">
        <f>IFERROR(INDEX($B$29:$B$40,MATCH(F30,$D$29:$D$40,0)),"")</f>
        <v/>
      </c>
      <c r="H30" s="3518">
        <f>IFERROR(INDEX($B$7:$E$18,MATCH(G30,$B$7:$B$18,0),MATCH($E$6,$B$6:$E$6,0)),"")</f>
        <v/>
      </c>
      <c r="I30" s="3518">
        <f>IF(G30&lt;&gt;"",IF(H30&gt;=0,H30,0),"")</f>
        <v/>
      </c>
      <c r="J30" s="3518">
        <f>IF(G30&lt;&gt;"",IF(H30&lt;0,H30,0),"")</f>
        <v/>
      </c>
      <c r="K30" s="682">
        <f>IF(G30&lt;&gt;"",IF(H30&lt;0,1,-1),"")</f>
        <v/>
      </c>
      <c r="L30" s="3518" t="n"/>
      <c r="M30" s="682" t="n"/>
      <c r="N30" s="3518" t="n"/>
    </row>
    <row r="31">
      <c r="B31" s="284">
        <f>IF(AND(C9=0,D9=0),"",B9)</f>
        <v/>
      </c>
      <c r="C31" s="3518">
        <f>IF(AND(C9=0,D9=0),"",E9)</f>
        <v/>
      </c>
      <c r="D31" s="682">
        <f>IF(AND(C9=0,D9=0),"",RANK($C31,$C$29:$C$40,1))</f>
        <v/>
      </c>
      <c r="F31" s="284" t="n">
        <v>3</v>
      </c>
      <c r="G31" s="284">
        <f>IFERROR(INDEX($B$29:$B$40,MATCH(F31,$D$29:$D$40,0)),"")</f>
        <v/>
      </c>
      <c r="H31" s="3518">
        <f>IFERROR(INDEX($B$7:$E$18,MATCH(G31,$B$7:$B$18,0),MATCH($E$6,$B$6:$E$6,0)),"")</f>
        <v/>
      </c>
      <c r="I31" s="3518">
        <f>IF(G31&lt;&gt;"",IF(H31&gt;=0,H31,0),"")</f>
        <v/>
      </c>
      <c r="J31" s="3518">
        <f>IF(G31&lt;&gt;"",IF(H31&lt;0,H31,0),"")</f>
        <v/>
      </c>
      <c r="K31" s="682">
        <f>IF(G31&lt;&gt;"",IF(H31&lt;0,1,-1),"")</f>
        <v/>
      </c>
      <c r="L31" s="3518" t="n"/>
      <c r="M31" s="682" t="n"/>
      <c r="N31" s="3518" t="n"/>
    </row>
    <row r="32">
      <c r="B32" s="284">
        <f>IF(AND(C10=0,D10=0),"",B10)</f>
        <v/>
      </c>
      <c r="C32" s="3518">
        <f>IF(AND(C10=0,D10=0),"",E10)</f>
        <v/>
      </c>
      <c r="D32" s="682">
        <f>IF(AND(C10=0,D10=0),"",RANK($C32,$C$29:$C$40,1))</f>
        <v/>
      </c>
      <c r="F32" s="284" t="n">
        <v>4</v>
      </c>
      <c r="G32" s="284">
        <f>IFERROR(INDEX($B$29:$B$40,MATCH(F32,$D$29:$D$40,0)),"")</f>
        <v/>
      </c>
      <c r="H32" s="3518">
        <f>IFERROR(INDEX($B$7:$E$18,MATCH(G32,$B$7:$B$18,0),MATCH($E$6,$B$6:$E$6,0)),"")</f>
        <v/>
      </c>
      <c r="I32" s="3518">
        <f>IF(G32&lt;&gt;"",IF(H32&gt;=0,H32,0),"")</f>
        <v/>
      </c>
      <c r="J32" s="3518">
        <f>IF(G32&lt;&gt;"",IF(H32&lt;0,H32,0),"")</f>
        <v/>
      </c>
      <c r="K32" s="682">
        <f>IF(G32&lt;&gt;"",IF(H32&lt;0,1,-1),"")</f>
        <v/>
      </c>
      <c r="L32" s="3518" t="n"/>
      <c r="M32" s="682" t="n"/>
      <c r="N32" s="3518" t="n"/>
    </row>
    <row r="33">
      <c r="B33" s="284">
        <f>IF(AND(C11=0,D11=0),"",B11)</f>
        <v/>
      </c>
      <c r="C33" s="3518">
        <f>IF(AND(C11=0,D11=0),"",E11)</f>
        <v/>
      </c>
      <c r="D33" s="682">
        <f>IF(AND(C11=0,D11=0),"",RANK($C33,$C$29:$C$40,1))</f>
        <v/>
      </c>
      <c r="F33" s="284" t="n">
        <v>5</v>
      </c>
      <c r="G33" s="284">
        <f>IFERROR(INDEX($B$29:$B$40,MATCH(F33,$D$29:$D$40,0)),"")</f>
        <v/>
      </c>
      <c r="H33" s="3518">
        <f>IFERROR(INDEX($B$7:$E$18,MATCH(G33,$B$7:$B$18,0),MATCH($E$6,$B$6:$E$6,0)),"")</f>
        <v/>
      </c>
      <c r="I33" s="3518">
        <f>IF(G33&lt;&gt;"",IF(H33&gt;=0,H33,0),"")</f>
        <v/>
      </c>
      <c r="J33" s="3518">
        <f>IF(G33&lt;&gt;"",IF(H33&lt;0,H33,0),"")</f>
        <v/>
      </c>
      <c r="K33" s="682">
        <f>IF(G33&lt;&gt;"",IF(H33&lt;0,1,-1),"")</f>
        <v/>
      </c>
      <c r="L33" s="3518" t="n"/>
      <c r="M33" s="682" t="n"/>
      <c r="N33" s="3518" t="n"/>
    </row>
    <row r="34">
      <c r="B34" s="284">
        <f>IF(AND(C12=0,D12=0),"",B12)</f>
        <v/>
      </c>
      <c r="C34" s="3518">
        <f>IF(AND(C12=0,D12=0),"",E12)</f>
        <v/>
      </c>
      <c r="D34" s="682">
        <f>IF(AND(C12=0,D12=0),"",RANK($C34,$C$29:$C$40,1))</f>
        <v/>
      </c>
      <c r="F34" s="284" t="n">
        <v>6</v>
      </c>
      <c r="G34" s="284">
        <f>IFERROR(INDEX($B$29:$B$40,MATCH(F34,$D$29:$D$40,0)),"")</f>
        <v/>
      </c>
      <c r="H34" s="3518">
        <f>IFERROR(INDEX($B$7:$E$18,MATCH(G34,$B$7:$B$18,0),MATCH($E$6,$B$6:$E$6,0)),"")</f>
        <v/>
      </c>
      <c r="I34" s="3518">
        <f>IF(G34&lt;&gt;"",IF(H34&gt;=0,H34,0),"")</f>
        <v/>
      </c>
      <c r="J34" s="3518">
        <f>IF(G34&lt;&gt;"",IF(H34&lt;0,H34,0),"")</f>
        <v/>
      </c>
      <c r="K34" s="682">
        <f>IF(G34&lt;&gt;"",IF(H34&lt;0,1,-1),"")</f>
        <v/>
      </c>
      <c r="L34" s="3518" t="n"/>
      <c r="M34" s="682" t="n"/>
      <c r="N34" s="3518" t="n"/>
    </row>
    <row r="35">
      <c r="B35" s="284">
        <f>IF(AND(C13=0,D13=0),"",B13)</f>
        <v/>
      </c>
      <c r="C35" s="3518">
        <f>IF(AND(C13=0,D13=0),"",E13)</f>
        <v/>
      </c>
      <c r="D35" s="682">
        <f>IF(AND(C13=0,D13=0),"",RANK($C35,$C$29:$C$40,1))</f>
        <v/>
      </c>
      <c r="F35" s="284" t="n">
        <v>7</v>
      </c>
      <c r="G35" s="284">
        <f>IFERROR(INDEX($B$29:$B$40,MATCH(F35,$D$29:$D$40,0)),"")</f>
        <v/>
      </c>
      <c r="H35" s="3518">
        <f>IFERROR(INDEX($B$7:$E$18,MATCH(G35,$B$7:$B$18,0),MATCH($E$6,$B$6:$E$6,0)),"")</f>
        <v/>
      </c>
      <c r="I35" s="3518">
        <f>IF(G35&lt;&gt;"",IF(H35&gt;=0,H35,0),"")</f>
        <v/>
      </c>
      <c r="J35" s="3518">
        <f>IF(G35&lt;&gt;"",IF(H35&lt;0,H35,0),"")</f>
        <v/>
      </c>
      <c r="K35" s="682">
        <f>IF(G35&lt;&gt;"",IF(H35&lt;0,1,-1),"")</f>
        <v/>
      </c>
      <c r="L35" s="3518" t="n"/>
      <c r="M35" s="682" t="n"/>
      <c r="N35" s="3518" t="n"/>
    </row>
    <row r="36">
      <c r="B36" s="284">
        <f>IF(AND(C14=0,D14=0),"",B14)</f>
        <v/>
      </c>
      <c r="C36" s="3518">
        <f>IF(AND(C14=0,D14=0),"",E14)</f>
        <v/>
      </c>
      <c r="D36" s="682">
        <f>IF(AND(C14=0,D14=0),"",RANK($C36,$C$29:$C$40,1))</f>
        <v/>
      </c>
      <c r="F36" s="284" t="n">
        <v>8</v>
      </c>
      <c r="G36" s="284">
        <f>IFERROR(INDEX($B$29:$B$40,MATCH(F36,$D$29:$D$40,0)),"")</f>
        <v/>
      </c>
      <c r="H36" s="3518">
        <f>IFERROR(INDEX($B$7:$E$18,MATCH(G36,$B$7:$B$18,0),MATCH($E$6,$B$6:$E$6,0)),"")</f>
        <v/>
      </c>
      <c r="I36" s="3518">
        <f>IF(G36&lt;&gt;"",IF(H36&gt;=0,H36,0),"")</f>
        <v/>
      </c>
      <c r="J36" s="3518">
        <f>IF(G36&lt;&gt;"",IF(H36&lt;0,H36,0),"")</f>
        <v/>
      </c>
      <c r="K36" s="682">
        <f>IF(G36&lt;&gt;"",IF(H36&lt;0,1,-1),"")</f>
        <v/>
      </c>
      <c r="L36" s="3518" t="n"/>
      <c r="M36" s="682" t="n"/>
      <c r="N36" s="3518" t="n"/>
    </row>
    <row r="37">
      <c r="B37" s="284">
        <f>IF(AND(C15=0,D15=0),"",B15)</f>
        <v/>
      </c>
      <c r="C37" s="3518">
        <f>IF(AND(C15=0,D15=0),"",E15)</f>
        <v/>
      </c>
      <c r="D37" s="682">
        <f>IF(AND(C15=0,D15=0),"",RANK($C37,$C$29:$C$40,1))</f>
        <v/>
      </c>
      <c r="F37" s="284" t="n">
        <v>9</v>
      </c>
      <c r="G37" s="284">
        <f>IFERROR(INDEX($B$29:$B$40,MATCH(F37,$D$29:$D$40,0)),"")</f>
        <v/>
      </c>
      <c r="H37" s="3518">
        <f>IFERROR(INDEX($B$7:$E$18,MATCH(G37,$B$7:$B$18,0),MATCH($E$6,$B$6:$E$6,0)),"")</f>
        <v/>
      </c>
      <c r="I37" s="3518">
        <f>IF(G37&lt;&gt;"",IF(H37&gt;=0,H37,0),"")</f>
        <v/>
      </c>
      <c r="J37" s="3518">
        <f>IF(G37&lt;&gt;"",IF(H37&lt;0,H37,0),"")</f>
        <v/>
      </c>
      <c r="K37" s="682">
        <f>IF(G37&lt;&gt;"",IF(H37&lt;0,1,-1),"")</f>
        <v/>
      </c>
      <c r="L37" s="3518" t="n"/>
      <c r="M37" s="682" t="n"/>
      <c r="N37" s="3518" t="n"/>
    </row>
    <row r="38">
      <c r="B38" s="284">
        <f>IF(AND(C16=0,D16=0),"",B16)</f>
        <v/>
      </c>
      <c r="C38" s="3518">
        <f>IF(AND(C16=0,D16=0),"",E16)</f>
        <v/>
      </c>
      <c r="D38" s="682">
        <f>IF(AND(C16=0,D16=0),"",RANK($C38,$C$29:$C$40,1))</f>
        <v/>
      </c>
      <c r="F38" s="284" t="n">
        <v>10</v>
      </c>
      <c r="G38" s="284">
        <f>IFERROR(INDEX($B$29:$B$40,MATCH(F38,$D$29:$D$40,0)),"")</f>
        <v/>
      </c>
      <c r="H38" s="3518">
        <f>IFERROR(INDEX($B$7:$E$18,MATCH(G38,$B$7:$B$18,0),MATCH($E$6,$B$6:$E$6,0)),"")</f>
        <v/>
      </c>
      <c r="I38" s="3518">
        <f>IF(G38&lt;&gt;"",IF(H38&gt;=0,H38,0),"")</f>
        <v/>
      </c>
      <c r="J38" s="3518">
        <f>IF(G38&lt;&gt;"",IF(H38&lt;0,H38,0),"")</f>
        <v/>
      </c>
      <c r="K38" s="682">
        <f>IF(G38&lt;&gt;"",IF(H38&lt;0,1,-1),"")</f>
        <v/>
      </c>
      <c r="L38" s="3518" t="n"/>
      <c r="M38" s="682" t="n"/>
      <c r="N38" s="3518" t="n"/>
    </row>
    <row r="39">
      <c r="B39" s="284">
        <f>IF(AND(C17=0,D17=0),"",B17)</f>
        <v/>
      </c>
      <c r="C39" s="3518">
        <f>IF(AND(C17=0,D17=0),"",E17)</f>
        <v/>
      </c>
      <c r="D39" s="682">
        <f>IF(AND(C17=0,D17=0),"",RANK($C39,$C$29:$C$40,1))</f>
        <v/>
      </c>
      <c r="F39" s="284" t="n">
        <v>11</v>
      </c>
      <c r="G39" s="284">
        <f>IFERROR(INDEX($B$29:$B$40,MATCH(F39,$D$29:$D$40,0)),"")</f>
        <v/>
      </c>
      <c r="H39" s="3518">
        <f>IFERROR(INDEX($B$7:$E$18,MATCH(G39,$B$7:$B$18,0),MATCH($E$6,$B$6:$E$6,0)),"")</f>
        <v/>
      </c>
      <c r="I39" s="3518">
        <f>IF(G39&lt;&gt;"",IF(H39&gt;=0,H39,0),"")</f>
        <v/>
      </c>
      <c r="J39" s="3518">
        <f>IF(G39&lt;&gt;"",IF(H39&lt;0,H39,0),"")</f>
        <v/>
      </c>
      <c r="K39" s="682">
        <f>IF(G39&lt;&gt;"",IF(H39&lt;0,1,-1),"")</f>
        <v/>
      </c>
      <c r="L39" s="3518" t="n"/>
      <c r="M39" s="682" t="n"/>
      <c r="N39" s="3518" t="n"/>
    </row>
    <row r="40">
      <c r="B40" s="284">
        <f>IF(AND(C18=0,D18=0),"",B18)</f>
        <v/>
      </c>
      <c r="C40" s="3518">
        <f>IF(AND(C18=0,D18=0),"",E18)</f>
        <v/>
      </c>
      <c r="D40" s="682">
        <f>IF(AND(C18=0,D18=0),"",RANK($C40,$C$29:$C$40,1))</f>
        <v/>
      </c>
      <c r="F40" s="284" t="n">
        <v>12</v>
      </c>
      <c r="G40" s="284">
        <f>IFERROR(INDEX($B$29:$B$40,MATCH(F40,$D$29:$D$40,0)),"")</f>
        <v/>
      </c>
      <c r="H40" s="3518">
        <f>IFERROR(INDEX($B$7:$E$18,MATCH(G40,$B$7:$B$18,0),MATCH($E$6,$B$6:$E$6,0)),"")</f>
        <v/>
      </c>
      <c r="I40" s="3518">
        <f>IF(G40&lt;&gt;"",IF(H40&gt;=0,H40,0),"")</f>
        <v/>
      </c>
      <c r="J40" s="3518">
        <f>IF(G40&lt;&gt;"",IF(H40&lt;0,H40,0),"")</f>
        <v/>
      </c>
      <c r="K40" s="682">
        <f>IF(G40&lt;&gt;"",IF(H40&lt;0,1,-1),"")</f>
        <v/>
      </c>
      <c r="L40" s="3518" t="n"/>
      <c r="M40" s="682" t="n"/>
      <c r="N40" s="3518" t="n"/>
    </row>
    <row r="41">
      <c r="C41" s="682" t="n"/>
      <c r="D41" s="682" t="n"/>
      <c r="M41" s="682">
        <f>IF(J41&lt;&gt;"",IF(K41&lt;0,1,-1),"")</f>
        <v/>
      </c>
    </row>
    <row r="42">
      <c r="C42" s="682" t="n"/>
      <c r="D42" s="682" t="n"/>
      <c r="G42" s="284" t="inlineStr">
        <is>
          <t>Gross fluxes in tCO2-e</t>
        </is>
      </c>
    </row>
    <row r="43" ht="32" customHeight="1">
      <c r="B43" s="3582" t="inlineStr">
        <is>
          <t>WITHOUT</t>
        </is>
      </c>
      <c r="C43" s="3579" t="inlineStr">
        <is>
          <t>Gross fluxes</t>
        </is>
      </c>
      <c r="D43" s="3579" t="inlineStr">
        <is>
          <t>Rank</t>
        </is>
      </c>
      <c r="G43" s="3579" t="inlineStr">
        <is>
          <t>Activities</t>
        </is>
      </c>
      <c r="H43" s="3579" t="inlineStr">
        <is>
          <t>WITHOUT</t>
        </is>
      </c>
      <c r="I43" s="3579" t="inlineStr">
        <is>
          <t>+</t>
        </is>
      </c>
      <c r="J43" s="3579" t="inlineStr">
        <is>
          <t>-</t>
        </is>
      </c>
      <c r="K43" s="3579" t="inlineStr">
        <is>
          <t>Labels</t>
        </is>
      </c>
    </row>
    <row r="44">
      <c r="B44" s="284">
        <f>IF(AND(C7=0,D7=0),"",B7)</f>
        <v/>
      </c>
      <c r="C44" s="3518">
        <f>IF((C7=0),"",C7)</f>
        <v/>
      </c>
      <c r="D44" s="682">
        <f>IF(C7=0,"",RANK($C44,$C$44:$C$55,1))</f>
        <v/>
      </c>
      <c r="F44" s="284" t="n">
        <v>1</v>
      </c>
      <c r="G44" s="284">
        <f>IFERROR(INDEX($B$44:$B$55,MATCH(F44,$D$44:$D$55,0)),"")</f>
        <v/>
      </c>
      <c r="H44" s="3518">
        <f>IFERROR(INDEX($B$7:$E$18,MATCH(G44,$B$7:$B$18,0),MATCH($C$6,$B$6:$E$6,0)),"")</f>
        <v/>
      </c>
      <c r="I44" s="3518">
        <f>IF(G44&lt;&gt;"",IF(H44&gt;=0,H44,0),"")</f>
        <v/>
      </c>
      <c r="J44" s="3518">
        <f>IF(G44&lt;&gt;"",IF(H44&lt;0,H44,0),"")</f>
        <v/>
      </c>
      <c r="K44" s="682">
        <f>IF(G44&lt;&gt;"",IF(H44&lt;0,1,-1),"")</f>
        <v/>
      </c>
    </row>
    <row r="45">
      <c r="B45" s="284">
        <f>IF(AND(C8=0,D8=0),"",B8)</f>
        <v/>
      </c>
      <c r="C45" s="3518">
        <f>IF((C8=0),"",C8)</f>
        <v/>
      </c>
      <c r="D45" s="682">
        <f>IF(C8=0,"",RANK($C45,$C$44:$C$55,1))</f>
        <v/>
      </c>
      <c r="F45" s="284" t="n">
        <v>2</v>
      </c>
      <c r="G45" s="284">
        <f>IFERROR(INDEX($B$44:$B$55,MATCH(F45,$D$44:$D$55,0)),"")</f>
        <v/>
      </c>
      <c r="H45" s="3518">
        <f>IFERROR(INDEX($B$7:$E$18,MATCH(G45,$B$7:$B$18,0),MATCH($C$6,$B$6:$E$6,0)),"")</f>
        <v/>
      </c>
      <c r="I45" s="3518">
        <f>IF(G45&lt;&gt;"",IF(H45&gt;=0,H45,0),"")</f>
        <v/>
      </c>
      <c r="J45" s="3518">
        <f>IF(G45&lt;&gt;"",IF(H45&lt;0,H45,0),"")</f>
        <v/>
      </c>
      <c r="K45" s="682">
        <f>IF(G45&lt;&gt;"",IF(H45&lt;0,1,-1),"")</f>
        <v/>
      </c>
    </row>
    <row r="46">
      <c r="B46" s="284">
        <f>IF(AND(C9=0,D9=0),"",B9)</f>
        <v/>
      </c>
      <c r="C46" s="3518">
        <f>IF((C9=0),"",C9)</f>
        <v/>
      </c>
      <c r="D46" s="682">
        <f>IF(C9=0,"",RANK($C46,$C$44:$C$55,1))</f>
        <v/>
      </c>
      <c r="F46" s="284" t="n">
        <v>3</v>
      </c>
      <c r="G46" s="284">
        <f>IFERROR(INDEX($B$44:$B$55,MATCH(F46,$D$44:$D$55,0)),"")</f>
        <v/>
      </c>
      <c r="H46" s="3518">
        <f>IFERROR(INDEX($B$7:$E$18,MATCH(G46,$B$7:$B$18,0),MATCH($C$6,$B$6:$E$6,0)),"")</f>
        <v/>
      </c>
      <c r="I46" s="3518">
        <f>IF(G46&lt;&gt;"",IF(H46&gt;=0,H46,0),"")</f>
        <v/>
      </c>
      <c r="J46" s="3518">
        <f>IF(G46&lt;&gt;"",IF(H46&lt;0,H46,0),"")</f>
        <v/>
      </c>
      <c r="K46" s="682">
        <f>IF(G46&lt;&gt;"",IF(H46&lt;0,1,-1),"")</f>
        <v/>
      </c>
    </row>
    <row r="47">
      <c r="B47" s="284">
        <f>IF(AND(C10=0,D10=0),"",B10)</f>
        <v/>
      </c>
      <c r="C47" s="3518">
        <f>IF((C10=0),"",C10)</f>
        <v/>
      </c>
      <c r="D47" s="682">
        <f>IF(C10=0,"",RANK($C47,$C$44:$C$55,1))</f>
        <v/>
      </c>
      <c r="F47" s="284" t="n">
        <v>4</v>
      </c>
      <c r="G47" s="284">
        <f>IFERROR(INDEX($B$44:$B$55,MATCH(F47,$D$44:$D$55,0)),"")</f>
        <v/>
      </c>
      <c r="H47" s="3518">
        <f>IFERROR(INDEX($B$7:$E$18,MATCH(G47,$B$7:$B$18,0),MATCH($C$6,$B$6:$E$6,0)),"")</f>
        <v/>
      </c>
      <c r="I47" s="3518">
        <f>IF(G47&lt;&gt;"",IF(H47&gt;=0,H47,0),"")</f>
        <v/>
      </c>
      <c r="J47" s="3518">
        <f>IF(G47&lt;&gt;"",IF(H47&lt;0,H47,0),"")</f>
        <v/>
      </c>
      <c r="K47" s="682">
        <f>IF(G47&lt;&gt;"",IF(H47&lt;0,1,-1),"")</f>
        <v/>
      </c>
    </row>
    <row r="48">
      <c r="B48" s="284">
        <f>IF(AND(C11=0,D11=0),"",B11)</f>
        <v/>
      </c>
      <c r="C48" s="3518">
        <f>IF((C11=0),"",C11)</f>
        <v/>
      </c>
      <c r="D48" s="682">
        <f>IF(C11=0,"",RANK($C48,$C$44:$C$55,1))</f>
        <v/>
      </c>
      <c r="F48" s="284" t="n">
        <v>5</v>
      </c>
      <c r="G48" s="284">
        <f>IFERROR(INDEX($B$44:$B$55,MATCH(F48,$D$44:$D$55,0)),"")</f>
        <v/>
      </c>
      <c r="H48" s="3518">
        <f>IFERROR(INDEX($B$7:$E$18,MATCH(G48,$B$7:$B$18,0),MATCH($C$6,$B$6:$E$6,0)),"")</f>
        <v/>
      </c>
      <c r="I48" s="3518">
        <f>IF(G48&lt;&gt;"",IF(H48&gt;=0,H48,0),"")</f>
        <v/>
      </c>
      <c r="J48" s="3518">
        <f>IF(G48&lt;&gt;"",IF(H48&lt;0,H48,0),"")</f>
        <v/>
      </c>
      <c r="K48" s="682">
        <f>IF(G48&lt;&gt;"",IF(H48&lt;0,1,-1),"")</f>
        <v/>
      </c>
    </row>
    <row r="49">
      <c r="B49" s="284">
        <f>IF(AND(C12=0,D12=0),"",B12)</f>
        <v/>
      </c>
      <c r="C49" s="3518">
        <f>IF((C12=0),"",C12)</f>
        <v/>
      </c>
      <c r="D49" s="682">
        <f>IF(C12=0,"",RANK($C49,$C$44:$C$55,1))</f>
        <v/>
      </c>
      <c r="F49" s="284" t="n">
        <v>6</v>
      </c>
      <c r="G49" s="284">
        <f>IFERROR(INDEX($B$44:$B$55,MATCH(F49,$D$44:$D$55,0)),"")</f>
        <v/>
      </c>
      <c r="H49" s="3518">
        <f>IFERROR(INDEX($B$7:$E$18,MATCH(G49,$B$7:$B$18,0),MATCH($C$6,$B$6:$E$6,0)),"")</f>
        <v/>
      </c>
      <c r="I49" s="3518">
        <f>IF(G49&lt;&gt;"",IF(H49&gt;=0,H49,0),"")</f>
        <v/>
      </c>
      <c r="J49" s="3518">
        <f>IF(G49&lt;&gt;"",IF(H49&lt;0,H49,0),"")</f>
        <v/>
      </c>
      <c r="K49" s="682">
        <f>IF(G49&lt;&gt;"",IF(H49&lt;0,1,-1),"")</f>
        <v/>
      </c>
    </row>
    <row r="50">
      <c r="B50" s="284">
        <f>IF(AND(C13=0,D13=0),"",B13)</f>
        <v/>
      </c>
      <c r="C50" s="3518">
        <f>IF((C13=0),"",C13)</f>
        <v/>
      </c>
      <c r="D50" s="682">
        <f>IF(C13=0,"",RANK($C50,$C$44:$C$55,1))</f>
        <v/>
      </c>
      <c r="F50" s="284" t="n">
        <v>7</v>
      </c>
      <c r="G50" s="284">
        <f>IFERROR(INDEX($B$44:$B$55,MATCH(F50,$D$44:$D$55,0)),"")</f>
        <v/>
      </c>
      <c r="H50" s="3518">
        <f>IFERROR(INDEX($B$7:$E$18,MATCH(G50,$B$7:$B$18,0),MATCH($C$6,$B$6:$E$6,0)),"")</f>
        <v/>
      </c>
      <c r="I50" s="3518">
        <f>IF(G50&lt;&gt;"",IF(H50&gt;=0,H50,0),"")</f>
        <v/>
      </c>
      <c r="J50" s="3518">
        <f>IF(G50&lt;&gt;"",IF(H50&lt;0,H50,0),"")</f>
        <v/>
      </c>
      <c r="K50" s="682">
        <f>IF(G50&lt;&gt;"",IF(H50&lt;0,1,-1),"")</f>
        <v/>
      </c>
    </row>
    <row r="51">
      <c r="B51" s="284">
        <f>IF(AND(C14=0,D14=0),"",B14)</f>
        <v/>
      </c>
      <c r="C51" s="3518">
        <f>IF((C14=0),"",C14)</f>
        <v/>
      </c>
      <c r="D51" s="682">
        <f>IF(C14=0,"",RANK($C51,$C$44:$C$55,1))</f>
        <v/>
      </c>
      <c r="F51" s="284" t="n">
        <v>8</v>
      </c>
      <c r="G51" s="284">
        <f>IFERROR(INDEX($B$44:$B$55,MATCH(F51,$D$44:$D$55,0)),"")</f>
        <v/>
      </c>
      <c r="H51" s="3518">
        <f>IFERROR(INDEX($B$7:$E$18,MATCH(G51,$B$7:$B$18,0),MATCH($C$6,$B$6:$E$6,0)),"")</f>
        <v/>
      </c>
      <c r="I51" s="3518">
        <f>IF(G51&lt;&gt;"",IF(H51&gt;=0,H51,0),"")</f>
        <v/>
      </c>
      <c r="J51" s="3518">
        <f>IF(G51&lt;&gt;"",IF(H51&lt;0,H51,0),"")</f>
        <v/>
      </c>
      <c r="K51" s="682">
        <f>IF(G51&lt;&gt;"",IF(H51&lt;0,1,-1),"")</f>
        <v/>
      </c>
    </row>
    <row r="52">
      <c r="B52" s="284">
        <f>IF(AND(C15=0,D15=0),"",B15)</f>
        <v/>
      </c>
      <c r="C52" s="3518">
        <f>IF((C15=0),"",C15)</f>
        <v/>
      </c>
      <c r="D52" s="682">
        <f>IF(C15=0,"",RANK($C52,$C$44:$C$55,1))</f>
        <v/>
      </c>
      <c r="F52" s="284" t="n">
        <v>9</v>
      </c>
      <c r="G52" s="284">
        <f>IFERROR(INDEX($B$44:$B$55,MATCH(F52,$D$44:$D$55,0)),"")</f>
        <v/>
      </c>
      <c r="H52" s="3518">
        <f>IFERROR(INDEX($B$7:$E$18,MATCH(G52,$B$7:$B$18,0),MATCH($C$6,$B$6:$E$6,0)),"")</f>
        <v/>
      </c>
      <c r="I52" s="3518">
        <f>IF(G52&lt;&gt;"",IF(H52&gt;=0,H52,0),"")</f>
        <v/>
      </c>
      <c r="J52" s="3518">
        <f>IF(G52&lt;&gt;"",IF(H52&lt;0,H52,0),"")</f>
        <v/>
      </c>
      <c r="K52" s="682">
        <f>IF(G52&lt;&gt;"",IF(H52&lt;0,1,-1),"")</f>
        <v/>
      </c>
    </row>
    <row r="53">
      <c r="B53" s="284">
        <f>IF(AND(C16=0,D16=0),"",B16)</f>
        <v/>
      </c>
      <c r="C53" s="3518">
        <f>IF((C16=0),"",C16)</f>
        <v/>
      </c>
      <c r="D53" s="682">
        <f>IF(C16=0,"",RANK($C53,$C$44:$C$55,1))</f>
        <v/>
      </c>
      <c r="F53" s="284" t="n">
        <v>10</v>
      </c>
      <c r="G53" s="284">
        <f>IFERROR(INDEX($B$44:$B$55,MATCH(F53,$D$44:$D$55,0)),"")</f>
        <v/>
      </c>
      <c r="H53" s="3518">
        <f>IFERROR(INDEX($B$7:$E$18,MATCH(G53,$B$7:$B$18,0),MATCH($C$6,$B$6:$E$6,0)),"")</f>
        <v/>
      </c>
      <c r="I53" s="3518">
        <f>IF(G53&lt;&gt;"",IF(H53&gt;=0,H53,0),"")</f>
        <v/>
      </c>
      <c r="J53" s="3518">
        <f>IF(G53&lt;&gt;"",IF(H53&lt;0,H53,0),"")</f>
        <v/>
      </c>
      <c r="K53" s="682">
        <f>IF(G53&lt;&gt;"",IF(H53&lt;0,1,-1),"")</f>
        <v/>
      </c>
    </row>
    <row r="54">
      <c r="B54" s="284">
        <f>IF(AND(C17=0,D17=0),"",B17)</f>
        <v/>
      </c>
      <c r="C54" s="3518">
        <f>IF((C17=0),"",C17)</f>
        <v/>
      </c>
      <c r="D54" s="682">
        <f>IF(C17=0,"",RANK($C54,$C$44:$C$55,1))</f>
        <v/>
      </c>
      <c r="F54" s="284" t="n">
        <v>11</v>
      </c>
      <c r="G54" s="284">
        <f>IFERROR(INDEX($B$44:$B$55,MATCH(F54,$D$44:$D$55,0)),"")</f>
        <v/>
      </c>
      <c r="H54" s="3518">
        <f>IFERROR(INDEX($B$7:$E$18,MATCH(G54,$B$7:$B$18,0),MATCH($C$6,$B$6:$E$6,0)),"")</f>
        <v/>
      </c>
      <c r="I54" s="3518">
        <f>IF(G54&lt;&gt;"",IF(H54&gt;=0,H54,0),"")</f>
        <v/>
      </c>
      <c r="J54" s="3518">
        <f>IF(G54&lt;&gt;"",IF(H54&lt;0,H54,0),"")</f>
        <v/>
      </c>
      <c r="K54" s="682">
        <f>IF(G54&lt;&gt;"",IF(H54&lt;0,1,-1),"")</f>
        <v/>
      </c>
    </row>
    <row r="55">
      <c r="B55" s="284">
        <f>IF(AND(C18=0,D18=0),"",B18)</f>
        <v/>
      </c>
      <c r="C55" s="3518">
        <f>IF((C18=0),"",C18)</f>
        <v/>
      </c>
      <c r="D55" s="682">
        <f>IF(C18=0,"",RANK($C55,$C$44:$C$55,1))</f>
        <v/>
      </c>
      <c r="F55" s="284" t="n">
        <v>12</v>
      </c>
      <c r="G55" s="284">
        <f>IFERROR(INDEX($B$44:$B$55,MATCH(F55,$D$44:$D$55,0)),"")</f>
        <v/>
      </c>
      <c r="H55" s="3518">
        <f>IFERROR(INDEX($B$7:$E$18,MATCH(G55,$B$7:$B$18,0),MATCH($C$6,$B$6:$E$6,0)),"")</f>
        <v/>
      </c>
      <c r="I55" s="3518">
        <f>IF(G55&lt;&gt;"",IF(H55&gt;=0,H55,0),"")</f>
        <v/>
      </c>
      <c r="J55" s="3518">
        <f>IF(G55&lt;&gt;"",IF(H55&lt;0,H55,0),"")</f>
        <v/>
      </c>
      <c r="K55" s="682">
        <f>IF(G55&lt;&gt;"",IF(H55&lt;0,1,-1),"")</f>
        <v/>
      </c>
    </row>
    <row r="56">
      <c r="C56" s="3518" t="n"/>
      <c r="D56" s="682" t="n"/>
    </row>
    <row r="57">
      <c r="D57" s="682" t="n"/>
      <c r="G57" s="284" t="inlineStr">
        <is>
          <t>Gross fluxes in tCO2-e</t>
        </is>
      </c>
    </row>
    <row r="58" ht="32" customHeight="1">
      <c r="B58" s="3582" t="inlineStr">
        <is>
          <t>WITH</t>
        </is>
      </c>
      <c r="C58" s="3579" t="inlineStr">
        <is>
          <t>Gross fluxes</t>
        </is>
      </c>
      <c r="D58" s="3579" t="inlineStr">
        <is>
          <t>Rank</t>
        </is>
      </c>
      <c r="G58" s="3579" t="inlineStr">
        <is>
          <t>Activities</t>
        </is>
      </c>
      <c r="H58" s="3579">
        <f>B58</f>
        <v/>
      </c>
      <c r="I58" s="3579" t="inlineStr">
        <is>
          <t>+</t>
        </is>
      </c>
      <c r="J58" s="3579" t="inlineStr">
        <is>
          <t>-</t>
        </is>
      </c>
      <c r="K58" s="3579" t="inlineStr">
        <is>
          <t>Labels</t>
        </is>
      </c>
    </row>
    <row r="59">
      <c r="B59" s="284">
        <f>IF(AND(C7=0,D7=0),"",B7)</f>
        <v/>
      </c>
      <c r="C59" s="3518">
        <f>IF(D7=0,"",D7)</f>
        <v/>
      </c>
      <c r="D59" s="682">
        <f>IF(D7=0,"",RANK($C59,$C$59:$C$70,1))</f>
        <v/>
      </c>
      <c r="E59" s="284" t="inlineStr"/>
      <c r="F59" s="284" t="n">
        <v>1</v>
      </c>
      <c r="G59" s="284">
        <f>IFERROR(INDEX($B$59:$B$70,MATCH(F59,$D$59:$D$70,0)),"")</f>
        <v/>
      </c>
      <c r="H59" s="3518">
        <f>IFERROR(INDEX($B$7:$E$18,MATCH(G59,$B$7:$B$18,0),MATCH($D$6,$B$6:$E$6,0)),"")</f>
        <v/>
      </c>
      <c r="I59" s="3518">
        <f>IF(G59&lt;&gt;"",IF(H59&gt;=0,H59,0),"")</f>
        <v/>
      </c>
      <c r="J59" s="3518">
        <f>IF(G59&lt;&gt;"",IF(H59&lt;0,H59,0),"")</f>
        <v/>
      </c>
      <c r="K59" s="682">
        <f>IF(G59&lt;&gt;"",IF(H59&lt;0,1,-1),"")</f>
        <v/>
      </c>
    </row>
    <row r="60">
      <c r="B60" s="284">
        <f>IF(AND(C8=0,D8=0),"",B8)</f>
        <v/>
      </c>
      <c r="C60" s="3518">
        <f>IF(D8=0,"",D8)</f>
        <v/>
      </c>
      <c r="D60" s="682">
        <f>IF(D8=0,"",RANK($C60,$C$59:$C$70,1))</f>
        <v/>
      </c>
      <c r="E60" s="284" t="inlineStr"/>
      <c r="F60" s="284" t="n">
        <v>2</v>
      </c>
      <c r="G60" s="284">
        <f>IFERROR(INDEX($B$59:$B$70,MATCH(F60,$D$59:$D$70,0)),"")</f>
        <v/>
      </c>
      <c r="H60" s="3518">
        <f>IFERROR(INDEX($B$7:$E$18,MATCH(G60,$B$7:$B$18,0),MATCH($D$6,$B$6:$E$6,0)),"")</f>
        <v/>
      </c>
      <c r="I60" s="3518">
        <f>IF(G60&lt;&gt;"",IF(H60&gt;=0,H60,0),"")</f>
        <v/>
      </c>
      <c r="J60" s="3518">
        <f>IF(G60&lt;&gt;"",IF(H60&lt;0,H60,0),"")</f>
        <v/>
      </c>
      <c r="K60" s="682">
        <f>IF(G60&lt;&gt;"",IF(H60&lt;0,1,-1),"")</f>
        <v/>
      </c>
    </row>
    <row r="61">
      <c r="B61" s="284">
        <f>IF(AND(C9=0,D9=0),"",B9)</f>
        <v/>
      </c>
      <c r="C61" s="3518">
        <f>IF(D9=0,"",D9)</f>
        <v/>
      </c>
      <c r="D61" s="682">
        <f>IF(D9=0,"",RANK($C61,$C$59:$C$70,1))</f>
        <v/>
      </c>
      <c r="E61" s="284" t="inlineStr"/>
      <c r="F61" s="284" t="n">
        <v>3</v>
      </c>
      <c r="G61" s="284">
        <f>IFERROR(INDEX($B$59:$B$70,MATCH(F61,$D$59:$D$70,0)),"")</f>
        <v/>
      </c>
      <c r="H61" s="3518">
        <f>IFERROR(INDEX($B$7:$E$18,MATCH(G61,$B$7:$B$18,0),MATCH($D$6,$B$6:$E$6,0)),"")</f>
        <v/>
      </c>
      <c r="I61" s="3518">
        <f>IF(G61&lt;&gt;"",IF(H61&gt;=0,H61,0),"")</f>
        <v/>
      </c>
      <c r="J61" s="3518">
        <f>IF(G61&lt;&gt;"",IF(H61&lt;0,H61,0),"")</f>
        <v/>
      </c>
      <c r="K61" s="682">
        <f>IF(G61&lt;&gt;"",IF(H61&lt;0,1,-1),"")</f>
        <v/>
      </c>
    </row>
    <row r="62">
      <c r="B62" s="284">
        <f>IF(AND(C10=0,D10=0),"",B10)</f>
        <v/>
      </c>
      <c r="C62" s="3518">
        <f>IF(D10=0,"",D10)</f>
        <v/>
      </c>
      <c r="D62" s="682">
        <f>IF(D10=0,"",RANK($C62,$C$59:$C$70,1))</f>
        <v/>
      </c>
      <c r="E62" s="284" t="inlineStr"/>
      <c r="F62" s="284" t="n">
        <v>4</v>
      </c>
      <c r="G62" s="284">
        <f>IFERROR(INDEX($B$59:$B$70,MATCH(F62,$D$59:$D$70,0)),"")</f>
        <v/>
      </c>
      <c r="H62" s="3518">
        <f>IFERROR(INDEX($B$7:$E$18,MATCH(G62,$B$7:$B$18,0),MATCH($D$6,$B$6:$E$6,0)),"")</f>
        <v/>
      </c>
      <c r="I62" s="3518">
        <f>IF(G62&lt;&gt;"",IF(H62&gt;=0,H62,0),"")</f>
        <v/>
      </c>
      <c r="J62" s="3518">
        <f>IF(G62&lt;&gt;"",IF(H62&lt;0,H62,0),"")</f>
        <v/>
      </c>
      <c r="K62" s="682">
        <f>IF(G62&lt;&gt;"",IF(H62&lt;0,1,-1),"")</f>
        <v/>
      </c>
    </row>
    <row r="63">
      <c r="B63" s="284">
        <f>IF(AND(C11=0,D11=0),"",B11)</f>
        <v/>
      </c>
      <c r="C63" s="3518">
        <f>IF(D11=0,"",D11)</f>
        <v/>
      </c>
      <c r="D63" s="682">
        <f>IF(D11=0,"",RANK($C63,$C$59:$C$70,1))</f>
        <v/>
      </c>
      <c r="E63" s="284" t="inlineStr"/>
      <c r="F63" s="284" t="n">
        <v>5</v>
      </c>
      <c r="G63" s="284">
        <f>IFERROR(INDEX($B$59:$B$70,MATCH(F63,$D$59:$D$70,0)),"")</f>
        <v/>
      </c>
      <c r="H63" s="3518">
        <f>IFERROR(INDEX($B$7:$E$18,MATCH(G63,$B$7:$B$18,0),MATCH($D$6,$B$6:$E$6,0)),"")</f>
        <v/>
      </c>
      <c r="I63" s="3518">
        <f>IF(G63&lt;&gt;"",IF(H63&gt;=0,H63,0),"")</f>
        <v/>
      </c>
      <c r="J63" s="3518">
        <f>IF(G63&lt;&gt;"",IF(H63&lt;0,H63,0),"")</f>
        <v/>
      </c>
      <c r="K63" s="682">
        <f>IF(G63&lt;&gt;"",IF(H63&lt;0,1,-1),"")</f>
        <v/>
      </c>
    </row>
    <row r="64">
      <c r="B64" s="284">
        <f>IF(AND(C12=0,D12=0),"",B12)</f>
        <v/>
      </c>
      <c r="C64" s="3518">
        <f>IF(D12=0,"",D12)</f>
        <v/>
      </c>
      <c r="D64" s="682">
        <f>IF(D12=0,"",RANK($C64,$C$59:$C$70,1))</f>
        <v/>
      </c>
      <c r="E64" s="284" t="inlineStr"/>
      <c r="F64" s="284" t="n">
        <v>6</v>
      </c>
      <c r="G64" s="284">
        <f>IFERROR(INDEX($B$59:$B$70,MATCH(F64,$D$59:$D$70,0)),"")</f>
        <v/>
      </c>
      <c r="H64" s="3518">
        <f>IFERROR(INDEX($B$7:$E$18,MATCH(G64,$B$7:$B$18,0),MATCH($D$6,$B$6:$E$6,0)),"")</f>
        <v/>
      </c>
      <c r="I64" s="3518">
        <f>IF(G64&lt;&gt;"",IF(H64&gt;=0,H64,0),"")</f>
        <v/>
      </c>
      <c r="J64" s="3518">
        <f>IF(G64&lt;&gt;"",IF(H64&lt;0,H64,0),"")</f>
        <v/>
      </c>
      <c r="K64" s="682">
        <f>IF(G64&lt;&gt;"",IF(H64&lt;0,1,-1),"")</f>
        <v/>
      </c>
    </row>
    <row r="65">
      <c r="B65" s="284">
        <f>IF(AND(C13=0,D13=0),"",B13)</f>
        <v/>
      </c>
      <c r="C65" s="3518">
        <f>IF(D13=0,"",D13)</f>
        <v/>
      </c>
      <c r="D65" s="682">
        <f>IF(D13=0,"",RANK($C65,$C$59:$C$70,1))</f>
        <v/>
      </c>
      <c r="F65" s="284" t="n">
        <v>7</v>
      </c>
      <c r="G65" s="284">
        <f>IFERROR(INDEX($B$59:$B$70,MATCH(F65,$D$59:$D$70,0)),"")</f>
        <v/>
      </c>
      <c r="H65" s="3518">
        <f>IFERROR(INDEX($B$7:$E$18,MATCH(G65,$B$7:$B$18,0),MATCH($D$6,$B$6:$E$6,0)),"")</f>
        <v/>
      </c>
      <c r="I65" s="3518">
        <f>IF(G65&lt;&gt;"",IF(H65&gt;=0,H65,0),"")</f>
        <v/>
      </c>
      <c r="J65" s="3518">
        <f>IF(G65&lt;&gt;"",IF(H65&lt;0,H65,0),"")</f>
        <v/>
      </c>
      <c r="K65" s="682">
        <f>IF(G65&lt;&gt;"",IF(H65&lt;0,1,-1),"")</f>
        <v/>
      </c>
    </row>
    <row r="66">
      <c r="B66" s="284">
        <f>IF(AND(C14=0,D14=0),"",B14)</f>
        <v/>
      </c>
      <c r="C66" s="3518">
        <f>IF(D14=0,"",D14)</f>
        <v/>
      </c>
      <c r="D66" s="682">
        <f>IF(D14=0,"",RANK($C66,$C$59:$C$70,1))</f>
        <v/>
      </c>
      <c r="F66" s="284" t="n">
        <v>8</v>
      </c>
      <c r="G66" s="284">
        <f>IFERROR(INDEX($B$59:$B$70,MATCH(F66,$D$59:$D$70,0)),"")</f>
        <v/>
      </c>
      <c r="H66" s="3518">
        <f>IFERROR(INDEX($B$7:$E$18,MATCH(G66,$B$7:$B$18,0),MATCH($D$6,$B$6:$E$6,0)),"")</f>
        <v/>
      </c>
      <c r="I66" s="3518">
        <f>IF(G66&lt;&gt;"",IF(H66&gt;=0,H66,0),"")</f>
        <v/>
      </c>
      <c r="J66" s="3518">
        <f>IF(G66&lt;&gt;"",IF(H66&lt;0,H66,0),"")</f>
        <v/>
      </c>
      <c r="K66" s="682">
        <f>IF(G66&lt;&gt;"",IF(H66&lt;0,1,-1),"")</f>
        <v/>
      </c>
    </row>
    <row r="67">
      <c r="B67" s="284">
        <f>IF(AND(C15=0,D15=0),"",B15)</f>
        <v/>
      </c>
      <c r="C67" s="3518">
        <f>IF(D15=0,"",D15)</f>
        <v/>
      </c>
      <c r="D67" s="682">
        <f>IF(D15=0,"",RANK($C67,$C$59:$C$70,1))</f>
        <v/>
      </c>
      <c r="F67" s="284" t="n">
        <v>9</v>
      </c>
      <c r="G67" s="284">
        <f>IFERROR(INDEX($B$59:$B$70,MATCH(F67,$D$59:$D$70,0)),"")</f>
        <v/>
      </c>
      <c r="H67" s="3518">
        <f>IFERROR(INDEX($B$7:$E$18,MATCH(G67,$B$7:$B$18,0),MATCH($D$6,$B$6:$E$6,0)),"")</f>
        <v/>
      </c>
      <c r="I67" s="3518">
        <f>IF(G67&lt;&gt;"",IF(H67&gt;=0,H67,0),"")</f>
        <v/>
      </c>
      <c r="J67" s="3518">
        <f>IF(G67&lt;&gt;"",IF(H67&lt;0,H67,0),"")</f>
        <v/>
      </c>
      <c r="K67" s="682">
        <f>IF(G67&lt;&gt;"",IF(H67&lt;0,1,-1),"")</f>
        <v/>
      </c>
    </row>
    <row r="68">
      <c r="B68" s="284">
        <f>IF(AND(C16=0,D16=0),"",B16)</f>
        <v/>
      </c>
      <c r="C68" s="3518">
        <f>IF(D16=0,"",D16)</f>
        <v/>
      </c>
      <c r="D68" s="682">
        <f>IF(D16=0,"",RANK($C68,$C$59:$C$70,1))</f>
        <v/>
      </c>
      <c r="F68" s="284" t="n">
        <v>10</v>
      </c>
      <c r="G68" s="284">
        <f>IFERROR(INDEX($B$59:$B$70,MATCH(F68,$D$59:$D$70,0)),"")</f>
        <v/>
      </c>
      <c r="H68" s="3518">
        <f>IFERROR(INDEX($B$7:$E$18,MATCH(G68,$B$7:$B$18,0),MATCH($D$6,$B$6:$E$6,0)),"")</f>
        <v/>
      </c>
      <c r="I68" s="3518">
        <f>IF(G68&lt;&gt;"",IF(H68&gt;=0,H68,0),"")</f>
        <v/>
      </c>
      <c r="J68" s="3518">
        <f>IF(G68&lt;&gt;"",IF(H68&lt;0,H68,0),"")</f>
        <v/>
      </c>
      <c r="K68" s="682">
        <f>IF(G68&lt;&gt;"",IF(H68&lt;0,1,-1),"")</f>
        <v/>
      </c>
    </row>
    <row r="69">
      <c r="B69" s="284">
        <f>IF(AND(C17=0,D17=0),"",B17)</f>
        <v/>
      </c>
      <c r="C69" s="3518">
        <f>IF(D17=0,"",D17)</f>
        <v/>
      </c>
      <c r="D69" s="682">
        <f>IF(D17=0,"",RANK($C69,$C$59:$C$70,1))</f>
        <v/>
      </c>
      <c r="F69" s="284" t="n">
        <v>11</v>
      </c>
      <c r="G69" s="284">
        <f>IFERROR(INDEX($B$59:$B$70,MATCH(F69,$D$59:$D$70,0)),"")</f>
        <v/>
      </c>
      <c r="H69" s="3518">
        <f>IFERROR(INDEX($B$7:$E$18,MATCH(G69,$B$7:$B$18,0),MATCH($D$6,$B$6:$E$6,0)),"")</f>
        <v/>
      </c>
      <c r="I69" s="3518">
        <f>IF(G69&lt;&gt;"",IF(H69&gt;=0,H69,0),"")</f>
        <v/>
      </c>
      <c r="J69" s="3518">
        <f>IF(G69&lt;&gt;"",IF(H69&lt;0,H69,0),"")</f>
        <v/>
      </c>
      <c r="K69" s="682">
        <f>IF(G69&lt;&gt;"",IF(H69&lt;0,1,-1),"")</f>
        <v/>
      </c>
    </row>
    <row r="70">
      <c r="B70" s="284">
        <f>IF(AND(C18=0,D18=0),"",B18)</f>
        <v/>
      </c>
      <c r="C70" s="3518">
        <f>IF(D18=0,"",D18)</f>
        <v/>
      </c>
      <c r="D70" s="682">
        <f>IF(D18=0,"",RANK($C70,$C$59:$C$70,1))</f>
        <v/>
      </c>
      <c r="F70" s="284" t="n">
        <v>12</v>
      </c>
      <c r="G70" s="284">
        <f>IFERROR(INDEX($B$59:$B$70,MATCH(F70,$D$59:$D$70,0)),"")</f>
        <v/>
      </c>
      <c r="H70" s="3518">
        <f>IFERROR(INDEX($B$7:$E$18,MATCH(G70,$B$7:$B$18,0),MATCH($D$6,$B$6:$E$6,0)),"")</f>
        <v/>
      </c>
      <c r="I70" s="3518">
        <f>IF(G70&lt;&gt;"",IF(H70&gt;=0,H70,0),"")</f>
        <v/>
      </c>
      <c r="J70" s="3518">
        <f>IF(G70&lt;&gt;"",IF(H70&lt;0,H70,0),"")</f>
        <v/>
      </c>
      <c r="K70" s="682">
        <f>IF(G70&lt;&gt;"",IF(H70&lt;0,1,-1),"")</f>
        <v/>
      </c>
    </row>
    <row r="71">
      <c r="B71" s="284">
        <f>IF(AND(C19=0,D19=0),"",B19)</f>
        <v/>
      </c>
      <c r="C71" s="3518" t="n"/>
    </row>
    <row r="74" ht="57.75" customFormat="1" customHeight="1" s="1771">
      <c r="B74" s="4605" t="inlineStr">
        <is>
          <t>DETAILED RESULTS ORGANIC SOILS</t>
        </is>
      </c>
      <c r="Q74" s="3982" t="n"/>
    </row>
    <row r="75" ht="14" customFormat="1" customHeight="1" s="1771"/>
    <row r="76" ht="14" customFormat="1" customHeight="1" s="1771"/>
    <row r="77" ht="34.5" customFormat="1" customHeight="1" s="1966">
      <c r="D77" s="3923" t="inlineStr">
        <is>
          <t>GROSS FLUXES</t>
        </is>
      </c>
      <c r="E77" s="4023" t="n"/>
      <c r="F77" s="4023" t="n"/>
      <c r="G77" s="4023" t="n"/>
      <c r="H77" s="3923" t="inlineStr">
        <is>
          <t>SHARE PER GHG OF THE BALANCE</t>
        </is>
      </c>
      <c r="I77" s="4023" t="n"/>
      <c r="J77" s="4023" t="n"/>
      <c r="K77" s="4023" t="n"/>
      <c r="L77" s="4023" t="n"/>
      <c r="M77" s="4023" t="n"/>
      <c r="N77" s="3923" t="inlineStr">
        <is>
          <t>AVERAGE ANNUAL EMISSIONS</t>
        </is>
      </c>
      <c r="O77" s="4023" t="n"/>
      <c r="P77" s="4023" t="n"/>
    </row>
    <row r="78" ht="14" customFormat="1" customHeight="1" s="1970">
      <c r="D78" s="3922" t="inlineStr">
        <is>
          <t>In tCO2-e over the whole period analysis</t>
        </is>
      </c>
      <c r="E78" s="3922" t="n"/>
      <c r="F78" s="3922" t="n"/>
      <c r="G78" s="3922" t="n"/>
      <c r="H78" s="3922" t="inlineStr">
        <is>
          <t>In tCO2-e over the whole period analysis</t>
        </is>
      </c>
      <c r="I78" s="3922" t="n"/>
      <c r="J78" s="3922" t="n"/>
      <c r="K78" s="3922" t="n"/>
      <c r="L78" s="3922" t="n"/>
      <c r="M78" s="3922" t="n"/>
      <c r="N78" s="3922" t="inlineStr">
        <is>
          <t>In tCO2-e/yr</t>
        </is>
      </c>
      <c r="O78" s="3922" t="n"/>
      <c r="P78" s="3922" t="n"/>
    </row>
    <row r="79" ht="36.75" customFormat="1" customHeight="1" s="3514">
      <c r="B79" s="4022" t="inlineStr">
        <is>
          <t>PROJECT COMPONENTS</t>
        </is>
      </c>
      <c r="C79" s="4832" t="n"/>
      <c r="D79" s="4022" t="inlineStr">
        <is>
          <t>WITHOUT</t>
        </is>
      </c>
      <c r="E79" s="4022" t="inlineStr">
        <is>
          <t>WITH</t>
        </is>
      </c>
      <c r="F79" s="4022" t="inlineStr">
        <is>
          <t>BALANCE</t>
        </is>
      </c>
      <c r="G79" s="3936" t="n"/>
      <c r="H79" s="4022" t="inlineStr">
        <is>
          <t>CO2 BIOMASS</t>
        </is>
      </c>
      <c r="I79" s="4022" t="inlineStr">
        <is>
          <t>CO2 SOIL</t>
        </is>
      </c>
      <c r="J79" s="4022" t="inlineStr">
        <is>
          <t>N2O SOIL</t>
        </is>
      </c>
      <c r="K79" s="4022" t="inlineStr">
        <is>
          <t>CH4 SOIL</t>
        </is>
      </c>
      <c r="L79" s="4022" t="inlineStr">
        <is>
          <t>FIRE</t>
        </is>
      </c>
      <c r="M79" s="3936" t="n"/>
      <c r="N79" s="4022" t="inlineStr">
        <is>
          <t>WITHOUT</t>
        </is>
      </c>
      <c r="O79" s="4022" t="inlineStr">
        <is>
          <t>WITH</t>
        </is>
      </c>
      <c r="P79" s="4022" t="inlineStr">
        <is>
          <t>BALANCE</t>
        </is>
      </c>
    </row>
    <row r="80" ht="22.25" customFormat="1" customHeight="1" s="1771">
      <c r="B80" s="1966">
        <f>'10.Results'!B180</f>
        <v/>
      </c>
      <c r="C80" s="1966" t="n"/>
      <c r="D80" s="3919">
        <f>'10.Results'!D180</f>
        <v/>
      </c>
      <c r="E80" s="3919">
        <f>'10.Results'!E180</f>
        <v/>
      </c>
      <c r="F80" s="3919">
        <f>'10.Results'!F180</f>
        <v/>
      </c>
      <c r="G80" s="3920">
        <f>IF(AND(D80=0,E80=0),0,1)</f>
        <v/>
      </c>
      <c r="H80" s="3919">
        <f>'10.Results'!H180</f>
        <v/>
      </c>
      <c r="I80" s="3919">
        <f>'10.Results'!I180</f>
        <v/>
      </c>
      <c r="J80" s="3919">
        <f>'10.Results'!J180</f>
        <v/>
      </c>
      <c r="K80" s="3919">
        <f>'10.Results'!K180</f>
        <v/>
      </c>
      <c r="L80" s="3919">
        <f>'10.Results'!L180</f>
        <v/>
      </c>
      <c r="M80" s="1966" t="n"/>
      <c r="N80" s="3919">
        <f>'10.Results'!N180</f>
        <v/>
      </c>
      <c r="O80" s="3919">
        <f>'10.Results'!O180</f>
        <v/>
      </c>
      <c r="P80" s="3919">
        <f>'10.Results'!P180</f>
        <v/>
      </c>
    </row>
    <row r="81" ht="22.25" customFormat="1" customHeight="1" s="1771">
      <c r="B81" s="1966">
        <f>'10.Results'!B181</f>
        <v/>
      </c>
      <c r="C81" s="1966" t="n"/>
      <c r="D81" s="3919">
        <f>'10.Results'!D181</f>
        <v/>
      </c>
      <c r="E81" s="3919">
        <f>'10.Results'!E181</f>
        <v/>
      </c>
      <c r="F81" s="3919">
        <f>'10.Results'!F181</f>
        <v/>
      </c>
      <c r="G81" s="3920">
        <f>IF(AND(D81=0,E81=0),0,1)</f>
        <v/>
      </c>
      <c r="H81" s="3919">
        <f>'10.Results'!H181</f>
        <v/>
      </c>
      <c r="I81" s="3919">
        <f>'10.Results'!I181</f>
        <v/>
      </c>
      <c r="J81" s="3919">
        <f>'10.Results'!J181</f>
        <v/>
      </c>
      <c r="K81" s="3919">
        <f>'10.Results'!K181</f>
        <v/>
      </c>
      <c r="L81" s="3919">
        <f>'10.Results'!L181</f>
        <v/>
      </c>
      <c r="M81" s="1966" t="n"/>
      <c r="N81" s="3919">
        <f>'10.Results'!N181</f>
        <v/>
      </c>
      <c r="O81" s="3919">
        <f>'10.Results'!O181</f>
        <v/>
      </c>
      <c r="P81" s="3919">
        <f>'10.Results'!P181</f>
        <v/>
      </c>
    </row>
    <row r="82" ht="22.25" customFormat="1" customHeight="1" s="1771">
      <c r="B82" s="1966">
        <f>'10.Results'!B182</f>
        <v/>
      </c>
      <c r="C82" s="1966" t="n"/>
      <c r="D82" s="3919">
        <f>'10.Results'!D182</f>
        <v/>
      </c>
      <c r="E82" s="3919">
        <f>'10.Results'!E182</f>
        <v/>
      </c>
      <c r="F82" s="3919">
        <f>'10.Results'!F182</f>
        <v/>
      </c>
      <c r="G82" s="3920">
        <f>IF(AND(D82=0,E82=0),0,1)</f>
        <v/>
      </c>
      <c r="H82" s="3919">
        <f>'10.Results'!H182</f>
        <v/>
      </c>
      <c r="I82" s="3919">
        <f>'10.Results'!I182</f>
        <v/>
      </c>
      <c r="J82" s="3919">
        <f>'10.Results'!J182</f>
        <v/>
      </c>
      <c r="K82" s="3919">
        <f>'10.Results'!K182</f>
        <v/>
      </c>
      <c r="L82" s="3919">
        <f>'10.Results'!L182</f>
        <v/>
      </c>
      <c r="M82" s="1966" t="n"/>
      <c r="N82" s="3919">
        <f>'10.Results'!N182</f>
        <v/>
      </c>
      <c r="O82" s="3919">
        <f>'10.Results'!O182</f>
        <v/>
      </c>
      <c r="P82" s="3919">
        <f>'10.Results'!P182</f>
        <v/>
      </c>
    </row>
    <row r="83" ht="22.25" customFormat="1" customHeight="1" s="1771">
      <c r="B83" s="1966">
        <f>'10.Results'!B183</f>
        <v/>
      </c>
      <c r="C83" s="1966" t="n"/>
      <c r="D83" s="3919">
        <f>'10.Results'!D183</f>
        <v/>
      </c>
      <c r="E83" s="3919">
        <f>'10.Results'!E183</f>
        <v/>
      </c>
      <c r="F83" s="3919">
        <f>'10.Results'!F183</f>
        <v/>
      </c>
      <c r="G83" s="3920">
        <f>IF(AND(D83=0,E83=0),0,1)</f>
        <v/>
      </c>
      <c r="H83" s="3919">
        <f>'10.Results'!H183</f>
        <v/>
      </c>
      <c r="I83" s="3919">
        <f>'10.Results'!I183</f>
        <v/>
      </c>
      <c r="J83" s="3919">
        <f>'10.Results'!J183</f>
        <v/>
      </c>
      <c r="K83" s="3919">
        <f>'10.Results'!K183</f>
        <v/>
      </c>
      <c r="L83" s="3919">
        <f>'10.Results'!L183</f>
        <v/>
      </c>
      <c r="M83" s="1966" t="n"/>
      <c r="N83" s="3919">
        <f>'10.Results'!N183</f>
        <v/>
      </c>
      <c r="O83" s="3919">
        <f>'10.Results'!O183</f>
        <v/>
      </c>
      <c r="P83" s="3919">
        <f>'10.Results'!P183</f>
        <v/>
      </c>
    </row>
    <row r="84" ht="22.25" customFormat="1" customHeight="1" s="1771">
      <c r="B84" s="1966">
        <f>'10.Results'!B184</f>
        <v/>
      </c>
      <c r="C84" s="1966" t="n"/>
      <c r="D84" s="3919">
        <f>'10.Results'!D184</f>
        <v/>
      </c>
      <c r="E84" s="3919">
        <f>'10.Results'!E184</f>
        <v/>
      </c>
      <c r="F84" s="3919">
        <f>'10.Results'!F184</f>
        <v/>
      </c>
      <c r="G84" s="3920">
        <f>IF(AND(D84=0,E84=0),0,1)</f>
        <v/>
      </c>
      <c r="H84" s="3919">
        <f>'10.Results'!H184</f>
        <v/>
      </c>
      <c r="I84" s="3919">
        <f>'10.Results'!I184</f>
        <v/>
      </c>
      <c r="J84" s="3919">
        <f>'10.Results'!J184</f>
        <v/>
      </c>
      <c r="K84" s="3919">
        <f>'10.Results'!K184</f>
        <v/>
      </c>
      <c r="L84" s="3919">
        <f>'10.Results'!L184</f>
        <v/>
      </c>
      <c r="M84" s="1966" t="n"/>
      <c r="N84" s="3919">
        <f>'10.Results'!N184</f>
        <v/>
      </c>
      <c r="O84" s="3919">
        <f>'10.Results'!O184</f>
        <v/>
      </c>
      <c r="P84" s="3919">
        <f>'10.Results'!P184</f>
        <v/>
      </c>
    </row>
    <row r="85" ht="22.25" customFormat="1" customHeight="1" s="1771">
      <c r="B85" s="1966">
        <f>'10.Results'!B185</f>
        <v/>
      </c>
      <c r="C85" s="1966" t="n"/>
      <c r="D85" s="3919">
        <f>'10.Results'!D185</f>
        <v/>
      </c>
      <c r="E85" s="3919">
        <f>'10.Results'!E185</f>
        <v/>
      </c>
      <c r="F85" s="3919">
        <f>'10.Results'!F185</f>
        <v/>
      </c>
      <c r="G85" s="3920">
        <f>IF(AND(D85=0,E85=0),0,1)</f>
        <v/>
      </c>
      <c r="H85" s="3919" t="n"/>
      <c r="I85" s="3919">
        <f>'10.Results'!I185</f>
        <v/>
      </c>
      <c r="J85" s="3919">
        <f>'10.Results'!J185</f>
        <v/>
      </c>
      <c r="K85" s="3919">
        <f>'10.Results'!K185</f>
        <v/>
      </c>
      <c r="L85" s="3919">
        <f>'10.Results'!L185</f>
        <v/>
      </c>
      <c r="M85" s="1966" t="n"/>
      <c r="N85" s="3919">
        <f>'10.Results'!D85/time_tot</f>
        <v/>
      </c>
      <c r="O85" s="3919">
        <f>'10.Results'!E85/time_tot</f>
        <v/>
      </c>
      <c r="P85" s="3919">
        <f>'10.Results'!F85/time_tot</f>
        <v/>
      </c>
    </row>
    <row r="86" ht="22.25" customFormat="1" customHeight="1" s="1771">
      <c r="B86" s="1966" t="n"/>
      <c r="C86" s="1966" t="n"/>
      <c r="D86" s="1966" t="n"/>
      <c r="E86" s="1966" t="n"/>
      <c r="F86" s="1966" t="n"/>
      <c r="G86" s="3920" t="n"/>
      <c r="H86" s="4013" t="n"/>
      <c r="I86" s="4013" t="n"/>
      <c r="J86" s="4013" t="n"/>
      <c r="K86" s="4013" t="n"/>
      <c r="L86" s="4013" t="n"/>
      <c r="M86" s="1966" t="n"/>
      <c r="N86" s="1966" t="n"/>
      <c r="O86" s="1966" t="n"/>
      <c r="P86" s="1966" t="n"/>
    </row>
    <row r="87" ht="22.25" customFormat="1" customHeight="1" s="1771">
      <c r="B87" s="4014" t="inlineStr">
        <is>
          <t>Total emissions, tCO2-e</t>
        </is>
      </c>
      <c r="C87" s="4014" t="n"/>
      <c r="D87" s="4015">
        <f>'10.Results'!D187</f>
        <v/>
      </c>
      <c r="E87" s="4016">
        <f>'10.Results'!E187</f>
        <v/>
      </c>
      <c r="F87" s="4017">
        <f>'10.Results'!F187</f>
        <v/>
      </c>
      <c r="G87" s="3920" t="n"/>
      <c r="H87" s="4018">
        <f>SUM(H80:H85)</f>
        <v/>
      </c>
      <c r="I87" s="4018">
        <f>SUM(I80:I85)</f>
        <v/>
      </c>
      <c r="J87" s="4018">
        <f>SUM(J80:J85)</f>
        <v/>
      </c>
      <c r="K87" s="4018">
        <f>SUM(K80:K85)</f>
        <v/>
      </c>
      <c r="L87" s="4018">
        <f>SUM(L80:L85)</f>
        <v/>
      </c>
      <c r="M87" s="3924" t="n"/>
      <c r="N87" s="4018">
        <f>SUM(N80:N85)</f>
        <v/>
      </c>
      <c r="O87" s="4018">
        <f>SUM(O80:O85)</f>
        <v/>
      </c>
      <c r="P87" s="4018">
        <f>SUM(P80:P85)</f>
        <v/>
      </c>
    </row>
    <row r="88" ht="22.25" customFormat="1" customHeight="1" s="1771">
      <c r="B88" s="3925" t="inlineStr">
        <is>
          <t>Total emissions, tCO2-e/ha</t>
        </is>
      </c>
      <c r="C88" s="3926" t="n"/>
      <c r="D88" s="4019">
        <f>'10.Results'!D188</f>
        <v/>
      </c>
      <c r="E88" s="4020">
        <f>'10.Results'!E188</f>
        <v/>
      </c>
      <c r="F88" s="4021">
        <f>'10.Results'!F188</f>
        <v/>
      </c>
      <c r="G88" s="3920" t="n"/>
      <c r="H88" s="4833">
        <f>'10.Results'!H188</f>
        <v/>
      </c>
      <c r="I88" s="4833">
        <f>'10.Results'!I188</f>
        <v/>
      </c>
      <c r="J88" s="4833">
        <f>'10.Results'!J188</f>
        <v/>
      </c>
      <c r="K88" s="4833">
        <f>'10.Results'!K188</f>
        <v/>
      </c>
      <c r="L88" s="4833">
        <f>'10.Results'!L188</f>
        <v/>
      </c>
      <c r="M88" s="3921" t="n"/>
      <c r="N88" s="4834" t="n"/>
      <c r="O88" s="4834" t="n"/>
      <c r="P88" s="4834" t="n"/>
    </row>
    <row r="89" ht="22.25" customFormat="1" customHeight="1" s="1771">
      <c r="B89" s="3923" t="inlineStr">
        <is>
          <t>Total emissions, tCO2-e/ha/yr</t>
        </is>
      </c>
      <c r="C89" s="3923" t="n"/>
      <c r="D89" s="4019">
        <f>'10.Results'!D189</f>
        <v/>
      </c>
      <c r="E89" s="4020">
        <f>'10.Results'!E189</f>
        <v/>
      </c>
      <c r="F89" s="4021">
        <f>'10.Results'!F189</f>
        <v/>
      </c>
      <c r="G89" s="3920" t="n"/>
      <c r="H89" s="4833">
        <f>'10.Results'!H189</f>
        <v/>
      </c>
      <c r="I89" s="4833">
        <f>'10.Results'!I189</f>
        <v/>
      </c>
      <c r="J89" s="4833">
        <f>'10.Results'!J189</f>
        <v/>
      </c>
      <c r="K89" s="4833">
        <f>'10.Results'!K189</f>
        <v/>
      </c>
      <c r="L89" s="4833">
        <f>'10.Results'!L189</f>
        <v/>
      </c>
      <c r="M89" s="3921" t="n"/>
      <c r="N89" s="4834">
        <f>N87/BALANCE!$S$6</f>
        <v/>
      </c>
      <c r="O89" s="4834">
        <f>O87/BALANCE!$S$6</f>
        <v/>
      </c>
      <c r="P89" s="4834">
        <f>P87/BALANCE!$S$6</f>
        <v/>
      </c>
    </row>
    <row r="90">
      <c r="H90" s="3518">
        <f>IF(H87&gt;0,H87,"")</f>
        <v/>
      </c>
      <c r="I90" s="3518">
        <f>IF(I87&gt;0,I87,"")</f>
        <v/>
      </c>
      <c r="J90" s="3518">
        <f>IF(J87&gt;0,J87,"")</f>
        <v/>
      </c>
      <c r="K90" s="3518">
        <f>IF(K87&gt;0,K87,"")</f>
        <v/>
      </c>
      <c r="L90" s="3518">
        <f>IF(L87&gt;0,L87,"")</f>
        <v/>
      </c>
    </row>
    <row r="91">
      <c r="H91" s="682">
        <f>IF(H87&gt;0,-1.5,1.5)</f>
        <v/>
      </c>
      <c r="I91" s="682">
        <f>IF(I87&gt;0,-1.5,1.5)</f>
        <v/>
      </c>
      <c r="J91" s="682">
        <f>IF(J87&gt;0,-1.5,1.5)</f>
        <v/>
      </c>
      <c r="K91" s="682">
        <f>IF(K87&gt;0,-1.5,1.5)</f>
        <v/>
      </c>
      <c r="L91" s="682">
        <f>IF(L87&gt;0,-1.5,1.5)</f>
        <v/>
      </c>
    </row>
    <row r="94" ht="35.75" customHeight="1">
      <c r="B94" s="4022" t="n"/>
      <c r="C94" s="4832" t="n"/>
      <c r="D94" s="4022" t="inlineStr">
        <is>
          <t>WITHOUT</t>
        </is>
      </c>
      <c r="E94" s="4022" t="inlineStr">
        <is>
          <t>WITH</t>
        </is>
      </c>
      <c r="F94" s="4022" t="inlineStr">
        <is>
          <t>BALANCE</t>
        </is>
      </c>
    </row>
    <row r="95">
      <c r="B95" s="284" t="inlineStr">
        <is>
          <t>Drainage</t>
        </is>
      </c>
      <c r="D95" s="3518">
        <f>'Inl. wetlands'!BL36+'Inl. wetlands'!BL37+'Inl. wetlands'!BL38+SUM('Inl. wetlands'!BL135:BL137)+SUM('Inl. wetlands'!BL225:BL227)+SUM('Inl. wetlands'!BL340:BL342)+SUM('Inl. wetlands'!BL416:BL418)+SUM('Inl. wetlands'!BL474:BL476)</f>
        <v/>
      </c>
      <c r="E95" s="3518">
        <f>'Inl. wetlands'!BM36+'Inl. wetlands'!BM37+'Inl. wetlands'!BM38+SUM('Inl. wetlands'!BM135:BM137)+SUM('Inl. wetlands'!BM225:BM227)+SUM('Inl. wetlands'!BM340:BM342)+SUM('Inl. wetlands'!BM416:BM418)+SUM('Inl. wetlands'!BM474:BM476)</f>
        <v/>
      </c>
      <c r="F95" s="3518">
        <f>E95-D95</f>
        <v/>
      </c>
    </row>
    <row r="96">
      <c r="B96" s="284" t="inlineStr">
        <is>
          <t>Rewetting</t>
        </is>
      </c>
      <c r="D96" s="3518">
        <f>SUM('Inl. wetlands'!BL39:BL41,'Inl. wetlands'!BL138:BL140,'Inl. wetlands'!BL228:BL230,'Inl. wetlands'!BL343:BL345,'Inl. wetlands'!BL419:BL421,'Inl. wetlands'!BL477:BL479)</f>
        <v/>
      </c>
      <c r="E96" s="3518">
        <f>SUM('Inl. wetlands'!BM39:BM41,'Inl. wetlands'!BM138:BM140,'Inl. wetlands'!BM228:BM230,'Inl. wetlands'!BM343:BM345,'Inl. wetlands'!BM419:BM421,'Inl. wetlands'!BM477:BM479)</f>
        <v/>
      </c>
      <c r="F96" s="3518">
        <f>E96-D96</f>
        <v/>
      </c>
    </row>
    <row r="97">
      <c r="B97" s="284" t="inlineStr">
        <is>
          <t>Fire</t>
        </is>
      </c>
      <c r="D97" s="3518">
        <f>SUM('Inl. wetlands'!BL42:BL44,'Inl. wetlands'!BL141:BL143,'Inl. wetlands'!BL231:BL233,'Inl. wetlands'!BL346:BL348,'Inl. wetlands'!BL422:BL424,'Inl. wetlands'!BL480:BL482)</f>
        <v/>
      </c>
      <c r="E97" s="3518">
        <f>SUM('Inl. wetlands'!BM42:BM44,'Inl. wetlands'!BM141:BM143,'Inl. wetlands'!BM231:BM233,'Inl. wetlands'!BM346:BM348,'Inl. wetlands'!BM422:BM424,'Inl. wetlands'!BM480:BM482)</f>
        <v/>
      </c>
      <c r="F97" s="3518">
        <f>E97-D97</f>
        <v/>
      </c>
    </row>
    <row r="98">
      <c r="B98" s="284" t="inlineStr">
        <is>
          <t>Biomass management</t>
        </is>
      </c>
      <c r="D98" s="3518">
        <f>SUM('Inl. wetlands'!BL35,'Inl. wetlands'!BL134,'Inl. wetlands'!BL224,'Inl. wetlands'!BL339,'Inl. wetlands'!BL415,'Inl. wetlands'!BL473)</f>
        <v/>
      </c>
      <c r="E98" s="3518">
        <f>SUM('Inl. wetlands'!BM35,'Inl. wetlands'!BM134,'Inl. wetlands'!BM224,'Inl. wetlands'!BM339,'Inl. wetlands'!BM415,'Inl. wetlands'!BM473)</f>
        <v/>
      </c>
      <c r="F98" s="3518">
        <f>E98-D98</f>
        <v/>
      </c>
    </row>
    <row r="100">
      <c r="D100" s="3518">
        <f>SUM(D95:D98)</f>
        <v/>
      </c>
      <c r="E100" s="3518">
        <f>SUM(E95:E98)</f>
        <v/>
      </c>
      <c r="F100" s="3518">
        <f>SUM(F95:F98)</f>
        <v/>
      </c>
    </row>
    <row r="101">
      <c r="D101" s="3518">
        <f>IF(D100&gt;0,D100,"")</f>
        <v/>
      </c>
      <c r="E101" s="3518">
        <f>IF(E100&gt;0,E100,"")</f>
        <v/>
      </c>
      <c r="F101" s="3518">
        <f>IF(F100&gt;0,F100,"")</f>
        <v/>
      </c>
    </row>
    <row r="102">
      <c r="D102" s="682">
        <f>IF(D100&gt;0,-1.5,1.5)</f>
        <v/>
      </c>
      <c r="E102" s="682">
        <f>IF(E100&gt;0,-1.5,1.5)</f>
        <v/>
      </c>
      <c r="F102" s="682">
        <f>IF(F100&gt;0,-1.5,1.5)</f>
        <v/>
      </c>
    </row>
    <row r="104" ht="32" customHeight="1">
      <c r="B104" s="3582" t="inlineStr">
        <is>
          <t>WITHOUT</t>
        </is>
      </c>
      <c r="D104" s="3579" t="inlineStr">
        <is>
          <t>Gross fluxes</t>
        </is>
      </c>
      <c r="E104" s="3579" t="inlineStr">
        <is>
          <t>positive fluxes</t>
        </is>
      </c>
      <c r="F104" s="3579" t="inlineStr">
        <is>
          <t>Label</t>
        </is>
      </c>
    </row>
    <row r="105">
      <c r="B105" s="284" t="inlineStr">
        <is>
          <t>Drainage</t>
        </is>
      </c>
      <c r="D105" s="3518">
        <f>D95</f>
        <v/>
      </c>
      <c r="E105" s="3518">
        <f>IF(D105&gt;0,D105,0)</f>
        <v/>
      </c>
      <c r="F105" s="682">
        <f>IF(D105&gt;0,-1,1)</f>
        <v/>
      </c>
    </row>
    <row r="106">
      <c r="B106" s="284" t="inlineStr">
        <is>
          <t>Rewetting</t>
        </is>
      </c>
      <c r="D106" s="3518">
        <f>D96</f>
        <v/>
      </c>
      <c r="E106" s="3518">
        <f>IF(D106&gt;0,D106,0)</f>
        <v/>
      </c>
      <c r="F106" s="682">
        <f>IF(D106&gt;0,-1,1)</f>
        <v/>
      </c>
    </row>
    <row r="107">
      <c r="B107" s="284" t="inlineStr">
        <is>
          <t>Fire</t>
        </is>
      </c>
      <c r="D107" s="3518">
        <f>D97</f>
        <v/>
      </c>
      <c r="E107" s="3518">
        <f>IF(D107&gt;0,D107,0)</f>
        <v/>
      </c>
      <c r="F107" s="682">
        <f>IF(D107&gt;0,-1,1)</f>
        <v/>
      </c>
    </row>
    <row r="108">
      <c r="B108" s="284" t="inlineStr">
        <is>
          <t>Biomass management</t>
        </is>
      </c>
      <c r="D108" s="3518">
        <f>D98</f>
        <v/>
      </c>
      <c r="E108" s="3518">
        <f>IF(D108&gt;0,D108,0)</f>
        <v/>
      </c>
      <c r="F108" s="682">
        <f>IF(D108&gt;0,-1,1)</f>
        <v/>
      </c>
    </row>
    <row r="111" ht="32" customHeight="1">
      <c r="B111" s="3582" t="inlineStr">
        <is>
          <t>WITH</t>
        </is>
      </c>
      <c r="D111" s="3579" t="inlineStr">
        <is>
          <t>Gross fluxes</t>
        </is>
      </c>
      <c r="E111" s="3579" t="inlineStr">
        <is>
          <t>positive fluxes</t>
        </is>
      </c>
      <c r="F111" s="3579" t="inlineStr">
        <is>
          <t>Label</t>
        </is>
      </c>
    </row>
    <row r="112">
      <c r="B112" s="284" t="inlineStr">
        <is>
          <t>Drainage</t>
        </is>
      </c>
      <c r="D112" s="3518">
        <f>E95</f>
        <v/>
      </c>
      <c r="E112" s="3518">
        <f>IF(D112&gt;0,D112,0)</f>
        <v/>
      </c>
      <c r="F112" s="682">
        <f>IF(D112&gt;0,-1,1)</f>
        <v/>
      </c>
    </row>
    <row r="113">
      <c r="B113" s="284" t="inlineStr">
        <is>
          <t>Rewetting</t>
        </is>
      </c>
      <c r="D113" s="3518">
        <f>E96</f>
        <v/>
      </c>
      <c r="E113" s="3518">
        <f>IF(D113&gt;0,D113,0)</f>
        <v/>
      </c>
      <c r="F113" s="682">
        <f>IF(D113&gt;0,-1,1)</f>
        <v/>
      </c>
    </row>
    <row r="114">
      <c r="B114" s="284" t="inlineStr">
        <is>
          <t>Fire</t>
        </is>
      </c>
      <c r="D114" s="3518">
        <f>E97</f>
        <v/>
      </c>
      <c r="E114" s="3518">
        <f>IF(D114&gt;0,D114,0)</f>
        <v/>
      </c>
      <c r="F114" s="682">
        <f>IF(D114&gt;0,-1,1)</f>
        <v/>
      </c>
    </row>
    <row r="115">
      <c r="B115" s="284" t="inlineStr">
        <is>
          <t>Biomass management</t>
        </is>
      </c>
      <c r="D115" s="3518">
        <f>E98</f>
        <v/>
      </c>
      <c r="E115" s="3518">
        <f>IF(D115&gt;0,D115,0)</f>
        <v/>
      </c>
      <c r="F115" s="682">
        <f>IF(D115&gt;0,-1,1)</f>
        <v/>
      </c>
    </row>
    <row r="118" ht="16" customHeight="1">
      <c r="C118" s="3579" t="inlineStr">
        <is>
          <t>Start</t>
        </is>
      </c>
      <c r="D118" s="3579" t="inlineStr">
        <is>
          <t>Without</t>
        </is>
      </c>
      <c r="E118" s="3579" t="inlineStr">
        <is>
          <t>With</t>
        </is>
      </c>
    </row>
    <row r="119">
      <c r="B119" s="284" t="inlineStr">
        <is>
          <t>Drained areas</t>
        </is>
      </c>
      <c r="C119" s="682">
        <f>'Inl. wetlands'!F84+'Inl. wetlands'!F159+'Inl. wetlands'!F288+'Inl. wetlands'!F380+'Inl. wetlands'!F446+'Inl. wetlands'!F476</f>
        <v/>
      </c>
      <c r="D119" s="682">
        <f>'Inl. wetlands'!G84+'Inl. wetlands'!G159+'Inl. wetlands'!G288+'Inl. wetlands'!G380+'Inl. wetlands'!G446+'Inl. wetlands'!G476+E120</f>
        <v/>
      </c>
      <c r="E119" s="682">
        <f>'Inl. wetlands'!H84+'Inl. wetlands'!H159+'Inl. wetlands'!H288+'Inl. wetlands'!H380+'Inl. wetlands'!H446+'Inl. wetlands'!H476+D120</f>
        <v/>
      </c>
    </row>
    <row r="120">
      <c r="B120" s="284" t="inlineStr">
        <is>
          <t>Rewetted areas</t>
        </is>
      </c>
      <c r="C120" s="682">
        <f>'Inl. wetlands'!F110+'Inl. wetlands'!F213+'Inl. wetlands'!F315+'Inl. wetlands'!F396+'Inl. wetlands'!F461</f>
        <v/>
      </c>
      <c r="D120" s="3518">
        <f>'Inl. wetlands'!G110+'Inl. wetlands'!G213+'Inl. wetlands'!G315+'Inl. wetlands'!G396+'Inl. wetlands'!G461</f>
        <v/>
      </c>
      <c r="E120" s="682">
        <f>'Inl. wetlands'!H110+'Inl. wetlands'!H213+'Inl. wetlands'!H315+'Inl. wetlands'!H396+'Inl. wetlands'!H461</f>
        <v/>
      </c>
    </row>
  </sheetData>
  <mergeCells count="3">
    <mergeCell ref="B79:C79"/>
    <mergeCell ref="B74:P74"/>
    <mergeCell ref="B94:C94"/>
  </mergeCells>
  <hyperlinks>
    <hyperlink ref="G6" display="CO@ biomass" r:id="rId1"/>
  </hyperlinks>
  <pageMargins left="0.7" right="0.7" top="0.75" bottom="0.75" header="0.3" footer="0.3"/>
  <pageSetup orientation="portrait"/>
</worksheet>
</file>

<file path=xl/worksheets/sheet35.xml><?xml version="1.0" encoding="utf-8"?>
<worksheet xmlns="http://schemas.openxmlformats.org/spreadsheetml/2006/main">
  <sheetPr codeName="Sheet39">
    <outlinePr summaryBelow="1" summaryRight="1"/>
    <pageSetUpPr/>
  </sheetPr>
  <dimension ref="A1:P268"/>
  <sheetViews>
    <sheetView topLeftCell="A74" workbookViewId="0">
      <selection activeCell="A117" sqref="A117:XFD117"/>
    </sheetView>
  </sheetViews>
  <sheetFormatPr baseColWidth="10" defaultColWidth="9.33203125" defaultRowHeight="15"/>
  <cols>
    <col width="32.6640625" customWidth="1" min="1" max="1"/>
    <col width="17.6640625" customWidth="1" min="2" max="2"/>
    <col width="9.33203125" customWidth="1" style="4835" min="3" max="3"/>
    <col width="12.5" bestFit="1" customWidth="1" min="5" max="5"/>
    <col width="12.5" customWidth="1" min="6" max="9"/>
    <col width="27.6640625" customWidth="1" min="10" max="10"/>
    <col width="30.5" customWidth="1" min="11" max="11"/>
    <col width="9.33203125" customWidth="1" min="19" max="20"/>
  </cols>
  <sheetData>
    <row r="1">
      <c r="J1" t="inlineStr">
        <is>
          <t>Please select</t>
        </is>
      </c>
    </row>
    <row r="2" ht="36" customHeight="1">
      <c r="A2" t="inlineStr">
        <is>
          <t>UN country list</t>
        </is>
      </c>
      <c r="B2" t="inlineStr">
        <is>
          <t>UN region</t>
        </is>
      </c>
      <c r="C2" s="4835" t="inlineStr">
        <is>
          <t>EF GRID</t>
        </is>
      </c>
      <c r="D2" t="inlineStr">
        <is>
          <t>Year</t>
        </is>
      </c>
      <c r="E2" t="inlineStr">
        <is>
          <t>Final EF GRID</t>
        </is>
      </c>
      <c r="F2" s="4608" t="n"/>
      <c r="J2" t="inlineStr">
        <is>
          <t>UNFCCC -  Operating Margin</t>
        </is>
      </c>
      <c r="N2" s="4378" t="n"/>
      <c r="O2" s="4378" t="n"/>
      <c r="P2" s="4378" t="n"/>
    </row>
    <row r="3">
      <c r="C3" s="4835" t="inlineStr">
        <is>
          <t>tCO2-e/MWh</t>
        </is>
      </c>
      <c r="E3" s="4835" t="inlineStr">
        <is>
          <t>tCO2-e/MWh</t>
        </is>
      </c>
      <c r="F3" s="4835" t="inlineStr">
        <is>
          <t>tCO2-e/MWh</t>
        </is>
      </c>
      <c r="G3" s="4835" t="inlineStr">
        <is>
          <t>tCO2-e/MWh</t>
        </is>
      </c>
      <c r="H3" s="4835" t="n"/>
      <c r="I3" s="4835" t="n"/>
      <c r="J3" t="inlineStr">
        <is>
          <t>UNFCCC - Combined Margin</t>
        </is>
      </c>
      <c r="N3" s="4277" t="n"/>
      <c r="O3" s="4277" t="n"/>
      <c r="P3" s="4277" t="n"/>
    </row>
    <row r="4" ht="30.5" customHeight="1">
      <c r="E4" s="4835" t="n"/>
      <c r="F4" s="4836" t="inlineStr">
        <is>
          <t>Operating Margin</t>
        </is>
      </c>
      <c r="G4" s="4836" t="inlineStr">
        <is>
          <t>Combined margin</t>
        </is>
      </c>
      <c r="H4" s="4835" t="inlineStr">
        <is>
          <t>FOR FORMULAS</t>
        </is>
      </c>
      <c r="I4" s="4835" t="inlineStr">
        <is>
          <t>FOR FORMULAS</t>
        </is>
      </c>
      <c r="N4" s="4277" t="n"/>
      <c r="O4" s="4277" t="n"/>
      <c r="P4" s="4277" t="n"/>
    </row>
    <row r="5" ht="15" customHeight="1">
      <c r="A5" s="4111" t="inlineStr">
        <is>
          <t>Afghanistan</t>
        </is>
      </c>
      <c r="B5">
        <f>INDEX(list_region_country!$G$3:$V$3,,SUMPRODUCT(--(list_region_country!$G$3:$V$56=Elec!A5)*(COLUMN(list_region_country!$G$3:$V$56)-COLUMN(list_region_country!$F$3))))</f>
        <v/>
      </c>
      <c r="C5" s="4837" t="inlineStr"/>
      <c r="D5" s="4608" t="inlineStr"/>
      <c r="E5" s="4837">
        <f>IF(C5="",AVERAGEIF($B$5:$C$252,B5,$C$5:$C$252),C5)</f>
        <v/>
      </c>
      <c r="F5" s="4837">
        <f>IFERROR(IF(VLOOKUP(A5, $K$8:$M$241, 2, FALSE)/1000 = 0, 0, VLOOKUP(A5, $K$8:$M$241, 2, FALSE)/1000 ), 0)</f>
        <v/>
      </c>
      <c r="G5" s="4837">
        <f>IFERROR(IF(VLOOKUP(A5, $K$8:$M$241, 3, FALSE)/1000 = 0, AVERAGEIF($B$5:$B$252,B5,$I$5:$I$252), VLOOKUP(A5, $K$8:$M$241, 3, FALSE)/1000 ), AVERAGEIF($B$5:$B$252,B5,$I$5:$I$252))</f>
        <v/>
      </c>
      <c r="H5" s="4837" t="n">
        <v>0.413893333333333</v>
      </c>
      <c r="I5" s="4837" t="n">
        <v>0.1932476705354675</v>
      </c>
      <c r="N5" s="4112" t="n"/>
      <c r="O5" s="4112" t="n"/>
      <c r="P5" s="4112" t="n"/>
    </row>
    <row r="6">
      <c r="A6" s="4110" t="inlineStr">
        <is>
          <t>Åland Islands</t>
        </is>
      </c>
      <c r="B6">
        <f>INDEX(list_region_country!$G$3:$V$3,,SUMPRODUCT(--(list_region_country!$G$3:$V$56=Elec!A6)*(COLUMN(list_region_country!$G$3:$V$56)-COLUMN(list_region_country!$F$3))))</f>
        <v/>
      </c>
      <c r="C6" s="4837" t="inlineStr"/>
      <c r="D6" s="4608" t="inlineStr"/>
      <c r="E6" s="4837">
        <f>IF(C6="",AVERAGEIF($B$5:$C$252,B6,$C$5:$C$252),C6)</f>
        <v/>
      </c>
      <c r="F6" s="4837">
        <f>IFERROR(IF(VLOOKUP(A6, $K$8:$M$241, 2, FALSE)/1000 = 0, 0, VLOOKUP(A6, $K$8:$M$241, 2, FALSE)/1000 ), 0)</f>
        <v/>
      </c>
      <c r="G6" s="4837">
        <f>IFERROR(IF(VLOOKUP(A6, $K$8:$M$241, 3, FALSE)/1000 = 0, AVERAGEIF($B$5:$B$252,B6,$I$5:$I$252), VLOOKUP(A6, $K$8:$M$241, 3, FALSE)/1000 ), AVERAGEIF($B$5:$B$252,B6,$I$5:$I$252))</f>
        <v/>
      </c>
      <c r="H6" s="4837" t="inlineStr">
        <is>
          <t>N/A</t>
        </is>
      </c>
      <c r="I6" s="4837" t="inlineStr">
        <is>
          <t>N/A</t>
        </is>
      </c>
      <c r="J6" s="21" t="inlineStr">
        <is>
          <t>COLUMNS B-C-E</t>
        </is>
      </c>
      <c r="K6" s="21" t="inlineStr">
        <is>
          <t>COLUMNS F-G</t>
        </is>
      </c>
    </row>
    <row r="7">
      <c r="A7" s="4110" t="inlineStr">
        <is>
          <t>Albania</t>
        </is>
      </c>
      <c r="B7">
        <f>INDEX(list_region_country!$G$3:$V$3,,SUMPRODUCT(--(list_region_country!$G$3:$V$56=Elec!A7)*(COLUMN(list_region_country!$G$3:$V$56)-COLUMN(list_region_country!$F$3))))</f>
        <v/>
      </c>
      <c r="C7" s="4837" t="n">
        <v>0.393</v>
      </c>
      <c r="D7" s="4608" t="n">
        <v>2019</v>
      </c>
      <c r="E7" s="4837">
        <f>IF(C7="",AVERAGEIF($B$5:$C$252,B7,$C$5:$C$252),C7)</f>
        <v/>
      </c>
      <c r="F7" s="4837">
        <f>IFERROR(IF(VLOOKUP(A7, $K$8:$M$241, 2, FALSE)/1000 = 0, 0, VLOOKUP(A7, $K$8:$M$241, 2, FALSE)/1000 ), 0)</f>
        <v/>
      </c>
      <c r="G7" s="4837">
        <f>IFERROR(IF(VLOOKUP(A7, $K$8:$M$241, 3, FALSE)/1000 = 0, AVERAGEIF($B$5:$B$252,B7,$I$5:$I$252), VLOOKUP(A7, $K$8:$M$241, 3, FALSE)/1000 ), AVERAGEIF($B$5:$B$252,B7,$I$5:$I$252))</f>
        <v/>
      </c>
      <c r="H7" s="4837" t="inlineStr">
        <is>
          <t>N/A</t>
        </is>
      </c>
      <c r="I7" s="4837" t="inlineStr">
        <is>
          <t>N/A</t>
        </is>
      </c>
      <c r="J7" t="inlineStr">
        <is>
          <t>Update Sept 2019
Grid Emission Factors - IGES, version 10.6: https://iges.or.jp/en/pub/list-grid-emission-factor/en</t>
        </is>
      </c>
      <c r="K7" t="inlineStr">
        <is>
          <t>TFI IPCC database: https://unfccc.int/climate-action/sectoral-engagement/ifis-harmonization-of-standards-for-ghg-accounting/ifi-twg-list-of-methodologies - LAST UPDATE 12/2021</t>
        </is>
      </c>
    </row>
    <row r="8">
      <c r="A8" s="4111" t="inlineStr">
        <is>
          <t>Algeria</t>
        </is>
      </c>
      <c r="B8">
        <f>INDEX(list_region_country!$G$3:$V$3,,SUMPRODUCT(--(list_region_country!$G$3:$V$56=Elec!A8)*(COLUMN(list_region_country!$G$3:$V$56)-COLUMN(list_region_country!$F$3))))</f>
        <v/>
      </c>
      <c r="C8" s="4837" t="n">
        <v>0.7524577658617132</v>
      </c>
      <c r="D8" s="4608" t="n">
        <v>2007</v>
      </c>
      <c r="E8" s="4837">
        <f>IF(C8="",AVERAGEIF($B$5:$C$252,B8,$C$5:$C$252),C8)</f>
        <v/>
      </c>
      <c r="F8" s="4837">
        <f>IFERROR(IF(VLOOKUP(A8, $K$8:$M$241, 2, FALSE)/1000 = 0, 0, VLOOKUP(A8, $K$8:$M$241, 2, FALSE)/1000 ), 0)</f>
        <v/>
      </c>
      <c r="G8" s="4837">
        <f>IFERROR(IF(VLOOKUP(A8, $K$8:$M$241, 3, FALSE)/1000 = 0, AVERAGEIF($B$5:$B$252,B8,$I$5:$I$252), VLOOKUP(A8, $K$8:$M$241, 3, FALSE)/1000 ), AVERAGEIF($B$5:$B$252,B8,$I$5:$I$252))</f>
        <v/>
      </c>
      <c r="H8" s="4837" t="n">
        <v>0.5284092641311807</v>
      </c>
      <c r="I8" s="4837" t="n">
        <v>0.3973599659999851</v>
      </c>
      <c r="J8" s="4278" t="inlineStr">
        <is>
          <t>From EIA-1605, 2007, Appendix F. Electricity Emission Factors.  These factors correspond to the average for the years 1999-2002
http://cloud.agroclimate.org/tools/deprecated/carbonFootprint/references/Electricity_emission_factor.pdf</t>
        </is>
      </c>
      <c r="K8" s="4379" t="inlineStr">
        <is>
          <t>Afghanistan</t>
        </is>
      </c>
      <c r="L8" s="4406" t="n">
        <v>413.8933333333334</v>
      </c>
      <c r="M8" s="4406" t="n">
        <v>193.2476705354675</v>
      </c>
      <c r="O8">
        <f>VLOOKUP(A5, $K$8:$M$241, 2, FALSE)</f>
        <v/>
      </c>
    </row>
    <row r="9">
      <c r="A9" s="4110" t="inlineStr">
        <is>
          <t>American Samoa</t>
        </is>
      </c>
      <c r="B9">
        <f>INDEX(list_region_country!$G$3:$V$3,,SUMPRODUCT(--(list_region_country!$G$3:$V$56=Elec!A9)*(COLUMN(list_region_country!$G$3:$V$56)-COLUMN(list_region_country!$F$3))))</f>
        <v/>
      </c>
      <c r="C9" s="4837" t="inlineStr"/>
      <c r="D9" s="4608" t="inlineStr"/>
      <c r="E9" s="4837">
        <f>IF(C9="",AVERAGEIF($B$5:$C$252,B9,$C$5:$C$252),C9)</f>
        <v/>
      </c>
      <c r="F9" s="4837">
        <f>IFERROR(IF(VLOOKUP(A9, $K$8:$M$241, 2, FALSE)/1000 = 0, 0, VLOOKUP(A9, $K$8:$M$241, 2, FALSE)/1000 ), 0)</f>
        <v/>
      </c>
      <c r="G9" s="4837">
        <f>IFERROR(IF(VLOOKUP(A9, $K$8:$M$241, 3, FALSE)/1000 = 0, AVERAGEIF($B$5:$B$252,B9,$I$5:$I$252), VLOOKUP(A9, $K$8:$M$241, 3, FALSE)/1000 ), AVERAGEIF($B$5:$B$252,B9,$I$5:$I$252))</f>
        <v/>
      </c>
      <c r="H9" s="4837" t="n">
        <v>0.7525333333333333</v>
      </c>
      <c r="I9" s="4837" t="n">
        <v>0.5158517860623051</v>
      </c>
      <c r="J9" s="4315" t="inlineStr">
        <is>
          <t>Note: if no country data EX-ACT uses the regional average</t>
        </is>
      </c>
      <c r="K9" s="4379" t="inlineStr">
        <is>
          <t>Albania</t>
        </is>
      </c>
      <c r="L9" s="4406" t="n">
        <v>0</v>
      </c>
      <c r="M9" s="4406" t="n">
        <v>0</v>
      </c>
      <c r="O9">
        <f>VLOOKUP(A6, $K$8:$M$241, 2, FALSE)</f>
        <v/>
      </c>
    </row>
    <row r="10">
      <c r="A10" s="4110" t="inlineStr">
        <is>
          <t>Andorra</t>
        </is>
      </c>
      <c r="B10">
        <f>INDEX(list_region_country!$G$3:$V$3,,SUMPRODUCT(--(list_region_country!$G$3:$V$56=Elec!A10)*(COLUMN(list_region_country!$G$3:$V$56)-COLUMN(list_region_country!$F$3))))</f>
        <v/>
      </c>
      <c r="C10" s="4837" t="inlineStr"/>
      <c r="D10" s="4608" t="inlineStr"/>
      <c r="E10" s="4837">
        <f>IF(C10="",AVERAGEIF($B$5:$C$252,B10,$C$5:$C$252),C10)</f>
        <v/>
      </c>
      <c r="F10" s="4837">
        <f>IFERROR(IF(VLOOKUP(A10, $K$8:$M$241, 2, FALSE)/1000 = 0, 0, VLOOKUP(A10, $K$8:$M$241, 2, FALSE)/1000 ), 0)</f>
        <v/>
      </c>
      <c r="G10" s="4837">
        <f>IFERROR(IF(VLOOKUP(A10, $K$8:$M$241, 3, FALSE)/1000 = 0, AVERAGEIF($B$5:$B$252,B10,$I$5:$I$252), VLOOKUP(A10, $K$8:$M$241, 3, FALSE)/1000 ), AVERAGEIF($B$5:$B$252,B10,$I$5:$I$252))</f>
        <v/>
      </c>
      <c r="H10" s="4837" t="n">
        <v>0.1881333333333333</v>
      </c>
      <c r="I10" s="4837" t="n">
        <v>0.0696738495735174</v>
      </c>
      <c r="K10" s="4379" t="inlineStr">
        <is>
          <t>Algeria</t>
        </is>
      </c>
      <c r="L10" s="4406" t="n">
        <v>528.4092641311807</v>
      </c>
      <c r="M10" s="4406" t="n">
        <v>397.3599659999851</v>
      </c>
      <c r="O10">
        <f>VLOOKUP(A7, $K$8:$M$241, 2, FALSE)</f>
        <v/>
      </c>
    </row>
    <row r="11">
      <c r="A11" s="4110" t="inlineStr">
        <is>
          <t>Angola</t>
        </is>
      </c>
      <c r="B11">
        <f>INDEX(list_region_country!$G$3:$V$3,,SUMPRODUCT(--(list_region_country!$G$3:$V$56=Elec!A11)*(COLUMN(list_region_country!$G$3:$V$56)-COLUMN(list_region_country!$F$3))))</f>
        <v/>
      </c>
      <c r="C11" s="4837" t="n">
        <v>0.841</v>
      </c>
      <c r="D11" s="4608" t="n">
        <v>2019</v>
      </c>
      <c r="E11" s="4837">
        <f>IF(C11="",AVERAGEIF($B$5:$C$252,B11,$C$5:$C$252),C11)</f>
        <v/>
      </c>
      <c r="F11" s="4837">
        <f>IFERROR(IF(VLOOKUP(A11, $K$8:$M$241, 2, FALSE)/1000 = 0, 0, VLOOKUP(A11, $K$8:$M$241, 2, FALSE)/1000 ), 0)</f>
        <v/>
      </c>
      <c r="G11" s="4837">
        <f>IFERROR(IF(VLOOKUP(A11, $K$8:$M$241, 3, FALSE)/1000 = 0, AVERAGEIF($B$5:$B$252,B11,$I$5:$I$252), VLOOKUP(A11, $K$8:$M$241, 3, FALSE)/1000 ), AVERAGEIF($B$5:$B$252,B11,$I$5:$I$252))</f>
        <v/>
      </c>
      <c r="H11" s="4837" t="n">
        <v>1.475722105263158</v>
      </c>
      <c r="I11" s="4837" t="n">
        <v>0.7476993002447749</v>
      </c>
      <c r="K11" s="4379" t="inlineStr">
        <is>
          <t>American Samoa</t>
        </is>
      </c>
      <c r="L11" s="4406" t="n">
        <v>752.5333333333333</v>
      </c>
      <c r="M11" s="4406" t="n">
        <v>515.8517860623051</v>
      </c>
      <c r="O11">
        <f>VLOOKUP(A8, $K$8:$M$241, 2, FALSE)</f>
        <v/>
      </c>
    </row>
    <row r="12">
      <c r="A12" s="4111" t="inlineStr">
        <is>
          <t>Anguilla</t>
        </is>
      </c>
      <c r="B12">
        <f>INDEX(list_region_country!$G$3:$V$3,,SUMPRODUCT(--(list_region_country!$G$3:$V$56=Elec!A12)*(COLUMN(list_region_country!$G$3:$V$56)-COLUMN(list_region_country!$F$3))))</f>
        <v/>
      </c>
      <c r="C12" s="4837" t="inlineStr"/>
      <c r="D12" s="4608" t="inlineStr"/>
      <c r="E12" s="4837">
        <f>IF(C12="",AVERAGEIF($B$5:$C$252,B12,$C$5:$C$252),C12)</f>
        <v/>
      </c>
      <c r="F12" s="4837">
        <f>IFERROR(IF(VLOOKUP(A12, $K$8:$M$241, 2, FALSE)/1000 = 0, 0, VLOOKUP(A12, $K$8:$M$241, 2, FALSE)/1000 ), 0)</f>
        <v/>
      </c>
      <c r="G12" s="4837">
        <f>IFERROR(IF(VLOOKUP(A12, $K$8:$M$241, 3, FALSE)/1000 = 0, AVERAGEIF($B$5:$B$252,B12,$I$5:$I$252), VLOOKUP(A12, $K$8:$M$241, 3, FALSE)/1000 ), AVERAGEIF($B$5:$B$252,B12,$I$5:$I$252))</f>
        <v/>
      </c>
      <c r="H12" s="4837" t="n">
        <v>0.7525333333333333</v>
      </c>
      <c r="I12" s="4837" t="n">
        <v>0.4715405515765649</v>
      </c>
      <c r="K12" s="4379" t="inlineStr">
        <is>
          <t>Andorra</t>
        </is>
      </c>
      <c r="L12" s="4406" t="n">
        <v>188.1333333333333</v>
      </c>
      <c r="M12" s="4406" t="n">
        <v>69.6738495735174</v>
      </c>
      <c r="O12">
        <f>VLOOKUP(A9, $K$8:$M$241, 2, FALSE)</f>
        <v/>
      </c>
    </row>
    <row r="13">
      <c r="A13" s="4111" t="inlineStr">
        <is>
          <t>Antigua and Barbuda</t>
        </is>
      </c>
      <c r="B13">
        <f>INDEX(list_region_country!$G$3:$V$3,,SUMPRODUCT(--(list_region_country!$G$3:$V$56=Elec!A13)*(COLUMN(list_region_country!$G$3:$V$56)-COLUMN(list_region_country!$F$3))))</f>
        <v/>
      </c>
      <c r="C13" s="4837" t="inlineStr"/>
      <c r="D13" s="4608" t="inlineStr"/>
      <c r="E13" s="4837">
        <f>IF(C13="",AVERAGEIF($B$5:$C$252,B13,$C$5:$C$252),C13)</f>
        <v/>
      </c>
      <c r="F13" s="4837">
        <f>IFERROR(IF(VLOOKUP(A13, $K$8:$M$241, 2, FALSE)/1000 = 0, 0, VLOOKUP(A13, $K$8:$M$241, 2, FALSE)/1000 ), 0)</f>
        <v/>
      </c>
      <c r="G13" s="4837">
        <f>IFERROR(IF(VLOOKUP(A13, $K$8:$M$241, 3, FALSE)/1000 = 0, AVERAGEIF($B$5:$B$252,B13,$I$5:$I$252), VLOOKUP(A13, $K$8:$M$241, 3, FALSE)/1000 ), AVERAGEIF($B$5:$B$252,B13,$I$5:$I$252))</f>
        <v/>
      </c>
      <c r="H13" s="4837" t="n">
        <v>0.7525333333333333</v>
      </c>
      <c r="I13" s="4837" t="n">
        <v>0.4893632694101364</v>
      </c>
      <c r="K13" s="4379" t="inlineStr">
        <is>
          <t>Angola</t>
        </is>
      </c>
      <c r="L13" s="4406" t="n">
        <v>1475.722105263158</v>
      </c>
      <c r="M13" s="4406" t="n">
        <v>747.6993002447749</v>
      </c>
      <c r="O13">
        <f>VLOOKUP(A10, $K$8:$M$241, 2, FALSE)</f>
        <v/>
      </c>
    </row>
    <row r="14">
      <c r="A14" s="4111" t="inlineStr">
        <is>
          <t>Argentina</t>
        </is>
      </c>
      <c r="B14">
        <f>INDEX(list_region_country!$G$3:$V$3,,SUMPRODUCT(--(list_region_country!$G$3:$V$56=Elec!A14)*(COLUMN(list_region_country!$G$3:$V$56)-COLUMN(list_region_country!$F$3))))</f>
        <v/>
      </c>
      <c r="C14" s="4837" t="n">
        <v>0.487</v>
      </c>
      <c r="D14" s="4608" t="n">
        <v>2019</v>
      </c>
      <c r="E14" s="4837">
        <f>IF(C14="",AVERAGEIF($B$5:$C$252,B14,$C$5:$C$252),C14)</f>
        <v/>
      </c>
      <c r="F14" s="4837">
        <f>IFERROR(IF(VLOOKUP(A14, $K$8:$M$241, 2, FALSE)/1000 = 0, 0, VLOOKUP(A14, $K$8:$M$241, 2, FALSE)/1000 ), 0)</f>
        <v/>
      </c>
      <c r="G14" s="4837">
        <f>IFERROR(IF(VLOOKUP(A14, $K$8:$M$241, 3, FALSE)/1000 = 0, AVERAGEIF($B$5:$B$252,B14,$I$5:$I$252), VLOOKUP(A14, $K$8:$M$241, 3, FALSE)/1000 ), AVERAGEIF($B$5:$B$252,B14,$I$5:$I$252))</f>
        <v/>
      </c>
      <c r="H14" s="4837" t="n">
        <v>0.4781309977385622</v>
      </c>
      <c r="I14" s="4837" t="n">
        <v>0.2881833604553886</v>
      </c>
      <c r="K14" s="4379" t="inlineStr">
        <is>
          <t>Anguilla</t>
        </is>
      </c>
      <c r="L14" s="4406" t="n">
        <v>752.5333333333333</v>
      </c>
      <c r="M14" s="4406" t="n">
        <v>471.5405515765649</v>
      </c>
      <c r="O14">
        <f>VLOOKUP(A11, $K$8:$M$241, 2, FALSE)</f>
        <v/>
      </c>
    </row>
    <row r="15">
      <c r="A15" s="4111" t="inlineStr">
        <is>
          <t>Armenia</t>
        </is>
      </c>
      <c r="B15">
        <f>INDEX(list_region_country!$G$3:$V$3,,SUMPRODUCT(--(list_region_country!$G$3:$V$56=Elec!A15)*(COLUMN(list_region_country!$G$3:$V$56)-COLUMN(list_region_country!$F$3))))</f>
        <v/>
      </c>
      <c r="C15" s="4837" t="n">
        <v>0.432</v>
      </c>
      <c r="D15" s="4608" t="n">
        <v>2019</v>
      </c>
      <c r="E15" s="4837">
        <f>IF(C15="",AVERAGEIF($B$5:$C$252,B15,$C$5:$C$252),C15)</f>
        <v/>
      </c>
      <c r="F15" s="4837">
        <f>IFERROR(IF(VLOOKUP(A15, $K$8:$M$241, 2, FALSE)/1000 = 0, 0, VLOOKUP(A15, $K$8:$M$241, 2, FALSE)/1000 ), 0)</f>
        <v/>
      </c>
      <c r="G15" s="4837">
        <f>IFERROR(IF(VLOOKUP(A15, $K$8:$M$241, 3, FALSE)/1000 = 0, AVERAGEIF($B$5:$B$252,B15,$I$5:$I$252), VLOOKUP(A15, $K$8:$M$241, 3, FALSE)/1000 ), AVERAGEIF($B$5:$B$252,B15,$I$5:$I$252))</f>
        <v/>
      </c>
      <c r="H15" s="4837" t="n">
        <v>0.3901588541666667</v>
      </c>
      <c r="I15" s="4837" t="n">
        <v>0.2045448374967287</v>
      </c>
      <c r="K15" s="4379" t="inlineStr">
        <is>
          <t>Antigua and Barbuda</t>
        </is>
      </c>
      <c r="L15" s="4406" t="n">
        <v>752.5333333333333</v>
      </c>
      <c r="M15" s="4406" t="n">
        <v>489.3632694101364</v>
      </c>
      <c r="O15">
        <f>VLOOKUP(A12, $K$8:$M$241, 2, FALSE)</f>
        <v/>
      </c>
    </row>
    <row r="16">
      <c r="A16" s="4111" t="inlineStr">
        <is>
          <t>Aruba</t>
        </is>
      </c>
      <c r="B16">
        <f>INDEX(list_region_country!$G$3:$V$3,,SUMPRODUCT(--(list_region_country!$G$3:$V$56=Elec!A16)*(COLUMN(list_region_country!$G$3:$V$56)-COLUMN(list_region_country!$F$3))))</f>
        <v/>
      </c>
      <c r="C16" s="4837" t="inlineStr"/>
      <c r="D16" s="4608" t="inlineStr"/>
      <c r="E16" s="4837">
        <f>IF(C16="",AVERAGEIF($B$5:$C$252,B16,$C$5:$C$252),C16)</f>
        <v/>
      </c>
      <c r="F16" s="4837">
        <f>IFERROR(IF(VLOOKUP(A16, $K$8:$M$241, 2, FALSE)/1000 = 0, 0, VLOOKUP(A16, $K$8:$M$241, 2, FALSE)/1000 ), 0)</f>
        <v/>
      </c>
      <c r="G16" s="4837">
        <f>IFERROR(IF(VLOOKUP(A16, $K$8:$M$241, 3, FALSE)/1000 = 0, AVERAGEIF($B$5:$B$252,B16,$I$5:$I$252), VLOOKUP(A16, $K$8:$M$241, 3, FALSE)/1000 ), AVERAGEIF($B$5:$B$252,B16,$I$5:$I$252))</f>
        <v/>
      </c>
      <c r="H16" s="4837" t="n">
        <v>0.7525333333333333</v>
      </c>
      <c r="I16" s="4837" t="n">
        <v>0.4211027916266279</v>
      </c>
      <c r="K16" s="4379" t="inlineStr">
        <is>
          <t>Argentina</t>
        </is>
      </c>
      <c r="L16" s="4406" t="n">
        <v>478.1309977385622</v>
      </c>
      <c r="M16" s="4406" t="n">
        <v>288.1833604553885</v>
      </c>
      <c r="O16">
        <f>VLOOKUP(A13, $K$8:$M$241, 2, FALSE)</f>
        <v/>
      </c>
    </row>
    <row r="17">
      <c r="A17" s="4110" t="inlineStr">
        <is>
          <t>Australia</t>
        </is>
      </c>
      <c r="B17">
        <f>INDEX(list_region_country!$G$3:$V$3,,SUMPRODUCT(--(list_region_country!$G$3:$V$56=Elec!A17)*(COLUMN(list_region_country!$G$3:$V$56)-COLUMN(list_region_country!$F$3))))</f>
        <v/>
      </c>
      <c r="C17" s="4837" t="n">
        <v>0.9243625890561949</v>
      </c>
      <c r="D17" s="4608" t="n">
        <v>2007</v>
      </c>
      <c r="E17" s="4837">
        <f>IF(C17="",AVERAGEIF($B$5:$C$252,B17,$C$5:$C$252),C17)</f>
        <v/>
      </c>
      <c r="F17" s="4837">
        <f>IFERROR(IF(VLOOKUP(A17, $K$8:$M$241, 2, FALSE)/1000 = 0, 0, VLOOKUP(A17, $K$8:$M$241, 2, FALSE)/1000 ), 0)</f>
        <v/>
      </c>
      <c r="G17" s="4837">
        <f>IFERROR(IF(VLOOKUP(A17, $K$8:$M$241, 3, FALSE)/1000 = 0, AVERAGEIF($B$5:$B$252,B17,$I$5:$I$252), VLOOKUP(A17, $K$8:$M$241, 3, FALSE)/1000 ), AVERAGEIF($B$5:$B$252,B17,$I$5:$I$252))</f>
        <v/>
      </c>
      <c r="H17" s="4837" t="n">
        <v>0.8078086371927314</v>
      </c>
      <c r="I17" s="4837" t="n">
        <v>0.4205336364747478</v>
      </c>
      <c r="K17" s="4379" t="inlineStr">
        <is>
          <t>Armenia</t>
        </is>
      </c>
      <c r="L17" s="4406" t="n">
        <v>390.1588541666667</v>
      </c>
      <c r="M17" s="4406" t="n">
        <v>204.5448374967287</v>
      </c>
      <c r="O17">
        <f>VLOOKUP(A14, $K$8:$M$241, 2, FALSE)</f>
        <v/>
      </c>
    </row>
    <row r="18">
      <c r="A18" s="4110" t="inlineStr">
        <is>
          <t>Austria</t>
        </is>
      </c>
      <c r="B18">
        <f>INDEX(list_region_country!$G$3:$V$3,,SUMPRODUCT(--(list_region_country!$G$3:$V$56=Elec!A18)*(COLUMN(list_region_country!$G$3:$V$56)-COLUMN(list_region_country!$F$3))))</f>
        <v/>
      </c>
      <c r="C18" s="4837" t="n">
        <v>0.1973010652710797</v>
      </c>
      <c r="D18" s="4608" t="n">
        <v>2007</v>
      </c>
      <c r="E18" s="4837">
        <f>IF(C18="",AVERAGEIF($B$5:$C$252,B18,$C$5:$C$252),C18)</f>
        <v/>
      </c>
      <c r="F18" s="4837">
        <f>IFERROR(IF(VLOOKUP(A18, $K$8:$M$241, 2, FALSE)/1000 = 0, 0, VLOOKUP(A18, $K$8:$M$241, 2, FALSE)/1000 ), 0)</f>
        <v/>
      </c>
      <c r="G18" s="4837">
        <f>IFERROR(IF(VLOOKUP(A18, $K$8:$M$241, 3, FALSE)/1000 = 0, AVERAGEIF($B$5:$B$252,B18,$I$5:$I$252), VLOOKUP(A18, $K$8:$M$241, 3, FALSE)/1000 ), AVERAGEIF($B$5:$B$252,B18,$I$5:$I$252))</f>
        <v/>
      </c>
      <c r="H18" s="4837" t="n">
        <v>0.2419361981336402</v>
      </c>
      <c r="I18" s="4837" t="n">
        <v>0.113064599245365</v>
      </c>
      <c r="K18" s="4379" t="inlineStr">
        <is>
          <t>Aruba</t>
        </is>
      </c>
      <c r="L18" s="4406" t="n">
        <v>752.5333333333333</v>
      </c>
      <c r="M18" s="4406" t="n">
        <v>421.1027916266279</v>
      </c>
      <c r="O18">
        <f>VLOOKUP(A15, $K$8:$M$241, 2, FALSE)</f>
        <v/>
      </c>
    </row>
    <row r="19">
      <c r="A19" s="4111" t="inlineStr">
        <is>
          <t>Azerbaijan</t>
        </is>
      </c>
      <c r="B19">
        <f>INDEX(list_region_country!$G$3:$V$3,,SUMPRODUCT(--(list_region_country!$G$3:$V$56=Elec!A19)*(COLUMN(list_region_country!$G$3:$V$56)-COLUMN(list_region_country!$F$3))))</f>
        <v/>
      </c>
      <c r="C19" s="4837" t="n">
        <v>0.59</v>
      </c>
      <c r="D19" s="4608" t="n">
        <v>2019</v>
      </c>
      <c r="E19" s="4837">
        <f>IF(C19="",AVERAGEIF($B$5:$C$252,B19,$C$5:$C$252),C19)</f>
        <v/>
      </c>
      <c r="F19" s="4837">
        <f>IFERROR(IF(VLOOKUP(A19, $K$8:$M$241, 2, FALSE)/1000 = 0, 0, VLOOKUP(A19, $K$8:$M$241, 2, FALSE)/1000 ), 0)</f>
        <v/>
      </c>
      <c r="G19" s="4837">
        <f>IFERROR(IF(VLOOKUP(A19, $K$8:$M$241, 3, FALSE)/1000 = 0, AVERAGEIF($B$5:$B$252,B19,$I$5:$I$252), VLOOKUP(A19, $K$8:$M$241, 3, FALSE)/1000 ), AVERAGEIF($B$5:$B$252,B19,$I$5:$I$252))</f>
        <v/>
      </c>
      <c r="H19" s="4837" t="n">
        <v>0.5337432638310646</v>
      </c>
      <c r="I19" s="4837" t="n">
        <v>0.3843432466847795</v>
      </c>
      <c r="K19" s="4379" t="inlineStr">
        <is>
          <t>Australia</t>
        </is>
      </c>
      <c r="L19" s="4406" t="n">
        <v>807.8086371927315</v>
      </c>
      <c r="M19" s="4406" t="n">
        <v>420.5336364747478</v>
      </c>
      <c r="O19">
        <f>VLOOKUP(A16, $K$8:$M$241, 2, FALSE)</f>
        <v/>
      </c>
    </row>
    <row r="20">
      <c r="A20" s="4111" t="inlineStr">
        <is>
          <t>Bahamas</t>
        </is>
      </c>
      <c r="B20">
        <f>INDEX(list_region_country!$G$3:$V$3,,SUMPRODUCT(--(list_region_country!$G$3:$V$56=Elec!A20)*(COLUMN(list_region_country!$G$3:$V$56)-COLUMN(list_region_country!$F$3))))</f>
        <v/>
      </c>
      <c r="C20" s="4837" t="inlineStr"/>
      <c r="D20" s="4608" t="inlineStr"/>
      <c r="E20" s="4837">
        <f>IF(C20="",AVERAGEIF($B$5:$C$252,B20,$C$5:$C$252),C20)</f>
        <v/>
      </c>
      <c r="F20" s="4837">
        <f>IFERROR(IF(VLOOKUP(A20, $K$8:$M$241, 2, FALSE)/1000 = 0, 0, VLOOKUP(A20, $K$8:$M$241, 2, FALSE)/1000 ), 0)</f>
        <v/>
      </c>
      <c r="G20" s="4837">
        <f>IFERROR(IF(VLOOKUP(A20, $K$8:$M$241, 3, FALSE)/1000 = 0, AVERAGEIF($B$5:$B$252,B20,$I$5:$I$252), VLOOKUP(A20, $K$8:$M$241, 3, FALSE)/1000 ), AVERAGEIF($B$5:$B$252,B20,$I$5:$I$252))</f>
        <v/>
      </c>
      <c r="H20" s="4837" t="n">
        <v>0.7525333333333333</v>
      </c>
      <c r="I20" s="4837" t="n">
        <v>0.4408439052824661</v>
      </c>
      <c r="K20" s="4379" t="inlineStr">
        <is>
          <t>Austria</t>
        </is>
      </c>
      <c r="L20" s="4406" t="n">
        <v>241.9361981336402</v>
      </c>
      <c r="M20" s="4406" t="n">
        <v>113.0645992453653</v>
      </c>
      <c r="O20">
        <f>VLOOKUP(A17, $K$8:$M$241, 2, FALSE)</f>
        <v/>
      </c>
    </row>
    <row r="21">
      <c r="A21" s="4111" t="inlineStr">
        <is>
          <t>Bahrain</t>
        </is>
      </c>
      <c r="B21">
        <f>INDEX(list_region_country!$G$3:$V$3,,SUMPRODUCT(--(list_region_country!$G$3:$V$56=Elec!A21)*(COLUMN(list_region_country!$G$3:$V$56)-COLUMN(list_region_country!$F$3))))</f>
        <v/>
      </c>
      <c r="C21" s="4837" t="n">
        <v>0.8762806885811926</v>
      </c>
      <c r="D21" s="4608" t="n">
        <v>2007</v>
      </c>
      <c r="E21" s="4837">
        <f>IF(C21="",AVERAGEIF($B$5:$C$252,B21,$C$5:$C$252),C21)</f>
        <v/>
      </c>
      <c r="F21" s="4837">
        <f>IFERROR(IF(VLOOKUP(A21, $K$8:$M$241, 2, FALSE)/1000 = 0, 0, VLOOKUP(A21, $K$8:$M$241, 2, FALSE)/1000 ), 0)</f>
        <v/>
      </c>
      <c r="G21" s="4837">
        <f>IFERROR(IF(VLOOKUP(A21, $K$8:$M$241, 3, FALSE)/1000 = 0, AVERAGEIF($B$5:$B$252,B21,$I$5:$I$252), VLOOKUP(A21, $K$8:$M$241, 3, FALSE)/1000 ), AVERAGEIF($B$5:$B$252,B21,$I$5:$I$252))</f>
        <v/>
      </c>
      <c r="H21" s="4837" t="n">
        <v>0.7263533748270259</v>
      </c>
      <c r="I21" s="4837" t="n">
        <v>0.4542677223608277</v>
      </c>
      <c r="K21" s="4379" t="inlineStr">
        <is>
          <t>Azerbaijan</t>
        </is>
      </c>
      <c r="L21" s="4406" t="n">
        <v>533.7432638310646</v>
      </c>
      <c r="M21" s="4406" t="n">
        <v>384.3432466847795</v>
      </c>
      <c r="O21">
        <f>VLOOKUP(A18, $K$8:$M$241, 2, FALSE)</f>
        <v/>
      </c>
    </row>
    <row r="22">
      <c r="A22" s="4111" t="inlineStr">
        <is>
          <t>Bangladesh</t>
        </is>
      </c>
      <c r="B22">
        <f>INDEX(list_region_country!$G$3:$V$3,,SUMPRODUCT(--(list_region_country!$G$3:$V$56=Elec!A22)*(COLUMN(list_region_country!$G$3:$V$56)-COLUMN(list_region_country!$F$3))))</f>
        <v/>
      </c>
      <c r="C22" s="4837" t="n">
        <v>0.641</v>
      </c>
      <c r="D22" s="4608" t="n">
        <v>2019</v>
      </c>
      <c r="E22" s="4837">
        <f>IF(C22="",AVERAGEIF($B$5:$C$252,B22,$C$5:$C$252),C22)</f>
        <v/>
      </c>
      <c r="F22" s="4837">
        <f>IFERROR(IF(VLOOKUP(A22, $K$8:$M$241, 2, FALSE)/1000 = 0, 0, VLOOKUP(A22, $K$8:$M$241, 2, FALSE)/1000 ), 0)</f>
        <v/>
      </c>
      <c r="G22" s="4837">
        <f>IFERROR(IF(VLOOKUP(A22, $K$8:$M$241, 3, FALSE)/1000 = 0, AVERAGEIF($B$5:$B$252,B22,$I$5:$I$252), VLOOKUP(A22, $K$8:$M$241, 3, FALSE)/1000 ), AVERAGEIF($B$5:$B$252,B22,$I$5:$I$252))</f>
        <v/>
      </c>
      <c r="H22" s="4837" t="n">
        <v>0.527922593068461</v>
      </c>
      <c r="I22" s="4837" t="n">
        <v>0.4117139397607263</v>
      </c>
      <c r="K22" s="4379" t="inlineStr">
        <is>
          <t>Azores (Portugal)</t>
        </is>
      </c>
      <c r="L22" s="4406" t="n">
        <v>752.5333333333333</v>
      </c>
      <c r="M22" s="4406" t="n">
        <v>384.1212069536309</v>
      </c>
      <c r="O22">
        <f>VLOOKUP(A19, $K$8:$M$241, 2, FALSE)</f>
        <v/>
      </c>
    </row>
    <row r="23">
      <c r="A23" s="4111" t="inlineStr">
        <is>
          <t>Barbados</t>
        </is>
      </c>
      <c r="B23">
        <f>INDEX(list_region_country!$G$3:$V$3,,SUMPRODUCT(--(list_region_country!$G$3:$V$56=Elec!A23)*(COLUMN(list_region_country!$G$3:$V$56)-COLUMN(list_region_country!$F$3))))</f>
        <v/>
      </c>
      <c r="C23" s="4837" t="inlineStr"/>
      <c r="D23" s="4608" t="inlineStr"/>
      <c r="E23" s="4837">
        <f>IF(C23="",AVERAGEIF($B$5:$C$252,B23,$C$5:$C$252),C23)</f>
        <v/>
      </c>
      <c r="F23" s="4837">
        <f>IFERROR(IF(VLOOKUP(A23, $K$8:$M$241, 2, FALSE)/1000 = 0, 0, VLOOKUP(A23, $K$8:$M$241, 2, FALSE)/1000 ), 0)</f>
        <v/>
      </c>
      <c r="G23" s="4837">
        <f>IFERROR(IF(VLOOKUP(A23, $K$8:$M$241, 3, FALSE)/1000 = 0, AVERAGEIF($B$5:$B$252,B23,$I$5:$I$252), VLOOKUP(A23, $K$8:$M$241, 3, FALSE)/1000 ), AVERAGEIF($B$5:$B$252,B23,$I$5:$I$252))</f>
        <v/>
      </c>
      <c r="H23" s="4837" t="n">
        <v>0.749272852233677</v>
      </c>
      <c r="I23" s="4837" t="n">
        <v>0.4839997086124417</v>
      </c>
      <c r="K23" s="4379" t="inlineStr">
        <is>
          <t>Bahamas</t>
        </is>
      </c>
      <c r="L23" s="4406" t="n">
        <v>752.5333333333333</v>
      </c>
      <c r="M23" s="4406" t="n">
        <v>440.8439052824662</v>
      </c>
      <c r="O23">
        <f>VLOOKUP(A20, $K$8:$M$241, 2, FALSE)</f>
        <v/>
      </c>
    </row>
    <row r="24">
      <c r="A24" s="4110" t="inlineStr">
        <is>
          <t>Belarus</t>
        </is>
      </c>
      <c r="B24">
        <f>INDEX(list_region_country!$G$3:$V$3,,SUMPRODUCT(--(list_region_country!$G$3:$V$56=Elec!A24)*(COLUMN(list_region_country!$G$3:$V$56)-COLUMN(list_region_country!$F$3))))</f>
        <v/>
      </c>
      <c r="C24" s="4837" t="n">
        <v>0.3255308546705422</v>
      </c>
      <c r="D24" s="4608" t="n">
        <v>2007</v>
      </c>
      <c r="E24" s="4837">
        <f>IF(C24="",AVERAGEIF($B$5:$C$252,B24,$C$5:$C$252),C24)</f>
        <v/>
      </c>
      <c r="F24" s="4837">
        <f>IFERROR(IF(VLOOKUP(A24, $K$8:$M$241, 2, FALSE)/1000 = 0, 0, VLOOKUP(A24, $K$8:$M$241, 2, FALSE)/1000 ), 0)</f>
        <v/>
      </c>
      <c r="G24" s="4837">
        <f>IFERROR(IF(VLOOKUP(A24, $K$8:$M$241, 3, FALSE)/1000 = 0, AVERAGEIF($B$5:$B$252,B24,$I$5:$I$252), VLOOKUP(A24, $K$8:$M$241, 3, FALSE)/1000 ), AVERAGEIF($B$5:$B$252,B24,$I$5:$I$252))</f>
        <v/>
      </c>
      <c r="H24" s="4837" t="n">
        <v>0.3995614394285824</v>
      </c>
      <c r="I24" s="4837" t="n">
        <v>0.2915601707461071</v>
      </c>
      <c r="K24" s="4379" t="inlineStr">
        <is>
          <t>Bahrain</t>
        </is>
      </c>
      <c r="L24" s="4406" t="n">
        <v>726.3533748270258</v>
      </c>
      <c r="M24" s="4406" t="n">
        <v>454.2677223608277</v>
      </c>
      <c r="O24">
        <f>VLOOKUP(A21, $K$8:$M$241, 2, FALSE)</f>
        <v/>
      </c>
    </row>
    <row r="25">
      <c r="A25" s="4110" t="inlineStr">
        <is>
          <t>Belize</t>
        </is>
      </c>
      <c r="B25">
        <f>INDEX(list_region_country!$G$3:$V$3,,SUMPRODUCT(--(list_region_country!$G$3:$V$56=Elec!A25)*(COLUMN(list_region_country!$G$3:$V$56)-COLUMN(list_region_country!$F$3))))</f>
        <v/>
      </c>
      <c r="C25" s="4837" t="n">
        <v>0.228</v>
      </c>
      <c r="D25" s="4608" t="n">
        <v>2019</v>
      </c>
      <c r="E25" s="4837">
        <f>IF(C25="",AVERAGEIF($B$5:$C$252,B25,$C$5:$C$252),C25)</f>
        <v/>
      </c>
      <c r="F25" s="4837">
        <f>IFERROR(IF(VLOOKUP(A25, $K$8:$M$241, 2, FALSE)/1000 = 0, 0, VLOOKUP(A25, $K$8:$M$241, 2, FALSE)/1000 ), 0)</f>
        <v/>
      </c>
      <c r="G25" s="4837">
        <f>IFERROR(IF(VLOOKUP(A25, $K$8:$M$241, 3, FALSE)/1000 = 0, AVERAGEIF($B$5:$B$252,B25,$I$5:$I$252), VLOOKUP(A25, $K$8:$M$241, 3, FALSE)/1000 ), AVERAGEIF($B$5:$B$252,B25,$I$5:$I$252))</f>
        <v/>
      </c>
      <c r="H25" s="4837" t="n">
        <v>0.4030216666666667</v>
      </c>
      <c r="I25" s="4837" t="n">
        <v>0.182951451942395</v>
      </c>
      <c r="K25" s="4379" t="inlineStr">
        <is>
          <t>Bangladesh</t>
        </is>
      </c>
      <c r="L25" s="4406" t="n">
        <v>527.922593068461</v>
      </c>
      <c r="M25" s="4406" t="n">
        <v>411.7139397607263</v>
      </c>
      <c r="O25">
        <f>VLOOKUP(A22, $K$8:$M$241, 2, FALSE)</f>
        <v/>
      </c>
    </row>
    <row r="26">
      <c r="A26" s="4111" t="inlineStr">
        <is>
          <t>Belgium</t>
        </is>
      </c>
      <c r="B26">
        <f>INDEX(list_region_country!$G$3:$V$3,,SUMPRODUCT(--(list_region_country!$G$3:$V$56=Elec!A26)*(COLUMN(list_region_country!$G$3:$V$56)-COLUMN(list_region_country!$F$3))))</f>
        <v/>
      </c>
      <c r="C26" s="4837" t="n">
        <v>0.2885527230955485</v>
      </c>
      <c r="D26" s="4608" t="n">
        <v>2007</v>
      </c>
      <c r="E26" s="4837">
        <f>IF(C26="",AVERAGEIF($B$5:$C$252,B26,$C$5:$C$252),C26)</f>
        <v/>
      </c>
      <c r="F26" s="4837">
        <f>IFERROR(IF(VLOOKUP(A26, $K$8:$M$241, 2, FALSE)/1000 = 0, 0, VLOOKUP(A26, $K$8:$M$241, 2, FALSE)/1000 ), 0)</f>
        <v/>
      </c>
      <c r="G26" s="4837">
        <f>IFERROR(IF(VLOOKUP(A26, $K$8:$M$241, 3, FALSE)/1000 = 0, AVERAGEIF($B$5:$B$252,B26,$I$5:$I$252), VLOOKUP(A26, $K$8:$M$241, 3, FALSE)/1000 ), AVERAGEIF($B$5:$B$252,B26,$I$5:$I$252))</f>
        <v/>
      </c>
      <c r="H26" s="4837" t="n">
        <v>0.251558225005235</v>
      </c>
      <c r="I26" s="4837" t="n">
        <v>0.1243944283022997</v>
      </c>
      <c r="K26" s="4379" t="inlineStr">
        <is>
          <t>Barbados</t>
        </is>
      </c>
      <c r="L26" s="4406" t="n">
        <v>749.272852233677</v>
      </c>
      <c r="M26" s="4406" t="n">
        <v>483.9997086124417</v>
      </c>
      <c r="O26">
        <f>VLOOKUP(A23, $K$8:$M$241, 2, FALSE)</f>
        <v/>
      </c>
    </row>
    <row r="27">
      <c r="A27" s="4112" t="inlineStr">
        <is>
          <t>Benin</t>
        </is>
      </c>
      <c r="B27">
        <f>INDEX(list_region_country!$G$3:$V$3,,SUMPRODUCT(--(list_region_country!$G$3:$V$56=Elec!A27)*(COLUMN(list_region_country!$G$3:$V$56)-COLUMN(list_region_country!$F$3))))</f>
        <v/>
      </c>
      <c r="C27" s="4837" t="n">
        <v>0.5629999999999999</v>
      </c>
      <c r="D27" s="4608" t="n">
        <v>2019</v>
      </c>
      <c r="E27" s="4837">
        <f>IF(C27="",AVERAGEIF($B$5:$C$252,B27,$C$5:$C$252),C27)</f>
        <v/>
      </c>
      <c r="F27" s="4837">
        <f>IFERROR(IF(VLOOKUP(A27, $K$8:$M$241, 2, FALSE)/1000 = 0, 0, VLOOKUP(A27, $K$8:$M$241, 2, FALSE)/1000 ), 0)</f>
        <v/>
      </c>
      <c r="G27" s="4837">
        <f>IFERROR(IF(VLOOKUP(A27, $K$8:$M$241, 3, FALSE)/1000 = 0, AVERAGEIF($B$5:$B$252,B27,$I$5:$I$252), VLOOKUP(A27, $K$8:$M$241, 3, FALSE)/1000 ), AVERAGEIF($B$5:$B$252,B27,$I$5:$I$252))</f>
        <v/>
      </c>
      <c r="H27" s="4837" t="n">
        <v>0.7453505817909041</v>
      </c>
      <c r="I27" s="4837" t="n">
        <v>0.5757649827039882</v>
      </c>
      <c r="K27" s="4379" t="inlineStr">
        <is>
          <t>Belarus</t>
        </is>
      </c>
      <c r="L27" s="4406" t="n">
        <v>399.5614394285824</v>
      </c>
      <c r="M27" s="4406" t="n">
        <v>291.5601707461071</v>
      </c>
      <c r="O27">
        <f>VLOOKUP(A24, $K$8:$M$241, 2, FALSE)</f>
        <v/>
      </c>
    </row>
    <row r="28">
      <c r="A28" s="4111" t="inlineStr">
        <is>
          <t>Bermuda</t>
        </is>
      </c>
      <c r="B28">
        <f>INDEX(list_region_country!$G$3:$V$3,,SUMPRODUCT(--(list_region_country!$G$3:$V$56=Elec!A28)*(COLUMN(list_region_country!$G$3:$V$56)-COLUMN(list_region_country!$F$3))))</f>
        <v/>
      </c>
      <c r="C28" s="4837" t="inlineStr"/>
      <c r="D28" s="4608" t="inlineStr"/>
      <c r="E28" s="4837">
        <f>IF(C28="",AVERAGEIF($B$5:$C$252,B28,$C$5:$C$252),C28)</f>
        <v/>
      </c>
      <c r="F28" s="4837">
        <f>IFERROR(IF(VLOOKUP(A28, $K$8:$M$241, 2, FALSE)/1000 = 0, 0, VLOOKUP(A28, $K$8:$M$241, 2, FALSE)/1000 ), 0)</f>
        <v/>
      </c>
      <c r="G28" s="4837">
        <f>IFERROR(IF(VLOOKUP(A28, $K$8:$M$241, 3, FALSE)/1000 = 0, AVERAGEIF($B$5:$B$252,B28,$I$5:$I$252), VLOOKUP(A28, $K$8:$M$241, 3, FALSE)/1000 ), AVERAGEIF($B$5:$B$252,B28,$I$5:$I$252))</f>
        <v/>
      </c>
      <c r="H28" s="4837" t="n">
        <v>0.7525333333333333</v>
      </c>
      <c r="I28" s="4837" t="n">
        <v>0.3415088722804582</v>
      </c>
      <c r="K28" s="4379" t="inlineStr">
        <is>
          <t>Belgium</t>
        </is>
      </c>
      <c r="L28" s="4406" t="n">
        <v>251.558225005235</v>
      </c>
      <c r="M28" s="4406" t="n">
        <v>124.3944283022997</v>
      </c>
      <c r="O28">
        <f>VLOOKUP(A25, $K$8:$M$241, 2, FALSE)</f>
        <v/>
      </c>
    </row>
    <row r="29">
      <c r="A29" s="4111" t="inlineStr">
        <is>
          <t>Bhutan</t>
        </is>
      </c>
      <c r="B29">
        <f>INDEX(list_region_country!$G$3:$V$3,,SUMPRODUCT(--(list_region_country!$G$3:$V$56=Elec!A29)*(COLUMN(list_region_country!$G$3:$V$56)-COLUMN(list_region_country!$F$3))))</f>
        <v/>
      </c>
      <c r="C29" s="4837" t="inlineStr"/>
      <c r="D29" s="4608" t="inlineStr"/>
      <c r="E29" s="4837">
        <f>IF(C29="",AVERAGEIF($B$5:$C$252,B29,$C$5:$C$252),C29)</f>
        <v/>
      </c>
      <c r="F29" s="4837">
        <f>IFERROR(IF(VLOOKUP(A29, $K$8:$M$241, 2, FALSE)/1000 = 0, 0, VLOOKUP(A29, $K$8:$M$241, 2, FALSE)/1000 ), 0)</f>
        <v/>
      </c>
      <c r="G29" s="4837">
        <f>IFERROR(IF(VLOOKUP(A29, $K$8:$M$241, 3, FALSE)/1000 = 0, AVERAGEIF($B$5:$B$252,B29,$I$5:$I$252), VLOOKUP(A29, $K$8:$M$241, 3, FALSE)/1000 ), AVERAGEIF($B$5:$B$252,B29,$I$5:$I$252))</f>
        <v/>
      </c>
      <c r="H29" s="4837" t="inlineStr">
        <is>
          <t>N/A</t>
        </is>
      </c>
      <c r="I29" s="4837" t="inlineStr">
        <is>
          <t>N/A</t>
        </is>
      </c>
      <c r="K29" s="4379" t="inlineStr">
        <is>
          <t>Belize</t>
        </is>
      </c>
      <c r="L29" s="4406" t="n">
        <v>403.0216666666667</v>
      </c>
      <c r="M29" s="4406" t="n">
        <v>182.951451942395</v>
      </c>
      <c r="O29">
        <f>VLOOKUP(A26, $K$8:$M$241, 2, FALSE)</f>
        <v/>
      </c>
    </row>
    <row r="30">
      <c r="A30" s="4111" t="inlineStr">
        <is>
          <t>Bolivia</t>
        </is>
      </c>
      <c r="B30">
        <f>INDEX(list_region_country!$G$3:$V$3,,SUMPRODUCT(--(list_region_country!$G$3:$V$56=Elec!A30)*(COLUMN(list_region_country!$G$3:$V$56)-COLUMN(list_region_country!$F$3))))</f>
        <v/>
      </c>
      <c r="C30" s="4837" t="n">
        <v>0.589</v>
      </c>
      <c r="D30" s="4608" t="n">
        <v>2019</v>
      </c>
      <c r="E30" s="4837">
        <f>IF(C30="",AVERAGEIF($B$5:$C$252,B30,$C$5:$C$252),C30)</f>
        <v/>
      </c>
      <c r="F30" s="4837">
        <f>IFERROR(IF(VLOOKUP(A30, $K$8:$M$241, 2, FALSE)/1000 = 0, 0, VLOOKUP(A30, $K$8:$M$241, 2, FALSE)/1000 ), 0)</f>
        <v/>
      </c>
      <c r="G30" s="4837">
        <f>IFERROR(IF(VLOOKUP(A30, $K$8:$M$241, 3, FALSE)/1000 = 0, AVERAGEIF($B$5:$B$252,B30,$I$5:$I$252), VLOOKUP(A30, $K$8:$M$241, 3, FALSE)/1000 ), AVERAGEIF($B$5:$B$252,B30,$I$5:$I$252))</f>
        <v/>
      </c>
      <c r="H30" s="4837" t="n">
        <v>0.6036140462950573</v>
      </c>
      <c r="I30" s="4837" t="n">
        <v>0.3932892293145805</v>
      </c>
      <c r="K30" s="4379" t="inlineStr">
        <is>
          <t>Benin</t>
        </is>
      </c>
      <c r="L30" s="4407" t="n">
        <v>745.3505817909041</v>
      </c>
      <c r="M30" s="4406" t="n">
        <v>575.7649827039883</v>
      </c>
      <c r="O30">
        <f>VLOOKUP(A27, $K$8:$M$241, 2, FALSE)</f>
        <v/>
      </c>
    </row>
    <row r="31">
      <c r="A31" s="4111" t="inlineStr">
        <is>
          <t>Bonaire, Sint Eustatius and Saba</t>
        </is>
      </c>
      <c r="B31">
        <f>INDEX(list_region_country!$G$3:$V$3,,SUMPRODUCT(--(list_region_country!$G$3:$V$56=Elec!A31)*(COLUMN(list_region_country!$G$3:$V$56)-COLUMN(list_region_country!$F$3))))</f>
        <v/>
      </c>
      <c r="C31" s="4837" t="inlineStr"/>
      <c r="D31" s="4608" t="inlineStr"/>
      <c r="E31" s="4837">
        <f>IF(C31="",AVERAGEIF($B$5:$C$252,B31,$C$5:$C$252),C31)</f>
        <v/>
      </c>
      <c r="F31" s="4837">
        <f>IFERROR(IF(VLOOKUP(A31, $K$8:$M$241, 2, FALSE)/1000 = 0, 0, VLOOKUP(A31, $K$8:$M$241, 2, FALSE)/1000 ), 0)</f>
        <v/>
      </c>
      <c r="G31" s="4837">
        <f>IFERROR(IF(VLOOKUP(A31, $K$8:$M$241, 3, FALSE)/1000 = 0, AVERAGEIF($B$5:$B$252,B31,$I$5:$I$252), VLOOKUP(A31, $K$8:$M$241, 3, FALSE)/1000 ), AVERAGEIF($B$5:$B$252,B31,$I$5:$I$252))</f>
        <v/>
      </c>
      <c r="H31" s="4837" t="n">
        <v>0.7525333333333333</v>
      </c>
      <c r="I31" s="4837" t="n">
        <v>0.4002008502268069</v>
      </c>
      <c r="K31" s="4379" t="inlineStr">
        <is>
          <t>Bermuda</t>
        </is>
      </c>
      <c r="L31" s="4406" t="n">
        <v>752.5333333333333</v>
      </c>
      <c r="M31" s="4406" t="n">
        <v>341.5088722804581</v>
      </c>
      <c r="O31">
        <f>VLOOKUP(A28, $K$8:$M$241, 2, FALSE)</f>
        <v/>
      </c>
    </row>
    <row r="32">
      <c r="A32" s="4110" t="inlineStr">
        <is>
          <t>Bosnia and Herzegovina</t>
        </is>
      </c>
      <c r="B32">
        <f>INDEX(list_region_country!$G$3:$V$3,,SUMPRODUCT(--(list_region_country!$G$3:$V$56=Elec!A32)*(COLUMN(list_region_country!$G$3:$V$56)-COLUMN(list_region_country!$F$3))))</f>
        <v/>
      </c>
      <c r="C32" s="4837" t="n">
        <v>0.973</v>
      </c>
      <c r="D32" s="4608" t="n">
        <v>2019</v>
      </c>
      <c r="E32" s="4837">
        <f>IF(C32="",AVERAGEIF($B$5:$C$252,B32,$C$5:$C$252),C32)</f>
        <v/>
      </c>
      <c r="F32" s="4837">
        <f>IFERROR(IF(VLOOKUP(A32, $K$8:$M$241, 2, FALSE)/1000 = 0, 0, VLOOKUP(A32, $K$8:$M$241, 2, FALSE)/1000 ), 0)</f>
        <v/>
      </c>
      <c r="G32" s="4837">
        <f>IFERROR(IF(VLOOKUP(A32, $K$8:$M$241, 3, FALSE)/1000 = 0, AVERAGEIF($B$5:$B$252,B32,$I$5:$I$252), VLOOKUP(A32, $K$8:$M$241, 3, FALSE)/1000 ), AVERAGEIF($B$5:$B$252,B32,$I$5:$I$252))</f>
        <v/>
      </c>
      <c r="H32" s="4837" t="n">
        <v>1.197218504786464</v>
      </c>
      <c r="I32" s="4837" t="n">
        <v>0.7389970389817649</v>
      </c>
      <c r="K32" s="4379" t="inlineStr">
        <is>
          <t>Bhutan</t>
        </is>
      </c>
      <c r="L32" s="4406" t="n">
        <v>0</v>
      </c>
      <c r="M32" s="4406" t="n">
        <v>0</v>
      </c>
      <c r="O32">
        <f>VLOOKUP(A29, $K$8:$M$241, 2, FALSE)</f>
        <v/>
      </c>
    </row>
    <row r="33">
      <c r="A33" s="4111" t="inlineStr">
        <is>
          <t>Botswana</t>
        </is>
      </c>
      <c r="B33">
        <f>INDEX(list_region_country!$G$3:$V$3,,SUMPRODUCT(--(list_region_country!$G$3:$V$56=Elec!A33)*(COLUMN(list_region_country!$G$3:$V$56)-COLUMN(list_region_country!$F$3))))</f>
        <v/>
      </c>
      <c r="C33" s="4837" t="n">
        <v>0.987</v>
      </c>
      <c r="D33" s="4608" t="n">
        <v>2019</v>
      </c>
      <c r="E33" s="4837">
        <f>IF(C33="",AVERAGEIF($B$5:$C$252,B33,$C$5:$C$252),C33)</f>
        <v/>
      </c>
      <c r="F33" s="4837">
        <f>IFERROR(IF(VLOOKUP(A33, $K$8:$M$241, 2, FALSE)/1000 = 0, 0, VLOOKUP(A33, $K$8:$M$241, 2, FALSE)/1000 ), 0)</f>
        <v/>
      </c>
      <c r="G33" s="4837">
        <f>IFERROR(IF(VLOOKUP(A33, $K$8:$M$241, 3, FALSE)/1000 = 0, AVERAGEIF($B$5:$B$252,B33,$I$5:$I$252), VLOOKUP(A33, $K$8:$M$241, 3, FALSE)/1000 ), AVERAGEIF($B$5:$B$252,B33,$I$5:$I$252))</f>
        <v/>
      </c>
      <c r="H33" s="4837" t="n">
        <v>1.486062302946391</v>
      </c>
      <c r="I33" s="4837" t="n">
        <v>1.070266056176968</v>
      </c>
      <c r="K33" s="4379" t="inlineStr">
        <is>
          <t>Bolivia</t>
        </is>
      </c>
      <c r="L33" s="4407" t="n">
        <v>603.6140462950573</v>
      </c>
      <c r="M33" s="4406" t="n">
        <v>393.2892293145806</v>
      </c>
      <c r="O33">
        <f>VLOOKUP(A30, $K$8:$M$241, 2, FALSE)</f>
        <v/>
      </c>
    </row>
    <row r="34">
      <c r="A34" s="4111" t="inlineStr">
        <is>
          <t>Bouvet Island</t>
        </is>
      </c>
      <c r="B34">
        <f>INDEX(list_region_country!$G$3:$V$3,,SUMPRODUCT(--(list_region_country!$G$3:$V$56=Elec!A34)*(COLUMN(list_region_country!$G$3:$V$56)-COLUMN(list_region_country!$F$3))))</f>
        <v/>
      </c>
      <c r="C34" s="4837" t="inlineStr"/>
      <c r="D34" s="4608" t="inlineStr"/>
      <c r="E34" s="4837">
        <f>IF(C34="",AVERAGEIF($B$5:$C$252,B34,$C$5:$C$252),C34)</f>
        <v/>
      </c>
      <c r="F34" s="4837">
        <f>IFERROR(IF(VLOOKUP(A34, $K$8:$M$241, 2, FALSE)/1000 = 0, 0, VLOOKUP(A34, $K$8:$M$241, 2, FALSE)/1000 ), 0)</f>
        <v/>
      </c>
      <c r="G34" s="4837">
        <f>IFERROR(IF(VLOOKUP(A34, $K$8:$M$241, 3, FALSE)/1000 = 0, AVERAGEIF($B$5:$B$252,B34,$I$5:$I$252), VLOOKUP(A34, $K$8:$M$241, 3, FALSE)/1000 ), AVERAGEIF($B$5:$B$252,B34,$I$5:$I$252))</f>
        <v/>
      </c>
      <c r="H34" s="4837" t="inlineStr">
        <is>
          <t>N/A</t>
        </is>
      </c>
      <c r="I34" s="4837" t="inlineStr">
        <is>
          <t>N/A</t>
        </is>
      </c>
      <c r="K34" s="4379" t="inlineStr">
        <is>
          <t>Bonaire, Sint Eustatius and Saba</t>
        </is>
      </c>
      <c r="L34" s="4407" t="n">
        <v>752.5333333333333</v>
      </c>
      <c r="M34" s="4406" t="n">
        <v>400.2008502268069</v>
      </c>
      <c r="O34">
        <f>VLOOKUP(A31, $K$8:$M$241, 2, FALSE)</f>
        <v/>
      </c>
    </row>
    <row r="35">
      <c r="A35" s="4111" t="inlineStr">
        <is>
          <t>Brazil</t>
        </is>
      </c>
      <c r="B35">
        <f>INDEX(list_region_country!$G$3:$V$3,,SUMPRODUCT(--(list_region_country!$G$3:$V$56=Elec!A35)*(COLUMN(list_region_country!$G$3:$V$56)-COLUMN(list_region_country!$F$3))))</f>
        <v/>
      </c>
      <c r="C35" s="4837" t="n">
        <v>0.293</v>
      </c>
      <c r="D35" s="4608" t="n">
        <v>2019</v>
      </c>
      <c r="E35" s="4837">
        <f>IF(C35="",AVERAGEIF($B$5:$C$252,B35,$C$5:$C$252),C35)</f>
        <v/>
      </c>
      <c r="F35" s="4837">
        <f>IFERROR(IF(VLOOKUP(A35, $K$8:$M$241, 2, FALSE)/1000 = 0, 0, VLOOKUP(A35, $K$8:$M$241, 2, FALSE)/1000 ), 0)</f>
        <v/>
      </c>
      <c r="G35" s="4837">
        <f>IFERROR(IF(VLOOKUP(A35, $K$8:$M$241, 3, FALSE)/1000 = 0, AVERAGEIF($B$5:$B$252,B35,$I$5:$I$252), VLOOKUP(A35, $K$8:$M$241, 3, FALSE)/1000 ), AVERAGEIF($B$5:$B$252,B35,$I$5:$I$252))</f>
        <v/>
      </c>
      <c r="H35" s="4837" t="n">
        <v>0.2837640513008801</v>
      </c>
      <c r="I35" s="4837" t="n">
        <v>0.1390640382228028</v>
      </c>
      <c r="K35" s="4379" t="inlineStr">
        <is>
          <t>Bosnia and Herzegovina</t>
        </is>
      </c>
      <c r="L35" s="4407" t="n">
        <v>1197.218504786464</v>
      </c>
      <c r="M35" s="4406" t="n">
        <v>738.9970389817649</v>
      </c>
      <c r="O35">
        <f>VLOOKUP(A32, $K$8:$M$241, 2, FALSE)</f>
        <v/>
      </c>
    </row>
    <row r="36">
      <c r="A36" s="4110" t="inlineStr">
        <is>
          <t>British Indian Ocean Territory</t>
        </is>
      </c>
      <c r="B36">
        <f>INDEX(list_region_country!$G$3:$V$3,,SUMPRODUCT(--(list_region_country!$G$3:$V$56=Elec!A36)*(COLUMN(list_region_country!$G$3:$V$56)-COLUMN(list_region_country!$F$3))))</f>
        <v/>
      </c>
      <c r="C36" s="4837" t="inlineStr"/>
      <c r="D36" s="4608" t="inlineStr"/>
      <c r="E36" s="4837">
        <f>IF(C36="",AVERAGEIF($B$5:$C$252,B36,$C$5:$C$252),C36)</f>
        <v/>
      </c>
      <c r="F36" s="4837">
        <f>IFERROR(IF(VLOOKUP(A36, $K$8:$M$241, 2, FALSE)/1000 = 0, 0, VLOOKUP(A36, $K$8:$M$241, 2, FALSE)/1000 ), 0)</f>
        <v/>
      </c>
      <c r="G36" s="4837">
        <f>IFERROR(IF(VLOOKUP(A36, $K$8:$M$241, 3, FALSE)/1000 = 0, AVERAGEIF($B$5:$B$252,B36,$I$5:$I$252), VLOOKUP(A36, $K$8:$M$241, 3, FALSE)/1000 ), AVERAGEIF($B$5:$B$252,B36,$I$5:$I$252))</f>
        <v/>
      </c>
      <c r="H36" s="4837" t="inlineStr">
        <is>
          <t>N/A</t>
        </is>
      </c>
      <c r="I36" s="4837" t="inlineStr">
        <is>
          <t>N/A</t>
        </is>
      </c>
      <c r="K36" s="4379" t="inlineStr">
        <is>
          <t>Botswana</t>
        </is>
      </c>
      <c r="L36" s="4407" t="n">
        <v>1486.062302946391</v>
      </c>
      <c r="M36" s="4406" t="n">
        <v>1070.266056176968</v>
      </c>
      <c r="O36">
        <f>VLOOKUP(A33, $K$8:$M$241, 2, FALSE)</f>
        <v/>
      </c>
    </row>
    <row r="37">
      <c r="A37" s="4111" t="inlineStr">
        <is>
          <t>British Virgin Islands</t>
        </is>
      </c>
      <c r="B37">
        <f>INDEX(list_region_country!$G$3:$V$3,,SUMPRODUCT(--(list_region_country!$G$3:$V$56=Elec!A37)*(COLUMN(list_region_country!$G$3:$V$56)-COLUMN(list_region_country!$F$3))))</f>
        <v/>
      </c>
      <c r="C37" s="4837" t="inlineStr"/>
      <c r="D37" s="4608" t="inlineStr"/>
      <c r="E37" s="4837">
        <f>IF(C37="",AVERAGEIF($B$5:$C$252,B37,$C$5:$C$252),C37)</f>
        <v/>
      </c>
      <c r="F37" s="4837">
        <f>IFERROR(IF(VLOOKUP(A37, $K$8:$M$241, 2, FALSE)/1000 = 0, 0, VLOOKUP(A37, $K$8:$M$241, 2, FALSE)/1000 ), 0)</f>
        <v/>
      </c>
      <c r="G37" s="4837">
        <f>IFERROR(IF(VLOOKUP(A37, $K$8:$M$241, 3, FALSE)/1000 = 0, AVERAGEIF($B$5:$B$252,B37,$I$5:$I$252), VLOOKUP(A37, $K$8:$M$241, 3, FALSE)/1000 ), AVERAGEIF($B$5:$B$252,B37,$I$5:$I$252))</f>
        <v/>
      </c>
      <c r="H37" s="4837" t="n">
        <v>0.7525333333333333</v>
      </c>
      <c r="I37" s="4837" t="n">
        <v>0.4201937065119802</v>
      </c>
      <c r="K37" s="4379" t="inlineStr">
        <is>
          <t>Brazil</t>
        </is>
      </c>
      <c r="L37" s="4407" t="n">
        <v>283.7640513008801</v>
      </c>
      <c r="M37" s="4406" t="n">
        <v>139.0640382228028</v>
      </c>
      <c r="O37">
        <f>VLOOKUP(A34, $K$8:$M$241, 2, FALSE)</f>
        <v/>
      </c>
    </row>
    <row r="38">
      <c r="A38" s="4111" t="inlineStr">
        <is>
          <t>Brunei Darussalam</t>
        </is>
      </c>
      <c r="B38">
        <f>INDEX(list_region_country!$G$3:$V$3,,SUMPRODUCT(--(list_region_country!$G$3:$V$56=Elec!A38)*(COLUMN(list_region_country!$G$3:$V$56)-COLUMN(list_region_country!$F$3))))</f>
        <v/>
      </c>
      <c r="C38" s="4837" t="n">
        <v>0.829576855921381</v>
      </c>
      <c r="D38" s="4608" t="n">
        <v>2007</v>
      </c>
      <c r="E38" s="4837">
        <f>IF(C38="",AVERAGEIF($B$5:$C$252,B38,$C$5:$C$252),C38)</f>
        <v/>
      </c>
      <c r="F38" s="4837">
        <f>IFERROR(IF(VLOOKUP(A38, $K$8:$M$241, 2, FALSE)/1000 = 0, 0, VLOOKUP(A38, $K$8:$M$241, 2, FALSE)/1000 ), 0)</f>
        <v/>
      </c>
      <c r="G38" s="4837">
        <f>IFERROR(IF(VLOOKUP(A38, $K$8:$M$241, 3, FALSE)/1000 = 0, AVERAGEIF($B$5:$B$252,B38,$I$5:$I$252), VLOOKUP(A38, $K$8:$M$241, 3, FALSE)/1000 ), AVERAGEIF($B$5:$B$252,B38,$I$5:$I$252))</f>
        <v/>
      </c>
      <c r="H38" s="4837" t="n">
        <v>0.68115736260726</v>
      </c>
      <c r="I38" s="4837" t="n">
        <v>0.4071626246984708</v>
      </c>
      <c r="K38" s="4379" t="inlineStr">
        <is>
          <t>British Virgin Islands</t>
        </is>
      </c>
      <c r="L38" s="4407" t="n">
        <v>752.5333333333333</v>
      </c>
      <c r="M38" s="4406" t="n">
        <v>420.1937065119802</v>
      </c>
      <c r="O38">
        <f>VLOOKUP(A35, $K$8:$M$241, 2, FALSE)</f>
        <v/>
      </c>
    </row>
    <row r="39">
      <c r="A39" s="4110" t="inlineStr">
        <is>
          <t>Bulgaria</t>
        </is>
      </c>
      <c r="B39">
        <f>INDEX(list_region_country!$G$3:$V$3,,SUMPRODUCT(--(list_region_country!$G$3:$V$56=Elec!A39)*(COLUMN(list_region_country!$G$3:$V$56)-COLUMN(list_region_country!$F$3))))</f>
        <v/>
      </c>
      <c r="C39" s="4837" t="n">
        <v>0.4920434431749094</v>
      </c>
      <c r="D39" s="4608" t="n">
        <v>2007</v>
      </c>
      <c r="E39" s="4837">
        <f>IF(C39="",AVERAGEIF($B$5:$C$252,B39,$C$5:$C$252),C39)</f>
        <v/>
      </c>
      <c r="F39" s="4837">
        <f>IFERROR(IF(VLOOKUP(A39, $K$8:$M$241, 2, FALSE)/1000 = 0, 0, VLOOKUP(A39, $K$8:$M$241, 2, FALSE)/1000 ), 0)</f>
        <v/>
      </c>
      <c r="G39" s="4837">
        <f>IFERROR(IF(VLOOKUP(A39, $K$8:$M$241, 3, FALSE)/1000 = 0, AVERAGEIF($B$5:$B$252,B39,$I$5:$I$252), VLOOKUP(A39, $K$8:$M$241, 3, FALSE)/1000 ), AVERAGEIF($B$5:$B$252,B39,$I$5:$I$252))</f>
        <v/>
      </c>
      <c r="H39" s="4837" t="n">
        <v>0.9114794977716691</v>
      </c>
      <c r="I39" s="4837" t="n">
        <v>0.495280737167191</v>
      </c>
      <c r="K39" s="4379" t="inlineStr">
        <is>
          <t>Brunei Darussalam</t>
        </is>
      </c>
      <c r="L39" s="4407" t="n">
        <v>681.15736260726</v>
      </c>
      <c r="M39" s="4406" t="n">
        <v>407.1626246984708</v>
      </c>
      <c r="O39">
        <f>VLOOKUP(A36, $K$8:$M$241, 2, FALSE)</f>
        <v/>
      </c>
    </row>
    <row r="40">
      <c r="A40" s="4111" t="inlineStr">
        <is>
          <t>Burkina Faso</t>
        </is>
      </c>
      <c r="B40">
        <f>INDEX(list_region_country!$G$3:$V$3,,SUMPRODUCT(--(list_region_country!$G$3:$V$56=Elec!A40)*(COLUMN(list_region_country!$G$3:$V$56)-COLUMN(list_region_country!$F$3))))</f>
        <v/>
      </c>
      <c r="C40" s="4837" t="n">
        <v>0.5629999999999999</v>
      </c>
      <c r="D40" s="4608" t="n">
        <v>2019</v>
      </c>
      <c r="E40" s="4837">
        <f>IF(C40="",AVERAGEIF($B$5:$C$252,B40,$C$5:$C$252),C40)</f>
        <v/>
      </c>
      <c r="F40" s="4837">
        <f>IFERROR(IF(VLOOKUP(A40, $K$8:$M$241, 2, FALSE)/1000 = 0, 0, VLOOKUP(A40, $K$8:$M$241, 2, FALSE)/1000 ), 0)</f>
        <v/>
      </c>
      <c r="G40" s="4837">
        <f>IFERROR(IF(VLOOKUP(A40, $K$8:$M$241, 3, FALSE)/1000 = 0, AVERAGEIF($B$5:$B$252,B40,$I$5:$I$252), VLOOKUP(A40, $K$8:$M$241, 3, FALSE)/1000 ), AVERAGEIF($B$5:$B$252,B40,$I$5:$I$252))</f>
        <v/>
      </c>
      <c r="H40" s="4837" t="n">
        <v>0.7525333333333333</v>
      </c>
      <c r="I40" s="4837" t="n">
        <v>0.5390972552868741</v>
      </c>
      <c r="K40" s="4379" t="inlineStr">
        <is>
          <t>Bulgaria</t>
        </is>
      </c>
      <c r="L40" s="4407" t="n">
        <v>911.4794977716691</v>
      </c>
      <c r="M40" s="4406" t="n">
        <v>495.280737167191</v>
      </c>
      <c r="O40">
        <f>VLOOKUP(A37, $K$8:$M$241, 2, FALSE)</f>
        <v/>
      </c>
    </row>
    <row r="41">
      <c r="A41" s="4110" t="inlineStr">
        <is>
          <t>Burundi</t>
        </is>
      </c>
      <c r="B41">
        <f>INDEX(list_region_country!$G$3:$V$3,,SUMPRODUCT(--(list_region_country!$G$3:$V$56=Elec!A41)*(COLUMN(list_region_country!$G$3:$V$56)-COLUMN(list_region_country!$F$3))))</f>
        <v/>
      </c>
      <c r="C41" s="4837" t="inlineStr"/>
      <c r="D41" s="4608" t="inlineStr"/>
      <c r="E41" s="4837">
        <f>IF(C41="",AVERAGEIF($B$5:$C$252,B41,$C$5:$C$252),C41)</f>
        <v/>
      </c>
      <c r="F41" s="4837">
        <f>IFERROR(IF(VLOOKUP(A41, $K$8:$M$241, 2, FALSE)/1000 = 0, 0, VLOOKUP(A41, $K$8:$M$241, 2, FALSE)/1000 ), 0)</f>
        <v/>
      </c>
      <c r="G41" s="4837">
        <f>IFERROR(IF(VLOOKUP(A41, $K$8:$M$241, 3, FALSE)/1000 = 0, AVERAGEIF($B$5:$B$252,B41,$I$5:$I$252), VLOOKUP(A41, $K$8:$M$241, 3, FALSE)/1000 ), AVERAGEIF($B$5:$B$252,B41,$I$5:$I$252))</f>
        <v/>
      </c>
      <c r="H41" s="4837" t="n">
        <v>0.4138933333333334</v>
      </c>
      <c r="I41" s="4837" t="n">
        <v>0.1970245526831624</v>
      </c>
      <c r="K41" s="4379" t="inlineStr">
        <is>
          <t>Burkina Faso</t>
        </is>
      </c>
      <c r="L41" s="4407" t="n">
        <v>752.5333333333333</v>
      </c>
      <c r="M41" s="4406" t="n">
        <v>539.0972552868741</v>
      </c>
      <c r="O41">
        <f>VLOOKUP(A38, $K$8:$M$241, 2, FALSE)</f>
        <v/>
      </c>
    </row>
    <row r="42">
      <c r="A42" s="4111" t="inlineStr">
        <is>
          <t>Cabo Verde</t>
        </is>
      </c>
      <c r="B42">
        <f>INDEX(list_region_country!$G$3:$V$3,,SUMPRODUCT(--(list_region_country!$G$3:$V$56=Elec!A42)*(COLUMN(list_region_country!$G$3:$V$56)-COLUMN(list_region_country!$F$3))))</f>
        <v/>
      </c>
      <c r="C42" s="4837" t="inlineStr"/>
      <c r="D42" s="4608" t="inlineStr"/>
      <c r="E42" s="4837">
        <f>IF(C42="",AVERAGEIF($B$5:$C$252,B42,$C$5:$C$252),C42)</f>
        <v/>
      </c>
      <c r="F42" s="4837">
        <f>IFERROR(IF(VLOOKUP(A42, $K$8:$M$241, 2, FALSE)/1000 = 0, 0, VLOOKUP(A42, $K$8:$M$241, 2, FALSE)/1000 ), 0)</f>
        <v/>
      </c>
      <c r="G42" s="4837">
        <f>IFERROR(IF(VLOOKUP(A42, $K$8:$M$241, 3, FALSE)/1000 = 0, AVERAGEIF($B$5:$B$252,B42,$I$5:$I$252), VLOOKUP(A42, $K$8:$M$241, 3, FALSE)/1000 ), AVERAGEIF($B$5:$B$252,B42,$I$5:$I$252))</f>
        <v/>
      </c>
      <c r="H42" s="4837" t="n">
        <v>0.7525333333333333</v>
      </c>
      <c r="I42" s="4837" t="n">
        <v>0.5050203607560665</v>
      </c>
      <c r="K42" s="4379" t="inlineStr">
        <is>
          <t>Burundi</t>
        </is>
      </c>
      <c r="L42" s="4407" t="n">
        <v>413.8933333333334</v>
      </c>
      <c r="M42" s="4406" t="n">
        <v>197.0245526831624</v>
      </c>
      <c r="O42">
        <f>VLOOKUP(A39, $K$8:$M$241, 2, FALSE)</f>
        <v/>
      </c>
    </row>
    <row r="43">
      <c r="A43" s="4111" t="inlineStr">
        <is>
          <t>Cambodia</t>
        </is>
      </c>
      <c r="B43">
        <f>INDEX(list_region_country!$G$3:$V$3,,SUMPRODUCT(--(list_region_country!$G$3:$V$56=Elec!A43)*(COLUMN(list_region_country!$G$3:$V$56)-COLUMN(list_region_country!$F$3))))</f>
        <v/>
      </c>
      <c r="C43" s="4837" t="n">
        <v>0.665</v>
      </c>
      <c r="D43" s="4608" t="n">
        <v>2019</v>
      </c>
      <c r="E43" s="4837">
        <f>IF(C43="",AVERAGEIF($B$5:$C$252,B43,$C$5:$C$252),C43)</f>
        <v/>
      </c>
      <c r="F43" s="4837">
        <f>IFERROR(IF(VLOOKUP(A43, $K$8:$M$241, 2, FALSE)/1000 = 0, 0, VLOOKUP(A43, $K$8:$M$241, 2, FALSE)/1000 ), 0)</f>
        <v/>
      </c>
      <c r="G43" s="4837">
        <f>IFERROR(IF(VLOOKUP(A43, $K$8:$M$241, 3, FALSE)/1000 = 0, AVERAGEIF($B$5:$B$252,B43,$I$5:$I$252), VLOOKUP(A43, $K$8:$M$241, 3, FALSE)/1000 ), AVERAGEIF($B$5:$B$252,B43,$I$5:$I$252))</f>
        <v/>
      </c>
      <c r="H43" s="4837" t="n">
        <v>1.046315559514551</v>
      </c>
      <c r="I43" s="4837" t="n">
        <v>0.5878056579166453</v>
      </c>
      <c r="K43" s="4379" t="inlineStr">
        <is>
          <t>Cambodia</t>
        </is>
      </c>
      <c r="L43" s="4407" t="n">
        <v>1046.315559514551</v>
      </c>
      <c r="M43" s="4406" t="n">
        <v>587.8056579166453</v>
      </c>
      <c r="O43">
        <f>VLOOKUP(A40, $K$8:$M$241, 2, FALSE)</f>
        <v/>
      </c>
    </row>
    <row r="44">
      <c r="A44" s="4110" t="inlineStr">
        <is>
          <t>Cameroon</t>
        </is>
      </c>
      <c r="B44">
        <f>INDEX(list_region_country!$G$3:$V$3,,SUMPRODUCT(--(list_region_country!$G$3:$V$56=Elec!A44)*(COLUMN(list_region_country!$G$3:$V$56)-COLUMN(list_region_country!$F$3))))</f>
        <v/>
      </c>
      <c r="C44" s="4837" t="n">
        <v>0.01600677800248229</v>
      </c>
      <c r="D44" s="4608" t="n">
        <v>2007</v>
      </c>
      <c r="E44" s="4837">
        <f>IF(C44="",AVERAGEIF($B$5:$C$252,B44,$C$5:$C$252),C44)</f>
        <v/>
      </c>
      <c r="F44" s="4837">
        <f>IFERROR(IF(VLOOKUP(A44, $K$8:$M$241, 2, FALSE)/1000 = 0, 0, VLOOKUP(A44, $K$8:$M$241, 2, FALSE)/1000 ), 0)</f>
        <v/>
      </c>
      <c r="G44" s="4837">
        <f>IFERROR(IF(VLOOKUP(A44, $K$8:$M$241, 3, FALSE)/1000 = 0, AVERAGEIF($B$5:$B$252,B44,$I$5:$I$252), VLOOKUP(A44, $K$8:$M$241, 3, FALSE)/1000 ), AVERAGEIF($B$5:$B$252,B44,$I$5:$I$252))</f>
        <v/>
      </c>
      <c r="H44" s="4837" t="n">
        <v>0.6594518701300233</v>
      </c>
      <c r="I44" s="4837" t="n">
        <v>0.3543533031701641</v>
      </c>
      <c r="K44" s="4379" t="inlineStr">
        <is>
          <t>Cameroon</t>
        </is>
      </c>
      <c r="L44" s="4407" t="n">
        <v>659.4518701300233</v>
      </c>
      <c r="M44" s="4406" t="n">
        <v>354.3533031701641</v>
      </c>
      <c r="O44">
        <f>VLOOKUP(A41, $K$8:$M$241, 2, FALSE)</f>
        <v/>
      </c>
    </row>
    <row r="45">
      <c r="A45" s="4111" t="inlineStr">
        <is>
          <t>Canada</t>
        </is>
      </c>
      <c r="B45">
        <f>INDEX(list_region_country!$G$3:$V$3,,SUMPRODUCT(--(list_region_country!$G$3:$V$56=Elec!A45)*(COLUMN(list_region_country!$G$3:$V$56)-COLUMN(list_region_country!$F$3))))</f>
        <v/>
      </c>
      <c r="C45" s="4837" t="n">
        <v>0.2230503962649603</v>
      </c>
      <c r="D45" s="4608" t="n">
        <v>2007</v>
      </c>
      <c r="E45" s="4837">
        <f>IF(C45="",AVERAGEIF($B$5:$C$252,B45,$C$5:$C$252),C45)</f>
        <v/>
      </c>
      <c r="F45" s="4837">
        <f>IFERROR(IF(VLOOKUP(A45, $K$8:$M$241, 2, FALSE)/1000 = 0, 0, VLOOKUP(A45, $K$8:$M$241, 2, FALSE)/1000 ), 0)</f>
        <v/>
      </c>
      <c r="G45" s="4837">
        <f>IFERROR(IF(VLOOKUP(A45, $K$8:$M$241, 3, FALSE)/1000 = 0, AVERAGEIF($B$5:$B$252,B45,$I$5:$I$252), VLOOKUP(A45, $K$8:$M$241, 3, FALSE)/1000 ), AVERAGEIF($B$5:$B$252,B45,$I$5:$I$252))</f>
        <v/>
      </c>
      <c r="H45" s="4837" t="n">
        <v>0.3715215176240959</v>
      </c>
      <c r="I45" s="4837" t="n">
        <v>0.1556405435934236</v>
      </c>
      <c r="K45" s="4379" t="inlineStr">
        <is>
          <t>Canada</t>
        </is>
      </c>
      <c r="L45" s="4407" t="n">
        <v>371.5215176240959</v>
      </c>
      <c r="M45" s="4406" t="n">
        <v>155.6405435934236</v>
      </c>
      <c r="O45">
        <f>VLOOKUP(A42, $K$8:$M$241, 2, FALSE)</f>
        <v/>
      </c>
    </row>
    <row r="46">
      <c r="A46" s="4111" t="inlineStr">
        <is>
          <t>Cayman Islands</t>
        </is>
      </c>
      <c r="B46">
        <f>INDEX(list_region_country!$G$3:$V$3,,SUMPRODUCT(--(list_region_country!$G$3:$V$56=Elec!A46)*(COLUMN(list_region_country!$G$3:$V$56)-COLUMN(list_region_country!$F$3))))</f>
        <v/>
      </c>
      <c r="C46" s="4837" t="inlineStr"/>
      <c r="D46" s="4608" t="inlineStr"/>
      <c r="E46" s="4837">
        <f>IF(C46="",AVERAGEIF($B$5:$C$252,B46,$C$5:$C$252),C46)</f>
        <v/>
      </c>
      <c r="F46" s="4837">
        <f>IFERROR(IF(VLOOKUP(A46, $K$8:$M$241, 2, FALSE)/1000 = 0, 0, VLOOKUP(A46, $K$8:$M$241, 2, FALSE)/1000 ), 0)</f>
        <v/>
      </c>
      <c r="G46" s="4837">
        <f>IFERROR(IF(VLOOKUP(A46, $K$8:$M$241, 3, FALSE)/1000 = 0, AVERAGEIF($B$5:$B$252,B46,$I$5:$I$252), VLOOKUP(A46, $K$8:$M$241, 3, FALSE)/1000 ), AVERAGEIF($B$5:$B$252,B46,$I$5:$I$252))</f>
        <v/>
      </c>
      <c r="H46" s="4837" t="n">
        <v>0.7525333333333333</v>
      </c>
      <c r="I46" s="4837" t="n">
        <v>0.3726714673977749</v>
      </c>
      <c r="K46" s="4379" t="inlineStr">
        <is>
          <t>Canary Islands</t>
        </is>
      </c>
      <c r="L46" s="4406" t="n">
        <v>752.5333333333333</v>
      </c>
      <c r="M46" s="4406" t="n">
        <v>434.8141385675182</v>
      </c>
      <c r="O46">
        <f>VLOOKUP(A43, $K$8:$M$241, 2, FALSE)</f>
        <v/>
      </c>
    </row>
    <row r="47">
      <c r="A47" s="4110" t="inlineStr">
        <is>
          <t>Central African Republic</t>
        </is>
      </c>
      <c r="B47">
        <f>INDEX(list_region_country!$G$3:$V$3,,SUMPRODUCT(--(list_region_country!$G$3:$V$56=Elec!A47)*(COLUMN(list_region_country!$G$3:$V$56)-COLUMN(list_region_country!$F$3))))</f>
        <v/>
      </c>
      <c r="C47" s="4837" t="inlineStr"/>
      <c r="D47" s="4608" t="inlineStr"/>
      <c r="E47" s="4837">
        <f>IF(C47="",AVERAGEIF($B$5:$C$252,B47,$C$5:$C$252),C47)</f>
        <v/>
      </c>
      <c r="F47" s="4837">
        <f>IFERROR(IF(VLOOKUP(A47, $K$8:$M$241, 2, FALSE)/1000 = 0, 0, VLOOKUP(A47, $K$8:$M$241, 2, FALSE)/1000 ), 0)</f>
        <v/>
      </c>
      <c r="G47" s="4837">
        <f>IFERROR(IF(VLOOKUP(A47, $K$8:$M$241, 3, FALSE)/1000 = 0, AVERAGEIF($B$5:$B$252,B47,$I$5:$I$252), VLOOKUP(A47, $K$8:$M$241, 3, FALSE)/1000 ), AVERAGEIF($B$5:$B$252,B47,$I$5:$I$252))</f>
        <v/>
      </c>
      <c r="H47" s="4837" t="n">
        <v>0.1881333333333333</v>
      </c>
      <c r="I47" s="4837" t="n">
        <v>0.07654327054041116</v>
      </c>
      <c r="K47" s="4379" t="inlineStr">
        <is>
          <t>Cabo Verde</t>
        </is>
      </c>
      <c r="L47" s="4406" t="n">
        <v>752.5333333333333</v>
      </c>
      <c r="M47" s="4406" t="n">
        <v>505.0203607560665</v>
      </c>
      <c r="O47">
        <f>VLOOKUP(A44, $K$8:$M$241, 2, FALSE)</f>
        <v/>
      </c>
    </row>
    <row r="48">
      <c r="A48" s="4110" t="inlineStr">
        <is>
          <t>Chad</t>
        </is>
      </c>
      <c r="B48">
        <f>INDEX(list_region_country!$G$3:$V$3,,SUMPRODUCT(--(list_region_country!$G$3:$V$56=Elec!A48)*(COLUMN(list_region_country!$G$3:$V$56)-COLUMN(list_region_country!$F$3))))</f>
        <v/>
      </c>
      <c r="C48" s="4837" t="inlineStr"/>
      <c r="D48" s="4608" t="inlineStr"/>
      <c r="E48" s="4837">
        <f>IF(C48="",AVERAGEIF($B$5:$C$252,B48,$C$5:$C$252),C48)</f>
        <v/>
      </c>
      <c r="F48" s="4837">
        <f>IFERROR(IF(VLOOKUP(A48, $K$8:$M$241, 2, FALSE)/1000 = 0, 0, VLOOKUP(A48, $K$8:$M$241, 2, FALSE)/1000 ), 0)</f>
        <v/>
      </c>
      <c r="G48" s="4837">
        <f>IFERROR(IF(VLOOKUP(A48, $K$8:$M$241, 3, FALSE)/1000 = 0, AVERAGEIF($B$5:$B$252,B48,$I$5:$I$252), VLOOKUP(A48, $K$8:$M$241, 3, FALSE)/1000 ), AVERAGEIF($B$5:$B$252,B48,$I$5:$I$252))</f>
        <v/>
      </c>
      <c r="H48" s="4837" t="n">
        <v>0.7525333333333333</v>
      </c>
      <c r="I48" s="4837" t="n">
        <v>0.5808589444525181</v>
      </c>
      <c r="K48" s="4379" t="inlineStr">
        <is>
          <t>Cayman Islands</t>
        </is>
      </c>
      <c r="L48" s="4406" t="n">
        <v>752.5333333333333</v>
      </c>
      <c r="M48" s="4406" t="n">
        <v>372.6714673977749</v>
      </c>
      <c r="O48">
        <f>VLOOKUP(A45, $K$8:$M$241, 2, FALSE)</f>
        <v/>
      </c>
    </row>
    <row r="49">
      <c r="A49" s="4111" t="inlineStr">
        <is>
          <t>Chile</t>
        </is>
      </c>
      <c r="B49">
        <f>INDEX(list_region_country!$G$3:$V$3,,SUMPRODUCT(--(list_region_country!$G$3:$V$56=Elec!A49)*(COLUMN(list_region_country!$G$3:$V$56)-COLUMN(list_region_country!$F$3))))</f>
        <v/>
      </c>
      <c r="C49" s="4837" t="n">
        <v>0.611</v>
      </c>
      <c r="D49" s="4608" t="n">
        <v>2019</v>
      </c>
      <c r="E49" s="4837">
        <f>IF(C49="",AVERAGEIF($B$5:$C$252,B49,$C$5:$C$252),C49)</f>
        <v/>
      </c>
      <c r="F49" s="4837">
        <f>IFERROR(IF(VLOOKUP(A49, $K$8:$M$241, 2, FALSE)/1000 = 0, 0, VLOOKUP(A49, $K$8:$M$241, 2, FALSE)/1000 ), 0)</f>
        <v/>
      </c>
      <c r="G49" s="4837">
        <f>IFERROR(IF(VLOOKUP(A49, $K$8:$M$241, 3, FALSE)/1000 = 0, AVERAGEIF($B$5:$B$252,B49,$I$5:$I$252), VLOOKUP(A49, $K$8:$M$241, 3, FALSE)/1000 ), AVERAGEIF($B$5:$B$252,B49,$I$5:$I$252))</f>
        <v/>
      </c>
      <c r="H49" s="4837" t="n">
        <v>0.656606215831873</v>
      </c>
      <c r="I49" s="4837" t="n">
        <v>0.3707780307360828</v>
      </c>
      <c r="K49" s="4379" t="inlineStr">
        <is>
          <t>Central African Republic</t>
        </is>
      </c>
      <c r="L49" s="4406" t="n">
        <v>188.1333333333333</v>
      </c>
      <c r="M49" s="4406" t="n">
        <v>76.54327054041116</v>
      </c>
      <c r="O49">
        <f>VLOOKUP(A46, $K$8:$M$241, 2, FALSE)</f>
        <v/>
      </c>
    </row>
    <row r="50">
      <c r="A50" s="4111" t="inlineStr">
        <is>
          <t>China</t>
        </is>
      </c>
      <c r="B50">
        <f>INDEX(list_region_country!$G$3:$V$3,,SUMPRODUCT(--(list_region_country!$G$3:$V$56=Elec!A50)*(COLUMN(list_region_country!$G$3:$V$56)-COLUMN(list_region_country!$F$3))))</f>
        <v/>
      </c>
      <c r="C50" s="4837" t="n">
        <v>0.872</v>
      </c>
      <c r="D50" s="4608" t="n">
        <v>2019</v>
      </c>
      <c r="E50" s="4837">
        <f>IF(C50="",AVERAGEIF($B$5:$C$252,B50,$C$5:$C$252),C50)</f>
        <v/>
      </c>
      <c r="F50" s="4837">
        <f>IFERROR(IF(VLOOKUP(A50, $K$8:$M$241, 2, FALSE)/1000 = 0, 0, VLOOKUP(A50, $K$8:$M$241, 2, FALSE)/1000 ), 0)</f>
        <v/>
      </c>
      <c r="G50" s="4837">
        <f>IFERROR(IF(VLOOKUP(A50, $K$8:$M$241, 3, FALSE)/1000 = 0, AVERAGEIF($B$5:$B$252,B50,$I$5:$I$252), VLOOKUP(A50, $K$8:$M$241, 3, FALSE)/1000 ), AVERAGEIF($B$5:$B$252,B50,$I$5:$I$252))</f>
        <v/>
      </c>
      <c r="H50" s="4837" t="n">
        <v>0.8989063635467729</v>
      </c>
      <c r="I50" s="4837" t="n">
        <v>0.547462698599137</v>
      </c>
      <c r="K50" s="4379" t="inlineStr">
        <is>
          <t>Chad</t>
        </is>
      </c>
      <c r="L50" s="4406" t="n">
        <v>752.5333333333333</v>
      </c>
      <c r="M50" s="4406" t="n">
        <v>580.858944452518</v>
      </c>
      <c r="O50">
        <f>VLOOKUP(A47, $K$8:$M$241, 2, FALSE)</f>
        <v/>
      </c>
    </row>
    <row r="51" ht="29" customHeight="1">
      <c r="A51" s="4111" t="inlineStr">
        <is>
          <t>China, Hong Kong Special Administrative Region</t>
        </is>
      </c>
      <c r="B51">
        <f>INDEX(list_region_country!$G$3:$V$3,,SUMPRODUCT(--(list_region_country!$G$3:$V$56=Elec!A51)*(COLUMN(list_region_country!$G$3:$V$56)-COLUMN(list_region_country!$F$3))))</f>
        <v/>
      </c>
      <c r="C51" s="4837" t="inlineStr"/>
      <c r="D51" s="4608" t="inlineStr"/>
      <c r="E51" s="4837">
        <f>IF(C51="",AVERAGEIF($B$5:$C$252,B51,$C$5:$C$252),C51)</f>
        <v/>
      </c>
      <c r="F51" s="4837">
        <f>IFERROR(IF(VLOOKUP(A51, $K$8:$M$241, 2, FALSE)/1000 = 0, 0, VLOOKUP(A51, $K$8:$M$241, 2, FALSE)/1000 ), 0)</f>
        <v/>
      </c>
      <c r="G51" s="4837">
        <f>IFERROR(IF(VLOOKUP(A51, $K$8:$M$241, 3, FALSE)/1000 = 0, AVERAGEIF($B$5:$B$252,B51,$I$5:$I$252), VLOOKUP(A51, $K$8:$M$241, 3, FALSE)/1000 ), AVERAGEIF($B$5:$B$252,B51,$I$5:$I$252))</f>
        <v/>
      </c>
      <c r="H51" s="4837" t="n">
        <v>0.8989063635467729</v>
      </c>
      <c r="I51" s="4837" t="n">
        <v>0.547462698599137</v>
      </c>
      <c r="K51" s="4379" t="inlineStr">
        <is>
          <t>Channel Islands (U.K)</t>
        </is>
      </c>
      <c r="L51" s="4407" t="n">
        <v>752.5333333333333</v>
      </c>
      <c r="M51" s="4406" t="n">
        <v>388.6433079607555</v>
      </c>
      <c r="O51">
        <f>VLOOKUP(A48, $K$8:$M$241, 2, FALSE)</f>
        <v/>
      </c>
    </row>
    <row r="52" ht="29" customHeight="1">
      <c r="A52" s="4111" t="inlineStr">
        <is>
          <t>China, Macao Special Administrative Region</t>
        </is>
      </c>
      <c r="B52">
        <f>INDEX(list_region_country!$G$3:$V$3,,SUMPRODUCT(--(list_region_country!$G$3:$V$56=Elec!A52)*(COLUMN(list_region_country!$G$3:$V$56)-COLUMN(list_region_country!$F$3))))</f>
        <v/>
      </c>
      <c r="C52" s="4837" t="inlineStr"/>
      <c r="D52" s="4608" t="inlineStr"/>
      <c r="E52" s="4837">
        <f>IF(C52="",AVERAGEIF($B$5:$C$252,B52,$C$5:$C$252),C52)</f>
        <v/>
      </c>
      <c r="F52" s="4837">
        <f>IFERROR(IF(VLOOKUP(A52, $K$8:$M$241, 2, FALSE)/1000 = 0, 0, VLOOKUP(A52, $K$8:$M$241, 2, FALSE)/1000 ), 0)</f>
        <v/>
      </c>
      <c r="G52" s="4837">
        <f>IFERROR(IF(VLOOKUP(A52, $K$8:$M$241, 3, FALSE)/1000 = 0, AVERAGEIF($B$5:$B$252,B52,$I$5:$I$252), VLOOKUP(A52, $K$8:$M$241, 3, FALSE)/1000 ), AVERAGEIF($B$5:$B$252,B52,$I$5:$I$252))</f>
        <v/>
      </c>
      <c r="H52" s="4837" t="inlineStr">
        <is>
          <t>N/A</t>
        </is>
      </c>
      <c r="I52" s="4837" t="inlineStr">
        <is>
          <t>N/A</t>
        </is>
      </c>
      <c r="K52" s="4379" t="inlineStr">
        <is>
          <t>Chile</t>
        </is>
      </c>
      <c r="L52" s="4407" t="n">
        <v>656.606215831873</v>
      </c>
      <c r="M52" s="4406" t="n">
        <v>370.7780307360828</v>
      </c>
      <c r="O52">
        <f>VLOOKUP(A49, $K$8:$M$241, 2, FALSE)</f>
        <v/>
      </c>
    </row>
    <row r="53">
      <c r="A53" s="4110" t="inlineStr">
        <is>
          <t>Christmas Island</t>
        </is>
      </c>
      <c r="B53">
        <f>INDEX(list_region_country!$G$3:$V$3,,SUMPRODUCT(--(list_region_country!$G$3:$V$56=Elec!A53)*(COLUMN(list_region_country!$G$3:$V$56)-COLUMN(list_region_country!$F$3))))</f>
        <v/>
      </c>
      <c r="C53" s="4837" t="inlineStr"/>
      <c r="D53" s="4608" t="inlineStr"/>
      <c r="E53" s="4837">
        <f>IF(C53="",AVERAGEIF($B$5:$C$252,B53,$C$5:$C$252),C53)</f>
        <v/>
      </c>
      <c r="F53" s="4837">
        <f>IFERROR(IF(VLOOKUP(A53, $K$8:$M$241, 2, FALSE)/1000 = 0, 0, VLOOKUP(A53, $K$8:$M$241, 2, FALSE)/1000 ), 0)</f>
        <v/>
      </c>
      <c r="G53" s="4837">
        <f>IFERROR(IF(VLOOKUP(A53, $K$8:$M$241, 3, FALSE)/1000 = 0, AVERAGEIF($B$5:$B$252,B53,$I$5:$I$252), VLOOKUP(A53, $K$8:$M$241, 3, FALSE)/1000 ), AVERAGEIF($B$5:$B$252,B53,$I$5:$I$252))</f>
        <v/>
      </c>
      <c r="H53" s="4837" t="inlineStr">
        <is>
          <t>N/A</t>
        </is>
      </c>
      <c r="I53" s="4837" t="inlineStr">
        <is>
          <t>N/A</t>
        </is>
      </c>
      <c r="K53" s="4379" t="inlineStr">
        <is>
          <t>China</t>
        </is>
      </c>
      <c r="L53" s="4407" t="n">
        <v>898.9063635467729</v>
      </c>
      <c r="M53" s="4406" t="n">
        <v>547.462698599137</v>
      </c>
      <c r="O53">
        <f>VLOOKUP(A50, $K$8:$M$241, 2, FALSE)</f>
        <v/>
      </c>
    </row>
    <row r="54">
      <c r="A54" s="4110" t="inlineStr">
        <is>
          <t>Cocos (Keeling) Islands</t>
        </is>
      </c>
      <c r="B54">
        <f>INDEX(list_region_country!$G$3:$V$3,,SUMPRODUCT(--(list_region_country!$G$3:$V$56=Elec!A54)*(COLUMN(list_region_country!$G$3:$V$56)-COLUMN(list_region_country!$F$3))))</f>
        <v/>
      </c>
      <c r="C54" s="4837" t="inlineStr"/>
      <c r="D54" s="4608" t="inlineStr"/>
      <c r="E54" s="4837">
        <f>IF(C54="",AVERAGEIF($B$5:$C$252,B54,$C$5:$C$252),C54)</f>
        <v/>
      </c>
      <c r="F54" s="4837">
        <f>IFERROR(IF(VLOOKUP(A54, $K$8:$M$241, 2, FALSE)/1000 = 0, 0, VLOOKUP(A54, $K$8:$M$241, 2, FALSE)/1000 ), 0)</f>
        <v/>
      </c>
      <c r="G54" s="4837">
        <f>IFERROR(IF(VLOOKUP(A54, $K$8:$M$241, 3, FALSE)/1000 = 0, AVERAGEIF($B$5:$B$252,B54,$I$5:$I$252), VLOOKUP(A54, $K$8:$M$241, 3, FALSE)/1000 ), AVERAGEIF($B$5:$B$252,B54,$I$5:$I$252))</f>
        <v/>
      </c>
      <c r="H54" s="4837" t="inlineStr">
        <is>
          <t>N/A</t>
        </is>
      </c>
      <c r="I54" s="4837" t="inlineStr">
        <is>
          <t>N/A</t>
        </is>
      </c>
      <c r="K54" s="4379" t="inlineStr">
        <is>
          <t>Colombia</t>
        </is>
      </c>
      <c r="L54" s="4406" t="n">
        <v>409.7107473014722</v>
      </c>
      <c r="M54" s="4406" t="n">
        <v>208.3405816551489</v>
      </c>
      <c r="O54">
        <f>VLOOKUP(A51, $K$8:$M$241, 2, FALSE)</f>
        <v/>
      </c>
    </row>
    <row r="55">
      <c r="A55" s="4111" t="inlineStr">
        <is>
          <t>Colombia</t>
        </is>
      </c>
      <c r="B55">
        <f>INDEX(list_region_country!$G$3:$V$3,,SUMPRODUCT(--(list_region_country!$G$3:$V$56=Elec!A55)*(COLUMN(list_region_country!$G$3:$V$56)-COLUMN(list_region_country!$F$3))))</f>
        <v/>
      </c>
      <c r="C55" s="4837" t="n">
        <v>0.33</v>
      </c>
      <c r="D55" s="4608" t="n">
        <v>2019</v>
      </c>
      <c r="E55" s="4837">
        <f>IF(C55="",AVERAGEIF($B$5:$C$252,B55,$C$5:$C$252),C55)</f>
        <v/>
      </c>
      <c r="F55" s="4837">
        <f>IFERROR(IF(VLOOKUP(A55, $K$8:$M$241, 2, FALSE)/1000 = 0, 0, VLOOKUP(A55, $K$8:$M$241, 2, FALSE)/1000 ), 0)</f>
        <v/>
      </c>
      <c r="G55" s="4837">
        <f>IFERROR(IF(VLOOKUP(A55, $K$8:$M$241, 3, FALSE)/1000 = 0, AVERAGEIF($B$5:$B$252,B55,$I$5:$I$252), VLOOKUP(A55, $K$8:$M$241, 3, FALSE)/1000 ), AVERAGEIF($B$5:$B$252,B55,$I$5:$I$252))</f>
        <v/>
      </c>
      <c r="H55" s="4837" t="n">
        <v>0.4097107473014722</v>
      </c>
      <c r="I55" s="4837" t="n">
        <v>0.2083405816551489</v>
      </c>
      <c r="K55" s="4379" t="inlineStr">
        <is>
          <t>Comoros</t>
        </is>
      </c>
      <c r="L55" s="4407" t="n">
        <v>752.5333333333333</v>
      </c>
      <c r="M55" s="4406" t="n">
        <v>589.1121073872121</v>
      </c>
      <c r="O55">
        <f>VLOOKUP(A52, $K$8:$M$241, 2, FALSE)</f>
        <v/>
      </c>
    </row>
    <row r="56">
      <c r="A56" s="4110" t="inlineStr">
        <is>
          <t>Comoros</t>
        </is>
      </c>
      <c r="B56">
        <f>INDEX(list_region_country!$G$3:$V$3,,SUMPRODUCT(--(list_region_country!$G$3:$V$56=Elec!A56)*(COLUMN(list_region_country!$G$3:$V$56)-COLUMN(list_region_country!$F$3))))</f>
        <v/>
      </c>
      <c r="C56" s="4837" t="inlineStr"/>
      <c r="D56" s="4608" t="inlineStr"/>
      <c r="E56" s="4837">
        <f>IF(C56="",AVERAGEIF($B$5:$C$252,B56,$C$5:$C$252),C56)</f>
        <v/>
      </c>
      <c r="F56" s="4837">
        <f>IFERROR(IF(VLOOKUP(A56, $K$8:$M$241, 2, FALSE)/1000 = 0, 0, VLOOKUP(A56, $K$8:$M$241, 2, FALSE)/1000 ), 0)</f>
        <v/>
      </c>
      <c r="G56" s="4837">
        <f>IFERROR(IF(VLOOKUP(A56, $K$8:$M$241, 3, FALSE)/1000 = 0, AVERAGEIF($B$5:$B$252,B56,$I$5:$I$252), VLOOKUP(A56, $K$8:$M$241, 3, FALSE)/1000 ), AVERAGEIF($B$5:$B$252,B56,$I$5:$I$252))</f>
        <v/>
      </c>
      <c r="H56" s="4837" t="n">
        <v>0.7525333333333333</v>
      </c>
      <c r="I56" s="4837" t="n">
        <v>0.5891121073872121</v>
      </c>
      <c r="K56" s="4379" t="inlineStr">
        <is>
          <t>Democratic Republic of the Congo</t>
        </is>
      </c>
      <c r="L56" s="4407" t="n">
        <v>0</v>
      </c>
      <c r="M56" s="4406" t="n">
        <v>0.3731949990667075</v>
      </c>
      <c r="O56">
        <f>VLOOKUP(A53, $K$8:$M$241, 2, FALSE)</f>
        <v/>
      </c>
    </row>
    <row r="57">
      <c r="A57" s="4110" t="inlineStr">
        <is>
          <t>Congo</t>
        </is>
      </c>
      <c r="B57">
        <f>INDEX(list_region_country!$G$3:$V$3,,SUMPRODUCT(--(list_region_country!$G$3:$V$56=Elec!A57)*(COLUMN(list_region_country!$G$3:$V$56)-COLUMN(list_region_country!$F$3))))</f>
        <v/>
      </c>
      <c r="C57" s="4837" t="n">
        <v>0.6830252233863743</v>
      </c>
      <c r="D57" s="4608" t="n">
        <v>2007</v>
      </c>
      <c r="E57" s="4837">
        <f>IF(C57="",AVERAGEIF($B$5:$C$252,B57,$C$5:$C$252),C57)</f>
        <v/>
      </c>
      <c r="F57" s="4837">
        <f>IFERROR(IF(VLOOKUP(A57, $K$8:$M$241, 2, FALSE)/1000 = 0, 0, VLOOKUP(A57, $K$8:$M$241, 2, FALSE)/1000 ), 0)</f>
        <v/>
      </c>
      <c r="G57" s="4837">
        <f>IFERROR(IF(VLOOKUP(A57, $K$8:$M$241, 3, FALSE)/1000 = 0, AVERAGEIF($B$5:$B$252,B57,$I$5:$I$252), VLOOKUP(A57, $K$8:$M$241, 3, FALSE)/1000 ), AVERAGEIF($B$5:$B$252,B57,$I$5:$I$252))</f>
        <v/>
      </c>
      <c r="H57" s="4837" t="n">
        <v>0.6593524828112484</v>
      </c>
      <c r="I57" s="4837" t="n">
        <v>0.4052711501588599</v>
      </c>
      <c r="K57" s="4379" t="inlineStr">
        <is>
          <t>Congo</t>
        </is>
      </c>
      <c r="L57" s="4406" t="n">
        <v>659.3524828112484</v>
      </c>
      <c r="M57" s="4406" t="n">
        <v>405.2711501588599</v>
      </c>
      <c r="O57">
        <f>VLOOKUP(A54, $K$8:$M$241, 2, FALSE)</f>
        <v/>
      </c>
    </row>
    <row r="58">
      <c r="A58" s="4110" t="inlineStr">
        <is>
          <t>Cook Islands</t>
        </is>
      </c>
      <c r="B58">
        <f>INDEX(list_region_country!$G$3:$V$3,,SUMPRODUCT(--(list_region_country!$G$3:$V$56=Elec!A58)*(COLUMN(list_region_country!$G$3:$V$56)-COLUMN(list_region_country!$F$3))))</f>
        <v/>
      </c>
      <c r="C58" s="4837" t="inlineStr"/>
      <c r="D58" s="4608" t="inlineStr"/>
      <c r="E58" s="4837">
        <f>IF(C58="",AVERAGEIF($B$5:$C$252,B58,$C$5:$C$252),C58)</f>
        <v/>
      </c>
      <c r="F58" s="4837">
        <f>IFERROR(IF(VLOOKUP(A58, $K$8:$M$241, 2, FALSE)/1000 = 0, 0, VLOOKUP(A58, $K$8:$M$241, 2, FALSE)/1000 ), 0)</f>
        <v/>
      </c>
      <c r="G58" s="4837">
        <f>IFERROR(IF(VLOOKUP(A58, $K$8:$M$241, 3, FALSE)/1000 = 0, AVERAGEIF($B$5:$B$252,B58,$I$5:$I$252), VLOOKUP(A58, $K$8:$M$241, 3, FALSE)/1000 ), AVERAGEIF($B$5:$B$252,B58,$I$5:$I$252))</f>
        <v/>
      </c>
      <c r="H58" s="4837" t="n">
        <v>0.7525333333333333</v>
      </c>
      <c r="I58" s="4837" t="n">
        <v>0.4217247466819036</v>
      </c>
      <c r="K58" s="4379" t="inlineStr">
        <is>
          <t>Cook Islands</t>
        </is>
      </c>
      <c r="L58" s="4407" t="n">
        <v>752.5333333333333</v>
      </c>
      <c r="M58" s="4406" t="n">
        <v>421.7247466819036</v>
      </c>
      <c r="O58">
        <f>VLOOKUP(A55, $K$8:$M$241, 2, FALSE)</f>
        <v/>
      </c>
    </row>
    <row r="59">
      <c r="A59" s="4111" t="inlineStr">
        <is>
          <t>Costa Rica</t>
        </is>
      </c>
      <c r="B59">
        <f>INDEX(list_region_country!$G$3:$V$3,,SUMPRODUCT(--(list_region_country!$G$3:$V$56=Elec!A59)*(COLUMN(list_region_country!$G$3:$V$56)-COLUMN(list_region_country!$F$3))))</f>
        <v/>
      </c>
      <c r="C59" s="4837" t="n">
        <v>0.287</v>
      </c>
      <c r="D59" s="4608" t="n">
        <v>2019</v>
      </c>
      <c r="E59" s="4837">
        <f>IF(C59="",AVERAGEIF($B$5:$C$252,B59,$C$5:$C$252),C59)</f>
        <v/>
      </c>
      <c r="F59" s="4837">
        <f>IFERROR(IF(VLOOKUP(A59, $K$8:$M$241, 2, FALSE)/1000 = 0, 0, VLOOKUP(A59, $K$8:$M$241, 2, FALSE)/1000 ), 0)</f>
        <v/>
      </c>
      <c r="G59" s="4837">
        <f>IFERROR(IF(VLOOKUP(A59, $K$8:$M$241, 3, FALSE)/1000 = 0, AVERAGEIF($B$5:$B$252,B59,$I$5:$I$252), VLOOKUP(A59, $K$8:$M$241, 3, FALSE)/1000 ), AVERAGEIF($B$5:$B$252,B59,$I$5:$I$252))</f>
        <v/>
      </c>
      <c r="H59" s="4837" t="n">
        <v>0.1077742105263158</v>
      </c>
      <c r="I59" s="4837" t="n">
        <v>0.03889054290542519</v>
      </c>
      <c r="K59" s="4379" t="inlineStr">
        <is>
          <t>Costa Rica</t>
        </is>
      </c>
      <c r="L59" s="4407" t="n">
        <v>107.7742105263158</v>
      </c>
      <c r="M59" s="4406" t="n">
        <v>38.89054290542519</v>
      </c>
      <c r="O59">
        <f>VLOOKUP(A56, $K$8:$M$241, 2, FALSE)</f>
        <v/>
      </c>
    </row>
    <row r="60">
      <c r="A60" s="4111" t="inlineStr">
        <is>
          <t>Côte d’Ivoire</t>
        </is>
      </c>
      <c r="B60">
        <f>INDEX(list_region_country!$G$3:$V$3,,SUMPRODUCT(--(list_region_country!$G$3:$V$56=Elec!A60)*(COLUMN(list_region_country!$G$3:$V$56)-COLUMN(list_region_country!$F$3))))</f>
        <v/>
      </c>
      <c r="C60" s="4837" t="n">
        <v>0.5629999999999999</v>
      </c>
      <c r="D60" s="4608" t="n">
        <v>2019</v>
      </c>
      <c r="E60" s="4837">
        <f>IF(C60="",AVERAGEIF($B$5:$C$252,B60,$C$5:$C$252),C60)</f>
        <v/>
      </c>
      <c r="F60" s="4837">
        <f>IFERROR(IF(VLOOKUP(A60, $K$8:$M$241, 2, FALSE)/1000 = 0, 0, VLOOKUP(A60, $K$8:$M$241, 2, FALSE)/1000 ), 0)</f>
        <v/>
      </c>
      <c r="G60" s="4837">
        <f>IFERROR(IF(VLOOKUP(A60, $K$8:$M$241, 3, FALSE)/1000 = 0, AVERAGEIF($B$5:$B$252,B60,$I$5:$I$252), VLOOKUP(A60, $K$8:$M$241, 3, FALSE)/1000 ), AVERAGEIF($B$5:$B$252,B60,$I$5:$I$252))</f>
        <v/>
      </c>
      <c r="H60" s="4837" t="n">
        <v>0.4662636766770739</v>
      </c>
      <c r="I60" s="4837" t="n">
        <v>0.3142320720488367</v>
      </c>
      <c r="K60" s="4379" t="inlineStr">
        <is>
          <t>Côte d’Ivoire</t>
        </is>
      </c>
      <c r="L60" s="4407" t="n">
        <v>466.2636766770739</v>
      </c>
      <c r="M60" s="4406" t="n">
        <v>314.2320720488368</v>
      </c>
      <c r="O60">
        <f>VLOOKUP(A57, $K$8:$M$241, 2, FALSE)</f>
        <v/>
      </c>
    </row>
    <row r="61">
      <c r="A61" s="4110" t="inlineStr">
        <is>
          <t>Croatia</t>
        </is>
      </c>
      <c r="B61">
        <f>INDEX(list_region_country!$G$3:$V$3,,SUMPRODUCT(--(list_region_country!$G$3:$V$56=Elec!A61)*(COLUMN(list_region_country!$G$3:$V$56)-COLUMN(list_region_country!$F$3))))</f>
        <v/>
      </c>
      <c r="C61" s="4837" t="n">
        <v>0.5129629385622002</v>
      </c>
      <c r="D61" s="4608" t="n">
        <v>2007</v>
      </c>
      <c r="E61" s="4837">
        <f>IF(C61="",AVERAGEIF($B$5:$C$252,B61,$C$5:$C$252),C61)</f>
        <v/>
      </c>
      <c r="F61" s="4837">
        <f>IFERROR(IF(VLOOKUP(A61, $K$8:$M$241, 2, FALSE)/1000 = 0, 0, VLOOKUP(A61, $K$8:$M$241, 2, FALSE)/1000 ), 0)</f>
        <v/>
      </c>
      <c r="G61" s="4837">
        <f>IFERROR(IF(VLOOKUP(A61, $K$8:$M$241, 3, FALSE)/1000 = 0, AVERAGEIF($B$5:$B$252,B61,$I$5:$I$252), VLOOKUP(A61, $K$8:$M$241, 3, FALSE)/1000 ), AVERAGEIF($B$5:$B$252,B61,$I$5:$I$252))</f>
        <v/>
      </c>
      <c r="H61" s="4837" t="n">
        <v>0.29431925176013</v>
      </c>
      <c r="I61" s="4837" t="n">
        <v>0.1678631707887576</v>
      </c>
      <c r="K61" s="4379" t="inlineStr">
        <is>
          <t>Croatia</t>
        </is>
      </c>
      <c r="L61" s="4407" t="n">
        <v>294.31925176013</v>
      </c>
      <c r="M61" s="4406" t="n">
        <v>167.8631707887577</v>
      </c>
      <c r="O61">
        <f>VLOOKUP(A58, $K$8:$M$241, 2, FALSE)</f>
        <v/>
      </c>
    </row>
    <row r="62">
      <c r="A62" s="4111" t="inlineStr">
        <is>
          <t>Cuba</t>
        </is>
      </c>
      <c r="B62">
        <f>INDEX(list_region_country!$G$3:$V$3,,SUMPRODUCT(--(list_region_country!$G$3:$V$56=Elec!A62)*(COLUMN(list_region_country!$G$3:$V$56)-COLUMN(list_region_country!$F$3))))</f>
        <v/>
      </c>
      <c r="C62" s="4837" t="n">
        <v>0.874</v>
      </c>
      <c r="D62" s="4608" t="n">
        <v>2019</v>
      </c>
      <c r="E62" s="4837">
        <f>IF(C62="",AVERAGEIF($B$5:$C$252,B62,$C$5:$C$252),C62)</f>
        <v/>
      </c>
      <c r="F62" s="4837">
        <f>IFERROR(IF(VLOOKUP(A62, $K$8:$M$241, 2, FALSE)/1000 = 0, 0, VLOOKUP(A62, $K$8:$M$241, 2, FALSE)/1000 ), 0)</f>
        <v/>
      </c>
      <c r="G62" s="4837">
        <f>IFERROR(IF(VLOOKUP(A62, $K$8:$M$241, 3, FALSE)/1000 = 0, AVERAGEIF($B$5:$B$252,B62,$I$5:$I$252), VLOOKUP(A62, $K$8:$M$241, 3, FALSE)/1000 ), AVERAGEIF($B$5:$B$252,B62,$I$5:$I$252))</f>
        <v/>
      </c>
      <c r="H62" s="4837" t="n">
        <v>0.5589481039339073</v>
      </c>
      <c r="I62" s="4837" t="n">
        <v>0.391164203409921</v>
      </c>
      <c r="K62" s="4379" t="inlineStr">
        <is>
          <t>Cuba</t>
        </is>
      </c>
      <c r="L62" s="4407" t="n">
        <v>558.9481039339073</v>
      </c>
      <c r="M62" s="4406" t="n">
        <v>391.164203409921</v>
      </c>
      <c r="O62">
        <f>VLOOKUP(A59, $K$8:$M$241, 2, FALSE)</f>
        <v/>
      </c>
    </row>
    <row r="63">
      <c r="A63" s="4111" t="inlineStr">
        <is>
          <t>Curaçao</t>
        </is>
      </c>
      <c r="B63">
        <f>INDEX(list_region_country!$G$3:$V$3,,SUMPRODUCT(--(list_region_country!$G$3:$V$56=Elec!A63)*(COLUMN(list_region_country!$G$3:$V$56)-COLUMN(list_region_country!$F$3))))</f>
        <v/>
      </c>
      <c r="C63" s="4837" t="inlineStr"/>
      <c r="D63" s="4608" t="inlineStr"/>
      <c r="E63" s="4837">
        <f>IF(C63="",AVERAGEIF($B$5:$C$252,B63,$C$5:$C$252),C63)</f>
        <v/>
      </c>
      <c r="F63" s="4837">
        <f>IFERROR(IF(VLOOKUP(A63, $K$8:$M$241, 2, FALSE)/1000 = 0, 0, VLOOKUP(A63, $K$8:$M$241, 2, FALSE)/1000 ), 0)</f>
        <v/>
      </c>
      <c r="G63" s="4837">
        <f>IFERROR(IF(VLOOKUP(A63, $K$8:$M$241, 3, FALSE)/1000 = 0, AVERAGEIF($B$5:$B$252,B63,$I$5:$I$252), VLOOKUP(A63, $K$8:$M$241, 3, FALSE)/1000 ), AVERAGEIF($B$5:$B$252,B63,$I$5:$I$252))</f>
        <v/>
      </c>
      <c r="H63" s="4837" t="n">
        <v>0.8764736842105264</v>
      </c>
      <c r="I63" s="4837" t="n">
        <v>0.5057344273454731</v>
      </c>
      <c r="K63" s="4379" t="inlineStr">
        <is>
          <t>Curaçao</t>
        </is>
      </c>
      <c r="L63" s="4407" t="n">
        <v>876.4736842105264</v>
      </c>
      <c r="M63" s="4406" t="n">
        <v>505.7344273454731</v>
      </c>
      <c r="O63">
        <f>VLOOKUP(A60, $K$8:$M$241, 2, FALSE)</f>
        <v/>
      </c>
    </row>
    <row r="64">
      <c r="A64" s="4111" t="inlineStr">
        <is>
          <t>Cyprus</t>
        </is>
      </c>
      <c r="B64">
        <f>INDEX(list_region_country!$G$3:$V$3,,SUMPRODUCT(--(list_region_country!$G$3:$V$56=Elec!A64)*(COLUMN(list_region_country!$G$3:$V$56)-COLUMN(list_region_country!$F$3))))</f>
        <v/>
      </c>
      <c r="C64" s="4837" t="n">
        <v>0.798</v>
      </c>
      <c r="D64" s="4608" t="n">
        <v>2019</v>
      </c>
      <c r="E64" s="4837">
        <f>IF(C64="",AVERAGEIF($B$5:$C$252,B64,$C$5:$C$252),C64)</f>
        <v/>
      </c>
      <c r="F64" s="4837">
        <f>IFERROR(IF(VLOOKUP(A64, $K$8:$M$241, 2, FALSE)/1000 = 0, 0, VLOOKUP(A64, $K$8:$M$241, 2, FALSE)/1000 ), 0)</f>
        <v/>
      </c>
      <c r="G64" s="4837">
        <f>IFERROR(IF(VLOOKUP(A64, $K$8:$M$241, 3, FALSE)/1000 = 0, AVERAGEIF($B$5:$B$252,B64,$I$5:$I$252), VLOOKUP(A64, $K$8:$M$241, 3, FALSE)/1000 ), AVERAGEIF($B$5:$B$252,B64,$I$5:$I$252))</f>
        <v/>
      </c>
      <c r="H64" s="4837" t="n">
        <v>0.750578947368421</v>
      </c>
      <c r="I64" s="4837" t="n">
        <v>0.4380304755089935</v>
      </c>
      <c r="K64" s="4379" t="inlineStr">
        <is>
          <t>Cyprus</t>
        </is>
      </c>
      <c r="L64" s="4407" t="n">
        <v>750.578947368421</v>
      </c>
      <c r="M64" s="4406" t="n">
        <v>438.0304755089935</v>
      </c>
      <c r="O64">
        <f>VLOOKUP(A61, $K$8:$M$241, 2, FALSE)</f>
        <v/>
      </c>
    </row>
    <row r="65">
      <c r="A65" s="4110" t="inlineStr">
        <is>
          <t>Czechia</t>
        </is>
      </c>
      <c r="B65">
        <f>INDEX(list_region_country!$G$3:$V$3,,SUMPRODUCT(--(list_region_country!$G$3:$V$56=Elec!A65)*(COLUMN(list_region_country!$G$3:$V$56)-COLUMN(list_region_country!$F$3))))</f>
        <v/>
      </c>
      <c r="C65" s="4837" t="n">
        <v>0.6043627240124015</v>
      </c>
      <c r="D65" s="4608" t="n">
        <v>2007</v>
      </c>
      <c r="E65" s="4837">
        <f>IF(C65="",AVERAGEIF($B$5:$C$252,B65,$C$5:$C$252),C65)</f>
        <v/>
      </c>
      <c r="F65" s="4837">
        <f>IFERROR(IF(VLOOKUP(A65, $K$8:$M$241, 2, FALSE)/1000 = 0, 0, VLOOKUP(A65, $K$8:$M$241, 2, FALSE)/1000 ), 0)</f>
        <v/>
      </c>
      <c r="G65" s="4837">
        <f>IFERROR(IF(VLOOKUP(A65, $K$8:$M$241, 3, FALSE)/1000 = 0, AVERAGEIF($B$5:$B$252,B65,$I$5:$I$252), VLOOKUP(A65, $K$8:$M$241, 3, FALSE)/1000 ), AVERAGEIF($B$5:$B$252,B65,$I$5:$I$252))</f>
        <v/>
      </c>
      <c r="H65" s="4837" t="n">
        <v>0.9015557491352096</v>
      </c>
      <c r="I65" s="4837" t="n">
        <v>0.4613053207146579</v>
      </c>
      <c r="K65" s="4379" t="inlineStr">
        <is>
          <t>Czechia</t>
        </is>
      </c>
      <c r="L65" s="4407" t="n">
        <v>901.5557491352097</v>
      </c>
      <c r="M65" s="4406" t="n">
        <v>461.3053207146579</v>
      </c>
      <c r="O65">
        <f>VLOOKUP(A62, $K$8:$M$241, 2, FALSE)</f>
        <v/>
      </c>
    </row>
    <row r="66">
      <c r="A66" s="4111" t="inlineStr">
        <is>
          <t>Democratic People's Republic of Korea</t>
        </is>
      </c>
      <c r="B66">
        <f>INDEX(list_region_country!$G$3:$V$3,,SUMPRODUCT(--(list_region_country!$G$3:$V$56=Elec!A66)*(COLUMN(list_region_country!$G$3:$V$56)-COLUMN(list_region_country!$F$3))))</f>
        <v/>
      </c>
      <c r="C66" s="4837" t="n">
        <v>0.6304077796273748</v>
      </c>
      <c r="D66" s="4608" t="n">
        <v>2007</v>
      </c>
      <c r="E66" s="4837">
        <f>IF(C66="",AVERAGEIF($B$5:$C$252,B66,$C$5:$C$252),C66)</f>
        <v/>
      </c>
      <c r="F66" s="4837">
        <f>IFERROR(IF(VLOOKUP(A66, $K$8:$M$241, 2, FALSE)/1000 = 0, 0, VLOOKUP(A66, $K$8:$M$241, 2, FALSE)/1000 ), 0)</f>
        <v/>
      </c>
      <c r="G66" s="4837">
        <f>IFERROR(IF(VLOOKUP(A66, $K$8:$M$241, 3, FALSE)/1000 = 0, AVERAGEIF($B$5:$B$252,B66,$I$5:$I$252), VLOOKUP(A66, $K$8:$M$241, 3, FALSE)/1000 ), AVERAGEIF($B$5:$B$252,B66,$I$5:$I$252))</f>
        <v/>
      </c>
      <c r="H66" s="4837" t="n">
        <v>0.7541380434940311</v>
      </c>
      <c r="I66" s="4837" t="n">
        <v>0.359482502541372</v>
      </c>
      <c r="K66" s="4379" t="inlineStr">
        <is>
          <t>Denmark</t>
        </is>
      </c>
      <c r="L66" s="4406" t="n">
        <v>361.6356071385505</v>
      </c>
      <c r="M66" s="4406" t="n">
        <v>155.2421522413551</v>
      </c>
      <c r="O66">
        <f>VLOOKUP(A63, $K$8:$M$241, 2, FALSE)</f>
        <v/>
      </c>
    </row>
    <row r="67">
      <c r="A67" s="4110" t="inlineStr">
        <is>
          <t>Democratic Republic of the Congo</t>
        </is>
      </c>
      <c r="B67">
        <f>INDEX(list_region_country!$G$3:$V$3,,SUMPRODUCT(--(list_region_country!$G$3:$V$56=Elec!A67)*(COLUMN(list_region_country!$G$3:$V$56)-COLUMN(list_region_country!$F$3))))</f>
        <v/>
      </c>
      <c r="C67" s="4837" t="n">
        <v>0.948</v>
      </c>
      <c r="D67" s="4608" t="n">
        <v>2019</v>
      </c>
      <c r="E67" s="4837">
        <f>IF(C67="",AVERAGEIF($B$5:$C$252,B67,$C$5:$C$252),C67)</f>
        <v/>
      </c>
      <c r="F67" s="4837">
        <f>IFERROR(IF(VLOOKUP(A67, $K$8:$M$241, 2, FALSE)/1000 = 0, 0, VLOOKUP(A67, $K$8:$M$241, 2, FALSE)/1000 ), 0)</f>
        <v/>
      </c>
      <c r="G67" s="4415">
        <f>IFERROR(IF(VLOOKUP(A67, $K$8:$M$241, 3, FALSE)/1000 = 0, AVERAGEIF($B$5:$B$252,B67,$I$5:$I$252), VLOOKUP(A67, $K$8:$M$241, 3, FALSE)/1000 ), AVERAGEIF($B$5:$B$252,B67,$I$5:$I$252))</f>
        <v/>
      </c>
      <c r="H67" s="4837" t="inlineStr">
        <is>
          <t>N/A</t>
        </is>
      </c>
      <c r="I67" s="4415" t="n">
        <v>0.0003731949990667075</v>
      </c>
      <c r="K67" s="4379" t="inlineStr">
        <is>
          <t>Djibouti</t>
        </is>
      </c>
      <c r="L67" s="4406" t="n">
        <v>752.5333333333333</v>
      </c>
      <c r="M67" s="4406" t="n">
        <v>575.4710042947454</v>
      </c>
      <c r="O67">
        <f>VLOOKUP(A64, $K$8:$M$241, 2, FALSE)</f>
        <v/>
      </c>
    </row>
    <row r="68">
      <c r="A68" s="4110" t="inlineStr">
        <is>
          <t>Denmark</t>
        </is>
      </c>
      <c r="B68">
        <f>INDEX(list_region_country!$G$3:$V$3,,SUMPRODUCT(--(list_region_country!$G$3:$V$56=Elec!A68)*(COLUMN(list_region_country!$G$3:$V$56)-COLUMN(list_region_country!$F$3))))</f>
        <v/>
      </c>
      <c r="C68" s="4837" t="n">
        <v>0.3584115437150644</v>
      </c>
      <c r="D68" s="4608" t="n">
        <v>2007</v>
      </c>
      <c r="E68" s="4837">
        <f>IF(C68="",AVERAGEIF($B$5:$C$252,B68,$C$5:$C$252),C68)</f>
        <v/>
      </c>
      <c r="F68" s="4837">
        <f>IFERROR(IF(VLOOKUP(A68, $K$8:$M$241, 2, FALSE)/1000 = 0, 0, VLOOKUP(A68, $K$8:$M$241, 2, FALSE)/1000 ), 0)</f>
        <v/>
      </c>
      <c r="G68" s="4837">
        <f>IFERROR(IF(VLOOKUP(A68, $K$8:$M$241, 3, FALSE)/1000 = 0, AVERAGEIF($B$5:$B$252,B68,$I$5:$I$252), VLOOKUP(A68, $K$8:$M$241, 3, FALSE)/1000 ), AVERAGEIF($B$5:$B$252,B68,$I$5:$I$252))</f>
        <v/>
      </c>
      <c r="H68" s="4837" t="n">
        <v>0.3616356071385505</v>
      </c>
      <c r="I68" s="4837" t="n">
        <v>0.1552421522413551</v>
      </c>
      <c r="K68" s="4379" t="inlineStr">
        <is>
          <t>Dominica</t>
        </is>
      </c>
      <c r="L68" s="4407" t="n">
        <v>752.5333333333333</v>
      </c>
      <c r="M68" s="4406" t="n">
        <v>432.876330429857</v>
      </c>
      <c r="O68">
        <f>VLOOKUP(A65, $K$8:$M$241, 2, FALSE)</f>
        <v/>
      </c>
    </row>
    <row r="69">
      <c r="A69" s="4110" t="inlineStr">
        <is>
          <t>Djibouti</t>
        </is>
      </c>
      <c r="B69">
        <f>INDEX(list_region_country!$G$3:$V$3,,SUMPRODUCT(--(list_region_country!$G$3:$V$56=Elec!A69)*(COLUMN(list_region_country!$G$3:$V$56)-COLUMN(list_region_country!$F$3))))</f>
        <v/>
      </c>
      <c r="C69" s="4837" t="inlineStr"/>
      <c r="D69" s="4608" t="inlineStr"/>
      <c r="E69" s="4837">
        <f>IF(C69="",AVERAGEIF($B$5:$C$252,B69,$C$5:$C$252),C69)</f>
        <v/>
      </c>
      <c r="F69" s="4837">
        <f>IFERROR(IF(VLOOKUP(A69, $K$8:$M$241, 2, FALSE)/1000 = 0, 0, VLOOKUP(A69, $K$8:$M$241, 2, FALSE)/1000 ), 0)</f>
        <v/>
      </c>
      <c r="G69" s="4837">
        <f>IFERROR(IF(VLOOKUP(A69, $K$8:$M$241, 3, FALSE)/1000 = 0, AVERAGEIF($B$5:$B$252,B69,$I$5:$I$252), VLOOKUP(A69, $K$8:$M$241, 3, FALSE)/1000 ), AVERAGEIF($B$5:$B$252,B69,$I$5:$I$252))</f>
        <v/>
      </c>
      <c r="H69" s="4837" t="n">
        <v>0.7525333333333333</v>
      </c>
      <c r="I69" s="4837" t="n">
        <v>0.5754710042947454</v>
      </c>
      <c r="K69" s="4379" t="inlineStr">
        <is>
          <t>Dominican Republic</t>
        </is>
      </c>
      <c r="L69" s="4407" t="n">
        <v>601.2421479964493</v>
      </c>
      <c r="M69" s="4406" t="n">
        <v>426.2199044106032</v>
      </c>
      <c r="O69">
        <f>VLOOKUP(A66, $K$8:$M$241, 2, FALSE)</f>
        <v/>
      </c>
    </row>
    <row r="70">
      <c r="A70" s="4111" t="inlineStr">
        <is>
          <t>Dominica</t>
        </is>
      </c>
      <c r="B70">
        <f>INDEX(list_region_country!$G$3:$V$3,,SUMPRODUCT(--(list_region_country!$G$3:$V$56=Elec!A70)*(COLUMN(list_region_country!$G$3:$V$56)-COLUMN(list_region_country!$F$3))))</f>
        <v/>
      </c>
      <c r="C70" s="4837" t="inlineStr"/>
      <c r="D70" s="4608" t="inlineStr"/>
      <c r="E70" s="4837">
        <f>IF(C70="",AVERAGEIF($B$5:$C$252,B70,$C$5:$C$252),C70)</f>
        <v/>
      </c>
      <c r="F70" s="4837">
        <f>IFERROR(IF(VLOOKUP(A70, $K$8:$M$241, 2, FALSE)/1000 = 0, 0, VLOOKUP(A70, $K$8:$M$241, 2, FALSE)/1000 ), 0)</f>
        <v/>
      </c>
      <c r="G70" s="4837">
        <f>IFERROR(IF(VLOOKUP(A70, $K$8:$M$241, 3, FALSE)/1000 = 0, AVERAGEIF($B$5:$B$252,B70,$I$5:$I$252), VLOOKUP(A70, $K$8:$M$241, 3, FALSE)/1000 ), AVERAGEIF($B$5:$B$252,B70,$I$5:$I$252))</f>
        <v/>
      </c>
      <c r="H70" s="4837" t="n">
        <v>0.7525333333333333</v>
      </c>
      <c r="I70" s="4837" t="n">
        <v>0.432876330429857</v>
      </c>
      <c r="K70" s="4379" t="inlineStr">
        <is>
          <t>Ecuador</t>
        </is>
      </c>
      <c r="L70" s="4407" t="n">
        <v>560.2726907529952</v>
      </c>
      <c r="M70" s="4406" t="n">
        <v>280.0294909278872</v>
      </c>
      <c r="O70">
        <f>VLOOKUP(A67, $K$8:$M$241, 2, FALSE)</f>
        <v/>
      </c>
    </row>
    <row r="71">
      <c r="A71" s="4111" t="inlineStr">
        <is>
          <t>Dominican Republic</t>
        </is>
      </c>
      <c r="B71">
        <f>INDEX(list_region_country!$G$3:$V$3,,SUMPRODUCT(--(list_region_country!$G$3:$V$56=Elec!A71)*(COLUMN(list_region_country!$G$3:$V$56)-COLUMN(list_region_country!$F$3))))</f>
        <v/>
      </c>
      <c r="C71" s="4837" t="n">
        <v>0.543</v>
      </c>
      <c r="D71" s="4608" t="n">
        <v>2019</v>
      </c>
      <c r="E71" s="4837">
        <f>IF(C71="",AVERAGEIF($B$5:$C$252,B71,$C$5:$C$252),C71)</f>
        <v/>
      </c>
      <c r="F71" s="4837">
        <f>IFERROR(IF(VLOOKUP(A71, $K$8:$M$241, 2, FALSE)/1000 = 0, 0, VLOOKUP(A71, $K$8:$M$241, 2, FALSE)/1000 ), 0)</f>
        <v/>
      </c>
      <c r="G71" s="4837">
        <f>IFERROR(IF(VLOOKUP(A71, $K$8:$M$241, 3, FALSE)/1000 = 0, AVERAGEIF($B$5:$B$252,B71,$I$5:$I$252), VLOOKUP(A71, $K$8:$M$241, 3, FALSE)/1000 ), AVERAGEIF($B$5:$B$252,B71,$I$5:$I$252))</f>
        <v/>
      </c>
      <c r="H71" s="4837" t="n">
        <v>0.6012421479964493</v>
      </c>
      <c r="I71" s="4837" t="n">
        <v>0.4262199044106032</v>
      </c>
      <c r="K71" s="4379" t="inlineStr">
        <is>
          <t>Egypt</t>
        </is>
      </c>
      <c r="L71" s="4407" t="n">
        <v>553.8422660588047</v>
      </c>
      <c r="M71" s="4406" t="n">
        <v>405.8893713502974</v>
      </c>
      <c r="O71">
        <f>VLOOKUP(A68, $K$8:$M$241, 2, FALSE)</f>
        <v/>
      </c>
    </row>
    <row r="72">
      <c r="A72" s="4111" t="inlineStr">
        <is>
          <t>Ecuador</t>
        </is>
      </c>
      <c r="B72">
        <f>INDEX(list_region_country!$G$3:$V$3,,SUMPRODUCT(--(list_region_country!$G$3:$V$56=Elec!A72)*(COLUMN(list_region_country!$G$3:$V$56)-COLUMN(list_region_country!$F$3))))</f>
        <v/>
      </c>
      <c r="C72" s="4837" t="n">
        <v>0.609</v>
      </c>
      <c r="D72" s="4608" t="n">
        <v>2019</v>
      </c>
      <c r="E72" s="4837">
        <f>IF(C72="",AVERAGEIF($B$5:$C$252,B72,$C$5:$C$252),C72)</f>
        <v/>
      </c>
      <c r="F72" s="4837">
        <f>IFERROR(IF(VLOOKUP(A72, $K$8:$M$241, 2, FALSE)/1000 = 0, 0, VLOOKUP(A72, $K$8:$M$241, 2, FALSE)/1000 ), 0)</f>
        <v/>
      </c>
      <c r="G72" s="4837">
        <f>IFERROR(IF(VLOOKUP(A72, $K$8:$M$241, 3, FALSE)/1000 = 0, AVERAGEIF($B$5:$B$252,B72,$I$5:$I$252), VLOOKUP(A72, $K$8:$M$241, 3, FALSE)/1000 ), AVERAGEIF($B$5:$B$252,B72,$I$5:$I$252))</f>
        <v/>
      </c>
      <c r="H72" s="4837" t="n">
        <v>0.5602726907529952</v>
      </c>
      <c r="I72" s="4837" t="n">
        <v>0.2800294909278872</v>
      </c>
      <c r="K72" s="4379" t="inlineStr">
        <is>
          <t>El Salvador</t>
        </is>
      </c>
      <c r="L72" s="4406" t="n">
        <v>547.4921052631579</v>
      </c>
      <c r="M72" s="4406" t="n">
        <v>274.8500888809345</v>
      </c>
      <c r="O72">
        <f>VLOOKUP(A69, $K$8:$M$241, 2, FALSE)</f>
        <v/>
      </c>
    </row>
    <row r="73">
      <c r="A73" s="4111" t="inlineStr">
        <is>
          <t>Egypt</t>
        </is>
      </c>
      <c r="B73">
        <f>INDEX(list_region_country!$G$3:$V$3,,SUMPRODUCT(--(list_region_country!$G$3:$V$56=Elec!A73)*(COLUMN(list_region_country!$G$3:$V$56)-COLUMN(list_region_country!$F$3))))</f>
        <v/>
      </c>
      <c r="C73" s="4837" t="n">
        <v>0.533</v>
      </c>
      <c r="D73" s="4608" t="n">
        <v>2019</v>
      </c>
      <c r="E73" s="4837">
        <f>IF(C73="",AVERAGEIF($B$5:$C$252,B73,$C$5:$C$252),C73)</f>
        <v/>
      </c>
      <c r="F73" s="4837">
        <f>IFERROR(IF(VLOOKUP(A73, $K$8:$M$241, 2, FALSE)/1000 = 0, 0, VLOOKUP(A73, $K$8:$M$241, 2, FALSE)/1000 ), 0)</f>
        <v/>
      </c>
      <c r="G73" s="4837">
        <f>IFERROR(IF(VLOOKUP(A73, $K$8:$M$241, 3, FALSE)/1000 = 0, AVERAGEIF($B$5:$B$252,B73,$I$5:$I$252), VLOOKUP(A73, $K$8:$M$241, 3, FALSE)/1000 ), AVERAGEIF($B$5:$B$252,B73,$I$5:$I$252))</f>
        <v/>
      </c>
      <c r="H73" s="4837" t="n">
        <v>0.5538422660588047</v>
      </c>
      <c r="I73" s="4837" t="n">
        <v>0.4058893713502975</v>
      </c>
      <c r="K73" s="4379" t="inlineStr">
        <is>
          <t>Equatorial Guinea</t>
        </is>
      </c>
      <c r="L73" s="4407" t="n">
        <v>632.4328494752339</v>
      </c>
      <c r="M73" s="4406" t="n">
        <v>361.1439154384962</v>
      </c>
      <c r="O73">
        <f>VLOOKUP(A70, $K$8:$M$241, 2, FALSE)</f>
        <v/>
      </c>
    </row>
    <row r="74">
      <c r="A74" s="4111" t="inlineStr">
        <is>
          <t>El Salvador</t>
        </is>
      </c>
      <c r="B74">
        <f>INDEX(list_region_country!$G$3:$V$3,,SUMPRODUCT(--(list_region_country!$G$3:$V$56=Elec!A74)*(COLUMN(list_region_country!$G$3:$V$56)-COLUMN(list_region_country!$F$3))))</f>
        <v/>
      </c>
      <c r="C74" s="4837" t="n">
        <v>0.6820000000000001</v>
      </c>
      <c r="D74" s="4608" t="n">
        <v>2019</v>
      </c>
      <c r="E74" s="4837">
        <f>IF(C74="",AVERAGEIF($B$5:$C$252,B74,$C$5:$C$252),C74)</f>
        <v/>
      </c>
      <c r="F74" s="4837">
        <f>IFERROR(IF(VLOOKUP(A74, $K$8:$M$241, 2, FALSE)/1000 = 0, 0, VLOOKUP(A74, $K$8:$M$241, 2, FALSE)/1000 ), 0)</f>
        <v/>
      </c>
      <c r="G74" s="4837">
        <f>IFERROR(IF(VLOOKUP(A74, $K$8:$M$241, 3, FALSE)/1000 = 0, AVERAGEIF($B$5:$B$252,B74,$I$5:$I$252), VLOOKUP(A74, $K$8:$M$241, 3, FALSE)/1000 ), AVERAGEIF($B$5:$B$252,B74,$I$5:$I$252))</f>
        <v/>
      </c>
      <c r="H74" s="4837" t="n">
        <v>0.5474921052631579</v>
      </c>
      <c r="I74" s="4837" t="n">
        <v>0.2748500888809345</v>
      </c>
      <c r="K74" s="4379" t="inlineStr">
        <is>
          <t>Eritrea</t>
        </is>
      </c>
      <c r="L74" s="4407" t="n">
        <v>915.2842105263159</v>
      </c>
      <c r="M74" s="4406" t="n">
        <v>703.6590956290611</v>
      </c>
      <c r="O74">
        <f>VLOOKUP(A71, $K$8:$M$241, 2, FALSE)</f>
        <v/>
      </c>
    </row>
    <row r="75">
      <c r="A75" s="4110" t="inlineStr">
        <is>
          <t>Equatorial Guinea</t>
        </is>
      </c>
      <c r="B75">
        <f>INDEX(list_region_country!$G$3:$V$3,,SUMPRODUCT(--(list_region_country!$G$3:$V$56=Elec!A75)*(COLUMN(list_region_country!$G$3:$V$56)-COLUMN(list_region_country!$F$3))))</f>
        <v/>
      </c>
      <c r="C75" s="4837" t="inlineStr"/>
      <c r="D75" s="4608" t="inlineStr"/>
      <c r="E75" s="4837">
        <f>IF(C75="",AVERAGEIF($B$5:$C$252,B75,$C$5:$C$252),C75)</f>
        <v/>
      </c>
      <c r="F75" s="4837">
        <f>IFERROR(IF(VLOOKUP(A75, $K$8:$M$241, 2, FALSE)/1000 = 0, 0, VLOOKUP(A75, $K$8:$M$241, 2, FALSE)/1000 ), 0)</f>
        <v/>
      </c>
      <c r="G75" s="4837">
        <f>IFERROR(IF(VLOOKUP(A75, $K$8:$M$241, 3, FALSE)/1000 = 0, AVERAGEIF($B$5:$B$252,B75,$I$5:$I$252), VLOOKUP(A75, $K$8:$M$241, 3, FALSE)/1000 ), AVERAGEIF($B$5:$B$252,B75,$I$5:$I$252))</f>
        <v/>
      </c>
      <c r="H75" s="4837" t="n">
        <v>0.6324328494752338</v>
      </c>
      <c r="I75" s="4837" t="n">
        <v>0.3611439154384962</v>
      </c>
      <c r="K75" s="4379" t="inlineStr">
        <is>
          <t>Estonia</t>
        </is>
      </c>
      <c r="L75" s="4406" t="n">
        <v>1056.938472891688</v>
      </c>
      <c r="M75" s="4406" t="n">
        <v>625.1508307589613</v>
      </c>
      <c r="O75">
        <f>VLOOKUP(A72, $K$8:$M$241, 2, FALSE)</f>
        <v/>
      </c>
    </row>
    <row r="76">
      <c r="A76" s="4110" t="inlineStr">
        <is>
          <t>Eritrea</t>
        </is>
      </c>
      <c r="B76">
        <f>INDEX(list_region_country!$G$3:$V$3,,SUMPRODUCT(--(list_region_country!$G$3:$V$56=Elec!A76)*(COLUMN(list_region_country!$G$3:$V$56)-COLUMN(list_region_country!$F$3))))</f>
        <v/>
      </c>
      <c r="C76" s="4837" t="n">
        <v>0.7361541269406392</v>
      </c>
      <c r="D76" s="4608" t="n">
        <v>2007</v>
      </c>
      <c r="E76" s="4837">
        <f>IF(C76="",AVERAGEIF($B$5:$C$252,B76,$C$5:$C$252),C76)</f>
        <v/>
      </c>
      <c r="F76" s="4837">
        <f>IFERROR(IF(VLOOKUP(A76, $K$8:$M$241, 2, FALSE)/1000 = 0, 0, VLOOKUP(A76, $K$8:$M$241, 2, FALSE)/1000 ), 0)</f>
        <v/>
      </c>
      <c r="G76" s="4837">
        <f>IFERROR(IF(VLOOKUP(A76, $K$8:$M$241, 3, FALSE)/1000 = 0, AVERAGEIF($B$5:$B$252,B76,$I$5:$I$252), VLOOKUP(A76, $K$8:$M$241, 3, FALSE)/1000 ), AVERAGEIF($B$5:$B$252,B76,$I$5:$I$252))</f>
        <v/>
      </c>
      <c r="H76" s="4837" t="n">
        <v>0.9152842105263158</v>
      </c>
      <c r="I76" s="4837" t="n">
        <v>0.703659095629061</v>
      </c>
      <c r="K76" s="4379" t="inlineStr">
        <is>
          <t>Eswatini</t>
        </is>
      </c>
      <c r="L76" s="4407" t="n">
        <v>0</v>
      </c>
      <c r="M76" s="4406" t="n">
        <v>0</v>
      </c>
      <c r="O76">
        <f>VLOOKUP(A73, $K$8:$M$241, 2, FALSE)</f>
        <v/>
      </c>
    </row>
    <row r="77">
      <c r="A77" s="4110" t="inlineStr">
        <is>
          <t>Estonia</t>
        </is>
      </c>
      <c r="B77">
        <f>INDEX(list_region_country!$G$3:$V$3,,SUMPRODUCT(--(list_region_country!$G$3:$V$56=Elec!A77)*(COLUMN(list_region_country!$G$3:$V$56)-COLUMN(list_region_country!$F$3))))</f>
        <v/>
      </c>
      <c r="C77" s="4837" t="n">
        <v>0.7735482020012612</v>
      </c>
      <c r="D77" s="4608" t="n">
        <v>2007</v>
      </c>
      <c r="E77" s="4837">
        <f>IF(C77="",AVERAGEIF($B$5:$C$252,B77,$C$5:$C$252),C77)</f>
        <v/>
      </c>
      <c r="F77" s="4837">
        <f>IFERROR(IF(VLOOKUP(A77, $K$8:$M$241, 2, FALSE)/1000 = 0, 0, VLOOKUP(A77, $K$8:$M$241, 2, FALSE)/1000 ), 0)</f>
        <v/>
      </c>
      <c r="G77" s="4837">
        <f>IFERROR(IF(VLOOKUP(A77, $K$8:$M$241, 3, FALSE)/1000 = 0, AVERAGEIF($B$5:$B$252,B77,$I$5:$I$252), VLOOKUP(A77, $K$8:$M$241, 3, FALSE)/1000 ), AVERAGEIF($B$5:$B$252,B77,$I$5:$I$252))</f>
        <v/>
      </c>
      <c r="H77" s="4837" t="n">
        <v>1.056938472891688</v>
      </c>
      <c r="I77" s="4837" t="n">
        <v>0.6251508307589613</v>
      </c>
      <c r="K77" s="4379" t="inlineStr">
        <is>
          <t>Ethiopia</t>
        </is>
      </c>
      <c r="L77" s="4406" t="n">
        <v>0</v>
      </c>
      <c r="M77" s="4406" t="n">
        <v>0.141374516065872</v>
      </c>
      <c r="O77">
        <f>VLOOKUP(A74, $K$8:$M$241, 2, FALSE)</f>
        <v/>
      </c>
    </row>
    <row r="78">
      <c r="A78" s="4111" t="inlineStr">
        <is>
          <t>Eswatini</t>
        </is>
      </c>
      <c r="B78">
        <f>INDEX(list_region_country!$G$3:$V$3,,SUMPRODUCT(--(list_region_country!$G$3:$V$56=Elec!A78)*(COLUMN(list_region_country!$G$3:$V$56)-COLUMN(list_region_country!$F$3))))</f>
        <v/>
      </c>
      <c r="C78" s="4837" t="n">
        <v>0.909</v>
      </c>
      <c r="D78" s="4608" t="n">
        <v>2019</v>
      </c>
      <c r="E78" s="4837">
        <f>IF(C78="",AVERAGEIF($B$5:$C$252,B78,$C$5:$C$252),C78)</f>
        <v/>
      </c>
      <c r="F78" s="4837">
        <f>IFERROR(IF(VLOOKUP(A78, $K$8:$M$241, 2, FALSE)/1000 = 0, 0, VLOOKUP(A78, $K$8:$M$241, 2, FALSE)/1000 ), 0)</f>
        <v/>
      </c>
      <c r="G78" s="4837">
        <f>IFERROR(IF(VLOOKUP(A78, $K$8:$M$241, 3, FALSE)/1000 = 0, AVERAGEIF($B$5:$B$252,B78,$I$5:$I$252), VLOOKUP(A78, $K$8:$M$241, 3, FALSE)/1000 ), AVERAGEIF($B$5:$B$252,B78,$I$5:$I$252))</f>
        <v/>
      </c>
      <c r="H78" s="4837" t="inlineStr">
        <is>
          <t>N/A</t>
        </is>
      </c>
      <c r="I78" s="4837" t="inlineStr">
        <is>
          <t>N/A</t>
        </is>
      </c>
      <c r="K78" s="4379" t="inlineStr">
        <is>
          <t>Falkland Islands (Malvinas)</t>
        </is>
      </c>
      <c r="L78" s="4406" t="n">
        <v>752.5333333333333</v>
      </c>
      <c r="M78" s="4406" t="n">
        <v>315.5638778124766</v>
      </c>
      <c r="O78">
        <f>VLOOKUP(A75, $K$8:$M$241, 2, FALSE)</f>
        <v/>
      </c>
    </row>
    <row r="79">
      <c r="A79" s="4110" t="inlineStr">
        <is>
          <t>Ethiopia</t>
        </is>
      </c>
      <c r="B79">
        <f>INDEX(list_region_country!$G$3:$V$3,,SUMPRODUCT(--(list_region_country!$G$3:$V$56=Elec!A79)*(COLUMN(list_region_country!$G$3:$V$56)-COLUMN(list_region_country!$F$3))))</f>
        <v/>
      </c>
      <c r="C79" s="4837" t="n">
        <v>0.01051502342057762</v>
      </c>
      <c r="D79" s="4608" t="n">
        <v>2007</v>
      </c>
      <c r="E79" s="4837">
        <f>IF(C79="",AVERAGEIF($B$5:$C$252,B79,$C$5:$C$252),C79)</f>
        <v/>
      </c>
      <c r="F79" s="4837">
        <f>IFERROR(IF(VLOOKUP(A79, $K$8:$M$241, 2, FALSE)/1000 = 0, 0, VLOOKUP(A79, $K$8:$M$241, 2, FALSE)/1000 ), 0)</f>
        <v/>
      </c>
      <c r="G79" s="4416">
        <f>IFERROR(IF(VLOOKUP(A79, $K$8:$M$241, 3, FALSE)/1000 = 0, AVERAGEIF($B$5:$B$252,B79,$I$5:$I$252), VLOOKUP(A79, $K$8:$M$241, 3, FALSE)/1000 ), AVERAGEIF($B$5:$B$252,B79,$I$5:$I$252))</f>
        <v/>
      </c>
      <c r="H79" s="4837" t="inlineStr">
        <is>
          <t>N/A</t>
        </is>
      </c>
      <c r="I79" s="4837" t="n">
        <v>0.0001413745160658719</v>
      </c>
      <c r="K79" s="4379" t="inlineStr">
        <is>
          <t>Faroe Islands</t>
        </is>
      </c>
      <c r="L79" s="4406" t="n">
        <v>752.5333333333333</v>
      </c>
      <c r="M79" s="4406" t="n">
        <v>320.4106740312501</v>
      </c>
      <c r="O79">
        <f>VLOOKUP(A76, $K$8:$M$241, 2, FALSE)</f>
        <v/>
      </c>
    </row>
    <row r="80">
      <c r="A80" s="4111" t="inlineStr">
        <is>
          <t>Falkland Islands (Malvinas)</t>
        </is>
      </c>
      <c r="B80">
        <f>INDEX(list_region_country!$G$3:$V$3,,SUMPRODUCT(--(list_region_country!$G$3:$V$56=Elec!A80)*(COLUMN(list_region_country!$G$3:$V$56)-COLUMN(list_region_country!$F$3))))</f>
        <v/>
      </c>
      <c r="C80" s="4837" t="inlineStr"/>
      <c r="D80" s="4608" t="inlineStr"/>
      <c r="E80" s="4837">
        <f>IF(C80="",AVERAGEIF($B$5:$C$252,B80,$C$5:$C$252),C80)</f>
        <v/>
      </c>
      <c r="F80" s="4837">
        <f>IFERROR(IF(VLOOKUP(A80, $K$8:$M$241, 2, FALSE)/1000 = 0, 0, VLOOKUP(A80, $K$8:$M$241, 2, FALSE)/1000 ), 0)</f>
        <v/>
      </c>
      <c r="G80" s="4837">
        <f>IFERROR(IF(VLOOKUP(A80, $K$8:$M$241, 3, FALSE)/1000 = 0, AVERAGEIF($B$5:$B$252,B80,$I$5:$I$252), VLOOKUP(A80, $K$8:$M$241, 3, FALSE)/1000 ), AVERAGEIF($B$5:$B$252,B80,$I$5:$I$252))</f>
        <v/>
      </c>
      <c r="H80" s="4837" t="n">
        <v>0.7525333333333333</v>
      </c>
      <c r="I80" s="4837" t="n">
        <v>0.3155638778124766</v>
      </c>
      <c r="K80" s="4379" t="inlineStr">
        <is>
          <t>Fiji</t>
        </is>
      </c>
      <c r="L80" s="4407" t="n">
        <v>639.6533333333333</v>
      </c>
      <c r="M80" s="4406" t="n">
        <v>334.4475065463795</v>
      </c>
      <c r="O80">
        <f>VLOOKUP(A77, $K$8:$M$241, 2, FALSE)</f>
        <v/>
      </c>
    </row>
    <row r="81">
      <c r="A81" s="4110" t="inlineStr">
        <is>
          <t>Faroe Islands</t>
        </is>
      </c>
      <c r="B81">
        <f>INDEX(list_region_country!$G$3:$V$3,,SUMPRODUCT(--(list_region_country!$G$3:$V$56=Elec!A81)*(COLUMN(list_region_country!$G$3:$V$56)-COLUMN(list_region_country!$F$3))))</f>
        <v/>
      </c>
      <c r="C81" s="4837" t="inlineStr"/>
      <c r="D81" s="4608" t="inlineStr"/>
      <c r="E81" s="4837">
        <f>IF(C81="",AVERAGEIF($B$5:$C$252,B81,$C$5:$C$252),C81)</f>
        <v/>
      </c>
      <c r="F81" s="4837">
        <f>IFERROR(IF(VLOOKUP(A81, $K$8:$M$241, 2, FALSE)/1000 = 0, 0, VLOOKUP(A81, $K$8:$M$241, 2, FALSE)/1000 ), 0)</f>
        <v/>
      </c>
      <c r="G81" s="4837">
        <f>IFERROR(IF(VLOOKUP(A81, $K$8:$M$241, 3, FALSE)/1000 = 0, AVERAGEIF($B$5:$B$252,B81,$I$5:$I$252), VLOOKUP(A81, $K$8:$M$241, 3, FALSE)/1000 ), AVERAGEIF($B$5:$B$252,B81,$I$5:$I$252))</f>
        <v/>
      </c>
      <c r="H81" s="4837" t="n">
        <v>0.7525333333333333</v>
      </c>
      <c r="I81" s="4837" t="n">
        <v>0.3204106740312501</v>
      </c>
      <c r="K81" s="4379" t="inlineStr">
        <is>
          <t>Finland</t>
        </is>
      </c>
      <c r="L81" s="4407" t="n">
        <v>266.6509312925309</v>
      </c>
      <c r="M81" s="4406" t="n">
        <v>114.0774432530593</v>
      </c>
      <c r="O81">
        <f>VLOOKUP(A78, $K$8:$M$241, 2, FALSE)</f>
        <v/>
      </c>
    </row>
    <row r="82">
      <c r="A82" s="4110" t="inlineStr">
        <is>
          <t>Fiji</t>
        </is>
      </c>
      <c r="B82">
        <f>INDEX(list_region_country!$G$3:$V$3,,SUMPRODUCT(--(list_region_country!$G$3:$V$56=Elec!A82)*(COLUMN(list_region_country!$G$3:$V$56)-COLUMN(list_region_country!$F$3))))</f>
        <v/>
      </c>
      <c r="C82" s="4837" t="n">
        <v>0.597</v>
      </c>
      <c r="D82" s="4608" t="n">
        <v>2019</v>
      </c>
      <c r="E82" s="4837">
        <f>IF(C82="",AVERAGEIF($B$5:$C$252,B82,$C$5:$C$252),C82)</f>
        <v/>
      </c>
      <c r="F82" s="4837">
        <f>IFERROR(IF(VLOOKUP(A82, $K$8:$M$241, 2, FALSE)/1000 = 0, 0, VLOOKUP(A82, $K$8:$M$241, 2, FALSE)/1000 ), 0)</f>
        <v/>
      </c>
      <c r="G82" s="4837">
        <f>IFERROR(IF(VLOOKUP(A82, $K$8:$M$241, 3, FALSE)/1000 = 0, AVERAGEIF($B$5:$B$252,B82,$I$5:$I$252), VLOOKUP(A82, $K$8:$M$241, 3, FALSE)/1000 ), AVERAGEIF($B$5:$B$252,B82,$I$5:$I$252))</f>
        <v/>
      </c>
      <c r="H82" s="4837" t="n">
        <v>0.6396533333333333</v>
      </c>
      <c r="I82" s="4837" t="n">
        <v>0.3344475065463796</v>
      </c>
      <c r="K82" s="4379" t="inlineStr">
        <is>
          <t>France</t>
        </is>
      </c>
      <c r="L82" s="4406" t="n">
        <v>158.1394325865542</v>
      </c>
      <c r="M82" s="4406" t="n">
        <v>67.6227302178105</v>
      </c>
      <c r="O82">
        <f>VLOOKUP(A79, $K$8:$M$241, 2, FALSE)</f>
        <v/>
      </c>
    </row>
    <row r="83">
      <c r="A83" s="4110" t="inlineStr">
        <is>
          <t>Finland</t>
        </is>
      </c>
      <c r="B83">
        <f>INDEX(list_region_country!$G$3:$V$3,,SUMPRODUCT(--(list_region_country!$G$3:$V$56=Elec!A83)*(COLUMN(list_region_country!$G$3:$V$56)-COLUMN(list_region_country!$F$3))))</f>
        <v/>
      </c>
      <c r="C83" s="4837" t="n">
        <v>0.2391272611741077</v>
      </c>
      <c r="D83" s="4608" t="n">
        <v>2007</v>
      </c>
      <c r="E83" s="4837">
        <f>IF(C83="",AVERAGEIF($B$5:$C$252,B83,$C$5:$C$252),C83)</f>
        <v/>
      </c>
      <c r="F83" s="4837">
        <f>IFERROR(IF(VLOOKUP(A83, $K$8:$M$241, 2, FALSE)/1000 = 0, 0, VLOOKUP(A83, $K$8:$M$241, 2, FALSE)/1000 ), 0)</f>
        <v/>
      </c>
      <c r="G83" s="4837">
        <f>IFERROR(IF(VLOOKUP(A83, $K$8:$M$241, 3, FALSE)/1000 = 0, AVERAGEIF($B$5:$B$252,B83,$I$5:$I$252), VLOOKUP(A83, $K$8:$M$241, 3, FALSE)/1000 ), AVERAGEIF($B$5:$B$252,B83,$I$5:$I$252))</f>
        <v/>
      </c>
      <c r="H83" s="4837" t="n">
        <v>0.2666509312925309</v>
      </c>
      <c r="I83" s="4837" t="n">
        <v>0.1140774432530593</v>
      </c>
      <c r="K83" s="4379" t="inlineStr">
        <is>
          <t>French Guiana</t>
        </is>
      </c>
      <c r="L83" s="4406" t="n">
        <v>423.4290196078432</v>
      </c>
      <c r="M83" s="4406" t="n">
        <v>199.6395202326876</v>
      </c>
      <c r="O83">
        <f>VLOOKUP(A80, $K$8:$M$241, 2, FALSE)</f>
        <v/>
      </c>
    </row>
    <row r="84">
      <c r="A84" s="4110" t="inlineStr">
        <is>
          <t>France</t>
        </is>
      </c>
      <c r="B84">
        <f>INDEX(list_region_country!$G$3:$V$3,,SUMPRODUCT(--(list_region_country!$G$3:$V$56=Elec!A84)*(COLUMN(list_region_country!$G$3:$V$56)-COLUMN(list_region_country!$F$3))))</f>
        <v/>
      </c>
      <c r="C84" s="4837" t="n">
        <v>0.08266588035836948</v>
      </c>
      <c r="D84" s="4608" t="n">
        <v>2007</v>
      </c>
      <c r="E84" s="4837">
        <f>IF(C84="",AVERAGEIF($B$5:$C$252,B84,$C$5:$C$252),C84)</f>
        <v/>
      </c>
      <c r="F84" s="4837">
        <f>IFERROR(IF(VLOOKUP(A84, $K$8:$M$241, 2, FALSE)/1000 = 0, 0, VLOOKUP(A84, $K$8:$M$241, 2, FALSE)/1000 ), 0)</f>
        <v/>
      </c>
      <c r="G84" s="4837">
        <f>IFERROR(IF(VLOOKUP(A84, $K$8:$M$241, 3, FALSE)/1000 = 0, AVERAGEIF($B$5:$B$252,B84,$I$5:$I$252), VLOOKUP(A84, $K$8:$M$241, 3, FALSE)/1000 ), AVERAGEIF($B$5:$B$252,B84,$I$5:$I$252))</f>
        <v/>
      </c>
      <c r="H84" s="4837" t="n">
        <v>0.1581394325865542</v>
      </c>
      <c r="I84" s="4837" t="n">
        <v>0.0676227302178105</v>
      </c>
      <c r="K84" s="4379" t="inlineStr">
        <is>
          <t>French Polynesia</t>
        </is>
      </c>
      <c r="L84" s="4407" t="n">
        <v>752.5333333333333</v>
      </c>
      <c r="M84" s="4406" t="n">
        <v>412.4669215599873</v>
      </c>
      <c r="O84">
        <f>VLOOKUP(A81, $K$8:$M$241, 2, FALSE)</f>
        <v/>
      </c>
    </row>
    <row r="85">
      <c r="A85" s="4111" t="inlineStr">
        <is>
          <t>French Guiana</t>
        </is>
      </c>
      <c r="B85">
        <f>INDEX(list_region_country!$G$3:$V$3,,SUMPRODUCT(--(list_region_country!$G$3:$V$56=Elec!A85)*(COLUMN(list_region_country!$G$3:$V$56)-COLUMN(list_region_country!$F$3))))</f>
        <v/>
      </c>
      <c r="C85" s="4837" t="inlineStr"/>
      <c r="D85" s="4608" t="inlineStr"/>
      <c r="E85" s="4837">
        <f>IF(C85="",AVERAGEIF($B$5:$C$252,B85,$C$5:$C$252),C85)</f>
        <v/>
      </c>
      <c r="F85" s="4837">
        <f>IFERROR(IF(VLOOKUP(A85, $K$8:$M$241, 2, FALSE)/1000 = 0, 0, VLOOKUP(A85, $K$8:$M$241, 2, FALSE)/1000 ), 0)</f>
        <v/>
      </c>
      <c r="G85" s="4837">
        <f>IFERROR(IF(VLOOKUP(A85, $K$8:$M$241, 3, FALSE)/1000 = 0, AVERAGEIF($B$5:$B$252,B85,$I$5:$I$252), VLOOKUP(A85, $K$8:$M$241, 3, FALSE)/1000 ), AVERAGEIF($B$5:$B$252,B85,$I$5:$I$252))</f>
        <v/>
      </c>
      <c r="H85" s="4837" t="n">
        <v>0.4234290196078432</v>
      </c>
      <c r="I85" s="4837" t="n">
        <v>0.1996395202326876</v>
      </c>
      <c r="K85" s="4379" t="inlineStr">
        <is>
          <t>Gabon</t>
        </is>
      </c>
      <c r="L85" s="4406" t="n">
        <v>945.8140216999643</v>
      </c>
      <c r="M85" s="4406" t="n">
        <v>532.9343146080871</v>
      </c>
      <c r="O85">
        <f>VLOOKUP(A82, $K$8:$M$241, 2, FALSE)</f>
        <v/>
      </c>
    </row>
    <row r="86">
      <c r="A86" s="4110" t="inlineStr">
        <is>
          <t>French Polynesia</t>
        </is>
      </c>
      <c r="B86">
        <f>INDEX(list_region_country!$G$3:$V$3,,SUMPRODUCT(--(list_region_country!$G$3:$V$56=Elec!A86)*(COLUMN(list_region_country!$G$3:$V$56)-COLUMN(list_region_country!$F$3))))</f>
        <v/>
      </c>
      <c r="C86" s="4837" t="inlineStr"/>
      <c r="D86" s="4608" t="inlineStr"/>
      <c r="E86" s="4837">
        <f>IF(C86="",AVERAGEIF($B$5:$C$252,B86,$C$5:$C$252),C86)</f>
        <v/>
      </c>
      <c r="F86" s="4837">
        <f>IFERROR(IF(VLOOKUP(A86, $K$8:$M$241, 2, FALSE)/1000 = 0, 0, VLOOKUP(A86, $K$8:$M$241, 2, FALSE)/1000 ), 0)</f>
        <v/>
      </c>
      <c r="G86" s="4837">
        <f>IFERROR(IF(VLOOKUP(A86, $K$8:$M$241, 3, FALSE)/1000 = 0, AVERAGEIF($B$5:$B$252,B86,$I$5:$I$252), VLOOKUP(A86, $K$8:$M$241, 3, FALSE)/1000 ), AVERAGEIF($B$5:$B$252,B86,$I$5:$I$252))</f>
        <v/>
      </c>
      <c r="H86" s="4837" t="n">
        <v>0.7525333333333333</v>
      </c>
      <c r="I86" s="4837" t="n">
        <v>0.4124669215599873</v>
      </c>
      <c r="K86" s="4379" t="inlineStr">
        <is>
          <t>Gambia</t>
        </is>
      </c>
      <c r="L86" s="4407" t="n">
        <v>752.5333333333333</v>
      </c>
      <c r="M86" s="4406" t="n">
        <v>590.9736287084296</v>
      </c>
      <c r="O86">
        <f>VLOOKUP(A83, $K$8:$M$241, 2, FALSE)</f>
        <v/>
      </c>
    </row>
    <row r="87">
      <c r="A87" s="4110" t="inlineStr">
        <is>
          <t>French Southern Territories</t>
        </is>
      </c>
      <c r="B87">
        <f>INDEX(list_region_country!$G$3:$V$3,,SUMPRODUCT(--(list_region_country!$G$3:$V$56=Elec!A87)*(COLUMN(list_region_country!$G$3:$V$56)-COLUMN(list_region_country!$F$3))))</f>
        <v/>
      </c>
      <c r="C87" s="4837" t="inlineStr"/>
      <c r="D87" s="4608" t="inlineStr"/>
      <c r="E87" s="4837">
        <f>IF(C87="",AVERAGEIF($B$5:$C$252,B87,$C$5:$C$252),C87)</f>
        <v/>
      </c>
      <c r="F87" s="4837">
        <f>IFERROR(IF(VLOOKUP(A87, $K$8:$M$241, 2, FALSE)/1000 = 0, 0, VLOOKUP(A87, $K$8:$M$241, 2, FALSE)/1000 ), 0)</f>
        <v/>
      </c>
      <c r="G87" s="4837">
        <f>IFERROR(IF(VLOOKUP(A87, $K$8:$M$241, 3, FALSE)/1000 = 0, AVERAGEIF($B$5:$B$252,B87,$I$5:$I$252), VLOOKUP(A87, $K$8:$M$241, 3, FALSE)/1000 ), AVERAGEIF($B$5:$B$252,B87,$I$5:$I$252))</f>
        <v/>
      </c>
      <c r="H87" s="4837" t="inlineStr">
        <is>
          <t>N/A</t>
        </is>
      </c>
      <c r="I87" s="4837" t="inlineStr">
        <is>
          <t>N/A</t>
        </is>
      </c>
      <c r="K87" s="4379" t="inlineStr">
        <is>
          <t>Georgia</t>
        </is>
      </c>
      <c r="L87" s="4407" t="n">
        <v>288.875</v>
      </c>
      <c r="M87" s="4406" t="n">
        <v>135.4657980676731</v>
      </c>
      <c r="O87">
        <f>VLOOKUP(A84, $K$8:$M$241, 2, FALSE)</f>
        <v/>
      </c>
    </row>
    <row r="88">
      <c r="A88" s="4110" t="inlineStr">
        <is>
          <t>Gabon</t>
        </is>
      </c>
      <c r="B88">
        <f>INDEX(list_region_country!$G$3:$V$3,,SUMPRODUCT(--(list_region_country!$G$3:$V$56=Elec!A88)*(COLUMN(list_region_country!$G$3:$V$56)-COLUMN(list_region_country!$F$3))))</f>
        <v/>
      </c>
      <c r="C88" s="4837" t="n">
        <v>0.3111417934856496</v>
      </c>
      <c r="D88" s="4608" t="n">
        <v>2007</v>
      </c>
      <c r="E88" s="4837">
        <f>IF(C88="",AVERAGEIF($B$5:$C$252,B88,$C$5:$C$252),C88)</f>
        <v/>
      </c>
      <c r="F88" s="4837">
        <f>IFERROR(IF(VLOOKUP(A88, $K$8:$M$241, 2, FALSE)/1000 = 0, 0, VLOOKUP(A88, $K$8:$M$241, 2, FALSE)/1000 ), 0)</f>
        <v/>
      </c>
      <c r="G88" s="4837">
        <f>IFERROR(IF(VLOOKUP(A88, $K$8:$M$241, 3, FALSE)/1000 = 0, AVERAGEIF($B$5:$B$252,B88,$I$5:$I$252), VLOOKUP(A88, $K$8:$M$241, 3, FALSE)/1000 ), AVERAGEIF($B$5:$B$252,B88,$I$5:$I$252))</f>
        <v/>
      </c>
      <c r="H88" s="4837" t="n">
        <v>0.9458140216999643</v>
      </c>
      <c r="I88" s="4837" t="n">
        <v>0.5329343146080872</v>
      </c>
      <c r="K88" s="4379" t="inlineStr">
        <is>
          <t>Germany</t>
        </is>
      </c>
      <c r="L88" s="4407" t="n">
        <v>649.6899404755723</v>
      </c>
      <c r="M88" s="4406" t="n">
        <v>312.8844837588933</v>
      </c>
      <c r="O88">
        <f>VLOOKUP(A85, $K$8:$M$241, 2, FALSE)</f>
        <v/>
      </c>
    </row>
    <row r="89">
      <c r="A89" s="4111" t="inlineStr">
        <is>
          <t>Gambia</t>
        </is>
      </c>
      <c r="B89">
        <f>INDEX(list_region_country!$G$3:$V$3,,SUMPRODUCT(--(list_region_country!$G$3:$V$56=Elec!A89)*(COLUMN(list_region_country!$G$3:$V$56)-COLUMN(list_region_country!$F$3))))</f>
        <v/>
      </c>
      <c r="C89" s="4837" t="n">
        <v>0.666</v>
      </c>
      <c r="D89" s="4608" t="n">
        <v>2019</v>
      </c>
      <c r="E89" s="4837">
        <f>IF(C89="",AVERAGEIF($B$5:$C$252,B89,$C$5:$C$252),C89)</f>
        <v/>
      </c>
      <c r="F89" s="4837">
        <f>IFERROR(IF(VLOOKUP(A89, $K$8:$M$241, 2, FALSE)/1000 = 0, 0, VLOOKUP(A89, $K$8:$M$241, 2, FALSE)/1000 ), 0)</f>
        <v/>
      </c>
      <c r="G89" s="4837">
        <f>IFERROR(IF(VLOOKUP(A89, $K$8:$M$241, 3, FALSE)/1000 = 0, AVERAGEIF($B$5:$B$252,B89,$I$5:$I$252), VLOOKUP(A89, $K$8:$M$241, 3, FALSE)/1000 ), AVERAGEIF($B$5:$B$252,B89,$I$5:$I$252))</f>
        <v/>
      </c>
      <c r="H89" s="4837" t="n">
        <v>0.7525333333333333</v>
      </c>
      <c r="I89" s="4837" t="n">
        <v>0.5909736287084296</v>
      </c>
      <c r="K89" s="4379" t="inlineStr">
        <is>
          <t>Ghana</t>
        </is>
      </c>
      <c r="L89" s="4407" t="n">
        <v>494.7603637248822</v>
      </c>
      <c r="M89" s="4406" t="n">
        <v>275.9872001683846</v>
      </c>
      <c r="O89">
        <f>VLOOKUP(A86, $K$8:$M$241, 2, FALSE)</f>
        <v/>
      </c>
    </row>
    <row r="90">
      <c r="A90" s="4111" t="inlineStr">
        <is>
          <t>Georgia</t>
        </is>
      </c>
      <c r="B90">
        <f>INDEX(list_region_country!$G$3:$V$3,,SUMPRODUCT(--(list_region_country!$G$3:$V$56=Elec!A90)*(COLUMN(list_region_country!$G$3:$V$56)-COLUMN(list_region_country!$F$3))))</f>
        <v/>
      </c>
      <c r="C90" s="4837" t="n">
        <v>0.338</v>
      </c>
      <c r="D90" s="4608" t="n">
        <v>2019</v>
      </c>
      <c r="E90" s="4837">
        <f>IF(C90="",AVERAGEIF($B$5:$C$252,B90,$C$5:$C$252),C90)</f>
        <v/>
      </c>
      <c r="F90" s="4837">
        <f>IFERROR(IF(VLOOKUP(A90, $K$8:$M$241, 2, FALSE)/1000 = 0, 0, VLOOKUP(A90, $K$8:$M$241, 2, FALSE)/1000 ), 0)</f>
        <v/>
      </c>
      <c r="G90" s="4837">
        <f>IFERROR(IF(VLOOKUP(A90, $K$8:$M$241, 3, FALSE)/1000 = 0, AVERAGEIF($B$5:$B$252,B90,$I$5:$I$252), VLOOKUP(A90, $K$8:$M$241, 3, FALSE)/1000 ), AVERAGEIF($B$5:$B$252,B90,$I$5:$I$252))</f>
        <v/>
      </c>
      <c r="H90" s="4837" t="n">
        <v>0.288875</v>
      </c>
      <c r="I90" s="4837" t="n">
        <v>0.1354657980676731</v>
      </c>
      <c r="K90" s="4379" t="inlineStr">
        <is>
          <t>Gibraltar</t>
        </is>
      </c>
      <c r="L90" s="4407" t="n">
        <v>778.9578947368421</v>
      </c>
      <c r="M90" s="4406" t="n">
        <v>368.7848809600538</v>
      </c>
      <c r="O90">
        <f>VLOOKUP(A87, $K$8:$M$241, 2, FALSE)</f>
        <v/>
      </c>
    </row>
    <row r="91">
      <c r="A91" s="4110" t="inlineStr">
        <is>
          <t>Germany</t>
        </is>
      </c>
      <c r="B91">
        <f>INDEX(list_region_country!$G$3:$V$3,,SUMPRODUCT(--(list_region_country!$G$3:$V$56=Elec!A91)*(COLUMN(list_region_country!$G$3:$V$56)-COLUMN(list_region_country!$F$3))))</f>
        <v/>
      </c>
      <c r="C91" s="4837" t="n">
        <v>0.5387583992448152</v>
      </c>
      <c r="D91" s="4608" t="n">
        <v>2007</v>
      </c>
      <c r="E91" s="4837">
        <f>IF(C91="",AVERAGEIF($B$5:$C$252,B91,$C$5:$C$252),C91)</f>
        <v/>
      </c>
      <c r="F91" s="4837">
        <f>IFERROR(IF(VLOOKUP(A91, $K$8:$M$241, 2, FALSE)/1000 = 0, 0, VLOOKUP(A91, $K$8:$M$241, 2, FALSE)/1000 ), 0)</f>
        <v/>
      </c>
      <c r="G91" s="4837">
        <f>IFERROR(IF(VLOOKUP(A91, $K$8:$M$241, 3, FALSE)/1000 = 0, AVERAGEIF($B$5:$B$252,B91,$I$5:$I$252), VLOOKUP(A91, $K$8:$M$241, 3, FALSE)/1000 ), AVERAGEIF($B$5:$B$252,B91,$I$5:$I$252))</f>
        <v/>
      </c>
      <c r="H91" s="4837" t="n">
        <v>0.6496899404755723</v>
      </c>
      <c r="I91" s="4837" t="n">
        <v>0.3128844837588933</v>
      </c>
      <c r="K91" s="4379" t="inlineStr">
        <is>
          <t>Greece</t>
        </is>
      </c>
      <c r="L91" s="4406" t="n">
        <v>507.1245805104859</v>
      </c>
      <c r="M91" s="4406" t="n">
        <v>345.8436563843835</v>
      </c>
      <c r="O91">
        <f>VLOOKUP(A88, $K$8:$M$241, 2, FALSE)</f>
        <v/>
      </c>
    </row>
    <row r="92">
      <c r="A92" s="4111" t="inlineStr">
        <is>
          <t>Ghana</t>
        </is>
      </c>
      <c r="B92">
        <f>INDEX(list_region_country!$G$3:$V$3,,SUMPRODUCT(--(list_region_country!$G$3:$V$56=Elec!A92)*(COLUMN(list_region_country!$G$3:$V$56)-COLUMN(list_region_country!$F$3))))</f>
        <v/>
      </c>
      <c r="C92" s="4837" t="n">
        <v>0.5629999999999999</v>
      </c>
      <c r="D92" s="4608" t="n">
        <v>2019</v>
      </c>
      <c r="E92" s="4837">
        <f>IF(C92="",AVERAGEIF($B$5:$C$252,B92,$C$5:$C$252),C92)</f>
        <v/>
      </c>
      <c r="F92" s="4837">
        <f>IFERROR(IF(VLOOKUP(A92, $K$8:$M$241, 2, FALSE)/1000 = 0, 0, VLOOKUP(A92, $K$8:$M$241, 2, FALSE)/1000 ), 0)</f>
        <v/>
      </c>
      <c r="G92" s="4837">
        <f>IFERROR(IF(VLOOKUP(A92, $K$8:$M$241, 3, FALSE)/1000 = 0, AVERAGEIF($B$5:$B$252,B92,$I$5:$I$252), VLOOKUP(A92, $K$8:$M$241, 3, FALSE)/1000 ), AVERAGEIF($B$5:$B$252,B92,$I$5:$I$252))</f>
        <v/>
      </c>
      <c r="H92" s="4837" t="n">
        <v>0.4947603637248822</v>
      </c>
      <c r="I92" s="4837" t="n">
        <v>0.2759872001683846</v>
      </c>
      <c r="K92" s="4379" t="inlineStr">
        <is>
          <t>Greenland</t>
        </is>
      </c>
      <c r="L92" s="4406" t="n">
        <v>264.0126315789473</v>
      </c>
      <c r="M92" s="4406" t="n">
        <v>104.8154387436653</v>
      </c>
      <c r="O92">
        <f>VLOOKUP(A89, $K$8:$M$241, 2, FALSE)</f>
        <v/>
      </c>
    </row>
    <row r="93">
      <c r="A93" s="4110" t="inlineStr">
        <is>
          <t>Gibraltar</t>
        </is>
      </c>
      <c r="B93">
        <f>INDEX(list_region_country!$G$3:$V$3,,SUMPRODUCT(--(list_region_country!$G$3:$V$56=Elec!A93)*(COLUMN(list_region_country!$G$3:$V$56)-COLUMN(list_region_country!$F$3))))</f>
        <v/>
      </c>
      <c r="C93" s="4837" t="n">
        <v>0.8695603656036447</v>
      </c>
      <c r="D93" s="4608" t="n">
        <v>2007</v>
      </c>
      <c r="E93" s="4837">
        <f>IF(C93="",AVERAGEIF($B$5:$C$252,B93,$C$5:$C$252),C93)</f>
        <v/>
      </c>
      <c r="F93" s="4837">
        <f>IFERROR(IF(VLOOKUP(A93, $K$8:$M$241, 2, FALSE)/1000 = 0, 0, VLOOKUP(A93, $K$8:$M$241, 2, FALSE)/1000 ), 0)</f>
        <v/>
      </c>
      <c r="G93" s="4837">
        <f>IFERROR(IF(VLOOKUP(A93, $K$8:$M$241, 3, FALSE)/1000 = 0, AVERAGEIF($B$5:$B$252,B93,$I$5:$I$252), VLOOKUP(A93, $K$8:$M$241, 3, FALSE)/1000 ), AVERAGEIF($B$5:$B$252,B93,$I$5:$I$252))</f>
        <v/>
      </c>
      <c r="H93" s="4837" t="n">
        <v>0.7789578947368422</v>
      </c>
      <c r="I93" s="4837" t="n">
        <v>0.3687848809600539</v>
      </c>
      <c r="K93" s="4379" t="inlineStr">
        <is>
          <t>Grenada</t>
        </is>
      </c>
      <c r="L93" s="4406" t="n">
        <v>752.5333333333333</v>
      </c>
      <c r="M93" s="4406" t="n">
        <v>522.6972855042964</v>
      </c>
      <c r="O93">
        <f>VLOOKUP(A90, $K$8:$M$241, 2, FALSE)</f>
        <v/>
      </c>
    </row>
    <row r="94">
      <c r="A94" s="4110" t="inlineStr">
        <is>
          <t>Greece</t>
        </is>
      </c>
      <c r="B94">
        <f>INDEX(list_region_country!$G$3:$V$3,,SUMPRODUCT(--(list_region_country!$G$3:$V$56=Elec!A94)*(COLUMN(list_region_country!$G$3:$V$56)-COLUMN(list_region_country!$F$3))))</f>
        <v/>
      </c>
      <c r="C94" s="4837" t="n">
        <v>0.8867450180846149</v>
      </c>
      <c r="D94" s="4608" t="n">
        <v>2007</v>
      </c>
      <c r="E94" s="4837">
        <f>IF(C94="",AVERAGEIF($B$5:$C$252,B94,$C$5:$C$252),C94)</f>
        <v/>
      </c>
      <c r="F94" s="4837">
        <f>IFERROR(IF(VLOOKUP(A94, $K$8:$M$241, 2, FALSE)/1000 = 0, 0, VLOOKUP(A94, $K$8:$M$241, 2, FALSE)/1000 ), 0)</f>
        <v/>
      </c>
      <c r="G94" s="4837">
        <f>IFERROR(IF(VLOOKUP(A94, $K$8:$M$241, 3, FALSE)/1000 = 0, AVERAGEIF($B$5:$B$252,B94,$I$5:$I$252), VLOOKUP(A94, $K$8:$M$241, 3, FALSE)/1000 ), AVERAGEIF($B$5:$B$252,B94,$I$5:$I$252))</f>
        <v/>
      </c>
      <c r="H94" s="4837" t="n">
        <v>0.5071245805104859</v>
      </c>
      <c r="I94" s="4837" t="n">
        <v>0.3458436563843835</v>
      </c>
      <c r="K94" s="4379" t="inlineStr">
        <is>
          <t>Guadeloupe</t>
        </is>
      </c>
      <c r="L94" s="4406" t="n">
        <v>752.5333333333333</v>
      </c>
      <c r="M94" s="4406" t="n">
        <v>432.8381638237641</v>
      </c>
      <c r="O94">
        <f>VLOOKUP(A91, $K$8:$M$241, 2, FALSE)</f>
        <v/>
      </c>
    </row>
    <row r="95">
      <c r="A95" s="4111" t="inlineStr">
        <is>
          <t>Greenland</t>
        </is>
      </c>
      <c r="B95">
        <f>INDEX(list_region_country!$G$3:$V$3,,SUMPRODUCT(--(list_region_country!$G$3:$V$56=Elec!A95)*(COLUMN(list_region_country!$G$3:$V$56)-COLUMN(list_region_country!$F$3))))</f>
        <v/>
      </c>
      <c r="C95" s="4837" t="inlineStr"/>
      <c r="D95" s="4608" t="inlineStr"/>
      <c r="E95" s="4837">
        <f>IF(C95="",AVERAGEIF($B$5:$C$252,B95,$C$5:$C$252),C95)</f>
        <v/>
      </c>
      <c r="F95" s="4837">
        <f>IFERROR(IF(VLOOKUP(A95, $K$8:$M$241, 2, FALSE)/1000 = 0, 0, VLOOKUP(A95, $K$8:$M$241, 2, FALSE)/1000 ), 0)</f>
        <v/>
      </c>
      <c r="G95" s="4837">
        <f>IFERROR(IF(VLOOKUP(A95, $K$8:$M$241, 3, FALSE)/1000 = 0, AVERAGEIF($B$5:$B$252,B95,$I$5:$I$252), VLOOKUP(A95, $K$8:$M$241, 3, FALSE)/1000 ), AVERAGEIF($B$5:$B$252,B95,$I$5:$I$252))</f>
        <v/>
      </c>
      <c r="H95" s="4837" t="n">
        <v>0.2640126315789473</v>
      </c>
      <c r="I95" s="4837" t="n">
        <v>0.1048154387436653</v>
      </c>
      <c r="K95" s="4379" t="inlineStr">
        <is>
          <t>Guam</t>
        </is>
      </c>
      <c r="L95" s="4407" t="n">
        <v>752.5333333333333</v>
      </c>
      <c r="M95" s="4406" t="n">
        <v>427.8175163760072</v>
      </c>
      <c r="O95">
        <f>VLOOKUP(A92, $K$8:$M$241, 2, FALSE)</f>
        <v/>
      </c>
    </row>
    <row r="96">
      <c r="A96" s="4111" t="inlineStr">
        <is>
          <t>Grenada</t>
        </is>
      </c>
      <c r="B96">
        <f>INDEX(list_region_country!$G$3:$V$3,,SUMPRODUCT(--(list_region_country!$G$3:$V$56=Elec!A96)*(COLUMN(list_region_country!$G$3:$V$56)-COLUMN(list_region_country!$F$3))))</f>
        <v/>
      </c>
      <c r="C96" s="4837" t="inlineStr"/>
      <c r="D96" s="4608" t="inlineStr"/>
      <c r="E96" s="4837">
        <f>IF(C96="",AVERAGEIF($B$5:$C$252,B96,$C$5:$C$252),C96)</f>
        <v/>
      </c>
      <c r="F96" s="4837">
        <f>IFERROR(IF(VLOOKUP(A96, $K$8:$M$241, 2, FALSE)/1000 = 0, 0, VLOOKUP(A96, $K$8:$M$241, 2, FALSE)/1000 ), 0)</f>
        <v/>
      </c>
      <c r="G96" s="4837">
        <f>IFERROR(IF(VLOOKUP(A96, $K$8:$M$241, 3, FALSE)/1000 = 0, AVERAGEIF($B$5:$B$252,B96,$I$5:$I$252), VLOOKUP(A96, $K$8:$M$241, 3, FALSE)/1000 ), AVERAGEIF($B$5:$B$252,B96,$I$5:$I$252))</f>
        <v/>
      </c>
      <c r="H96" s="4837" t="n">
        <v>0.7525333333333333</v>
      </c>
      <c r="I96" s="4837" t="n">
        <v>0.5226972855042964</v>
      </c>
      <c r="K96" s="4379" t="inlineStr">
        <is>
          <t>Guatemala</t>
        </is>
      </c>
      <c r="L96" s="4406" t="n">
        <v>797.8202165472433</v>
      </c>
      <c r="M96" s="4406" t="n">
        <v>427.1002816256614</v>
      </c>
      <c r="O96">
        <f>VLOOKUP(A93, $K$8:$M$241, 2, FALSE)</f>
        <v/>
      </c>
    </row>
    <row r="97">
      <c r="A97" s="4111" t="inlineStr">
        <is>
          <t>Guadeloupe</t>
        </is>
      </c>
      <c r="B97">
        <f>INDEX(list_region_country!$G$3:$V$3,,SUMPRODUCT(--(list_region_country!$G$3:$V$56=Elec!A97)*(COLUMN(list_region_country!$G$3:$V$56)-COLUMN(list_region_country!$F$3))))</f>
        <v/>
      </c>
      <c r="C97" s="4837" t="inlineStr"/>
      <c r="D97" s="4608" t="inlineStr"/>
      <c r="E97" s="4837">
        <f>IF(C97="",AVERAGEIF($B$5:$C$252,B97,$C$5:$C$252),C97)</f>
        <v/>
      </c>
      <c r="F97" s="4837">
        <f>IFERROR(IF(VLOOKUP(A97, $K$8:$M$241, 2, FALSE)/1000 = 0, 0, VLOOKUP(A97, $K$8:$M$241, 2, FALSE)/1000 ), 0)</f>
        <v/>
      </c>
      <c r="G97" s="4837">
        <f>IFERROR(IF(VLOOKUP(A97, $K$8:$M$241, 3, FALSE)/1000 = 0, AVERAGEIF($B$5:$B$252,B97,$I$5:$I$252), VLOOKUP(A97, $K$8:$M$241, 3, FALSE)/1000 ), AVERAGEIF($B$5:$B$252,B97,$I$5:$I$252))</f>
        <v/>
      </c>
      <c r="H97" s="4837" t="n">
        <v>0.7525333333333333</v>
      </c>
      <c r="I97" s="4837" t="n">
        <v>0.4328381638237642</v>
      </c>
      <c r="K97" s="4379" t="inlineStr">
        <is>
          <t>Guinea</t>
        </is>
      </c>
      <c r="L97" s="4406" t="n">
        <v>752.5333333333333</v>
      </c>
      <c r="M97" s="4406" t="n">
        <v>459.5535077600665</v>
      </c>
      <c r="O97">
        <f>VLOOKUP(A94, $K$8:$M$241, 2, FALSE)</f>
        <v/>
      </c>
    </row>
    <row r="98">
      <c r="A98" s="4110" t="inlineStr">
        <is>
          <t>Guam</t>
        </is>
      </c>
      <c r="B98">
        <f>INDEX(list_region_country!$G$3:$V$3,,SUMPRODUCT(--(list_region_country!$G$3:$V$56=Elec!A98)*(COLUMN(list_region_country!$G$3:$V$56)-COLUMN(list_region_country!$F$3))))</f>
        <v/>
      </c>
      <c r="C98" s="4837" t="inlineStr"/>
      <c r="D98" s="4608" t="inlineStr"/>
      <c r="E98" s="4837">
        <f>IF(C98="",AVERAGEIF($B$5:$C$252,B98,$C$5:$C$252),C98)</f>
        <v/>
      </c>
      <c r="F98" s="4837">
        <f>IFERROR(IF(VLOOKUP(A98, $K$8:$M$241, 2, FALSE)/1000 = 0, 0, VLOOKUP(A98, $K$8:$M$241, 2, FALSE)/1000 ), 0)</f>
        <v/>
      </c>
      <c r="G98" s="4837">
        <f>IFERROR(IF(VLOOKUP(A98, $K$8:$M$241, 3, FALSE)/1000 = 0, AVERAGEIF($B$5:$B$252,B98,$I$5:$I$252), VLOOKUP(A98, $K$8:$M$241, 3, FALSE)/1000 ), AVERAGEIF($B$5:$B$252,B98,$I$5:$I$252))</f>
        <v/>
      </c>
      <c r="H98" s="4837" t="n">
        <v>0.7525333333333333</v>
      </c>
      <c r="I98" s="4837" t="n">
        <v>0.4278175163760072</v>
      </c>
      <c r="K98" s="4379" t="inlineStr">
        <is>
          <t>Guinea-Bissau</t>
        </is>
      </c>
      <c r="L98" s="4406" t="n">
        <v>752.5333333333333</v>
      </c>
      <c r="M98" s="4406" t="n">
        <v>577.2261624092289</v>
      </c>
      <c r="O98">
        <f>VLOOKUP(A95, $K$8:$M$241, 2, FALSE)</f>
        <v/>
      </c>
    </row>
    <row r="99">
      <c r="A99" s="4111" t="inlineStr">
        <is>
          <t>Guatemala</t>
        </is>
      </c>
      <c r="B99">
        <f>INDEX(list_region_country!$G$3:$V$3,,SUMPRODUCT(--(list_region_country!$G$3:$V$56=Elec!A99)*(COLUMN(list_region_country!$G$3:$V$56)-COLUMN(list_region_country!$F$3))))</f>
        <v/>
      </c>
      <c r="C99" s="4837" t="n">
        <v>0.4184083880015718</v>
      </c>
      <c r="D99" s="4608" t="n">
        <v>2007</v>
      </c>
      <c r="E99" s="4837">
        <f>IF(C99="",AVERAGEIF($B$5:$C$252,B99,$C$5:$C$252),C99)</f>
        <v/>
      </c>
      <c r="F99" s="4837">
        <f>IFERROR(IF(VLOOKUP(A99, $K$8:$M$241, 2, FALSE)/1000 = 0, 0, VLOOKUP(A99, $K$8:$M$241, 2, FALSE)/1000 ), 0)</f>
        <v/>
      </c>
      <c r="G99" s="4837">
        <f>IFERROR(IF(VLOOKUP(A99, $K$8:$M$241, 3, FALSE)/1000 = 0, AVERAGEIF($B$5:$B$252,B99,$I$5:$I$252), VLOOKUP(A99, $K$8:$M$241, 3, FALSE)/1000 ), AVERAGEIF($B$5:$B$252,B99,$I$5:$I$252))</f>
        <v/>
      </c>
      <c r="H99" s="4837" t="n">
        <v>0.7978202165472432</v>
      </c>
      <c r="I99" s="4837" t="n">
        <v>0.4271002816256613</v>
      </c>
      <c r="K99" s="4379" t="inlineStr">
        <is>
          <t>Guyana</t>
        </is>
      </c>
      <c r="L99" s="4407" t="n">
        <v>846.5845048110489</v>
      </c>
      <c r="M99" s="4406" t="n">
        <v>615.6995752736618</v>
      </c>
      <c r="O99">
        <f>VLOOKUP(A96, $K$8:$M$241, 2, FALSE)</f>
        <v/>
      </c>
    </row>
    <row r="100">
      <c r="A100" s="4110" t="inlineStr">
        <is>
          <t>Guernsey</t>
        </is>
      </c>
      <c r="B100">
        <f>INDEX(list_region_country!$G$3:$V$3,,SUMPRODUCT(--(list_region_country!$G$3:$V$56=Elec!A100)*(COLUMN(list_region_country!$G$3:$V$56)-COLUMN(list_region_country!$F$3))))</f>
        <v/>
      </c>
      <c r="C100" s="4837" t="inlineStr"/>
      <c r="D100" s="4608" t="inlineStr"/>
      <c r="E100" s="4837">
        <f>IF(C100="",AVERAGEIF($B$5:$C$252,B100,$C$5:$C$252),C100)</f>
        <v/>
      </c>
      <c r="F100" s="4837">
        <f>IFERROR(IF(VLOOKUP(A100, $K$8:$M$241, 2, FALSE)/1000 = 0, 0, VLOOKUP(A100, $K$8:$M$241, 2, FALSE)/1000 ), 0)</f>
        <v/>
      </c>
      <c r="G100" s="4837">
        <f>IFERROR(IF(VLOOKUP(A100, $K$8:$M$241, 3, FALSE)/1000 = 0, AVERAGEIF($B$5:$B$252,B100,$I$5:$I$252), VLOOKUP(A100, $K$8:$M$241, 3, FALSE)/1000 ), AVERAGEIF($B$5:$B$252,B100,$I$5:$I$252))</f>
        <v/>
      </c>
      <c r="H100" s="4837" t="inlineStr">
        <is>
          <t>N/A</t>
        </is>
      </c>
      <c r="I100" s="4837" t="inlineStr">
        <is>
          <t>N/A</t>
        </is>
      </c>
      <c r="K100" s="4379" t="inlineStr">
        <is>
          <t>Haiti</t>
        </is>
      </c>
      <c r="L100" s="4407" t="n">
        <v>1047.684210526316</v>
      </c>
      <c r="M100" s="4406" t="n">
        <v>764.6132816948206</v>
      </c>
      <c r="O100">
        <f>VLOOKUP(A97, $K$8:$M$241, 2, FALSE)</f>
        <v/>
      </c>
    </row>
    <row r="101">
      <c r="A101" s="4111" t="inlineStr">
        <is>
          <t>Guinea</t>
        </is>
      </c>
      <c r="B101">
        <f>INDEX(list_region_country!$G$3:$V$3,,SUMPRODUCT(--(list_region_country!$G$3:$V$56=Elec!A101)*(COLUMN(list_region_country!$G$3:$V$56)-COLUMN(list_region_country!$F$3))))</f>
        <v/>
      </c>
      <c r="C101" s="4837" t="inlineStr"/>
      <c r="D101" s="4608" t="inlineStr"/>
      <c r="E101" s="4837">
        <f>IF(C101="",AVERAGEIF($B$5:$C$252,B101,$C$5:$C$252),C101)</f>
        <v/>
      </c>
      <c r="F101" s="4837">
        <f>IFERROR(IF(VLOOKUP(A101, $K$8:$M$241, 2, FALSE)/1000 = 0, 0, VLOOKUP(A101, $K$8:$M$241, 2, FALSE)/1000 ), 0)</f>
        <v/>
      </c>
      <c r="G101" s="4837">
        <f>IFERROR(IF(VLOOKUP(A101, $K$8:$M$241, 3, FALSE)/1000 = 0, AVERAGEIF($B$5:$B$252,B101,$I$5:$I$252), VLOOKUP(A101, $K$8:$M$241, 3, FALSE)/1000 ), AVERAGEIF($B$5:$B$252,B101,$I$5:$I$252))</f>
        <v/>
      </c>
      <c r="H101" s="4837" t="n">
        <v>0.7525333333333333</v>
      </c>
      <c r="I101" s="4837" t="n">
        <v>0.4595535077600665</v>
      </c>
      <c r="K101" s="4379" t="inlineStr">
        <is>
          <t>Honduras</t>
        </is>
      </c>
      <c r="L101" s="4407" t="n">
        <v>661.5147368421053</v>
      </c>
      <c r="M101" s="4406" t="n">
        <v>359.0872184644891</v>
      </c>
      <c r="O101">
        <f>VLOOKUP(A98, $K$8:$M$241, 2, FALSE)</f>
        <v/>
      </c>
    </row>
    <row r="102">
      <c r="A102" s="4111" t="inlineStr">
        <is>
          <t>Guinea-Bissau</t>
        </is>
      </c>
      <c r="B102">
        <f>INDEX(list_region_country!$G$3:$V$3,,SUMPRODUCT(--(list_region_country!$G$3:$V$56=Elec!A102)*(COLUMN(list_region_country!$G$3:$V$56)-COLUMN(list_region_country!$F$3))))</f>
        <v/>
      </c>
      <c r="C102" s="4837" t="inlineStr"/>
      <c r="D102" s="4608" t="inlineStr"/>
      <c r="E102" s="4837">
        <f>IF(C102="",AVERAGEIF($B$5:$C$252,B102,$C$5:$C$252),C102)</f>
        <v/>
      </c>
      <c r="F102" s="4837">
        <f>IFERROR(IF(VLOOKUP(A102, $K$8:$M$241, 2, FALSE)/1000 = 0, 0, VLOOKUP(A102, $K$8:$M$241, 2, FALSE)/1000 ), 0)</f>
        <v/>
      </c>
      <c r="G102" s="4837">
        <f>IFERROR(IF(VLOOKUP(A102, $K$8:$M$241, 3, FALSE)/1000 = 0, AVERAGEIF($B$5:$B$252,B102,$I$5:$I$252), VLOOKUP(A102, $K$8:$M$241, 3, FALSE)/1000 ), AVERAGEIF($B$5:$B$252,B102,$I$5:$I$252))</f>
        <v/>
      </c>
      <c r="H102" s="4837" t="n">
        <v>0.7525333333333333</v>
      </c>
      <c r="I102" s="4837" t="n">
        <v>0.5772261624092289</v>
      </c>
      <c r="K102" s="4379" t="inlineStr">
        <is>
          <t>Hungary</t>
        </is>
      </c>
      <c r="L102" s="4407" t="n">
        <v>295.878671656912</v>
      </c>
      <c r="M102" s="4406" t="n">
        <v>191.0681218510558</v>
      </c>
      <c r="O102">
        <f>VLOOKUP(A99, $K$8:$M$241, 2, FALSE)</f>
        <v/>
      </c>
    </row>
    <row r="103">
      <c r="A103" s="4111" t="inlineStr">
        <is>
          <t>Guyana</t>
        </is>
      </c>
      <c r="B103">
        <f>INDEX(list_region_country!$G$3:$V$3,,SUMPRODUCT(--(list_region_country!$G$3:$V$56=Elec!A103)*(COLUMN(list_region_country!$G$3:$V$56)-COLUMN(list_region_country!$F$3))))</f>
        <v/>
      </c>
      <c r="C103" s="4837" t="n">
        <v>0.948</v>
      </c>
      <c r="D103" s="4608" t="n">
        <v>2019</v>
      </c>
      <c r="E103" s="4837">
        <f>IF(C103="",AVERAGEIF($B$5:$C$252,B103,$C$5:$C$252),C103)</f>
        <v/>
      </c>
      <c r="F103" s="4837">
        <f>IFERROR(IF(VLOOKUP(A103, $K$8:$M$241, 2, FALSE)/1000 = 0, 0, VLOOKUP(A103, $K$8:$M$241, 2, FALSE)/1000 ), 0)</f>
        <v/>
      </c>
      <c r="G103" s="4837">
        <f>IFERROR(IF(VLOOKUP(A103, $K$8:$M$241, 3, FALSE)/1000 = 0, AVERAGEIF($B$5:$B$252,B103,$I$5:$I$252), VLOOKUP(A103, $K$8:$M$241, 3, FALSE)/1000 ), AVERAGEIF($B$5:$B$252,B103,$I$5:$I$252))</f>
        <v/>
      </c>
      <c r="H103" s="4837" t="n">
        <v>0.8465845048110489</v>
      </c>
      <c r="I103" s="4837" t="n">
        <v>0.6156995752736618</v>
      </c>
      <c r="K103" s="4379" t="inlineStr">
        <is>
          <t>Iceland</t>
        </is>
      </c>
      <c r="L103" s="4407" t="n">
        <v>0</v>
      </c>
      <c r="M103" s="4406" t="n">
        <v>0.03231426044255337</v>
      </c>
      <c r="O103">
        <f>VLOOKUP(A100, $K$8:$M$241, 2, FALSE)</f>
        <v/>
      </c>
    </row>
    <row r="104">
      <c r="A104" s="4111" t="inlineStr">
        <is>
          <t>Haiti</t>
        </is>
      </c>
      <c r="B104">
        <f>INDEX(list_region_country!$G$3:$V$3,,SUMPRODUCT(--(list_region_country!$G$3:$V$56=Elec!A104)*(COLUMN(list_region_country!$G$3:$V$56)-COLUMN(list_region_country!$F$3))))</f>
        <v/>
      </c>
      <c r="C104" s="4837" t="n">
        <v>0.3470337747647562</v>
      </c>
      <c r="D104" s="4608" t="n">
        <v>2007</v>
      </c>
      <c r="E104" s="4837">
        <f>IF(C104="",AVERAGEIF($B$5:$C$252,B104,$C$5:$C$252),C104)</f>
        <v/>
      </c>
      <c r="F104" s="4837">
        <f>IFERROR(IF(VLOOKUP(A104, $K$8:$M$241, 2, FALSE)/1000 = 0, 0, VLOOKUP(A104, $K$8:$M$241, 2, FALSE)/1000 ), 0)</f>
        <v/>
      </c>
      <c r="G104" s="4837">
        <f>IFERROR(IF(VLOOKUP(A104, $K$8:$M$241, 3, FALSE)/1000 = 0, AVERAGEIF($B$5:$B$252,B104,$I$5:$I$252), VLOOKUP(A104, $K$8:$M$241, 3, FALSE)/1000 ), AVERAGEIF($B$5:$B$252,B104,$I$5:$I$252))</f>
        <v/>
      </c>
      <c r="H104" s="4837" t="n">
        <v>1.047684210526316</v>
      </c>
      <c r="I104" s="4837" t="n">
        <v>0.7646132816948206</v>
      </c>
      <c r="K104" s="4379" t="inlineStr">
        <is>
          <t>India</t>
        </is>
      </c>
      <c r="L104" s="4407" t="n">
        <v>950.9217108682398</v>
      </c>
      <c r="M104" s="4406" t="n">
        <v>660.9876245225551</v>
      </c>
      <c r="O104">
        <f>VLOOKUP(A101, $K$8:$M$241, 2, FALSE)</f>
        <v/>
      </c>
    </row>
    <row r="105">
      <c r="A105" s="4110" t="inlineStr">
        <is>
          <t>Heard Island and McDonald Islands</t>
        </is>
      </c>
      <c r="B105">
        <f>INDEX(list_region_country!$G$3:$V$3,,SUMPRODUCT(--(list_region_country!$G$3:$V$56=Elec!A105)*(COLUMN(list_region_country!$G$3:$V$56)-COLUMN(list_region_country!$F$3))))</f>
        <v/>
      </c>
      <c r="C105" s="4837" t="inlineStr"/>
      <c r="D105" s="4608" t="inlineStr"/>
      <c r="E105" s="4837">
        <f>IF(C105="",AVERAGEIF($B$5:$C$252,B105,$C$5:$C$252),C105)</f>
        <v/>
      </c>
      <c r="F105" s="4837">
        <f>IFERROR(IF(VLOOKUP(A105, $K$8:$M$241, 2, FALSE)/1000 = 0, 0, VLOOKUP(A105, $K$8:$M$241, 2, FALSE)/1000 ), 0)</f>
        <v/>
      </c>
      <c r="G105" s="4837">
        <f>IFERROR(IF(VLOOKUP(A105, $K$8:$M$241, 3, FALSE)/1000 = 0, AVERAGEIF($B$5:$B$252,B105,$I$5:$I$252), VLOOKUP(A105, $K$8:$M$241, 3, FALSE)/1000 ), AVERAGEIF($B$5:$B$252,B105,$I$5:$I$252))</f>
        <v/>
      </c>
      <c r="H105" s="4837" t="inlineStr">
        <is>
          <t>N/A</t>
        </is>
      </c>
      <c r="I105" s="4837" t="inlineStr">
        <is>
          <t>N/A</t>
        </is>
      </c>
      <c r="K105" s="4379" t="inlineStr">
        <is>
          <t>Indonesia</t>
        </is>
      </c>
      <c r="L105" s="4407" t="n">
        <v>783.4679509708822</v>
      </c>
      <c r="M105" s="4406" t="n">
        <v>598.9144508812084</v>
      </c>
      <c r="O105">
        <f>VLOOKUP(A102, $K$8:$M$241, 2, FALSE)</f>
        <v/>
      </c>
    </row>
    <row r="106">
      <c r="A106" s="4110" t="inlineStr">
        <is>
          <t>Holy See</t>
        </is>
      </c>
      <c r="B106">
        <f>INDEX(list_region_country!$G$3:$V$3,,SUMPRODUCT(--(list_region_country!$G$3:$V$56=Elec!A106)*(COLUMN(list_region_country!$G$3:$V$56)-COLUMN(list_region_country!$F$3))))</f>
        <v/>
      </c>
      <c r="C106" s="4837" t="inlineStr"/>
      <c r="D106" s="4608" t="inlineStr"/>
      <c r="E106" s="4837">
        <f>IF(C106="",AVERAGEIF($B$5:$C$252,B106,$C$5:$C$252),C106)</f>
        <v/>
      </c>
      <c r="F106" s="4837">
        <f>IFERROR(IF(VLOOKUP(A106, $K$8:$M$241, 2, FALSE)/1000 = 0, 0, VLOOKUP(A106, $K$8:$M$241, 2, FALSE)/1000 ), 0)</f>
        <v/>
      </c>
      <c r="G106" s="4837">
        <f>IFERROR(IF(VLOOKUP(A106, $K$8:$M$241, 3, FALSE)/1000 = 0, AVERAGEIF($B$5:$B$252,B106,$I$5:$I$252), VLOOKUP(A106, $K$8:$M$241, 3, FALSE)/1000 ), AVERAGEIF($B$5:$B$252,B106,$I$5:$I$252))</f>
        <v/>
      </c>
      <c r="H106" s="4837" t="inlineStr">
        <is>
          <t>N/A</t>
        </is>
      </c>
      <c r="I106" s="4837" t="inlineStr">
        <is>
          <t>N/A</t>
        </is>
      </c>
      <c r="K106" s="4379" t="inlineStr">
        <is>
          <t>Iran</t>
        </is>
      </c>
      <c r="L106" s="4407" t="n">
        <v>592.0977837436884</v>
      </c>
      <c r="M106" s="4406" t="n">
        <v>420.9157086955908</v>
      </c>
      <c r="O106">
        <f>VLOOKUP(A103, $K$8:$M$241, 2, FALSE)</f>
        <v/>
      </c>
    </row>
    <row r="107">
      <c r="A107" s="4111" t="inlineStr">
        <is>
          <t>Honduras</t>
        </is>
      </c>
      <c r="B107">
        <f>INDEX(list_region_country!$G$3:$V$3,,SUMPRODUCT(--(list_region_country!$G$3:$V$56=Elec!A107)*(COLUMN(list_region_country!$G$3:$V$56)-COLUMN(list_region_country!$F$3))))</f>
        <v/>
      </c>
      <c r="C107" s="4837" t="n">
        <v>0.661</v>
      </c>
      <c r="D107" s="4608" t="n">
        <v>2019</v>
      </c>
      <c r="E107" s="4837">
        <f>IF(C107="",AVERAGEIF($B$5:$C$252,B107,$C$5:$C$252),C107)</f>
        <v/>
      </c>
      <c r="F107" s="4837">
        <f>IFERROR(IF(VLOOKUP(A107, $K$8:$M$241, 2, FALSE)/1000 = 0, 0, VLOOKUP(A107, $K$8:$M$241, 2, FALSE)/1000 ), 0)</f>
        <v/>
      </c>
      <c r="G107" s="4837">
        <f>IFERROR(IF(VLOOKUP(A107, $K$8:$M$241, 3, FALSE)/1000 = 0, AVERAGEIF($B$5:$B$252,B107,$I$5:$I$252), VLOOKUP(A107, $K$8:$M$241, 3, FALSE)/1000 ), AVERAGEIF($B$5:$B$252,B107,$I$5:$I$252))</f>
        <v/>
      </c>
      <c r="H107" s="4837" t="n">
        <v>0.6615147368421053</v>
      </c>
      <c r="I107" s="4837" t="n">
        <v>0.359087218464489</v>
      </c>
      <c r="K107" s="4379" t="inlineStr">
        <is>
          <t>Iraq</t>
        </is>
      </c>
      <c r="L107" s="4407" t="n">
        <v>1080.369235548762</v>
      </c>
      <c r="M107" s="4406" t="n">
        <v>787.9167185653282</v>
      </c>
      <c r="O107">
        <f>VLOOKUP(A104, $K$8:$M$241, 2, FALSE)</f>
        <v/>
      </c>
    </row>
    <row r="108">
      <c r="A108" s="4110" t="inlineStr">
        <is>
          <t>Hungary</t>
        </is>
      </c>
      <c r="B108">
        <f>INDEX(list_region_country!$G$3:$V$3,,SUMPRODUCT(--(list_region_country!$G$3:$V$56=Elec!A108)*(COLUMN(list_region_country!$G$3:$V$56)-COLUMN(list_region_country!$F$3))))</f>
        <v/>
      </c>
      <c r="C108" s="4837" t="n">
        <v>0.4370037270562377</v>
      </c>
      <c r="D108" s="4608" t="n">
        <v>2007</v>
      </c>
      <c r="E108" s="4837">
        <f>IF(C108="",AVERAGEIF($B$5:$C$252,B108,$C$5:$C$252),C108)</f>
        <v/>
      </c>
      <c r="F108" s="4837">
        <f>IFERROR(IF(VLOOKUP(A108, $K$8:$M$241, 2, FALSE)/1000 = 0, 0, VLOOKUP(A108, $K$8:$M$241, 2, FALSE)/1000 ), 0)</f>
        <v/>
      </c>
      <c r="G108" s="4837">
        <f>IFERROR(IF(VLOOKUP(A108, $K$8:$M$241, 3, FALSE)/1000 = 0, AVERAGEIF($B$5:$B$252,B108,$I$5:$I$252), VLOOKUP(A108, $K$8:$M$241, 3, FALSE)/1000 ), AVERAGEIF($B$5:$B$252,B108,$I$5:$I$252))</f>
        <v/>
      </c>
      <c r="H108" s="4837" t="n">
        <v>0.295878671656912</v>
      </c>
      <c r="I108" s="4837" t="n">
        <v>0.1910681218510558</v>
      </c>
      <c r="K108" s="4379" t="inlineStr">
        <is>
          <t>Ireland</t>
        </is>
      </c>
      <c r="L108" s="4407" t="n">
        <v>380.2378403218922</v>
      </c>
      <c r="M108" s="4406" t="n">
        <v>189.4819963102659</v>
      </c>
      <c r="O108">
        <f>VLOOKUP(A105, $K$8:$M$241, 2, FALSE)</f>
        <v/>
      </c>
    </row>
    <row r="109">
      <c r="A109" s="4110" t="inlineStr">
        <is>
          <t>Iceland</t>
        </is>
      </c>
      <c r="B109">
        <f>INDEX(list_region_country!$G$3:$V$3,,SUMPRODUCT(--(list_region_country!$G$3:$V$56=Elec!A109)*(COLUMN(list_region_country!$G$3:$V$56)-COLUMN(list_region_country!$F$3))))</f>
        <v/>
      </c>
      <c r="C109" s="4837" t="n">
        <v>0.001364805644873169</v>
      </c>
      <c r="D109" s="4608" t="n">
        <v>2007</v>
      </c>
      <c r="E109" s="4837">
        <f>IF(C109="",AVERAGEIF($B$5:$C$252,B109,$C$5:$C$252),C109)</f>
        <v/>
      </c>
      <c r="F109" s="4837">
        <f>IFERROR(IF(VLOOKUP(A109, $K$8:$M$241, 2, FALSE)/1000 = 0, 0, VLOOKUP(A109, $K$8:$M$241, 2, FALSE)/1000 ), 0)</f>
        <v/>
      </c>
      <c r="G109" s="4837">
        <f>IFERROR(IF(VLOOKUP(A109, $K$8:$M$241, 3, FALSE)/1000 = 0, AVERAGEIF($B$5:$B$252,B109,$I$5:$I$252), VLOOKUP(A109, $K$8:$M$241, 3, FALSE)/1000 ), AVERAGEIF($B$5:$B$252,B109,$I$5:$I$252))</f>
        <v/>
      </c>
      <c r="H109" s="4837" t="inlineStr">
        <is>
          <t>N/A</t>
        </is>
      </c>
      <c r="I109" s="4837" t="n">
        <v>3.231426044255337e-05</v>
      </c>
      <c r="K109" s="4379" t="inlineStr">
        <is>
          <t>Isle of Man</t>
        </is>
      </c>
      <c r="L109" s="4407" t="n">
        <v>436.2666666666667</v>
      </c>
      <c r="M109" s="4406" t="n">
        <v>204.2578565019429</v>
      </c>
      <c r="O109">
        <f>VLOOKUP(A106, $K$8:$M$241, 2, FALSE)</f>
        <v/>
      </c>
    </row>
    <row r="110">
      <c r="A110" s="4111" t="inlineStr">
        <is>
          <t>India</t>
        </is>
      </c>
      <c r="B110">
        <f>INDEX(list_region_country!$G$3:$V$3,,SUMPRODUCT(--(list_region_country!$G$3:$V$56=Elec!A110)*(COLUMN(list_region_country!$G$3:$V$56)-COLUMN(list_region_country!$F$3))))</f>
        <v/>
      </c>
      <c r="C110" s="4837" t="n">
        <v>0.92</v>
      </c>
      <c r="D110" s="4608" t="n">
        <v>2019</v>
      </c>
      <c r="E110" s="4837">
        <f>IF(C110="",AVERAGEIF($B$5:$C$252,B110,$C$5:$C$252),C110)</f>
        <v/>
      </c>
      <c r="F110" s="4837">
        <f>IFERROR(IF(VLOOKUP(A110, $K$8:$M$241, 2, FALSE)/1000 = 0, 0, VLOOKUP(A110, $K$8:$M$241, 2, FALSE)/1000 ), 0)</f>
        <v/>
      </c>
      <c r="G110" s="4837">
        <f>IFERROR(IF(VLOOKUP(A110, $K$8:$M$241, 3, FALSE)/1000 = 0, AVERAGEIF($B$5:$B$252,B110,$I$5:$I$252), VLOOKUP(A110, $K$8:$M$241, 3, FALSE)/1000 ), AVERAGEIF($B$5:$B$252,B110,$I$5:$I$252))</f>
        <v/>
      </c>
      <c r="H110" s="4837" t="n">
        <v>0.9509217108682397</v>
      </c>
      <c r="I110" s="4837" t="n">
        <v>0.6609876245225551</v>
      </c>
      <c r="K110" s="4379" t="inlineStr">
        <is>
          <t>Israel</t>
        </is>
      </c>
      <c r="L110" s="4407" t="n">
        <v>394.1608308425825</v>
      </c>
      <c r="M110" s="4406" t="n">
        <v>258.3460133439337</v>
      </c>
      <c r="O110">
        <f>VLOOKUP(A107, $K$8:$M$241, 2, FALSE)</f>
        <v/>
      </c>
    </row>
    <row r="111">
      <c r="A111" s="4111" t="inlineStr">
        <is>
          <t>Indonesia</t>
        </is>
      </c>
      <c r="B111">
        <f>INDEX(list_region_country!$G$3:$V$3,,SUMPRODUCT(--(list_region_country!$G$3:$V$56=Elec!A111)*(COLUMN(list_region_country!$G$3:$V$56)-COLUMN(list_region_country!$F$3))))</f>
        <v/>
      </c>
      <c r="C111" s="4837" t="n">
        <v>0.763</v>
      </c>
      <c r="D111" s="4608" t="n">
        <v>2019</v>
      </c>
      <c r="E111" s="4837">
        <f>IF(C111="",AVERAGEIF($B$5:$C$252,B111,$C$5:$C$252),C111)</f>
        <v/>
      </c>
      <c r="F111" s="4837">
        <f>IFERROR(IF(VLOOKUP(A111, $K$8:$M$241, 2, FALSE)/1000 = 0, 0, VLOOKUP(A111, $K$8:$M$241, 2, FALSE)/1000 ), 0)</f>
        <v/>
      </c>
      <c r="G111" s="4837">
        <f>IFERROR(IF(VLOOKUP(A111, $K$8:$M$241, 3, FALSE)/1000 = 0, AVERAGEIF($B$5:$B$252,B111,$I$5:$I$252), VLOOKUP(A111, $K$8:$M$241, 3, FALSE)/1000 ), AVERAGEIF($B$5:$B$252,B111,$I$5:$I$252))</f>
        <v/>
      </c>
      <c r="H111" s="4837" t="n">
        <v>0.7834679509708822</v>
      </c>
      <c r="I111" s="4837" t="n">
        <v>0.5989144508812084</v>
      </c>
      <c r="K111" s="4379" t="inlineStr">
        <is>
          <t>Italy</t>
        </is>
      </c>
      <c r="L111" s="4407" t="n">
        <v>414.4615735950213</v>
      </c>
      <c r="M111" s="4406" t="n">
        <v>223.7124367134288</v>
      </c>
      <c r="O111">
        <f>VLOOKUP(A108, $K$8:$M$241, 2, FALSE)</f>
        <v/>
      </c>
    </row>
    <row r="112">
      <c r="A112" s="4111" t="inlineStr">
        <is>
          <t>Iran</t>
        </is>
      </c>
      <c r="B112">
        <f>INDEX(list_region_country!$G$3:$V$3,,SUMPRODUCT(--(list_region_country!$G$3:$V$56=Elec!A112)*(COLUMN(list_region_country!$G$3:$V$56)-COLUMN(list_region_country!$F$3))))</f>
        <v/>
      </c>
      <c r="C112" s="4837" t="n">
        <v>0.669</v>
      </c>
      <c r="D112" s="4608" t="n">
        <v>2019</v>
      </c>
      <c r="E112" s="4837">
        <f>IF(C112="",AVERAGEIF($B$5:$C$252,B112,$C$5:$C$252),C112)</f>
        <v/>
      </c>
      <c r="F112" s="4837">
        <f>IFERROR(IF(VLOOKUP(A112, $K$8:$M$241, 2, FALSE)/1000 = 0, 0, VLOOKUP(A112, $K$8:$M$241, 2, FALSE)/1000 ), 0)</f>
        <v/>
      </c>
      <c r="G112" s="4837">
        <f>IFERROR(IF(VLOOKUP(A112, $K$8:$M$241, 3, FALSE)/1000 = 0, AVERAGEIF($B$5:$B$252,B112,$I$5:$I$252), VLOOKUP(A112, $K$8:$M$241, 3, FALSE)/1000 ), AVERAGEIF($B$5:$B$252,B112,$I$5:$I$252))</f>
        <v/>
      </c>
      <c r="H112" s="4837" t="n">
        <v>0.5920977837436884</v>
      </c>
      <c r="I112" s="4837" t="n">
        <v>0.4209157086955908</v>
      </c>
      <c r="K112" s="4379" t="inlineStr">
        <is>
          <t>Jamaica</t>
        </is>
      </c>
      <c r="L112" s="4407" t="n">
        <v>710.7798615485983</v>
      </c>
      <c r="M112" s="4406" t="n">
        <v>497.6041530355115</v>
      </c>
      <c r="O112">
        <f>VLOOKUP(A109, $K$8:$M$241, 2, FALSE)</f>
        <v/>
      </c>
    </row>
    <row r="113">
      <c r="A113" s="4111" t="inlineStr">
        <is>
          <t>Iraq</t>
        </is>
      </c>
      <c r="B113">
        <f>INDEX(list_region_country!$G$3:$V$3,,SUMPRODUCT(--(list_region_country!$G$3:$V$56=Elec!A113)*(COLUMN(list_region_country!$G$3:$V$56)-COLUMN(list_region_country!$F$3))))</f>
        <v/>
      </c>
      <c r="C113" s="4837" t="n">
        <v>0.7436225942219684</v>
      </c>
      <c r="D113" s="4608" t="n">
        <v>2007</v>
      </c>
      <c r="E113" s="4837">
        <f>IF(C113="",AVERAGEIF($B$5:$C$252,B113,$C$5:$C$252),C113)</f>
        <v/>
      </c>
      <c r="F113" s="4837">
        <f>IFERROR(IF(VLOOKUP(A113, $K$8:$M$241, 2, FALSE)/1000 = 0, 0, VLOOKUP(A113, $K$8:$M$241, 2, FALSE)/1000 ), 0)</f>
        <v/>
      </c>
      <c r="G113" s="4837">
        <f>IFERROR(IF(VLOOKUP(A113, $K$8:$M$241, 3, FALSE)/1000 = 0, AVERAGEIF($B$5:$B$252,B113,$I$5:$I$252), VLOOKUP(A113, $K$8:$M$241, 3, FALSE)/1000 ), AVERAGEIF($B$5:$B$252,B113,$I$5:$I$252))</f>
        <v/>
      </c>
      <c r="H113" s="4837" t="n">
        <v>1.080369235548762</v>
      </c>
      <c r="I113" s="4837" t="n">
        <v>0.7879167185653282</v>
      </c>
      <c r="K113" s="4379" t="inlineStr">
        <is>
          <t>Japan</t>
        </is>
      </c>
      <c r="L113" s="4407" t="n">
        <v>471.4486815714405</v>
      </c>
      <c r="M113" s="4406" t="n">
        <v>286.1169358673256</v>
      </c>
      <c r="O113">
        <f>VLOOKUP(A110, $K$8:$M$241, 2, FALSE)</f>
        <v/>
      </c>
    </row>
    <row r="114">
      <c r="A114" s="4110" t="inlineStr">
        <is>
          <t>Ireland</t>
        </is>
      </c>
      <c r="B114">
        <f>INDEX(list_region_country!$G$3:$V$3,,SUMPRODUCT(--(list_region_country!$G$3:$V$56=Elec!A114)*(COLUMN(list_region_country!$G$3:$V$56)-COLUMN(list_region_country!$F$3))))</f>
        <v/>
      </c>
      <c r="C114" s="4837" t="n">
        <v>0.6986607279598672</v>
      </c>
      <c r="D114" s="4608" t="n">
        <v>2007</v>
      </c>
      <c r="E114" s="4837">
        <f>IF(C114="",AVERAGEIF($B$5:$C$252,B114,$C$5:$C$252),C114)</f>
        <v/>
      </c>
      <c r="F114" s="4837">
        <f>IFERROR(IF(VLOOKUP(A114, $K$8:$M$241, 2, FALSE)/1000 = 0, 0, VLOOKUP(A114, $K$8:$M$241, 2, FALSE)/1000 ), 0)</f>
        <v/>
      </c>
      <c r="G114" s="4837">
        <f>IFERROR(IF(VLOOKUP(A114, $K$8:$M$241, 3, FALSE)/1000 = 0, AVERAGEIF($B$5:$B$252,B114,$I$5:$I$252), VLOOKUP(A114, $K$8:$M$241, 3, FALSE)/1000 ), AVERAGEIF($B$5:$B$252,B114,$I$5:$I$252))</f>
        <v/>
      </c>
      <c r="H114" s="4837" t="n">
        <v>0.3802378403218922</v>
      </c>
      <c r="I114" s="4837" t="n">
        <v>0.1894819963102659</v>
      </c>
      <c r="K114" s="4379" t="inlineStr">
        <is>
          <t>Jordan</t>
        </is>
      </c>
      <c r="L114" s="4407" t="n">
        <v>528.5811548399727</v>
      </c>
      <c r="M114" s="4406" t="n">
        <v>381.8627985604762</v>
      </c>
      <c r="O114">
        <f>VLOOKUP(A111, $K$8:$M$241, 2, FALSE)</f>
        <v/>
      </c>
    </row>
    <row r="115">
      <c r="A115" s="4110" t="inlineStr">
        <is>
          <t>Isle of Man</t>
        </is>
      </c>
      <c r="B115">
        <f>INDEX(list_region_country!$G$3:$V$3,,SUMPRODUCT(--(list_region_country!$G$3:$V$56=Elec!A115)*(COLUMN(list_region_country!$G$3:$V$56)-COLUMN(list_region_country!$F$3))))</f>
        <v/>
      </c>
      <c r="C115" s="4837" t="inlineStr"/>
      <c r="D115" s="4608" t="inlineStr"/>
      <c r="E115" s="4837">
        <f>IF(C115="",AVERAGEIF($B$5:$C$252,B115,$C$5:$C$252),C115)</f>
        <v/>
      </c>
      <c r="F115" s="4837">
        <f>IFERROR(IF(VLOOKUP(A115, $K$8:$M$241, 2, FALSE)/1000 = 0, 0, VLOOKUP(A115, $K$8:$M$241, 2, FALSE)/1000 ), 0)</f>
        <v/>
      </c>
      <c r="G115" s="4837">
        <f>IFERROR(IF(VLOOKUP(A115, $K$8:$M$241, 3, FALSE)/1000 = 0, AVERAGEIF($B$5:$B$252,B115,$I$5:$I$252), VLOOKUP(A115, $K$8:$M$241, 3, FALSE)/1000 ), AVERAGEIF($B$5:$B$252,B115,$I$5:$I$252))</f>
        <v/>
      </c>
      <c r="H115" s="4837" t="n">
        <v>0.4362666666666667</v>
      </c>
      <c r="I115" s="4837" t="n">
        <v>0.2042578565019429</v>
      </c>
      <c r="K115" s="4379" t="inlineStr">
        <is>
          <t>Kazakhstan</t>
        </is>
      </c>
      <c r="L115" s="4407" t="n">
        <v>797.1751202338512</v>
      </c>
      <c r="M115" s="4406" t="n">
        <v>532.2177040728538</v>
      </c>
      <c r="O115">
        <f>VLOOKUP(A112, $K$8:$M$241, 2, FALSE)</f>
        <v/>
      </c>
    </row>
    <row r="116">
      <c r="A116" s="4111" t="inlineStr">
        <is>
          <t>Israel</t>
        </is>
      </c>
      <c r="B116">
        <f>INDEX(list_region_country!$G$3:$V$3,,SUMPRODUCT(--(list_region_country!$G$3:$V$56=Elec!A116)*(COLUMN(list_region_country!$G$3:$V$56)-COLUMN(list_region_country!$F$3))))</f>
        <v/>
      </c>
      <c r="C116" s="4837" t="n">
        <v>0.705</v>
      </c>
      <c r="D116" s="4608" t="n">
        <v>2019</v>
      </c>
      <c r="E116" s="4837">
        <f>IF(C116="",AVERAGEIF($B$5:$C$252,B116,$C$5:$C$252),C116)</f>
        <v/>
      </c>
      <c r="F116" s="4837">
        <f>IFERROR(IF(VLOOKUP(A116, $K$8:$M$241, 2, FALSE)/1000 = 0, 0, VLOOKUP(A116, $K$8:$M$241, 2, FALSE)/1000 ), 0)</f>
        <v/>
      </c>
      <c r="G116" s="4837">
        <f>IFERROR(IF(VLOOKUP(A116, $K$8:$M$241, 3, FALSE)/1000 = 0, AVERAGEIF($B$5:$B$252,B116,$I$5:$I$252), VLOOKUP(A116, $K$8:$M$241, 3, FALSE)/1000 ), AVERAGEIF($B$5:$B$252,B116,$I$5:$I$252))</f>
        <v/>
      </c>
      <c r="H116" s="4837" t="n">
        <v>0.3941608308425825</v>
      </c>
      <c r="I116" s="4837" t="n">
        <v>0.2583460133439338</v>
      </c>
      <c r="K116" s="4379" t="inlineStr">
        <is>
          <t>Kenya</t>
        </is>
      </c>
      <c r="L116" s="4407" t="n">
        <v>573.978947368421</v>
      </c>
      <c r="M116" s="4406" t="n">
        <v>274.2580362216026</v>
      </c>
      <c r="O116">
        <f>VLOOKUP(A113, $K$8:$M$241, 2, FALSE)</f>
        <v/>
      </c>
    </row>
    <row r="117">
      <c r="A117" s="4110" t="inlineStr">
        <is>
          <t>Italy</t>
        </is>
      </c>
      <c r="B117">
        <f>INDEX(list_region_country!$G$3:$V$3,,SUMPRODUCT(--(list_region_country!$G$3:$V$56=Elec!A117)*(COLUMN(list_region_country!$G$3:$V$56)-COLUMN(list_region_country!$F$3))))</f>
        <v/>
      </c>
      <c r="C117" s="4837" t="n">
        <v>0.5245351395676003</v>
      </c>
      <c r="D117" s="4608" t="n">
        <v>2007</v>
      </c>
      <c r="E117" s="4837">
        <f>IF(C117="",AVERAGEIF($B$5:$C$252,B117,$C$5:$C$252),C117)</f>
        <v/>
      </c>
      <c r="F117" s="4837">
        <f>IFERROR(IF(VLOOKUP(A117, $K$8:$M$241, 2, FALSE)/1000 = 0, 0, VLOOKUP(A117, $K$8:$M$241, 2, FALSE)/1000 ), 0)</f>
        <v/>
      </c>
      <c r="G117" s="4837">
        <f>IFERROR(IF(VLOOKUP(A117, $K$8:$M$241, 3, FALSE)/1000 = 0, AVERAGEIF($B$5:$B$252,B117,$I$5:$I$252), VLOOKUP(A117, $K$8:$M$241, 3, FALSE)/1000 ), AVERAGEIF($B$5:$B$252,B117,$I$5:$I$252))</f>
        <v/>
      </c>
      <c r="H117" s="4837" t="n">
        <v>0.4144615735950213</v>
      </c>
      <c r="I117" s="4837" t="n">
        <v>0.2237124367134288</v>
      </c>
      <c r="K117" s="4379" t="inlineStr">
        <is>
          <t>Kiribati</t>
        </is>
      </c>
      <c r="L117" s="4406" t="n">
        <v>752.5333333333333</v>
      </c>
      <c r="M117" s="4406" t="n">
        <v>529.6244477736682</v>
      </c>
      <c r="O117">
        <f>VLOOKUP(A114, $K$8:$M$241, 2, FALSE)</f>
        <v/>
      </c>
    </row>
    <row r="118">
      <c r="A118" s="4111" t="inlineStr">
        <is>
          <t>Jamaica</t>
        </is>
      </c>
      <c r="B118">
        <f>INDEX(list_region_country!$G$3:$V$3,,SUMPRODUCT(--(list_region_country!$G$3:$V$56=Elec!A118)*(COLUMN(list_region_country!$G$3:$V$56)-COLUMN(list_region_country!$F$3))))</f>
        <v/>
      </c>
      <c r="C118" s="4837" t="n">
        <v>0.783</v>
      </c>
      <c r="D118" s="4608" t="n">
        <v>2019</v>
      </c>
      <c r="E118" s="4837">
        <f>IF(C118="",AVERAGEIF($B$5:$C$252,B118,$C$5:$C$252),C118)</f>
        <v/>
      </c>
      <c r="F118" s="4837">
        <f>IFERROR(IF(VLOOKUP(A118, $K$8:$M$241, 2, FALSE)/1000 = 0, 0, VLOOKUP(A118, $K$8:$M$241, 2, FALSE)/1000 ), 0)</f>
        <v/>
      </c>
      <c r="G118" s="4837">
        <f>IFERROR(IF(VLOOKUP(A118, $K$8:$M$241, 3, FALSE)/1000 = 0, AVERAGEIF($B$5:$B$252,B118,$I$5:$I$252), VLOOKUP(A118, $K$8:$M$241, 3, FALSE)/1000 ), AVERAGEIF($B$5:$B$252,B118,$I$5:$I$252))</f>
        <v/>
      </c>
      <c r="H118" s="4837" t="n">
        <v>0.7107798615485983</v>
      </c>
      <c r="I118" s="4837" t="n">
        <v>0.4976041530355115</v>
      </c>
      <c r="K118" s="4380" t="inlineStr">
        <is>
          <t>Democratic People's Republic of Korea</t>
        </is>
      </c>
      <c r="L118" s="4407" t="n">
        <v>754.1380434940311</v>
      </c>
      <c r="M118" s="4406" t="n">
        <v>359.482502541372</v>
      </c>
      <c r="O118">
        <f>VLOOKUP(A115, $K$8:$M$241, 2, FALSE)</f>
        <v/>
      </c>
    </row>
    <row r="119">
      <c r="A119" s="4111" t="inlineStr">
        <is>
          <t>Japan</t>
        </is>
      </c>
      <c r="B119">
        <f>INDEX(list_region_country!$G$3:$V$3,,SUMPRODUCT(--(list_region_country!$G$3:$V$56=Elec!A119)*(COLUMN(list_region_country!$G$3:$V$56)-COLUMN(list_region_country!$F$3))))</f>
        <v/>
      </c>
      <c r="C119" s="4837" t="n">
        <v>0.4174282257579345</v>
      </c>
      <c r="D119" s="4608" t="n">
        <v>2007</v>
      </c>
      <c r="E119" s="4837">
        <f>IF(C119="",AVERAGEIF($B$5:$C$252,B119,$C$5:$C$252),C119)</f>
        <v/>
      </c>
      <c r="F119" s="4837">
        <f>IFERROR(IF(VLOOKUP(A119, $K$8:$M$241, 2, FALSE)/1000 = 0, 0, VLOOKUP(A119, $K$8:$M$241, 2, FALSE)/1000 ), 0)</f>
        <v/>
      </c>
      <c r="G119" s="4837">
        <f>IFERROR(IF(VLOOKUP(A119, $K$8:$M$241, 3, FALSE)/1000 = 0, AVERAGEIF($B$5:$B$252,B119,$I$5:$I$252), VLOOKUP(A119, $K$8:$M$241, 3, FALSE)/1000 ), AVERAGEIF($B$5:$B$252,B119,$I$5:$I$252))</f>
        <v/>
      </c>
      <c r="H119" s="4837" t="n">
        <v>0.4714486815714405</v>
      </c>
      <c r="I119" s="4837" t="n">
        <v>0.2861169358673256</v>
      </c>
      <c r="K119" s="4379" t="inlineStr">
        <is>
          <t>Republic of Korea</t>
        </is>
      </c>
      <c r="L119" s="4407" t="n">
        <v>555.3221337387056</v>
      </c>
      <c r="M119" s="4406" t="n">
        <v>329.719747287109</v>
      </c>
      <c r="O119">
        <f>VLOOKUP(A116, $K$8:$M$241, 2, FALSE)</f>
        <v/>
      </c>
    </row>
    <row r="120">
      <c r="A120" s="4110" t="inlineStr">
        <is>
          <t>Jersey</t>
        </is>
      </c>
      <c r="B120">
        <f>INDEX(list_region_country!$G$3:$V$3,,SUMPRODUCT(--(list_region_country!$G$3:$V$56=Elec!A120)*(COLUMN(list_region_country!$G$3:$V$56)-COLUMN(list_region_country!$F$3))))</f>
        <v/>
      </c>
      <c r="C120" s="4837" t="inlineStr"/>
      <c r="D120" s="4608" t="inlineStr"/>
      <c r="E120" s="4837">
        <f>IF(C120="",AVERAGEIF($B$5:$C$252,B120,$C$5:$C$252),C120)</f>
        <v/>
      </c>
      <c r="F120" s="4837">
        <f>IFERROR(IF(VLOOKUP(A120, $K$8:$M$241, 2, FALSE)/1000 = 0, 0, VLOOKUP(A120, $K$8:$M$241, 2, FALSE)/1000 ), 0)</f>
        <v/>
      </c>
      <c r="G120" s="4837">
        <f>IFERROR(IF(VLOOKUP(A120, $K$8:$M$241, 3, FALSE)/1000 = 0, AVERAGEIF($B$5:$B$252,B120,$I$5:$I$252), VLOOKUP(A120, $K$8:$M$241, 3, FALSE)/1000 ), AVERAGEIF($B$5:$B$252,B120,$I$5:$I$252))</f>
        <v/>
      </c>
      <c r="H120" s="4837" t="inlineStr">
        <is>
          <t>N/A</t>
        </is>
      </c>
      <c r="I120" s="4837" t="inlineStr">
        <is>
          <t>N/A</t>
        </is>
      </c>
      <c r="K120" s="4379" t="inlineStr">
        <is>
          <t>Kosovo</t>
        </is>
      </c>
      <c r="L120" s="4407" t="n">
        <v>1145.067487417815</v>
      </c>
      <c r="M120" s="4406" t="n">
        <v>842.8157796622196</v>
      </c>
      <c r="O120">
        <f>VLOOKUP(A117, $K$8:$M$241, 2, FALSE)</f>
        <v/>
      </c>
    </row>
    <row r="121">
      <c r="A121" s="4111" t="inlineStr">
        <is>
          <t>Jordan</t>
        </is>
      </c>
      <c r="B121">
        <f>INDEX(list_region_country!$G$3:$V$3,,SUMPRODUCT(--(list_region_country!$G$3:$V$56=Elec!A121)*(COLUMN(list_region_country!$G$3:$V$56)-COLUMN(list_region_country!$F$3))))</f>
        <v/>
      </c>
      <c r="C121" s="4837" t="n">
        <v>0.584</v>
      </c>
      <c r="D121" s="4608" t="n">
        <v>2019</v>
      </c>
      <c r="E121" s="4837">
        <f>IF(C121="",AVERAGEIF($B$5:$C$252,B121,$C$5:$C$252),C121)</f>
        <v/>
      </c>
      <c r="F121" s="4837">
        <f>IFERROR(IF(VLOOKUP(A121, $K$8:$M$241, 2, FALSE)/1000 = 0, 0, VLOOKUP(A121, $K$8:$M$241, 2, FALSE)/1000 ), 0)</f>
        <v/>
      </c>
      <c r="G121" s="4837">
        <f>IFERROR(IF(VLOOKUP(A121, $K$8:$M$241, 3, FALSE)/1000 = 0, AVERAGEIF($B$5:$B$252,B121,$I$5:$I$252), VLOOKUP(A121, $K$8:$M$241, 3, FALSE)/1000 ), AVERAGEIF($B$5:$B$252,B121,$I$5:$I$252))</f>
        <v/>
      </c>
      <c r="H121" s="4837" t="n">
        <v>0.5285811548399727</v>
      </c>
      <c r="I121" s="4837" t="n">
        <v>0.3818627985604762</v>
      </c>
      <c r="K121" s="4379" t="inlineStr">
        <is>
          <t>Kuwait</t>
        </is>
      </c>
      <c r="L121" s="4407" t="n">
        <v>675.1492372215954</v>
      </c>
      <c r="M121" s="4406" t="n">
        <v>399.7696553656594</v>
      </c>
      <c r="O121">
        <f>VLOOKUP(A118, $K$8:$M$241, 2, FALSE)</f>
        <v/>
      </c>
    </row>
    <row r="122">
      <c r="A122" s="4111" t="inlineStr">
        <is>
          <t>Kazakhstan</t>
        </is>
      </c>
      <c r="B122">
        <f>INDEX(list_region_country!$G$3:$V$3,,SUMPRODUCT(--(list_region_country!$G$3:$V$56=Elec!A122)*(COLUMN(list_region_country!$G$3:$V$56)-COLUMN(list_region_country!$F$3))))</f>
        <v/>
      </c>
      <c r="C122" s="4837" t="n">
        <v>1.292660082827203</v>
      </c>
      <c r="D122" s="4608" t="n">
        <v>2007</v>
      </c>
      <c r="E122" s="4837">
        <f>IF(C122="",AVERAGEIF($B$5:$C$252,B122,$C$5:$C$252),C122)</f>
        <v/>
      </c>
      <c r="F122" s="4837">
        <f>IFERROR(IF(VLOOKUP(A122, $K$8:$M$241, 2, FALSE)/1000 = 0, 0, VLOOKUP(A122, $K$8:$M$241, 2, FALSE)/1000 ), 0)</f>
        <v/>
      </c>
      <c r="G122" s="4837">
        <f>IFERROR(IF(VLOOKUP(A122, $K$8:$M$241, 3, FALSE)/1000 = 0, AVERAGEIF($B$5:$B$252,B122,$I$5:$I$252), VLOOKUP(A122, $K$8:$M$241, 3, FALSE)/1000 ), AVERAGEIF($B$5:$B$252,B122,$I$5:$I$252))</f>
        <v/>
      </c>
      <c r="H122" s="4837" t="n">
        <v>0.7971751202338512</v>
      </c>
      <c r="I122" s="4837" t="n">
        <v>0.5322177040728538</v>
      </c>
      <c r="K122" s="4379" t="inlineStr">
        <is>
          <t>Kyrgyzstan</t>
        </is>
      </c>
      <c r="L122" s="4407" t="n">
        <v>217.1462116718618</v>
      </c>
      <c r="M122" s="4406" t="n">
        <v>97.72091446121649</v>
      </c>
      <c r="O122">
        <f>VLOOKUP(A119, $K$8:$M$241, 2, FALSE)</f>
        <v/>
      </c>
    </row>
    <row r="123">
      <c r="A123" s="4110" t="inlineStr">
        <is>
          <t>Kenya</t>
        </is>
      </c>
      <c r="B123">
        <f>INDEX(list_region_country!$G$3:$V$3,,SUMPRODUCT(--(list_region_country!$G$3:$V$56=Elec!A123)*(COLUMN(list_region_country!$G$3:$V$56)-COLUMN(list_region_country!$F$3))))</f>
        <v/>
      </c>
      <c r="C123" s="4837" t="n">
        <v>0.603</v>
      </c>
      <c r="D123" s="4608" t="n">
        <v>2019</v>
      </c>
      <c r="E123" s="4837">
        <f>IF(C123="",AVERAGEIF($B$5:$C$252,B123,$C$5:$C$252),C123)</f>
        <v/>
      </c>
      <c r="F123" s="4837">
        <f>IFERROR(IF(VLOOKUP(A123, $K$8:$M$241, 2, FALSE)/1000 = 0, 0, VLOOKUP(A123, $K$8:$M$241, 2, FALSE)/1000 ), 0)</f>
        <v/>
      </c>
      <c r="G123" s="4837">
        <f>IFERROR(IF(VLOOKUP(A123, $K$8:$M$241, 3, FALSE)/1000 = 0, AVERAGEIF($B$5:$B$252,B123,$I$5:$I$252), VLOOKUP(A123, $K$8:$M$241, 3, FALSE)/1000 ), AVERAGEIF($B$5:$B$252,B123,$I$5:$I$252))</f>
        <v/>
      </c>
      <c r="H123" s="4837" t="n">
        <v>0.573978947368421</v>
      </c>
      <c r="I123" s="4837" t="n">
        <v>0.2742580362216026</v>
      </c>
      <c r="K123" s="4379" t="inlineStr">
        <is>
          <t>Lao People's Democratic Republic</t>
        </is>
      </c>
      <c r="L123" s="4406" t="n">
        <v>1069.072340425532</v>
      </c>
      <c r="M123" s="4406" t="n">
        <v>554.5619121304051</v>
      </c>
      <c r="O123">
        <f>VLOOKUP(A120, $K$8:$M$241, 2, FALSE)</f>
        <v/>
      </c>
    </row>
    <row r="124">
      <c r="A124" s="4110" t="inlineStr">
        <is>
          <t>Kiribati</t>
        </is>
      </c>
      <c r="B124">
        <f>INDEX(list_region_country!$G$3:$V$3,,SUMPRODUCT(--(list_region_country!$G$3:$V$56=Elec!A124)*(COLUMN(list_region_country!$G$3:$V$56)-COLUMN(list_region_country!$F$3))))</f>
        <v/>
      </c>
      <c r="C124" s="4837" t="inlineStr"/>
      <c r="D124" s="4608" t="inlineStr"/>
      <c r="E124" s="4837">
        <f>IF(C124="",AVERAGEIF($B$5:$C$252,B124,$C$5:$C$252),C124)</f>
        <v/>
      </c>
      <c r="F124" s="4837">
        <f>IFERROR(IF(VLOOKUP(A124, $K$8:$M$241, 2, FALSE)/1000 = 0, 0, VLOOKUP(A124, $K$8:$M$241, 2, FALSE)/1000 ), 0)</f>
        <v/>
      </c>
      <c r="G124" s="4837">
        <f>IFERROR(IF(VLOOKUP(A124, $K$8:$M$241, 3, FALSE)/1000 = 0, AVERAGEIF($B$5:$B$252,B124,$I$5:$I$252), VLOOKUP(A124, $K$8:$M$241, 3, FALSE)/1000 ), AVERAGEIF($B$5:$B$252,B124,$I$5:$I$252))</f>
        <v/>
      </c>
      <c r="H124" s="4837" t="n">
        <v>0.7525333333333333</v>
      </c>
      <c r="I124" s="4837" t="n">
        <v>0.5296244477736681</v>
      </c>
      <c r="K124" s="4379" t="inlineStr">
        <is>
          <t>Latvia</t>
        </is>
      </c>
      <c r="L124" s="4407" t="n">
        <v>239.8534154127996</v>
      </c>
      <c r="M124" s="4406" t="n">
        <v>117.2060310585509</v>
      </c>
      <c r="O124">
        <f>VLOOKUP(A121, $K$8:$M$241, 2, FALSE)</f>
        <v/>
      </c>
    </row>
    <row r="125">
      <c r="A125" s="4111" t="inlineStr">
        <is>
          <t>Kuwait</t>
        </is>
      </c>
      <c r="B125">
        <f>INDEX(list_region_country!$G$3:$V$3,,SUMPRODUCT(--(list_region_country!$G$3:$V$56=Elec!A125)*(COLUMN(list_region_country!$G$3:$V$56)-COLUMN(list_region_country!$F$3))))</f>
        <v/>
      </c>
      <c r="C125" s="4837" t="n">
        <v>0.78</v>
      </c>
      <c r="D125" s="4608" t="n">
        <v>2019</v>
      </c>
      <c r="E125" s="4837">
        <f>IF(C125="",AVERAGEIF($B$5:$C$252,B125,$C$5:$C$252),C125)</f>
        <v/>
      </c>
      <c r="F125" s="4837">
        <f>IFERROR(IF(VLOOKUP(A125, $K$8:$M$241, 2, FALSE)/1000 = 0, 0, VLOOKUP(A125, $K$8:$M$241, 2, FALSE)/1000 ), 0)</f>
        <v/>
      </c>
      <c r="G125" s="4837">
        <f>IFERROR(IF(VLOOKUP(A125, $K$8:$M$241, 3, FALSE)/1000 = 0, AVERAGEIF($B$5:$B$252,B125,$I$5:$I$252), VLOOKUP(A125, $K$8:$M$241, 3, FALSE)/1000 ), AVERAGEIF($B$5:$B$252,B125,$I$5:$I$252))</f>
        <v/>
      </c>
      <c r="H125" s="4837" t="n">
        <v>0.6751492372215954</v>
      </c>
      <c r="I125" s="4837" t="n">
        <v>0.3997696553656594</v>
      </c>
      <c r="K125" s="4379" t="inlineStr">
        <is>
          <t>Lebanon</t>
        </is>
      </c>
      <c r="L125" s="4407" t="n">
        <v>793.9578947368421</v>
      </c>
      <c r="M125" s="4406" t="n">
        <v>566.9850034175606</v>
      </c>
      <c r="O125">
        <f>VLOOKUP(A122, $K$8:$M$241, 2, FALSE)</f>
        <v/>
      </c>
    </row>
    <row r="126">
      <c r="A126" s="4111" t="inlineStr">
        <is>
          <t>Kyrgyzstan</t>
        </is>
      </c>
      <c r="B126">
        <f>INDEX(list_region_country!$G$3:$V$3,,SUMPRODUCT(--(list_region_country!$G$3:$V$56=Elec!A126)*(COLUMN(list_region_country!$G$3:$V$56)-COLUMN(list_region_country!$F$3))))</f>
        <v/>
      </c>
      <c r="C126" s="4837" t="n">
        <v>0.1020762628082578</v>
      </c>
      <c r="D126" s="4608" t="n">
        <v>2007</v>
      </c>
      <c r="E126" s="4837">
        <f>IF(C126="",AVERAGEIF($B$5:$C$252,B126,$C$5:$C$252),C126)</f>
        <v/>
      </c>
      <c r="F126" s="4837">
        <f>IFERROR(IF(VLOOKUP(A126, $K$8:$M$241, 2, FALSE)/1000 = 0, 0, VLOOKUP(A126, $K$8:$M$241, 2, FALSE)/1000 ), 0)</f>
        <v/>
      </c>
      <c r="G126" s="4837">
        <f>IFERROR(IF(VLOOKUP(A126, $K$8:$M$241, 3, FALSE)/1000 = 0, AVERAGEIF($B$5:$B$252,B126,$I$5:$I$252), VLOOKUP(A126, $K$8:$M$241, 3, FALSE)/1000 ), AVERAGEIF($B$5:$B$252,B126,$I$5:$I$252))</f>
        <v/>
      </c>
      <c r="H126" s="4837" t="n">
        <v>0.2171462116718618</v>
      </c>
      <c r="I126" s="4837" t="n">
        <v>0.0977209144612165</v>
      </c>
      <c r="K126" s="4379" t="inlineStr">
        <is>
          <t>Lesotho</t>
        </is>
      </c>
      <c r="L126" s="4406" t="n">
        <v>0</v>
      </c>
      <c r="M126" s="4406" t="n">
        <v>0</v>
      </c>
      <c r="O126">
        <f>VLOOKUP(A123, $K$8:$M$241, 2, FALSE)</f>
        <v/>
      </c>
    </row>
    <row r="127">
      <c r="A127" s="4111" t="inlineStr">
        <is>
          <t>Lao People's Democratic Republic</t>
        </is>
      </c>
      <c r="B127">
        <f>INDEX(list_region_country!$G$3:$V$3,,SUMPRODUCT(--(list_region_country!$G$3:$V$56=Elec!A127)*(COLUMN(list_region_country!$G$3:$V$56)-COLUMN(list_region_country!$F$3))))</f>
        <v/>
      </c>
      <c r="C127" s="4837" t="n">
        <v>0.5590000000000001</v>
      </c>
      <c r="D127" s="4608" t="n">
        <v>2019</v>
      </c>
      <c r="E127" s="4837">
        <f>IF(C127="",AVERAGEIF($B$5:$C$252,B127,$C$5:$C$252),C127)</f>
        <v/>
      </c>
      <c r="F127" s="4837">
        <f>IFERROR(IF(VLOOKUP(A127, $K$8:$M$241, 2, FALSE)/1000 = 0, 0, VLOOKUP(A127, $K$8:$M$241, 2, FALSE)/1000 ), 0)</f>
        <v/>
      </c>
      <c r="G127" s="4837">
        <f>IFERROR(IF(VLOOKUP(A127, $K$8:$M$241, 3, FALSE)/1000 = 0, AVERAGEIF($B$5:$B$252,B127,$I$5:$I$252), VLOOKUP(A127, $K$8:$M$241, 3, FALSE)/1000 ), AVERAGEIF($B$5:$B$252,B127,$I$5:$I$252))</f>
        <v/>
      </c>
      <c r="H127" s="4837" t="n">
        <v>1.069072340425532</v>
      </c>
      <c r="I127" s="4837" t="n">
        <v>0.5545619121304051</v>
      </c>
      <c r="K127" s="4379" t="inlineStr">
        <is>
          <t>Liberia</t>
        </is>
      </c>
      <c r="L127" s="4406" t="n">
        <v>677.28</v>
      </c>
      <c r="M127" s="4406" t="n">
        <v>373.9131330339769</v>
      </c>
      <c r="O127">
        <f>VLOOKUP(A124, $K$8:$M$241, 2, FALSE)</f>
        <v/>
      </c>
    </row>
    <row r="128">
      <c r="A128" s="4110" t="inlineStr">
        <is>
          <t>Latvia</t>
        </is>
      </c>
      <c r="B128">
        <f>INDEX(list_region_country!$G$3:$V$3,,SUMPRODUCT(--(list_region_country!$G$3:$V$56=Elec!A128)*(COLUMN(list_region_country!$G$3:$V$56)-COLUMN(list_region_country!$F$3))))</f>
        <v/>
      </c>
      <c r="C128" s="4837" t="n">
        <v>0.5129629385622002</v>
      </c>
      <c r="D128" s="4608" t="n">
        <v>2007</v>
      </c>
      <c r="E128" s="4837">
        <f>IF(C128="",AVERAGEIF($B$5:$C$252,B128,$C$5:$C$252),C128)</f>
        <v/>
      </c>
      <c r="F128" s="4837">
        <f>IFERROR(IF(VLOOKUP(A128, $K$8:$M$241, 2, FALSE)/1000 = 0, 0, VLOOKUP(A128, $K$8:$M$241, 2, FALSE)/1000 ), 0)</f>
        <v/>
      </c>
      <c r="G128" s="4837">
        <f>IFERROR(IF(VLOOKUP(A128, $K$8:$M$241, 3, FALSE)/1000 = 0, AVERAGEIF($B$5:$B$252,B128,$I$5:$I$252), VLOOKUP(A128, $K$8:$M$241, 3, FALSE)/1000 ), AVERAGEIF($B$5:$B$252,B128,$I$5:$I$252))</f>
        <v/>
      </c>
      <c r="H128" s="4837" t="n">
        <v>0.2398534154127996</v>
      </c>
      <c r="I128" s="4837" t="n">
        <v>0.1172060310585509</v>
      </c>
      <c r="K128" s="4379" t="inlineStr">
        <is>
          <t>Libya</t>
        </is>
      </c>
      <c r="L128" s="4407" t="n">
        <v>667.519308298617</v>
      </c>
      <c r="M128" s="4406" t="n">
        <v>493.3362569941639</v>
      </c>
      <c r="O128">
        <f>VLOOKUP(A125, $K$8:$M$241, 2, FALSE)</f>
        <v/>
      </c>
    </row>
    <row r="129">
      <c r="A129" s="4111" t="inlineStr">
        <is>
          <t>Lebanon</t>
        </is>
      </c>
      <c r="B129">
        <f>INDEX(list_region_country!$G$3:$V$3,,SUMPRODUCT(--(list_region_country!$G$3:$V$56=Elec!A129)*(COLUMN(list_region_country!$G$3:$V$56)-COLUMN(list_region_country!$F$3))))</f>
        <v/>
      </c>
      <c r="C129" s="4837" t="n">
        <v>0.65</v>
      </c>
      <c r="D129" s="4608" t="n">
        <v>2019</v>
      </c>
      <c r="E129" s="4837">
        <f>IF(C129="",AVERAGEIF($B$5:$C$252,B129,$C$5:$C$252),C129)</f>
        <v/>
      </c>
      <c r="F129" s="4837">
        <f>IFERROR(IF(VLOOKUP(A129, $K$8:$M$241, 2, FALSE)/1000 = 0, 0, VLOOKUP(A129, $K$8:$M$241, 2, FALSE)/1000 ), 0)</f>
        <v/>
      </c>
      <c r="G129" s="4837">
        <f>IFERROR(IF(VLOOKUP(A129, $K$8:$M$241, 3, FALSE)/1000 = 0, AVERAGEIF($B$5:$B$252,B129,$I$5:$I$252), VLOOKUP(A129, $K$8:$M$241, 3, FALSE)/1000 ), AVERAGEIF($B$5:$B$252,B129,$I$5:$I$252))</f>
        <v/>
      </c>
      <c r="H129" s="4837" t="n">
        <v>0.7939578947368422</v>
      </c>
      <c r="I129" s="4837" t="n">
        <v>0.5669850034175606</v>
      </c>
      <c r="K129" s="4379" t="inlineStr">
        <is>
          <t>Liechtenstein</t>
        </is>
      </c>
      <c r="L129" s="4406" t="n">
        <v>150.5066666666666</v>
      </c>
      <c r="M129" s="4406" t="n">
        <v>52.10260049692787</v>
      </c>
      <c r="O129">
        <f>VLOOKUP(A126, $K$8:$M$241, 2, FALSE)</f>
        <v/>
      </c>
    </row>
    <row r="130">
      <c r="A130" s="4111" t="inlineStr">
        <is>
          <t>Lesotho</t>
        </is>
      </c>
      <c r="B130">
        <f>INDEX(list_region_country!$G$3:$V$3,,SUMPRODUCT(--(list_region_country!$G$3:$V$56=Elec!A130)*(COLUMN(list_region_country!$G$3:$V$56)-COLUMN(list_region_country!$F$3))))</f>
        <v/>
      </c>
      <c r="C130" s="4837" t="n">
        <v>0.948</v>
      </c>
      <c r="D130" s="4608" t="n">
        <v>2019</v>
      </c>
      <c r="E130" s="4837">
        <f>IF(C130="",AVERAGEIF($B$5:$C$252,B130,$C$5:$C$252),C130)</f>
        <v/>
      </c>
      <c r="F130" s="4837">
        <f>IFERROR(IF(VLOOKUP(A130, $K$8:$M$241, 2, FALSE)/1000 = 0, 0, VLOOKUP(A130, $K$8:$M$241, 2, FALSE)/1000 ), 0)</f>
        <v/>
      </c>
      <c r="G130" s="4837">
        <f>IFERROR(IF(VLOOKUP(A130, $K$8:$M$241, 3, FALSE)/1000 = 0, AVERAGEIF($B$5:$B$252,B130,$I$5:$I$252), VLOOKUP(A130, $K$8:$M$241, 3, FALSE)/1000 ), AVERAGEIF($B$5:$B$252,B130,$I$5:$I$252))</f>
        <v/>
      </c>
      <c r="H130" s="4837" t="inlineStr">
        <is>
          <t>N/A</t>
        </is>
      </c>
      <c r="I130" s="4837" t="inlineStr">
        <is>
          <t>N/A</t>
        </is>
      </c>
      <c r="K130" s="4379" t="inlineStr">
        <is>
          <t>Lithuania</t>
        </is>
      </c>
      <c r="L130" s="4407" t="n">
        <v>210.5374023901897</v>
      </c>
      <c r="M130" s="4406" t="n">
        <v>101.8441227431646</v>
      </c>
      <c r="O130">
        <f>VLOOKUP(A127, $K$8:$M$241, 2, FALSE)</f>
        <v/>
      </c>
    </row>
    <row r="131">
      <c r="A131" s="4111" t="inlineStr">
        <is>
          <t>Liberia</t>
        </is>
      </c>
      <c r="B131">
        <f>INDEX(list_region_country!$G$3:$V$3,,SUMPRODUCT(--(list_region_country!$G$3:$V$56=Elec!A131)*(COLUMN(list_region_country!$G$3:$V$56)-COLUMN(list_region_country!$F$3))))</f>
        <v/>
      </c>
      <c r="C131" s="4837" t="inlineStr"/>
      <c r="D131" s="4608" t="inlineStr"/>
      <c r="E131" s="4837">
        <f>IF(C131="",AVERAGEIF($B$5:$C$252,B131,$C$5:$C$252),C131)</f>
        <v/>
      </c>
      <c r="F131" s="4837">
        <f>IFERROR(IF(VLOOKUP(A131, $K$8:$M$241, 2, FALSE)/1000 = 0, 0, VLOOKUP(A131, $K$8:$M$241, 2, FALSE)/1000 ), 0)</f>
        <v/>
      </c>
      <c r="G131" s="4837">
        <f>IFERROR(IF(VLOOKUP(A131, $K$8:$M$241, 3, FALSE)/1000 = 0, AVERAGEIF($B$5:$B$252,B131,$I$5:$I$252), VLOOKUP(A131, $K$8:$M$241, 3, FALSE)/1000 ), AVERAGEIF($B$5:$B$252,B131,$I$5:$I$252))</f>
        <v/>
      </c>
      <c r="H131" s="4837" t="n">
        <v>0.67728</v>
      </c>
      <c r="I131" s="4837" t="n">
        <v>0.3739131330339769</v>
      </c>
      <c r="K131" s="4379" t="inlineStr">
        <is>
          <t>Luxembourg</t>
        </is>
      </c>
      <c r="L131" s="4407" t="n">
        <v>220.2081798321813</v>
      </c>
      <c r="M131" s="4406" t="n">
        <v>95.04059232460651</v>
      </c>
      <c r="O131">
        <f>VLOOKUP(A128, $K$8:$M$241, 2, FALSE)</f>
        <v/>
      </c>
    </row>
    <row r="132">
      <c r="A132" s="4111" t="inlineStr">
        <is>
          <t>Libya</t>
        </is>
      </c>
      <c r="B132">
        <f>INDEX(list_region_country!$G$3:$V$3,,SUMPRODUCT(--(list_region_country!$G$3:$V$56=Elec!A132)*(COLUMN(list_region_country!$G$3:$V$56)-COLUMN(list_region_country!$F$3))))</f>
        <v/>
      </c>
      <c r="C132" s="4837" t="n">
        <v>0.794</v>
      </c>
      <c r="D132" s="4608" t="n">
        <v>2019</v>
      </c>
      <c r="E132" s="4837">
        <f>IF(C132="",AVERAGEIF($B$5:$C$252,B132,$C$5:$C$252),C132)</f>
        <v/>
      </c>
      <c r="F132" s="4837">
        <f>IFERROR(IF(VLOOKUP(A132, $K$8:$M$241, 2, FALSE)/1000 = 0, 0, VLOOKUP(A132, $K$8:$M$241, 2, FALSE)/1000 ), 0)</f>
        <v/>
      </c>
      <c r="G132" s="4837">
        <f>IFERROR(IF(VLOOKUP(A132, $K$8:$M$241, 3, FALSE)/1000 = 0, AVERAGEIF($B$5:$B$252,B132,$I$5:$I$252), VLOOKUP(A132, $K$8:$M$241, 3, FALSE)/1000 ), AVERAGEIF($B$5:$B$252,B132,$I$5:$I$252))</f>
        <v/>
      </c>
      <c r="H132" s="4837" t="n">
        <v>0.6675193082986171</v>
      </c>
      <c r="I132" s="4837" t="n">
        <v>0.4933362569941639</v>
      </c>
      <c r="K132" s="4379" t="inlineStr">
        <is>
          <t>Madagascar</t>
        </is>
      </c>
      <c r="L132" s="4406" t="n">
        <v>875.7368421052632</v>
      </c>
      <c r="M132" s="4406" t="n">
        <v>567.4109228654125</v>
      </c>
      <c r="O132">
        <f>VLOOKUP(A129, $K$8:$M$241, 2, FALSE)</f>
        <v/>
      </c>
    </row>
    <row r="133">
      <c r="A133" s="4110" t="inlineStr">
        <is>
          <t>Liechtenstein</t>
        </is>
      </c>
      <c r="B133">
        <f>INDEX(list_region_country!$G$3:$V$3,,SUMPRODUCT(--(list_region_country!$G$3:$V$56=Elec!A133)*(COLUMN(list_region_country!$G$3:$V$56)-COLUMN(list_region_country!$F$3))))</f>
        <v/>
      </c>
      <c r="C133" s="4837" t="inlineStr"/>
      <c r="D133" s="4608" t="inlineStr"/>
      <c r="E133" s="4837">
        <f>IF(C133="",AVERAGEIF($B$5:$C$252,B133,$C$5:$C$252),C133)</f>
        <v/>
      </c>
      <c r="F133" s="4837">
        <f>IFERROR(IF(VLOOKUP(A133, $K$8:$M$241, 2, FALSE)/1000 = 0, 0, VLOOKUP(A133, $K$8:$M$241, 2, FALSE)/1000 ), 0)</f>
        <v/>
      </c>
      <c r="G133" s="4837">
        <f>IFERROR(IF(VLOOKUP(A133, $K$8:$M$241, 3, FALSE)/1000 = 0, AVERAGEIF($B$5:$B$252,B133,$I$5:$I$252), VLOOKUP(A133, $K$8:$M$241, 3, FALSE)/1000 ), AVERAGEIF($B$5:$B$252,B133,$I$5:$I$252))</f>
        <v/>
      </c>
      <c r="H133" s="4837" t="n">
        <v>0.1505066666666666</v>
      </c>
      <c r="I133" s="4837" t="n">
        <v>0.05210260049692787</v>
      </c>
      <c r="K133" s="4379" t="inlineStr">
        <is>
          <t>Madeira (Portugal)</t>
        </is>
      </c>
      <c r="L133" s="4407" t="n">
        <v>662.781981981982</v>
      </c>
      <c r="M133" s="4406" t="n">
        <v>368.6634819244987</v>
      </c>
      <c r="O133">
        <f>VLOOKUP(A130, $K$8:$M$241, 2, FALSE)</f>
        <v/>
      </c>
    </row>
    <row r="134">
      <c r="A134" s="4110" t="inlineStr">
        <is>
          <t>Lithuania</t>
        </is>
      </c>
      <c r="B134">
        <f>INDEX(list_region_country!$G$3:$V$3,,SUMPRODUCT(--(list_region_country!$G$3:$V$56=Elec!A134)*(COLUMN(list_region_country!$G$3:$V$56)-COLUMN(list_region_country!$F$3))))</f>
        <v/>
      </c>
      <c r="C134" s="4837" t="n">
        <v>0.1653379455380737</v>
      </c>
      <c r="D134" s="4608" t="n">
        <v>2007</v>
      </c>
      <c r="E134" s="4837">
        <f>IF(C134="",AVERAGEIF($B$5:$C$252,B134,$C$5:$C$252),C134)</f>
        <v/>
      </c>
      <c r="F134" s="4837">
        <f>IFERROR(IF(VLOOKUP(A134, $K$8:$M$241, 2, FALSE)/1000 = 0, 0, VLOOKUP(A134, $K$8:$M$241, 2, FALSE)/1000 ), 0)</f>
        <v/>
      </c>
      <c r="G134" s="4837">
        <f>IFERROR(IF(VLOOKUP(A134, $K$8:$M$241, 3, FALSE)/1000 = 0, AVERAGEIF($B$5:$B$252,B134,$I$5:$I$252), VLOOKUP(A134, $K$8:$M$241, 3, FALSE)/1000 ), AVERAGEIF($B$5:$B$252,B134,$I$5:$I$252))</f>
        <v/>
      </c>
      <c r="H134" s="4837" t="n">
        <v>0.2105374023901897</v>
      </c>
      <c r="I134" s="4837" t="n">
        <v>0.1018441227431646</v>
      </c>
      <c r="K134" s="4379" t="inlineStr">
        <is>
          <t>Malawi</t>
        </is>
      </c>
      <c r="L134" s="4406" t="n">
        <v>489.1466666666666</v>
      </c>
      <c r="M134" s="4406" t="n">
        <v>242.7316936757696</v>
      </c>
      <c r="O134">
        <f>VLOOKUP(A131, $K$8:$M$241, 2, FALSE)</f>
        <v/>
      </c>
    </row>
    <row r="135">
      <c r="A135" s="4110" t="inlineStr">
        <is>
          <t>Luxembourg</t>
        </is>
      </c>
      <c r="B135">
        <f>INDEX(list_region_country!$G$3:$V$3,,SUMPRODUCT(--(list_region_country!$G$3:$V$56=Elec!A135)*(COLUMN(list_region_country!$G$3:$V$56)-COLUMN(list_region_country!$F$3))))</f>
        <v/>
      </c>
      <c r="C135" s="4837" t="n">
        <v>0.3866694473164144</v>
      </c>
      <c r="D135" s="4608" t="n">
        <v>2007</v>
      </c>
      <c r="E135" s="4837">
        <f>IF(C135="",AVERAGEIF($B$5:$C$252,B135,$C$5:$C$252),C135)</f>
        <v/>
      </c>
      <c r="F135" s="4837">
        <f>IFERROR(IF(VLOOKUP(A135, $K$8:$M$241, 2, FALSE)/1000 = 0, 0, VLOOKUP(A135, $K$8:$M$241, 2, FALSE)/1000 ), 0)</f>
        <v/>
      </c>
      <c r="G135" s="4837">
        <f>IFERROR(IF(VLOOKUP(A135, $K$8:$M$241, 3, FALSE)/1000 = 0, AVERAGEIF($B$5:$B$252,B135,$I$5:$I$252), VLOOKUP(A135, $K$8:$M$241, 3, FALSE)/1000 ), AVERAGEIF($B$5:$B$252,B135,$I$5:$I$252))</f>
        <v/>
      </c>
      <c r="H135" s="4837" t="n">
        <v>0.2202081798321813</v>
      </c>
      <c r="I135" s="4837" t="n">
        <v>0.0950405923246065</v>
      </c>
      <c r="K135" s="4379" t="inlineStr">
        <is>
          <t>Malaysia</t>
        </is>
      </c>
      <c r="L135" s="4406" t="n">
        <v>550.9889069161953</v>
      </c>
      <c r="M135" s="4406" t="n">
        <v>436.1921355966708</v>
      </c>
      <c r="O135">
        <f>VLOOKUP(A132, $K$8:$M$241, 2, FALSE)</f>
        <v/>
      </c>
    </row>
    <row r="136">
      <c r="A136" s="4110" t="inlineStr">
        <is>
          <t>Madagascar</t>
        </is>
      </c>
      <c r="B136">
        <f>INDEX(list_region_country!$G$3:$V$3,,SUMPRODUCT(--(list_region_country!$G$3:$V$56=Elec!A136)*(COLUMN(list_region_country!$G$3:$V$56)-COLUMN(list_region_country!$F$3))))</f>
        <v/>
      </c>
      <c r="C136" s="4837" t="n">
        <v>0.552</v>
      </c>
      <c r="D136" s="4608" t="n">
        <v>2019</v>
      </c>
      <c r="E136" s="4837">
        <f>IF(C136="",AVERAGEIF($B$5:$C$252,B136,$C$5:$C$252),C136)</f>
        <v/>
      </c>
      <c r="F136" s="4837">
        <f>IFERROR(IF(VLOOKUP(A136, $K$8:$M$241, 2, FALSE)/1000 = 0, 0, VLOOKUP(A136, $K$8:$M$241, 2, FALSE)/1000 ), 0)</f>
        <v/>
      </c>
      <c r="G136" s="4837">
        <f>IFERROR(IF(VLOOKUP(A136, $K$8:$M$241, 3, FALSE)/1000 = 0, AVERAGEIF($B$5:$B$252,B136,$I$5:$I$252), VLOOKUP(A136, $K$8:$M$241, 3, FALSE)/1000 ), AVERAGEIF($B$5:$B$252,B136,$I$5:$I$252))</f>
        <v/>
      </c>
      <c r="H136" s="4837" t="n">
        <v>0.8757368421052633</v>
      </c>
      <c r="I136" s="4837" t="n">
        <v>0.5674109228654125</v>
      </c>
      <c r="K136" s="4379" t="inlineStr">
        <is>
          <t>Maldives</t>
        </is>
      </c>
      <c r="L136" s="4406" t="n">
        <v>752.5333333333333</v>
      </c>
      <c r="M136" s="4406" t="n">
        <v>524.4602826270511</v>
      </c>
      <c r="O136">
        <f>VLOOKUP(A133, $K$8:$M$241, 2, FALSE)</f>
        <v/>
      </c>
    </row>
    <row r="137">
      <c r="A137" s="4110" t="inlineStr">
        <is>
          <t>Malawi</t>
        </is>
      </c>
      <c r="B137">
        <f>INDEX(list_region_country!$G$3:$V$3,,SUMPRODUCT(--(list_region_country!$G$3:$V$56=Elec!A137)*(COLUMN(list_region_country!$G$3:$V$56)-COLUMN(list_region_country!$F$3))))</f>
        <v/>
      </c>
      <c r="C137" s="4837" t="inlineStr"/>
      <c r="D137" s="4608" t="inlineStr"/>
      <c r="E137" s="4837">
        <f>IF(C137="",AVERAGEIF($B$5:$C$252,B137,$C$5:$C$252),C137)</f>
        <v/>
      </c>
      <c r="F137" s="4837">
        <f>IFERROR(IF(VLOOKUP(A137, $K$8:$M$241, 2, FALSE)/1000 = 0, 0, VLOOKUP(A137, $K$8:$M$241, 2, FALSE)/1000 ), 0)</f>
        <v/>
      </c>
      <c r="G137" s="4837">
        <f>IFERROR(IF(VLOOKUP(A137, $K$8:$M$241, 3, FALSE)/1000 = 0, AVERAGEIF($B$5:$B$252,B137,$I$5:$I$252), VLOOKUP(A137, $K$8:$M$241, 3, FALSE)/1000 ), AVERAGEIF($B$5:$B$252,B137,$I$5:$I$252))</f>
        <v/>
      </c>
      <c r="H137" s="4837" t="n">
        <v>0.4891466666666667</v>
      </c>
      <c r="I137" s="4837" t="n">
        <v>0.2427316936757696</v>
      </c>
      <c r="K137" s="4379" t="inlineStr">
        <is>
          <t>Mali</t>
        </is>
      </c>
      <c r="L137" s="4407" t="n">
        <v>1076.252631578948</v>
      </c>
      <c r="M137" s="4406" t="n">
        <v>623.3716755063615</v>
      </c>
      <c r="O137">
        <f>VLOOKUP(A134, $K$8:$M$241, 2, FALSE)</f>
        <v/>
      </c>
    </row>
    <row r="138">
      <c r="A138" s="4111" t="inlineStr">
        <is>
          <t>Malaysia</t>
        </is>
      </c>
      <c r="B138">
        <f>INDEX(list_region_country!$G$3:$V$3,,SUMPRODUCT(--(list_region_country!$G$3:$V$56=Elec!A138)*(COLUMN(list_region_country!$G$3:$V$56)-COLUMN(list_region_country!$F$3))))</f>
        <v/>
      </c>
      <c r="C138" s="4837" t="n">
        <v>0.67</v>
      </c>
      <c r="D138" s="4608" t="n">
        <v>2019</v>
      </c>
      <c r="E138" s="4837">
        <f>IF(C138="",AVERAGEIF($B$5:$C$252,B138,$C$5:$C$252),C138)</f>
        <v/>
      </c>
      <c r="F138" s="4837">
        <f>IFERROR(IF(VLOOKUP(A138, $K$8:$M$241, 2, FALSE)/1000 = 0, 0, VLOOKUP(A138, $K$8:$M$241, 2, FALSE)/1000 ), 0)</f>
        <v/>
      </c>
      <c r="G138" s="4837">
        <f>IFERROR(IF(VLOOKUP(A138, $K$8:$M$241, 3, FALSE)/1000 = 0, AVERAGEIF($B$5:$B$252,B138,$I$5:$I$252), VLOOKUP(A138, $K$8:$M$241, 3, FALSE)/1000 ), AVERAGEIF($B$5:$B$252,B138,$I$5:$I$252))</f>
        <v/>
      </c>
      <c r="H138" s="4837" t="n">
        <v>0.5509889069161953</v>
      </c>
      <c r="I138" s="4837" t="n">
        <v>0.4361921355966707</v>
      </c>
      <c r="K138" s="4379" t="inlineStr">
        <is>
          <t>Malta</t>
        </is>
      </c>
      <c r="L138" s="4406" t="n">
        <v>519.6725719247812</v>
      </c>
      <c r="M138" s="4406" t="n">
        <v>294.5124055340673</v>
      </c>
      <c r="O138">
        <f>VLOOKUP(A135, $K$8:$M$241, 2, FALSE)</f>
        <v/>
      </c>
    </row>
    <row r="139">
      <c r="A139" s="4111" t="inlineStr">
        <is>
          <t>Maldives</t>
        </is>
      </c>
      <c r="B139">
        <f>INDEX(list_region_country!$G$3:$V$3,,SUMPRODUCT(--(list_region_country!$G$3:$V$56=Elec!A139)*(COLUMN(list_region_country!$G$3:$V$56)-COLUMN(list_region_country!$F$3))))</f>
        <v/>
      </c>
      <c r="C139" s="4837" t="inlineStr"/>
      <c r="D139" s="4608" t="inlineStr"/>
      <c r="E139" s="4837">
        <f>IF(C139="",AVERAGEIF($B$5:$C$252,B139,$C$5:$C$252),C139)</f>
        <v/>
      </c>
      <c r="F139" s="4837">
        <f>IFERROR(IF(VLOOKUP(A139, $K$8:$M$241, 2, FALSE)/1000 = 0, 0, VLOOKUP(A139, $K$8:$M$241, 2, FALSE)/1000 ), 0)</f>
        <v/>
      </c>
      <c r="G139" s="4837">
        <f>IFERROR(IF(VLOOKUP(A139, $K$8:$M$241, 3, FALSE)/1000 = 0, AVERAGEIF($B$5:$B$252,B139,$I$5:$I$252), VLOOKUP(A139, $K$8:$M$241, 3, FALSE)/1000 ), AVERAGEIF($B$5:$B$252,B139,$I$5:$I$252))</f>
        <v/>
      </c>
      <c r="H139" s="4837" t="n">
        <v>0.7525333333333333</v>
      </c>
      <c r="I139" s="4837" t="n">
        <v>0.5244602826270511</v>
      </c>
      <c r="K139" s="4379" t="inlineStr">
        <is>
          <t>Marshall Islands</t>
        </is>
      </c>
      <c r="L139" s="4406" t="n">
        <v>752.5333333333333</v>
      </c>
      <c r="M139" s="4406" t="n">
        <v>560.9232613601453</v>
      </c>
      <c r="O139">
        <f>VLOOKUP(A136, $K$8:$M$241, 2, FALSE)</f>
        <v/>
      </c>
    </row>
    <row r="140">
      <c r="A140" s="4111" t="inlineStr">
        <is>
          <t>Mali</t>
        </is>
      </c>
      <c r="B140">
        <f>INDEX(list_region_country!$G$3:$V$3,,SUMPRODUCT(--(list_region_country!$G$3:$V$56=Elec!A140)*(COLUMN(list_region_country!$G$3:$V$56)-COLUMN(list_region_country!$F$3))))</f>
        <v/>
      </c>
      <c r="C140" s="4837" t="n">
        <v>0.5629999999999999</v>
      </c>
      <c r="D140" s="4608" t="n">
        <v>2019</v>
      </c>
      <c r="E140" s="4837">
        <f>IF(C140="",AVERAGEIF($B$5:$C$252,B140,$C$5:$C$252),C140)</f>
        <v/>
      </c>
      <c r="F140" s="4837">
        <f>IFERROR(IF(VLOOKUP(A140, $K$8:$M$241, 2, FALSE)/1000 = 0, 0, VLOOKUP(A140, $K$8:$M$241, 2, FALSE)/1000 ), 0)</f>
        <v/>
      </c>
      <c r="G140" s="4837">
        <f>IFERROR(IF(VLOOKUP(A140, $K$8:$M$241, 3, FALSE)/1000 = 0, AVERAGEIF($B$5:$B$252,B140,$I$5:$I$252), VLOOKUP(A140, $K$8:$M$241, 3, FALSE)/1000 ), AVERAGEIF($B$5:$B$252,B140,$I$5:$I$252))</f>
        <v/>
      </c>
      <c r="H140" s="4837" t="n">
        <v>1.076252631578948</v>
      </c>
      <c r="I140" s="4837" t="n">
        <v>0.6233716755063615</v>
      </c>
      <c r="K140" s="4379" t="inlineStr">
        <is>
          <t>Martinique</t>
        </is>
      </c>
      <c r="L140" s="4407" t="n">
        <v>752.5333333333333</v>
      </c>
      <c r="M140" s="4406" t="n">
        <v>406.4286875028805</v>
      </c>
      <c r="O140">
        <f>VLOOKUP(A137, $K$8:$M$241, 2, FALSE)</f>
        <v/>
      </c>
    </row>
    <row r="141">
      <c r="A141" s="4110" t="inlineStr">
        <is>
          <t>Malta</t>
        </is>
      </c>
      <c r="B141">
        <f>INDEX(list_region_country!$G$3:$V$3,,SUMPRODUCT(--(list_region_country!$G$3:$V$56=Elec!A141)*(COLUMN(list_region_country!$G$3:$V$56)-COLUMN(list_region_country!$F$3))))</f>
        <v/>
      </c>
      <c r="C141" s="4837" t="n">
        <v>0.9041936404138687</v>
      </c>
      <c r="D141" s="4608" t="n">
        <v>2007</v>
      </c>
      <c r="E141" s="4837">
        <f>IF(C141="",AVERAGEIF($B$5:$C$252,B141,$C$5:$C$252),C141)</f>
        <v/>
      </c>
      <c r="F141" s="4837">
        <f>IFERROR(IF(VLOOKUP(A141, $K$8:$M$241, 2, FALSE)/1000 = 0, 0, VLOOKUP(A141, $K$8:$M$241, 2, FALSE)/1000 ), 0)</f>
        <v/>
      </c>
      <c r="G141" s="4837">
        <f>IFERROR(IF(VLOOKUP(A141, $K$8:$M$241, 3, FALSE)/1000 = 0, AVERAGEIF($B$5:$B$252,B141,$I$5:$I$252), VLOOKUP(A141, $K$8:$M$241, 3, FALSE)/1000 ), AVERAGEIF($B$5:$B$252,B141,$I$5:$I$252))</f>
        <v/>
      </c>
      <c r="H141" s="4837" t="n">
        <v>0.5196725719247812</v>
      </c>
      <c r="I141" s="4837" t="n">
        <v>0.2945124055340673</v>
      </c>
      <c r="K141" s="4379" t="inlineStr">
        <is>
          <t>Mauritania</t>
        </is>
      </c>
      <c r="L141" s="4406" t="n">
        <v>752.5333333333333</v>
      </c>
      <c r="M141" s="4406" t="n">
        <v>513.1207333318673</v>
      </c>
      <c r="O141">
        <f>VLOOKUP(A138, $K$8:$M$241, 2, FALSE)</f>
        <v/>
      </c>
    </row>
    <row r="142">
      <c r="A142" s="4110" t="inlineStr">
        <is>
          <t>Marshall Islands</t>
        </is>
      </c>
      <c r="B142">
        <f>INDEX(list_region_country!$G$3:$V$3,,SUMPRODUCT(--(list_region_country!$G$3:$V$56=Elec!A142)*(COLUMN(list_region_country!$G$3:$V$56)-COLUMN(list_region_country!$F$3))))</f>
        <v/>
      </c>
      <c r="C142" s="4837" t="inlineStr"/>
      <c r="D142" s="4608" t="inlineStr"/>
      <c r="E142" s="4837">
        <f>IF(C142="",AVERAGEIF($B$5:$C$252,B142,$C$5:$C$252),C142)</f>
        <v/>
      </c>
      <c r="F142" s="4837">
        <f>IFERROR(IF(VLOOKUP(A142, $K$8:$M$241, 2, FALSE)/1000 = 0, 0, VLOOKUP(A142, $K$8:$M$241, 2, FALSE)/1000 ), 0)</f>
        <v/>
      </c>
      <c r="G142" s="4837">
        <f>IFERROR(IF(VLOOKUP(A142, $K$8:$M$241, 3, FALSE)/1000 = 0, AVERAGEIF($B$5:$B$252,B142,$I$5:$I$252), VLOOKUP(A142, $K$8:$M$241, 3, FALSE)/1000 ), AVERAGEIF($B$5:$B$252,B142,$I$5:$I$252))</f>
        <v/>
      </c>
      <c r="H142" s="4837" t="n">
        <v>0.7525333333333333</v>
      </c>
      <c r="I142" s="4837" t="n">
        <v>0.5609232613601453</v>
      </c>
      <c r="K142" s="4379" t="inlineStr">
        <is>
          <t>Mauritius</t>
        </is>
      </c>
      <c r="L142" s="4406" t="n">
        <v>700.4463538194531</v>
      </c>
      <c r="M142" s="4406" t="n">
        <v>542.7629563138291</v>
      </c>
      <c r="O142">
        <f>VLOOKUP(A139, $K$8:$M$241, 2, FALSE)</f>
        <v/>
      </c>
    </row>
    <row r="143">
      <c r="A143" s="4111" t="inlineStr">
        <is>
          <t>Martinique</t>
        </is>
      </c>
      <c r="B143">
        <f>INDEX(list_region_country!$G$3:$V$3,,SUMPRODUCT(--(list_region_country!$G$3:$V$56=Elec!A143)*(COLUMN(list_region_country!$G$3:$V$56)-COLUMN(list_region_country!$F$3))))</f>
        <v/>
      </c>
      <c r="C143" s="4837" t="inlineStr"/>
      <c r="D143" s="4608" t="inlineStr"/>
      <c r="E143" s="4837">
        <f>IF(C143="",AVERAGEIF($B$5:$C$252,B143,$C$5:$C$252),C143)</f>
        <v/>
      </c>
      <c r="F143" s="4837">
        <f>IFERROR(IF(VLOOKUP(A143, $K$8:$M$241, 2, FALSE)/1000 = 0, 0, VLOOKUP(A143, $K$8:$M$241, 2, FALSE)/1000 ), 0)</f>
        <v/>
      </c>
      <c r="G143" s="4837">
        <f>IFERROR(IF(VLOOKUP(A143, $K$8:$M$241, 3, FALSE)/1000 = 0, AVERAGEIF($B$5:$B$252,B143,$I$5:$I$252), VLOOKUP(A143, $K$8:$M$241, 3, FALSE)/1000 ), AVERAGEIF($B$5:$B$252,B143,$I$5:$I$252))</f>
        <v/>
      </c>
      <c r="H143" s="4837" t="n">
        <v>0.7525333333333333</v>
      </c>
      <c r="I143" s="4837" t="n">
        <v>0.4064286875028805</v>
      </c>
      <c r="K143" s="4379" t="inlineStr">
        <is>
          <t>Mayotte</t>
        </is>
      </c>
      <c r="L143" s="4406" t="n">
        <v>752.5333333333333</v>
      </c>
      <c r="M143" s="4406" t="n">
        <v>511.9887195486821</v>
      </c>
      <c r="O143">
        <f>VLOOKUP(A140, $K$8:$M$241, 2, FALSE)</f>
        <v/>
      </c>
    </row>
    <row r="144">
      <c r="A144" s="4111" t="inlineStr">
        <is>
          <t>Mauritania</t>
        </is>
      </c>
      <c r="B144">
        <f>INDEX(list_region_country!$G$3:$V$3,,SUMPRODUCT(--(list_region_country!$G$3:$V$56=Elec!A144)*(COLUMN(list_region_country!$G$3:$V$56)-COLUMN(list_region_country!$F$3))))</f>
        <v/>
      </c>
      <c r="C144" s="4837" t="inlineStr"/>
      <c r="D144" s="4608" t="inlineStr"/>
      <c r="E144" s="4837">
        <f>IF(C144="",AVERAGEIF($B$5:$C$252,B144,$C$5:$C$252),C144)</f>
        <v/>
      </c>
      <c r="F144" s="4837">
        <f>IFERROR(IF(VLOOKUP(A144, $K$8:$M$241, 2, FALSE)/1000 = 0, 0, VLOOKUP(A144, $K$8:$M$241, 2, FALSE)/1000 ), 0)</f>
        <v/>
      </c>
      <c r="G144" s="4837">
        <f>IFERROR(IF(VLOOKUP(A144, $K$8:$M$241, 3, FALSE)/1000 = 0, AVERAGEIF($B$5:$B$252,B144,$I$5:$I$252), VLOOKUP(A144, $K$8:$M$241, 3, FALSE)/1000 ), AVERAGEIF($B$5:$B$252,B144,$I$5:$I$252))</f>
        <v/>
      </c>
      <c r="H144" s="4837" t="n">
        <v>0.7525333333333333</v>
      </c>
      <c r="I144" s="4837" t="n">
        <v>0.5131207333318674</v>
      </c>
      <c r="K144" s="4379" t="inlineStr">
        <is>
          <t>Mexico</t>
        </is>
      </c>
      <c r="L144" s="4407" t="n">
        <v>531.4335243578706</v>
      </c>
      <c r="M144" s="4406" t="n">
        <v>360.404368582626</v>
      </c>
      <c r="O144">
        <f>VLOOKUP(A141, $K$8:$M$241, 2, FALSE)</f>
        <v/>
      </c>
    </row>
    <row r="145">
      <c r="A145" s="4110" t="inlineStr">
        <is>
          <t>Mauritius</t>
        </is>
      </c>
      <c r="B145">
        <f>INDEX(list_region_country!$G$3:$V$3,,SUMPRODUCT(--(list_region_country!$G$3:$V$56=Elec!A145)*(COLUMN(list_region_country!$G$3:$V$56)-COLUMN(list_region_country!$F$3))))</f>
        <v/>
      </c>
      <c r="C145" s="4837" t="n">
        <v>0.864</v>
      </c>
      <c r="D145" s="4608" t="n">
        <v>2019</v>
      </c>
      <c r="E145" s="4837">
        <f>IF(C145="",AVERAGEIF($B$5:$C$252,B145,$C$5:$C$252),C145)</f>
        <v/>
      </c>
      <c r="F145" s="4837">
        <f>IFERROR(IF(VLOOKUP(A145, $K$8:$M$241, 2, FALSE)/1000 = 0, 0, VLOOKUP(A145, $K$8:$M$241, 2, FALSE)/1000 ), 0)</f>
        <v/>
      </c>
      <c r="G145" s="4837">
        <f>IFERROR(IF(VLOOKUP(A145, $K$8:$M$241, 3, FALSE)/1000 = 0, AVERAGEIF($B$5:$B$252,B145,$I$5:$I$252), VLOOKUP(A145, $K$8:$M$241, 3, FALSE)/1000 ), AVERAGEIF($B$5:$B$252,B145,$I$5:$I$252))</f>
        <v/>
      </c>
      <c r="H145" s="4837" t="n">
        <v>0.7004463538194531</v>
      </c>
      <c r="I145" s="4837" t="n">
        <v>0.5427629563138291</v>
      </c>
      <c r="K145" s="4379" t="inlineStr">
        <is>
          <t>Micronesia (Federated States of)</t>
        </is>
      </c>
      <c r="L145" s="4406" t="n">
        <v>752.5333333333333</v>
      </c>
      <c r="M145" s="4406" t="n">
        <v>556.6305887334513</v>
      </c>
      <c r="O145">
        <f>VLOOKUP(A142, $K$8:$M$241, 2, FALSE)</f>
        <v/>
      </c>
    </row>
    <row r="146">
      <c r="A146" s="4110" t="inlineStr">
        <is>
          <t>Mayotte</t>
        </is>
      </c>
      <c r="B146">
        <f>INDEX(list_region_country!$G$3:$V$3,,SUMPRODUCT(--(list_region_country!$G$3:$V$56=Elec!A146)*(COLUMN(list_region_country!$G$3:$V$56)-COLUMN(list_region_country!$F$3))))</f>
        <v/>
      </c>
      <c r="C146" s="4837" t="inlineStr"/>
      <c r="D146" s="4608" t="inlineStr"/>
      <c r="E146" s="4837">
        <f>IF(C146="",AVERAGEIF($B$5:$C$252,B146,$C$5:$C$252),C146)</f>
        <v/>
      </c>
      <c r="F146" s="4837">
        <f>IFERROR(IF(VLOOKUP(A146, $K$8:$M$241, 2, FALSE)/1000 = 0, 0, VLOOKUP(A146, $K$8:$M$241, 2, FALSE)/1000 ), 0)</f>
        <v/>
      </c>
      <c r="G146" s="4837">
        <f>IFERROR(IF(VLOOKUP(A146, $K$8:$M$241, 3, FALSE)/1000 = 0, AVERAGEIF($B$5:$B$252,B146,$I$5:$I$252), VLOOKUP(A146, $K$8:$M$241, 3, FALSE)/1000 ), AVERAGEIF($B$5:$B$252,B146,$I$5:$I$252))</f>
        <v/>
      </c>
      <c r="H146" s="4837" t="n">
        <v>0.7525333333333333</v>
      </c>
      <c r="I146" s="4837" t="n">
        <v>0.5119887195486821</v>
      </c>
      <c r="K146" s="4379" t="inlineStr">
        <is>
          <t>Republic of Moldova</t>
        </is>
      </c>
      <c r="L146" s="4407" t="n">
        <v>540.8713542955645</v>
      </c>
      <c r="M146" s="4406" t="n">
        <v>399.2586485609939</v>
      </c>
      <c r="O146">
        <f>VLOOKUP(A143, $K$8:$M$241, 2, FALSE)</f>
        <v/>
      </c>
    </row>
    <row r="147">
      <c r="A147" s="4111" t="inlineStr">
        <is>
          <t>Mexico</t>
        </is>
      </c>
      <c r="B147">
        <f>INDEX(list_region_country!$G$3:$V$3,,SUMPRODUCT(--(list_region_country!$G$3:$V$56=Elec!A147)*(COLUMN(list_region_country!$G$3:$V$56)-COLUMN(list_region_country!$F$3))))</f>
        <v/>
      </c>
      <c r="C147" s="4837" t="n">
        <v>0.5933616641105817</v>
      </c>
      <c r="D147" s="4608" t="n">
        <v>2007</v>
      </c>
      <c r="E147" s="4837">
        <f>IF(C147="",AVERAGEIF($B$5:$C$252,B147,$C$5:$C$252),C147)</f>
        <v/>
      </c>
      <c r="F147" s="4837">
        <f>IFERROR(IF(VLOOKUP(A147, $K$8:$M$241, 2, FALSE)/1000 = 0, 0, VLOOKUP(A147, $K$8:$M$241, 2, FALSE)/1000 ), 0)</f>
        <v/>
      </c>
      <c r="G147" s="4837">
        <f>IFERROR(IF(VLOOKUP(A147, $K$8:$M$241, 3, FALSE)/1000 = 0, AVERAGEIF($B$5:$B$252,B147,$I$5:$I$252), VLOOKUP(A147, $K$8:$M$241, 3, FALSE)/1000 ), AVERAGEIF($B$5:$B$252,B147,$I$5:$I$252))</f>
        <v/>
      </c>
      <c r="H147" s="4837" t="n">
        <v>0.5314335243578706</v>
      </c>
      <c r="I147" s="4837" t="n">
        <v>0.360404368582626</v>
      </c>
      <c r="K147" s="4379" t="inlineStr">
        <is>
          <t>Monaco</t>
        </is>
      </c>
      <c r="L147" s="4406" t="n">
        <v>158.1394325865542</v>
      </c>
      <c r="M147" s="4406" t="n">
        <v>67.6227302178105</v>
      </c>
      <c r="O147">
        <f>VLOOKUP(A144, $K$8:$M$241, 2, FALSE)</f>
        <v/>
      </c>
    </row>
    <row r="148">
      <c r="A148" s="4110" t="inlineStr">
        <is>
          <t>Micronesia (Federated States of)</t>
        </is>
      </c>
      <c r="B148">
        <f>INDEX(list_region_country!$G$3:$V$3,,SUMPRODUCT(--(list_region_country!$G$3:$V$56=Elec!A148)*(COLUMN(list_region_country!$G$3:$V$56)-COLUMN(list_region_country!$F$3))))</f>
        <v/>
      </c>
      <c r="C148" s="4837" t="inlineStr"/>
      <c r="D148" s="4608" t="inlineStr"/>
      <c r="E148" s="4837">
        <f>IF(C148="",AVERAGEIF($B$5:$C$252,B148,$C$5:$C$252),C148)</f>
        <v/>
      </c>
      <c r="F148" s="4837">
        <f>IFERROR(IF(VLOOKUP(A148, $K$8:$M$241, 2, FALSE)/1000 = 0, 0, VLOOKUP(A148, $K$8:$M$241, 2, FALSE)/1000 ), 0)</f>
        <v/>
      </c>
      <c r="G148" s="4837">
        <f>IFERROR(IF(VLOOKUP(A148, $K$8:$M$241, 3, FALSE)/1000 = 0, AVERAGEIF($B$5:$B$252,B148,$I$5:$I$252), VLOOKUP(A148, $K$8:$M$241, 3, FALSE)/1000 ), AVERAGEIF($B$5:$B$252,B148,$I$5:$I$252))</f>
        <v/>
      </c>
      <c r="H148" s="4837" t="n">
        <v>0.7525333333333333</v>
      </c>
      <c r="I148" s="4837" t="n">
        <v>0.5566305887334513</v>
      </c>
      <c r="K148" s="4379" t="inlineStr">
        <is>
          <t>Mongolia</t>
        </is>
      </c>
      <c r="L148" s="4407" t="n">
        <v>1366.325155318845</v>
      </c>
      <c r="M148" s="4406" t="n">
        <v>1001.951322531854</v>
      </c>
      <c r="O148">
        <f>VLOOKUP(A145, $K$8:$M$241, 2, FALSE)</f>
        <v/>
      </c>
    </row>
    <row r="149">
      <c r="A149" s="4110" t="inlineStr">
        <is>
          <t>Monaco</t>
        </is>
      </c>
      <c r="B149">
        <f>INDEX(list_region_country!$G$3:$V$3,,SUMPRODUCT(--(list_region_country!$G$3:$V$56=Elec!A149)*(COLUMN(list_region_country!$G$3:$V$56)-COLUMN(list_region_country!$F$3))))</f>
        <v/>
      </c>
      <c r="C149" s="4837" t="inlineStr"/>
      <c r="D149" s="4608" t="inlineStr"/>
      <c r="E149" s="4837">
        <f>IF(C149="",AVERAGEIF($B$5:$C$252,B149,$C$5:$C$252),C149)</f>
        <v/>
      </c>
      <c r="F149" s="4837">
        <f>IFERROR(IF(VLOOKUP(A149, $K$8:$M$241, 2, FALSE)/1000 = 0, 0, VLOOKUP(A149, $K$8:$M$241, 2, FALSE)/1000 ), 0)</f>
        <v/>
      </c>
      <c r="G149" s="4837">
        <f>IFERROR(IF(VLOOKUP(A149, $K$8:$M$241, 3, FALSE)/1000 = 0, AVERAGEIF($B$5:$B$252,B149,$I$5:$I$252), VLOOKUP(A149, $K$8:$M$241, 3, FALSE)/1000 ), AVERAGEIF($B$5:$B$252,B149,$I$5:$I$252))</f>
        <v/>
      </c>
      <c r="H149" s="4837" t="n">
        <v>0.1581394325865542</v>
      </c>
      <c r="I149" s="4837" t="n">
        <v>0.0676227302178105</v>
      </c>
      <c r="K149" s="4379" t="inlineStr">
        <is>
          <t>Montenegro</t>
        </is>
      </c>
      <c r="L149" s="4406" t="n">
        <v>899.1574468085107</v>
      </c>
      <c r="M149" s="4406" t="n">
        <v>471.0434515052614</v>
      </c>
      <c r="O149">
        <f>VLOOKUP(A146, $K$8:$M$241, 2, FALSE)</f>
        <v/>
      </c>
    </row>
    <row r="150">
      <c r="A150" s="4111" t="inlineStr">
        <is>
          <t>Mongolia</t>
        </is>
      </c>
      <c r="B150">
        <f>INDEX(list_region_country!$G$3:$V$3,,SUMPRODUCT(--(list_region_country!$G$3:$V$56=Elec!A150)*(COLUMN(list_region_country!$G$3:$V$56)-COLUMN(list_region_country!$F$3))))</f>
        <v/>
      </c>
      <c r="C150" s="4837" t="n">
        <v>0.871</v>
      </c>
      <c r="D150" s="4608" t="n">
        <v>2019</v>
      </c>
      <c r="E150" s="4837">
        <f>IF(C150="",AVERAGEIF($B$5:$C$252,B150,$C$5:$C$252),C150)</f>
        <v/>
      </c>
      <c r="F150" s="4837">
        <f>IFERROR(IF(VLOOKUP(A150, $K$8:$M$241, 2, FALSE)/1000 = 0, 0, VLOOKUP(A150, $K$8:$M$241, 2, FALSE)/1000 ), 0)</f>
        <v/>
      </c>
      <c r="G150" s="4837">
        <f>IFERROR(IF(VLOOKUP(A150, $K$8:$M$241, 3, FALSE)/1000 = 0, AVERAGEIF($B$5:$B$252,B150,$I$5:$I$252), VLOOKUP(A150, $K$8:$M$241, 3, FALSE)/1000 ), AVERAGEIF($B$5:$B$252,B150,$I$5:$I$252))</f>
        <v/>
      </c>
      <c r="H150" s="4837" t="n">
        <v>1.366325155318845</v>
      </c>
      <c r="I150" s="4837" t="n">
        <v>1.001951322531854</v>
      </c>
      <c r="K150" s="4379" t="inlineStr">
        <is>
          <t>Montserrat</t>
        </is>
      </c>
      <c r="L150" s="4407" t="n">
        <v>752.5333333333333</v>
      </c>
      <c r="M150" s="4406" t="n">
        <v>516.9865656833626</v>
      </c>
      <c r="O150">
        <f>VLOOKUP(A147, $K$8:$M$241, 2, FALSE)</f>
        <v/>
      </c>
    </row>
    <row r="151">
      <c r="A151" s="4110" t="inlineStr">
        <is>
          <t>Montenegro</t>
        </is>
      </c>
      <c r="B151">
        <f>INDEX(list_region_country!$G$3:$V$3,,SUMPRODUCT(--(list_region_country!$G$3:$V$56=Elec!A151)*(COLUMN(list_region_country!$G$3:$V$56)-COLUMN(list_region_country!$F$3))))</f>
        <v/>
      </c>
      <c r="C151" s="4837" t="n">
        <v>0.984</v>
      </c>
      <c r="D151" s="4608" t="n">
        <v>2019</v>
      </c>
      <c r="E151" s="4837">
        <f>IF(C151="",AVERAGEIF($B$5:$C$252,B151,$C$5:$C$252),C151)</f>
        <v/>
      </c>
      <c r="F151" s="4837">
        <f>IFERROR(IF(VLOOKUP(A151, $K$8:$M$241, 2, FALSE)/1000 = 0, 0, VLOOKUP(A151, $K$8:$M$241, 2, FALSE)/1000 ), 0)</f>
        <v/>
      </c>
      <c r="G151" s="4837">
        <f>IFERROR(IF(VLOOKUP(A151, $K$8:$M$241, 3, FALSE)/1000 = 0, AVERAGEIF($B$5:$B$252,B151,$I$5:$I$252), VLOOKUP(A151, $K$8:$M$241, 3, FALSE)/1000 ), AVERAGEIF($B$5:$B$252,B151,$I$5:$I$252))</f>
        <v/>
      </c>
      <c r="H151" s="4837" t="n">
        <v>0.8991574468085107</v>
      </c>
      <c r="I151" s="4837" t="n">
        <v>0.4710434515052614</v>
      </c>
      <c r="K151" s="4379" t="inlineStr">
        <is>
          <t>Morocco</t>
        </is>
      </c>
      <c r="L151" s="4407" t="n">
        <v>728.5465493789329</v>
      </c>
      <c r="M151" s="4406" t="n">
        <v>546.8271146982047</v>
      </c>
      <c r="O151">
        <f>VLOOKUP(A148, $K$8:$M$241, 2, FALSE)</f>
        <v/>
      </c>
    </row>
    <row r="152">
      <c r="A152" s="4111" t="inlineStr">
        <is>
          <t>Montserrat</t>
        </is>
      </c>
      <c r="B152">
        <f>INDEX(list_region_country!$G$3:$V$3,,SUMPRODUCT(--(list_region_country!$G$3:$V$56=Elec!A152)*(COLUMN(list_region_country!$G$3:$V$56)-COLUMN(list_region_country!$F$3))))</f>
        <v/>
      </c>
      <c r="C152" s="4837" t="inlineStr"/>
      <c r="D152" s="4608" t="inlineStr"/>
      <c r="E152" s="4837">
        <f>IF(C152="",AVERAGEIF($B$5:$C$252,B152,$C$5:$C$252),C152)</f>
        <v/>
      </c>
      <c r="F152" s="4837">
        <f>IFERROR(IF(VLOOKUP(A152, $K$8:$M$241, 2, FALSE)/1000 = 0, 0, VLOOKUP(A152, $K$8:$M$241, 2, FALSE)/1000 ), 0)</f>
        <v/>
      </c>
      <c r="G152" s="4837">
        <f>IFERROR(IF(VLOOKUP(A152, $K$8:$M$241, 3, FALSE)/1000 = 0, AVERAGEIF($B$5:$B$252,B152,$I$5:$I$252), VLOOKUP(A152, $K$8:$M$241, 3, FALSE)/1000 ), AVERAGEIF($B$5:$B$252,B152,$I$5:$I$252))</f>
        <v/>
      </c>
      <c r="H152" s="4837" t="n">
        <v>0.7525333333333333</v>
      </c>
      <c r="I152" s="4837" t="n">
        <v>0.5169865656833627</v>
      </c>
      <c r="K152" s="4379" t="inlineStr">
        <is>
          <t>Mozambique</t>
        </is>
      </c>
      <c r="L152" s="4406" t="n">
        <v>233.842604804223</v>
      </c>
      <c r="M152" s="4406" t="n">
        <v>110.7817145243435</v>
      </c>
      <c r="O152">
        <f>VLOOKUP(A149, $K$8:$M$241, 2, FALSE)</f>
        <v/>
      </c>
    </row>
    <row r="153">
      <c r="A153" s="4111" t="inlineStr">
        <is>
          <t>Morocco</t>
        </is>
      </c>
      <c r="B153">
        <f>INDEX(list_region_country!$G$3:$V$3,,SUMPRODUCT(--(list_region_country!$G$3:$V$56=Elec!A153)*(COLUMN(list_region_country!$G$3:$V$56)-COLUMN(list_region_country!$F$3))))</f>
        <v/>
      </c>
      <c r="C153" s="4837" t="n">
        <v>0.659</v>
      </c>
      <c r="D153" s="4608" t="n">
        <v>2019</v>
      </c>
      <c r="E153" s="4837">
        <f>IF(C153="",AVERAGEIF($B$5:$C$252,B153,$C$5:$C$252),C153)</f>
        <v/>
      </c>
      <c r="F153" s="4837">
        <f>IFERROR(IF(VLOOKUP(A153, $K$8:$M$241, 2, FALSE)/1000 = 0, 0, VLOOKUP(A153, $K$8:$M$241, 2, FALSE)/1000 ), 0)</f>
        <v/>
      </c>
      <c r="G153" s="4837">
        <f>IFERROR(IF(VLOOKUP(A153, $K$8:$M$241, 3, FALSE)/1000 = 0, AVERAGEIF($B$5:$B$252,B153,$I$5:$I$252), VLOOKUP(A153, $K$8:$M$241, 3, FALSE)/1000 ), AVERAGEIF($B$5:$B$252,B153,$I$5:$I$252))</f>
        <v/>
      </c>
      <c r="H153" s="4837" t="n">
        <v>0.7285465493789329</v>
      </c>
      <c r="I153" s="4837" t="n">
        <v>0.5468271146982047</v>
      </c>
      <c r="K153" s="4379" t="inlineStr">
        <is>
          <t>Myanmar</t>
        </is>
      </c>
      <c r="L153" s="4407" t="n">
        <v>719.2616250234438</v>
      </c>
      <c r="M153" s="4406" t="n">
        <v>406.8101690003263</v>
      </c>
      <c r="O153">
        <f>VLOOKUP(A150, $K$8:$M$241, 2, FALSE)</f>
        <v/>
      </c>
    </row>
    <row r="154">
      <c r="A154" s="4110" t="inlineStr">
        <is>
          <t>Mozambique</t>
        </is>
      </c>
      <c r="B154">
        <f>INDEX(list_region_country!$G$3:$V$3,,SUMPRODUCT(--(list_region_country!$G$3:$V$56=Elec!A154)*(COLUMN(list_region_country!$G$3:$V$56)-COLUMN(list_region_country!$F$3))))</f>
        <v/>
      </c>
      <c r="C154" s="4837" t="n">
        <v>0.909</v>
      </c>
      <c r="D154" s="4608" t="n">
        <v>2019</v>
      </c>
      <c r="E154" s="4837">
        <f>IF(C154="",AVERAGEIF($B$5:$C$252,B154,$C$5:$C$252),C154)</f>
        <v/>
      </c>
      <c r="F154" s="4837">
        <f>IFERROR(IF(VLOOKUP(A154, $K$8:$M$241, 2, FALSE)/1000 = 0, 0, VLOOKUP(A154, $K$8:$M$241, 2, FALSE)/1000 ), 0)</f>
        <v/>
      </c>
      <c r="G154" s="4837">
        <f>IFERROR(IF(VLOOKUP(A154, $K$8:$M$241, 3, FALSE)/1000 = 0, AVERAGEIF($B$5:$B$252,B154,$I$5:$I$252), VLOOKUP(A154, $K$8:$M$241, 3, FALSE)/1000 ), AVERAGEIF($B$5:$B$252,B154,$I$5:$I$252))</f>
        <v/>
      </c>
      <c r="H154" s="4837" t="n">
        <v>0.233842604804223</v>
      </c>
      <c r="I154" s="4837" t="n">
        <v>0.1107817145243435</v>
      </c>
      <c r="K154" s="4379" t="inlineStr">
        <is>
          <t>Namibia</t>
        </is>
      </c>
      <c r="L154" s="4407" t="n">
        <v>355.0244916007445</v>
      </c>
      <c r="M154" s="4406" t="n">
        <v>138.5770007159498</v>
      </c>
      <c r="O154">
        <f>VLOOKUP(A151, $K$8:$M$241, 2, FALSE)</f>
        <v/>
      </c>
    </row>
    <row r="155">
      <c r="A155" s="4111" t="inlineStr">
        <is>
          <t>Myanmar</t>
        </is>
      </c>
      <c r="B155">
        <f>INDEX(list_region_country!$G$3:$V$3,,SUMPRODUCT(--(list_region_country!$G$3:$V$56=Elec!A155)*(COLUMN(list_region_country!$G$3:$V$56)-COLUMN(list_region_country!$F$3))))</f>
        <v/>
      </c>
      <c r="C155" s="4837" t="n">
        <v>0.4558489634085289</v>
      </c>
      <c r="D155" s="4608" t="n">
        <v>2007</v>
      </c>
      <c r="E155" s="4837">
        <f>IF(C155="",AVERAGEIF($B$5:$C$252,B155,$C$5:$C$252),C155)</f>
        <v/>
      </c>
      <c r="F155" s="4837">
        <f>IFERROR(IF(VLOOKUP(A155, $K$8:$M$241, 2, FALSE)/1000 = 0, 0, VLOOKUP(A155, $K$8:$M$241, 2, FALSE)/1000 ), 0)</f>
        <v/>
      </c>
      <c r="G155" s="4837">
        <f>IFERROR(IF(VLOOKUP(A155, $K$8:$M$241, 3, FALSE)/1000 = 0, AVERAGEIF($B$5:$B$252,B155,$I$5:$I$252), VLOOKUP(A155, $K$8:$M$241, 3, FALSE)/1000 ), AVERAGEIF($B$5:$B$252,B155,$I$5:$I$252))</f>
        <v/>
      </c>
      <c r="H155" s="4837" t="n">
        <v>0.7192616250234438</v>
      </c>
      <c r="I155" s="4837" t="n">
        <v>0.4068101690003262</v>
      </c>
      <c r="K155" s="4379" t="inlineStr">
        <is>
          <t>Nauru</t>
        </is>
      </c>
      <c r="L155" s="4407" t="n">
        <v>752.5333333333333</v>
      </c>
      <c r="M155" s="4406" t="n">
        <v>520.6989212757913</v>
      </c>
      <c r="O155">
        <f>VLOOKUP(A152, $K$8:$M$241, 2, FALSE)</f>
        <v/>
      </c>
    </row>
    <row r="156">
      <c r="A156" s="4111" t="inlineStr">
        <is>
          <t>Namibia</t>
        </is>
      </c>
      <c r="B156">
        <f>INDEX(list_region_country!$G$3:$V$3,,SUMPRODUCT(--(list_region_country!$G$3:$V$56=Elec!A156)*(COLUMN(list_region_country!$G$3:$V$56)-COLUMN(list_region_country!$F$3))))</f>
        <v/>
      </c>
      <c r="C156" s="4837" t="n">
        <v>0.909</v>
      </c>
      <c r="D156" s="4608" t="n">
        <v>2019</v>
      </c>
      <c r="E156" s="4837">
        <f>IF(C156="",AVERAGEIF($B$5:$C$252,B156,$C$5:$C$252),C156)</f>
        <v/>
      </c>
      <c r="F156" s="4837">
        <f>IFERROR(IF(VLOOKUP(A156, $K$8:$M$241, 2, FALSE)/1000 = 0, 0, VLOOKUP(A156, $K$8:$M$241, 2, FALSE)/1000 ), 0)</f>
        <v/>
      </c>
      <c r="G156" s="4837">
        <f>IFERROR(IF(VLOOKUP(A156, $K$8:$M$241, 3, FALSE)/1000 = 0, AVERAGEIF($B$5:$B$252,B156,$I$5:$I$252), VLOOKUP(A156, $K$8:$M$241, 3, FALSE)/1000 ), AVERAGEIF($B$5:$B$252,B156,$I$5:$I$252))</f>
        <v/>
      </c>
      <c r="H156" s="4837" t="n">
        <v>0.3550244916007445</v>
      </c>
      <c r="I156" s="4837" t="n">
        <v>0.1385770007159498</v>
      </c>
      <c r="K156" s="4379" t="inlineStr">
        <is>
          <t>Nepal</t>
        </is>
      </c>
      <c r="L156" s="4407" t="n">
        <v>0</v>
      </c>
      <c r="M156" s="4406" t="n">
        <v>0.006627684399105216</v>
      </c>
      <c r="O156">
        <f>VLOOKUP(A153, $K$8:$M$241, 2, FALSE)</f>
        <v/>
      </c>
    </row>
    <row r="157">
      <c r="A157" s="4110" t="inlineStr">
        <is>
          <t>Nauru</t>
        </is>
      </c>
      <c r="B157">
        <f>INDEX(list_region_country!$G$3:$V$3,,SUMPRODUCT(--(list_region_country!$G$3:$V$56=Elec!A157)*(COLUMN(list_region_country!$G$3:$V$56)-COLUMN(list_region_country!$F$3))))</f>
        <v/>
      </c>
      <c r="C157" s="4837" t="inlineStr"/>
      <c r="D157" s="4608" t="inlineStr"/>
      <c r="E157" s="4837">
        <f>IF(C157="",AVERAGEIF($B$5:$C$252,B157,$C$5:$C$252),C157)</f>
        <v/>
      </c>
      <c r="F157" s="4837">
        <f>IFERROR(IF(VLOOKUP(A157, $K$8:$M$241, 2, FALSE)/1000 = 0, 0, VLOOKUP(A157, $K$8:$M$241, 2, FALSE)/1000 ), 0)</f>
        <v/>
      </c>
      <c r="G157" s="4837">
        <f>IFERROR(IF(VLOOKUP(A157, $K$8:$M$241, 3, FALSE)/1000 = 0, AVERAGEIF($B$5:$B$252,B157,$I$5:$I$252), VLOOKUP(A157, $K$8:$M$241, 3, FALSE)/1000 ), AVERAGEIF($B$5:$B$252,B157,$I$5:$I$252))</f>
        <v/>
      </c>
      <c r="H157" s="4837" t="n">
        <v>0.7525333333333333</v>
      </c>
      <c r="I157" s="4837" t="n">
        <v>0.5206989212757913</v>
      </c>
      <c r="K157" s="4379" t="inlineStr">
        <is>
          <t>Netherlands</t>
        </is>
      </c>
      <c r="L157" s="4406" t="n">
        <v>326.0857808778878</v>
      </c>
      <c r="M157" s="4406" t="n">
        <v>202.9021450113807</v>
      </c>
      <c r="O157">
        <f>VLOOKUP(A154, $K$8:$M$241, 2, FALSE)</f>
        <v/>
      </c>
    </row>
    <row r="158">
      <c r="A158" s="4111" t="inlineStr">
        <is>
          <t>Nepal</t>
        </is>
      </c>
      <c r="B158">
        <f>INDEX(list_region_country!$G$3:$V$3,,SUMPRODUCT(--(list_region_country!$G$3:$V$56=Elec!A158)*(COLUMN(list_region_country!$G$3:$V$56)-COLUMN(list_region_country!$F$3))))</f>
        <v/>
      </c>
      <c r="C158" s="4837" t="n">
        <v>0.01328608493686109</v>
      </c>
      <c r="D158" s="4608" t="n">
        <v>2007</v>
      </c>
      <c r="E158" s="4837">
        <f>IF(C158="",AVERAGEIF($B$5:$C$252,B158,$C$5:$C$252),C158)</f>
        <v/>
      </c>
      <c r="F158" s="4837">
        <f>IFERROR(IF(VLOOKUP(A158, $K$8:$M$241, 2, FALSE)/1000 = 0, 0, VLOOKUP(A158, $K$8:$M$241, 2, FALSE)/1000 ), 0)</f>
        <v/>
      </c>
      <c r="G158" s="4837">
        <f>IFERROR(IF(VLOOKUP(A158, $K$8:$M$241, 3, FALSE)/1000 = 0, AVERAGEIF($B$5:$B$252,B158,$I$5:$I$252), VLOOKUP(A158, $K$8:$M$241, 3, FALSE)/1000 ), AVERAGEIF($B$5:$B$252,B158,$I$5:$I$252))</f>
        <v/>
      </c>
      <c r="H158" s="4837" t="inlineStr">
        <is>
          <t>N/A</t>
        </is>
      </c>
      <c r="I158" s="4837" t="n">
        <v>6.627684399105216e-06</v>
      </c>
      <c r="K158" s="4379" t="inlineStr">
        <is>
          <t>New Caledonia</t>
        </is>
      </c>
      <c r="L158" s="4407" t="n">
        <v>779.4090909090908</v>
      </c>
      <c r="M158" s="4406" t="n">
        <v>445.3411159118166</v>
      </c>
      <c r="O158">
        <f>VLOOKUP(A155, $K$8:$M$241, 2, FALSE)</f>
        <v/>
      </c>
    </row>
    <row r="159">
      <c r="A159" s="4110" t="inlineStr">
        <is>
          <t>Netherlands</t>
        </is>
      </c>
      <c r="B159">
        <f>INDEX(list_region_country!$G$3:$V$3,,SUMPRODUCT(--(list_region_country!$G$3:$V$56=Elec!A159)*(COLUMN(list_region_country!$G$3:$V$56)-COLUMN(list_region_country!$F$3))))</f>
        <v/>
      </c>
      <c r="C159" s="4837" t="n">
        <v>0.4788260687634486</v>
      </c>
      <c r="D159" s="4608" t="n">
        <v>2007</v>
      </c>
      <c r="E159" s="4837">
        <f>IF(C159="",AVERAGEIF($B$5:$C$252,B159,$C$5:$C$252),C159)</f>
        <v/>
      </c>
      <c r="F159" s="4837">
        <f>IFERROR(IF(VLOOKUP(A159, $K$8:$M$241, 2, FALSE)/1000 = 0, 0, VLOOKUP(A159, $K$8:$M$241, 2, FALSE)/1000 ), 0)</f>
        <v/>
      </c>
      <c r="G159" s="4837">
        <f>IFERROR(IF(VLOOKUP(A159, $K$8:$M$241, 3, FALSE)/1000 = 0, AVERAGEIF($B$5:$B$252,B159,$I$5:$I$252), VLOOKUP(A159, $K$8:$M$241, 3, FALSE)/1000 ), AVERAGEIF($B$5:$B$252,B159,$I$5:$I$252))</f>
        <v/>
      </c>
      <c r="H159" s="4837" t="n">
        <v>0.3260857808778878</v>
      </c>
      <c r="I159" s="4837" t="n">
        <v>0.2029021450113807</v>
      </c>
      <c r="K159" s="4379" t="inlineStr">
        <is>
          <t>New Zealand</t>
        </is>
      </c>
      <c r="L159" s="4407" t="n">
        <v>246.0316061576977</v>
      </c>
      <c r="M159" s="4406" t="n">
        <v>107.557645074091</v>
      </c>
      <c r="O159">
        <f>VLOOKUP(A156, $K$8:$M$241, 2, FALSE)</f>
        <v/>
      </c>
    </row>
    <row r="160">
      <c r="A160" s="4110" t="inlineStr">
        <is>
          <t>New Caledonia</t>
        </is>
      </c>
      <c r="B160">
        <f>INDEX(list_region_country!$G$3:$V$3,,SUMPRODUCT(--(list_region_country!$G$3:$V$56=Elec!A160)*(COLUMN(list_region_country!$G$3:$V$56)-COLUMN(list_region_country!$F$3))))</f>
        <v/>
      </c>
      <c r="C160" s="4837" t="inlineStr"/>
      <c r="D160" s="4608" t="inlineStr"/>
      <c r="E160" s="4837">
        <f>IF(C160="",AVERAGEIF($B$5:$C$252,B160,$C$5:$C$252),C160)</f>
        <v/>
      </c>
      <c r="F160" s="4837">
        <f>IFERROR(IF(VLOOKUP(A160, $K$8:$M$241, 2, FALSE)/1000 = 0, 0, VLOOKUP(A160, $K$8:$M$241, 2, FALSE)/1000 ), 0)</f>
        <v/>
      </c>
      <c r="G160" s="4837">
        <f>IFERROR(IF(VLOOKUP(A160, $K$8:$M$241, 3, FALSE)/1000 = 0, AVERAGEIF($B$5:$B$252,B160,$I$5:$I$252), VLOOKUP(A160, $K$8:$M$241, 3, FALSE)/1000 ), AVERAGEIF($B$5:$B$252,B160,$I$5:$I$252))</f>
        <v/>
      </c>
      <c r="H160" s="4837" t="n">
        <v>0.7794090909090907</v>
      </c>
      <c r="I160" s="4837" t="n">
        <v>0.4453411159118166</v>
      </c>
      <c r="K160" s="4379" t="inlineStr">
        <is>
          <t>Nicaragua</t>
        </is>
      </c>
      <c r="L160" s="4406" t="n">
        <v>675.2747368421053</v>
      </c>
      <c r="M160" s="4406" t="n">
        <v>371.9723505385192</v>
      </c>
      <c r="O160">
        <f>VLOOKUP(A157, $K$8:$M$241, 2, FALSE)</f>
        <v/>
      </c>
    </row>
    <row r="161">
      <c r="A161" s="4110" t="inlineStr">
        <is>
          <t>New Zealand</t>
        </is>
      </c>
      <c r="B161">
        <f>INDEX(list_region_country!$G$3:$V$3,,SUMPRODUCT(--(list_region_country!$G$3:$V$56=Elec!A161)*(COLUMN(list_region_country!$G$3:$V$56)-COLUMN(list_region_country!$F$3))))</f>
        <v/>
      </c>
      <c r="C161" s="4837" t="n">
        <v>0.1585014771927909</v>
      </c>
      <c r="D161" s="4608" t="n">
        <v>2007</v>
      </c>
      <c r="E161" s="4837">
        <f>IF(C161="",AVERAGEIF($B$5:$C$252,B161,$C$5:$C$252),C161)</f>
        <v/>
      </c>
      <c r="F161" s="4837">
        <f>IFERROR(IF(VLOOKUP(A161, $K$8:$M$241, 2, FALSE)/1000 = 0, 0, VLOOKUP(A161, $K$8:$M$241, 2, FALSE)/1000 ), 0)</f>
        <v/>
      </c>
      <c r="G161" s="4837">
        <f>IFERROR(IF(VLOOKUP(A161, $K$8:$M$241, 3, FALSE)/1000 = 0, AVERAGEIF($B$5:$B$252,B161,$I$5:$I$252), VLOOKUP(A161, $K$8:$M$241, 3, FALSE)/1000 ), AVERAGEIF($B$5:$B$252,B161,$I$5:$I$252))</f>
        <v/>
      </c>
      <c r="H161" s="4837" t="n">
        <v>0.2460316061576977</v>
      </c>
      <c r="I161" s="4837" t="n">
        <v>0.107557645074091</v>
      </c>
      <c r="K161" s="4379" t="inlineStr">
        <is>
          <t>Niger</t>
        </is>
      </c>
      <c r="L161" s="4406" t="n">
        <v>772.1052631578948</v>
      </c>
      <c r="M161" s="4406" t="n">
        <v>717.8980132072593</v>
      </c>
      <c r="O161">
        <f>VLOOKUP(A158, $K$8:$M$241, 2, FALSE)</f>
        <v/>
      </c>
    </row>
    <row r="162">
      <c r="A162" s="4111" t="inlineStr">
        <is>
          <t>Nicaragua</t>
        </is>
      </c>
      <c r="B162">
        <f>INDEX(list_region_country!$G$3:$V$3,,SUMPRODUCT(--(list_region_country!$G$3:$V$56=Elec!A162)*(COLUMN(list_region_country!$G$3:$V$56)-COLUMN(list_region_country!$F$3))))</f>
        <v/>
      </c>
      <c r="C162" s="4837" t="n">
        <v>0.669</v>
      </c>
      <c r="D162" s="4608" t="n">
        <v>2019</v>
      </c>
      <c r="E162" s="4837">
        <f>IF(C162="",AVERAGEIF($B$5:$C$252,B162,$C$5:$C$252),C162)</f>
        <v/>
      </c>
      <c r="F162" s="4837">
        <f>IFERROR(IF(VLOOKUP(A162, $K$8:$M$241, 2, FALSE)/1000 = 0, 0, VLOOKUP(A162, $K$8:$M$241, 2, FALSE)/1000 ), 0)</f>
        <v/>
      </c>
      <c r="G162" s="4837">
        <f>IFERROR(IF(VLOOKUP(A162, $K$8:$M$241, 3, FALSE)/1000 = 0, AVERAGEIF($B$5:$B$252,B162,$I$5:$I$252), VLOOKUP(A162, $K$8:$M$241, 3, FALSE)/1000 ), AVERAGEIF($B$5:$B$252,B162,$I$5:$I$252))</f>
        <v/>
      </c>
      <c r="H162" s="4837" t="n">
        <v>0.6752747368421053</v>
      </c>
      <c r="I162" s="4837" t="n">
        <v>0.3719723505385192</v>
      </c>
      <c r="K162" s="4379" t="inlineStr">
        <is>
          <t>Nigeria</t>
        </is>
      </c>
      <c r="L162" s="4407" t="n">
        <v>525.9375</v>
      </c>
      <c r="M162" s="4406" t="n">
        <v>357.5957660375868</v>
      </c>
      <c r="O162">
        <f>VLOOKUP(A159, $K$8:$M$241, 2, FALSE)</f>
        <v/>
      </c>
    </row>
    <row r="163">
      <c r="A163" s="4111" t="inlineStr">
        <is>
          <t>Niger</t>
        </is>
      </c>
      <c r="B163">
        <f>INDEX(list_region_country!$G$3:$V$3,,SUMPRODUCT(--(list_region_country!$G$3:$V$56=Elec!A163)*(COLUMN(list_region_country!$G$3:$V$56)-COLUMN(list_region_country!$F$3))))</f>
        <v/>
      </c>
      <c r="C163" s="4837" t="n">
        <v>0.5629999999999999</v>
      </c>
      <c r="D163" s="4608" t="n">
        <v>2019</v>
      </c>
      <c r="E163" s="4837">
        <f>IF(C163="",AVERAGEIF($B$5:$C$252,B163,$C$5:$C$252),C163)</f>
        <v/>
      </c>
      <c r="F163" s="4837">
        <f>IFERROR(IF(VLOOKUP(A163, $K$8:$M$241, 2, FALSE)/1000 = 0, 0, VLOOKUP(A163, $K$8:$M$241, 2, FALSE)/1000 ), 0)</f>
        <v/>
      </c>
      <c r="G163" s="4837">
        <f>IFERROR(IF(VLOOKUP(A163, $K$8:$M$241, 3, FALSE)/1000 = 0, AVERAGEIF($B$5:$B$252,B163,$I$5:$I$252), VLOOKUP(A163, $K$8:$M$241, 3, FALSE)/1000 ), AVERAGEIF($B$5:$B$252,B163,$I$5:$I$252))</f>
        <v/>
      </c>
      <c r="H163" s="4837" t="n">
        <v>0.7721052631578948</v>
      </c>
      <c r="I163" s="4837" t="n">
        <v>0.7178980132072593</v>
      </c>
      <c r="K163" s="4379" t="inlineStr">
        <is>
          <t>Niue</t>
        </is>
      </c>
      <c r="L163" s="4407" t="n">
        <v>752.5333333333333</v>
      </c>
      <c r="M163" s="4406" t="n">
        <v>458.8479334451208</v>
      </c>
      <c r="O163">
        <f>VLOOKUP(A160, $K$8:$M$241, 2, FALSE)</f>
        <v/>
      </c>
    </row>
    <row r="164">
      <c r="A164" s="4111" t="inlineStr">
        <is>
          <t>Nigeria</t>
        </is>
      </c>
      <c r="B164">
        <f>INDEX(list_region_country!$G$3:$V$3,,SUMPRODUCT(--(list_region_country!$G$3:$V$56=Elec!A164)*(COLUMN(list_region_country!$G$3:$V$56)-COLUMN(list_region_country!$F$3))))</f>
        <v/>
      </c>
      <c r="C164" s="4837" t="n">
        <v>0.5629999999999999</v>
      </c>
      <c r="D164" s="4608" t="n">
        <v>2019</v>
      </c>
      <c r="E164" s="4837">
        <f>IF(C164="",AVERAGEIF($B$5:$C$252,B164,$C$5:$C$252),C164)</f>
        <v/>
      </c>
      <c r="F164" s="4837">
        <f>IFERROR(IF(VLOOKUP(A164, $K$8:$M$241, 2, FALSE)/1000 = 0, 0, VLOOKUP(A164, $K$8:$M$241, 2, FALSE)/1000 ), 0)</f>
        <v/>
      </c>
      <c r="G164" s="4837">
        <f>IFERROR(IF(VLOOKUP(A164, $K$8:$M$241, 3, FALSE)/1000 = 0, AVERAGEIF($B$5:$B$252,B164,$I$5:$I$252), VLOOKUP(A164, $K$8:$M$241, 3, FALSE)/1000 ), AVERAGEIF($B$5:$B$252,B164,$I$5:$I$252))</f>
        <v/>
      </c>
      <c r="H164" s="4837" t="n">
        <v>0.5259374999999999</v>
      </c>
      <c r="I164" s="4837" t="n">
        <v>0.3575957660375868</v>
      </c>
      <c r="K164" s="4379" t="inlineStr">
        <is>
          <t>North Macedonia</t>
        </is>
      </c>
      <c r="L164" s="4407" t="n">
        <v>850.8712306281191</v>
      </c>
      <c r="M164" s="4406" t="n">
        <v>562.8460057539887</v>
      </c>
      <c r="O164">
        <f>VLOOKUP(A161, $K$8:$M$241, 2, FALSE)</f>
        <v/>
      </c>
    </row>
    <row r="165">
      <c r="A165" s="4110" t="inlineStr">
        <is>
          <t>Niue</t>
        </is>
      </c>
      <c r="B165">
        <f>INDEX(list_region_country!$G$3:$V$3,,SUMPRODUCT(--(list_region_country!$G$3:$V$56=Elec!A165)*(COLUMN(list_region_country!$G$3:$V$56)-COLUMN(list_region_country!$F$3))))</f>
        <v/>
      </c>
      <c r="C165" s="4837" t="inlineStr"/>
      <c r="D165" s="4608" t="inlineStr"/>
      <c r="E165" s="4837">
        <f>IF(C165="",AVERAGEIF($B$5:$C$252,B165,$C$5:$C$252),C165)</f>
        <v/>
      </c>
      <c r="F165" s="4837">
        <f>IFERROR(IF(VLOOKUP(A165, $K$8:$M$241, 2, FALSE)/1000 = 0, 0, VLOOKUP(A165, $K$8:$M$241, 2, FALSE)/1000 ), 0)</f>
        <v/>
      </c>
      <c r="G165" s="4837">
        <f>IFERROR(IF(VLOOKUP(A165, $K$8:$M$241, 3, FALSE)/1000 = 0, AVERAGEIF($B$5:$B$252,B165,$I$5:$I$252), VLOOKUP(A165, $K$8:$M$241, 3, FALSE)/1000 ), AVERAGEIF($B$5:$B$252,B165,$I$5:$I$252))</f>
        <v/>
      </c>
      <c r="H165" s="4837" t="n">
        <v>0.7525333333333333</v>
      </c>
      <c r="I165" s="4837" t="n">
        <v>0.4588479334451208</v>
      </c>
      <c r="K165" s="4379" t="inlineStr">
        <is>
          <t>Northern Mariana Islands</t>
        </is>
      </c>
      <c r="L165" s="4407" t="n">
        <v>752.5333333333333</v>
      </c>
      <c r="M165" s="4406" t="n">
        <v>416.2459313245922</v>
      </c>
      <c r="O165">
        <f>VLOOKUP(A162, $K$8:$M$241, 2, FALSE)</f>
        <v/>
      </c>
    </row>
    <row r="166">
      <c r="A166" s="4110" t="inlineStr">
        <is>
          <t>Norfolk Island</t>
        </is>
      </c>
      <c r="B166">
        <f>INDEX(list_region_country!$G$3:$V$3,,SUMPRODUCT(--(list_region_country!$G$3:$V$56=Elec!A166)*(COLUMN(list_region_country!$G$3:$V$56)-COLUMN(list_region_country!$F$3))))</f>
        <v/>
      </c>
      <c r="C166" s="4837" t="inlineStr"/>
      <c r="D166" s="4608" t="inlineStr"/>
      <c r="E166" s="4837">
        <f>IF(C166="",AVERAGEIF($B$5:$C$252,B166,$C$5:$C$252),C166)</f>
        <v/>
      </c>
      <c r="F166" s="4837">
        <f>IFERROR(IF(VLOOKUP(A166, $K$8:$M$241, 2, FALSE)/1000 = 0, 0, VLOOKUP(A166, $K$8:$M$241, 2, FALSE)/1000 ), 0)</f>
        <v/>
      </c>
      <c r="G166" s="4837">
        <f>IFERROR(IF(VLOOKUP(A166, $K$8:$M$241, 3, FALSE)/1000 = 0, AVERAGEIF($B$5:$B$252,B166,$I$5:$I$252), VLOOKUP(A166, $K$8:$M$241, 3, FALSE)/1000 ), AVERAGEIF($B$5:$B$252,B166,$I$5:$I$252))</f>
        <v/>
      </c>
      <c r="H166" s="4837" t="inlineStr">
        <is>
          <t>N/A</t>
        </is>
      </c>
      <c r="I166" s="4837" t="inlineStr">
        <is>
          <t>N/A</t>
        </is>
      </c>
      <c r="K166" s="4379" t="inlineStr">
        <is>
          <t>Norway</t>
        </is>
      </c>
      <c r="L166" s="4406" t="n">
        <v>46.64863830562381</v>
      </c>
      <c r="M166" s="4406" t="n">
        <v>16.92623260640513</v>
      </c>
      <c r="O166">
        <f>VLOOKUP(A163, $K$8:$M$241, 2, FALSE)</f>
        <v/>
      </c>
    </row>
    <row r="167">
      <c r="A167" s="4110" t="inlineStr">
        <is>
          <t>North Macedonia</t>
        </is>
      </c>
      <c r="B167">
        <f>INDEX(list_region_country!$G$3:$V$3,,SUMPRODUCT(--(list_region_country!$G$3:$V$56=Elec!A167)*(COLUMN(list_region_country!$G$3:$V$56)-COLUMN(list_region_country!$F$3))))</f>
        <v/>
      </c>
      <c r="C167" s="4837" t="n">
        <v>0.861</v>
      </c>
      <c r="D167" s="4608" t="n">
        <v>2019</v>
      </c>
      <c r="E167" s="4837">
        <f>IF(C167="",AVERAGEIF($B$5:$C$252,B167,$C$5:$C$252),C167)</f>
        <v/>
      </c>
      <c r="F167" s="4837">
        <f>IFERROR(IF(VLOOKUP(A167, $K$8:$M$241, 2, FALSE)/1000 = 0, 0, VLOOKUP(A167, $K$8:$M$241, 2, FALSE)/1000 ), 0)</f>
        <v/>
      </c>
      <c r="G167" s="4837">
        <f>IFERROR(IF(VLOOKUP(A167, $K$8:$M$241, 3, FALSE)/1000 = 0, AVERAGEIF($B$5:$B$252,B167,$I$5:$I$252), VLOOKUP(A167, $K$8:$M$241, 3, FALSE)/1000 ), AVERAGEIF($B$5:$B$252,B167,$I$5:$I$252))</f>
        <v/>
      </c>
      <c r="H167" s="4837" t="n">
        <v>0.8508712306281191</v>
      </c>
      <c r="I167" s="4837" t="n">
        <v>0.5628460057539887</v>
      </c>
      <c r="K167" s="4379" t="inlineStr">
        <is>
          <t>Oman</t>
        </is>
      </c>
      <c r="L167" s="4406" t="n">
        <v>478.6840873262701</v>
      </c>
      <c r="M167" s="4406" t="n">
        <v>319.6202930121528</v>
      </c>
      <c r="O167">
        <f>VLOOKUP(A164, $K$8:$M$241, 2, FALSE)</f>
        <v/>
      </c>
    </row>
    <row r="168">
      <c r="A168" s="4110" t="inlineStr">
        <is>
          <t>Northern Mariana Islands</t>
        </is>
      </c>
      <c r="B168">
        <f>INDEX(list_region_country!$G$3:$V$3,,SUMPRODUCT(--(list_region_country!$G$3:$V$56=Elec!A168)*(COLUMN(list_region_country!$G$3:$V$56)-COLUMN(list_region_country!$F$3))))</f>
        <v/>
      </c>
      <c r="C168" s="4837" t="inlineStr"/>
      <c r="D168" s="4608" t="inlineStr"/>
      <c r="E168" s="4837">
        <f>IF(C168="",AVERAGEIF($B$5:$C$252,B168,$C$5:$C$252),C168)</f>
        <v/>
      </c>
      <c r="F168" s="4837">
        <f>IFERROR(IF(VLOOKUP(A168, $K$8:$M$241, 2, FALSE)/1000 = 0, 0, VLOOKUP(A168, $K$8:$M$241, 2, FALSE)/1000 ), 0)</f>
        <v/>
      </c>
      <c r="G168" s="4837">
        <f>IFERROR(IF(VLOOKUP(A168, $K$8:$M$241, 3, FALSE)/1000 = 0, AVERAGEIF($B$5:$B$252,B168,$I$5:$I$252), VLOOKUP(A168, $K$8:$M$241, 3, FALSE)/1000 ), AVERAGEIF($B$5:$B$252,B168,$I$5:$I$252))</f>
        <v/>
      </c>
      <c r="H168" s="4837" t="n">
        <v>0.7525333333333333</v>
      </c>
      <c r="I168" s="4837" t="n">
        <v>0.4162459313245922</v>
      </c>
      <c r="K168" s="4379" t="inlineStr">
        <is>
          <t>Pakistan</t>
        </is>
      </c>
      <c r="L168" s="4407" t="n">
        <v>591.9160940465663</v>
      </c>
      <c r="M168" s="4406" t="n">
        <v>385.5844362838558</v>
      </c>
      <c r="O168">
        <f>VLOOKUP(A165, $K$8:$M$241, 2, FALSE)</f>
        <v/>
      </c>
    </row>
    <row r="169">
      <c r="A169" s="4110" t="inlineStr">
        <is>
          <t>Norway</t>
        </is>
      </c>
      <c r="B169">
        <f>INDEX(list_region_country!$G$3:$V$3,,SUMPRODUCT(--(list_region_country!$G$3:$V$56=Elec!A169)*(COLUMN(list_region_country!$G$3:$V$56)-COLUMN(list_region_country!$F$3))))</f>
        <v/>
      </c>
      <c r="C169" s="4837" t="n">
        <v>0.00531360528225591</v>
      </c>
      <c r="D169" s="4608" t="n">
        <v>2007</v>
      </c>
      <c r="E169" s="4837">
        <f>IF(C169="",AVERAGEIF($B$5:$C$252,B169,$C$5:$C$252),C169)</f>
        <v/>
      </c>
      <c r="F169" s="4837">
        <f>IFERROR(IF(VLOOKUP(A169, $K$8:$M$241, 2, FALSE)/1000 = 0, 0, VLOOKUP(A169, $K$8:$M$241, 2, FALSE)/1000 ), 0)</f>
        <v/>
      </c>
      <c r="G169" s="4837">
        <f>IFERROR(IF(VLOOKUP(A169, $K$8:$M$241, 3, FALSE)/1000 = 0, AVERAGEIF($B$5:$B$252,B169,$I$5:$I$252), VLOOKUP(A169, $K$8:$M$241, 3, FALSE)/1000 ), AVERAGEIF($B$5:$B$252,B169,$I$5:$I$252))</f>
        <v/>
      </c>
      <c r="H169" s="4837" t="n">
        <v>0.0466486383056238</v>
      </c>
      <c r="I169" s="4837" t="n">
        <v>0.01692623260640513</v>
      </c>
      <c r="K169" s="4379" t="inlineStr">
        <is>
          <t>Palau</t>
        </is>
      </c>
      <c r="L169" s="4407" t="n">
        <v>752.5333333333333</v>
      </c>
      <c r="M169" s="4406" t="n">
        <v>497.1949420275612</v>
      </c>
      <c r="O169">
        <f>VLOOKUP(A166, $K$8:$M$241, 2, FALSE)</f>
        <v/>
      </c>
    </row>
    <row r="170">
      <c r="A170" s="4111" t="inlineStr">
        <is>
          <t>Oman</t>
        </is>
      </c>
      <c r="B170">
        <f>INDEX(list_region_country!$G$3:$V$3,,SUMPRODUCT(--(list_region_country!$G$3:$V$56=Elec!A170)*(COLUMN(list_region_country!$G$3:$V$56)-COLUMN(list_region_country!$F$3))))</f>
        <v/>
      </c>
      <c r="C170" s="4837" t="n">
        <v>0.8559016490917742</v>
      </c>
      <c r="D170" s="4608" t="n">
        <v>2007</v>
      </c>
      <c r="E170" s="4837">
        <f>IF(C170="",AVERAGEIF($B$5:$C$252,B170,$C$5:$C$252),C170)</f>
        <v/>
      </c>
      <c r="F170" s="4837">
        <f>IFERROR(IF(VLOOKUP(A170, $K$8:$M$241, 2, FALSE)/1000 = 0, 0, VLOOKUP(A170, $K$8:$M$241, 2, FALSE)/1000 ), 0)</f>
        <v/>
      </c>
      <c r="G170" s="4837">
        <f>IFERROR(IF(VLOOKUP(A170, $K$8:$M$241, 3, FALSE)/1000 = 0, AVERAGEIF($B$5:$B$252,B170,$I$5:$I$252), VLOOKUP(A170, $K$8:$M$241, 3, FALSE)/1000 ), AVERAGEIF($B$5:$B$252,B170,$I$5:$I$252))</f>
        <v/>
      </c>
      <c r="H170" s="4837" t="n">
        <v>0.47868408732627</v>
      </c>
      <c r="I170" s="4837" t="n">
        <v>0.3196202930121528</v>
      </c>
      <c r="K170" s="4379" t="inlineStr">
        <is>
          <t>State of Palestine</t>
        </is>
      </c>
      <c r="L170" s="4407" t="n">
        <v>718.8315789473685</v>
      </c>
      <c r="M170" s="4406" t="n">
        <v>516.8206330746538</v>
      </c>
      <c r="O170">
        <f>VLOOKUP(A167, $K$8:$M$241, 2, FALSE)</f>
        <v/>
      </c>
    </row>
    <row r="171">
      <c r="A171" s="4111" t="inlineStr">
        <is>
          <t>Pakistan</t>
        </is>
      </c>
      <c r="B171">
        <f>INDEX(list_region_country!$G$3:$V$3,,SUMPRODUCT(--(list_region_country!$G$3:$V$56=Elec!A171)*(COLUMN(list_region_country!$G$3:$V$56)-COLUMN(list_region_country!$F$3))))</f>
        <v/>
      </c>
      <c r="C171" s="4837" t="n">
        <v>0.546</v>
      </c>
      <c r="D171" s="4608" t="n">
        <v>2019</v>
      </c>
      <c r="E171" s="4837">
        <f>IF(C171="",AVERAGEIF($B$5:$C$252,B171,$C$5:$C$252),C171)</f>
        <v/>
      </c>
      <c r="F171" s="4837">
        <f>IFERROR(IF(VLOOKUP(A171, $K$8:$M$241, 2, FALSE)/1000 = 0, 0, VLOOKUP(A171, $K$8:$M$241, 2, FALSE)/1000 ), 0)</f>
        <v/>
      </c>
      <c r="G171" s="4837">
        <f>IFERROR(IF(VLOOKUP(A171, $K$8:$M$241, 3, FALSE)/1000 = 0, AVERAGEIF($B$5:$B$252,B171,$I$5:$I$252), VLOOKUP(A171, $K$8:$M$241, 3, FALSE)/1000 ), AVERAGEIF($B$5:$B$252,B171,$I$5:$I$252))</f>
        <v/>
      </c>
      <c r="H171" s="4837" t="n">
        <v>0.5919160940465663</v>
      </c>
      <c r="I171" s="4837" t="n">
        <v>0.3855844362838559</v>
      </c>
      <c r="K171" s="4379" t="inlineStr">
        <is>
          <t>Panama</t>
        </is>
      </c>
      <c r="L171" s="4406" t="n">
        <v>477.4842539480853</v>
      </c>
      <c r="M171" s="4406" t="n">
        <v>230.3395601095813</v>
      </c>
      <c r="O171">
        <f>VLOOKUP(A168, $K$8:$M$241, 2, FALSE)</f>
        <v/>
      </c>
    </row>
    <row r="172">
      <c r="A172" s="4110" t="inlineStr">
        <is>
          <t>Palau</t>
        </is>
      </c>
      <c r="B172">
        <f>INDEX(list_region_country!$G$3:$V$3,,SUMPRODUCT(--(list_region_country!$G$3:$V$56=Elec!A172)*(COLUMN(list_region_country!$G$3:$V$56)-COLUMN(list_region_country!$F$3))))</f>
        <v/>
      </c>
      <c r="C172" s="4837" t="inlineStr"/>
      <c r="D172" s="4608" t="inlineStr"/>
      <c r="E172" s="4837">
        <f>IF(C172="",AVERAGEIF($B$5:$C$252,B172,$C$5:$C$252),C172)</f>
        <v/>
      </c>
      <c r="F172" s="4837">
        <f>IFERROR(IF(VLOOKUP(A172, $K$8:$M$241, 2, FALSE)/1000 = 0, 0, VLOOKUP(A172, $K$8:$M$241, 2, FALSE)/1000 ), 0)</f>
        <v/>
      </c>
      <c r="G172" s="4837">
        <f>IFERROR(IF(VLOOKUP(A172, $K$8:$M$241, 3, FALSE)/1000 = 0, AVERAGEIF($B$5:$B$252,B172,$I$5:$I$252), VLOOKUP(A172, $K$8:$M$241, 3, FALSE)/1000 ), AVERAGEIF($B$5:$B$252,B172,$I$5:$I$252))</f>
        <v/>
      </c>
      <c r="H172" s="4837" t="n">
        <v>0.7525333333333333</v>
      </c>
      <c r="I172" s="4837" t="n">
        <v>0.4971949420275612</v>
      </c>
      <c r="K172" s="4379" t="inlineStr">
        <is>
          <t>Papua New Guinea</t>
        </is>
      </c>
      <c r="L172" s="4407" t="n">
        <v>597.2070175438596</v>
      </c>
      <c r="M172" s="4406" t="n">
        <v>315.140709986773</v>
      </c>
      <c r="O172">
        <f>VLOOKUP(A169, $K$8:$M$241, 2, FALSE)</f>
        <v/>
      </c>
    </row>
    <row r="173">
      <c r="A173" s="4111" t="inlineStr">
        <is>
          <t>Panama</t>
        </is>
      </c>
      <c r="B173">
        <f>INDEX(list_region_country!$G$3:$V$3,,SUMPRODUCT(--(list_region_country!$G$3:$V$56=Elec!A173)*(COLUMN(list_region_country!$G$3:$V$56)-COLUMN(list_region_country!$F$3))))</f>
        <v/>
      </c>
      <c r="C173" s="4837" t="n">
        <v>0.582</v>
      </c>
      <c r="D173" s="4608" t="n">
        <v>2019</v>
      </c>
      <c r="E173" s="4837">
        <f>IF(C173="",AVERAGEIF($B$5:$C$252,B173,$C$5:$C$252),C173)</f>
        <v/>
      </c>
      <c r="F173" s="4837">
        <f>IFERROR(IF(VLOOKUP(A173, $K$8:$M$241, 2, FALSE)/1000 = 0, 0, VLOOKUP(A173, $K$8:$M$241, 2, FALSE)/1000 ), 0)</f>
        <v/>
      </c>
      <c r="G173" s="4837">
        <f>IFERROR(IF(VLOOKUP(A173, $K$8:$M$241, 3, FALSE)/1000 = 0, AVERAGEIF($B$5:$B$252,B173,$I$5:$I$252), VLOOKUP(A173, $K$8:$M$241, 3, FALSE)/1000 ), AVERAGEIF($B$5:$B$252,B173,$I$5:$I$252))</f>
        <v/>
      </c>
      <c r="H173" s="4837" t="n">
        <v>0.4774842539480852</v>
      </c>
      <c r="I173" s="4837" t="n">
        <v>0.2303395601095813</v>
      </c>
      <c r="K173" s="4379" t="inlineStr">
        <is>
          <t>Paraguay</t>
        </is>
      </c>
      <c r="L173" s="4406" t="n">
        <v>0</v>
      </c>
      <c r="M173" s="4406" t="n">
        <v>0.01453667231818302</v>
      </c>
      <c r="O173">
        <f>VLOOKUP(A170, $K$8:$M$241, 2, FALSE)</f>
        <v/>
      </c>
    </row>
    <row r="174">
      <c r="A174" s="4110" t="inlineStr">
        <is>
          <t>Papua New Guinea</t>
        </is>
      </c>
      <c r="B174">
        <f>INDEX(list_region_country!$G$3:$V$3,,SUMPRODUCT(--(list_region_country!$G$3:$V$56=Elec!A174)*(COLUMN(list_region_country!$G$3:$V$56)-COLUMN(list_region_country!$F$3))))</f>
        <v/>
      </c>
      <c r="C174" s="4837" t="n">
        <v>0.679</v>
      </c>
      <c r="D174" s="4608" t="n">
        <v>2019</v>
      </c>
      <c r="E174" s="4837">
        <f>IF(C174="",AVERAGEIF($B$5:$C$252,B174,$C$5:$C$252),C174)</f>
        <v/>
      </c>
      <c r="F174" s="4837">
        <f>IFERROR(IF(VLOOKUP(A174, $K$8:$M$241, 2, FALSE)/1000 = 0, 0, VLOOKUP(A174, $K$8:$M$241, 2, FALSE)/1000 ), 0)</f>
        <v/>
      </c>
      <c r="G174" s="4837">
        <f>IFERROR(IF(VLOOKUP(A174, $K$8:$M$241, 3, FALSE)/1000 = 0, AVERAGEIF($B$5:$B$252,B174,$I$5:$I$252), VLOOKUP(A174, $K$8:$M$241, 3, FALSE)/1000 ), AVERAGEIF($B$5:$B$252,B174,$I$5:$I$252))</f>
        <v/>
      </c>
      <c r="H174" s="4837" t="n">
        <v>0.5972070175438596</v>
      </c>
      <c r="I174" s="4837" t="n">
        <v>0.315140709986773</v>
      </c>
      <c r="K174" s="4379" t="inlineStr">
        <is>
          <t>Peru</t>
        </is>
      </c>
      <c r="L174" s="4407" t="n">
        <v>473.0804467395778</v>
      </c>
      <c r="M174" s="4406" t="n">
        <v>252.3102410882844</v>
      </c>
      <c r="O174">
        <f>VLOOKUP(A171, $K$8:$M$241, 2, FALSE)</f>
        <v/>
      </c>
    </row>
    <row r="175">
      <c r="A175" s="4111" t="inlineStr">
        <is>
          <t>Paraguay</t>
        </is>
      </c>
      <c r="B175">
        <f>INDEX(list_region_country!$G$3:$V$3,,SUMPRODUCT(--(list_region_country!$G$3:$V$56=Elec!A175)*(COLUMN(list_region_country!$G$3:$V$56)-COLUMN(list_region_country!$F$3))))</f>
        <v/>
      </c>
      <c r="C175" s="4837" t="n">
        <v>0.0001112087555530847</v>
      </c>
      <c r="D175" s="4608" t="n">
        <v>2007</v>
      </c>
      <c r="E175" s="4837">
        <f>IF(C175="",AVERAGEIF($B$5:$C$252,B175,$C$5:$C$252),C175)</f>
        <v/>
      </c>
      <c r="F175" s="4837">
        <f>IFERROR(IF(VLOOKUP(A175, $K$8:$M$241, 2, FALSE)/1000 = 0, 0, VLOOKUP(A175, $K$8:$M$241, 2, FALSE)/1000 ), 0)</f>
        <v/>
      </c>
      <c r="G175" s="4837">
        <f>IFERROR(IF(VLOOKUP(A175, $K$8:$M$241, 3, FALSE)/1000 = 0, AVERAGEIF($B$5:$B$252,B175,$I$5:$I$252), VLOOKUP(A175, $K$8:$M$241, 3, FALSE)/1000 ), AVERAGEIF($B$5:$B$252,B175,$I$5:$I$252))</f>
        <v/>
      </c>
      <c r="H175" s="4837" t="inlineStr">
        <is>
          <t>N/A</t>
        </is>
      </c>
      <c r="I175" s="4837" t="n">
        <v>1.453667231818302e-05</v>
      </c>
      <c r="K175" s="4379" t="inlineStr">
        <is>
          <t>Philippines</t>
        </is>
      </c>
      <c r="L175" s="4407" t="n">
        <v>671.6232141434236</v>
      </c>
      <c r="M175" s="4406" t="n">
        <v>524.9866814203265</v>
      </c>
      <c r="O175">
        <f>VLOOKUP(A172, $K$8:$M$241, 2, FALSE)</f>
        <v/>
      </c>
    </row>
    <row r="176">
      <c r="A176" s="4111" t="inlineStr">
        <is>
          <t>Peru</t>
        </is>
      </c>
      <c r="B176">
        <f>INDEX(list_region_country!$G$3:$V$3,,SUMPRODUCT(--(list_region_country!$G$3:$V$56=Elec!A176)*(COLUMN(list_region_country!$G$3:$V$56)-COLUMN(list_region_country!$F$3))))</f>
        <v/>
      </c>
      <c r="C176" s="4837" t="n">
        <v>0.547</v>
      </c>
      <c r="D176" s="4608" t="n">
        <v>2019</v>
      </c>
      <c r="E176" s="4837">
        <f>IF(C176="",AVERAGEIF($B$5:$C$252,B176,$C$5:$C$252),C176)</f>
        <v/>
      </c>
      <c r="F176" s="4837">
        <f>IFERROR(IF(VLOOKUP(A176, $K$8:$M$241, 2, FALSE)/1000 = 0, 0, VLOOKUP(A176, $K$8:$M$241, 2, FALSE)/1000 ), 0)</f>
        <v/>
      </c>
      <c r="G176" s="4837">
        <f>IFERROR(IF(VLOOKUP(A176, $K$8:$M$241, 3, FALSE)/1000 = 0, AVERAGEIF($B$5:$B$252,B176,$I$5:$I$252), VLOOKUP(A176, $K$8:$M$241, 3, FALSE)/1000 ), AVERAGEIF($B$5:$B$252,B176,$I$5:$I$252))</f>
        <v/>
      </c>
      <c r="H176" s="4837" t="n">
        <v>0.4730804467395778</v>
      </c>
      <c r="I176" s="4837" t="n">
        <v>0.2523102410882844</v>
      </c>
      <c r="K176" s="4379" t="inlineStr">
        <is>
          <t>Poland</t>
        </is>
      </c>
      <c r="L176" s="4407" t="n">
        <v>828.3080824365938</v>
      </c>
      <c r="M176" s="4406" t="n">
        <v>532.0692783839155</v>
      </c>
      <c r="O176">
        <f>VLOOKUP(A173, $K$8:$M$241, 2, FALSE)</f>
        <v/>
      </c>
    </row>
    <row r="177">
      <c r="A177" s="4111" t="inlineStr">
        <is>
          <t>Philippines</t>
        </is>
      </c>
      <c r="B177">
        <f>INDEX(list_region_country!$G$3:$V$3,,SUMPRODUCT(--(list_region_country!$G$3:$V$56=Elec!A177)*(COLUMN(list_region_country!$G$3:$V$56)-COLUMN(list_region_country!$F$3))))</f>
        <v/>
      </c>
      <c r="C177" s="4837" t="n">
        <v>0.508</v>
      </c>
      <c r="D177" s="4608" t="n">
        <v>2019</v>
      </c>
      <c r="E177" s="4837">
        <f>IF(C177="",AVERAGEIF($B$5:$C$252,B177,$C$5:$C$252),C177)</f>
        <v/>
      </c>
      <c r="F177" s="4837">
        <f>IFERROR(IF(VLOOKUP(A177, $K$8:$M$241, 2, FALSE)/1000 = 0, 0, VLOOKUP(A177, $K$8:$M$241, 2, FALSE)/1000 ), 0)</f>
        <v/>
      </c>
      <c r="G177" s="4837">
        <f>IFERROR(IF(VLOOKUP(A177, $K$8:$M$241, 3, FALSE)/1000 = 0, AVERAGEIF($B$5:$B$252,B177,$I$5:$I$252), VLOOKUP(A177, $K$8:$M$241, 3, FALSE)/1000 ), AVERAGEIF($B$5:$B$252,B177,$I$5:$I$252))</f>
        <v/>
      </c>
      <c r="H177" s="4837" t="n">
        <v>0.6716232141434236</v>
      </c>
      <c r="I177" s="4837" t="n">
        <v>0.5249866814203265</v>
      </c>
      <c r="K177" s="4379" t="inlineStr">
        <is>
          <t>Portugal</t>
        </is>
      </c>
      <c r="L177" s="4407" t="n">
        <v>389.2533084766815</v>
      </c>
      <c r="M177" s="4406" t="n">
        <v>227.7425886338198</v>
      </c>
      <c r="O177">
        <f>VLOOKUP(A174, $K$8:$M$241, 2, FALSE)</f>
        <v/>
      </c>
    </row>
    <row r="178">
      <c r="A178" s="4110" t="inlineStr">
        <is>
          <t>Pitcairn</t>
        </is>
      </c>
      <c r="B178">
        <f>INDEX(list_region_country!$G$3:$V$3,,SUMPRODUCT(--(list_region_country!$G$3:$V$56=Elec!A178)*(COLUMN(list_region_country!$G$3:$V$56)-COLUMN(list_region_country!$F$3))))</f>
        <v/>
      </c>
      <c r="C178" s="4837" t="inlineStr"/>
      <c r="D178" s="4608" t="inlineStr"/>
      <c r="E178" s="4837">
        <f>IF(C178="",AVERAGEIF($B$5:$C$252,B178,$C$5:$C$252),C178)</f>
        <v/>
      </c>
      <c r="F178" s="4837">
        <f>IFERROR(IF(VLOOKUP(A178, $K$8:$M$241, 2, FALSE)/1000 = 0, 0, VLOOKUP(A178, $K$8:$M$241, 2, FALSE)/1000 ), 0)</f>
        <v/>
      </c>
      <c r="G178" s="4837">
        <f>IFERROR(IF(VLOOKUP(A178, $K$8:$M$241, 3, FALSE)/1000 = 0, AVERAGEIF($B$5:$B$252,B178,$I$5:$I$252), VLOOKUP(A178, $K$8:$M$241, 3, FALSE)/1000 ), AVERAGEIF($B$5:$B$252,B178,$I$5:$I$252))</f>
        <v/>
      </c>
      <c r="H178" s="4837" t="inlineStr">
        <is>
          <t>N/A</t>
        </is>
      </c>
      <c r="I178" s="4837" t="inlineStr">
        <is>
          <t>N/A</t>
        </is>
      </c>
      <c r="K178" s="4379" t="inlineStr">
        <is>
          <t>Puerto Rico</t>
        </is>
      </c>
      <c r="L178" s="4407" t="n">
        <v>596.4016877637132</v>
      </c>
      <c r="M178" s="4406" t="n">
        <v>361.6166873094433</v>
      </c>
      <c r="O178">
        <f>VLOOKUP(A175, $K$8:$M$241, 2, FALSE)</f>
        <v/>
      </c>
    </row>
    <row r="179">
      <c r="A179" s="4110" t="inlineStr">
        <is>
          <t>Poland</t>
        </is>
      </c>
      <c r="B179">
        <f>INDEX(list_region_country!$G$3:$V$3,,SUMPRODUCT(--(list_region_country!$G$3:$V$56=Elec!A179)*(COLUMN(list_region_country!$G$3:$V$56)-COLUMN(list_region_country!$F$3))))</f>
        <v/>
      </c>
      <c r="C179" s="4837" t="n">
        <v>0.72974599179536</v>
      </c>
      <c r="D179" s="4608" t="n">
        <v>2007</v>
      </c>
      <c r="E179" s="4837">
        <f>IF(C179="",AVERAGEIF($B$5:$C$252,B179,$C$5:$C$252),C179)</f>
        <v/>
      </c>
      <c r="F179" s="4837">
        <f>IFERROR(IF(VLOOKUP(A179, $K$8:$M$241, 2, FALSE)/1000 = 0, 0, VLOOKUP(A179, $K$8:$M$241, 2, FALSE)/1000 ), 0)</f>
        <v/>
      </c>
      <c r="G179" s="4837">
        <f>IFERROR(IF(VLOOKUP(A179, $K$8:$M$241, 3, FALSE)/1000 = 0, AVERAGEIF($B$5:$B$252,B179,$I$5:$I$252), VLOOKUP(A179, $K$8:$M$241, 3, FALSE)/1000 ), AVERAGEIF($B$5:$B$252,B179,$I$5:$I$252))</f>
        <v/>
      </c>
      <c r="H179" s="4837" t="n">
        <v>0.8283080824365938</v>
      </c>
      <c r="I179" s="4837" t="n">
        <v>0.5320692783839155</v>
      </c>
      <c r="K179" s="4379" t="inlineStr">
        <is>
          <t>Qatar</t>
        </is>
      </c>
      <c r="L179" s="4406" t="n">
        <v>502.9895833333334</v>
      </c>
      <c r="M179" s="4406" t="n">
        <v>258.112057406766</v>
      </c>
      <c r="O179">
        <f>VLOOKUP(A176, $K$8:$M$241, 2, FALSE)</f>
        <v/>
      </c>
    </row>
    <row r="180">
      <c r="A180" s="4110" t="inlineStr">
        <is>
          <t>Portugal</t>
        </is>
      </c>
      <c r="B180">
        <f>INDEX(list_region_country!$G$3:$V$3,,SUMPRODUCT(--(list_region_country!$G$3:$V$56=Elec!A180)*(COLUMN(list_region_country!$G$3:$V$56)-COLUMN(list_region_country!$F$3))))</f>
        <v/>
      </c>
      <c r="C180" s="4837" t="n">
        <v>0.5114175994639768</v>
      </c>
      <c r="D180" s="4608" t="n">
        <v>2007</v>
      </c>
      <c r="E180" s="4837">
        <f>IF(C180="",AVERAGEIF($B$5:$C$252,B180,$C$5:$C$252),C180)</f>
        <v/>
      </c>
      <c r="F180" s="4837">
        <f>IFERROR(IF(VLOOKUP(A180, $K$8:$M$241, 2, FALSE)/1000 = 0, 0, VLOOKUP(A180, $K$8:$M$241, 2, FALSE)/1000 ), 0)</f>
        <v/>
      </c>
      <c r="G180" s="4837">
        <f>IFERROR(IF(VLOOKUP(A180, $K$8:$M$241, 3, FALSE)/1000 = 0, AVERAGEIF($B$5:$B$252,B180,$I$5:$I$252), VLOOKUP(A180, $K$8:$M$241, 3, FALSE)/1000 ), AVERAGEIF($B$5:$B$252,B180,$I$5:$I$252))</f>
        <v/>
      </c>
      <c r="H180" s="4837" t="n">
        <v>0.3892533084766815</v>
      </c>
      <c r="I180" s="4837" t="n">
        <v>0.2277425886338198</v>
      </c>
      <c r="K180" s="4379" t="inlineStr">
        <is>
          <t>Réunion</t>
        </is>
      </c>
      <c r="L180" s="4407" t="n">
        <v>772.4078431372549</v>
      </c>
      <c r="M180" s="4406" t="n">
        <v>420.8579809780482</v>
      </c>
      <c r="O180">
        <f>VLOOKUP(A177, $K$8:$M$241, 2, FALSE)</f>
        <v/>
      </c>
    </row>
    <row r="181">
      <c r="A181" s="4111" t="inlineStr">
        <is>
          <t>Puerto Rico</t>
        </is>
      </c>
      <c r="B181">
        <f>INDEX(list_region_country!$G$3:$V$3,,SUMPRODUCT(--(list_region_country!$G$3:$V$56=Elec!A181)*(COLUMN(list_region_country!$G$3:$V$56)-COLUMN(list_region_country!$F$3))))</f>
        <v/>
      </c>
      <c r="C181" s="4837" t="inlineStr"/>
      <c r="D181" s="4608" t="inlineStr"/>
      <c r="E181" s="4837">
        <f>IF(C181="",AVERAGEIF($B$5:$C$252,B181,$C$5:$C$252),C181)</f>
        <v/>
      </c>
      <c r="F181" s="4837">
        <f>IFERROR(IF(VLOOKUP(A181, $K$8:$M$241, 2, FALSE)/1000 = 0, 0, VLOOKUP(A181, $K$8:$M$241, 2, FALSE)/1000 ), 0)</f>
        <v/>
      </c>
      <c r="G181" s="4837">
        <f>IFERROR(IF(VLOOKUP(A181, $K$8:$M$241, 3, FALSE)/1000 = 0, AVERAGEIF($B$5:$B$252,B181,$I$5:$I$252), VLOOKUP(A181, $K$8:$M$241, 3, FALSE)/1000 ), AVERAGEIF($B$5:$B$252,B181,$I$5:$I$252))</f>
        <v/>
      </c>
      <c r="H181" s="4837" t="n">
        <v>0.5964016877637132</v>
      </c>
      <c r="I181" s="4837" t="n">
        <v>0.3616166873094432</v>
      </c>
      <c r="K181" s="4379" t="inlineStr">
        <is>
          <t>Romania</t>
        </is>
      </c>
      <c r="L181" s="4406" t="n">
        <v>489.4467194883979</v>
      </c>
      <c r="M181" s="4406" t="n">
        <v>289.479547025046</v>
      </c>
      <c r="O181">
        <f>VLOOKUP(A178, $K$8:$M$241, 2, FALSE)</f>
        <v/>
      </c>
    </row>
    <row r="182">
      <c r="A182" s="4111" t="inlineStr">
        <is>
          <t>Qatar</t>
        </is>
      </c>
      <c r="B182">
        <f>INDEX(list_region_country!$G$3:$V$3,,SUMPRODUCT(--(list_region_country!$G$3:$V$56=Elec!A182)*(COLUMN(list_region_country!$G$3:$V$56)-COLUMN(list_region_country!$F$3))))</f>
        <v/>
      </c>
      <c r="C182" s="4837" t="n">
        <v>0.8619475450992609</v>
      </c>
      <c r="D182" s="4608" t="n">
        <v>2007</v>
      </c>
      <c r="E182" s="4837">
        <f>IF(C182="",AVERAGEIF($B$5:$C$252,B182,$C$5:$C$252),C182)</f>
        <v/>
      </c>
      <c r="F182" s="4837">
        <f>IFERROR(IF(VLOOKUP(A182, $K$8:$M$241, 2, FALSE)/1000 = 0, 0, VLOOKUP(A182, $K$8:$M$241, 2, FALSE)/1000 ), 0)</f>
        <v/>
      </c>
      <c r="G182" s="4837">
        <f>IFERROR(IF(VLOOKUP(A182, $K$8:$M$241, 3, FALSE)/1000 = 0, AVERAGEIF($B$5:$B$252,B182,$I$5:$I$252), VLOOKUP(A182, $K$8:$M$241, 3, FALSE)/1000 ), AVERAGEIF($B$5:$B$252,B182,$I$5:$I$252))</f>
        <v/>
      </c>
      <c r="H182" s="4837" t="n">
        <v>0.5029895833333333</v>
      </c>
      <c r="I182" s="4837" t="n">
        <v>0.258112057406766</v>
      </c>
      <c r="K182" s="4379" t="inlineStr">
        <is>
          <t>Russian Federation</t>
        </is>
      </c>
      <c r="L182" s="4407" t="n">
        <v>475.674492779324</v>
      </c>
      <c r="M182" s="4406" t="n">
        <v>293.7979609180506</v>
      </c>
      <c r="O182">
        <f>VLOOKUP(A179, $K$8:$M$241, 2, FALSE)</f>
        <v/>
      </c>
    </row>
    <row r="183">
      <c r="A183" s="4111" t="inlineStr">
        <is>
          <t>Republic of Korea</t>
        </is>
      </c>
      <c r="B183">
        <f>INDEX(list_region_country!$G$3:$V$3,,SUMPRODUCT(--(list_region_country!$G$3:$V$56=Elec!A183)*(COLUMN(list_region_country!$G$3:$V$56)-COLUMN(list_region_country!$F$3))))</f>
        <v/>
      </c>
      <c r="C183" s="4837" t="n">
        <v>0.4927483401802921</v>
      </c>
      <c r="D183" s="4608" t="n">
        <v>2007</v>
      </c>
      <c r="E183" s="4837">
        <f>IF(C183="",AVERAGEIF($B$5:$C$252,B183,$C$5:$C$252),C183)</f>
        <v/>
      </c>
      <c r="F183" s="4837">
        <f>IFERROR(IF(VLOOKUP(A183, $K$8:$M$241, 2, FALSE)/1000 = 0, 0, VLOOKUP(A183, $K$8:$M$241, 2, FALSE)/1000 ), 0)</f>
        <v/>
      </c>
      <c r="G183" s="4837">
        <f>IFERROR(IF(VLOOKUP(A183, $K$8:$M$241, 3, FALSE)/1000 = 0, AVERAGEIF($B$5:$B$252,B183,$I$5:$I$252), VLOOKUP(A183, $K$8:$M$241, 3, FALSE)/1000 ), AVERAGEIF($B$5:$B$252,B183,$I$5:$I$252))</f>
        <v/>
      </c>
      <c r="H183" s="4837" t="n">
        <v>0.5553221337387055</v>
      </c>
      <c r="I183" s="4837" t="n">
        <v>0.3297197472871091</v>
      </c>
      <c r="K183" s="4379" t="inlineStr">
        <is>
          <t>Rwanda</t>
        </is>
      </c>
      <c r="L183" s="4407" t="n">
        <v>712.281212121212</v>
      </c>
      <c r="M183" s="4406" t="n">
        <v>416.0092348061665</v>
      </c>
      <c r="O183">
        <f>VLOOKUP(A180, $K$8:$M$241, 2, FALSE)</f>
        <v/>
      </c>
    </row>
    <row r="184">
      <c r="A184" s="4110" t="inlineStr">
        <is>
          <t>Republic of Moldova</t>
        </is>
      </c>
      <c r="B184">
        <f>INDEX(list_region_country!$G$3:$V$3,,SUMPRODUCT(--(list_region_country!$G$3:$V$56=Elec!A184)*(COLUMN(list_region_country!$G$3:$V$56)-COLUMN(list_region_country!$F$3))))</f>
        <v/>
      </c>
      <c r="C184" s="4837" t="n">
        <v>0.5129629385622002</v>
      </c>
      <c r="D184" s="4608" t="n">
        <v>2007</v>
      </c>
      <c r="E184" s="4837">
        <f>IF(C184="",AVERAGEIF($B$5:$C$252,B184,$C$5:$C$252),C184)</f>
        <v/>
      </c>
      <c r="F184" s="4837">
        <f>IFERROR(IF(VLOOKUP(A184, $K$8:$M$241, 2, FALSE)/1000 = 0, 0, VLOOKUP(A184, $K$8:$M$241, 2, FALSE)/1000 ), 0)</f>
        <v/>
      </c>
      <c r="G184" s="4837">
        <f>IFERROR(IF(VLOOKUP(A184, $K$8:$M$241, 3, FALSE)/1000 = 0, AVERAGEIF($B$5:$B$252,B184,$I$5:$I$252), VLOOKUP(A184, $K$8:$M$241, 3, FALSE)/1000 ), AVERAGEIF($B$5:$B$252,B184,$I$5:$I$252))</f>
        <v/>
      </c>
      <c r="H184" s="4837" t="n">
        <v>0.5408713542955645</v>
      </c>
      <c r="I184" s="4837" t="n">
        <v>0.399258648560994</v>
      </c>
      <c r="K184" s="4379" t="inlineStr">
        <is>
          <t>Saint Helena</t>
        </is>
      </c>
      <c r="L184" s="4406" t="n">
        <v>752.5333333333333</v>
      </c>
      <c r="M184" s="4406" t="n">
        <v>456.1230112076094</v>
      </c>
      <c r="O184">
        <f>VLOOKUP(A181, $K$8:$M$241, 2, FALSE)</f>
        <v/>
      </c>
    </row>
    <row r="185">
      <c r="A185" s="4110" t="inlineStr">
        <is>
          <t>Réunion</t>
        </is>
      </c>
      <c r="B185">
        <f>INDEX(list_region_country!$G$3:$V$3,,SUMPRODUCT(--(list_region_country!$G$3:$V$56=Elec!A185)*(COLUMN(list_region_country!$G$3:$V$56)-COLUMN(list_region_country!$F$3))))</f>
        <v/>
      </c>
      <c r="C185" s="4837" t="inlineStr"/>
      <c r="D185" s="4608" t="inlineStr"/>
      <c r="E185" s="4837">
        <f>IF(C185="",AVERAGEIF($B$5:$C$252,B185,$C$5:$C$252),C185)</f>
        <v/>
      </c>
      <c r="F185" s="4837">
        <f>IFERROR(IF(VLOOKUP(A185, $K$8:$M$241, 2, FALSE)/1000 = 0, 0, VLOOKUP(A185, $K$8:$M$241, 2, FALSE)/1000 ), 0)</f>
        <v/>
      </c>
      <c r="G185" s="4837">
        <f>IFERROR(IF(VLOOKUP(A185, $K$8:$M$241, 3, FALSE)/1000 = 0, AVERAGEIF($B$5:$B$252,B185,$I$5:$I$252), VLOOKUP(A185, $K$8:$M$241, 3, FALSE)/1000 ), AVERAGEIF($B$5:$B$252,B185,$I$5:$I$252))</f>
        <v/>
      </c>
      <c r="H185" s="4837" t="n">
        <v>0.7724078431372549</v>
      </c>
      <c r="I185" s="4837" t="n">
        <v>0.4208579809780482</v>
      </c>
      <c r="K185" s="4379" t="inlineStr">
        <is>
          <t>Saint Kitts and Nevis</t>
        </is>
      </c>
      <c r="L185" s="4406" t="n">
        <v>752.5333333333333</v>
      </c>
      <c r="M185" s="4406" t="n">
        <v>477.0860464094462</v>
      </c>
      <c r="O185">
        <f>VLOOKUP(A182, $K$8:$M$241, 2, FALSE)</f>
        <v/>
      </c>
    </row>
    <row r="186">
      <c r="A186" s="4110" t="inlineStr">
        <is>
          <t>Romania</t>
        </is>
      </c>
      <c r="B186">
        <f>INDEX(list_region_country!$G$3:$V$3,,SUMPRODUCT(--(list_region_country!$G$3:$V$56=Elec!A186)*(COLUMN(list_region_country!$G$3:$V$56)-COLUMN(list_region_country!$F$3))))</f>
        <v/>
      </c>
      <c r="C186" s="4837" t="n">
        <v>0.4256583530767036</v>
      </c>
      <c r="D186" s="4608" t="n">
        <v>2007</v>
      </c>
      <c r="E186" s="4837">
        <f>IF(C186="",AVERAGEIF($B$5:$C$252,B186,$C$5:$C$252),C186)</f>
        <v/>
      </c>
      <c r="F186" s="4837">
        <f>IFERROR(IF(VLOOKUP(A186, $K$8:$M$241, 2, FALSE)/1000 = 0, 0, VLOOKUP(A186, $K$8:$M$241, 2, FALSE)/1000 ), 0)</f>
        <v/>
      </c>
      <c r="G186" s="4837">
        <f>IFERROR(IF(VLOOKUP(A186, $K$8:$M$241, 3, FALSE)/1000 = 0, AVERAGEIF($B$5:$B$252,B186,$I$5:$I$252), VLOOKUP(A186, $K$8:$M$241, 3, FALSE)/1000 ), AVERAGEIF($B$5:$B$252,B186,$I$5:$I$252))</f>
        <v/>
      </c>
      <c r="H186" s="4837" t="n">
        <v>0.4894467194883979</v>
      </c>
      <c r="I186" s="4837" t="n">
        <v>0.289479547025046</v>
      </c>
      <c r="K186" s="4379" t="inlineStr">
        <is>
          <t>Saint Lucia</t>
        </is>
      </c>
      <c r="L186" s="4406" t="n">
        <v>752.5333333333333</v>
      </c>
      <c r="M186" s="4406" t="n">
        <v>520.9070541531717</v>
      </c>
      <c r="O186">
        <f>VLOOKUP(A183, $K$8:$M$241, 2, FALSE)</f>
        <v/>
      </c>
    </row>
    <row r="187">
      <c r="A187" s="4110" t="inlineStr">
        <is>
          <t>Russian Federation</t>
        </is>
      </c>
      <c r="B187">
        <f>INDEX(list_region_country!$G$3:$V$3,,SUMPRODUCT(--(list_region_country!$G$3:$V$56=Elec!A187)*(COLUMN(list_region_country!$G$3:$V$56)-COLUMN(list_region_country!$F$3))))</f>
        <v/>
      </c>
      <c r="C187" s="4837" t="n">
        <v>0.3509577020895788</v>
      </c>
      <c r="D187" s="4608" t="n">
        <v>2007</v>
      </c>
      <c r="E187" s="4837">
        <f>IF(C187="",AVERAGEIF($B$5:$C$252,B187,$C$5:$C$252),C187)</f>
        <v/>
      </c>
      <c r="F187" s="4837">
        <f>IFERROR(IF(VLOOKUP(A187, $K$8:$M$241, 2, FALSE)/1000 = 0, 0, VLOOKUP(A187, $K$8:$M$241, 2, FALSE)/1000 ), 0)</f>
        <v/>
      </c>
      <c r="G187" s="4837">
        <f>IFERROR(IF(VLOOKUP(A187, $K$8:$M$241, 3, FALSE)/1000 = 0, AVERAGEIF($B$5:$B$252,B187,$I$5:$I$252), VLOOKUP(A187, $K$8:$M$241, 3, FALSE)/1000 ), AVERAGEIF($B$5:$B$252,B187,$I$5:$I$252))</f>
        <v/>
      </c>
      <c r="H187" s="4837" t="n">
        <v>0.475674492779324</v>
      </c>
      <c r="I187" s="4837" t="n">
        <v>0.2937979609180506</v>
      </c>
      <c r="K187" s="4379" t="inlineStr">
        <is>
          <t>Saint Martin (French Part)</t>
        </is>
      </c>
      <c r="L187" s="4406" t="n">
        <v>752.5333333333333</v>
      </c>
      <c r="M187" s="4406" t="n">
        <v>483.5549541152917</v>
      </c>
      <c r="O187">
        <f>VLOOKUP(A184, $K$8:$M$241, 2, FALSE)</f>
        <v/>
      </c>
    </row>
    <row r="188">
      <c r="A188" s="4110" t="inlineStr">
        <is>
          <t>Rwanda</t>
        </is>
      </c>
      <c r="B188">
        <f>INDEX(list_region_country!$G$3:$V$3,,SUMPRODUCT(--(list_region_country!$G$3:$V$56=Elec!A188)*(COLUMN(list_region_country!$G$3:$V$56)-COLUMN(list_region_country!$F$3))))</f>
        <v/>
      </c>
      <c r="C188" s="4837" t="n">
        <v>0.604</v>
      </c>
      <c r="D188" s="4608" t="n">
        <v>2019</v>
      </c>
      <c r="E188" s="4837">
        <f>IF(C188="",AVERAGEIF($B$5:$C$252,B188,$C$5:$C$252),C188)</f>
        <v/>
      </c>
      <c r="F188" s="4837">
        <f>IFERROR(IF(VLOOKUP(A188, $K$8:$M$241, 2, FALSE)/1000 = 0, 0, VLOOKUP(A188, $K$8:$M$241, 2, FALSE)/1000 ), 0)</f>
        <v/>
      </c>
      <c r="G188" s="4837">
        <f>IFERROR(IF(VLOOKUP(A188, $K$8:$M$241, 3, FALSE)/1000 = 0, AVERAGEIF($B$5:$B$252,B188,$I$5:$I$252), VLOOKUP(A188, $K$8:$M$241, 3, FALSE)/1000 ), AVERAGEIF($B$5:$B$252,B188,$I$5:$I$252))</f>
        <v/>
      </c>
      <c r="H188" s="4837" t="n">
        <v>0.712281212121212</v>
      </c>
      <c r="I188" s="4837" t="n">
        <v>0.4160092348061665</v>
      </c>
      <c r="K188" s="4379" t="inlineStr">
        <is>
          <t>Saint Pierre and Miquelon</t>
        </is>
      </c>
      <c r="L188" s="4406" t="n">
        <v>752.5333333333333</v>
      </c>
      <c r="M188" s="4406" t="n">
        <v>414.875249194179</v>
      </c>
      <c r="O188">
        <f>VLOOKUP(A185, $K$8:$M$241, 2, FALSE)</f>
        <v/>
      </c>
    </row>
    <row r="189">
      <c r="A189" s="4111" t="inlineStr">
        <is>
          <t>Saint Barthélemy</t>
        </is>
      </c>
      <c r="B189">
        <f>INDEX(list_region_country!$G$3:$V$3,,SUMPRODUCT(--(list_region_country!$G$3:$V$56=Elec!A189)*(COLUMN(list_region_country!$G$3:$V$56)-COLUMN(list_region_country!$F$3))))</f>
        <v/>
      </c>
      <c r="C189" s="4837" t="inlineStr"/>
      <c r="D189" s="4608" t="inlineStr"/>
      <c r="E189" s="4837">
        <f>IF(C189="",AVERAGEIF($B$5:$C$252,B189,$C$5:$C$252),C189)</f>
        <v/>
      </c>
      <c r="F189" s="4837">
        <f>IFERROR(IF(VLOOKUP(A189, $K$8:$M$241, 2, FALSE)/1000 = 0, 0, VLOOKUP(A189, $K$8:$M$241, 2, FALSE)/1000 ), 0)</f>
        <v/>
      </c>
      <c r="G189" s="4837">
        <f>IFERROR(IF(VLOOKUP(A189, $K$8:$M$241, 3, FALSE)/1000 = 0, AVERAGEIF($B$5:$B$252,B189,$I$5:$I$252), VLOOKUP(A189, $K$8:$M$241, 3, FALSE)/1000 ), AVERAGEIF($B$5:$B$252,B189,$I$5:$I$252))</f>
        <v/>
      </c>
      <c r="H189" s="4837" t="inlineStr">
        <is>
          <t>N/A</t>
        </is>
      </c>
      <c r="I189" s="4837" t="inlineStr">
        <is>
          <t>N/A</t>
        </is>
      </c>
      <c r="K189" s="4379" t="inlineStr">
        <is>
          <t>Saint Vincent and the Grenadines</t>
        </is>
      </c>
      <c r="L189" s="4406" t="n">
        <v>752.5333333333333</v>
      </c>
      <c r="M189" s="4406" t="n">
        <v>499.2484978758193</v>
      </c>
      <c r="O189">
        <f>VLOOKUP(A186, $K$8:$M$241, 2, FALSE)</f>
        <v/>
      </c>
    </row>
    <row r="190">
      <c r="A190" s="4111" t="inlineStr">
        <is>
          <t>Saint Helena</t>
        </is>
      </c>
      <c r="B190">
        <f>INDEX(list_region_country!$G$3:$V$3,,SUMPRODUCT(--(list_region_country!$G$3:$V$56=Elec!A190)*(COLUMN(list_region_country!$G$3:$V$56)-COLUMN(list_region_country!$F$3))))</f>
        <v/>
      </c>
      <c r="C190" s="4837" t="inlineStr"/>
      <c r="D190" s="4608" t="inlineStr"/>
      <c r="E190" s="4837">
        <f>IF(C190="",AVERAGEIF($B$5:$C$252,B190,$C$5:$C$252),C190)</f>
        <v/>
      </c>
      <c r="F190" s="4837">
        <f>IFERROR(IF(VLOOKUP(A190, $K$8:$M$241, 2, FALSE)/1000 = 0, 0, VLOOKUP(A190, $K$8:$M$241, 2, FALSE)/1000 ), 0)</f>
        <v/>
      </c>
      <c r="G190" s="4837">
        <f>IFERROR(IF(VLOOKUP(A190, $K$8:$M$241, 3, FALSE)/1000 = 0, AVERAGEIF($B$5:$B$252,B190,$I$5:$I$252), VLOOKUP(A190, $K$8:$M$241, 3, FALSE)/1000 ), AVERAGEIF($B$5:$B$252,B190,$I$5:$I$252))</f>
        <v/>
      </c>
      <c r="H190" s="4837" t="n">
        <v>0.7525333333333333</v>
      </c>
      <c r="I190" s="4837" t="n">
        <v>0.4561230112076093</v>
      </c>
      <c r="K190" s="4379" t="inlineStr">
        <is>
          <t>Samoa</t>
        </is>
      </c>
      <c r="L190" s="4406" t="n">
        <v>752.5333333333333</v>
      </c>
      <c r="M190" s="4406" t="n">
        <v>434.2937254919352</v>
      </c>
      <c r="O190">
        <f>VLOOKUP(A187, $K$8:$M$241, 2, FALSE)</f>
        <v/>
      </c>
    </row>
    <row r="191">
      <c r="A191" s="4111" t="inlineStr">
        <is>
          <t>Saint Kitts and Nevis</t>
        </is>
      </c>
      <c r="B191">
        <f>INDEX(list_region_country!$G$3:$V$3,,SUMPRODUCT(--(list_region_country!$G$3:$V$56=Elec!A191)*(COLUMN(list_region_country!$G$3:$V$56)-COLUMN(list_region_country!$F$3))))</f>
        <v/>
      </c>
      <c r="C191" s="4837" t="inlineStr"/>
      <c r="D191" s="4608" t="inlineStr"/>
      <c r="E191" s="4837">
        <f>IF(C191="",AVERAGEIF($B$5:$C$252,B191,$C$5:$C$252),C191)</f>
        <v/>
      </c>
      <c r="F191" s="4837">
        <f>IFERROR(IF(VLOOKUP(A191, $K$8:$M$241, 2, FALSE)/1000 = 0, 0, VLOOKUP(A191, $K$8:$M$241, 2, FALSE)/1000 ), 0)</f>
        <v/>
      </c>
      <c r="G191" s="4837">
        <f>IFERROR(IF(VLOOKUP(A191, $K$8:$M$241, 3, FALSE)/1000 = 0, AVERAGEIF($B$5:$B$252,B191,$I$5:$I$252), VLOOKUP(A191, $K$8:$M$241, 3, FALSE)/1000 ), AVERAGEIF($B$5:$B$252,B191,$I$5:$I$252))</f>
        <v/>
      </c>
      <c r="H191" s="4837" t="n">
        <v>0.7525333333333333</v>
      </c>
      <c r="I191" s="4837" t="n">
        <v>0.4770860464094462</v>
      </c>
      <c r="K191" s="4379" t="inlineStr">
        <is>
          <t>San Marino</t>
        </is>
      </c>
      <c r="L191" s="4406" t="n">
        <v>414.4615735950213</v>
      </c>
      <c r="M191" s="4406" t="n">
        <v>223.7124367134288</v>
      </c>
      <c r="O191">
        <f>VLOOKUP(A188, $K$8:$M$241, 2, FALSE)</f>
        <v/>
      </c>
    </row>
    <row r="192">
      <c r="A192" s="4111" t="inlineStr">
        <is>
          <t>Saint Lucia</t>
        </is>
      </c>
      <c r="B192">
        <f>INDEX(list_region_country!$G$3:$V$3,,SUMPRODUCT(--(list_region_country!$G$3:$V$56=Elec!A192)*(COLUMN(list_region_country!$G$3:$V$56)-COLUMN(list_region_country!$F$3))))</f>
        <v/>
      </c>
      <c r="C192" s="4837" t="inlineStr"/>
      <c r="D192" s="4608" t="inlineStr"/>
      <c r="E192" s="4837">
        <f>IF(C192="",AVERAGEIF($B$5:$C$252,B192,$C$5:$C$252),C192)</f>
        <v/>
      </c>
      <c r="F192" s="4837">
        <f>IFERROR(IF(VLOOKUP(A192, $K$8:$M$241, 2, FALSE)/1000 = 0, 0, VLOOKUP(A192, $K$8:$M$241, 2, FALSE)/1000 ), 0)</f>
        <v/>
      </c>
      <c r="G192" s="4837">
        <f>IFERROR(IF(VLOOKUP(A192, $K$8:$M$241, 3, FALSE)/1000 = 0, AVERAGEIF($B$5:$B$252,B192,$I$5:$I$252), VLOOKUP(A192, $K$8:$M$241, 3, FALSE)/1000 ), AVERAGEIF($B$5:$B$252,B192,$I$5:$I$252))</f>
        <v/>
      </c>
      <c r="H192" s="4837" t="n">
        <v>0.7525333333333333</v>
      </c>
      <c r="I192" s="4837" t="n">
        <v>0.5209070541531716</v>
      </c>
      <c r="K192" s="4379" t="inlineStr">
        <is>
          <t>Sao Tome and Principe</t>
        </is>
      </c>
      <c r="L192" s="4406" t="n">
        <v>752.5333333333333</v>
      </c>
      <c r="M192" s="4406" t="n">
        <v>564.7233142635162</v>
      </c>
      <c r="O192">
        <f>VLOOKUP(A189, $K$8:$M$241, 2, FALSE)</f>
        <v/>
      </c>
    </row>
    <row r="193">
      <c r="A193" s="4111" t="inlineStr">
        <is>
          <t>Saint Martin (French Part)</t>
        </is>
      </c>
      <c r="B193">
        <f>INDEX(list_region_country!$G$3:$V$3,,SUMPRODUCT(--(list_region_country!$G$3:$V$56=Elec!A193)*(COLUMN(list_region_country!$G$3:$V$56)-COLUMN(list_region_country!$F$3))))</f>
        <v/>
      </c>
      <c r="C193" s="4837" t="inlineStr"/>
      <c r="D193" s="4608" t="inlineStr"/>
      <c r="E193" s="4837">
        <f>IF(C193="",AVERAGEIF($B$5:$C$252,B193,$C$5:$C$252),C193)</f>
        <v/>
      </c>
      <c r="F193" s="4837">
        <f>IFERROR(IF(VLOOKUP(A193, $K$8:$M$241, 2, FALSE)/1000 = 0, 0, VLOOKUP(A193, $K$8:$M$241, 2, FALSE)/1000 ), 0)</f>
        <v/>
      </c>
      <c r="G193" s="4837">
        <f>IFERROR(IF(VLOOKUP(A193, $K$8:$M$241, 3, FALSE)/1000 = 0, AVERAGEIF($B$5:$B$252,B193,$I$5:$I$252), VLOOKUP(A193, $K$8:$M$241, 3, FALSE)/1000 ), AVERAGEIF($B$5:$B$252,B193,$I$5:$I$252))</f>
        <v/>
      </c>
      <c r="H193" s="4837" t="n">
        <v>0.7525333333333333</v>
      </c>
      <c r="I193" s="4837" t="n">
        <v>0.4835549541152917</v>
      </c>
      <c r="K193" s="4379" t="inlineStr">
        <is>
          <t>Saudi Arabia</t>
        </is>
      </c>
      <c r="L193" s="4406" t="n">
        <v>591.70517021996</v>
      </c>
      <c r="M193" s="4406" t="n">
        <v>373.6855569728954</v>
      </c>
      <c r="O193">
        <f>VLOOKUP(A190, $K$8:$M$241, 2, FALSE)</f>
        <v/>
      </c>
    </row>
    <row r="194">
      <c r="A194" s="4111" t="inlineStr">
        <is>
          <t>Saint Pierre and Miquelon</t>
        </is>
      </c>
      <c r="B194">
        <f>INDEX(list_region_country!$G$3:$V$3,,SUMPRODUCT(--(list_region_country!$G$3:$V$56=Elec!A194)*(COLUMN(list_region_country!$G$3:$V$56)-COLUMN(list_region_country!$F$3))))</f>
        <v/>
      </c>
      <c r="C194" s="4837" t="inlineStr"/>
      <c r="D194" s="4608" t="inlineStr"/>
      <c r="E194" s="4837">
        <f>IF(C194="",AVERAGEIF($B$5:$C$252,B194,$C$5:$C$252),C194)</f>
        <v/>
      </c>
      <c r="F194" s="4837">
        <f>IFERROR(IF(VLOOKUP(A194, $K$8:$M$241, 2, FALSE)/1000 = 0, 0, VLOOKUP(A194, $K$8:$M$241, 2, FALSE)/1000 ), 0)</f>
        <v/>
      </c>
      <c r="G194" s="4837">
        <f>IFERROR(IF(VLOOKUP(A194, $K$8:$M$241, 3, FALSE)/1000 = 0, AVERAGEIF($B$5:$B$252,B194,$I$5:$I$252), VLOOKUP(A194, $K$8:$M$241, 3, FALSE)/1000 ), AVERAGEIF($B$5:$B$252,B194,$I$5:$I$252))</f>
        <v/>
      </c>
      <c r="H194" s="4837" t="n">
        <v>0.7525333333333333</v>
      </c>
      <c r="I194" s="4837" t="n">
        <v>0.4148752491941791</v>
      </c>
      <c r="K194" s="4379" t="inlineStr">
        <is>
          <t>Senegal</t>
        </is>
      </c>
      <c r="L194" s="4407" t="n">
        <v>870.1601450097623</v>
      </c>
      <c r="M194" s="4406" t="n">
        <v>656.2445461117493</v>
      </c>
      <c r="O194">
        <f>VLOOKUP(A191, $K$8:$M$241, 2, FALSE)</f>
        <v/>
      </c>
    </row>
    <row r="195">
      <c r="A195" s="4111" t="inlineStr">
        <is>
          <t>Saint Vincent and the Grenadines</t>
        </is>
      </c>
      <c r="B195">
        <f>INDEX(list_region_country!$G$3:$V$3,,SUMPRODUCT(--(list_region_country!$G$3:$V$56=Elec!A195)*(COLUMN(list_region_country!$G$3:$V$56)-COLUMN(list_region_country!$F$3))))</f>
        <v/>
      </c>
      <c r="C195" s="4837" t="inlineStr"/>
      <c r="D195" s="4608" t="inlineStr"/>
      <c r="E195" s="4837">
        <f>IF(C195="",AVERAGEIF($B$5:$C$252,B195,$C$5:$C$252),C195)</f>
        <v/>
      </c>
      <c r="F195" s="4837">
        <f>IFERROR(IF(VLOOKUP(A195, $K$8:$M$241, 2, FALSE)/1000 = 0, 0, VLOOKUP(A195, $K$8:$M$241, 2, FALSE)/1000 ), 0)</f>
        <v/>
      </c>
      <c r="G195" s="4837">
        <f>IFERROR(IF(VLOOKUP(A195, $K$8:$M$241, 3, FALSE)/1000 = 0, AVERAGEIF($B$5:$B$252,B195,$I$5:$I$252), VLOOKUP(A195, $K$8:$M$241, 3, FALSE)/1000 ), AVERAGEIF($B$5:$B$252,B195,$I$5:$I$252))</f>
        <v/>
      </c>
      <c r="H195" s="4837" t="n">
        <v>0.7525333333333333</v>
      </c>
      <c r="I195" s="4837" t="n">
        <v>0.4992484978758193</v>
      </c>
      <c r="K195" s="4379" t="inlineStr">
        <is>
          <t>Serbia</t>
        </is>
      </c>
      <c r="L195" s="4407" t="n">
        <v>1085.581495484327</v>
      </c>
      <c r="M195" s="4406" t="n">
        <v>677.7297478289909</v>
      </c>
      <c r="O195">
        <f>VLOOKUP(A192, $K$8:$M$241, 2, FALSE)</f>
        <v/>
      </c>
    </row>
    <row r="196">
      <c r="A196" s="4110" t="inlineStr">
        <is>
          <t>Samoa</t>
        </is>
      </c>
      <c r="B196">
        <f>INDEX(list_region_country!$G$3:$V$3,,SUMPRODUCT(--(list_region_country!$G$3:$V$56=Elec!A196)*(COLUMN(list_region_country!$G$3:$V$56)-COLUMN(list_region_country!$F$3))))</f>
        <v/>
      </c>
      <c r="C196" s="4837" t="inlineStr"/>
      <c r="D196" s="4608" t="inlineStr"/>
      <c r="E196" s="4837">
        <f>IF(C196="",AVERAGEIF($B$5:$C$252,B196,$C$5:$C$252),C196)</f>
        <v/>
      </c>
      <c r="F196" s="4837">
        <f>IFERROR(IF(VLOOKUP(A196, $K$8:$M$241, 2, FALSE)/1000 = 0, 0, VLOOKUP(A196, $K$8:$M$241, 2, FALSE)/1000 ), 0)</f>
        <v/>
      </c>
      <c r="G196" s="4837">
        <f>IFERROR(IF(VLOOKUP(A196, $K$8:$M$241, 3, FALSE)/1000 = 0, AVERAGEIF($B$5:$B$252,B196,$I$5:$I$252), VLOOKUP(A196, $K$8:$M$241, 3, FALSE)/1000 ), AVERAGEIF($B$5:$B$252,B196,$I$5:$I$252))</f>
        <v/>
      </c>
      <c r="H196" s="4837" t="n">
        <v>0.7525333333333333</v>
      </c>
      <c r="I196" s="4837" t="n">
        <v>0.4342937254919352</v>
      </c>
      <c r="K196" s="4379" t="inlineStr">
        <is>
          <t>Seychelles</t>
        </is>
      </c>
      <c r="L196" s="4407" t="n">
        <v>752.5333333333333</v>
      </c>
      <c r="M196" s="4406" t="n">
        <v>478.7896608044483</v>
      </c>
      <c r="O196">
        <f>VLOOKUP(A193, $K$8:$M$241, 2, FALSE)</f>
        <v/>
      </c>
    </row>
    <row r="197">
      <c r="A197" s="4110" t="inlineStr">
        <is>
          <t>San Marino</t>
        </is>
      </c>
      <c r="B197">
        <f>INDEX(list_region_country!$G$3:$V$3,,SUMPRODUCT(--(list_region_country!$G$3:$V$56=Elec!A197)*(COLUMN(list_region_country!$G$3:$V$56)-COLUMN(list_region_country!$F$3))))</f>
        <v/>
      </c>
      <c r="C197" s="4837" t="inlineStr"/>
      <c r="D197" s="4608" t="inlineStr"/>
      <c r="E197" s="4837">
        <f>IF(C197="",AVERAGEIF($B$5:$C$252,B197,$C$5:$C$252),C197)</f>
        <v/>
      </c>
      <c r="F197" s="4837">
        <f>IFERROR(IF(VLOOKUP(A197, $K$8:$M$241, 2, FALSE)/1000 = 0, 0, VLOOKUP(A197, $K$8:$M$241, 2, FALSE)/1000 ), 0)</f>
        <v/>
      </c>
      <c r="G197" s="4837">
        <f>IFERROR(IF(VLOOKUP(A197, $K$8:$M$241, 3, FALSE)/1000 = 0, AVERAGEIF($B$5:$B$252,B197,$I$5:$I$252), VLOOKUP(A197, $K$8:$M$241, 3, FALSE)/1000 ), AVERAGEIF($B$5:$B$252,B197,$I$5:$I$252))</f>
        <v/>
      </c>
      <c r="H197" s="4837" t="n">
        <v>0.4144615735950213</v>
      </c>
      <c r="I197" s="4837" t="n">
        <v>0.2237124367134288</v>
      </c>
      <c r="K197" s="4379" t="inlineStr">
        <is>
          <t>Sierra Leone</t>
        </is>
      </c>
      <c r="L197" s="4406" t="n">
        <v>489.1466666666666</v>
      </c>
      <c r="M197" s="4406" t="n">
        <v>245.9289943309517</v>
      </c>
      <c r="O197">
        <f>VLOOKUP(A194, $K$8:$M$241, 2, FALSE)</f>
        <v/>
      </c>
    </row>
    <row r="198">
      <c r="A198" s="4110" t="inlineStr">
        <is>
          <t>Sao Tome and Principe</t>
        </is>
      </c>
      <c r="B198">
        <f>INDEX(list_region_country!$G$3:$V$3,,SUMPRODUCT(--(list_region_country!$G$3:$V$56=Elec!A198)*(COLUMN(list_region_country!$G$3:$V$56)-COLUMN(list_region_country!$F$3))))</f>
        <v/>
      </c>
      <c r="C198" s="4837" t="inlineStr"/>
      <c r="D198" s="4608" t="inlineStr"/>
      <c r="E198" s="4837">
        <f>IF(C198="",AVERAGEIF($B$5:$C$252,B198,$C$5:$C$252),C198)</f>
        <v/>
      </c>
      <c r="F198" s="4837">
        <f>IFERROR(IF(VLOOKUP(A198, $K$8:$M$241, 2, FALSE)/1000 = 0, 0, VLOOKUP(A198, $K$8:$M$241, 2, FALSE)/1000 ), 0)</f>
        <v/>
      </c>
      <c r="G198" s="4837">
        <f>IFERROR(IF(VLOOKUP(A198, $K$8:$M$241, 3, FALSE)/1000 = 0, AVERAGEIF($B$5:$B$252,B198,$I$5:$I$252), VLOOKUP(A198, $K$8:$M$241, 3, FALSE)/1000 ), AVERAGEIF($B$5:$B$252,B198,$I$5:$I$252))</f>
        <v/>
      </c>
      <c r="H198" s="4837" t="n">
        <v>0.7525333333333333</v>
      </c>
      <c r="I198" s="4837" t="n">
        <v>0.5647233142635162</v>
      </c>
      <c r="K198" s="4379" t="inlineStr">
        <is>
          <t>Singapore</t>
        </is>
      </c>
      <c r="L198" s="4406" t="n">
        <v>378.5794215487899</v>
      </c>
      <c r="M198" s="4406" t="n">
        <v>199.6444317057042</v>
      </c>
      <c r="O198">
        <f>VLOOKUP(A195, $K$8:$M$241, 2, FALSE)</f>
        <v/>
      </c>
    </row>
    <row r="199">
      <c r="A199" s="4110" t="inlineStr">
        <is>
          <t>Sark</t>
        </is>
      </c>
      <c r="B199" t="inlineStr">
        <is>
          <t>Europe</t>
        </is>
      </c>
      <c r="C199" s="4837" t="n"/>
      <c r="D199" s="4608" t="n"/>
      <c r="E199" s="4837" t="n"/>
      <c r="F199" s="4837">
        <f>IFERROR(IF(VLOOKUP(A199, $K$8:$M$241, 2, FALSE)/1000 = 0, 0, VLOOKUP(A199, $K$8:$M$241, 2, FALSE)/1000 ), 0)</f>
        <v/>
      </c>
      <c r="G199" s="4837">
        <f>IFERROR(IF(VLOOKUP(A199, $K$8:$M$241, 3, FALSE)/1000 = 0, AVERAGEIF($B$5:$B$252,B199,$I$5:$I$252), VLOOKUP(A199, $K$8:$M$241, 3, FALSE)/1000 ), AVERAGEIF($B$5:$B$252,B199,$I$5:$I$252))</f>
        <v/>
      </c>
      <c r="H199" s="4837" t="inlineStr">
        <is>
          <t>N/A</t>
        </is>
      </c>
      <c r="I199" s="4837" t="inlineStr">
        <is>
          <t>N/A</t>
        </is>
      </c>
      <c r="K199" s="4379" t="n"/>
      <c r="L199" s="4406" t="n"/>
      <c r="M199" s="4406" t="n"/>
    </row>
    <row r="200">
      <c r="A200" s="4111" t="inlineStr">
        <is>
          <t>Saudi Arabia</t>
        </is>
      </c>
      <c r="B200">
        <f>INDEX(list_region_country!$G$3:$V$3,,SUMPRODUCT(--(list_region_country!$G$3:$V$56=Elec!A200)*(COLUMN(list_region_country!$G$3:$V$56)-COLUMN(list_region_country!$F$3))))</f>
        <v/>
      </c>
      <c r="C200" s="4837" t="n">
        <v>0.654</v>
      </c>
      <c r="D200" s="4608" t="n">
        <v>2019</v>
      </c>
      <c r="E200" s="4837">
        <f>IF(C200="",AVERAGEIF($B$5:$C$252,B200,$C$5:$C$252),C200)</f>
        <v/>
      </c>
      <c r="F200" s="4837">
        <f>IFERROR(IF(VLOOKUP(A200, $K$8:$M$241, 2, FALSE)/1000 = 0, 0, VLOOKUP(A200, $K$8:$M$241, 2, FALSE)/1000 ), 0)</f>
        <v/>
      </c>
      <c r="G200" s="4837">
        <f>IFERROR(IF(VLOOKUP(A200, $K$8:$M$241, 3, FALSE)/1000 = 0, AVERAGEIF($B$5:$B$252,B200,$I$5:$I$252), VLOOKUP(A200, $K$8:$M$241, 3, FALSE)/1000 ), AVERAGEIF($B$5:$B$252,B200,$I$5:$I$252))</f>
        <v/>
      </c>
      <c r="H200" s="4837" t="n">
        <v>0.5917051702199599</v>
      </c>
      <c r="I200" s="4837" t="n">
        <v>0.3736855569728954</v>
      </c>
      <c r="K200" s="4379" t="inlineStr">
        <is>
          <t>Sint Maarten (Dutch part)</t>
        </is>
      </c>
      <c r="L200" s="4407" t="n">
        <v>752.5333333333333</v>
      </c>
      <c r="M200" s="4406" t="n">
        <v>463.0443125175045</v>
      </c>
      <c r="O200">
        <f>VLOOKUP(A196, $K$8:$M$241, 2, FALSE)</f>
        <v/>
      </c>
    </row>
    <row r="201">
      <c r="A201" s="4111" t="inlineStr">
        <is>
          <t>Senegal</t>
        </is>
      </c>
      <c r="B201">
        <f>INDEX(list_region_country!$G$3:$V$3,,SUMPRODUCT(--(list_region_country!$G$3:$V$56=Elec!A201)*(COLUMN(list_region_country!$G$3:$V$56)-COLUMN(list_region_country!$F$3))))</f>
        <v/>
      </c>
      <c r="C201" s="4837" t="n">
        <v>0.5629999999999999</v>
      </c>
      <c r="D201" s="4608" t="n">
        <v>2019</v>
      </c>
      <c r="E201" s="4837">
        <f>IF(C201="",AVERAGEIF($B$5:$C$252,B201,$C$5:$C$252),C201)</f>
        <v/>
      </c>
      <c r="F201" s="4837">
        <f>IFERROR(IF(VLOOKUP(A201, $K$8:$M$241, 2, FALSE)/1000 = 0, 0, VLOOKUP(A201, $K$8:$M$241, 2, FALSE)/1000 ), 0)</f>
        <v/>
      </c>
      <c r="G201" s="4837">
        <f>IFERROR(IF(VLOOKUP(A201, $K$8:$M$241, 3, FALSE)/1000 = 0, AVERAGEIF($B$5:$B$252,B201,$I$5:$I$252), VLOOKUP(A201, $K$8:$M$241, 3, FALSE)/1000 ), AVERAGEIF($B$5:$B$252,B201,$I$5:$I$252))</f>
        <v/>
      </c>
      <c r="H201" s="4837" t="n">
        <v>0.8701601450097624</v>
      </c>
      <c r="I201" s="4837" t="n">
        <v>0.6562445461117493</v>
      </c>
      <c r="K201" s="4379" t="inlineStr">
        <is>
          <t>Slovakia</t>
        </is>
      </c>
      <c r="L201" s="4406" t="n">
        <v>331.8754582670866</v>
      </c>
      <c r="M201" s="4406" t="n">
        <v>163.7212571665841</v>
      </c>
      <c r="O201">
        <f>VLOOKUP(A197, $K$8:$M$241, 2, FALSE)</f>
        <v/>
      </c>
    </row>
    <row r="202">
      <c r="A202" s="4110" t="inlineStr">
        <is>
          <t>Serbia</t>
        </is>
      </c>
      <c r="B202">
        <f>INDEX(list_region_country!$G$3:$V$3,,SUMPRODUCT(--(list_region_country!$G$3:$V$56=Elec!A202)*(COLUMN(list_region_country!$G$3:$V$56)-COLUMN(list_region_country!$F$3))))</f>
        <v/>
      </c>
      <c r="C202" s="4837" t="n">
        <v>1.099</v>
      </c>
      <c r="D202" s="4608" t="n">
        <v>2019</v>
      </c>
      <c r="E202" s="4837">
        <f>IF(C202="",AVERAGEIF($B$5:$C$252,B202,$C$5:$C$252),C202)</f>
        <v/>
      </c>
      <c r="F202" s="4837">
        <f>IFERROR(IF(VLOOKUP(A202, $K$8:$M$241, 2, FALSE)/1000 = 0, 0, VLOOKUP(A202, $K$8:$M$241, 2, FALSE)/1000 ), 0)</f>
        <v/>
      </c>
      <c r="G202" s="4837">
        <f>IFERROR(IF(VLOOKUP(A202, $K$8:$M$241, 3, FALSE)/1000 = 0, AVERAGEIF($B$5:$B$252,B202,$I$5:$I$252), VLOOKUP(A202, $K$8:$M$241, 3, FALSE)/1000 ), AVERAGEIF($B$5:$B$252,B202,$I$5:$I$252))</f>
        <v/>
      </c>
      <c r="H202" s="4837" t="n">
        <v>1.085581495484327</v>
      </c>
      <c r="I202" s="4837" t="n">
        <v>0.6777297478289909</v>
      </c>
      <c r="K202" s="4379" t="inlineStr">
        <is>
          <t>Slovenia</t>
        </is>
      </c>
      <c r="L202" s="4407" t="n">
        <v>619.9216129715383</v>
      </c>
      <c r="M202" s="4406" t="n">
        <v>284.8539622834993</v>
      </c>
      <c r="O202">
        <f>VLOOKUP(A198, $K$8:$M$241, 2, FALSE)</f>
        <v/>
      </c>
    </row>
    <row r="203">
      <c r="A203" s="4110" t="inlineStr">
        <is>
          <t>Seychelles</t>
        </is>
      </c>
      <c r="B203">
        <f>INDEX(list_region_country!$G$3:$V$3,,SUMPRODUCT(--(list_region_country!$G$3:$V$56=Elec!A203)*(COLUMN(list_region_country!$G$3:$V$56)-COLUMN(list_region_country!$F$3))))</f>
        <v/>
      </c>
      <c r="C203" s="4837" t="inlineStr"/>
      <c r="D203" s="4608" t="inlineStr"/>
      <c r="E203" s="4837">
        <f>IF(C203="",AVERAGEIF($B$5:$C$252,B203,$C$5:$C$252),C203)</f>
        <v/>
      </c>
      <c r="F203" s="4837">
        <f>IFERROR(IF(VLOOKUP(A203, $K$8:$M$241, 2, FALSE)/1000 = 0, 0, VLOOKUP(A203, $K$8:$M$241, 2, FALSE)/1000 ), 0)</f>
        <v/>
      </c>
      <c r="G203" s="4837">
        <f>IFERROR(IF(VLOOKUP(A203, $K$8:$M$241, 3, FALSE)/1000 = 0, AVERAGEIF($B$5:$B$252,B203,$I$5:$I$252), VLOOKUP(A203, $K$8:$M$241, 3, FALSE)/1000 ), AVERAGEIF($B$5:$B$252,B203,$I$5:$I$252))</f>
        <v/>
      </c>
      <c r="H203" s="4837" t="n">
        <v>0.7525333333333333</v>
      </c>
      <c r="I203" s="4837" t="n">
        <v>0.4787896608044483</v>
      </c>
      <c r="K203" s="4379" t="inlineStr">
        <is>
          <t>Solomon Islands</t>
        </is>
      </c>
      <c r="L203" s="4407" t="n">
        <v>752.5333333333333</v>
      </c>
      <c r="M203" s="4406" t="n">
        <v>562.8229362253285</v>
      </c>
      <c r="O203">
        <f>VLOOKUP(A200, $K$8:$M$241, 2, FALSE)</f>
        <v/>
      </c>
    </row>
    <row r="204">
      <c r="A204" s="4111" t="inlineStr">
        <is>
          <t>Sierra Leone</t>
        </is>
      </c>
      <c r="B204">
        <f>INDEX(list_region_country!$G$3:$V$3,,SUMPRODUCT(--(list_region_country!$G$3:$V$56=Elec!A204)*(COLUMN(list_region_country!$G$3:$V$56)-COLUMN(list_region_country!$F$3))))</f>
        <v/>
      </c>
      <c r="C204" s="4837" t="n">
        <v>0.402</v>
      </c>
      <c r="D204" s="4608" t="n">
        <v>2019</v>
      </c>
      <c r="E204" s="4837">
        <f>IF(C204="",AVERAGEIF($B$5:$C$252,B204,$C$5:$C$252),C204)</f>
        <v/>
      </c>
      <c r="F204" s="4837">
        <f>IFERROR(IF(VLOOKUP(A204, $K$8:$M$241, 2, FALSE)/1000 = 0, 0, VLOOKUP(A204, $K$8:$M$241, 2, FALSE)/1000 ), 0)</f>
        <v/>
      </c>
      <c r="G204" s="4837">
        <f>IFERROR(IF(VLOOKUP(A204, $K$8:$M$241, 3, FALSE)/1000 = 0, AVERAGEIF($B$5:$B$252,B204,$I$5:$I$252), VLOOKUP(A204, $K$8:$M$241, 3, FALSE)/1000 ), AVERAGEIF($B$5:$B$252,B204,$I$5:$I$252))</f>
        <v/>
      </c>
      <c r="H204" s="4837" t="n">
        <v>0.4891466666666667</v>
      </c>
      <c r="I204" s="4837" t="n">
        <v>0.2459289943309517</v>
      </c>
      <c r="K204" s="4379" t="inlineStr">
        <is>
          <t>Somalia</t>
        </is>
      </c>
      <c r="L204" s="4406" t="n">
        <v>752.5333333333333</v>
      </c>
      <c r="M204" s="4406" t="n">
        <v>582.2922640563654</v>
      </c>
      <c r="O204">
        <f>VLOOKUP(A201, $K$8:$M$241, 2, FALSE)</f>
        <v/>
      </c>
    </row>
    <row r="205">
      <c r="A205" s="4111" t="inlineStr">
        <is>
          <t>Singapore</t>
        </is>
      </c>
      <c r="B205">
        <f>INDEX(list_region_country!$G$3:$V$3,,SUMPRODUCT(--(list_region_country!$G$3:$V$56=Elec!A205)*(COLUMN(list_region_country!$G$3:$V$56)-COLUMN(list_region_country!$F$3))))</f>
        <v/>
      </c>
      <c r="C205" s="4837" t="n">
        <v>0.486</v>
      </c>
      <c r="D205" s="4608" t="n">
        <v>2019</v>
      </c>
      <c r="E205" s="4837">
        <f>IF(C205="",AVERAGEIF($B$5:$C$252,B205,$C$5:$C$252),C205)</f>
        <v/>
      </c>
      <c r="F205" s="4837">
        <f>IFERROR(IF(VLOOKUP(A205, $K$8:$M$241, 2, FALSE)/1000 = 0, 0, VLOOKUP(A205, $K$8:$M$241, 2, FALSE)/1000 ), 0)</f>
        <v/>
      </c>
      <c r="G205" s="4837">
        <f>IFERROR(IF(VLOOKUP(A205, $K$8:$M$241, 3, FALSE)/1000 = 0, AVERAGEIF($B$5:$B$252,B205,$I$5:$I$252), VLOOKUP(A205, $K$8:$M$241, 3, FALSE)/1000 ), AVERAGEIF($B$5:$B$252,B205,$I$5:$I$252))</f>
        <v/>
      </c>
      <c r="H205" s="4837" t="n">
        <v>0.3785794215487899</v>
      </c>
      <c r="I205" s="4837" t="n">
        <v>0.1996444317057042</v>
      </c>
      <c r="K205" s="4379" t="inlineStr">
        <is>
          <t>South Africa</t>
        </is>
      </c>
      <c r="L205" s="4406" t="n">
        <v>1070.21783144387</v>
      </c>
      <c r="M205" s="4406" t="n">
        <v>747.3756888426169</v>
      </c>
      <c r="O205">
        <f>VLOOKUP(A202, $K$8:$M$241, 2, FALSE)</f>
        <v/>
      </c>
    </row>
    <row r="206">
      <c r="A206" s="4111" t="inlineStr">
        <is>
          <t>Sint Maarten (Dutch part)</t>
        </is>
      </c>
      <c r="B206">
        <f>INDEX(list_region_country!$G$3:$V$3,,SUMPRODUCT(--(list_region_country!$G$3:$V$56=Elec!A206)*(COLUMN(list_region_country!$G$3:$V$56)-COLUMN(list_region_country!$F$3))))</f>
        <v/>
      </c>
      <c r="C206" s="4837" t="inlineStr"/>
      <c r="D206" s="4608" t="inlineStr"/>
      <c r="E206" s="4837">
        <f>IF(C206="",AVERAGEIF($B$5:$C$252,B206,$C$5:$C$252),C206)</f>
        <v/>
      </c>
      <c r="F206" s="4837">
        <f>IFERROR(IF(VLOOKUP(A206, $K$8:$M$241, 2, FALSE)/1000 = 0, 0, VLOOKUP(A206, $K$8:$M$241, 2, FALSE)/1000 ), 0)</f>
        <v/>
      </c>
      <c r="G206" s="4837">
        <f>IFERROR(IF(VLOOKUP(A206, $K$8:$M$241, 3, FALSE)/1000 = 0, AVERAGEIF($B$5:$B$252,B206,$I$5:$I$252), VLOOKUP(A206, $K$8:$M$241, 3, FALSE)/1000 ), AVERAGEIF($B$5:$B$252,B206,$I$5:$I$252))</f>
        <v/>
      </c>
      <c r="H206" s="4837" t="n">
        <v>0.7525333333333333</v>
      </c>
      <c r="I206" s="4837" t="n">
        <v>0.4630443125175044</v>
      </c>
      <c r="K206" s="4379" t="inlineStr">
        <is>
          <t>South Sudan</t>
        </is>
      </c>
      <c r="L206" s="4407" t="n">
        <v>889.8105263157896</v>
      </c>
      <c r="M206" s="4406" t="n">
        <v>704.0508382232686</v>
      </c>
      <c r="O206">
        <f>VLOOKUP(A203, $K$8:$M$241, 2, FALSE)</f>
        <v/>
      </c>
    </row>
    <row r="207">
      <c r="A207" s="4110" t="inlineStr">
        <is>
          <t>Slovakia</t>
        </is>
      </c>
      <c r="B207">
        <f>INDEX(list_region_country!$G$3:$V$3,,SUMPRODUCT(--(list_region_country!$G$3:$V$56=Elec!A207)*(COLUMN(list_region_country!$G$3:$V$56)-COLUMN(list_region_country!$F$3))))</f>
        <v/>
      </c>
      <c r="C207" s="4837" t="n">
        <v>0.296598001206528</v>
      </c>
      <c r="D207" s="4608" t="n">
        <v>2007</v>
      </c>
      <c r="E207" s="4837">
        <f>IF(C207="",AVERAGEIF($B$5:$C$252,B207,$C$5:$C$252),C207)</f>
        <v/>
      </c>
      <c r="F207" s="4837">
        <f>IFERROR(IF(VLOOKUP(A207, $K$8:$M$241, 2, FALSE)/1000 = 0, 0, VLOOKUP(A207, $K$8:$M$241, 2, FALSE)/1000 ), 0)</f>
        <v/>
      </c>
      <c r="G207" s="4837">
        <f>IFERROR(IF(VLOOKUP(A207, $K$8:$M$241, 3, FALSE)/1000 = 0, AVERAGEIF($B$5:$B$252,B207,$I$5:$I$252), VLOOKUP(A207, $K$8:$M$241, 3, FALSE)/1000 ), AVERAGEIF($B$5:$B$252,B207,$I$5:$I$252))</f>
        <v/>
      </c>
      <c r="H207" s="4837" t="n">
        <v>0.3318754582670866</v>
      </c>
      <c r="I207" s="4837" t="n">
        <v>0.1637212571665841</v>
      </c>
      <c r="K207" s="4379" t="inlineStr">
        <is>
          <t>Spain</t>
        </is>
      </c>
      <c r="L207" s="4407" t="n">
        <v>401.7304192014564</v>
      </c>
      <c r="M207" s="4406" t="n">
        <v>208.6980449384583</v>
      </c>
      <c r="O207">
        <f>VLOOKUP(A204, $K$8:$M$241, 2, FALSE)</f>
        <v/>
      </c>
    </row>
    <row r="208">
      <c r="A208" s="4110" t="inlineStr">
        <is>
          <t>Slovenia</t>
        </is>
      </c>
      <c r="B208">
        <f>INDEX(list_region_country!$G$3:$V$3,,SUMPRODUCT(--(list_region_country!$G$3:$V$56=Elec!A208)*(COLUMN(list_region_country!$G$3:$V$56)-COLUMN(list_region_country!$F$3))))</f>
        <v/>
      </c>
      <c r="C208" s="4837" t="n">
        <v>0.3686708640543437</v>
      </c>
      <c r="D208" s="4608" t="n">
        <v>2007</v>
      </c>
      <c r="E208" s="4837">
        <f>IF(C208="",AVERAGEIF($B$5:$C$252,B208,$C$5:$C$252),C208)</f>
        <v/>
      </c>
      <c r="F208" s="4837">
        <f>IFERROR(IF(VLOOKUP(A208, $K$8:$M$241, 2, FALSE)/1000 = 0, 0, VLOOKUP(A208, $K$8:$M$241, 2, FALSE)/1000 ), 0)</f>
        <v/>
      </c>
      <c r="G208" s="4837">
        <f>IFERROR(IF(VLOOKUP(A208, $K$8:$M$241, 3, FALSE)/1000 = 0, AVERAGEIF($B$5:$B$252,B208,$I$5:$I$252), VLOOKUP(A208, $K$8:$M$241, 3, FALSE)/1000 ), AVERAGEIF($B$5:$B$252,B208,$I$5:$I$252))</f>
        <v/>
      </c>
      <c r="H208" s="4837" t="n">
        <v>0.6199216129715382</v>
      </c>
      <c r="I208" s="4837" t="n">
        <v>0.2848539622834993</v>
      </c>
      <c r="K208" s="4379" t="inlineStr">
        <is>
          <t>Sri Lanka</t>
        </is>
      </c>
      <c r="L208" s="4407" t="n">
        <v>730.7454979071435</v>
      </c>
      <c r="M208" s="4406" t="n">
        <v>505.8547349597275</v>
      </c>
      <c r="O208">
        <f>VLOOKUP(A205, $K$8:$M$241, 2, FALSE)</f>
        <v/>
      </c>
    </row>
    <row r="209">
      <c r="A209" s="4110" t="inlineStr">
        <is>
          <t>Solomon Islands</t>
        </is>
      </c>
      <c r="B209">
        <f>INDEX(list_region_country!$G$3:$V$3,,SUMPRODUCT(--(list_region_country!$G$3:$V$56=Elec!A209)*(COLUMN(list_region_country!$G$3:$V$56)-COLUMN(list_region_country!$F$3))))</f>
        <v/>
      </c>
      <c r="C209" s="4837" t="inlineStr"/>
      <c r="D209" s="4608" t="inlineStr"/>
      <c r="E209" s="4837">
        <f>IF(C209="",AVERAGEIF($B$5:$C$252,B209,$C$5:$C$252),C209)</f>
        <v/>
      </c>
      <c r="F209" s="4837">
        <f>IFERROR(IF(VLOOKUP(A209, $K$8:$M$241, 2, FALSE)/1000 = 0, 0, VLOOKUP(A209, $K$8:$M$241, 2, FALSE)/1000 ), 0)</f>
        <v/>
      </c>
      <c r="G209" s="4837">
        <f>IFERROR(IF(VLOOKUP(A209, $K$8:$M$241, 3, FALSE)/1000 = 0, AVERAGEIF($B$5:$B$252,B209,$I$5:$I$252), VLOOKUP(A209, $K$8:$M$241, 3, FALSE)/1000 ), AVERAGEIF($B$5:$B$252,B209,$I$5:$I$252))</f>
        <v/>
      </c>
      <c r="H209" s="4837" t="n">
        <v>0.7525333333333333</v>
      </c>
      <c r="I209" s="4837" t="n">
        <v>0.5628229362253285</v>
      </c>
      <c r="K209" s="4379" t="inlineStr">
        <is>
          <t>Sudan</t>
        </is>
      </c>
      <c r="L209" s="4407" t="n">
        <v>735.5463157894737</v>
      </c>
      <c r="M209" s="4406" t="n">
        <v>398.1719693135086</v>
      </c>
      <c r="O209">
        <f>VLOOKUP(A206, $K$8:$M$241, 2, FALSE)</f>
        <v/>
      </c>
    </row>
    <row r="210">
      <c r="A210" s="4110" t="inlineStr">
        <is>
          <t>Somalia</t>
        </is>
      </c>
      <c r="B210">
        <f>INDEX(list_region_country!$G$3:$V$3,,SUMPRODUCT(--(list_region_country!$G$3:$V$56=Elec!A210)*(COLUMN(list_region_country!$G$3:$V$56)-COLUMN(list_region_country!$F$3))))</f>
        <v/>
      </c>
      <c r="C210" s="4837" t="n">
        <v>0.909</v>
      </c>
      <c r="D210" s="4608" t="n">
        <v>2019</v>
      </c>
      <c r="E210" s="4837">
        <f>IF(C210="",AVERAGEIF($B$5:$C$252,B210,$C$5:$C$252),C210)</f>
        <v/>
      </c>
      <c r="F210" s="4837">
        <f>IFERROR(IF(VLOOKUP(A210, $K$8:$M$241, 2, FALSE)/1000 = 0, 0, VLOOKUP(A210, $K$8:$M$241, 2, FALSE)/1000 ), 0)</f>
        <v/>
      </c>
      <c r="G210" s="4837">
        <f>IFERROR(IF(VLOOKUP(A210, $K$8:$M$241, 3, FALSE)/1000 = 0, AVERAGEIF($B$5:$B$252,B210,$I$5:$I$252), VLOOKUP(A210, $K$8:$M$241, 3, FALSE)/1000 ), AVERAGEIF($B$5:$B$252,B210,$I$5:$I$252))</f>
        <v/>
      </c>
      <c r="H210" s="4837" t="n">
        <v>0.7525333333333333</v>
      </c>
      <c r="I210" s="4837" t="n">
        <v>0.5822922640563654</v>
      </c>
      <c r="K210" s="4379" t="inlineStr">
        <is>
          <t>Suriname</t>
        </is>
      </c>
      <c r="L210" s="4407" t="n">
        <v>1028.621052631579</v>
      </c>
      <c r="M210" s="4406" t="n">
        <v>564.8849590312457</v>
      </c>
      <c r="O210">
        <f>VLOOKUP(A207, $K$8:$M$241, 2, FALSE)</f>
        <v/>
      </c>
    </row>
    <row r="211">
      <c r="A211" s="4111" t="inlineStr">
        <is>
          <t>South Africa</t>
        </is>
      </c>
      <c r="B211">
        <f>INDEX(list_region_country!$G$3:$V$3,,SUMPRODUCT(--(list_region_country!$G$3:$V$56=Elec!A211)*(COLUMN(list_region_country!$G$3:$V$56)-COLUMN(list_region_country!$F$3))))</f>
        <v/>
      </c>
      <c r="C211" s="4837" t="inlineStr"/>
      <c r="D211" s="4608" t="inlineStr"/>
      <c r="E211" s="4837">
        <f>IF(C211="",AVERAGEIF($B$5:$C$252,B211,$C$5:$C$252),C211)</f>
        <v/>
      </c>
      <c r="F211" s="4837">
        <f>IFERROR(IF(VLOOKUP(A211, $K$8:$M$241, 2, FALSE)/1000 = 0, 0, VLOOKUP(A211, $K$8:$M$241, 2, FALSE)/1000 ), 0)</f>
        <v/>
      </c>
      <c r="G211" s="4837">
        <f>IFERROR(IF(VLOOKUP(A211, $K$8:$M$241, 3, FALSE)/1000 = 0, AVERAGEIF($B$5:$B$252,B211,$I$5:$I$252), VLOOKUP(A211, $K$8:$M$241, 3, FALSE)/1000 ), AVERAGEIF($B$5:$B$252,B211,$I$5:$I$252))</f>
        <v/>
      </c>
      <c r="H211" s="4837" t="n">
        <v>1.07021783144387</v>
      </c>
      <c r="I211" s="4837" t="n">
        <v>0.747375688842617</v>
      </c>
      <c r="K211" s="4379" t="inlineStr">
        <is>
          <t>Sweden</t>
        </is>
      </c>
      <c r="L211" s="4407" t="n">
        <v>67.97085117532265</v>
      </c>
      <c r="M211" s="4406" t="n">
        <v>25.27530404898368</v>
      </c>
      <c r="O211">
        <f>VLOOKUP(A208, $K$8:$M$241, 2, FALSE)</f>
        <v/>
      </c>
    </row>
    <row r="212" ht="29" customHeight="1">
      <c r="A212" s="4111" t="inlineStr">
        <is>
          <t>South Georgia and the South Sandwich Islands</t>
        </is>
      </c>
      <c r="B212">
        <f>INDEX(list_region_country!$G$3:$V$3,,SUMPRODUCT(--(list_region_country!$G$3:$V$56=Elec!A212)*(COLUMN(list_region_country!$G$3:$V$56)-COLUMN(list_region_country!$F$3))))</f>
        <v/>
      </c>
      <c r="C212" s="4837" t="inlineStr"/>
      <c r="D212" s="4608" t="inlineStr"/>
      <c r="E212" s="4837">
        <f>IF(C212="",AVERAGEIF($B$5:$C$252,B212,$C$5:$C$252),C212)</f>
        <v/>
      </c>
      <c r="F212" s="4837">
        <f>IFERROR(IF(VLOOKUP(A212, $K$8:$M$241, 2, FALSE)/1000 = 0, 0, VLOOKUP(A212, $K$8:$M$241, 2, FALSE)/1000 ), 0)</f>
        <v/>
      </c>
      <c r="G212" s="4837">
        <f>IFERROR(IF(VLOOKUP(A212, $K$8:$M$241, 3, FALSE)/1000 = 0, AVERAGEIF($B$5:$B$252,B212,$I$5:$I$252), VLOOKUP(A212, $K$8:$M$241, 3, FALSE)/1000 ), AVERAGEIF($B$5:$B$252,B212,$I$5:$I$252))</f>
        <v/>
      </c>
      <c r="H212" s="4837" t="inlineStr">
        <is>
          <t>N/A</t>
        </is>
      </c>
      <c r="I212" s="4837" t="inlineStr">
        <is>
          <t>N/A</t>
        </is>
      </c>
      <c r="K212" s="4379" t="inlineStr">
        <is>
          <t>Switzerland</t>
        </is>
      </c>
      <c r="L212" s="4407" t="n">
        <v>48.04569053728649</v>
      </c>
      <c r="M212" s="4406" t="n">
        <v>20.17319093335843</v>
      </c>
      <c r="O212">
        <f>VLOOKUP(A209, $K$8:$M$241, 2, FALSE)</f>
        <v/>
      </c>
    </row>
    <row r="213">
      <c r="A213" s="4110" t="inlineStr">
        <is>
          <t>South Sudan</t>
        </is>
      </c>
      <c r="B213">
        <f>INDEX(list_region_country!$G$3:$V$3,,SUMPRODUCT(--(list_region_country!$G$3:$V$56=Elec!A213)*(COLUMN(list_region_country!$G$3:$V$56)-COLUMN(list_region_country!$F$3))))</f>
        <v/>
      </c>
      <c r="C213" s="4837" t="inlineStr"/>
      <c r="D213" s="4608" t="inlineStr"/>
      <c r="E213" s="4837">
        <f>IF(C213="",AVERAGEIF($B$5:$C$252,B213,$C$5:$C$252),C213)</f>
        <v/>
      </c>
      <c r="F213" s="4837">
        <f>IFERROR(IF(VLOOKUP(A213, $K$8:$M$241, 2, FALSE)/1000 = 0, 0, VLOOKUP(A213, $K$8:$M$241, 2, FALSE)/1000 ), 0)</f>
        <v/>
      </c>
      <c r="G213" s="4837">
        <f>IFERROR(IF(VLOOKUP(A213, $K$8:$M$241, 3, FALSE)/1000 = 0, AVERAGEIF($B$5:$B$252,B213,$I$5:$I$252), VLOOKUP(A213, $K$8:$M$241, 3, FALSE)/1000 ), AVERAGEIF($B$5:$B$252,B213,$I$5:$I$252))</f>
        <v/>
      </c>
      <c r="H213" s="4837" t="n">
        <v>0.8898105263157896</v>
      </c>
      <c r="I213" s="4837" t="n">
        <v>0.7040508382232685</v>
      </c>
      <c r="K213" s="4379" t="inlineStr">
        <is>
          <t>Syrian Arab Republic</t>
        </is>
      </c>
      <c r="L213" s="4407" t="n">
        <v>712.5127527362779</v>
      </c>
      <c r="M213" s="4406" t="n">
        <v>546.4798862752593</v>
      </c>
      <c r="O213">
        <f>VLOOKUP(A210, $K$8:$M$241, 2, FALSE)</f>
        <v/>
      </c>
    </row>
    <row r="214">
      <c r="A214" s="4110" t="inlineStr">
        <is>
          <t>Spain</t>
        </is>
      </c>
      <c r="B214">
        <f>INDEX(list_region_country!$G$3:$V$3,,SUMPRODUCT(--(list_region_country!$G$3:$V$56=Elec!A214)*(COLUMN(list_region_country!$G$3:$V$56)-COLUMN(list_region_country!$F$3))))</f>
        <v/>
      </c>
      <c r="C214" s="4837" t="n">
        <v>0.4433173706282443</v>
      </c>
      <c r="D214" s="4608" t="n">
        <v>2007</v>
      </c>
      <c r="E214" s="4837">
        <f>IF(C214="",AVERAGEIF($B$5:$C$252,B214,$C$5:$C$252),C214)</f>
        <v/>
      </c>
      <c r="F214" s="4837">
        <f>IFERROR(IF(VLOOKUP(A214, $K$8:$M$241, 2, FALSE)/1000 = 0, 0, VLOOKUP(A214, $K$8:$M$241, 2, FALSE)/1000 ), 0)</f>
        <v/>
      </c>
      <c r="G214" s="4837">
        <f>IFERROR(IF(VLOOKUP(A214, $K$8:$M$241, 3, FALSE)/1000 = 0, AVERAGEIF($B$5:$B$252,B214,$I$5:$I$252), VLOOKUP(A214, $K$8:$M$241, 3, FALSE)/1000 ), AVERAGEIF($B$5:$B$252,B214,$I$5:$I$252))</f>
        <v/>
      </c>
      <c r="H214" s="4837" t="n">
        <v>0.4017304192014564</v>
      </c>
      <c r="I214" s="4837" t="n">
        <v>0.2086980449384583</v>
      </c>
      <c r="K214" s="4379" t="inlineStr">
        <is>
          <t>Taiwan (Chinese Taipei)</t>
        </is>
      </c>
      <c r="L214" s="4407" t="n">
        <v>484.0771495448184</v>
      </c>
      <c r="M214" s="4406" t="n">
        <v>331.1560677264923</v>
      </c>
      <c r="O214">
        <f>VLOOKUP(A211, $K$8:$M$241, 2, FALSE)</f>
        <v/>
      </c>
    </row>
    <row r="215">
      <c r="A215" s="4111" t="inlineStr">
        <is>
          <t>Sri Lanka</t>
        </is>
      </c>
      <c r="B215">
        <f>INDEX(list_region_country!$G$3:$V$3,,SUMPRODUCT(--(list_region_country!$G$3:$V$56=Elec!A215)*(COLUMN(list_region_country!$G$3:$V$56)-COLUMN(list_region_country!$F$3))))</f>
        <v/>
      </c>
      <c r="C215" s="4837" t="n">
        <v>0.88</v>
      </c>
      <c r="D215" s="4608" t="n">
        <v>2019</v>
      </c>
      <c r="E215" s="4837">
        <f>IF(C215="",AVERAGEIF($B$5:$C$252,B215,$C$5:$C$252),C215)</f>
        <v/>
      </c>
      <c r="F215" s="4837">
        <f>IFERROR(IF(VLOOKUP(A215, $K$8:$M$241, 2, FALSE)/1000 = 0, 0, VLOOKUP(A215, $K$8:$M$241, 2, FALSE)/1000 ), 0)</f>
        <v/>
      </c>
      <c r="G215" s="4837">
        <f>IFERROR(IF(VLOOKUP(A215, $K$8:$M$241, 3, FALSE)/1000 = 0, AVERAGEIF($B$5:$B$252,B215,$I$5:$I$252), VLOOKUP(A215, $K$8:$M$241, 3, FALSE)/1000 ), AVERAGEIF($B$5:$B$252,B215,$I$5:$I$252))</f>
        <v/>
      </c>
      <c r="H215" s="4837" t="n">
        <v>0.7307454979071435</v>
      </c>
      <c r="I215" s="4837" t="n">
        <v>0.5058547349597274</v>
      </c>
      <c r="K215" s="4379" t="inlineStr">
        <is>
          <t>Tajikistan</t>
        </is>
      </c>
      <c r="L215" s="4407" t="n">
        <v>255.3510638297873</v>
      </c>
      <c r="M215" s="4406" t="n">
        <v>105.7264210342602</v>
      </c>
      <c r="O215">
        <f>VLOOKUP(A212, $K$8:$M$241, 2, FALSE)</f>
        <v/>
      </c>
    </row>
    <row r="216">
      <c r="A216" s="4111" t="inlineStr">
        <is>
          <t>State of Palestine</t>
        </is>
      </c>
      <c r="B216">
        <f>INDEX(list_region_country!$G$3:$V$3,,SUMPRODUCT(--(list_region_country!$G$3:$V$56=Elec!A216)*(COLUMN(list_region_country!$G$3:$V$56)-COLUMN(list_region_country!$F$3))))</f>
        <v/>
      </c>
      <c r="C216" s="4837" t="inlineStr"/>
      <c r="D216" s="4608" t="inlineStr"/>
      <c r="E216" s="4837">
        <f>IF(C216="",AVERAGEIF($B$5:$C$252,B216,$C$5:$C$252),C216)</f>
        <v/>
      </c>
      <c r="F216" s="4837">
        <f>IFERROR(IF(VLOOKUP(A216, $K$8:$M$241, 2, FALSE)/1000 = 0, 0, VLOOKUP(A216, $K$8:$M$241, 2, FALSE)/1000 ), 0)</f>
        <v/>
      </c>
      <c r="G216" s="4837">
        <f>IFERROR(IF(VLOOKUP(A216, $K$8:$M$241, 3, FALSE)/1000 = 0, AVERAGEIF($B$5:$B$252,B216,$I$5:$I$252), VLOOKUP(A216, $K$8:$M$241, 3, FALSE)/1000 ), AVERAGEIF($B$5:$B$252,B216,$I$5:$I$252))</f>
        <v/>
      </c>
      <c r="H216" s="4837" t="n">
        <v>0.7188315789473685</v>
      </c>
      <c r="I216" s="4837" t="n">
        <v>0.5168206330746538</v>
      </c>
      <c r="K216" s="4379" t="inlineStr">
        <is>
          <t>United Republic of Tanzania</t>
        </is>
      </c>
      <c r="L216" s="4407" t="n">
        <v>530.5399486873281</v>
      </c>
      <c r="M216" s="4406" t="n">
        <v>336.0498044171513</v>
      </c>
      <c r="O216">
        <f>VLOOKUP(A213, $K$8:$M$241, 2, FALSE)</f>
        <v/>
      </c>
    </row>
    <row r="217">
      <c r="A217" s="4111" t="inlineStr">
        <is>
          <t>Sudan</t>
        </is>
      </c>
      <c r="B217">
        <f>INDEX(list_region_country!$G$3:$V$3,,SUMPRODUCT(--(list_region_country!$G$3:$V$56=Elec!A217)*(COLUMN(list_region_country!$G$3:$V$56)-COLUMN(list_region_country!$F$3))))</f>
        <v/>
      </c>
      <c r="C217" s="4837" t="n">
        <v>0.164</v>
      </c>
      <c r="D217" s="4608" t="n">
        <v>2019</v>
      </c>
      <c r="E217" s="4837">
        <f>IF(C217="",AVERAGEIF($B$5:$C$252,B217,$C$5:$C$252),C217)</f>
        <v/>
      </c>
      <c r="F217" s="4837">
        <f>IFERROR(IF(VLOOKUP(A217, $K$8:$M$241, 2, FALSE)/1000 = 0, 0, VLOOKUP(A217, $K$8:$M$241, 2, FALSE)/1000 ), 0)</f>
        <v/>
      </c>
      <c r="G217" s="4837">
        <f>IFERROR(IF(VLOOKUP(A217, $K$8:$M$241, 3, FALSE)/1000 = 0, AVERAGEIF($B$5:$B$252,B217,$I$5:$I$252), VLOOKUP(A217, $K$8:$M$241, 3, FALSE)/1000 ), AVERAGEIF($B$5:$B$252,B217,$I$5:$I$252))</f>
        <v/>
      </c>
      <c r="H217" s="4837" t="n">
        <v>0.7355463157894737</v>
      </c>
      <c r="I217" s="4837" t="n">
        <v>0.3981719693135086</v>
      </c>
      <c r="K217" s="4379" t="inlineStr">
        <is>
          <t>Thailand</t>
        </is>
      </c>
      <c r="L217" s="4407" t="n">
        <v>450.4908959100154</v>
      </c>
      <c r="M217" s="4406" t="n">
        <v>350.7118149039121</v>
      </c>
      <c r="O217">
        <f>VLOOKUP(A214, $K$8:$M$241, 2, FALSE)</f>
        <v/>
      </c>
    </row>
    <row r="218">
      <c r="A218" s="4111" t="inlineStr">
        <is>
          <t>Suriname</t>
        </is>
      </c>
      <c r="B218">
        <f>INDEX(list_region_country!$G$3:$V$3,,SUMPRODUCT(--(list_region_country!$G$3:$V$56=Elec!A218)*(COLUMN(list_region_country!$G$3:$V$56)-COLUMN(list_region_country!$F$3))))</f>
        <v/>
      </c>
      <c r="C218" s="4837" t="inlineStr"/>
      <c r="D218" s="4608" t="inlineStr"/>
      <c r="E218" s="4837">
        <f>IF(C218="",AVERAGEIF($B$5:$C$252,B218,$C$5:$C$252),C218)</f>
        <v/>
      </c>
      <c r="F218" s="4837">
        <f>IFERROR(IF(VLOOKUP(A218, $K$8:$M$241, 2, FALSE)/1000 = 0, 0, VLOOKUP(A218, $K$8:$M$241, 2, FALSE)/1000 ), 0)</f>
        <v/>
      </c>
      <c r="G218" s="4837">
        <f>IFERROR(IF(VLOOKUP(A218, $K$8:$M$241, 3, FALSE)/1000 = 0, AVERAGEIF($B$5:$B$252,B218,$I$5:$I$252), VLOOKUP(A218, $K$8:$M$241, 3, FALSE)/1000 ), AVERAGEIF($B$5:$B$252,B218,$I$5:$I$252))</f>
        <v/>
      </c>
      <c r="H218" s="4837" t="n">
        <v>1.028621052631579</v>
      </c>
      <c r="I218" s="4837" t="n">
        <v>0.5648849590312457</v>
      </c>
      <c r="K218" s="4379" t="inlineStr">
        <is>
          <t>Timor-Leste</t>
        </is>
      </c>
      <c r="L218" s="4407" t="n">
        <v>752.5333333333333</v>
      </c>
      <c r="M218" s="4406" t="n">
        <v>589.2132916100365</v>
      </c>
      <c r="O218">
        <f>VLOOKUP(A215, $K$8:$M$241, 2, FALSE)</f>
        <v/>
      </c>
    </row>
    <row r="219">
      <c r="A219" s="4110" t="inlineStr">
        <is>
          <t>Svalbard and Jan Mayen Islands</t>
        </is>
      </c>
      <c r="B219">
        <f>INDEX(list_region_country!$G$3:$V$3,,SUMPRODUCT(--(list_region_country!$G$3:$V$56=Elec!A219)*(COLUMN(list_region_country!$G$3:$V$56)-COLUMN(list_region_country!$F$3))))</f>
        <v/>
      </c>
      <c r="C219" s="4837" t="inlineStr"/>
      <c r="D219" s="4608" t="inlineStr"/>
      <c r="E219" s="4837">
        <f>IF(C219="",AVERAGEIF($B$5:$C$252,B219,$C$5:$C$252),C219)</f>
        <v/>
      </c>
      <c r="F219" s="4837">
        <f>IFERROR(IF(VLOOKUP(A219, $K$8:$M$241, 2, FALSE)/1000 = 0, 0, VLOOKUP(A219, $K$8:$M$241, 2, FALSE)/1000 ), 0)</f>
        <v/>
      </c>
      <c r="G219" s="4837">
        <f>IFERROR(IF(VLOOKUP(A219, $K$8:$M$241, 3, FALSE)/1000 = 0, AVERAGEIF($B$5:$B$252,B219,$I$5:$I$252), VLOOKUP(A219, $K$8:$M$241, 3, FALSE)/1000 ), AVERAGEIF($B$5:$B$252,B219,$I$5:$I$252))</f>
        <v/>
      </c>
      <c r="H219" s="4837" t="inlineStr">
        <is>
          <t>N/A</t>
        </is>
      </c>
      <c r="I219" s="4837" t="inlineStr">
        <is>
          <t>N/A</t>
        </is>
      </c>
      <c r="K219" s="4379" t="inlineStr">
        <is>
          <t>Togo</t>
        </is>
      </c>
      <c r="L219" s="4406" t="n">
        <v>859.2530911930563</v>
      </c>
      <c r="M219" s="4406" t="n">
        <v>596.7666359044201</v>
      </c>
      <c r="O219">
        <f>VLOOKUP(A216, $K$8:$M$241, 2, FALSE)</f>
        <v/>
      </c>
    </row>
    <row r="220">
      <c r="A220" s="4110" t="inlineStr">
        <is>
          <t>Sweden</t>
        </is>
      </c>
      <c r="B220">
        <f>INDEX(list_region_country!$G$3:$V$3,,SUMPRODUCT(--(list_region_country!$G$3:$V$56=Elec!A220)*(COLUMN(list_region_country!$G$3:$V$56)-COLUMN(list_region_country!$F$3))))</f>
        <v/>
      </c>
      <c r="C220" s="4837" t="n">
        <v>0.04756983849683805</v>
      </c>
      <c r="D220" s="4608" t="n">
        <v>2007</v>
      </c>
      <c r="E220" s="4837">
        <f>IF(C220="",AVERAGEIF($B$5:$C$252,B220,$C$5:$C$252),C220)</f>
        <v/>
      </c>
      <c r="F220" s="4837">
        <f>IFERROR(IF(VLOOKUP(A220, $K$8:$M$241, 2, FALSE)/1000 = 0, 0, VLOOKUP(A220, $K$8:$M$241, 2, FALSE)/1000 ), 0)</f>
        <v/>
      </c>
      <c r="G220" s="4837">
        <f>IFERROR(IF(VLOOKUP(A220, $K$8:$M$241, 3, FALSE)/1000 = 0, AVERAGEIF($B$5:$B$252,B220,$I$5:$I$252), VLOOKUP(A220, $K$8:$M$241, 3, FALSE)/1000 ), AVERAGEIF($B$5:$B$252,B220,$I$5:$I$252))</f>
        <v/>
      </c>
      <c r="H220" s="4837" t="n">
        <v>0.06797085117532264</v>
      </c>
      <c r="I220" s="4837" t="n">
        <v>0.02527530404898368</v>
      </c>
      <c r="K220" s="4379" t="inlineStr">
        <is>
          <t>Tonga</t>
        </is>
      </c>
      <c r="L220" s="4407" t="n">
        <v>752.5333333333333</v>
      </c>
      <c r="M220" s="4406" t="n">
        <v>532.698415970728</v>
      </c>
      <c r="O220">
        <f>VLOOKUP(A217, $K$8:$M$241, 2, FALSE)</f>
        <v/>
      </c>
    </row>
    <row r="221">
      <c r="A221" s="4110" t="inlineStr">
        <is>
          <t>Switzerland</t>
        </is>
      </c>
      <c r="B221">
        <f>INDEX(list_region_country!$G$3:$V$3,,SUMPRODUCT(--(list_region_country!$G$3:$V$56=Elec!A221)*(COLUMN(list_region_country!$G$3:$V$56)-COLUMN(list_region_country!$F$3))))</f>
        <v/>
      </c>
      <c r="C221" s="4837" t="n">
        <v>0.02205402392601657</v>
      </c>
      <c r="D221" s="4608" t="n">
        <v>2007</v>
      </c>
      <c r="E221" s="4837">
        <f>IF(C221="",AVERAGEIF($B$5:$C$252,B221,$C$5:$C$252),C221)</f>
        <v/>
      </c>
      <c r="F221" s="4837">
        <f>IFERROR(IF(VLOOKUP(A221, $K$8:$M$241, 2, FALSE)/1000 = 0, 0, VLOOKUP(A221, $K$8:$M$241, 2, FALSE)/1000 ), 0)</f>
        <v/>
      </c>
      <c r="G221" s="4837">
        <f>IFERROR(IF(VLOOKUP(A221, $K$8:$M$241, 3, FALSE)/1000 = 0, AVERAGEIF($B$5:$B$252,B221,$I$5:$I$252), VLOOKUP(A221, $K$8:$M$241, 3, FALSE)/1000 ), AVERAGEIF($B$5:$B$252,B221,$I$5:$I$252))</f>
        <v/>
      </c>
      <c r="H221" s="4837" t="n">
        <v>0.04804569053728649</v>
      </c>
      <c r="I221" s="4837" t="n">
        <v>0.02017319093335843</v>
      </c>
      <c r="K221" s="4379" t="inlineStr">
        <is>
          <t>Trinidad and Tobago</t>
        </is>
      </c>
      <c r="L221" s="4406" t="n">
        <v>559.2868869359368</v>
      </c>
      <c r="M221" s="4406" t="n">
        <v>369.7475599169497</v>
      </c>
      <c r="O221">
        <f>VLOOKUP(A218, $K$8:$M$241, 2, FALSE)</f>
        <v/>
      </c>
    </row>
    <row r="222">
      <c r="A222" s="4111" t="inlineStr">
        <is>
          <t>Syrian Arab Republic</t>
        </is>
      </c>
      <c r="B222">
        <f>INDEX(list_region_country!$G$3:$V$3,,SUMPRODUCT(--(list_region_country!$G$3:$V$56=Elec!A222)*(COLUMN(list_region_country!$G$3:$V$56)-COLUMN(list_region_country!$F$3))))</f>
        <v/>
      </c>
      <c r="C222" s="4837" t="n">
        <v>0.6553163250002747</v>
      </c>
      <c r="D222" s="4608" t="n">
        <v>2007</v>
      </c>
      <c r="E222" s="4837">
        <f>IF(C222="",AVERAGEIF($B$5:$C$252,B222,$C$5:$C$252),C222)</f>
        <v/>
      </c>
      <c r="F222" s="4837">
        <f>IFERROR(IF(VLOOKUP(A222, $K$8:$M$241, 2, FALSE)/1000 = 0, 0, VLOOKUP(A222, $K$8:$M$241, 2, FALSE)/1000 ), 0)</f>
        <v/>
      </c>
      <c r="G222" s="4837">
        <f>IFERROR(IF(VLOOKUP(A222, $K$8:$M$241, 3, FALSE)/1000 = 0, AVERAGEIF($B$5:$B$252,B222,$I$5:$I$252), VLOOKUP(A222, $K$8:$M$241, 3, FALSE)/1000 ), AVERAGEIF($B$5:$B$252,B222,$I$5:$I$252))</f>
        <v/>
      </c>
      <c r="H222" s="4837" t="n">
        <v>0.7125127527362779</v>
      </c>
      <c r="I222" s="4837" t="n">
        <v>0.5464798862752593</v>
      </c>
      <c r="K222" s="4379" t="inlineStr">
        <is>
          <t>Tunisia</t>
        </is>
      </c>
      <c r="L222" s="4407" t="n">
        <v>467.7321300513424</v>
      </c>
      <c r="M222" s="4406" t="n">
        <v>347.8027840069394</v>
      </c>
      <c r="O222">
        <f>VLOOKUP(A219, $K$8:$M$241, 2, FALSE)</f>
        <v/>
      </c>
    </row>
    <row r="223">
      <c r="A223" s="4111" t="inlineStr">
        <is>
          <t>Tajikistan</t>
        </is>
      </c>
      <c r="B223">
        <f>INDEX(list_region_country!$G$3:$V$3,,SUMPRODUCT(--(list_region_country!$G$3:$V$56=Elec!A223)*(COLUMN(list_region_country!$G$3:$V$56)-COLUMN(list_region_country!$F$3))))</f>
        <v/>
      </c>
      <c r="C223" s="4837" t="n">
        <v>0.0379982393942969</v>
      </c>
      <c r="D223" s="4608" t="n">
        <v>2007</v>
      </c>
      <c r="E223" s="4837">
        <f>IF(C223="",AVERAGEIF($B$5:$C$252,B223,$C$5:$C$252),C223)</f>
        <v/>
      </c>
      <c r="F223" s="4837">
        <f>IFERROR(IF(VLOOKUP(A223, $K$8:$M$241, 2, FALSE)/1000 = 0, 0, VLOOKUP(A223, $K$8:$M$241, 2, FALSE)/1000 ), 0)</f>
        <v/>
      </c>
      <c r="G223" s="4837">
        <f>IFERROR(IF(VLOOKUP(A223, $K$8:$M$241, 3, FALSE)/1000 = 0, AVERAGEIF($B$5:$B$252,B223,$I$5:$I$252), VLOOKUP(A223, $K$8:$M$241, 3, FALSE)/1000 ), AVERAGEIF($B$5:$B$252,B223,$I$5:$I$252))</f>
        <v/>
      </c>
      <c r="H223" s="4837" t="n">
        <v>0.2553510638297873</v>
      </c>
      <c r="I223" s="4837" t="n">
        <v>0.1057264210342602</v>
      </c>
      <c r="K223" s="4379" t="inlineStr">
        <is>
          <t>Turkey</t>
        </is>
      </c>
      <c r="L223" s="4407" t="n">
        <v>376.2085036506019</v>
      </c>
      <c r="M223" s="4406" t="n">
        <v>308.808921085952</v>
      </c>
      <c r="O223">
        <f>VLOOKUP(A220, $K$8:$M$241, 2, FALSE)</f>
        <v/>
      </c>
    </row>
    <row r="224">
      <c r="A224" s="4111" t="inlineStr">
        <is>
          <t>Thailand</t>
        </is>
      </c>
      <c r="B224">
        <f>INDEX(list_region_country!$G$3:$V$3,,SUMPRODUCT(--(list_region_country!$G$3:$V$56=Elec!A224)*(COLUMN(list_region_country!$G$3:$V$56)-COLUMN(list_region_country!$F$3))))</f>
        <v/>
      </c>
      <c r="C224" s="4837" t="n">
        <v>0.569</v>
      </c>
      <c r="D224" s="4608" t="n">
        <v>2019</v>
      </c>
      <c r="E224" s="4837">
        <f>IF(C224="",AVERAGEIF($B$5:$C$252,B224,$C$5:$C$252),C224)</f>
        <v/>
      </c>
      <c r="F224" s="4837">
        <f>IFERROR(IF(VLOOKUP(A224, $K$8:$M$241, 2, FALSE)/1000 = 0, 0, VLOOKUP(A224, $K$8:$M$241, 2, FALSE)/1000 ), 0)</f>
        <v/>
      </c>
      <c r="G224" s="4837">
        <f>IFERROR(IF(VLOOKUP(A224, $K$8:$M$241, 3, FALSE)/1000 = 0, AVERAGEIF($B$5:$B$252,B224,$I$5:$I$252), VLOOKUP(A224, $K$8:$M$241, 3, FALSE)/1000 ), AVERAGEIF($B$5:$B$252,B224,$I$5:$I$252))</f>
        <v/>
      </c>
      <c r="H224" s="4837" t="n">
        <v>0.4504908959100154</v>
      </c>
      <c r="I224" s="4837" t="n">
        <v>0.3507118149039121</v>
      </c>
      <c r="K224" s="4379" t="inlineStr">
        <is>
          <t>Turkmenistan</t>
        </is>
      </c>
      <c r="L224" s="4407" t="n">
        <v>927.2916666666667</v>
      </c>
      <c r="M224" s="4406" t="n">
        <v>675.6267242516152</v>
      </c>
      <c r="O224">
        <f>VLOOKUP(A221, $K$8:$M$241, 2, FALSE)</f>
        <v/>
      </c>
    </row>
    <row r="225">
      <c r="A225" s="4111" t="inlineStr">
        <is>
          <t>Timor-Leste</t>
        </is>
      </c>
      <c r="B225">
        <f>INDEX(list_region_country!$G$3:$V$3,,SUMPRODUCT(--(list_region_country!$G$3:$V$56=Elec!A225)*(COLUMN(list_region_country!$G$3:$V$56)-COLUMN(list_region_country!$F$3))))</f>
        <v/>
      </c>
      <c r="C225" s="4837" t="inlineStr"/>
      <c r="D225" s="4608" t="inlineStr"/>
      <c r="E225" s="4837">
        <f>IF(C225="",AVERAGEIF($B$5:$C$252,B225,$C$5:$C$252),C225)</f>
        <v/>
      </c>
      <c r="F225" s="4837">
        <f>IFERROR(IF(VLOOKUP(A225, $K$8:$M$241, 2, FALSE)/1000 = 0, 0, VLOOKUP(A225, $K$8:$M$241, 2, FALSE)/1000 ), 0)</f>
        <v/>
      </c>
      <c r="G225" s="4837">
        <f>IFERROR(IF(VLOOKUP(A225, $K$8:$M$241, 3, FALSE)/1000 = 0, AVERAGEIF($B$5:$B$252,B225,$I$5:$I$252), VLOOKUP(A225, $K$8:$M$241, 3, FALSE)/1000 ), AVERAGEIF($B$5:$B$252,B225,$I$5:$I$252))</f>
        <v/>
      </c>
      <c r="H225" s="4837" t="n">
        <v>0.7525333333333333</v>
      </c>
      <c r="I225" s="4837" t="n">
        <v>0.5892132916100365</v>
      </c>
      <c r="K225" s="4379" t="inlineStr">
        <is>
          <t>Turks and Caicos Islands</t>
        </is>
      </c>
      <c r="L225" s="4407" t="n">
        <v>752.5333333333333</v>
      </c>
      <c r="M225" s="4406" t="n">
        <v>450.5934727918075</v>
      </c>
      <c r="O225">
        <f>VLOOKUP(A222, $K$8:$M$241, 2, FALSE)</f>
        <v/>
      </c>
    </row>
    <row r="226">
      <c r="A226" s="4111" t="inlineStr">
        <is>
          <t>Togo</t>
        </is>
      </c>
      <c r="B226">
        <f>INDEX(list_region_country!$G$3:$V$3,,SUMPRODUCT(--(list_region_country!$G$3:$V$56=Elec!A226)*(COLUMN(list_region_country!$G$3:$V$56)-COLUMN(list_region_country!$F$3))))</f>
        <v/>
      </c>
      <c r="C226" s="4837" t="n">
        <v>0.5629999999999999</v>
      </c>
      <c r="D226" s="4608" t="n">
        <v>2019</v>
      </c>
      <c r="E226" s="4837">
        <f>IF(C226="",AVERAGEIF($B$5:$C$252,B226,$C$5:$C$252),C226)</f>
        <v/>
      </c>
      <c r="F226" s="4837">
        <f>IFERROR(IF(VLOOKUP(A226, $K$8:$M$241, 2, FALSE)/1000 = 0, 0, VLOOKUP(A226, $K$8:$M$241, 2, FALSE)/1000 ), 0)</f>
        <v/>
      </c>
      <c r="G226" s="4837">
        <f>IFERROR(IF(VLOOKUP(A226, $K$8:$M$241, 3, FALSE)/1000 = 0, AVERAGEIF($B$5:$B$252,B226,$I$5:$I$252), VLOOKUP(A226, $K$8:$M$241, 3, FALSE)/1000 ), AVERAGEIF($B$5:$B$252,B226,$I$5:$I$252))</f>
        <v/>
      </c>
      <c r="H226" s="4837" t="n">
        <v>0.8592530911930564</v>
      </c>
      <c r="I226" s="4837" t="n">
        <v>0.5967666359044201</v>
      </c>
      <c r="K226" s="4379" t="inlineStr">
        <is>
          <t>Tuvalu</t>
        </is>
      </c>
      <c r="L226" s="4406" t="n">
        <v>752.5333333333333</v>
      </c>
      <c r="M226" s="4406" t="n">
        <v>496.5177914253449</v>
      </c>
      <c r="O226">
        <f>VLOOKUP(A223, $K$8:$M$241, 2, FALSE)</f>
        <v/>
      </c>
    </row>
    <row r="227">
      <c r="A227" s="4110" t="inlineStr">
        <is>
          <t>Tokelau</t>
        </is>
      </c>
      <c r="B227">
        <f>INDEX(list_region_country!$G$3:$V$3,,SUMPRODUCT(--(list_region_country!$G$3:$V$56=Elec!A227)*(COLUMN(list_region_country!$G$3:$V$56)-COLUMN(list_region_country!$F$3))))</f>
        <v/>
      </c>
      <c r="C227" s="4837" t="inlineStr"/>
      <c r="D227" s="4608" t="inlineStr"/>
      <c r="E227" s="4837">
        <f>IF(C227="",AVERAGEIF($B$5:$C$252,B227,$C$5:$C$252),C227)</f>
        <v/>
      </c>
      <c r="F227" s="4837">
        <f>IFERROR(IF(VLOOKUP(A227, $K$8:$M$241, 2, FALSE)/1000 = 0, 0, VLOOKUP(A227, $K$8:$M$241, 2, FALSE)/1000 ), 0)</f>
        <v/>
      </c>
      <c r="G227" s="4837">
        <f>IFERROR(IF(VLOOKUP(A227, $K$8:$M$241, 3, FALSE)/1000 = 0, AVERAGEIF($B$5:$B$252,B227,$I$5:$I$252), VLOOKUP(A227, $K$8:$M$241, 3, FALSE)/1000 ), AVERAGEIF($B$5:$B$252,B227,$I$5:$I$252))</f>
        <v/>
      </c>
      <c r="H227" s="4837" t="inlineStr">
        <is>
          <t>N/A</t>
        </is>
      </c>
      <c r="I227" s="4837" t="inlineStr">
        <is>
          <t>N/A</t>
        </is>
      </c>
      <c r="K227" s="4379" t="inlineStr">
        <is>
          <t>Uganda</t>
        </is>
      </c>
      <c r="L227" s="4406" t="n">
        <v>279.0015789473684</v>
      </c>
      <c r="M227" s="4406" t="n">
        <v>115.8525900286146</v>
      </c>
      <c r="O227">
        <f>VLOOKUP(A224, $K$8:$M$241, 2, FALSE)</f>
        <v/>
      </c>
    </row>
    <row r="228">
      <c r="A228" s="4110" t="inlineStr">
        <is>
          <t>Tonga</t>
        </is>
      </c>
      <c r="B228">
        <f>INDEX(list_region_country!$G$3:$V$3,,SUMPRODUCT(--(list_region_country!$G$3:$V$56=Elec!A228)*(COLUMN(list_region_country!$G$3:$V$56)-COLUMN(list_region_country!$F$3))))</f>
        <v/>
      </c>
      <c r="C228" s="4837" t="inlineStr"/>
      <c r="D228" s="4608" t="inlineStr"/>
      <c r="E228" s="4837">
        <f>IF(C228="",AVERAGEIF($B$5:$C$252,B228,$C$5:$C$252),C228)</f>
        <v/>
      </c>
      <c r="F228" s="4837">
        <f>IFERROR(IF(VLOOKUP(A228, $K$8:$M$241, 2, FALSE)/1000 = 0, 0, VLOOKUP(A228, $K$8:$M$241, 2, FALSE)/1000 ), 0)</f>
        <v/>
      </c>
      <c r="G228" s="4837">
        <f>IFERROR(IF(VLOOKUP(A228, $K$8:$M$241, 3, FALSE)/1000 = 0, AVERAGEIF($B$5:$B$252,B228,$I$5:$I$252), VLOOKUP(A228, $K$8:$M$241, 3, FALSE)/1000 ), AVERAGEIF($B$5:$B$252,B228,$I$5:$I$252))</f>
        <v/>
      </c>
      <c r="H228" s="4837" t="n">
        <v>0.7525333333333333</v>
      </c>
      <c r="I228" s="4837" t="n">
        <v>0.532698415970728</v>
      </c>
      <c r="K228" s="4379" t="inlineStr">
        <is>
          <t>Ukraine</t>
        </is>
      </c>
      <c r="L228" s="4406" t="n">
        <v>768.2610433514553</v>
      </c>
      <c r="M228" s="4406" t="n">
        <v>434.6795190648353</v>
      </c>
      <c r="O228">
        <f>VLOOKUP(A225, $K$8:$M$241, 2, FALSE)</f>
        <v/>
      </c>
    </row>
    <row r="229">
      <c r="A229" s="4111" t="inlineStr">
        <is>
          <t>Trinidad and Tobago</t>
        </is>
      </c>
      <c r="B229">
        <f>INDEX(list_region_country!$G$3:$V$3,,SUMPRODUCT(--(list_region_country!$G$3:$V$56=Elec!A229)*(COLUMN(list_region_country!$G$3:$V$56)-COLUMN(list_region_country!$F$3))))</f>
        <v/>
      </c>
      <c r="C229" s="4837" t="n">
        <v>0.7514099954655987</v>
      </c>
      <c r="D229" s="4608" t="n">
        <v>2007</v>
      </c>
      <c r="E229" s="4837">
        <f>IF(C229="",AVERAGEIF($B$5:$C$252,B229,$C$5:$C$252),C229)</f>
        <v/>
      </c>
      <c r="F229" s="4837">
        <f>IFERROR(IF(VLOOKUP(A229, $K$8:$M$241, 2, FALSE)/1000 = 0, 0, VLOOKUP(A229, $K$8:$M$241, 2, FALSE)/1000 ), 0)</f>
        <v/>
      </c>
      <c r="G229" s="4837">
        <f>IFERROR(IF(VLOOKUP(A229, $K$8:$M$241, 3, FALSE)/1000 = 0, AVERAGEIF($B$5:$B$252,B229,$I$5:$I$252), VLOOKUP(A229, $K$8:$M$241, 3, FALSE)/1000 ), AVERAGEIF($B$5:$B$252,B229,$I$5:$I$252))</f>
        <v/>
      </c>
      <c r="H229" s="4837" t="n">
        <v>0.5592868869359368</v>
      </c>
      <c r="I229" s="4837" t="n">
        <v>0.3697475599169497</v>
      </c>
      <c r="K229" s="4379" t="inlineStr">
        <is>
          <t>United Arab Emirates</t>
        </is>
      </c>
      <c r="L229" s="4407" t="n">
        <v>556.4820192401615</v>
      </c>
      <c r="M229" s="4406" t="n">
        <v>310.4005431343253</v>
      </c>
      <c r="O229">
        <f>VLOOKUP(A226, $K$8:$M$241, 2, FALSE)</f>
        <v/>
      </c>
    </row>
    <row r="230" ht="24" customHeight="1">
      <c r="A230" s="4111" t="inlineStr">
        <is>
          <t>Tunisia</t>
        </is>
      </c>
      <c r="B230">
        <f>INDEX(list_region_country!$G$3:$V$3,,SUMPRODUCT(--(list_region_country!$G$3:$V$56=Elec!A230)*(COLUMN(list_region_country!$G$3:$V$56)-COLUMN(list_region_country!$F$3))))</f>
        <v/>
      </c>
      <c r="C230" s="4837" t="n">
        <v>0.554</v>
      </c>
      <c r="D230" s="4608" t="n">
        <v>2019</v>
      </c>
      <c r="E230" s="4837">
        <f>IF(C230="",AVERAGEIF($B$5:$C$252,B230,$C$5:$C$252),C230)</f>
        <v/>
      </c>
      <c r="F230" s="4837">
        <f>IFERROR(IF(VLOOKUP(A230, $K$8:$M$241, 2, FALSE)/1000 = 0, 0, VLOOKUP(A230, $K$8:$M$241, 2, FALSE)/1000 ), 0)</f>
        <v/>
      </c>
      <c r="G230" s="4837">
        <f>IFERROR(IF(VLOOKUP(A230, $K$8:$M$241, 3, FALSE)/1000 = 0, AVERAGEIF($B$5:$B$252,B230,$I$5:$I$252), VLOOKUP(A230, $K$8:$M$241, 3, FALSE)/1000 ), AVERAGEIF($B$5:$B$252,B230,$I$5:$I$252))</f>
        <v/>
      </c>
      <c r="H230" s="4837" t="n">
        <v>0.4677321300513424</v>
      </c>
      <c r="I230" s="4837" t="n">
        <v>0.3478027840069394</v>
      </c>
      <c r="K230" s="4379" t="inlineStr">
        <is>
          <t>United Kingdom of Great Britain and Northern Ireland</t>
        </is>
      </c>
      <c r="L230" s="4407" t="n">
        <v>380.3712240328204</v>
      </c>
      <c r="M230" s="4406" t="n">
        <v>186.5045176390155</v>
      </c>
      <c r="O230">
        <f>VLOOKUP(A227, $K$8:$M$241, 2, FALSE)</f>
        <v/>
      </c>
    </row>
    <row r="231">
      <c r="A231" s="4111" t="inlineStr">
        <is>
          <t>Turkey</t>
        </is>
      </c>
      <c r="B231">
        <f>INDEX(list_region_country!$G$3:$V$3,,SUMPRODUCT(--(list_region_country!$G$3:$V$56=Elec!A231)*(COLUMN(list_region_country!$G$3:$V$56)-COLUMN(list_region_country!$F$3))))</f>
        <v/>
      </c>
      <c r="C231" s="4837" t="n">
        <v>0.5838673433714405</v>
      </c>
      <c r="D231" s="4608" t="n">
        <v>2007</v>
      </c>
      <c r="E231" s="4837">
        <f>IF(C231="",AVERAGEIF($B$5:$C$252,B231,$C$5:$C$252),C231)</f>
        <v/>
      </c>
      <c r="F231" s="4837">
        <f>IFERROR(IF(VLOOKUP(A231, $K$8:$M$241, 2, FALSE)/1000 = 0, 0, VLOOKUP(A231, $K$8:$M$241, 2, FALSE)/1000 ), 0)</f>
        <v/>
      </c>
      <c r="G231" s="4837">
        <f>IFERROR(IF(VLOOKUP(A231, $K$8:$M$241, 3, FALSE)/1000 = 0, AVERAGEIF($B$5:$B$252,B231,$I$5:$I$252), VLOOKUP(A231, $K$8:$M$241, 3, FALSE)/1000 ), AVERAGEIF($B$5:$B$252,B231,$I$5:$I$252))</f>
        <v/>
      </c>
      <c r="H231" s="4837" t="n">
        <v>0.3762085036506019</v>
      </c>
      <c r="I231" s="4837" t="n">
        <v>0.308808921085952</v>
      </c>
      <c r="K231" s="4379" t="inlineStr">
        <is>
          <t>United States of America</t>
        </is>
      </c>
      <c r="L231" s="4407" t="n">
        <v>416.4283665521271</v>
      </c>
      <c r="M231" s="4406" t="n">
        <v>219.6161388451897</v>
      </c>
      <c r="O231">
        <f>VLOOKUP(A228, $K$8:$M$241, 2, FALSE)</f>
        <v/>
      </c>
    </row>
    <row r="232">
      <c r="A232" s="4111" t="inlineStr">
        <is>
          <t>Turkmenistan</t>
        </is>
      </c>
      <c r="B232">
        <f>INDEX(list_region_country!$G$3:$V$3,,SUMPRODUCT(--(list_region_country!$G$3:$V$56=Elec!A232)*(COLUMN(list_region_country!$G$3:$V$56)-COLUMN(list_region_country!$F$3))))</f>
        <v/>
      </c>
      <c r="C232" s="4837" t="n">
        <v>0.8577414642471524</v>
      </c>
      <c r="D232" s="4608" t="n">
        <v>2007</v>
      </c>
      <c r="E232" s="4837">
        <f>IF(C232="",AVERAGEIF($B$5:$C$252,B232,$C$5:$C$252),C232)</f>
        <v/>
      </c>
      <c r="F232" s="4837">
        <f>IFERROR(IF(VLOOKUP(A232, $K$8:$M$241, 2, FALSE)/1000 = 0, 0, VLOOKUP(A232, $K$8:$M$241, 2, FALSE)/1000 ), 0)</f>
        <v/>
      </c>
      <c r="G232" s="4837">
        <f>IFERROR(IF(VLOOKUP(A232, $K$8:$M$241, 3, FALSE)/1000 = 0, AVERAGEIF($B$5:$B$252,B232,$I$5:$I$252), VLOOKUP(A232, $K$8:$M$241, 3, FALSE)/1000 ), AVERAGEIF($B$5:$B$252,B232,$I$5:$I$252))</f>
        <v/>
      </c>
      <c r="H232" s="4837" t="n">
        <v>0.9272916666666667</v>
      </c>
      <c r="I232" s="4837" t="n">
        <v>0.6756267242516152</v>
      </c>
      <c r="K232" s="4379" t="inlineStr">
        <is>
          <t>Uruguay</t>
        </is>
      </c>
      <c r="L232" s="4407" t="n">
        <v>173.9583772719126</v>
      </c>
      <c r="M232" s="4406" t="n">
        <v>64.82854384625971</v>
      </c>
      <c r="O232">
        <f>VLOOKUP(A229, $K$8:$M$241, 2, FALSE)</f>
        <v/>
      </c>
    </row>
    <row r="233">
      <c r="A233" s="4111" t="inlineStr">
        <is>
          <t>Turks and Caicos Islands</t>
        </is>
      </c>
      <c r="B233">
        <f>INDEX(list_region_country!$G$3:$V$3,,SUMPRODUCT(--(list_region_country!$G$3:$V$56=Elec!A233)*(COLUMN(list_region_country!$G$3:$V$56)-COLUMN(list_region_country!$F$3))))</f>
        <v/>
      </c>
      <c r="C233" s="4837" t="inlineStr"/>
      <c r="D233" s="4608" t="inlineStr"/>
      <c r="E233" s="4837">
        <f>IF(C233="",AVERAGEIF($B$5:$C$252,B233,$C$5:$C$252),C233)</f>
        <v/>
      </c>
      <c r="F233" s="4837">
        <f>IFERROR(IF(VLOOKUP(A233, $K$8:$M$241, 2, FALSE)/1000 = 0, 0, VLOOKUP(A233, $K$8:$M$241, 2, FALSE)/1000 ), 0)</f>
        <v/>
      </c>
      <c r="G233" s="4837">
        <f>IFERROR(IF(VLOOKUP(A233, $K$8:$M$241, 3, FALSE)/1000 = 0, AVERAGEIF($B$5:$B$252,B233,$I$5:$I$252), VLOOKUP(A233, $K$8:$M$241, 3, FALSE)/1000 ), AVERAGEIF($B$5:$B$252,B233,$I$5:$I$252))</f>
        <v/>
      </c>
      <c r="H233" s="4837" t="n">
        <v>0.7525333333333333</v>
      </c>
      <c r="I233" s="4837" t="n">
        <v>0.4505934727918074</v>
      </c>
      <c r="K233" s="4379" t="inlineStr">
        <is>
          <t>Uzbekistan</t>
        </is>
      </c>
      <c r="L233" s="4407" t="n">
        <v>612.2833271232295</v>
      </c>
      <c r="M233" s="4406" t="n">
        <v>467.3727908595872</v>
      </c>
      <c r="O233">
        <f>VLOOKUP(A230, $K$8:$M$241, 2, FALSE)</f>
        <v/>
      </c>
    </row>
    <row r="234">
      <c r="A234" s="4110" t="inlineStr">
        <is>
          <t>Tuvalu</t>
        </is>
      </c>
      <c r="B234">
        <f>INDEX(list_region_country!$G$3:$V$3,,SUMPRODUCT(--(list_region_country!$G$3:$V$56=Elec!A234)*(COLUMN(list_region_country!$G$3:$V$56)-COLUMN(list_region_country!$F$3))))</f>
        <v/>
      </c>
      <c r="C234" s="4837" t="inlineStr"/>
      <c r="D234" s="4608" t="inlineStr"/>
      <c r="E234" s="4837">
        <f>IF(C234="",AVERAGEIF($B$5:$C$252,B234,$C$5:$C$252),C234)</f>
        <v/>
      </c>
      <c r="F234" s="4837">
        <f>IFERROR(IF(VLOOKUP(A234, $K$8:$M$241, 2, FALSE)/1000 = 0, 0, VLOOKUP(A234, $K$8:$M$241, 2, FALSE)/1000 ), 0)</f>
        <v/>
      </c>
      <c r="G234" s="4837">
        <f>IFERROR(IF(VLOOKUP(A234, $K$8:$M$241, 3, FALSE)/1000 = 0, AVERAGEIF($B$5:$B$252,B234,$I$5:$I$252), VLOOKUP(A234, $K$8:$M$241, 3, FALSE)/1000 ), AVERAGEIF($B$5:$B$252,B234,$I$5:$I$252))</f>
        <v/>
      </c>
      <c r="H234" s="4837" t="n">
        <v>0.7525333333333333</v>
      </c>
      <c r="I234" s="4837" t="n">
        <v>0.4965177914253449</v>
      </c>
      <c r="K234" s="4379" t="inlineStr">
        <is>
          <t>Vanuatu</t>
        </is>
      </c>
      <c r="L234" s="4407" t="n">
        <v>752.5333333333333</v>
      </c>
      <c r="M234" s="4406" t="n">
        <v>504.1807267261385</v>
      </c>
      <c r="O234">
        <f>VLOOKUP(A231, $K$8:$M$241, 2, FALSE)</f>
        <v/>
      </c>
    </row>
    <row r="235">
      <c r="A235" s="4110" t="inlineStr">
        <is>
          <t>Uganda</t>
        </is>
      </c>
      <c r="B235">
        <f>INDEX(list_region_country!$G$3:$V$3,,SUMPRODUCT(--(list_region_country!$G$3:$V$56=Elec!A235)*(COLUMN(list_region_country!$G$3:$V$56)-COLUMN(list_region_country!$F$3))))</f>
        <v/>
      </c>
      <c r="C235" s="4837" t="n">
        <v>0.582</v>
      </c>
      <c r="D235" s="4608" t="n">
        <v>2019</v>
      </c>
      <c r="E235" s="4837">
        <f>IF(C235="",AVERAGEIF($B$5:$C$252,B235,$C$5:$C$252),C235)</f>
        <v/>
      </c>
      <c r="F235" s="4837">
        <f>IFERROR(IF(VLOOKUP(A235, $K$8:$M$241, 2, FALSE)/1000 = 0, 0, VLOOKUP(A235, $K$8:$M$241, 2, FALSE)/1000 ), 0)</f>
        <v/>
      </c>
      <c r="G235" s="4837">
        <f>IFERROR(IF(VLOOKUP(A235, $K$8:$M$241, 3, FALSE)/1000 = 0, AVERAGEIF($B$5:$B$252,B235,$I$5:$I$252), VLOOKUP(A235, $K$8:$M$241, 3, FALSE)/1000 ), AVERAGEIF($B$5:$B$252,B235,$I$5:$I$252))</f>
        <v/>
      </c>
      <c r="H235" s="4837" t="n">
        <v>0.2790015789473684</v>
      </c>
      <c r="I235" s="4837" t="n">
        <v>0.1158525900286146</v>
      </c>
      <c r="K235" s="4379" t="inlineStr">
        <is>
          <t>Venezuela</t>
        </is>
      </c>
      <c r="L235" s="4406" t="n">
        <v>710.9203912920029</v>
      </c>
      <c r="M235" s="4406" t="n">
        <v>367.7521893275219</v>
      </c>
      <c r="O235">
        <f>VLOOKUP(A232, $K$8:$M$241, 2, FALSE)</f>
        <v/>
      </c>
    </row>
    <row r="236">
      <c r="A236" s="4110" t="inlineStr">
        <is>
          <t>Ukraine</t>
        </is>
      </c>
      <c r="B236">
        <f>INDEX(list_region_country!$G$3:$V$3,,SUMPRODUCT(--(list_region_country!$G$3:$V$56=Elec!A236)*(COLUMN(list_region_country!$G$3:$V$56)-COLUMN(list_region_country!$F$3))))</f>
        <v/>
      </c>
      <c r="C236" s="4837" t="n">
        <v>0.3446106713947024</v>
      </c>
      <c r="D236" s="4608" t="n">
        <v>2007</v>
      </c>
      <c r="E236" s="4837">
        <f>IF(C236="",AVERAGEIF($B$5:$C$252,B236,$C$5:$C$252),C236)</f>
        <v/>
      </c>
      <c r="F236" s="4837">
        <f>IFERROR(IF(VLOOKUP(A236, $K$8:$M$241, 2, FALSE)/1000 = 0, 0, VLOOKUP(A236, $K$8:$M$241, 2, FALSE)/1000 ), 0)</f>
        <v/>
      </c>
      <c r="G236" s="4837">
        <f>IFERROR(IF(VLOOKUP(A236, $K$8:$M$241, 3, FALSE)/1000 = 0, AVERAGEIF($B$5:$B$252,B236,$I$5:$I$252), VLOOKUP(A236, $K$8:$M$241, 3, FALSE)/1000 ), AVERAGEIF($B$5:$B$252,B236,$I$5:$I$252))</f>
        <v/>
      </c>
      <c r="H236" s="4837" t="n">
        <v>0.7682610433514553</v>
      </c>
      <c r="I236" s="4837" t="n">
        <v>0.4346795190648353</v>
      </c>
      <c r="K236" s="4379" t="inlineStr">
        <is>
          <t>Viet Nam</t>
        </is>
      </c>
      <c r="L236" s="4407" t="n">
        <v>560.4410611676584</v>
      </c>
      <c r="M236" s="4406" t="n">
        <v>380.8079984650012</v>
      </c>
      <c r="O236">
        <f>VLOOKUP(A233, $K$8:$M$241, 2, FALSE)</f>
        <v/>
      </c>
    </row>
    <row r="237">
      <c r="A237" s="4111" t="inlineStr">
        <is>
          <t>United Arab Emirates</t>
        </is>
      </c>
      <c r="B237">
        <f>INDEX(list_region_country!$G$3:$V$3,,SUMPRODUCT(--(list_region_country!$G$3:$V$56=Elec!A237)*(COLUMN(list_region_country!$G$3:$V$56)-COLUMN(list_region_country!$F$3))))</f>
        <v/>
      </c>
      <c r="C237" s="4837" t="n">
        <v>0.676</v>
      </c>
      <c r="D237" s="4608" t="n">
        <v>2019</v>
      </c>
      <c r="E237" s="4837">
        <f>IF(C237="",AVERAGEIF($B$5:$C$252,B237,$C$5:$C$252),C237)</f>
        <v/>
      </c>
      <c r="F237" s="4837">
        <f>IFERROR(IF(VLOOKUP(A237, $K$8:$M$241, 2, FALSE)/1000 = 0, 0, VLOOKUP(A237, $K$8:$M$241, 2, FALSE)/1000 ), 0)</f>
        <v/>
      </c>
      <c r="G237" s="4837">
        <f>IFERROR(IF(VLOOKUP(A237, $K$8:$M$241, 3, FALSE)/1000 = 0, AVERAGEIF($B$5:$B$252,B237,$I$5:$I$252), VLOOKUP(A237, $K$8:$M$241, 3, FALSE)/1000 ), AVERAGEIF($B$5:$B$252,B237,$I$5:$I$252))</f>
        <v/>
      </c>
      <c r="H237" s="4837" t="n">
        <v>0.5564820192401615</v>
      </c>
      <c r="I237" s="4837" t="n">
        <v>0.3104005431343253</v>
      </c>
      <c r="K237" s="4379" t="inlineStr">
        <is>
          <t>United States Virgin Islands</t>
        </is>
      </c>
      <c r="L237" s="4407" t="n">
        <v>650.3057239057239</v>
      </c>
      <c r="M237" s="4406" t="n">
        <v>373.0149257810399</v>
      </c>
      <c r="O237">
        <f>VLOOKUP(A234, $K$8:$M$241, 2, FALSE)</f>
        <v/>
      </c>
    </row>
    <row r="238" ht="29" customHeight="1">
      <c r="A238" s="4110" t="inlineStr">
        <is>
          <t>United Kingdom of Great Britain and Northern Ireland</t>
        </is>
      </c>
      <c r="B238">
        <f>INDEX(list_region_country!$G$3:$V$3,,SUMPRODUCT(--(list_region_country!$G$3:$V$56=Elec!A238)*(COLUMN(list_region_country!$G$3:$V$56)-COLUMN(list_region_country!$F$3))))</f>
        <v/>
      </c>
      <c r="C238" s="4837" t="n">
        <v>0.4750661349975716</v>
      </c>
      <c r="D238" s="4608" t="n">
        <v>2007</v>
      </c>
      <c r="E238" s="4837">
        <f>IF(C238="",AVERAGEIF($B$5:$C$252,B238,$C$5:$C$252),C238)</f>
        <v/>
      </c>
      <c r="F238" s="4837">
        <f>IFERROR(IF(VLOOKUP(A238, $K$8:$M$241, 2, FALSE)/1000 = 0, 0, VLOOKUP(A238, $K$8:$M$241, 2, FALSE)/1000 ), 0)</f>
        <v/>
      </c>
      <c r="G238" s="4837">
        <f>IFERROR(IF(VLOOKUP(A238, $K$8:$M$241, 3, FALSE)/1000 = 0, AVERAGEIF($B$5:$B$252,B238,$I$5:$I$252), VLOOKUP(A238, $K$8:$M$241, 3, FALSE)/1000 ), AVERAGEIF($B$5:$B$252,B238,$I$5:$I$252))</f>
        <v/>
      </c>
      <c r="H238" s="4837" t="n">
        <v>0.3803712240328204</v>
      </c>
      <c r="I238" s="4837" t="n">
        <v>0.1865045176390155</v>
      </c>
      <c r="K238" s="4379" t="inlineStr">
        <is>
          <t>Yemen</t>
        </is>
      </c>
      <c r="L238" s="4406" t="n">
        <v>807.2931937584166</v>
      </c>
      <c r="M238" s="4406" t="n">
        <v>614.5621328909245</v>
      </c>
      <c r="O238">
        <f>VLOOKUP(A235, $K$8:$M$241, 2, FALSE)</f>
        <v/>
      </c>
    </row>
    <row r="239">
      <c r="A239" s="4110" t="inlineStr">
        <is>
          <t>United Republic of Tanzania</t>
        </is>
      </c>
      <c r="B239">
        <f>INDEX(list_region_country!$G$3:$V$3,,SUMPRODUCT(--(list_region_country!$G$3:$V$56=Elec!A239)*(COLUMN(list_region_country!$G$3:$V$56)-COLUMN(list_region_country!$F$3))))</f>
        <v/>
      </c>
      <c r="C239" s="4837" t="n">
        <v>0.592</v>
      </c>
      <c r="D239" s="4608" t="n">
        <v>2019</v>
      </c>
      <c r="E239" s="4837">
        <f>IF(C239="",AVERAGEIF($B$5:$C$252,B239,$C$5:$C$252),C239)</f>
        <v/>
      </c>
      <c r="F239" s="4837">
        <f>IFERROR(IF(VLOOKUP(A239, $K$8:$M$241, 2, FALSE)/1000 = 0, 0, VLOOKUP(A239, $K$8:$M$241, 2, FALSE)/1000 ), 0)</f>
        <v/>
      </c>
      <c r="G239" s="4837">
        <f>IFERROR(IF(VLOOKUP(A239, $K$8:$M$241, 3, FALSE)/1000 = 0, AVERAGEIF($B$5:$B$252,B239,$I$5:$I$252), VLOOKUP(A239, $K$8:$M$241, 3, FALSE)/1000 ), AVERAGEIF($B$5:$B$252,B239,$I$5:$I$252))</f>
        <v/>
      </c>
      <c r="H239" s="4837" t="n">
        <v>0.5305399486873281</v>
      </c>
      <c r="I239" s="4837" t="n">
        <v>0.3360498044171513</v>
      </c>
      <c r="K239" s="4379" t="inlineStr">
        <is>
          <t>Zambia</t>
        </is>
      </c>
      <c r="L239" s="4406" t="n">
        <v>416.4086030434059</v>
      </c>
      <c r="M239" s="4406" t="n">
        <v>196.9913065121353</v>
      </c>
      <c r="O239">
        <f>VLOOKUP(A236, $K$8:$M$241, 2, FALSE)</f>
        <v/>
      </c>
    </row>
    <row r="240">
      <c r="A240" s="4110" t="inlineStr">
        <is>
          <t>United States Minor Outlying Islands</t>
        </is>
      </c>
      <c r="B240">
        <f>INDEX(list_region_country!$G$3:$V$3,,SUMPRODUCT(--(list_region_country!$G$3:$V$56=Elec!A240)*(COLUMN(list_region_country!$G$3:$V$56)-COLUMN(list_region_country!$F$3))))</f>
        <v/>
      </c>
      <c r="C240" s="4837" t="inlineStr"/>
      <c r="D240" s="4608" t="inlineStr"/>
      <c r="E240" s="4837">
        <f>IF(C240="",AVERAGEIF($B$5:$C$252,B240,$C$5:$C$252),C240)</f>
        <v/>
      </c>
      <c r="F240" s="4837">
        <f>IFERROR(IF(VLOOKUP(A240, $K$8:$M$241, 2, FALSE)/1000 = 0, 0, VLOOKUP(A240, $K$8:$M$241, 2, FALSE)/1000 ), 0)</f>
        <v/>
      </c>
      <c r="G240" s="4837">
        <f>IFERROR(IF(VLOOKUP(A240, $K$8:$M$241, 3, FALSE)/1000 = 0, AVERAGEIF($B$5:$B$252,B240,$I$5:$I$252), VLOOKUP(A240, $K$8:$M$241, 3, FALSE)/1000 ), AVERAGEIF($B$5:$B$252,B240,$I$5:$I$252))</f>
        <v/>
      </c>
      <c r="H240" s="4837" t="inlineStr">
        <is>
          <t>N/A</t>
        </is>
      </c>
      <c r="I240" s="4837" t="inlineStr">
        <is>
          <t>N/A</t>
        </is>
      </c>
      <c r="K240" s="4379" t="inlineStr">
        <is>
          <t>Zimbabwe</t>
        </is>
      </c>
      <c r="L240" s="4407" t="n">
        <v>1575.300784509852</v>
      </c>
      <c r="M240" s="4406" t="n">
        <v>880.2535963554808</v>
      </c>
      <c r="O240">
        <f>VLOOKUP(A237, $K$8:$M$241, 2, FALSE)</f>
        <v/>
      </c>
    </row>
    <row r="241" ht="24" customHeight="1">
      <c r="A241" s="4111" t="inlineStr">
        <is>
          <t>United States of America</t>
        </is>
      </c>
      <c r="B241">
        <f>INDEX(list_region_country!$G$3:$V$3,,SUMPRODUCT(--(list_region_country!$G$3:$V$56=Elec!A241)*(COLUMN(list_region_country!$G$3:$V$56)-COLUMN(list_region_country!$F$3))))</f>
        <v/>
      </c>
      <c r="C241" s="4837" t="n">
        <v>0.676</v>
      </c>
      <c r="D241" s="4608" t="n">
        <v>2007</v>
      </c>
      <c r="E241" s="4837">
        <f>IF(C241="",AVERAGEIF($B$5:$C$252,B241,$C$5:$C$252),C241)</f>
        <v/>
      </c>
      <c r="F241" s="4837">
        <f>IFERROR(IF(VLOOKUP(A241, $K$8:$M$241, 2, FALSE)/1000 = 0, 0, VLOOKUP(A241, $K$8:$M$241, 2, FALSE)/1000 ), 0)</f>
        <v/>
      </c>
      <c r="G241" s="4837">
        <f>IFERROR(IF(VLOOKUP(A241, $K$8:$M$241, 3, FALSE)/1000 = 0, AVERAGEIF($B$5:$B$252,B241,$I$5:$I$252), VLOOKUP(A241, $K$8:$M$241, 3, FALSE)/1000 ), AVERAGEIF($B$5:$B$252,B241,$I$5:$I$252))</f>
        <v/>
      </c>
      <c r="H241" s="4837" t="n">
        <v>0.4164283665521271</v>
      </c>
      <c r="I241" s="4837" t="n">
        <v>0.2196161388451897</v>
      </c>
      <c r="K241" s="4412" t="inlineStr">
        <is>
          <t>China, Hong Kong Special Administrative Region</t>
        </is>
      </c>
      <c r="L241" s="4407" t="n">
        <v>898.9063635467729</v>
      </c>
      <c r="M241" s="4406" t="n">
        <v>547.462698599137</v>
      </c>
      <c r="O241">
        <f>VLOOKUP(A238, $K$8:$M$241, 2, FALSE)</f>
        <v/>
      </c>
    </row>
    <row r="242">
      <c r="A242" s="4111" t="inlineStr">
        <is>
          <t>United States Virgin Islands</t>
        </is>
      </c>
      <c r="B242">
        <f>INDEX(list_region_country!$G$3:$V$3,,SUMPRODUCT(--(list_region_country!$G$3:$V$56=Elec!A242)*(COLUMN(list_region_country!$G$3:$V$56)-COLUMN(list_region_country!$F$3))))</f>
        <v/>
      </c>
      <c r="C242" s="4837" t="inlineStr"/>
      <c r="D242" s="4608" t="inlineStr"/>
      <c r="E242" s="4837">
        <f>IF(C242="",AVERAGEIF($B$5:$C$252,B242,$C$5:$C$252),C242)</f>
        <v/>
      </c>
      <c r="F242" s="4837">
        <f>IFERROR(IF(VLOOKUP(A242, $K$8:$M$241, 2, FALSE)/1000 = 0, 0, VLOOKUP(A242, $K$8:$M$241, 2, FALSE)/1000 ), 0)</f>
        <v/>
      </c>
      <c r="G242" s="4837">
        <f>IFERROR(IF(VLOOKUP(A242, $K$8:$M$241, 3, FALSE)/1000 = 0, AVERAGEIF($B$5:$B$252,B242,$I$5:$I$252), VLOOKUP(A242, $K$8:$M$241, 3, FALSE)/1000 ), AVERAGEIF($B$5:$B$252,B242,$I$5:$I$252))</f>
        <v/>
      </c>
      <c r="H242" s="4837" t="n">
        <v>0.6503057239057238</v>
      </c>
      <c r="I242" s="4837" t="n">
        <v>0.3730149257810399</v>
      </c>
      <c r="O242">
        <f>VLOOKUP(A239, $K$8:$M$241, 2, FALSE)</f>
        <v/>
      </c>
    </row>
    <row r="243">
      <c r="A243" s="4111" t="inlineStr">
        <is>
          <t>Uruguay</t>
        </is>
      </c>
      <c r="B243">
        <f>INDEX(list_region_country!$G$3:$V$3,,SUMPRODUCT(--(list_region_country!$G$3:$V$56=Elec!A243)*(COLUMN(list_region_country!$G$3:$V$56)-COLUMN(list_region_country!$F$3))))</f>
        <v/>
      </c>
      <c r="C243" s="4837" t="n">
        <v>0.574</v>
      </c>
      <c r="D243" s="4608" t="n">
        <v>2019</v>
      </c>
      <c r="E243" s="4837">
        <f>IF(C243="",AVERAGEIF($B$5:$C$252,B243,$C$5:$C$252),C243)</f>
        <v/>
      </c>
      <c r="F243" s="4837">
        <f>IFERROR(IF(VLOOKUP(A243, $K$8:$M$241, 2, FALSE)/1000 = 0, 0, VLOOKUP(A243, $K$8:$M$241, 2, FALSE)/1000 ), 0)</f>
        <v/>
      </c>
      <c r="G243" s="4837">
        <f>IFERROR(IF(VLOOKUP(A243, $K$8:$M$241, 3, FALSE)/1000 = 0, AVERAGEIF($B$5:$B$252,B243,$I$5:$I$252), VLOOKUP(A243, $K$8:$M$241, 3, FALSE)/1000 ), AVERAGEIF($B$5:$B$252,B243,$I$5:$I$252))</f>
        <v/>
      </c>
      <c r="H243" s="4837" t="n">
        <v>0.1739583772719126</v>
      </c>
      <c r="I243" s="4837" t="n">
        <v>0.0648285438462597</v>
      </c>
      <c r="O243">
        <f>VLOOKUP(A240, $K$8:$M$241, 2, FALSE)</f>
        <v/>
      </c>
    </row>
    <row r="244">
      <c r="A244" s="4111" t="inlineStr">
        <is>
          <t>Uzbekistan</t>
        </is>
      </c>
      <c r="B244">
        <f>INDEX(list_region_country!$G$3:$V$3,,SUMPRODUCT(--(list_region_country!$G$3:$V$56=Elec!A244)*(COLUMN(list_region_country!$G$3:$V$56)-COLUMN(list_region_country!$F$3))))</f>
        <v/>
      </c>
      <c r="C244" s="4837" t="n">
        <v>0.585</v>
      </c>
      <c r="D244" s="4608" t="n">
        <v>2019</v>
      </c>
      <c r="E244" s="4837">
        <f>IF(C244="",AVERAGEIF($B$5:$C$252,B244,$C$5:$C$252),C244)</f>
        <v/>
      </c>
      <c r="F244" s="4837">
        <f>IFERROR(IF(VLOOKUP(A244, $K$8:$M$241, 2, FALSE)/1000 = 0, 0, VLOOKUP(A244, $K$8:$M$241, 2, FALSE)/1000 ), 0)</f>
        <v/>
      </c>
      <c r="G244" s="4837">
        <f>IFERROR(IF(VLOOKUP(A244, $K$8:$M$241, 3, FALSE)/1000 = 0, AVERAGEIF($B$5:$B$252,B244,$I$5:$I$252), VLOOKUP(A244, $K$8:$M$241, 3, FALSE)/1000 ), AVERAGEIF($B$5:$B$252,B244,$I$5:$I$252))</f>
        <v/>
      </c>
      <c r="H244" s="4837" t="n">
        <v>0.6122833271232294</v>
      </c>
      <c r="I244" s="4837" t="n">
        <v>0.4673727908595872</v>
      </c>
      <c r="O244">
        <f>VLOOKUP(A241, $K$8:$M$241, 2, FALSE)</f>
        <v/>
      </c>
    </row>
    <row r="245">
      <c r="A245" s="4110" t="inlineStr">
        <is>
          <t>Vanuatu</t>
        </is>
      </c>
      <c r="B245">
        <f>INDEX(list_region_country!$G$3:$V$3,,SUMPRODUCT(--(list_region_country!$G$3:$V$56=Elec!A245)*(COLUMN(list_region_country!$G$3:$V$56)-COLUMN(list_region_country!$F$3))))</f>
        <v/>
      </c>
      <c r="C245" s="4837" t="inlineStr"/>
      <c r="D245" s="4608" t="inlineStr"/>
      <c r="E245" s="4837">
        <f>IF(C245="",AVERAGEIF($B$5:$C$252,B245,$C$5:$C$252),C245)</f>
        <v/>
      </c>
      <c r="F245" s="4837">
        <f>IFERROR(IF(VLOOKUP(A245, $K$8:$M$241, 2, FALSE)/1000 = 0, 0, VLOOKUP(A245, $K$8:$M$241, 2, FALSE)/1000 ), 0)</f>
        <v/>
      </c>
      <c r="G245" s="4837">
        <f>IFERROR(IF(VLOOKUP(A245, $K$8:$M$241, 3, FALSE)/1000 = 0, AVERAGEIF($B$5:$B$252,B245,$I$5:$I$252), VLOOKUP(A245, $K$8:$M$241, 3, FALSE)/1000 ), AVERAGEIF($B$5:$B$252,B245,$I$5:$I$252))</f>
        <v/>
      </c>
      <c r="H245" s="4837" t="n">
        <v>0.7525333333333333</v>
      </c>
      <c r="I245" s="4837" t="n">
        <v>0.5041807267261385</v>
      </c>
      <c r="O245">
        <f>VLOOKUP(A242, $K$8:$M$241, 2, FALSE)</f>
        <v/>
      </c>
    </row>
    <row r="246">
      <c r="A246" s="4111" t="inlineStr">
        <is>
          <t>Venezuela</t>
        </is>
      </c>
      <c r="B246">
        <f>INDEX(list_region_country!$G$3:$V$3,,SUMPRODUCT(--(list_region_country!$G$3:$V$56=Elec!A246)*(COLUMN(list_region_country!$G$3:$V$56)-COLUMN(list_region_country!$F$3))))</f>
        <v/>
      </c>
      <c r="C246" s="4837" t="n">
        <v>0.2509683141094271</v>
      </c>
      <c r="D246" s="4608" t="n">
        <v>2007</v>
      </c>
      <c r="E246" s="4837">
        <f>IF(C246="",AVERAGEIF($B$5:$C$252,B246,$C$5:$C$252),C246)</f>
        <v/>
      </c>
      <c r="F246" s="4837">
        <f>IFERROR(IF(VLOOKUP(A246, $K$8:$M$241, 2, FALSE)/1000 = 0, 0, VLOOKUP(A246, $K$8:$M$241, 2, FALSE)/1000 ), 0)</f>
        <v/>
      </c>
      <c r="G246" s="4837">
        <f>IFERROR(IF(VLOOKUP(A246, $K$8:$M$241, 3, FALSE)/1000 = 0, AVERAGEIF($B$5:$B$252,B246,$I$5:$I$252), VLOOKUP(A246, $K$8:$M$241, 3, FALSE)/1000 ), AVERAGEIF($B$5:$B$252,B246,$I$5:$I$252))</f>
        <v/>
      </c>
      <c r="H246" s="4837" t="n">
        <v>0.7109203912920029</v>
      </c>
      <c r="I246" s="4837" t="n">
        <v>0.3677521893275219</v>
      </c>
      <c r="O246">
        <f>VLOOKUP(A243, $K$8:$M$241, 2, FALSE)</f>
        <v/>
      </c>
    </row>
    <row r="247">
      <c r="A247" s="4111" t="inlineStr">
        <is>
          <t>Viet Nam</t>
        </is>
      </c>
      <c r="B247">
        <f>INDEX(list_region_country!$G$3:$V$3,,SUMPRODUCT(--(list_region_country!$G$3:$V$56=Elec!A247)*(COLUMN(list_region_country!$G$3:$V$56)-COLUMN(list_region_country!$F$3))))</f>
        <v/>
      </c>
      <c r="C247" s="4837" t="n">
        <v>0.572</v>
      </c>
      <c r="D247" s="4608" t="n">
        <v>2019</v>
      </c>
      <c r="E247" s="4837">
        <f>IF(C247="",AVERAGEIF($B$5:$C$252,B247,$C$5:$C$252),C247)</f>
        <v/>
      </c>
      <c r="F247" s="4837">
        <f>IFERROR(IF(VLOOKUP(A247, $K$8:$M$241, 2, FALSE)/1000 = 0, 0, VLOOKUP(A247, $K$8:$M$241, 2, FALSE)/1000 ), 0)</f>
        <v/>
      </c>
      <c r="G247" s="4837">
        <f>IFERROR(IF(VLOOKUP(A247, $K$8:$M$241, 3, FALSE)/1000 = 0, AVERAGEIF($B$5:$B$252,B247,$I$5:$I$252), VLOOKUP(A247, $K$8:$M$241, 3, FALSE)/1000 ), AVERAGEIF($B$5:$B$252,B247,$I$5:$I$252))</f>
        <v/>
      </c>
      <c r="H247" s="4837" t="n">
        <v>0.5604410611676583</v>
      </c>
      <c r="I247" s="4837" t="n">
        <v>0.3808079984650012</v>
      </c>
      <c r="O247">
        <f>VLOOKUP(A244, $K$8:$M$241, 2, FALSE)</f>
        <v/>
      </c>
    </row>
    <row r="248">
      <c r="A248" s="4110" t="inlineStr">
        <is>
          <t>Wallis and Futuna Islands</t>
        </is>
      </c>
      <c r="B248">
        <f>INDEX(list_region_country!$G$3:$V$3,,SUMPRODUCT(--(list_region_country!$G$3:$V$56=Elec!A248)*(COLUMN(list_region_country!$G$3:$V$56)-COLUMN(list_region_country!$F$3))))</f>
        <v/>
      </c>
      <c r="C248" s="4837" t="inlineStr"/>
      <c r="D248" s="4608" t="inlineStr"/>
      <c r="E248" s="4837">
        <f>IF(C248="",AVERAGEIF($B$5:$C$252,B248,$C$5:$C$252),C248)</f>
        <v/>
      </c>
      <c r="F248" s="4837">
        <f>IFERROR(IF(VLOOKUP(A248, $K$8:$M$241, 2, FALSE)/1000 = 0, 0, VLOOKUP(A248, $K$8:$M$241, 2, FALSE)/1000 ), 0)</f>
        <v/>
      </c>
      <c r="G248" s="4837">
        <f>IFERROR(IF(VLOOKUP(A248, $K$8:$M$241, 3, FALSE)/1000 = 0, AVERAGEIF($B$5:$B$252,B248,$I$5:$I$252), VLOOKUP(A248, $K$8:$M$241, 3, FALSE)/1000 ), AVERAGEIF($B$5:$B$252,B248,$I$5:$I$252))</f>
        <v/>
      </c>
      <c r="H248" s="4837" t="inlineStr">
        <is>
          <t>N/A</t>
        </is>
      </c>
      <c r="I248" s="4837" t="inlineStr">
        <is>
          <t>N/A</t>
        </is>
      </c>
      <c r="O248">
        <f>VLOOKUP(A245, $K$8:$M$241, 2, FALSE)</f>
        <v/>
      </c>
    </row>
    <row r="249">
      <c r="A249" s="4111" t="inlineStr">
        <is>
          <t>Western Sahara</t>
        </is>
      </c>
      <c r="B249">
        <f>INDEX(list_region_country!$G$3:$V$3,,SUMPRODUCT(--(list_region_country!$G$3:$V$56=Elec!A249)*(COLUMN(list_region_country!$G$3:$V$56)-COLUMN(list_region_country!$F$3))))</f>
        <v/>
      </c>
      <c r="C249" s="4837" t="inlineStr"/>
      <c r="D249" s="4608" t="inlineStr"/>
      <c r="E249" s="4837">
        <f>IF(C249="",AVERAGEIF($B$5:$C$252,B249,$C$5:$C$252),C249)</f>
        <v/>
      </c>
      <c r="F249" s="4837">
        <f>IFERROR(IF(VLOOKUP(A249, $K$8:$M$241, 2, FALSE)/1000 = 0, 0, VLOOKUP(A249, $K$8:$M$241, 2, FALSE)/1000 ), 0)</f>
        <v/>
      </c>
      <c r="G249" s="4837">
        <f>IFERROR(IF(VLOOKUP(A249, $K$8:$M$241, 3, FALSE)/1000 = 0, AVERAGEIF($B$5:$B$252,B249,$I$5:$I$252), VLOOKUP(A249, $K$8:$M$241, 3, FALSE)/1000 ), AVERAGEIF($B$5:$B$252,B249,$I$5:$I$252))</f>
        <v/>
      </c>
      <c r="H249" s="4837" t="inlineStr">
        <is>
          <t>N/A</t>
        </is>
      </c>
      <c r="I249" s="4837" t="inlineStr">
        <is>
          <t>N/A</t>
        </is>
      </c>
      <c r="O249">
        <f>VLOOKUP(A246, $K$8:$M$241, 2, FALSE)</f>
        <v/>
      </c>
    </row>
    <row r="250">
      <c r="A250" s="4111" t="inlineStr">
        <is>
          <t>Yemen</t>
        </is>
      </c>
      <c r="B250">
        <f>INDEX(list_region_country!$G$3:$V$3,,SUMPRODUCT(--(list_region_country!$G$3:$V$56=Elec!A250)*(COLUMN(list_region_country!$G$3:$V$56)-COLUMN(list_region_country!$F$3))))</f>
        <v/>
      </c>
      <c r="C250" s="4837" t="n">
        <v>1.029360653467793</v>
      </c>
      <c r="D250" s="4608" t="n">
        <v>2007</v>
      </c>
      <c r="E250" s="4837">
        <f>IF(C250="",AVERAGEIF($B$5:$C$252,B250,$C$5:$C$252),C250)</f>
        <v/>
      </c>
      <c r="F250" s="4837">
        <f>IFERROR(IF(VLOOKUP(A250, $K$8:$M$241, 2, FALSE)/1000 = 0, 0, VLOOKUP(A250, $K$8:$M$241, 2, FALSE)/1000 ), 0)</f>
        <v/>
      </c>
      <c r="G250" s="4837">
        <f>IFERROR(IF(VLOOKUP(A250, $K$8:$M$241, 3, FALSE)/1000 = 0, AVERAGEIF($B$5:$B$252,B250,$I$5:$I$252), VLOOKUP(A250, $K$8:$M$241, 3, FALSE)/1000 ), AVERAGEIF($B$5:$B$252,B250,$I$5:$I$252))</f>
        <v/>
      </c>
      <c r="H250" s="4837" t="n">
        <v>0.8072931937584166</v>
      </c>
      <c r="I250" s="4837" t="n">
        <v>0.6145621328909245</v>
      </c>
      <c r="O250">
        <f>VLOOKUP(A247, $K$8:$M$241, 2, FALSE)</f>
        <v/>
      </c>
    </row>
    <row r="251">
      <c r="A251" s="4110" t="inlineStr">
        <is>
          <t>Zambia</t>
        </is>
      </c>
      <c r="B251">
        <f>INDEX(list_region_country!$G$3:$V$3,,SUMPRODUCT(--(list_region_country!$G$3:$V$56=Elec!A251)*(COLUMN(list_region_country!$G$3:$V$56)-COLUMN(list_region_country!$F$3))))</f>
        <v/>
      </c>
      <c r="C251" s="4837" t="n">
        <v>0.909</v>
      </c>
      <c r="D251" s="4608" t="n">
        <v>2019</v>
      </c>
      <c r="E251" s="4837">
        <f>IF(C251="",AVERAGEIF($B$5:$C$252,B251,$C$5:$C$252),C251)</f>
        <v/>
      </c>
      <c r="F251" s="4837">
        <f>IFERROR(IF(VLOOKUP(A251, $K$8:$M$241, 2, FALSE)/1000 = 0, 0, VLOOKUP(A251, $K$8:$M$241, 2, FALSE)/1000 ), 0)</f>
        <v/>
      </c>
      <c r="G251" s="4837">
        <f>IFERROR(IF(VLOOKUP(A251, $K$8:$M$241, 3, FALSE)/1000 = 0, AVERAGEIF($B$5:$B$252,B251,$I$5:$I$252), VLOOKUP(A251, $K$8:$M$241, 3, FALSE)/1000 ), AVERAGEIF($B$5:$B$252,B251,$I$5:$I$252))</f>
        <v/>
      </c>
      <c r="H251" s="4837" t="n">
        <v>0.4164086030434059</v>
      </c>
      <c r="I251" s="4837" t="n">
        <v>0.1969913065121353</v>
      </c>
      <c r="O251">
        <f>VLOOKUP(A248, $K$8:$M$241, 2, FALSE)</f>
        <v/>
      </c>
    </row>
    <row r="252">
      <c r="A252" s="4110" t="inlineStr">
        <is>
          <t>Zimbabwe</t>
        </is>
      </c>
      <c r="B252">
        <f>INDEX(list_region_country!$G$3:$V$3,,SUMPRODUCT(--(list_region_country!$G$3:$V$56=Elec!A252)*(COLUMN(list_region_country!$G$3:$V$56)-COLUMN(list_region_country!$F$3))))</f>
        <v/>
      </c>
      <c r="C252" s="4837" t="n">
        <v>0.909</v>
      </c>
      <c r="D252" s="4608" t="n">
        <v>2019</v>
      </c>
      <c r="E252" s="4837">
        <f>IF(C252="",AVERAGEIF($B$5:$C$252,B252,$C$5:$C$252),C252)</f>
        <v/>
      </c>
      <c r="F252" s="4837">
        <f>IFERROR(IF(VLOOKUP(A252, $K$8:$M$241, 2, FALSE)/1000 = 0, 0, VLOOKUP(A252, $K$8:$M$241, 2, FALSE)/1000 ), 0)</f>
        <v/>
      </c>
      <c r="G252" s="4837">
        <f>IFERROR(IF(VLOOKUP(A252, $K$8:$M$241, 3, FALSE)/1000 = 0, AVERAGEIF($B$5:$B$252,B252,$I$5:$I$252), VLOOKUP(A252, $K$8:$M$241, 3, FALSE)/1000 ), AVERAGEIF($B$5:$B$252,B252,$I$5:$I$252))</f>
        <v/>
      </c>
      <c r="H252" s="4837" t="n">
        <v>1.575300784509852</v>
      </c>
      <c r="I252" s="4837" t="n">
        <v>0.8802535963554808</v>
      </c>
      <c r="O252">
        <f>VLOOKUP(A249, $K$8:$M$241, 2, FALSE)</f>
        <v/>
      </c>
    </row>
    <row r="253">
      <c r="H253" s="4837" t="n"/>
      <c r="I253" s="4837" t="n"/>
      <c r="O253">
        <f>VLOOKUP(A250, $K$8:$M$241, 2, FALSE)</f>
        <v/>
      </c>
    </row>
    <row r="254">
      <c r="A254" s="4111" t="n"/>
      <c r="O254">
        <f>VLOOKUP(A251, $K$8:$M$241, 2, FALSE)</f>
        <v/>
      </c>
    </row>
    <row r="255">
      <c r="A255" s="4111" t="n"/>
    </row>
    <row r="256">
      <c r="A256" s="4111" t="n"/>
    </row>
    <row r="257">
      <c r="A257" s="4111" t="n"/>
    </row>
    <row r="258">
      <c r="A258" s="4111" t="n"/>
    </row>
    <row r="259">
      <c r="A259" s="4111" t="n"/>
    </row>
    <row r="260">
      <c r="A260" s="4111" t="n"/>
    </row>
    <row r="261">
      <c r="A261" s="4111" t="n"/>
    </row>
    <row r="262">
      <c r="A262" s="4111" t="n"/>
    </row>
    <row r="263">
      <c r="A263" s="4111" t="n"/>
    </row>
    <row r="264">
      <c r="A264" s="4111" t="n"/>
    </row>
    <row r="265">
      <c r="A265" s="4111" t="n"/>
    </row>
    <row r="266">
      <c r="A266" s="4111" t="n"/>
    </row>
    <row r="267">
      <c r="A267" s="4111" t="n"/>
    </row>
    <row r="268">
      <c r="A268" s="4111" t="n"/>
    </row>
  </sheetData>
  <mergeCells count="1">
    <mergeCell ref="F2:G2"/>
  </mergeCells>
  <conditionalFormatting sqref="F5:F252">
    <cfRule type="cellIs" priority="2" operator="notEqual" dxfId="50">
      <formula>$H5</formula>
    </cfRule>
  </conditionalFormatting>
  <conditionalFormatting sqref="G5:G252">
    <cfRule type="cellIs" priority="1" operator="notEqual" dxfId="50">
      <formula>$I5</formula>
    </cfRule>
  </conditionalFormatting>
  <pageMargins left="0.7" right="0.7" top="0.75" bottom="0.75" header="0.3" footer="0.3"/>
  <pageSetup orientation="portrait"/>
</worksheet>
</file>

<file path=xl/worksheets/sheet36.xml><?xml version="1.0" encoding="utf-8"?>
<worksheet xmlns:r="http://schemas.openxmlformats.org/officeDocument/2006/relationships" xmlns="http://schemas.openxmlformats.org/spreadsheetml/2006/main">
  <sheetPr codeName="Sheet31">
    <tabColor rgb="FF172735"/>
    <outlinePr summaryBelow="1" summaryRight="1"/>
    <pageSetUpPr/>
  </sheetPr>
  <dimension ref="B4:CG292"/>
  <sheetViews>
    <sheetView zoomScale="80" zoomScaleNormal="80" workbookViewId="0">
      <pane ySplit="1" topLeftCell="A114" activePane="bottomLeft" state="frozen"/>
      <selection pane="bottomLeft" activeCell="F128" sqref="F128"/>
    </sheetView>
  </sheetViews>
  <sheetFormatPr baseColWidth="10" defaultColWidth="9.33203125" defaultRowHeight="14"/>
  <cols>
    <col width="9.33203125" customWidth="1" style="1771" min="1" max="1"/>
    <col width="18" customWidth="1" style="1771" min="2" max="2"/>
    <col width="21.33203125" customWidth="1" style="1771" min="3" max="3"/>
    <col width="19.5" customWidth="1" style="1771" min="4" max="6"/>
    <col width="16.5" customWidth="1" style="1771" min="7" max="7"/>
    <col width="19.5" customWidth="1" style="1771" min="8" max="12"/>
    <col width="17.33203125" customWidth="1" style="1771" min="13" max="13"/>
    <col width="20.5" customWidth="1" style="1771" min="14" max="14"/>
    <col width="19.5" customWidth="1" style="1771" min="15" max="16"/>
    <col width="19.6640625" customWidth="1" style="1771" min="17" max="17"/>
    <col width="14.6640625" customWidth="1" style="1771" min="18" max="18"/>
    <col width="14.5" customWidth="1" style="1771" min="19" max="19"/>
    <col width="15.6640625" customWidth="1" style="1771" min="20" max="20"/>
    <col width="13.6640625" customWidth="1" style="1771" min="21" max="21"/>
    <col width="14.6640625" customWidth="1" style="1771" min="22" max="22"/>
    <col width="19.6640625" bestFit="1" customWidth="1" style="1771" min="23" max="23"/>
    <col width="21" customWidth="1" style="1771" min="24" max="24"/>
    <col width="13.6640625" customWidth="1" style="1771" min="25" max="25"/>
    <col width="19.5" bestFit="1" customWidth="1" style="1771" min="26" max="44"/>
    <col width="18.5" bestFit="1" customWidth="1" style="1771" min="45" max="74"/>
    <col width="9.33203125" customWidth="1" style="1771" min="75" max="16384"/>
  </cols>
  <sheetData>
    <row r="1" ht="100.5" customFormat="1" customHeight="1" s="2080"/>
    <row r="4" ht="57.75" customHeight="1">
      <c r="B4" s="4621">
        <f>Languages!B623</f>
        <v/>
      </c>
      <c r="J4" s="4622">
        <f>Languages!B624</f>
        <v/>
      </c>
    </row>
    <row r="7" ht="22" customHeight="1">
      <c r="B7" s="3933">
        <f>IF(C106="","",C106)</f>
        <v/>
      </c>
      <c r="C7" s="3929" t="n"/>
      <c r="D7" s="3929" t="n"/>
    </row>
    <row r="8" ht="17" customHeight="1">
      <c r="D8" s="3918" t="n"/>
    </row>
    <row r="9" ht="17" customHeight="1">
      <c r="B9" s="3931">
        <f>B107</f>
        <v/>
      </c>
      <c r="C9" s="3918">
        <f>C107</f>
        <v/>
      </c>
      <c r="D9" s="3918" t="n"/>
    </row>
    <row r="10" ht="17" customHeight="1">
      <c r="B10" s="3931">
        <f>B108</f>
        <v/>
      </c>
      <c r="C10" s="3918">
        <f>C108</f>
        <v/>
      </c>
      <c r="D10" s="3918" t="n"/>
    </row>
    <row r="11" ht="17" customHeight="1">
      <c r="B11" s="3931">
        <f>B109</f>
        <v/>
      </c>
      <c r="C11" s="3918">
        <f>C109</f>
        <v/>
      </c>
      <c r="D11" s="3918" t="n"/>
    </row>
    <row r="12" ht="17" customHeight="1">
      <c r="B12" s="3931">
        <f>B110</f>
        <v/>
      </c>
      <c r="C12" s="3918">
        <f>C110</f>
        <v/>
      </c>
      <c r="D12" s="3918" t="n"/>
    </row>
    <row r="13" ht="17" customHeight="1">
      <c r="B13" s="3918" t="n"/>
      <c r="C13" s="3918" t="n"/>
      <c r="D13" s="3918" t="n"/>
    </row>
    <row r="14" ht="17" customHeight="1">
      <c r="B14" s="3918" t="n"/>
      <c r="C14" s="3918" t="n"/>
      <c r="D14" s="3918" t="n"/>
    </row>
    <row r="15" ht="17" customHeight="1">
      <c r="B15" s="3931">
        <f>Languages!B632</f>
        <v/>
      </c>
      <c r="C15" s="3918" t="n"/>
      <c r="D15" s="3981">
        <f>K107</f>
        <v/>
      </c>
    </row>
    <row r="16" ht="17" customHeight="1">
      <c r="B16" s="3918" t="n"/>
      <c r="C16" s="3918" t="n"/>
      <c r="D16" s="3918" t="n"/>
    </row>
    <row r="18" ht="22" customHeight="1">
      <c r="B18" s="3932">
        <f>F107</f>
        <v/>
      </c>
      <c r="C18" s="3929" t="n"/>
      <c r="D18" s="3929" t="n"/>
    </row>
    <row r="19" ht="17" customHeight="1">
      <c r="B19" s="3931">
        <f>F108</f>
        <v/>
      </c>
      <c r="C19" s="3918" t="n"/>
      <c r="D19" s="3918">
        <f>H108</f>
        <v/>
      </c>
    </row>
    <row r="20" ht="17" customHeight="1">
      <c r="B20" s="3931">
        <f>F109</f>
        <v/>
      </c>
      <c r="C20" s="3918" t="n"/>
      <c r="D20" s="3918">
        <f>H109</f>
        <v/>
      </c>
    </row>
    <row r="21" ht="17" customHeight="1">
      <c r="B21" s="3931">
        <f>F110</f>
        <v/>
      </c>
      <c r="C21" s="3918" t="n"/>
      <c r="D21" s="3918">
        <f>H110</f>
        <v/>
      </c>
    </row>
    <row r="22" ht="16" customHeight="1">
      <c r="I22" s="3983" t="inlineStr">
        <is>
          <t>+ = Source / - = Sink</t>
        </is>
      </c>
    </row>
    <row r="24">
      <c r="B24" s="3514" t="inlineStr">
        <is>
          <t>Results presented here include GHG fluxes on mineral and organic soils</t>
        </is>
      </c>
    </row>
    <row r="25">
      <c r="B25" s="3514" t="inlineStr">
        <is>
          <t>See further down for detailed results on organic soils</t>
        </is>
      </c>
    </row>
    <row r="26" ht="57.75" customHeight="1">
      <c r="B26" s="4621">
        <f>Languages!B666</f>
        <v/>
      </c>
      <c r="J26" s="4622">
        <f>Languages!B667</f>
        <v/>
      </c>
    </row>
    <row r="59" ht="21" customHeight="1">
      <c r="I59" s="3980" t="n"/>
      <c r="Q59" s="3980" t="n"/>
    </row>
    <row r="62" ht="57.75" customHeight="1">
      <c r="B62" s="4621">
        <f>Languages!B668</f>
        <v/>
      </c>
      <c r="J62" s="4622">
        <f>Languages!B669</f>
        <v/>
      </c>
    </row>
    <row r="66" ht="17" customHeight="1">
      <c r="W66" s="3917">
        <f>Languages!B670</f>
        <v/>
      </c>
      <c r="X66" s="4832" t="n"/>
      <c r="Y66" s="4405" t="inlineStr">
        <is>
          <t>Year 1</t>
        </is>
      </c>
      <c r="Z66" s="4405" t="inlineStr">
        <is>
          <t>Year 2</t>
        </is>
      </c>
      <c r="AA66" s="4405" t="inlineStr">
        <is>
          <t>Year 3</t>
        </is>
      </c>
      <c r="AB66" s="4405" t="inlineStr">
        <is>
          <t>Year 4</t>
        </is>
      </c>
      <c r="AC66" s="4405" t="inlineStr">
        <is>
          <t>Year 5</t>
        </is>
      </c>
      <c r="AD66" s="4405" t="inlineStr">
        <is>
          <t>Year 6</t>
        </is>
      </c>
      <c r="AE66" s="4405" t="inlineStr">
        <is>
          <t>Year 7</t>
        </is>
      </c>
      <c r="AF66" s="4405" t="inlineStr">
        <is>
          <t>Year 8</t>
        </is>
      </c>
      <c r="AG66" s="4405" t="inlineStr">
        <is>
          <t>Year 9</t>
        </is>
      </c>
      <c r="AH66" s="4405" t="inlineStr">
        <is>
          <t>Year 10</t>
        </is>
      </c>
      <c r="AI66" s="4405" t="inlineStr">
        <is>
          <t>Year 11</t>
        </is>
      </c>
      <c r="AJ66" s="4405" t="inlineStr">
        <is>
          <t>Year 12</t>
        </is>
      </c>
      <c r="AK66" s="4405" t="inlineStr">
        <is>
          <t>Year 13</t>
        </is>
      </c>
      <c r="AL66" s="4405" t="inlineStr">
        <is>
          <t>Year 14</t>
        </is>
      </c>
      <c r="AM66" s="4405" t="inlineStr">
        <is>
          <t>Year 15</t>
        </is>
      </c>
      <c r="AN66" s="4405" t="inlineStr">
        <is>
          <t>Year 16</t>
        </is>
      </c>
      <c r="AO66" s="4405" t="inlineStr">
        <is>
          <t>Year 17</t>
        </is>
      </c>
      <c r="AP66" s="4405" t="inlineStr">
        <is>
          <t>Year 18</t>
        </is>
      </c>
      <c r="AQ66" s="4405" t="inlineStr">
        <is>
          <t>Year 19</t>
        </is>
      </c>
      <c r="AR66" s="4405" t="inlineStr">
        <is>
          <t>Year 20</t>
        </is>
      </c>
      <c r="AS66" s="4405" t="inlineStr">
        <is>
          <t>Year 21</t>
        </is>
      </c>
      <c r="AT66" s="4405" t="inlineStr">
        <is>
          <t>Year 22</t>
        </is>
      </c>
      <c r="AU66" s="4405" t="inlineStr">
        <is>
          <t>Year 23</t>
        </is>
      </c>
      <c r="AV66" s="4405" t="inlineStr">
        <is>
          <t>Year 24</t>
        </is>
      </c>
      <c r="AW66" s="4405" t="inlineStr">
        <is>
          <t>Year 25</t>
        </is>
      </c>
      <c r="AX66" s="4405" t="inlineStr">
        <is>
          <t>Year 26</t>
        </is>
      </c>
      <c r="AY66" s="4405" t="inlineStr">
        <is>
          <t>Year 27</t>
        </is>
      </c>
      <c r="AZ66" s="4405" t="inlineStr">
        <is>
          <t>Year 28</t>
        </is>
      </c>
      <c r="BA66" s="4405" t="inlineStr">
        <is>
          <t>Year 29</t>
        </is>
      </c>
      <c r="BB66" s="4405" t="inlineStr">
        <is>
          <t>Year 30</t>
        </is>
      </c>
      <c r="BC66" s="4405" t="inlineStr">
        <is>
          <t>Year 31</t>
        </is>
      </c>
      <c r="BD66" s="4405" t="inlineStr">
        <is>
          <t>Year 32</t>
        </is>
      </c>
      <c r="BE66" s="4405" t="inlineStr">
        <is>
          <t>Year 33</t>
        </is>
      </c>
      <c r="BF66" s="4405" t="inlineStr">
        <is>
          <t>Year 34</t>
        </is>
      </c>
      <c r="BG66" s="4405" t="inlineStr">
        <is>
          <t>Year 35</t>
        </is>
      </c>
      <c r="BH66" s="4405" t="inlineStr">
        <is>
          <t>Year 36</t>
        </is>
      </c>
      <c r="BI66" s="4405" t="inlineStr">
        <is>
          <t>Year 37</t>
        </is>
      </c>
      <c r="BJ66" s="4405" t="inlineStr">
        <is>
          <t>Year 38</t>
        </is>
      </c>
      <c r="BK66" s="4405" t="inlineStr">
        <is>
          <t>Year 39</t>
        </is>
      </c>
      <c r="BL66" s="4405" t="inlineStr">
        <is>
          <t>Year 40</t>
        </is>
      </c>
      <c r="BM66" s="4405" t="inlineStr">
        <is>
          <t>Year 41</t>
        </is>
      </c>
      <c r="BN66" s="4405" t="inlineStr">
        <is>
          <t>Year 42</t>
        </is>
      </c>
      <c r="BO66" s="4405" t="inlineStr">
        <is>
          <t>Year 43</t>
        </is>
      </c>
      <c r="BP66" s="4405" t="inlineStr">
        <is>
          <t>Year 44</t>
        </is>
      </c>
      <c r="BQ66" s="4405" t="inlineStr">
        <is>
          <t>Year 45</t>
        </is>
      </c>
      <c r="BR66" s="4405" t="inlineStr">
        <is>
          <t>Year 46</t>
        </is>
      </c>
      <c r="BS66" s="4405" t="inlineStr">
        <is>
          <t>Year 47</t>
        </is>
      </c>
      <c r="BT66" s="4405" t="inlineStr">
        <is>
          <t>Year 48</t>
        </is>
      </c>
      <c r="BU66" s="4405" t="inlineStr">
        <is>
          <t>Year 49</t>
        </is>
      </c>
      <c r="BV66" s="4405" t="inlineStr">
        <is>
          <t>Year 50</t>
        </is>
      </c>
    </row>
    <row r="68" ht="17" customHeight="1">
      <c r="W68" s="3918">
        <f>Languages!B671</f>
        <v/>
      </c>
      <c r="X68" s="3918" t="n"/>
      <c r="Y68" s="4409">
        <f>YEARLY!M7</f>
        <v/>
      </c>
      <c r="Z68" s="4409">
        <f>YEARLY!N7</f>
        <v/>
      </c>
      <c r="AA68" s="4409">
        <f>YEARLY!O7</f>
        <v/>
      </c>
      <c r="AB68" s="4409">
        <f>YEARLY!P7</f>
        <v/>
      </c>
      <c r="AC68" s="4409">
        <f>YEARLY!Q7</f>
        <v/>
      </c>
      <c r="AD68" s="4409">
        <f>YEARLY!R7</f>
        <v/>
      </c>
      <c r="AE68" s="4409">
        <f>YEARLY!S7</f>
        <v/>
      </c>
      <c r="AF68" s="4409">
        <f>YEARLY!T7</f>
        <v/>
      </c>
      <c r="AG68" s="4409">
        <f>YEARLY!U7</f>
        <v/>
      </c>
      <c r="AH68" s="4409">
        <f>YEARLY!V7</f>
        <v/>
      </c>
      <c r="AI68" s="4409">
        <f>YEARLY!W7</f>
        <v/>
      </c>
      <c r="AJ68" s="4409">
        <f>YEARLY!X7</f>
        <v/>
      </c>
      <c r="AK68" s="4409">
        <f>YEARLY!Y7</f>
        <v/>
      </c>
      <c r="AL68" s="4409">
        <f>YEARLY!Z7</f>
        <v/>
      </c>
      <c r="AM68" s="4409">
        <f>YEARLY!AA7</f>
        <v/>
      </c>
      <c r="AN68" s="4409">
        <f>YEARLY!AB7</f>
        <v/>
      </c>
      <c r="AO68" s="4409">
        <f>YEARLY!AC7</f>
        <v/>
      </c>
      <c r="AP68" s="4409">
        <f>YEARLY!AD7</f>
        <v/>
      </c>
      <c r="AQ68" s="4409">
        <f>YEARLY!AE7</f>
        <v/>
      </c>
      <c r="AR68" s="4409">
        <f>YEARLY!AF7</f>
        <v/>
      </c>
      <c r="AS68" s="4409">
        <f>YEARLY!AG7</f>
        <v/>
      </c>
      <c r="AT68" s="4409">
        <f>YEARLY!AH7</f>
        <v/>
      </c>
      <c r="AU68" s="4409">
        <f>YEARLY!AI7</f>
        <v/>
      </c>
      <c r="AV68" s="4409">
        <f>YEARLY!AJ7</f>
        <v/>
      </c>
      <c r="AW68" s="4409">
        <f>YEARLY!AK7</f>
        <v/>
      </c>
      <c r="AX68" s="4409">
        <f>YEARLY!AL7</f>
        <v/>
      </c>
      <c r="AY68" s="4409">
        <f>YEARLY!AM7</f>
        <v/>
      </c>
      <c r="AZ68" s="4409">
        <f>YEARLY!AN7</f>
        <v/>
      </c>
      <c r="BA68" s="4409">
        <f>YEARLY!AO7</f>
        <v/>
      </c>
      <c r="BB68" s="4409">
        <f>YEARLY!AP7</f>
        <v/>
      </c>
      <c r="BC68" s="4409">
        <f>YEARLY!AQ7</f>
        <v/>
      </c>
      <c r="BD68" s="4409">
        <f>YEARLY!AR7</f>
        <v/>
      </c>
      <c r="BE68" s="4409">
        <f>YEARLY!AS7</f>
        <v/>
      </c>
      <c r="BF68" s="4409">
        <f>YEARLY!AT7</f>
        <v/>
      </c>
      <c r="BG68" s="4409">
        <f>YEARLY!AU7</f>
        <v/>
      </c>
      <c r="BH68" s="4409">
        <f>YEARLY!AV7</f>
        <v/>
      </c>
      <c r="BI68" s="4409">
        <f>YEARLY!AW7</f>
        <v/>
      </c>
      <c r="BJ68" s="4409">
        <f>YEARLY!AX7</f>
        <v/>
      </c>
      <c r="BK68" s="4409">
        <f>YEARLY!AY7</f>
        <v/>
      </c>
      <c r="BL68" s="4409">
        <f>YEARLY!AZ7</f>
        <v/>
      </c>
      <c r="BM68" s="4409">
        <f>YEARLY!BA7</f>
        <v/>
      </c>
      <c r="BN68" s="4409">
        <f>YEARLY!BB7</f>
        <v/>
      </c>
      <c r="BO68" s="4409">
        <f>YEARLY!BC7</f>
        <v/>
      </c>
      <c r="BP68" s="4409">
        <f>YEARLY!BD7</f>
        <v/>
      </c>
      <c r="BQ68" s="4409">
        <f>YEARLY!BE7</f>
        <v/>
      </c>
      <c r="BR68" s="4409">
        <f>YEARLY!BF7</f>
        <v/>
      </c>
      <c r="BS68" s="4409">
        <f>YEARLY!BG7</f>
        <v/>
      </c>
      <c r="BT68" s="4409">
        <f>YEARLY!BH7</f>
        <v/>
      </c>
      <c r="BU68" s="4409">
        <f>YEARLY!BI7</f>
        <v/>
      </c>
      <c r="BV68" s="4409">
        <f>YEARLY!BJ7</f>
        <v/>
      </c>
    </row>
    <row r="69" ht="17" customHeight="1">
      <c r="W69" s="3918" t="n"/>
      <c r="X69" s="3918" t="n"/>
      <c r="Y69" s="4408" t="n"/>
      <c r="Z69" s="4408" t="n"/>
      <c r="AA69" s="4408" t="n"/>
      <c r="AB69" s="4408" t="n"/>
      <c r="AC69" s="4408" t="n"/>
      <c r="AD69" s="4408" t="n"/>
      <c r="AE69" s="4408" t="n"/>
      <c r="AF69" s="4408" t="n"/>
      <c r="AG69" s="4408" t="n"/>
      <c r="AH69" s="4408" t="n"/>
      <c r="AI69" s="4408" t="n"/>
      <c r="AJ69" s="4408" t="n"/>
      <c r="AK69" s="4408" t="n"/>
      <c r="AL69" s="4408" t="n"/>
      <c r="AM69" s="4408" t="n"/>
      <c r="AN69" s="4408" t="n"/>
      <c r="AO69" s="4408" t="n"/>
      <c r="AP69" s="4408" t="n"/>
      <c r="AQ69" s="4408" t="n"/>
      <c r="AR69" s="4408" t="n"/>
      <c r="AS69" s="4408" t="n"/>
      <c r="AT69" s="4408" t="n"/>
      <c r="AU69" s="4408" t="n"/>
      <c r="AV69" s="4408" t="n"/>
      <c r="AW69" s="4408" t="n"/>
      <c r="AX69" s="4408" t="n"/>
      <c r="AY69" s="4408" t="n"/>
      <c r="AZ69" s="4408" t="n"/>
      <c r="BA69" s="4408" t="n"/>
      <c r="BB69" s="4408" t="n"/>
      <c r="BC69" s="4408" t="n"/>
      <c r="BD69" s="4408" t="n"/>
      <c r="BE69" s="4408" t="n"/>
      <c r="BF69" s="4408" t="n"/>
      <c r="BG69" s="4408" t="n"/>
      <c r="BH69" s="4408" t="n"/>
      <c r="BI69" s="4408" t="n"/>
      <c r="BJ69" s="4408" t="n"/>
      <c r="BK69" s="4408" t="n"/>
      <c r="BL69" s="4408" t="n"/>
      <c r="BM69" s="4408" t="n"/>
      <c r="BN69" s="4408" t="n"/>
      <c r="BO69" s="4408" t="n"/>
      <c r="BP69" s="4408" t="n"/>
      <c r="BQ69" s="4408" t="n"/>
      <c r="BR69" s="4408" t="n"/>
      <c r="BS69" s="4408" t="n"/>
      <c r="BT69" s="4408" t="n"/>
      <c r="BU69" s="4408" t="n"/>
      <c r="BV69" s="4408" t="n"/>
    </row>
    <row r="70" ht="17" customHeight="1">
      <c r="W70" s="3918">
        <f>Languages!B672</f>
        <v/>
      </c>
      <c r="X70" s="3918" t="n"/>
      <c r="Y70" s="4409">
        <f>YEARLY!M8</f>
        <v/>
      </c>
      <c r="Z70" s="4409">
        <f>YEARLY!N8</f>
        <v/>
      </c>
      <c r="AA70" s="4409">
        <f>YEARLY!O8</f>
        <v/>
      </c>
      <c r="AB70" s="4409">
        <f>YEARLY!P8</f>
        <v/>
      </c>
      <c r="AC70" s="4409">
        <f>YEARLY!Q8</f>
        <v/>
      </c>
      <c r="AD70" s="4409">
        <f>YEARLY!R8</f>
        <v/>
      </c>
      <c r="AE70" s="4409">
        <f>YEARLY!S8</f>
        <v/>
      </c>
      <c r="AF70" s="4409">
        <f>YEARLY!T8</f>
        <v/>
      </c>
      <c r="AG70" s="4409">
        <f>YEARLY!U8</f>
        <v/>
      </c>
      <c r="AH70" s="4409">
        <f>YEARLY!V8</f>
        <v/>
      </c>
      <c r="AI70" s="4409">
        <f>YEARLY!W8</f>
        <v/>
      </c>
      <c r="AJ70" s="4409">
        <f>YEARLY!X8</f>
        <v/>
      </c>
      <c r="AK70" s="4409">
        <f>YEARLY!Y8</f>
        <v/>
      </c>
      <c r="AL70" s="4409">
        <f>YEARLY!Z8</f>
        <v/>
      </c>
      <c r="AM70" s="4409">
        <f>YEARLY!AA8</f>
        <v/>
      </c>
      <c r="AN70" s="4409">
        <f>YEARLY!AB8</f>
        <v/>
      </c>
      <c r="AO70" s="4409">
        <f>YEARLY!AC8</f>
        <v/>
      </c>
      <c r="AP70" s="4409">
        <f>YEARLY!AD8</f>
        <v/>
      </c>
      <c r="AQ70" s="4409">
        <f>YEARLY!AE8</f>
        <v/>
      </c>
      <c r="AR70" s="4409">
        <f>YEARLY!AF8</f>
        <v/>
      </c>
      <c r="AS70" s="4409">
        <f>YEARLY!AG8</f>
        <v/>
      </c>
      <c r="AT70" s="4409">
        <f>YEARLY!AH8</f>
        <v/>
      </c>
      <c r="AU70" s="4409">
        <f>YEARLY!AI8</f>
        <v/>
      </c>
      <c r="AV70" s="4409">
        <f>YEARLY!AJ8</f>
        <v/>
      </c>
      <c r="AW70" s="4409">
        <f>YEARLY!AK8</f>
        <v/>
      </c>
      <c r="AX70" s="4409">
        <f>YEARLY!AL8</f>
        <v/>
      </c>
      <c r="AY70" s="4409">
        <f>YEARLY!AM8</f>
        <v/>
      </c>
      <c r="AZ70" s="4409">
        <f>YEARLY!AN8</f>
        <v/>
      </c>
      <c r="BA70" s="4409">
        <f>YEARLY!AO8</f>
        <v/>
      </c>
      <c r="BB70" s="4409">
        <f>YEARLY!AP8</f>
        <v/>
      </c>
      <c r="BC70" s="4409">
        <f>YEARLY!AQ8</f>
        <v/>
      </c>
      <c r="BD70" s="4409">
        <f>YEARLY!AR8</f>
        <v/>
      </c>
      <c r="BE70" s="4409">
        <f>YEARLY!AS8</f>
        <v/>
      </c>
      <c r="BF70" s="4409">
        <f>YEARLY!AT8</f>
        <v/>
      </c>
      <c r="BG70" s="4409">
        <f>YEARLY!AU8</f>
        <v/>
      </c>
      <c r="BH70" s="4409">
        <f>YEARLY!AV8</f>
        <v/>
      </c>
      <c r="BI70" s="4409">
        <f>YEARLY!AW8</f>
        <v/>
      </c>
      <c r="BJ70" s="4409">
        <f>YEARLY!AX8</f>
        <v/>
      </c>
      <c r="BK70" s="4409">
        <f>YEARLY!AY8</f>
        <v/>
      </c>
      <c r="BL70" s="4409">
        <f>YEARLY!AZ8</f>
        <v/>
      </c>
      <c r="BM70" s="4409">
        <f>YEARLY!BA8</f>
        <v/>
      </c>
      <c r="BN70" s="4409">
        <f>YEARLY!BB8</f>
        <v/>
      </c>
      <c r="BO70" s="4409">
        <f>YEARLY!BC8</f>
        <v/>
      </c>
      <c r="BP70" s="4409">
        <f>YEARLY!BD8</f>
        <v/>
      </c>
      <c r="BQ70" s="4409">
        <f>YEARLY!BE8</f>
        <v/>
      </c>
      <c r="BR70" s="4409">
        <f>YEARLY!BF8</f>
        <v/>
      </c>
      <c r="BS70" s="4409">
        <f>YEARLY!BG8</f>
        <v/>
      </c>
      <c r="BT70" s="4409">
        <f>YEARLY!BH8</f>
        <v/>
      </c>
      <c r="BU70" s="4409">
        <f>YEARLY!BI8</f>
        <v/>
      </c>
      <c r="BV70" s="4409">
        <f>YEARLY!BJ8</f>
        <v/>
      </c>
    </row>
    <row r="74">
      <c r="W74" s="1771">
        <f>Languages!B673</f>
        <v/>
      </c>
    </row>
    <row r="78" ht="17" customHeight="1">
      <c r="W78" s="3917">
        <f>B116</f>
        <v/>
      </c>
      <c r="X78" s="4832" t="n"/>
      <c r="Y78" s="4405" t="inlineStr">
        <is>
          <t>Year 1</t>
        </is>
      </c>
      <c r="Z78" s="4405" t="inlineStr">
        <is>
          <t>Year 2</t>
        </is>
      </c>
      <c r="AA78" s="4405" t="inlineStr">
        <is>
          <t>Year 3</t>
        </is>
      </c>
      <c r="AB78" s="4405" t="inlineStr">
        <is>
          <t>Year 4</t>
        </is>
      </c>
      <c r="AC78" s="4405" t="inlineStr">
        <is>
          <t>Year 5</t>
        </is>
      </c>
      <c r="AD78" s="4405" t="inlineStr">
        <is>
          <t>Year 6</t>
        </is>
      </c>
      <c r="AE78" s="4405" t="inlineStr">
        <is>
          <t>Year 7</t>
        </is>
      </c>
      <c r="AF78" s="4405" t="inlineStr">
        <is>
          <t>Year 8</t>
        </is>
      </c>
      <c r="AG78" s="4405" t="inlineStr">
        <is>
          <t>Year 9</t>
        </is>
      </c>
      <c r="AH78" s="4405" t="inlineStr">
        <is>
          <t>Year 10</t>
        </is>
      </c>
      <c r="AI78" s="4405" t="inlineStr">
        <is>
          <t>Year 11</t>
        </is>
      </c>
      <c r="AJ78" s="4405" t="inlineStr">
        <is>
          <t>Year 12</t>
        </is>
      </c>
      <c r="AK78" s="4405" t="inlineStr">
        <is>
          <t>Year 13</t>
        </is>
      </c>
      <c r="AL78" s="4405" t="inlineStr">
        <is>
          <t>Year 14</t>
        </is>
      </c>
      <c r="AM78" s="4405" t="inlineStr">
        <is>
          <t>Year 15</t>
        </is>
      </c>
      <c r="AN78" s="4405" t="inlineStr">
        <is>
          <t>Year 16</t>
        </is>
      </c>
      <c r="AO78" s="4405" t="inlineStr">
        <is>
          <t>Year 17</t>
        </is>
      </c>
      <c r="AP78" s="4405" t="inlineStr">
        <is>
          <t>Year 18</t>
        </is>
      </c>
      <c r="AQ78" s="4405" t="inlineStr">
        <is>
          <t>Year 19</t>
        </is>
      </c>
      <c r="AR78" s="4405" t="inlineStr">
        <is>
          <t>Year 20</t>
        </is>
      </c>
      <c r="AS78" s="4405" t="inlineStr">
        <is>
          <t>Year 21</t>
        </is>
      </c>
      <c r="AT78" s="4405" t="inlineStr">
        <is>
          <t>Year 22</t>
        </is>
      </c>
      <c r="AU78" s="4405" t="inlineStr">
        <is>
          <t>Year 23</t>
        </is>
      </c>
      <c r="AV78" s="4405" t="inlineStr">
        <is>
          <t>Year 24</t>
        </is>
      </c>
      <c r="AW78" s="4405" t="inlineStr">
        <is>
          <t>Year 25</t>
        </is>
      </c>
      <c r="AX78" s="4405" t="inlineStr">
        <is>
          <t>Year 26</t>
        </is>
      </c>
      <c r="AY78" s="4405" t="inlineStr">
        <is>
          <t>Year 27</t>
        </is>
      </c>
      <c r="AZ78" s="4405" t="inlineStr">
        <is>
          <t>Year 28</t>
        </is>
      </c>
      <c r="BA78" s="4405" t="inlineStr">
        <is>
          <t>Year 29</t>
        </is>
      </c>
      <c r="BB78" s="4405" t="inlineStr">
        <is>
          <t>Year 30</t>
        </is>
      </c>
      <c r="BC78" s="4405" t="inlineStr">
        <is>
          <t>Year 31</t>
        </is>
      </c>
      <c r="BD78" s="4405" t="inlineStr">
        <is>
          <t>Year 32</t>
        </is>
      </c>
      <c r="BE78" s="4405" t="inlineStr">
        <is>
          <t>Year 33</t>
        </is>
      </c>
      <c r="BF78" s="4405" t="inlineStr">
        <is>
          <t>Year 34</t>
        </is>
      </c>
      <c r="BG78" s="4405" t="inlineStr">
        <is>
          <t>Year 35</t>
        </is>
      </c>
      <c r="BH78" s="4405" t="inlineStr">
        <is>
          <t>Year 36</t>
        </is>
      </c>
      <c r="BI78" s="4405" t="inlineStr">
        <is>
          <t>Year 37</t>
        </is>
      </c>
      <c r="BJ78" s="4405" t="inlineStr">
        <is>
          <t>Year 38</t>
        </is>
      </c>
      <c r="BK78" s="4405" t="inlineStr">
        <is>
          <t>Year 39</t>
        </is>
      </c>
      <c r="BL78" s="4405" t="inlineStr">
        <is>
          <t>Year 40</t>
        </is>
      </c>
      <c r="BM78" s="4405" t="inlineStr">
        <is>
          <t>Year 41</t>
        </is>
      </c>
      <c r="BN78" s="4405" t="inlineStr">
        <is>
          <t>Year 42</t>
        </is>
      </c>
      <c r="BO78" s="4405" t="inlineStr">
        <is>
          <t>Year 43</t>
        </is>
      </c>
      <c r="BP78" s="4405" t="inlineStr">
        <is>
          <t>Year 44</t>
        </is>
      </c>
      <c r="BQ78" s="4405" t="inlineStr">
        <is>
          <t>Year 45</t>
        </is>
      </c>
      <c r="BR78" s="4405" t="inlineStr">
        <is>
          <t>Year 46</t>
        </is>
      </c>
      <c r="BS78" s="4405" t="inlineStr">
        <is>
          <t>Year 47</t>
        </is>
      </c>
      <c r="BT78" s="4405" t="inlineStr">
        <is>
          <t>Year 48</t>
        </is>
      </c>
      <c r="BU78" s="4405" t="inlineStr">
        <is>
          <t>Year 49</t>
        </is>
      </c>
      <c r="BV78" s="4405" t="inlineStr">
        <is>
          <t>Year 50</t>
        </is>
      </c>
    </row>
    <row r="79" ht="17" customHeight="1">
      <c r="W79" s="4631">
        <f>B117</f>
        <v/>
      </c>
      <c r="X79" s="3940">
        <f>C117</f>
        <v/>
      </c>
      <c r="Y79" s="3918">
        <f>SUM(YEARLY!M11:M18)</f>
        <v/>
      </c>
      <c r="Z79" s="3918">
        <f>SUM(YEARLY!N11:N18)</f>
        <v/>
      </c>
      <c r="AA79" s="3918">
        <f>SUM(YEARLY!O11:O18)</f>
        <v/>
      </c>
      <c r="AB79" s="3918">
        <f>SUM(YEARLY!P11:P18)</f>
        <v/>
      </c>
      <c r="AC79" s="3918">
        <f>SUM(YEARLY!Q11:Q18)</f>
        <v/>
      </c>
      <c r="AD79" s="3918">
        <f>SUM(YEARLY!R11:R18)</f>
        <v/>
      </c>
      <c r="AE79" s="3918">
        <f>SUM(YEARLY!S11:S18)</f>
        <v/>
      </c>
      <c r="AF79" s="3918">
        <f>SUM(YEARLY!T11:T18)</f>
        <v/>
      </c>
      <c r="AG79" s="3918">
        <f>SUM(YEARLY!U11:U18)</f>
        <v/>
      </c>
      <c r="AH79" s="3918">
        <f>SUM(YEARLY!V11:V18)</f>
        <v/>
      </c>
      <c r="AI79" s="3918">
        <f>SUM(YEARLY!W11:W18)</f>
        <v/>
      </c>
      <c r="AJ79" s="3918">
        <f>SUM(YEARLY!X11:X18)</f>
        <v/>
      </c>
      <c r="AK79" s="3918">
        <f>SUM(YEARLY!Y11:Y18)</f>
        <v/>
      </c>
      <c r="AL79" s="3918">
        <f>SUM(YEARLY!Z11:Z18)</f>
        <v/>
      </c>
      <c r="AM79" s="3918">
        <f>SUM(YEARLY!AA11:AA18)</f>
        <v/>
      </c>
      <c r="AN79" s="3918">
        <f>SUM(YEARLY!AB11:AB18)</f>
        <v/>
      </c>
      <c r="AO79" s="3918">
        <f>SUM(YEARLY!AC11:AC18)</f>
        <v/>
      </c>
      <c r="AP79" s="3918">
        <f>SUM(YEARLY!AD11:AD18)</f>
        <v/>
      </c>
      <c r="AQ79" s="3918">
        <f>SUM(YEARLY!AE11:AE18)</f>
        <v/>
      </c>
      <c r="AR79" s="3918">
        <f>SUM(YEARLY!AF11:AF18)</f>
        <v/>
      </c>
      <c r="AS79" s="3918">
        <f>SUM(YEARLY!AG11:AG18)</f>
        <v/>
      </c>
      <c r="AT79" s="3918">
        <f>SUM(YEARLY!AH11:AH18)</f>
        <v/>
      </c>
      <c r="AU79" s="3918">
        <f>SUM(YEARLY!AI11:AI18)</f>
        <v/>
      </c>
      <c r="AV79" s="3918">
        <f>SUM(YEARLY!AJ11:AJ18)</f>
        <v/>
      </c>
      <c r="AW79" s="3918">
        <f>SUM(YEARLY!AK11:AK18)</f>
        <v/>
      </c>
      <c r="AX79" s="3918">
        <f>SUM(YEARLY!AL11:AL18)</f>
        <v/>
      </c>
      <c r="AY79" s="3918">
        <f>SUM(YEARLY!AM11:AM18)</f>
        <v/>
      </c>
      <c r="AZ79" s="3918">
        <f>SUM(YEARLY!AN11:AN18)</f>
        <v/>
      </c>
      <c r="BA79" s="3918">
        <f>SUM(YEARLY!AO11:AO18)</f>
        <v/>
      </c>
      <c r="BB79" s="3918">
        <f>SUM(YEARLY!AP11:AP18)</f>
        <v/>
      </c>
      <c r="BC79" s="3918">
        <f>SUM(YEARLY!AQ11:AQ18)</f>
        <v/>
      </c>
      <c r="BD79" s="3918">
        <f>SUM(YEARLY!AR11:AR18)</f>
        <v/>
      </c>
      <c r="BE79" s="3918">
        <f>SUM(YEARLY!AS11:AS18)</f>
        <v/>
      </c>
      <c r="BF79" s="3918">
        <f>SUM(YEARLY!AT11:AT18)</f>
        <v/>
      </c>
      <c r="BG79" s="3918">
        <f>SUM(YEARLY!AU11:AU18)</f>
        <v/>
      </c>
      <c r="BH79" s="3918">
        <f>SUM(YEARLY!AV11:AV18)</f>
        <v/>
      </c>
      <c r="BI79" s="3918">
        <f>SUM(YEARLY!AW11:AW18)</f>
        <v/>
      </c>
      <c r="BJ79" s="3918">
        <f>SUM(YEARLY!AX11:AX18)</f>
        <v/>
      </c>
      <c r="BK79" s="3918">
        <f>SUM(YEARLY!AY11:AY18)</f>
        <v/>
      </c>
      <c r="BL79" s="3918">
        <f>SUM(YEARLY!AZ11:AZ18)</f>
        <v/>
      </c>
      <c r="BM79" s="3918">
        <f>SUM(YEARLY!BA11:BA18)</f>
        <v/>
      </c>
      <c r="BN79" s="3918">
        <f>SUM(YEARLY!BB11:BB18)</f>
        <v/>
      </c>
      <c r="BO79" s="3918">
        <f>SUM(YEARLY!BC11:BC18)</f>
        <v/>
      </c>
      <c r="BP79" s="3918">
        <f>SUM(YEARLY!BD11:BD18)</f>
        <v/>
      </c>
      <c r="BQ79" s="3918">
        <f>SUM(YEARLY!BE11:BE18)</f>
        <v/>
      </c>
      <c r="BR79" s="3918">
        <f>SUM(YEARLY!BF11:BF18)</f>
        <v/>
      </c>
      <c r="BS79" s="3918">
        <f>SUM(YEARLY!BG11:BG18)</f>
        <v/>
      </c>
      <c r="BT79" s="3918">
        <f>SUM(YEARLY!BH11:BH18)</f>
        <v/>
      </c>
      <c r="BU79" s="3918">
        <f>SUM(YEARLY!BI11:BI18)</f>
        <v/>
      </c>
      <c r="BV79" s="3918">
        <f>SUM(YEARLY!BJ11:BJ18)</f>
        <v/>
      </c>
    </row>
    <row r="80" ht="17" customHeight="1">
      <c r="W80" s="4838" t="n"/>
      <c r="X80" s="3940">
        <f>C118</f>
        <v/>
      </c>
      <c r="Y80" s="3918">
        <f>SUM(YEARLY!M19:M26)</f>
        <v/>
      </c>
      <c r="Z80" s="3918">
        <f>SUM(YEARLY!N19:N26)</f>
        <v/>
      </c>
      <c r="AA80" s="3918">
        <f>SUM(YEARLY!O19:O26)</f>
        <v/>
      </c>
      <c r="AB80" s="3918">
        <f>SUM(YEARLY!P19:P26)</f>
        <v/>
      </c>
      <c r="AC80" s="3918">
        <f>SUM(YEARLY!Q19:Q26)</f>
        <v/>
      </c>
      <c r="AD80" s="3918">
        <f>SUM(YEARLY!R19:R26)</f>
        <v/>
      </c>
      <c r="AE80" s="3918">
        <f>SUM(YEARLY!S19:S26)</f>
        <v/>
      </c>
      <c r="AF80" s="3918">
        <f>SUM(YEARLY!T19:T26)</f>
        <v/>
      </c>
      <c r="AG80" s="3918">
        <f>SUM(YEARLY!U19:U26)</f>
        <v/>
      </c>
      <c r="AH80" s="3918">
        <f>SUM(YEARLY!V19:V26)</f>
        <v/>
      </c>
      <c r="AI80" s="3918">
        <f>SUM(YEARLY!W19:W26)</f>
        <v/>
      </c>
      <c r="AJ80" s="3918">
        <f>SUM(YEARLY!X19:X26)</f>
        <v/>
      </c>
      <c r="AK80" s="3918">
        <f>SUM(YEARLY!Y19:Y26)</f>
        <v/>
      </c>
      <c r="AL80" s="3918">
        <f>SUM(YEARLY!Z19:Z26)</f>
        <v/>
      </c>
      <c r="AM80" s="3918">
        <f>SUM(YEARLY!AA19:AA26)</f>
        <v/>
      </c>
      <c r="AN80" s="3918">
        <f>SUM(YEARLY!AB19:AB26)</f>
        <v/>
      </c>
      <c r="AO80" s="3918">
        <f>SUM(YEARLY!AC19:AC26)</f>
        <v/>
      </c>
      <c r="AP80" s="3918">
        <f>SUM(YEARLY!AD19:AD26)</f>
        <v/>
      </c>
      <c r="AQ80" s="3918">
        <f>SUM(YEARLY!AE19:AE26)</f>
        <v/>
      </c>
      <c r="AR80" s="3918">
        <f>SUM(YEARLY!AF19:AF26)</f>
        <v/>
      </c>
      <c r="AS80" s="3918">
        <f>SUM(YEARLY!AG19:AG26)</f>
        <v/>
      </c>
      <c r="AT80" s="3918">
        <f>SUM(YEARLY!AH19:AH26)</f>
        <v/>
      </c>
      <c r="AU80" s="3918">
        <f>SUM(YEARLY!AI19:AI26)</f>
        <v/>
      </c>
      <c r="AV80" s="3918">
        <f>SUM(YEARLY!AJ19:AJ26)</f>
        <v/>
      </c>
      <c r="AW80" s="3918">
        <f>SUM(YEARLY!AK19:AK26)</f>
        <v/>
      </c>
      <c r="AX80" s="3918">
        <f>SUM(YEARLY!AL19:AL26)</f>
        <v/>
      </c>
      <c r="AY80" s="3918">
        <f>SUM(YEARLY!AM19:AM26)</f>
        <v/>
      </c>
      <c r="AZ80" s="3918">
        <f>SUM(YEARLY!AN19:AN26)</f>
        <v/>
      </c>
      <c r="BA80" s="3918">
        <f>SUM(YEARLY!AO19:AO26)</f>
        <v/>
      </c>
      <c r="BB80" s="3918">
        <f>SUM(YEARLY!AP19:AP26)</f>
        <v/>
      </c>
      <c r="BC80" s="3918">
        <f>SUM(YEARLY!AQ19:AQ26)</f>
        <v/>
      </c>
      <c r="BD80" s="3918">
        <f>SUM(YEARLY!AR19:AR26)</f>
        <v/>
      </c>
      <c r="BE80" s="3918">
        <f>SUM(YEARLY!AS19:AS26)</f>
        <v/>
      </c>
      <c r="BF80" s="3918">
        <f>SUM(YEARLY!AT19:AT26)</f>
        <v/>
      </c>
      <c r="BG80" s="3918">
        <f>SUM(YEARLY!AU19:AU26)</f>
        <v/>
      </c>
      <c r="BH80" s="3918">
        <f>SUM(YEARLY!AV19:AV26)</f>
        <v/>
      </c>
      <c r="BI80" s="3918">
        <f>SUM(YEARLY!AW19:AW26)</f>
        <v/>
      </c>
      <c r="BJ80" s="3918">
        <f>SUM(YEARLY!AX19:AX26)</f>
        <v/>
      </c>
      <c r="BK80" s="3918">
        <f>SUM(YEARLY!AY19:AY26)</f>
        <v/>
      </c>
      <c r="BL80" s="3918">
        <f>SUM(YEARLY!AZ19:AZ26)</f>
        <v/>
      </c>
      <c r="BM80" s="3918">
        <f>SUM(YEARLY!BA19:BA26)</f>
        <v/>
      </c>
      <c r="BN80" s="3918">
        <f>SUM(YEARLY!BB19:BB26)</f>
        <v/>
      </c>
      <c r="BO80" s="3918">
        <f>SUM(YEARLY!BC19:BC26)</f>
        <v/>
      </c>
      <c r="BP80" s="3918">
        <f>SUM(YEARLY!BD19:BD26)</f>
        <v/>
      </c>
      <c r="BQ80" s="3918">
        <f>SUM(YEARLY!BE19:BE26)</f>
        <v/>
      </c>
      <c r="BR80" s="3918">
        <f>SUM(YEARLY!BF19:BF26)</f>
        <v/>
      </c>
      <c r="BS80" s="3918">
        <f>SUM(YEARLY!BG19:BG26)</f>
        <v/>
      </c>
      <c r="BT80" s="3918">
        <f>SUM(YEARLY!BH19:BH26)</f>
        <v/>
      </c>
      <c r="BU80" s="3918">
        <f>SUM(YEARLY!BI19:BI26)</f>
        <v/>
      </c>
      <c r="BV80" s="3918">
        <f>SUM(YEARLY!BJ19:BJ26)</f>
        <v/>
      </c>
    </row>
    <row r="81" ht="17" customHeight="1">
      <c r="W81" s="4839" t="n"/>
      <c r="X81" s="3940">
        <f>C119</f>
        <v/>
      </c>
      <c r="Y81" s="3918">
        <f>SUM(YEARLY!M27:M36)</f>
        <v/>
      </c>
      <c r="Z81" s="3918">
        <f>SUM(YEARLY!N27:N36)</f>
        <v/>
      </c>
      <c r="AA81" s="3918">
        <f>SUM(YEARLY!O27:O36)</f>
        <v/>
      </c>
      <c r="AB81" s="3918">
        <f>SUM(YEARLY!P27:P36)</f>
        <v/>
      </c>
      <c r="AC81" s="3918">
        <f>SUM(YEARLY!Q27:Q36)</f>
        <v/>
      </c>
      <c r="AD81" s="3918">
        <f>SUM(YEARLY!R27:R36)</f>
        <v/>
      </c>
      <c r="AE81" s="3918">
        <f>SUM(YEARLY!S27:S36)</f>
        <v/>
      </c>
      <c r="AF81" s="3918">
        <f>SUM(YEARLY!T27:T36)</f>
        <v/>
      </c>
      <c r="AG81" s="3918">
        <f>SUM(YEARLY!U27:U36)</f>
        <v/>
      </c>
      <c r="AH81" s="3918">
        <f>SUM(YEARLY!V27:V36)</f>
        <v/>
      </c>
      <c r="AI81" s="3918">
        <f>SUM(YEARLY!W27:W36)</f>
        <v/>
      </c>
      <c r="AJ81" s="3918">
        <f>SUM(YEARLY!X27:X36)</f>
        <v/>
      </c>
      <c r="AK81" s="3918">
        <f>SUM(YEARLY!Y27:Y36)</f>
        <v/>
      </c>
      <c r="AL81" s="3918">
        <f>SUM(YEARLY!Z27:Z36)</f>
        <v/>
      </c>
      <c r="AM81" s="3918">
        <f>SUM(YEARLY!AA27:AA36)</f>
        <v/>
      </c>
      <c r="AN81" s="3918">
        <f>SUM(YEARLY!AB27:AB36)</f>
        <v/>
      </c>
      <c r="AO81" s="3918">
        <f>SUM(YEARLY!AC27:AC36)</f>
        <v/>
      </c>
      <c r="AP81" s="3918">
        <f>SUM(YEARLY!AD27:AD36)</f>
        <v/>
      </c>
      <c r="AQ81" s="3918">
        <f>SUM(YEARLY!AE27:AE36)</f>
        <v/>
      </c>
      <c r="AR81" s="3918">
        <f>SUM(YEARLY!AF27:AF36)</f>
        <v/>
      </c>
      <c r="AS81" s="3918">
        <f>SUM(YEARLY!AG27:AG36)</f>
        <v/>
      </c>
      <c r="AT81" s="3918">
        <f>SUM(YEARLY!AH27:AH36)</f>
        <v/>
      </c>
      <c r="AU81" s="3918">
        <f>SUM(YEARLY!AI27:AI36)</f>
        <v/>
      </c>
      <c r="AV81" s="3918">
        <f>SUM(YEARLY!AJ27:AJ36)</f>
        <v/>
      </c>
      <c r="AW81" s="3918">
        <f>SUM(YEARLY!AK27:AK36)</f>
        <v/>
      </c>
      <c r="AX81" s="3918">
        <f>SUM(YEARLY!AL27:AL36)</f>
        <v/>
      </c>
      <c r="AY81" s="3918">
        <f>SUM(YEARLY!AM27:AM36)</f>
        <v/>
      </c>
      <c r="AZ81" s="3918">
        <f>SUM(YEARLY!AN27:AN36)</f>
        <v/>
      </c>
      <c r="BA81" s="3918">
        <f>SUM(YEARLY!AO27:AO36)</f>
        <v/>
      </c>
      <c r="BB81" s="3918">
        <f>SUM(YEARLY!AP27:AP36)</f>
        <v/>
      </c>
      <c r="BC81" s="3918">
        <f>SUM(YEARLY!AQ27:AQ36)</f>
        <v/>
      </c>
      <c r="BD81" s="3918">
        <f>SUM(YEARLY!AR27:AR36)</f>
        <v/>
      </c>
      <c r="BE81" s="3918">
        <f>SUM(YEARLY!AS27:AS36)</f>
        <v/>
      </c>
      <c r="BF81" s="3918">
        <f>SUM(YEARLY!AT27:AT36)</f>
        <v/>
      </c>
      <c r="BG81" s="3918">
        <f>SUM(YEARLY!AU27:AU36)</f>
        <v/>
      </c>
      <c r="BH81" s="3918">
        <f>SUM(YEARLY!AV27:AV36)</f>
        <v/>
      </c>
      <c r="BI81" s="3918">
        <f>SUM(YEARLY!AW27:AW36)</f>
        <v/>
      </c>
      <c r="BJ81" s="3918">
        <f>SUM(YEARLY!AX27:AX36)</f>
        <v/>
      </c>
      <c r="BK81" s="3918">
        <f>SUM(YEARLY!AY27:AY36)</f>
        <v/>
      </c>
      <c r="BL81" s="3918">
        <f>SUM(YEARLY!AZ27:AZ36)</f>
        <v/>
      </c>
      <c r="BM81" s="3918">
        <f>SUM(YEARLY!BA27:BA36)</f>
        <v/>
      </c>
      <c r="BN81" s="3918">
        <f>SUM(YEARLY!BB27:BB36)</f>
        <v/>
      </c>
      <c r="BO81" s="3918">
        <f>SUM(YEARLY!BC27:BC36)</f>
        <v/>
      </c>
      <c r="BP81" s="3918">
        <f>SUM(YEARLY!BD27:BD36)</f>
        <v/>
      </c>
      <c r="BQ81" s="3918">
        <f>SUM(YEARLY!BE27:BE36)</f>
        <v/>
      </c>
      <c r="BR81" s="3918">
        <f>SUM(YEARLY!BF27:BF36)</f>
        <v/>
      </c>
      <c r="BS81" s="3918">
        <f>SUM(YEARLY!BG27:BG36)</f>
        <v/>
      </c>
      <c r="BT81" s="3918">
        <f>SUM(YEARLY!BH27:BH36)</f>
        <v/>
      </c>
      <c r="BU81" s="3918">
        <f>SUM(YEARLY!BI27:BI36)</f>
        <v/>
      </c>
      <c r="BV81" s="3918">
        <f>SUM(YEARLY!BJ27:BJ36)</f>
        <v/>
      </c>
    </row>
    <row r="82" ht="17" customHeight="1">
      <c r="W82" s="4631">
        <f>B120</f>
        <v/>
      </c>
      <c r="X82" s="3940">
        <f>C120</f>
        <v/>
      </c>
      <c r="Y82" s="3918">
        <f>SUM(YEARLY!M37:M50)</f>
        <v/>
      </c>
      <c r="Z82" s="3918">
        <f>SUM(YEARLY!N37:N50)</f>
        <v/>
      </c>
      <c r="AA82" s="3918">
        <f>SUM(YEARLY!O37:O50)</f>
        <v/>
      </c>
      <c r="AB82" s="3918">
        <f>SUM(YEARLY!P37:P50)</f>
        <v/>
      </c>
      <c r="AC82" s="3918">
        <f>SUM(YEARLY!Q37:Q50)</f>
        <v/>
      </c>
      <c r="AD82" s="3918">
        <f>SUM(YEARLY!R37:R50)</f>
        <v/>
      </c>
      <c r="AE82" s="3918">
        <f>SUM(YEARLY!S37:S50)</f>
        <v/>
      </c>
      <c r="AF82" s="3918">
        <f>SUM(YEARLY!T37:T50)</f>
        <v/>
      </c>
      <c r="AG82" s="3918">
        <f>SUM(YEARLY!U37:U50)</f>
        <v/>
      </c>
      <c r="AH82" s="3918">
        <f>SUM(YEARLY!V37:V50)</f>
        <v/>
      </c>
      <c r="AI82" s="3918">
        <f>SUM(YEARLY!W37:W50)</f>
        <v/>
      </c>
      <c r="AJ82" s="3918">
        <f>SUM(YEARLY!X37:X50)</f>
        <v/>
      </c>
      <c r="AK82" s="3918">
        <f>SUM(YEARLY!Y37:Y50)</f>
        <v/>
      </c>
      <c r="AL82" s="3918">
        <f>SUM(YEARLY!Z37:Z50)</f>
        <v/>
      </c>
      <c r="AM82" s="3918">
        <f>SUM(YEARLY!AA37:AA50)</f>
        <v/>
      </c>
      <c r="AN82" s="3918">
        <f>SUM(YEARLY!AB37:AB50)</f>
        <v/>
      </c>
      <c r="AO82" s="3918">
        <f>SUM(YEARLY!AC37:AC50)</f>
        <v/>
      </c>
      <c r="AP82" s="3918">
        <f>SUM(YEARLY!AD37:AD50)</f>
        <v/>
      </c>
      <c r="AQ82" s="3918">
        <f>SUM(YEARLY!AE37:AE50)</f>
        <v/>
      </c>
      <c r="AR82" s="3918">
        <f>SUM(YEARLY!AF37:AF50)</f>
        <v/>
      </c>
      <c r="AS82" s="3918">
        <f>SUM(YEARLY!AG37:AG50)</f>
        <v/>
      </c>
      <c r="AT82" s="3918">
        <f>SUM(YEARLY!AH37:AH50)</f>
        <v/>
      </c>
      <c r="AU82" s="3918">
        <f>SUM(YEARLY!AI37:AI50)</f>
        <v/>
      </c>
      <c r="AV82" s="3918">
        <f>SUM(YEARLY!AJ37:AJ50)</f>
        <v/>
      </c>
      <c r="AW82" s="3918">
        <f>SUM(YEARLY!AK37:AK50)</f>
        <v/>
      </c>
      <c r="AX82" s="3918">
        <f>SUM(YEARLY!AL37:AL50)</f>
        <v/>
      </c>
      <c r="AY82" s="3918">
        <f>SUM(YEARLY!AM37:AM50)</f>
        <v/>
      </c>
      <c r="AZ82" s="3918">
        <f>SUM(YEARLY!AN37:AN50)</f>
        <v/>
      </c>
      <c r="BA82" s="3918">
        <f>SUM(YEARLY!AO37:AO50)</f>
        <v/>
      </c>
      <c r="BB82" s="3918">
        <f>SUM(YEARLY!AP37:AP50)</f>
        <v/>
      </c>
      <c r="BC82" s="3918">
        <f>SUM(YEARLY!AQ37:AQ50)</f>
        <v/>
      </c>
      <c r="BD82" s="3918">
        <f>SUM(YEARLY!AR37:AR50)</f>
        <v/>
      </c>
      <c r="BE82" s="3918">
        <f>SUM(YEARLY!AS37:AS50)</f>
        <v/>
      </c>
      <c r="BF82" s="3918">
        <f>SUM(YEARLY!AT37:AT50)</f>
        <v/>
      </c>
      <c r="BG82" s="3918">
        <f>SUM(YEARLY!AU37:AU50)</f>
        <v/>
      </c>
      <c r="BH82" s="3918">
        <f>SUM(YEARLY!AV37:AV50)</f>
        <v/>
      </c>
      <c r="BI82" s="3918">
        <f>SUM(YEARLY!AW37:AW50)</f>
        <v/>
      </c>
      <c r="BJ82" s="3918">
        <f>SUM(YEARLY!AX37:AX50)</f>
        <v/>
      </c>
      <c r="BK82" s="3918">
        <f>SUM(YEARLY!AY37:AY50)</f>
        <v/>
      </c>
      <c r="BL82" s="3918">
        <f>SUM(YEARLY!AZ37:AZ50)</f>
        <v/>
      </c>
      <c r="BM82" s="3918">
        <f>SUM(YEARLY!BA37:BA50)</f>
        <v/>
      </c>
      <c r="BN82" s="3918">
        <f>SUM(YEARLY!BB37:BB50)</f>
        <v/>
      </c>
      <c r="BO82" s="3918">
        <f>SUM(YEARLY!BC37:BC50)</f>
        <v/>
      </c>
      <c r="BP82" s="3918">
        <f>SUM(YEARLY!BD37:BD50)</f>
        <v/>
      </c>
      <c r="BQ82" s="3918">
        <f>SUM(YEARLY!BE37:BE50)</f>
        <v/>
      </c>
      <c r="BR82" s="3918">
        <f>SUM(YEARLY!BF37:BF50)</f>
        <v/>
      </c>
      <c r="BS82" s="3918">
        <f>SUM(YEARLY!BG37:BG50)</f>
        <v/>
      </c>
      <c r="BT82" s="3918">
        <f>SUM(YEARLY!BH37:BH50)</f>
        <v/>
      </c>
      <c r="BU82" s="3918">
        <f>SUM(YEARLY!BI37:BI50)</f>
        <v/>
      </c>
      <c r="BV82" s="3918">
        <f>SUM(YEARLY!BJ37:BJ50)</f>
        <v/>
      </c>
    </row>
    <row r="83" ht="17" customHeight="1">
      <c r="W83" s="4838" t="n"/>
      <c r="X83" s="3940">
        <f>C121</f>
        <v/>
      </c>
      <c r="Y83" s="3918">
        <f>SUM(YEARLY!M51:M64)</f>
        <v/>
      </c>
      <c r="Z83" s="3918">
        <f>SUM(YEARLY!N51:N64)</f>
        <v/>
      </c>
      <c r="AA83" s="3918">
        <f>SUM(YEARLY!O51:O64)</f>
        <v/>
      </c>
      <c r="AB83" s="3918">
        <f>SUM(YEARLY!P51:P64)</f>
        <v/>
      </c>
      <c r="AC83" s="3918">
        <f>SUM(YEARLY!Q51:Q64)</f>
        <v/>
      </c>
      <c r="AD83" s="3918">
        <f>SUM(YEARLY!R51:R64)</f>
        <v/>
      </c>
      <c r="AE83" s="3918">
        <f>SUM(YEARLY!S51:S64)</f>
        <v/>
      </c>
      <c r="AF83" s="3918">
        <f>SUM(YEARLY!T51:T64)</f>
        <v/>
      </c>
      <c r="AG83" s="3918">
        <f>SUM(YEARLY!U51:U64)</f>
        <v/>
      </c>
      <c r="AH83" s="3918">
        <f>SUM(YEARLY!V51:V64)</f>
        <v/>
      </c>
      <c r="AI83" s="3918">
        <f>SUM(YEARLY!W51:W64)</f>
        <v/>
      </c>
      <c r="AJ83" s="3918">
        <f>SUM(YEARLY!X51:X64)</f>
        <v/>
      </c>
      <c r="AK83" s="3918">
        <f>SUM(YEARLY!Y51:Y64)</f>
        <v/>
      </c>
      <c r="AL83" s="3918">
        <f>SUM(YEARLY!Z51:Z64)</f>
        <v/>
      </c>
      <c r="AM83" s="3918">
        <f>SUM(YEARLY!AA51:AA64)</f>
        <v/>
      </c>
      <c r="AN83" s="3918">
        <f>SUM(YEARLY!AB51:AB64)</f>
        <v/>
      </c>
      <c r="AO83" s="3918">
        <f>SUM(YEARLY!AC51:AC64)</f>
        <v/>
      </c>
      <c r="AP83" s="3918">
        <f>SUM(YEARLY!AD51:AD64)</f>
        <v/>
      </c>
      <c r="AQ83" s="3918">
        <f>SUM(YEARLY!AE51:AE64)</f>
        <v/>
      </c>
      <c r="AR83" s="3918">
        <f>SUM(YEARLY!AF51:AF64)</f>
        <v/>
      </c>
      <c r="AS83" s="3918">
        <f>SUM(YEARLY!AG51:AG64)</f>
        <v/>
      </c>
      <c r="AT83" s="3918">
        <f>SUM(YEARLY!AH51:AH64)</f>
        <v/>
      </c>
      <c r="AU83" s="3918">
        <f>SUM(YEARLY!AI51:AI64)</f>
        <v/>
      </c>
      <c r="AV83" s="3918">
        <f>SUM(YEARLY!AJ51:AJ64)</f>
        <v/>
      </c>
      <c r="AW83" s="3918">
        <f>SUM(YEARLY!AK51:AK64)</f>
        <v/>
      </c>
      <c r="AX83" s="3918">
        <f>SUM(YEARLY!AL51:AL64)</f>
        <v/>
      </c>
      <c r="AY83" s="3918">
        <f>SUM(YEARLY!AM51:AM64)</f>
        <v/>
      </c>
      <c r="AZ83" s="3918">
        <f>SUM(YEARLY!AN51:AN64)</f>
        <v/>
      </c>
      <c r="BA83" s="3918">
        <f>SUM(YEARLY!AO51:AO64)</f>
        <v/>
      </c>
      <c r="BB83" s="3918">
        <f>SUM(YEARLY!AP51:AP64)</f>
        <v/>
      </c>
      <c r="BC83" s="3918">
        <f>SUM(YEARLY!AQ51:AQ64)</f>
        <v/>
      </c>
      <c r="BD83" s="3918">
        <f>SUM(YEARLY!AR51:AR64)</f>
        <v/>
      </c>
      <c r="BE83" s="3918">
        <f>SUM(YEARLY!AS51:AS64)</f>
        <v/>
      </c>
      <c r="BF83" s="3918">
        <f>SUM(YEARLY!AT51:AT64)</f>
        <v/>
      </c>
      <c r="BG83" s="3918">
        <f>SUM(YEARLY!AU51:AU64)</f>
        <v/>
      </c>
      <c r="BH83" s="3918">
        <f>SUM(YEARLY!AV51:AV64)</f>
        <v/>
      </c>
      <c r="BI83" s="3918">
        <f>SUM(YEARLY!AW51:AW64)</f>
        <v/>
      </c>
      <c r="BJ83" s="3918">
        <f>SUM(YEARLY!AX51:AX64)</f>
        <v/>
      </c>
      <c r="BK83" s="3918">
        <f>SUM(YEARLY!AY51:AY64)</f>
        <v/>
      </c>
      <c r="BL83" s="3918">
        <f>SUM(YEARLY!AZ51:AZ64)</f>
        <v/>
      </c>
      <c r="BM83" s="3918">
        <f>SUM(YEARLY!BA51:BA64)</f>
        <v/>
      </c>
      <c r="BN83" s="3918">
        <f>SUM(YEARLY!BB51:BB64)</f>
        <v/>
      </c>
      <c r="BO83" s="3918">
        <f>SUM(YEARLY!BC51:BC64)</f>
        <v/>
      </c>
      <c r="BP83" s="3918">
        <f>SUM(YEARLY!BD51:BD64)</f>
        <v/>
      </c>
      <c r="BQ83" s="3918">
        <f>SUM(YEARLY!BE51:BE64)</f>
        <v/>
      </c>
      <c r="BR83" s="3918">
        <f>SUM(YEARLY!BF51:BF64)</f>
        <v/>
      </c>
      <c r="BS83" s="3918">
        <f>SUM(YEARLY!BG51:BG64)</f>
        <v/>
      </c>
      <c r="BT83" s="3918">
        <f>SUM(YEARLY!BH51:BH64)</f>
        <v/>
      </c>
      <c r="BU83" s="3918">
        <f>SUM(YEARLY!BI51:BI64)</f>
        <v/>
      </c>
      <c r="BV83" s="3918">
        <f>SUM(YEARLY!BJ51:BJ64)</f>
        <v/>
      </c>
    </row>
    <row r="84" ht="17" customHeight="1">
      <c r="W84" s="4839" t="n"/>
      <c r="X84" s="3940">
        <f>C122</f>
        <v/>
      </c>
      <c r="Y84" s="3918">
        <f>SUM(YEARLY!M65:M78)</f>
        <v/>
      </c>
      <c r="Z84" s="3918">
        <f>SUM(YEARLY!N65:N78)</f>
        <v/>
      </c>
      <c r="AA84" s="3918">
        <f>SUM(YEARLY!O65:O78)</f>
        <v/>
      </c>
      <c r="AB84" s="3918">
        <f>SUM(YEARLY!P65:P78)</f>
        <v/>
      </c>
      <c r="AC84" s="3918">
        <f>SUM(YEARLY!Q65:Q78)</f>
        <v/>
      </c>
      <c r="AD84" s="3918">
        <f>SUM(YEARLY!R65:R78)</f>
        <v/>
      </c>
      <c r="AE84" s="3918">
        <f>SUM(YEARLY!S65:S78)</f>
        <v/>
      </c>
      <c r="AF84" s="3918">
        <f>SUM(YEARLY!T65:T78)</f>
        <v/>
      </c>
      <c r="AG84" s="3918">
        <f>SUM(YEARLY!U65:U78)</f>
        <v/>
      </c>
      <c r="AH84" s="3918">
        <f>SUM(YEARLY!V65:V78)</f>
        <v/>
      </c>
      <c r="AI84" s="3918">
        <f>SUM(YEARLY!W65:W78)</f>
        <v/>
      </c>
      <c r="AJ84" s="3918">
        <f>SUM(YEARLY!X65:X78)</f>
        <v/>
      </c>
      <c r="AK84" s="3918">
        <f>SUM(YEARLY!Y65:Y78)</f>
        <v/>
      </c>
      <c r="AL84" s="3918">
        <f>SUM(YEARLY!Z65:Z78)</f>
        <v/>
      </c>
      <c r="AM84" s="3918">
        <f>SUM(YEARLY!AA65:AA78)</f>
        <v/>
      </c>
      <c r="AN84" s="3918">
        <f>SUM(YEARLY!AB65:AB78)</f>
        <v/>
      </c>
      <c r="AO84" s="3918">
        <f>SUM(YEARLY!AC65:AC78)</f>
        <v/>
      </c>
      <c r="AP84" s="3918">
        <f>SUM(YEARLY!AD65:AD78)</f>
        <v/>
      </c>
      <c r="AQ84" s="3918">
        <f>SUM(YEARLY!AE65:AE78)</f>
        <v/>
      </c>
      <c r="AR84" s="3918">
        <f>SUM(YEARLY!AF65:AF78)</f>
        <v/>
      </c>
      <c r="AS84" s="3918">
        <f>SUM(YEARLY!AG65:AG78)</f>
        <v/>
      </c>
      <c r="AT84" s="3918">
        <f>SUM(YEARLY!AH65:AH78)</f>
        <v/>
      </c>
      <c r="AU84" s="3918">
        <f>SUM(YEARLY!AI65:AI78)</f>
        <v/>
      </c>
      <c r="AV84" s="3918">
        <f>SUM(YEARLY!AJ65:AJ78)</f>
        <v/>
      </c>
      <c r="AW84" s="3918">
        <f>SUM(YEARLY!AK65:AK78)</f>
        <v/>
      </c>
      <c r="AX84" s="3918">
        <f>SUM(YEARLY!AL65:AL78)</f>
        <v/>
      </c>
      <c r="AY84" s="3918">
        <f>SUM(YEARLY!AM65:AM78)</f>
        <v/>
      </c>
      <c r="AZ84" s="3918">
        <f>SUM(YEARLY!AN65:AN78)</f>
        <v/>
      </c>
      <c r="BA84" s="3918">
        <f>SUM(YEARLY!AO65:AO78)</f>
        <v/>
      </c>
      <c r="BB84" s="3918">
        <f>SUM(YEARLY!AP65:AP78)</f>
        <v/>
      </c>
      <c r="BC84" s="3918">
        <f>SUM(YEARLY!AQ65:AQ78)</f>
        <v/>
      </c>
      <c r="BD84" s="3918">
        <f>SUM(YEARLY!AR65:AR78)</f>
        <v/>
      </c>
      <c r="BE84" s="3918">
        <f>SUM(YEARLY!AS65:AS78)</f>
        <v/>
      </c>
      <c r="BF84" s="3918">
        <f>SUM(YEARLY!AT65:AT78)</f>
        <v/>
      </c>
      <c r="BG84" s="3918">
        <f>SUM(YEARLY!AU65:AU78)</f>
        <v/>
      </c>
      <c r="BH84" s="3918">
        <f>SUM(YEARLY!AV65:AV78)</f>
        <v/>
      </c>
      <c r="BI84" s="3918">
        <f>SUM(YEARLY!AW65:AW78)</f>
        <v/>
      </c>
      <c r="BJ84" s="3918">
        <f>SUM(YEARLY!AX65:AX78)</f>
        <v/>
      </c>
      <c r="BK84" s="3918">
        <f>SUM(YEARLY!AY65:AY78)</f>
        <v/>
      </c>
      <c r="BL84" s="3918">
        <f>SUM(YEARLY!AZ65:AZ78)</f>
        <v/>
      </c>
      <c r="BM84" s="3918">
        <f>SUM(YEARLY!BA65:BA78)</f>
        <v/>
      </c>
      <c r="BN84" s="3918">
        <f>SUM(YEARLY!BB65:BB78)</f>
        <v/>
      </c>
      <c r="BO84" s="3918">
        <f>SUM(YEARLY!BC65:BC78)</f>
        <v/>
      </c>
      <c r="BP84" s="3918">
        <f>SUM(YEARLY!BD65:BD78)</f>
        <v/>
      </c>
      <c r="BQ84" s="3918">
        <f>SUM(YEARLY!BE65:BE78)</f>
        <v/>
      </c>
      <c r="BR84" s="3918">
        <f>SUM(YEARLY!BF65:BF78)</f>
        <v/>
      </c>
      <c r="BS84" s="3918">
        <f>SUM(YEARLY!BG65:BG78)</f>
        <v/>
      </c>
      <c r="BT84" s="3918">
        <f>SUM(YEARLY!BH65:BH78)</f>
        <v/>
      </c>
      <c r="BU84" s="3918">
        <f>SUM(YEARLY!BI65:BI78)</f>
        <v/>
      </c>
      <c r="BV84" s="3918">
        <f>SUM(YEARLY!BJ65:BJ78)</f>
        <v/>
      </c>
    </row>
    <row r="85" ht="17" customHeight="1">
      <c r="W85" s="4631">
        <f>B123</f>
        <v/>
      </c>
      <c r="X85" s="3940">
        <f>C123</f>
        <v/>
      </c>
      <c r="Y85" s="3918">
        <f>SUM(YEARLY!M79:M92)</f>
        <v/>
      </c>
      <c r="Z85" s="3918">
        <f>SUM(YEARLY!N79:N92)</f>
        <v/>
      </c>
      <c r="AA85" s="3918">
        <f>SUM(YEARLY!O79:O92)</f>
        <v/>
      </c>
      <c r="AB85" s="3918">
        <f>SUM(YEARLY!P79:P92)</f>
        <v/>
      </c>
      <c r="AC85" s="3918">
        <f>SUM(YEARLY!Q79:Q92)</f>
        <v/>
      </c>
      <c r="AD85" s="3918">
        <f>SUM(YEARLY!R79:R92)</f>
        <v/>
      </c>
      <c r="AE85" s="3918">
        <f>SUM(YEARLY!S79:S92)</f>
        <v/>
      </c>
      <c r="AF85" s="3918">
        <f>SUM(YEARLY!T79:T92)</f>
        <v/>
      </c>
      <c r="AG85" s="3918">
        <f>SUM(YEARLY!U79:U92)</f>
        <v/>
      </c>
      <c r="AH85" s="3918">
        <f>SUM(YEARLY!V79:V92)</f>
        <v/>
      </c>
      <c r="AI85" s="3918">
        <f>SUM(YEARLY!W79:W92)</f>
        <v/>
      </c>
      <c r="AJ85" s="3918">
        <f>SUM(YEARLY!X79:X92)</f>
        <v/>
      </c>
      <c r="AK85" s="3918">
        <f>SUM(YEARLY!Y79:Y92)</f>
        <v/>
      </c>
      <c r="AL85" s="3918">
        <f>SUM(YEARLY!Z79:Z92)</f>
        <v/>
      </c>
      <c r="AM85" s="3918">
        <f>SUM(YEARLY!AA79:AA92)</f>
        <v/>
      </c>
      <c r="AN85" s="3918">
        <f>SUM(YEARLY!AB79:AB92)</f>
        <v/>
      </c>
      <c r="AO85" s="3918">
        <f>SUM(YEARLY!AC79:AC92)</f>
        <v/>
      </c>
      <c r="AP85" s="3918">
        <f>SUM(YEARLY!AD79:AD92)</f>
        <v/>
      </c>
      <c r="AQ85" s="3918">
        <f>SUM(YEARLY!AE79:AE92)</f>
        <v/>
      </c>
      <c r="AR85" s="3918">
        <f>SUM(YEARLY!AF79:AF92)</f>
        <v/>
      </c>
      <c r="AS85" s="3918">
        <f>SUM(YEARLY!AG79:AG92)</f>
        <v/>
      </c>
      <c r="AT85" s="3918">
        <f>SUM(YEARLY!AH79:AH92)</f>
        <v/>
      </c>
      <c r="AU85" s="3918">
        <f>SUM(YEARLY!AI79:AI92)</f>
        <v/>
      </c>
      <c r="AV85" s="3918">
        <f>SUM(YEARLY!AJ79:AJ92)</f>
        <v/>
      </c>
      <c r="AW85" s="3918">
        <f>SUM(YEARLY!AK79:AK92)</f>
        <v/>
      </c>
      <c r="AX85" s="3918">
        <f>SUM(YEARLY!AL79:AL92)</f>
        <v/>
      </c>
      <c r="AY85" s="3918">
        <f>SUM(YEARLY!AM79:AM92)</f>
        <v/>
      </c>
      <c r="AZ85" s="3918">
        <f>SUM(YEARLY!AN79:AN92)</f>
        <v/>
      </c>
      <c r="BA85" s="3918">
        <f>SUM(YEARLY!AO79:AO92)</f>
        <v/>
      </c>
      <c r="BB85" s="3918">
        <f>SUM(YEARLY!AP79:AP92)</f>
        <v/>
      </c>
      <c r="BC85" s="3918">
        <f>SUM(YEARLY!AQ79:AQ92)</f>
        <v/>
      </c>
      <c r="BD85" s="3918">
        <f>SUM(YEARLY!AR79:AR92)</f>
        <v/>
      </c>
      <c r="BE85" s="3918">
        <f>SUM(YEARLY!AS79:AS92)</f>
        <v/>
      </c>
      <c r="BF85" s="3918">
        <f>SUM(YEARLY!AT79:AT92)</f>
        <v/>
      </c>
      <c r="BG85" s="3918">
        <f>SUM(YEARLY!AU79:AU92)</f>
        <v/>
      </c>
      <c r="BH85" s="3918">
        <f>SUM(YEARLY!AV79:AV92)</f>
        <v/>
      </c>
      <c r="BI85" s="3918">
        <f>SUM(YEARLY!AW79:AW92)</f>
        <v/>
      </c>
      <c r="BJ85" s="3918">
        <f>SUM(YEARLY!AX79:AX92)</f>
        <v/>
      </c>
      <c r="BK85" s="3918">
        <f>SUM(YEARLY!AY79:AY92)</f>
        <v/>
      </c>
      <c r="BL85" s="3918">
        <f>SUM(YEARLY!AZ79:AZ92)</f>
        <v/>
      </c>
      <c r="BM85" s="3918">
        <f>SUM(YEARLY!BA79:BA92)</f>
        <v/>
      </c>
      <c r="BN85" s="3918">
        <f>SUM(YEARLY!BB79:BB92)</f>
        <v/>
      </c>
      <c r="BO85" s="3918">
        <f>SUM(YEARLY!BC79:BC92)</f>
        <v/>
      </c>
      <c r="BP85" s="3918">
        <f>SUM(YEARLY!BD79:BD92)</f>
        <v/>
      </c>
      <c r="BQ85" s="3918">
        <f>SUM(YEARLY!BE79:BE92)</f>
        <v/>
      </c>
      <c r="BR85" s="3918">
        <f>SUM(YEARLY!BF79:BF92)</f>
        <v/>
      </c>
      <c r="BS85" s="3918">
        <f>SUM(YEARLY!BG79:BG92)</f>
        <v/>
      </c>
      <c r="BT85" s="3918">
        <f>SUM(YEARLY!BH79:BH92)</f>
        <v/>
      </c>
      <c r="BU85" s="3918">
        <f>SUM(YEARLY!BI79:BI92)</f>
        <v/>
      </c>
      <c r="BV85" s="3918">
        <f>SUM(YEARLY!BJ79:BJ92)</f>
        <v/>
      </c>
    </row>
    <row r="86" ht="17" customHeight="1">
      <c r="W86" s="4839" t="n"/>
      <c r="X86" s="3940">
        <f>C124</f>
        <v/>
      </c>
      <c r="Y86" s="3918">
        <f>SUM(YEARLY!M93:M109)</f>
        <v/>
      </c>
      <c r="Z86" s="3918">
        <f>SUM(YEARLY!N93:N109)</f>
        <v/>
      </c>
      <c r="AA86" s="3918">
        <f>SUM(YEARLY!O93:O109)</f>
        <v/>
      </c>
      <c r="AB86" s="3918">
        <f>SUM(YEARLY!P93:P109)</f>
        <v/>
      </c>
      <c r="AC86" s="3918">
        <f>SUM(YEARLY!Q93:Q109)</f>
        <v/>
      </c>
      <c r="AD86" s="3918">
        <f>SUM(YEARLY!R93:R109)</f>
        <v/>
      </c>
      <c r="AE86" s="3918">
        <f>SUM(YEARLY!S93:S109)</f>
        <v/>
      </c>
      <c r="AF86" s="3918">
        <f>SUM(YEARLY!T93:T109)</f>
        <v/>
      </c>
      <c r="AG86" s="3918">
        <f>SUM(YEARLY!U93:U109)</f>
        <v/>
      </c>
      <c r="AH86" s="3918">
        <f>SUM(YEARLY!V93:V109)</f>
        <v/>
      </c>
      <c r="AI86" s="3918">
        <f>SUM(YEARLY!W93:W109)</f>
        <v/>
      </c>
      <c r="AJ86" s="3918">
        <f>SUM(YEARLY!X93:X109)</f>
        <v/>
      </c>
      <c r="AK86" s="3918">
        <f>SUM(YEARLY!Y93:Y109)</f>
        <v/>
      </c>
      <c r="AL86" s="3918">
        <f>SUM(YEARLY!Z93:Z109)</f>
        <v/>
      </c>
      <c r="AM86" s="3918">
        <f>SUM(YEARLY!AA93:AA109)</f>
        <v/>
      </c>
      <c r="AN86" s="3918">
        <f>SUM(YEARLY!AB93:AB109)</f>
        <v/>
      </c>
      <c r="AO86" s="3918">
        <f>SUM(YEARLY!AC93:AC109)</f>
        <v/>
      </c>
      <c r="AP86" s="3918">
        <f>SUM(YEARLY!AD93:AD109)</f>
        <v/>
      </c>
      <c r="AQ86" s="3918">
        <f>SUM(YEARLY!AE93:AE109)</f>
        <v/>
      </c>
      <c r="AR86" s="3918">
        <f>SUM(YEARLY!AF93:AF109)</f>
        <v/>
      </c>
      <c r="AS86" s="3918">
        <f>SUM(YEARLY!AG93:AG109)</f>
        <v/>
      </c>
      <c r="AT86" s="3918">
        <f>SUM(YEARLY!AH93:AH109)</f>
        <v/>
      </c>
      <c r="AU86" s="3918">
        <f>SUM(YEARLY!AI93:AI109)</f>
        <v/>
      </c>
      <c r="AV86" s="3918">
        <f>SUM(YEARLY!AJ93:AJ109)</f>
        <v/>
      </c>
      <c r="AW86" s="3918">
        <f>SUM(YEARLY!AK93:AK109)</f>
        <v/>
      </c>
      <c r="AX86" s="3918">
        <f>SUM(YEARLY!AL93:AL109)</f>
        <v/>
      </c>
      <c r="AY86" s="3918">
        <f>SUM(YEARLY!AM93:AM109)</f>
        <v/>
      </c>
      <c r="AZ86" s="3918">
        <f>SUM(YEARLY!AN93:AN109)</f>
        <v/>
      </c>
      <c r="BA86" s="3918">
        <f>SUM(YEARLY!AO93:AO109)</f>
        <v/>
      </c>
      <c r="BB86" s="3918">
        <f>SUM(YEARLY!AP93:AP109)</f>
        <v/>
      </c>
      <c r="BC86" s="3918">
        <f>SUM(YEARLY!AQ93:AQ109)</f>
        <v/>
      </c>
      <c r="BD86" s="3918">
        <f>SUM(YEARLY!AR93:AR109)</f>
        <v/>
      </c>
      <c r="BE86" s="3918">
        <f>SUM(YEARLY!AS93:AS109)</f>
        <v/>
      </c>
      <c r="BF86" s="3918">
        <f>SUM(YEARLY!AT93:AT109)</f>
        <v/>
      </c>
      <c r="BG86" s="3918">
        <f>SUM(YEARLY!AU93:AU109)</f>
        <v/>
      </c>
      <c r="BH86" s="3918">
        <f>SUM(YEARLY!AV93:AV109)</f>
        <v/>
      </c>
      <c r="BI86" s="3918">
        <f>SUM(YEARLY!AW93:AW109)</f>
        <v/>
      </c>
      <c r="BJ86" s="3918">
        <f>SUM(YEARLY!AX93:AX109)</f>
        <v/>
      </c>
      <c r="BK86" s="3918">
        <f>SUM(YEARLY!AY93:AY109)</f>
        <v/>
      </c>
      <c r="BL86" s="3918">
        <f>SUM(YEARLY!AZ93:AZ109)</f>
        <v/>
      </c>
      <c r="BM86" s="3918">
        <f>SUM(YEARLY!BA93:BA109)</f>
        <v/>
      </c>
      <c r="BN86" s="3918">
        <f>SUM(YEARLY!BB93:BB109)</f>
        <v/>
      </c>
      <c r="BO86" s="3918">
        <f>SUM(YEARLY!BC93:BC109)</f>
        <v/>
      </c>
      <c r="BP86" s="3918">
        <f>SUM(YEARLY!BD93:BD109)</f>
        <v/>
      </c>
      <c r="BQ86" s="3918">
        <f>SUM(YEARLY!BE93:BE109)</f>
        <v/>
      </c>
      <c r="BR86" s="3918">
        <f>SUM(YEARLY!BF93:BF109)</f>
        <v/>
      </c>
      <c r="BS86" s="3918">
        <f>SUM(YEARLY!BG93:BG109)</f>
        <v/>
      </c>
      <c r="BT86" s="3918">
        <f>SUM(YEARLY!BH93:BH109)</f>
        <v/>
      </c>
      <c r="BU86" s="3918">
        <f>SUM(YEARLY!BI93:BI109)</f>
        <v/>
      </c>
      <c r="BV86" s="3918">
        <f>SUM(YEARLY!BJ93:BJ109)</f>
        <v/>
      </c>
    </row>
    <row r="87" ht="17" customHeight="1">
      <c r="W87" s="3944" t="n"/>
      <c r="X87" s="3940">
        <f>C125</f>
        <v/>
      </c>
      <c r="Y87" s="3918">
        <f>SUM(YEARLY!M110:M117)</f>
        <v/>
      </c>
      <c r="Z87" s="3918">
        <f>SUM(YEARLY!N110:N117)</f>
        <v/>
      </c>
      <c r="AA87" s="3918">
        <f>SUM(YEARLY!O110:O117)</f>
        <v/>
      </c>
      <c r="AB87" s="3918">
        <f>SUM(YEARLY!P110:P117)</f>
        <v/>
      </c>
      <c r="AC87" s="3918">
        <f>SUM(YEARLY!Q110:Q117)</f>
        <v/>
      </c>
      <c r="AD87" s="3918">
        <f>SUM(YEARLY!R110:R117)</f>
        <v/>
      </c>
      <c r="AE87" s="3918">
        <f>SUM(YEARLY!S110:S117)</f>
        <v/>
      </c>
      <c r="AF87" s="3918">
        <f>SUM(YEARLY!T110:T117)</f>
        <v/>
      </c>
      <c r="AG87" s="3918">
        <f>SUM(YEARLY!U110:U117)</f>
        <v/>
      </c>
      <c r="AH87" s="3918">
        <f>SUM(YEARLY!V110:V117)</f>
        <v/>
      </c>
      <c r="AI87" s="3918">
        <f>SUM(YEARLY!W110:W117)</f>
        <v/>
      </c>
      <c r="AJ87" s="3918">
        <f>SUM(YEARLY!X110:X117)</f>
        <v/>
      </c>
      <c r="AK87" s="3918">
        <f>SUM(YEARLY!Y110:Y117)</f>
        <v/>
      </c>
      <c r="AL87" s="3918">
        <f>SUM(YEARLY!Z110:Z117)</f>
        <v/>
      </c>
      <c r="AM87" s="3918">
        <f>SUM(YEARLY!AA110:AA117)</f>
        <v/>
      </c>
      <c r="AN87" s="3918">
        <f>SUM(YEARLY!AB110:AB117)</f>
        <v/>
      </c>
      <c r="AO87" s="3918">
        <f>SUM(YEARLY!AC110:AC117)</f>
        <v/>
      </c>
      <c r="AP87" s="3918">
        <f>SUM(YEARLY!AD110:AD117)</f>
        <v/>
      </c>
      <c r="AQ87" s="3918">
        <f>SUM(YEARLY!AE110:AE117)</f>
        <v/>
      </c>
      <c r="AR87" s="3918">
        <f>SUM(YEARLY!AF110:AF117)</f>
        <v/>
      </c>
      <c r="AS87" s="3918">
        <f>SUM(YEARLY!AG110:AG117)</f>
        <v/>
      </c>
      <c r="AT87" s="3918">
        <f>SUM(YEARLY!AH110:AH117)</f>
        <v/>
      </c>
      <c r="AU87" s="3918">
        <f>SUM(YEARLY!AI110:AI117)</f>
        <v/>
      </c>
      <c r="AV87" s="3918">
        <f>SUM(YEARLY!AJ110:AJ117)</f>
        <v/>
      </c>
      <c r="AW87" s="3918">
        <f>SUM(YEARLY!AK110:AK117)</f>
        <v/>
      </c>
      <c r="AX87" s="3918">
        <f>SUM(YEARLY!AL110:AL117)</f>
        <v/>
      </c>
      <c r="AY87" s="3918">
        <f>SUM(YEARLY!AM110:AM117)</f>
        <v/>
      </c>
      <c r="AZ87" s="3918">
        <f>SUM(YEARLY!AN110:AN117)</f>
        <v/>
      </c>
      <c r="BA87" s="3918">
        <f>SUM(YEARLY!AO110:AO117)</f>
        <v/>
      </c>
      <c r="BB87" s="3918">
        <f>SUM(YEARLY!AP110:AP117)</f>
        <v/>
      </c>
      <c r="BC87" s="3918">
        <f>SUM(YEARLY!AQ110:AQ117)</f>
        <v/>
      </c>
      <c r="BD87" s="3918">
        <f>SUM(YEARLY!AR110:AR117)</f>
        <v/>
      </c>
      <c r="BE87" s="3918">
        <f>SUM(YEARLY!AS110:AS117)</f>
        <v/>
      </c>
      <c r="BF87" s="3918">
        <f>SUM(YEARLY!AT110:AT117)</f>
        <v/>
      </c>
      <c r="BG87" s="3918">
        <f>SUM(YEARLY!AU110:AU117)</f>
        <v/>
      </c>
      <c r="BH87" s="3918">
        <f>SUM(YEARLY!AV110:AV117)</f>
        <v/>
      </c>
      <c r="BI87" s="3918">
        <f>SUM(YEARLY!AW110:AW117)</f>
        <v/>
      </c>
      <c r="BJ87" s="3918">
        <f>SUM(YEARLY!AX110:AX117)</f>
        <v/>
      </c>
      <c r="BK87" s="3918">
        <f>SUM(YEARLY!AY110:AY117)</f>
        <v/>
      </c>
      <c r="BL87" s="3918">
        <f>SUM(YEARLY!AZ110:AZ117)</f>
        <v/>
      </c>
      <c r="BM87" s="3918">
        <f>SUM(YEARLY!BA110:BA117)</f>
        <v/>
      </c>
      <c r="BN87" s="3918">
        <f>SUM(YEARLY!BB110:BB117)</f>
        <v/>
      </c>
      <c r="BO87" s="3918">
        <f>SUM(YEARLY!BC110:BC117)</f>
        <v/>
      </c>
      <c r="BP87" s="3918">
        <f>SUM(YEARLY!BD110:BD117)</f>
        <v/>
      </c>
      <c r="BQ87" s="3918">
        <f>SUM(YEARLY!BE110:BE117)</f>
        <v/>
      </c>
      <c r="BR87" s="3918">
        <f>SUM(YEARLY!BF110:BF117)</f>
        <v/>
      </c>
      <c r="BS87" s="3918">
        <f>SUM(YEARLY!BG110:BG117)</f>
        <v/>
      </c>
      <c r="BT87" s="3918">
        <f>SUM(YEARLY!BH110:BH117)</f>
        <v/>
      </c>
      <c r="BU87" s="3918">
        <f>SUM(YEARLY!BI110:BI117)</f>
        <v/>
      </c>
      <c r="BV87" s="3918">
        <f>SUM(YEARLY!BJ110:BJ117)</f>
        <v/>
      </c>
    </row>
    <row r="88" ht="17" customHeight="1">
      <c r="W88" s="3941" t="n"/>
      <c r="X88" s="3940">
        <f>C126</f>
        <v/>
      </c>
      <c r="Y88" s="3918">
        <f>SUM(YEARLY!M118:M159)</f>
        <v/>
      </c>
      <c r="Z88" s="3918">
        <f>SUM(YEARLY!N118:N159)</f>
        <v/>
      </c>
      <c r="AA88" s="3918">
        <f>SUM(YEARLY!O118:O159)</f>
        <v/>
      </c>
      <c r="AB88" s="3918">
        <f>SUM(YEARLY!P118:P159)</f>
        <v/>
      </c>
      <c r="AC88" s="3918">
        <f>SUM(YEARLY!Q118:Q159)</f>
        <v/>
      </c>
      <c r="AD88" s="3918">
        <f>SUM(YEARLY!R118:R159)</f>
        <v/>
      </c>
      <c r="AE88" s="3918">
        <f>SUM(YEARLY!S118:S159)</f>
        <v/>
      </c>
      <c r="AF88" s="3918">
        <f>SUM(YEARLY!T118:T159)</f>
        <v/>
      </c>
      <c r="AG88" s="3918">
        <f>SUM(YEARLY!U118:U159)</f>
        <v/>
      </c>
      <c r="AH88" s="3918">
        <f>SUM(YEARLY!V118:V159)</f>
        <v/>
      </c>
      <c r="AI88" s="3918">
        <f>SUM(YEARLY!W118:W159)</f>
        <v/>
      </c>
      <c r="AJ88" s="3918">
        <f>SUM(YEARLY!X118:X159)</f>
        <v/>
      </c>
      <c r="AK88" s="3918">
        <f>SUM(YEARLY!Y118:Y159)</f>
        <v/>
      </c>
      <c r="AL88" s="3918">
        <f>SUM(YEARLY!Z118:Z159)</f>
        <v/>
      </c>
      <c r="AM88" s="3918">
        <f>SUM(YEARLY!AA118:AA159)</f>
        <v/>
      </c>
      <c r="AN88" s="3918">
        <f>SUM(YEARLY!AB118:AB159)</f>
        <v/>
      </c>
      <c r="AO88" s="3918">
        <f>SUM(YEARLY!AC118:AC159)</f>
        <v/>
      </c>
      <c r="AP88" s="3918">
        <f>SUM(YEARLY!AD118:AD159)</f>
        <v/>
      </c>
      <c r="AQ88" s="3918">
        <f>SUM(YEARLY!AE118:AE159)</f>
        <v/>
      </c>
      <c r="AR88" s="3918">
        <f>SUM(YEARLY!AF118:AF159)</f>
        <v/>
      </c>
      <c r="AS88" s="3918">
        <f>SUM(YEARLY!AG118:AG159)</f>
        <v/>
      </c>
      <c r="AT88" s="3918">
        <f>SUM(YEARLY!AH118:AH159)</f>
        <v/>
      </c>
      <c r="AU88" s="3918">
        <f>SUM(YEARLY!AI118:AI159)</f>
        <v/>
      </c>
      <c r="AV88" s="3918">
        <f>SUM(YEARLY!AJ118:AJ159)</f>
        <v/>
      </c>
      <c r="AW88" s="3918">
        <f>SUM(YEARLY!AK118:AK159)</f>
        <v/>
      </c>
      <c r="AX88" s="3918">
        <f>SUM(YEARLY!AL118:AL159)</f>
        <v/>
      </c>
      <c r="AY88" s="3918">
        <f>SUM(YEARLY!AM118:AM159)</f>
        <v/>
      </c>
      <c r="AZ88" s="3918">
        <f>SUM(YEARLY!AN118:AN159)</f>
        <v/>
      </c>
      <c r="BA88" s="3918">
        <f>SUM(YEARLY!AO118:AO159)</f>
        <v/>
      </c>
      <c r="BB88" s="3918">
        <f>SUM(YEARLY!AP118:AP159)</f>
        <v/>
      </c>
      <c r="BC88" s="3918">
        <f>SUM(YEARLY!AQ118:AQ159)</f>
        <v/>
      </c>
      <c r="BD88" s="3918">
        <f>SUM(YEARLY!AR118:AR159)</f>
        <v/>
      </c>
      <c r="BE88" s="3918">
        <f>SUM(YEARLY!AS118:AS159)</f>
        <v/>
      </c>
      <c r="BF88" s="3918">
        <f>SUM(YEARLY!AT118:AT159)</f>
        <v/>
      </c>
      <c r="BG88" s="3918">
        <f>SUM(YEARLY!AU118:AU159)</f>
        <v/>
      </c>
      <c r="BH88" s="3918">
        <f>SUM(YEARLY!AV118:AV159)</f>
        <v/>
      </c>
      <c r="BI88" s="3918">
        <f>SUM(YEARLY!AW118:AW159)</f>
        <v/>
      </c>
      <c r="BJ88" s="3918">
        <f>SUM(YEARLY!AX118:AX159)</f>
        <v/>
      </c>
      <c r="BK88" s="3918">
        <f>SUM(YEARLY!AY118:AY159)</f>
        <v/>
      </c>
      <c r="BL88" s="3918">
        <f>SUM(YEARLY!AZ118:AZ159)</f>
        <v/>
      </c>
      <c r="BM88" s="3918">
        <f>SUM(YEARLY!BA118:BA159)</f>
        <v/>
      </c>
      <c r="BN88" s="3918">
        <f>SUM(YEARLY!BB118:BB159)</f>
        <v/>
      </c>
      <c r="BO88" s="3918">
        <f>SUM(YEARLY!BC118:BC159)</f>
        <v/>
      </c>
      <c r="BP88" s="3918">
        <f>SUM(YEARLY!BD118:BD159)</f>
        <v/>
      </c>
      <c r="BQ88" s="3918">
        <f>SUM(YEARLY!BE118:BE159)</f>
        <v/>
      </c>
      <c r="BR88" s="3918">
        <f>SUM(YEARLY!BF118:BF159)</f>
        <v/>
      </c>
      <c r="BS88" s="3918">
        <f>SUM(YEARLY!BG118:BG159)</f>
        <v/>
      </c>
      <c r="BT88" s="3918">
        <f>SUM(YEARLY!BH118:BH159)</f>
        <v/>
      </c>
      <c r="BU88" s="3918">
        <f>SUM(YEARLY!BI118:BI159)</f>
        <v/>
      </c>
      <c r="BV88" s="3918">
        <f>SUM(YEARLY!BJ118:BJ159)</f>
        <v/>
      </c>
    </row>
    <row r="89" ht="17" customHeight="1">
      <c r="W89" s="3944" t="n"/>
      <c r="X89" s="3940">
        <f>C127</f>
        <v/>
      </c>
      <c r="Y89" s="3918">
        <f>SUM(YEARLY!M160:M183)</f>
        <v/>
      </c>
      <c r="Z89" s="3918">
        <f>SUM(YEARLY!N160:N183)</f>
        <v/>
      </c>
      <c r="AA89" s="3918">
        <f>SUM(YEARLY!O160:O183)</f>
        <v/>
      </c>
      <c r="AB89" s="3918">
        <f>SUM(YEARLY!P160:P183)</f>
        <v/>
      </c>
      <c r="AC89" s="3918">
        <f>SUM(YEARLY!Q160:Q183)</f>
        <v/>
      </c>
      <c r="AD89" s="3918">
        <f>SUM(YEARLY!R160:R183)</f>
        <v/>
      </c>
      <c r="AE89" s="3918">
        <f>SUM(YEARLY!S160:S183)</f>
        <v/>
      </c>
      <c r="AF89" s="3918">
        <f>SUM(YEARLY!T160:T183)</f>
        <v/>
      </c>
      <c r="AG89" s="3918">
        <f>SUM(YEARLY!U160:U183)</f>
        <v/>
      </c>
      <c r="AH89" s="3918">
        <f>SUM(YEARLY!V160:V183)</f>
        <v/>
      </c>
      <c r="AI89" s="3918">
        <f>SUM(YEARLY!W160:W183)</f>
        <v/>
      </c>
      <c r="AJ89" s="3918">
        <f>SUM(YEARLY!X160:X183)</f>
        <v/>
      </c>
      <c r="AK89" s="3918">
        <f>SUM(YEARLY!Y160:Y183)</f>
        <v/>
      </c>
      <c r="AL89" s="3918">
        <f>SUM(YEARLY!Z160:Z183)</f>
        <v/>
      </c>
      <c r="AM89" s="3918">
        <f>SUM(YEARLY!AA160:AA183)</f>
        <v/>
      </c>
      <c r="AN89" s="3918">
        <f>SUM(YEARLY!AB160:AB183)</f>
        <v/>
      </c>
      <c r="AO89" s="3918">
        <f>SUM(YEARLY!AC160:AC183)</f>
        <v/>
      </c>
      <c r="AP89" s="3918">
        <f>SUM(YEARLY!AD160:AD183)</f>
        <v/>
      </c>
      <c r="AQ89" s="3918">
        <f>SUM(YEARLY!AE160:AE183)</f>
        <v/>
      </c>
      <c r="AR89" s="3918">
        <f>SUM(YEARLY!AF160:AF183)</f>
        <v/>
      </c>
      <c r="AS89" s="3918">
        <f>SUM(YEARLY!AG160:AG183)</f>
        <v/>
      </c>
      <c r="AT89" s="3918">
        <f>SUM(YEARLY!AH160:AH183)</f>
        <v/>
      </c>
      <c r="AU89" s="3918">
        <f>SUM(YEARLY!AI160:AI183)</f>
        <v/>
      </c>
      <c r="AV89" s="3918">
        <f>SUM(YEARLY!AJ160:AJ183)</f>
        <v/>
      </c>
      <c r="AW89" s="3918">
        <f>SUM(YEARLY!AK160:AK183)</f>
        <v/>
      </c>
      <c r="AX89" s="3918">
        <f>SUM(YEARLY!AL160:AL183)</f>
        <v/>
      </c>
      <c r="AY89" s="3918">
        <f>SUM(YEARLY!AM160:AM183)</f>
        <v/>
      </c>
      <c r="AZ89" s="3918">
        <f>SUM(YEARLY!AN160:AN183)</f>
        <v/>
      </c>
      <c r="BA89" s="3918">
        <f>SUM(YEARLY!AO160:AO183)</f>
        <v/>
      </c>
      <c r="BB89" s="3918">
        <f>SUM(YEARLY!AP160:AP183)</f>
        <v/>
      </c>
      <c r="BC89" s="3918">
        <f>SUM(YEARLY!AQ160:AQ183)</f>
        <v/>
      </c>
      <c r="BD89" s="3918">
        <f>SUM(YEARLY!AR160:AR183)</f>
        <v/>
      </c>
      <c r="BE89" s="3918">
        <f>SUM(YEARLY!AS160:AS183)</f>
        <v/>
      </c>
      <c r="BF89" s="3918">
        <f>SUM(YEARLY!AT160:AT183)</f>
        <v/>
      </c>
      <c r="BG89" s="3918">
        <f>SUM(YEARLY!AU160:AU183)</f>
        <v/>
      </c>
      <c r="BH89" s="3918">
        <f>SUM(YEARLY!AV160:AV183)</f>
        <v/>
      </c>
      <c r="BI89" s="3918">
        <f>SUM(YEARLY!AW160:AW183)</f>
        <v/>
      </c>
      <c r="BJ89" s="3918">
        <f>SUM(YEARLY!AX160:AX183)</f>
        <v/>
      </c>
      <c r="BK89" s="3918">
        <f>SUM(YEARLY!AY160:AY183)</f>
        <v/>
      </c>
      <c r="BL89" s="3918">
        <f>SUM(YEARLY!AZ160:AZ183)</f>
        <v/>
      </c>
      <c r="BM89" s="3918">
        <f>SUM(YEARLY!BA160:BA183)</f>
        <v/>
      </c>
      <c r="BN89" s="3918">
        <f>SUM(YEARLY!BB160:BB183)</f>
        <v/>
      </c>
      <c r="BO89" s="3918">
        <f>SUM(YEARLY!BC160:BC183)</f>
        <v/>
      </c>
      <c r="BP89" s="3918">
        <f>SUM(YEARLY!BD160:BD183)</f>
        <v/>
      </c>
      <c r="BQ89" s="3918">
        <f>SUM(YEARLY!BE160:BE183)</f>
        <v/>
      </c>
      <c r="BR89" s="3918">
        <f>SUM(YEARLY!BF160:BF183)</f>
        <v/>
      </c>
      <c r="BS89" s="3918">
        <f>SUM(YEARLY!BG160:BG183)</f>
        <v/>
      </c>
      <c r="BT89" s="3918">
        <f>SUM(YEARLY!BH160:BH183)</f>
        <v/>
      </c>
      <c r="BU89" s="3918">
        <f>SUM(YEARLY!BI160:BI183)</f>
        <v/>
      </c>
      <c r="BV89" s="3918">
        <f>SUM(YEARLY!BJ160:BJ183)</f>
        <v/>
      </c>
    </row>
    <row r="90" ht="17" customHeight="1">
      <c r="W90" s="3944" t="n"/>
      <c r="X90" s="3940">
        <f>C128</f>
        <v/>
      </c>
      <c r="Y90" s="3918">
        <f>SUM(YEARLY!M184:M201)</f>
        <v/>
      </c>
      <c r="Z90" s="3918">
        <f>SUM(YEARLY!N184:N201)</f>
        <v/>
      </c>
      <c r="AA90" s="3918">
        <f>SUM(YEARLY!O184:O201)</f>
        <v/>
      </c>
      <c r="AB90" s="3918">
        <f>SUM(YEARLY!P184:P201)</f>
        <v/>
      </c>
      <c r="AC90" s="3918">
        <f>SUM(YEARLY!Q184:Q201)</f>
        <v/>
      </c>
      <c r="AD90" s="3918">
        <f>SUM(YEARLY!R184:R201)</f>
        <v/>
      </c>
      <c r="AE90" s="3918">
        <f>SUM(YEARLY!S184:S201)</f>
        <v/>
      </c>
      <c r="AF90" s="3918">
        <f>SUM(YEARLY!T184:T201)</f>
        <v/>
      </c>
      <c r="AG90" s="3918">
        <f>SUM(YEARLY!U184:U201)</f>
        <v/>
      </c>
      <c r="AH90" s="3918">
        <f>SUM(YEARLY!V184:V201)</f>
        <v/>
      </c>
      <c r="AI90" s="3918">
        <f>SUM(YEARLY!W184:W201)</f>
        <v/>
      </c>
      <c r="AJ90" s="3918">
        <f>SUM(YEARLY!X184:X201)</f>
        <v/>
      </c>
      <c r="AK90" s="3918">
        <f>SUM(YEARLY!Y184:Y201)</f>
        <v/>
      </c>
      <c r="AL90" s="3918">
        <f>SUM(YEARLY!Z184:Z201)</f>
        <v/>
      </c>
      <c r="AM90" s="3918">
        <f>SUM(YEARLY!AA184:AA201)</f>
        <v/>
      </c>
      <c r="AN90" s="3918">
        <f>SUM(YEARLY!AB184:AB201)</f>
        <v/>
      </c>
      <c r="AO90" s="3918">
        <f>SUM(YEARLY!AC184:AC201)</f>
        <v/>
      </c>
      <c r="AP90" s="3918">
        <f>SUM(YEARLY!AD184:AD201)</f>
        <v/>
      </c>
      <c r="AQ90" s="3918">
        <f>SUM(YEARLY!AE184:AE201)</f>
        <v/>
      </c>
      <c r="AR90" s="3918">
        <f>SUM(YEARLY!AF184:AF201)</f>
        <v/>
      </c>
      <c r="AS90" s="3918">
        <f>SUM(YEARLY!AG184:AG201)</f>
        <v/>
      </c>
      <c r="AT90" s="3918">
        <f>SUM(YEARLY!AH184:AH201)</f>
        <v/>
      </c>
      <c r="AU90" s="3918">
        <f>SUM(YEARLY!AI184:AI201)</f>
        <v/>
      </c>
      <c r="AV90" s="3918">
        <f>SUM(YEARLY!AJ184:AJ201)</f>
        <v/>
      </c>
      <c r="AW90" s="3918">
        <f>SUM(YEARLY!AK184:AK201)</f>
        <v/>
      </c>
      <c r="AX90" s="3918">
        <f>SUM(YEARLY!AL184:AL201)</f>
        <v/>
      </c>
      <c r="AY90" s="3918">
        <f>SUM(YEARLY!AM184:AM201)</f>
        <v/>
      </c>
      <c r="AZ90" s="3918">
        <f>SUM(YEARLY!AN184:AN201)</f>
        <v/>
      </c>
      <c r="BA90" s="3918">
        <f>SUM(YEARLY!AO184:AO201)</f>
        <v/>
      </c>
      <c r="BB90" s="3918">
        <f>SUM(YEARLY!AP184:AP201)</f>
        <v/>
      </c>
      <c r="BC90" s="3918">
        <f>SUM(YEARLY!AQ184:AQ201)</f>
        <v/>
      </c>
      <c r="BD90" s="3918">
        <f>SUM(YEARLY!AR184:AR201)</f>
        <v/>
      </c>
      <c r="BE90" s="3918">
        <f>SUM(YEARLY!AS184:AS201)</f>
        <v/>
      </c>
      <c r="BF90" s="3918">
        <f>SUM(YEARLY!AT184:AT201)</f>
        <v/>
      </c>
      <c r="BG90" s="3918">
        <f>SUM(YEARLY!AU184:AU201)</f>
        <v/>
      </c>
      <c r="BH90" s="3918">
        <f>SUM(YEARLY!AV184:AV201)</f>
        <v/>
      </c>
      <c r="BI90" s="3918">
        <f>SUM(YEARLY!AW184:AW201)</f>
        <v/>
      </c>
      <c r="BJ90" s="3918">
        <f>SUM(YEARLY!AX184:AX201)</f>
        <v/>
      </c>
      <c r="BK90" s="3918">
        <f>SUM(YEARLY!AY184:AY201)</f>
        <v/>
      </c>
      <c r="BL90" s="3918">
        <f>SUM(YEARLY!AZ184:AZ201)</f>
        <v/>
      </c>
      <c r="BM90" s="3918">
        <f>SUM(YEARLY!BA184:BA201)</f>
        <v/>
      </c>
      <c r="BN90" s="3918">
        <f>SUM(YEARLY!BB184:BB201)</f>
        <v/>
      </c>
      <c r="BO90" s="3918">
        <f>SUM(YEARLY!BC184:BC201)</f>
        <v/>
      </c>
      <c r="BP90" s="3918">
        <f>SUM(YEARLY!BD184:BD201)</f>
        <v/>
      </c>
      <c r="BQ90" s="3918">
        <f>SUM(YEARLY!BE184:BE201)</f>
        <v/>
      </c>
      <c r="BR90" s="3918">
        <f>SUM(YEARLY!BF184:BF201)</f>
        <v/>
      </c>
      <c r="BS90" s="3918">
        <f>SUM(YEARLY!BG184:BG201)</f>
        <v/>
      </c>
      <c r="BT90" s="3918">
        <f>SUM(YEARLY!BH184:BH201)</f>
        <v/>
      </c>
      <c r="BU90" s="3918">
        <f>SUM(YEARLY!BI184:BI201)</f>
        <v/>
      </c>
      <c r="BV90" s="3918">
        <f>SUM(YEARLY!BJ184:BJ201)</f>
        <v/>
      </c>
    </row>
    <row r="91" ht="17" customHeight="1">
      <c r="W91" s="3953" t="n"/>
      <c r="X91" s="3940">
        <f>C129</f>
        <v/>
      </c>
      <c r="Y91" s="3918">
        <f>SUM(YEARLY!M202:M247)</f>
        <v/>
      </c>
      <c r="Z91" s="3918">
        <f>SUM(YEARLY!N202:N247)</f>
        <v/>
      </c>
      <c r="AA91" s="3918">
        <f>SUM(YEARLY!O202:O247)</f>
        <v/>
      </c>
      <c r="AB91" s="3918">
        <f>SUM(YEARLY!P202:P247)</f>
        <v/>
      </c>
      <c r="AC91" s="3918">
        <f>SUM(YEARLY!Q202:Q247)</f>
        <v/>
      </c>
      <c r="AD91" s="3918">
        <f>SUM(YEARLY!R202:R247)</f>
        <v/>
      </c>
      <c r="AE91" s="3918">
        <f>SUM(YEARLY!S202:S247)</f>
        <v/>
      </c>
      <c r="AF91" s="3918">
        <f>SUM(YEARLY!T202:T247)</f>
        <v/>
      </c>
      <c r="AG91" s="3918">
        <f>SUM(YEARLY!U202:U247)</f>
        <v/>
      </c>
      <c r="AH91" s="3918">
        <f>SUM(YEARLY!V202:V247)</f>
        <v/>
      </c>
      <c r="AI91" s="3918">
        <f>SUM(YEARLY!W202:W247)</f>
        <v/>
      </c>
      <c r="AJ91" s="3918">
        <f>SUM(YEARLY!X202:X247)</f>
        <v/>
      </c>
      <c r="AK91" s="3918">
        <f>SUM(YEARLY!Y202:Y247)</f>
        <v/>
      </c>
      <c r="AL91" s="3918">
        <f>SUM(YEARLY!Z202:Z247)</f>
        <v/>
      </c>
      <c r="AM91" s="3918">
        <f>SUM(YEARLY!AA202:AA247)</f>
        <v/>
      </c>
      <c r="AN91" s="3918">
        <f>SUM(YEARLY!AB202:AB247)</f>
        <v/>
      </c>
      <c r="AO91" s="3918">
        <f>SUM(YEARLY!AC202:AC247)</f>
        <v/>
      </c>
      <c r="AP91" s="3918">
        <f>SUM(YEARLY!AD202:AD247)</f>
        <v/>
      </c>
      <c r="AQ91" s="3918">
        <f>SUM(YEARLY!AE202:AE247)</f>
        <v/>
      </c>
      <c r="AR91" s="3918">
        <f>SUM(YEARLY!AF202:AF247)</f>
        <v/>
      </c>
      <c r="AS91" s="3918">
        <f>SUM(YEARLY!AG202:AG247)</f>
        <v/>
      </c>
      <c r="AT91" s="3918">
        <f>SUM(YEARLY!AH202:AH247)</f>
        <v/>
      </c>
      <c r="AU91" s="3918">
        <f>SUM(YEARLY!AI202:AI247)</f>
        <v/>
      </c>
      <c r="AV91" s="3918">
        <f>SUM(YEARLY!AJ202:AJ247)</f>
        <v/>
      </c>
      <c r="AW91" s="3918">
        <f>SUM(YEARLY!AK202:AK247)</f>
        <v/>
      </c>
      <c r="AX91" s="3918">
        <f>SUM(YEARLY!AL202:AL247)</f>
        <v/>
      </c>
      <c r="AY91" s="3918">
        <f>SUM(YEARLY!AM202:AM247)</f>
        <v/>
      </c>
      <c r="AZ91" s="3918">
        <f>SUM(YEARLY!AN202:AN247)</f>
        <v/>
      </c>
      <c r="BA91" s="3918">
        <f>SUM(YEARLY!AO202:AO247)</f>
        <v/>
      </c>
      <c r="BB91" s="3918">
        <f>SUM(YEARLY!AP202:AP247)</f>
        <v/>
      </c>
      <c r="BC91" s="3918">
        <f>SUM(YEARLY!AQ202:AQ247)</f>
        <v/>
      </c>
      <c r="BD91" s="3918">
        <f>SUM(YEARLY!AR202:AR247)</f>
        <v/>
      </c>
      <c r="BE91" s="3918">
        <f>SUM(YEARLY!AS202:AS247)</f>
        <v/>
      </c>
      <c r="BF91" s="3918">
        <f>SUM(YEARLY!AT202:AT247)</f>
        <v/>
      </c>
      <c r="BG91" s="3918">
        <f>SUM(YEARLY!AU202:AU247)</f>
        <v/>
      </c>
      <c r="BH91" s="3918">
        <f>SUM(YEARLY!AV202:AV247)</f>
        <v/>
      </c>
      <c r="BI91" s="3918">
        <f>SUM(YEARLY!AW202:AW247)</f>
        <v/>
      </c>
      <c r="BJ91" s="3918">
        <f>SUM(YEARLY!AX202:AX247)</f>
        <v/>
      </c>
      <c r="BK91" s="3918">
        <f>SUM(YEARLY!AY202:AY247)</f>
        <v/>
      </c>
      <c r="BL91" s="3918">
        <f>SUM(YEARLY!AZ202:AZ247)</f>
        <v/>
      </c>
      <c r="BM91" s="3918">
        <f>SUM(YEARLY!BA202:BA247)</f>
        <v/>
      </c>
      <c r="BN91" s="3918">
        <f>SUM(YEARLY!BB202:BB247)</f>
        <v/>
      </c>
      <c r="BO91" s="3918">
        <f>SUM(YEARLY!BC202:BC247)</f>
        <v/>
      </c>
      <c r="BP91" s="3918">
        <f>SUM(YEARLY!BD202:BD247)</f>
        <v/>
      </c>
      <c r="BQ91" s="3918">
        <f>SUM(YEARLY!BE202:BE247)</f>
        <v/>
      </c>
      <c r="BR91" s="3918">
        <f>SUM(YEARLY!BF202:BF247)</f>
        <v/>
      </c>
      <c r="BS91" s="3918">
        <f>SUM(YEARLY!BG202:BG247)</f>
        <v/>
      </c>
      <c r="BT91" s="3918">
        <f>SUM(YEARLY!BH202:BH247)</f>
        <v/>
      </c>
      <c r="BU91" s="3918">
        <f>SUM(YEARLY!BI202:BI247)</f>
        <v/>
      </c>
      <c r="BV91" s="3918">
        <f>SUM(YEARLY!BJ202:BJ247)</f>
        <v/>
      </c>
    </row>
    <row r="94">
      <c r="W94" s="1771">
        <f>W74</f>
        <v/>
      </c>
    </row>
    <row r="98">
      <c r="E98" s="3979" t="n"/>
      <c r="F98" s="1898" t="n"/>
    </row>
    <row r="102" ht="57.75" customHeight="1">
      <c r="B102" s="4605">
        <f>Languages!B625</f>
        <v/>
      </c>
    </row>
    <row r="105">
      <c r="B105" s="3937" t="n"/>
      <c r="C105" s="3937" t="n"/>
      <c r="D105" s="3937" t="n"/>
      <c r="E105" s="3937" t="n"/>
      <c r="F105" s="3937" t="n"/>
      <c r="G105" s="3937" t="n"/>
      <c r="H105" s="3937" t="n"/>
      <c r="I105" s="3937" t="n"/>
      <c r="J105" s="3937" t="n"/>
      <c r="K105" s="3937" t="n"/>
      <c r="L105" s="3937" t="n"/>
      <c r="M105" s="3937" t="n"/>
      <c r="N105" s="3937" t="n"/>
      <c r="O105" s="3937" t="n"/>
      <c r="P105" s="3937" t="n"/>
      <c r="Q105" s="3561" t="n"/>
    </row>
    <row r="106" ht="17" customFormat="1" customHeight="1" s="1966">
      <c r="B106" s="3967">
        <f>'1.Description'!D10</f>
        <v/>
      </c>
      <c r="C106" s="3968">
        <f>IF('1.Description'!$G$10="","",'1.Description'!$G$10)</f>
        <v/>
      </c>
      <c r="D106" s="3581" t="n"/>
      <c r="E106" s="3969" t="n"/>
      <c r="F106" s="3969" t="n"/>
      <c r="G106" s="3969" t="n"/>
      <c r="H106" s="3969" t="n"/>
      <c r="I106" s="3969" t="n"/>
      <c r="J106" s="3969" t="n"/>
      <c r="K106" s="3969" t="n"/>
      <c r="L106" s="3970" t="n"/>
      <c r="M106" s="3969" t="n"/>
      <c r="N106" s="3969" t="n"/>
      <c r="O106" s="3969" t="n"/>
      <c r="P106" s="3938" t="n"/>
      <c r="Q106" s="3580" t="n"/>
      <c r="R106" s="2049" t="n"/>
      <c r="S106" s="2049" t="n"/>
      <c r="W106" s="1771" t="n"/>
      <c r="X106" s="1771" t="n"/>
      <c r="Y106" s="1771" t="n"/>
      <c r="Z106" s="1771" t="n"/>
      <c r="AA106" s="1771" t="n"/>
      <c r="AB106" s="1771" t="n"/>
      <c r="AC106" s="1771" t="n"/>
      <c r="AD106" s="1771" t="n"/>
      <c r="AE106" s="1771" t="n"/>
      <c r="AF106" s="1771" t="n"/>
      <c r="AG106" s="1771" t="n"/>
      <c r="AH106" s="1771" t="n"/>
      <c r="AI106" s="1771" t="n"/>
      <c r="AJ106" s="1771" t="n"/>
      <c r="AK106" s="1771" t="n"/>
      <c r="AL106" s="1771" t="n"/>
      <c r="AM106" s="1771" t="n"/>
      <c r="AN106" s="1771" t="n"/>
      <c r="AO106" s="1771" t="n"/>
      <c r="AP106" s="1771" t="n"/>
      <c r="AQ106" s="1771" t="n"/>
      <c r="AR106" s="1771" t="n"/>
      <c r="AS106" s="1771" t="n"/>
      <c r="AT106" s="1771" t="n"/>
      <c r="AU106" s="1771" t="n"/>
      <c r="AV106" s="1771" t="n"/>
      <c r="AW106" s="1771" t="n"/>
      <c r="AX106" s="1771" t="n"/>
      <c r="AY106" s="1771" t="n"/>
      <c r="AZ106" s="1771" t="n"/>
      <c r="BA106" s="1771" t="n"/>
      <c r="BB106" s="1771" t="n"/>
      <c r="BC106" s="1771" t="n"/>
      <c r="BD106" s="1771" t="n"/>
      <c r="BE106" s="1771" t="n"/>
      <c r="BF106" s="1771" t="n"/>
      <c r="BG106" s="1771" t="n"/>
      <c r="BH106" s="1771" t="n"/>
      <c r="BI106" s="1771" t="n"/>
      <c r="BJ106" s="1771" t="n"/>
      <c r="BK106" s="1771" t="n"/>
      <c r="BL106" s="1771" t="n"/>
      <c r="BM106" s="1771" t="n"/>
      <c r="BN106" s="1771" t="n"/>
      <c r="BO106" s="1771" t="n"/>
      <c r="BP106" s="1771" t="n"/>
      <c r="BQ106" s="1771" t="n"/>
      <c r="BR106" s="1771" t="n"/>
      <c r="BS106" s="1771" t="n"/>
      <c r="BT106" s="1771" t="n"/>
      <c r="BU106" s="1771" t="n"/>
      <c r="BV106" s="1771" t="n"/>
      <c r="BW106" s="1771" t="n"/>
      <c r="BX106" s="1771" t="n"/>
      <c r="BY106" s="1771" t="n"/>
      <c r="BZ106" s="1771" t="n"/>
      <c r="CA106" s="1771" t="n"/>
      <c r="CB106" s="1771" t="n"/>
      <c r="CC106" s="1771" t="n"/>
      <c r="CD106" s="1771" t="n"/>
      <c r="CE106" s="1771" t="n"/>
      <c r="CF106" s="1771" t="n"/>
      <c r="CG106" s="1771" t="n"/>
    </row>
    <row r="107" ht="17" customFormat="1" customHeight="1" s="1966">
      <c r="B107" s="3967">
        <f>'1.Description'!N8</f>
        <v/>
      </c>
      <c r="C107" s="3969">
        <f>continent</f>
        <v/>
      </c>
      <c r="D107" s="3581" t="n"/>
      <c r="E107" s="3970" t="n"/>
      <c r="F107" s="3971">
        <f>'1.Description'!N13</f>
        <v/>
      </c>
      <c r="G107" s="3971" t="n"/>
      <c r="H107" s="3972" t="n"/>
      <c r="I107" s="3970" t="n"/>
      <c r="J107" s="3973">
        <f>Languages!B632</f>
        <v/>
      </c>
      <c r="K107" s="3974">
        <f>BALANCE!S6</f>
        <v/>
      </c>
      <c r="L107" s="3970" t="n"/>
      <c r="M107" s="3970" t="n"/>
      <c r="N107" s="3971">
        <f>Languages!B631</f>
        <v/>
      </c>
      <c r="O107" s="3972" t="n"/>
      <c r="P107" s="3938" t="n"/>
      <c r="Q107" s="3581" t="n"/>
      <c r="W107" s="1771" t="n"/>
      <c r="X107" s="1771" t="n"/>
      <c r="Y107" s="1771" t="n"/>
      <c r="Z107" s="1771" t="n"/>
      <c r="AA107" s="1771" t="n"/>
      <c r="AB107" s="1771" t="n"/>
      <c r="AC107" s="1771" t="n"/>
      <c r="AD107" s="1771" t="n"/>
      <c r="AE107" s="1771" t="n"/>
      <c r="AF107" s="1771" t="n"/>
      <c r="AG107" s="1771" t="n"/>
      <c r="AH107" s="1771" t="n"/>
      <c r="AI107" s="1771" t="n"/>
      <c r="AJ107" s="1771" t="n"/>
      <c r="AK107" s="1771" t="n"/>
      <c r="AL107" s="1771" t="n"/>
      <c r="AM107" s="1771" t="n"/>
      <c r="AN107" s="1771" t="n"/>
      <c r="AO107" s="1771" t="n"/>
      <c r="AP107" s="1771" t="n"/>
      <c r="AQ107" s="1771" t="n"/>
      <c r="AR107" s="1771" t="n"/>
      <c r="AS107" s="1771" t="n"/>
      <c r="AT107" s="1771" t="n"/>
      <c r="AU107" s="1771" t="n"/>
      <c r="AV107" s="1771" t="n"/>
      <c r="AW107" s="1771" t="n"/>
      <c r="AX107" s="1771" t="n"/>
      <c r="AY107" s="1771" t="n"/>
      <c r="AZ107" s="1771" t="n"/>
      <c r="BA107" s="1771" t="n"/>
      <c r="BB107" s="1771" t="n"/>
      <c r="BC107" s="1771" t="n"/>
      <c r="BD107" s="1771" t="n"/>
      <c r="BE107" s="1771" t="n"/>
      <c r="BF107" s="1771" t="n"/>
      <c r="BG107" s="1771" t="n"/>
      <c r="BH107" s="1771" t="n"/>
      <c r="BI107" s="1771" t="n"/>
      <c r="BJ107" s="1771" t="n"/>
      <c r="BK107" s="1771" t="n"/>
      <c r="BL107" s="1771" t="n"/>
      <c r="BM107" s="1771" t="n"/>
      <c r="BN107" s="1771" t="n"/>
      <c r="BO107" s="1771" t="n"/>
      <c r="BP107" s="1771" t="n"/>
      <c r="BQ107" s="1771" t="n"/>
      <c r="BR107" s="1771" t="n"/>
      <c r="BS107" s="1771" t="n"/>
      <c r="BT107" s="1771" t="n"/>
      <c r="BU107" s="1771" t="n"/>
      <c r="BV107" s="1771" t="n"/>
      <c r="BW107" s="1771" t="n"/>
      <c r="BX107" s="1771" t="n"/>
      <c r="BY107" s="1771" t="n"/>
      <c r="BZ107" s="1771" t="n"/>
      <c r="CA107" s="1771" t="n"/>
      <c r="CB107" s="1771" t="n"/>
      <c r="CC107" s="1771" t="n"/>
      <c r="CD107" s="1771" t="n"/>
      <c r="CE107" s="1771" t="n"/>
      <c r="CF107" s="1771" t="n"/>
      <c r="CG107" s="1771" t="n"/>
    </row>
    <row r="108" ht="17" customFormat="1" customHeight="1" s="1966">
      <c r="B108" s="3967">
        <f>'1.Description'!N9</f>
        <v/>
      </c>
      <c r="C108" s="3969">
        <f>country_selected</f>
        <v/>
      </c>
      <c r="D108" s="3581" t="n"/>
      <c r="E108" s="3969" t="n"/>
      <c r="F108" s="3975">
        <f>'1.Description'!S13</f>
        <v/>
      </c>
      <c r="G108" s="3970" t="n"/>
      <c r="H108" s="3969">
        <f>time</f>
        <v/>
      </c>
      <c r="I108" s="3970" t="n"/>
      <c r="J108" s="3969">
        <f>Languages!B633</f>
        <v/>
      </c>
      <c r="K108" s="3976">
        <f>BALANCE!S3</f>
        <v/>
      </c>
      <c r="L108" s="3970" t="n"/>
      <c r="M108" s="3970" t="n"/>
      <c r="N108" s="3977" t="inlineStr">
        <is>
          <t>CO2</t>
        </is>
      </c>
      <c r="O108" s="3977" t="n">
        <v>1</v>
      </c>
      <c r="P108" s="3938" t="n"/>
      <c r="Q108" s="3581" t="n"/>
      <c r="W108" s="1771" t="n"/>
      <c r="X108" s="1771" t="n"/>
      <c r="Y108" s="1771" t="n"/>
      <c r="Z108" s="1771" t="n"/>
      <c r="AA108" s="1771" t="n"/>
      <c r="AB108" s="1771" t="n"/>
      <c r="AC108" s="1771" t="n"/>
      <c r="AD108" s="1771" t="n"/>
      <c r="AE108" s="1771" t="n"/>
      <c r="AF108" s="1771" t="n"/>
      <c r="AG108" s="1771" t="n"/>
      <c r="AH108" s="1771" t="n"/>
      <c r="AI108" s="1771" t="n"/>
      <c r="AJ108" s="1771" t="n"/>
      <c r="AK108" s="1771" t="n"/>
      <c r="AL108" s="1771" t="n"/>
      <c r="AM108" s="1771" t="n"/>
      <c r="AN108" s="1771" t="n"/>
      <c r="AO108" s="1771" t="n"/>
      <c r="AP108" s="1771" t="n"/>
      <c r="AQ108" s="1771" t="n"/>
      <c r="AR108" s="1771" t="n"/>
      <c r="AS108" s="1771" t="n"/>
      <c r="AT108" s="1771" t="n"/>
      <c r="AU108" s="1771" t="n"/>
      <c r="AV108" s="1771" t="n"/>
      <c r="AW108" s="1771" t="n"/>
      <c r="AX108" s="1771" t="n"/>
      <c r="AY108" s="1771" t="n"/>
      <c r="AZ108" s="1771" t="n"/>
      <c r="BA108" s="1771" t="n"/>
      <c r="BB108" s="1771" t="n"/>
      <c r="BC108" s="1771" t="n"/>
      <c r="BD108" s="1771" t="n"/>
      <c r="BE108" s="1771" t="n"/>
      <c r="BF108" s="1771" t="n"/>
      <c r="BG108" s="1771" t="n"/>
      <c r="BH108" s="1771" t="n"/>
      <c r="BI108" s="1771" t="n"/>
      <c r="BJ108" s="1771" t="n"/>
      <c r="BK108" s="1771" t="n"/>
      <c r="BL108" s="1771" t="n"/>
      <c r="BM108" s="1771" t="n"/>
      <c r="BN108" s="1771" t="n"/>
      <c r="BO108" s="1771" t="n"/>
      <c r="BP108" s="1771" t="n"/>
      <c r="BQ108" s="1771" t="n"/>
      <c r="BR108" s="1771" t="n"/>
      <c r="BS108" s="1771" t="n"/>
      <c r="BT108" s="1771" t="n"/>
      <c r="BU108" s="1771" t="n"/>
      <c r="BV108" s="1771" t="n"/>
      <c r="BW108" s="1771" t="n"/>
      <c r="BX108" s="1771" t="n"/>
      <c r="BY108" s="1771" t="n"/>
      <c r="BZ108" s="1771" t="n"/>
      <c r="CA108" s="1771" t="n"/>
      <c r="CB108" s="1771" t="n"/>
      <c r="CC108" s="1771" t="n"/>
      <c r="CD108" s="1771" t="n"/>
      <c r="CE108" s="1771" t="n"/>
      <c r="CF108" s="1771" t="n"/>
      <c r="CG108" s="1771" t="n"/>
    </row>
    <row r="109" ht="17" customFormat="1" customHeight="1" s="1966">
      <c r="B109" s="3967">
        <f>'1.Description'!N10</f>
        <v/>
      </c>
      <c r="C109" s="3969">
        <f>climate</f>
        <v/>
      </c>
      <c r="D109" s="3581" t="n"/>
      <c r="E109" s="3969" t="n"/>
      <c r="F109" s="3975">
        <f>'1.Description'!S14</f>
        <v/>
      </c>
      <c r="G109" s="3970" t="n"/>
      <c r="H109" s="3969">
        <f>time_cap</f>
        <v/>
      </c>
      <c r="I109" s="3970" t="n"/>
      <c r="J109" s="3969">
        <f>Languages!B634</f>
        <v/>
      </c>
      <c r="K109" s="3976">
        <f>BALANCE!S4</f>
        <v/>
      </c>
      <c r="L109" s="3970" t="n"/>
      <c r="M109" s="3970" t="n"/>
      <c r="N109" s="3977" t="inlineStr">
        <is>
          <t>CH4</t>
        </is>
      </c>
      <c r="O109" s="3977">
        <f>methane</f>
        <v/>
      </c>
      <c r="P109" s="3938" t="n"/>
      <c r="Q109" s="3581" t="n"/>
      <c r="W109" s="1771" t="n"/>
      <c r="X109" s="1771" t="n"/>
      <c r="Y109" s="1771" t="n"/>
      <c r="Z109" s="1771" t="n"/>
      <c r="AA109" s="1771" t="n"/>
      <c r="AB109" s="1771" t="n"/>
      <c r="AC109" s="1771" t="n"/>
      <c r="AD109" s="1771" t="n"/>
      <c r="AE109" s="1771" t="n"/>
      <c r="AF109" s="1771" t="n"/>
      <c r="AG109" s="1771" t="n"/>
      <c r="AH109" s="1771" t="n"/>
      <c r="AI109" s="1771" t="n"/>
      <c r="AJ109" s="1771" t="n"/>
      <c r="AK109" s="1771" t="n"/>
      <c r="AL109" s="1771" t="n"/>
      <c r="AM109" s="1771" t="n"/>
      <c r="AN109" s="1771" t="n"/>
      <c r="AO109" s="1771" t="n"/>
      <c r="AP109" s="1771" t="n"/>
      <c r="AQ109" s="1771" t="n"/>
      <c r="AR109" s="1771" t="n"/>
      <c r="AS109" s="1771" t="n"/>
      <c r="AT109" s="1771" t="n"/>
      <c r="AU109" s="1771" t="n"/>
      <c r="AV109" s="1771" t="n"/>
      <c r="AW109" s="1771" t="n"/>
      <c r="AX109" s="1771" t="n"/>
      <c r="AY109" s="1771" t="n"/>
      <c r="AZ109" s="1771" t="n"/>
      <c r="BA109" s="1771" t="n"/>
      <c r="BB109" s="1771" t="n"/>
      <c r="BC109" s="1771" t="n"/>
      <c r="BD109" s="1771" t="n"/>
      <c r="BE109" s="1771" t="n"/>
      <c r="BF109" s="1771" t="n"/>
      <c r="BG109" s="1771" t="n"/>
      <c r="BH109" s="1771" t="n"/>
      <c r="BI109" s="1771" t="n"/>
      <c r="BJ109" s="1771" t="n"/>
      <c r="BK109" s="1771" t="n"/>
      <c r="BL109" s="1771" t="n"/>
      <c r="BM109" s="1771" t="n"/>
      <c r="BN109" s="1771" t="n"/>
      <c r="BO109" s="1771" t="n"/>
      <c r="BP109" s="1771" t="n"/>
      <c r="BQ109" s="1771" t="n"/>
      <c r="BR109" s="1771" t="n"/>
      <c r="BS109" s="1771" t="n"/>
      <c r="BT109" s="1771" t="n"/>
      <c r="BU109" s="1771" t="n"/>
      <c r="BV109" s="1771" t="n"/>
      <c r="BW109" s="1771" t="n"/>
      <c r="BX109" s="1771" t="n"/>
      <c r="BY109" s="1771" t="n"/>
      <c r="BZ109" s="1771" t="n"/>
      <c r="CA109" s="1771" t="n"/>
      <c r="CB109" s="1771" t="n"/>
      <c r="CC109" s="1771" t="n"/>
      <c r="CD109" s="1771" t="n"/>
      <c r="CE109" s="1771" t="n"/>
      <c r="CF109" s="1771" t="n"/>
      <c r="CG109" s="1771" t="n"/>
    </row>
    <row r="110" ht="17" customFormat="1" customHeight="1" s="1966">
      <c r="B110" s="3967">
        <f>'1.Description'!N11</f>
        <v/>
      </c>
      <c r="C110" s="3969">
        <f>moist_type</f>
        <v/>
      </c>
      <c r="D110" s="3581" t="n"/>
      <c r="E110" s="3969" t="n"/>
      <c r="F110" s="3975">
        <f>'1.Description'!S15</f>
        <v/>
      </c>
      <c r="G110" s="3970" t="n"/>
      <c r="H110" s="3969">
        <f>time_tot</f>
        <v/>
      </c>
      <c r="I110" s="3970" t="n"/>
      <c r="J110" s="3969">
        <f>Languages!B635</f>
        <v/>
      </c>
      <c r="K110" s="3976">
        <f>(BALANCE!S5)</f>
        <v/>
      </c>
      <c r="L110" s="3970" t="n"/>
      <c r="M110" s="3970" t="n"/>
      <c r="N110" s="3977" t="inlineStr">
        <is>
          <t>N2O</t>
        </is>
      </c>
      <c r="O110" s="3977">
        <f>Nitrous</f>
        <v/>
      </c>
      <c r="P110" s="3938" t="n"/>
      <c r="Q110" s="3581" t="n"/>
      <c r="W110" s="1771" t="n"/>
      <c r="X110" s="1771" t="n"/>
      <c r="Y110" s="1771" t="n"/>
      <c r="Z110" s="1771" t="n"/>
      <c r="AA110" s="1771" t="n"/>
      <c r="AB110" s="1771" t="n"/>
      <c r="AC110" s="1771" t="n"/>
      <c r="AD110" s="1771" t="n"/>
      <c r="AE110" s="1771" t="n"/>
      <c r="AF110" s="1771" t="n"/>
      <c r="AG110" s="1771" t="n"/>
      <c r="AH110" s="1771" t="n"/>
      <c r="AI110" s="1771" t="n"/>
      <c r="AJ110" s="1771" t="n"/>
      <c r="AK110" s="1771" t="n"/>
      <c r="AL110" s="1771" t="n"/>
      <c r="AM110" s="1771" t="n"/>
      <c r="AN110" s="1771" t="n"/>
      <c r="AO110" s="1771" t="n"/>
      <c r="AP110" s="1771" t="n"/>
      <c r="AQ110" s="1771" t="n"/>
      <c r="AR110" s="1771" t="n"/>
      <c r="AS110" s="1771" t="n"/>
      <c r="AT110" s="1771" t="n"/>
      <c r="AU110" s="1771" t="n"/>
      <c r="AV110" s="1771" t="n"/>
      <c r="AW110" s="1771" t="n"/>
      <c r="AX110" s="1771" t="n"/>
      <c r="AY110" s="1771" t="n"/>
      <c r="AZ110" s="1771" t="n"/>
      <c r="BA110" s="1771" t="n"/>
      <c r="BB110" s="1771" t="n"/>
      <c r="BC110" s="1771" t="n"/>
      <c r="BD110" s="1771" t="n"/>
      <c r="BE110" s="1771" t="n"/>
      <c r="BF110" s="1771" t="n"/>
      <c r="BG110" s="1771" t="n"/>
      <c r="BH110" s="1771" t="n"/>
      <c r="BI110" s="1771" t="n"/>
      <c r="BJ110" s="1771" t="n"/>
      <c r="BK110" s="1771" t="n"/>
      <c r="BL110" s="1771" t="n"/>
      <c r="BM110" s="1771" t="n"/>
      <c r="BN110" s="1771" t="n"/>
      <c r="BO110" s="1771" t="n"/>
      <c r="BP110" s="1771" t="n"/>
      <c r="BQ110" s="1771" t="n"/>
      <c r="BR110" s="1771" t="n"/>
      <c r="BS110" s="1771" t="n"/>
      <c r="BT110" s="1771" t="n"/>
      <c r="BU110" s="1771" t="n"/>
      <c r="BV110" s="1771" t="n"/>
      <c r="BW110" s="1771" t="n"/>
      <c r="BX110" s="1771" t="n"/>
      <c r="BY110" s="1771" t="n"/>
      <c r="BZ110" s="1771" t="n"/>
      <c r="CA110" s="1771" t="n"/>
      <c r="CB110" s="1771" t="n"/>
      <c r="CC110" s="1771" t="n"/>
      <c r="CD110" s="1771" t="n"/>
      <c r="CE110" s="1771" t="n"/>
      <c r="CF110" s="1771" t="n"/>
      <c r="CG110" s="1771" t="n"/>
    </row>
    <row r="111" ht="16" customFormat="1" customHeight="1" s="1966">
      <c r="B111" s="3939" t="n"/>
      <c r="C111" s="3939" t="n"/>
      <c r="D111" s="3938" t="n"/>
      <c r="E111" s="3938" t="n"/>
      <c r="F111" s="3938" t="n"/>
      <c r="G111" s="3938" t="n"/>
      <c r="H111" s="3938" t="n"/>
      <c r="I111" s="3938" t="n"/>
      <c r="J111" s="3938" t="n"/>
      <c r="K111" s="3938" t="n"/>
      <c r="L111" s="3938" t="n"/>
      <c r="M111" s="3938" t="n"/>
      <c r="N111" s="3938" t="n"/>
      <c r="O111" s="3938" t="n"/>
      <c r="P111" s="3938" t="n"/>
      <c r="Q111" s="3580" t="n"/>
      <c r="R111" s="2049" t="n"/>
      <c r="S111" s="2049" t="n"/>
      <c r="W111" s="1771" t="n"/>
      <c r="X111" s="1771" t="n"/>
      <c r="Y111" s="1771" t="n"/>
      <c r="Z111" s="1771" t="n"/>
      <c r="AA111" s="1771" t="n"/>
      <c r="AB111" s="1771" t="n"/>
      <c r="AC111" s="1771" t="n"/>
      <c r="AD111" s="1771" t="n"/>
      <c r="AE111" s="1771" t="n"/>
      <c r="AF111" s="1771" t="n"/>
      <c r="AG111" s="1771" t="n"/>
      <c r="AH111" s="1771" t="n"/>
      <c r="AI111" s="1771" t="n"/>
      <c r="AJ111" s="1771" t="n"/>
      <c r="AK111" s="1771" t="n"/>
      <c r="AL111" s="1771" t="n"/>
      <c r="AM111" s="1771" t="n"/>
      <c r="AN111" s="1771" t="n"/>
      <c r="AO111" s="1771" t="n"/>
      <c r="AP111" s="1771" t="n"/>
      <c r="AQ111" s="1771" t="n"/>
      <c r="AR111" s="1771" t="n"/>
      <c r="AS111" s="1771" t="n"/>
      <c r="AT111" s="1771" t="n"/>
      <c r="AU111" s="1771" t="n"/>
      <c r="AV111" s="1771" t="n"/>
      <c r="AW111" s="1771" t="n"/>
      <c r="AX111" s="1771" t="n"/>
      <c r="AY111" s="1771" t="n"/>
      <c r="AZ111" s="1771" t="n"/>
      <c r="BA111" s="1771" t="n"/>
      <c r="BB111" s="1771" t="n"/>
      <c r="BC111" s="1771" t="n"/>
      <c r="BD111" s="1771" t="n"/>
      <c r="BE111" s="1771" t="n"/>
      <c r="BF111" s="1771" t="n"/>
      <c r="BG111" s="1771" t="n"/>
      <c r="BH111" s="1771" t="n"/>
      <c r="BI111" s="1771" t="n"/>
      <c r="BJ111" s="1771" t="n"/>
      <c r="BK111" s="1771" t="n"/>
      <c r="BL111" s="1771" t="n"/>
      <c r="BM111" s="1771" t="n"/>
      <c r="BN111" s="1771" t="n"/>
      <c r="BO111" s="1771" t="n"/>
      <c r="BP111" s="1771" t="n"/>
      <c r="BQ111" s="1771" t="n"/>
      <c r="BR111" s="1771" t="n"/>
      <c r="BS111" s="1771" t="n"/>
      <c r="BT111" s="1771" t="n"/>
      <c r="BU111" s="1771" t="n"/>
      <c r="BV111" s="1771" t="n"/>
      <c r="BW111" s="1771" t="n"/>
      <c r="BX111" s="1771" t="n"/>
      <c r="BY111" s="1771" t="n"/>
      <c r="BZ111" s="1771" t="n"/>
      <c r="CA111" s="1771" t="n"/>
      <c r="CB111" s="1771" t="n"/>
      <c r="CC111" s="1771" t="n"/>
      <c r="CD111" s="1771" t="n"/>
      <c r="CE111" s="1771" t="n"/>
      <c r="CF111" s="1771" t="n"/>
      <c r="CG111" s="1771" t="n"/>
    </row>
    <row r="112" ht="16" customFormat="1" customHeight="1" s="1966">
      <c r="D112" s="2049" t="n"/>
      <c r="E112" s="2049" t="n"/>
      <c r="F112" s="2049" t="n"/>
      <c r="G112" s="2049" t="n"/>
      <c r="H112" s="2049" t="n"/>
      <c r="I112" s="2049" t="n"/>
      <c r="J112" s="2049" t="n"/>
      <c r="K112" s="2049" t="n"/>
      <c r="L112" s="2049" t="n"/>
      <c r="M112" s="2049" t="n"/>
      <c r="N112" s="2049" t="n"/>
      <c r="O112" s="2049" t="n"/>
      <c r="P112" s="2049" t="n"/>
      <c r="Q112" s="2049" t="n"/>
      <c r="R112" s="2049" t="n"/>
      <c r="S112" s="2049" t="n"/>
      <c r="W112" s="1771" t="n"/>
      <c r="X112" s="1771" t="n"/>
      <c r="Y112" s="1771" t="n"/>
      <c r="Z112" s="1771" t="n"/>
      <c r="AA112" s="1771" t="n"/>
      <c r="AB112" s="1771" t="n"/>
      <c r="AC112" s="1771" t="n"/>
      <c r="AD112" s="1771" t="n"/>
      <c r="AE112" s="1771" t="n"/>
      <c r="AF112" s="1771" t="n"/>
      <c r="AG112" s="1771" t="n"/>
      <c r="AH112" s="1771" t="n"/>
      <c r="AI112" s="1771" t="n"/>
      <c r="AJ112" s="1771" t="n"/>
      <c r="AK112" s="1771" t="n"/>
      <c r="AL112" s="1771" t="n"/>
      <c r="AM112" s="1771" t="n"/>
      <c r="AN112" s="1771" t="n"/>
      <c r="AO112" s="1771" t="n"/>
      <c r="AP112" s="1771" t="n"/>
      <c r="AQ112" s="1771" t="n"/>
      <c r="AR112" s="1771" t="n"/>
      <c r="AS112" s="1771" t="n"/>
      <c r="AT112" s="1771" t="n"/>
      <c r="AU112" s="1771" t="n"/>
      <c r="AV112" s="1771" t="n"/>
      <c r="AW112" s="1771" t="n"/>
      <c r="AX112" s="1771" t="n"/>
      <c r="AY112" s="1771" t="n"/>
      <c r="AZ112" s="1771" t="n"/>
      <c r="BA112" s="1771" t="n"/>
      <c r="BB112" s="1771" t="n"/>
      <c r="BC112" s="1771" t="n"/>
      <c r="BD112" s="1771" t="n"/>
      <c r="BE112" s="1771" t="n"/>
      <c r="BF112" s="1771" t="n"/>
      <c r="BG112" s="1771" t="n"/>
      <c r="BH112" s="1771" t="n"/>
      <c r="BI112" s="1771" t="n"/>
      <c r="BJ112" s="1771" t="n"/>
      <c r="BK112" s="1771" t="n"/>
      <c r="BL112" s="1771" t="n"/>
      <c r="BM112" s="1771" t="n"/>
      <c r="BN112" s="1771" t="n"/>
      <c r="BO112" s="1771" t="n"/>
      <c r="BP112" s="1771" t="n"/>
      <c r="BQ112" s="1771" t="n"/>
      <c r="BR112" s="1771" t="n"/>
      <c r="BS112" s="1771" t="n"/>
      <c r="BT112" s="1771" t="n"/>
      <c r="BU112" s="1771" t="n"/>
      <c r="BV112" s="1771" t="n"/>
      <c r="BW112" s="1771" t="n"/>
      <c r="BX112" s="1771" t="n"/>
      <c r="BY112" s="1771" t="n"/>
      <c r="BZ112" s="1771" t="n"/>
      <c r="CA112" s="1771" t="n"/>
      <c r="CB112" s="1771" t="n"/>
      <c r="CC112" s="1771" t="n"/>
      <c r="CD112" s="1771" t="n"/>
      <c r="CE112" s="1771" t="n"/>
      <c r="CF112" s="1771" t="n"/>
      <c r="CG112" s="1771" t="n"/>
    </row>
    <row r="114" ht="34.5" customHeight="1">
      <c r="D114" s="3934">
        <f>Languages!B626</f>
        <v/>
      </c>
      <c r="E114" s="3935" t="n"/>
      <c r="F114" s="3935" t="n"/>
      <c r="G114" s="3935" t="n"/>
      <c r="H114" s="3934">
        <f>Languages!B629</f>
        <v/>
      </c>
      <c r="I114" s="3935" t="n"/>
      <c r="J114" s="3935" t="n"/>
      <c r="K114" s="3935" t="n"/>
      <c r="L114" s="3935" t="n"/>
      <c r="M114" s="3935" t="n"/>
      <c r="N114" s="3934">
        <f>Languages!B630</f>
        <v/>
      </c>
      <c r="O114" s="3935" t="n"/>
      <c r="P114" s="3936" t="n"/>
    </row>
    <row r="115" customFormat="1" s="1970">
      <c r="D115" s="3922">
        <f>Languages!B627</f>
        <v/>
      </c>
      <c r="E115" s="3922" t="n"/>
      <c r="F115" s="3922" t="n"/>
      <c r="G115" s="3922" t="n"/>
      <c r="H115" s="3922">
        <f>D115</f>
        <v/>
      </c>
      <c r="I115" s="3922" t="n"/>
      <c r="J115" s="3922" t="n"/>
      <c r="K115" s="3922" t="n"/>
      <c r="L115" s="3922" t="n"/>
      <c r="M115" s="3922" t="n"/>
      <c r="N115" s="3922">
        <f>Languages!B628</f>
        <v/>
      </c>
      <c r="O115" s="3922" t="n"/>
      <c r="P115" s="3922" t="n"/>
      <c r="W115" s="1771" t="n"/>
      <c r="X115" s="1771" t="n"/>
      <c r="Y115" s="1771" t="n"/>
      <c r="Z115" s="1771" t="n"/>
      <c r="AA115" s="1771" t="n"/>
      <c r="AB115" s="1771" t="n"/>
      <c r="AC115" s="1771" t="n"/>
      <c r="AD115" s="1771" t="n"/>
      <c r="AE115" s="1771" t="n"/>
      <c r="AF115" s="1771" t="n"/>
      <c r="AG115" s="1771" t="n"/>
      <c r="AH115" s="1771" t="n"/>
      <c r="AI115" s="1771" t="n"/>
      <c r="AJ115" s="1771" t="n"/>
      <c r="AK115" s="1771" t="n"/>
      <c r="AL115" s="1771" t="n"/>
      <c r="AM115" s="1771" t="n"/>
      <c r="AN115" s="1771" t="n"/>
      <c r="AO115" s="1771" t="n"/>
      <c r="AP115" s="1771" t="n"/>
      <c r="AQ115" s="1771" t="n"/>
      <c r="AR115" s="1771" t="n"/>
      <c r="AS115" s="1771" t="n"/>
      <c r="AT115" s="1771" t="n"/>
      <c r="AU115" s="1771" t="n"/>
      <c r="AV115" s="1771" t="n"/>
      <c r="AW115" s="1771" t="n"/>
      <c r="AX115" s="1771" t="n"/>
      <c r="AY115" s="1771" t="n"/>
      <c r="AZ115" s="1771" t="n"/>
      <c r="BA115" s="1771" t="n"/>
      <c r="BB115" s="1771" t="n"/>
      <c r="BC115" s="1771" t="n"/>
      <c r="BD115" s="1771" t="n"/>
      <c r="BE115" s="1771" t="n"/>
      <c r="BF115" s="1771" t="n"/>
      <c r="BG115" s="1771" t="n"/>
      <c r="BH115" s="1771" t="n"/>
      <c r="BI115" s="1771" t="n"/>
      <c r="BJ115" s="1771" t="n"/>
      <c r="BK115" s="1771" t="n"/>
      <c r="BL115" s="1771" t="n"/>
      <c r="BM115" s="1771" t="n"/>
      <c r="BN115" s="1771" t="n"/>
      <c r="BO115" s="1771" t="n"/>
      <c r="BP115" s="1771" t="n"/>
      <c r="BQ115" s="1771" t="n"/>
      <c r="BR115" s="1771" t="n"/>
      <c r="BS115" s="1771" t="n"/>
      <c r="BT115" s="1771" t="n"/>
      <c r="BU115" s="1771" t="n"/>
      <c r="BV115" s="1771" t="n"/>
      <c r="BW115" s="1771" t="n"/>
      <c r="BX115" s="1771" t="n"/>
      <c r="BY115" s="1771" t="n"/>
      <c r="BZ115" s="1771" t="n"/>
      <c r="CA115" s="1771" t="n"/>
      <c r="CB115" s="1771" t="n"/>
      <c r="CC115" s="1771" t="n"/>
      <c r="CD115" s="1771" t="n"/>
      <c r="CE115" s="1771" t="n"/>
      <c r="CF115" s="1771" t="n"/>
      <c r="CG115" s="1771" t="n"/>
    </row>
    <row r="116" ht="66.5" customHeight="1">
      <c r="B116" s="3917">
        <f>Languages!B636</f>
        <v/>
      </c>
      <c r="C116" s="4832" t="n"/>
      <c r="D116" s="3917">
        <f>Languages!B663</f>
        <v/>
      </c>
      <c r="E116" s="3917">
        <f>Languages!B664</f>
        <v/>
      </c>
      <c r="F116" s="3917">
        <f>Languages!B665</f>
        <v/>
      </c>
      <c r="G116" s="3918" t="n"/>
      <c r="H116" s="3917">
        <f>Languages!B660</f>
        <v/>
      </c>
      <c r="I116" s="3917">
        <f>Languages!B661</f>
        <v/>
      </c>
      <c r="J116" s="3917" t="inlineStr">
        <is>
          <t>N2O</t>
        </is>
      </c>
      <c r="K116" s="3917" t="inlineStr">
        <is>
          <t>CH4</t>
        </is>
      </c>
      <c r="L116" s="4333">
        <f>Languages!B662</f>
        <v/>
      </c>
      <c r="M116" s="3918" t="n"/>
      <c r="N116" s="3917">
        <f>D116</f>
        <v/>
      </c>
      <c r="O116" s="3917">
        <f>E116</f>
        <v/>
      </c>
      <c r="P116" s="3917">
        <f>F116</f>
        <v/>
      </c>
    </row>
    <row r="117" ht="20" customFormat="1" customHeight="1" s="3151">
      <c r="B117" s="4631">
        <f>Languages!B650</f>
        <v/>
      </c>
      <c r="C117" s="3940">
        <f>Languages!B637</f>
        <v/>
      </c>
      <c r="D117" s="3941">
        <f>'Gross results'!D18</f>
        <v/>
      </c>
      <c r="E117" s="3941">
        <f>'Gross results'!E18</f>
        <v/>
      </c>
      <c r="F117" s="3941">
        <f>E117-D117</f>
        <v/>
      </c>
      <c r="G117" s="3942">
        <f>IF(AND(D117=0,E117=0),0,1)</f>
        <v/>
      </c>
      <c r="H117" s="3941">
        <f>BALANCE!$F$17</f>
        <v/>
      </c>
      <c r="I117" s="3941">
        <f>BALANCE!$G$17</f>
        <v/>
      </c>
      <c r="J117" s="3941">
        <f>BALANCE!$I$17+BALANCE!J17</f>
        <v/>
      </c>
      <c r="K117" s="3941">
        <f>BALANCE!$M$17</f>
        <v/>
      </c>
      <c r="L117" s="3943" t="n"/>
      <c r="M117" s="3944" t="n"/>
      <c r="N117" s="3941">
        <f>'Gross results'!H18</f>
        <v/>
      </c>
      <c r="O117" s="3941">
        <f>'Gross results'!I18</f>
        <v/>
      </c>
      <c r="P117" s="3941">
        <f>O117-N117</f>
        <v/>
      </c>
      <c r="W117" s="1771" t="n"/>
      <c r="X117" s="1771" t="n"/>
      <c r="Y117" s="1771" t="n"/>
      <c r="Z117" s="1771" t="n"/>
      <c r="AA117" s="1771" t="n"/>
      <c r="AB117" s="1771" t="n"/>
      <c r="AC117" s="1771" t="n"/>
      <c r="AD117" s="1771" t="n"/>
      <c r="AE117" s="1771" t="n"/>
      <c r="AF117" s="1771" t="n"/>
      <c r="AG117" s="1771" t="n"/>
      <c r="AH117" s="1771" t="n"/>
      <c r="AI117" s="1771" t="n"/>
      <c r="AJ117" s="1771" t="n"/>
      <c r="AK117" s="1771" t="n"/>
      <c r="AL117" s="1771" t="n"/>
      <c r="AM117" s="1771" t="n"/>
      <c r="AN117" s="1771" t="n"/>
      <c r="AO117" s="1771" t="n"/>
      <c r="AP117" s="1771" t="n"/>
      <c r="AQ117" s="1771" t="n"/>
      <c r="AR117" s="1771" t="n"/>
      <c r="AS117" s="1771" t="n"/>
      <c r="AT117" s="1771" t="n"/>
      <c r="AU117" s="1771" t="n"/>
      <c r="AV117" s="1771" t="n"/>
      <c r="AW117" s="1771" t="n"/>
      <c r="AX117" s="1771" t="n"/>
      <c r="AY117" s="1771" t="n"/>
      <c r="AZ117" s="1771" t="n"/>
      <c r="BA117" s="1771" t="n"/>
      <c r="BB117" s="1771" t="n"/>
      <c r="BC117" s="1771" t="n"/>
      <c r="BD117" s="1771" t="n"/>
      <c r="BE117" s="1771" t="n"/>
      <c r="BF117" s="1771" t="n"/>
      <c r="BG117" s="1771" t="n"/>
      <c r="BH117" s="1771" t="n"/>
      <c r="BI117" s="1771" t="n"/>
      <c r="BJ117" s="1771" t="n"/>
      <c r="BK117" s="1771" t="n"/>
      <c r="BL117" s="1771" t="n"/>
      <c r="BM117" s="1771" t="n"/>
      <c r="BN117" s="1771" t="n"/>
      <c r="BO117" s="1771" t="n"/>
      <c r="BP117" s="1771" t="n"/>
      <c r="BQ117" s="1771" t="n"/>
      <c r="BR117" s="1771" t="n"/>
      <c r="BS117" s="1771" t="n"/>
      <c r="BT117" s="1771" t="n"/>
      <c r="BU117" s="1771" t="n"/>
      <c r="BV117" s="1771" t="n"/>
      <c r="BW117" s="1771" t="n"/>
      <c r="BX117" s="1771" t="n"/>
      <c r="BY117" s="1771" t="n"/>
      <c r="BZ117" s="1771" t="n"/>
      <c r="CA117" s="1771" t="n"/>
      <c r="CB117" s="1771" t="n"/>
      <c r="CC117" s="1771" t="n"/>
      <c r="CD117" s="1771" t="n"/>
      <c r="CE117" s="1771" t="n"/>
      <c r="CF117" s="1771" t="n"/>
      <c r="CG117" s="1771" t="n"/>
    </row>
    <row r="118" ht="20" customFormat="1" customHeight="1" s="3151">
      <c r="B118" s="4838" t="n"/>
      <c r="C118" s="3940">
        <f>Languages!B638</f>
        <v/>
      </c>
      <c r="D118" s="3945">
        <f>'Gross results'!D19</f>
        <v/>
      </c>
      <c r="E118" s="3941">
        <f>'Gross results'!E19</f>
        <v/>
      </c>
      <c r="F118" s="3941">
        <f>E118-D118</f>
        <v/>
      </c>
      <c r="G118" s="3942">
        <f>IF(AND(D118=0,E118=0),0,1)</f>
        <v/>
      </c>
      <c r="H118" s="3941">
        <f>BALANCE!$F$19</f>
        <v/>
      </c>
      <c r="I118" s="3941">
        <f>BALANCE!$G$19</f>
        <v/>
      </c>
      <c r="J118" s="3941">
        <f>BALANCE!$J$19</f>
        <v/>
      </c>
      <c r="K118" s="3946">
        <f>BALANCE!$M$19</f>
        <v/>
      </c>
      <c r="L118" s="3947" t="n"/>
      <c r="M118" s="3944" t="n"/>
      <c r="N118" s="3945">
        <f>'Gross results'!H19</f>
        <v/>
      </c>
      <c r="O118" s="3941">
        <f>'Gross results'!I19</f>
        <v/>
      </c>
      <c r="P118" s="3941">
        <f>O118-N118</f>
        <v/>
      </c>
      <c r="W118" s="1771" t="n"/>
      <c r="X118" s="1771" t="n"/>
      <c r="Y118" s="1771" t="n"/>
      <c r="Z118" s="1771" t="n"/>
      <c r="AA118" s="1771" t="n"/>
      <c r="AB118" s="1771" t="n"/>
      <c r="AC118" s="1771" t="n"/>
      <c r="AD118" s="1771" t="n"/>
      <c r="AE118" s="1771" t="n"/>
      <c r="AF118" s="1771" t="n"/>
      <c r="AG118" s="1771" t="n"/>
      <c r="AH118" s="1771" t="n"/>
      <c r="AI118" s="1771" t="n"/>
      <c r="AJ118" s="1771" t="n"/>
      <c r="AK118" s="1771" t="n"/>
      <c r="AL118" s="1771" t="n"/>
      <c r="AM118" s="1771" t="n"/>
      <c r="AN118" s="1771" t="n"/>
      <c r="AO118" s="1771" t="n"/>
      <c r="AP118" s="1771" t="n"/>
      <c r="AQ118" s="1771" t="n"/>
      <c r="AR118" s="1771" t="n"/>
      <c r="AS118" s="1771" t="n"/>
      <c r="AT118" s="1771" t="n"/>
      <c r="AU118" s="1771" t="n"/>
      <c r="AV118" s="1771" t="n"/>
      <c r="AW118" s="1771" t="n"/>
      <c r="AX118" s="1771" t="n"/>
      <c r="AY118" s="1771" t="n"/>
      <c r="AZ118" s="1771" t="n"/>
      <c r="BA118" s="1771" t="n"/>
      <c r="BB118" s="1771" t="n"/>
      <c r="BC118" s="1771" t="n"/>
      <c r="BD118" s="1771" t="n"/>
      <c r="BE118" s="1771" t="n"/>
      <c r="BF118" s="1771" t="n"/>
      <c r="BG118" s="1771" t="n"/>
      <c r="BH118" s="1771" t="n"/>
      <c r="BI118" s="1771" t="n"/>
      <c r="BJ118" s="1771" t="n"/>
      <c r="BK118" s="1771" t="n"/>
      <c r="BL118" s="1771" t="n"/>
      <c r="BM118" s="1771" t="n"/>
      <c r="BN118" s="1771" t="n"/>
      <c r="BO118" s="1771" t="n"/>
      <c r="BP118" s="1771" t="n"/>
      <c r="BQ118" s="1771" t="n"/>
      <c r="BR118" s="1771" t="n"/>
      <c r="BS118" s="1771" t="n"/>
      <c r="BT118" s="1771" t="n"/>
      <c r="BU118" s="1771" t="n"/>
      <c r="BV118" s="1771" t="n"/>
      <c r="BW118" s="1771" t="n"/>
      <c r="BX118" s="1771" t="n"/>
      <c r="BY118" s="1771" t="n"/>
      <c r="BZ118" s="1771" t="n"/>
      <c r="CA118" s="1771" t="n"/>
      <c r="CB118" s="1771" t="n"/>
      <c r="CC118" s="1771" t="n"/>
      <c r="CD118" s="1771" t="n"/>
      <c r="CE118" s="1771" t="n"/>
      <c r="CF118" s="1771" t="n"/>
      <c r="CG118" s="1771" t="n"/>
    </row>
    <row r="119" ht="20" customFormat="1" customHeight="1" s="3151">
      <c r="B119" s="4839" t="n"/>
      <c r="C119" s="3940">
        <f>Languages!B639</f>
        <v/>
      </c>
      <c r="D119" s="3941">
        <f>'Gross results'!D20</f>
        <v/>
      </c>
      <c r="E119" s="3941">
        <f>'Gross results'!E20</f>
        <v/>
      </c>
      <c r="F119" s="3941">
        <f>E119-D119</f>
        <v/>
      </c>
      <c r="G119" s="3942">
        <f>IF(AND(D119=0,E119=0),0,1)</f>
        <v/>
      </c>
      <c r="H119" s="3941">
        <f>BALANCE!$F$20</f>
        <v/>
      </c>
      <c r="I119" s="3941">
        <f>BALANCE!$G$20</f>
        <v/>
      </c>
      <c r="J119" s="3941">
        <f>BALANCE!$I$20+BALANCE!$J$20</f>
        <v/>
      </c>
      <c r="K119" s="3941">
        <f>BALANCE!$M$20</f>
        <v/>
      </c>
      <c r="L119" s="3948" t="n"/>
      <c r="M119" s="3944" t="n"/>
      <c r="N119" s="3941">
        <f>'Gross results'!H20</f>
        <v/>
      </c>
      <c r="O119" s="3941">
        <f>'Gross results'!I20</f>
        <v/>
      </c>
      <c r="P119" s="3941">
        <f>O119-N119</f>
        <v/>
      </c>
      <c r="W119" s="1771" t="n"/>
      <c r="X119" s="1771" t="n"/>
      <c r="Y119" s="1771" t="n"/>
      <c r="Z119" s="1771" t="n"/>
      <c r="AA119" s="1771" t="n"/>
      <c r="AB119" s="1771" t="n"/>
      <c r="AC119" s="1771" t="n"/>
      <c r="AD119" s="1771" t="n"/>
      <c r="AE119" s="1771" t="n"/>
      <c r="AF119" s="1771" t="n"/>
      <c r="AG119" s="1771" t="n"/>
      <c r="AH119" s="1771" t="n"/>
      <c r="AI119" s="1771" t="n"/>
      <c r="AJ119" s="1771" t="n"/>
      <c r="AK119" s="1771" t="n"/>
      <c r="AL119" s="1771" t="n"/>
      <c r="AM119" s="1771" t="n"/>
      <c r="AN119" s="1771" t="n"/>
      <c r="AO119" s="1771" t="n"/>
      <c r="AP119" s="1771" t="n"/>
      <c r="AQ119" s="1771" t="n"/>
      <c r="AR119" s="1771" t="n"/>
      <c r="AS119" s="1771" t="n"/>
      <c r="AT119" s="1771" t="n"/>
      <c r="AU119" s="1771" t="n"/>
      <c r="AV119" s="1771" t="n"/>
      <c r="AW119" s="1771" t="n"/>
      <c r="AX119" s="1771" t="n"/>
      <c r="AY119" s="1771" t="n"/>
      <c r="AZ119" s="1771" t="n"/>
      <c r="BA119" s="1771" t="n"/>
      <c r="BB119" s="1771" t="n"/>
      <c r="BC119" s="1771" t="n"/>
      <c r="BD119" s="1771" t="n"/>
      <c r="BE119" s="1771" t="n"/>
      <c r="BF119" s="1771" t="n"/>
      <c r="BG119" s="1771" t="n"/>
      <c r="BH119" s="1771" t="n"/>
      <c r="BI119" s="1771" t="n"/>
      <c r="BJ119" s="1771" t="n"/>
      <c r="BK119" s="1771" t="n"/>
      <c r="BL119" s="1771" t="n"/>
      <c r="BM119" s="1771" t="n"/>
      <c r="BN119" s="1771" t="n"/>
      <c r="BO119" s="1771" t="n"/>
      <c r="BP119" s="1771" t="n"/>
      <c r="BQ119" s="1771" t="n"/>
      <c r="BR119" s="1771" t="n"/>
      <c r="BS119" s="1771" t="n"/>
      <c r="BT119" s="1771" t="n"/>
      <c r="BU119" s="1771" t="n"/>
      <c r="BV119" s="1771" t="n"/>
      <c r="BW119" s="1771" t="n"/>
      <c r="BX119" s="1771" t="n"/>
      <c r="BY119" s="1771" t="n"/>
      <c r="BZ119" s="1771" t="n"/>
      <c r="CA119" s="1771" t="n"/>
      <c r="CB119" s="1771" t="n"/>
      <c r="CC119" s="1771" t="n"/>
      <c r="CD119" s="1771" t="n"/>
      <c r="CE119" s="1771" t="n"/>
      <c r="CF119" s="1771" t="n"/>
      <c r="CG119" s="1771" t="n"/>
    </row>
    <row r="120" ht="20" customFormat="1" customHeight="1" s="3151">
      <c r="B120" s="4631">
        <f>Languages!B651</f>
        <v/>
      </c>
      <c r="C120" s="3940">
        <f>Languages!B640</f>
        <v/>
      </c>
      <c r="D120" s="3941">
        <f>'Gross results'!D22</f>
        <v/>
      </c>
      <c r="E120" s="3941">
        <f>'Gross results'!E22</f>
        <v/>
      </c>
      <c r="F120" s="3941">
        <f>E120-D120</f>
        <v/>
      </c>
      <c r="G120" s="3942">
        <f>IF(AND(D120=0,E120=0),0,1)</f>
        <v/>
      </c>
      <c r="H120" s="3941">
        <f>BALANCE!$F$22</f>
        <v/>
      </c>
      <c r="I120" s="3941">
        <f>BALANCE!$G$22</f>
        <v/>
      </c>
      <c r="J120" s="3941">
        <f>BALANCE!$I$22+BALANCE!$J$22</f>
        <v/>
      </c>
      <c r="K120" s="3941">
        <f>BALANCE!$M$22</f>
        <v/>
      </c>
      <c r="L120" s="3948" t="n"/>
      <c r="M120" s="3944" t="n"/>
      <c r="N120" s="3941">
        <f>'Gross results'!H22</f>
        <v/>
      </c>
      <c r="O120" s="3941">
        <f>'Gross results'!I22</f>
        <v/>
      </c>
      <c r="P120" s="3941">
        <f>O120-N120</f>
        <v/>
      </c>
      <c r="W120" s="1771" t="n"/>
      <c r="X120" s="1771" t="n"/>
      <c r="Y120" s="1771" t="n"/>
      <c r="Z120" s="1771" t="n"/>
      <c r="AA120" s="1771" t="n"/>
      <c r="AB120" s="1771" t="n"/>
      <c r="AC120" s="1771" t="n"/>
      <c r="AD120" s="1771" t="n"/>
      <c r="AE120" s="1771" t="n"/>
      <c r="AF120" s="1771" t="n"/>
      <c r="AG120" s="1771" t="n"/>
      <c r="AH120" s="1771" t="n"/>
      <c r="AI120" s="1771" t="n"/>
      <c r="AJ120" s="1771" t="n"/>
      <c r="AK120" s="1771" t="n"/>
      <c r="AL120" s="1771" t="n"/>
      <c r="AM120" s="1771" t="n"/>
      <c r="AN120" s="1771" t="n"/>
      <c r="AO120" s="1771" t="n"/>
      <c r="AP120" s="1771" t="n"/>
      <c r="AQ120" s="1771" t="n"/>
      <c r="AR120" s="1771" t="n"/>
      <c r="AS120" s="1771" t="n"/>
      <c r="AT120" s="1771" t="n"/>
      <c r="AU120" s="1771" t="n"/>
      <c r="AV120" s="1771" t="n"/>
      <c r="AW120" s="1771" t="n"/>
      <c r="AX120" s="1771" t="n"/>
      <c r="AY120" s="1771" t="n"/>
      <c r="AZ120" s="1771" t="n"/>
      <c r="BA120" s="1771" t="n"/>
      <c r="BB120" s="1771" t="n"/>
      <c r="BC120" s="1771" t="n"/>
      <c r="BD120" s="1771" t="n"/>
      <c r="BE120" s="1771" t="n"/>
      <c r="BF120" s="1771" t="n"/>
      <c r="BG120" s="1771" t="n"/>
      <c r="BH120" s="1771" t="n"/>
      <c r="BI120" s="1771" t="n"/>
      <c r="BJ120" s="1771" t="n"/>
      <c r="BK120" s="1771" t="n"/>
      <c r="BL120" s="1771" t="n"/>
      <c r="BM120" s="1771" t="n"/>
      <c r="BN120" s="1771" t="n"/>
      <c r="BO120" s="1771" t="n"/>
      <c r="BP120" s="1771" t="n"/>
      <c r="BQ120" s="1771" t="n"/>
      <c r="BR120" s="1771" t="n"/>
      <c r="BS120" s="1771" t="n"/>
      <c r="BT120" s="1771" t="n"/>
      <c r="BU120" s="1771" t="n"/>
      <c r="BV120" s="1771" t="n"/>
      <c r="BW120" s="1771" t="n"/>
      <c r="BX120" s="1771" t="n"/>
      <c r="BY120" s="1771" t="n"/>
      <c r="BZ120" s="1771" t="n"/>
      <c r="CA120" s="1771" t="n"/>
      <c r="CB120" s="1771" t="n"/>
      <c r="CC120" s="1771" t="n"/>
      <c r="CD120" s="1771" t="n"/>
      <c r="CE120" s="1771" t="n"/>
      <c r="CF120" s="1771" t="n"/>
      <c r="CG120" s="1771" t="n"/>
    </row>
    <row r="121" ht="20" customFormat="1" customHeight="1" s="3151">
      <c r="B121" s="4838" t="n"/>
      <c r="C121" s="3940">
        <f>Languages!B641</f>
        <v/>
      </c>
      <c r="D121" s="3941">
        <f>'Gross results'!D23</f>
        <v/>
      </c>
      <c r="E121" s="3941">
        <f>'Gross results'!E23</f>
        <v/>
      </c>
      <c r="F121" s="3941">
        <f>E121-D121</f>
        <v/>
      </c>
      <c r="G121" s="3942">
        <f>IF(AND(D121=0,E121=0),0,1)</f>
        <v/>
      </c>
      <c r="H121" s="3941">
        <f>BALANCE!$F$23</f>
        <v/>
      </c>
      <c r="I121" s="3941">
        <f>BALANCE!$G$23</f>
        <v/>
      </c>
      <c r="J121" s="3941">
        <f>BALANCE!$I$23+BALANCE!$J$23</f>
        <v/>
      </c>
      <c r="K121" s="3941">
        <f>BALANCE!$M$23</f>
        <v/>
      </c>
      <c r="L121" s="3948" t="n"/>
      <c r="M121" s="3944" t="n"/>
      <c r="N121" s="3941">
        <f>'Gross results'!H23</f>
        <v/>
      </c>
      <c r="O121" s="3941">
        <f>'Gross results'!I23</f>
        <v/>
      </c>
      <c r="P121" s="3941">
        <f>O121-N121</f>
        <v/>
      </c>
      <c r="W121" s="1771" t="n"/>
      <c r="X121" s="1771" t="n"/>
      <c r="Y121" s="1771" t="n"/>
      <c r="Z121" s="1771" t="n"/>
      <c r="AA121" s="1771" t="n"/>
      <c r="AB121" s="1771" t="n"/>
      <c r="AC121" s="1771" t="n"/>
      <c r="AD121" s="1771" t="n"/>
      <c r="AE121" s="1771" t="n"/>
      <c r="AF121" s="1771" t="n"/>
      <c r="AG121" s="1771" t="n"/>
      <c r="AH121" s="1771" t="n"/>
      <c r="AI121" s="1771" t="n"/>
      <c r="AJ121" s="1771" t="n"/>
      <c r="AK121" s="1771" t="n"/>
      <c r="AL121" s="1771" t="n"/>
      <c r="AM121" s="1771" t="n"/>
      <c r="AN121" s="1771" t="n"/>
      <c r="AO121" s="1771" t="n"/>
      <c r="AP121" s="1771" t="n"/>
      <c r="AQ121" s="1771" t="n"/>
      <c r="AR121" s="1771" t="n"/>
      <c r="AS121" s="1771" t="n"/>
      <c r="AT121" s="1771" t="n"/>
      <c r="AU121" s="1771" t="n"/>
      <c r="AV121" s="1771" t="n"/>
      <c r="AW121" s="1771" t="n"/>
      <c r="AX121" s="1771" t="n"/>
      <c r="AY121" s="1771" t="n"/>
      <c r="AZ121" s="1771" t="n"/>
      <c r="BA121" s="1771" t="n"/>
      <c r="BB121" s="1771" t="n"/>
      <c r="BC121" s="1771" t="n"/>
      <c r="BD121" s="1771" t="n"/>
      <c r="BE121" s="1771" t="n"/>
      <c r="BF121" s="1771" t="n"/>
      <c r="BG121" s="1771" t="n"/>
      <c r="BH121" s="1771" t="n"/>
      <c r="BI121" s="1771" t="n"/>
      <c r="BJ121" s="1771" t="n"/>
      <c r="BK121" s="1771" t="n"/>
      <c r="BL121" s="1771" t="n"/>
      <c r="BM121" s="1771" t="n"/>
      <c r="BN121" s="1771" t="n"/>
      <c r="BO121" s="1771" t="n"/>
      <c r="BP121" s="1771" t="n"/>
      <c r="BQ121" s="1771" t="n"/>
      <c r="BR121" s="1771" t="n"/>
      <c r="BS121" s="1771" t="n"/>
      <c r="BT121" s="1771" t="n"/>
      <c r="BU121" s="1771" t="n"/>
      <c r="BV121" s="1771" t="n"/>
      <c r="BW121" s="1771" t="n"/>
      <c r="BX121" s="1771" t="n"/>
      <c r="BY121" s="1771" t="n"/>
      <c r="BZ121" s="1771" t="n"/>
      <c r="CA121" s="1771" t="n"/>
      <c r="CB121" s="1771" t="n"/>
      <c r="CC121" s="1771" t="n"/>
      <c r="CD121" s="1771" t="n"/>
      <c r="CE121" s="1771" t="n"/>
      <c r="CF121" s="1771" t="n"/>
      <c r="CG121" s="1771" t="n"/>
    </row>
    <row r="122" ht="20" customFormat="1" customHeight="1" s="3151">
      <c r="B122" s="4839" t="n"/>
      <c r="C122" s="3940">
        <f>Languages!B642</f>
        <v/>
      </c>
      <c r="D122" s="3943">
        <f>'Gross results'!D24</f>
        <v/>
      </c>
      <c r="E122" s="3943">
        <f>'Gross results'!E24</f>
        <v/>
      </c>
      <c r="F122" s="3943">
        <f>E122-D122</f>
        <v/>
      </c>
      <c r="G122" s="3942">
        <f>IF(AND(D122=0,E122=0),0,1)</f>
        <v/>
      </c>
      <c r="H122" s="3941">
        <f>BALANCE!$F$24</f>
        <v/>
      </c>
      <c r="I122" s="3941">
        <f>BALANCE!$G$24</f>
        <v/>
      </c>
      <c r="J122" s="3941">
        <f>BALANCE!$J$24</f>
        <v/>
      </c>
      <c r="K122" s="3941">
        <f>BALANCE!$L$24+BALANCE!$M$24</f>
        <v/>
      </c>
      <c r="L122" s="3948" t="n"/>
      <c r="M122" s="3944" t="n"/>
      <c r="N122" s="3941">
        <f>'Gross results'!H24</f>
        <v/>
      </c>
      <c r="O122" s="3941">
        <f>'Gross results'!I24</f>
        <v/>
      </c>
      <c r="P122" s="3941">
        <f>O122-N122</f>
        <v/>
      </c>
      <c r="W122" s="1771" t="n"/>
      <c r="X122" s="1771" t="n"/>
      <c r="Y122" s="1771" t="n"/>
      <c r="Z122" s="1771" t="n"/>
      <c r="AA122" s="1771" t="n"/>
      <c r="AB122" s="1771" t="n"/>
      <c r="AC122" s="1771" t="n"/>
      <c r="AD122" s="1771" t="n"/>
      <c r="AE122" s="1771" t="n"/>
      <c r="AF122" s="1771" t="n"/>
      <c r="AG122" s="1771" t="n"/>
      <c r="AH122" s="1771" t="n"/>
      <c r="AI122" s="1771" t="n"/>
      <c r="AJ122" s="1771" t="n"/>
      <c r="AK122" s="1771" t="n"/>
      <c r="AL122" s="1771" t="n"/>
      <c r="AM122" s="1771" t="n"/>
      <c r="AN122" s="1771" t="n"/>
      <c r="AO122" s="1771" t="n"/>
      <c r="AP122" s="1771" t="n"/>
      <c r="AQ122" s="1771" t="n"/>
      <c r="AR122" s="1771" t="n"/>
      <c r="AS122" s="1771" t="n"/>
      <c r="AT122" s="1771" t="n"/>
      <c r="AU122" s="1771" t="n"/>
      <c r="AV122" s="1771" t="n"/>
      <c r="AW122" s="1771" t="n"/>
      <c r="AX122" s="1771" t="n"/>
      <c r="AY122" s="1771" t="n"/>
      <c r="AZ122" s="1771" t="n"/>
      <c r="BA122" s="1771" t="n"/>
      <c r="BB122" s="1771" t="n"/>
      <c r="BC122" s="1771" t="n"/>
      <c r="BD122" s="1771" t="n"/>
      <c r="BE122" s="1771" t="n"/>
      <c r="BF122" s="1771" t="n"/>
      <c r="BG122" s="1771" t="n"/>
      <c r="BH122" s="1771" t="n"/>
      <c r="BI122" s="1771" t="n"/>
      <c r="BJ122" s="1771" t="n"/>
      <c r="BK122" s="1771" t="n"/>
      <c r="BL122" s="1771" t="n"/>
      <c r="BM122" s="1771" t="n"/>
      <c r="BN122" s="1771" t="n"/>
      <c r="BO122" s="1771" t="n"/>
      <c r="BP122" s="1771" t="n"/>
      <c r="BQ122" s="1771" t="n"/>
      <c r="BR122" s="1771" t="n"/>
      <c r="BS122" s="1771" t="n"/>
      <c r="BT122" s="1771" t="n"/>
      <c r="BU122" s="1771" t="n"/>
      <c r="BV122" s="1771" t="n"/>
      <c r="BW122" s="1771" t="n"/>
      <c r="BX122" s="1771" t="n"/>
      <c r="BY122" s="1771" t="n"/>
      <c r="BZ122" s="1771" t="n"/>
      <c r="CA122" s="1771" t="n"/>
      <c r="CB122" s="1771" t="n"/>
      <c r="CC122" s="1771" t="n"/>
      <c r="CD122" s="1771" t="n"/>
      <c r="CE122" s="1771" t="n"/>
      <c r="CF122" s="1771" t="n"/>
      <c r="CG122" s="1771" t="n"/>
    </row>
    <row r="123" ht="20" customFormat="1" customHeight="1" s="3151">
      <c r="B123" s="4631">
        <f>Languages!B652</f>
        <v/>
      </c>
      <c r="C123" s="3940">
        <f>Languages!B643</f>
        <v/>
      </c>
      <c r="D123" s="3949">
        <f>'Gross results'!D26</f>
        <v/>
      </c>
      <c r="E123" s="3949">
        <f>'Gross results'!E26</f>
        <v/>
      </c>
      <c r="F123" s="3949">
        <f>E123-D123</f>
        <v/>
      </c>
      <c r="G123" s="3942">
        <f>IF(AND(D123=0,E123=0),0,1)</f>
        <v/>
      </c>
      <c r="H123" s="3943">
        <f>BALANCE!$F$25</f>
        <v/>
      </c>
      <c r="I123" s="3943">
        <f>BALANCE!$G$25</f>
        <v/>
      </c>
      <c r="J123" s="3941">
        <f>BALANCE!$J$25</f>
        <v/>
      </c>
      <c r="K123" s="3941">
        <f>BALANCE!$M$25</f>
        <v/>
      </c>
      <c r="L123" s="3948" t="n"/>
      <c r="M123" s="3944" t="n"/>
      <c r="N123" s="3941">
        <f>'Gross results'!H26</f>
        <v/>
      </c>
      <c r="O123" s="3941">
        <f>'Gross results'!I26</f>
        <v/>
      </c>
      <c r="P123" s="3941">
        <f>O123-N123</f>
        <v/>
      </c>
      <c r="W123" s="1771" t="n"/>
      <c r="X123" s="1771" t="n"/>
      <c r="Y123" s="1771" t="n"/>
      <c r="Z123" s="1771" t="n"/>
      <c r="AA123" s="1771" t="n"/>
      <c r="AB123" s="1771" t="n"/>
      <c r="AC123" s="1771" t="n"/>
      <c r="AD123" s="1771" t="n"/>
      <c r="AE123" s="1771" t="n"/>
      <c r="AF123" s="1771" t="n"/>
      <c r="AG123" s="1771" t="n"/>
      <c r="AH123" s="1771" t="n"/>
      <c r="AI123" s="1771" t="n"/>
      <c r="AJ123" s="1771" t="n"/>
      <c r="AK123" s="1771" t="n"/>
      <c r="AL123" s="1771" t="n"/>
      <c r="AM123" s="1771" t="n"/>
      <c r="AN123" s="1771" t="n"/>
      <c r="AO123" s="1771" t="n"/>
      <c r="AP123" s="1771" t="n"/>
      <c r="AQ123" s="1771" t="n"/>
      <c r="AR123" s="1771" t="n"/>
      <c r="AS123" s="1771" t="n"/>
      <c r="AT123" s="1771" t="n"/>
      <c r="AU123" s="1771" t="n"/>
      <c r="AV123" s="1771" t="n"/>
      <c r="AW123" s="1771" t="n"/>
      <c r="AX123" s="1771" t="n"/>
      <c r="AY123" s="1771" t="n"/>
      <c r="AZ123" s="1771" t="n"/>
      <c r="BA123" s="1771" t="n"/>
      <c r="BB123" s="1771" t="n"/>
      <c r="BC123" s="1771" t="n"/>
      <c r="BD123" s="1771" t="n"/>
      <c r="BE123" s="1771" t="n"/>
      <c r="BF123" s="1771" t="n"/>
      <c r="BG123" s="1771" t="n"/>
      <c r="BH123" s="1771" t="n"/>
      <c r="BI123" s="1771" t="n"/>
      <c r="BJ123" s="1771" t="n"/>
      <c r="BK123" s="1771" t="n"/>
      <c r="BL123" s="1771" t="n"/>
      <c r="BM123" s="1771" t="n"/>
      <c r="BN123" s="1771" t="n"/>
      <c r="BO123" s="1771" t="n"/>
      <c r="BP123" s="1771" t="n"/>
      <c r="BQ123" s="1771" t="n"/>
      <c r="BR123" s="1771" t="n"/>
      <c r="BS123" s="1771" t="n"/>
      <c r="BT123" s="1771" t="n"/>
      <c r="BU123" s="1771" t="n"/>
      <c r="BV123" s="1771" t="n"/>
      <c r="BW123" s="1771" t="n"/>
      <c r="BX123" s="1771" t="n"/>
      <c r="BY123" s="1771" t="n"/>
      <c r="BZ123" s="1771" t="n"/>
      <c r="CA123" s="1771" t="n"/>
      <c r="CB123" s="1771" t="n"/>
      <c r="CC123" s="1771" t="n"/>
      <c r="CD123" s="1771" t="n"/>
      <c r="CE123" s="1771" t="n"/>
      <c r="CF123" s="1771" t="n"/>
      <c r="CG123" s="1771" t="n"/>
    </row>
    <row r="124" ht="20" customFormat="1" customHeight="1" s="3151">
      <c r="B124" s="4839" t="n"/>
      <c r="C124" s="3940">
        <f>Languages!B644</f>
        <v/>
      </c>
      <c r="D124" s="3945">
        <f>'Gross results'!D27</f>
        <v/>
      </c>
      <c r="E124" s="3941">
        <f>'Gross results'!E27</f>
        <v/>
      </c>
      <c r="F124" s="3941">
        <f>E124-D124</f>
        <v/>
      </c>
      <c r="G124" s="3942">
        <f>IF(AND(D124=0,E124=0),0,1)</f>
        <v/>
      </c>
      <c r="H124" s="3950" t="n"/>
      <c r="I124" s="3951" t="n"/>
      <c r="J124" s="3941">
        <f>BALANCE!$K$26</f>
        <v/>
      </c>
      <c r="K124" s="3941">
        <f>BALANCE!$N$26</f>
        <v/>
      </c>
      <c r="L124" s="3947" t="n"/>
      <c r="M124" s="3944" t="n"/>
      <c r="N124" s="3945">
        <f>'Gross results'!H27</f>
        <v/>
      </c>
      <c r="O124" s="3941">
        <f>'Gross results'!I27</f>
        <v/>
      </c>
      <c r="P124" s="3941">
        <f>O124-N124</f>
        <v/>
      </c>
      <c r="W124" s="1771" t="n"/>
      <c r="X124" s="1771" t="n"/>
      <c r="Y124" s="1771" t="n"/>
      <c r="Z124" s="1771" t="n"/>
      <c r="AA124" s="1771" t="n"/>
      <c r="AB124" s="1771" t="n"/>
      <c r="AC124" s="1771" t="n"/>
      <c r="AD124" s="1771" t="n"/>
      <c r="AE124" s="1771" t="n"/>
      <c r="AF124" s="1771" t="n"/>
      <c r="AG124" s="1771" t="n"/>
      <c r="AH124" s="1771" t="n"/>
      <c r="AI124" s="1771" t="n"/>
      <c r="AJ124" s="1771" t="n"/>
      <c r="AK124" s="1771" t="n"/>
      <c r="AL124" s="1771" t="n"/>
      <c r="AM124" s="1771" t="n"/>
      <c r="AN124" s="1771" t="n"/>
      <c r="AO124" s="1771" t="n"/>
      <c r="AP124" s="1771" t="n"/>
      <c r="AQ124" s="1771" t="n"/>
      <c r="AR124" s="1771" t="n"/>
      <c r="AS124" s="1771" t="n"/>
      <c r="AT124" s="1771" t="n"/>
      <c r="AU124" s="1771" t="n"/>
      <c r="AV124" s="1771" t="n"/>
      <c r="AW124" s="1771" t="n"/>
      <c r="AX124" s="1771" t="n"/>
      <c r="AY124" s="1771" t="n"/>
      <c r="AZ124" s="1771" t="n"/>
      <c r="BA124" s="1771" t="n"/>
      <c r="BB124" s="1771" t="n"/>
      <c r="BC124" s="1771" t="n"/>
      <c r="BD124" s="1771" t="n"/>
      <c r="BE124" s="1771" t="n"/>
      <c r="BF124" s="1771" t="n"/>
      <c r="BG124" s="1771" t="n"/>
      <c r="BH124" s="1771" t="n"/>
      <c r="BI124" s="1771" t="n"/>
      <c r="BJ124" s="1771" t="n"/>
      <c r="BK124" s="1771" t="n"/>
      <c r="BL124" s="1771" t="n"/>
      <c r="BM124" s="1771" t="n"/>
      <c r="BN124" s="1771" t="n"/>
      <c r="BO124" s="1771" t="n"/>
      <c r="BP124" s="1771" t="n"/>
      <c r="BQ124" s="1771" t="n"/>
      <c r="BR124" s="1771" t="n"/>
      <c r="BS124" s="1771" t="n"/>
      <c r="BT124" s="1771" t="n"/>
      <c r="BU124" s="1771" t="n"/>
      <c r="BV124" s="1771" t="n"/>
      <c r="BW124" s="1771" t="n"/>
      <c r="BX124" s="1771" t="n"/>
      <c r="BY124" s="1771" t="n"/>
      <c r="BZ124" s="1771" t="n"/>
      <c r="CA124" s="1771" t="n"/>
      <c r="CB124" s="1771" t="n"/>
      <c r="CC124" s="1771" t="n"/>
      <c r="CD124" s="1771" t="n"/>
      <c r="CE124" s="1771" t="n"/>
      <c r="CF124" s="1771" t="n"/>
      <c r="CG124" s="1771" t="n"/>
    </row>
    <row r="125" ht="20" customFormat="1" customHeight="1" s="3151">
      <c r="B125" s="3944" t="n"/>
      <c r="C125" s="4471">
        <f>Languages!B645</f>
        <v/>
      </c>
      <c r="D125" s="3941">
        <f>'Gross results'!D28</f>
        <v/>
      </c>
      <c r="E125" s="3941">
        <f>'Gross results'!E28</f>
        <v/>
      </c>
      <c r="F125" s="3941">
        <f>E125-D125</f>
        <v/>
      </c>
      <c r="G125" s="3942">
        <f>IF(AND(D125=0,E125=0),0,1)</f>
        <v/>
      </c>
      <c r="H125" s="3949">
        <f>BALANCE!$F$18</f>
        <v/>
      </c>
      <c r="I125" s="3949">
        <f>BALANCE!$G$18</f>
        <v/>
      </c>
      <c r="J125" s="3941">
        <f>BALANCE!$J$18</f>
        <v/>
      </c>
      <c r="K125" s="3941">
        <f>BALANCE!$M$18</f>
        <v/>
      </c>
      <c r="L125" s="3948" t="n"/>
      <c r="M125" s="3944" t="n"/>
      <c r="N125" s="3941">
        <f>'Gross results'!H28</f>
        <v/>
      </c>
      <c r="O125" s="3941">
        <f>'Gross results'!I28</f>
        <v/>
      </c>
      <c r="P125" s="3941">
        <f>O125-N125</f>
        <v/>
      </c>
      <c r="W125" s="1771" t="n"/>
      <c r="X125" s="1771" t="n"/>
      <c r="Y125" s="1771" t="n"/>
      <c r="Z125" s="1771" t="n"/>
      <c r="AA125" s="1771" t="n"/>
      <c r="AB125" s="1771" t="n"/>
      <c r="AC125" s="1771" t="n"/>
      <c r="AD125" s="1771" t="n"/>
      <c r="AE125" s="1771" t="n"/>
      <c r="AF125" s="1771" t="n"/>
      <c r="AG125" s="1771" t="n"/>
      <c r="AH125" s="1771" t="n"/>
      <c r="AI125" s="1771" t="n"/>
      <c r="AJ125" s="1771" t="n"/>
      <c r="AK125" s="1771" t="n"/>
      <c r="AL125" s="1771" t="n"/>
      <c r="AM125" s="1771" t="n"/>
      <c r="AN125" s="1771" t="n"/>
      <c r="AO125" s="1771" t="n"/>
      <c r="AP125" s="1771" t="n"/>
      <c r="AQ125" s="1771" t="n"/>
      <c r="AR125" s="1771" t="n"/>
      <c r="AS125" s="1771" t="n"/>
      <c r="AT125" s="1771" t="n"/>
      <c r="AU125" s="1771" t="n"/>
      <c r="AV125" s="1771" t="n"/>
      <c r="AW125" s="1771" t="n"/>
      <c r="AX125" s="1771" t="n"/>
      <c r="AY125" s="1771" t="n"/>
      <c r="AZ125" s="1771" t="n"/>
      <c r="BA125" s="1771" t="n"/>
      <c r="BB125" s="1771" t="n"/>
      <c r="BC125" s="1771" t="n"/>
      <c r="BD125" s="1771" t="n"/>
      <c r="BE125" s="1771" t="n"/>
      <c r="BF125" s="1771" t="n"/>
      <c r="BG125" s="1771" t="n"/>
      <c r="BH125" s="1771" t="n"/>
      <c r="BI125" s="1771" t="n"/>
      <c r="BJ125" s="1771" t="n"/>
      <c r="BK125" s="1771" t="n"/>
      <c r="BL125" s="1771" t="n"/>
      <c r="BM125" s="1771" t="n"/>
      <c r="BN125" s="1771" t="n"/>
      <c r="BO125" s="1771" t="n"/>
      <c r="BP125" s="1771" t="n"/>
      <c r="BQ125" s="1771" t="n"/>
      <c r="BR125" s="1771" t="n"/>
      <c r="BS125" s="1771" t="n"/>
      <c r="BT125" s="1771" t="n"/>
      <c r="BU125" s="1771" t="n"/>
      <c r="BV125" s="1771" t="n"/>
      <c r="BW125" s="1771" t="n"/>
      <c r="BX125" s="1771" t="n"/>
      <c r="BY125" s="1771" t="n"/>
      <c r="BZ125" s="1771" t="n"/>
      <c r="CA125" s="1771" t="n"/>
      <c r="CB125" s="1771" t="n"/>
      <c r="CC125" s="1771" t="n"/>
      <c r="CD125" s="1771" t="n"/>
      <c r="CE125" s="1771" t="n"/>
      <c r="CF125" s="1771" t="n"/>
      <c r="CG125" s="1771" t="n"/>
    </row>
    <row r="126" ht="20" customFormat="1" customHeight="1" s="3151">
      <c r="B126" s="3941" t="n"/>
      <c r="C126" s="4471">
        <f>Languages!B646</f>
        <v/>
      </c>
      <c r="D126" s="3945">
        <f>'Gross results'!D29</f>
        <v/>
      </c>
      <c r="E126" s="3941">
        <f>'Gross results'!E29</f>
        <v/>
      </c>
      <c r="F126" s="3946">
        <f>E126-D126</f>
        <v/>
      </c>
      <c r="G126" s="3942">
        <f>IF(AND(D126=0,E126=0),0,1)</f>
        <v/>
      </c>
      <c r="H126" s="3941">
        <f>BALANCE!$F$53</f>
        <v/>
      </c>
      <c r="I126" s="3946">
        <f>BALANCE!$G$53</f>
        <v/>
      </c>
      <c r="J126" s="3941">
        <f>BALANCE!$I$53+BALANCE!$J$53</f>
        <v/>
      </c>
      <c r="K126" s="3941">
        <f>BALANCE!$L$53+BALANCE!$M$53+BALANCE!$L$29</f>
        <v/>
      </c>
      <c r="L126" s="3947" t="n"/>
      <c r="M126" s="3944" t="n"/>
      <c r="N126" s="3945">
        <f>'Gross results'!H29</f>
        <v/>
      </c>
      <c r="O126" s="3941">
        <f>'Gross results'!I29</f>
        <v/>
      </c>
      <c r="P126" s="3946">
        <f>O126-N126</f>
        <v/>
      </c>
      <c r="W126" s="1771" t="n"/>
      <c r="X126" s="1771" t="n"/>
      <c r="Y126" s="1771" t="n"/>
      <c r="Z126" s="1771" t="n"/>
      <c r="AA126" s="1771" t="n"/>
      <c r="AB126" s="1771" t="n"/>
      <c r="AC126" s="1771" t="n"/>
      <c r="AD126" s="1771" t="n"/>
      <c r="AE126" s="1771" t="n"/>
      <c r="AF126" s="1771" t="n"/>
      <c r="AG126" s="1771" t="n"/>
      <c r="AH126" s="1771" t="n"/>
      <c r="AI126" s="1771" t="n"/>
      <c r="AJ126" s="1771" t="n"/>
      <c r="AK126" s="1771" t="n"/>
      <c r="AL126" s="1771" t="n"/>
      <c r="AM126" s="1771" t="n"/>
      <c r="AN126" s="1771" t="n"/>
      <c r="AO126" s="1771" t="n"/>
      <c r="AP126" s="1771" t="n"/>
      <c r="AQ126" s="1771" t="n"/>
      <c r="AR126" s="1771" t="n"/>
      <c r="AS126" s="1771" t="n"/>
      <c r="AT126" s="1771" t="n"/>
      <c r="AU126" s="1771" t="n"/>
      <c r="AV126" s="1771" t="n"/>
      <c r="AW126" s="1771" t="n"/>
      <c r="AX126" s="1771" t="n"/>
      <c r="AY126" s="1771" t="n"/>
      <c r="AZ126" s="1771" t="n"/>
      <c r="BA126" s="1771" t="n"/>
      <c r="BB126" s="1771" t="n"/>
      <c r="BC126" s="1771" t="n"/>
      <c r="BD126" s="1771" t="n"/>
      <c r="BE126" s="1771" t="n"/>
      <c r="BF126" s="1771" t="n"/>
      <c r="BG126" s="1771" t="n"/>
      <c r="BH126" s="1771" t="n"/>
      <c r="BI126" s="1771" t="n"/>
      <c r="BJ126" s="1771" t="n"/>
      <c r="BK126" s="1771" t="n"/>
      <c r="BL126" s="1771" t="n"/>
      <c r="BM126" s="1771" t="n"/>
      <c r="BN126" s="1771" t="n"/>
      <c r="BO126" s="1771" t="n"/>
      <c r="BP126" s="1771" t="n"/>
      <c r="BQ126" s="1771" t="n"/>
      <c r="BR126" s="1771" t="n"/>
      <c r="BS126" s="1771" t="n"/>
      <c r="BT126" s="1771" t="n"/>
      <c r="BU126" s="1771" t="n"/>
      <c r="BV126" s="1771" t="n"/>
      <c r="BW126" s="1771" t="n"/>
      <c r="BX126" s="1771" t="n"/>
      <c r="BY126" s="1771" t="n"/>
      <c r="BZ126" s="1771" t="n"/>
      <c r="CA126" s="1771" t="n"/>
      <c r="CB126" s="1771" t="n"/>
      <c r="CC126" s="1771" t="n"/>
      <c r="CD126" s="1771" t="n"/>
      <c r="CE126" s="1771" t="n"/>
      <c r="CF126" s="1771" t="n"/>
      <c r="CG126" s="1771" t="n"/>
    </row>
    <row r="127" ht="20" customFormat="1" customHeight="1" s="3151">
      <c r="B127" s="3944" t="n"/>
      <c r="C127" s="4471">
        <f>Languages!B647</f>
        <v/>
      </c>
      <c r="D127" s="3941">
        <f>'Gross results'!D30</f>
        <v/>
      </c>
      <c r="E127" s="3941">
        <f>'Gross results'!E30</f>
        <v/>
      </c>
      <c r="F127" s="3941">
        <f>E127-D127</f>
        <v/>
      </c>
      <c r="G127" s="3942">
        <f>IF(AND(D127=0,E127=0),0,1)</f>
        <v/>
      </c>
      <c r="H127" s="3941">
        <f>BALANCE!$F$27</f>
        <v/>
      </c>
      <c r="I127" s="3941">
        <f>BALANCE!$G$27</f>
        <v/>
      </c>
      <c r="J127" s="3949">
        <f>BALANCE!I27</f>
        <v/>
      </c>
      <c r="K127" s="3941">
        <f>BALANCE!L27</f>
        <v/>
      </c>
      <c r="L127" s="3949" t="n"/>
      <c r="M127" s="3944" t="n"/>
      <c r="N127" s="3941">
        <f>'Gross results'!H30</f>
        <v/>
      </c>
      <c r="O127" s="3941">
        <f>'Gross results'!I30</f>
        <v/>
      </c>
      <c r="P127" s="3941">
        <f>O127-N127</f>
        <v/>
      </c>
      <c r="W127" s="1771" t="n"/>
      <c r="X127" s="1771" t="n"/>
      <c r="Y127" s="1771" t="n"/>
      <c r="Z127" s="1771" t="n"/>
      <c r="AA127" s="1771" t="n"/>
      <c r="AB127" s="1771" t="n"/>
      <c r="AC127" s="1771" t="n"/>
      <c r="AD127" s="1771" t="n"/>
      <c r="AE127" s="1771" t="n"/>
      <c r="AF127" s="1771" t="n"/>
      <c r="AG127" s="1771" t="n"/>
      <c r="AH127" s="1771" t="n"/>
      <c r="AI127" s="1771" t="n"/>
      <c r="AJ127" s="1771" t="n"/>
      <c r="AK127" s="1771" t="n"/>
      <c r="AL127" s="1771" t="n"/>
      <c r="AM127" s="1771" t="n"/>
      <c r="AN127" s="1771" t="n"/>
      <c r="AO127" s="1771" t="n"/>
      <c r="AP127" s="1771" t="n"/>
      <c r="AQ127" s="1771" t="n"/>
      <c r="AR127" s="1771" t="n"/>
      <c r="AS127" s="1771" t="n"/>
      <c r="AT127" s="1771" t="n"/>
      <c r="AU127" s="1771" t="n"/>
      <c r="AV127" s="1771" t="n"/>
      <c r="AW127" s="1771" t="n"/>
      <c r="AX127" s="1771" t="n"/>
      <c r="AY127" s="1771" t="n"/>
      <c r="AZ127" s="1771" t="n"/>
      <c r="BA127" s="1771" t="n"/>
      <c r="BB127" s="1771" t="n"/>
      <c r="BC127" s="1771" t="n"/>
      <c r="BD127" s="1771" t="n"/>
      <c r="BE127" s="1771" t="n"/>
      <c r="BF127" s="1771" t="n"/>
      <c r="BG127" s="1771" t="n"/>
      <c r="BH127" s="1771" t="n"/>
      <c r="BI127" s="1771" t="n"/>
      <c r="BJ127" s="1771" t="n"/>
      <c r="BK127" s="1771" t="n"/>
      <c r="BL127" s="1771" t="n"/>
      <c r="BM127" s="1771" t="n"/>
      <c r="BN127" s="1771" t="n"/>
      <c r="BO127" s="1771" t="n"/>
      <c r="BP127" s="1771" t="n"/>
      <c r="BQ127" s="1771" t="n"/>
      <c r="BR127" s="1771" t="n"/>
      <c r="BS127" s="1771" t="n"/>
      <c r="BT127" s="1771" t="n"/>
      <c r="BU127" s="1771" t="n"/>
      <c r="BV127" s="1771" t="n"/>
      <c r="BW127" s="1771" t="n"/>
      <c r="BX127" s="1771" t="n"/>
      <c r="BY127" s="1771" t="n"/>
      <c r="BZ127" s="1771" t="n"/>
      <c r="CA127" s="1771" t="n"/>
      <c r="CB127" s="1771" t="n"/>
      <c r="CC127" s="1771" t="n"/>
      <c r="CD127" s="1771" t="n"/>
      <c r="CE127" s="1771" t="n"/>
      <c r="CF127" s="1771" t="n"/>
      <c r="CG127" s="1771" t="n"/>
    </row>
    <row r="128" ht="20" customFormat="1" customHeight="1" s="3151">
      <c r="B128" s="3944" t="n"/>
      <c r="C128" s="3940">
        <f>Languages!B648</f>
        <v/>
      </c>
      <c r="D128" s="3941">
        <f>'Gross results'!D31</f>
        <v/>
      </c>
      <c r="E128" s="3941">
        <f>'Gross results'!E31</f>
        <v/>
      </c>
      <c r="F128" s="3941">
        <f>E128-D128</f>
        <v/>
      </c>
      <c r="G128" s="3942" t="n"/>
      <c r="H128" s="3947">
        <f>BALANCE!F28</f>
        <v/>
      </c>
      <c r="I128" s="3948">
        <f>BALANCE!G28</f>
        <v/>
      </c>
      <c r="J128" s="3948">
        <f>BALANCE!I28</f>
        <v/>
      </c>
      <c r="K128" s="3948">
        <f>BALANCE!L28</f>
        <v/>
      </c>
      <c r="L128" s="3950">
        <f>BALANCE!L28+BALANCE!O28+BALANCE!O60</f>
        <v/>
      </c>
      <c r="M128" s="3944" t="n"/>
      <c r="N128" s="3941">
        <f>'Gross results'!H31</f>
        <v/>
      </c>
      <c r="O128" s="3941">
        <f>'Gross results'!I31</f>
        <v/>
      </c>
      <c r="P128" s="3941">
        <f>O128-N128</f>
        <v/>
      </c>
      <c r="W128" s="1771" t="n"/>
      <c r="X128" s="1771" t="n"/>
      <c r="Y128" s="1771" t="n"/>
      <c r="Z128" s="1771" t="n"/>
      <c r="AA128" s="1771" t="n"/>
      <c r="AB128" s="1771" t="n"/>
      <c r="AC128" s="1771" t="n"/>
      <c r="AD128" s="1771" t="n"/>
      <c r="AE128" s="1771" t="n"/>
      <c r="AF128" s="1771" t="n"/>
      <c r="AG128" s="1771" t="n"/>
      <c r="AH128" s="1771" t="n"/>
      <c r="AI128" s="1771" t="n"/>
      <c r="AJ128" s="1771" t="n"/>
      <c r="AK128" s="1771" t="n"/>
      <c r="AL128" s="1771" t="n"/>
      <c r="AM128" s="1771" t="n"/>
      <c r="AN128" s="1771" t="n"/>
      <c r="AO128" s="1771" t="n"/>
      <c r="AP128" s="1771" t="n"/>
      <c r="AQ128" s="1771" t="n"/>
      <c r="AR128" s="1771" t="n"/>
      <c r="AS128" s="1771" t="n"/>
      <c r="AT128" s="1771" t="n"/>
      <c r="AU128" s="1771" t="n"/>
      <c r="AV128" s="1771" t="n"/>
      <c r="AW128" s="1771" t="n"/>
      <c r="AX128" s="1771" t="n"/>
      <c r="AY128" s="1771" t="n"/>
      <c r="AZ128" s="1771" t="n"/>
      <c r="BA128" s="1771" t="n"/>
      <c r="BB128" s="1771" t="n"/>
      <c r="BC128" s="1771" t="n"/>
      <c r="BD128" s="1771" t="n"/>
      <c r="BE128" s="1771" t="n"/>
      <c r="BF128" s="1771" t="n"/>
      <c r="BG128" s="1771" t="n"/>
      <c r="BH128" s="1771" t="n"/>
      <c r="BI128" s="1771" t="n"/>
      <c r="BJ128" s="1771" t="n"/>
      <c r="BK128" s="1771" t="n"/>
      <c r="BL128" s="1771" t="n"/>
      <c r="BM128" s="1771" t="n"/>
      <c r="BN128" s="1771" t="n"/>
      <c r="BO128" s="1771" t="n"/>
      <c r="BP128" s="1771" t="n"/>
      <c r="BQ128" s="1771" t="n"/>
      <c r="BR128" s="1771" t="n"/>
      <c r="BS128" s="1771" t="n"/>
      <c r="BT128" s="1771" t="n"/>
      <c r="BU128" s="1771" t="n"/>
      <c r="BV128" s="1771" t="n"/>
      <c r="BW128" s="1771" t="n"/>
      <c r="BX128" s="1771" t="n"/>
      <c r="BY128" s="1771" t="n"/>
      <c r="BZ128" s="1771" t="n"/>
      <c r="CA128" s="1771" t="n"/>
      <c r="CB128" s="1771" t="n"/>
      <c r="CC128" s="1771" t="n"/>
      <c r="CD128" s="1771" t="n"/>
      <c r="CE128" s="1771" t="n"/>
      <c r="CF128" s="1771" t="n"/>
      <c r="CG128" s="1771" t="n"/>
    </row>
    <row r="129" ht="20" customFormat="1" customHeight="1" s="3151">
      <c r="B129" s="3953" t="n"/>
      <c r="C129" s="4471">
        <f>Languages!B649</f>
        <v/>
      </c>
      <c r="D129" s="3961">
        <f>'Gross results'!D32</f>
        <v/>
      </c>
      <c r="E129" s="3962">
        <f>'Gross results'!E32</f>
        <v/>
      </c>
      <c r="F129" s="3963">
        <f>E129-D129</f>
        <v/>
      </c>
      <c r="G129" s="3942">
        <f>IF(AND(D129=0,E129=0),0,1)</f>
        <v/>
      </c>
      <c r="H129" s="3964" t="n"/>
      <c r="I129" s="3965">
        <f>BALANCE!G59</f>
        <v/>
      </c>
      <c r="J129" s="3965">
        <f>BALANCE!I59</f>
        <v/>
      </c>
      <c r="K129" s="3965" t="n"/>
      <c r="L129" s="3963">
        <f>BALANCE!$O$59+BALANCE!$O$61+BALANCE!$O$62+BALANCE!$O$63</f>
        <v/>
      </c>
      <c r="M129" s="3953" t="n"/>
      <c r="N129" s="3961">
        <f>'Gross results'!H32</f>
        <v/>
      </c>
      <c r="O129" s="3962">
        <f>'Gross results'!I32</f>
        <v/>
      </c>
      <c r="P129" s="3963">
        <f>O129-N129</f>
        <v/>
      </c>
      <c r="W129" s="1771" t="n"/>
      <c r="X129" s="1771" t="n"/>
      <c r="Y129" s="1771" t="n"/>
      <c r="Z129" s="1771" t="n"/>
      <c r="AA129" s="1771" t="n"/>
      <c r="AB129" s="1771" t="n"/>
      <c r="AC129" s="1771" t="n"/>
      <c r="AD129" s="1771" t="n"/>
      <c r="AE129" s="1771" t="n"/>
      <c r="AF129" s="1771" t="n"/>
      <c r="AG129" s="1771" t="n"/>
      <c r="AH129" s="1771" t="n"/>
      <c r="AI129" s="1771" t="n"/>
      <c r="AJ129" s="1771" t="n"/>
      <c r="AK129" s="1771" t="n"/>
      <c r="AL129" s="1771" t="n"/>
      <c r="AM129" s="1771" t="n"/>
      <c r="AN129" s="1771" t="n"/>
      <c r="AO129" s="1771" t="n"/>
      <c r="AP129" s="1771" t="n"/>
      <c r="AQ129" s="1771" t="n"/>
      <c r="AR129" s="1771" t="n"/>
      <c r="AS129" s="1771" t="n"/>
      <c r="AT129" s="1771" t="n"/>
      <c r="AU129" s="1771" t="n"/>
      <c r="AV129" s="1771" t="n"/>
      <c r="AW129" s="1771" t="n"/>
      <c r="AX129" s="1771" t="n"/>
      <c r="AY129" s="1771" t="n"/>
      <c r="AZ129" s="1771" t="n"/>
      <c r="BA129" s="1771" t="n"/>
      <c r="BB129" s="1771" t="n"/>
      <c r="BC129" s="1771" t="n"/>
      <c r="BD129" s="1771" t="n"/>
      <c r="BE129" s="1771" t="n"/>
      <c r="BF129" s="1771" t="n"/>
      <c r="BG129" s="1771" t="n"/>
      <c r="BH129" s="1771" t="n"/>
      <c r="BI129" s="1771" t="n"/>
      <c r="BJ129" s="1771" t="n"/>
      <c r="BK129" s="1771" t="n"/>
      <c r="BL129" s="1771" t="n"/>
      <c r="BM129" s="1771" t="n"/>
      <c r="BN129" s="1771" t="n"/>
      <c r="BO129" s="1771" t="n"/>
      <c r="BP129" s="1771" t="n"/>
      <c r="BQ129" s="1771" t="n"/>
      <c r="BR129" s="1771" t="n"/>
      <c r="BS129" s="1771" t="n"/>
      <c r="BT129" s="1771" t="n"/>
      <c r="BU129" s="1771" t="n"/>
      <c r="BV129" s="1771" t="n"/>
      <c r="BW129" s="1771" t="n"/>
      <c r="BX129" s="1771" t="n"/>
      <c r="BY129" s="1771" t="n"/>
      <c r="BZ129" s="1771" t="n"/>
      <c r="CA129" s="1771" t="n"/>
      <c r="CB129" s="1771" t="n"/>
      <c r="CC129" s="1771" t="n"/>
      <c r="CD129" s="1771" t="n"/>
      <c r="CE129" s="1771" t="n"/>
      <c r="CF129" s="1771" t="n"/>
      <c r="CG129" s="1771" t="n"/>
    </row>
    <row r="130" ht="17" customFormat="1" customHeight="1" s="1970">
      <c r="B130" s="3952" t="n"/>
      <c r="C130" s="3952" t="n"/>
      <c r="D130" s="3952" t="n"/>
      <c r="E130" s="3952" t="n"/>
      <c r="F130" s="3952" t="n"/>
      <c r="G130" s="3953" t="n"/>
      <c r="H130" s="3952" t="n"/>
      <c r="I130" s="3952" t="n"/>
      <c r="J130" s="3952" t="n"/>
      <c r="K130" s="3952" t="n"/>
      <c r="L130" s="3952" t="n"/>
      <c r="M130" s="3953" t="n"/>
      <c r="N130" s="3952" t="n"/>
      <c r="O130" s="3952" t="n"/>
      <c r="P130" s="3952" t="n"/>
      <c r="W130" s="1771" t="n"/>
      <c r="X130" s="1771" t="n"/>
      <c r="Y130" s="1771" t="n"/>
      <c r="Z130" s="1771" t="n"/>
      <c r="AA130" s="1771" t="n"/>
      <c r="AB130" s="1771" t="n"/>
      <c r="AC130" s="1771" t="n"/>
      <c r="AD130" s="1771" t="n"/>
      <c r="AE130" s="1771" t="n"/>
      <c r="AF130" s="1771" t="n"/>
      <c r="AG130" s="1771" t="n"/>
      <c r="AH130" s="1771" t="n"/>
      <c r="AI130" s="1771" t="n"/>
      <c r="AJ130" s="1771" t="n"/>
      <c r="AK130" s="1771" t="n"/>
      <c r="AL130" s="1771" t="n"/>
      <c r="AM130" s="1771" t="n"/>
      <c r="AN130" s="1771" t="n"/>
      <c r="AO130" s="1771" t="n"/>
      <c r="AP130" s="1771" t="n"/>
      <c r="AQ130" s="1771" t="n"/>
      <c r="AR130" s="1771" t="n"/>
      <c r="AS130" s="1771" t="n"/>
      <c r="AT130" s="1771" t="n"/>
      <c r="AU130" s="1771" t="n"/>
      <c r="AV130" s="1771" t="n"/>
      <c r="AW130" s="1771" t="n"/>
      <c r="AX130" s="1771" t="n"/>
      <c r="AY130" s="1771" t="n"/>
      <c r="AZ130" s="1771" t="n"/>
      <c r="BA130" s="1771" t="n"/>
      <c r="BB130" s="1771" t="n"/>
      <c r="BC130" s="1771" t="n"/>
      <c r="BD130" s="1771" t="n"/>
      <c r="BE130" s="1771" t="n"/>
      <c r="BF130" s="1771" t="n"/>
      <c r="BG130" s="1771" t="n"/>
      <c r="BH130" s="1771" t="n"/>
      <c r="BI130" s="1771" t="n"/>
      <c r="BJ130" s="1771" t="n"/>
      <c r="BK130" s="1771" t="n"/>
      <c r="BL130" s="1771" t="n"/>
      <c r="BM130" s="1771" t="n"/>
      <c r="BN130" s="1771" t="n"/>
      <c r="BO130" s="1771" t="n"/>
      <c r="BP130" s="1771" t="n"/>
      <c r="BQ130" s="1771" t="n"/>
      <c r="BR130" s="1771" t="n"/>
      <c r="BS130" s="1771" t="n"/>
      <c r="BT130" s="1771" t="n"/>
      <c r="BU130" s="1771" t="n"/>
      <c r="BV130" s="1771" t="n"/>
      <c r="BW130" s="1771" t="n"/>
      <c r="BX130" s="1771" t="n"/>
      <c r="BY130" s="1771" t="n"/>
      <c r="BZ130" s="1771" t="n"/>
      <c r="CA130" s="1771" t="n"/>
      <c r="CB130" s="1771" t="n"/>
      <c r="CC130" s="1771" t="n"/>
      <c r="CD130" s="1771" t="n"/>
      <c r="CE130" s="1771" t="n"/>
      <c r="CF130" s="1771" t="n"/>
      <c r="CG130" s="1771" t="n"/>
    </row>
    <row r="131" ht="20" customFormat="1" customHeight="1" s="3151">
      <c r="B131" s="3954">
        <f>Languages!B653</f>
        <v/>
      </c>
      <c r="C131" s="3954" t="n"/>
      <c r="D131" s="3955">
        <f>SUM(D117:D129)</f>
        <v/>
      </c>
      <c r="E131" s="3955">
        <f>SUM(E117:E129)</f>
        <v/>
      </c>
      <c r="F131" s="3955">
        <f>SUM(F117:F129)</f>
        <v/>
      </c>
      <c r="G131" s="3953" t="n"/>
      <c r="H131" s="3955">
        <f>SUM(H117:H129)</f>
        <v/>
      </c>
      <c r="I131" s="3955">
        <f>SUM(I117:I129)</f>
        <v/>
      </c>
      <c r="J131" s="3955">
        <f>SUM(J117:J129)</f>
        <v/>
      </c>
      <c r="K131" s="3955">
        <f>SUM(K117:K129)</f>
        <v/>
      </c>
      <c r="L131" s="3955">
        <f>SUM(L117:L129)</f>
        <v/>
      </c>
      <c r="M131" s="3953" t="n"/>
      <c r="N131" s="3956">
        <f>SUM(N117:N129)</f>
        <v/>
      </c>
      <c r="O131" s="3956">
        <f>SUM(O117:O129)</f>
        <v/>
      </c>
      <c r="P131" s="3956">
        <f>SUM(P117:P129)</f>
        <v/>
      </c>
      <c r="W131" s="1771" t="n"/>
      <c r="X131" s="1771" t="n"/>
      <c r="Y131" s="1771" t="n"/>
      <c r="Z131" s="1771" t="n"/>
      <c r="AA131" s="1771" t="n"/>
      <c r="AB131" s="1771" t="n"/>
      <c r="AC131" s="1771" t="n"/>
      <c r="AD131" s="1771" t="n"/>
      <c r="AE131" s="1771" t="n"/>
      <c r="AF131" s="1771" t="n"/>
      <c r="AG131" s="1771" t="n"/>
      <c r="AH131" s="1771" t="n"/>
      <c r="AI131" s="1771" t="n"/>
      <c r="AJ131" s="1771" t="n"/>
      <c r="AK131" s="1771" t="n"/>
      <c r="AL131" s="1771" t="n"/>
      <c r="AM131" s="1771" t="n"/>
      <c r="AN131" s="1771" t="n"/>
      <c r="AO131" s="1771" t="n"/>
      <c r="AP131" s="1771" t="n"/>
      <c r="AQ131" s="1771" t="n"/>
      <c r="AR131" s="1771" t="n"/>
      <c r="AS131" s="1771" t="n"/>
      <c r="AT131" s="1771" t="n"/>
      <c r="AU131" s="1771" t="n"/>
      <c r="AV131" s="1771" t="n"/>
      <c r="AW131" s="1771" t="n"/>
      <c r="AX131" s="1771" t="n"/>
      <c r="AY131" s="1771" t="n"/>
      <c r="AZ131" s="1771" t="n"/>
      <c r="BA131" s="1771" t="n"/>
      <c r="BB131" s="1771" t="n"/>
      <c r="BC131" s="1771" t="n"/>
      <c r="BD131" s="1771" t="n"/>
      <c r="BE131" s="1771" t="n"/>
      <c r="BF131" s="1771" t="n"/>
      <c r="BG131" s="1771" t="n"/>
      <c r="BH131" s="1771" t="n"/>
      <c r="BI131" s="1771" t="n"/>
      <c r="BJ131" s="1771" t="n"/>
      <c r="BK131" s="1771" t="n"/>
      <c r="BL131" s="1771" t="n"/>
      <c r="BM131" s="1771" t="n"/>
      <c r="BN131" s="1771" t="n"/>
      <c r="BO131" s="1771" t="n"/>
      <c r="BP131" s="1771" t="n"/>
      <c r="BQ131" s="1771" t="n"/>
      <c r="BR131" s="1771" t="n"/>
      <c r="BS131" s="1771" t="n"/>
      <c r="BT131" s="1771" t="n"/>
      <c r="BU131" s="1771" t="n"/>
      <c r="BV131" s="1771" t="n"/>
      <c r="BW131" s="1771" t="n"/>
      <c r="BX131" s="1771" t="n"/>
      <c r="BY131" s="1771" t="n"/>
      <c r="BZ131" s="1771" t="n"/>
      <c r="CA131" s="1771" t="n"/>
      <c r="CB131" s="1771" t="n"/>
      <c r="CC131" s="1771" t="n"/>
      <c r="CD131" s="1771" t="n"/>
      <c r="CE131" s="1771" t="n"/>
      <c r="CF131" s="1771" t="n"/>
      <c r="CG131" s="1771" t="n"/>
    </row>
    <row r="132" ht="20" customFormat="1" customHeight="1" s="3151">
      <c r="B132" s="3954">
        <f>Languages!B654</f>
        <v/>
      </c>
      <c r="C132" s="3957" t="n"/>
      <c r="D132" s="4840">
        <f>IFERROR(D131/$K$107,0)</f>
        <v/>
      </c>
      <c r="E132" s="4840">
        <f>IFERROR(E131/$K$107,0)</f>
        <v/>
      </c>
      <c r="F132" s="4840">
        <f>IFERROR(F131/$K$107,0)</f>
        <v/>
      </c>
      <c r="G132" s="3953" t="n"/>
      <c r="H132" s="4840">
        <f>IFERROR(H131/$K$107,0)</f>
        <v/>
      </c>
      <c r="I132" s="4840">
        <f>IFERROR(I131/$K$107,0)</f>
        <v/>
      </c>
      <c r="J132" s="4840">
        <f>IFERROR(J131/$K$107,0)</f>
        <v/>
      </c>
      <c r="K132" s="4840">
        <f>IFERROR(K131/$K$107,0)</f>
        <v/>
      </c>
      <c r="L132" s="4840">
        <f>IFERROR(L131/$K$107,0)</f>
        <v/>
      </c>
      <c r="M132" s="3953" t="n"/>
      <c r="N132" s="4841" t="n"/>
      <c r="O132" s="4841" t="n"/>
      <c r="P132" s="4841" t="n"/>
      <c r="W132" s="1771" t="n"/>
      <c r="X132" s="1771" t="n"/>
      <c r="Y132" s="1771" t="n"/>
      <c r="Z132" s="1771" t="n"/>
      <c r="AA132" s="1771" t="n"/>
      <c r="AB132" s="1771" t="n"/>
      <c r="AC132" s="1771" t="n"/>
      <c r="AD132" s="1771" t="n"/>
      <c r="AE132" s="1771" t="n"/>
      <c r="AF132" s="1771" t="n"/>
      <c r="AG132" s="1771" t="n"/>
      <c r="AH132" s="1771" t="n"/>
      <c r="AI132" s="1771" t="n"/>
      <c r="AJ132" s="1771" t="n"/>
      <c r="AK132" s="1771" t="n"/>
      <c r="AL132" s="1771" t="n"/>
      <c r="AM132" s="1771" t="n"/>
      <c r="AN132" s="1771" t="n"/>
      <c r="AO132" s="1771" t="n"/>
      <c r="AP132" s="1771" t="n"/>
      <c r="AQ132" s="1771" t="n"/>
      <c r="AR132" s="1771" t="n"/>
      <c r="AS132" s="1771" t="n"/>
      <c r="AT132" s="1771" t="n"/>
      <c r="AU132" s="1771" t="n"/>
      <c r="AV132" s="1771" t="n"/>
      <c r="AW132" s="1771" t="n"/>
      <c r="AX132" s="1771" t="n"/>
      <c r="AY132" s="1771" t="n"/>
      <c r="AZ132" s="1771" t="n"/>
      <c r="BA132" s="1771" t="n"/>
      <c r="BB132" s="1771" t="n"/>
      <c r="BC132" s="1771" t="n"/>
      <c r="BD132" s="1771" t="n"/>
      <c r="BE132" s="1771" t="n"/>
      <c r="BF132" s="1771" t="n"/>
      <c r="BG132" s="1771" t="n"/>
      <c r="BH132" s="1771" t="n"/>
      <c r="BI132" s="1771" t="n"/>
      <c r="BJ132" s="1771" t="n"/>
      <c r="BK132" s="1771" t="n"/>
      <c r="BL132" s="1771" t="n"/>
      <c r="BM132" s="1771" t="n"/>
      <c r="BN132" s="1771" t="n"/>
      <c r="BO132" s="1771" t="n"/>
      <c r="BP132" s="1771" t="n"/>
      <c r="BQ132" s="1771" t="n"/>
      <c r="BR132" s="1771" t="n"/>
      <c r="BS132" s="1771" t="n"/>
      <c r="BT132" s="1771" t="n"/>
      <c r="BU132" s="1771" t="n"/>
      <c r="BV132" s="1771" t="n"/>
      <c r="BW132" s="1771" t="n"/>
      <c r="BX132" s="1771" t="n"/>
      <c r="BY132" s="1771" t="n"/>
      <c r="BZ132" s="1771" t="n"/>
      <c r="CA132" s="1771" t="n"/>
      <c r="CB132" s="1771" t="n"/>
      <c r="CC132" s="1771" t="n"/>
      <c r="CD132" s="1771" t="n"/>
      <c r="CE132" s="1771" t="n"/>
      <c r="CF132" s="1771" t="n"/>
      <c r="CG132" s="1771" t="n"/>
    </row>
    <row r="133" ht="20" customFormat="1" customHeight="1" s="3151">
      <c r="B133" s="3954">
        <f>Languages!B655</f>
        <v/>
      </c>
      <c r="C133" s="3954" t="n"/>
      <c r="D133" s="4842">
        <f>IFERROR(D132/time_tot,0)</f>
        <v/>
      </c>
      <c r="E133" s="4842">
        <f>IFERROR(E132/time_tot,0)</f>
        <v/>
      </c>
      <c r="F133" s="4842">
        <f>IFERROR(F132/time_tot,0)</f>
        <v/>
      </c>
      <c r="G133" s="3953" t="n"/>
      <c r="H133" s="4842">
        <f>IFERROR(H132/time_tot,0)</f>
        <v/>
      </c>
      <c r="I133" s="4842">
        <f>IFERROR(I132/time_tot,0)</f>
        <v/>
      </c>
      <c r="J133" s="4842">
        <f>IFERROR(J132/time_tot,0)</f>
        <v/>
      </c>
      <c r="K133" s="4842">
        <f>IFERROR(K132/time_tot,0)</f>
        <v/>
      </c>
      <c r="L133" s="4842">
        <f>IFERROR(L132/time_tot,0)</f>
        <v/>
      </c>
      <c r="M133" s="3953" t="n"/>
      <c r="N133" s="4842" t="n"/>
      <c r="O133" s="4842" t="n"/>
      <c r="P133" s="4842" t="n"/>
      <c r="W133" s="1771" t="n"/>
      <c r="X133" s="1771" t="n"/>
      <c r="Y133" s="1771" t="n"/>
      <c r="Z133" s="1771" t="n"/>
      <c r="AA133" s="1771" t="n"/>
      <c r="AB133" s="1771" t="n"/>
      <c r="AC133" s="1771" t="n"/>
      <c r="AD133" s="1771" t="n"/>
      <c r="AE133" s="1771" t="n"/>
      <c r="AF133" s="1771" t="n"/>
      <c r="AG133" s="1771" t="n"/>
      <c r="AH133" s="1771" t="n"/>
      <c r="AI133" s="1771" t="n"/>
      <c r="AJ133" s="1771" t="n"/>
      <c r="AK133" s="1771" t="n"/>
      <c r="AL133" s="1771" t="n"/>
      <c r="AM133" s="1771" t="n"/>
      <c r="AN133" s="1771" t="n"/>
      <c r="AO133" s="1771" t="n"/>
      <c r="AP133" s="1771" t="n"/>
      <c r="AQ133" s="1771" t="n"/>
      <c r="AR133" s="1771" t="n"/>
      <c r="AS133" s="1771" t="n"/>
      <c r="AT133" s="1771" t="n"/>
      <c r="AU133" s="1771" t="n"/>
      <c r="AV133" s="1771" t="n"/>
      <c r="AW133" s="1771" t="n"/>
      <c r="AX133" s="1771" t="n"/>
      <c r="AY133" s="1771" t="n"/>
      <c r="AZ133" s="1771" t="n"/>
      <c r="BA133" s="1771" t="n"/>
      <c r="BB133" s="1771" t="n"/>
      <c r="BC133" s="1771" t="n"/>
      <c r="BD133" s="1771" t="n"/>
      <c r="BE133" s="1771" t="n"/>
      <c r="BF133" s="1771" t="n"/>
      <c r="BG133" s="1771" t="n"/>
      <c r="BH133" s="1771" t="n"/>
      <c r="BI133" s="1771" t="n"/>
      <c r="BJ133" s="1771" t="n"/>
      <c r="BK133" s="1771" t="n"/>
      <c r="BL133" s="1771" t="n"/>
      <c r="BM133" s="1771" t="n"/>
      <c r="BN133" s="1771" t="n"/>
      <c r="BO133" s="1771" t="n"/>
      <c r="BP133" s="1771" t="n"/>
      <c r="BQ133" s="1771" t="n"/>
      <c r="BR133" s="1771" t="n"/>
      <c r="BS133" s="1771" t="n"/>
      <c r="BT133" s="1771" t="n"/>
      <c r="BU133" s="1771" t="n"/>
      <c r="BV133" s="1771" t="n"/>
      <c r="BW133" s="1771" t="n"/>
      <c r="BX133" s="1771" t="n"/>
      <c r="BY133" s="1771" t="n"/>
      <c r="BZ133" s="1771" t="n"/>
      <c r="CA133" s="1771" t="n"/>
      <c r="CB133" s="1771" t="n"/>
      <c r="CC133" s="1771" t="n"/>
      <c r="CD133" s="1771" t="n"/>
      <c r="CE133" s="1771" t="n"/>
      <c r="CF133" s="1771" t="n"/>
      <c r="CG133" s="1771" t="n"/>
    </row>
    <row r="134" ht="17" customHeight="1">
      <c r="B134" s="3966">
        <f>Languages!B656</f>
        <v/>
      </c>
      <c r="C134" s="1966" t="n"/>
      <c r="D134" s="3916" t="n"/>
      <c r="E134" s="3916" t="n"/>
      <c r="F134" s="3916" t="n"/>
      <c r="G134" s="3916" t="n"/>
      <c r="H134" s="3916" t="n"/>
      <c r="I134" s="3916" t="n"/>
      <c r="J134" s="3916" t="n"/>
      <c r="K134" s="3916" t="n"/>
      <c r="L134" s="3916" t="n"/>
      <c r="M134" s="3916" t="n"/>
      <c r="N134" s="3916" t="n"/>
      <c r="O134" s="3916" t="n"/>
      <c r="P134" s="3916" t="n"/>
    </row>
    <row r="135">
      <c r="B135" s="3514">
        <f>Languages!B657</f>
        <v/>
      </c>
      <c r="N135" s="4030">
        <f>Languages!B701</f>
        <v/>
      </c>
      <c r="O135" s="4115">
        <f>Languages!B702</f>
        <v/>
      </c>
      <c r="P135" s="4115">
        <f>Languages!B703</f>
        <v/>
      </c>
    </row>
    <row r="136">
      <c r="B136" s="3514">
        <f>Languages!B658</f>
        <v/>
      </c>
      <c r="N136" s="4033">
        <f>D116</f>
        <v/>
      </c>
      <c r="O136" s="4031">
        <f>N131</f>
        <v/>
      </c>
      <c r="P136" s="4032">
        <f>BALANCE!U135</f>
        <v/>
      </c>
    </row>
    <row r="137">
      <c r="B137" s="3514">
        <f>Languages!B659</f>
        <v/>
      </c>
      <c r="N137" s="4033">
        <f>E116</f>
        <v/>
      </c>
      <c r="O137" s="4031">
        <f>O131</f>
        <v/>
      </c>
      <c r="P137" s="4032">
        <f>BALANCE!U164</f>
        <v/>
      </c>
    </row>
    <row r="138">
      <c r="N138" s="4033">
        <f>F116</f>
        <v/>
      </c>
      <c r="O138" s="4031">
        <f>P131</f>
        <v/>
      </c>
      <c r="P138" s="4032">
        <f>BALANCE!U107</f>
        <v/>
      </c>
    </row>
    <row r="139" ht="16" customHeight="1">
      <c r="BW139" s="1966" t="n"/>
      <c r="BX139" s="1966" t="n"/>
      <c r="BY139" s="1966" t="n"/>
      <c r="BZ139" s="1966" t="n"/>
      <c r="CA139" s="1966" t="n"/>
      <c r="CB139" s="1966" t="n"/>
      <c r="CC139" s="1966" t="n"/>
      <c r="CD139" s="1966" t="n"/>
      <c r="CE139" s="1966" t="n"/>
      <c r="CF139" s="1966" t="n"/>
      <c r="CG139" s="1966" t="n"/>
    </row>
    <row r="140" ht="16" customHeight="1">
      <c r="BW140" s="1966" t="n"/>
      <c r="BX140" s="1966" t="n"/>
      <c r="BY140" s="1966" t="n"/>
      <c r="BZ140" s="1966" t="n"/>
      <c r="CA140" s="1966" t="n"/>
      <c r="CB140" s="1966" t="n"/>
      <c r="CC140" s="1966" t="n"/>
      <c r="CD140" s="1966" t="n"/>
      <c r="CE140" s="1966" t="n"/>
      <c r="CF140" s="1966" t="n"/>
      <c r="CG140" s="1966" t="n"/>
    </row>
    <row r="141" ht="16" customHeight="1">
      <c r="BW141" s="1966" t="n"/>
      <c r="BX141" s="1966" t="n"/>
      <c r="BY141" s="1966" t="n"/>
      <c r="BZ141" s="1966" t="n"/>
      <c r="CA141" s="1966" t="n"/>
      <c r="CB141" s="1966" t="n"/>
      <c r="CC141" s="1966" t="n"/>
      <c r="CD141" s="1966" t="n"/>
      <c r="CE141" s="1966" t="n"/>
      <c r="CF141" s="1966" t="n"/>
      <c r="CG141" s="1966" t="n"/>
    </row>
    <row r="142" ht="16" customHeight="1">
      <c r="BW142" s="1966" t="n"/>
      <c r="BX142" s="1966" t="n"/>
      <c r="BY142" s="1966" t="n"/>
      <c r="BZ142" s="1966" t="n"/>
      <c r="CA142" s="1966" t="n"/>
      <c r="CB142" s="1966" t="n"/>
      <c r="CC142" s="1966" t="n"/>
      <c r="CD142" s="1966" t="n"/>
      <c r="CE142" s="1966" t="n"/>
      <c r="CF142" s="1966" t="n"/>
      <c r="CG142" s="1966" t="n"/>
    </row>
    <row r="143" ht="57.75" customHeight="1">
      <c r="B143" s="4605">
        <f>Languages!B674</f>
        <v/>
      </c>
      <c r="BW143" s="1966" t="n"/>
      <c r="BX143" s="1966" t="n"/>
      <c r="BY143" s="1966" t="n"/>
      <c r="BZ143" s="1966" t="n"/>
      <c r="CA143" s="1966" t="n"/>
      <c r="CB143" s="1966" t="n"/>
      <c r="CC143" s="1966" t="n"/>
      <c r="CD143" s="1966" t="n"/>
      <c r="CE143" s="1966" t="n"/>
      <c r="CF143" s="1966" t="n"/>
      <c r="CG143" s="1966" t="n"/>
    </row>
    <row r="144" ht="16" customHeight="1">
      <c r="BW144" s="1966" t="n"/>
      <c r="BX144" s="1966" t="n"/>
      <c r="BY144" s="1966" t="n"/>
      <c r="BZ144" s="1966" t="n"/>
      <c r="CA144" s="1966" t="n"/>
      <c r="CB144" s="1966" t="n"/>
      <c r="CC144" s="1966" t="n"/>
      <c r="CD144" s="1966" t="n"/>
      <c r="CE144" s="1966" t="n"/>
      <c r="CF144" s="1966" t="n"/>
      <c r="CG144" s="1966" t="n"/>
    </row>
    <row r="145" ht="16" customHeight="1">
      <c r="BW145" s="1966" t="n"/>
      <c r="BX145" s="1966" t="n"/>
      <c r="BY145" s="1966" t="n"/>
      <c r="BZ145" s="1966" t="n"/>
      <c r="CA145" s="1966" t="n"/>
      <c r="CB145" s="1966" t="n"/>
      <c r="CC145" s="1966" t="n"/>
      <c r="CD145" s="1966" t="n"/>
      <c r="CE145" s="1966" t="n"/>
      <c r="CF145" s="1966" t="n"/>
      <c r="CG145" s="1966" t="n"/>
    </row>
    <row r="146" ht="33" customHeight="1">
      <c r="B146" s="3989">
        <f>Languages!B675</f>
        <v/>
      </c>
      <c r="C146" s="4832" t="n"/>
      <c r="D146" s="3989">
        <f>Languages!B686</f>
        <v/>
      </c>
      <c r="E146" s="3989">
        <f>Languages!B687</f>
        <v/>
      </c>
      <c r="F146" s="3989">
        <f>Languages!B688</f>
        <v/>
      </c>
      <c r="G146" s="3989">
        <f>Languages!B689</f>
        <v/>
      </c>
      <c r="H146" s="4832" t="n"/>
      <c r="I146" s="3989">
        <f>Languages!B690</f>
        <v/>
      </c>
      <c r="J146" s="3989">
        <f>Languages!B691</f>
        <v/>
      </c>
      <c r="K146" s="3989">
        <f>Languages!B692</f>
        <v/>
      </c>
      <c r="L146" s="3989">
        <f>J107</f>
        <v/>
      </c>
      <c r="O146" s="3930">
        <f>J107</f>
        <v/>
      </c>
      <c r="P146" s="3987">
        <f>K107</f>
        <v/>
      </c>
    </row>
    <row r="147" ht="22.25" customHeight="1">
      <c r="B147" s="3151">
        <f>Languages!B676</f>
        <v/>
      </c>
      <c r="C147" s="1970" t="n"/>
      <c r="D147" s="4630">
        <f>Matrix!I7</f>
        <v/>
      </c>
      <c r="E147" s="4103">
        <f>Matrix!J7</f>
        <v/>
      </c>
      <c r="F147" s="4103">
        <f>Matrix!K7</f>
        <v/>
      </c>
      <c r="G147" s="4103">
        <f>Matrix!L7</f>
        <v/>
      </c>
      <c r="H147" s="4843" t="n"/>
      <c r="I147" s="4103">
        <f>Matrix!M7</f>
        <v/>
      </c>
      <c r="J147" s="4103">
        <f>Matrix!N7</f>
        <v/>
      </c>
      <c r="K147" s="4103">
        <f>Matrix!O7</f>
        <v/>
      </c>
      <c r="L147" s="4094">
        <f>Matrix!P7</f>
        <v/>
      </c>
      <c r="O147" s="3918">
        <f>J108</f>
        <v/>
      </c>
      <c r="P147" s="3981">
        <f>K108</f>
        <v/>
      </c>
    </row>
    <row r="148" ht="22.25" customHeight="1">
      <c r="B148" s="3151">
        <f>Languages!B677</f>
        <v/>
      </c>
      <c r="C148" s="1970" t="n"/>
      <c r="D148" s="4100">
        <f>Matrix!I8</f>
        <v/>
      </c>
      <c r="E148" s="4102">
        <f>Matrix!J8</f>
        <v/>
      </c>
      <c r="F148" s="3985">
        <f>Matrix!K8</f>
        <v/>
      </c>
      <c r="G148" s="3985">
        <f>Matrix!L8</f>
        <v/>
      </c>
      <c r="H148" s="3828" t="n"/>
      <c r="I148" s="3985">
        <f>Matrix!M8</f>
        <v/>
      </c>
      <c r="J148" s="3985">
        <f>Matrix!N8</f>
        <v/>
      </c>
      <c r="K148" s="3985">
        <f>Matrix!O8</f>
        <v/>
      </c>
      <c r="L148" s="4096">
        <f>Matrix!P8</f>
        <v/>
      </c>
      <c r="O148" s="3918">
        <f>J109</f>
        <v/>
      </c>
      <c r="P148" s="3981">
        <f>K109</f>
        <v/>
      </c>
      <c r="BW148" s="1970" t="n"/>
      <c r="BX148" s="1970" t="n"/>
      <c r="BY148" s="1970" t="n"/>
      <c r="BZ148" s="1970" t="n"/>
      <c r="CA148" s="1970" t="n"/>
      <c r="CB148" s="1970" t="n"/>
      <c r="CC148" s="1970" t="n"/>
      <c r="CD148" s="1970" t="n"/>
      <c r="CE148" s="1970" t="n"/>
      <c r="CF148" s="1970" t="n"/>
      <c r="CG148" s="1970" t="n"/>
    </row>
    <row r="149" ht="22.25" customHeight="1">
      <c r="B149" s="3151">
        <f>Languages!B678</f>
        <v/>
      </c>
      <c r="C149" s="1970" t="n"/>
      <c r="D149" s="4100">
        <f>Matrix!I9</f>
        <v/>
      </c>
      <c r="E149" s="3985">
        <f>Matrix!J9</f>
        <v/>
      </c>
      <c r="F149" s="4102">
        <f>Matrix!K9</f>
        <v/>
      </c>
      <c r="G149" s="3985">
        <f>Matrix!L9</f>
        <v/>
      </c>
      <c r="H149" s="3828" t="n"/>
      <c r="I149" s="3985">
        <f>Matrix!M9</f>
        <v/>
      </c>
      <c r="J149" s="3985">
        <f>Matrix!N9</f>
        <v/>
      </c>
      <c r="K149" s="3985">
        <f>Matrix!O9</f>
        <v/>
      </c>
      <c r="L149" s="4096">
        <f>Matrix!P9</f>
        <v/>
      </c>
      <c r="O149" s="3918">
        <f>J110</f>
        <v/>
      </c>
      <c r="P149" s="3981">
        <f>K110</f>
        <v/>
      </c>
    </row>
    <row r="150" ht="22.25" customHeight="1">
      <c r="B150" s="3151">
        <f>Languages!B679</f>
        <v/>
      </c>
      <c r="C150" s="1970" t="n"/>
      <c r="D150" s="4100">
        <f>Matrix!I10</f>
        <v/>
      </c>
      <c r="E150" s="3985">
        <f>Matrix!J10</f>
        <v/>
      </c>
      <c r="F150" s="3985">
        <f>Matrix!K10</f>
        <v/>
      </c>
      <c r="G150" s="4102">
        <f>Matrix!L10</f>
        <v/>
      </c>
      <c r="H150" s="3828" t="n"/>
      <c r="I150" s="3985">
        <f>Matrix!M10</f>
        <v/>
      </c>
      <c r="J150" s="3985">
        <f>Matrix!N10</f>
        <v/>
      </c>
      <c r="K150" s="3985">
        <f>Matrix!O10</f>
        <v/>
      </c>
      <c r="L150" s="4096">
        <f>Matrix!P10</f>
        <v/>
      </c>
      <c r="BW150" s="3151" t="n"/>
      <c r="BX150" s="3151" t="n"/>
      <c r="BY150" s="3151" t="n"/>
      <c r="BZ150" s="3151" t="n"/>
      <c r="CA150" s="3151" t="n"/>
      <c r="CB150" s="3151" t="n"/>
      <c r="CC150" s="3151" t="n"/>
      <c r="CD150" s="3151" t="n"/>
      <c r="CE150" s="3151" t="n"/>
      <c r="CF150" s="3151" t="n"/>
      <c r="CG150" s="3151" t="n"/>
    </row>
    <row r="151" ht="22.25" customHeight="1">
      <c r="B151" s="3151">
        <f>Languages!B680</f>
        <v/>
      </c>
      <c r="C151" s="1970" t="n"/>
      <c r="D151" s="4100">
        <f>Matrix!I11</f>
        <v/>
      </c>
      <c r="E151" s="3985">
        <f>Matrix!J11</f>
        <v/>
      </c>
      <c r="F151" s="3985">
        <f>Matrix!K11</f>
        <v/>
      </c>
      <c r="G151" s="3985">
        <f>Matrix!L11</f>
        <v/>
      </c>
      <c r="H151" s="3828" t="n"/>
      <c r="I151" s="4102">
        <f>Matrix!M11</f>
        <v/>
      </c>
      <c r="J151" s="3985">
        <f>Matrix!N11</f>
        <v/>
      </c>
      <c r="K151" s="3985">
        <f>Matrix!O11</f>
        <v/>
      </c>
      <c r="L151" s="4096">
        <f>Matrix!P11</f>
        <v/>
      </c>
      <c r="BW151" s="3151" t="n"/>
      <c r="BX151" s="3151" t="n"/>
      <c r="BY151" s="3151" t="n"/>
      <c r="BZ151" s="3151" t="n"/>
      <c r="CA151" s="3151" t="n"/>
      <c r="CB151" s="3151" t="n"/>
      <c r="CC151" s="3151" t="n"/>
      <c r="CD151" s="3151" t="n"/>
      <c r="CE151" s="3151" t="n"/>
      <c r="CF151" s="3151" t="n"/>
      <c r="CG151" s="3151" t="n"/>
    </row>
    <row r="152" ht="22.25" customHeight="1">
      <c r="B152" s="3151">
        <f>Languages!B681</f>
        <v/>
      </c>
      <c r="C152" s="1970" t="n"/>
      <c r="D152" s="4100">
        <f>Matrix!I12</f>
        <v/>
      </c>
      <c r="E152" s="3985">
        <f>Matrix!J12</f>
        <v/>
      </c>
      <c r="F152" s="3985">
        <f>Matrix!K12</f>
        <v/>
      </c>
      <c r="G152" s="3985">
        <f>Matrix!L12</f>
        <v/>
      </c>
      <c r="H152" s="3828" t="n"/>
      <c r="I152" s="3985">
        <f>Matrix!M12</f>
        <v/>
      </c>
      <c r="J152" s="4102">
        <f>Matrix!N12</f>
        <v/>
      </c>
      <c r="K152" s="3985">
        <f>Matrix!O12</f>
        <v/>
      </c>
      <c r="L152" s="4096">
        <f>Matrix!P12</f>
        <v/>
      </c>
      <c r="BW152" s="3151" t="n"/>
      <c r="BX152" s="3151" t="n"/>
      <c r="BY152" s="3151" t="n"/>
      <c r="BZ152" s="3151" t="n"/>
      <c r="CA152" s="3151" t="n"/>
      <c r="CB152" s="3151" t="n"/>
      <c r="CC152" s="3151" t="n"/>
      <c r="CD152" s="3151" t="n"/>
      <c r="CE152" s="3151" t="n"/>
      <c r="CF152" s="3151" t="n"/>
      <c r="CG152" s="3151" t="n"/>
    </row>
    <row r="153" ht="22.25" customHeight="1">
      <c r="B153" s="3151">
        <f>Languages!B682</f>
        <v/>
      </c>
      <c r="C153" s="1970" t="n"/>
      <c r="D153" s="4100">
        <f>Matrix!I13</f>
        <v/>
      </c>
      <c r="E153" s="3985">
        <f>Matrix!J13</f>
        <v/>
      </c>
      <c r="F153" s="3985">
        <f>Matrix!K13</f>
        <v/>
      </c>
      <c r="G153" s="3985">
        <f>Matrix!L13</f>
        <v/>
      </c>
      <c r="H153" s="3828" t="n"/>
      <c r="I153" s="3985">
        <f>Matrix!M13</f>
        <v/>
      </c>
      <c r="J153" s="3985">
        <f>Matrix!N13</f>
        <v/>
      </c>
      <c r="K153" s="4102">
        <f>Matrix!O13</f>
        <v/>
      </c>
      <c r="L153" s="4096">
        <f>Matrix!P13</f>
        <v/>
      </c>
      <c r="BW153" s="3151" t="n"/>
      <c r="BX153" s="3151" t="n"/>
      <c r="BY153" s="3151" t="n"/>
      <c r="BZ153" s="3151" t="n"/>
      <c r="CA153" s="3151" t="n"/>
      <c r="CB153" s="3151" t="n"/>
      <c r="CC153" s="3151" t="n"/>
      <c r="CD153" s="3151" t="n"/>
      <c r="CE153" s="3151" t="n"/>
      <c r="CF153" s="3151" t="n"/>
      <c r="CG153" s="3151" t="n"/>
    </row>
    <row r="154" ht="22.25" customHeight="1">
      <c r="B154" s="3986">
        <f>Languages!B683</f>
        <v/>
      </c>
      <c r="C154" s="1970" t="n"/>
      <c r="D154" s="4628">
        <f>Matrix!I14</f>
        <v/>
      </c>
      <c r="E154" s="4097">
        <f>Matrix!J14</f>
        <v/>
      </c>
      <c r="F154" s="4097">
        <f>Matrix!K14</f>
        <v/>
      </c>
      <c r="G154" s="4097">
        <f>Matrix!L14</f>
        <v/>
      </c>
      <c r="H154" s="3831" t="n"/>
      <c r="I154" s="4097">
        <f>Matrix!M14</f>
        <v/>
      </c>
      <c r="J154" s="4097">
        <f>Matrix!N14</f>
        <v/>
      </c>
      <c r="K154" s="4097">
        <f>Matrix!O14</f>
        <v/>
      </c>
      <c r="L154" s="4627">
        <f>Matrix!P14</f>
        <v/>
      </c>
      <c r="BW154" s="3151" t="n"/>
      <c r="BX154" s="3151" t="n"/>
      <c r="BY154" s="3151" t="n"/>
      <c r="BZ154" s="3151" t="n"/>
      <c r="CA154" s="3151" t="n"/>
      <c r="CB154" s="3151" t="n"/>
      <c r="CC154" s="3151" t="n"/>
      <c r="CD154" s="3151" t="n"/>
      <c r="CE154" s="3151" t="n"/>
      <c r="CF154" s="3151" t="n"/>
      <c r="CG154" s="3151" t="n"/>
    </row>
    <row r="155" ht="16" customHeight="1">
      <c r="BW155" s="3151" t="n"/>
      <c r="BX155" s="3151" t="n"/>
      <c r="BY155" s="3151" t="n"/>
      <c r="BZ155" s="3151" t="n"/>
      <c r="CA155" s="3151" t="n"/>
      <c r="CB155" s="3151" t="n"/>
      <c r="CC155" s="3151" t="n"/>
      <c r="CD155" s="3151" t="n"/>
      <c r="CE155" s="3151" t="n"/>
      <c r="CF155" s="3151" t="n"/>
      <c r="CG155" s="3151" t="n"/>
    </row>
    <row r="156" ht="16" customHeight="1">
      <c r="BW156" s="3151" t="n"/>
      <c r="BX156" s="3151" t="n"/>
      <c r="BY156" s="3151" t="n"/>
      <c r="BZ156" s="3151" t="n"/>
      <c r="CA156" s="3151" t="n"/>
      <c r="CB156" s="3151" t="n"/>
      <c r="CC156" s="3151" t="n"/>
      <c r="CD156" s="3151" t="n"/>
      <c r="CE156" s="3151" t="n"/>
      <c r="CF156" s="3151" t="n"/>
      <c r="CG156" s="3151" t="n"/>
    </row>
    <row r="157" ht="33" customHeight="1">
      <c r="B157" s="3989">
        <f>Languages!B684</f>
        <v/>
      </c>
      <c r="C157" s="4832" t="n"/>
      <c r="D157" s="3989">
        <f>D146</f>
        <v/>
      </c>
      <c r="E157" s="3989">
        <f>E146</f>
        <v/>
      </c>
      <c r="F157" s="3989">
        <f>F146</f>
        <v/>
      </c>
      <c r="G157" s="3989">
        <f>G146</f>
        <v/>
      </c>
      <c r="H157" s="4832" t="n"/>
      <c r="I157" s="3989">
        <f>I146</f>
        <v/>
      </c>
      <c r="J157" s="3989">
        <f>J146</f>
        <v/>
      </c>
      <c r="K157" s="3989">
        <f>K146</f>
        <v/>
      </c>
      <c r="L157" s="3989">
        <f>L146</f>
        <v/>
      </c>
      <c r="BW157" s="3151" t="n"/>
      <c r="BX157" s="3151" t="n"/>
      <c r="BY157" s="3151" t="n"/>
      <c r="BZ157" s="3151" t="n"/>
      <c r="CA157" s="3151" t="n"/>
      <c r="CB157" s="3151" t="n"/>
      <c r="CC157" s="3151" t="n"/>
      <c r="CD157" s="3151" t="n"/>
      <c r="CE157" s="3151" t="n"/>
      <c r="CF157" s="3151" t="n"/>
      <c r="CG157" s="3151" t="n"/>
    </row>
    <row r="158" ht="22.25" customHeight="1">
      <c r="B158" s="3151">
        <f>B147</f>
        <v/>
      </c>
      <c r="C158" s="1970" t="n"/>
      <c r="D158" s="4630">
        <f>Matrix!I24</f>
        <v/>
      </c>
      <c r="E158" s="4630">
        <f>Matrix!J24</f>
        <v/>
      </c>
      <c r="F158" s="4630">
        <f>Matrix!K24</f>
        <v/>
      </c>
      <c r="G158" s="4844">
        <f>Matrix!L24</f>
        <v/>
      </c>
      <c r="H158" s="4832" t="n"/>
      <c r="I158" s="4630">
        <f>Matrix!M24</f>
        <v/>
      </c>
      <c r="J158" s="4630">
        <f>Matrix!N24</f>
        <v/>
      </c>
      <c r="K158" s="4630">
        <f>Matrix!O24</f>
        <v/>
      </c>
      <c r="L158" s="4093">
        <f>Matrix!P24</f>
        <v/>
      </c>
      <c r="BW158" s="3151" t="n"/>
      <c r="BX158" s="3151" t="n"/>
      <c r="BY158" s="3151" t="n"/>
      <c r="BZ158" s="3151" t="n"/>
      <c r="CA158" s="3151" t="n"/>
      <c r="CB158" s="3151" t="n"/>
      <c r="CC158" s="3151" t="n"/>
      <c r="CD158" s="3151" t="n"/>
      <c r="CE158" s="3151" t="n"/>
      <c r="CF158" s="3151" t="n"/>
      <c r="CG158" s="3151" t="n"/>
    </row>
    <row r="159" ht="22.25" customHeight="1">
      <c r="B159" s="3151">
        <f>B148</f>
        <v/>
      </c>
      <c r="C159" s="1970" t="n"/>
      <c r="D159" s="4099">
        <f>Matrix!I25</f>
        <v/>
      </c>
      <c r="E159" s="4101">
        <f>Matrix!J25</f>
        <v/>
      </c>
      <c r="F159" s="3984">
        <f>Matrix!K25</f>
        <v/>
      </c>
      <c r="G159" s="4006">
        <f>Matrix!L25</f>
        <v/>
      </c>
      <c r="H159" s="4832" t="n"/>
      <c r="I159" s="3984">
        <f>Matrix!M25</f>
        <v/>
      </c>
      <c r="J159" s="3984">
        <f>Matrix!N25</f>
        <v/>
      </c>
      <c r="K159" s="3984">
        <f>Matrix!O25</f>
        <v/>
      </c>
      <c r="L159" s="4095">
        <f>Matrix!P25</f>
        <v/>
      </c>
      <c r="BW159" s="3151" t="n"/>
      <c r="BX159" s="3151" t="n"/>
      <c r="BY159" s="3151" t="n"/>
      <c r="BZ159" s="3151" t="n"/>
      <c r="CA159" s="3151" t="n"/>
      <c r="CB159" s="3151" t="n"/>
      <c r="CC159" s="3151" t="n"/>
      <c r="CD159" s="3151" t="n"/>
      <c r="CE159" s="3151" t="n"/>
      <c r="CF159" s="3151" t="n"/>
      <c r="CG159" s="3151" t="n"/>
    </row>
    <row r="160" ht="22.25" customHeight="1">
      <c r="B160" s="3151">
        <f>B149</f>
        <v/>
      </c>
      <c r="C160" s="1970" t="n"/>
      <c r="D160" s="4099">
        <f>Matrix!I26</f>
        <v/>
      </c>
      <c r="E160" s="3984">
        <f>Matrix!J26</f>
        <v/>
      </c>
      <c r="F160" s="4101">
        <f>Matrix!K26</f>
        <v/>
      </c>
      <c r="G160" s="4006">
        <f>Matrix!L26</f>
        <v/>
      </c>
      <c r="H160" s="4832" t="n"/>
      <c r="I160" s="3984">
        <f>Matrix!M26</f>
        <v/>
      </c>
      <c r="J160" s="3984">
        <f>Matrix!N26</f>
        <v/>
      </c>
      <c r="K160" s="3984">
        <f>Matrix!O26</f>
        <v/>
      </c>
      <c r="L160" s="4095">
        <f>Matrix!P26</f>
        <v/>
      </c>
      <c r="BW160" s="3151" t="n"/>
      <c r="BX160" s="3151" t="n"/>
      <c r="BY160" s="3151" t="n"/>
      <c r="BZ160" s="3151" t="n"/>
      <c r="CA160" s="3151" t="n"/>
      <c r="CB160" s="3151" t="n"/>
      <c r="CC160" s="3151" t="n"/>
      <c r="CD160" s="3151" t="n"/>
      <c r="CE160" s="3151" t="n"/>
      <c r="CF160" s="3151" t="n"/>
      <c r="CG160" s="3151" t="n"/>
    </row>
    <row r="161" ht="22.25" customHeight="1">
      <c r="B161" s="3151">
        <f>B150</f>
        <v/>
      </c>
      <c r="C161" s="1970" t="n"/>
      <c r="D161" s="4099">
        <f>Matrix!I27</f>
        <v/>
      </c>
      <c r="E161" s="3984">
        <f>Matrix!J27</f>
        <v/>
      </c>
      <c r="F161" s="3984">
        <f>Matrix!K27</f>
        <v/>
      </c>
      <c r="G161" s="4002">
        <f>Matrix!L27</f>
        <v/>
      </c>
      <c r="H161" s="4832" t="n"/>
      <c r="I161" s="3984">
        <f>Matrix!M27</f>
        <v/>
      </c>
      <c r="J161" s="3984">
        <f>Matrix!N27</f>
        <v/>
      </c>
      <c r="K161" s="3984">
        <f>Matrix!O27</f>
        <v/>
      </c>
      <c r="L161" s="4095">
        <f>Matrix!P27</f>
        <v/>
      </c>
      <c r="BW161" s="3151" t="n"/>
      <c r="BX161" s="3151" t="n"/>
      <c r="BY161" s="3151" t="n"/>
      <c r="BZ161" s="3151" t="n"/>
      <c r="CA161" s="3151" t="n"/>
      <c r="CB161" s="3151" t="n"/>
      <c r="CC161" s="3151" t="n"/>
      <c r="CD161" s="3151" t="n"/>
      <c r="CE161" s="3151" t="n"/>
      <c r="CF161" s="3151" t="n"/>
      <c r="CG161" s="3151" t="n"/>
    </row>
    <row r="162" ht="22.25" customHeight="1">
      <c r="B162" s="3151">
        <f>B151</f>
        <v/>
      </c>
      <c r="C162" s="1970" t="n"/>
      <c r="D162" s="4099">
        <f>Matrix!I28</f>
        <v/>
      </c>
      <c r="E162" s="3984">
        <f>Matrix!J28</f>
        <v/>
      </c>
      <c r="F162" s="3984">
        <f>Matrix!K28</f>
        <v/>
      </c>
      <c r="G162" s="4006">
        <f>Matrix!L28</f>
        <v/>
      </c>
      <c r="H162" s="4832" t="n"/>
      <c r="I162" s="4101">
        <f>Matrix!M28</f>
        <v/>
      </c>
      <c r="J162" s="3984">
        <f>Matrix!N28</f>
        <v/>
      </c>
      <c r="K162" s="3984">
        <f>Matrix!O28</f>
        <v/>
      </c>
      <c r="L162" s="4095">
        <f>Matrix!P28</f>
        <v/>
      </c>
      <c r="BW162" s="3151" t="n"/>
      <c r="BX162" s="3151" t="n"/>
      <c r="BY162" s="3151" t="n"/>
      <c r="BZ162" s="3151" t="n"/>
      <c r="CA162" s="3151" t="n"/>
      <c r="CB162" s="3151" t="n"/>
      <c r="CC162" s="3151" t="n"/>
      <c r="CD162" s="3151" t="n"/>
      <c r="CE162" s="3151" t="n"/>
      <c r="CF162" s="3151" t="n"/>
      <c r="CG162" s="3151" t="n"/>
    </row>
    <row r="163" ht="22.25" customHeight="1">
      <c r="B163" s="3151">
        <f>B152</f>
        <v/>
      </c>
      <c r="C163" s="1970" t="n"/>
      <c r="D163" s="4099">
        <f>Matrix!I29</f>
        <v/>
      </c>
      <c r="E163" s="3984">
        <f>Matrix!J29</f>
        <v/>
      </c>
      <c r="F163" s="3984">
        <f>Matrix!K29</f>
        <v/>
      </c>
      <c r="G163" s="4006">
        <f>Matrix!L29</f>
        <v/>
      </c>
      <c r="H163" s="4832" t="n"/>
      <c r="I163" s="3984">
        <f>Matrix!M29</f>
        <v/>
      </c>
      <c r="J163" s="4101">
        <f>Matrix!N29</f>
        <v/>
      </c>
      <c r="K163" s="3984">
        <f>Matrix!O29</f>
        <v/>
      </c>
      <c r="L163" s="4095">
        <f>Matrix!P29</f>
        <v/>
      </c>
      <c r="BW163" s="1970" t="n"/>
      <c r="BX163" s="1970" t="n"/>
      <c r="BY163" s="1970" t="n"/>
      <c r="BZ163" s="1970" t="n"/>
      <c r="CA163" s="1970" t="n"/>
      <c r="CB163" s="1970" t="n"/>
      <c r="CC163" s="1970" t="n"/>
      <c r="CD163" s="1970" t="n"/>
      <c r="CE163" s="1970" t="n"/>
      <c r="CF163" s="1970" t="n"/>
      <c r="CG163" s="1970" t="n"/>
    </row>
    <row r="164" ht="22.25" customHeight="1">
      <c r="B164" s="3151">
        <f>B153</f>
        <v/>
      </c>
      <c r="C164" s="1970" t="n"/>
      <c r="D164" s="4099">
        <f>Matrix!I30</f>
        <v/>
      </c>
      <c r="E164" s="3984">
        <f>Matrix!J30</f>
        <v/>
      </c>
      <c r="F164" s="3984">
        <f>Matrix!K30</f>
        <v/>
      </c>
      <c r="G164" s="4006">
        <f>Matrix!L30</f>
        <v/>
      </c>
      <c r="H164" s="4832" t="n"/>
      <c r="I164" s="3984">
        <f>Matrix!M30</f>
        <v/>
      </c>
      <c r="J164" s="3984">
        <f>Matrix!N30</f>
        <v/>
      </c>
      <c r="K164" s="4101">
        <f>Matrix!O30</f>
        <v/>
      </c>
      <c r="L164" s="4095">
        <f>Matrix!P30</f>
        <v/>
      </c>
      <c r="BW164" s="3151" t="n"/>
      <c r="BX164" s="3151" t="n"/>
      <c r="BY164" s="3151" t="n"/>
      <c r="BZ164" s="3151" t="n"/>
      <c r="CA164" s="3151" t="n"/>
      <c r="CB164" s="3151" t="n"/>
      <c r="CC164" s="3151" t="n"/>
      <c r="CD164" s="3151" t="n"/>
      <c r="CE164" s="3151" t="n"/>
      <c r="CF164" s="3151" t="n"/>
      <c r="CG164" s="3151" t="n"/>
    </row>
    <row r="165" ht="22.25" customHeight="1">
      <c r="B165" s="3986">
        <f>Languages!B685</f>
        <v/>
      </c>
      <c r="C165" s="1970" t="n"/>
      <c r="D165" s="4098">
        <f>Matrix!I31</f>
        <v/>
      </c>
      <c r="E165" s="4098">
        <f>Matrix!J31</f>
        <v/>
      </c>
      <c r="F165" s="4098">
        <f>Matrix!K31</f>
        <v/>
      </c>
      <c r="G165" s="4845">
        <f>Matrix!L31</f>
        <v/>
      </c>
      <c r="H165" s="4832" t="n"/>
      <c r="I165" s="4098">
        <f>Matrix!M31</f>
        <v/>
      </c>
      <c r="J165" s="4098">
        <f>Matrix!N31</f>
        <v/>
      </c>
      <c r="K165" s="4098">
        <f>Matrix!O31</f>
        <v/>
      </c>
      <c r="L165" s="4098">
        <f>Matrix!P31</f>
        <v/>
      </c>
      <c r="W165" s="1966" t="n"/>
      <c r="X165" s="1966" t="n"/>
      <c r="Y165" s="1966" t="n"/>
      <c r="Z165" s="1966" t="n"/>
      <c r="AA165" s="1966" t="n"/>
      <c r="AB165" s="1966" t="n"/>
      <c r="AC165" s="1966" t="n"/>
      <c r="AD165" s="1966" t="n"/>
      <c r="AE165" s="1966" t="n"/>
      <c r="AF165" s="1966" t="n"/>
      <c r="AG165" s="1966" t="n"/>
      <c r="AH165" s="1966" t="n"/>
      <c r="AI165" s="1966" t="n"/>
      <c r="AJ165" s="1966" t="n"/>
      <c r="AK165" s="1966" t="n"/>
      <c r="AL165" s="1966" t="n"/>
      <c r="AM165" s="1966" t="n"/>
      <c r="AN165" s="1966" t="n"/>
      <c r="AO165" s="1966" t="n"/>
      <c r="AP165" s="1966" t="n"/>
      <c r="AQ165" s="1966" t="n"/>
      <c r="AR165" s="1966" t="n"/>
      <c r="AS165" s="1966" t="n"/>
      <c r="AT165" s="1966" t="n"/>
      <c r="AU165" s="1966" t="n"/>
      <c r="AV165" s="1966" t="n"/>
      <c r="AW165" s="1966" t="n"/>
      <c r="AX165" s="1966" t="n"/>
      <c r="AY165" s="1966" t="n"/>
      <c r="AZ165" s="1966" t="n"/>
      <c r="BA165" s="1966" t="n"/>
      <c r="BB165" s="1966" t="n"/>
      <c r="BC165" s="1966" t="n"/>
      <c r="BD165" s="1966" t="n"/>
      <c r="BE165" s="1966" t="n"/>
      <c r="BF165" s="1966" t="n"/>
      <c r="BG165" s="1966" t="n"/>
      <c r="BH165" s="1966" t="n"/>
      <c r="BI165" s="1966" t="n"/>
      <c r="BJ165" s="1966" t="n"/>
      <c r="BK165" s="1966" t="n"/>
      <c r="BL165" s="1966" t="n"/>
      <c r="BM165" s="1966" t="n"/>
      <c r="BN165" s="1966" t="n"/>
      <c r="BO165" s="1966" t="n"/>
      <c r="BP165" s="1966" t="n"/>
      <c r="BQ165" s="1966" t="n"/>
      <c r="BR165" s="1966" t="n"/>
      <c r="BS165" s="1966" t="n"/>
      <c r="BT165" s="1966" t="n"/>
      <c r="BU165" s="1966" t="n"/>
      <c r="BV165" s="1966" t="n"/>
      <c r="BW165" s="3151" t="n"/>
      <c r="BX165" s="3151" t="n"/>
      <c r="BY165" s="3151" t="n"/>
      <c r="BZ165" s="3151" t="n"/>
      <c r="CA165" s="3151" t="n"/>
      <c r="CB165" s="3151" t="n"/>
      <c r="CC165" s="3151" t="n"/>
      <c r="CD165" s="3151" t="n"/>
      <c r="CE165" s="3151" t="n"/>
      <c r="CF165" s="3151" t="n"/>
      <c r="CG165" s="3151" t="n"/>
    </row>
    <row r="166" ht="16" customHeight="1">
      <c r="W166" s="1966" t="n"/>
      <c r="X166" s="1966" t="n"/>
      <c r="Y166" s="1966" t="n"/>
      <c r="Z166" s="1966" t="n"/>
      <c r="AA166" s="1966" t="n"/>
      <c r="AB166" s="1966" t="n"/>
      <c r="AC166" s="1966" t="n"/>
      <c r="AD166" s="1966" t="n"/>
      <c r="AE166" s="1966" t="n"/>
      <c r="AF166" s="1966" t="n"/>
      <c r="AG166" s="1966" t="n"/>
      <c r="AH166" s="1966" t="n"/>
      <c r="AI166" s="1966" t="n"/>
      <c r="AJ166" s="1966" t="n"/>
      <c r="AK166" s="1966" t="n"/>
      <c r="AL166" s="1966" t="n"/>
      <c r="AM166" s="1966" t="n"/>
      <c r="AN166" s="1966" t="n"/>
      <c r="AO166" s="1966" t="n"/>
      <c r="AP166" s="1966" t="n"/>
      <c r="AQ166" s="1966" t="n"/>
      <c r="AR166" s="1966" t="n"/>
      <c r="AS166" s="1966" t="n"/>
      <c r="AT166" s="1966" t="n"/>
      <c r="AU166" s="1966" t="n"/>
      <c r="AV166" s="1966" t="n"/>
      <c r="AW166" s="1966" t="n"/>
      <c r="AX166" s="1966" t="n"/>
      <c r="AY166" s="1966" t="n"/>
      <c r="AZ166" s="1966" t="n"/>
      <c r="BA166" s="1966" t="n"/>
      <c r="BB166" s="1966" t="n"/>
      <c r="BC166" s="1966" t="n"/>
      <c r="BD166" s="1966" t="n"/>
      <c r="BE166" s="1966" t="n"/>
      <c r="BF166" s="1966" t="n"/>
      <c r="BG166" s="1966" t="n"/>
      <c r="BH166" s="1966" t="n"/>
      <c r="BI166" s="1966" t="n"/>
      <c r="BJ166" s="1966" t="n"/>
      <c r="BK166" s="1966" t="n"/>
      <c r="BL166" s="1966" t="n"/>
      <c r="BM166" s="1966" t="n"/>
      <c r="BN166" s="1966" t="n"/>
      <c r="BO166" s="1966" t="n"/>
      <c r="BP166" s="1966" t="n"/>
      <c r="BQ166" s="1966" t="n"/>
      <c r="BR166" s="1966" t="n"/>
      <c r="BS166" s="1966" t="n"/>
      <c r="BT166" s="1966" t="n"/>
      <c r="BU166" s="1966" t="n"/>
      <c r="BV166" s="1966" t="n"/>
      <c r="BW166" s="3151" t="n"/>
      <c r="BX166" s="3151" t="n"/>
      <c r="BY166" s="3151" t="n"/>
      <c r="BZ166" s="3151" t="n"/>
      <c r="CA166" s="3151" t="n"/>
      <c r="CB166" s="3151" t="n"/>
      <c r="CC166" s="3151" t="n"/>
      <c r="CD166" s="3151" t="n"/>
      <c r="CE166" s="3151" t="n"/>
      <c r="CF166" s="3151" t="n"/>
      <c r="CG166" s="3151" t="n"/>
    </row>
    <row r="167" ht="16" customHeight="1">
      <c r="W167" s="1966" t="n"/>
      <c r="X167" s="1966" t="n"/>
      <c r="Y167" s="1966" t="n"/>
      <c r="Z167" s="1966" t="n"/>
      <c r="AA167" s="1966" t="n"/>
      <c r="AB167" s="1966" t="n"/>
      <c r="AC167" s="1966" t="n"/>
      <c r="AD167" s="1966" t="n"/>
      <c r="AE167" s="1966" t="n"/>
      <c r="AF167" s="1966" t="n"/>
      <c r="AG167" s="1966" t="n"/>
      <c r="AH167" s="1966" t="n"/>
      <c r="AI167" s="1966" t="n"/>
      <c r="AJ167" s="1966" t="n"/>
      <c r="AK167" s="1966" t="n"/>
      <c r="AL167" s="1966" t="n"/>
      <c r="AM167" s="1966" t="n"/>
      <c r="AN167" s="1966" t="n"/>
      <c r="AO167" s="1966" t="n"/>
      <c r="AP167" s="1966" t="n"/>
      <c r="AQ167" s="1966" t="n"/>
      <c r="AR167" s="1966" t="n"/>
      <c r="AS167" s="1966" t="n"/>
      <c r="AT167" s="1966" t="n"/>
      <c r="AU167" s="1966" t="n"/>
      <c r="AV167" s="1966" t="n"/>
      <c r="AW167" s="1966" t="n"/>
      <c r="AX167" s="1966" t="n"/>
      <c r="AY167" s="1966" t="n"/>
      <c r="AZ167" s="1966" t="n"/>
      <c r="BA167" s="1966" t="n"/>
      <c r="BB167" s="1966" t="n"/>
      <c r="BC167" s="1966" t="n"/>
      <c r="BD167" s="1966" t="n"/>
      <c r="BE167" s="1966" t="n"/>
      <c r="BF167" s="1966" t="n"/>
      <c r="BG167" s="1966" t="n"/>
      <c r="BH167" s="1966" t="n"/>
      <c r="BI167" s="1966" t="n"/>
      <c r="BJ167" s="1966" t="n"/>
      <c r="BK167" s="1966" t="n"/>
      <c r="BL167" s="1966" t="n"/>
      <c r="BM167" s="1966" t="n"/>
      <c r="BN167" s="1966" t="n"/>
      <c r="BO167" s="1966" t="n"/>
      <c r="BP167" s="1966" t="n"/>
      <c r="BQ167" s="1966" t="n"/>
      <c r="BR167" s="1966" t="n"/>
      <c r="BS167" s="1966" t="n"/>
      <c r="BT167" s="1966" t="n"/>
      <c r="BU167" s="1966" t="n"/>
      <c r="BV167" s="1966" t="n"/>
    </row>
    <row r="168" ht="16" customHeight="1">
      <c r="W168" s="1966" t="n"/>
      <c r="X168" s="1966" t="n"/>
      <c r="Y168" s="1966" t="n"/>
      <c r="Z168" s="1966" t="n"/>
      <c r="AA168" s="1966" t="n"/>
      <c r="AB168" s="1966" t="n"/>
      <c r="AC168" s="1966" t="n"/>
      <c r="AD168" s="1966" t="n"/>
      <c r="AE168" s="1966" t="n"/>
      <c r="AF168" s="1966" t="n"/>
      <c r="AG168" s="1966" t="n"/>
      <c r="AH168" s="1966" t="n"/>
      <c r="AI168" s="1966" t="n"/>
      <c r="AJ168" s="1966" t="n"/>
      <c r="AK168" s="1966" t="n"/>
      <c r="AL168" s="1966" t="n"/>
      <c r="AM168" s="1966" t="n"/>
      <c r="AN168" s="1966" t="n"/>
      <c r="AO168" s="1966" t="n"/>
      <c r="AP168" s="1966" t="n"/>
      <c r="AQ168" s="1966" t="n"/>
      <c r="AR168" s="1966" t="n"/>
      <c r="AS168" s="1966" t="n"/>
      <c r="AT168" s="1966" t="n"/>
      <c r="AU168" s="1966" t="n"/>
      <c r="AV168" s="1966" t="n"/>
      <c r="AW168" s="1966" t="n"/>
      <c r="AX168" s="1966" t="n"/>
      <c r="AY168" s="1966" t="n"/>
      <c r="AZ168" s="1966" t="n"/>
      <c r="BA168" s="1966" t="n"/>
      <c r="BB168" s="1966" t="n"/>
      <c r="BC168" s="1966" t="n"/>
      <c r="BD168" s="1966" t="n"/>
      <c r="BE168" s="1966" t="n"/>
      <c r="BF168" s="1966" t="n"/>
      <c r="BG168" s="1966" t="n"/>
      <c r="BH168" s="1966" t="n"/>
      <c r="BI168" s="1966" t="n"/>
      <c r="BJ168" s="1966" t="n"/>
      <c r="BK168" s="1966" t="n"/>
      <c r="BL168" s="1966" t="n"/>
      <c r="BM168" s="1966" t="n"/>
      <c r="BN168" s="1966" t="n"/>
      <c r="BO168" s="1966" t="n"/>
      <c r="BP168" s="1966" t="n"/>
      <c r="BQ168" s="1966" t="n"/>
      <c r="BR168" s="1966" t="n"/>
      <c r="BS168" s="1966" t="n"/>
      <c r="BT168" s="1966" t="n"/>
      <c r="BU168" s="1966" t="n"/>
      <c r="BV168" s="1966" t="n"/>
    </row>
    <row r="169" ht="16" customHeight="1">
      <c r="W169" s="1966" t="n"/>
      <c r="X169" s="1966" t="n"/>
      <c r="Y169" s="1966" t="n"/>
      <c r="Z169" s="1966" t="n"/>
      <c r="AA169" s="1966" t="n"/>
      <c r="AB169" s="1966" t="n"/>
      <c r="AC169" s="1966" t="n"/>
      <c r="AD169" s="1966" t="n"/>
      <c r="AE169" s="1966" t="n"/>
      <c r="AF169" s="1966" t="n"/>
      <c r="AG169" s="1966" t="n"/>
      <c r="AH169" s="1966" t="n"/>
      <c r="AI169" s="1966" t="n"/>
      <c r="AJ169" s="1966" t="n"/>
      <c r="AK169" s="1966" t="n"/>
      <c r="AL169" s="1966" t="n"/>
      <c r="AM169" s="1966" t="n"/>
      <c r="AN169" s="1966" t="n"/>
      <c r="AO169" s="1966" t="n"/>
      <c r="AP169" s="1966" t="n"/>
      <c r="AQ169" s="1966" t="n"/>
      <c r="AR169" s="1966" t="n"/>
      <c r="AS169" s="1966" t="n"/>
      <c r="AT169" s="1966" t="n"/>
      <c r="AU169" s="1966" t="n"/>
      <c r="AV169" s="1966" t="n"/>
      <c r="AW169" s="1966" t="n"/>
      <c r="AX169" s="1966" t="n"/>
      <c r="AY169" s="1966" t="n"/>
      <c r="AZ169" s="1966" t="n"/>
      <c r="BA169" s="1966" t="n"/>
      <c r="BB169" s="1966" t="n"/>
      <c r="BC169" s="1966" t="n"/>
      <c r="BD169" s="1966" t="n"/>
      <c r="BE169" s="1966" t="n"/>
      <c r="BF169" s="1966" t="n"/>
      <c r="BG169" s="1966" t="n"/>
      <c r="BH169" s="1966" t="n"/>
      <c r="BI169" s="1966" t="n"/>
      <c r="BJ169" s="1966" t="n"/>
      <c r="BK169" s="1966" t="n"/>
      <c r="BL169" s="1966" t="n"/>
      <c r="BM169" s="1966" t="n"/>
      <c r="BN169" s="1966" t="n"/>
      <c r="BO169" s="1966" t="n"/>
      <c r="BP169" s="1966" t="n"/>
      <c r="BQ169" s="1966" t="n"/>
      <c r="BR169" s="1966" t="n"/>
      <c r="BS169" s="1966" t="n"/>
      <c r="BT169" s="1966" t="n"/>
      <c r="BU169" s="1966" t="n"/>
      <c r="BV169" s="1966" t="n"/>
    </row>
    <row r="170" ht="16" customHeight="1">
      <c r="W170" s="1966" t="n"/>
      <c r="X170" s="1966" t="n"/>
      <c r="Y170" s="1966" t="n"/>
      <c r="Z170" s="1966" t="n"/>
      <c r="AA170" s="1966" t="n"/>
      <c r="AB170" s="1966" t="n"/>
      <c r="AC170" s="1966" t="n"/>
      <c r="AD170" s="1966" t="n"/>
      <c r="AE170" s="1966" t="n"/>
      <c r="AF170" s="1966" t="n"/>
      <c r="AG170" s="1966" t="n"/>
      <c r="AH170" s="1966" t="n"/>
      <c r="AI170" s="1966" t="n"/>
      <c r="AJ170" s="1966" t="n"/>
      <c r="AK170" s="1966" t="n"/>
      <c r="AL170" s="1966" t="n"/>
      <c r="AM170" s="1966" t="n"/>
      <c r="AN170" s="1966" t="n"/>
      <c r="AO170" s="1966" t="n"/>
      <c r="AP170" s="1966" t="n"/>
      <c r="AQ170" s="1966" t="n"/>
      <c r="AR170" s="1966" t="n"/>
      <c r="AS170" s="1966" t="n"/>
      <c r="AT170" s="1966" t="n"/>
      <c r="AU170" s="1966" t="n"/>
      <c r="AV170" s="1966" t="n"/>
      <c r="AW170" s="1966" t="n"/>
      <c r="AX170" s="1966" t="n"/>
      <c r="AY170" s="1966" t="n"/>
      <c r="AZ170" s="1966" t="n"/>
      <c r="BA170" s="1966" t="n"/>
      <c r="BB170" s="1966" t="n"/>
      <c r="BC170" s="1966" t="n"/>
      <c r="BD170" s="1966" t="n"/>
      <c r="BE170" s="1966" t="n"/>
      <c r="BF170" s="1966" t="n"/>
      <c r="BG170" s="1966" t="n"/>
      <c r="BH170" s="1966" t="n"/>
      <c r="BI170" s="1966" t="n"/>
      <c r="BJ170" s="1966" t="n"/>
      <c r="BK170" s="1966" t="n"/>
      <c r="BL170" s="1966" t="n"/>
      <c r="BM170" s="1966" t="n"/>
      <c r="BN170" s="1966" t="n"/>
      <c r="BO170" s="1966" t="n"/>
      <c r="BP170" s="1966" t="n"/>
      <c r="BQ170" s="1966" t="n"/>
      <c r="BR170" s="1966" t="n"/>
      <c r="BS170" s="1966" t="n"/>
      <c r="BT170" s="1966" t="n"/>
      <c r="BU170" s="1966" t="n"/>
      <c r="BV170" s="1966" t="n"/>
    </row>
    <row r="171" ht="16" customHeight="1">
      <c r="W171" s="1966" t="n"/>
      <c r="X171" s="1966" t="n"/>
      <c r="Y171" s="1966" t="n"/>
      <c r="Z171" s="1966" t="n"/>
      <c r="AA171" s="1966" t="n"/>
      <c r="AB171" s="1966" t="n"/>
      <c r="AC171" s="1966" t="n"/>
      <c r="AD171" s="1966" t="n"/>
      <c r="AE171" s="1966" t="n"/>
      <c r="AF171" s="1966" t="n"/>
      <c r="AG171" s="1966" t="n"/>
      <c r="AH171" s="1966" t="n"/>
      <c r="AI171" s="1966" t="n"/>
      <c r="AJ171" s="1966" t="n"/>
      <c r="AK171" s="1966" t="n"/>
      <c r="AL171" s="1966" t="n"/>
      <c r="AM171" s="1966" t="n"/>
      <c r="AN171" s="1966" t="n"/>
      <c r="AO171" s="1966" t="n"/>
      <c r="AP171" s="1966" t="n"/>
      <c r="AQ171" s="1966" t="n"/>
      <c r="AR171" s="1966" t="n"/>
      <c r="AS171" s="1966" t="n"/>
      <c r="AT171" s="1966" t="n"/>
      <c r="AU171" s="1966" t="n"/>
      <c r="AV171" s="1966" t="n"/>
      <c r="AW171" s="1966" t="n"/>
      <c r="AX171" s="1966" t="n"/>
      <c r="AY171" s="1966" t="n"/>
      <c r="AZ171" s="1966" t="n"/>
      <c r="BA171" s="1966" t="n"/>
      <c r="BB171" s="1966" t="n"/>
      <c r="BC171" s="1966" t="n"/>
      <c r="BD171" s="1966" t="n"/>
      <c r="BE171" s="1966" t="n"/>
      <c r="BF171" s="1966" t="n"/>
      <c r="BG171" s="1966" t="n"/>
      <c r="BH171" s="1966" t="n"/>
      <c r="BI171" s="1966" t="n"/>
      <c r="BJ171" s="1966" t="n"/>
      <c r="BK171" s="1966" t="n"/>
      <c r="BL171" s="1966" t="n"/>
      <c r="BM171" s="1966" t="n"/>
      <c r="BN171" s="1966" t="n"/>
      <c r="BO171" s="1966" t="n"/>
      <c r="BP171" s="1966" t="n"/>
      <c r="BQ171" s="1966" t="n"/>
      <c r="BR171" s="1966" t="n"/>
      <c r="BS171" s="1966" t="n"/>
      <c r="BT171" s="1966" t="n"/>
      <c r="BU171" s="1966" t="n"/>
      <c r="BV171" s="1966" t="n"/>
    </row>
    <row r="174" ht="57.75" customHeight="1">
      <c r="B174" s="4605" t="inlineStr">
        <is>
          <t>DETAILED RESULTS ORGANIC SOILS</t>
        </is>
      </c>
      <c r="W174" s="1970" t="n"/>
      <c r="X174" s="1970" t="n"/>
      <c r="Y174" s="1970" t="n"/>
      <c r="Z174" s="1970" t="n"/>
      <c r="AA174" s="1970" t="n"/>
      <c r="AB174" s="1970" t="n"/>
      <c r="AC174" s="1970" t="n"/>
      <c r="AD174" s="1970" t="n"/>
      <c r="AE174" s="1970" t="n"/>
      <c r="AF174" s="1970" t="n"/>
      <c r="AG174" s="1970" t="n"/>
      <c r="AH174" s="1970" t="n"/>
      <c r="AI174" s="1970" t="n"/>
      <c r="AJ174" s="1970" t="n"/>
      <c r="AK174" s="1970" t="n"/>
      <c r="AL174" s="1970" t="n"/>
      <c r="AM174" s="1970" t="n"/>
      <c r="AN174" s="1970" t="n"/>
      <c r="AO174" s="1970" t="n"/>
      <c r="AP174" s="1970" t="n"/>
      <c r="AQ174" s="1970" t="n"/>
      <c r="AR174" s="1970" t="n"/>
      <c r="AS174" s="1970" t="n"/>
      <c r="AT174" s="1970" t="n"/>
      <c r="AU174" s="1970" t="n"/>
      <c r="AV174" s="1970" t="n"/>
      <c r="AW174" s="1970" t="n"/>
      <c r="AX174" s="1970" t="n"/>
      <c r="AY174" s="1970" t="n"/>
      <c r="AZ174" s="1970" t="n"/>
      <c r="BA174" s="1970" t="n"/>
      <c r="BB174" s="1970" t="n"/>
      <c r="BC174" s="1970" t="n"/>
      <c r="BD174" s="1970" t="n"/>
      <c r="BE174" s="1970" t="n"/>
      <c r="BF174" s="1970" t="n"/>
      <c r="BG174" s="1970" t="n"/>
      <c r="BH174" s="1970" t="n"/>
      <c r="BI174" s="1970" t="n"/>
      <c r="BJ174" s="1970" t="n"/>
      <c r="BK174" s="1970" t="n"/>
      <c r="BL174" s="1970" t="n"/>
      <c r="BM174" s="1970" t="n"/>
      <c r="BN174" s="1970" t="n"/>
      <c r="BO174" s="1970" t="n"/>
      <c r="BP174" s="1970" t="n"/>
      <c r="BQ174" s="1970" t="n"/>
      <c r="BR174" s="1970" t="n"/>
      <c r="BS174" s="1970" t="n"/>
      <c r="BT174" s="1970" t="n"/>
      <c r="BU174" s="1970" t="n"/>
      <c r="BV174" s="1970" t="n"/>
    </row>
    <row r="176" ht="16" customHeight="1">
      <c r="W176" s="3151" t="n"/>
      <c r="X176" s="3151" t="n"/>
      <c r="Y176" s="3151" t="n"/>
      <c r="Z176" s="3151" t="n"/>
      <c r="AA176" s="3151" t="n"/>
      <c r="AB176" s="3151" t="n"/>
      <c r="AC176" s="3151" t="n"/>
      <c r="AD176" s="3151" t="n"/>
      <c r="AE176" s="3151" t="n"/>
      <c r="AF176" s="3151" t="n"/>
      <c r="AG176" s="3151" t="n"/>
      <c r="AH176" s="3151" t="n"/>
      <c r="AI176" s="3151" t="n"/>
      <c r="AJ176" s="3151" t="n"/>
      <c r="AK176" s="3151" t="n"/>
      <c r="AL176" s="3151" t="n"/>
      <c r="AM176" s="3151" t="n"/>
      <c r="AN176" s="3151" t="n"/>
      <c r="AO176" s="3151" t="n"/>
      <c r="AP176" s="3151" t="n"/>
      <c r="AQ176" s="3151" t="n"/>
      <c r="AR176" s="3151" t="n"/>
      <c r="AS176" s="3151" t="n"/>
      <c r="AT176" s="3151" t="n"/>
      <c r="AU176" s="3151" t="n"/>
      <c r="AV176" s="3151" t="n"/>
      <c r="AW176" s="3151" t="n"/>
      <c r="AX176" s="3151" t="n"/>
      <c r="AY176" s="3151" t="n"/>
      <c r="AZ176" s="3151" t="n"/>
      <c r="BA176" s="3151" t="n"/>
      <c r="BB176" s="3151" t="n"/>
      <c r="BC176" s="3151" t="n"/>
      <c r="BD176" s="3151" t="n"/>
      <c r="BE176" s="3151" t="n"/>
      <c r="BF176" s="3151" t="n"/>
      <c r="BG176" s="3151" t="n"/>
      <c r="BH176" s="3151" t="n"/>
      <c r="BI176" s="3151" t="n"/>
      <c r="BJ176" s="3151" t="n"/>
      <c r="BK176" s="3151" t="n"/>
      <c r="BL176" s="3151" t="n"/>
      <c r="BM176" s="3151" t="n"/>
      <c r="BN176" s="3151" t="n"/>
      <c r="BO176" s="3151" t="n"/>
      <c r="BP176" s="3151" t="n"/>
      <c r="BQ176" s="3151" t="n"/>
      <c r="BR176" s="3151" t="n"/>
      <c r="BS176" s="3151" t="n"/>
      <c r="BT176" s="3151" t="n"/>
      <c r="BU176" s="3151" t="n"/>
      <c r="BV176" s="3151" t="n"/>
    </row>
    <row r="177" ht="34.5" customHeight="1">
      <c r="D177" s="3934">
        <f>D114</f>
        <v/>
      </c>
      <c r="E177" s="3935" t="n"/>
      <c r="F177" s="3935" t="n"/>
      <c r="G177" s="3935" t="n"/>
      <c r="H177" s="3934">
        <f>H114</f>
        <v/>
      </c>
      <c r="I177" s="3935" t="n"/>
      <c r="J177" s="3935" t="n"/>
      <c r="K177" s="3935" t="n"/>
      <c r="L177" s="3935" t="n"/>
      <c r="M177" s="3935" t="n"/>
      <c r="N177" s="3934">
        <f>N114</f>
        <v/>
      </c>
      <c r="O177" s="3935" t="n"/>
      <c r="P177" s="3936" t="n"/>
      <c r="W177" s="3151" t="n"/>
      <c r="X177" s="3151" t="n"/>
      <c r="Y177" s="3151" t="n"/>
      <c r="Z177" s="3151" t="n"/>
      <c r="AA177" s="3151" t="n"/>
      <c r="AB177" s="3151" t="n"/>
      <c r="AC177" s="3151" t="n"/>
      <c r="AD177" s="3151" t="n"/>
      <c r="AE177" s="3151" t="n"/>
      <c r="AF177" s="3151" t="n"/>
      <c r="AG177" s="3151" t="n"/>
      <c r="AH177" s="3151" t="n"/>
      <c r="AI177" s="3151" t="n"/>
      <c r="AJ177" s="3151" t="n"/>
      <c r="AK177" s="3151" t="n"/>
      <c r="AL177" s="3151" t="n"/>
      <c r="AM177" s="3151" t="n"/>
      <c r="AN177" s="3151" t="n"/>
      <c r="AO177" s="3151" t="n"/>
      <c r="AP177" s="3151" t="n"/>
      <c r="AQ177" s="3151" t="n"/>
      <c r="AR177" s="3151" t="n"/>
      <c r="AS177" s="3151" t="n"/>
      <c r="AT177" s="3151" t="n"/>
      <c r="AU177" s="3151" t="n"/>
      <c r="AV177" s="3151" t="n"/>
      <c r="AW177" s="3151" t="n"/>
      <c r="AX177" s="3151" t="n"/>
      <c r="AY177" s="3151" t="n"/>
      <c r="AZ177" s="3151" t="n"/>
      <c r="BA177" s="3151" t="n"/>
      <c r="BB177" s="3151" t="n"/>
      <c r="BC177" s="3151" t="n"/>
      <c r="BD177" s="3151" t="n"/>
      <c r="BE177" s="3151" t="n"/>
      <c r="BF177" s="3151" t="n"/>
      <c r="BG177" s="3151" t="n"/>
      <c r="BH177" s="3151" t="n"/>
      <c r="BI177" s="3151" t="n"/>
      <c r="BJ177" s="3151" t="n"/>
      <c r="BK177" s="3151" t="n"/>
      <c r="BL177" s="3151" t="n"/>
      <c r="BM177" s="3151" t="n"/>
      <c r="BN177" s="3151" t="n"/>
      <c r="BO177" s="3151" t="n"/>
      <c r="BP177" s="3151" t="n"/>
      <c r="BQ177" s="3151" t="n"/>
      <c r="BR177" s="3151" t="n"/>
      <c r="BS177" s="3151" t="n"/>
      <c r="BT177" s="3151" t="n"/>
      <c r="BU177" s="3151" t="n"/>
      <c r="BV177" s="3151" t="n"/>
    </row>
    <row r="178" ht="16" customFormat="1" customHeight="1" s="1970">
      <c r="D178" s="3922">
        <f>D115</f>
        <v/>
      </c>
      <c r="E178" s="3922" t="n"/>
      <c r="F178" s="3922" t="n"/>
      <c r="G178" s="3922" t="n"/>
      <c r="H178" s="3922">
        <f>H115</f>
        <v/>
      </c>
      <c r="I178" s="3922" t="n"/>
      <c r="J178" s="3922" t="n"/>
      <c r="K178" s="3922" t="n"/>
      <c r="L178" s="3922" t="n"/>
      <c r="M178" s="3922" t="n"/>
      <c r="N178" s="3922">
        <f>N115</f>
        <v/>
      </c>
      <c r="O178" s="3922" t="n"/>
      <c r="P178" s="3922" t="n"/>
      <c r="W178" s="3151" t="n"/>
      <c r="X178" s="3151" t="n"/>
      <c r="Y178" s="3151" t="n"/>
      <c r="Z178" s="3151" t="n"/>
      <c r="AA178" s="3151" t="n"/>
      <c r="AB178" s="3151" t="n"/>
      <c r="AC178" s="3151" t="n"/>
      <c r="AD178" s="3151" t="n"/>
      <c r="AE178" s="3151" t="n"/>
      <c r="AF178" s="3151" t="n"/>
      <c r="AG178" s="3151" t="n"/>
      <c r="AH178" s="3151" t="n"/>
      <c r="AI178" s="3151" t="n"/>
      <c r="AJ178" s="3151" t="n"/>
      <c r="AK178" s="3151" t="n"/>
      <c r="AL178" s="3151" t="n"/>
      <c r="AM178" s="3151" t="n"/>
      <c r="AN178" s="3151" t="n"/>
      <c r="AO178" s="3151" t="n"/>
      <c r="AP178" s="3151" t="n"/>
      <c r="AQ178" s="3151" t="n"/>
      <c r="AR178" s="3151" t="n"/>
      <c r="AS178" s="3151" t="n"/>
      <c r="AT178" s="3151" t="n"/>
      <c r="AU178" s="3151" t="n"/>
      <c r="AV178" s="3151" t="n"/>
      <c r="AW178" s="3151" t="n"/>
      <c r="AX178" s="3151" t="n"/>
      <c r="AY178" s="3151" t="n"/>
      <c r="AZ178" s="3151" t="n"/>
      <c r="BA178" s="3151" t="n"/>
      <c r="BB178" s="3151" t="n"/>
      <c r="BC178" s="3151" t="n"/>
      <c r="BD178" s="3151" t="n"/>
      <c r="BE178" s="3151" t="n"/>
      <c r="BF178" s="3151" t="n"/>
      <c r="BG178" s="3151" t="n"/>
      <c r="BH178" s="3151" t="n"/>
      <c r="BI178" s="3151" t="n"/>
      <c r="BJ178" s="3151" t="n"/>
      <c r="BK178" s="3151" t="n"/>
      <c r="BL178" s="3151" t="n"/>
      <c r="BM178" s="3151" t="n"/>
      <c r="BN178" s="3151" t="n"/>
      <c r="BO178" s="3151" t="n"/>
      <c r="BP178" s="3151" t="n"/>
      <c r="BQ178" s="3151" t="n"/>
      <c r="BR178" s="3151" t="n"/>
      <c r="BS178" s="3151" t="n"/>
      <c r="BT178" s="3151" t="n"/>
      <c r="BU178" s="3151" t="n"/>
      <c r="BV178" s="3151" t="n"/>
      <c r="BW178" s="1771" t="n"/>
      <c r="BX178" s="1771" t="n"/>
      <c r="BY178" s="1771" t="n"/>
      <c r="BZ178" s="1771" t="n"/>
      <c r="CA178" s="1771" t="n"/>
      <c r="CB178" s="1771" t="n"/>
      <c r="CC178" s="1771" t="n"/>
      <c r="CD178" s="1771" t="n"/>
      <c r="CE178" s="1771" t="n"/>
      <c r="CF178" s="1771" t="n"/>
      <c r="CG178" s="1771" t="n"/>
    </row>
    <row r="179" ht="36.75" customHeight="1">
      <c r="B179" s="3917">
        <f>B116</f>
        <v/>
      </c>
      <c r="C179" s="4832" t="n"/>
      <c r="D179" s="3917">
        <f>D116</f>
        <v/>
      </c>
      <c r="E179" s="3917">
        <f>E116</f>
        <v/>
      </c>
      <c r="F179" s="3917">
        <f>F116</f>
        <v/>
      </c>
      <c r="G179" s="3918" t="n"/>
      <c r="H179" s="3917">
        <f>H116</f>
        <v/>
      </c>
      <c r="I179" s="3917">
        <f>I116</f>
        <v/>
      </c>
      <c r="J179" s="3917">
        <f>Languages!B694</f>
        <v/>
      </c>
      <c r="K179" s="3917">
        <f>Languages!B695</f>
        <v/>
      </c>
      <c r="L179" s="3917">
        <f>Languages!B696</f>
        <v/>
      </c>
      <c r="M179" s="3918" t="n"/>
      <c r="N179" s="3917">
        <f>N116</f>
        <v/>
      </c>
      <c r="O179" s="3917">
        <f>O116</f>
        <v/>
      </c>
      <c r="P179" s="3917">
        <f>P116</f>
        <v/>
      </c>
      <c r="W179" s="3151" t="n"/>
      <c r="X179" s="3151" t="n"/>
      <c r="Y179" s="3151" t="n"/>
      <c r="Z179" s="3151" t="n"/>
      <c r="AA179" s="3151" t="n"/>
      <c r="AB179" s="3151" t="n"/>
      <c r="AC179" s="3151" t="n"/>
      <c r="AD179" s="3151" t="n"/>
      <c r="AE179" s="3151" t="n"/>
      <c r="AF179" s="3151" t="n"/>
      <c r="AG179" s="3151" t="n"/>
      <c r="AH179" s="3151" t="n"/>
      <c r="AI179" s="3151" t="n"/>
      <c r="AJ179" s="3151" t="n"/>
      <c r="AK179" s="3151" t="n"/>
      <c r="AL179" s="3151" t="n"/>
      <c r="AM179" s="3151" t="n"/>
      <c r="AN179" s="3151" t="n"/>
      <c r="AO179" s="3151" t="n"/>
      <c r="AP179" s="3151" t="n"/>
      <c r="AQ179" s="3151" t="n"/>
      <c r="AR179" s="3151" t="n"/>
      <c r="AS179" s="3151" t="n"/>
      <c r="AT179" s="3151" t="n"/>
      <c r="AU179" s="3151" t="n"/>
      <c r="AV179" s="3151" t="n"/>
      <c r="AW179" s="3151" t="n"/>
      <c r="AX179" s="3151" t="n"/>
      <c r="AY179" s="3151" t="n"/>
      <c r="AZ179" s="3151" t="n"/>
      <c r="BA179" s="3151" t="n"/>
      <c r="BB179" s="3151" t="n"/>
      <c r="BC179" s="3151" t="n"/>
      <c r="BD179" s="3151" t="n"/>
      <c r="BE179" s="3151" t="n"/>
      <c r="BF179" s="3151" t="n"/>
      <c r="BG179" s="3151" t="n"/>
      <c r="BH179" s="3151" t="n"/>
      <c r="BI179" s="3151" t="n"/>
      <c r="BJ179" s="3151" t="n"/>
      <c r="BK179" s="3151" t="n"/>
      <c r="BL179" s="3151" t="n"/>
      <c r="BM179" s="3151" t="n"/>
      <c r="BN179" s="3151" t="n"/>
      <c r="BO179" s="3151" t="n"/>
      <c r="BP179" s="3151" t="n"/>
      <c r="BQ179" s="3151" t="n"/>
      <c r="BR179" s="3151" t="n"/>
      <c r="BS179" s="3151" t="n"/>
      <c r="BT179" s="3151" t="n"/>
      <c r="BU179" s="3151" t="n"/>
      <c r="BV179" s="3151" t="n"/>
    </row>
    <row r="180" ht="22.25" customHeight="1">
      <c r="B180" s="3916">
        <f>C117</f>
        <v/>
      </c>
      <c r="C180" s="3916" t="n"/>
      <c r="D180" s="3941">
        <f>SUM('Inl. wetlands'!BL35:BL44)</f>
        <v/>
      </c>
      <c r="E180" s="3941">
        <f>SUM('Inl. wetlands'!BM35:BM44)</f>
        <v/>
      </c>
      <c r="F180" s="3941">
        <f>BALANCE!D45</f>
        <v/>
      </c>
      <c r="G180" s="3942">
        <f>IF(AND(D180=0,E180=0),0,1)</f>
        <v/>
      </c>
      <c r="H180" s="3941">
        <f>BALANCE!F45</f>
        <v/>
      </c>
      <c r="I180" s="3941">
        <f>BALANCE!G45</f>
        <v/>
      </c>
      <c r="J180" s="3941">
        <f>BALANCE!I45</f>
        <v/>
      </c>
      <c r="K180" s="3941">
        <f>BALANCE!L45</f>
        <v/>
      </c>
      <c r="L180" s="3943">
        <f>BALANCE!J45+BALANCE!M45</f>
        <v/>
      </c>
      <c r="M180" s="3916" t="n"/>
      <c r="N180" s="3941">
        <f>IFERROR('10.Results'!D180/time_tot,0)</f>
        <v/>
      </c>
      <c r="O180" s="3941">
        <f>IFERROR('10.Results'!E180/time_tot,0)</f>
        <v/>
      </c>
      <c r="P180" s="3941">
        <f>IFERROR('10.Results'!F180/time_tot,0)</f>
        <v/>
      </c>
      <c r="W180" s="3151" t="n"/>
      <c r="X180" s="3151" t="n"/>
      <c r="Y180" s="3151" t="n"/>
      <c r="Z180" s="3151" t="n"/>
      <c r="AA180" s="3151" t="n"/>
      <c r="AB180" s="3151" t="n"/>
      <c r="AC180" s="3151" t="n"/>
      <c r="AD180" s="3151" t="n"/>
      <c r="AE180" s="3151" t="n"/>
      <c r="AF180" s="3151" t="n"/>
      <c r="AG180" s="3151" t="n"/>
      <c r="AH180" s="3151" t="n"/>
      <c r="AI180" s="3151" t="n"/>
      <c r="AJ180" s="3151" t="n"/>
      <c r="AK180" s="3151" t="n"/>
      <c r="AL180" s="3151" t="n"/>
      <c r="AM180" s="3151" t="n"/>
      <c r="AN180" s="3151" t="n"/>
      <c r="AO180" s="3151" t="n"/>
      <c r="AP180" s="3151" t="n"/>
      <c r="AQ180" s="3151" t="n"/>
      <c r="AR180" s="3151" t="n"/>
      <c r="AS180" s="3151" t="n"/>
      <c r="AT180" s="3151" t="n"/>
      <c r="AU180" s="3151" t="n"/>
      <c r="AV180" s="3151" t="n"/>
      <c r="AW180" s="3151" t="n"/>
      <c r="AX180" s="3151" t="n"/>
      <c r="AY180" s="3151" t="n"/>
      <c r="AZ180" s="3151" t="n"/>
      <c r="BA180" s="3151" t="n"/>
      <c r="BB180" s="3151" t="n"/>
      <c r="BC180" s="3151" t="n"/>
      <c r="BD180" s="3151" t="n"/>
      <c r="BE180" s="3151" t="n"/>
      <c r="BF180" s="3151" t="n"/>
      <c r="BG180" s="3151" t="n"/>
      <c r="BH180" s="3151" t="n"/>
      <c r="BI180" s="3151" t="n"/>
      <c r="BJ180" s="3151" t="n"/>
      <c r="BK180" s="3151" t="n"/>
      <c r="BL180" s="3151" t="n"/>
      <c r="BM180" s="3151" t="n"/>
      <c r="BN180" s="3151" t="n"/>
      <c r="BO180" s="3151" t="n"/>
      <c r="BP180" s="3151" t="n"/>
      <c r="BQ180" s="3151" t="n"/>
      <c r="BR180" s="3151" t="n"/>
      <c r="BS180" s="3151" t="n"/>
      <c r="BT180" s="3151" t="n"/>
      <c r="BU180" s="3151" t="n"/>
      <c r="BV180" s="3151" t="n"/>
    </row>
    <row r="181" ht="22.25" customHeight="1">
      <c r="B181" s="3916">
        <f>C125</f>
        <v/>
      </c>
      <c r="C181" s="3916" t="n"/>
      <c r="D181" s="3945">
        <f>SUM('Inl. wetlands'!BL339:BL348)</f>
        <v/>
      </c>
      <c r="E181" s="3941">
        <f>SUM('Inl. wetlands'!BM339:BM348)</f>
        <v/>
      </c>
      <c r="F181" s="3941">
        <f>BALANCE!D46</f>
        <v/>
      </c>
      <c r="G181" s="3942">
        <f>IF(AND(D181=0,E181=0),0,1)</f>
        <v/>
      </c>
      <c r="H181" s="3941">
        <f>BALANCE!F46</f>
        <v/>
      </c>
      <c r="I181" s="3941">
        <f>BALANCE!G46</f>
        <v/>
      </c>
      <c r="J181" s="3941">
        <f>BALANCE!I46</f>
        <v/>
      </c>
      <c r="K181" s="3941">
        <f>BALANCE!L46</f>
        <v/>
      </c>
      <c r="L181" s="3943">
        <f>BALANCE!J46+BALANCE!M46</f>
        <v/>
      </c>
      <c r="M181" s="3916" t="n"/>
      <c r="N181" s="3941">
        <f>IFERROR('10.Results'!D181/time_tot,0)</f>
        <v/>
      </c>
      <c r="O181" s="3941">
        <f>IFERROR('10.Results'!E181/time_tot,0)</f>
        <v/>
      </c>
      <c r="P181" s="3941">
        <f>IFERROR('10.Results'!F181/time_tot,0)</f>
        <v/>
      </c>
      <c r="W181" s="3151" t="n"/>
      <c r="X181" s="3151" t="n"/>
      <c r="Y181" s="3151" t="n"/>
      <c r="Z181" s="3151" t="n"/>
      <c r="AA181" s="3151" t="n"/>
      <c r="AB181" s="3151" t="n"/>
      <c r="AC181" s="3151" t="n"/>
      <c r="AD181" s="3151" t="n"/>
      <c r="AE181" s="3151" t="n"/>
      <c r="AF181" s="3151" t="n"/>
      <c r="AG181" s="3151" t="n"/>
      <c r="AH181" s="3151" t="n"/>
      <c r="AI181" s="3151" t="n"/>
      <c r="AJ181" s="3151" t="n"/>
      <c r="AK181" s="3151" t="n"/>
      <c r="AL181" s="3151" t="n"/>
      <c r="AM181" s="3151" t="n"/>
      <c r="AN181" s="3151" t="n"/>
      <c r="AO181" s="3151" t="n"/>
      <c r="AP181" s="3151" t="n"/>
      <c r="AQ181" s="3151" t="n"/>
      <c r="AR181" s="3151" t="n"/>
      <c r="AS181" s="3151" t="n"/>
      <c r="AT181" s="3151" t="n"/>
      <c r="AU181" s="3151" t="n"/>
      <c r="AV181" s="3151" t="n"/>
      <c r="AW181" s="3151" t="n"/>
      <c r="AX181" s="3151" t="n"/>
      <c r="AY181" s="3151" t="n"/>
      <c r="AZ181" s="3151" t="n"/>
      <c r="BA181" s="3151" t="n"/>
      <c r="BB181" s="3151" t="n"/>
      <c r="BC181" s="3151" t="n"/>
      <c r="BD181" s="3151" t="n"/>
      <c r="BE181" s="3151" t="n"/>
      <c r="BF181" s="3151" t="n"/>
      <c r="BG181" s="3151" t="n"/>
      <c r="BH181" s="3151" t="n"/>
      <c r="BI181" s="3151" t="n"/>
      <c r="BJ181" s="3151" t="n"/>
      <c r="BK181" s="3151" t="n"/>
      <c r="BL181" s="3151" t="n"/>
      <c r="BM181" s="3151" t="n"/>
      <c r="BN181" s="3151" t="n"/>
      <c r="BO181" s="3151" t="n"/>
      <c r="BP181" s="3151" t="n"/>
      <c r="BQ181" s="3151" t="n"/>
      <c r="BR181" s="3151" t="n"/>
      <c r="BS181" s="3151" t="n"/>
      <c r="BT181" s="3151" t="n"/>
      <c r="BU181" s="3151" t="n"/>
      <c r="BV181" s="3151" t="n"/>
    </row>
    <row r="182" ht="22.25" customHeight="1">
      <c r="B182" s="3916">
        <f>C118</f>
        <v/>
      </c>
      <c r="C182" s="3916" t="n"/>
      <c r="D182" s="3941">
        <f>SUM('Inl. wetlands'!BL134:BL143)</f>
        <v/>
      </c>
      <c r="E182" s="3941">
        <f>SUM('Inl. wetlands'!BM134:BM143)</f>
        <v/>
      </c>
      <c r="F182" s="3941">
        <f>BALANCE!D47</f>
        <v/>
      </c>
      <c r="G182" s="3942">
        <f>IF(AND(D182=0,E182=0),0,1)</f>
        <v/>
      </c>
      <c r="H182" s="3941">
        <f>BALANCE!F47</f>
        <v/>
      </c>
      <c r="I182" s="3941">
        <f>BALANCE!G47</f>
        <v/>
      </c>
      <c r="J182" s="3941">
        <f>BALANCE!I47</f>
        <v/>
      </c>
      <c r="K182" s="3941">
        <f>BALANCE!L47</f>
        <v/>
      </c>
      <c r="L182" s="3943">
        <f>BALANCE!J47+BALANCE!M47</f>
        <v/>
      </c>
      <c r="M182" s="3916" t="n"/>
      <c r="N182" s="3941">
        <f>IFERROR('10.Results'!D182/time_tot,0)</f>
        <v/>
      </c>
      <c r="O182" s="3941">
        <f>IFERROR('10.Results'!E182/time_tot,0)</f>
        <v/>
      </c>
      <c r="P182" s="3941">
        <f>IFERROR('10.Results'!F182/time_tot,0)</f>
        <v/>
      </c>
      <c r="W182" s="3151" t="n"/>
      <c r="X182" s="3151" t="n"/>
      <c r="Y182" s="3151" t="n"/>
      <c r="Z182" s="3151" t="n"/>
      <c r="AA182" s="3151" t="n"/>
      <c r="AB182" s="3151" t="n"/>
      <c r="AC182" s="3151" t="n"/>
      <c r="AD182" s="3151" t="n"/>
      <c r="AE182" s="3151" t="n"/>
      <c r="AF182" s="3151" t="n"/>
      <c r="AG182" s="3151" t="n"/>
      <c r="AH182" s="3151" t="n"/>
      <c r="AI182" s="3151" t="n"/>
      <c r="AJ182" s="3151" t="n"/>
      <c r="AK182" s="3151" t="n"/>
      <c r="AL182" s="3151" t="n"/>
      <c r="AM182" s="3151" t="n"/>
      <c r="AN182" s="3151" t="n"/>
      <c r="AO182" s="3151" t="n"/>
      <c r="AP182" s="3151" t="n"/>
      <c r="AQ182" s="3151" t="n"/>
      <c r="AR182" s="3151" t="n"/>
      <c r="AS182" s="3151" t="n"/>
      <c r="AT182" s="3151" t="n"/>
      <c r="AU182" s="3151" t="n"/>
      <c r="AV182" s="3151" t="n"/>
      <c r="AW182" s="3151" t="n"/>
      <c r="AX182" s="3151" t="n"/>
      <c r="AY182" s="3151" t="n"/>
      <c r="AZ182" s="3151" t="n"/>
      <c r="BA182" s="3151" t="n"/>
      <c r="BB182" s="3151" t="n"/>
      <c r="BC182" s="3151" t="n"/>
      <c r="BD182" s="3151" t="n"/>
      <c r="BE182" s="3151" t="n"/>
      <c r="BF182" s="3151" t="n"/>
      <c r="BG182" s="3151" t="n"/>
      <c r="BH182" s="3151" t="n"/>
      <c r="BI182" s="3151" t="n"/>
      <c r="BJ182" s="3151" t="n"/>
      <c r="BK182" s="3151" t="n"/>
      <c r="BL182" s="3151" t="n"/>
      <c r="BM182" s="3151" t="n"/>
      <c r="BN182" s="3151" t="n"/>
      <c r="BO182" s="3151" t="n"/>
      <c r="BP182" s="3151" t="n"/>
      <c r="BQ182" s="3151" t="n"/>
      <c r="BR182" s="3151" t="n"/>
      <c r="BS182" s="3151" t="n"/>
      <c r="BT182" s="3151" t="n"/>
      <c r="BU182" s="3151" t="n"/>
      <c r="BV182" s="3151" t="n"/>
    </row>
    <row r="183" ht="22.25" customHeight="1">
      <c r="B183" s="3916">
        <f>C119</f>
        <v/>
      </c>
      <c r="C183" s="3916" t="n"/>
      <c r="D183" s="3941">
        <f>SUM('Inl. wetlands'!BL224:BL233)</f>
        <v/>
      </c>
      <c r="E183" s="3941">
        <f>SUM('Inl. wetlands'!BM224:BM233)</f>
        <v/>
      </c>
      <c r="F183" s="3941">
        <f>BALANCE!D48</f>
        <v/>
      </c>
      <c r="G183" s="3942">
        <f>IF(AND(D183=0,E183=0),0,1)</f>
        <v/>
      </c>
      <c r="H183" s="3941">
        <f>BALANCE!F48</f>
        <v/>
      </c>
      <c r="I183" s="3941">
        <f>BALANCE!G48</f>
        <v/>
      </c>
      <c r="J183" s="3941">
        <f>BALANCE!I48</f>
        <v/>
      </c>
      <c r="K183" s="3941">
        <f>BALANCE!L48</f>
        <v/>
      </c>
      <c r="L183" s="3943">
        <f>BALANCE!J48+BALANCE!M48</f>
        <v/>
      </c>
      <c r="M183" s="3916" t="n"/>
      <c r="N183" s="3941">
        <f>IFERROR('10.Results'!D183/time_tot,0)</f>
        <v/>
      </c>
      <c r="O183" s="3941">
        <f>IFERROR('10.Results'!E183/time_tot,0)</f>
        <v/>
      </c>
      <c r="P183" s="3941">
        <f>IFERROR('10.Results'!F183/time_tot,0)</f>
        <v/>
      </c>
      <c r="W183" s="3151" t="n"/>
      <c r="X183" s="3151" t="n"/>
      <c r="Y183" s="3151" t="n"/>
      <c r="Z183" s="3151" t="n"/>
      <c r="AA183" s="3151" t="n"/>
      <c r="AB183" s="3151" t="n"/>
      <c r="AC183" s="3151" t="n"/>
      <c r="AD183" s="3151" t="n"/>
      <c r="AE183" s="3151" t="n"/>
      <c r="AF183" s="3151" t="n"/>
      <c r="AG183" s="3151" t="n"/>
      <c r="AH183" s="3151" t="n"/>
      <c r="AI183" s="3151" t="n"/>
      <c r="AJ183" s="3151" t="n"/>
      <c r="AK183" s="3151" t="n"/>
      <c r="AL183" s="3151" t="n"/>
      <c r="AM183" s="3151" t="n"/>
      <c r="AN183" s="3151" t="n"/>
      <c r="AO183" s="3151" t="n"/>
      <c r="AP183" s="3151" t="n"/>
      <c r="AQ183" s="3151" t="n"/>
      <c r="AR183" s="3151" t="n"/>
      <c r="AS183" s="3151" t="n"/>
      <c r="AT183" s="3151" t="n"/>
      <c r="AU183" s="3151" t="n"/>
      <c r="AV183" s="3151" t="n"/>
      <c r="AW183" s="3151" t="n"/>
      <c r="AX183" s="3151" t="n"/>
      <c r="AY183" s="3151" t="n"/>
      <c r="AZ183" s="3151" t="n"/>
      <c r="BA183" s="3151" t="n"/>
      <c r="BB183" s="3151" t="n"/>
      <c r="BC183" s="3151" t="n"/>
      <c r="BD183" s="3151" t="n"/>
      <c r="BE183" s="3151" t="n"/>
      <c r="BF183" s="3151" t="n"/>
      <c r="BG183" s="3151" t="n"/>
      <c r="BH183" s="3151" t="n"/>
      <c r="BI183" s="3151" t="n"/>
      <c r="BJ183" s="3151" t="n"/>
      <c r="BK183" s="3151" t="n"/>
      <c r="BL183" s="3151" t="n"/>
      <c r="BM183" s="3151" t="n"/>
      <c r="BN183" s="3151" t="n"/>
      <c r="BO183" s="3151" t="n"/>
      <c r="BP183" s="3151" t="n"/>
      <c r="BQ183" s="3151" t="n"/>
      <c r="BR183" s="3151" t="n"/>
      <c r="BS183" s="3151" t="n"/>
      <c r="BT183" s="3151" t="n"/>
      <c r="BU183" s="3151" t="n"/>
      <c r="BV183" s="3151" t="n"/>
    </row>
    <row r="184" ht="22.25" customHeight="1">
      <c r="B184" s="3916">
        <f>Languages!B704</f>
        <v/>
      </c>
      <c r="C184" s="3916" t="n"/>
      <c r="D184" s="3941">
        <f>SUM('Inl. wetlands'!BL415:BL424)</f>
        <v/>
      </c>
      <c r="E184" s="3941">
        <f>SUM('Inl. wetlands'!BM415:BM424)</f>
        <v/>
      </c>
      <c r="F184" s="3941">
        <f>BALANCE!D49</f>
        <v/>
      </c>
      <c r="G184" s="3942">
        <f>IF(AND(D184=0,E184=0),0,1)</f>
        <v/>
      </c>
      <c r="H184" s="3941">
        <f>BALANCE!F49</f>
        <v/>
      </c>
      <c r="I184" s="3941">
        <f>BALANCE!G49</f>
        <v/>
      </c>
      <c r="J184" s="3941">
        <f>BALANCE!I49</f>
        <v/>
      </c>
      <c r="K184" s="3941">
        <f>BALANCE!L49</f>
        <v/>
      </c>
      <c r="L184" s="3943">
        <f>BALANCE!J49+BALANCE!M49</f>
        <v/>
      </c>
      <c r="M184" s="3916" t="n"/>
      <c r="N184" s="3941">
        <f>IFERROR('10.Results'!D184/time_tot,0)</f>
        <v/>
      </c>
      <c r="O184" s="3941">
        <f>IFERROR('10.Results'!E184/time_tot,0)</f>
        <v/>
      </c>
      <c r="P184" s="3941">
        <f>IFERROR('10.Results'!F184/time_tot,0)</f>
        <v/>
      </c>
      <c r="W184" s="3151" t="n"/>
      <c r="X184" s="3151" t="n"/>
      <c r="Y184" s="3151" t="n"/>
      <c r="Z184" s="3151" t="n"/>
      <c r="AA184" s="3151" t="n"/>
      <c r="AB184" s="3151" t="n"/>
      <c r="AC184" s="3151" t="n"/>
      <c r="AD184" s="3151" t="n"/>
      <c r="AE184" s="3151" t="n"/>
      <c r="AF184" s="3151" t="n"/>
      <c r="AG184" s="3151" t="n"/>
      <c r="AH184" s="3151" t="n"/>
      <c r="AI184" s="3151" t="n"/>
      <c r="AJ184" s="3151" t="n"/>
      <c r="AK184" s="3151" t="n"/>
      <c r="AL184" s="3151" t="n"/>
      <c r="AM184" s="3151" t="n"/>
      <c r="AN184" s="3151" t="n"/>
      <c r="AO184" s="3151" t="n"/>
      <c r="AP184" s="3151" t="n"/>
      <c r="AQ184" s="3151" t="n"/>
      <c r="AR184" s="3151" t="n"/>
      <c r="AS184" s="3151" t="n"/>
      <c r="AT184" s="3151" t="n"/>
      <c r="AU184" s="3151" t="n"/>
      <c r="AV184" s="3151" t="n"/>
      <c r="AW184" s="3151" t="n"/>
      <c r="AX184" s="3151" t="n"/>
      <c r="AY184" s="3151" t="n"/>
      <c r="AZ184" s="3151" t="n"/>
      <c r="BA184" s="3151" t="n"/>
      <c r="BB184" s="3151" t="n"/>
      <c r="BC184" s="3151" t="n"/>
      <c r="BD184" s="3151" t="n"/>
      <c r="BE184" s="3151" t="n"/>
      <c r="BF184" s="3151" t="n"/>
      <c r="BG184" s="3151" t="n"/>
      <c r="BH184" s="3151" t="n"/>
      <c r="BI184" s="3151" t="n"/>
      <c r="BJ184" s="3151" t="n"/>
      <c r="BK184" s="3151" t="n"/>
      <c r="BL184" s="3151" t="n"/>
      <c r="BM184" s="3151" t="n"/>
      <c r="BN184" s="3151" t="n"/>
      <c r="BO184" s="3151" t="n"/>
      <c r="BP184" s="3151" t="n"/>
      <c r="BQ184" s="3151" t="n"/>
      <c r="BR184" s="3151" t="n"/>
      <c r="BS184" s="3151" t="n"/>
      <c r="BT184" s="3151" t="n"/>
      <c r="BU184" s="3151" t="n"/>
      <c r="BV184" s="3151" t="n"/>
    </row>
    <row r="185" ht="22.25" customHeight="1">
      <c r="B185" s="3916">
        <f>Languages!B705</f>
        <v/>
      </c>
      <c r="C185" s="3916" t="n"/>
      <c r="D185" s="3943">
        <f>SUM('Inl. wetlands'!BL473:BL482)</f>
        <v/>
      </c>
      <c r="E185" s="3943">
        <f>SUM('Inl. wetlands'!BM473:BM482)</f>
        <v/>
      </c>
      <c r="F185" s="3943">
        <f>BALANCE!D50</f>
        <v/>
      </c>
      <c r="G185" s="3942">
        <f>IF(AND(D185=0,E185=0),0,1)</f>
        <v/>
      </c>
      <c r="H185" s="3941" t="n"/>
      <c r="I185" s="3941">
        <f>BALANCE!G50</f>
        <v/>
      </c>
      <c r="J185" s="3941">
        <f>BALANCE!I50</f>
        <v/>
      </c>
      <c r="K185" s="3941">
        <f>BALANCE!L50</f>
        <v/>
      </c>
      <c r="L185" s="3943">
        <f>BALANCE!J50+BALANCE!M50</f>
        <v/>
      </c>
      <c r="M185" s="3916" t="n"/>
      <c r="N185" s="3941">
        <f>IFERROR('10.Results'!D185/time_tot,0)</f>
        <v/>
      </c>
      <c r="O185" s="3941">
        <f>IFERROR('10.Results'!E185/time_tot,0)</f>
        <v/>
      </c>
      <c r="P185" s="3941">
        <f>IFERROR('10.Results'!F185/time_tot,0)</f>
        <v/>
      </c>
      <c r="W185" s="3151" t="n"/>
      <c r="X185" s="3151" t="n"/>
      <c r="Y185" s="3151" t="n"/>
      <c r="Z185" s="3151" t="n"/>
      <c r="AA185" s="3151" t="n"/>
      <c r="AB185" s="3151" t="n"/>
      <c r="AC185" s="3151" t="n"/>
      <c r="AD185" s="3151" t="n"/>
      <c r="AE185" s="3151" t="n"/>
      <c r="AF185" s="3151" t="n"/>
      <c r="AG185" s="3151" t="n"/>
      <c r="AH185" s="3151" t="n"/>
      <c r="AI185" s="3151" t="n"/>
      <c r="AJ185" s="3151" t="n"/>
      <c r="AK185" s="3151" t="n"/>
      <c r="AL185" s="3151" t="n"/>
      <c r="AM185" s="3151" t="n"/>
      <c r="AN185" s="3151" t="n"/>
      <c r="AO185" s="3151" t="n"/>
      <c r="AP185" s="3151" t="n"/>
      <c r="AQ185" s="3151" t="n"/>
      <c r="AR185" s="3151" t="n"/>
      <c r="AS185" s="3151" t="n"/>
      <c r="AT185" s="3151" t="n"/>
      <c r="AU185" s="3151" t="n"/>
      <c r="AV185" s="3151" t="n"/>
      <c r="AW185" s="3151" t="n"/>
      <c r="AX185" s="3151" t="n"/>
      <c r="AY185" s="3151" t="n"/>
      <c r="AZ185" s="3151" t="n"/>
      <c r="BA185" s="3151" t="n"/>
      <c r="BB185" s="3151" t="n"/>
      <c r="BC185" s="3151" t="n"/>
      <c r="BD185" s="3151" t="n"/>
      <c r="BE185" s="3151" t="n"/>
      <c r="BF185" s="3151" t="n"/>
      <c r="BG185" s="3151" t="n"/>
      <c r="BH185" s="3151" t="n"/>
      <c r="BI185" s="3151" t="n"/>
      <c r="BJ185" s="3151" t="n"/>
      <c r="BK185" s="3151" t="n"/>
      <c r="BL185" s="3151" t="n"/>
      <c r="BM185" s="3151" t="n"/>
      <c r="BN185" s="3151" t="n"/>
      <c r="BO185" s="3151" t="n"/>
      <c r="BP185" s="3151" t="n"/>
      <c r="BQ185" s="3151" t="n"/>
      <c r="BR185" s="3151" t="n"/>
      <c r="BS185" s="3151" t="n"/>
      <c r="BT185" s="3151" t="n"/>
      <c r="BU185" s="3151" t="n"/>
      <c r="BV185" s="3151" t="n"/>
    </row>
    <row r="186" ht="22.25" customHeight="1">
      <c r="G186" s="3942" t="n"/>
      <c r="H186" s="1898" t="n"/>
      <c r="I186" s="1898" t="n"/>
      <c r="J186" s="1898" t="n"/>
      <c r="K186" s="1898" t="n"/>
      <c r="L186" s="1898" t="n"/>
      <c r="W186" s="3151" t="n"/>
      <c r="X186" s="3151" t="n"/>
      <c r="Y186" s="3151" t="n"/>
      <c r="Z186" s="3151" t="n"/>
      <c r="AA186" s="3151" t="n"/>
      <c r="AB186" s="3151" t="n"/>
      <c r="AC186" s="3151" t="n"/>
      <c r="AD186" s="3151" t="n"/>
      <c r="AE186" s="3151" t="n"/>
      <c r="AF186" s="3151" t="n"/>
      <c r="AG186" s="3151" t="n"/>
      <c r="AH186" s="3151" t="n"/>
      <c r="AI186" s="3151" t="n"/>
      <c r="AJ186" s="3151" t="n"/>
      <c r="AK186" s="3151" t="n"/>
      <c r="AL186" s="3151" t="n"/>
      <c r="AM186" s="3151" t="n"/>
      <c r="AN186" s="3151" t="n"/>
      <c r="AO186" s="3151" t="n"/>
      <c r="AP186" s="3151" t="n"/>
      <c r="AQ186" s="3151" t="n"/>
      <c r="AR186" s="3151" t="n"/>
      <c r="AS186" s="3151" t="n"/>
      <c r="AT186" s="3151" t="n"/>
      <c r="AU186" s="3151" t="n"/>
      <c r="AV186" s="3151" t="n"/>
      <c r="AW186" s="3151" t="n"/>
      <c r="AX186" s="3151" t="n"/>
      <c r="AY186" s="3151" t="n"/>
      <c r="AZ186" s="3151" t="n"/>
      <c r="BA186" s="3151" t="n"/>
      <c r="BB186" s="3151" t="n"/>
      <c r="BC186" s="3151" t="n"/>
      <c r="BD186" s="3151" t="n"/>
      <c r="BE186" s="3151" t="n"/>
      <c r="BF186" s="3151" t="n"/>
      <c r="BG186" s="3151" t="n"/>
      <c r="BH186" s="3151" t="n"/>
      <c r="BI186" s="3151" t="n"/>
      <c r="BJ186" s="3151" t="n"/>
      <c r="BK186" s="3151" t="n"/>
      <c r="BL186" s="3151" t="n"/>
      <c r="BM186" s="3151" t="n"/>
      <c r="BN186" s="3151" t="n"/>
      <c r="BO186" s="3151" t="n"/>
      <c r="BP186" s="3151" t="n"/>
      <c r="BQ186" s="3151" t="n"/>
      <c r="BR186" s="3151" t="n"/>
      <c r="BS186" s="3151" t="n"/>
      <c r="BT186" s="3151" t="n"/>
      <c r="BU186" s="3151" t="n"/>
      <c r="BV186" s="3151" t="n"/>
    </row>
    <row r="187" ht="22.25" customHeight="1">
      <c r="B187" s="3990">
        <f>B131</f>
        <v/>
      </c>
      <c r="C187" s="3990" t="n"/>
      <c r="D187" s="3991">
        <f>SUM(D180:D185)</f>
        <v/>
      </c>
      <c r="E187" s="3991">
        <f>SUM(E180:E185)</f>
        <v/>
      </c>
      <c r="F187" s="3991">
        <f>E187-D187</f>
        <v/>
      </c>
      <c r="G187" s="3942" t="n"/>
      <c r="H187" s="3991">
        <f>SUM(H180:H185)</f>
        <v/>
      </c>
      <c r="I187" s="3991">
        <f>SUM(I180:I185)</f>
        <v/>
      </c>
      <c r="J187" s="3991">
        <f>SUM(J180:J185)</f>
        <v/>
      </c>
      <c r="K187" s="3991">
        <f>SUM(K180:K185)</f>
        <v/>
      </c>
      <c r="L187" s="3991">
        <f>SUM(L180:L185)</f>
        <v/>
      </c>
      <c r="M187" s="3955" t="n"/>
      <c r="N187" s="3991">
        <f>SUM(N180:N185)</f>
        <v/>
      </c>
      <c r="O187" s="3991">
        <f>SUM(O180:O185)</f>
        <v/>
      </c>
      <c r="P187" s="3991">
        <f>SUM(P180:P185)</f>
        <v/>
      </c>
      <c r="W187" s="3151" t="n"/>
      <c r="X187" s="3151" t="n"/>
      <c r="Y187" s="3151" t="n"/>
      <c r="Z187" s="3151" t="n"/>
      <c r="AA187" s="3151" t="n"/>
      <c r="AB187" s="3151" t="n"/>
      <c r="AC187" s="3151" t="n"/>
      <c r="AD187" s="3151" t="n"/>
      <c r="AE187" s="3151" t="n"/>
      <c r="AF187" s="3151" t="n"/>
      <c r="AG187" s="3151" t="n"/>
      <c r="AH187" s="3151" t="n"/>
      <c r="AI187" s="3151" t="n"/>
      <c r="AJ187" s="3151" t="n"/>
      <c r="AK187" s="3151" t="n"/>
      <c r="AL187" s="3151" t="n"/>
      <c r="AM187" s="3151" t="n"/>
      <c r="AN187" s="3151" t="n"/>
      <c r="AO187" s="3151" t="n"/>
      <c r="AP187" s="3151" t="n"/>
      <c r="AQ187" s="3151" t="n"/>
      <c r="AR187" s="3151" t="n"/>
      <c r="AS187" s="3151" t="n"/>
      <c r="AT187" s="3151" t="n"/>
      <c r="AU187" s="3151" t="n"/>
      <c r="AV187" s="3151" t="n"/>
      <c r="AW187" s="3151" t="n"/>
      <c r="AX187" s="3151" t="n"/>
      <c r="AY187" s="3151" t="n"/>
      <c r="AZ187" s="3151" t="n"/>
      <c r="BA187" s="3151" t="n"/>
      <c r="BB187" s="3151" t="n"/>
      <c r="BC187" s="3151" t="n"/>
      <c r="BD187" s="3151" t="n"/>
      <c r="BE187" s="3151" t="n"/>
      <c r="BF187" s="3151" t="n"/>
      <c r="BG187" s="3151" t="n"/>
      <c r="BH187" s="3151" t="n"/>
      <c r="BI187" s="3151" t="n"/>
      <c r="BJ187" s="3151" t="n"/>
      <c r="BK187" s="3151" t="n"/>
      <c r="BL187" s="3151" t="n"/>
      <c r="BM187" s="3151" t="n"/>
      <c r="BN187" s="3151" t="n"/>
      <c r="BO187" s="3151" t="n"/>
      <c r="BP187" s="3151" t="n"/>
      <c r="BQ187" s="3151" t="n"/>
      <c r="BR187" s="3151" t="n"/>
      <c r="BS187" s="3151" t="n"/>
      <c r="BT187" s="3151" t="n"/>
      <c r="BU187" s="3151" t="n"/>
      <c r="BV187" s="3151" t="n"/>
    </row>
    <row r="188" ht="22.25" customHeight="1">
      <c r="B188" s="3990">
        <f>B132</f>
        <v/>
      </c>
      <c r="C188" s="3957" t="n"/>
      <c r="D188" s="4840">
        <f>IFERROR(D187/BALANCE!$S$4,0)</f>
        <v/>
      </c>
      <c r="E188" s="4840">
        <f>IFERROR(E187/BALANCE!$S$4,0)</f>
        <v/>
      </c>
      <c r="F188" s="4840">
        <f>IFERROR(F187/BALANCE!$S$4,0)</f>
        <v/>
      </c>
      <c r="G188" s="3942" t="n"/>
      <c r="H188" s="4840">
        <f>IFERROR(H187/BALANCE!$S$4,0)</f>
        <v/>
      </c>
      <c r="I188" s="4840">
        <f>IFERROR(I187/BALANCE!$S$4,0)</f>
        <v/>
      </c>
      <c r="J188" s="4840">
        <f>IFERROR(J187/BALANCE!$S$4,0)</f>
        <v/>
      </c>
      <c r="K188" s="4840">
        <f>IFERROR(K187/BALANCE!$S$4,0)</f>
        <v/>
      </c>
      <c r="L188" s="4840">
        <f>IFERROR(L187/BALANCE!$S$4,0)</f>
        <v/>
      </c>
      <c r="M188" s="3953" t="n"/>
      <c r="N188" s="4841" t="n"/>
      <c r="O188" s="4841" t="n"/>
      <c r="P188" s="4841" t="n"/>
      <c r="W188" s="3151" t="n"/>
      <c r="X188" s="3151" t="n"/>
      <c r="Y188" s="3151" t="n"/>
      <c r="Z188" s="3151" t="n"/>
      <c r="AA188" s="3151" t="n"/>
      <c r="AB188" s="3151" t="n"/>
      <c r="AC188" s="3151" t="n"/>
      <c r="AD188" s="3151" t="n"/>
      <c r="AE188" s="3151" t="n"/>
      <c r="AF188" s="3151" t="n"/>
      <c r="AG188" s="3151" t="n"/>
      <c r="AH188" s="3151" t="n"/>
      <c r="AI188" s="3151" t="n"/>
      <c r="AJ188" s="3151" t="n"/>
      <c r="AK188" s="3151" t="n"/>
      <c r="AL188" s="3151" t="n"/>
      <c r="AM188" s="3151" t="n"/>
      <c r="AN188" s="3151" t="n"/>
      <c r="AO188" s="3151" t="n"/>
      <c r="AP188" s="3151" t="n"/>
      <c r="AQ188" s="3151" t="n"/>
      <c r="AR188" s="3151" t="n"/>
      <c r="AS188" s="3151" t="n"/>
      <c r="AT188" s="3151" t="n"/>
      <c r="AU188" s="3151" t="n"/>
      <c r="AV188" s="3151" t="n"/>
      <c r="AW188" s="3151" t="n"/>
      <c r="AX188" s="3151" t="n"/>
      <c r="AY188" s="3151" t="n"/>
      <c r="AZ188" s="3151" t="n"/>
      <c r="BA188" s="3151" t="n"/>
      <c r="BB188" s="3151" t="n"/>
      <c r="BC188" s="3151" t="n"/>
      <c r="BD188" s="3151" t="n"/>
      <c r="BE188" s="3151" t="n"/>
      <c r="BF188" s="3151" t="n"/>
      <c r="BG188" s="3151" t="n"/>
      <c r="BH188" s="3151" t="n"/>
      <c r="BI188" s="3151" t="n"/>
      <c r="BJ188" s="3151" t="n"/>
      <c r="BK188" s="3151" t="n"/>
      <c r="BL188" s="3151" t="n"/>
      <c r="BM188" s="3151" t="n"/>
      <c r="BN188" s="3151" t="n"/>
      <c r="BO188" s="3151" t="n"/>
      <c r="BP188" s="3151" t="n"/>
      <c r="BQ188" s="3151" t="n"/>
      <c r="BR188" s="3151" t="n"/>
      <c r="BS188" s="3151" t="n"/>
      <c r="BT188" s="3151" t="n"/>
      <c r="BU188" s="3151" t="n"/>
      <c r="BV188" s="3151" t="n"/>
    </row>
    <row r="189" ht="22.25" customHeight="1">
      <c r="B189" s="3990">
        <f>B133</f>
        <v/>
      </c>
      <c r="C189" s="3954" t="n"/>
      <c r="D189" s="4842">
        <f>IFERROR(D188/time_tot,0)</f>
        <v/>
      </c>
      <c r="E189" s="4842">
        <f>IFERROR(E188/time_tot,0)</f>
        <v/>
      </c>
      <c r="F189" s="4842">
        <f>IFERROR(F188/time_tot,0)</f>
        <v/>
      </c>
      <c r="G189" s="3942" t="n"/>
      <c r="H189" s="4842">
        <f>IFERROR(H188/time_tot,0)</f>
        <v/>
      </c>
      <c r="I189" s="4842">
        <f>IFERROR(I188/time_tot,0)</f>
        <v/>
      </c>
      <c r="J189" s="4842">
        <f>IFERROR(J188/time_tot,0)</f>
        <v/>
      </c>
      <c r="K189" s="4842">
        <f>IFERROR(K188/time_tot,0)</f>
        <v/>
      </c>
      <c r="L189" s="4842">
        <f>IFERROR(L188/time_tot,0)</f>
        <v/>
      </c>
      <c r="M189" s="3953" t="n"/>
      <c r="N189" s="4841" t="n"/>
      <c r="O189" s="4841" t="n"/>
      <c r="P189" s="4841" t="n"/>
      <c r="W189" s="1970" t="n"/>
      <c r="X189" s="1970" t="n"/>
      <c r="Y189" s="1970" t="n"/>
      <c r="Z189" s="1970" t="n"/>
      <c r="AA189" s="1970" t="n"/>
      <c r="AB189" s="1970" t="n"/>
      <c r="AC189" s="1970" t="n"/>
      <c r="AD189" s="1970" t="n"/>
      <c r="AE189" s="1970" t="n"/>
      <c r="AF189" s="1970" t="n"/>
      <c r="AG189" s="1970" t="n"/>
      <c r="AH189" s="1970" t="n"/>
      <c r="AI189" s="1970" t="n"/>
      <c r="AJ189" s="1970" t="n"/>
      <c r="AK189" s="1970" t="n"/>
      <c r="AL189" s="1970" t="n"/>
      <c r="AM189" s="1970" t="n"/>
      <c r="AN189" s="1970" t="n"/>
      <c r="AO189" s="1970" t="n"/>
      <c r="AP189" s="1970" t="n"/>
      <c r="AQ189" s="1970" t="n"/>
      <c r="AR189" s="1970" t="n"/>
      <c r="AS189" s="1970" t="n"/>
      <c r="AT189" s="1970" t="n"/>
      <c r="AU189" s="1970" t="n"/>
      <c r="AV189" s="1970" t="n"/>
      <c r="AW189" s="1970" t="n"/>
      <c r="AX189" s="1970" t="n"/>
      <c r="AY189" s="1970" t="n"/>
      <c r="AZ189" s="1970" t="n"/>
      <c r="BA189" s="1970" t="n"/>
      <c r="BB189" s="1970" t="n"/>
      <c r="BC189" s="1970" t="n"/>
      <c r="BD189" s="1970" t="n"/>
      <c r="BE189" s="1970" t="n"/>
      <c r="BF189" s="1970" t="n"/>
      <c r="BG189" s="1970" t="n"/>
      <c r="BH189" s="1970" t="n"/>
      <c r="BI189" s="1970" t="n"/>
      <c r="BJ189" s="1970" t="n"/>
      <c r="BK189" s="1970" t="n"/>
      <c r="BL189" s="1970" t="n"/>
      <c r="BM189" s="1970" t="n"/>
      <c r="BN189" s="1970" t="n"/>
      <c r="BO189" s="1970" t="n"/>
      <c r="BP189" s="1970" t="n"/>
      <c r="BQ189" s="1970" t="n"/>
      <c r="BR189" s="1970" t="n"/>
      <c r="BS189" s="1970" t="n"/>
      <c r="BT189" s="1970" t="n"/>
      <c r="BU189" s="1970" t="n"/>
      <c r="BV189" s="1970" t="n"/>
    </row>
    <row r="190" ht="22.25" customHeight="1">
      <c r="B190" s="3954" t="n"/>
      <c r="C190" s="3954" t="n"/>
      <c r="D190" s="4846" t="n"/>
      <c r="E190" s="4846" t="n"/>
      <c r="F190" s="4846" t="n"/>
      <c r="G190" s="3942" t="n"/>
      <c r="H190" s="4846" t="n"/>
      <c r="I190" s="4846" t="n"/>
      <c r="J190" s="4846" t="n"/>
      <c r="K190" s="4846" t="n"/>
      <c r="L190" s="4846" t="n"/>
      <c r="M190" s="3953" t="n"/>
      <c r="N190" s="4846" t="n"/>
      <c r="W190" s="3151" t="n"/>
      <c r="X190" s="3151" t="n"/>
      <c r="Y190" s="3151" t="n"/>
      <c r="Z190" s="3151" t="n"/>
      <c r="AA190" s="3151" t="n"/>
      <c r="AB190" s="3151" t="n"/>
      <c r="AC190" s="3151" t="n"/>
      <c r="AD190" s="3151" t="n"/>
      <c r="AE190" s="3151" t="n"/>
      <c r="AF190" s="3151" t="n"/>
      <c r="AG190" s="3151" t="n"/>
      <c r="AH190" s="3151" t="n"/>
      <c r="AI190" s="3151" t="n"/>
      <c r="AJ190" s="3151" t="n"/>
      <c r="AK190" s="3151" t="n"/>
      <c r="AL190" s="3151" t="n"/>
      <c r="AM190" s="3151" t="n"/>
      <c r="AN190" s="3151" t="n"/>
      <c r="AO190" s="3151" t="n"/>
      <c r="AP190" s="3151" t="n"/>
      <c r="AQ190" s="3151" t="n"/>
      <c r="AR190" s="3151" t="n"/>
      <c r="AS190" s="3151" t="n"/>
      <c r="AT190" s="3151" t="n"/>
      <c r="AU190" s="3151" t="n"/>
      <c r="AV190" s="3151" t="n"/>
      <c r="AW190" s="3151" t="n"/>
      <c r="AX190" s="3151" t="n"/>
      <c r="AY190" s="3151" t="n"/>
      <c r="AZ190" s="3151" t="n"/>
      <c r="BA190" s="3151" t="n"/>
      <c r="BB190" s="3151" t="n"/>
      <c r="BC190" s="3151" t="n"/>
      <c r="BD190" s="3151" t="n"/>
      <c r="BE190" s="3151" t="n"/>
      <c r="BF190" s="3151" t="n"/>
      <c r="BG190" s="3151" t="n"/>
      <c r="BH190" s="3151" t="n"/>
      <c r="BI190" s="3151" t="n"/>
      <c r="BJ190" s="3151" t="n"/>
      <c r="BK190" s="3151" t="n"/>
      <c r="BL190" s="3151" t="n"/>
      <c r="BM190" s="3151" t="n"/>
      <c r="BN190" s="3151" t="n"/>
      <c r="BO190" s="3151" t="n"/>
      <c r="BP190" s="3151" t="n"/>
      <c r="BQ190" s="3151" t="n"/>
      <c r="BR190" s="3151" t="n"/>
      <c r="BS190" s="3151" t="n"/>
      <c r="BT190" s="3151" t="n"/>
      <c r="BU190" s="3151" t="n"/>
      <c r="BV190" s="3151" t="n"/>
    </row>
    <row r="191" ht="22.25" customHeight="1">
      <c r="B191" s="3954" t="n"/>
      <c r="C191" s="4028" t="n"/>
      <c r="D191" s="4029" t="n"/>
      <c r="E191" s="4029" t="n"/>
      <c r="F191" s="4846" t="n"/>
      <c r="G191" s="3942" t="n"/>
      <c r="H191" s="4846" t="n"/>
      <c r="I191" s="4846" t="n"/>
      <c r="J191" s="4846" t="n"/>
      <c r="K191" s="4846" t="n"/>
      <c r="L191" s="4846" t="n"/>
      <c r="M191" s="3953" t="n"/>
      <c r="N191" s="4846" t="n"/>
      <c r="O191" s="4116">
        <f>N135</f>
        <v/>
      </c>
      <c r="P191" s="4115">
        <f>O135</f>
        <v/>
      </c>
      <c r="Q191" s="4115">
        <f>P135</f>
        <v/>
      </c>
      <c r="W191" s="3151" t="n"/>
      <c r="X191" s="3151" t="n"/>
      <c r="Y191" s="3151" t="n"/>
      <c r="Z191" s="3151" t="n"/>
      <c r="AA191" s="3151" t="n"/>
      <c r="AB191" s="3151" t="n"/>
      <c r="AC191" s="3151" t="n"/>
      <c r="AD191" s="3151" t="n"/>
      <c r="AE191" s="3151" t="n"/>
      <c r="AF191" s="3151" t="n"/>
      <c r="AG191" s="3151" t="n"/>
      <c r="AH191" s="3151" t="n"/>
      <c r="AI191" s="3151" t="n"/>
      <c r="AJ191" s="3151" t="n"/>
      <c r="AK191" s="3151" t="n"/>
      <c r="AL191" s="3151" t="n"/>
      <c r="AM191" s="3151" t="n"/>
      <c r="AN191" s="3151" t="n"/>
      <c r="AO191" s="3151" t="n"/>
      <c r="AP191" s="3151" t="n"/>
      <c r="AQ191" s="3151" t="n"/>
      <c r="AR191" s="3151" t="n"/>
      <c r="AS191" s="3151" t="n"/>
      <c r="AT191" s="3151" t="n"/>
      <c r="AU191" s="3151" t="n"/>
      <c r="AV191" s="3151" t="n"/>
      <c r="AW191" s="3151" t="n"/>
      <c r="AX191" s="3151" t="n"/>
      <c r="AY191" s="3151" t="n"/>
      <c r="AZ191" s="3151" t="n"/>
      <c r="BA191" s="3151" t="n"/>
      <c r="BB191" s="3151" t="n"/>
      <c r="BC191" s="3151" t="n"/>
      <c r="BD191" s="3151" t="n"/>
      <c r="BE191" s="3151" t="n"/>
      <c r="BF191" s="3151" t="n"/>
      <c r="BG191" s="3151" t="n"/>
      <c r="BH191" s="3151" t="n"/>
      <c r="BI191" s="3151" t="n"/>
      <c r="BJ191" s="3151" t="n"/>
      <c r="BK191" s="3151" t="n"/>
      <c r="BL191" s="3151" t="n"/>
      <c r="BM191" s="3151" t="n"/>
      <c r="BN191" s="3151" t="n"/>
      <c r="BO191" s="3151" t="n"/>
      <c r="BP191" s="3151" t="n"/>
      <c r="BQ191" s="3151" t="n"/>
      <c r="BR191" s="3151" t="n"/>
      <c r="BS191" s="3151" t="n"/>
      <c r="BT191" s="3151" t="n"/>
      <c r="BU191" s="3151" t="n"/>
      <c r="BV191" s="3151" t="n"/>
    </row>
    <row r="192" ht="22.25" customHeight="1">
      <c r="B192" s="3954" t="n"/>
      <c r="C192" s="4028" t="n"/>
      <c r="D192" s="4029" t="n"/>
      <c r="E192" s="4029" t="n"/>
      <c r="F192" s="4846" t="n"/>
      <c r="G192" s="3942" t="n"/>
      <c r="H192" s="4846" t="n"/>
      <c r="I192" s="4846" t="n"/>
      <c r="J192" s="4846" t="n"/>
      <c r="K192" s="4846" t="n"/>
      <c r="L192" s="4846" t="n"/>
      <c r="M192" s="3953" t="n"/>
      <c r="N192" s="4846" t="n"/>
      <c r="O192" s="4033">
        <f>N136</f>
        <v/>
      </c>
      <c r="P192" s="4031">
        <f>SUM(BALANCE!K123:O128)</f>
        <v/>
      </c>
      <c r="Q192" s="4032">
        <f>IFERROR(SUMPRODUCT(BALANCE!K123:O128,BALANCE!Q123:U128)/P192/100,0)</f>
        <v/>
      </c>
      <c r="W192" s="3151" t="n"/>
      <c r="X192" s="3151" t="n"/>
      <c r="Y192" s="3151" t="n"/>
      <c r="Z192" s="3151" t="n"/>
      <c r="AA192" s="3151" t="n"/>
      <c r="AB192" s="3151" t="n"/>
      <c r="AC192" s="3151" t="n"/>
      <c r="AD192" s="3151" t="n"/>
      <c r="AE192" s="3151" t="n"/>
      <c r="AF192" s="3151" t="n"/>
      <c r="AG192" s="3151" t="n"/>
      <c r="AH192" s="3151" t="n"/>
      <c r="AI192" s="3151" t="n"/>
      <c r="AJ192" s="3151" t="n"/>
      <c r="AK192" s="3151" t="n"/>
      <c r="AL192" s="3151" t="n"/>
      <c r="AM192" s="3151" t="n"/>
      <c r="AN192" s="3151" t="n"/>
      <c r="AO192" s="3151" t="n"/>
      <c r="AP192" s="3151" t="n"/>
      <c r="AQ192" s="3151" t="n"/>
      <c r="AR192" s="3151" t="n"/>
      <c r="AS192" s="3151" t="n"/>
      <c r="AT192" s="3151" t="n"/>
      <c r="AU192" s="3151" t="n"/>
      <c r="AV192" s="3151" t="n"/>
      <c r="AW192" s="3151" t="n"/>
      <c r="AX192" s="3151" t="n"/>
      <c r="AY192" s="3151" t="n"/>
      <c r="AZ192" s="3151" t="n"/>
      <c r="BA192" s="3151" t="n"/>
      <c r="BB192" s="3151" t="n"/>
      <c r="BC192" s="3151" t="n"/>
      <c r="BD192" s="3151" t="n"/>
      <c r="BE192" s="3151" t="n"/>
      <c r="BF192" s="3151" t="n"/>
      <c r="BG192" s="3151" t="n"/>
      <c r="BH192" s="3151" t="n"/>
      <c r="BI192" s="3151" t="n"/>
      <c r="BJ192" s="3151" t="n"/>
      <c r="BK192" s="3151" t="n"/>
      <c r="BL192" s="3151" t="n"/>
      <c r="BM192" s="3151" t="n"/>
      <c r="BN192" s="3151" t="n"/>
      <c r="BO192" s="3151" t="n"/>
      <c r="BP192" s="3151" t="n"/>
      <c r="BQ192" s="3151" t="n"/>
      <c r="BR192" s="3151" t="n"/>
      <c r="BS192" s="3151" t="n"/>
      <c r="BT192" s="3151" t="n"/>
      <c r="BU192" s="3151" t="n"/>
      <c r="BV192" s="3151" t="n"/>
    </row>
    <row r="193" ht="17" customHeight="1">
      <c r="G193" s="3942">
        <f>IF(AND(D193=0,E193=0),0,1)</f>
        <v/>
      </c>
      <c r="O193" s="4033">
        <f>N137</f>
        <v/>
      </c>
      <c r="P193" s="4031">
        <f>SUM(BALANCE!K152:O157)</f>
        <v/>
      </c>
      <c r="Q193" s="4032">
        <f>IFERROR(SUMPRODUCT(BALANCE!K152:O157,BALANCE!Q152:U157)/P193/100,0)</f>
        <v/>
      </c>
    </row>
    <row r="194" ht="17" customHeight="1">
      <c r="G194" s="3942" t="n"/>
      <c r="O194" s="4033">
        <f>N138</f>
        <v/>
      </c>
      <c r="P194" s="4031">
        <f>SUM(BALANCE!K95:O100)</f>
        <v/>
      </c>
      <c r="Q194" s="4032">
        <f>IFERROR(SUMPRODUCT(BALANCE!K95:O100,BALANCE!Q95:U100)/P194/100,0)</f>
        <v/>
      </c>
    </row>
    <row r="195" ht="17" customHeight="1">
      <c r="G195" s="3942" t="n"/>
      <c r="O195" s="4033" t="n"/>
      <c r="P195" s="4031" t="n"/>
      <c r="Q195" s="4032" t="n"/>
    </row>
    <row r="196" ht="57.75" customHeight="1">
      <c r="B196" s="4621">
        <f>J26</f>
        <v/>
      </c>
      <c r="J196" s="4622">
        <f>Languages!B697</f>
        <v/>
      </c>
    </row>
    <row r="211">
      <c r="BW211" s="1970" t="n"/>
      <c r="BX211" s="1970" t="n"/>
      <c r="BY211" s="1970" t="n"/>
      <c r="BZ211" s="1970" t="n"/>
      <c r="CA211" s="1970" t="n"/>
      <c r="CB211" s="1970" t="n"/>
      <c r="CC211" s="1970" t="n"/>
      <c r="CD211" s="1970" t="n"/>
      <c r="CE211" s="1970" t="n"/>
      <c r="CF211" s="1970" t="n"/>
      <c r="CG211" s="1970" t="n"/>
    </row>
    <row r="229" ht="21" customHeight="1">
      <c r="I229" s="3980" t="n"/>
      <c r="Q229" s="3980" t="n"/>
    </row>
    <row r="232" ht="57.75" customHeight="1">
      <c r="B232" s="4621">
        <f>Languages!B698</f>
        <v/>
      </c>
      <c r="J232" s="4622">
        <f>Languages!B699</f>
        <v/>
      </c>
    </row>
    <row r="237">
      <c r="W237" s="1970" t="n"/>
      <c r="X237" s="1970" t="n"/>
      <c r="Y237" s="1970" t="n"/>
      <c r="Z237" s="1970" t="n"/>
      <c r="AA237" s="1970" t="n"/>
      <c r="AB237" s="1970" t="n"/>
      <c r="AC237" s="1970" t="n"/>
      <c r="AD237" s="1970" t="n"/>
      <c r="AE237" s="1970" t="n"/>
      <c r="AF237" s="1970" t="n"/>
      <c r="AG237" s="1970" t="n"/>
      <c r="AH237" s="1970" t="n"/>
      <c r="AI237" s="1970" t="n"/>
      <c r="AJ237" s="1970" t="n"/>
      <c r="AK237" s="1970" t="n"/>
      <c r="AL237" s="1970" t="n"/>
      <c r="AM237" s="1970" t="n"/>
      <c r="AN237" s="1970" t="n"/>
      <c r="AO237" s="1970" t="n"/>
      <c r="AP237" s="1970" t="n"/>
      <c r="AQ237" s="1970" t="n"/>
      <c r="AR237" s="1970" t="n"/>
      <c r="AS237" s="1970" t="n"/>
      <c r="AT237" s="1970" t="n"/>
      <c r="AU237" s="1970" t="n"/>
      <c r="AV237" s="1970" t="n"/>
      <c r="AW237" s="1970" t="n"/>
      <c r="AX237" s="1970" t="n"/>
      <c r="AY237" s="1970" t="n"/>
      <c r="AZ237" s="1970" t="n"/>
      <c r="BA237" s="1970" t="n"/>
      <c r="BB237" s="1970" t="n"/>
      <c r="BC237" s="1970" t="n"/>
      <c r="BD237" s="1970" t="n"/>
      <c r="BE237" s="1970" t="n"/>
      <c r="BF237" s="1970" t="n"/>
      <c r="BG237" s="1970" t="n"/>
      <c r="BH237" s="1970" t="n"/>
      <c r="BI237" s="1970" t="n"/>
      <c r="BJ237" s="1970" t="n"/>
      <c r="BK237" s="1970" t="n"/>
      <c r="BL237" s="1970" t="n"/>
      <c r="BM237" s="1970" t="n"/>
      <c r="BN237" s="1970" t="n"/>
      <c r="BO237" s="1970" t="n"/>
      <c r="BP237" s="1970" t="n"/>
      <c r="BQ237" s="1970" t="n"/>
      <c r="BR237" s="1970" t="n"/>
      <c r="BS237" s="1970" t="n"/>
      <c r="BT237" s="1970" t="n"/>
      <c r="BU237" s="1970" t="n"/>
      <c r="BV237" s="1970" t="n"/>
    </row>
    <row r="270" ht="47" customHeight="1">
      <c r="B270" s="4605">
        <f>Languages!B700</f>
        <v/>
      </c>
    </row>
    <row r="273" ht="17" customHeight="1">
      <c r="B273" s="3989">
        <f>B146</f>
        <v/>
      </c>
      <c r="C273" s="4832" t="n"/>
      <c r="D273" s="3989">
        <f>D146</f>
        <v/>
      </c>
      <c r="E273" s="3989">
        <f>E146</f>
        <v/>
      </c>
      <c r="F273" s="3989">
        <f>F157</f>
        <v/>
      </c>
      <c r="G273" s="3989">
        <f>G157</f>
        <v/>
      </c>
      <c r="H273" s="4832" t="n"/>
      <c r="I273" s="3989">
        <f>I157</f>
        <v/>
      </c>
      <c r="J273" s="3989">
        <f>J157</f>
        <v/>
      </c>
      <c r="K273" s="3989">
        <f>K157</f>
        <v/>
      </c>
      <c r="L273" s="3989">
        <f>L146</f>
        <v/>
      </c>
      <c r="O273" s="3931" t="n"/>
      <c r="P273" s="4117" t="n"/>
    </row>
    <row r="274" ht="17" customHeight="1">
      <c r="B274" s="3151">
        <f>B147</f>
        <v/>
      </c>
      <c r="C274" s="1970" t="n"/>
      <c r="D274" s="4630">
        <f>Matrix!I50</f>
        <v/>
      </c>
      <c r="E274" s="4630">
        <f>Matrix!J50</f>
        <v/>
      </c>
      <c r="F274" s="4630">
        <f>Matrix!K50</f>
        <v/>
      </c>
      <c r="G274" s="4844">
        <f>Matrix!L50</f>
        <v/>
      </c>
      <c r="H274" s="4832" t="n"/>
      <c r="I274" s="4630">
        <f>Matrix!M50</f>
        <v/>
      </c>
      <c r="J274" s="4630">
        <f>Matrix!N50</f>
        <v/>
      </c>
      <c r="K274" s="4630">
        <f>Matrix!O50</f>
        <v/>
      </c>
      <c r="L274" s="4093">
        <f>Matrix!P50</f>
        <v/>
      </c>
      <c r="O274" s="3918" t="n"/>
      <c r="P274" s="3981" t="n"/>
    </row>
    <row r="275" ht="17" customHeight="1">
      <c r="B275" s="3151">
        <f>B148</f>
        <v/>
      </c>
      <c r="C275" s="1970" t="n"/>
      <c r="D275" s="4099">
        <f>Matrix!I51</f>
        <v/>
      </c>
      <c r="E275" s="4101">
        <f>Matrix!J51</f>
        <v/>
      </c>
      <c r="F275" s="3984">
        <f>Matrix!K51</f>
        <v/>
      </c>
      <c r="G275" s="4006">
        <f>Matrix!L51</f>
        <v/>
      </c>
      <c r="H275" s="4832" t="n"/>
      <c r="I275" s="3984">
        <f>Matrix!M51</f>
        <v/>
      </c>
      <c r="J275" s="3984">
        <f>Matrix!N51</f>
        <v/>
      </c>
      <c r="K275" s="3984">
        <f>Matrix!O51</f>
        <v/>
      </c>
      <c r="L275" s="4095">
        <f>Matrix!P51</f>
        <v/>
      </c>
      <c r="O275" s="3918" t="n"/>
      <c r="P275" s="3981" t="n"/>
    </row>
    <row r="276" ht="17" customHeight="1">
      <c r="B276" s="3151">
        <f>B149</f>
        <v/>
      </c>
      <c r="C276" s="1970" t="n"/>
      <c r="D276" s="4099">
        <f>Matrix!I52</f>
        <v/>
      </c>
      <c r="E276" s="3984">
        <f>Matrix!J52</f>
        <v/>
      </c>
      <c r="F276" s="4101">
        <f>Matrix!K52</f>
        <v/>
      </c>
      <c r="G276" s="4006">
        <f>Matrix!L52</f>
        <v/>
      </c>
      <c r="H276" s="4832" t="n"/>
      <c r="I276" s="3984">
        <f>Matrix!M52</f>
        <v/>
      </c>
      <c r="J276" s="3984">
        <f>Matrix!N52</f>
        <v/>
      </c>
      <c r="K276" s="3984">
        <f>Matrix!O52</f>
        <v/>
      </c>
      <c r="L276" s="4095">
        <f>Matrix!P52</f>
        <v/>
      </c>
      <c r="O276" s="3918" t="n"/>
      <c r="P276" s="3981" t="n"/>
    </row>
    <row r="277" ht="16" customHeight="1">
      <c r="B277" s="3151">
        <f>B150</f>
        <v/>
      </c>
      <c r="C277" s="1970" t="n"/>
      <c r="D277" s="4099">
        <f>Matrix!I53</f>
        <v/>
      </c>
      <c r="E277" s="3984">
        <f>Matrix!J53</f>
        <v/>
      </c>
      <c r="F277" s="3984">
        <f>Matrix!K53</f>
        <v/>
      </c>
      <c r="G277" s="4002">
        <f>Matrix!L53</f>
        <v/>
      </c>
      <c r="H277" s="4832" t="n"/>
      <c r="I277" s="3984">
        <f>Matrix!M53</f>
        <v/>
      </c>
      <c r="J277" s="3984">
        <f>Matrix!N53</f>
        <v/>
      </c>
      <c r="K277" s="3984">
        <f>Matrix!O53</f>
        <v/>
      </c>
      <c r="L277" s="4095">
        <f>Matrix!P53</f>
        <v/>
      </c>
    </row>
    <row r="278" ht="16" customHeight="1">
      <c r="B278" s="3151">
        <f>B151</f>
        <v/>
      </c>
      <c r="C278" s="1970" t="n"/>
      <c r="D278" s="4099">
        <f>Matrix!I54</f>
        <v/>
      </c>
      <c r="E278" s="3984">
        <f>Matrix!J54</f>
        <v/>
      </c>
      <c r="F278" s="3984">
        <f>Matrix!K54</f>
        <v/>
      </c>
      <c r="G278" s="4006">
        <f>Matrix!L54</f>
        <v/>
      </c>
      <c r="H278" s="4832" t="n"/>
      <c r="I278" s="4101">
        <f>Matrix!M54</f>
        <v/>
      </c>
      <c r="J278" s="3984">
        <f>Matrix!N54</f>
        <v/>
      </c>
      <c r="K278" s="3984">
        <f>Matrix!O54</f>
        <v/>
      </c>
      <c r="L278" s="4095">
        <f>Matrix!P54</f>
        <v/>
      </c>
    </row>
    <row r="279" ht="16" customHeight="1">
      <c r="B279" s="3151">
        <f>B152</f>
        <v/>
      </c>
      <c r="C279" s="1970" t="n"/>
      <c r="D279" s="4099">
        <f>Matrix!I55</f>
        <v/>
      </c>
      <c r="E279" s="3984">
        <f>Matrix!J55</f>
        <v/>
      </c>
      <c r="F279" s="3984">
        <f>Matrix!K55</f>
        <v/>
      </c>
      <c r="G279" s="4006">
        <f>Matrix!L55</f>
        <v/>
      </c>
      <c r="H279" s="4832" t="n"/>
      <c r="I279" s="3984">
        <f>Matrix!M55</f>
        <v/>
      </c>
      <c r="J279" s="4101">
        <f>Matrix!N55</f>
        <v/>
      </c>
      <c r="K279" s="3984">
        <f>Matrix!O55</f>
        <v/>
      </c>
      <c r="L279" s="4095">
        <f>Matrix!P55</f>
        <v/>
      </c>
    </row>
    <row r="280" ht="16" customHeight="1">
      <c r="B280" s="3151">
        <f>B153</f>
        <v/>
      </c>
      <c r="C280" s="1970" t="n"/>
      <c r="D280" s="4099">
        <f>Matrix!I56</f>
        <v/>
      </c>
      <c r="E280" s="3984">
        <f>Matrix!J56</f>
        <v/>
      </c>
      <c r="F280" s="3984">
        <f>Matrix!K56</f>
        <v/>
      </c>
      <c r="G280" s="4006">
        <f>Matrix!L56</f>
        <v/>
      </c>
      <c r="H280" s="4832" t="n"/>
      <c r="I280" s="3984">
        <f>Matrix!M56</f>
        <v/>
      </c>
      <c r="J280" s="3984">
        <f>Matrix!N56</f>
        <v/>
      </c>
      <c r="K280" s="4101">
        <f>Matrix!O56</f>
        <v/>
      </c>
      <c r="L280" s="4095">
        <f>Matrix!P56</f>
        <v/>
      </c>
    </row>
    <row r="281" ht="16" customHeight="1">
      <c r="B281" s="3986">
        <f>B154</f>
        <v/>
      </c>
      <c r="C281" s="1970" t="n"/>
      <c r="D281" s="4098">
        <f>Matrix!I57</f>
        <v/>
      </c>
      <c r="E281" s="4098">
        <f>Matrix!J57</f>
        <v/>
      </c>
      <c r="F281" s="4098">
        <f>Matrix!K57</f>
        <v/>
      </c>
      <c r="G281" s="4845">
        <f>Matrix!L57</f>
        <v/>
      </c>
      <c r="H281" s="4832" t="n"/>
      <c r="I281" s="4098">
        <f>Matrix!M57</f>
        <v/>
      </c>
      <c r="J281" s="4098">
        <f>Matrix!N57</f>
        <v/>
      </c>
      <c r="K281" s="4098">
        <f>Matrix!O57</f>
        <v/>
      </c>
      <c r="L281" s="4098">
        <f>Matrix!P57</f>
        <v/>
      </c>
    </row>
    <row r="284" ht="16" customHeight="1">
      <c r="B284" s="3989">
        <f>B157</f>
        <v/>
      </c>
      <c r="C284" s="4832" t="n"/>
      <c r="D284" s="3989">
        <f>D273</f>
        <v/>
      </c>
      <c r="E284" s="3989">
        <f>E273</f>
        <v/>
      </c>
      <c r="F284" s="3989">
        <f>F273</f>
        <v/>
      </c>
      <c r="G284" s="3989">
        <f>G273</f>
        <v/>
      </c>
      <c r="H284" s="4832" t="n"/>
      <c r="I284" s="3989">
        <f>I273</f>
        <v/>
      </c>
      <c r="J284" s="3989">
        <f>J273</f>
        <v/>
      </c>
      <c r="K284" s="3989">
        <f>K273</f>
        <v/>
      </c>
      <c r="L284" s="3989">
        <f>L273</f>
        <v/>
      </c>
    </row>
    <row r="285" ht="16" customHeight="1">
      <c r="B285" s="3151">
        <f>B274</f>
        <v/>
      </c>
      <c r="C285" s="1970" t="n"/>
      <c r="D285" s="4630">
        <f>Matrix!I66</f>
        <v/>
      </c>
      <c r="E285" s="4630">
        <f>Matrix!J66</f>
        <v/>
      </c>
      <c r="F285" s="4630">
        <f>Matrix!K66</f>
        <v/>
      </c>
      <c r="G285" s="4844">
        <f>Matrix!L66</f>
        <v/>
      </c>
      <c r="H285" s="4832" t="n"/>
      <c r="I285" s="4630">
        <f>Matrix!M66</f>
        <v/>
      </c>
      <c r="J285" s="4630">
        <f>Matrix!N66</f>
        <v/>
      </c>
      <c r="K285" s="4630">
        <f>Matrix!O66</f>
        <v/>
      </c>
      <c r="L285" s="4093">
        <f>Matrix!P66</f>
        <v/>
      </c>
    </row>
    <row r="286" ht="16" customHeight="1">
      <c r="B286" s="3151">
        <f>B275</f>
        <v/>
      </c>
      <c r="C286" s="1970" t="n"/>
      <c r="D286" s="4099">
        <f>Matrix!I67</f>
        <v/>
      </c>
      <c r="E286" s="4101">
        <f>Matrix!J67</f>
        <v/>
      </c>
      <c r="F286" s="3984">
        <f>Matrix!K67</f>
        <v/>
      </c>
      <c r="G286" s="4006">
        <f>Matrix!L67</f>
        <v/>
      </c>
      <c r="H286" s="4832" t="n"/>
      <c r="I286" s="3984">
        <f>Matrix!M67</f>
        <v/>
      </c>
      <c r="J286" s="3984">
        <f>Matrix!N67</f>
        <v/>
      </c>
      <c r="K286" s="3984">
        <f>Matrix!O67</f>
        <v/>
      </c>
      <c r="L286" s="4095">
        <f>Matrix!P67</f>
        <v/>
      </c>
    </row>
    <row r="287" ht="16" customHeight="1">
      <c r="B287" s="3151">
        <f>B276</f>
        <v/>
      </c>
      <c r="C287" s="1970" t="n"/>
      <c r="D287" s="4099">
        <f>Matrix!I68</f>
        <v/>
      </c>
      <c r="E287" s="3984">
        <f>Matrix!J68</f>
        <v/>
      </c>
      <c r="F287" s="4101">
        <f>Matrix!K68</f>
        <v/>
      </c>
      <c r="G287" s="4006">
        <f>Matrix!L68</f>
        <v/>
      </c>
      <c r="H287" s="4832" t="n"/>
      <c r="I287" s="3984">
        <f>Matrix!M68</f>
        <v/>
      </c>
      <c r="J287" s="3984">
        <f>Matrix!N68</f>
        <v/>
      </c>
      <c r="K287" s="3984">
        <f>Matrix!O68</f>
        <v/>
      </c>
      <c r="L287" s="4095">
        <f>Matrix!P68</f>
        <v/>
      </c>
    </row>
    <row r="288" ht="16" customHeight="1">
      <c r="B288" s="3151">
        <f>B277</f>
        <v/>
      </c>
      <c r="C288" s="1970" t="n"/>
      <c r="D288" s="4099">
        <f>Matrix!I69</f>
        <v/>
      </c>
      <c r="E288" s="3984">
        <f>Matrix!J69</f>
        <v/>
      </c>
      <c r="F288" s="3984">
        <f>Matrix!K69</f>
        <v/>
      </c>
      <c r="G288" s="4002">
        <f>Matrix!L69</f>
        <v/>
      </c>
      <c r="H288" s="4832" t="n"/>
      <c r="I288" s="3984">
        <f>Matrix!M69</f>
        <v/>
      </c>
      <c r="J288" s="3984">
        <f>Matrix!N69</f>
        <v/>
      </c>
      <c r="K288" s="3984">
        <f>Matrix!O69</f>
        <v/>
      </c>
      <c r="L288" s="4095">
        <f>Matrix!P69</f>
        <v/>
      </c>
    </row>
    <row r="289" ht="16" customHeight="1">
      <c r="B289" s="3151">
        <f>B278</f>
        <v/>
      </c>
      <c r="C289" s="1970" t="n"/>
      <c r="D289" s="4099">
        <f>Matrix!I70</f>
        <v/>
      </c>
      <c r="E289" s="3984">
        <f>Matrix!J70</f>
        <v/>
      </c>
      <c r="F289" s="3984">
        <f>Matrix!K70</f>
        <v/>
      </c>
      <c r="G289" s="4006">
        <f>Matrix!L70</f>
        <v/>
      </c>
      <c r="H289" s="4832" t="n"/>
      <c r="I289" s="4101">
        <f>Matrix!M70</f>
        <v/>
      </c>
      <c r="J289" s="3984">
        <f>Matrix!N70</f>
        <v/>
      </c>
      <c r="K289" s="3984">
        <f>Matrix!O70</f>
        <v/>
      </c>
      <c r="L289" s="4095">
        <f>Matrix!P70</f>
        <v/>
      </c>
    </row>
    <row r="290" ht="16" customHeight="1">
      <c r="B290" s="3151">
        <f>B279</f>
        <v/>
      </c>
      <c r="C290" s="1970" t="n"/>
      <c r="D290" s="4099">
        <f>Matrix!I71</f>
        <v/>
      </c>
      <c r="E290" s="3984">
        <f>Matrix!J71</f>
        <v/>
      </c>
      <c r="F290" s="3984">
        <f>Matrix!K71</f>
        <v/>
      </c>
      <c r="G290" s="4006">
        <f>Matrix!L71</f>
        <v/>
      </c>
      <c r="H290" s="4832" t="n"/>
      <c r="I290" s="3984">
        <f>Matrix!M71</f>
        <v/>
      </c>
      <c r="J290" s="4101">
        <f>Matrix!N71</f>
        <v/>
      </c>
      <c r="K290" s="3984">
        <f>Matrix!O71</f>
        <v/>
      </c>
      <c r="L290" s="4095">
        <f>Matrix!P71</f>
        <v/>
      </c>
    </row>
    <row r="291" ht="16" customHeight="1">
      <c r="B291" s="3151">
        <f>B280</f>
        <v/>
      </c>
      <c r="C291" s="1970" t="n"/>
      <c r="D291" s="4099">
        <f>Matrix!I72</f>
        <v/>
      </c>
      <c r="E291" s="3984">
        <f>Matrix!J72</f>
        <v/>
      </c>
      <c r="F291" s="3984">
        <f>Matrix!K72</f>
        <v/>
      </c>
      <c r="G291" s="4006">
        <f>Matrix!L72</f>
        <v/>
      </c>
      <c r="H291" s="4832" t="n"/>
      <c r="I291" s="3984">
        <f>Matrix!M72</f>
        <v/>
      </c>
      <c r="J291" s="3984">
        <f>Matrix!N72</f>
        <v/>
      </c>
      <c r="K291" s="4101">
        <f>Matrix!O72</f>
        <v/>
      </c>
      <c r="L291" s="4095">
        <f>Matrix!P72</f>
        <v/>
      </c>
    </row>
    <row r="292" ht="16" customHeight="1">
      <c r="B292" s="3986">
        <f>B165</f>
        <v/>
      </c>
      <c r="C292" s="1970" t="n"/>
      <c r="D292" s="4098">
        <f>Matrix!I73</f>
        <v/>
      </c>
      <c r="E292" s="4098">
        <f>Matrix!J73</f>
        <v/>
      </c>
      <c r="F292" s="4098">
        <f>Matrix!K73</f>
        <v/>
      </c>
      <c r="G292" s="4845">
        <f>Matrix!L73</f>
        <v/>
      </c>
      <c r="H292" s="4832" t="n"/>
      <c r="I292" s="4098">
        <f>Matrix!M73</f>
        <v/>
      </c>
      <c r="J292" s="4098">
        <f>Matrix!N73</f>
        <v/>
      </c>
      <c r="K292" s="4098">
        <f>Matrix!O73</f>
        <v/>
      </c>
      <c r="L292" s="4098">
        <f>Matrix!P73</f>
        <v/>
      </c>
    </row>
  </sheetData>
  <sheetProtection selectLockedCells="0" selectUnlockedCells="0" algorithmName="SHA-512" sheet="1" objects="0" insertRows="1" insertHyperlinks="1" autoFilter="1" scenarios="0" formatColumns="0" deleteColumns="1" insertColumns="1" pivotTables="1" deleteRows="1" formatCells="1" saltValue="+NVIWo2CXHs/R9Lqh0se9A==" formatRows="1" sort="1" spinCount="100000" hashValue="Aq4WoTrw2R1+sDfkClOUuTVPOyN9XzQQDjW00lpKBOi8faiVubyb4QnNNjkxV7/biWGdm+nAmBgyF9fGgFARoA=="/>
  <mergeCells count="64">
    <mergeCell ref="B174:Q174"/>
    <mergeCell ref="G276:H276"/>
    <mergeCell ref="B270:Q270"/>
    <mergeCell ref="B62:I62"/>
    <mergeCell ref="W78:X78"/>
    <mergeCell ref="G161:H161"/>
    <mergeCell ref="B232:I232"/>
    <mergeCell ref="G151:H151"/>
    <mergeCell ref="B273:C273"/>
    <mergeCell ref="G287:H287"/>
    <mergeCell ref="B143:Q143"/>
    <mergeCell ref="G278:H278"/>
    <mergeCell ref="G157:H157"/>
    <mergeCell ref="G160:H160"/>
    <mergeCell ref="G289:H289"/>
    <mergeCell ref="G147:H147"/>
    <mergeCell ref="G292:H292"/>
    <mergeCell ref="G158:H158"/>
    <mergeCell ref="W85:W86"/>
    <mergeCell ref="W82:W84"/>
    <mergeCell ref="G146:H146"/>
    <mergeCell ref="B179:C179"/>
    <mergeCell ref="G288:H288"/>
    <mergeCell ref="B157:C157"/>
    <mergeCell ref="W66:X66"/>
    <mergeCell ref="G162:H162"/>
    <mergeCell ref="G152:H152"/>
    <mergeCell ref="G285:H285"/>
    <mergeCell ref="J4:Q4"/>
    <mergeCell ref="B116:C116"/>
    <mergeCell ref="J26:Q26"/>
    <mergeCell ref="G148:H148"/>
    <mergeCell ref="G279:H279"/>
    <mergeCell ref="G284:H284"/>
    <mergeCell ref="B102:Q102"/>
    <mergeCell ref="B196:I196"/>
    <mergeCell ref="B146:C146"/>
    <mergeCell ref="G275:H275"/>
    <mergeCell ref="J196:Q196"/>
    <mergeCell ref="B117:B119"/>
    <mergeCell ref="G281:H281"/>
    <mergeCell ref="G163:H163"/>
    <mergeCell ref="B123:B124"/>
    <mergeCell ref="G290:H290"/>
    <mergeCell ref="G154:H154"/>
    <mergeCell ref="J232:Q232"/>
    <mergeCell ref="W79:W81"/>
    <mergeCell ref="G153:H153"/>
    <mergeCell ref="G280:H280"/>
    <mergeCell ref="G274:H274"/>
    <mergeCell ref="B284:C284"/>
    <mergeCell ref="G165:H165"/>
    <mergeCell ref="B120:B122"/>
    <mergeCell ref="G150:H150"/>
    <mergeCell ref="G164:H164"/>
    <mergeCell ref="G159:H159"/>
    <mergeCell ref="J62:Q62"/>
    <mergeCell ref="G273:H273"/>
    <mergeCell ref="G286:H286"/>
    <mergeCell ref="G277:H277"/>
    <mergeCell ref="G149:H149"/>
    <mergeCell ref="B4:I4"/>
    <mergeCell ref="G291:H291"/>
    <mergeCell ref="B26:I26"/>
  </mergeCells>
  <pageMargins left="0.7" right="0.7" top="0.75" bottom="0.75" header="0.3" footer="0.3"/>
  <pageSetup orientation="portrait"/>
  <drawing r:id="rId1"/>
</worksheet>
</file>

<file path=xl/worksheets/sheet37.xml><?xml version="1.0" encoding="utf-8"?>
<worksheet xmlns:r="http://schemas.openxmlformats.org/officeDocument/2006/relationships" xmlns="http://schemas.openxmlformats.org/spreadsheetml/2006/main">
  <sheetPr codeName="Sheet36">
    <outlinePr summaryBelow="1" summaryRight="1"/>
    <pageSetUpPr/>
  </sheetPr>
  <dimension ref="B1:DN81"/>
  <sheetViews>
    <sheetView showGridLines="0" topLeftCell="C10" zoomScale="85" zoomScaleNormal="85" workbookViewId="0">
      <selection activeCell="O30" sqref="O30"/>
    </sheetView>
  </sheetViews>
  <sheetFormatPr baseColWidth="10" defaultColWidth="8.6640625" defaultRowHeight="14"/>
  <cols>
    <col width="7.5" customWidth="1" style="1324" min="1" max="1"/>
    <col width="12.5" bestFit="1" customWidth="1" style="1324" min="2" max="2"/>
    <col width="12.6640625" customWidth="1" style="1324" min="3" max="3"/>
    <col width="8.6640625" customWidth="1" style="1324" min="4" max="6"/>
    <col width="11.5" customWidth="1" style="1324" min="7" max="7"/>
    <col width="28.5" bestFit="1" customWidth="1" style="1324" min="8" max="8"/>
    <col width="28" customWidth="1" style="1324" min="9" max="9"/>
    <col width="14.5" bestFit="1" customWidth="1" style="1324" min="10" max="10"/>
    <col width="13.5" bestFit="1" customWidth="1" style="1324" min="11" max="11"/>
    <col width="14" customWidth="1" style="1324" min="12" max="12"/>
    <col width="11.5" customWidth="1" style="1324" min="13" max="13"/>
    <col width="16.5" customWidth="1" style="1324" min="14" max="14"/>
    <col width="28.5" bestFit="1" customWidth="1" style="1324" min="15" max="15"/>
    <col width="23.5" customWidth="1" style="1324" min="16" max="16"/>
    <col width="8.6640625" customWidth="1" style="1324" min="17" max="17"/>
    <col width="6.5" customWidth="1" style="1324" min="18" max="18"/>
    <col width="7" customWidth="1" style="1324" min="19" max="19"/>
    <col width="20.33203125" customWidth="1" style="1324" min="20" max="20"/>
    <col width="18" customWidth="1" style="1324" min="21" max="21"/>
    <col width="19.33203125" customWidth="1" style="1324" min="22" max="22"/>
    <col width="18" customWidth="1" style="1324" min="23" max="23"/>
    <col width="15.6640625" customWidth="1" style="1324" min="24" max="24"/>
    <col width="13.5" customWidth="1" style="1324" min="25" max="25"/>
    <col width="11.5" customWidth="1" style="1324" min="26" max="26"/>
    <col width="35.5" customWidth="1" style="1324" min="27" max="27"/>
    <col width="9.33203125" customWidth="1" style="1324" min="28" max="29"/>
    <col width="8.6640625" customWidth="1" style="1324" min="30" max="30"/>
    <col width="7.5" customWidth="1" style="1324" min="31" max="31"/>
    <col width="19.5" customWidth="1" style="1324" min="32" max="32"/>
    <col width="18.33203125" customWidth="1" style="1324" min="33" max="33"/>
    <col width="17.5" bestFit="1" customWidth="1" style="1324" min="34" max="34"/>
    <col width="15.33203125" bestFit="1" customWidth="1" style="1324" min="35" max="35"/>
    <col width="15.6640625" bestFit="1" customWidth="1" style="1324" min="36" max="36"/>
    <col width="13.5" bestFit="1" customWidth="1" style="1324" min="37" max="37"/>
    <col width="11.5" bestFit="1" customWidth="1" style="1324" min="38" max="38"/>
    <col width="30" customWidth="1" style="1324" min="39" max="39"/>
    <col width="8.6640625" customWidth="1" style="1324" min="40" max="42"/>
    <col width="10.5" customWidth="1" style="1324" min="43" max="43"/>
    <col width="18.33203125" customWidth="1" style="1324" min="44" max="44"/>
    <col width="13.5" customWidth="1" style="1324" min="45" max="45"/>
    <col width="14.5" bestFit="1" customWidth="1" style="1324" min="46" max="46"/>
    <col width="12.5" bestFit="1" customWidth="1" style="1324" min="47" max="47"/>
    <col width="13.33203125" bestFit="1" customWidth="1" style="1324" min="48" max="48"/>
    <col width="17.5" customWidth="1" style="1324" min="49" max="49"/>
    <col width="14.5" customWidth="1" style="1324" min="50" max="50"/>
    <col width="11.5" customWidth="1" style="1324" min="51" max="51"/>
    <col width="24.5" customWidth="1" style="1324" min="52" max="52"/>
    <col width="8.6640625" customWidth="1" style="1324" min="53" max="54"/>
    <col width="16.6640625" customWidth="1" style="1324" min="55" max="55"/>
    <col width="15.6640625" customWidth="1" style="1324" min="56" max="56"/>
    <col width="13.5" customWidth="1" style="1324" min="57" max="58"/>
    <col width="11.5" customWidth="1" style="1324" min="59" max="60"/>
    <col width="29.5" customWidth="1" style="1324" min="61" max="61"/>
    <col width="16.5" customWidth="1" style="1324" min="62" max="62"/>
    <col width="8.6640625" customWidth="1" style="1324" min="63" max="63"/>
    <col width="8.6640625" customWidth="1" style="1324" min="64" max="65"/>
    <col width="15.5" customWidth="1" style="1324" min="66" max="66"/>
    <col width="16.5" customWidth="1" style="1324" min="67" max="67"/>
    <col width="13.5" bestFit="1" customWidth="1" style="1324" min="68" max="68"/>
    <col width="14" bestFit="1" customWidth="1" style="1324" min="69" max="69"/>
    <col width="12" bestFit="1" customWidth="1" style="1324" min="70" max="70"/>
    <col width="10.33203125" bestFit="1" customWidth="1" style="1324" min="71" max="71"/>
    <col width="29.6640625" customWidth="1" style="1324" min="72" max="72"/>
    <col width="8.6640625" customWidth="1" style="1324" min="73" max="76"/>
    <col width="14.5" customWidth="1" style="1324" min="77" max="77"/>
    <col width="15.33203125" customWidth="1" style="1324" min="78" max="78"/>
    <col width="15.6640625" bestFit="1" customWidth="1" style="1324" min="79" max="79"/>
    <col width="14" bestFit="1" customWidth="1" style="1324" min="80" max="80"/>
    <col width="12.33203125" bestFit="1" customWidth="1" style="1324" min="81" max="81"/>
    <col width="10.33203125" bestFit="1" customWidth="1" style="1324" min="82" max="82"/>
    <col width="30.33203125" customWidth="1" style="1324" min="83" max="83"/>
    <col width="8.6640625" customWidth="1" style="1324" min="84" max="87"/>
    <col width="13.6640625" bestFit="1" customWidth="1" style="1324" min="88" max="88"/>
    <col width="18" customWidth="1" style="1324" min="89" max="89"/>
    <col width="12" bestFit="1" customWidth="1" style="1324" min="90" max="90"/>
    <col width="14" bestFit="1" customWidth="1" style="1324" min="91" max="91"/>
    <col width="12.33203125" bestFit="1" customWidth="1" style="1324" min="92" max="92"/>
    <col width="13.5" bestFit="1" customWidth="1" style="1324" min="93" max="93"/>
    <col width="29" customWidth="1" style="1324" min="94" max="94"/>
    <col width="8.6640625" customWidth="1" style="1324" min="95" max="98"/>
    <col width="17.5" customWidth="1" style="1324" min="99" max="99"/>
    <col width="18.5" customWidth="1" style="1324" min="100" max="100"/>
    <col width="12" bestFit="1" customWidth="1" style="1324" min="101" max="101"/>
    <col width="14" bestFit="1" customWidth="1" style="1324" min="102" max="102"/>
    <col width="12.33203125" bestFit="1" customWidth="1" style="1324" min="103" max="103"/>
    <col width="13.5" bestFit="1" customWidth="1" style="1324" min="104" max="104"/>
    <col width="30.5" customWidth="1" style="1324" min="105" max="105"/>
    <col width="8.6640625" customWidth="1" style="1324" min="106" max="109"/>
    <col width="25.33203125" customWidth="1" style="1324" min="110" max="110"/>
    <col width="17.5" customWidth="1" style="1324" min="111" max="111"/>
    <col width="13.5" customWidth="1" style="1324" min="112" max="112"/>
    <col width="12.5" customWidth="1" style="1324" min="113" max="113"/>
    <col width="14.6640625" customWidth="1" style="1324" min="114" max="114"/>
    <col width="17.5" customWidth="1" style="1324" min="115" max="115"/>
    <col width="18.33203125" customWidth="1" style="1324" min="116" max="116"/>
    <col width="8.6640625" customWidth="1" style="1324" min="117" max="16384"/>
  </cols>
  <sheetData>
    <row r="1" ht="68" customFormat="1" customHeight="1" s="1445">
      <c r="B1" s="2562" t="inlineStr">
        <is>
          <t>LAND USE CHANGE MATRIX - MINERAL SOIL</t>
        </is>
      </c>
    </row>
    <row r="2">
      <c r="S2" s="973" t="n"/>
      <c r="T2" s="973" t="n"/>
      <c r="U2" s="1281" t="n"/>
      <c r="V2" s="973" t="n"/>
      <c r="W2" s="973" t="n"/>
      <c r="X2" s="973" t="n"/>
      <c r="Y2" s="973" t="n"/>
      <c r="Z2" s="973" t="n"/>
      <c r="AA2" s="973" t="n"/>
      <c r="AB2" s="973" t="n"/>
      <c r="AC2" s="973" t="n"/>
      <c r="AD2" s="973" t="n"/>
      <c r="AE2" s="973" t="n"/>
      <c r="AF2" s="973" t="n"/>
      <c r="AG2" s="973" t="n"/>
      <c r="AH2" s="973" t="n"/>
      <c r="AI2" s="973" t="n"/>
      <c r="AJ2" s="973" t="n"/>
      <c r="AK2" s="973" t="n"/>
      <c r="AL2" s="973" t="n"/>
      <c r="AM2" s="973" t="n"/>
      <c r="AN2" s="973" t="n"/>
      <c r="AO2" s="973" t="n"/>
      <c r="AP2" s="973" t="n"/>
      <c r="AQ2" s="973" t="n"/>
      <c r="AR2" s="973" t="n"/>
      <c r="AS2" s="973" t="n"/>
      <c r="AT2" s="973" t="n"/>
      <c r="AU2" s="973" t="n"/>
      <c r="AV2" s="973" t="n"/>
      <c r="AW2" s="973" t="n"/>
      <c r="AX2" s="973" t="n"/>
      <c r="AY2" s="973" t="n"/>
      <c r="AZ2" s="1325" t="inlineStr">
        <is>
          <t>Agroforestry systems</t>
        </is>
      </c>
      <c r="BA2" s="973" t="n"/>
      <c r="BB2" s="973" t="n"/>
      <c r="BC2" s="973" t="n"/>
      <c r="BD2" s="973" t="n"/>
      <c r="BE2" s="973" t="n"/>
      <c r="BF2" s="973" t="n"/>
      <c r="BG2" s="973" t="n"/>
      <c r="BH2" s="973" t="n"/>
      <c r="BI2" s="973" t="n"/>
      <c r="BJ2" s="973" t="n"/>
      <c r="BK2" s="973" t="n"/>
      <c r="BL2" s="973" t="n"/>
      <c r="BM2" s="973" t="n"/>
      <c r="BN2" s="973" t="n"/>
      <c r="BO2" s="973" t="n"/>
      <c r="BP2" s="973" t="n"/>
      <c r="BQ2" s="973" t="n"/>
      <c r="BR2" s="973" t="n"/>
      <c r="BS2" s="973" t="n"/>
      <c r="BT2" s="973" t="n"/>
      <c r="BU2" s="973" t="n"/>
      <c r="BV2" s="973" t="n"/>
      <c r="BW2" s="973" t="n"/>
      <c r="BX2" s="973" t="n"/>
      <c r="BY2" s="973" t="n"/>
      <c r="BZ2" s="973" t="n"/>
      <c r="CA2" s="973" t="n"/>
      <c r="CB2" s="973" t="n"/>
      <c r="CC2" s="973" t="n"/>
      <c r="CD2" s="973" t="n"/>
      <c r="CE2" s="973" t="n"/>
      <c r="CF2" s="973" t="n"/>
      <c r="CG2" s="973" t="n"/>
      <c r="CH2" s="973" t="n"/>
      <c r="CI2" s="973" t="n"/>
      <c r="CJ2" s="973" t="n"/>
      <c r="CK2" s="973" t="n"/>
      <c r="CL2" s="973" t="n"/>
      <c r="CM2" s="973" t="n"/>
      <c r="CN2" s="973" t="n"/>
      <c r="CO2" s="973" t="n"/>
      <c r="CP2" s="973" t="n"/>
      <c r="CQ2" s="973" t="n"/>
      <c r="CR2" s="973" t="n"/>
      <c r="CS2" s="973" t="n"/>
      <c r="CT2" s="973" t="n"/>
      <c r="CU2" s="973" t="n"/>
      <c r="CV2" s="973" t="n"/>
      <c r="CW2" s="973" t="n"/>
      <c r="CX2" s="973" t="n"/>
      <c r="CY2" s="973" t="n"/>
      <c r="CZ2" s="973" t="n"/>
      <c r="DA2" s="973" t="n"/>
      <c r="DB2" s="973" t="n"/>
      <c r="DC2" s="973" t="n"/>
      <c r="DD2" s="973" t="n"/>
      <c r="DE2" s="973" t="n"/>
      <c r="DF2" s="973" t="n"/>
      <c r="DG2" s="973" t="n"/>
      <c r="DH2" s="973" t="n"/>
      <c r="DI2" s="973" t="n"/>
      <c r="DJ2" s="973" t="n"/>
      <c r="DK2" s="973" t="n"/>
      <c r="DL2" s="973" t="n"/>
      <c r="DM2" s="973" t="n"/>
      <c r="DN2" s="973" t="n"/>
    </row>
    <row r="3" ht="16.5" customHeight="1">
      <c r="S3" s="973" t="n"/>
      <c r="T3" s="1400" t="n"/>
      <c r="U3" s="1401" t="n"/>
      <c r="V3" s="1402" t="inlineStr">
        <is>
          <t>!!!!! END WITHOUT PROJECT !!!!!</t>
        </is>
      </c>
      <c r="W3" s="1403" t="n"/>
      <c r="X3" s="1401" t="n"/>
      <c r="Y3" s="1401" t="n"/>
      <c r="Z3" s="1401" t="n"/>
      <c r="AA3" s="1404" t="n"/>
      <c r="AB3" s="973" t="n"/>
      <c r="AE3" s="973" t="n"/>
      <c r="AF3" s="1400" t="n"/>
      <c r="AG3" s="1401" t="n"/>
      <c r="AH3" s="1402" t="inlineStr">
        <is>
          <t>!!!!! START WITHOUT PROJECT !!!!!</t>
        </is>
      </c>
      <c r="AI3" s="1403" t="n"/>
      <c r="AJ3" s="1401" t="n"/>
      <c r="AK3" s="1401" t="n"/>
      <c r="AL3" s="1401" t="n"/>
      <c r="AM3" s="1404" t="n"/>
      <c r="AN3" s="973" t="n"/>
      <c r="AQ3" s="973" t="n"/>
      <c r="AR3" s="1326" t="n"/>
      <c r="AS3" s="1328" t="inlineStr">
        <is>
          <t>END WITHOUT  PROJECT</t>
        </is>
      </c>
      <c r="AT3" s="1329" t="n"/>
      <c r="AU3" s="1330" t="n"/>
      <c r="AV3" s="1331" t="n"/>
      <c r="AW3" s="1331" t="n"/>
      <c r="AX3" s="1327" t="n"/>
      <c r="AZ3" s="1345" t="inlineStr">
        <is>
          <t>Alley cropping</t>
        </is>
      </c>
      <c r="BB3" s="973" t="n"/>
      <c r="BC3" s="1326" t="n"/>
      <c r="BD3" s="1328" t="inlineStr">
        <is>
          <t>END WITHOUT  PROJECT</t>
        </is>
      </c>
      <c r="BE3" s="1329" t="n"/>
      <c r="BF3" s="1330" t="n"/>
      <c r="BG3" s="1331" t="n"/>
      <c r="BH3" s="1331" t="n"/>
      <c r="BI3" s="1327" t="n"/>
      <c r="BJ3" s="973" t="n"/>
      <c r="BM3" s="973" t="n"/>
      <c r="BN3" s="1326" t="n"/>
      <c r="BO3" s="1328" t="inlineStr">
        <is>
          <t>END WITHOUT  PROJECT</t>
        </is>
      </c>
      <c r="BP3" s="1329" t="n"/>
      <c r="BQ3" s="1330" t="n"/>
      <c r="BR3" s="1331" t="n"/>
      <c r="BS3" s="1331" t="n"/>
      <c r="BT3" s="1327" t="n"/>
      <c r="BU3" s="973" t="n"/>
      <c r="BX3" s="973" t="n"/>
      <c r="BY3" s="1326" t="n"/>
      <c r="BZ3" s="1328" t="inlineStr">
        <is>
          <t>END WITHOUT  PROJECT</t>
        </is>
      </c>
      <c r="CA3" s="1329" t="n"/>
      <c r="CB3" s="1330" t="n"/>
      <c r="CC3" s="1331" t="n"/>
      <c r="CD3" s="1331" t="n"/>
      <c r="CE3" s="1327" t="n"/>
      <c r="CF3" s="973" t="n"/>
      <c r="CI3" s="973" t="n"/>
      <c r="CJ3" s="1326" t="n"/>
      <c r="CK3" s="1328" t="inlineStr">
        <is>
          <t>END WITHOUT  PROJECT</t>
        </is>
      </c>
      <c r="CL3" s="1329" t="n"/>
      <c r="CM3" s="1330" t="n"/>
      <c r="CN3" s="1331" t="n"/>
      <c r="CO3" s="1331" t="n"/>
      <c r="CP3" s="1327" t="n"/>
      <c r="CQ3" s="973" t="n"/>
      <c r="CT3" s="973" t="n"/>
      <c r="CU3" s="1326" t="n"/>
      <c r="CV3" s="1328" t="inlineStr">
        <is>
          <t>END WITHOUT  PROJECT</t>
        </is>
      </c>
      <c r="CW3" s="1329" t="n"/>
      <c r="CX3" s="1330" t="n"/>
      <c r="CY3" s="1331" t="n"/>
      <c r="CZ3" s="1331" t="n"/>
      <c r="DA3" s="1327" t="n"/>
      <c r="DB3" s="973" t="n"/>
      <c r="DD3" s="973" t="n"/>
      <c r="DE3" s="973" t="n"/>
      <c r="DF3" s="1326" t="n"/>
      <c r="DG3" s="1328" t="inlineStr">
        <is>
          <t>END WITHOUT  PROJECT</t>
        </is>
      </c>
      <c r="DH3" s="1329" t="n"/>
      <c r="DI3" s="1330" t="n"/>
      <c r="DJ3" s="1331" t="n"/>
      <c r="DK3" s="1331" t="n"/>
      <c r="DL3" s="1327" t="n"/>
      <c r="DM3" s="973" t="n"/>
    </row>
    <row r="4" ht="18.75" customHeight="1">
      <c r="F4" s="1326" t="n"/>
      <c r="G4" s="1331" t="n"/>
      <c r="H4" s="1331" t="n"/>
      <c r="I4" s="1331" t="n"/>
      <c r="J4" s="1331" t="n"/>
      <c r="K4" s="1331" t="n"/>
      <c r="L4" s="1331" t="n"/>
      <c r="M4" s="1331" t="n"/>
      <c r="N4" s="1331" t="n"/>
      <c r="O4" s="1331" t="n"/>
      <c r="P4" s="1327" t="n"/>
      <c r="S4" s="973" t="n"/>
      <c r="T4" s="1334" t="inlineStr">
        <is>
          <t>Area (ha)</t>
        </is>
      </c>
      <c r="U4" s="1408" t="inlineStr">
        <is>
          <t>Deforestation: FL converted to non-FL ( without project scenario)</t>
        </is>
      </c>
      <c r="V4" s="1409" t="n"/>
      <c r="W4" s="1410" t="n"/>
      <c r="X4" s="1410" t="n"/>
      <c r="Y4" s="1410" t="n"/>
      <c r="Z4" s="1410" t="n"/>
      <c r="AA4" s="1411" t="n"/>
      <c r="AB4" s="973" t="n"/>
      <c r="AE4" s="973" t="n"/>
      <c r="AF4" s="1412" t="inlineStr">
        <is>
          <t>Area (ha)</t>
        </is>
      </c>
      <c r="AG4" s="1405" t="inlineStr">
        <is>
          <t>Afforestation:  non-FL converted to FL ( without project scenario)</t>
        </is>
      </c>
      <c r="AH4" s="1406" t="n"/>
      <c r="AI4" s="1407" t="n"/>
      <c r="AJ4" s="1407" t="n"/>
      <c r="AK4" s="1407" t="n"/>
      <c r="AL4" s="1407" t="n"/>
      <c r="AM4" s="1413" t="n"/>
      <c r="AN4" s="973" t="n"/>
      <c r="AQ4" s="973" t="n"/>
      <c r="AR4" s="1335" t="inlineStr">
        <is>
          <t>Area (ha)</t>
        </is>
      </c>
      <c r="AS4" s="1336" t="n"/>
      <c r="AT4" s="1337" t="n"/>
      <c r="AU4" s="1338" t="n"/>
      <c r="AV4" s="1338" t="n"/>
      <c r="AW4" s="1338" t="n"/>
      <c r="AX4" s="1339" t="n"/>
      <c r="AZ4" s="1345" t="inlineStr">
        <is>
          <t>Hedgerow</t>
        </is>
      </c>
      <c r="BB4" s="973" t="n"/>
      <c r="BC4" s="1335" t="inlineStr">
        <is>
          <t>Area (ha)</t>
        </is>
      </c>
      <c r="BD4" s="1336" t="n"/>
      <c r="BE4" s="1337" t="n"/>
      <c r="BF4" s="1338" t="n"/>
      <c r="BG4" s="1338" t="n"/>
      <c r="BH4" s="1338" t="n"/>
      <c r="BI4" s="1339" t="n"/>
      <c r="BJ4" s="973" t="n"/>
      <c r="BM4" s="973" t="n"/>
      <c r="BN4" s="1335" t="inlineStr">
        <is>
          <t>Area (ha)</t>
        </is>
      </c>
      <c r="BO4" s="1336" t="n"/>
      <c r="BP4" s="1337" t="n"/>
      <c r="BQ4" s="1338" t="n"/>
      <c r="BR4" s="1338" t="n"/>
      <c r="BS4" s="1338" t="n"/>
      <c r="BT4" s="1339" t="n"/>
      <c r="BU4" s="973" t="n"/>
      <c r="BX4" s="973" t="n"/>
      <c r="BY4" s="1335" t="inlineStr">
        <is>
          <t>Area (ha)</t>
        </is>
      </c>
      <c r="BZ4" s="1336" t="n"/>
      <c r="CA4" s="1337" t="n"/>
      <c r="CB4" s="1338" t="n"/>
      <c r="CC4" s="1338" t="n"/>
      <c r="CD4" s="1338" t="n"/>
      <c r="CE4" s="1339" t="n"/>
      <c r="CF4" s="973" t="n"/>
      <c r="CI4" s="973" t="n"/>
      <c r="CJ4" s="1335" t="inlineStr">
        <is>
          <t>Area (ha)</t>
        </is>
      </c>
      <c r="CK4" s="1336" t="n"/>
      <c r="CL4" s="1337" t="n"/>
      <c r="CM4" s="1338" t="n"/>
      <c r="CN4" s="1338" t="n"/>
      <c r="CO4" s="1338" t="n"/>
      <c r="CP4" s="1339" t="n"/>
      <c r="CQ4" s="973" t="n"/>
      <c r="CT4" s="973" t="n"/>
      <c r="CU4" s="1335" t="inlineStr">
        <is>
          <t>Area (ha)</t>
        </is>
      </c>
      <c r="CV4" s="1336" t="n"/>
      <c r="CW4" s="1337" t="n"/>
      <c r="CX4" s="1338" t="n"/>
      <c r="CY4" s="1338" t="n"/>
      <c r="CZ4" s="1338" t="n"/>
      <c r="DA4" s="1339" t="n"/>
      <c r="DB4" s="973" t="n"/>
      <c r="DD4" s="973" t="n"/>
      <c r="DE4" s="973" t="n"/>
      <c r="DF4" s="1335" t="inlineStr">
        <is>
          <t>Area (ha)</t>
        </is>
      </c>
      <c r="DG4" s="1336" t="n"/>
      <c r="DH4" s="1337" t="n"/>
      <c r="DI4" s="1338" t="n"/>
      <c r="DJ4" s="1338" t="n"/>
      <c r="DK4" s="1338" t="n"/>
      <c r="DL4" s="1339" t="n"/>
      <c r="DM4" s="973" t="n"/>
    </row>
    <row r="5" ht="38.25" customHeight="1">
      <c r="F5" s="1332" t="n"/>
      <c r="G5" s="1333" t="n"/>
      <c r="H5" s="1434" t="n"/>
      <c r="I5" s="1437" t="inlineStr">
        <is>
          <t>FINAL LAND USES ON MINERAL SOILS -  WITHOUT PROJECT</t>
        </is>
      </c>
      <c r="J5" s="1435" t="n"/>
      <c r="K5" s="1435" t="n"/>
      <c r="L5" s="1435" t="n"/>
      <c r="M5" s="1435" t="n"/>
      <c r="N5" s="1435" t="n"/>
      <c r="O5" s="1435" t="n"/>
      <c r="P5" s="1394" t="n"/>
      <c r="S5" s="973" t="n"/>
      <c r="T5" s="1340" t="inlineStr">
        <is>
          <t>w/out  project</t>
        </is>
      </c>
      <c r="U5" s="1750" t="inlineStr">
        <is>
          <t>Agroforestry</t>
        </is>
      </c>
      <c r="V5" s="1750" t="inlineStr">
        <is>
          <t>Annual cropland</t>
        </is>
      </c>
      <c r="W5" s="1750" t="inlineStr">
        <is>
          <t>Annual fallow</t>
        </is>
      </c>
      <c r="X5" s="1750" t="inlineStr">
        <is>
          <t>Degraded land</t>
        </is>
      </c>
      <c r="Y5" s="1750" t="inlineStr">
        <is>
          <t>Flooded rice</t>
        </is>
      </c>
      <c r="Z5" s="1750" t="inlineStr">
        <is>
          <t>Grassland</t>
        </is>
      </c>
      <c r="AA5" s="1751" t="inlineStr">
        <is>
          <t>Other land (non-vegetated)</t>
        </is>
      </c>
      <c r="AB5" s="973" t="n"/>
      <c r="AE5" s="973" t="n"/>
      <c r="AF5" s="1340" t="inlineStr">
        <is>
          <t>w/out  project</t>
        </is>
      </c>
      <c r="AG5" s="1762" t="inlineStr">
        <is>
          <t>Agroforestry</t>
        </is>
      </c>
      <c r="AH5" s="1763" t="inlineStr">
        <is>
          <t>Annual cropland</t>
        </is>
      </c>
      <c r="AI5" s="1763" t="inlineStr">
        <is>
          <t>Annual fallow</t>
        </is>
      </c>
      <c r="AJ5" s="1763" t="inlineStr">
        <is>
          <t>Degraded land</t>
        </is>
      </c>
      <c r="AK5" s="1763" t="inlineStr">
        <is>
          <t>Flooded rice</t>
        </is>
      </c>
      <c r="AL5" s="1763" t="inlineStr">
        <is>
          <t>Grassland</t>
        </is>
      </c>
      <c r="AM5" s="1764" t="inlineStr">
        <is>
          <t>Other land (non-vegetated)</t>
        </is>
      </c>
      <c r="AN5" s="973" t="n"/>
      <c r="AQ5" s="973" t="n"/>
      <c r="AR5" s="1342" t="inlineStr">
        <is>
          <t>w/out  project</t>
        </is>
      </c>
      <c r="AS5" s="1343" t="inlineStr">
        <is>
          <t>Annual fallow</t>
        </is>
      </c>
      <c r="AT5" s="1344" t="inlineStr">
        <is>
          <t>Degraded land</t>
        </is>
      </c>
      <c r="AU5" s="1344" t="inlineStr">
        <is>
          <t>Flooded rice</t>
        </is>
      </c>
      <c r="AV5" s="1344" t="inlineStr">
        <is>
          <t>Grassland</t>
        </is>
      </c>
      <c r="AW5" s="1344" t="inlineStr">
        <is>
          <t>Other land (non-vegetated)</t>
        </is>
      </c>
      <c r="AX5" s="1341" t="inlineStr">
        <is>
          <t>Agroforestry</t>
        </is>
      </c>
      <c r="AZ5" s="1345" t="inlineStr">
        <is>
          <t>Multistrata</t>
        </is>
      </c>
      <c r="BB5" s="973" t="n"/>
      <c r="BC5" s="1342" t="inlineStr">
        <is>
          <t>w/out  project</t>
        </is>
      </c>
      <c r="BD5" s="1346" t="inlineStr">
        <is>
          <t>Annual cropland</t>
        </is>
      </c>
      <c r="BE5" s="1347" t="inlineStr">
        <is>
          <t>Annual fallow</t>
        </is>
      </c>
      <c r="BF5" s="1347" t="inlineStr">
        <is>
          <t>Degraded land</t>
        </is>
      </c>
      <c r="BG5" s="1347" t="inlineStr">
        <is>
          <t>Flooded rice</t>
        </is>
      </c>
      <c r="BH5" s="1347" t="inlineStr">
        <is>
          <t>Grassland</t>
        </is>
      </c>
      <c r="BI5" s="1348" t="inlineStr">
        <is>
          <t>Other land (non-vegetated)</t>
        </is>
      </c>
      <c r="BJ5" s="973" t="n"/>
      <c r="BM5" s="973" t="n"/>
      <c r="BN5" s="1349" t="inlineStr">
        <is>
          <t>w/out  project</t>
        </is>
      </c>
      <c r="BO5" s="1346" t="inlineStr">
        <is>
          <t>Annual cropland</t>
        </is>
      </c>
      <c r="BP5" s="1347" t="inlineStr">
        <is>
          <t>Annual fallow</t>
        </is>
      </c>
      <c r="BQ5" s="1347" t="inlineStr">
        <is>
          <t>Degraded land</t>
        </is>
      </c>
      <c r="BR5" s="1347" t="inlineStr">
        <is>
          <t>Agroforestry</t>
        </is>
      </c>
      <c r="BS5" s="1347" t="inlineStr">
        <is>
          <t>Grassland</t>
        </is>
      </c>
      <c r="BT5" s="1347" t="inlineStr">
        <is>
          <t>Other land (non-vegetated)</t>
        </is>
      </c>
      <c r="BU5" s="973" t="n"/>
      <c r="BX5" s="973" t="n"/>
      <c r="BY5" s="1349" t="inlineStr">
        <is>
          <t>w/out  project</t>
        </is>
      </c>
      <c r="BZ5" s="1346" t="inlineStr">
        <is>
          <t>Annual cropland</t>
        </is>
      </c>
      <c r="CA5" s="1347" t="inlineStr">
        <is>
          <t>Flooded rice</t>
        </is>
      </c>
      <c r="CB5" s="1347" t="inlineStr">
        <is>
          <t>Degraded land</t>
        </is>
      </c>
      <c r="CC5" s="1347" t="inlineStr">
        <is>
          <t>Agroforestry</t>
        </is>
      </c>
      <c r="CD5" s="1347" t="inlineStr">
        <is>
          <t>Grassland</t>
        </is>
      </c>
      <c r="CE5" s="1347" t="inlineStr">
        <is>
          <t>Other land (non-vegetated)</t>
        </is>
      </c>
      <c r="CF5" s="973" t="n"/>
      <c r="CI5" s="973" t="n"/>
      <c r="CJ5" s="1349" t="inlineStr">
        <is>
          <t>w/out  project</t>
        </is>
      </c>
      <c r="CK5" s="1346" t="inlineStr">
        <is>
          <t>Annual cropland</t>
        </is>
      </c>
      <c r="CL5" s="1347" t="inlineStr">
        <is>
          <t>Flooded rice</t>
        </is>
      </c>
      <c r="CM5" s="1347" t="inlineStr">
        <is>
          <t>Degraded land</t>
        </is>
      </c>
      <c r="CN5" s="1347" t="inlineStr">
        <is>
          <t>Agroforestry</t>
        </is>
      </c>
      <c r="CO5" s="1347" t="inlineStr">
        <is>
          <t>Annual fallow</t>
        </is>
      </c>
      <c r="CP5" s="1347" t="inlineStr">
        <is>
          <t>Other land (non-vegetated)</t>
        </is>
      </c>
      <c r="CQ5" s="973" t="n"/>
      <c r="CT5" s="973" t="n"/>
      <c r="CU5" s="1349" t="inlineStr">
        <is>
          <t>w/out  project</t>
        </is>
      </c>
      <c r="CV5" s="1346" t="inlineStr">
        <is>
          <t>Annual cropland</t>
        </is>
      </c>
      <c r="CW5" s="1347" t="inlineStr">
        <is>
          <t>Flooded rice</t>
        </is>
      </c>
      <c r="CX5" s="1347" t="inlineStr">
        <is>
          <t>Grassland</t>
        </is>
      </c>
      <c r="CY5" s="1347" t="inlineStr">
        <is>
          <t>Agroforestry</t>
        </is>
      </c>
      <c r="CZ5" s="1347" t="inlineStr">
        <is>
          <t>Annual fallow</t>
        </is>
      </c>
      <c r="DA5" s="1347" t="inlineStr">
        <is>
          <t>Other land (non-vegetated)</t>
        </is>
      </c>
      <c r="DB5" s="973" t="n"/>
      <c r="DD5" s="973" t="n"/>
      <c r="DE5" s="973" t="n"/>
      <c r="DF5" s="1349" t="inlineStr">
        <is>
          <t>w/out  project</t>
        </is>
      </c>
      <c r="DG5" s="1346" t="inlineStr">
        <is>
          <t>Annual cropland</t>
        </is>
      </c>
      <c r="DH5" s="1347" t="inlineStr">
        <is>
          <t>Flooded rice</t>
        </is>
      </c>
      <c r="DI5" s="1347" t="inlineStr">
        <is>
          <t>Grassland</t>
        </is>
      </c>
      <c r="DJ5" s="1347" t="inlineStr">
        <is>
          <t>Agroforestry</t>
        </is>
      </c>
      <c r="DK5" s="1347" t="inlineStr">
        <is>
          <t>Annual fallow</t>
        </is>
      </c>
      <c r="DL5" s="1350" t="inlineStr">
        <is>
          <t>Degraded land</t>
        </is>
      </c>
      <c r="DM5" s="973" t="n"/>
    </row>
    <row r="6" ht="15" customHeight="1">
      <c r="F6" s="1351" t="n"/>
      <c r="G6" s="1352" t="inlineStr">
        <is>
          <t>IPCC class</t>
        </is>
      </c>
      <c r="H6" s="1432" t="inlineStr">
        <is>
          <t>EX-ACT class</t>
        </is>
      </c>
      <c r="I6" s="1374" t="inlineStr">
        <is>
          <t>Primary (Natural)/Planted</t>
        </is>
      </c>
      <c r="J6" s="1374" t="inlineStr">
        <is>
          <t>Annual</t>
        </is>
      </c>
      <c r="K6" s="1374" t="inlineStr">
        <is>
          <t>Perennial</t>
        </is>
      </c>
      <c r="L6" s="1374" t="inlineStr">
        <is>
          <t>Flooded rice</t>
        </is>
      </c>
      <c r="M6" s="1374">
        <f>H11</f>
        <v/>
      </c>
      <c r="N6" s="1374" t="inlineStr">
        <is>
          <t>Degraded land</t>
        </is>
      </c>
      <c r="O6" s="1374" t="inlineStr">
        <is>
          <t>Other land (non-vegetated)</t>
        </is>
      </c>
      <c r="P6" s="1433" t="inlineStr">
        <is>
          <t>Total area (ha)</t>
        </is>
      </c>
      <c r="S6" s="1576" t="n"/>
      <c r="T6" s="1419" t="n"/>
      <c r="U6" s="1415">
        <f>IF('2.LUC'!$I11 = U$5, 1,0)* defo!$G35</f>
        <v/>
      </c>
      <c r="V6" s="1416">
        <f>IF('2.LUC'!$I11 = V$5, 1,0)* defo!$G35</f>
        <v/>
      </c>
      <c r="W6" s="1416">
        <f>IF('2.LUC'!$I11 = W$5, 1,0)* defo!$G35</f>
        <v/>
      </c>
      <c r="X6" s="1416">
        <f>IF('2.LUC'!$I11 = X$5, 1,0)* defo!$G35</f>
        <v/>
      </c>
      <c r="Y6" s="1416">
        <f>IF('2.LUC'!$I11 = Y$5, 1,0)* defo!$G35</f>
        <v/>
      </c>
      <c r="Z6" s="1416">
        <f>IF('2.LUC'!$I11 = Z$5, 1,0)* defo!$G35</f>
        <v/>
      </c>
      <c r="AA6" s="1417">
        <f>IF('2.LUC'!$I11 = AA$5, 1,0)* defo!$G35</f>
        <v/>
      </c>
      <c r="AB6" s="973" t="n"/>
      <c r="AE6" s="1168" t="n"/>
      <c r="AF6" s="1414" t="n"/>
      <c r="AG6" s="1415">
        <f>IF(AG$5='2.LUC'!$I36, '2.LUC'!$N36,0)</f>
        <v/>
      </c>
      <c r="AH6" s="1416">
        <f>IF(AH$5='2.LUC'!$I36, '2.LUC'!$N36, 0)</f>
        <v/>
      </c>
      <c r="AI6" s="1416">
        <f>IF(AI$5= '2.LUC'!$I36, '2.LUC'!$N36, 0)</f>
        <v/>
      </c>
      <c r="AJ6" s="1416">
        <f>IF(AJ$5='2.LUC'!$I36, '2.LUC'!$N36, 0)</f>
        <v/>
      </c>
      <c r="AK6" s="1416">
        <f>IF(AK$5 = '2.LUC'!$I36, '2.LUC'!$N36, 0)</f>
        <v/>
      </c>
      <c r="AL6" s="1416">
        <f>IF(AL$5 = '2.LUC'!$I36, '2.LUC'!$N36, 0)</f>
        <v/>
      </c>
      <c r="AM6" s="1417">
        <f>IF(AM$5='2.LUC'!$I36, '2.LUC'!$N36, 0)</f>
        <v/>
      </c>
      <c r="AN6" s="973" t="n"/>
      <c r="AQ6" s="973" t="n"/>
      <c r="AR6" s="1351" t="n"/>
      <c r="AS6" s="1358">
        <f>IF(LEFT('2.LUC'!$I61,8)=LEFT($AR$8,8),IF(LEFT('2.LUC'!$K61,8)=LEFT(AS$5,8), luc!$C41,0),0)</f>
        <v/>
      </c>
      <c r="AT6" s="1358">
        <f>IF(LEFT('2.LUC'!$I61,8)=LEFT($AR$8,8),IF(LEFT('2.LUC'!$K61,8)=LEFT(AT$5,8), luc!$C41,0),0)</f>
        <v/>
      </c>
      <c r="AU6" s="1356">
        <f>IF(LEFT('2.LUC'!$I61,8)=LEFT($AR$8,8),IF(LEFT('2.LUC'!$K61,8)=LEFT(AU$5,8), luc!$C41,0),0)</f>
        <v/>
      </c>
      <c r="AV6" s="1356">
        <f>IF(LEFT('2.LUC'!$I61,8)=LEFT($AR$8,8),IF(LEFT('2.LUC'!$K61,8)=LEFT(AV$5,8), luc!$C41,0),0)</f>
        <v/>
      </c>
      <c r="AW6" s="1356">
        <f>IF(LEFT('2.LUC'!$I61,8)=LEFT($AR$8,8),IF(LEFT('2.LUC'!$K61,8)=LEFT(AW$5,8), luc!$C41,0),0)</f>
        <v/>
      </c>
      <c r="AX6" s="1356">
        <f>IF(LEFT('2.LUC'!$I61,8)=LEFT($AR$8,8),IF((OR(LEFT('2.LUC'!$K61,8)=LEFT(AX$5,8),LEFT('2.LUC'!$K61,8)=LEFT(AZ$3,8),LEFT('2.LUC'!$K61,8)=LEFT(AZ$3,9),LEFT('2.LUC'!$K61,8)=LEFT(AZ$4,9),LEFT('2.LUC'!$K61,8)=LEFT(AZ$5,8),LEFT('2.LUC'!$K61,8)=LEFT(AZ$6,8),LEFT('2.LUC'!$K61,8)=LEFT(AZ$7,8),LEFT('2.LUC'!$K61,8)=LEFT(AZ$8,8), LEFT('2.LUC'!$K61,8)=LEFT(AZ$9,8),  LEFT('2.LUC'!$K61,8)=LEFT(AZ$10,8), LEFT('2.LUC'!$K61,8)=LEFT(AZ$11,8),   LEFT('2.LUC'!$K61,8)=LEFT(AZ$12,8), LEFT('2.LUC'!$K61,8)=LEFT(AZ$13,8), LEFT('2.LUC'!$K61,8)=LEFT(AZ$14,8), LEFT('2.LUC'!$K61,8)=LEFT(AZ$15,8), LEFT('2.LUC'!$K61,8)=LEFT(AZ$16,8), LEFT('2.LUC'!$K61,8)=LEFT(AZ$17,8))),luc!$C41,0),0)</f>
        <v/>
      </c>
      <c r="AZ6" s="1345" t="inlineStr">
        <is>
          <t>Oil palm</t>
        </is>
      </c>
      <c r="BB6" s="973" t="n"/>
      <c r="BC6" s="1351" t="n"/>
      <c r="BD6" s="1358">
        <f>IF((OR(LEFT('2.LUC'!$I61,8)=LEFT(Matrix!$BC$8,8), LEFT('2.LUC'!$I61,8)=LEFT(Matrix!AZ$3,8), LEFT('2.LUC'!$I61,8)=LEFT(Matrix!AZ$4,8), LEFT('2.LUC'!$I61,8)=LEFT(Matrix!AZ$5,8), LEFT('2.LUC'!$I61,8)=LEFT(Matrix!AZ$6,8), LEFT('2.LUC'!$I61,8)=LEFT(Matrix!AZ$7,8),  LEFT('2.LUC'!$I61,8)=LEFT(Matrix!AZ$8,8), LEFT('2.LUC'!$I61,8)=LEFT(Matrix!AZ$9,8), LEFT('2.LUC'!$I61,8)=LEFT(Matrix!AZ$10,8), LEFT('2.LUC'!$I61,8)=LEFT(Matrix!AZ$11,8), LEFT('2.LUC'!$I61,8)=LEFT(Matrix!AZ$12,8), LEFT('2.LUC'!$I61,8)=LEFT(Matrix!AZ$13,8), LEFT('2.LUC'!$I61,8)=LEFT(Matrix!AZ$14,8), LEFT('2.LUC'!$I61,8)=LEFT(Matrix!AZ$15,8), LEFT('2.LUC'!$I61,8)=LEFT(Matrix!AZ$16,8), LEFT('2.LUC'!$I61,8)=LEFT(Matrix!AZ$17,8))), IF(LEFT('2.LUC'!$K61,8)=LEFT(Matrix!BD$5,8), luc!$C41, 0),0)</f>
        <v/>
      </c>
      <c r="BE6" s="1356">
        <f>IF((OR(LEFT('2.LUC'!$I61,8)=LEFT(Matrix!$BC$8,8), LEFT('2.LUC'!$I61,8)=LEFT(Matrix!AZ$3,8), LEFT('2.LUC'!$I61,8)=LEFT(Matrix!AZ$4,8), LEFT('2.LUC'!$I61,8)=LEFT(Matrix!AZ$5,8), LEFT('2.LUC'!$I61,8)=LEFT(Matrix!AZ$6,8), LEFT('2.LUC'!$I61,8)=LEFT(Matrix!AZ$7,8),  LEFT('2.LUC'!$I61,8)=LEFT(Matrix!AZ$8,8), LEFT('2.LUC'!$I61,8)=LEFT(Matrix!AZ$9,8), LEFT('2.LUC'!$I61,8)=LEFT(Matrix!AZ$10,8), LEFT('2.LUC'!$I61,8)=LEFT(Matrix!AZ$11,8), LEFT('2.LUC'!$I61,8)=LEFT(Matrix!AZ$12,8), LEFT('2.LUC'!$I61,8)=LEFT(Matrix!AZ$13,8), LEFT('2.LUC'!$I61,8)=LEFT(Matrix!AZ$14,8), LEFT('2.LUC'!$I61,8)=LEFT(Matrix!AZ$15,8), LEFT('2.LUC'!$I61,8)=LEFT(Matrix!AZ$16,8), LEFT('2.LUC'!$I61,8)=LEFT(Matrix!AZ$17,8))), IF(LEFT('2.LUC'!$K61,8)=LEFT(Matrix!BE$5,8), luc!$C41, 0),0)</f>
        <v/>
      </c>
      <c r="BF6" s="1356">
        <f>IF((OR(LEFT('2.LUC'!$I61,8)=LEFT(Matrix!$BC$8,8), LEFT('2.LUC'!$I61,8)=LEFT(Matrix!AZ$3,8), LEFT('2.LUC'!$I61,8)=LEFT(Matrix!AZ$4,8), LEFT('2.LUC'!$I61,8)=LEFT(Matrix!AZ$5,8), LEFT('2.LUC'!$I61,8)=LEFT(Matrix!AZ$6,8), LEFT('2.LUC'!$I61,8)=LEFT(Matrix!AZ$7,8),  LEFT('2.LUC'!$I61,8)=LEFT(Matrix!AZ$8,8), LEFT('2.LUC'!$I61,8)=LEFT(Matrix!AZ$9,8), LEFT('2.LUC'!$I61,8)=LEFT(Matrix!AZ$10,8), LEFT('2.LUC'!$I61,8)=LEFT(Matrix!AZ$11,8), LEFT('2.LUC'!$I61,8)=LEFT(Matrix!AZ$12,8), LEFT('2.LUC'!$I61,8)=LEFT(Matrix!AZ$13,8), LEFT('2.LUC'!$I61,8)=LEFT(Matrix!AZ$14,8), LEFT('2.LUC'!$I61,8)=LEFT(Matrix!AZ$15,8), LEFT('2.LUC'!$I61,8)=LEFT(Matrix!AZ$16,8), LEFT('2.LUC'!$I61,8)=LEFT(Matrix!AZ$17,8))), IF(LEFT('2.LUC'!$K61,8)=LEFT(Matrix!BF$5,8), luc!$C41, 0),0)</f>
        <v/>
      </c>
      <c r="BG6" s="1356">
        <f>IF((OR(LEFT('2.LUC'!$I61,8)=LEFT(Matrix!$BC$8,8), LEFT('2.LUC'!$I61,8)=LEFT(Matrix!AZ$3,8), LEFT('2.LUC'!$I61,8)=LEFT(Matrix!AZ$4,8), LEFT('2.LUC'!$I61,8)=LEFT(Matrix!AZ$5,8), LEFT('2.LUC'!$I61,8)=LEFT(Matrix!AZ$6,8), LEFT('2.LUC'!$I61,8)=LEFT(Matrix!AZ$7,8),  LEFT('2.LUC'!$I61,8)=LEFT(Matrix!AZ$8,8), LEFT('2.LUC'!$I61,8)=LEFT(Matrix!AZ$9,8), LEFT('2.LUC'!$I61,8)=LEFT(Matrix!AZ$10,8), LEFT('2.LUC'!$I61,8)=LEFT(Matrix!AZ$11,8), LEFT('2.LUC'!$I61,8)=LEFT(Matrix!AZ$12,8), LEFT('2.LUC'!$I61,8)=LEFT(Matrix!AZ$13,8), LEFT('2.LUC'!$I61,8)=LEFT(Matrix!AZ$14,8), LEFT('2.LUC'!$I61,8)=LEFT(Matrix!AZ$15,8), LEFT('2.LUC'!$I61,8)=LEFT(Matrix!AZ$16,8), LEFT('2.LUC'!$I61,8)=LEFT(Matrix!AZ$17,8))), IF(LEFT('2.LUC'!$K61,8)=LEFT(Matrix!BG$5,8), luc!$C41, 0),0)</f>
        <v/>
      </c>
      <c r="BH6" s="1356">
        <f>IF((OR(LEFT('2.LUC'!$I61,8)=LEFT(Matrix!$BC$8,8), LEFT('2.LUC'!$I61,8)=LEFT(Matrix!AZ$3,8), LEFT('2.LUC'!$I61,8)=LEFT(Matrix!AZ$4,8), LEFT('2.LUC'!$I61,8)=LEFT(Matrix!AZ$5,8), LEFT('2.LUC'!$I61,8)=LEFT(Matrix!AZ$6,8), LEFT('2.LUC'!$I61,8)=LEFT(Matrix!AZ$7,8),  LEFT('2.LUC'!$I61,8)=LEFT(Matrix!AZ$8,8), LEFT('2.LUC'!$I61,8)=LEFT(Matrix!AZ$9,8), LEFT('2.LUC'!$I61,8)=LEFT(Matrix!AZ$10,8), LEFT('2.LUC'!$I61,8)=LEFT(Matrix!AZ$11,8), LEFT('2.LUC'!$I61,8)=LEFT(Matrix!AZ$12,8), LEFT('2.LUC'!$I61,8)=LEFT(Matrix!AZ$13,8), LEFT('2.LUC'!$I61,8)=LEFT(Matrix!AZ$14,8), LEFT('2.LUC'!$I61,8)=LEFT(Matrix!AZ$15,8), LEFT('2.LUC'!$I61,8)=LEFT(Matrix!AZ$16,8), LEFT('2.LUC'!$I61,8)=LEFT(Matrix!AZ$17,8))), IF(LEFT('2.LUC'!$K61,8)=LEFT(Matrix!BH$5,8), luc!$C41, 0),0)</f>
        <v/>
      </c>
      <c r="BI6" s="1358">
        <f>IF((OR(LEFT('2.LUC'!$I61,8)=LEFT(Matrix!$BC$8,8), LEFT('2.LUC'!$I61,8)=LEFT(Matrix!AZ$3,8), LEFT('2.LUC'!$I61,8)=LEFT(Matrix!AZ$4,8), LEFT('2.LUC'!$I61,8)=LEFT(Matrix!AZ$5,8), LEFT('2.LUC'!$I61,8)=LEFT(Matrix!AZ$6,8), LEFT('2.LUC'!$I61,8)=LEFT(Matrix!AZ$7,8),  LEFT('2.LUC'!$I61,8)=LEFT(Matrix!AZ$8,8), LEFT('2.LUC'!$I61,8)=LEFT(Matrix!AZ$9,8), LEFT('2.LUC'!$I61,8)=LEFT(Matrix!AZ$10,8), LEFT('2.LUC'!$I61,8)=LEFT(Matrix!AZ$11,8), LEFT('2.LUC'!$I61,8)=LEFT(Matrix!AZ$12,8), LEFT('2.LUC'!$I61,8)=LEFT(Matrix!AZ$13,8), LEFT('2.LUC'!$I61,8)=LEFT(Matrix!AZ$14,8), LEFT('2.LUC'!$I61,8)=LEFT(Matrix!AZ$15,8), LEFT('2.LUC'!$I61,8)=LEFT(Matrix!AZ$16,8), LEFT('2.LUC'!$I61,8)=LEFT(Matrix!AZ$17,8))), IF(LEFT('2.LUC'!$K61,8)=LEFT(Matrix!BI$5,8), luc!$C41, 0),0)</f>
        <v/>
      </c>
      <c r="BJ6" s="973" t="n"/>
      <c r="BM6" s="973" t="n"/>
      <c r="BN6" s="1359" t="n"/>
      <c r="BO6" s="1356">
        <f>IF(LEFT('2.LUC'!$I61,8)=LEFT($BN$8,8),IF(LEFT('2.LUC'!$K61,8)=LEFT(BO$5,8), luc!$C41,0),0)</f>
        <v/>
      </c>
      <c r="BP6" s="1356">
        <f>IF(LEFT('2.LUC'!$I61,8)=LEFT($BN$8,8),IF(LEFT('2.LUC'!$K61,8)=LEFT(BP$5,8), luc!$C41,0),0)</f>
        <v/>
      </c>
      <c r="BQ6" s="1356">
        <f>IF(LEFT('2.LUC'!$I61,8)=LEFT($BN$8,8),IF(LEFT('2.LUC'!$K61,8)=LEFT(BQ$5,8), luc!$C41,0),0)</f>
        <v/>
      </c>
      <c r="BR6" s="1356">
        <f>IF(LEFT('2.LUC'!$I61,8)=LEFT($BN$8,8),IF((OR(LEFT('2.LUC'!$K61,8)=LEFT(BR$5,8),LEFT('2.LUC'!$K61,8)=LEFT(AZ$3,8),LEFT('2.LUC'!$K61,8)=LEFT(AZ$4,9),LEFT('2.LUC'!$K61,8)=LEFT(AZ$5,8),LEFT('2.LUC'!$K61,8)=LEFT(AZ$6,8),LEFT('2.LUC'!$K61,8)=LEFT(AZ$7,8),LEFT('2.LUC'!$K61,8)=LEFT(AZ$8,8), LEFT('2.LUC'!$K61,8)=LEFT(AZ$9,8),  LEFT('2.LUC'!$K61,8)=LEFT(AZ$10,8), LEFT('2.LUC'!$K61,8)=LEFT(AZ$11,8),   LEFT('2.LUC'!$K61,8)=LEFT(AZ$12,8), LEFT('2.LUC'!$K61,8)=LEFT(AZ$13,8), LEFT('2.LUC'!$K61,8)=LEFT(AZ$14,8), LEFT('2.LUC'!$K61,8)=LEFT(AZ$15,8), LEFT('2.LUC'!$K61,8)=LEFT(AZ$16,8), LEFT('2.LUC'!$K61,8)=LEFT(AZ$17,8))),luc!$C41,0),0)</f>
        <v/>
      </c>
      <c r="BS6" s="1356">
        <f>IF(LEFT('2.LUC'!$I61,8)=LEFT($BN$8,8),IF(LEFT('2.LUC'!$K61,8)=LEFT(BS$5,8), luc!$C41,0),0)</f>
        <v/>
      </c>
      <c r="BT6" s="1358">
        <f>IF(LEFT('2.LUC'!$I61,8)=LEFT($BN$8,8),IF(LEFT('2.LUC'!$K61,8)=LEFT(BT$5,8), luc!$C41,0),0)</f>
        <v/>
      </c>
      <c r="BU6" s="973" t="n"/>
      <c r="BX6" s="973" t="n"/>
      <c r="BY6" s="1359" t="n"/>
      <c r="BZ6" s="1360">
        <f>IF(LEFT('2.LUC'!$I61,8)=LEFT($BY$8,8),IF(LEFT('2.LUC'!$K61,8)=LEFT(BZ$5,8), luc!$C41,0),0)</f>
        <v/>
      </c>
      <c r="CA6" s="1360">
        <f>IF(LEFT('2.LUC'!$I61,8)=LEFT($BY$8,8),IF(LEFT('2.LUC'!$K61,8)=LEFT(CA$5,8), luc!$C41,0),0)</f>
        <v/>
      </c>
      <c r="CB6" s="1360">
        <f>IF(LEFT('2.LUC'!$I61,8)=LEFT($BY$8,8),IF(LEFT('2.LUC'!$K61,8)=LEFT(CB$5,8), luc!$C41,0),0)</f>
        <v/>
      </c>
      <c r="CC6" s="1360">
        <f>IF(LEFT('2.LUC'!$I61,8)=LEFT($BY$8,8),IF((OR(LEFT('2.LUC'!$K61,8)=LEFT(CC$5,8),LEFT('2.LUC'!$K61,8)=LEFT(AZ$3,8), LEFT('2.LUC'!$K61,8)=LEFT(AZ$4,8),LEFT('2.LUC'!$K61,8)=LEFT(AZ$5,8),LEFT('2.LUC'!$K61,8)=LEFT(AZ$6,8),LEFT('2.LUC'!$K61,8)=LEFT(AZ$7,8),LEFT('2.LUC'!$K61,8)=LEFT(AZ$8,8), LEFT('2.LUC'!$K61,8)=LEFT(AZ$9,8),  LEFT('2.LUC'!$K61,8)=LEFT(AZ$10,8), LEFT('2.LUC'!$K61,8)=LEFT(AZ$11,8),   LEFT('2.LUC'!$K61,8)=LEFT(AZ$12,8), LEFT('2.LUC'!$K61,8)=LEFT(AZ$13,8), LEFT('2.LUC'!$K61,8)=LEFT(AZ$14,8), LEFT('2.LUC'!$K61,8)=LEFT(AZ$15,8), LEFT('2.LUC'!$K61,8)=LEFT(AZ$16,8), LEFT('2.LUC'!$K61,8)=LEFT(AZ$17,8))),luc!$C41,0),0)</f>
        <v/>
      </c>
      <c r="CD6" s="1360">
        <f>IF(LEFT('2.LUC'!$I61,8)=LEFT($BY$8,8),IF(LEFT('2.LUC'!$K61,8)=LEFT(CD$5,8), luc!$C41,0),0)</f>
        <v/>
      </c>
      <c r="CE6" s="1356">
        <f>IF(LEFT('2.LUC'!$I61,8)=LEFT($BY$8,8),IF(LEFT('2.LUC'!$K61,8)=LEFT(CE$5,8), luc!$C41,0),0)</f>
        <v/>
      </c>
      <c r="CF6" s="973" t="n"/>
      <c r="CI6" s="973" t="n"/>
      <c r="CJ6" s="1359" t="n"/>
      <c r="CK6" s="1360">
        <f>IF(LEFT('2.LUC'!$I61,8)=LEFT($CJ$8,8),IF(LEFT('2.LUC'!$K61,8)=LEFT(CK$5,8), luc!$C41,0),0)</f>
        <v/>
      </c>
      <c r="CL6" s="1360">
        <f>IF(LEFT('2.LUC'!$I61,8)=LEFT($CJ$8,8),IF(LEFT('2.LUC'!$K61,8)=LEFT(CL$5,8), luc!$C41,0),0)</f>
        <v/>
      </c>
      <c r="CM6" s="1360">
        <f>IF(LEFT('2.LUC'!$I61,8)=LEFT($CJ$8,8),IF(LEFT('2.LUC'!$K61,8)=LEFT(CM$5,8), luc!$C41,0),0)</f>
        <v/>
      </c>
      <c r="CN6" s="1356">
        <f>IF(LEFT('2.LUC'!$I61,8)=LEFT($CJ$8,8),IF((OR(LEFT('2.LUC'!$K61,8)=LEFT(CN$5,8),LEFT('2.LUC'!$K61,8)=LEFT(AZ$3,8),LEFT('2.LUC'!$K61,8)=LEFT(AZ$3,9),LEFT('2.LUC'!$K61,8)=LEFT(AZ$4,9),LEFT('2.LUC'!$K61,8)=LEFT(AZ$5,8),LEFT('2.LUC'!$K61,8)=LEFT(AZ$6,8),LEFT('2.LUC'!$K61,8)=LEFT(AZ$7,8),LEFT('2.LUC'!$K61,8)=LEFT(AZ$8,8), LEFT('2.LUC'!$K61,8)=LEFT(AZ$9,8),  LEFT('2.LUC'!$K61,8)=LEFT(AZ$10,8), LEFT('2.LUC'!$K61,8)=LEFT(AZ$11,8),   LEFT('2.LUC'!$K61,8)=LEFT(AZ$12,8), LEFT('2.LUC'!$K61,8)=LEFT(AZ$13,8), LEFT('2.LUC'!$K61,8)=LEFT(AZ$14,8), LEFT('2.LUC'!$K61,8)=LEFT(AZ$15,8), LEFT('2.LUC'!$K61,8)=LEFT(AZ$16,8), LEFT('2.LUC'!$K61,8)=LEFT(AZ$17,8))),luc!$C41,0),0)</f>
        <v/>
      </c>
      <c r="CO6" s="1361">
        <f>IF(LEFT('2.LUC'!$I61,8)=LEFT($CJ$8,8),IF(LEFT('2.LUC'!$K61,8)=LEFT(CO$5,8), luc!$C41,0),0)</f>
        <v/>
      </c>
      <c r="CP6" s="1356">
        <f>IF(LEFT('2.LUC'!$I61,8)=LEFT($CJ$8,8),IF(LEFT('2.LUC'!$K61,8)=LEFT(CP$5,8), luc!$C41,0),0)</f>
        <v/>
      </c>
      <c r="CQ6" s="973" t="n"/>
      <c r="CT6" s="973" t="n"/>
      <c r="CU6" s="1359" t="n"/>
      <c r="CV6" s="1360">
        <f>IF(LEFT('2.LUC'!$I61,8)=LEFT($CU$8,8),IF(LEFT('2.LUC'!$K61,8)=LEFT(CV$5,8), luc!$C41,0),0)</f>
        <v/>
      </c>
      <c r="CW6" s="1360">
        <f>IF(LEFT('2.LUC'!$I61,8)=LEFT($CU$8,8),IF(LEFT('2.LUC'!$K61,8)=LEFT(CW$5,8), luc!$C41,0),0)</f>
        <v/>
      </c>
      <c r="CX6" s="1360">
        <f>IF(LEFT('2.LUC'!$I61,8)=LEFT($CU$8,8),IF(LEFT('2.LUC'!$K61,8)=LEFT(CX$5,8), luc!$C41,0),0)</f>
        <v/>
      </c>
      <c r="CY6" s="1356">
        <f>IF(LEFT('2.LUC'!$I61,8)=LEFT($CU$8,8),IF((OR(LEFT('2.LUC'!$K61,8)=LEFT(CY$5,8),LEFT('2.LUC'!$K61,8)=LEFT(AZ$3,8),LEFT('2.LUC'!$K61,8)=LEFT(AZ$3,9),LEFT('2.LUC'!$K61,8)=LEFT(AZ$4,9),LEFT('2.LUC'!$K61,8)=LEFT(AZ$5,8),LEFT('2.LUC'!$K61,8)=LEFT(AZ$6,8),LEFT('2.LUC'!$K61,8)=LEFT(AZ$7,8),LEFT('2.LUC'!$K61,8)=LEFT(AZ$8,8), LEFT('2.LUC'!$K61,8)=LEFT(AZ$9,8),  LEFT('2.LUC'!$K61,8)=LEFT(AZ$10,8), LEFT('2.LUC'!$K61,8)=LEFT(AZ$11,8),   LEFT('2.LUC'!$K61,8)=LEFT(AZ$12,8), LEFT('2.LUC'!$K61,8)=LEFT(AZ$13,8), LEFT('2.LUC'!$K61,8)=LEFT(AZ$14,8), LEFT('2.LUC'!$K61,8)=LEFT(AZ$15,8), LEFT('2.LUC'!$K61,8)=LEFT(AZ$16,8), LEFT('2.LUC'!$K61,8)=LEFT(AZ$17,8))),luc!$C41,0),0)</f>
        <v/>
      </c>
      <c r="CZ6" s="1361">
        <f>IF(LEFT('2.LUC'!$I61,8)=LEFT($CU$8,8),IF(LEFT('2.LUC'!$K61,8)=LEFT(CZ$5,8), luc!$C41,0),0)</f>
        <v/>
      </c>
      <c r="DA6" s="1356">
        <f>IF(LEFT('2.LUC'!$I61,8)=LEFT($CU$8,8),IF(LEFT('2.LUC'!$K61,8)=LEFT(DA$5,8), luc!$C41,0),0)</f>
        <v/>
      </c>
      <c r="DB6" s="973" t="n"/>
      <c r="DD6" s="973" t="n"/>
      <c r="DE6" s="973" t="n"/>
      <c r="DF6" s="1359" t="n"/>
      <c r="DG6" s="1360">
        <f>IF(LEFT('2.LUC'!$I61,8)=LEFT($DF$8,8),IF(LEFT('2.LUC'!$K61,8)=LEFT(DG$5,8), luc!$C41,0),0)</f>
        <v/>
      </c>
      <c r="DH6" s="1360">
        <f>IF(LEFT('2.LUC'!$I61,8)=LEFT($DF$8,8),IF(LEFT('2.LUC'!$K61,8)=LEFT(DH$5,8), luc!$C41,0),0)</f>
        <v/>
      </c>
      <c r="DI6" s="1360">
        <f>IF(LEFT('2.LUC'!$I61,8)=LEFT($DF$8,8),IF(LEFT('2.LUC'!$K61,8)=LEFT(DI$5,8), luc!$C41,0),0)</f>
        <v/>
      </c>
      <c r="DJ6" s="1356">
        <f>IF(LEFT('2.LUC'!$I61,8)=LEFT($DF$8,8),IF((OR(LEFT('2.LUC'!$K61,8)=LEFT(DJ$5,8),LEFT('2.LUC'!$K61,8)=LEFT(AZ$3,8),LEFT('2.LUC'!$K61,8)=LEFT(AZ$3,9),LEFT('2.LUC'!$K61,8)=LEFT(AZ$4,9),LEFT('2.LUC'!$K61,8)=LEFT(AZ$5,8),LEFT('2.LUC'!$K61,8)=LEFT(AZ$6,8),LEFT('2.LUC'!$K61,8)=LEFT(AZ$7,8),LEFT('2.LUC'!$K61,8)=LEFT(AZ$8,8), LEFT('2.LUC'!$K61,8)=LEFT(AZ$9,8),  LEFT('2.LUC'!$K61,8)=LEFT(AZ$10,8), LEFT('2.LUC'!$K61,8)=LEFT(AZ$11,8),   LEFT('2.LUC'!$K61,8)=LEFT(AZ$12,8), LEFT('2.LUC'!$K61,8)=LEFT(AZ$13,8), LEFT('2.LUC'!$K61,8)=LEFT(AZ$14,8), LEFT('2.LUC'!$K61,8)=LEFT(AZ$15,8), LEFT('2.LUC'!$K61,8)=LEFT(AZ$16,8), LEFT('2.LUC'!$K61,8)=LEFT(AZ$17,8))),luc!$C41,0),0)</f>
        <v/>
      </c>
      <c r="DK6" s="1361">
        <f>IF(LEFT('2.LUC'!$I61,8)=LEFT($DF$8,8),IF(LEFT('2.LUC'!$K61,8)=LEFT(DK$5,8), luc!$C41,0),0)</f>
        <v/>
      </c>
      <c r="DL6" s="1356">
        <f>IF(LEFT('2.LUC'!$I61,8)=LEFT($DF$8,8),IF(LEFT('2.LUC'!$K61,8)=LEFT(DL$5,8), luc!$C41,0),0)</f>
        <v/>
      </c>
      <c r="DM6" s="973" t="n"/>
    </row>
    <row r="7">
      <c r="F7" s="1362" t="n"/>
      <c r="G7" s="1363" t="inlineStr">
        <is>
          <t>Forest land</t>
        </is>
      </c>
      <c r="H7" s="1364" t="inlineStr">
        <is>
          <t>Primary (Natural)/Planted Forest</t>
        </is>
      </c>
      <c r="I7" s="1438">
        <f>SUM(defo!$B35:$B42)-SUM(defo!$G35:$G42)+SUM(degradation!$D55:$D62)+Coastal!$AA$14+Coastal!$AA$16+Coastal!$AA$73+Coastal!$AA$75</f>
        <v/>
      </c>
      <c r="J7" s="3137">
        <f>$V$14</f>
        <v/>
      </c>
      <c r="K7" s="3137">
        <f>$U$14</f>
        <v/>
      </c>
      <c r="L7" s="3137">
        <f>$Y$14</f>
        <v/>
      </c>
      <c r="M7" s="3137">
        <f>$Z$14</f>
        <v/>
      </c>
      <c r="N7" s="3137">
        <f>$X$14</f>
        <v/>
      </c>
      <c r="O7" s="3137">
        <f>$AA$14+$W$14</f>
        <v/>
      </c>
      <c r="P7" s="3138">
        <f>SUM(I7:O7)</f>
        <v/>
      </c>
      <c r="S7" s="1576" t="n"/>
      <c r="T7" s="1423" t="n"/>
      <c r="U7" s="1420">
        <f>IF('2.LUC'!$I12 = U$5, 1,0)* defo!$G36</f>
        <v/>
      </c>
      <c r="V7" s="1421">
        <f>IF('2.LUC'!$I12 = V$5, 1,0)* defo!$G36</f>
        <v/>
      </c>
      <c r="W7" s="1421">
        <f>IF('2.LUC'!$I12 = W$5, 1,0)* defo!$G36</f>
        <v/>
      </c>
      <c r="X7" s="1421">
        <f>IF('2.LUC'!$I12 = X$5, 1,0)* defo!$G36</f>
        <v/>
      </c>
      <c r="Y7" s="1421">
        <f>IF('2.LUC'!$I12 = Y$5, 1,0)* defo!$G36</f>
        <v/>
      </c>
      <c r="Z7" s="1421">
        <f>IF('2.LUC'!$I12 = Z$5, 1,0)* defo!$G36</f>
        <v/>
      </c>
      <c r="AA7" s="1422">
        <f>IF('2.LUC'!$I12 = AA$5, 1,0)* defo!$G36</f>
        <v/>
      </c>
      <c r="AB7" s="973" t="n"/>
      <c r="AE7" s="1168" t="n"/>
      <c r="AG7" s="1420">
        <f>IF(AG$5='2.LUC'!$I37, '2.LUC'!$N37,0)</f>
        <v/>
      </c>
      <c r="AH7" s="1421">
        <f>IF(AH$5='2.LUC'!$I37, '2.LUC'!$N37, 0)</f>
        <v/>
      </c>
      <c r="AI7" s="1421">
        <f>IF(AI$5= '2.LUC'!$I37, '2.LUC'!$N37, 0)</f>
        <v/>
      </c>
      <c r="AJ7" s="1421">
        <f>IF(AJ$5='2.LUC'!$I37, '2.LUC'!$N37, 0)</f>
        <v/>
      </c>
      <c r="AK7" s="1421">
        <f>IF(AK$5 = '2.LUC'!$I37, '2.LUC'!$N37, 0)</f>
        <v/>
      </c>
      <c r="AL7" s="1421">
        <f>IF(AL$5 = '2.LUC'!$I37, '2.LUC'!$N37, 0)</f>
        <v/>
      </c>
      <c r="AM7" s="1422">
        <f>IF(AM$5='2.LUC'!$I37, '2.LUC'!$N37, 0)</f>
        <v/>
      </c>
      <c r="AN7" s="973" t="n"/>
      <c r="AQ7" s="973" t="n"/>
      <c r="AR7" s="1362" t="inlineStr">
        <is>
          <t>START</t>
        </is>
      </c>
      <c r="AS7" s="1357">
        <f>IF(LEFT('2.LUC'!$I62,8)=LEFT($AR$8,8),IF(LEFT('2.LUC'!$K62,8)=LEFT(AS$5,8), luc!$C42,0),0)</f>
        <v/>
      </c>
      <c r="AT7" s="1357">
        <f>IF(LEFT('2.LUC'!$I62,8)=LEFT($AR$8,8),IF(LEFT('2.LUC'!$K62,8)=LEFT(AT$5,8), luc!$C42,0),0)</f>
        <v/>
      </c>
      <c r="AU7" s="1354">
        <f>IF(LEFT('2.LUC'!$I62,8)=LEFT($AR$8,8),IF(LEFT('2.LUC'!$K62,8)=LEFT(AU$5,8), luc!$C42,0),0)</f>
        <v/>
      </c>
      <c r="AV7" s="1354">
        <f>IF(LEFT('2.LUC'!$I62,8)=LEFT($AR$8,8),IF(LEFT('2.LUC'!$K62,8)=LEFT(AV$5,8), luc!$C42,0),0)</f>
        <v/>
      </c>
      <c r="AW7" s="1354">
        <f>IF(LEFT('2.LUC'!$I62,8)=LEFT($AR$8,8),IF(LEFT('2.LUC'!$K62,8)=LEFT(AW$5,8), luc!$C42,0),0)</f>
        <v/>
      </c>
      <c r="AX7" s="1354">
        <f>IF(LEFT('2.LUC'!$I62,8)=LEFT($AR$8,8),IF((OR(LEFT('2.LUC'!$K62,8)=LEFT(AX$5,8),LEFT('2.LUC'!$K62,8)=LEFT(AZ$3,8),LEFT('2.LUC'!$K62,8)=LEFT(AZ$3,9),LEFT('2.LUC'!$K62,8)=LEFT(AZ$4,9),LEFT('2.LUC'!$K62,8)=LEFT(AZ$5,8),LEFT('2.LUC'!$K62,8)=LEFT(AZ$6,8),LEFT('2.LUC'!$K62,8)=LEFT(AZ$7,8),LEFT('2.LUC'!$K62,8)=LEFT(AZ$8,8), LEFT('2.LUC'!$K62,8)=LEFT(AZ$9,8),  LEFT('2.LUC'!$K62,8)=LEFT(AZ$10,8), LEFT('2.LUC'!$K62,8)=LEFT(AZ$11,8),   LEFT('2.LUC'!$K62,8)=LEFT(AZ$12,8), LEFT('2.LUC'!$K62,8)=LEFT(AZ$13,8), LEFT('2.LUC'!$K62,8)=LEFT(AZ$14,8), LEFT('2.LUC'!$K62,8)=LEFT(AZ$15,8), LEFT('2.LUC'!$K62,8)=LEFT(AZ$16,8), LEFT('2.LUC'!$K62,8)=LEFT(AZ$17,8))),luc!$C42,0),0)</f>
        <v/>
      </c>
      <c r="AZ7" s="1345" t="inlineStr">
        <is>
          <t>Olive</t>
        </is>
      </c>
      <c r="BB7" s="973" t="n"/>
      <c r="BC7" s="1362" t="inlineStr">
        <is>
          <t>START</t>
        </is>
      </c>
      <c r="BD7" s="1357">
        <f>IF((OR(LEFT('2.LUC'!$I62,8)=LEFT(Matrix!$BC$8,8), LEFT('2.LUC'!$I62,8)=LEFT(Matrix!AZ$3,8), LEFT('2.LUC'!$I62,8)=LEFT(Matrix!AZ$4,8), LEFT('2.LUC'!$I62,8)=LEFT(Matrix!AZ$5,8), LEFT('2.LUC'!$I62,8)=LEFT(Matrix!AZ$6,8), LEFT('2.LUC'!$I62,8)=LEFT(Matrix!AZ$7,8),  LEFT('2.LUC'!$I62,8)=LEFT(Matrix!AZ$8,8), LEFT('2.LUC'!$I62,8)=LEFT(Matrix!AZ$9,8), LEFT('2.LUC'!$I62,8)=LEFT(Matrix!AZ$10,8), LEFT('2.LUC'!$I62,8)=LEFT(Matrix!AZ$11,8), LEFT('2.LUC'!$I62,8)=LEFT(Matrix!AZ$12,8), LEFT('2.LUC'!$I62,8)=LEFT(Matrix!AZ$13,8), LEFT('2.LUC'!$I62,8)=LEFT(Matrix!AZ$14,8), LEFT('2.LUC'!$I62,8)=LEFT(Matrix!AZ$15,8), LEFT('2.LUC'!$I62,8)=LEFT(Matrix!AZ$16,8), LEFT('2.LUC'!$I62,8)=LEFT(Matrix!AZ$17,8))), IF(LEFT('2.LUC'!$K62,8)=LEFT(Matrix!BD$5,8), luc!$C42, 0),0)</f>
        <v/>
      </c>
      <c r="BE7" s="1354">
        <f>IF((OR(LEFT('2.LUC'!$I62,8)=LEFT(Matrix!$BC$8,8), LEFT('2.LUC'!$I62,8)=LEFT(Matrix!AZ$3,8), LEFT('2.LUC'!$I62,8)=LEFT(Matrix!AZ$4,8), LEFT('2.LUC'!$I62,8)=LEFT(Matrix!AZ$5,8), LEFT('2.LUC'!$I62,8)=LEFT(Matrix!AZ$6,8), LEFT('2.LUC'!$I62,8)=LEFT(Matrix!AZ$7,8),  LEFT('2.LUC'!$I62,8)=LEFT(Matrix!AZ$8,8), LEFT('2.LUC'!$I62,8)=LEFT(Matrix!AZ$9,8), LEFT('2.LUC'!$I62,8)=LEFT(Matrix!AZ$10,8), LEFT('2.LUC'!$I62,8)=LEFT(Matrix!AZ$11,8), LEFT('2.LUC'!$I62,8)=LEFT(Matrix!AZ$12,8), LEFT('2.LUC'!$I62,8)=LEFT(Matrix!AZ$13,8), LEFT('2.LUC'!$I62,8)=LEFT(Matrix!AZ$14,8), LEFT('2.LUC'!$I62,8)=LEFT(Matrix!AZ$15,8), LEFT('2.LUC'!$I62,8)=LEFT(Matrix!AZ$16,8), LEFT('2.LUC'!$I62,8)=LEFT(Matrix!AZ$17,8))), IF(LEFT('2.LUC'!$K62,8)=LEFT(Matrix!BE$5,8), luc!$C42, 0),0)</f>
        <v/>
      </c>
      <c r="BF7" s="1354">
        <f>IF((OR(LEFT('2.LUC'!$I62,8)=LEFT(Matrix!$BC$8,8), LEFT('2.LUC'!$I62,8)=LEFT(Matrix!AZ$3,8), LEFT('2.LUC'!$I62,8)=LEFT(Matrix!AZ$4,8), LEFT('2.LUC'!$I62,8)=LEFT(Matrix!AZ$5,8), LEFT('2.LUC'!$I62,8)=LEFT(Matrix!AZ$6,8), LEFT('2.LUC'!$I62,8)=LEFT(Matrix!AZ$7,8),  LEFT('2.LUC'!$I62,8)=LEFT(Matrix!AZ$8,8), LEFT('2.LUC'!$I62,8)=LEFT(Matrix!AZ$9,8), LEFT('2.LUC'!$I62,8)=LEFT(Matrix!AZ$10,8), LEFT('2.LUC'!$I62,8)=LEFT(Matrix!AZ$11,8), LEFT('2.LUC'!$I62,8)=LEFT(Matrix!AZ$12,8), LEFT('2.LUC'!$I62,8)=LEFT(Matrix!AZ$13,8), LEFT('2.LUC'!$I62,8)=LEFT(Matrix!AZ$14,8), LEFT('2.LUC'!$I62,8)=LEFT(Matrix!AZ$15,8), LEFT('2.LUC'!$I62,8)=LEFT(Matrix!AZ$16,8), LEFT('2.LUC'!$I62,8)=LEFT(Matrix!AZ$17,8))), IF(LEFT('2.LUC'!$K62,8)=LEFT(Matrix!BF$5,8), luc!$C42, 0),0)</f>
        <v/>
      </c>
      <c r="BG7" s="1354">
        <f>IF((OR(LEFT('2.LUC'!$I62,8)=LEFT(Matrix!$BC$8,8), LEFT('2.LUC'!$I62,8)=LEFT(Matrix!AZ$3,8), LEFT('2.LUC'!$I62,8)=LEFT(Matrix!AZ$4,8), LEFT('2.LUC'!$I62,8)=LEFT(Matrix!AZ$5,8), LEFT('2.LUC'!$I62,8)=LEFT(Matrix!AZ$6,8), LEFT('2.LUC'!$I62,8)=LEFT(Matrix!AZ$7,8),  LEFT('2.LUC'!$I62,8)=LEFT(Matrix!AZ$8,8), LEFT('2.LUC'!$I62,8)=LEFT(Matrix!AZ$9,8), LEFT('2.LUC'!$I62,8)=LEFT(Matrix!AZ$10,8), LEFT('2.LUC'!$I62,8)=LEFT(Matrix!AZ$11,8), LEFT('2.LUC'!$I62,8)=LEFT(Matrix!AZ$12,8), LEFT('2.LUC'!$I62,8)=LEFT(Matrix!AZ$13,8), LEFT('2.LUC'!$I62,8)=LEFT(Matrix!AZ$14,8), LEFT('2.LUC'!$I62,8)=LEFT(Matrix!AZ$15,8), LEFT('2.LUC'!$I62,8)=LEFT(Matrix!AZ$16,8), LEFT('2.LUC'!$I62,8)=LEFT(Matrix!AZ$17,8))), IF(LEFT('2.LUC'!$K62,8)=LEFT(Matrix!BG$5,8), luc!$C42, 0),0)</f>
        <v/>
      </c>
      <c r="BH7" s="1354">
        <f>IF((OR(LEFT('2.LUC'!$I62,8)=LEFT(Matrix!$BC$8,8), LEFT('2.LUC'!$I62,8)=LEFT(Matrix!AZ$3,8), LEFT('2.LUC'!$I62,8)=LEFT(Matrix!AZ$4,8), LEFT('2.LUC'!$I62,8)=LEFT(Matrix!AZ$5,8), LEFT('2.LUC'!$I62,8)=LEFT(Matrix!AZ$6,8), LEFT('2.LUC'!$I62,8)=LEFT(Matrix!AZ$7,8),  LEFT('2.LUC'!$I62,8)=LEFT(Matrix!AZ$8,8), LEFT('2.LUC'!$I62,8)=LEFT(Matrix!AZ$9,8), LEFT('2.LUC'!$I62,8)=LEFT(Matrix!AZ$10,8), LEFT('2.LUC'!$I62,8)=LEFT(Matrix!AZ$11,8), LEFT('2.LUC'!$I62,8)=LEFT(Matrix!AZ$12,8), LEFT('2.LUC'!$I62,8)=LEFT(Matrix!AZ$13,8), LEFT('2.LUC'!$I62,8)=LEFT(Matrix!AZ$14,8), LEFT('2.LUC'!$I62,8)=LEFT(Matrix!AZ$15,8), LEFT('2.LUC'!$I62,8)=LEFT(Matrix!AZ$16,8), LEFT('2.LUC'!$I62,8)=LEFT(Matrix!AZ$17,8))), IF(LEFT('2.LUC'!$K62,8)=LEFT(Matrix!BH$5,8), luc!$C42, 0),0)</f>
        <v/>
      </c>
      <c r="BI7" s="1357">
        <f>IF((OR(LEFT('2.LUC'!$I62,8)=LEFT(Matrix!$BC$8,8), LEFT('2.LUC'!$I62,8)=LEFT(Matrix!AZ$3,8), LEFT('2.LUC'!$I62,8)=LEFT(Matrix!AZ$4,8), LEFT('2.LUC'!$I62,8)=LEFT(Matrix!AZ$5,8), LEFT('2.LUC'!$I62,8)=LEFT(Matrix!AZ$6,8), LEFT('2.LUC'!$I62,8)=LEFT(Matrix!AZ$7,8),  LEFT('2.LUC'!$I62,8)=LEFT(Matrix!AZ$8,8), LEFT('2.LUC'!$I62,8)=LEFT(Matrix!AZ$9,8), LEFT('2.LUC'!$I62,8)=LEFT(Matrix!AZ$10,8), LEFT('2.LUC'!$I62,8)=LEFT(Matrix!AZ$11,8), LEFT('2.LUC'!$I62,8)=LEFT(Matrix!AZ$12,8), LEFT('2.LUC'!$I62,8)=LEFT(Matrix!AZ$13,8), LEFT('2.LUC'!$I62,8)=LEFT(Matrix!AZ$14,8), LEFT('2.LUC'!$I62,8)=LEFT(Matrix!AZ$15,8), LEFT('2.LUC'!$I62,8)=LEFT(Matrix!AZ$16,8), LEFT('2.LUC'!$I62,8)=LEFT(Matrix!AZ$17,8))), IF(LEFT('2.LUC'!$K62,8)=LEFT(Matrix!BI$5,8), luc!$C42, 0),0)</f>
        <v/>
      </c>
      <c r="BJ7" s="973" t="n"/>
      <c r="BM7" s="973" t="n"/>
      <c r="BN7" s="1365" t="inlineStr">
        <is>
          <t>START</t>
        </is>
      </c>
      <c r="BO7" s="1354">
        <f>IF(LEFT('2.LUC'!$I62,8)=LEFT($BN$8,8),IF(LEFT('2.LUC'!$K62,8)=LEFT(BO$5,8), luc!$C42,0),0)</f>
        <v/>
      </c>
      <c r="BP7" s="1354">
        <f>IF(LEFT('2.LUC'!$I62,8)=LEFT($BN$8,8),IF(LEFT('2.LUC'!$K62,8)=LEFT(BP$5,8), luc!$C42,0),0)</f>
        <v/>
      </c>
      <c r="BQ7" s="1354">
        <f>IF(LEFT('2.LUC'!$I62,8)=LEFT($BN$8,8),IF(LEFT('2.LUC'!$K62,8)=LEFT(BQ$5,8), luc!$C42,0),0)</f>
        <v/>
      </c>
      <c r="BR7" s="1354">
        <f>IF(LEFT('2.LUC'!$I62,8)=LEFT($BN$8,8),IF((OR(LEFT('2.LUC'!$K62,8)=LEFT(BR$5,8),LEFT('2.LUC'!$K62,8)=LEFT(AZ$3,8),LEFT('2.LUC'!$K62,8)=LEFT(AZ$4,9),LEFT('2.LUC'!$K62,8)=LEFT(AZ$5,8),LEFT('2.LUC'!$K62,8)=LEFT(AZ$6,8),LEFT('2.LUC'!$K62,8)=LEFT(AZ$7,8),LEFT('2.LUC'!$K62,8)=LEFT(AZ$8,8), LEFT('2.LUC'!$K62,8)=LEFT(AZ$9,8),  LEFT('2.LUC'!$K62,8)=LEFT(AZ$10,8), LEFT('2.LUC'!$K62,8)=LEFT(AZ$11,8),   LEFT('2.LUC'!$K62,8)=LEFT(AZ$12,8), LEFT('2.LUC'!$K62,8)=LEFT(AZ$13,8), LEFT('2.LUC'!$K62,8)=LEFT(AZ$14,8), LEFT('2.LUC'!$K62,8)=LEFT(AZ$15,8), LEFT('2.LUC'!$K62,8)=LEFT(AZ$16,8), LEFT('2.LUC'!$K62,8)=LEFT(AZ$17,8))),luc!$C42,0),0)</f>
        <v/>
      </c>
      <c r="BS7" s="1354">
        <f>IF(LEFT('2.LUC'!$I62,8)=LEFT($BN$8,8),IF(LEFT('2.LUC'!$K62,8)=LEFT(BS$5,8), luc!$C42,0),0)</f>
        <v/>
      </c>
      <c r="BT7" s="1357">
        <f>IF(LEFT('2.LUC'!$I62,8)=LEFT($BN$8,8),IF(LEFT('2.LUC'!$K62,8)=LEFT(BT$5,8), luc!$C42,0),0)</f>
        <v/>
      </c>
      <c r="BU7" s="973" t="n"/>
      <c r="BX7" s="973" t="n"/>
      <c r="BY7" s="1365" t="inlineStr">
        <is>
          <t>START</t>
        </is>
      </c>
      <c r="BZ7" s="1355">
        <f>IF(LEFT('2.LUC'!$I62,8)=LEFT($BY$8,8),IF(LEFT('2.LUC'!$K62,8)=LEFT(BZ$5,8), luc!$C42,0),0)</f>
        <v/>
      </c>
      <c r="CA7" s="1355">
        <f>IF(LEFT('2.LUC'!$I62,8)=LEFT($BY$8,8),IF(LEFT('2.LUC'!$K62,8)=LEFT(CA$5,8), luc!$C42,0),0)</f>
        <v/>
      </c>
      <c r="CB7" s="1355">
        <f>IF(LEFT('2.LUC'!$I62,8)=LEFT($BY$8,8),IF(LEFT('2.LUC'!$K62,8)=LEFT(CB$5,8), luc!$C42,0),0)</f>
        <v/>
      </c>
      <c r="CC7" s="1355">
        <f>IF(LEFT('2.LUC'!$I62,8)=LEFT($BY$8,8),IF((OR(LEFT('2.LUC'!$K62,8)=LEFT(CC$5,8),LEFT('2.LUC'!$K62,8)=LEFT(AZ$3,8), LEFT('2.LUC'!$K62,8)=LEFT(AZ$4,8),LEFT('2.LUC'!$K62,8)=LEFT(AZ$5,8),LEFT('2.LUC'!$K62,8)=LEFT(AZ$6,8),LEFT('2.LUC'!$K62,8)=LEFT(AZ$7,8),LEFT('2.LUC'!$K62,8)=LEFT(AZ$8,8), LEFT('2.LUC'!$K62,8)=LEFT(AZ$9,8),  LEFT('2.LUC'!$K62,8)=LEFT(AZ$10,8), LEFT('2.LUC'!$K62,8)=LEFT(AZ$11,8),   LEFT('2.LUC'!$K62,8)=LEFT(AZ$12,8), LEFT('2.LUC'!$K62,8)=LEFT(AZ$13,8), LEFT('2.LUC'!$K62,8)=LEFT(AZ$14,8), LEFT('2.LUC'!$K62,8)=LEFT(AZ$15,8), LEFT('2.LUC'!$K62,8)=LEFT(AZ$16,8), LEFT('2.LUC'!$K62,8)=LEFT(AZ$17,8))),luc!$C42,0),0)</f>
        <v/>
      </c>
      <c r="CD7" s="1355">
        <f>IF(LEFT('2.LUC'!$I62,8)=LEFT($BY$8,8),IF(LEFT('2.LUC'!$K62,8)=LEFT(CD$5,8), luc!$C42,0),0)</f>
        <v/>
      </c>
      <c r="CE7" s="1354">
        <f>IF(LEFT('2.LUC'!$I62,8)=LEFT($BY$8,8),IF(LEFT('2.LUC'!$K62,8)=LEFT(CE$5,8), luc!$C42,0),0)</f>
        <v/>
      </c>
      <c r="CF7" s="973" t="n"/>
      <c r="CI7" s="973" t="n"/>
      <c r="CJ7" s="1365" t="inlineStr">
        <is>
          <t>START</t>
        </is>
      </c>
      <c r="CK7" s="1355">
        <f>IF(LEFT('2.LUC'!$I62,8)=LEFT($CJ$8,8),IF(LEFT('2.LUC'!$K62,8)=LEFT(CK$5,8), luc!$C42,0),0)</f>
        <v/>
      </c>
      <c r="CL7" s="1355">
        <f>IF(LEFT('2.LUC'!$I62,8)=LEFT($CJ$8,8),IF(LEFT('2.LUC'!$K62,8)=LEFT(CL$5,8), luc!$C42,0),0)</f>
        <v/>
      </c>
      <c r="CM7" s="1355">
        <f>IF(LEFT('2.LUC'!$I62,8)=LEFT($CJ$8,8),IF(LEFT('2.LUC'!$K62,8)=LEFT(CM$5,8), luc!$C42,0),0)</f>
        <v/>
      </c>
      <c r="CN7" s="1354">
        <f>IF(LEFT('2.LUC'!$I62,8)=LEFT($CJ$8,8),IF((OR(LEFT('2.LUC'!$K62,8)=LEFT(CN$5,8),LEFT('2.LUC'!$K62,8)=LEFT(AZ$3,8),LEFT('2.LUC'!$K62,8)=LEFT(AZ$3,9),LEFT('2.LUC'!$K62,8)=LEFT(AZ$4,9),LEFT('2.LUC'!$K62,8)=LEFT(AZ$5,8),LEFT('2.LUC'!$K62,8)=LEFT(AZ$6,8),LEFT('2.LUC'!$K62,8)=LEFT(AZ$7,8),LEFT('2.LUC'!$K62,8)=LEFT(AZ$8,8), LEFT('2.LUC'!$K62,8)=LEFT(AZ$9,8),  LEFT('2.LUC'!$K62,8)=LEFT(AZ$10,8), LEFT('2.LUC'!$K62,8)=LEFT(AZ$11,8),   LEFT('2.LUC'!$K62,8)=LEFT(AZ$12,8), LEFT('2.LUC'!$K62,8)=LEFT(AZ$13,8), LEFT('2.LUC'!$K62,8)=LEFT(AZ$14,8), LEFT('2.LUC'!$K62,8)=LEFT(AZ$15,8), LEFT('2.LUC'!$K62,8)=LEFT(AZ$16,8), LEFT('2.LUC'!$K62,8)=LEFT(AZ$17,8))),luc!$C42,0),0)</f>
        <v/>
      </c>
      <c r="CO7" s="1104">
        <f>IF(LEFT('2.LUC'!$I62,8)=LEFT($CJ$8,8),IF(LEFT('2.LUC'!$K62,8)=LEFT(CO$5,8), luc!$C42,0),0)</f>
        <v/>
      </c>
      <c r="CP7" s="1354">
        <f>IF(LEFT('2.LUC'!$I62,8)=LEFT($CJ$8,8),IF(LEFT('2.LUC'!$K62,8)=LEFT(CP$5,8), luc!$C42,0),0)</f>
        <v/>
      </c>
      <c r="CQ7" s="973" t="n"/>
      <c r="CT7" s="973" t="n"/>
      <c r="CU7" s="1365" t="inlineStr">
        <is>
          <t>START</t>
        </is>
      </c>
      <c r="CV7" s="1355">
        <f>IF(LEFT('2.LUC'!$I62,8)=LEFT($CU$8,8),IF(LEFT('2.LUC'!$K62,8)=LEFT(CV$5,8), luc!$C42,0),0)</f>
        <v/>
      </c>
      <c r="CW7" s="1355">
        <f>IF(LEFT('2.LUC'!$I62,8)=LEFT($CU$8,8),IF(LEFT('2.LUC'!$K62,8)=LEFT(CW$5,8), luc!$C42,0),0)</f>
        <v/>
      </c>
      <c r="CX7" s="1355">
        <f>IF(LEFT('2.LUC'!$I62,8)=LEFT($CU$8,8),IF(LEFT('2.LUC'!$K62,8)=LEFT(CX$5,8), luc!$C42,0),0)</f>
        <v/>
      </c>
      <c r="CY7" s="1354">
        <f>IF(LEFT('2.LUC'!$I62,8)=LEFT($CU$8,8),IF((OR(LEFT('2.LUC'!$K62,8)=LEFT(CY$5,8),LEFT('2.LUC'!$K62,8)=LEFT(AZ$3,8),LEFT('2.LUC'!$K62,8)=LEFT(AZ$3,9),LEFT('2.LUC'!$K62,8)=LEFT(AZ$4,9),LEFT('2.LUC'!$K62,8)=LEFT(AZ$5,8),LEFT('2.LUC'!$K62,8)=LEFT(AZ$6,8),LEFT('2.LUC'!$K62,8)=LEFT(AZ$7,8),LEFT('2.LUC'!$K62,8)=LEFT(AZ$8,8), LEFT('2.LUC'!$K62,8)=LEFT(AZ$9,8),  LEFT('2.LUC'!$K62,8)=LEFT(AZ$10,8), LEFT('2.LUC'!$K62,8)=LEFT(AZ$11,8),   LEFT('2.LUC'!$K62,8)=LEFT(AZ$12,8), LEFT('2.LUC'!$K62,8)=LEFT(AZ$13,8), LEFT('2.LUC'!$K62,8)=LEFT(AZ$14,8), LEFT('2.LUC'!$K62,8)=LEFT(AZ$15,8), LEFT('2.LUC'!$K62,8)=LEFT(AZ$16,8), LEFT('2.LUC'!$K62,8)=LEFT(AZ$17,8))),luc!$C42,0),0)</f>
        <v/>
      </c>
      <c r="CZ7" s="1104">
        <f>IF(LEFT('2.LUC'!$I62,8)=LEFT($CU$8,8),IF(LEFT('2.LUC'!$K62,8)=LEFT(CZ$5,8), luc!$C42,0),0)</f>
        <v/>
      </c>
      <c r="DA7" s="1354">
        <f>IF(LEFT('2.LUC'!$I62,8)=LEFT($CU$8,8),IF(LEFT('2.LUC'!$K62,8)=LEFT(DA$5,8), luc!$C42,0),0)</f>
        <v/>
      </c>
      <c r="DB7" s="973" t="n"/>
      <c r="DD7" s="973" t="n"/>
      <c r="DE7" s="973" t="n"/>
      <c r="DF7" s="1365" t="inlineStr">
        <is>
          <t>START</t>
        </is>
      </c>
      <c r="DG7" s="1355">
        <f>IF(LEFT('2.LUC'!$I62,8)=LEFT($DF$8,8),IF(LEFT('2.LUC'!$K62,8)=LEFT(DG$5,8), luc!$C42,0),0)</f>
        <v/>
      </c>
      <c r="DH7" s="1355">
        <f>IF(LEFT('2.LUC'!$I62,8)=LEFT($DF$8,8),IF(LEFT('2.LUC'!$K62,8)=LEFT(DH$5,8), luc!$C42,0),0)</f>
        <v/>
      </c>
      <c r="DI7" s="1355">
        <f>IF(LEFT('2.LUC'!$I62,8)=LEFT($DF$8,8),IF(LEFT('2.LUC'!$K62,8)=LEFT(DI$5,8), luc!$C42,0),0)</f>
        <v/>
      </c>
      <c r="DJ7" s="1354">
        <f>IF(LEFT('2.LUC'!$I62,8)=LEFT($DF$8,8),IF((OR(LEFT('2.LUC'!$K62,8)=LEFT(DJ$5,8),LEFT('2.LUC'!$K62,8)=LEFT(AZ$3,8),LEFT('2.LUC'!$K62,8)=LEFT(AZ$3,9),LEFT('2.LUC'!$K62,8)=LEFT(AZ$4,9),LEFT('2.LUC'!$K62,8)=LEFT(AZ$5,8),LEFT('2.LUC'!$K62,8)=LEFT(AZ$6,8),LEFT('2.LUC'!$K62,8)=LEFT(AZ$7,8),LEFT('2.LUC'!$K62,8)=LEFT(AZ$8,8), LEFT('2.LUC'!$K62,8)=LEFT(AZ$9,8),  LEFT('2.LUC'!$K62,8)=LEFT(AZ$10,8), LEFT('2.LUC'!$K62,8)=LEFT(AZ$11,8),   LEFT('2.LUC'!$K62,8)=LEFT(AZ$12,8), LEFT('2.LUC'!$K62,8)=LEFT(AZ$13,8), LEFT('2.LUC'!$K62,8)=LEFT(AZ$14,8), LEFT('2.LUC'!$K62,8)=LEFT(AZ$15,8), LEFT('2.LUC'!$K62,8)=LEFT(AZ$16,8), LEFT('2.LUC'!$K62,8)=LEFT(AZ$17,8))),luc!$C42,0),0)</f>
        <v/>
      </c>
      <c r="DK7" s="1104">
        <f>IF(LEFT('2.LUC'!$I62,8)=LEFT($DF$8,8),IF(LEFT('2.LUC'!$K62,8)=LEFT(DK$5,8), luc!$C42,0),0)</f>
        <v/>
      </c>
      <c r="DL7" s="1354">
        <f>IF(LEFT('2.LUC'!$I62,8)=LEFT($DF$8,8),IF(LEFT('2.LUC'!$K62,8)=LEFT(DL$5,8), luc!$C42,0),0)</f>
        <v/>
      </c>
      <c r="DM7" s="973" t="n"/>
    </row>
    <row r="8" ht="18" customHeight="1">
      <c r="B8" s="1439" t="inlineStr">
        <is>
          <t>Deforestation</t>
        </is>
      </c>
      <c r="C8" s="1440" t="n"/>
      <c r="F8" s="1354" t="n"/>
      <c r="G8" s="1366" t="inlineStr">
        <is>
          <t>Cropland</t>
        </is>
      </c>
      <c r="H8" s="1351" t="inlineStr">
        <is>
          <t>Annual cropland and fallow</t>
        </is>
      </c>
      <c r="I8" s="3139">
        <f>$AH$14</f>
        <v/>
      </c>
      <c r="J8" s="1438">
        <f>annual!$E$48+annual!$E$37+annual!$E$35</f>
        <v/>
      </c>
      <c r="K8" s="3138">
        <f>$AX$16</f>
        <v/>
      </c>
      <c r="L8" s="3138">
        <f>$AU$16</f>
        <v/>
      </c>
      <c r="M8" s="3138">
        <f>$AV$16</f>
        <v/>
      </c>
      <c r="N8" s="3138">
        <f>$AT$16</f>
        <v/>
      </c>
      <c r="O8" s="3138">
        <f>$AW$16+$AS$16</f>
        <v/>
      </c>
      <c r="P8" s="3138">
        <f>SUM(I8:O8)</f>
        <v/>
      </c>
      <c r="S8" s="1576" t="n"/>
      <c r="T8" s="1423" t="inlineStr">
        <is>
          <t>START</t>
        </is>
      </c>
      <c r="U8" s="1420">
        <f>IF('2.LUC'!$I13 = U$5, 1,0)* defo!$G37</f>
        <v/>
      </c>
      <c r="V8" s="1421">
        <f>IF('2.LUC'!$I13 = V$5, 1,0)* defo!$G37</f>
        <v/>
      </c>
      <c r="W8" s="1421">
        <f>IF('2.LUC'!$I13 = W$5, 1,0)* defo!$G37</f>
        <v/>
      </c>
      <c r="X8" s="1421">
        <f>IF('2.LUC'!$I13 = X$5, 1,0)* defo!$G37</f>
        <v/>
      </c>
      <c r="Y8" s="1421">
        <f>IF('2.LUC'!$I13 = Y$5, 1,0)* defo!$G37</f>
        <v/>
      </c>
      <c r="Z8" s="1421">
        <f>IF('2.LUC'!$I13 = Z$5, 1,0)* defo!$G37</f>
        <v/>
      </c>
      <c r="AA8" s="1422">
        <f>IF('2.LUC'!$I13 = AA$5, 1,0)* defo!$G37</f>
        <v/>
      </c>
      <c r="AB8" s="973" t="n"/>
      <c r="AE8" s="1418" t="n"/>
      <c r="AF8" s="1414" t="inlineStr">
        <is>
          <t>START</t>
        </is>
      </c>
      <c r="AG8" s="1420">
        <f>IF(AG$5='2.LUC'!$I38, '2.LUC'!$N38,0)</f>
        <v/>
      </c>
      <c r="AH8" s="1421">
        <f>IF(AH$5='2.LUC'!$I38, '2.LUC'!$N38, 0)</f>
        <v/>
      </c>
      <c r="AI8" s="1421">
        <f>IF(AI$5= '2.LUC'!$I38, '2.LUC'!$N38, 0)</f>
        <v/>
      </c>
      <c r="AJ8" s="1421">
        <f>IF(AJ$5='2.LUC'!$I38, '2.LUC'!$N38, 0)</f>
        <v/>
      </c>
      <c r="AK8" s="1421">
        <f>IF(AK$5 = '2.LUC'!$I38, '2.LUC'!$N38, 0)</f>
        <v/>
      </c>
      <c r="AL8" s="1421">
        <f>IF(AL$5 = '2.LUC'!$I38, '2.LUC'!$N38, 0)</f>
        <v/>
      </c>
      <c r="AM8" s="1422">
        <f>IF(AM$5='2.LUC'!$I38, '2.LUC'!$N38, 0)</f>
        <v/>
      </c>
      <c r="AN8" s="973" t="n"/>
      <c r="AQ8" s="973" t="n"/>
      <c r="AR8" s="1354" t="inlineStr">
        <is>
          <t>Annual cropland</t>
        </is>
      </c>
      <c r="AS8" s="1357">
        <f>IF(LEFT('2.LUC'!$I63,8)=LEFT($AR$8,8),IF(LEFT('2.LUC'!$K63,8)=LEFT(AS$5,8), luc!$C43,0),0)</f>
        <v/>
      </c>
      <c r="AT8" s="1357">
        <f>IF(LEFT('2.LUC'!$I63,8)=LEFT($AR$8,8),IF(LEFT('2.LUC'!$K63,8)=LEFT(AT$5,8), luc!$C43,0),0)</f>
        <v/>
      </c>
      <c r="AU8" s="1354">
        <f>IF(LEFT('2.LUC'!$I63,8)=LEFT($AR$8,8),IF(LEFT('2.LUC'!$K63,8)=LEFT(AU$5,8), luc!$C43,0),0)</f>
        <v/>
      </c>
      <c r="AV8" s="1354">
        <f>IF(LEFT('2.LUC'!$I63,8)=LEFT($AR$8,8),IF(LEFT('2.LUC'!$K63,8)=LEFT(AV$5,8), luc!$C43,0),0)</f>
        <v/>
      </c>
      <c r="AW8" s="1354">
        <f>IF(LEFT('2.LUC'!$I63,8)=LEFT($AR$8,8),IF(LEFT('2.LUC'!$K63,8)=LEFT(AW$5,8), luc!$C43,0),0)</f>
        <v/>
      </c>
      <c r="AX8" s="1354">
        <f>IF(LEFT('2.LUC'!$I63,8)=LEFT($AR$8,8),IF((OR(LEFT('2.LUC'!$K63,8)=LEFT(AX$5,8),LEFT('2.LUC'!$K63,8)=LEFT(AZ$3,8),LEFT('2.LUC'!$K63,8)=LEFT(AZ$3,9),LEFT('2.LUC'!$K63,8)=LEFT(AZ$4,9),LEFT('2.LUC'!$K63,8)=LEFT(AZ$5,8),LEFT('2.LUC'!$K63,8)=LEFT(AZ$6,8),LEFT('2.LUC'!$K63,8)=LEFT(AZ$7,8),LEFT('2.LUC'!$K63,8)=LEFT(AZ$8,8), LEFT('2.LUC'!$K63,8)=LEFT(AZ$9,8),  LEFT('2.LUC'!$K63,8)=LEFT(AZ$10,8), LEFT('2.LUC'!$K63,8)=LEFT(AZ$11,8),   LEFT('2.LUC'!$K63,8)=LEFT(AZ$12,8), LEFT('2.LUC'!$K63,8)=LEFT(AZ$13,8), LEFT('2.LUC'!$K63,8)=LEFT(AZ$14,8), LEFT('2.LUC'!$K63,8)=LEFT(AZ$15,8), LEFT('2.LUC'!$K63,8)=LEFT(AZ$16,8), LEFT('2.LUC'!$K63,8)=LEFT(AZ$17,8))),luc!$C43,0),0)</f>
        <v/>
      </c>
      <c r="AZ8" s="1345" t="inlineStr">
        <is>
          <t>Orchard</t>
        </is>
      </c>
      <c r="BB8" s="973" t="n"/>
      <c r="BC8" s="1354" t="inlineStr">
        <is>
          <t>Agroforestry</t>
        </is>
      </c>
      <c r="BD8" s="1357">
        <f>IF((OR(LEFT('2.LUC'!$I63,8)=LEFT(Matrix!$BC$8,8), LEFT('2.LUC'!$I63,8)=LEFT(Matrix!AZ$3,8), LEFT('2.LUC'!$I63,8)=LEFT(Matrix!AZ$4,8), LEFT('2.LUC'!$I63,8)=LEFT(Matrix!AZ$5,8), LEFT('2.LUC'!$I63,8)=LEFT(Matrix!AZ$6,8), LEFT('2.LUC'!$I63,8)=LEFT(Matrix!AZ$7,8),  LEFT('2.LUC'!$I63,8)=LEFT(Matrix!AZ$8,8), LEFT('2.LUC'!$I63,8)=LEFT(Matrix!AZ$9,8), LEFT('2.LUC'!$I63,8)=LEFT(Matrix!AZ$10,8), LEFT('2.LUC'!$I63,8)=LEFT(Matrix!AZ$11,8), LEFT('2.LUC'!$I63,8)=LEFT(Matrix!AZ$12,8), LEFT('2.LUC'!$I63,8)=LEFT(Matrix!AZ$13,8), LEFT('2.LUC'!$I63,8)=LEFT(Matrix!AZ$14,8), LEFT('2.LUC'!$I63,8)=LEFT(Matrix!AZ$15,8), LEFT('2.LUC'!$I63,8)=LEFT(Matrix!AZ$16,8), LEFT('2.LUC'!$I63,8)=LEFT(Matrix!AZ$17,8))), IF(LEFT('2.LUC'!$K63,8)=LEFT(Matrix!BD$5,8), luc!$C43, 0),0)</f>
        <v/>
      </c>
      <c r="BE8" s="1354">
        <f>IF((OR(LEFT('2.LUC'!$I63,8)=LEFT(Matrix!$BC$8,8), LEFT('2.LUC'!$I63,8)=LEFT(Matrix!AZ$3,8), LEFT('2.LUC'!$I63,8)=LEFT(Matrix!AZ$4,8), LEFT('2.LUC'!$I63,8)=LEFT(Matrix!AZ$5,8), LEFT('2.LUC'!$I63,8)=LEFT(Matrix!AZ$6,8), LEFT('2.LUC'!$I63,8)=LEFT(Matrix!AZ$7,8),  LEFT('2.LUC'!$I63,8)=LEFT(Matrix!AZ$8,8), LEFT('2.LUC'!$I63,8)=LEFT(Matrix!AZ$9,8), LEFT('2.LUC'!$I63,8)=LEFT(Matrix!AZ$10,8), LEFT('2.LUC'!$I63,8)=LEFT(Matrix!AZ$11,8), LEFT('2.LUC'!$I63,8)=LEFT(Matrix!AZ$12,8), LEFT('2.LUC'!$I63,8)=LEFT(Matrix!AZ$13,8), LEFT('2.LUC'!$I63,8)=LEFT(Matrix!AZ$14,8), LEFT('2.LUC'!$I63,8)=LEFT(Matrix!AZ$15,8), LEFT('2.LUC'!$I63,8)=LEFT(Matrix!AZ$16,8), LEFT('2.LUC'!$I63,8)=LEFT(Matrix!AZ$17,8))), IF(LEFT('2.LUC'!$K63,8)=LEFT(Matrix!BE$5,8), luc!$C43, 0),0)</f>
        <v/>
      </c>
      <c r="BF8" s="1354">
        <f>IF((OR(LEFT('2.LUC'!$I63,8)=LEFT(Matrix!$BC$8,8), LEFT('2.LUC'!$I63,8)=LEFT(Matrix!AZ$3,8), LEFT('2.LUC'!$I63,8)=LEFT(Matrix!AZ$4,8), LEFT('2.LUC'!$I63,8)=LEFT(Matrix!AZ$5,8), LEFT('2.LUC'!$I63,8)=LEFT(Matrix!AZ$6,8), LEFT('2.LUC'!$I63,8)=LEFT(Matrix!AZ$7,8),  LEFT('2.LUC'!$I63,8)=LEFT(Matrix!AZ$8,8), LEFT('2.LUC'!$I63,8)=LEFT(Matrix!AZ$9,8), LEFT('2.LUC'!$I63,8)=LEFT(Matrix!AZ$10,8), LEFT('2.LUC'!$I63,8)=LEFT(Matrix!AZ$11,8), LEFT('2.LUC'!$I63,8)=LEFT(Matrix!AZ$12,8), LEFT('2.LUC'!$I63,8)=LEFT(Matrix!AZ$13,8), LEFT('2.LUC'!$I63,8)=LEFT(Matrix!AZ$14,8), LEFT('2.LUC'!$I63,8)=LEFT(Matrix!AZ$15,8), LEFT('2.LUC'!$I63,8)=LEFT(Matrix!AZ$16,8), LEFT('2.LUC'!$I63,8)=LEFT(Matrix!AZ$17,8))), IF(LEFT('2.LUC'!$K63,8)=LEFT(Matrix!BF$5,8), luc!$C43, 0),0)</f>
        <v/>
      </c>
      <c r="BG8" s="1354">
        <f>IF((OR(LEFT('2.LUC'!$I63,8)=LEFT(Matrix!$BC$8,8), LEFT('2.LUC'!$I63,8)=LEFT(Matrix!AZ$3,8), LEFT('2.LUC'!$I63,8)=LEFT(Matrix!AZ$4,8), LEFT('2.LUC'!$I63,8)=LEFT(Matrix!AZ$5,8), LEFT('2.LUC'!$I63,8)=LEFT(Matrix!AZ$6,8), LEFT('2.LUC'!$I63,8)=LEFT(Matrix!AZ$7,8),  LEFT('2.LUC'!$I63,8)=LEFT(Matrix!AZ$8,8), LEFT('2.LUC'!$I63,8)=LEFT(Matrix!AZ$9,8), LEFT('2.LUC'!$I63,8)=LEFT(Matrix!AZ$10,8), LEFT('2.LUC'!$I63,8)=LEFT(Matrix!AZ$11,8), LEFT('2.LUC'!$I63,8)=LEFT(Matrix!AZ$12,8), LEFT('2.LUC'!$I63,8)=LEFT(Matrix!AZ$13,8), LEFT('2.LUC'!$I63,8)=LEFT(Matrix!AZ$14,8), LEFT('2.LUC'!$I63,8)=LEFT(Matrix!AZ$15,8), LEFT('2.LUC'!$I63,8)=LEFT(Matrix!AZ$16,8), LEFT('2.LUC'!$I63,8)=LEFT(Matrix!AZ$17,8))), IF(LEFT('2.LUC'!$K63,8)=LEFT(Matrix!BG$5,8), luc!$C43, 0),0)</f>
        <v/>
      </c>
      <c r="BH8" s="1354">
        <f>IF((OR(LEFT('2.LUC'!$I63,8)=LEFT(Matrix!$BC$8,8), LEFT('2.LUC'!$I63,8)=LEFT(Matrix!AZ$3,8), LEFT('2.LUC'!$I63,8)=LEFT(Matrix!AZ$4,8), LEFT('2.LUC'!$I63,8)=LEFT(Matrix!AZ$5,8), LEFT('2.LUC'!$I63,8)=LEFT(Matrix!AZ$6,8), LEFT('2.LUC'!$I63,8)=LEFT(Matrix!AZ$7,8),  LEFT('2.LUC'!$I63,8)=LEFT(Matrix!AZ$8,8), LEFT('2.LUC'!$I63,8)=LEFT(Matrix!AZ$9,8), LEFT('2.LUC'!$I63,8)=LEFT(Matrix!AZ$10,8), LEFT('2.LUC'!$I63,8)=LEFT(Matrix!AZ$11,8), LEFT('2.LUC'!$I63,8)=LEFT(Matrix!AZ$12,8), LEFT('2.LUC'!$I63,8)=LEFT(Matrix!AZ$13,8), LEFT('2.LUC'!$I63,8)=LEFT(Matrix!AZ$14,8), LEFT('2.LUC'!$I63,8)=LEFT(Matrix!AZ$15,8), LEFT('2.LUC'!$I63,8)=LEFT(Matrix!AZ$16,8), LEFT('2.LUC'!$I63,8)=LEFT(Matrix!AZ$17,8))), IF(LEFT('2.LUC'!$K63,8)=LEFT(Matrix!BH$5,8), luc!$C43, 0),0)</f>
        <v/>
      </c>
      <c r="BI8" s="1357">
        <f>IF((OR(LEFT('2.LUC'!$I63,8)=LEFT(Matrix!$BC$8,8), LEFT('2.LUC'!$I63,8)=LEFT(Matrix!AZ$3,8), LEFT('2.LUC'!$I63,8)=LEFT(Matrix!AZ$4,8), LEFT('2.LUC'!$I63,8)=LEFT(Matrix!AZ$5,8), LEFT('2.LUC'!$I63,8)=LEFT(Matrix!AZ$6,8), LEFT('2.LUC'!$I63,8)=LEFT(Matrix!AZ$7,8),  LEFT('2.LUC'!$I63,8)=LEFT(Matrix!AZ$8,8), LEFT('2.LUC'!$I63,8)=LEFT(Matrix!AZ$9,8), LEFT('2.LUC'!$I63,8)=LEFT(Matrix!AZ$10,8), LEFT('2.LUC'!$I63,8)=LEFT(Matrix!AZ$11,8), LEFT('2.LUC'!$I63,8)=LEFT(Matrix!AZ$12,8), LEFT('2.LUC'!$I63,8)=LEFT(Matrix!AZ$13,8), LEFT('2.LUC'!$I63,8)=LEFT(Matrix!AZ$14,8), LEFT('2.LUC'!$I63,8)=LEFT(Matrix!AZ$15,8), LEFT('2.LUC'!$I63,8)=LEFT(Matrix!AZ$16,8), LEFT('2.LUC'!$I63,8)=LEFT(Matrix!AZ$17,8))), IF(LEFT('2.LUC'!$K63,8)=LEFT(Matrix!BI$5,8), luc!$C43, 0),0)</f>
        <v/>
      </c>
      <c r="BJ8" s="973" t="n"/>
      <c r="BM8" s="973" t="n"/>
      <c r="BN8" s="1355" t="inlineStr">
        <is>
          <t>Flooded rice</t>
        </is>
      </c>
      <c r="BO8" s="1354">
        <f>IF(LEFT('2.LUC'!$I63,8)=LEFT($BN$8,8),IF(LEFT('2.LUC'!$K63,8)=LEFT(BO$5,8), luc!$C43,0),0)</f>
        <v/>
      </c>
      <c r="BP8" s="1354">
        <f>IF(LEFT('2.LUC'!$I63,8)=LEFT($BN$8,8),IF(LEFT('2.LUC'!$K63,8)=LEFT(BP$5,8), luc!$C43,0),0)</f>
        <v/>
      </c>
      <c r="BQ8" s="1354">
        <f>IF(LEFT('2.LUC'!$I63,8)=LEFT($BN$8,8),IF(LEFT('2.LUC'!$K63,8)=LEFT(BQ$5,8), luc!$C43,0),0)</f>
        <v/>
      </c>
      <c r="BR8" s="1354">
        <f>IF(LEFT('2.LUC'!$I63,8)=LEFT($BN$8,8),IF((OR(LEFT('2.LUC'!$K63,8)=LEFT(BR$5,8),LEFT('2.LUC'!$K63,8)=LEFT(AZ$3,8),LEFT('2.LUC'!$K63,8)=LEFT(AZ$4,9),LEFT('2.LUC'!$K63,8)=LEFT(AZ$5,8),LEFT('2.LUC'!$K63,8)=LEFT(AZ$6,8),LEFT('2.LUC'!$K63,8)=LEFT(AZ$7,8),LEFT('2.LUC'!$K63,8)=LEFT(AZ$8,8), LEFT('2.LUC'!$K63,8)=LEFT(AZ$9,8),  LEFT('2.LUC'!$K63,8)=LEFT(AZ$10,8), LEFT('2.LUC'!$K63,8)=LEFT(AZ$11,8),   LEFT('2.LUC'!$K63,8)=LEFT(AZ$12,8), LEFT('2.LUC'!$K63,8)=LEFT(AZ$13,8), LEFT('2.LUC'!$K63,8)=LEFT(AZ$14,8), LEFT('2.LUC'!$K63,8)=LEFT(AZ$15,8), LEFT('2.LUC'!$K63,8)=LEFT(AZ$16,8), LEFT('2.LUC'!$K63,8)=LEFT(AZ$17,8))),luc!$C43,0),0)</f>
        <v/>
      </c>
      <c r="BS8" s="1354">
        <f>IF(LEFT('2.LUC'!$I63,8)=LEFT($BN$8,8),IF(LEFT('2.LUC'!$K63,8)=LEFT(BS$5,8), luc!$C43,0),0)</f>
        <v/>
      </c>
      <c r="BT8" s="1357">
        <f>IF(LEFT('2.LUC'!$I63,8)=LEFT($BN$8,8),IF(LEFT('2.LUC'!$K63,8)=LEFT(BT$5,8), luc!$C43,0),0)</f>
        <v/>
      </c>
      <c r="BU8" s="973" t="n"/>
      <c r="BX8" s="973" t="n"/>
      <c r="BY8" s="1355" t="inlineStr">
        <is>
          <t>Annual fallow</t>
        </is>
      </c>
      <c r="BZ8" s="1355">
        <f>IF(LEFT('2.LUC'!$I63,8)=LEFT($BY$8,8),IF(LEFT('2.LUC'!$K63,8)=LEFT(BZ$5,8), luc!$C43,0),0)</f>
        <v/>
      </c>
      <c r="CA8" s="1355">
        <f>IF(LEFT('2.LUC'!$I63,8)=LEFT($BY$8,8),IF(LEFT('2.LUC'!$K63,8)=LEFT(CA$5,8), luc!$C43,0),0)</f>
        <v/>
      </c>
      <c r="CB8" s="1355">
        <f>IF(LEFT('2.LUC'!$I63,8)=LEFT($BY$8,8),IF(LEFT('2.LUC'!$K63,8)=LEFT(CB$5,8), luc!$C43,0),0)</f>
        <v/>
      </c>
      <c r="CC8" s="1355">
        <f>IF(LEFT('2.LUC'!$I63,8)=LEFT($BY$8,8),IF((OR(LEFT('2.LUC'!$K63,8)=LEFT(CC$5,8),LEFT('2.LUC'!$K63,8)=LEFT(AZ$3,8), LEFT('2.LUC'!$K63,8)=LEFT(AZ$4,8),LEFT('2.LUC'!$K63,8)=LEFT(AZ$5,8),LEFT('2.LUC'!$K63,8)=LEFT(AZ$6,8),LEFT('2.LUC'!$K63,8)=LEFT(AZ$7,8),LEFT('2.LUC'!$K63,8)=LEFT(AZ$8,8), LEFT('2.LUC'!$K63,8)=LEFT(AZ$9,8),  LEFT('2.LUC'!$K63,8)=LEFT(AZ$10,8), LEFT('2.LUC'!$K63,8)=LEFT(AZ$11,8),   LEFT('2.LUC'!$K63,8)=LEFT(AZ$12,8), LEFT('2.LUC'!$K63,8)=LEFT(AZ$13,8), LEFT('2.LUC'!$K63,8)=LEFT(AZ$14,8), LEFT('2.LUC'!$K63,8)=LEFT(AZ$15,8), LEFT('2.LUC'!$K63,8)=LEFT(AZ$16,8), LEFT('2.LUC'!$K63,8)=LEFT(AZ$17,8))),luc!$C43,0),0)</f>
        <v/>
      </c>
      <c r="CD8" s="1355">
        <f>IF(LEFT('2.LUC'!$I63,8)=LEFT($BY$8,8),IF(LEFT('2.LUC'!$K63,8)=LEFT(CD$5,8), luc!$C43,0),0)</f>
        <v/>
      </c>
      <c r="CE8" s="1354">
        <f>IF(LEFT('2.LUC'!$I63,8)=LEFT($BY$8,8),IF(LEFT('2.LUC'!$K63,8)=LEFT(CE$5,8), luc!$C43,0),0)</f>
        <v/>
      </c>
      <c r="CF8" s="973" t="n"/>
      <c r="CI8" s="973" t="n"/>
      <c r="CJ8" s="1355" t="inlineStr">
        <is>
          <t>Grassland</t>
        </is>
      </c>
      <c r="CK8" s="1355">
        <f>IF(LEFT('2.LUC'!$I63,8)=LEFT($CJ$8,8),IF(LEFT('2.LUC'!$K63,8)=LEFT(CK$5,8), luc!$C43,0),0)</f>
        <v/>
      </c>
      <c r="CL8" s="1355">
        <f>IF(LEFT('2.LUC'!$I63,8)=LEFT($CJ$8,8),IF(LEFT('2.LUC'!$K63,8)=LEFT(CL$5,8), luc!$C43,0),0)</f>
        <v/>
      </c>
      <c r="CM8" s="1355">
        <f>IF(LEFT('2.LUC'!$I63,8)=LEFT($CJ$8,8),IF(LEFT('2.LUC'!$K63,8)=LEFT(CM$5,8), luc!$C43,0),0)</f>
        <v/>
      </c>
      <c r="CN8" s="1354">
        <f>IF(LEFT('2.LUC'!$I63,8)=LEFT($CJ$8,8),IF((OR(LEFT('2.LUC'!$K63,8)=LEFT(CN$5,8),LEFT('2.LUC'!$K63,8)=LEFT(AZ$3,8),LEFT('2.LUC'!$K63,8)=LEFT(AZ$3,9),LEFT('2.LUC'!$K63,8)=LEFT(AZ$4,9),LEFT('2.LUC'!$K63,8)=LEFT(AZ$5,8),LEFT('2.LUC'!$K63,8)=LEFT(AZ$6,8),LEFT('2.LUC'!$K63,8)=LEFT(AZ$7,8),LEFT('2.LUC'!$K63,8)=LEFT(AZ$8,8), LEFT('2.LUC'!$K63,8)=LEFT(AZ$9,8),  LEFT('2.LUC'!$K63,8)=LEFT(AZ$10,8), LEFT('2.LUC'!$K63,8)=LEFT(AZ$11,8),   LEFT('2.LUC'!$K63,8)=LEFT(AZ$12,8), LEFT('2.LUC'!$K63,8)=LEFT(AZ$13,8), LEFT('2.LUC'!$K63,8)=LEFT(AZ$14,8), LEFT('2.LUC'!$K63,8)=LEFT(AZ$15,8), LEFT('2.LUC'!$K63,8)=LEFT(AZ$16,8), LEFT('2.LUC'!$K63,8)=LEFT(AZ$17,8))),luc!$C43,0),0)</f>
        <v/>
      </c>
      <c r="CO8" s="1104">
        <f>IF(LEFT('2.LUC'!$I63,8)=LEFT($CJ$8,8),IF(LEFT('2.LUC'!$K63,8)=LEFT(CO$5,8), luc!$C43,0),0)</f>
        <v/>
      </c>
      <c r="CP8" s="1354">
        <f>IF(LEFT('2.LUC'!$I63,8)=LEFT($CJ$8,8),IF(LEFT('2.LUC'!$K63,8)=LEFT(CP$5,8), luc!$C43,0),0)</f>
        <v/>
      </c>
      <c r="CQ8" s="973" t="n"/>
      <c r="CT8" s="973" t="n"/>
      <c r="CU8" s="1355" t="inlineStr">
        <is>
          <t>Degraded land</t>
        </is>
      </c>
      <c r="CV8" s="1355">
        <f>IF(LEFT('2.LUC'!$I63,8)=LEFT($CU$8,8),IF(LEFT('2.LUC'!$K63,8)=LEFT(CV$5,8), luc!$C43,0),0)</f>
        <v/>
      </c>
      <c r="CW8" s="1355">
        <f>IF(LEFT('2.LUC'!$I63,8)=LEFT($CU$8,8),IF(LEFT('2.LUC'!$K63,8)=LEFT(CW$5,8), luc!$C43,0),0)</f>
        <v/>
      </c>
      <c r="CX8" s="1355">
        <f>IF(LEFT('2.LUC'!$I63,8)=LEFT($CU$8,8),IF(LEFT('2.LUC'!$K63,8)=LEFT(CX$5,8), luc!$C43,0),0)</f>
        <v/>
      </c>
      <c r="CY8" s="1354">
        <f>IF(LEFT('2.LUC'!$I63,8)=LEFT($CU$8,8),IF((OR(LEFT('2.LUC'!$K63,8)=LEFT(CY$5,8),LEFT('2.LUC'!$K63,8)=LEFT(AZ$3,8),LEFT('2.LUC'!$K63,8)=LEFT(AZ$3,9),LEFT('2.LUC'!$K63,8)=LEFT(AZ$4,9),LEFT('2.LUC'!$K63,8)=LEFT(AZ$5,8),LEFT('2.LUC'!$K63,8)=LEFT(AZ$6,8),LEFT('2.LUC'!$K63,8)=LEFT(AZ$7,8),LEFT('2.LUC'!$K63,8)=LEFT(AZ$8,8), LEFT('2.LUC'!$K63,8)=LEFT(AZ$9,8),  LEFT('2.LUC'!$K63,8)=LEFT(AZ$10,8), LEFT('2.LUC'!$K63,8)=LEFT(AZ$11,8),   LEFT('2.LUC'!$K63,8)=LEFT(AZ$12,8), LEFT('2.LUC'!$K63,8)=LEFT(AZ$13,8), LEFT('2.LUC'!$K63,8)=LEFT(AZ$14,8), LEFT('2.LUC'!$K63,8)=LEFT(AZ$15,8), LEFT('2.LUC'!$K63,8)=LEFT(AZ$16,8), LEFT('2.LUC'!$K63,8)=LEFT(AZ$17,8))),luc!$C43,0),0)</f>
        <v/>
      </c>
      <c r="CZ8" s="1104">
        <f>IF(LEFT('2.LUC'!$I63,8)=LEFT($CU$8,8),IF(LEFT('2.LUC'!$K63,8)=LEFT(CZ$5,8), luc!$C43,0),0)</f>
        <v/>
      </c>
      <c r="DA8" s="1354">
        <f>IF(LEFT('2.LUC'!$I63,8)=LEFT($CU$8,8),IF(LEFT('2.LUC'!$K63,8)=LEFT(DA$5,8), luc!$C43,0),0)</f>
        <v/>
      </c>
      <c r="DB8" s="973" t="n"/>
      <c r="DD8" s="973" t="n"/>
      <c r="DE8" s="973" t="n"/>
      <c r="DF8" s="1355" t="inlineStr">
        <is>
          <t>Other land (non-vegetated)</t>
        </is>
      </c>
      <c r="DG8" s="1355">
        <f>IF(LEFT('2.LUC'!$I63,8)=LEFT($DF$8,8),IF(LEFT('2.LUC'!$K63,8)=LEFT(DG$5,8), luc!$C43,0),0)</f>
        <v/>
      </c>
      <c r="DH8" s="1355">
        <f>IF(LEFT('2.LUC'!$I63,8)=LEFT($DF$8,8),IF(LEFT('2.LUC'!$K63,8)=LEFT(DH$5,8), luc!$C43,0),0)</f>
        <v/>
      </c>
      <c r="DI8" s="1355">
        <f>IF(LEFT('2.LUC'!$I63,8)=LEFT($DF$8,8),IF(LEFT('2.LUC'!$K63,8)=LEFT(DI$5,8), luc!$C43,0),0)</f>
        <v/>
      </c>
      <c r="DJ8" s="1354">
        <f>IF(LEFT('2.LUC'!$I63,8)=LEFT($DF$8,8),IF((OR(LEFT('2.LUC'!$K63,8)=LEFT(DJ$5,8),LEFT('2.LUC'!$K63,8)=LEFT(AZ$3,8),LEFT('2.LUC'!$K63,8)=LEFT(AZ$3,9),LEFT('2.LUC'!$K63,8)=LEFT(AZ$4,9),LEFT('2.LUC'!$K63,8)=LEFT(AZ$5,8),LEFT('2.LUC'!$K63,8)=LEFT(AZ$6,8),LEFT('2.LUC'!$K63,8)=LEFT(AZ$7,8),LEFT('2.LUC'!$K63,8)=LEFT(AZ$8,8), LEFT('2.LUC'!$K63,8)=LEFT(AZ$9,8),  LEFT('2.LUC'!$K63,8)=LEFT(AZ$10,8), LEFT('2.LUC'!$K63,8)=LEFT(AZ$11,8),   LEFT('2.LUC'!$K63,8)=LEFT(AZ$12,8), LEFT('2.LUC'!$K63,8)=LEFT(AZ$13,8), LEFT('2.LUC'!$K63,8)=LEFT(AZ$14,8), LEFT('2.LUC'!$K63,8)=LEFT(AZ$15,8), LEFT('2.LUC'!$K63,8)=LEFT(AZ$16,8), LEFT('2.LUC'!$K63,8)=LEFT(AZ$17,8))),luc!$C43,0),0)</f>
        <v/>
      </c>
      <c r="DK8" s="1104">
        <f>IF(LEFT('2.LUC'!$I63,8)=LEFT($DF$8,8),IF(LEFT('2.LUC'!$K63,8)=LEFT(DK$5,8), luc!$C43,0),0)</f>
        <v/>
      </c>
      <c r="DL8" s="1354">
        <f>IF(LEFT('2.LUC'!$I63,8)=LEFT($DF$8,8),IF(LEFT('2.LUC'!$K63,8)=LEFT(DL$5,8), luc!$C43,0),0)</f>
        <v/>
      </c>
      <c r="DM8" s="973" t="n"/>
    </row>
    <row r="9" ht="18" customHeight="1">
      <c r="B9" s="1441" t="inlineStr">
        <is>
          <t>Afforestation</t>
        </is>
      </c>
      <c r="C9" s="1442" t="n"/>
      <c r="F9" s="1436" t="inlineStr">
        <is>
          <t>START</t>
        </is>
      </c>
      <c r="G9" s="1367" t="n"/>
      <c r="H9" s="1368" t="inlineStr">
        <is>
          <t>Agroforestry</t>
        </is>
      </c>
      <c r="I9" s="3139">
        <f>$AG$14</f>
        <v/>
      </c>
      <c r="J9" s="3138">
        <f>$BD$16</f>
        <v/>
      </c>
      <c r="K9" s="1438">
        <f>perennial!D47+perennial!D36+perennial!D34</f>
        <v/>
      </c>
      <c r="L9" s="3138">
        <f>$BG$16</f>
        <v/>
      </c>
      <c r="M9" s="3138">
        <f>$BH$16</f>
        <v/>
      </c>
      <c r="N9" s="3138">
        <f>$BF$16</f>
        <v/>
      </c>
      <c r="O9" s="3138">
        <f>$BI$16+$BE$16</f>
        <v/>
      </c>
      <c r="P9" s="3138">
        <f>SUM(I9:O9)</f>
        <v/>
      </c>
      <c r="S9" s="1576" t="n"/>
      <c r="T9" s="1423" t="inlineStr">
        <is>
          <t>FL converted to…</t>
        </is>
      </c>
      <c r="U9" s="1420">
        <f>IF('2.LUC'!$I14 = U$5, 1,0)* defo!$G38</f>
        <v/>
      </c>
      <c r="V9" s="1421">
        <f>IF('2.LUC'!$I14 = V$5, 1,0)* defo!$G38</f>
        <v/>
      </c>
      <c r="W9" s="1421">
        <f>IF('2.LUC'!$I14 = W$5, 1,0)* defo!$G38</f>
        <v/>
      </c>
      <c r="X9" s="1421">
        <f>IF('2.LUC'!$I14 = X$5, 1,0)* defo!$G38</f>
        <v/>
      </c>
      <c r="Y9" s="1421">
        <f>IF('2.LUC'!$I14 = Y$5, 1,0)* defo!$G38</f>
        <v/>
      </c>
      <c r="Z9" s="1421">
        <f>IF('2.LUC'!$I14 = Z$5, 1,0)* defo!$G38</f>
        <v/>
      </c>
      <c r="AA9" s="1422">
        <f>IF('2.LUC'!$I14 = AA$5, 1,0)* defo!$G38</f>
        <v/>
      </c>
      <c r="AB9" s="973" t="n"/>
      <c r="AE9" s="1418" t="n"/>
      <c r="AF9" s="1414" t="inlineStr">
        <is>
          <t>FL converted to…</t>
        </is>
      </c>
      <c r="AG9" s="1420">
        <f>IF(AG$5='2.LUC'!$I39, '2.LUC'!$N39,0)</f>
        <v/>
      </c>
      <c r="AH9" s="1421">
        <f>IF(AH$5='2.LUC'!$I39, '2.LUC'!$N39, 0)</f>
        <v/>
      </c>
      <c r="AI9" s="1421">
        <f>IF(AI$5= '2.LUC'!$I39, '2.LUC'!$N39, 0)</f>
        <v/>
      </c>
      <c r="AJ9" s="1421">
        <f>IF(AJ$5='2.LUC'!$I39, '2.LUC'!$N39, 0)</f>
        <v/>
      </c>
      <c r="AK9" s="1421">
        <f>IF(AK$5 = '2.LUC'!$I39, '2.LUC'!$N39, 0)</f>
        <v/>
      </c>
      <c r="AL9" s="1421">
        <f>IF(AL$5 = '2.LUC'!$I39, '2.LUC'!$N39, 0)</f>
        <v/>
      </c>
      <c r="AM9" s="1422">
        <f>IF(AM$5='2.LUC'!$I39, '2.LUC'!$N39, 0)</f>
        <v/>
      </c>
      <c r="AN9" s="973" t="n"/>
      <c r="AQ9" s="973" t="n"/>
      <c r="AR9" s="1354" t="inlineStr">
        <is>
          <t>converted to…</t>
        </is>
      </c>
      <c r="AS9" s="1357">
        <f>IF(LEFT('2.LUC'!$I64,8)=LEFT($AR$8,8),IF(LEFT('2.LUC'!$K64,8)=LEFT(AS$5,8), luc!$C44,0),0)</f>
        <v/>
      </c>
      <c r="AT9" s="1357">
        <f>IF(LEFT('2.LUC'!$I64,8)=LEFT($AR$8,8),IF(LEFT('2.LUC'!$K64,8)=LEFT(AT$5,8), luc!$C44,0),0)</f>
        <v/>
      </c>
      <c r="AU9" s="1354">
        <f>IF(LEFT('2.LUC'!$I64,8)=LEFT($AR$8,8),IF(LEFT('2.LUC'!$K64,8)=LEFT(AU$5,8), luc!$C44,0),0)</f>
        <v/>
      </c>
      <c r="AV9" s="1354">
        <f>IF(LEFT('2.LUC'!$I64,8)=LEFT($AR$8,8),IF(LEFT('2.LUC'!$K64,8)=LEFT(AV$5,8), luc!$C44,0),0)</f>
        <v/>
      </c>
      <c r="AW9" s="1354">
        <f>IF(LEFT('2.LUC'!$I64,8)=LEFT($AR$8,8),IF(LEFT('2.LUC'!$K64,8)=LEFT(AW$5,8), luc!$C44,0),0)</f>
        <v/>
      </c>
      <c r="AX9" s="1354">
        <f>IF(LEFT('2.LUC'!$I64,8)=LEFT($AR$8,8),IF((OR(LEFT('2.LUC'!$K64,8)=LEFT(AX$5,8),LEFT('2.LUC'!$K64,8)=LEFT(AZ$3,8),LEFT('2.LUC'!$K64,8)=LEFT(AZ$3,9),LEFT('2.LUC'!$K64,8)=LEFT(AZ$4,9),LEFT('2.LUC'!$K64,8)=LEFT(AZ$5,8),LEFT('2.LUC'!$K64,8)=LEFT(AZ$6,8),LEFT('2.LUC'!$K64,8)=LEFT(AZ$7,8),LEFT('2.LUC'!$K64,8)=LEFT(AZ$8,8), LEFT('2.LUC'!$K64,8)=LEFT(AZ$9,8),  LEFT('2.LUC'!$K64,8)=LEFT(AZ$10,8), LEFT('2.LUC'!$K64,8)=LEFT(AZ$11,8),   LEFT('2.LUC'!$K64,8)=LEFT(AZ$12,8), LEFT('2.LUC'!$K64,8)=LEFT(AZ$13,8), LEFT('2.LUC'!$K64,8)=LEFT(AZ$14,8), LEFT('2.LUC'!$K64,8)=LEFT(AZ$15,8), LEFT('2.LUC'!$K64,8)=LEFT(AZ$16,8), LEFT('2.LUC'!$K64,8)=LEFT(AZ$17,8))),luc!$C44,0),0)</f>
        <v/>
      </c>
      <c r="AZ9" s="1345" t="inlineStr">
        <is>
          <t>Parkland</t>
        </is>
      </c>
      <c r="BB9" s="973" t="n"/>
      <c r="BC9" s="1354" t="inlineStr">
        <is>
          <t>converted to…</t>
        </is>
      </c>
      <c r="BD9" s="1357">
        <f>IF((OR(LEFT('2.LUC'!$I64,8)=LEFT(Matrix!$BC$8,8), LEFT('2.LUC'!$I64,8)=LEFT(Matrix!AZ$3,8), LEFT('2.LUC'!$I64,8)=LEFT(Matrix!AZ$4,8), LEFT('2.LUC'!$I64,8)=LEFT(Matrix!AZ$5,8), LEFT('2.LUC'!$I64,8)=LEFT(Matrix!AZ$6,8), LEFT('2.LUC'!$I64,8)=LEFT(Matrix!AZ$7,8),  LEFT('2.LUC'!$I64,8)=LEFT(Matrix!AZ$8,8), LEFT('2.LUC'!$I64,8)=LEFT(Matrix!AZ$9,8), LEFT('2.LUC'!$I64,8)=LEFT(Matrix!AZ$10,8), LEFT('2.LUC'!$I64,8)=LEFT(Matrix!AZ$11,8), LEFT('2.LUC'!$I64,8)=LEFT(Matrix!AZ$12,8), LEFT('2.LUC'!$I64,8)=LEFT(Matrix!AZ$13,8), LEFT('2.LUC'!$I64,8)=LEFT(Matrix!AZ$14,8), LEFT('2.LUC'!$I64,8)=LEFT(Matrix!AZ$15,8), LEFT('2.LUC'!$I64,8)=LEFT(Matrix!AZ$16,8), LEFT('2.LUC'!$I64,8)=LEFT(Matrix!AZ$17,8))), IF(LEFT('2.LUC'!$K64,8)=LEFT(Matrix!BD$5,8), luc!$C44, 0),0)</f>
        <v/>
      </c>
      <c r="BE9" s="1354">
        <f>IF((OR(LEFT('2.LUC'!$I64,8)=LEFT(Matrix!$BC$8,8), LEFT('2.LUC'!$I64,8)=LEFT(Matrix!AZ$3,8), LEFT('2.LUC'!$I64,8)=LEFT(Matrix!AZ$4,8), LEFT('2.LUC'!$I64,8)=LEFT(Matrix!AZ$5,8), LEFT('2.LUC'!$I64,8)=LEFT(Matrix!AZ$6,8), LEFT('2.LUC'!$I64,8)=LEFT(Matrix!AZ$7,8),  LEFT('2.LUC'!$I64,8)=LEFT(Matrix!AZ$8,8), LEFT('2.LUC'!$I64,8)=LEFT(Matrix!AZ$9,8), LEFT('2.LUC'!$I64,8)=LEFT(Matrix!AZ$10,8), LEFT('2.LUC'!$I64,8)=LEFT(Matrix!AZ$11,8), LEFT('2.LUC'!$I64,8)=LEFT(Matrix!AZ$12,8), LEFT('2.LUC'!$I64,8)=LEFT(Matrix!AZ$13,8), LEFT('2.LUC'!$I64,8)=LEFT(Matrix!AZ$14,8), LEFT('2.LUC'!$I64,8)=LEFT(Matrix!AZ$15,8), LEFT('2.LUC'!$I64,8)=LEFT(Matrix!AZ$16,8), LEFT('2.LUC'!$I64,8)=LEFT(Matrix!AZ$17,8))), IF(LEFT('2.LUC'!$K64,8)=LEFT(Matrix!BE$5,8), luc!$C44, 0),0)</f>
        <v/>
      </c>
      <c r="BF9" s="1354">
        <f>IF((OR(LEFT('2.LUC'!$I64,8)=LEFT(Matrix!$BC$8,8), LEFT('2.LUC'!$I64,8)=LEFT(Matrix!AZ$3,8), LEFT('2.LUC'!$I64,8)=LEFT(Matrix!AZ$4,8), LEFT('2.LUC'!$I64,8)=LEFT(Matrix!AZ$5,8), LEFT('2.LUC'!$I64,8)=LEFT(Matrix!AZ$6,8), LEFT('2.LUC'!$I64,8)=LEFT(Matrix!AZ$7,8),  LEFT('2.LUC'!$I64,8)=LEFT(Matrix!AZ$8,8), LEFT('2.LUC'!$I64,8)=LEFT(Matrix!AZ$9,8), LEFT('2.LUC'!$I64,8)=LEFT(Matrix!AZ$10,8), LEFT('2.LUC'!$I64,8)=LEFT(Matrix!AZ$11,8), LEFT('2.LUC'!$I64,8)=LEFT(Matrix!AZ$12,8), LEFT('2.LUC'!$I64,8)=LEFT(Matrix!AZ$13,8), LEFT('2.LUC'!$I64,8)=LEFT(Matrix!AZ$14,8), LEFT('2.LUC'!$I64,8)=LEFT(Matrix!AZ$15,8), LEFT('2.LUC'!$I64,8)=LEFT(Matrix!AZ$16,8), LEFT('2.LUC'!$I64,8)=LEFT(Matrix!AZ$17,8))), IF(LEFT('2.LUC'!$K64,8)=LEFT(Matrix!BF$5,8), luc!$C44, 0),0)</f>
        <v/>
      </c>
      <c r="BG9" s="1354">
        <f>IF((OR(LEFT('2.LUC'!$I64,8)=LEFT(Matrix!$BC$8,8), LEFT('2.LUC'!$I64,8)=LEFT(Matrix!AZ$3,8), LEFT('2.LUC'!$I64,8)=LEFT(Matrix!AZ$4,8), LEFT('2.LUC'!$I64,8)=LEFT(Matrix!AZ$5,8), LEFT('2.LUC'!$I64,8)=LEFT(Matrix!AZ$6,8), LEFT('2.LUC'!$I64,8)=LEFT(Matrix!AZ$7,8),  LEFT('2.LUC'!$I64,8)=LEFT(Matrix!AZ$8,8), LEFT('2.LUC'!$I64,8)=LEFT(Matrix!AZ$9,8), LEFT('2.LUC'!$I64,8)=LEFT(Matrix!AZ$10,8), LEFT('2.LUC'!$I64,8)=LEFT(Matrix!AZ$11,8), LEFT('2.LUC'!$I64,8)=LEFT(Matrix!AZ$12,8), LEFT('2.LUC'!$I64,8)=LEFT(Matrix!AZ$13,8), LEFT('2.LUC'!$I64,8)=LEFT(Matrix!AZ$14,8), LEFT('2.LUC'!$I64,8)=LEFT(Matrix!AZ$15,8), LEFT('2.LUC'!$I64,8)=LEFT(Matrix!AZ$16,8), LEFT('2.LUC'!$I64,8)=LEFT(Matrix!AZ$17,8))), IF(LEFT('2.LUC'!$K64,8)=LEFT(Matrix!BG$5,8), luc!$C44, 0),0)</f>
        <v/>
      </c>
      <c r="BH9" s="1354">
        <f>IF((OR(LEFT('2.LUC'!$I64,8)=LEFT(Matrix!$BC$8,8), LEFT('2.LUC'!$I64,8)=LEFT(Matrix!AZ$3,8), LEFT('2.LUC'!$I64,8)=LEFT(Matrix!AZ$4,8), LEFT('2.LUC'!$I64,8)=LEFT(Matrix!AZ$5,8), LEFT('2.LUC'!$I64,8)=LEFT(Matrix!AZ$6,8), LEFT('2.LUC'!$I64,8)=LEFT(Matrix!AZ$7,8),  LEFT('2.LUC'!$I64,8)=LEFT(Matrix!AZ$8,8), LEFT('2.LUC'!$I64,8)=LEFT(Matrix!AZ$9,8), LEFT('2.LUC'!$I64,8)=LEFT(Matrix!AZ$10,8), LEFT('2.LUC'!$I64,8)=LEFT(Matrix!AZ$11,8), LEFT('2.LUC'!$I64,8)=LEFT(Matrix!AZ$12,8), LEFT('2.LUC'!$I64,8)=LEFT(Matrix!AZ$13,8), LEFT('2.LUC'!$I64,8)=LEFT(Matrix!AZ$14,8), LEFT('2.LUC'!$I64,8)=LEFT(Matrix!AZ$15,8), LEFT('2.LUC'!$I64,8)=LEFT(Matrix!AZ$16,8), LEFT('2.LUC'!$I64,8)=LEFT(Matrix!AZ$17,8))), IF(LEFT('2.LUC'!$K64,8)=LEFT(Matrix!BH$5,8), luc!$C44, 0),0)</f>
        <v/>
      </c>
      <c r="BI9" s="1357">
        <f>IF((OR(LEFT('2.LUC'!$I64,8)=LEFT(Matrix!$BC$8,8), LEFT('2.LUC'!$I64,8)=LEFT(Matrix!AZ$3,8), LEFT('2.LUC'!$I64,8)=LEFT(Matrix!AZ$4,8), LEFT('2.LUC'!$I64,8)=LEFT(Matrix!AZ$5,8), LEFT('2.LUC'!$I64,8)=LEFT(Matrix!AZ$6,8), LEFT('2.LUC'!$I64,8)=LEFT(Matrix!AZ$7,8),  LEFT('2.LUC'!$I64,8)=LEFT(Matrix!AZ$8,8), LEFT('2.LUC'!$I64,8)=LEFT(Matrix!AZ$9,8), LEFT('2.LUC'!$I64,8)=LEFT(Matrix!AZ$10,8), LEFT('2.LUC'!$I64,8)=LEFT(Matrix!AZ$11,8), LEFT('2.LUC'!$I64,8)=LEFT(Matrix!AZ$12,8), LEFT('2.LUC'!$I64,8)=LEFT(Matrix!AZ$13,8), LEFT('2.LUC'!$I64,8)=LEFT(Matrix!AZ$14,8), LEFT('2.LUC'!$I64,8)=LEFT(Matrix!AZ$15,8), LEFT('2.LUC'!$I64,8)=LEFT(Matrix!AZ$16,8), LEFT('2.LUC'!$I64,8)=LEFT(Matrix!AZ$17,8))), IF(LEFT('2.LUC'!$K64,8)=LEFT(Matrix!BI$5,8), luc!$C44, 0),0)</f>
        <v/>
      </c>
      <c r="BJ9" s="973" t="n"/>
      <c r="BM9" s="973" t="n"/>
      <c r="BN9" s="1355" t="inlineStr">
        <is>
          <t>converted to…</t>
        </is>
      </c>
      <c r="BO9" s="1354">
        <f>IF(LEFT('2.LUC'!$I64,8)=LEFT($BN$8,8),IF(LEFT('2.LUC'!$K64,8)=LEFT(BO$5,8), luc!$C44,0),0)</f>
        <v/>
      </c>
      <c r="BP9" s="1354">
        <f>IF(LEFT('2.LUC'!$I64,8)=LEFT($BN$8,8),IF(LEFT('2.LUC'!$K64,8)=LEFT(BP$5,8), luc!$C44,0),0)</f>
        <v/>
      </c>
      <c r="BQ9" s="1354">
        <f>IF(LEFT('2.LUC'!$I64,8)=LEFT($BN$8,8),IF(LEFT('2.LUC'!$K64,8)=LEFT(BQ$5,8), luc!$C44,0),0)</f>
        <v/>
      </c>
      <c r="BR9" s="1354">
        <f>IF(LEFT('2.LUC'!$I64,8)=LEFT($BN$8,8),IF((OR(LEFT('2.LUC'!$K64,8)=LEFT(BR$5,8),LEFT('2.LUC'!$K64,8)=LEFT(AZ$3,8),LEFT('2.LUC'!$K64,8)=LEFT(AZ$4,9),LEFT('2.LUC'!$K64,8)=LEFT(AZ$5,8),LEFT('2.LUC'!$K64,8)=LEFT(AZ$6,8),LEFT('2.LUC'!$K64,8)=LEFT(AZ$7,8),LEFT('2.LUC'!$K64,8)=LEFT(AZ$8,8), LEFT('2.LUC'!$K64,8)=LEFT(AZ$9,8),  LEFT('2.LUC'!$K64,8)=LEFT(AZ$10,8), LEFT('2.LUC'!$K64,8)=LEFT(AZ$11,8),   LEFT('2.LUC'!$K64,8)=LEFT(AZ$12,8), LEFT('2.LUC'!$K64,8)=LEFT(AZ$13,8), LEFT('2.LUC'!$K64,8)=LEFT(AZ$14,8), LEFT('2.LUC'!$K64,8)=LEFT(AZ$15,8), LEFT('2.LUC'!$K64,8)=LEFT(AZ$16,8), LEFT('2.LUC'!$K64,8)=LEFT(AZ$17,8))),luc!$C44,0),0)</f>
        <v/>
      </c>
      <c r="BS9" s="1354">
        <f>IF(LEFT('2.LUC'!$I64,8)=LEFT($BN$8,8),IF(LEFT('2.LUC'!$K64,8)=LEFT(BS$5,8), luc!$C44,0),0)</f>
        <v/>
      </c>
      <c r="BT9" s="1357">
        <f>IF(LEFT('2.LUC'!$I64,8)=LEFT($BN$8,8),IF(LEFT('2.LUC'!$K64,8)=LEFT(BT$5,8), luc!$C44,0),0)</f>
        <v/>
      </c>
      <c r="BU9" s="973" t="n"/>
      <c r="BX9" s="973" t="n"/>
      <c r="BY9" s="1355" t="inlineStr">
        <is>
          <t>converted to…</t>
        </is>
      </c>
      <c r="BZ9" s="1355">
        <f>IF(LEFT('2.LUC'!$I64,8)=LEFT($BY$8,8),IF(LEFT('2.LUC'!$K64,8)=LEFT(BZ$5,8), luc!$C44,0),0)</f>
        <v/>
      </c>
      <c r="CA9" s="1355">
        <f>IF(LEFT('2.LUC'!$I64,8)=LEFT($BY$8,8),IF(LEFT('2.LUC'!$K64,8)=LEFT(CA$5,8), luc!$C44,0),0)</f>
        <v/>
      </c>
      <c r="CB9" s="1355">
        <f>IF(LEFT('2.LUC'!$I64,8)=LEFT($BY$8,8),IF(LEFT('2.LUC'!$K64,8)=LEFT(CB$5,8), luc!$C44,0),0)</f>
        <v/>
      </c>
      <c r="CC9" s="1355">
        <f>IF(LEFT('2.LUC'!$I64,8)=LEFT($BY$8,8),IF((OR(LEFT('2.LUC'!$K64,8)=LEFT(CC$5,8),LEFT('2.LUC'!$K64,8)=LEFT(AZ$3,8), LEFT('2.LUC'!$K64,8)=LEFT(AZ$4,8),LEFT('2.LUC'!$K64,8)=LEFT(AZ$5,8),LEFT('2.LUC'!$K64,8)=LEFT(AZ$6,8),LEFT('2.LUC'!$K64,8)=LEFT(AZ$7,8),LEFT('2.LUC'!$K64,8)=LEFT(AZ$8,8), LEFT('2.LUC'!$K64,8)=LEFT(AZ$9,8),  LEFT('2.LUC'!$K64,8)=LEFT(AZ$10,8), LEFT('2.LUC'!$K64,8)=LEFT(AZ$11,8),   LEFT('2.LUC'!$K64,8)=LEFT(AZ$12,8), LEFT('2.LUC'!$K64,8)=LEFT(AZ$13,8), LEFT('2.LUC'!$K64,8)=LEFT(AZ$14,8), LEFT('2.LUC'!$K64,8)=LEFT(AZ$15,8), LEFT('2.LUC'!$K64,8)=LEFT(AZ$16,8), LEFT('2.LUC'!$K64,8)=LEFT(AZ$17,8))),luc!$C44,0),0)</f>
        <v/>
      </c>
      <c r="CD9" s="1355">
        <f>IF(LEFT('2.LUC'!$I64,8)=LEFT($BY$8,8),IF(LEFT('2.LUC'!$K64,8)=LEFT(CD$5,8), luc!$C44,0),0)</f>
        <v/>
      </c>
      <c r="CE9" s="1354">
        <f>IF(LEFT('2.LUC'!$I64,8)=LEFT($BY$8,8),IF(LEFT('2.LUC'!$K64,8)=LEFT(CE$5,8), luc!$C44,0),0)</f>
        <v/>
      </c>
      <c r="CF9" s="973" t="n"/>
      <c r="CI9" s="973" t="n"/>
      <c r="CJ9" s="1355" t="inlineStr">
        <is>
          <t>converted to…</t>
        </is>
      </c>
      <c r="CK9" s="1355">
        <f>IF(LEFT('2.LUC'!$I64,8)=LEFT($CJ$8,8),IF(LEFT('2.LUC'!$K64,8)=LEFT(CK$5,8), luc!$C44,0),0)</f>
        <v/>
      </c>
      <c r="CL9" s="1355">
        <f>IF(LEFT('2.LUC'!$I64,8)=LEFT($CJ$8,8),IF(LEFT('2.LUC'!$K64,8)=LEFT(CL$5,8), luc!$C44,0),0)</f>
        <v/>
      </c>
      <c r="CM9" s="1355">
        <f>IF(LEFT('2.LUC'!$I64,8)=LEFT($CJ$8,8),IF(LEFT('2.LUC'!$K64,8)=LEFT(CM$5,8), luc!$C44,0),0)</f>
        <v/>
      </c>
      <c r="CN9" s="1354">
        <f>IF(LEFT('2.LUC'!$I64,8)=LEFT($CJ$8,8),IF((OR(LEFT('2.LUC'!$K64,8)=LEFT(CN$5,8),LEFT('2.LUC'!$K64,8)=LEFT(AZ$3,8),LEFT('2.LUC'!$K64,8)=LEFT(AZ$3,9),LEFT('2.LUC'!$K64,8)=LEFT(AZ$4,9),LEFT('2.LUC'!$K64,8)=LEFT(AZ$5,8),LEFT('2.LUC'!$K64,8)=LEFT(AZ$6,8),LEFT('2.LUC'!$K64,8)=LEFT(AZ$7,8),LEFT('2.LUC'!$K64,8)=LEFT(AZ$8,8), LEFT('2.LUC'!$K64,8)=LEFT(AZ$9,8),  LEFT('2.LUC'!$K64,8)=LEFT(AZ$10,8), LEFT('2.LUC'!$K64,8)=LEFT(AZ$11,8),   LEFT('2.LUC'!$K64,8)=LEFT(AZ$12,8), LEFT('2.LUC'!$K64,8)=LEFT(AZ$13,8), LEFT('2.LUC'!$K64,8)=LEFT(AZ$14,8), LEFT('2.LUC'!$K64,8)=LEFT(AZ$15,8), LEFT('2.LUC'!$K64,8)=LEFT(AZ$16,8), LEFT('2.LUC'!$K64,8)=LEFT(AZ$17,8))),luc!$C44,0),0)</f>
        <v/>
      </c>
      <c r="CO9" s="1104">
        <f>IF(LEFT('2.LUC'!$I64,8)=LEFT($CJ$8,8),IF(LEFT('2.LUC'!$K64,8)=LEFT(CO$5,8), luc!$C44,0),0)</f>
        <v/>
      </c>
      <c r="CP9" s="1354">
        <f>IF(LEFT('2.LUC'!$I64,8)=LEFT($CJ$8,8),IF(LEFT('2.LUC'!$K64,8)=LEFT(CP$5,8), luc!$C44,0),0)</f>
        <v/>
      </c>
      <c r="CQ9" s="973" t="n"/>
      <c r="CT9" s="973" t="n"/>
      <c r="CU9" s="1355" t="inlineStr">
        <is>
          <t>converted to…</t>
        </is>
      </c>
      <c r="CV9" s="1355">
        <f>IF(LEFT('2.LUC'!$I64,8)=LEFT($CU$8,8),IF(LEFT('2.LUC'!$K64,8)=LEFT(CV$5,8), luc!$C44,0),0)</f>
        <v/>
      </c>
      <c r="CW9" s="1355">
        <f>IF(LEFT('2.LUC'!$I64,8)=LEFT($CU$8,8),IF(LEFT('2.LUC'!$K64,8)=LEFT(CW$5,8), luc!$C44,0),0)</f>
        <v/>
      </c>
      <c r="CX9" s="1355">
        <f>IF(LEFT('2.LUC'!$I64,8)=LEFT($CU$8,8),IF(LEFT('2.LUC'!$K64,8)=LEFT(CX$5,8), luc!$C44,0),0)</f>
        <v/>
      </c>
      <c r="CY9" s="1354">
        <f>IF(LEFT('2.LUC'!$I64,8)=LEFT($CU$8,8),IF((OR(LEFT('2.LUC'!$K64,8)=LEFT(CY$5,8),LEFT('2.LUC'!$K64,8)=LEFT(AZ$3,8),LEFT('2.LUC'!$K64,8)=LEFT(AZ$3,9),LEFT('2.LUC'!$K64,8)=LEFT(AZ$4,9),LEFT('2.LUC'!$K64,8)=LEFT(AZ$5,8),LEFT('2.LUC'!$K64,8)=LEFT(AZ$6,8),LEFT('2.LUC'!$K64,8)=LEFT(AZ$7,8),LEFT('2.LUC'!$K64,8)=LEFT(AZ$8,8), LEFT('2.LUC'!$K64,8)=LEFT(AZ$9,8),  LEFT('2.LUC'!$K64,8)=LEFT(AZ$10,8), LEFT('2.LUC'!$K64,8)=LEFT(AZ$11,8),   LEFT('2.LUC'!$K64,8)=LEFT(AZ$12,8), LEFT('2.LUC'!$K64,8)=LEFT(AZ$13,8), LEFT('2.LUC'!$K64,8)=LEFT(AZ$14,8), LEFT('2.LUC'!$K64,8)=LEFT(AZ$15,8), LEFT('2.LUC'!$K64,8)=LEFT(AZ$16,8), LEFT('2.LUC'!$K64,8)=LEFT(AZ$17,8))),luc!$C44,0),0)</f>
        <v/>
      </c>
      <c r="CZ9" s="1104">
        <f>IF(LEFT('2.LUC'!$I64,8)=LEFT($CU$8,8),IF(LEFT('2.LUC'!$K64,8)=LEFT(CZ$5,8), luc!$C44,0),0)</f>
        <v/>
      </c>
      <c r="DA9" s="1354">
        <f>IF(LEFT('2.LUC'!$I64,8)=LEFT($CU$8,8),IF(LEFT('2.LUC'!$K64,8)=LEFT(DA$5,8), luc!$C44,0),0)</f>
        <v/>
      </c>
      <c r="DB9" s="973" t="n"/>
      <c r="DD9" s="973" t="n"/>
      <c r="DE9" s="973" t="n"/>
      <c r="DF9" s="1355" t="inlineStr">
        <is>
          <t>converted to…</t>
        </is>
      </c>
      <c r="DG9" s="1355">
        <f>IF(LEFT('2.LUC'!$I64,8)=LEFT($DF$8,8),IF(LEFT('2.LUC'!$K64,8)=LEFT(DG$5,8), luc!$C44,0),0)</f>
        <v/>
      </c>
      <c r="DH9" s="1355">
        <f>IF(LEFT('2.LUC'!$I64,8)=LEFT($DF$8,8),IF(LEFT('2.LUC'!$K64,8)=LEFT(DH$5,8), luc!$C44,0),0)</f>
        <v/>
      </c>
      <c r="DI9" s="1355">
        <f>IF(LEFT('2.LUC'!$I64,8)=LEFT($DF$8,8),IF(LEFT('2.LUC'!$K64,8)=LEFT(DI$5,8), luc!$C44,0),0)</f>
        <v/>
      </c>
      <c r="DJ9" s="1354">
        <f>IF(LEFT('2.LUC'!$I64,8)=LEFT($DF$8,8),IF((OR(LEFT('2.LUC'!$K64,8)=LEFT(DJ$5,8),LEFT('2.LUC'!$K64,8)=LEFT(AZ$3,8),LEFT('2.LUC'!$K64,8)=LEFT(AZ$3,9),LEFT('2.LUC'!$K64,8)=LEFT(AZ$4,9),LEFT('2.LUC'!$K64,8)=LEFT(AZ$5,8),LEFT('2.LUC'!$K64,8)=LEFT(AZ$6,8),LEFT('2.LUC'!$K64,8)=LEFT(AZ$7,8),LEFT('2.LUC'!$K64,8)=LEFT(AZ$8,8), LEFT('2.LUC'!$K64,8)=LEFT(AZ$9,8),  LEFT('2.LUC'!$K64,8)=LEFT(AZ$10,8), LEFT('2.LUC'!$K64,8)=LEFT(AZ$11,8),   LEFT('2.LUC'!$K64,8)=LEFT(AZ$12,8), LEFT('2.LUC'!$K64,8)=LEFT(AZ$13,8), LEFT('2.LUC'!$K64,8)=LEFT(AZ$14,8), LEFT('2.LUC'!$K64,8)=LEFT(AZ$15,8), LEFT('2.LUC'!$K64,8)=LEFT(AZ$16,8), LEFT('2.LUC'!$K64,8)=LEFT(AZ$17,8))),luc!$C44,0),0)</f>
        <v/>
      </c>
      <c r="DK9" s="1104">
        <f>IF(LEFT('2.LUC'!$I64,8)=LEFT($DF$8,8),IF(LEFT('2.LUC'!$K64,8)=LEFT(DK$5,8), luc!$C44,0),0)</f>
        <v/>
      </c>
      <c r="DL9" s="1354">
        <f>IF(LEFT('2.LUC'!$I64,8)=LEFT($DF$8,8),IF(LEFT('2.LUC'!$K64,8)=LEFT(DL$5,8), luc!$C44,0),0)</f>
        <v/>
      </c>
      <c r="DM9" s="973" t="n"/>
    </row>
    <row r="10">
      <c r="B10" s="1443" t="inlineStr">
        <is>
          <t>Other land use changes</t>
        </is>
      </c>
      <c r="C10" s="1444" t="n"/>
      <c r="F10" s="1368" t="n"/>
      <c r="G10" s="1369" t="n"/>
      <c r="H10" s="1370" t="inlineStr">
        <is>
          <t>Flooded rice</t>
        </is>
      </c>
      <c r="I10" s="3139">
        <f>$AK$14</f>
        <v/>
      </c>
      <c r="J10" s="3138">
        <f>$BO$16</f>
        <v/>
      </c>
      <c r="K10" s="3138">
        <f>$BR$16</f>
        <v/>
      </c>
      <c r="L10" s="1438">
        <f>rice!$D$31+rice!$D$33+'3.Cropland'!K121</f>
        <v/>
      </c>
      <c r="M10" s="3138">
        <f>$BS$16</f>
        <v/>
      </c>
      <c r="N10" s="3138">
        <f>$BQ$16</f>
        <v/>
      </c>
      <c r="O10" s="3138">
        <f>$BT$16+$BP$16</f>
        <v/>
      </c>
      <c r="P10" s="3138">
        <f>SUM(I10:O10)</f>
        <v/>
      </c>
      <c r="S10" s="1576" t="n"/>
      <c r="T10" s="1423" t="n"/>
      <c r="U10" s="1420">
        <f>IF('2.LUC'!$I15 = U$5, 1,0)* defo!$G39</f>
        <v/>
      </c>
      <c r="V10" s="1421">
        <f>IF('2.LUC'!$I15 = V$5, 1,0)* defo!$G39</f>
        <v/>
      </c>
      <c r="W10" s="1421">
        <f>IF('2.LUC'!$I15 = W$5, 1,0)* defo!$G39</f>
        <v/>
      </c>
      <c r="X10" s="1421">
        <f>IF('2.LUC'!$I15 = X$5, 1,0)* defo!$G39</f>
        <v/>
      </c>
      <c r="Y10" s="1421">
        <f>IF('2.LUC'!$I15 = Y$5, 1,0)* defo!$G39</f>
        <v/>
      </c>
      <c r="Z10" s="1421">
        <f>IF('2.LUC'!$I15 = Z$5, 1,0)* defo!$G39</f>
        <v/>
      </c>
      <c r="AA10" s="1422">
        <f>IF('2.LUC'!$I15 = AA$5, 1,0)* defo!$G39</f>
        <v/>
      </c>
      <c r="AB10" s="973" t="n"/>
      <c r="AE10" s="1418" t="n"/>
      <c r="AF10" s="1414" t="n"/>
      <c r="AG10" s="1420">
        <f>IF(AG$5='2.LUC'!$I40, '2.LUC'!$N40,0)</f>
        <v/>
      </c>
      <c r="AH10" s="1421">
        <f>IF(AH$5='2.LUC'!$I40, '2.LUC'!$N40, 0)</f>
        <v/>
      </c>
      <c r="AI10" s="1421">
        <f>IF(AI$5= '2.LUC'!$I40, '2.LUC'!$N40, 0)</f>
        <v/>
      </c>
      <c r="AJ10" s="1421">
        <f>IF(AJ$5='2.LUC'!$I40, '2.LUC'!$N40, 0)</f>
        <v/>
      </c>
      <c r="AK10" s="1421">
        <f>IF(AK$5 = '2.LUC'!$I40, '2.LUC'!$N40, 0)</f>
        <v/>
      </c>
      <c r="AL10" s="1421">
        <f>IF(AL$5 = '2.LUC'!$I40, '2.LUC'!$N40, 0)</f>
        <v/>
      </c>
      <c r="AM10" s="1422">
        <f>IF(AM$5='2.LUC'!$I40, '2.LUC'!$N40, 0)</f>
        <v/>
      </c>
      <c r="AN10" s="973" t="n"/>
      <c r="AQ10" s="973" t="n"/>
      <c r="AR10" s="1354" t="n"/>
      <c r="AS10" s="1357">
        <f>IF(LEFT('2.LUC'!$I65,8)=LEFT($AR$8,8),IF(LEFT('2.LUC'!$K65,8)=LEFT(AS$5,8), luc!$C45,0),0)</f>
        <v/>
      </c>
      <c r="AT10" s="1357">
        <f>IF(LEFT('2.LUC'!$I65,8)=LEFT($AR$8,8),IF(LEFT('2.LUC'!$K65,8)=LEFT(AT$5,8), luc!$C45,0),0)</f>
        <v/>
      </c>
      <c r="AU10" s="1354">
        <f>IF(LEFT('2.LUC'!$I65,8)=LEFT($AR$8,8),IF(LEFT('2.LUC'!$K65,8)=LEFT(AU$5,8), luc!$C45,0),0)</f>
        <v/>
      </c>
      <c r="AV10" s="1354">
        <f>IF(LEFT('2.LUC'!$I65,8)=LEFT($AR$8,8),IF(LEFT('2.LUC'!$K65,8)=LEFT(AV$5,8), luc!$C45,0),0)</f>
        <v/>
      </c>
      <c r="AW10" s="1354">
        <f>IF(LEFT('2.LUC'!$I65,8)=LEFT($AR$8,8),IF(LEFT('2.LUC'!$K65,8)=LEFT(AW$5,8), luc!$C45,0),0)</f>
        <v/>
      </c>
      <c r="AX10" s="1354">
        <f>IF(LEFT('2.LUC'!$I65,8)=LEFT($AR$8,8),IF((OR(LEFT('2.LUC'!$K65,8)=LEFT(AX$5,8),LEFT('2.LUC'!$K65,8)=LEFT(AZ$3,8),LEFT('2.LUC'!$K65,8)=LEFT(AZ$3,9),LEFT('2.LUC'!$K65,8)=LEFT(AZ$4,9),LEFT('2.LUC'!$K65,8)=LEFT(AZ$5,8),LEFT('2.LUC'!$K65,8)=LEFT(AZ$6,8),LEFT('2.LUC'!$K65,8)=LEFT(AZ$7,8),LEFT('2.LUC'!$K65,8)=LEFT(AZ$8,8), LEFT('2.LUC'!$K65,8)=LEFT(AZ$9,8),  LEFT('2.LUC'!$K65,8)=LEFT(AZ$10,8), LEFT('2.LUC'!$K65,8)=LEFT(AZ$11,8),   LEFT('2.LUC'!$K65,8)=LEFT(AZ$12,8), LEFT('2.LUC'!$K65,8)=LEFT(AZ$13,8), LEFT('2.LUC'!$K65,8)=LEFT(AZ$14,8), LEFT('2.LUC'!$K65,8)=LEFT(AZ$15,8), LEFT('2.LUC'!$K65,8)=LEFT(AZ$16,8), LEFT('2.LUC'!$K65,8)=LEFT(AZ$17,8))),luc!$C45,0),0)</f>
        <v/>
      </c>
      <c r="AZ10" s="1345" t="inlineStr">
        <is>
          <t>Perennial fallow</t>
        </is>
      </c>
      <c r="BB10" s="973" t="n"/>
      <c r="BC10" s="1354" t="n"/>
      <c r="BD10" s="1357">
        <f>IF((OR(LEFT('2.LUC'!$I65,8)=LEFT(Matrix!$BC$8,8), LEFT('2.LUC'!$I65,8)=LEFT(Matrix!AZ$3,8), LEFT('2.LUC'!$I65,8)=LEFT(Matrix!AZ$4,8), LEFT('2.LUC'!$I65,8)=LEFT(Matrix!AZ$5,8), LEFT('2.LUC'!$I65,8)=LEFT(Matrix!AZ$6,8), LEFT('2.LUC'!$I65,8)=LEFT(Matrix!AZ$7,8),  LEFT('2.LUC'!$I65,8)=LEFT(Matrix!AZ$8,8), LEFT('2.LUC'!$I65,8)=LEFT(Matrix!AZ$9,8), LEFT('2.LUC'!$I65,8)=LEFT(Matrix!AZ$10,8), LEFT('2.LUC'!$I65,8)=LEFT(Matrix!AZ$11,8), LEFT('2.LUC'!$I65,8)=LEFT(Matrix!AZ$12,8), LEFT('2.LUC'!$I65,8)=LEFT(Matrix!AZ$13,8), LEFT('2.LUC'!$I65,8)=LEFT(Matrix!AZ$14,8), LEFT('2.LUC'!$I65,8)=LEFT(Matrix!AZ$15,8), LEFT('2.LUC'!$I65,8)=LEFT(Matrix!AZ$16,8), LEFT('2.LUC'!$I65,8)=LEFT(Matrix!AZ$17,8))), IF(LEFT('2.LUC'!$K65,8)=LEFT(Matrix!BD$5,8), luc!$C45, 0),0)</f>
        <v/>
      </c>
      <c r="BE10" s="1354">
        <f>IF((OR(LEFT('2.LUC'!$I65,8)=LEFT(Matrix!$BC$8,8), LEFT('2.LUC'!$I65,8)=LEFT(Matrix!AZ$3,8), LEFT('2.LUC'!$I65,8)=LEFT(Matrix!AZ$4,8), LEFT('2.LUC'!$I65,8)=LEFT(Matrix!AZ$5,8), LEFT('2.LUC'!$I65,8)=LEFT(Matrix!AZ$6,8), LEFT('2.LUC'!$I65,8)=LEFT(Matrix!AZ$7,8),  LEFT('2.LUC'!$I65,8)=LEFT(Matrix!AZ$8,8), LEFT('2.LUC'!$I65,8)=LEFT(Matrix!AZ$9,8), LEFT('2.LUC'!$I65,8)=LEFT(Matrix!AZ$10,8), LEFT('2.LUC'!$I65,8)=LEFT(Matrix!AZ$11,8), LEFT('2.LUC'!$I65,8)=LEFT(Matrix!AZ$12,8), LEFT('2.LUC'!$I65,8)=LEFT(Matrix!AZ$13,8), LEFT('2.LUC'!$I65,8)=LEFT(Matrix!AZ$14,8), LEFT('2.LUC'!$I65,8)=LEFT(Matrix!AZ$15,8), LEFT('2.LUC'!$I65,8)=LEFT(Matrix!AZ$16,8), LEFT('2.LUC'!$I65,8)=LEFT(Matrix!AZ$17,8))), IF(LEFT('2.LUC'!$K65,8)=LEFT(Matrix!BE$5,8), luc!$C45, 0),0)</f>
        <v/>
      </c>
      <c r="BF10" s="1354">
        <f>IF((OR(LEFT('2.LUC'!$I65,8)=LEFT(Matrix!$BC$8,8), LEFT('2.LUC'!$I65,8)=LEFT(Matrix!AZ$3,8), LEFT('2.LUC'!$I65,8)=LEFT(Matrix!AZ$4,8), LEFT('2.LUC'!$I65,8)=LEFT(Matrix!AZ$5,8), LEFT('2.LUC'!$I65,8)=LEFT(Matrix!AZ$6,8), LEFT('2.LUC'!$I65,8)=LEFT(Matrix!AZ$7,8),  LEFT('2.LUC'!$I65,8)=LEFT(Matrix!AZ$8,8), LEFT('2.LUC'!$I65,8)=LEFT(Matrix!AZ$9,8), LEFT('2.LUC'!$I65,8)=LEFT(Matrix!AZ$10,8), LEFT('2.LUC'!$I65,8)=LEFT(Matrix!AZ$11,8), LEFT('2.LUC'!$I65,8)=LEFT(Matrix!AZ$12,8), LEFT('2.LUC'!$I65,8)=LEFT(Matrix!AZ$13,8), LEFT('2.LUC'!$I65,8)=LEFT(Matrix!AZ$14,8), LEFT('2.LUC'!$I65,8)=LEFT(Matrix!AZ$15,8), LEFT('2.LUC'!$I65,8)=LEFT(Matrix!AZ$16,8), LEFT('2.LUC'!$I65,8)=LEFT(Matrix!AZ$17,8))), IF(LEFT('2.LUC'!$K65,8)=LEFT(Matrix!BF$5,8), luc!$C45, 0),0)</f>
        <v/>
      </c>
      <c r="BG10" s="1354">
        <f>IF((OR(LEFT('2.LUC'!$I65,8)=LEFT(Matrix!$BC$8,8), LEFT('2.LUC'!$I65,8)=LEFT(Matrix!AZ$3,8), LEFT('2.LUC'!$I65,8)=LEFT(Matrix!AZ$4,8), LEFT('2.LUC'!$I65,8)=LEFT(Matrix!AZ$5,8), LEFT('2.LUC'!$I65,8)=LEFT(Matrix!AZ$6,8), LEFT('2.LUC'!$I65,8)=LEFT(Matrix!AZ$7,8),  LEFT('2.LUC'!$I65,8)=LEFT(Matrix!AZ$8,8), LEFT('2.LUC'!$I65,8)=LEFT(Matrix!AZ$9,8), LEFT('2.LUC'!$I65,8)=LEFT(Matrix!AZ$10,8), LEFT('2.LUC'!$I65,8)=LEFT(Matrix!AZ$11,8), LEFT('2.LUC'!$I65,8)=LEFT(Matrix!AZ$12,8), LEFT('2.LUC'!$I65,8)=LEFT(Matrix!AZ$13,8), LEFT('2.LUC'!$I65,8)=LEFT(Matrix!AZ$14,8), LEFT('2.LUC'!$I65,8)=LEFT(Matrix!AZ$15,8), LEFT('2.LUC'!$I65,8)=LEFT(Matrix!AZ$16,8), LEFT('2.LUC'!$I65,8)=LEFT(Matrix!AZ$17,8))), IF(LEFT('2.LUC'!$K65,8)=LEFT(Matrix!BG$5,8), luc!$C45, 0),0)</f>
        <v/>
      </c>
      <c r="BH10" s="1354">
        <f>IF((OR(LEFT('2.LUC'!$I65,8)=LEFT(Matrix!$BC$8,8), LEFT('2.LUC'!$I65,8)=LEFT(Matrix!AZ$3,8), LEFT('2.LUC'!$I65,8)=LEFT(Matrix!AZ$4,8), LEFT('2.LUC'!$I65,8)=LEFT(Matrix!AZ$5,8), LEFT('2.LUC'!$I65,8)=LEFT(Matrix!AZ$6,8), LEFT('2.LUC'!$I65,8)=LEFT(Matrix!AZ$7,8),  LEFT('2.LUC'!$I65,8)=LEFT(Matrix!AZ$8,8), LEFT('2.LUC'!$I65,8)=LEFT(Matrix!AZ$9,8), LEFT('2.LUC'!$I65,8)=LEFT(Matrix!AZ$10,8), LEFT('2.LUC'!$I65,8)=LEFT(Matrix!AZ$11,8), LEFT('2.LUC'!$I65,8)=LEFT(Matrix!AZ$12,8), LEFT('2.LUC'!$I65,8)=LEFT(Matrix!AZ$13,8), LEFT('2.LUC'!$I65,8)=LEFT(Matrix!AZ$14,8), LEFT('2.LUC'!$I65,8)=LEFT(Matrix!AZ$15,8), LEFT('2.LUC'!$I65,8)=LEFT(Matrix!AZ$16,8), LEFT('2.LUC'!$I65,8)=LEFT(Matrix!AZ$17,8))), IF(LEFT('2.LUC'!$K65,8)=LEFT(Matrix!BH$5,8), luc!$C45, 0),0)</f>
        <v/>
      </c>
      <c r="BI10" s="1357">
        <f>IF((OR(LEFT('2.LUC'!$I65,8)=LEFT(Matrix!$BC$8,8), LEFT('2.LUC'!$I65,8)=LEFT(Matrix!AZ$3,8), LEFT('2.LUC'!$I65,8)=LEFT(Matrix!AZ$4,8), LEFT('2.LUC'!$I65,8)=LEFT(Matrix!AZ$5,8), LEFT('2.LUC'!$I65,8)=LEFT(Matrix!AZ$6,8), LEFT('2.LUC'!$I65,8)=LEFT(Matrix!AZ$7,8),  LEFT('2.LUC'!$I65,8)=LEFT(Matrix!AZ$8,8), LEFT('2.LUC'!$I65,8)=LEFT(Matrix!AZ$9,8), LEFT('2.LUC'!$I65,8)=LEFT(Matrix!AZ$10,8), LEFT('2.LUC'!$I65,8)=LEFT(Matrix!AZ$11,8), LEFT('2.LUC'!$I65,8)=LEFT(Matrix!AZ$12,8), LEFT('2.LUC'!$I65,8)=LEFT(Matrix!AZ$13,8), LEFT('2.LUC'!$I65,8)=LEFT(Matrix!AZ$14,8), LEFT('2.LUC'!$I65,8)=LEFT(Matrix!AZ$15,8), LEFT('2.LUC'!$I65,8)=LEFT(Matrix!AZ$16,8), LEFT('2.LUC'!$I65,8)=LEFT(Matrix!AZ$17,8))), IF(LEFT('2.LUC'!$K65,8)=LEFT(Matrix!BI$5,8), luc!$C45, 0),0)</f>
        <v/>
      </c>
      <c r="BJ10" s="973" t="n"/>
      <c r="BM10" s="973" t="n"/>
      <c r="BN10" s="1355" t="n"/>
      <c r="BO10" s="1354">
        <f>IF(LEFT('2.LUC'!$I65,8)=LEFT($BN$8,8),IF(LEFT('2.LUC'!$K65,8)=LEFT(BO$5,8), luc!$C45,0),0)</f>
        <v/>
      </c>
      <c r="BP10" s="1354">
        <f>IF(LEFT('2.LUC'!$I65,8)=LEFT($BN$8,8),IF(LEFT('2.LUC'!$K65,8)=LEFT(BP$5,8), luc!$C45,0),0)</f>
        <v/>
      </c>
      <c r="BQ10" s="1354">
        <f>IF(LEFT('2.LUC'!$I65,8)=LEFT($BN$8,8),IF(LEFT('2.LUC'!$K65,8)=LEFT(BQ$5,8), luc!$C45,0),0)</f>
        <v/>
      </c>
      <c r="BR10" s="1354">
        <f>IF(LEFT('2.LUC'!$I65,8)=LEFT($BN$8,8),IF((OR(LEFT('2.LUC'!$K65,8)=LEFT(BR$5,8),LEFT('2.LUC'!$K65,8)=LEFT(AZ$3,8),LEFT('2.LUC'!$K65,8)=LEFT(AZ$4,9),LEFT('2.LUC'!$K65,8)=LEFT(AZ$5,8),LEFT('2.LUC'!$K65,8)=LEFT(AZ$6,8),LEFT('2.LUC'!$K65,8)=LEFT(AZ$7,8),LEFT('2.LUC'!$K65,8)=LEFT(AZ$8,8), LEFT('2.LUC'!$K65,8)=LEFT(AZ$9,8),  LEFT('2.LUC'!$K65,8)=LEFT(AZ$10,8), LEFT('2.LUC'!$K65,8)=LEFT(AZ$11,8),   LEFT('2.LUC'!$K65,8)=LEFT(AZ$12,8), LEFT('2.LUC'!$K65,8)=LEFT(AZ$13,8), LEFT('2.LUC'!$K65,8)=LEFT(AZ$14,8), LEFT('2.LUC'!$K65,8)=LEFT(AZ$15,8), LEFT('2.LUC'!$K65,8)=LEFT(AZ$16,8), LEFT('2.LUC'!$K65,8)=LEFT(AZ$17,8))),luc!$C45,0),0)</f>
        <v/>
      </c>
      <c r="BS10" s="1354">
        <f>IF(LEFT('2.LUC'!$I65,8)=LEFT($BN$8,8),IF(LEFT('2.LUC'!$K65,8)=LEFT(BS$5,8), luc!$C45,0),0)</f>
        <v/>
      </c>
      <c r="BT10" s="1357">
        <f>IF(LEFT('2.LUC'!$I65,8)=LEFT($BN$8,8),IF(LEFT('2.LUC'!$K65,8)=LEFT(BT$5,8), luc!$C45,0),0)</f>
        <v/>
      </c>
      <c r="BU10" s="973" t="n"/>
      <c r="BX10" s="973" t="n"/>
      <c r="BY10" s="1355" t="n"/>
      <c r="BZ10" s="1355">
        <f>IF(LEFT('2.LUC'!$I65,8)=LEFT($BY$8,8),IF(LEFT('2.LUC'!$K65,8)=LEFT(BZ$5,8), luc!$C45,0),0)</f>
        <v/>
      </c>
      <c r="CA10" s="1355">
        <f>IF(LEFT('2.LUC'!$I65,8)=LEFT($BY$8,8),IF(LEFT('2.LUC'!$K65,8)=LEFT(CA$5,8), luc!$C45,0),0)</f>
        <v/>
      </c>
      <c r="CB10" s="1355">
        <f>IF(LEFT('2.LUC'!$I65,8)=LEFT($BY$8,8),IF(LEFT('2.LUC'!$K65,8)=LEFT(CB$5,8), luc!$C45,0),0)</f>
        <v/>
      </c>
      <c r="CC10" s="1355">
        <f>IF(LEFT('2.LUC'!$I65,8)=LEFT($BY$8,8),IF((OR(LEFT('2.LUC'!$K65,8)=LEFT(CC$5,8),LEFT('2.LUC'!$K65,8)=LEFT(AZ$3,8), LEFT('2.LUC'!$K65,8)=LEFT(AZ$4,8),LEFT('2.LUC'!$K65,8)=LEFT(AZ$5,8),LEFT('2.LUC'!$K65,8)=LEFT(AZ$6,8),LEFT('2.LUC'!$K65,8)=LEFT(AZ$7,8),LEFT('2.LUC'!$K65,8)=LEFT(AZ$8,8), LEFT('2.LUC'!$K65,8)=LEFT(AZ$9,8),  LEFT('2.LUC'!$K65,8)=LEFT(AZ$10,8), LEFT('2.LUC'!$K65,8)=LEFT(AZ$11,8),   LEFT('2.LUC'!$K65,8)=LEFT(AZ$12,8), LEFT('2.LUC'!$K65,8)=LEFT(AZ$13,8), LEFT('2.LUC'!$K65,8)=LEFT(AZ$14,8), LEFT('2.LUC'!$K65,8)=LEFT(AZ$15,8), LEFT('2.LUC'!$K65,8)=LEFT(AZ$16,8), LEFT('2.LUC'!$K65,8)=LEFT(AZ$17,8))),luc!$C45,0),0)</f>
        <v/>
      </c>
      <c r="CD10" s="1355">
        <f>IF(LEFT('2.LUC'!$I65,8)=LEFT($BY$8,8),IF(LEFT('2.LUC'!$K65,8)=LEFT(CD$5,8), luc!$C45,0),0)</f>
        <v/>
      </c>
      <c r="CE10" s="1354">
        <f>IF(LEFT('2.LUC'!$I65,8)=LEFT($BY$8,8),IF(LEFT('2.LUC'!$K65,8)=LEFT(CE$5,8), luc!$C45,0),0)</f>
        <v/>
      </c>
      <c r="CF10" s="973" t="n"/>
      <c r="CI10" s="973" t="n"/>
      <c r="CJ10" s="1355" t="n"/>
      <c r="CK10" s="1355">
        <f>IF(LEFT('2.LUC'!$I65,8)=LEFT($CJ$8,8),IF(LEFT('2.LUC'!$K65,8)=LEFT(CK$5,8), luc!$C45,0),0)</f>
        <v/>
      </c>
      <c r="CL10" s="1355">
        <f>IF(LEFT('2.LUC'!$I65,8)=LEFT($CJ$8,8),IF(LEFT('2.LUC'!$K65,8)=LEFT(CL$5,8), luc!$C45,0),0)</f>
        <v/>
      </c>
      <c r="CM10" s="1355">
        <f>IF(LEFT('2.LUC'!$I65,8)=LEFT($CJ$8,8),IF(LEFT('2.LUC'!$K65,8)=LEFT(CM$5,8), luc!$C45,0),0)</f>
        <v/>
      </c>
      <c r="CN10" s="1354">
        <f>IF(LEFT('2.LUC'!$I65,8)=LEFT($CJ$8,8),IF((OR(LEFT('2.LUC'!$K65,8)=LEFT(CN$5,8),LEFT('2.LUC'!$K65,8)=LEFT(AZ$3,8),LEFT('2.LUC'!$K65,8)=LEFT(AZ$3,9),LEFT('2.LUC'!$K65,8)=LEFT(AZ$4,9),LEFT('2.LUC'!$K65,8)=LEFT(AZ$5,8),LEFT('2.LUC'!$K65,8)=LEFT(AZ$6,8),LEFT('2.LUC'!$K65,8)=LEFT(AZ$7,8),LEFT('2.LUC'!$K65,8)=LEFT(AZ$8,8), LEFT('2.LUC'!$K65,8)=LEFT(AZ$9,8),  LEFT('2.LUC'!$K65,8)=LEFT(AZ$10,8), LEFT('2.LUC'!$K65,8)=LEFT(AZ$11,8),   LEFT('2.LUC'!$K65,8)=LEFT(AZ$12,8), LEFT('2.LUC'!$K65,8)=LEFT(AZ$13,8), LEFT('2.LUC'!$K65,8)=LEFT(AZ$14,8), LEFT('2.LUC'!$K65,8)=LEFT(AZ$15,8), LEFT('2.LUC'!$K65,8)=LEFT(AZ$16,8), LEFT('2.LUC'!$K65,8)=LEFT(AZ$17,8))),luc!$C45,0),0)</f>
        <v/>
      </c>
      <c r="CO10" s="1104">
        <f>IF(LEFT('2.LUC'!$I65,8)=LEFT($CJ$8,8),IF(LEFT('2.LUC'!$K65,8)=LEFT(CO$5,8), luc!$C45,0),0)</f>
        <v/>
      </c>
      <c r="CP10" s="1354">
        <f>IF(LEFT('2.LUC'!$I65,8)=LEFT($CJ$8,8),IF(LEFT('2.LUC'!$K65,8)=LEFT(CP$5,8), luc!$C45,0),0)</f>
        <v/>
      </c>
      <c r="CQ10" s="973" t="n"/>
      <c r="CT10" s="973" t="n"/>
      <c r="CU10" s="1355" t="n"/>
      <c r="CV10" s="1355">
        <f>IF(LEFT('2.LUC'!$I65,8)=LEFT($CU$8,8),IF(LEFT('2.LUC'!$K65,8)=LEFT(CV$5,8), luc!$C45,0),0)</f>
        <v/>
      </c>
      <c r="CW10" s="1355">
        <f>IF(LEFT('2.LUC'!$I65,8)=LEFT($CU$8,8),IF(LEFT('2.LUC'!$K65,8)=LEFT(CW$5,8), luc!$C45,0),0)</f>
        <v/>
      </c>
      <c r="CX10" s="1355">
        <f>IF(LEFT('2.LUC'!$I65,8)=LEFT($CU$8,8),IF(LEFT('2.LUC'!$K65,8)=LEFT(CX$5,8), luc!$C45,0),0)</f>
        <v/>
      </c>
      <c r="CY10" s="1354">
        <f>IF(LEFT('2.LUC'!$I65,8)=LEFT($CU$8,8),IF((OR(LEFT('2.LUC'!$K65,8)=LEFT(CY$5,8),LEFT('2.LUC'!$K65,8)=LEFT(AZ$3,8),LEFT('2.LUC'!$K65,8)=LEFT(AZ$3,9),LEFT('2.LUC'!$K65,8)=LEFT(AZ$4,9),LEFT('2.LUC'!$K65,8)=LEFT(AZ$5,8),LEFT('2.LUC'!$K65,8)=LEFT(AZ$6,8),LEFT('2.LUC'!$K65,8)=LEFT(AZ$7,8),LEFT('2.LUC'!$K65,8)=LEFT(AZ$8,8), LEFT('2.LUC'!$K65,8)=LEFT(AZ$9,8),  LEFT('2.LUC'!$K65,8)=LEFT(AZ$10,8), LEFT('2.LUC'!$K65,8)=LEFT(AZ$11,8),   LEFT('2.LUC'!$K65,8)=LEFT(AZ$12,8), LEFT('2.LUC'!$K65,8)=LEFT(AZ$13,8), LEFT('2.LUC'!$K65,8)=LEFT(AZ$14,8), LEFT('2.LUC'!$K65,8)=LEFT(AZ$15,8), LEFT('2.LUC'!$K65,8)=LEFT(AZ$16,8), LEFT('2.LUC'!$K65,8)=LEFT(AZ$17,8))),luc!$C45,0),0)</f>
        <v/>
      </c>
      <c r="CZ10" s="1104">
        <f>IF(LEFT('2.LUC'!$I65,8)=LEFT($CU$8,8),IF(LEFT('2.LUC'!$K65,8)=LEFT(CZ$5,8), luc!$C45,0),0)</f>
        <v/>
      </c>
      <c r="DA10" s="1354">
        <f>IF(LEFT('2.LUC'!$I65,8)=LEFT($CU$8,8),IF(LEFT('2.LUC'!$K65,8)=LEFT(DA$5,8), luc!$C45,0),0)</f>
        <v/>
      </c>
      <c r="DB10" s="973" t="n"/>
      <c r="DD10" s="973" t="n"/>
      <c r="DE10" s="973" t="n"/>
      <c r="DF10" s="1355" t="n"/>
      <c r="DG10" s="1355">
        <f>IF(LEFT('2.LUC'!$I65,8)=LEFT($DF$8,8),IF(LEFT('2.LUC'!$K65,8)=LEFT(DG$5,8), luc!$C45,0),0)</f>
        <v/>
      </c>
      <c r="DH10" s="1355">
        <f>IF(LEFT('2.LUC'!$I65,8)=LEFT($DF$8,8),IF(LEFT('2.LUC'!$K65,8)=LEFT(DH$5,8), luc!$C45,0),0)</f>
        <v/>
      </c>
      <c r="DI10" s="1355">
        <f>IF(LEFT('2.LUC'!$I65,8)=LEFT($DF$8,8),IF(LEFT('2.LUC'!$K65,8)=LEFT(DI$5,8), luc!$C45,0),0)</f>
        <v/>
      </c>
      <c r="DJ10" s="1354">
        <f>IF(LEFT('2.LUC'!$I65,8)=LEFT($DF$8,8),IF((OR(LEFT('2.LUC'!$K65,8)=LEFT(DJ$5,8),LEFT('2.LUC'!$K65,8)=LEFT(AZ$3,8),LEFT('2.LUC'!$K65,8)=LEFT(AZ$3,9),LEFT('2.LUC'!$K65,8)=LEFT(AZ$4,9),LEFT('2.LUC'!$K65,8)=LEFT(AZ$5,8),LEFT('2.LUC'!$K65,8)=LEFT(AZ$6,8),LEFT('2.LUC'!$K65,8)=LEFT(AZ$7,8),LEFT('2.LUC'!$K65,8)=LEFT(AZ$8,8), LEFT('2.LUC'!$K65,8)=LEFT(AZ$9,8),  LEFT('2.LUC'!$K65,8)=LEFT(AZ$10,8), LEFT('2.LUC'!$K65,8)=LEFT(AZ$11,8),   LEFT('2.LUC'!$K65,8)=LEFT(AZ$12,8), LEFT('2.LUC'!$K65,8)=LEFT(AZ$13,8), LEFT('2.LUC'!$K65,8)=LEFT(AZ$14,8), LEFT('2.LUC'!$K65,8)=LEFT(AZ$15,8), LEFT('2.LUC'!$K65,8)=LEFT(AZ$16,8), LEFT('2.LUC'!$K65,8)=LEFT(AZ$17,8))),luc!$C45,0),0)</f>
        <v/>
      </c>
      <c r="DK10" s="1104">
        <f>IF(LEFT('2.LUC'!$I65,8)=LEFT($DF$8,8),IF(LEFT('2.LUC'!$K65,8)=LEFT(DK$5,8), luc!$C45,0),0)</f>
        <v/>
      </c>
      <c r="DL10" s="1354">
        <f>IF(LEFT('2.LUC'!$I65,8)=LEFT($DF$8,8),IF(LEFT('2.LUC'!$K65,8)=LEFT(DL$5,8), luc!$C45,0),0)</f>
        <v/>
      </c>
      <c r="DM10" s="973" t="n"/>
    </row>
    <row r="11">
      <c r="F11" s="1368" t="n"/>
      <c r="G11" s="1363" t="inlineStr">
        <is>
          <t>Grassland</t>
        </is>
      </c>
      <c r="H11" s="1364" t="inlineStr">
        <is>
          <t>Grassland</t>
        </is>
      </c>
      <c r="I11" s="3139">
        <f>$AL$14</f>
        <v/>
      </c>
      <c r="J11" s="3138">
        <f>$CK$16</f>
        <v/>
      </c>
      <c r="K11" s="3138">
        <f>$CN$16</f>
        <v/>
      </c>
      <c r="L11" s="3138">
        <f>$CL$16</f>
        <v/>
      </c>
      <c r="M11" s="1438">
        <f>grass!$D$44+grass!$D$33+grass!$D$31+Coastal!$AB$14+Coastal!$AC$14+Coastal!$AB$16+Coastal!$AB$73+Coastal!$AC$73+Coastal!$AB$75</f>
        <v/>
      </c>
      <c r="N11" s="3138">
        <f>$CM$16</f>
        <v/>
      </c>
      <c r="O11" s="3138">
        <f>$CP$16+$CO$16</f>
        <v/>
      </c>
      <c r="P11" s="3138">
        <f>SUM(I11:O11)</f>
        <v/>
      </c>
      <c r="S11" s="1576" t="n"/>
      <c r="T11" s="1423" t="n"/>
      <c r="U11" s="1420">
        <f>IF('2.LUC'!$I16 = U$5, 1,0)* defo!$G40</f>
        <v/>
      </c>
      <c r="V11" s="1421">
        <f>IF('2.LUC'!$I16 = V$5, 1,0)* defo!$G40</f>
        <v/>
      </c>
      <c r="W11" s="1421">
        <f>IF('2.LUC'!$I16 = W$5, 1,0)* defo!$G40</f>
        <v/>
      </c>
      <c r="X11" s="1421">
        <f>IF('2.LUC'!$I16 = X$5, 1,0)* defo!$G40</f>
        <v/>
      </c>
      <c r="Y11" s="1421">
        <f>IF('2.LUC'!$I16 = Y$5, 1,0)* defo!$G40</f>
        <v/>
      </c>
      <c r="Z11" s="1421">
        <f>IF('2.LUC'!$I16 = Z$5, 1,0)* defo!$G40</f>
        <v/>
      </c>
      <c r="AA11" s="1422">
        <f>IF('2.LUC'!$I16 = AA$5, 1,0)* defo!$G40</f>
        <v/>
      </c>
      <c r="AB11" s="973" t="n"/>
      <c r="AE11" s="1168" t="n"/>
      <c r="AF11" s="1414" t="n"/>
      <c r="AG11" s="1420">
        <f>IF(AG$5='2.LUC'!$I41, '2.LUC'!$N41,0)</f>
        <v/>
      </c>
      <c r="AH11" s="1421">
        <f>IF(AH$5='2.LUC'!$I41, '2.LUC'!$N41, 0)</f>
        <v/>
      </c>
      <c r="AI11" s="1421">
        <f>IF(AI$5= '2.LUC'!$I41, '2.LUC'!$N41, 0)</f>
        <v/>
      </c>
      <c r="AJ11" s="1421">
        <f>IF(AJ$5='2.LUC'!$I41, '2.LUC'!$N41, 0)</f>
        <v/>
      </c>
      <c r="AK11" s="1421">
        <f>IF(AK$5 = '2.LUC'!$I41, '2.LUC'!$N41, 0)</f>
        <v/>
      </c>
      <c r="AL11" s="1421">
        <f>IF(AL$5 = '2.LUC'!$I41, '2.LUC'!$N41, 0)</f>
        <v/>
      </c>
      <c r="AM11" s="1422">
        <f>IF(AM$5='2.LUC'!$I41, '2.LUC'!$N41, 0)</f>
        <v/>
      </c>
      <c r="AN11" s="973" t="n"/>
      <c r="AQ11" s="973" t="n"/>
      <c r="AR11" s="1354" t="n"/>
      <c r="AS11" s="1357">
        <f>IF(LEFT('2.LUC'!$I66,8)=LEFT($AR$8,8),IF(LEFT('2.LUC'!$K66,8)=LEFT(AS$5,8), luc!$C46,0),0)</f>
        <v/>
      </c>
      <c r="AT11" s="1357">
        <f>IF(LEFT('2.LUC'!$I66,8)=LEFT($AR$8,8),IF(LEFT('2.LUC'!$K66,8)=LEFT(AT$5,8), luc!$C46,0),0)</f>
        <v/>
      </c>
      <c r="AU11" s="1354">
        <f>IF(LEFT('2.LUC'!$I66,8)=LEFT($AR$8,8),IF(LEFT('2.LUC'!$K66,8)=LEFT(AU$5,8), luc!$C46,0),0)</f>
        <v/>
      </c>
      <c r="AV11" s="1354">
        <f>IF(LEFT('2.LUC'!$I66,8)=LEFT($AR$8,8),IF(LEFT('2.LUC'!$K66,8)=LEFT(AV$5,8), luc!$C46,0),0)</f>
        <v/>
      </c>
      <c r="AW11" s="1354">
        <f>IF(LEFT('2.LUC'!$I66,8)=LEFT($AR$8,8),IF(LEFT('2.LUC'!$K66,8)=LEFT(AW$5,8), luc!$C46,0),0)</f>
        <v/>
      </c>
      <c r="AX11" s="1354">
        <f>IF(LEFT('2.LUC'!$I66,8)=LEFT($AR$8,8),IF((OR(LEFT('2.LUC'!$K66,8)=LEFT(AX$5,8),LEFT('2.LUC'!$K66,8)=LEFT(AZ$3,8),LEFT('2.LUC'!$K66,8)=LEFT(AZ$3,9),LEFT('2.LUC'!$K66,8)=LEFT(AZ$4,9),LEFT('2.LUC'!$K66,8)=LEFT(AZ$5,8),LEFT('2.LUC'!$K66,8)=LEFT(AZ$6,8),LEFT('2.LUC'!$K66,8)=LEFT(AZ$7,8),LEFT('2.LUC'!$K66,8)=LEFT(AZ$8,8), LEFT('2.LUC'!$K66,8)=LEFT(AZ$9,8),  LEFT('2.LUC'!$K66,8)=LEFT(AZ$10,8), LEFT('2.LUC'!$K66,8)=LEFT(AZ$11,8),   LEFT('2.LUC'!$K66,8)=LEFT(AZ$12,8), LEFT('2.LUC'!$K66,8)=LEFT(AZ$13,8), LEFT('2.LUC'!$K66,8)=LEFT(AZ$14,8), LEFT('2.LUC'!$K66,8)=LEFT(AZ$15,8), LEFT('2.LUC'!$K66,8)=LEFT(AZ$16,8), LEFT('2.LUC'!$K66,8)=LEFT(AZ$17,8))),luc!$C46,0),0)</f>
        <v/>
      </c>
      <c r="AZ11" s="1345" t="inlineStr">
        <is>
          <t>Rubber</t>
        </is>
      </c>
      <c r="BB11" s="973" t="n"/>
      <c r="BC11" s="1354" t="n"/>
      <c r="BD11" s="1357">
        <f>IF((OR(LEFT('2.LUC'!$I66,8)=LEFT(Matrix!$BC$8,8), LEFT('2.LUC'!$I66,8)=LEFT(Matrix!AZ$3,8), LEFT('2.LUC'!$I66,8)=LEFT(Matrix!AZ$4,8), LEFT('2.LUC'!$I66,8)=LEFT(Matrix!AZ$5,8), LEFT('2.LUC'!$I66,8)=LEFT(Matrix!AZ$6,8), LEFT('2.LUC'!$I66,8)=LEFT(Matrix!AZ$7,8),  LEFT('2.LUC'!$I66,8)=LEFT(Matrix!AZ$8,8), LEFT('2.LUC'!$I66,8)=LEFT(Matrix!AZ$9,8), LEFT('2.LUC'!$I66,8)=LEFT(Matrix!AZ$10,8), LEFT('2.LUC'!$I66,8)=LEFT(Matrix!AZ$11,8), LEFT('2.LUC'!$I66,8)=LEFT(Matrix!AZ$12,8), LEFT('2.LUC'!$I66,8)=LEFT(Matrix!AZ$13,8), LEFT('2.LUC'!$I66,8)=LEFT(Matrix!AZ$14,8), LEFT('2.LUC'!$I66,8)=LEFT(Matrix!AZ$15,8), LEFT('2.LUC'!$I66,8)=LEFT(Matrix!AZ$16,8), LEFT('2.LUC'!$I66,8)=LEFT(Matrix!AZ$17,8))), IF(LEFT('2.LUC'!$K66,8)=LEFT(Matrix!BD$5,8), luc!$C46, 0),0)</f>
        <v/>
      </c>
      <c r="BE11" s="1354">
        <f>IF((OR(LEFT('2.LUC'!$I66,8)=LEFT(Matrix!$BC$8,8), LEFT('2.LUC'!$I66,8)=LEFT(Matrix!AZ$3,8), LEFT('2.LUC'!$I66,8)=LEFT(Matrix!AZ$4,8), LEFT('2.LUC'!$I66,8)=LEFT(Matrix!AZ$5,8), LEFT('2.LUC'!$I66,8)=LEFT(Matrix!AZ$6,8), LEFT('2.LUC'!$I66,8)=LEFT(Matrix!AZ$7,8),  LEFT('2.LUC'!$I66,8)=LEFT(Matrix!AZ$8,8), LEFT('2.LUC'!$I66,8)=LEFT(Matrix!AZ$9,8), LEFT('2.LUC'!$I66,8)=LEFT(Matrix!AZ$10,8), LEFT('2.LUC'!$I66,8)=LEFT(Matrix!AZ$11,8), LEFT('2.LUC'!$I66,8)=LEFT(Matrix!AZ$12,8), LEFT('2.LUC'!$I66,8)=LEFT(Matrix!AZ$13,8), LEFT('2.LUC'!$I66,8)=LEFT(Matrix!AZ$14,8), LEFT('2.LUC'!$I66,8)=LEFT(Matrix!AZ$15,8), LEFT('2.LUC'!$I66,8)=LEFT(Matrix!AZ$16,8), LEFT('2.LUC'!$I66,8)=LEFT(Matrix!AZ$17,8))), IF(LEFT('2.LUC'!$K66,8)=LEFT(Matrix!BE$5,8), luc!$C46, 0),0)</f>
        <v/>
      </c>
      <c r="BF11" s="1354">
        <f>IF((OR(LEFT('2.LUC'!$I66,8)=LEFT(Matrix!$BC$8,8), LEFT('2.LUC'!$I66,8)=LEFT(Matrix!AZ$3,8), LEFT('2.LUC'!$I66,8)=LEFT(Matrix!AZ$4,8), LEFT('2.LUC'!$I66,8)=LEFT(Matrix!AZ$5,8), LEFT('2.LUC'!$I66,8)=LEFT(Matrix!AZ$6,8), LEFT('2.LUC'!$I66,8)=LEFT(Matrix!AZ$7,8),  LEFT('2.LUC'!$I66,8)=LEFT(Matrix!AZ$8,8), LEFT('2.LUC'!$I66,8)=LEFT(Matrix!AZ$9,8), LEFT('2.LUC'!$I66,8)=LEFT(Matrix!AZ$10,8), LEFT('2.LUC'!$I66,8)=LEFT(Matrix!AZ$11,8), LEFT('2.LUC'!$I66,8)=LEFT(Matrix!AZ$12,8), LEFT('2.LUC'!$I66,8)=LEFT(Matrix!AZ$13,8), LEFT('2.LUC'!$I66,8)=LEFT(Matrix!AZ$14,8), LEFT('2.LUC'!$I66,8)=LEFT(Matrix!AZ$15,8), LEFT('2.LUC'!$I66,8)=LEFT(Matrix!AZ$16,8), LEFT('2.LUC'!$I66,8)=LEFT(Matrix!AZ$17,8))), IF(LEFT('2.LUC'!$K66,8)=LEFT(Matrix!BF$5,8), luc!$C46, 0),0)</f>
        <v/>
      </c>
      <c r="BG11" s="1354">
        <f>IF((OR(LEFT('2.LUC'!$I66,8)=LEFT(Matrix!$BC$8,8), LEFT('2.LUC'!$I66,8)=LEFT(Matrix!AZ$3,8), LEFT('2.LUC'!$I66,8)=LEFT(Matrix!AZ$4,8), LEFT('2.LUC'!$I66,8)=LEFT(Matrix!AZ$5,8), LEFT('2.LUC'!$I66,8)=LEFT(Matrix!AZ$6,8), LEFT('2.LUC'!$I66,8)=LEFT(Matrix!AZ$7,8),  LEFT('2.LUC'!$I66,8)=LEFT(Matrix!AZ$8,8), LEFT('2.LUC'!$I66,8)=LEFT(Matrix!AZ$9,8), LEFT('2.LUC'!$I66,8)=LEFT(Matrix!AZ$10,8), LEFT('2.LUC'!$I66,8)=LEFT(Matrix!AZ$11,8), LEFT('2.LUC'!$I66,8)=LEFT(Matrix!AZ$12,8), LEFT('2.LUC'!$I66,8)=LEFT(Matrix!AZ$13,8), LEFT('2.LUC'!$I66,8)=LEFT(Matrix!AZ$14,8), LEFT('2.LUC'!$I66,8)=LEFT(Matrix!AZ$15,8), LEFT('2.LUC'!$I66,8)=LEFT(Matrix!AZ$16,8), LEFT('2.LUC'!$I66,8)=LEFT(Matrix!AZ$17,8))), IF(LEFT('2.LUC'!$K66,8)=LEFT(Matrix!BG$5,8), luc!$C46, 0),0)</f>
        <v/>
      </c>
      <c r="BH11" s="1354">
        <f>IF((OR(LEFT('2.LUC'!$I66,8)=LEFT(Matrix!$BC$8,8), LEFT('2.LUC'!$I66,8)=LEFT(Matrix!AZ$3,8), LEFT('2.LUC'!$I66,8)=LEFT(Matrix!AZ$4,8), LEFT('2.LUC'!$I66,8)=LEFT(Matrix!AZ$5,8), LEFT('2.LUC'!$I66,8)=LEFT(Matrix!AZ$6,8), LEFT('2.LUC'!$I66,8)=LEFT(Matrix!AZ$7,8),  LEFT('2.LUC'!$I66,8)=LEFT(Matrix!AZ$8,8), LEFT('2.LUC'!$I66,8)=LEFT(Matrix!AZ$9,8), LEFT('2.LUC'!$I66,8)=LEFT(Matrix!AZ$10,8), LEFT('2.LUC'!$I66,8)=LEFT(Matrix!AZ$11,8), LEFT('2.LUC'!$I66,8)=LEFT(Matrix!AZ$12,8), LEFT('2.LUC'!$I66,8)=LEFT(Matrix!AZ$13,8), LEFT('2.LUC'!$I66,8)=LEFT(Matrix!AZ$14,8), LEFT('2.LUC'!$I66,8)=LEFT(Matrix!AZ$15,8), LEFT('2.LUC'!$I66,8)=LEFT(Matrix!AZ$16,8), LEFT('2.LUC'!$I66,8)=LEFT(Matrix!AZ$17,8))), IF(LEFT('2.LUC'!$K66,8)=LEFT(Matrix!BH$5,8), luc!$C46, 0),0)</f>
        <v/>
      </c>
      <c r="BI11" s="1357">
        <f>IF((OR(LEFT('2.LUC'!$I66,8)=LEFT(Matrix!$BC$8,8), LEFT('2.LUC'!$I66,8)=LEFT(Matrix!AZ$3,8), LEFT('2.LUC'!$I66,8)=LEFT(Matrix!AZ$4,8), LEFT('2.LUC'!$I66,8)=LEFT(Matrix!AZ$5,8), LEFT('2.LUC'!$I66,8)=LEFT(Matrix!AZ$6,8), LEFT('2.LUC'!$I66,8)=LEFT(Matrix!AZ$7,8),  LEFT('2.LUC'!$I66,8)=LEFT(Matrix!AZ$8,8), LEFT('2.LUC'!$I66,8)=LEFT(Matrix!AZ$9,8), LEFT('2.LUC'!$I66,8)=LEFT(Matrix!AZ$10,8), LEFT('2.LUC'!$I66,8)=LEFT(Matrix!AZ$11,8), LEFT('2.LUC'!$I66,8)=LEFT(Matrix!AZ$12,8), LEFT('2.LUC'!$I66,8)=LEFT(Matrix!AZ$13,8), LEFT('2.LUC'!$I66,8)=LEFT(Matrix!AZ$14,8), LEFT('2.LUC'!$I66,8)=LEFT(Matrix!AZ$15,8), LEFT('2.LUC'!$I66,8)=LEFT(Matrix!AZ$16,8), LEFT('2.LUC'!$I66,8)=LEFT(Matrix!AZ$17,8))), IF(LEFT('2.LUC'!$K66,8)=LEFT(Matrix!BI$5,8), luc!$C46, 0),0)</f>
        <v/>
      </c>
      <c r="BJ11" s="973" t="n"/>
      <c r="BM11" s="973" t="n"/>
      <c r="BN11" s="1355" t="n"/>
      <c r="BO11" s="1354">
        <f>IF(LEFT('2.LUC'!$I66,8)=LEFT($BN$8,8),IF(LEFT('2.LUC'!$K66,8)=LEFT(BO$5,8), luc!$C46,0),0)</f>
        <v/>
      </c>
      <c r="BP11" s="1354">
        <f>IF(LEFT('2.LUC'!$I66,8)=LEFT($BN$8,8),IF(LEFT('2.LUC'!$K66,8)=LEFT(BP$5,8), luc!$C46,0),0)</f>
        <v/>
      </c>
      <c r="BQ11" s="1354">
        <f>IF(LEFT('2.LUC'!$I66,8)=LEFT($BN$8,8),IF(LEFT('2.LUC'!$K66,8)=LEFT(BQ$5,8), luc!$C46,0),0)</f>
        <v/>
      </c>
      <c r="BR11" s="1354">
        <f>IF(LEFT('2.LUC'!$I66,8)=LEFT($BN$8,8),IF((OR(LEFT('2.LUC'!$K66,8)=LEFT(BR$5,8),LEFT('2.LUC'!$K66,8)=LEFT(AZ$3,8),LEFT('2.LUC'!$K66,8)=LEFT(AZ$4,9),LEFT('2.LUC'!$K66,8)=LEFT(AZ$5,8),LEFT('2.LUC'!$K66,8)=LEFT(AZ$6,8),LEFT('2.LUC'!$K66,8)=LEFT(AZ$7,8),LEFT('2.LUC'!$K66,8)=LEFT(AZ$8,8), LEFT('2.LUC'!$K66,8)=LEFT(AZ$9,8),  LEFT('2.LUC'!$K66,8)=LEFT(AZ$10,8), LEFT('2.LUC'!$K66,8)=LEFT(AZ$11,8),   LEFT('2.LUC'!$K66,8)=LEFT(AZ$12,8), LEFT('2.LUC'!$K66,8)=LEFT(AZ$13,8), LEFT('2.LUC'!$K66,8)=LEFT(AZ$14,8), LEFT('2.LUC'!$K66,8)=LEFT(AZ$15,8), LEFT('2.LUC'!$K66,8)=LEFT(AZ$16,8), LEFT('2.LUC'!$K66,8)=LEFT(AZ$17,8))),luc!$C46,0),0)</f>
        <v/>
      </c>
      <c r="BS11" s="1354">
        <f>IF(LEFT('2.LUC'!$I66,8)=LEFT($BN$8,8),IF(LEFT('2.LUC'!$K66,8)=LEFT(BS$5,8), luc!$C46,0),0)</f>
        <v/>
      </c>
      <c r="BT11" s="1357">
        <f>IF(LEFT('2.LUC'!$I66,8)=LEFT($BN$8,8),IF(LEFT('2.LUC'!$K66,8)=LEFT(BT$5,8), luc!$C46,0),0)</f>
        <v/>
      </c>
      <c r="BU11" s="973" t="n"/>
      <c r="BX11" s="973" t="n"/>
      <c r="BY11" s="1355" t="n"/>
      <c r="BZ11" s="1355">
        <f>IF(LEFT('2.LUC'!$I66,8)=LEFT($BY$8,8),IF(LEFT('2.LUC'!$K66,8)=LEFT(BZ$5,8), luc!$C46,0),0)</f>
        <v/>
      </c>
      <c r="CA11" s="1355">
        <f>IF(LEFT('2.LUC'!$I66,8)=LEFT($BY$8,8),IF(LEFT('2.LUC'!$K66,8)=LEFT(CA$5,8), luc!$C46,0),0)</f>
        <v/>
      </c>
      <c r="CB11" s="1355">
        <f>IF(LEFT('2.LUC'!$I66,8)=LEFT($BY$8,8),IF(LEFT('2.LUC'!$K66,8)=LEFT(CB$5,8), luc!$C46,0),0)</f>
        <v/>
      </c>
      <c r="CC11" s="1355">
        <f>IF(LEFT('2.LUC'!$I66,8)=LEFT($BY$8,8),IF((OR(LEFT('2.LUC'!$K66,8)=LEFT(CC$5,8),LEFT('2.LUC'!$K66,8)=LEFT(AZ$3,8), LEFT('2.LUC'!$K66,8)=LEFT(AZ$4,8),LEFT('2.LUC'!$K66,8)=LEFT(AZ$5,8),LEFT('2.LUC'!$K66,8)=LEFT(AZ$6,8),LEFT('2.LUC'!$K66,8)=LEFT(AZ$7,8),LEFT('2.LUC'!$K66,8)=LEFT(AZ$8,8), LEFT('2.LUC'!$K66,8)=LEFT(AZ$9,8),  LEFT('2.LUC'!$K66,8)=LEFT(AZ$10,8), LEFT('2.LUC'!$K66,8)=LEFT(AZ$11,8),   LEFT('2.LUC'!$K66,8)=LEFT(AZ$12,8), LEFT('2.LUC'!$K66,8)=LEFT(AZ$13,8), LEFT('2.LUC'!$K66,8)=LEFT(AZ$14,8), LEFT('2.LUC'!$K66,8)=LEFT(AZ$15,8), LEFT('2.LUC'!$K66,8)=LEFT(AZ$16,8), LEFT('2.LUC'!$K66,8)=LEFT(AZ$17,8))),luc!$C46,0),0)</f>
        <v/>
      </c>
      <c r="CD11" s="1355">
        <f>IF(LEFT('2.LUC'!$I66,8)=LEFT($BY$8,8),IF(LEFT('2.LUC'!$K66,8)=LEFT(CD$5,8), luc!$C46,0),0)</f>
        <v/>
      </c>
      <c r="CE11" s="1354">
        <f>IF(LEFT('2.LUC'!$I66,8)=LEFT($BY$8,8),IF(LEFT('2.LUC'!$K66,8)=LEFT(CE$5,8), luc!$C46,0),0)</f>
        <v/>
      </c>
      <c r="CF11" s="973" t="n"/>
      <c r="CI11" s="973" t="n"/>
      <c r="CJ11" s="1355" t="n"/>
      <c r="CK11" s="1355">
        <f>IF(LEFT('2.LUC'!$I66,8)=LEFT($CJ$8,8),IF(LEFT('2.LUC'!$K66,8)=LEFT(CK$5,8), luc!$C46,0),0)</f>
        <v/>
      </c>
      <c r="CL11" s="1355">
        <f>IF(LEFT('2.LUC'!$I66,8)=LEFT($CJ$8,8),IF(LEFT('2.LUC'!$K66,8)=LEFT(CL$5,8), luc!$C46,0),0)</f>
        <v/>
      </c>
      <c r="CM11" s="1355">
        <f>IF(LEFT('2.LUC'!$I66,8)=LEFT($CJ$8,8),IF(LEFT('2.LUC'!$K66,8)=LEFT(CM$5,8), luc!$C46,0),0)</f>
        <v/>
      </c>
      <c r="CN11" s="1354">
        <f>IF(LEFT('2.LUC'!$I66,8)=LEFT($CJ$8,8),IF((OR(LEFT('2.LUC'!$K66,8)=LEFT(CN$5,8),LEFT('2.LUC'!$K66,8)=LEFT(AZ$3,8),LEFT('2.LUC'!$K66,8)=LEFT(AZ$3,9),LEFT('2.LUC'!$K66,8)=LEFT(AZ$4,9),LEFT('2.LUC'!$K66,8)=LEFT(AZ$5,8),LEFT('2.LUC'!$K66,8)=LEFT(AZ$6,8),LEFT('2.LUC'!$K66,8)=LEFT(AZ$7,8),LEFT('2.LUC'!$K66,8)=LEFT(AZ$8,8), LEFT('2.LUC'!$K66,8)=LEFT(AZ$9,8),  LEFT('2.LUC'!$K66,8)=LEFT(AZ$10,8), LEFT('2.LUC'!$K66,8)=LEFT(AZ$11,8),   LEFT('2.LUC'!$K66,8)=LEFT(AZ$12,8), LEFT('2.LUC'!$K66,8)=LEFT(AZ$13,8), LEFT('2.LUC'!$K66,8)=LEFT(AZ$14,8), LEFT('2.LUC'!$K66,8)=LEFT(AZ$15,8), LEFT('2.LUC'!$K66,8)=LEFT(AZ$16,8), LEFT('2.LUC'!$K66,8)=LEFT(AZ$17,8))),luc!$C46,0),0)</f>
        <v/>
      </c>
      <c r="CO11" s="1104">
        <f>IF(LEFT('2.LUC'!$I66,8)=LEFT($CJ$8,8),IF(LEFT('2.LUC'!$K66,8)=LEFT(CO$5,8), luc!$C46,0),0)</f>
        <v/>
      </c>
      <c r="CP11" s="1354">
        <f>IF(LEFT('2.LUC'!$I66,8)=LEFT($CJ$8,8),IF(LEFT('2.LUC'!$K66,8)=LEFT(CP$5,8), luc!$C46,0),0)</f>
        <v/>
      </c>
      <c r="CQ11" s="973" t="n"/>
      <c r="CT11" s="973" t="n"/>
      <c r="CU11" s="1355" t="n"/>
      <c r="CV11" s="1355">
        <f>IF(LEFT('2.LUC'!$I66,8)=LEFT($CU$8,8),IF(LEFT('2.LUC'!$K66,8)=LEFT(CV$5,8), luc!$C46,0),0)</f>
        <v/>
      </c>
      <c r="CW11" s="1355">
        <f>IF(LEFT('2.LUC'!$I66,8)=LEFT($CU$8,8),IF(LEFT('2.LUC'!$K66,8)=LEFT(CW$5,8), luc!$C46,0),0)</f>
        <v/>
      </c>
      <c r="CX11" s="1355">
        <f>IF(LEFT('2.LUC'!$I66,8)=LEFT($CU$8,8),IF(LEFT('2.LUC'!$K66,8)=LEFT(CX$5,8), luc!$C46,0),0)</f>
        <v/>
      </c>
      <c r="CY11" s="1354">
        <f>IF(LEFT('2.LUC'!$I66,8)=LEFT($CU$8,8),IF((OR(LEFT('2.LUC'!$K66,8)=LEFT(CY$5,8),LEFT('2.LUC'!$K66,8)=LEFT(AZ$3,8),LEFT('2.LUC'!$K66,8)=LEFT(AZ$3,9),LEFT('2.LUC'!$K66,8)=LEFT(AZ$4,9),LEFT('2.LUC'!$K66,8)=LEFT(AZ$5,8),LEFT('2.LUC'!$K66,8)=LEFT(AZ$6,8),LEFT('2.LUC'!$K66,8)=LEFT(AZ$7,8),LEFT('2.LUC'!$K66,8)=LEFT(AZ$8,8), LEFT('2.LUC'!$K66,8)=LEFT(AZ$9,8),  LEFT('2.LUC'!$K66,8)=LEFT(AZ$10,8), LEFT('2.LUC'!$K66,8)=LEFT(AZ$11,8),   LEFT('2.LUC'!$K66,8)=LEFT(AZ$12,8), LEFT('2.LUC'!$K66,8)=LEFT(AZ$13,8), LEFT('2.LUC'!$K66,8)=LEFT(AZ$14,8), LEFT('2.LUC'!$K66,8)=LEFT(AZ$15,8), LEFT('2.LUC'!$K66,8)=LEFT(AZ$16,8), LEFT('2.LUC'!$K66,8)=LEFT(AZ$17,8))),luc!$C46,0),0)</f>
        <v/>
      </c>
      <c r="CZ11" s="1104">
        <f>IF(LEFT('2.LUC'!$I66,8)=LEFT($CU$8,8),IF(LEFT('2.LUC'!$K66,8)=LEFT(CZ$5,8), luc!$C46,0),0)</f>
        <v/>
      </c>
      <c r="DA11" s="1354">
        <f>IF(LEFT('2.LUC'!$I66,8)=LEFT($CU$8,8),IF(LEFT('2.LUC'!$K66,8)=LEFT(DA$5,8), luc!$C46,0),0)</f>
        <v/>
      </c>
      <c r="DB11" s="973" t="n"/>
      <c r="DD11" s="973" t="n"/>
      <c r="DE11" s="973" t="n"/>
      <c r="DF11" s="1355" t="n"/>
      <c r="DG11" s="1355">
        <f>IF(LEFT('2.LUC'!$I66,8)=LEFT($DF$8,8),IF(LEFT('2.LUC'!$K66,8)=LEFT(DG$5,8), luc!$C46,0),0)</f>
        <v/>
      </c>
      <c r="DH11" s="1355">
        <f>IF(LEFT('2.LUC'!$I66,8)=LEFT($DF$8,8),IF(LEFT('2.LUC'!$K66,8)=LEFT(DH$5,8), luc!$C46,0),0)</f>
        <v/>
      </c>
      <c r="DI11" s="1355">
        <f>IF(LEFT('2.LUC'!$I66,8)=LEFT($DF$8,8),IF(LEFT('2.LUC'!$K66,8)=LEFT(DI$5,8), luc!$C46,0),0)</f>
        <v/>
      </c>
      <c r="DJ11" s="1354">
        <f>IF(LEFT('2.LUC'!$I66,8)=LEFT($DF$8,8),IF((OR(LEFT('2.LUC'!$K66,8)=LEFT(DJ$5,8),LEFT('2.LUC'!$K66,8)=LEFT(AZ$3,8),LEFT('2.LUC'!$K66,8)=LEFT(AZ$3,9),LEFT('2.LUC'!$K66,8)=LEFT(AZ$4,9),LEFT('2.LUC'!$K66,8)=LEFT(AZ$5,8),LEFT('2.LUC'!$K66,8)=LEFT(AZ$6,8),LEFT('2.LUC'!$K66,8)=LEFT(AZ$7,8),LEFT('2.LUC'!$K66,8)=LEFT(AZ$8,8), LEFT('2.LUC'!$K66,8)=LEFT(AZ$9,8),  LEFT('2.LUC'!$K66,8)=LEFT(AZ$10,8), LEFT('2.LUC'!$K66,8)=LEFT(AZ$11,8),   LEFT('2.LUC'!$K66,8)=LEFT(AZ$12,8), LEFT('2.LUC'!$K66,8)=LEFT(AZ$13,8), LEFT('2.LUC'!$K66,8)=LEFT(AZ$14,8), LEFT('2.LUC'!$K66,8)=LEFT(AZ$15,8), LEFT('2.LUC'!$K66,8)=LEFT(AZ$16,8), LEFT('2.LUC'!$K66,8)=LEFT(AZ$17,8))),luc!$C46,0),0)</f>
        <v/>
      </c>
      <c r="DK11" s="1104">
        <f>IF(LEFT('2.LUC'!$I66,8)=LEFT($DF$8,8),IF(LEFT('2.LUC'!$K66,8)=LEFT(DK$5,8), luc!$C46,0),0)</f>
        <v/>
      </c>
      <c r="DL11" s="1354">
        <f>IF(LEFT('2.LUC'!$I66,8)=LEFT($DF$8,8),IF(LEFT('2.LUC'!$K66,8)=LEFT(DL$5,8), luc!$C46,0),0)</f>
        <v/>
      </c>
      <c r="DM11" s="973" t="n"/>
    </row>
    <row r="12">
      <c r="F12" s="1368" t="n"/>
      <c r="G12" s="1367" t="inlineStr">
        <is>
          <t>Other land</t>
        </is>
      </c>
      <c r="H12" s="1368" t="inlineStr">
        <is>
          <t>Degraded</t>
        </is>
      </c>
      <c r="I12" s="3139">
        <f>$AJ$14</f>
        <v/>
      </c>
      <c r="J12" s="3138">
        <f>$CV$16</f>
        <v/>
      </c>
      <c r="K12" s="3138">
        <f>$CY$16</f>
        <v/>
      </c>
      <c r="L12" s="3138">
        <f>$CW$16</f>
        <v/>
      </c>
      <c r="M12" s="3138">
        <f>$CX$16</f>
        <v/>
      </c>
      <c r="N12" s="1438">
        <f>MAX(SUM($I$12:$M$12,$O$120),SUM($I$29:$M$29,$O$29))-SUM($I$12:$M$12,$O$12)</f>
        <v/>
      </c>
      <c r="O12" s="3138">
        <f>$DA$16+$CZ$16</f>
        <v/>
      </c>
      <c r="P12" s="3138">
        <f>SUM(I12:O12)</f>
        <v/>
      </c>
      <c r="S12" s="1576" t="n"/>
      <c r="T12" s="1423" t="n"/>
      <c r="U12" s="1420">
        <f>IF('2.LUC'!$I17 = U$5, 1,0)* defo!$G41</f>
        <v/>
      </c>
      <c r="V12" s="1421">
        <f>IF('2.LUC'!$I17 = V$5, 1,0)* defo!$G41</f>
        <v/>
      </c>
      <c r="W12" s="1421">
        <f>IF('2.LUC'!$I17 = W$5, 1,0)* defo!$G41</f>
        <v/>
      </c>
      <c r="X12" s="1421">
        <f>IF('2.LUC'!$I17 = X$5, 1,0)* defo!$G41</f>
        <v/>
      </c>
      <c r="Y12" s="1421">
        <f>IF('2.LUC'!$I17 = Y$5, 1,0)* defo!$G41</f>
        <v/>
      </c>
      <c r="Z12" s="1421">
        <f>IF('2.LUC'!$I17 = Z$5, 1,0)* defo!$G41</f>
        <v/>
      </c>
      <c r="AA12" s="1422">
        <f>IF('2.LUC'!$I17 = AA$5, 1,0)* defo!$G41</f>
        <v/>
      </c>
      <c r="AB12" s="973" t="n"/>
      <c r="AE12" s="1168" t="n"/>
      <c r="AF12" s="1414" t="n"/>
      <c r="AG12" s="1420">
        <f>IF(AG$5='2.LUC'!$I42, '2.LUC'!$N42,0)</f>
        <v/>
      </c>
      <c r="AH12" s="1421">
        <f>IF(AH$5='2.LUC'!$I42, '2.LUC'!$N42, 0)</f>
        <v/>
      </c>
      <c r="AI12" s="1421">
        <f>IF(AI$5= '2.LUC'!$I42, '2.LUC'!$N42, 0)</f>
        <v/>
      </c>
      <c r="AJ12" s="1421">
        <f>IF(AJ$5='2.LUC'!$I42, '2.LUC'!$N42, 0)</f>
        <v/>
      </c>
      <c r="AK12" s="1421">
        <f>IF(AK$5 = '2.LUC'!$I42, '2.LUC'!$N42, 0)</f>
        <v/>
      </c>
      <c r="AL12" s="1421">
        <f>IF(AL$5 = '2.LUC'!$I42, '2.LUC'!$N42, 0)</f>
        <v/>
      </c>
      <c r="AM12" s="1422">
        <f>IF(AM$5='2.LUC'!$I42, '2.LUC'!$N42, 0)</f>
        <v/>
      </c>
      <c r="AN12" s="973" t="n"/>
      <c r="AQ12" s="973" t="n"/>
      <c r="AR12" s="1354" t="n"/>
      <c r="AS12" s="1357">
        <f>IF(LEFT('2.LUC'!$I67,8)=LEFT($AR$8,8),IF(LEFT('2.LUC'!$K67,8)=LEFT(AS$5,8), luc!$C47,0),0)</f>
        <v/>
      </c>
      <c r="AT12" s="1357">
        <f>IF(LEFT('2.LUC'!$I67,8)=LEFT($AR$8,8),IF(LEFT('2.LUC'!$K67,8)=LEFT(AT$5,8), luc!$C47,0),0)</f>
        <v/>
      </c>
      <c r="AU12" s="1354">
        <f>IF(LEFT('2.LUC'!$I67,8)=LEFT($AR$8,8),IF(LEFT('2.LUC'!$K67,8)=LEFT(AU$5,8), luc!$C47,0),0)</f>
        <v/>
      </c>
      <c r="AV12" s="1354">
        <f>IF(LEFT('2.LUC'!$I67,8)=LEFT($AR$8,8),IF(LEFT('2.LUC'!$K67,8)=LEFT(AV$5,8), luc!$C47,0),0)</f>
        <v/>
      </c>
      <c r="AW12" s="1354">
        <f>IF(LEFT('2.LUC'!$I67,8)=LEFT($AR$8,8),IF(LEFT('2.LUC'!$K67,8)=LEFT(AW$5,8), luc!$C47,0),0)</f>
        <v/>
      </c>
      <c r="AX12" s="1354">
        <f>IF(LEFT('2.LUC'!$I67,8)=LEFT($AR$8,8),IF((OR(LEFT('2.LUC'!$K67,8)=LEFT(AX$5,8),LEFT('2.LUC'!$K67,8)=LEFT(AZ$3,8),LEFT('2.LUC'!$K67,8)=LEFT(AZ$3,9),LEFT('2.LUC'!$K67,8)=LEFT(AZ$4,9),LEFT('2.LUC'!$K67,8)=LEFT(AZ$5,8),LEFT('2.LUC'!$K67,8)=LEFT(AZ$6,8),LEFT('2.LUC'!$K67,8)=LEFT(AZ$7,8),LEFT('2.LUC'!$K67,8)=LEFT(AZ$8,8), LEFT('2.LUC'!$K67,8)=LEFT(AZ$9,8),  LEFT('2.LUC'!$K67,8)=LEFT(AZ$10,8), LEFT('2.LUC'!$K67,8)=LEFT(AZ$11,8),   LEFT('2.LUC'!$K67,8)=LEFT(AZ$12,8), LEFT('2.LUC'!$K67,8)=LEFT(AZ$13,8), LEFT('2.LUC'!$K67,8)=LEFT(AZ$14,8), LEFT('2.LUC'!$K67,8)=LEFT(AZ$15,8), LEFT('2.LUC'!$K67,8)=LEFT(AZ$16,8), LEFT('2.LUC'!$K67,8)=LEFT(AZ$17,8))),luc!$C47,0),0)</f>
        <v/>
      </c>
      <c r="AZ12" s="1345" t="inlineStr">
        <is>
          <t>Shaded Perennial</t>
        </is>
      </c>
      <c r="BB12" s="973" t="n"/>
      <c r="BC12" s="1354" t="n"/>
      <c r="BD12" s="1357">
        <f>IF((OR(LEFT('2.LUC'!$I67,8)=LEFT(Matrix!$BC$8,8), LEFT('2.LUC'!$I67,8)=LEFT(Matrix!AZ$3,8), LEFT('2.LUC'!$I67,8)=LEFT(Matrix!AZ$4,8), LEFT('2.LUC'!$I67,8)=LEFT(Matrix!AZ$5,8), LEFT('2.LUC'!$I67,8)=LEFT(Matrix!AZ$6,8), LEFT('2.LUC'!$I67,8)=LEFT(Matrix!AZ$7,8),  LEFT('2.LUC'!$I67,8)=LEFT(Matrix!AZ$8,8), LEFT('2.LUC'!$I67,8)=LEFT(Matrix!AZ$9,8), LEFT('2.LUC'!$I67,8)=LEFT(Matrix!AZ$10,8), LEFT('2.LUC'!$I67,8)=LEFT(Matrix!AZ$11,8), LEFT('2.LUC'!$I67,8)=LEFT(Matrix!AZ$12,8), LEFT('2.LUC'!$I67,8)=LEFT(Matrix!AZ$13,8), LEFT('2.LUC'!$I67,8)=LEFT(Matrix!AZ$14,8), LEFT('2.LUC'!$I67,8)=LEFT(Matrix!AZ$15,8), LEFT('2.LUC'!$I67,8)=LEFT(Matrix!AZ$16,8), LEFT('2.LUC'!$I67,8)=LEFT(Matrix!AZ$17,8))), IF(LEFT('2.LUC'!$K67,8)=LEFT(Matrix!BD$5,8), luc!$C47, 0),0)</f>
        <v/>
      </c>
      <c r="BE12" s="1354">
        <f>IF((OR(LEFT('2.LUC'!$I67,8)=LEFT(Matrix!$BC$8,8), LEFT('2.LUC'!$I67,8)=LEFT(Matrix!AZ$3,8), LEFT('2.LUC'!$I67,8)=LEFT(Matrix!AZ$4,8), LEFT('2.LUC'!$I67,8)=LEFT(Matrix!AZ$5,8), LEFT('2.LUC'!$I67,8)=LEFT(Matrix!AZ$6,8), LEFT('2.LUC'!$I67,8)=LEFT(Matrix!AZ$7,8),  LEFT('2.LUC'!$I67,8)=LEFT(Matrix!AZ$8,8), LEFT('2.LUC'!$I67,8)=LEFT(Matrix!AZ$9,8), LEFT('2.LUC'!$I67,8)=LEFT(Matrix!AZ$10,8), LEFT('2.LUC'!$I67,8)=LEFT(Matrix!AZ$11,8), LEFT('2.LUC'!$I67,8)=LEFT(Matrix!AZ$12,8), LEFT('2.LUC'!$I67,8)=LEFT(Matrix!AZ$13,8), LEFT('2.LUC'!$I67,8)=LEFT(Matrix!AZ$14,8), LEFT('2.LUC'!$I67,8)=LEFT(Matrix!AZ$15,8), LEFT('2.LUC'!$I67,8)=LEFT(Matrix!AZ$16,8), LEFT('2.LUC'!$I67,8)=LEFT(Matrix!AZ$17,8))), IF(LEFT('2.LUC'!$K67,8)=LEFT(Matrix!BE$5,8), luc!$C47, 0),0)</f>
        <v/>
      </c>
      <c r="BF12" s="1354">
        <f>IF((OR(LEFT('2.LUC'!$I67,8)=LEFT(Matrix!$BC$8,8), LEFT('2.LUC'!$I67,8)=LEFT(Matrix!AZ$3,8), LEFT('2.LUC'!$I67,8)=LEFT(Matrix!AZ$4,8), LEFT('2.LUC'!$I67,8)=LEFT(Matrix!AZ$5,8), LEFT('2.LUC'!$I67,8)=LEFT(Matrix!AZ$6,8), LEFT('2.LUC'!$I67,8)=LEFT(Matrix!AZ$7,8),  LEFT('2.LUC'!$I67,8)=LEFT(Matrix!AZ$8,8), LEFT('2.LUC'!$I67,8)=LEFT(Matrix!AZ$9,8), LEFT('2.LUC'!$I67,8)=LEFT(Matrix!AZ$10,8), LEFT('2.LUC'!$I67,8)=LEFT(Matrix!AZ$11,8), LEFT('2.LUC'!$I67,8)=LEFT(Matrix!AZ$12,8), LEFT('2.LUC'!$I67,8)=LEFT(Matrix!AZ$13,8), LEFT('2.LUC'!$I67,8)=LEFT(Matrix!AZ$14,8), LEFT('2.LUC'!$I67,8)=LEFT(Matrix!AZ$15,8), LEFT('2.LUC'!$I67,8)=LEFT(Matrix!AZ$16,8), LEFT('2.LUC'!$I67,8)=LEFT(Matrix!AZ$17,8))), IF(LEFT('2.LUC'!$K67,8)=LEFT(Matrix!BF$5,8), luc!$C47, 0),0)</f>
        <v/>
      </c>
      <c r="BG12" s="1354">
        <f>IF((OR(LEFT('2.LUC'!$I67,8)=LEFT(Matrix!$BC$8,8), LEFT('2.LUC'!$I67,8)=LEFT(Matrix!AZ$3,8), LEFT('2.LUC'!$I67,8)=LEFT(Matrix!AZ$4,8), LEFT('2.LUC'!$I67,8)=LEFT(Matrix!AZ$5,8), LEFT('2.LUC'!$I67,8)=LEFT(Matrix!AZ$6,8), LEFT('2.LUC'!$I67,8)=LEFT(Matrix!AZ$7,8),  LEFT('2.LUC'!$I67,8)=LEFT(Matrix!AZ$8,8), LEFT('2.LUC'!$I67,8)=LEFT(Matrix!AZ$9,8), LEFT('2.LUC'!$I67,8)=LEFT(Matrix!AZ$10,8), LEFT('2.LUC'!$I67,8)=LEFT(Matrix!AZ$11,8), LEFT('2.LUC'!$I67,8)=LEFT(Matrix!AZ$12,8), LEFT('2.LUC'!$I67,8)=LEFT(Matrix!AZ$13,8), LEFT('2.LUC'!$I67,8)=LEFT(Matrix!AZ$14,8), LEFT('2.LUC'!$I67,8)=LEFT(Matrix!AZ$15,8), LEFT('2.LUC'!$I67,8)=LEFT(Matrix!AZ$16,8), LEFT('2.LUC'!$I67,8)=LEFT(Matrix!AZ$17,8))), IF(LEFT('2.LUC'!$K67,8)=LEFT(Matrix!BG$5,8), luc!$C47, 0),0)</f>
        <v/>
      </c>
      <c r="BH12" s="1354">
        <f>IF((OR(LEFT('2.LUC'!$I67,8)=LEFT(Matrix!$BC$8,8), LEFT('2.LUC'!$I67,8)=LEFT(Matrix!AZ$3,8), LEFT('2.LUC'!$I67,8)=LEFT(Matrix!AZ$4,8), LEFT('2.LUC'!$I67,8)=LEFT(Matrix!AZ$5,8), LEFT('2.LUC'!$I67,8)=LEFT(Matrix!AZ$6,8), LEFT('2.LUC'!$I67,8)=LEFT(Matrix!AZ$7,8),  LEFT('2.LUC'!$I67,8)=LEFT(Matrix!AZ$8,8), LEFT('2.LUC'!$I67,8)=LEFT(Matrix!AZ$9,8), LEFT('2.LUC'!$I67,8)=LEFT(Matrix!AZ$10,8), LEFT('2.LUC'!$I67,8)=LEFT(Matrix!AZ$11,8), LEFT('2.LUC'!$I67,8)=LEFT(Matrix!AZ$12,8), LEFT('2.LUC'!$I67,8)=LEFT(Matrix!AZ$13,8), LEFT('2.LUC'!$I67,8)=LEFT(Matrix!AZ$14,8), LEFT('2.LUC'!$I67,8)=LEFT(Matrix!AZ$15,8), LEFT('2.LUC'!$I67,8)=LEFT(Matrix!AZ$16,8), LEFT('2.LUC'!$I67,8)=LEFT(Matrix!AZ$17,8))), IF(LEFT('2.LUC'!$K67,8)=LEFT(Matrix!BH$5,8), luc!$C47, 0),0)</f>
        <v/>
      </c>
      <c r="BI12" s="1357">
        <f>IF((OR(LEFT('2.LUC'!$I67,8)=LEFT(Matrix!$BC$8,8), LEFT('2.LUC'!$I67,8)=LEFT(Matrix!AZ$3,8), LEFT('2.LUC'!$I67,8)=LEFT(Matrix!AZ$4,8), LEFT('2.LUC'!$I67,8)=LEFT(Matrix!AZ$5,8), LEFT('2.LUC'!$I67,8)=LEFT(Matrix!AZ$6,8), LEFT('2.LUC'!$I67,8)=LEFT(Matrix!AZ$7,8),  LEFT('2.LUC'!$I67,8)=LEFT(Matrix!AZ$8,8), LEFT('2.LUC'!$I67,8)=LEFT(Matrix!AZ$9,8), LEFT('2.LUC'!$I67,8)=LEFT(Matrix!AZ$10,8), LEFT('2.LUC'!$I67,8)=LEFT(Matrix!AZ$11,8), LEFT('2.LUC'!$I67,8)=LEFT(Matrix!AZ$12,8), LEFT('2.LUC'!$I67,8)=LEFT(Matrix!AZ$13,8), LEFT('2.LUC'!$I67,8)=LEFT(Matrix!AZ$14,8), LEFT('2.LUC'!$I67,8)=LEFT(Matrix!AZ$15,8), LEFT('2.LUC'!$I67,8)=LEFT(Matrix!AZ$16,8), LEFT('2.LUC'!$I67,8)=LEFT(Matrix!AZ$17,8))), IF(LEFT('2.LUC'!$K67,8)=LEFT(Matrix!BI$5,8), luc!$C47, 0),0)</f>
        <v/>
      </c>
      <c r="BJ12" s="973" t="n"/>
      <c r="BM12" s="973" t="n"/>
      <c r="BN12" s="1355" t="n"/>
      <c r="BO12" s="1354">
        <f>IF(LEFT('2.LUC'!$I67,8)=LEFT($BN$8,8),IF(LEFT('2.LUC'!$K67,8)=LEFT(BO$5,8), luc!$C47,0),0)</f>
        <v/>
      </c>
      <c r="BP12" s="1354">
        <f>IF(LEFT('2.LUC'!$I67,8)=LEFT($BN$8,8),IF(LEFT('2.LUC'!$K67,8)=LEFT(BP$5,8), luc!$C47,0),0)</f>
        <v/>
      </c>
      <c r="BQ12" s="1354">
        <f>IF(LEFT('2.LUC'!$I67,8)=LEFT($BN$8,8),IF(LEFT('2.LUC'!$K67,8)=LEFT(BQ$5,8), luc!$C47,0),0)</f>
        <v/>
      </c>
      <c r="BR12" s="1354">
        <f>IF(LEFT('2.LUC'!$I67,8)=LEFT($BN$8,8),IF((OR(LEFT('2.LUC'!$K67,8)=LEFT(BR$5,8),LEFT('2.LUC'!$K67,8)=LEFT(AZ$3,8),LEFT('2.LUC'!$K67,8)=LEFT(AZ$4,9),LEFT('2.LUC'!$K67,8)=LEFT(AZ$5,8),LEFT('2.LUC'!$K67,8)=LEFT(AZ$6,8),LEFT('2.LUC'!$K67,8)=LEFT(AZ$7,8),LEFT('2.LUC'!$K67,8)=LEFT(AZ$8,8), LEFT('2.LUC'!$K67,8)=LEFT(AZ$9,8),  LEFT('2.LUC'!$K67,8)=LEFT(AZ$10,8), LEFT('2.LUC'!$K67,8)=LEFT(AZ$11,8),   LEFT('2.LUC'!$K67,8)=LEFT(AZ$12,8), LEFT('2.LUC'!$K67,8)=LEFT(AZ$13,8), LEFT('2.LUC'!$K67,8)=LEFT(AZ$14,8), LEFT('2.LUC'!$K67,8)=LEFT(AZ$15,8), LEFT('2.LUC'!$K67,8)=LEFT(AZ$16,8), LEFT('2.LUC'!$K67,8)=LEFT(AZ$17,8))),luc!$C47,0),0)</f>
        <v/>
      </c>
      <c r="BS12" s="1354">
        <f>IF(LEFT('2.LUC'!$I67,8)=LEFT($BN$8,8),IF(LEFT('2.LUC'!$K67,8)=LEFT(BS$5,8), luc!$C47,0),0)</f>
        <v/>
      </c>
      <c r="BT12" s="1357">
        <f>IF(LEFT('2.LUC'!$I67,8)=LEFT($BN$8,8),IF(LEFT('2.LUC'!$K67,8)=LEFT(BT$5,8), luc!$C47,0),0)</f>
        <v/>
      </c>
      <c r="BU12" s="973" t="n"/>
      <c r="BX12" s="973" t="n"/>
      <c r="BY12" s="1355" t="n"/>
      <c r="BZ12" s="1355">
        <f>IF(LEFT('2.LUC'!$I67,8)=LEFT($BY$8,8),IF(LEFT('2.LUC'!$K67,8)=LEFT(BZ$5,8), luc!$C47,0),0)</f>
        <v/>
      </c>
      <c r="CA12" s="1355">
        <f>IF(LEFT('2.LUC'!$I67,8)=LEFT($BY$8,8),IF(LEFT('2.LUC'!$K67,8)=LEFT(CA$5,8), luc!$C47,0),0)</f>
        <v/>
      </c>
      <c r="CB12" s="1355">
        <f>IF(LEFT('2.LUC'!$I67,8)=LEFT($BY$8,8),IF(LEFT('2.LUC'!$K67,8)=LEFT(CB$5,8), luc!$C47,0),0)</f>
        <v/>
      </c>
      <c r="CC12" s="1355">
        <f>IF(LEFT('2.LUC'!$I67,8)=LEFT($BY$8,8),IF((OR(LEFT('2.LUC'!$K67,8)=LEFT(CC$5,8),LEFT('2.LUC'!$K67,8)=LEFT(AZ$3,8), LEFT('2.LUC'!$K67,8)=LEFT(AZ$4,8),LEFT('2.LUC'!$K67,8)=LEFT(AZ$5,8),LEFT('2.LUC'!$K67,8)=LEFT(AZ$6,8),LEFT('2.LUC'!$K67,8)=LEFT(AZ$7,8),LEFT('2.LUC'!$K67,8)=LEFT(AZ$8,8), LEFT('2.LUC'!$K67,8)=LEFT(AZ$9,8),  LEFT('2.LUC'!$K67,8)=LEFT(AZ$10,8), LEFT('2.LUC'!$K67,8)=LEFT(AZ$11,8),   LEFT('2.LUC'!$K67,8)=LEFT(AZ$12,8), LEFT('2.LUC'!$K67,8)=LEFT(AZ$13,8), LEFT('2.LUC'!$K67,8)=LEFT(AZ$14,8), LEFT('2.LUC'!$K67,8)=LEFT(AZ$15,8), LEFT('2.LUC'!$K67,8)=LEFT(AZ$16,8), LEFT('2.LUC'!$K67,8)=LEFT(AZ$17,8))),luc!$C47,0),0)</f>
        <v/>
      </c>
      <c r="CD12" s="1355">
        <f>IF(LEFT('2.LUC'!$I67,8)=LEFT($BY$8,8),IF(LEFT('2.LUC'!$K67,8)=LEFT(CD$5,8), luc!$C47,0),0)</f>
        <v/>
      </c>
      <c r="CE12" s="1354">
        <f>IF(LEFT('2.LUC'!$I67,8)=LEFT($BY$8,8),IF(LEFT('2.LUC'!$K67,8)=LEFT(CE$5,8), luc!$C47,0),0)</f>
        <v/>
      </c>
      <c r="CF12" s="973" t="n"/>
      <c r="CI12" s="973" t="n"/>
      <c r="CJ12" s="1355" t="n"/>
      <c r="CK12" s="1355">
        <f>IF(LEFT('2.LUC'!$I67,8)=LEFT($CJ$8,8),IF(LEFT('2.LUC'!$K67,8)=LEFT(CK$5,8), luc!$C47,0),0)</f>
        <v/>
      </c>
      <c r="CL12" s="1355">
        <f>IF(LEFT('2.LUC'!$I67,8)=LEFT($CJ$8,8),IF(LEFT('2.LUC'!$K67,8)=LEFT(CL$5,8), luc!$C47,0),0)</f>
        <v/>
      </c>
      <c r="CM12" s="1355">
        <f>IF(LEFT('2.LUC'!$I67,8)=LEFT($CJ$8,8),IF(LEFT('2.LUC'!$K67,8)=LEFT(CM$5,8), luc!$C47,0),0)</f>
        <v/>
      </c>
      <c r="CN12" s="1354">
        <f>IF(LEFT('2.LUC'!$I67,8)=LEFT($CJ$8,8),IF((OR(LEFT('2.LUC'!$K67,8)=LEFT(CN$5,8),LEFT('2.LUC'!$K67,8)=LEFT(AZ$3,8),LEFT('2.LUC'!$K67,8)=LEFT(AZ$3,9),LEFT('2.LUC'!$K67,8)=LEFT(AZ$4,9),LEFT('2.LUC'!$K67,8)=LEFT(AZ$5,8),LEFT('2.LUC'!$K67,8)=LEFT(AZ$6,8),LEFT('2.LUC'!$K67,8)=LEFT(AZ$7,8),LEFT('2.LUC'!$K67,8)=LEFT(AZ$8,8), LEFT('2.LUC'!$K67,8)=LEFT(AZ$9,8),  LEFT('2.LUC'!$K67,8)=LEFT(AZ$10,8), LEFT('2.LUC'!$K67,8)=LEFT(AZ$11,8),   LEFT('2.LUC'!$K67,8)=LEFT(AZ$12,8), LEFT('2.LUC'!$K67,8)=LEFT(AZ$13,8), LEFT('2.LUC'!$K67,8)=LEFT(AZ$14,8), LEFT('2.LUC'!$K67,8)=LEFT(AZ$15,8), LEFT('2.LUC'!$K67,8)=LEFT(AZ$16,8), LEFT('2.LUC'!$K67,8)=LEFT(AZ$17,8))),luc!$C47,0),0)</f>
        <v/>
      </c>
      <c r="CO12" s="1104">
        <f>IF(LEFT('2.LUC'!$I67,8)=LEFT($CJ$8,8),IF(LEFT('2.LUC'!$K67,8)=LEFT(CO$5,8), luc!$C47,0),0)</f>
        <v/>
      </c>
      <c r="CP12" s="1354">
        <f>IF(LEFT('2.LUC'!$I67,8)=LEFT($CJ$8,8),IF(LEFT('2.LUC'!$K67,8)=LEFT(CP$5,8), luc!$C47,0),0)</f>
        <v/>
      </c>
      <c r="CQ12" s="973" t="n"/>
      <c r="CT12" s="973" t="n"/>
      <c r="CU12" s="1355" t="n"/>
      <c r="CV12" s="1355">
        <f>IF(LEFT('2.LUC'!$I67,8)=LEFT($CU$8,8),IF(LEFT('2.LUC'!$K67,8)=LEFT(CV$5,8), luc!$C47,0),0)</f>
        <v/>
      </c>
      <c r="CW12" s="1355">
        <f>IF(LEFT('2.LUC'!$I67,8)=LEFT($CU$8,8),IF(LEFT('2.LUC'!$K67,8)=LEFT(CW$5,8), luc!$C47,0),0)</f>
        <v/>
      </c>
      <c r="CX12" s="1355">
        <f>IF(LEFT('2.LUC'!$I67,8)=LEFT($CU$8,8),IF(LEFT('2.LUC'!$K67,8)=LEFT(CX$5,8), luc!$C47,0),0)</f>
        <v/>
      </c>
      <c r="CY12" s="1354">
        <f>IF(LEFT('2.LUC'!$I67,8)=LEFT($CU$8,8),IF((OR(LEFT('2.LUC'!$K67,8)=LEFT(CY$5,8),LEFT('2.LUC'!$K67,8)=LEFT(AZ$3,8),LEFT('2.LUC'!$K67,8)=LEFT(AZ$3,9),LEFT('2.LUC'!$K67,8)=LEFT(AZ$4,9),LEFT('2.LUC'!$K67,8)=LEFT(AZ$5,8),LEFT('2.LUC'!$K67,8)=LEFT(AZ$6,8),LEFT('2.LUC'!$K67,8)=LEFT(AZ$7,8),LEFT('2.LUC'!$K67,8)=LEFT(AZ$8,8), LEFT('2.LUC'!$K67,8)=LEFT(AZ$9,8),  LEFT('2.LUC'!$K67,8)=LEFT(AZ$10,8), LEFT('2.LUC'!$K67,8)=LEFT(AZ$11,8),   LEFT('2.LUC'!$K67,8)=LEFT(AZ$12,8), LEFT('2.LUC'!$K67,8)=LEFT(AZ$13,8), LEFT('2.LUC'!$K67,8)=LEFT(AZ$14,8), LEFT('2.LUC'!$K67,8)=LEFT(AZ$15,8), LEFT('2.LUC'!$K67,8)=LEFT(AZ$16,8), LEFT('2.LUC'!$K67,8)=LEFT(AZ$17,8))),luc!$C47,0),0)</f>
        <v/>
      </c>
      <c r="CZ12" s="1104">
        <f>IF(LEFT('2.LUC'!$I67,8)=LEFT($CU$8,8),IF(LEFT('2.LUC'!$K67,8)=LEFT(CZ$5,8), luc!$C47,0),0)</f>
        <v/>
      </c>
      <c r="DA12" s="1354">
        <f>IF(LEFT('2.LUC'!$I67,8)=LEFT($CU$8,8),IF(LEFT('2.LUC'!$K67,8)=LEFT(DA$5,8), luc!$C47,0),0)</f>
        <v/>
      </c>
      <c r="DB12" s="973" t="n"/>
      <c r="DD12" s="973" t="n"/>
      <c r="DE12" s="973" t="n"/>
      <c r="DF12" s="1355" t="n"/>
      <c r="DG12" s="1355">
        <f>IF(LEFT('2.LUC'!$I67,8)=LEFT($DF$8,8),IF(LEFT('2.LUC'!$K67,8)=LEFT(DG$5,8), luc!$C47,0),0)</f>
        <v/>
      </c>
      <c r="DH12" s="1355">
        <f>IF(LEFT('2.LUC'!$I67,8)=LEFT($DF$8,8),IF(LEFT('2.LUC'!$K67,8)=LEFT(DH$5,8), luc!$C47,0),0)</f>
        <v/>
      </c>
      <c r="DI12" s="1355">
        <f>IF(LEFT('2.LUC'!$I67,8)=LEFT($DF$8,8),IF(LEFT('2.LUC'!$K67,8)=LEFT(DI$5,8), luc!$C47,0),0)</f>
        <v/>
      </c>
      <c r="DJ12" s="1354">
        <f>IF(LEFT('2.LUC'!$I67,8)=LEFT($DF$8,8),IF((OR(LEFT('2.LUC'!$K67,8)=LEFT(DJ$5,8),LEFT('2.LUC'!$K67,8)=LEFT(AZ$3,8),LEFT('2.LUC'!$K67,8)=LEFT(AZ$3,9),LEFT('2.LUC'!$K67,8)=LEFT(AZ$4,9),LEFT('2.LUC'!$K67,8)=LEFT(AZ$5,8),LEFT('2.LUC'!$K67,8)=LEFT(AZ$6,8),LEFT('2.LUC'!$K67,8)=LEFT(AZ$7,8),LEFT('2.LUC'!$K67,8)=LEFT(AZ$8,8), LEFT('2.LUC'!$K67,8)=LEFT(AZ$9,8),  LEFT('2.LUC'!$K67,8)=LEFT(AZ$10,8), LEFT('2.LUC'!$K67,8)=LEFT(AZ$11,8),   LEFT('2.LUC'!$K67,8)=LEFT(AZ$12,8), LEFT('2.LUC'!$K67,8)=LEFT(AZ$13,8), LEFT('2.LUC'!$K67,8)=LEFT(AZ$14,8), LEFT('2.LUC'!$K67,8)=LEFT(AZ$15,8), LEFT('2.LUC'!$K67,8)=LEFT(AZ$16,8), LEFT('2.LUC'!$K67,8)=LEFT(AZ$17,8))),luc!$C47,0),0)</f>
        <v/>
      </c>
      <c r="DK12" s="1104">
        <f>IF(LEFT('2.LUC'!$I67,8)=LEFT($DF$8,8),IF(LEFT('2.LUC'!$K67,8)=LEFT(DK$5,8), luc!$C47,0),0)</f>
        <v/>
      </c>
      <c r="DL12" s="1354">
        <f>IF(LEFT('2.LUC'!$I67,8)=LEFT($DF$8,8),IF(LEFT('2.LUC'!$K67,8)=LEFT(DL$5,8), luc!$C47,0),0)</f>
        <v/>
      </c>
      <c r="DM12" s="973" t="n"/>
    </row>
    <row r="13">
      <c r="D13" s="973" t="n"/>
      <c r="F13" s="1368" t="n"/>
      <c r="G13" s="1371" t="n"/>
      <c r="H13" s="1370" t="inlineStr">
        <is>
          <t>Other land (non-vegetated)</t>
        </is>
      </c>
      <c r="I13" s="3139">
        <f>$AM$14+$AI$14</f>
        <v/>
      </c>
      <c r="J13" s="3138">
        <f>$DG$16+$BZ$16</f>
        <v/>
      </c>
      <c r="K13" s="3138">
        <f>$DJ$16+$CC$16</f>
        <v/>
      </c>
      <c r="L13" s="3138">
        <f>$DH$16+$CA$16</f>
        <v/>
      </c>
      <c r="M13" s="3138">
        <f>$DI$16+$CD$16</f>
        <v/>
      </c>
      <c r="N13" s="3138">
        <f>$DL$16+$CB$16</f>
        <v/>
      </c>
      <c r="O13" s="1438">
        <f>MAX(SUM($I$13:$N$13),SUM($I$30:$N$30))-SUM($I$13:$N$13)+MAX('Inl. wetlands'!$C$513,'Inl. wetlands'!D513,'Inl. wetlands'!F513)+MAX(SUM(Coastal!$D$115:$D$120),SUM(Coastal!$E$115:$E$120),SUM(Coastal!$G$115:$G$120))+MAX(CE16+DK16,CE34+DK34)+SUM(MAX(Coastal!E17:E22,Coastal!F17:F22,Coastal!E41:E46,Coastal!F41:F46,Coastal!E51:E56,Coastal!F51:F56),MAX(Coastal!D79:D84,Coastal!E79:E84,Coastal!D89:D94,Coastal!D100:D105,Coastal!E100:E105))</f>
        <v/>
      </c>
      <c r="P13" s="3138">
        <f>SUM(I13:O13)</f>
        <v/>
      </c>
      <c r="S13" s="1576" t="n"/>
      <c r="T13" s="1709" t="n"/>
      <c r="U13" s="1420">
        <f>IF('2.LUC'!$I18 = U$5, 1,0)* defo!$G42</f>
        <v/>
      </c>
      <c r="V13" s="1421">
        <f>IF('2.LUC'!$I18 = V$5, 1,0)* defo!$G42</f>
        <v/>
      </c>
      <c r="W13" s="1421">
        <f>IF('2.LUC'!$I18 = W$5, 1,0)* defo!$G42</f>
        <v/>
      </c>
      <c r="X13" s="1421">
        <f>IF('2.LUC'!$I18 = X$5, 1,0)* defo!$G42</f>
        <v/>
      </c>
      <c r="Y13" s="1421">
        <f>IF('2.LUC'!$I18 = Y$5, 1,0)* defo!$G42</f>
        <v/>
      </c>
      <c r="Z13" s="1421">
        <f>IF('2.LUC'!$I18 = Z$5, 1,0)* defo!$G42</f>
        <v/>
      </c>
      <c r="AA13" s="1422">
        <f>IF('2.LUC'!$I18 = AA$5, 1,0)* defo!$G42</f>
        <v/>
      </c>
      <c r="AB13" s="973" t="n"/>
      <c r="AE13" s="1168" t="n"/>
      <c r="AF13" s="1414" t="n"/>
      <c r="AG13" s="1420">
        <f>IF(AG$5='2.LUC'!$I43, '2.LUC'!$N43,0)</f>
        <v/>
      </c>
      <c r="AH13" s="1421">
        <f>IF(AH$5='2.LUC'!$I43, '2.LUC'!$N43, 0)</f>
        <v/>
      </c>
      <c r="AI13" s="1421">
        <f>IF(AI$5= '2.LUC'!$I43, '2.LUC'!$N43, 0)</f>
        <v/>
      </c>
      <c r="AJ13" s="1421">
        <f>IF(AJ$5='2.LUC'!$I43, '2.LUC'!$N43, 0)</f>
        <v/>
      </c>
      <c r="AK13" s="1421">
        <f>IF(AK$5 = '2.LUC'!$I43, '2.LUC'!$N43, 0)</f>
        <v/>
      </c>
      <c r="AL13" s="1421">
        <f>IF(AL$5 = '2.LUC'!$I43, '2.LUC'!$N43, 0)</f>
        <v/>
      </c>
      <c r="AM13" s="1422">
        <f>IF(AM$5='2.LUC'!$I43, '2.LUC'!$N43, 0)</f>
        <v/>
      </c>
      <c r="AN13" s="973" t="n"/>
      <c r="AQ13" s="973" t="n"/>
      <c r="AR13" s="1354" t="n"/>
      <c r="AS13" s="1357">
        <f>IF(LEFT('2.LUC'!$I68,8)=LEFT($AR$8,8),IF(LEFT('2.LUC'!$K68,8)=LEFT(AS$5,8), luc!$C48,0),0)</f>
        <v/>
      </c>
      <c r="AT13" s="1357">
        <f>IF(LEFT('2.LUC'!$I68,8)=LEFT($AR$8,8),IF(LEFT('2.LUC'!$K68,8)=LEFT(AT$5,8), luc!$C48,0),0)</f>
        <v/>
      </c>
      <c r="AU13" s="1354">
        <f>IF(LEFT('2.LUC'!$I68,8)=LEFT($AR$8,8),IF(LEFT('2.LUC'!$K68,8)=LEFT(AU$5,8), luc!$C48,0),0)</f>
        <v/>
      </c>
      <c r="AV13" s="1354">
        <f>IF(LEFT('2.LUC'!$I68,8)=LEFT($AR$8,8),IF(LEFT('2.LUC'!$K68,8)=LEFT(AV$5,8), luc!$C48,0),0)</f>
        <v/>
      </c>
      <c r="AW13" s="1354">
        <f>IF(LEFT('2.LUC'!$I68,8)=LEFT($AR$8,8),IF(LEFT('2.LUC'!$K68,8)=LEFT(AW$5,8), luc!$C48,0),0)</f>
        <v/>
      </c>
      <c r="AX13" s="1354">
        <f>IF(LEFT('2.LUC'!$I68,8)=LEFT($AR$8,8),IF((OR(LEFT('2.LUC'!$K68,8)=LEFT(AX$5,8),LEFT('2.LUC'!$K68,8)=LEFT(AZ$3,8),LEFT('2.LUC'!$K68,8)=LEFT(AZ$3,9),LEFT('2.LUC'!$K68,8)=LEFT(AZ$4,9),LEFT('2.LUC'!$K68,8)=LEFT(AZ$5,8),LEFT('2.LUC'!$K68,8)=LEFT(AZ$6,8),LEFT('2.LUC'!$K68,8)=LEFT(AZ$7,8),LEFT('2.LUC'!$K68,8)=LEFT(AZ$8,8), LEFT('2.LUC'!$K68,8)=LEFT(AZ$9,8),  LEFT('2.LUC'!$K68,8)=LEFT(AZ$10,8), LEFT('2.LUC'!$K68,8)=LEFT(AZ$11,8),   LEFT('2.LUC'!$K68,8)=LEFT(AZ$12,8), LEFT('2.LUC'!$K68,8)=LEFT(AZ$13,8), LEFT('2.LUC'!$K68,8)=LEFT(AZ$14,8), LEFT('2.LUC'!$K68,8)=LEFT(AZ$15,8), LEFT('2.LUC'!$K68,8)=LEFT(AZ$16,8), LEFT('2.LUC'!$K68,8)=LEFT(AZ$17,8))),luc!$C48,0),0)</f>
        <v/>
      </c>
      <c r="AZ13" s="1345" t="inlineStr">
        <is>
          <t>Short Rotation Coppice</t>
        </is>
      </c>
      <c r="BB13" s="973" t="n"/>
      <c r="BC13" s="1354" t="n"/>
      <c r="BD13" s="1357">
        <f>IF((OR(LEFT('2.LUC'!$I68,8)=LEFT(Matrix!$BC$8,8), LEFT('2.LUC'!$I68,8)=LEFT(Matrix!AZ$3,8), LEFT('2.LUC'!$I68,8)=LEFT(Matrix!AZ$4,8), LEFT('2.LUC'!$I68,8)=LEFT(Matrix!AZ$5,8), LEFT('2.LUC'!$I68,8)=LEFT(Matrix!AZ$6,8), LEFT('2.LUC'!$I68,8)=LEFT(Matrix!AZ$7,8),  LEFT('2.LUC'!$I68,8)=LEFT(Matrix!AZ$8,8), LEFT('2.LUC'!$I68,8)=LEFT(Matrix!AZ$9,8), LEFT('2.LUC'!$I68,8)=LEFT(Matrix!AZ$10,8), LEFT('2.LUC'!$I68,8)=LEFT(Matrix!AZ$11,8), LEFT('2.LUC'!$I68,8)=LEFT(Matrix!AZ$12,8), LEFT('2.LUC'!$I68,8)=LEFT(Matrix!AZ$13,8), LEFT('2.LUC'!$I68,8)=LEFT(Matrix!AZ$14,8), LEFT('2.LUC'!$I68,8)=LEFT(Matrix!AZ$15,8), LEFT('2.LUC'!$I68,8)=LEFT(Matrix!AZ$16,8), LEFT('2.LUC'!$I68,8)=LEFT(Matrix!AZ$17,8))), IF(LEFT('2.LUC'!$K68,8)=LEFT(Matrix!BD$5,8), luc!$C48, 0),0)</f>
        <v/>
      </c>
      <c r="BE13" s="1354">
        <f>IF((OR(LEFT('2.LUC'!$I68,8)=LEFT(Matrix!$BC$8,8), LEFT('2.LUC'!$I68,8)=LEFT(Matrix!AZ$3,8), LEFT('2.LUC'!$I68,8)=LEFT(Matrix!AZ$4,8), LEFT('2.LUC'!$I68,8)=LEFT(Matrix!AZ$5,8), LEFT('2.LUC'!$I68,8)=LEFT(Matrix!AZ$6,8), LEFT('2.LUC'!$I68,8)=LEFT(Matrix!AZ$7,8),  LEFT('2.LUC'!$I68,8)=LEFT(Matrix!AZ$8,8), LEFT('2.LUC'!$I68,8)=LEFT(Matrix!AZ$9,8), LEFT('2.LUC'!$I68,8)=LEFT(Matrix!AZ$10,8), LEFT('2.LUC'!$I68,8)=LEFT(Matrix!AZ$11,8), LEFT('2.LUC'!$I68,8)=LEFT(Matrix!AZ$12,8), LEFT('2.LUC'!$I68,8)=LEFT(Matrix!AZ$13,8), LEFT('2.LUC'!$I68,8)=LEFT(Matrix!AZ$14,8), LEFT('2.LUC'!$I68,8)=LEFT(Matrix!AZ$15,8), LEFT('2.LUC'!$I68,8)=LEFT(Matrix!AZ$16,8), LEFT('2.LUC'!$I68,8)=LEFT(Matrix!AZ$17,8))), IF(LEFT('2.LUC'!$K68,8)=LEFT(Matrix!BE$5,8), luc!$C48, 0),0)</f>
        <v/>
      </c>
      <c r="BF13" s="1354">
        <f>IF((OR(LEFT('2.LUC'!$I68,8)=LEFT(Matrix!$BC$8,8), LEFT('2.LUC'!$I68,8)=LEFT(Matrix!AZ$3,8), LEFT('2.LUC'!$I68,8)=LEFT(Matrix!AZ$4,8), LEFT('2.LUC'!$I68,8)=LEFT(Matrix!AZ$5,8), LEFT('2.LUC'!$I68,8)=LEFT(Matrix!AZ$6,8), LEFT('2.LUC'!$I68,8)=LEFT(Matrix!AZ$7,8),  LEFT('2.LUC'!$I68,8)=LEFT(Matrix!AZ$8,8), LEFT('2.LUC'!$I68,8)=LEFT(Matrix!AZ$9,8), LEFT('2.LUC'!$I68,8)=LEFT(Matrix!AZ$10,8), LEFT('2.LUC'!$I68,8)=LEFT(Matrix!AZ$11,8), LEFT('2.LUC'!$I68,8)=LEFT(Matrix!AZ$12,8), LEFT('2.LUC'!$I68,8)=LEFT(Matrix!AZ$13,8), LEFT('2.LUC'!$I68,8)=LEFT(Matrix!AZ$14,8), LEFT('2.LUC'!$I68,8)=LEFT(Matrix!AZ$15,8), LEFT('2.LUC'!$I68,8)=LEFT(Matrix!AZ$16,8), LEFT('2.LUC'!$I68,8)=LEFT(Matrix!AZ$17,8))), IF(LEFT('2.LUC'!$K68,8)=LEFT(Matrix!BF$5,8), luc!$C48, 0),0)</f>
        <v/>
      </c>
      <c r="BG13" s="1354">
        <f>IF((OR(LEFT('2.LUC'!$I68,8)=LEFT(Matrix!$BC$8,8), LEFT('2.LUC'!$I68,8)=LEFT(Matrix!AZ$3,8), LEFT('2.LUC'!$I68,8)=LEFT(Matrix!AZ$4,8), LEFT('2.LUC'!$I68,8)=LEFT(Matrix!AZ$5,8), LEFT('2.LUC'!$I68,8)=LEFT(Matrix!AZ$6,8), LEFT('2.LUC'!$I68,8)=LEFT(Matrix!AZ$7,8),  LEFT('2.LUC'!$I68,8)=LEFT(Matrix!AZ$8,8), LEFT('2.LUC'!$I68,8)=LEFT(Matrix!AZ$9,8), LEFT('2.LUC'!$I68,8)=LEFT(Matrix!AZ$10,8), LEFT('2.LUC'!$I68,8)=LEFT(Matrix!AZ$11,8), LEFT('2.LUC'!$I68,8)=LEFT(Matrix!AZ$12,8), LEFT('2.LUC'!$I68,8)=LEFT(Matrix!AZ$13,8), LEFT('2.LUC'!$I68,8)=LEFT(Matrix!AZ$14,8), LEFT('2.LUC'!$I68,8)=LEFT(Matrix!AZ$15,8), LEFT('2.LUC'!$I68,8)=LEFT(Matrix!AZ$16,8), LEFT('2.LUC'!$I68,8)=LEFT(Matrix!AZ$17,8))), IF(LEFT('2.LUC'!$K68,8)=LEFT(Matrix!BG$5,8), luc!$C48, 0),0)</f>
        <v/>
      </c>
      <c r="BH13" s="1354">
        <f>IF((OR(LEFT('2.LUC'!$I68,8)=LEFT(Matrix!$BC$8,8), LEFT('2.LUC'!$I68,8)=LEFT(Matrix!AZ$3,8), LEFT('2.LUC'!$I68,8)=LEFT(Matrix!AZ$4,8), LEFT('2.LUC'!$I68,8)=LEFT(Matrix!AZ$5,8), LEFT('2.LUC'!$I68,8)=LEFT(Matrix!AZ$6,8), LEFT('2.LUC'!$I68,8)=LEFT(Matrix!AZ$7,8),  LEFT('2.LUC'!$I68,8)=LEFT(Matrix!AZ$8,8), LEFT('2.LUC'!$I68,8)=LEFT(Matrix!AZ$9,8), LEFT('2.LUC'!$I68,8)=LEFT(Matrix!AZ$10,8), LEFT('2.LUC'!$I68,8)=LEFT(Matrix!AZ$11,8), LEFT('2.LUC'!$I68,8)=LEFT(Matrix!AZ$12,8), LEFT('2.LUC'!$I68,8)=LEFT(Matrix!AZ$13,8), LEFT('2.LUC'!$I68,8)=LEFT(Matrix!AZ$14,8), LEFT('2.LUC'!$I68,8)=LEFT(Matrix!AZ$15,8), LEFT('2.LUC'!$I68,8)=LEFT(Matrix!AZ$16,8), LEFT('2.LUC'!$I68,8)=LEFT(Matrix!AZ$17,8))), IF(LEFT('2.LUC'!$K68,8)=LEFT(Matrix!BH$5,8), luc!$C48, 0),0)</f>
        <v/>
      </c>
      <c r="BI13" s="1357">
        <f>IF((OR(LEFT('2.LUC'!$I68,8)=LEFT(Matrix!$BC$8,8), LEFT('2.LUC'!$I68,8)=LEFT(Matrix!AZ$3,8), LEFT('2.LUC'!$I68,8)=LEFT(Matrix!AZ$4,8), LEFT('2.LUC'!$I68,8)=LEFT(Matrix!AZ$5,8), LEFT('2.LUC'!$I68,8)=LEFT(Matrix!AZ$6,8), LEFT('2.LUC'!$I68,8)=LEFT(Matrix!AZ$7,8),  LEFT('2.LUC'!$I68,8)=LEFT(Matrix!AZ$8,8), LEFT('2.LUC'!$I68,8)=LEFT(Matrix!AZ$9,8), LEFT('2.LUC'!$I68,8)=LEFT(Matrix!AZ$10,8), LEFT('2.LUC'!$I68,8)=LEFT(Matrix!AZ$11,8), LEFT('2.LUC'!$I68,8)=LEFT(Matrix!AZ$12,8), LEFT('2.LUC'!$I68,8)=LEFT(Matrix!AZ$13,8), LEFT('2.LUC'!$I68,8)=LEFT(Matrix!AZ$14,8), LEFT('2.LUC'!$I68,8)=LEFT(Matrix!AZ$15,8), LEFT('2.LUC'!$I68,8)=LEFT(Matrix!AZ$16,8), LEFT('2.LUC'!$I68,8)=LEFT(Matrix!AZ$17,8))), IF(LEFT('2.LUC'!$K68,8)=LEFT(Matrix!BI$5,8), luc!$C48, 0),0)</f>
        <v/>
      </c>
      <c r="BJ13" s="973" t="n"/>
      <c r="BM13" s="973" t="n"/>
      <c r="BN13" s="1355" t="n"/>
      <c r="BO13" s="1354">
        <f>IF(LEFT('2.LUC'!$I68,8)=LEFT($BN$8,8),IF(LEFT('2.LUC'!$K68,8)=LEFT(BO$5,8), luc!$C48,0),0)</f>
        <v/>
      </c>
      <c r="BP13" s="1354">
        <f>IF(LEFT('2.LUC'!$I68,8)=LEFT($BN$8,8),IF(LEFT('2.LUC'!$K68,8)=LEFT(BP$5,8), luc!$C48,0),0)</f>
        <v/>
      </c>
      <c r="BQ13" s="1354">
        <f>IF(LEFT('2.LUC'!$I68,8)=LEFT($BN$8,8),IF(LEFT('2.LUC'!$K68,8)=LEFT(BQ$5,8), luc!$C48,0),0)</f>
        <v/>
      </c>
      <c r="BR13" s="1354">
        <f>IF(LEFT('2.LUC'!$I68,8)=LEFT($BN$8,8),IF((OR(LEFT('2.LUC'!$K68,8)=LEFT(BR$5,8),LEFT('2.LUC'!$K68,8)=LEFT(AZ$3,8),LEFT('2.LUC'!$K68,8)=LEFT(AZ$4,9),LEFT('2.LUC'!$K68,8)=LEFT(AZ$5,8),LEFT('2.LUC'!$K68,8)=LEFT(AZ$6,8),LEFT('2.LUC'!$K68,8)=LEFT(AZ$7,8),LEFT('2.LUC'!$K68,8)=LEFT(AZ$8,8), LEFT('2.LUC'!$K68,8)=LEFT(AZ$9,8),  LEFT('2.LUC'!$K68,8)=LEFT(AZ$10,8), LEFT('2.LUC'!$K68,8)=LEFT(AZ$11,8),   LEFT('2.LUC'!$K68,8)=LEFT(AZ$12,8), LEFT('2.LUC'!$K68,8)=LEFT(AZ$13,8), LEFT('2.LUC'!$K68,8)=LEFT(AZ$14,8), LEFT('2.LUC'!$K68,8)=LEFT(AZ$15,8), LEFT('2.LUC'!$K68,8)=LEFT(AZ$16,8), LEFT('2.LUC'!$K68,8)=LEFT(AZ$17,8))),luc!$C48,0),0)</f>
        <v/>
      </c>
      <c r="BS13" s="1354">
        <f>IF(LEFT('2.LUC'!$I68,8)=LEFT($BN$8,8),IF(LEFT('2.LUC'!$K68,8)=LEFT(BS$5,8), luc!$C48,0),0)</f>
        <v/>
      </c>
      <c r="BT13" s="1357">
        <f>IF(LEFT('2.LUC'!$I68,8)=LEFT($BN$8,8),IF(LEFT('2.LUC'!$K68,8)=LEFT(BT$5,8), luc!$C48,0),0)</f>
        <v/>
      </c>
      <c r="BU13" s="973" t="n"/>
      <c r="BX13" s="973" t="n"/>
      <c r="BY13" s="1355" t="n"/>
      <c r="BZ13" s="1355">
        <f>IF(LEFT('2.LUC'!$I68,8)=LEFT($BY$8,8),IF(LEFT('2.LUC'!$K68,8)=LEFT(BZ$5,8), luc!$C48,0),0)</f>
        <v/>
      </c>
      <c r="CA13" s="1355">
        <f>IF(LEFT('2.LUC'!$I68,8)=LEFT($BY$8,8),IF(LEFT('2.LUC'!$K68,8)=LEFT(CA$5,8), luc!$C48,0),0)</f>
        <v/>
      </c>
      <c r="CB13" s="1355">
        <f>IF(LEFT('2.LUC'!$I68,8)=LEFT($BY$8,8),IF(LEFT('2.LUC'!$K68,8)=LEFT(CB$5,8), luc!$C48,0),0)</f>
        <v/>
      </c>
      <c r="CC13" s="1355">
        <f>IF(LEFT('2.LUC'!$I68,8)=LEFT($BY$8,8),IF((OR(LEFT('2.LUC'!$K68,8)=LEFT(CC$5,8),LEFT('2.LUC'!$K68,8)=LEFT(AZ$3,8), LEFT('2.LUC'!$K68,8)=LEFT(AZ$4,8),LEFT('2.LUC'!$K68,8)=LEFT(AZ$5,8),LEFT('2.LUC'!$K68,8)=LEFT(AZ$6,8),LEFT('2.LUC'!$K68,8)=LEFT(AZ$7,8),LEFT('2.LUC'!$K68,8)=LEFT(AZ$8,8), LEFT('2.LUC'!$K68,8)=LEFT(AZ$9,8),  LEFT('2.LUC'!$K68,8)=LEFT(AZ$10,8), LEFT('2.LUC'!$K68,8)=LEFT(AZ$11,8),   LEFT('2.LUC'!$K68,8)=LEFT(AZ$12,8), LEFT('2.LUC'!$K68,8)=LEFT(AZ$13,8), LEFT('2.LUC'!$K68,8)=LEFT(AZ$14,8), LEFT('2.LUC'!$K68,8)=LEFT(AZ$15,8), LEFT('2.LUC'!$K68,8)=LEFT(AZ$16,8), LEFT('2.LUC'!$K68,8)=LEFT(AZ$17,8))),luc!$C48,0),0)</f>
        <v/>
      </c>
      <c r="CD13" s="1355">
        <f>IF(LEFT('2.LUC'!$I68,8)=LEFT($BY$8,8),IF(LEFT('2.LUC'!$K68,8)=LEFT(CD$5,8), luc!$C48,0),0)</f>
        <v/>
      </c>
      <c r="CE13" s="1354">
        <f>IF(LEFT('2.LUC'!$I68,8)=LEFT($BY$8,8),IF(LEFT('2.LUC'!$K68,8)=LEFT(CE$5,8), luc!$C48,0),0)</f>
        <v/>
      </c>
      <c r="CF13" s="973" t="n"/>
      <c r="CI13" s="973" t="n"/>
      <c r="CJ13" s="1355" t="n"/>
      <c r="CK13" s="1355">
        <f>IF(LEFT('2.LUC'!$I68,8)=LEFT($CJ$8,8),IF(LEFT('2.LUC'!$K68,8)=LEFT(CK$5,8), luc!$C48,0),0)</f>
        <v/>
      </c>
      <c r="CL13" s="1355">
        <f>IF(LEFT('2.LUC'!$I68,8)=LEFT($CJ$8,8),IF(LEFT('2.LUC'!$K68,8)=LEFT(CL$5,8), luc!$C48,0),0)</f>
        <v/>
      </c>
      <c r="CM13" s="1355">
        <f>IF(LEFT('2.LUC'!$I68,8)=LEFT($CJ$8,8),IF(LEFT('2.LUC'!$K68,8)=LEFT(CM$5,8), luc!$C48,0),0)</f>
        <v/>
      </c>
      <c r="CN13" s="1354">
        <f>IF(LEFT('2.LUC'!$I68,8)=LEFT($CJ$8,8),IF((OR(LEFT('2.LUC'!$K68,8)=LEFT(CN$5,8),LEFT('2.LUC'!$K68,8)=LEFT(AZ$3,8),LEFT('2.LUC'!$K68,8)=LEFT(AZ$3,9),LEFT('2.LUC'!$K68,8)=LEFT(AZ$4,9),LEFT('2.LUC'!$K68,8)=LEFT(AZ$5,8),LEFT('2.LUC'!$K68,8)=LEFT(AZ$6,8),LEFT('2.LUC'!$K68,8)=LEFT(AZ$7,8),LEFT('2.LUC'!$K68,8)=LEFT(AZ$8,8), LEFT('2.LUC'!$K68,8)=LEFT(AZ$9,8),  LEFT('2.LUC'!$K68,8)=LEFT(AZ$10,8), LEFT('2.LUC'!$K68,8)=LEFT(AZ$11,8),   LEFT('2.LUC'!$K68,8)=LEFT(AZ$12,8), LEFT('2.LUC'!$K68,8)=LEFT(AZ$13,8), LEFT('2.LUC'!$K68,8)=LEFT(AZ$14,8), LEFT('2.LUC'!$K68,8)=LEFT(AZ$15,8), LEFT('2.LUC'!$K68,8)=LEFT(AZ$16,8), LEFT('2.LUC'!$K68,8)=LEFT(AZ$17,8))),luc!$C48,0),0)</f>
        <v/>
      </c>
      <c r="CO13" s="1104">
        <f>IF(LEFT('2.LUC'!$I68,8)=LEFT($CJ$8,8),IF(LEFT('2.LUC'!$K68,8)=LEFT(CO$5,8), luc!$C48,0),0)</f>
        <v/>
      </c>
      <c r="CP13" s="1354">
        <f>IF(LEFT('2.LUC'!$I68,8)=LEFT($CJ$8,8),IF(LEFT('2.LUC'!$K68,8)=LEFT(CP$5,8), luc!$C48,0),0)</f>
        <v/>
      </c>
      <c r="CQ13" s="973" t="n"/>
      <c r="CT13" s="973" t="n"/>
      <c r="CU13" s="1355" t="n"/>
      <c r="CV13" s="1355">
        <f>IF(LEFT('2.LUC'!$I68,8)=LEFT($CU$8,8),IF(LEFT('2.LUC'!$K68,8)=LEFT(CV$5,8), luc!$C48,0),0)</f>
        <v/>
      </c>
      <c r="CW13" s="1355">
        <f>IF(LEFT('2.LUC'!$I68,8)=LEFT($CU$8,8),IF(LEFT('2.LUC'!$K68,8)=LEFT(CW$5,8), luc!$C48,0),0)</f>
        <v/>
      </c>
      <c r="CX13" s="1355">
        <f>IF(LEFT('2.LUC'!$I68,8)=LEFT($CU$8,8),IF(LEFT('2.LUC'!$K68,8)=LEFT(CX$5,8), luc!$C48,0),0)</f>
        <v/>
      </c>
      <c r="CY13" s="1354">
        <f>IF(LEFT('2.LUC'!$I68,8)=LEFT($CU$8,8),IF((OR(LEFT('2.LUC'!$K68,8)=LEFT(CY$5,8),LEFT('2.LUC'!$K68,8)=LEFT(AZ$3,8),LEFT('2.LUC'!$K68,8)=LEFT(AZ$3,9),LEFT('2.LUC'!$K68,8)=LEFT(AZ$4,9),LEFT('2.LUC'!$K68,8)=LEFT(AZ$5,8),LEFT('2.LUC'!$K68,8)=LEFT(AZ$6,8),LEFT('2.LUC'!$K68,8)=LEFT(AZ$7,8),LEFT('2.LUC'!$K68,8)=LEFT(AZ$8,8), LEFT('2.LUC'!$K68,8)=LEFT(AZ$9,8),  LEFT('2.LUC'!$K68,8)=LEFT(AZ$10,8), LEFT('2.LUC'!$K68,8)=LEFT(AZ$11,8),   LEFT('2.LUC'!$K68,8)=LEFT(AZ$12,8), LEFT('2.LUC'!$K68,8)=LEFT(AZ$13,8), LEFT('2.LUC'!$K68,8)=LEFT(AZ$14,8), LEFT('2.LUC'!$K68,8)=LEFT(AZ$15,8), LEFT('2.LUC'!$K68,8)=LEFT(AZ$16,8), LEFT('2.LUC'!$K68,8)=LEFT(AZ$17,8))),luc!$C48,0),0)</f>
        <v/>
      </c>
      <c r="CZ13" s="1104">
        <f>IF(LEFT('2.LUC'!$I68,8)=LEFT($CU$8,8),IF(LEFT('2.LUC'!$K68,8)=LEFT(CZ$5,8), luc!$C48,0),0)</f>
        <v/>
      </c>
      <c r="DA13" s="1354">
        <f>IF(LEFT('2.LUC'!$I68,8)=LEFT($CU$8,8),IF(LEFT('2.LUC'!$K68,8)=LEFT(DA$5,8), luc!$C48,0),0)</f>
        <v/>
      </c>
      <c r="DB13" s="973" t="n"/>
      <c r="DD13" s="973" t="n"/>
      <c r="DE13" s="973" t="n"/>
      <c r="DF13" s="1355" t="n"/>
      <c r="DG13" s="1355">
        <f>IF(LEFT('2.LUC'!$I68,8)=LEFT($DF$8,8),IF(LEFT('2.LUC'!$K68,8)=LEFT(DG$5,8), luc!$C48,0),0)</f>
        <v/>
      </c>
      <c r="DH13" s="1355">
        <f>IF(LEFT('2.LUC'!$I68,8)=LEFT($DF$8,8),IF(LEFT('2.LUC'!$K68,8)=LEFT(DH$5,8), luc!$C48,0),0)</f>
        <v/>
      </c>
      <c r="DI13" s="1355">
        <f>IF(LEFT('2.LUC'!$I68,8)=LEFT($DF$8,8),IF(LEFT('2.LUC'!$K68,8)=LEFT(DI$5,8), luc!$C48,0),0)</f>
        <v/>
      </c>
      <c r="DJ13" s="1354">
        <f>IF(LEFT('2.LUC'!$I68,8)=LEFT($DF$8,8),IF((OR(LEFT('2.LUC'!$K68,8)=LEFT(DJ$5,8),LEFT('2.LUC'!$K68,8)=LEFT(AZ$3,8),LEFT('2.LUC'!$K68,8)=LEFT(AZ$3,9),LEFT('2.LUC'!$K68,8)=LEFT(AZ$4,9),LEFT('2.LUC'!$K68,8)=LEFT(AZ$5,8),LEFT('2.LUC'!$K68,8)=LEFT(AZ$6,8),LEFT('2.LUC'!$K68,8)=LEFT(AZ$7,8),LEFT('2.LUC'!$K68,8)=LEFT(AZ$8,8), LEFT('2.LUC'!$K68,8)=LEFT(AZ$9,8),  LEFT('2.LUC'!$K68,8)=LEFT(AZ$10,8), LEFT('2.LUC'!$K68,8)=LEFT(AZ$11,8),   LEFT('2.LUC'!$K68,8)=LEFT(AZ$12,8), LEFT('2.LUC'!$K68,8)=LEFT(AZ$13,8), LEFT('2.LUC'!$K68,8)=LEFT(AZ$14,8), LEFT('2.LUC'!$K68,8)=LEFT(AZ$15,8), LEFT('2.LUC'!$K68,8)=LEFT(AZ$16,8), LEFT('2.LUC'!$K68,8)=LEFT(AZ$17,8))),luc!$C48,0),0)</f>
        <v/>
      </c>
      <c r="DK13" s="1104">
        <f>IF(LEFT('2.LUC'!$I68,8)=LEFT($DF$8,8),IF(LEFT('2.LUC'!$K68,8)=LEFT(DK$5,8), luc!$C48,0),0)</f>
        <v/>
      </c>
      <c r="DL13" s="1354">
        <f>IF(LEFT('2.LUC'!$I68,8)=LEFT($DF$8,8),IF(LEFT('2.LUC'!$K68,8)=LEFT(DL$5,8), luc!$C48,0),0)</f>
        <v/>
      </c>
      <c r="DM13" s="973" t="n"/>
    </row>
    <row r="14">
      <c r="D14" s="973" t="n"/>
      <c r="F14" s="1370" t="n"/>
      <c r="G14" s="1372" t="inlineStr">
        <is>
          <t>Total area w/out project (ha)</t>
        </is>
      </c>
      <c r="H14" s="1373" t="n"/>
      <c r="I14" s="3140">
        <f>SUM(I7:I13)</f>
        <v/>
      </c>
      <c r="J14" s="3140">
        <f>SUM(J7:J13)</f>
        <v/>
      </c>
      <c r="K14" s="3140">
        <f>SUM(K7:K13)</f>
        <v/>
      </c>
      <c r="L14" s="3140">
        <f>SUM(L7:L13)</f>
        <v/>
      </c>
      <c r="M14" s="3140">
        <f>SUM(M7:M13)</f>
        <v/>
      </c>
      <c r="N14" s="3140">
        <f>SUM(N7:N13)</f>
        <v/>
      </c>
      <c r="O14" s="3140">
        <f>SUM(O7:O13)</f>
        <v/>
      </c>
      <c r="P14" s="3138">
        <f>SUM(I14:O14)</f>
        <v/>
      </c>
      <c r="S14" s="973" t="n"/>
      <c r="T14" s="1374" t="inlineStr">
        <is>
          <t xml:space="preserve">Total </t>
        </is>
      </c>
      <c r="U14" s="1374">
        <f>SUM(U6:U13)</f>
        <v/>
      </c>
      <c r="V14" s="1374">
        <f>SUM(V6:V13)</f>
        <v/>
      </c>
      <c r="W14" s="1374">
        <f>SUM(W6:W13)</f>
        <v/>
      </c>
      <c r="X14" s="1374">
        <f>SUM(X6:X13)</f>
        <v/>
      </c>
      <c r="Y14" s="1374">
        <f>SUM(Y6:Y13)</f>
        <v/>
      </c>
      <c r="Z14" s="1374">
        <f>SUM(Z6:Z13)</f>
        <v/>
      </c>
      <c r="AA14" s="1374">
        <f>SUM(AA6:AA13)</f>
        <v/>
      </c>
      <c r="AB14" s="973" t="n"/>
      <c r="AE14" s="973" t="n"/>
      <c r="AF14" s="1374" t="inlineStr">
        <is>
          <t xml:space="preserve">Total </t>
        </is>
      </c>
      <c r="AG14" s="1759">
        <f>SUM(AG6:AG13)</f>
        <v/>
      </c>
      <c r="AH14" s="1759">
        <f>SUM(AH6:AH13)</f>
        <v/>
      </c>
      <c r="AI14" s="1759">
        <f>SUM(AI6:AI13)</f>
        <v/>
      </c>
      <c r="AJ14" s="1759">
        <f>SUM(AJ6:AJ13)</f>
        <v/>
      </c>
      <c r="AK14" s="1759">
        <f>SUM(AK6:AK13)</f>
        <v/>
      </c>
      <c r="AL14" s="1759">
        <f>SUM(AL6:AL13)</f>
        <v/>
      </c>
      <c r="AM14" s="1759">
        <f>SUM(AM6:AM13)</f>
        <v/>
      </c>
      <c r="AN14" s="973" t="n"/>
      <c r="AQ14" s="973" t="n"/>
      <c r="AR14" s="1362" t="n"/>
      <c r="AS14" s="1357">
        <f>IF(LEFT('2.LUC'!$I69,8)=LEFT($AR$8,8),IF(LEFT('2.LUC'!$K69,8)=LEFT(AS$5,8), luc!$C49,0),0)</f>
        <v/>
      </c>
      <c r="AT14" s="1357">
        <f>IF(LEFT('2.LUC'!$I69,8)=LEFT($AR$8,8),IF(LEFT('2.LUC'!$K69,8)=LEFT(AT$5,8), luc!$C49,0),0)</f>
        <v/>
      </c>
      <c r="AU14" s="1354">
        <f>IF(LEFT('2.LUC'!$I69,8)=LEFT($AR$8,8),IF(LEFT('2.LUC'!$K69,8)=LEFT(AU$5,8), luc!$C49,0),0)</f>
        <v/>
      </c>
      <c r="AV14" s="1354">
        <f>IF(LEFT('2.LUC'!$I69,8)=LEFT($AR$8,8),IF(LEFT('2.LUC'!$K69,8)=LEFT(AV$5,8), luc!$C49,0),0)</f>
        <v/>
      </c>
      <c r="AW14" s="1354">
        <f>IF(LEFT('2.LUC'!$I69,8)=LEFT($AR$8,8),IF(LEFT('2.LUC'!$K69,8)=LEFT(AW$5,8), luc!$C49,0),0)</f>
        <v/>
      </c>
      <c r="AX14" s="1354">
        <f>IF(LEFT('2.LUC'!$I69,8)=LEFT($AR$8,8),IF((OR(LEFT('2.LUC'!$K69,8)=LEFT(AX$5,8),LEFT('2.LUC'!$K69,8)=LEFT(AZ$3,8),LEFT('2.LUC'!$K69,8)=LEFT(AZ$3,9),LEFT('2.LUC'!$K69,8)=LEFT(AZ$4,9),LEFT('2.LUC'!$K69,8)=LEFT(AZ$5,8),LEFT('2.LUC'!$K69,8)=LEFT(AZ$6,8),LEFT('2.LUC'!$K69,8)=LEFT(AZ$7,8),LEFT('2.LUC'!$K69,8)=LEFT(AZ$8,8), LEFT('2.LUC'!$K69,8)=LEFT(AZ$9,8),  LEFT('2.LUC'!$K69,8)=LEFT(AZ$10,8), LEFT('2.LUC'!$K69,8)=LEFT(AZ$11,8),   LEFT('2.LUC'!$K69,8)=LEFT(AZ$12,8), LEFT('2.LUC'!$K69,8)=LEFT(AZ$13,8), LEFT('2.LUC'!$K69,8)=LEFT(AZ$14,8), LEFT('2.LUC'!$K69,8)=LEFT(AZ$15,8), LEFT('2.LUC'!$K69,8)=LEFT(AZ$16,8), LEFT('2.LUC'!$K69,8)=LEFT(AZ$17,8))),luc!$C49,0),0)</f>
        <v/>
      </c>
      <c r="AZ14" s="1345" t="inlineStr">
        <is>
          <t>Silvoarable</t>
        </is>
      </c>
      <c r="BB14" s="973" t="n"/>
      <c r="BC14" s="1362" t="n"/>
      <c r="BD14" s="1357">
        <f>IF((OR(LEFT('2.LUC'!$I69,8)=LEFT(Matrix!$BC$8,8), LEFT('2.LUC'!$I69,8)=LEFT(Matrix!AZ$3,8), LEFT('2.LUC'!$I69,8)=LEFT(Matrix!AZ$4,8), LEFT('2.LUC'!$I69,8)=LEFT(Matrix!AZ$5,8), LEFT('2.LUC'!$I69,8)=LEFT(Matrix!AZ$6,8), LEFT('2.LUC'!$I69,8)=LEFT(Matrix!AZ$7,8),  LEFT('2.LUC'!$I69,8)=LEFT(Matrix!AZ$8,8), LEFT('2.LUC'!$I69,8)=LEFT(Matrix!AZ$9,8), LEFT('2.LUC'!$I69,8)=LEFT(Matrix!AZ$10,8), LEFT('2.LUC'!$I69,8)=LEFT(Matrix!AZ$11,8), LEFT('2.LUC'!$I69,8)=LEFT(Matrix!AZ$12,8), LEFT('2.LUC'!$I69,8)=LEFT(Matrix!AZ$13,8), LEFT('2.LUC'!$I69,8)=LEFT(Matrix!AZ$14,8), LEFT('2.LUC'!$I69,8)=LEFT(Matrix!AZ$15,8), LEFT('2.LUC'!$I69,8)=LEFT(Matrix!AZ$16,8), LEFT('2.LUC'!$I69,8)=LEFT(Matrix!AZ$17,8))), IF(LEFT('2.LUC'!$K69,8)=LEFT(Matrix!BD$5,8), luc!$C49, 0),0)</f>
        <v/>
      </c>
      <c r="BE14" s="1354">
        <f>IF((OR(LEFT('2.LUC'!$I69,8)=LEFT(Matrix!$BC$8,8), LEFT('2.LUC'!$I69,8)=LEFT(Matrix!AZ$3,8), LEFT('2.LUC'!$I69,8)=LEFT(Matrix!AZ$4,8), LEFT('2.LUC'!$I69,8)=LEFT(Matrix!AZ$5,8), LEFT('2.LUC'!$I69,8)=LEFT(Matrix!AZ$6,8), LEFT('2.LUC'!$I69,8)=LEFT(Matrix!AZ$7,8),  LEFT('2.LUC'!$I69,8)=LEFT(Matrix!AZ$8,8), LEFT('2.LUC'!$I69,8)=LEFT(Matrix!AZ$9,8), LEFT('2.LUC'!$I69,8)=LEFT(Matrix!AZ$10,8), LEFT('2.LUC'!$I69,8)=LEFT(Matrix!AZ$11,8), LEFT('2.LUC'!$I69,8)=LEFT(Matrix!AZ$12,8), LEFT('2.LUC'!$I69,8)=LEFT(Matrix!AZ$13,8), LEFT('2.LUC'!$I69,8)=LEFT(Matrix!AZ$14,8), LEFT('2.LUC'!$I69,8)=LEFT(Matrix!AZ$15,8), LEFT('2.LUC'!$I69,8)=LEFT(Matrix!AZ$16,8), LEFT('2.LUC'!$I69,8)=LEFT(Matrix!AZ$17,8))), IF(LEFT('2.LUC'!$K69,8)=LEFT(Matrix!BE$5,8), luc!$C49, 0),0)</f>
        <v/>
      </c>
      <c r="BF14" s="1354">
        <f>IF((OR(LEFT('2.LUC'!$I69,8)=LEFT(Matrix!$BC$8,8), LEFT('2.LUC'!$I69,8)=LEFT(Matrix!AZ$3,8), LEFT('2.LUC'!$I69,8)=LEFT(Matrix!AZ$4,8), LEFT('2.LUC'!$I69,8)=LEFT(Matrix!AZ$5,8), LEFT('2.LUC'!$I69,8)=LEFT(Matrix!AZ$6,8), LEFT('2.LUC'!$I69,8)=LEFT(Matrix!AZ$7,8),  LEFT('2.LUC'!$I69,8)=LEFT(Matrix!AZ$8,8), LEFT('2.LUC'!$I69,8)=LEFT(Matrix!AZ$9,8), LEFT('2.LUC'!$I69,8)=LEFT(Matrix!AZ$10,8), LEFT('2.LUC'!$I69,8)=LEFT(Matrix!AZ$11,8), LEFT('2.LUC'!$I69,8)=LEFT(Matrix!AZ$12,8), LEFT('2.LUC'!$I69,8)=LEFT(Matrix!AZ$13,8), LEFT('2.LUC'!$I69,8)=LEFT(Matrix!AZ$14,8), LEFT('2.LUC'!$I69,8)=LEFT(Matrix!AZ$15,8), LEFT('2.LUC'!$I69,8)=LEFT(Matrix!AZ$16,8), LEFT('2.LUC'!$I69,8)=LEFT(Matrix!AZ$17,8))), IF(LEFT('2.LUC'!$K69,8)=LEFT(Matrix!BF$5,8), luc!$C49, 0),0)</f>
        <v/>
      </c>
      <c r="BG14" s="1354">
        <f>IF((OR(LEFT('2.LUC'!$I69,8)=LEFT(Matrix!$BC$8,8), LEFT('2.LUC'!$I69,8)=LEFT(Matrix!AZ$3,8), LEFT('2.LUC'!$I69,8)=LEFT(Matrix!AZ$4,8), LEFT('2.LUC'!$I69,8)=LEFT(Matrix!AZ$5,8), LEFT('2.LUC'!$I69,8)=LEFT(Matrix!AZ$6,8), LEFT('2.LUC'!$I69,8)=LEFT(Matrix!AZ$7,8),  LEFT('2.LUC'!$I69,8)=LEFT(Matrix!AZ$8,8), LEFT('2.LUC'!$I69,8)=LEFT(Matrix!AZ$9,8), LEFT('2.LUC'!$I69,8)=LEFT(Matrix!AZ$10,8), LEFT('2.LUC'!$I69,8)=LEFT(Matrix!AZ$11,8), LEFT('2.LUC'!$I69,8)=LEFT(Matrix!AZ$12,8), LEFT('2.LUC'!$I69,8)=LEFT(Matrix!AZ$13,8), LEFT('2.LUC'!$I69,8)=LEFT(Matrix!AZ$14,8), LEFT('2.LUC'!$I69,8)=LEFT(Matrix!AZ$15,8), LEFT('2.LUC'!$I69,8)=LEFT(Matrix!AZ$16,8), LEFT('2.LUC'!$I69,8)=LEFT(Matrix!AZ$17,8))), IF(LEFT('2.LUC'!$K69,8)=LEFT(Matrix!BG$5,8), luc!$C49, 0),0)</f>
        <v/>
      </c>
      <c r="BH14" s="1354">
        <f>IF((OR(LEFT('2.LUC'!$I69,8)=LEFT(Matrix!$BC$8,8), LEFT('2.LUC'!$I69,8)=LEFT(Matrix!AZ$3,8), LEFT('2.LUC'!$I69,8)=LEFT(Matrix!AZ$4,8), LEFT('2.LUC'!$I69,8)=LEFT(Matrix!AZ$5,8), LEFT('2.LUC'!$I69,8)=LEFT(Matrix!AZ$6,8), LEFT('2.LUC'!$I69,8)=LEFT(Matrix!AZ$7,8),  LEFT('2.LUC'!$I69,8)=LEFT(Matrix!AZ$8,8), LEFT('2.LUC'!$I69,8)=LEFT(Matrix!AZ$9,8), LEFT('2.LUC'!$I69,8)=LEFT(Matrix!AZ$10,8), LEFT('2.LUC'!$I69,8)=LEFT(Matrix!AZ$11,8), LEFT('2.LUC'!$I69,8)=LEFT(Matrix!AZ$12,8), LEFT('2.LUC'!$I69,8)=LEFT(Matrix!AZ$13,8), LEFT('2.LUC'!$I69,8)=LEFT(Matrix!AZ$14,8), LEFT('2.LUC'!$I69,8)=LEFT(Matrix!AZ$15,8), LEFT('2.LUC'!$I69,8)=LEFT(Matrix!AZ$16,8), LEFT('2.LUC'!$I69,8)=LEFT(Matrix!AZ$17,8))), IF(LEFT('2.LUC'!$K69,8)=LEFT(Matrix!BH$5,8), luc!$C49, 0),0)</f>
        <v/>
      </c>
      <c r="BI14" s="1357">
        <f>IF((OR(LEFT('2.LUC'!$I69,8)=LEFT(Matrix!$BC$8,8), LEFT('2.LUC'!$I69,8)=LEFT(Matrix!AZ$3,8), LEFT('2.LUC'!$I69,8)=LEFT(Matrix!AZ$4,8), LEFT('2.LUC'!$I69,8)=LEFT(Matrix!AZ$5,8), LEFT('2.LUC'!$I69,8)=LEFT(Matrix!AZ$6,8), LEFT('2.LUC'!$I69,8)=LEFT(Matrix!AZ$7,8),  LEFT('2.LUC'!$I69,8)=LEFT(Matrix!AZ$8,8), LEFT('2.LUC'!$I69,8)=LEFT(Matrix!AZ$9,8), LEFT('2.LUC'!$I69,8)=LEFT(Matrix!AZ$10,8), LEFT('2.LUC'!$I69,8)=LEFT(Matrix!AZ$11,8), LEFT('2.LUC'!$I69,8)=LEFT(Matrix!AZ$12,8), LEFT('2.LUC'!$I69,8)=LEFT(Matrix!AZ$13,8), LEFT('2.LUC'!$I69,8)=LEFT(Matrix!AZ$14,8), LEFT('2.LUC'!$I69,8)=LEFT(Matrix!AZ$15,8), LEFT('2.LUC'!$I69,8)=LEFT(Matrix!AZ$16,8), LEFT('2.LUC'!$I69,8)=LEFT(Matrix!AZ$17,8))), IF(LEFT('2.LUC'!$K69,8)=LEFT(Matrix!BI$5,8), luc!$C49, 0),0)</f>
        <v/>
      </c>
      <c r="BJ14" s="973" t="n"/>
      <c r="BM14" s="973" t="n"/>
      <c r="BN14" s="1355" t="n"/>
      <c r="BO14" s="1354">
        <f>IF(LEFT('2.LUC'!$I69,8)=LEFT($BN$8,8),IF(LEFT('2.LUC'!$K69,8)=LEFT(BO$5,8), luc!$C49,0),0)</f>
        <v/>
      </c>
      <c r="BP14" s="1354">
        <f>IF(LEFT('2.LUC'!$I69,8)=LEFT($BN$8,8),IF(LEFT('2.LUC'!$K69,8)=LEFT(BP$5,8), luc!$C49,0),0)</f>
        <v/>
      </c>
      <c r="BQ14" s="1354">
        <f>IF(LEFT('2.LUC'!$I69,8)=LEFT($BN$8,8),IF(LEFT('2.LUC'!$K69,8)=LEFT(BQ$5,8), luc!$C49,0),0)</f>
        <v/>
      </c>
      <c r="BR14" s="1354">
        <f>IF(LEFT('2.LUC'!$I69,8)=LEFT($BN$8,8),IF((OR(LEFT('2.LUC'!$K69,8)=LEFT(BR$5,8),LEFT('2.LUC'!$K69,8)=LEFT(AZ$3,8),LEFT('2.LUC'!$K69,8)=LEFT(AZ$4,9),LEFT('2.LUC'!$K69,8)=LEFT(AZ$5,8),LEFT('2.LUC'!$K69,8)=LEFT(AZ$6,8),LEFT('2.LUC'!$K69,8)=LEFT(AZ$7,8),LEFT('2.LUC'!$K69,8)=LEFT(AZ$8,8), LEFT('2.LUC'!$K69,8)=LEFT(AZ$9,8),  LEFT('2.LUC'!$K69,8)=LEFT(AZ$10,8), LEFT('2.LUC'!$K69,8)=LEFT(AZ$11,8),   LEFT('2.LUC'!$K69,8)=LEFT(AZ$12,8), LEFT('2.LUC'!$K69,8)=LEFT(AZ$13,8), LEFT('2.LUC'!$K69,8)=LEFT(AZ$14,8), LEFT('2.LUC'!$K69,8)=LEFT(AZ$15,8), LEFT('2.LUC'!$K69,8)=LEFT(AZ$16,8), LEFT('2.LUC'!$K69,8)=LEFT(AZ$17,8))),luc!$C49,0),0)</f>
        <v/>
      </c>
      <c r="BS14" s="1354">
        <f>IF(LEFT('2.LUC'!$I69,8)=LEFT($BN$8,8),IF(LEFT('2.LUC'!$K69,8)=LEFT(BS$5,8), luc!$C49,0),0)</f>
        <v/>
      </c>
      <c r="BT14" s="1357">
        <f>IF(LEFT('2.LUC'!$I69,8)=LEFT($BN$8,8),IF(LEFT('2.LUC'!$K69,8)=LEFT(BT$5,8), luc!$C49,0),0)</f>
        <v/>
      </c>
      <c r="BU14" s="973" t="n"/>
      <c r="BX14" s="973" t="n"/>
      <c r="BY14" s="1355" t="n"/>
      <c r="BZ14" s="1355">
        <f>IF(LEFT('2.LUC'!$I69,8)=LEFT($BY$8,8),IF(LEFT('2.LUC'!$K69,8)=LEFT(BZ$5,8), luc!$C49,0),0)</f>
        <v/>
      </c>
      <c r="CA14" s="1355">
        <f>IF(LEFT('2.LUC'!$I69,8)=LEFT($BY$8,8),IF(LEFT('2.LUC'!$K69,8)=LEFT(CA$5,8), luc!$C49,0),0)</f>
        <v/>
      </c>
      <c r="CB14" s="1355">
        <f>IF(LEFT('2.LUC'!$I69,8)=LEFT($BY$8,8),IF(LEFT('2.LUC'!$K69,8)=LEFT(CB$5,8), luc!$C49,0),0)</f>
        <v/>
      </c>
      <c r="CC14" s="1355">
        <f>IF(LEFT('2.LUC'!$I69,8)=LEFT($BY$8,8),IF((OR(LEFT('2.LUC'!$K69,8)=LEFT(CC$5,8),LEFT('2.LUC'!$K69,8)=LEFT(AZ$3,8), LEFT('2.LUC'!$K69,8)=LEFT(AZ$4,8),LEFT('2.LUC'!$K69,8)=LEFT(AZ$5,8),LEFT('2.LUC'!$K69,8)=LEFT(AZ$6,8),LEFT('2.LUC'!$K69,8)=LEFT(AZ$7,8),LEFT('2.LUC'!$K69,8)=LEFT(AZ$8,8), LEFT('2.LUC'!$K69,8)=LEFT(AZ$9,8),  LEFT('2.LUC'!$K69,8)=LEFT(AZ$10,8), LEFT('2.LUC'!$K69,8)=LEFT(AZ$11,8),   LEFT('2.LUC'!$K69,8)=LEFT(AZ$12,8), LEFT('2.LUC'!$K69,8)=LEFT(AZ$13,8), LEFT('2.LUC'!$K69,8)=LEFT(AZ$14,8), LEFT('2.LUC'!$K69,8)=LEFT(AZ$15,8), LEFT('2.LUC'!$K69,8)=LEFT(AZ$16,8), LEFT('2.LUC'!$K69,8)=LEFT(AZ$17,8))),luc!$C49,0),0)</f>
        <v/>
      </c>
      <c r="CD14" s="1355">
        <f>IF(LEFT('2.LUC'!$I69,8)=LEFT($BY$8,8),IF(LEFT('2.LUC'!$K69,8)=LEFT(CD$5,8), luc!$C49,0),0)</f>
        <v/>
      </c>
      <c r="CE14" s="1354">
        <f>IF(LEFT('2.LUC'!$I69,8)=LEFT($BY$8,8),IF(LEFT('2.LUC'!$K69,8)=LEFT(CE$5,8), luc!$C49,0),0)</f>
        <v/>
      </c>
      <c r="CF14" s="973" t="n"/>
      <c r="CI14" s="973" t="n"/>
      <c r="CJ14" s="1355" t="n"/>
      <c r="CK14" s="1355">
        <f>IF(LEFT('2.LUC'!$I69,8)=LEFT($CJ$8,8),IF(LEFT('2.LUC'!$K69,8)=LEFT(CK$5,8), luc!$C49,0),0)</f>
        <v/>
      </c>
      <c r="CL14" s="1355">
        <f>IF(LEFT('2.LUC'!$I69,8)=LEFT($CJ$8,8),IF(LEFT('2.LUC'!$K69,8)=LEFT(CL$5,8), luc!$C49,0),0)</f>
        <v/>
      </c>
      <c r="CM14" s="1355">
        <f>IF(LEFT('2.LUC'!$I69,8)=LEFT($CJ$8,8),IF(LEFT('2.LUC'!$K69,8)=LEFT(CM$5,8), luc!$C49,0),0)</f>
        <v/>
      </c>
      <c r="CN14" s="1354">
        <f>IF(LEFT('2.LUC'!$I69,8)=LEFT($CJ$8,8),IF((OR(LEFT('2.LUC'!$K69,8)=LEFT(CN$5,8),LEFT('2.LUC'!$K69,8)=LEFT(AZ$3,8),LEFT('2.LUC'!$K69,8)=LEFT(AZ$3,9),LEFT('2.LUC'!$K69,8)=LEFT(AZ$4,9),LEFT('2.LUC'!$K69,8)=LEFT(AZ$5,8),LEFT('2.LUC'!$K69,8)=LEFT(AZ$6,8),LEFT('2.LUC'!$K69,8)=LEFT(AZ$7,8),LEFT('2.LUC'!$K69,8)=LEFT(AZ$8,8), LEFT('2.LUC'!$K69,8)=LEFT(AZ$9,8),  LEFT('2.LUC'!$K69,8)=LEFT(AZ$10,8), LEFT('2.LUC'!$K69,8)=LEFT(AZ$11,8),   LEFT('2.LUC'!$K69,8)=LEFT(AZ$12,8), LEFT('2.LUC'!$K69,8)=LEFT(AZ$13,8), LEFT('2.LUC'!$K69,8)=LEFT(AZ$14,8), LEFT('2.LUC'!$K69,8)=LEFT(AZ$15,8), LEFT('2.LUC'!$K69,8)=LEFT(AZ$16,8), LEFT('2.LUC'!$K69,8)=LEFT(AZ$17,8))),luc!$C49,0),0)</f>
        <v/>
      </c>
      <c r="CO14" s="1104">
        <f>IF(LEFT('2.LUC'!$I69,8)=LEFT($CJ$8,8),IF(LEFT('2.LUC'!$K69,8)=LEFT(CO$5,8), luc!$C49,0),0)</f>
        <v/>
      </c>
      <c r="CP14" s="1354">
        <f>IF(LEFT('2.LUC'!$I69,8)=LEFT($CJ$8,8),IF(LEFT('2.LUC'!$K69,8)=LEFT(CP$5,8), luc!$C49,0),0)</f>
        <v/>
      </c>
      <c r="CQ14" s="973" t="n"/>
      <c r="CT14" s="973" t="n"/>
      <c r="CU14" s="1355" t="n"/>
      <c r="CV14" s="1355">
        <f>IF(LEFT('2.LUC'!$I69,8)=LEFT($CU$8,8),IF(LEFT('2.LUC'!$K69,8)=LEFT(CV$5,8), luc!$C49,0),0)</f>
        <v/>
      </c>
      <c r="CW14" s="1355">
        <f>IF(LEFT('2.LUC'!$I69,8)=LEFT($CU$8,8),IF(LEFT('2.LUC'!$K69,8)=LEFT(CW$5,8), luc!$C49,0),0)</f>
        <v/>
      </c>
      <c r="CX14" s="1355">
        <f>IF(LEFT('2.LUC'!$I69,8)=LEFT($CU$8,8),IF(LEFT('2.LUC'!$K69,8)=LEFT(CX$5,8), luc!$C49,0),0)</f>
        <v/>
      </c>
      <c r="CY14" s="1354">
        <f>IF(LEFT('2.LUC'!$I69,8)=LEFT($CU$8,8),IF((OR(LEFT('2.LUC'!$K69,8)=LEFT(CY$5,8),LEFT('2.LUC'!$K69,8)=LEFT(AZ$3,8),LEFT('2.LUC'!$K69,8)=LEFT(AZ$3,9),LEFT('2.LUC'!$K69,8)=LEFT(AZ$4,9),LEFT('2.LUC'!$K69,8)=LEFT(AZ$5,8),LEFT('2.LUC'!$K69,8)=LEFT(AZ$6,8),LEFT('2.LUC'!$K69,8)=LEFT(AZ$7,8),LEFT('2.LUC'!$K69,8)=LEFT(AZ$8,8), LEFT('2.LUC'!$K69,8)=LEFT(AZ$9,8),  LEFT('2.LUC'!$K69,8)=LEFT(AZ$10,8), LEFT('2.LUC'!$K69,8)=LEFT(AZ$11,8),   LEFT('2.LUC'!$K69,8)=LEFT(AZ$12,8), LEFT('2.LUC'!$K69,8)=LEFT(AZ$13,8), LEFT('2.LUC'!$K69,8)=LEFT(AZ$14,8), LEFT('2.LUC'!$K69,8)=LEFT(AZ$15,8), LEFT('2.LUC'!$K69,8)=LEFT(AZ$16,8), LEFT('2.LUC'!$K69,8)=LEFT(AZ$17,8))),luc!$C49,0),0)</f>
        <v/>
      </c>
      <c r="CZ14" s="1104">
        <f>IF(LEFT('2.LUC'!$I69,8)=LEFT($CU$8,8),IF(LEFT('2.LUC'!$K69,8)=LEFT(CZ$5,8), luc!$C49,0),0)</f>
        <v/>
      </c>
      <c r="DA14" s="1354">
        <f>IF(LEFT('2.LUC'!$I69,8)=LEFT($CU$8,8),IF(LEFT('2.LUC'!$K69,8)=LEFT(DA$5,8), luc!$C49,0),0)</f>
        <v/>
      </c>
      <c r="DB14" s="973" t="n"/>
      <c r="DD14" s="973" t="n"/>
      <c r="DE14" s="973" t="n"/>
      <c r="DF14" s="1355" t="n"/>
      <c r="DG14" s="1355">
        <f>IF(LEFT('2.LUC'!$I69,8)=LEFT($DF$8,8),IF(LEFT('2.LUC'!$K69,8)=LEFT(DG$5,8), luc!$C49,0),0)</f>
        <v/>
      </c>
      <c r="DH14" s="1355">
        <f>IF(LEFT('2.LUC'!$I69,8)=LEFT($DF$8,8),IF(LEFT('2.LUC'!$K69,8)=LEFT(DH$5,8), luc!$C49,0),0)</f>
        <v/>
      </c>
      <c r="DI14" s="1355">
        <f>IF(LEFT('2.LUC'!$I69,8)=LEFT($DF$8,8),IF(LEFT('2.LUC'!$K69,8)=LEFT(DI$5,8), luc!$C49,0),0)</f>
        <v/>
      </c>
      <c r="DJ14" s="1354">
        <f>IF(LEFT('2.LUC'!$I69,8)=LEFT($DF$8,8),IF((OR(LEFT('2.LUC'!$K69,8)=LEFT(DJ$5,8),LEFT('2.LUC'!$K69,8)=LEFT(AZ$3,8),LEFT('2.LUC'!$K69,8)=LEFT(AZ$3,9),LEFT('2.LUC'!$K69,8)=LEFT(AZ$4,9),LEFT('2.LUC'!$K69,8)=LEFT(AZ$5,8),LEFT('2.LUC'!$K69,8)=LEFT(AZ$6,8),LEFT('2.LUC'!$K69,8)=LEFT(AZ$7,8),LEFT('2.LUC'!$K69,8)=LEFT(AZ$8,8), LEFT('2.LUC'!$K69,8)=LEFT(AZ$9,8),  LEFT('2.LUC'!$K69,8)=LEFT(AZ$10,8), LEFT('2.LUC'!$K69,8)=LEFT(AZ$11,8),   LEFT('2.LUC'!$K69,8)=LEFT(AZ$12,8), LEFT('2.LUC'!$K69,8)=LEFT(AZ$13,8), LEFT('2.LUC'!$K69,8)=LEFT(AZ$14,8), LEFT('2.LUC'!$K69,8)=LEFT(AZ$15,8), LEFT('2.LUC'!$K69,8)=LEFT(AZ$16,8), LEFT('2.LUC'!$K69,8)=LEFT(AZ$17,8))),luc!$C49,0),0)</f>
        <v/>
      </c>
      <c r="DK14" s="1104">
        <f>IF(LEFT('2.LUC'!$I69,8)=LEFT($DF$8,8),IF(LEFT('2.LUC'!$K69,8)=LEFT(DK$5,8), luc!$C49,0),0)</f>
        <v/>
      </c>
      <c r="DL14" s="1354">
        <f>IF(LEFT('2.LUC'!$I69,8)=LEFT($DF$8,8),IF(LEFT('2.LUC'!$K69,8)=LEFT(DL$5,8), luc!$C49,0),0)</f>
        <v/>
      </c>
    </row>
    <row r="15">
      <c r="B15" s="973" t="n"/>
      <c r="C15" s="1469" t="n"/>
      <c r="D15" s="1576" t="n"/>
      <c r="F15" s="1765" t="inlineStr">
        <is>
          <t>*Annual includes Annual Cropland and Annual Fallow</t>
        </is>
      </c>
      <c r="J15" s="1765" t="inlineStr">
        <is>
          <t>Mangroves are accounted for within Forest</t>
        </is>
      </c>
      <c r="S15" s="973" t="n"/>
      <c r="T15" s="973" t="n"/>
      <c r="U15" s="973" t="n"/>
      <c r="V15" s="973" t="n"/>
      <c r="W15" s="973" t="n"/>
      <c r="X15" s="973" t="n"/>
      <c r="Y15" s="973" t="n"/>
      <c r="Z15" s="973" t="n"/>
      <c r="AA15" s="973" t="n"/>
      <c r="AB15" s="973" t="n"/>
      <c r="AE15" s="973" t="n"/>
      <c r="AF15" s="973" t="n"/>
      <c r="AG15" s="973" t="n"/>
      <c r="AH15" s="973" t="n"/>
      <c r="AI15" s="973" t="n"/>
      <c r="AJ15" s="973" t="n"/>
      <c r="AK15" s="973" t="n"/>
      <c r="AL15" s="973" t="n"/>
      <c r="AM15" s="973" t="n"/>
      <c r="AN15" s="973" t="n"/>
      <c r="AQ15" s="973" t="n"/>
      <c r="AR15" s="1353" t="n"/>
      <c r="AS15" s="1375">
        <f>IF(LEFT('2.LUC'!$I70,8)=LEFT($AR$8,8),IF(LEFT('2.LUC'!$K70,8)=LEFT(AS$5,8), luc!$C50,0),0)</f>
        <v/>
      </c>
      <c r="AT15" s="1375">
        <f>IF(LEFT('2.LUC'!$I70,8)=LEFT($AR$8,8),IF(LEFT('2.LUC'!$K70,8)=LEFT(AT$5,8), luc!$C50,0),0)</f>
        <v/>
      </c>
      <c r="AU15" s="1376">
        <f>IF(LEFT('2.LUC'!$I70,8)=LEFT($AR$8,8),IF(LEFT('2.LUC'!$K70,8)=LEFT(AU$5,8), luc!$C50,0),0)</f>
        <v/>
      </c>
      <c r="AV15" s="1376">
        <f>IF(LEFT('2.LUC'!$I70,8)=LEFT($AR$8,8),IF(LEFT('2.LUC'!$K70,8)=LEFT(AV$5,8), luc!$C50,0),0)</f>
        <v/>
      </c>
      <c r="AW15" s="1376">
        <f>IF(LEFT('2.LUC'!$I70,8)=LEFT($AR$8,8),IF(LEFT('2.LUC'!$K70,8)=LEFT(AW$5,8), luc!$C50,0),0)</f>
        <v/>
      </c>
      <c r="AX15" s="1376">
        <f>IF(LEFT('2.LUC'!$I70,8)=LEFT($AR$8,8),IF((OR(LEFT('2.LUC'!$K70,8)=LEFT(AX$5,8),LEFT('2.LUC'!$K70,8)=LEFT(AZ$3,8),LEFT('2.LUC'!$K70,8)=LEFT(AZ$3,9),LEFT('2.LUC'!$K70,8)=LEFT(AZ$4,9),LEFT('2.LUC'!$K70,8)=LEFT(AZ$5,8),LEFT('2.LUC'!$K70,8)=LEFT(AZ$6,8),LEFT('2.LUC'!$K70,8)=LEFT(AZ$7,8),LEFT('2.LUC'!$K70,8)=LEFT(AZ$8,8), LEFT('2.LUC'!$K70,8)=LEFT(AZ$9,8),  LEFT('2.LUC'!$K70,8)=LEFT(AZ$10,8), LEFT('2.LUC'!$K70,8)=LEFT(AZ$11,8),   LEFT('2.LUC'!$K70,8)=LEFT(AZ$12,8), LEFT('2.LUC'!$K70,8)=LEFT(AZ$13,8), LEFT('2.LUC'!$K70,8)=LEFT(AZ$14,8), LEFT('2.LUC'!$K70,8)=LEFT(AZ$15,8), LEFT('2.LUC'!$K70,8)=LEFT(AZ$16,8), LEFT('2.LUC'!$K70,8)=LEFT(AZ$17,8))),luc!$C50,0),0)</f>
        <v/>
      </c>
      <c r="AZ15" s="1345" t="inlineStr">
        <is>
          <t>Silvopasture</t>
        </is>
      </c>
      <c r="BB15" s="973" t="n"/>
      <c r="BC15" s="1353" t="n"/>
      <c r="BD15" s="1375">
        <f>IF((OR(LEFT('2.LUC'!$I70,8)=LEFT(Matrix!$BC$8,8), LEFT('2.LUC'!$I70,8)=LEFT(Matrix!AZ$3,8), LEFT('2.LUC'!$I70,8)=LEFT(Matrix!AZ$4,8), LEFT('2.LUC'!$I70,8)=LEFT(Matrix!AZ$5,8), LEFT('2.LUC'!$I70,8)=LEFT(Matrix!AZ$6,8), LEFT('2.LUC'!$I70,8)=LEFT(Matrix!AZ$7,8),  LEFT('2.LUC'!$I70,8)=LEFT(Matrix!AZ$8,8), LEFT('2.LUC'!$I70,8)=LEFT(Matrix!AZ$9,8), LEFT('2.LUC'!$I70,8)=LEFT(Matrix!AZ$10,8), LEFT('2.LUC'!$I70,8)=LEFT(Matrix!AZ$11,8), LEFT('2.LUC'!$I70,8)=LEFT(Matrix!AZ$12,8), LEFT('2.LUC'!$I70,8)=LEFT(Matrix!AZ$13,8), LEFT('2.LUC'!$I70,8)=LEFT(Matrix!AZ$14,8), LEFT('2.LUC'!$I70,8)=LEFT(Matrix!AZ$15,8), LEFT('2.LUC'!$I70,8)=LEFT(Matrix!AZ$16,8), LEFT('2.LUC'!$I70,8)=LEFT(Matrix!AZ$17,8))), IF(LEFT('2.LUC'!$K70,8)=LEFT(Matrix!BD$5,8), luc!$C50, 0),0)</f>
        <v/>
      </c>
      <c r="BE15" s="1376">
        <f>IF((OR(LEFT('2.LUC'!$I70,8)=LEFT(Matrix!$BC$8,8), LEFT('2.LUC'!$I70,8)=LEFT(Matrix!AZ$3,8), LEFT('2.LUC'!$I70,8)=LEFT(Matrix!AZ$4,8), LEFT('2.LUC'!$I70,8)=LEFT(Matrix!AZ$5,8), LEFT('2.LUC'!$I70,8)=LEFT(Matrix!AZ$6,8), LEFT('2.LUC'!$I70,8)=LEFT(Matrix!AZ$7,8),  LEFT('2.LUC'!$I70,8)=LEFT(Matrix!AZ$8,8), LEFT('2.LUC'!$I70,8)=LEFT(Matrix!AZ$9,8), LEFT('2.LUC'!$I70,8)=LEFT(Matrix!AZ$10,8), LEFT('2.LUC'!$I70,8)=LEFT(Matrix!AZ$11,8), LEFT('2.LUC'!$I70,8)=LEFT(Matrix!AZ$12,8), LEFT('2.LUC'!$I70,8)=LEFT(Matrix!AZ$13,8), LEFT('2.LUC'!$I70,8)=LEFT(Matrix!AZ$14,8), LEFT('2.LUC'!$I70,8)=LEFT(Matrix!AZ$15,8), LEFT('2.LUC'!$I70,8)=LEFT(Matrix!AZ$16,8), LEFT('2.LUC'!$I70,8)=LEFT(Matrix!AZ$17,8))), IF(LEFT('2.LUC'!$K70,8)=LEFT(Matrix!BE$5,8), luc!$C50, 0),0)</f>
        <v/>
      </c>
      <c r="BF15" s="1376">
        <f>IF((OR(LEFT('2.LUC'!$I70,8)=LEFT(Matrix!$BC$8,8), LEFT('2.LUC'!$I70,8)=LEFT(Matrix!AZ$3,8), LEFT('2.LUC'!$I70,8)=LEFT(Matrix!AZ$4,8), LEFT('2.LUC'!$I70,8)=LEFT(Matrix!AZ$5,8), LEFT('2.LUC'!$I70,8)=LEFT(Matrix!AZ$6,8), LEFT('2.LUC'!$I70,8)=LEFT(Matrix!AZ$7,8),  LEFT('2.LUC'!$I70,8)=LEFT(Matrix!AZ$8,8), LEFT('2.LUC'!$I70,8)=LEFT(Matrix!AZ$9,8), LEFT('2.LUC'!$I70,8)=LEFT(Matrix!AZ$10,8), LEFT('2.LUC'!$I70,8)=LEFT(Matrix!AZ$11,8), LEFT('2.LUC'!$I70,8)=LEFT(Matrix!AZ$12,8), LEFT('2.LUC'!$I70,8)=LEFT(Matrix!AZ$13,8), LEFT('2.LUC'!$I70,8)=LEFT(Matrix!AZ$14,8), LEFT('2.LUC'!$I70,8)=LEFT(Matrix!AZ$15,8), LEFT('2.LUC'!$I70,8)=LEFT(Matrix!AZ$16,8), LEFT('2.LUC'!$I70,8)=LEFT(Matrix!AZ$17,8))), IF(LEFT('2.LUC'!$K70,8)=LEFT(Matrix!BF$5,8), luc!$C50, 0),0)</f>
        <v/>
      </c>
      <c r="BG15" s="1376">
        <f>IF((OR(LEFT('2.LUC'!$I70,8)=LEFT(Matrix!$BC$8,8), LEFT('2.LUC'!$I70,8)=LEFT(Matrix!AZ$3,8), LEFT('2.LUC'!$I70,8)=LEFT(Matrix!AZ$4,8), LEFT('2.LUC'!$I70,8)=LEFT(Matrix!AZ$5,8), LEFT('2.LUC'!$I70,8)=LEFT(Matrix!AZ$6,8), LEFT('2.LUC'!$I70,8)=LEFT(Matrix!AZ$7,8),  LEFT('2.LUC'!$I70,8)=LEFT(Matrix!AZ$8,8), LEFT('2.LUC'!$I70,8)=LEFT(Matrix!AZ$9,8), LEFT('2.LUC'!$I70,8)=LEFT(Matrix!AZ$10,8), LEFT('2.LUC'!$I70,8)=LEFT(Matrix!AZ$11,8), LEFT('2.LUC'!$I70,8)=LEFT(Matrix!AZ$12,8), LEFT('2.LUC'!$I70,8)=LEFT(Matrix!AZ$13,8), LEFT('2.LUC'!$I70,8)=LEFT(Matrix!AZ$14,8), LEFT('2.LUC'!$I70,8)=LEFT(Matrix!AZ$15,8), LEFT('2.LUC'!$I70,8)=LEFT(Matrix!AZ$16,8), LEFT('2.LUC'!$I70,8)=LEFT(Matrix!AZ$17,8))), IF(LEFT('2.LUC'!$K70,8)=LEFT(Matrix!BG$5,8), luc!$C50, 0),0)</f>
        <v/>
      </c>
      <c r="BH15" s="1376">
        <f>IF((OR(LEFT('2.LUC'!$I70,8)=LEFT(Matrix!$BC$8,8), LEFT('2.LUC'!$I70,8)=LEFT(Matrix!AZ$3,8), LEFT('2.LUC'!$I70,8)=LEFT(Matrix!AZ$4,8), LEFT('2.LUC'!$I70,8)=LEFT(Matrix!AZ$5,8), LEFT('2.LUC'!$I70,8)=LEFT(Matrix!AZ$6,8), LEFT('2.LUC'!$I70,8)=LEFT(Matrix!AZ$7,8),  LEFT('2.LUC'!$I70,8)=LEFT(Matrix!AZ$8,8), LEFT('2.LUC'!$I70,8)=LEFT(Matrix!AZ$9,8), LEFT('2.LUC'!$I70,8)=LEFT(Matrix!AZ$10,8), LEFT('2.LUC'!$I70,8)=LEFT(Matrix!AZ$11,8), LEFT('2.LUC'!$I70,8)=LEFT(Matrix!AZ$12,8), LEFT('2.LUC'!$I70,8)=LEFT(Matrix!AZ$13,8), LEFT('2.LUC'!$I70,8)=LEFT(Matrix!AZ$14,8), LEFT('2.LUC'!$I70,8)=LEFT(Matrix!AZ$15,8), LEFT('2.LUC'!$I70,8)=LEFT(Matrix!AZ$16,8), LEFT('2.LUC'!$I70,8)=LEFT(Matrix!AZ$17,8))), IF(LEFT('2.LUC'!$K70,8)=LEFT(Matrix!BH$5,8), luc!$C50, 0),0)</f>
        <v/>
      </c>
      <c r="BI15" s="1375">
        <f>IF((OR(LEFT('2.LUC'!$I70,8)=LEFT(Matrix!$BC$8,8), LEFT('2.LUC'!$I70,8)=LEFT(Matrix!AZ$3,8), LEFT('2.LUC'!$I70,8)=LEFT(Matrix!AZ$4,8), LEFT('2.LUC'!$I70,8)=LEFT(Matrix!AZ$5,8), LEFT('2.LUC'!$I70,8)=LEFT(Matrix!AZ$6,8), LEFT('2.LUC'!$I70,8)=LEFT(Matrix!AZ$7,8),  LEFT('2.LUC'!$I70,8)=LEFT(Matrix!AZ$8,8), LEFT('2.LUC'!$I70,8)=LEFT(Matrix!AZ$9,8), LEFT('2.LUC'!$I70,8)=LEFT(Matrix!AZ$10,8), LEFT('2.LUC'!$I70,8)=LEFT(Matrix!AZ$11,8), LEFT('2.LUC'!$I70,8)=LEFT(Matrix!AZ$12,8), LEFT('2.LUC'!$I70,8)=LEFT(Matrix!AZ$13,8), LEFT('2.LUC'!$I70,8)=LEFT(Matrix!AZ$14,8), LEFT('2.LUC'!$I70,8)=LEFT(Matrix!AZ$15,8), LEFT('2.LUC'!$I70,8)=LEFT(Matrix!AZ$16,8), LEFT('2.LUC'!$I70,8)=LEFT(Matrix!AZ$17,8))), IF(LEFT('2.LUC'!$K70,8)=LEFT(Matrix!BI$5,8), luc!$C50, 0),0)</f>
        <v/>
      </c>
      <c r="BJ15" s="973" t="n"/>
      <c r="BM15" s="973" t="n"/>
      <c r="BN15" s="1355" t="n"/>
      <c r="BO15" s="1376">
        <f>IF(LEFT('2.LUC'!$I70,8)=LEFT($BN$8,8),IF(LEFT('2.LUC'!$K70,8)=LEFT(BO$5,8), luc!$C50,0),0)</f>
        <v/>
      </c>
      <c r="BP15" s="1376">
        <f>IF(LEFT('2.LUC'!$I70,8)=LEFT($BN$8,8),IF(LEFT('2.LUC'!$K70,8)=LEFT(BP$5,8), luc!$C50,0),0)</f>
        <v/>
      </c>
      <c r="BQ15" s="1376">
        <f>IF(LEFT('2.LUC'!$I70,8)=LEFT($BN$8,8),IF(LEFT('2.LUC'!$K70,8)=LEFT(BQ$5,8), luc!$C50,0),0)</f>
        <v/>
      </c>
      <c r="BR15" s="1376">
        <f>IF(LEFT('2.LUC'!$I70,8)=LEFT($BN$8,8),IF((OR(LEFT('2.LUC'!$K70,8)=LEFT(BR$5,8),LEFT('2.LUC'!$K70,8)=LEFT(AZ$3,8),LEFT('2.LUC'!$K70,8)=LEFT(AZ$4,9),LEFT('2.LUC'!$K70,8)=LEFT(AZ$5,8),LEFT('2.LUC'!$K70,8)=LEFT(AZ$6,8),LEFT('2.LUC'!$K70,8)=LEFT(AZ$7,8),LEFT('2.LUC'!$K70,8)=LEFT(AZ$8,8), LEFT('2.LUC'!$K70,8)=LEFT(AZ$9,8),  LEFT('2.LUC'!$K70,8)=LEFT(AZ$10,8), LEFT('2.LUC'!$K70,8)=LEFT(AZ$11,8),   LEFT('2.LUC'!$K70,8)=LEFT(AZ$12,8), LEFT('2.LUC'!$K70,8)=LEFT(AZ$13,8), LEFT('2.LUC'!$K70,8)=LEFT(AZ$14,8), LEFT('2.LUC'!$K70,8)=LEFT(AZ$15,8), LEFT('2.LUC'!$K70,8)=LEFT(AZ$16,8), LEFT('2.LUC'!$K70,8)=LEFT(AZ$17,8))),luc!$C50,0),0)</f>
        <v/>
      </c>
      <c r="BS15" s="1376">
        <f>IF(LEFT('2.LUC'!$I70,8)=LEFT($BN$8,8),IF(LEFT('2.LUC'!$K70,8)=LEFT(BS$5,8), luc!$C50,0),0)</f>
        <v/>
      </c>
      <c r="BT15" s="1375">
        <f>IF(LEFT('2.LUC'!$I70,8)=LEFT($BN$8,8),IF(LEFT('2.LUC'!$K70,8)=LEFT(BT$5,8), luc!$C50,0),0)</f>
        <v/>
      </c>
      <c r="BU15" s="973" t="n"/>
      <c r="BX15" s="973" t="n"/>
      <c r="BY15" s="1355" t="n"/>
      <c r="BZ15" s="1377">
        <f>IF(LEFT('2.LUC'!$I70,8)=LEFT($BY$8,8),IF(LEFT('2.LUC'!$K70,8)=LEFT(BZ$5,8), luc!$C50,0),0)</f>
        <v/>
      </c>
      <c r="CA15" s="1377">
        <f>IF(LEFT('2.LUC'!$I70,8)=LEFT($BY$8,8),IF(LEFT('2.LUC'!$K70,8)=LEFT(CA$5,8), luc!$C50,0),0)</f>
        <v/>
      </c>
      <c r="CB15" s="1377">
        <f>IF(LEFT('2.LUC'!$I70,8)=LEFT($BY$8,8),IF(LEFT('2.LUC'!$K70,8)=LEFT(CB$5,8), luc!$C50,0),0)</f>
        <v/>
      </c>
      <c r="CC15" s="1377">
        <f>IF(LEFT('2.LUC'!$I70,8)=LEFT($BY$8,8),IF((OR(LEFT('2.LUC'!$K70,8)=LEFT(CC$5,8),LEFT('2.LUC'!$K70,8)=LEFT(AZ$3,8), LEFT('2.LUC'!$K70,8)=LEFT(AZ$4,8),LEFT('2.LUC'!$K70,8)=LEFT(AZ$5,8),LEFT('2.LUC'!$K70,8)=LEFT(AZ$6,8),LEFT('2.LUC'!$K70,8)=LEFT(AZ$7,8),LEFT('2.LUC'!$K70,8)=LEFT(AZ$8,8), LEFT('2.LUC'!$K70,8)=LEFT(AZ$9,8),  LEFT('2.LUC'!$K70,8)=LEFT(AZ$10,8), LEFT('2.LUC'!$K70,8)=LEFT(AZ$11,8),   LEFT('2.LUC'!$K70,8)=LEFT(AZ$12,8), LEFT('2.LUC'!$K70,8)=LEFT(AZ$13,8), LEFT('2.LUC'!$K70,8)=LEFT(AZ$14,8), LEFT('2.LUC'!$K70,8)=LEFT(AZ$15,8), LEFT('2.LUC'!$K70,8)=LEFT(AZ$16,8), LEFT('2.LUC'!$K70,8)=LEFT(AZ$17,8))),luc!$C50,0),0)</f>
        <v/>
      </c>
      <c r="CD15" s="1377">
        <f>IF(LEFT('2.LUC'!$I70,8)=LEFT($BY$8,8),IF(LEFT('2.LUC'!$K70,8)=LEFT(CD$5,8), luc!$C50,0),0)</f>
        <v/>
      </c>
      <c r="CE15" s="1376">
        <f>IF(LEFT('2.LUC'!$I70,8)=LEFT($BY$8,8),IF(LEFT('2.LUC'!$K70,8)=LEFT(CE$5,8), luc!$C50,0),0)</f>
        <v/>
      </c>
      <c r="CF15" s="973" t="n"/>
      <c r="CI15" s="973" t="n"/>
      <c r="CJ15" s="1355" t="n"/>
      <c r="CK15" s="1377">
        <f>IF(LEFT('2.LUC'!$I70,8)=LEFT($CJ$8,8),IF(LEFT('2.LUC'!$K70,8)=LEFT(CK$5,8), luc!$C50,0),0)</f>
        <v/>
      </c>
      <c r="CL15" s="1377">
        <f>IF(LEFT('2.LUC'!$I70,8)=LEFT($CJ$8,8),IF(LEFT('2.LUC'!$K70,8)=LEFT(CL$5,8), luc!$C50,0),0)</f>
        <v/>
      </c>
      <c r="CM15" s="1377">
        <f>IF(LEFT('2.LUC'!$I70,8)=LEFT($CJ$8,8),IF(LEFT('2.LUC'!$K70,8)=LEFT(CM$5,8), luc!$C50,0),0)</f>
        <v/>
      </c>
      <c r="CN15" s="1376">
        <f>IF(LEFT('2.LUC'!$I70,8)=LEFT($CJ$8,8),IF((OR(LEFT('2.LUC'!$K70,8)=LEFT(CN$5,8),LEFT('2.LUC'!$K70,8)=LEFT(AZ$3,8),LEFT('2.LUC'!$K70,8)=LEFT(AZ$3,9),LEFT('2.LUC'!$K70,8)=LEFT(AZ$4,9),LEFT('2.LUC'!$K70,8)=LEFT(AZ$5,8),LEFT('2.LUC'!$K70,8)=LEFT(AZ$6,8),LEFT('2.LUC'!$K70,8)=LEFT(AZ$7,8),LEFT('2.LUC'!$K70,8)=LEFT(AZ$8,8), LEFT('2.LUC'!$K70,8)=LEFT(AZ$9,8),  LEFT('2.LUC'!$K70,8)=LEFT(AZ$10,8), LEFT('2.LUC'!$K70,8)=LEFT(AZ$11,8),   LEFT('2.LUC'!$K70,8)=LEFT(AZ$12,8), LEFT('2.LUC'!$K70,8)=LEFT(AZ$13,8), LEFT('2.LUC'!$K70,8)=LEFT(AZ$14,8), LEFT('2.LUC'!$K70,8)=LEFT(AZ$15,8), LEFT('2.LUC'!$K70,8)=LEFT(AZ$16,8), LEFT('2.LUC'!$K70,8)=LEFT(AZ$17,8))),luc!$C50,0),0)</f>
        <v/>
      </c>
      <c r="CO15" s="1378">
        <f>IF(LEFT('2.LUC'!$I70,8)=LEFT($CJ$8,8),IF(LEFT('2.LUC'!$K70,8)=LEFT(CO$5,8), luc!$C50,0),0)</f>
        <v/>
      </c>
      <c r="CP15" s="1376">
        <f>IF(LEFT('2.LUC'!$I70,8)=LEFT($CJ$8,8),IF(LEFT('2.LUC'!$K70,8)=LEFT(CP$5,8), luc!$C50,0),0)</f>
        <v/>
      </c>
      <c r="CQ15" s="973" t="n"/>
      <c r="CT15" s="973" t="n"/>
      <c r="CU15" s="1355" t="n"/>
      <c r="CV15" s="1377">
        <f>IF(LEFT('2.LUC'!$I70,8)=LEFT($CU$8,8),IF(LEFT('2.LUC'!$K70,8)=LEFT(CV$5,8), luc!$C50,0),0)</f>
        <v/>
      </c>
      <c r="CW15" s="1377">
        <f>IF(LEFT('2.LUC'!$I70,8)=LEFT($CU$8,8),IF(LEFT('2.LUC'!$K70,8)=LEFT(CW$5,8), luc!$C50,0),0)</f>
        <v/>
      </c>
      <c r="CX15" s="1377">
        <f>IF(LEFT('2.LUC'!$I70,8)=LEFT($CU$8,8),IF(LEFT('2.LUC'!$K70,8)=LEFT(CX$5,8), luc!$C50,0),0)</f>
        <v/>
      </c>
      <c r="CY15" s="1376">
        <f>IF(LEFT('2.LUC'!$I70,8)=LEFT($CU$8,8),IF((OR(LEFT('2.LUC'!$K70,8)=LEFT(CY$5,8),LEFT('2.LUC'!$K70,8)=LEFT(AZ$3,8),LEFT('2.LUC'!$K70,8)=LEFT(AZ$3,9),LEFT('2.LUC'!$K70,8)=LEFT(AZ$4,9),LEFT('2.LUC'!$K70,8)=LEFT(AZ$5,8),LEFT('2.LUC'!$K70,8)=LEFT(AZ$6,8),LEFT('2.LUC'!$K70,8)=LEFT(AZ$7,8),LEFT('2.LUC'!$K70,8)=LEFT(AZ$8,8), LEFT('2.LUC'!$K70,8)=LEFT(AZ$9,8),  LEFT('2.LUC'!$K70,8)=LEFT(AZ$10,8), LEFT('2.LUC'!$K70,8)=LEFT(AZ$11,8),   LEFT('2.LUC'!$K70,8)=LEFT(AZ$12,8), LEFT('2.LUC'!$K70,8)=LEFT(AZ$13,8), LEFT('2.LUC'!$K70,8)=LEFT(AZ$14,8), LEFT('2.LUC'!$K70,8)=LEFT(AZ$15,8), LEFT('2.LUC'!$K70,8)=LEFT(AZ$16,8), LEFT('2.LUC'!$K70,8)=LEFT(AZ$17,8))),luc!$C50,0),0)</f>
        <v/>
      </c>
      <c r="CZ15" s="1378">
        <f>IF(LEFT('2.LUC'!$I70,8)=LEFT($CU$8,8),IF(LEFT('2.LUC'!$K70,8)=LEFT(CZ$5,8), luc!$C50,0),0)</f>
        <v/>
      </c>
      <c r="DA15" s="1376">
        <f>IF(LEFT('2.LUC'!$I70,8)=LEFT($CU$8,8),IF(LEFT('2.LUC'!$K70,8)=LEFT(DA$5,8), luc!$C50,0),0)</f>
        <v/>
      </c>
      <c r="DB15" s="973" t="n"/>
      <c r="DD15" s="973" t="n"/>
      <c r="DE15" s="973" t="n"/>
      <c r="DF15" s="1355" t="n"/>
      <c r="DG15" s="1377">
        <f>IF(LEFT('2.LUC'!$I70,8)=LEFT($DF$8,8),IF(LEFT('2.LUC'!$K70,8)=LEFT(DG$5,8), luc!$C50,0),0)</f>
        <v/>
      </c>
      <c r="DH15" s="1377">
        <f>IF(LEFT('2.LUC'!$I70,8)=LEFT($DF$8,8),IF(LEFT('2.LUC'!$K70,8)=LEFT(DH$5,8), luc!$C50,0),0)</f>
        <v/>
      </c>
      <c r="DI15" s="1377">
        <f>IF(LEFT('2.LUC'!$I70,8)=LEFT($DF$8,8),IF(LEFT('2.LUC'!$K70,8)=LEFT(DI$5,8), luc!$C50,0),0)</f>
        <v/>
      </c>
      <c r="DJ15" s="1376">
        <f>IF(LEFT('2.LUC'!$I70,8)=LEFT($DF$8,8),IF((OR(LEFT('2.LUC'!$K70,8)=LEFT(DJ$5,8),LEFT('2.LUC'!$K70,8)=LEFT(AZ$3,8),LEFT('2.LUC'!$K70,8)=LEFT(AZ$3,9),LEFT('2.LUC'!$K70,8)=LEFT(AZ$4,9),LEFT('2.LUC'!$K70,8)=LEFT(AZ$5,8),LEFT('2.LUC'!$K70,8)=LEFT(AZ$6,8),LEFT('2.LUC'!$K70,8)=LEFT(AZ$7,8),LEFT('2.LUC'!$K70,8)=LEFT(AZ$8,8), LEFT('2.LUC'!$K70,8)=LEFT(AZ$9,8),  LEFT('2.LUC'!$K70,8)=LEFT(AZ$10,8), LEFT('2.LUC'!$K70,8)=LEFT(AZ$11,8),   LEFT('2.LUC'!$K70,8)=LEFT(AZ$12,8), LEFT('2.LUC'!$K70,8)=LEFT(AZ$13,8), LEFT('2.LUC'!$K70,8)=LEFT(AZ$14,8), LEFT('2.LUC'!$K70,8)=LEFT(AZ$15,8), LEFT('2.LUC'!$K70,8)=LEFT(AZ$16,8), LEFT('2.LUC'!$K70,8)=LEFT(AZ$17,8))),luc!$C50,0),0)</f>
        <v/>
      </c>
      <c r="DK15" s="1378">
        <f>IF(LEFT('2.LUC'!$I70,8)=LEFT($DF$8,8),IF(LEFT('2.LUC'!$K70,8)=LEFT(DK$5,8), luc!$C50,0),0)</f>
        <v/>
      </c>
      <c r="DL15" s="1376">
        <f>IF(LEFT('2.LUC'!$I70,8)=LEFT($DF$8,8),IF(LEFT('2.LUC'!$K70,8)=LEFT(DL$5,8), luc!$C50,0),0)</f>
        <v/>
      </c>
    </row>
    <row r="16">
      <c r="B16" s="973" t="n"/>
      <c r="C16" s="1469" t="n"/>
      <c r="D16" s="1454" t="n"/>
      <c r="F16" s="1765" t="inlineStr">
        <is>
          <t>Tidal marshes and seagrass are accounted for within Grassland</t>
        </is>
      </c>
      <c r="J16" s="1765" t="inlineStr">
        <is>
          <t>Coastal ecosystems on aggregated soils are included here</t>
        </is>
      </c>
      <c r="N16" s="3134" t="n"/>
      <c r="S16" s="973" t="n"/>
      <c r="T16" s="973" t="n"/>
      <c r="U16" s="973" t="n"/>
      <c r="V16" s="973" t="n"/>
      <c r="W16" s="973" t="n"/>
      <c r="X16" s="973" t="n"/>
      <c r="Y16" s="973" t="n"/>
      <c r="Z16" s="973" t="n"/>
      <c r="AA16" s="973" t="n"/>
      <c r="AB16" s="973" t="n"/>
      <c r="AE16" s="973" t="n"/>
      <c r="AF16" s="973" t="n"/>
      <c r="AG16" s="973" t="n"/>
      <c r="AH16" s="973" t="n"/>
      <c r="AI16" s="973" t="n"/>
      <c r="AJ16" s="973" t="n"/>
      <c r="AK16" s="973" t="n"/>
      <c r="AL16" s="973" t="n"/>
      <c r="AM16" s="973" t="n"/>
      <c r="AN16" s="973" t="n"/>
      <c r="AQ16" s="973" t="n"/>
      <c r="AR16" s="1379" t="inlineStr">
        <is>
          <t>Total</t>
        </is>
      </c>
      <c r="AS16" s="1380">
        <f>SUM(AS6:AS15)</f>
        <v/>
      </c>
      <c r="AT16" s="1380">
        <f>SUM(AT6:AT15)</f>
        <v/>
      </c>
      <c r="AU16" s="1380">
        <f>SUM(AU6:AU15)</f>
        <v/>
      </c>
      <c r="AV16" s="1380">
        <f>SUM(AV6:AV15)</f>
        <v/>
      </c>
      <c r="AW16" s="1380">
        <f>SUM(AW6:AW15)</f>
        <v/>
      </c>
      <c r="AX16" s="1380">
        <f>SUM(AX6:AX15)</f>
        <v/>
      </c>
      <c r="AZ16" s="1345" t="inlineStr">
        <is>
          <t>Tea</t>
        </is>
      </c>
      <c r="BB16" s="973" t="n"/>
      <c r="BC16" s="1379" t="inlineStr">
        <is>
          <t>Total</t>
        </is>
      </c>
      <c r="BD16" s="1380">
        <f>SUM(BD6:BD15)</f>
        <v/>
      </c>
      <c r="BE16" s="1380">
        <f>SUM(BE6:BE15)</f>
        <v/>
      </c>
      <c r="BF16" s="1380">
        <f>SUM(BF6:BF15)</f>
        <v/>
      </c>
      <c r="BG16" s="1380">
        <f>SUM(BG6:BG15)</f>
        <v/>
      </c>
      <c r="BH16" s="1380">
        <f>SUM(BH6:BH15)</f>
        <v/>
      </c>
      <c r="BI16" s="1380">
        <f>SUM(BI6:BI15)</f>
        <v/>
      </c>
      <c r="BJ16" s="973" t="n"/>
      <c r="BM16" s="973" t="n"/>
      <c r="BN16" s="1380" t="inlineStr">
        <is>
          <t>Total</t>
        </is>
      </c>
      <c r="BO16" s="1381">
        <f>SUM(BO6:BO15)</f>
        <v/>
      </c>
      <c r="BP16" s="1381">
        <f>SUM(BP6:BP15)</f>
        <v/>
      </c>
      <c r="BQ16" s="1381">
        <f>SUM(BQ6:BQ15)</f>
        <v/>
      </c>
      <c r="BR16" s="1381">
        <f>SUM(BR6:BR15)</f>
        <v/>
      </c>
      <c r="BS16" s="1381">
        <f>SUM(BS6:BS15)</f>
        <v/>
      </c>
      <c r="BT16" s="1381">
        <f>SUM(BT6:BT15)</f>
        <v/>
      </c>
      <c r="BU16" s="973" t="n"/>
      <c r="BX16" s="973" t="n"/>
      <c r="BY16" s="1380" t="inlineStr">
        <is>
          <t>Total</t>
        </is>
      </c>
      <c r="BZ16" s="1382">
        <f>SUM(BZ6:BZ15)</f>
        <v/>
      </c>
      <c r="CA16" s="1382">
        <f>SUM(CA6:CA15)</f>
        <v/>
      </c>
      <c r="CB16" s="1382">
        <f>SUM(CB6:CB15)</f>
        <v/>
      </c>
      <c r="CC16" s="1382">
        <f>SUM(CC6:CC15)</f>
        <v/>
      </c>
      <c r="CD16" s="1382">
        <f>SUM(CD6:CD15)</f>
        <v/>
      </c>
      <c r="CE16" s="1382">
        <f>SUM(CE6:CE15)</f>
        <v/>
      </c>
      <c r="CF16" s="973" t="n"/>
      <c r="CI16" s="973" t="n"/>
      <c r="CJ16" s="1380" t="inlineStr">
        <is>
          <t>Total</t>
        </is>
      </c>
      <c r="CK16" s="1382">
        <f>SUM(CK6:CK15)</f>
        <v/>
      </c>
      <c r="CL16" s="1382">
        <f>SUM(CL6:CL15)</f>
        <v/>
      </c>
      <c r="CM16" s="1382">
        <f>SUM(CM6:CM15)</f>
        <v/>
      </c>
      <c r="CN16" s="1382">
        <f>SUM(CN6:CN15)</f>
        <v/>
      </c>
      <c r="CO16" s="1382">
        <f>SUM(CO6:CO15)</f>
        <v/>
      </c>
      <c r="CP16" s="1382">
        <f>SUM(CP6:CP15)</f>
        <v/>
      </c>
      <c r="CQ16" s="973" t="n"/>
      <c r="CT16" s="973" t="n"/>
      <c r="CU16" s="1380" t="inlineStr">
        <is>
          <t>Total</t>
        </is>
      </c>
      <c r="CV16" s="1382">
        <f>SUM(CV6:CV15)</f>
        <v/>
      </c>
      <c r="CW16" s="1382">
        <f>SUM(CW6:CW15)</f>
        <v/>
      </c>
      <c r="CX16" s="1382">
        <f>SUM(CX6:CX15)</f>
        <v/>
      </c>
      <c r="CY16" s="1382">
        <f>SUM(CY6:CY15)</f>
        <v/>
      </c>
      <c r="CZ16" s="1382">
        <f>SUM(CZ6:CZ15)</f>
        <v/>
      </c>
      <c r="DA16" s="1382">
        <f>SUM(DA6:DA15)</f>
        <v/>
      </c>
      <c r="DB16" s="973" t="n"/>
      <c r="DD16" s="973" t="n"/>
      <c r="DE16" s="973" t="n"/>
      <c r="DF16" s="1380" t="inlineStr">
        <is>
          <t>Total</t>
        </is>
      </c>
      <c r="DG16" s="1382">
        <f>SUM(DG6:DG15)</f>
        <v/>
      </c>
      <c r="DH16" s="1382">
        <f>SUM(DH6:DH15)</f>
        <v/>
      </c>
      <c r="DI16" s="1382">
        <f>SUM(DI6:DI15)</f>
        <v/>
      </c>
      <c r="DJ16" s="1382">
        <f>SUM(DJ6:DJ15)</f>
        <v/>
      </c>
      <c r="DK16" s="1382">
        <f>SUM(DK6:DK15)</f>
        <v/>
      </c>
      <c r="DL16" s="1381">
        <f>SUM(DL6:DL15)</f>
        <v/>
      </c>
    </row>
    <row r="17">
      <c r="B17" s="973" t="n"/>
      <c r="C17" s="973" t="n"/>
      <c r="D17" s="973" t="n"/>
      <c r="F17" s="1765" t="n"/>
      <c r="J17" s="1765" t="inlineStr">
        <is>
          <t>Waterbodies are accounted for within Other land (non-vegetated)</t>
        </is>
      </c>
      <c r="N17" s="3134" t="n"/>
      <c r="S17" s="973" t="n"/>
      <c r="T17" s="973" t="n"/>
      <c r="U17" s="973" t="n"/>
      <c r="V17" s="973" t="n"/>
      <c r="W17" s="973" t="n"/>
      <c r="X17" s="973" t="n"/>
      <c r="Y17" s="973" t="n"/>
      <c r="Z17" s="973" t="n"/>
      <c r="AA17" s="973" t="n"/>
      <c r="AB17" s="973" t="n"/>
      <c r="AE17" s="973" t="n"/>
      <c r="AF17" s="973" t="n"/>
      <c r="AG17" s="973" t="n"/>
      <c r="AH17" s="973" t="n"/>
      <c r="AI17" s="973" t="n"/>
      <c r="AJ17" s="973" t="n"/>
      <c r="AK17" s="973" t="n"/>
      <c r="AL17" s="973" t="n"/>
      <c r="AM17" s="973" t="n"/>
      <c r="AN17" s="973" t="n"/>
      <c r="AQ17" s="973" t="n"/>
      <c r="AR17" s="973" t="n"/>
      <c r="AS17" s="973" t="n"/>
      <c r="AT17" s="973" t="n"/>
      <c r="AU17" s="973" t="n"/>
      <c r="AV17" s="973" t="n"/>
      <c r="AW17" s="973" t="n"/>
      <c r="AX17" s="973" t="n"/>
      <c r="AZ17" s="1384" t="inlineStr">
        <is>
          <t>Vine</t>
        </is>
      </c>
      <c r="BB17" s="973" t="n"/>
      <c r="BC17" s="973" t="n"/>
      <c r="BD17" s="973" t="n"/>
      <c r="BE17" s="973" t="n"/>
      <c r="BF17" s="973" t="n"/>
      <c r="BG17" s="973" t="n"/>
      <c r="BH17" s="973" t="n"/>
      <c r="BI17" s="973" t="n"/>
      <c r="BJ17" s="973" t="n"/>
      <c r="BK17" s="973" t="n"/>
      <c r="BL17" s="973" t="n"/>
      <c r="BM17" s="973" t="n"/>
      <c r="BN17" s="973" t="n"/>
      <c r="BO17" s="973" t="n"/>
      <c r="BP17" s="973" t="n"/>
      <c r="BQ17" s="973" t="n"/>
      <c r="BR17" s="973" t="n"/>
      <c r="BS17" s="973" t="n"/>
      <c r="BT17" s="973" t="n"/>
      <c r="BU17" s="973" t="n"/>
      <c r="BV17" s="973" t="n"/>
      <c r="BW17" s="973" t="n"/>
      <c r="BX17" s="973" t="n"/>
      <c r="BY17" s="973" t="n"/>
      <c r="BZ17" s="973" t="n"/>
      <c r="CA17" s="973" t="n"/>
      <c r="CB17" s="973" t="n"/>
      <c r="CC17" s="973" t="n"/>
      <c r="CD17" s="973" t="n"/>
      <c r="CE17" s="973" t="n"/>
      <c r="CF17" s="973" t="n"/>
      <c r="CG17" s="973" t="n"/>
      <c r="CH17" s="973" t="n"/>
      <c r="CI17" s="973" t="n"/>
      <c r="CJ17" s="973" t="n"/>
      <c r="CK17" s="973" t="n"/>
      <c r="CL17" s="973" t="n"/>
      <c r="CM17" s="973" t="n"/>
      <c r="CN17" s="1688" t="n"/>
      <c r="CO17" s="973" t="n"/>
      <c r="CP17" s="973" t="n"/>
      <c r="CQ17" s="973" t="n"/>
      <c r="CR17" s="973" t="n"/>
      <c r="CS17" s="973" t="n"/>
      <c r="CT17" s="973" t="n"/>
      <c r="CU17" s="973" t="n"/>
      <c r="CV17" s="973" t="n"/>
      <c r="CW17" s="973" t="n"/>
      <c r="CX17" s="973" t="n"/>
      <c r="CY17" s="973" t="n"/>
      <c r="CZ17" s="973" t="n"/>
      <c r="DA17" s="973" t="n"/>
      <c r="DB17" s="973" t="n"/>
      <c r="DC17" s="973" t="n"/>
      <c r="DD17" s="973" t="n"/>
      <c r="DE17" s="973" t="n"/>
      <c r="DF17" s="973" t="n"/>
      <c r="DG17" s="973" t="n"/>
      <c r="DH17" s="973" t="n"/>
      <c r="DI17" s="973" t="n"/>
      <c r="DJ17" s="973" t="n"/>
      <c r="DK17" s="973" t="n"/>
      <c r="DL17" s="973" t="n"/>
    </row>
    <row r="18">
      <c r="F18" s="1765" t="n"/>
      <c r="S18" s="973" t="n"/>
      <c r="T18" s="973" t="n"/>
      <c r="U18" s="973" t="n"/>
      <c r="V18" s="973" t="n"/>
      <c r="W18" s="973" t="n"/>
      <c r="X18" s="973" t="n"/>
      <c r="Y18" s="973" t="n"/>
      <c r="Z18" s="973" t="n"/>
      <c r="AA18" s="973" t="n"/>
      <c r="AB18" s="973" t="n"/>
      <c r="AE18" s="973" t="n"/>
      <c r="AN18" s="973" t="n"/>
      <c r="BB18" s="973" t="n"/>
      <c r="BJ18" s="973" t="n"/>
      <c r="BM18" s="973" t="n"/>
      <c r="BU18" s="973" t="n"/>
      <c r="BX18" s="973" t="n"/>
      <c r="CF18" s="973" t="n"/>
      <c r="CI18" s="973" t="n"/>
      <c r="CN18" s="3048" t="n"/>
      <c r="CQ18" s="973" t="n"/>
      <c r="CT18" s="973" t="n"/>
      <c r="DB18" s="973" t="n"/>
      <c r="DD18" s="973" t="n"/>
      <c r="DE18" s="973" t="n"/>
    </row>
    <row r="19">
      <c r="D19" s="973" t="n"/>
      <c r="S19" s="973" t="n"/>
      <c r="T19" s="973" t="n"/>
      <c r="U19" s="973" t="n"/>
      <c r="V19" s="973" t="n"/>
      <c r="W19" s="973" t="n"/>
      <c r="X19" s="973" t="n"/>
      <c r="Y19" s="973" t="n"/>
      <c r="Z19" s="973" t="n"/>
      <c r="AA19" s="973" t="n"/>
      <c r="AB19" s="973" t="n"/>
      <c r="AE19" s="973" t="n"/>
      <c r="AN19" s="973" t="n"/>
      <c r="BB19" s="973" t="n"/>
      <c r="BJ19" s="973" t="n"/>
      <c r="BM19" s="973" t="n"/>
      <c r="BU19" s="973" t="n"/>
      <c r="BX19" s="973" t="n"/>
      <c r="CF19" s="973" t="n"/>
      <c r="CI19" s="973" t="n"/>
      <c r="CN19" s="3048" t="n"/>
      <c r="CQ19" s="973" t="n"/>
      <c r="CT19" s="973" t="n"/>
      <c r="DB19" s="973" t="n"/>
      <c r="DD19" s="973" t="n"/>
      <c r="DE19" s="973" t="n"/>
    </row>
    <row r="20" ht="16.5" customHeight="1">
      <c r="D20" s="973" t="n"/>
      <c r="S20" s="973" t="n"/>
      <c r="T20" s="973" t="n"/>
      <c r="U20" s="1281" t="n"/>
      <c r="V20" s="973" t="n"/>
      <c r="W20" s="973" t="n"/>
      <c r="X20" s="973" t="n"/>
      <c r="Y20" s="973" t="n"/>
      <c r="Z20" s="973" t="n"/>
      <c r="AA20" s="973" t="n"/>
      <c r="AB20" s="973" t="n"/>
      <c r="AE20" s="973" t="n"/>
      <c r="AF20" s="973" t="n"/>
      <c r="AG20" s="973" t="n"/>
      <c r="AH20" s="973" t="n"/>
      <c r="AI20" s="973" t="n"/>
      <c r="AJ20" s="973" t="n"/>
      <c r="AK20" s="973" t="n"/>
      <c r="AL20" s="973" t="n"/>
      <c r="AM20" s="973" t="n"/>
      <c r="AN20" s="973" t="n"/>
      <c r="AQ20" s="973" t="n"/>
      <c r="AR20" s="973" t="n"/>
      <c r="AS20" s="973" t="n"/>
      <c r="AT20" s="973" t="n"/>
      <c r="AU20" s="973" t="n"/>
      <c r="AV20" s="973" t="n"/>
      <c r="AW20" s="973" t="n"/>
      <c r="AX20" s="973" t="n"/>
      <c r="AZ20" s="1325" t="inlineStr">
        <is>
          <t>Agroforestry systems</t>
        </is>
      </c>
      <c r="BB20" s="973" t="n"/>
      <c r="BC20" s="973" t="n"/>
      <c r="BD20" s="973" t="n"/>
      <c r="BE20" s="973" t="n"/>
      <c r="BF20" s="973" t="n"/>
      <c r="BG20" s="973" t="n"/>
      <c r="BH20" s="973" t="n"/>
      <c r="BI20" s="973" t="n"/>
      <c r="BJ20" s="973" t="n"/>
      <c r="BK20" s="973" t="n"/>
      <c r="BL20" s="973" t="n"/>
      <c r="BM20" s="973" t="n"/>
      <c r="BN20" s="973" t="n"/>
      <c r="BO20" s="973" t="n"/>
      <c r="BP20" s="973" t="n"/>
      <c r="BQ20" s="973" t="n"/>
      <c r="BR20" s="973" t="n"/>
      <c r="BS20" s="973" t="n"/>
      <c r="BT20" s="973" t="n"/>
      <c r="BU20" s="973" t="n"/>
      <c r="BV20" s="973" t="n"/>
      <c r="BW20" s="973" t="n"/>
      <c r="BX20" s="973" t="n"/>
      <c r="BY20" s="973" t="n"/>
      <c r="BZ20" s="973" t="n"/>
      <c r="CA20" s="973" t="n"/>
      <c r="CB20" s="973" t="n"/>
      <c r="CC20" s="973" t="n"/>
      <c r="CD20" s="973" t="n"/>
      <c r="CE20" s="973" t="n"/>
      <c r="CF20" s="973" t="n"/>
      <c r="CG20" s="973" t="n"/>
      <c r="CH20" s="973" t="n"/>
      <c r="CI20" s="973" t="n"/>
      <c r="CJ20" s="973" t="n"/>
      <c r="CK20" s="973" t="n"/>
      <c r="CL20" s="973" t="n"/>
      <c r="CM20" s="973" t="n"/>
      <c r="CN20" s="1688" t="n"/>
      <c r="CO20" s="973" t="n"/>
      <c r="CP20" s="973" t="n"/>
      <c r="CQ20" s="973" t="n"/>
      <c r="CR20" s="973" t="n"/>
      <c r="CS20" s="973" t="n"/>
      <c r="CT20" s="973" t="n"/>
      <c r="CU20" s="973" t="n"/>
      <c r="CV20" s="973" t="n"/>
      <c r="CW20" s="973" t="n"/>
      <c r="CX20" s="973" t="n"/>
      <c r="CY20" s="973" t="n"/>
      <c r="CZ20" s="973" t="n"/>
      <c r="DA20" s="973" t="n"/>
      <c r="DB20" s="973" t="n"/>
      <c r="DC20" s="973" t="n"/>
      <c r="DD20" s="973" t="n"/>
      <c r="DE20" s="973" t="n"/>
      <c r="DF20" s="973" t="n"/>
      <c r="DG20" s="973" t="n"/>
      <c r="DH20" s="973" t="n"/>
      <c r="DI20" s="973" t="n"/>
      <c r="DJ20" s="973" t="n"/>
      <c r="DK20" s="973" t="n"/>
      <c r="DL20" s="973" t="n"/>
    </row>
    <row r="21" ht="18.75" customHeight="1">
      <c r="D21" s="973" t="n"/>
      <c r="F21" s="1326" t="n"/>
      <c r="G21" s="1331" t="n"/>
      <c r="H21" s="1331" t="n"/>
      <c r="I21" s="1331" t="n"/>
      <c r="J21" s="1331" t="n"/>
      <c r="K21" s="1331" t="n"/>
      <c r="L21" s="1331" t="n"/>
      <c r="M21" s="1331" t="n"/>
      <c r="N21" s="1331" t="n"/>
      <c r="O21" s="1331" t="n"/>
      <c r="P21" s="1327" t="n"/>
      <c r="S21" s="1168" t="n"/>
      <c r="T21" s="1400" t="n"/>
      <c r="U21" s="1401" t="n"/>
      <c r="V21" s="1402" t="inlineStr">
        <is>
          <t>!!!!! END WITH PROJECT !!!!!</t>
        </is>
      </c>
      <c r="W21" s="1403" t="n"/>
      <c r="X21" s="1401" t="n"/>
      <c r="Y21" s="1401" t="n"/>
      <c r="Z21" s="1401" t="n"/>
      <c r="AA21" s="1404" t="n"/>
      <c r="AB21" s="973" t="n"/>
      <c r="AE21" s="973" t="n"/>
      <c r="AF21" s="1400" t="n"/>
      <c r="AG21" s="1401" t="n"/>
      <c r="AH21" s="1402" t="inlineStr">
        <is>
          <t>!!!!! START WITH PROJECT !!!!!</t>
        </is>
      </c>
      <c r="AI21" s="1403" t="n"/>
      <c r="AJ21" s="1401" t="n"/>
      <c r="AK21" s="1401" t="n"/>
      <c r="AL21" s="1401" t="n"/>
      <c r="AM21" s="1404" t="n"/>
      <c r="AN21" s="973" t="n"/>
      <c r="AQ21" s="973" t="n"/>
      <c r="AR21" s="1326" t="n"/>
      <c r="AS21" s="1328" t="inlineStr">
        <is>
          <t>END WITH  PROJECT</t>
        </is>
      </c>
      <c r="AT21" s="1329" t="n"/>
      <c r="AU21" s="1330" t="n"/>
      <c r="AV21" s="1331" t="n"/>
      <c r="AW21" s="1331" t="n"/>
      <c r="AX21" s="1327" t="n"/>
      <c r="AZ21" s="1345" t="inlineStr">
        <is>
          <t>Alley cropping</t>
        </is>
      </c>
      <c r="BB21" s="973" t="n"/>
      <c r="BC21" s="1326" t="n"/>
      <c r="BD21" s="1328" t="inlineStr">
        <is>
          <t>END WITH PROJECT</t>
        </is>
      </c>
      <c r="BE21" s="1329" t="n"/>
      <c r="BF21" s="1330" t="n"/>
      <c r="BG21" s="1331" t="n"/>
      <c r="BH21" s="1331" t="n"/>
      <c r="BI21" s="1327" t="n"/>
      <c r="BJ21" s="973" t="n"/>
      <c r="BM21" s="973" t="n"/>
      <c r="BN21" s="1326" t="n"/>
      <c r="BO21" s="1328" t="inlineStr">
        <is>
          <t>END WITH PROJECT</t>
        </is>
      </c>
      <c r="BP21" s="1329" t="n"/>
      <c r="BQ21" s="1330" t="n"/>
      <c r="BR21" s="1331" t="n"/>
      <c r="BS21" s="1331" t="n"/>
      <c r="BT21" s="1327" t="n"/>
      <c r="BU21" s="973" t="n"/>
      <c r="BX21" s="973" t="n"/>
      <c r="BY21" s="1326" t="n"/>
      <c r="BZ21" s="1328" t="inlineStr">
        <is>
          <t>END WITH  PROJECT</t>
        </is>
      </c>
      <c r="CA21" s="1329" t="n"/>
      <c r="CB21" s="1330" t="n"/>
      <c r="CC21" s="1331" t="n"/>
      <c r="CD21" s="1331" t="n"/>
      <c r="CE21" s="1327" t="n"/>
      <c r="CF21" s="973" t="n"/>
      <c r="CI21" s="973" t="n"/>
      <c r="CJ21" s="1326" t="n"/>
      <c r="CK21" s="1328" t="inlineStr">
        <is>
          <t>END WITH PROJECT</t>
        </is>
      </c>
      <c r="CL21" s="1329" t="n"/>
      <c r="CM21" s="1330" t="n"/>
      <c r="CN21" s="1361" t="n"/>
      <c r="CO21" s="1331" t="n"/>
      <c r="CP21" s="1327" t="n"/>
      <c r="CQ21" s="973" t="n"/>
      <c r="CT21" s="973" t="n"/>
      <c r="CU21" s="1326" t="n"/>
      <c r="CV21" s="1328" t="inlineStr">
        <is>
          <t>END WITH  PROJECT</t>
        </is>
      </c>
      <c r="CW21" s="1329" t="n"/>
      <c r="CX21" s="1330" t="n"/>
      <c r="CY21" s="1331" t="n"/>
      <c r="CZ21" s="1331" t="n"/>
      <c r="DA21" s="1327" t="n"/>
      <c r="DB21" s="973" t="n"/>
      <c r="DD21" s="973" t="n"/>
      <c r="DE21" s="973" t="n"/>
      <c r="DF21" s="1326" t="n"/>
      <c r="DG21" s="1328" t="inlineStr">
        <is>
          <t>END WITH  PROJECT</t>
        </is>
      </c>
      <c r="DH21" s="1329" t="n"/>
      <c r="DI21" s="1330" t="n"/>
      <c r="DJ21" s="1331" t="n"/>
      <c r="DK21" s="1331" t="n"/>
      <c r="DL21" s="1327" t="n"/>
    </row>
    <row r="22" ht="21" customHeight="1">
      <c r="D22" s="973" t="n"/>
      <c r="F22" s="1332" t="n"/>
      <c r="G22" s="1333" t="n"/>
      <c r="H22" s="1434" t="n"/>
      <c r="I22" s="1437" t="inlineStr">
        <is>
          <t>FINAL LAND USES ON MINERAL SOILS  -  WITH PROJECT</t>
        </is>
      </c>
      <c r="J22" s="1435" t="n"/>
      <c r="K22" s="1435" t="n"/>
      <c r="L22" s="1435" t="n"/>
      <c r="M22" s="1435" t="n"/>
      <c r="N22" s="1435" t="n"/>
      <c r="O22" s="1435" t="n"/>
      <c r="P22" s="1394" t="n"/>
      <c r="S22" s="1168" t="n"/>
      <c r="T22" s="3511" t="inlineStr">
        <is>
          <t>Area (ha)</t>
        </is>
      </c>
      <c r="U22" s="1408" t="inlineStr">
        <is>
          <t>Deforestation: FL converted to non-FL (with project scenario)</t>
        </is>
      </c>
      <c r="V22" s="1409" t="n"/>
      <c r="W22" s="1410" t="n"/>
      <c r="X22" s="1410" t="n"/>
      <c r="Y22" s="1410" t="n"/>
      <c r="Z22" s="1410" t="n"/>
      <c r="AA22" s="1411" t="n"/>
      <c r="AB22" s="973" t="n"/>
      <c r="AE22" s="973" t="n"/>
      <c r="AF22" s="1756" t="inlineStr">
        <is>
          <t>Area (ha)</t>
        </is>
      </c>
      <c r="AG22" s="1405" t="inlineStr">
        <is>
          <t>Afforestation:  non-FL converted to FL ( without project scenario)</t>
        </is>
      </c>
      <c r="AH22" s="1406" t="n"/>
      <c r="AI22" s="1407" t="n"/>
      <c r="AJ22" s="1407" t="n"/>
      <c r="AK22" s="1407" t="n"/>
      <c r="AL22" s="1407" t="n"/>
      <c r="AM22" s="1413" t="n"/>
      <c r="AN22" s="973" t="n"/>
      <c r="AQ22" s="973" t="n"/>
      <c r="AR22" s="1335" t="inlineStr">
        <is>
          <t>Area (ha)</t>
        </is>
      </c>
      <c r="AS22" s="1336" t="n"/>
      <c r="AT22" s="1337" t="n"/>
      <c r="AU22" s="1338" t="n"/>
      <c r="AV22" s="1338" t="n"/>
      <c r="AW22" s="1338" t="n"/>
      <c r="AX22" s="1339" t="n"/>
      <c r="AZ22" s="1345" t="inlineStr">
        <is>
          <t>Hedgerow</t>
        </is>
      </c>
      <c r="BB22" s="973" t="n"/>
      <c r="BC22" s="1335" t="inlineStr">
        <is>
          <t>Area (ha)</t>
        </is>
      </c>
      <c r="BD22" s="1336" t="n"/>
      <c r="BE22" s="1337" t="n"/>
      <c r="BF22" s="1338" t="n"/>
      <c r="BG22" s="1338" t="n"/>
      <c r="BH22" s="1338" t="n"/>
      <c r="BI22" s="1339" t="n"/>
      <c r="BJ22" s="973" t="n"/>
      <c r="BM22" s="973" t="n"/>
      <c r="BN22" s="1335" t="inlineStr">
        <is>
          <t>Area (ha)</t>
        </is>
      </c>
      <c r="BO22" s="1336" t="n"/>
      <c r="BP22" s="1337" t="n"/>
      <c r="BQ22" s="1338" t="n"/>
      <c r="BR22" s="1338" t="n"/>
      <c r="BS22" s="1338" t="n"/>
      <c r="BT22" s="1339" t="n"/>
      <c r="BU22" s="973" t="n"/>
      <c r="BX22" s="973" t="n"/>
      <c r="BY22" s="1335" t="inlineStr">
        <is>
          <t>Area (ha)</t>
        </is>
      </c>
      <c r="BZ22" s="1336" t="n"/>
      <c r="CA22" s="1337" t="n"/>
      <c r="CB22" s="1338" t="n"/>
      <c r="CC22" s="1338" t="n"/>
      <c r="CD22" s="1338" t="n"/>
      <c r="CE22" s="1339" t="n"/>
      <c r="CF22" s="973" t="n"/>
      <c r="CI22" s="973" t="n"/>
      <c r="CJ22" s="1335" t="inlineStr">
        <is>
          <t>Area (ha)</t>
        </is>
      </c>
      <c r="CK22" s="1336" t="n"/>
      <c r="CL22" s="1337" t="n"/>
      <c r="CM22" s="1338" t="n"/>
      <c r="CN22" s="1337" t="n"/>
      <c r="CO22" s="1338" t="n"/>
      <c r="CP22" s="1339" t="n"/>
      <c r="CQ22" s="973" t="n"/>
      <c r="CT22" s="973" t="n"/>
      <c r="CU22" s="1335" t="inlineStr">
        <is>
          <t>Area (ha)</t>
        </is>
      </c>
      <c r="CV22" s="1336" t="n"/>
      <c r="CW22" s="1337" t="n"/>
      <c r="CX22" s="1338" t="n"/>
      <c r="CY22" s="1338" t="n"/>
      <c r="CZ22" s="1338" t="n"/>
      <c r="DA22" s="1339" t="n"/>
      <c r="DB22" s="973" t="n"/>
      <c r="DD22" s="973" t="n"/>
      <c r="DE22" s="973" t="n"/>
      <c r="DF22" s="1335" t="inlineStr">
        <is>
          <t>Area (ha)</t>
        </is>
      </c>
      <c r="DG22" s="1336" t="n"/>
      <c r="DH22" s="1337" t="n"/>
      <c r="DI22" s="1338" t="n"/>
      <c r="DJ22" s="1338" t="n"/>
      <c r="DK22" s="1338" t="n"/>
      <c r="DL22" s="1339" t="n"/>
    </row>
    <row r="23" ht="33.75" customHeight="1">
      <c r="D23" s="973" t="n"/>
      <c r="F23" s="1351" t="n"/>
      <c r="G23" s="1352" t="inlineStr">
        <is>
          <t>IPCC class</t>
        </is>
      </c>
      <c r="H23" s="1432" t="inlineStr">
        <is>
          <t>EX-ACT class</t>
        </is>
      </c>
      <c r="I23" s="1374" t="inlineStr">
        <is>
          <t>Primary (Natural)/Planted</t>
        </is>
      </c>
      <c r="J23" s="1374" t="inlineStr">
        <is>
          <t>Annual</t>
        </is>
      </c>
      <c r="K23" s="1374" t="inlineStr">
        <is>
          <t>Perennial</t>
        </is>
      </c>
      <c r="L23" s="1374" t="inlineStr">
        <is>
          <t>Flooded rice</t>
        </is>
      </c>
      <c r="M23" s="1374">
        <f>H28</f>
        <v/>
      </c>
      <c r="N23" s="1374" t="inlineStr">
        <is>
          <t>Degraded land</t>
        </is>
      </c>
      <c r="O23" s="1374" t="inlineStr">
        <is>
          <t>Other land (non-vegetated)</t>
        </is>
      </c>
      <c r="P23" s="1433" t="inlineStr">
        <is>
          <t>Total area (ha)</t>
        </is>
      </c>
      <c r="S23" s="1168" t="n"/>
      <c r="T23" s="1303" t="inlineStr">
        <is>
          <t>With project</t>
        </is>
      </c>
      <c r="U23" s="1750" t="inlineStr">
        <is>
          <t>Agroforestry</t>
        </is>
      </c>
      <c r="V23" s="1750" t="inlineStr">
        <is>
          <t>Annual cropland</t>
        </is>
      </c>
      <c r="W23" s="1750" t="inlineStr">
        <is>
          <t>Annual fallow</t>
        </is>
      </c>
      <c r="X23" s="1750" t="inlineStr">
        <is>
          <t>Degraded land</t>
        </is>
      </c>
      <c r="Y23" s="1750" t="inlineStr">
        <is>
          <t>Flooded rice</t>
        </is>
      </c>
      <c r="Z23" s="1750" t="inlineStr">
        <is>
          <t>Grassland</t>
        </is>
      </c>
      <c r="AA23" s="1751" t="inlineStr">
        <is>
          <t>Other land (non-vegetated)</t>
        </is>
      </c>
      <c r="AB23" s="973" t="n"/>
      <c r="AE23" s="973" t="n"/>
      <c r="AF23" s="1757" t="inlineStr">
        <is>
          <t>With  project</t>
        </is>
      </c>
      <c r="AG23" s="1762" t="inlineStr">
        <is>
          <t>Agroforestry</t>
        </is>
      </c>
      <c r="AH23" s="1763" t="inlineStr">
        <is>
          <t>Annual cropland</t>
        </is>
      </c>
      <c r="AI23" s="1763" t="inlineStr">
        <is>
          <t>Annual fallow</t>
        </is>
      </c>
      <c r="AJ23" s="1763" t="inlineStr">
        <is>
          <t>Degraded land</t>
        </is>
      </c>
      <c r="AK23" s="1763" t="inlineStr">
        <is>
          <t>Flooded rice</t>
        </is>
      </c>
      <c r="AL23" s="1763" t="inlineStr">
        <is>
          <t>Grassland</t>
        </is>
      </c>
      <c r="AM23" s="1764" t="inlineStr">
        <is>
          <t>Other land (non-vegetated)</t>
        </is>
      </c>
      <c r="AN23" s="973" t="n"/>
      <c r="AQ23" s="973" t="n"/>
      <c r="AR23" s="1342" t="inlineStr">
        <is>
          <t>WITH project</t>
        </is>
      </c>
      <c r="AS23" s="1343" t="inlineStr">
        <is>
          <t>Annual fallow</t>
        </is>
      </c>
      <c r="AT23" s="1347" t="inlineStr">
        <is>
          <t>Degraded land</t>
        </is>
      </c>
      <c r="AU23" s="1347" t="inlineStr">
        <is>
          <t>Flooded rice</t>
        </is>
      </c>
      <c r="AV23" s="1347" t="inlineStr">
        <is>
          <t>Grassland</t>
        </is>
      </c>
      <c r="AW23" s="1347" t="inlineStr">
        <is>
          <t>Other land (non-vegetated)</t>
        </is>
      </c>
      <c r="AX23" s="1341" t="inlineStr">
        <is>
          <t>Agroforestry</t>
        </is>
      </c>
      <c r="AZ23" s="1345" t="inlineStr">
        <is>
          <t>Multistrata</t>
        </is>
      </c>
      <c r="BB23" s="973" t="n"/>
      <c r="BC23" s="1342" t="inlineStr">
        <is>
          <t>WITH  project</t>
        </is>
      </c>
      <c r="BD23" s="1346" t="inlineStr">
        <is>
          <t>Annual cropland</t>
        </is>
      </c>
      <c r="BE23" s="1347" t="inlineStr">
        <is>
          <t>Annual fallow</t>
        </is>
      </c>
      <c r="BF23" s="1347" t="inlineStr">
        <is>
          <t>Degraded land</t>
        </is>
      </c>
      <c r="BG23" s="1347" t="inlineStr">
        <is>
          <t>Flooded rice</t>
        </is>
      </c>
      <c r="BH23" s="1347" t="inlineStr">
        <is>
          <t>Grassland</t>
        </is>
      </c>
      <c r="BI23" s="1348" t="inlineStr">
        <is>
          <t>Other land (non-vegetated)</t>
        </is>
      </c>
      <c r="BJ23" s="973" t="n"/>
      <c r="BM23" s="973" t="n"/>
      <c r="BN23" s="1342" t="inlineStr">
        <is>
          <t>WITH  project</t>
        </is>
      </c>
      <c r="BO23" s="1346" t="inlineStr">
        <is>
          <t>Annual cropland</t>
        </is>
      </c>
      <c r="BP23" s="1347" t="inlineStr">
        <is>
          <t>Annual fallow</t>
        </is>
      </c>
      <c r="BQ23" s="1347" t="inlineStr">
        <is>
          <t>Degraded land</t>
        </is>
      </c>
      <c r="BR23" s="1347" t="inlineStr">
        <is>
          <t>Agroforestry</t>
        </is>
      </c>
      <c r="BS23" s="1347" t="inlineStr">
        <is>
          <t>Grassland</t>
        </is>
      </c>
      <c r="BT23" s="1347" t="inlineStr">
        <is>
          <t>Other land (non-vegetated)</t>
        </is>
      </c>
      <c r="BU23" s="973" t="n"/>
      <c r="BX23" s="973" t="n"/>
      <c r="BY23" s="1349" t="inlineStr">
        <is>
          <t>WITH  project</t>
        </is>
      </c>
      <c r="BZ23" s="1346" t="inlineStr">
        <is>
          <t>Annual cropland</t>
        </is>
      </c>
      <c r="CA23" s="1347" t="inlineStr">
        <is>
          <t>Flooded rice</t>
        </is>
      </c>
      <c r="CB23" s="1347" t="inlineStr">
        <is>
          <t>Degraded land</t>
        </is>
      </c>
      <c r="CC23" s="1347" t="inlineStr">
        <is>
          <t>Agroforestry</t>
        </is>
      </c>
      <c r="CD23" s="1347" t="inlineStr">
        <is>
          <t>Grassland</t>
        </is>
      </c>
      <c r="CE23" s="1347" t="inlineStr">
        <is>
          <t>Other land (non-vegetated)</t>
        </is>
      </c>
      <c r="CF23" s="973" t="n"/>
      <c r="CI23" s="973" t="n"/>
      <c r="CJ23" s="1349" t="inlineStr">
        <is>
          <t>WITH  project</t>
        </is>
      </c>
      <c r="CK23" s="1346" t="inlineStr">
        <is>
          <t>Annual cropland</t>
        </is>
      </c>
      <c r="CL23" s="1347" t="inlineStr">
        <is>
          <t>Flooded rice</t>
        </is>
      </c>
      <c r="CM23" s="1347" t="inlineStr">
        <is>
          <t>Degraded land</t>
        </is>
      </c>
      <c r="CN23" s="1350" t="inlineStr">
        <is>
          <t>Agroforestry</t>
        </is>
      </c>
      <c r="CO23" s="1347" t="inlineStr">
        <is>
          <t>Annual fallow</t>
        </is>
      </c>
      <c r="CP23" s="1347" t="inlineStr">
        <is>
          <t>Other land (non-vegetated)</t>
        </is>
      </c>
      <c r="CQ23" s="973" t="n"/>
      <c r="CT23" s="973" t="n"/>
      <c r="CU23" s="1349" t="inlineStr">
        <is>
          <t>WITH project</t>
        </is>
      </c>
      <c r="CV23" s="1346" t="inlineStr">
        <is>
          <t>Annual cropland</t>
        </is>
      </c>
      <c r="CW23" s="1347" t="inlineStr">
        <is>
          <t>Flooded rice</t>
        </is>
      </c>
      <c r="CX23" s="1347" t="inlineStr">
        <is>
          <t>Grassland</t>
        </is>
      </c>
      <c r="CY23" s="1347" t="inlineStr">
        <is>
          <t>Agroforestry</t>
        </is>
      </c>
      <c r="CZ23" s="1347" t="inlineStr">
        <is>
          <t>Annual fallow</t>
        </is>
      </c>
      <c r="DA23" s="1347" t="inlineStr">
        <is>
          <t>Other land (non-vegetated)</t>
        </is>
      </c>
      <c r="DB23" s="973" t="n"/>
      <c r="DD23" s="973" t="n"/>
      <c r="DE23" s="973" t="n"/>
      <c r="DF23" s="1349" t="inlineStr">
        <is>
          <t>WITH  project</t>
        </is>
      </c>
      <c r="DG23" s="1346" t="inlineStr">
        <is>
          <t>Annual cropland</t>
        </is>
      </c>
      <c r="DH23" s="1347" t="inlineStr">
        <is>
          <t>Flooded rice</t>
        </is>
      </c>
      <c r="DI23" s="1347" t="inlineStr">
        <is>
          <t>Grassland</t>
        </is>
      </c>
      <c r="DJ23" s="1347" t="inlineStr">
        <is>
          <t>Agroforestry</t>
        </is>
      </c>
      <c r="DK23" s="1347" t="inlineStr">
        <is>
          <t>Annual fallow</t>
        </is>
      </c>
      <c r="DL23" s="1350" t="inlineStr">
        <is>
          <t>Degraded land</t>
        </is>
      </c>
    </row>
    <row r="24">
      <c r="D24" s="973" t="n"/>
      <c r="F24" s="1362" t="n"/>
      <c r="G24" s="1352" t="inlineStr">
        <is>
          <t>Forest land</t>
        </is>
      </c>
      <c r="H24" s="1386" t="inlineStr">
        <is>
          <t>Primary (Natural)/Planted Forest</t>
        </is>
      </c>
      <c r="I24" s="1438">
        <f>SUM(defo!$B35:$B42)-SUM(defo!$H35:$H42)+SUM(degradation!$D55:$D62)+Coastal!$AA$14+Coastal!$AA$16+Coastal!$AA$73+Coastal!$AA$75</f>
        <v/>
      </c>
      <c r="J24" s="3137">
        <f>$V$32</f>
        <v/>
      </c>
      <c r="K24" s="3137">
        <f>$U$32</f>
        <v/>
      </c>
      <c r="L24" s="3137">
        <f>$Y$32</f>
        <v/>
      </c>
      <c r="M24" s="3137">
        <f>$Z$32</f>
        <v/>
      </c>
      <c r="N24" s="3137">
        <f>$X$32</f>
        <v/>
      </c>
      <c r="O24" s="3137">
        <f>$AA$32+$W$32</f>
        <v/>
      </c>
      <c r="P24" s="3138">
        <f>SUM(I24:O24)</f>
        <v/>
      </c>
      <c r="S24" s="1168" t="n"/>
      <c r="T24" s="1688" t="n"/>
      <c r="U24" s="1415">
        <f>IF('2.LUC'!$I11 = U$23, 1,0)* defo!$H35</f>
        <v/>
      </c>
      <c r="V24" s="1416">
        <f>IF('2.LUC'!$I11 = V$23, 1,0)* defo!$H35</f>
        <v/>
      </c>
      <c r="W24" s="1416">
        <f>IF('2.LUC'!$I11 = W$23, 1,0)* defo!$H35</f>
        <v/>
      </c>
      <c r="X24" s="1416">
        <f>IF('2.LUC'!$I11 = X$23, 1,0)* defo!$H35</f>
        <v/>
      </c>
      <c r="Y24" s="1416">
        <f>IF('2.LUC'!$I11 = Y$23, 1,0)* defo!$H35</f>
        <v/>
      </c>
      <c r="Z24" s="1416">
        <f>IF('2.LUC'!$I11 = Z$23, 1,0)* defo!$H35</f>
        <v/>
      </c>
      <c r="AA24" s="1417">
        <f>IF('2.LUC'!$I11 = AA$23, 1,0)* defo!$H35</f>
        <v/>
      </c>
      <c r="AB24" s="973" t="n"/>
      <c r="AE24" s="1168" t="n"/>
      <c r="AF24" s="1414" t="n"/>
      <c r="AG24" s="1415">
        <f>IF(AG$23 = '2.LUC'!$I36, '2.LUC'!$P36, 0)</f>
        <v/>
      </c>
      <c r="AH24" s="1416">
        <f>IF(AH$23='2.LUC'!$I36, '2.LUC'!$P36,0)</f>
        <v/>
      </c>
      <c r="AI24" s="1416">
        <f>IF(AI$23='2.LUC'!$I36, '2.LUC'!$P36, 0)</f>
        <v/>
      </c>
      <c r="AJ24" s="1416">
        <f>IF(AJ$23='2.LUC'!$I36, '2.LUC'!$P36, 0)</f>
        <v/>
      </c>
      <c r="AK24" s="1416">
        <f>IF(AK$23='2.LUC'!$I36, '2.LUC'!$P36, 0)</f>
        <v/>
      </c>
      <c r="AL24" s="1416">
        <f>IF(AL$23 = '2.LUC'!$I36, '2.LUC'!$P36, 0)</f>
        <v/>
      </c>
      <c r="AM24" s="1417">
        <f>IF(AM$23 = '2.LUC'!$I36, '2.LUC'!$P36, 0)</f>
        <v/>
      </c>
      <c r="AN24" s="973" t="n"/>
      <c r="AQ24" s="973" t="n"/>
      <c r="AR24" s="1351" t="n"/>
      <c r="AS24" s="1358">
        <f>IF(LEFT('2.LUC'!$I61,8)=LEFT($AR$26,8),IF(LEFT('2.LUC'!$K61,8)=LEFT(AS$23,8), luc!$E41,0),0)</f>
        <v/>
      </c>
      <c r="AT24" s="1356">
        <f>IF(LEFT('2.LUC'!$I61,8)=LEFT($AR$26,8),IF(LEFT('2.LUC'!$K61,8)=LEFT(AT$23,8), luc!$E41,0),0)</f>
        <v/>
      </c>
      <c r="AU24" s="1356">
        <f>IF(LEFT('2.LUC'!$I61,8)=LEFT($AR$26,8),IF(LEFT('2.LUC'!$K61,8)=LEFT(AU$23,8), luc!$E41,0),0)</f>
        <v/>
      </c>
      <c r="AV24" s="1356">
        <f>IF(LEFT('2.LUC'!$I61,8)=LEFT($AR$26,8),IF(LEFT('2.LUC'!$K61,8)=LEFT(AV$23,8), luc!$E41,0),0)</f>
        <v/>
      </c>
      <c r="AW24" s="1356">
        <f>IF(LEFT('2.LUC'!$I61,8)=LEFT($AR$26,8),IF(LEFT('2.LUC'!$K61,8)=LEFT(AW$23,8), luc!$E41,0),0)</f>
        <v/>
      </c>
      <c r="AX24" s="1356">
        <f>IF(LEFT('2.LUC'!$I61,8)=LEFT($AR$26,8),IF((OR(LEFT('2.LUC'!$K61,8)=LEFT(AX$23,8),LEFT('2.LUC'!$K61,8)=LEFT(AZ$3,8),LEFT('2.LUC'!$K61,8)=LEFT(AZ$3,9),LEFT('2.LUC'!$K61,8)=LEFT(AZ$4,9),LEFT('2.LUC'!$K61,8)=LEFT(AZ$5,8),LEFT('2.LUC'!$K61,8)=LEFT(AZ$6,8),LEFT('2.LUC'!$K61,8)=LEFT(AZ$7,8),LEFT('2.LUC'!$K61,8)=LEFT(AZ$8,8), LEFT('2.LUC'!$K61,8)=LEFT(AZ$9,8),  LEFT('2.LUC'!$K61,8)=LEFT(AZ$10,8), LEFT('2.LUC'!$K61,8)=LEFT(AZ$11,8),   LEFT('2.LUC'!$K61,8)=LEFT(AZ$12,8), LEFT('2.LUC'!$K61,8)=LEFT(AZ$13,8), LEFT('2.LUC'!$K61,8)=LEFT(AZ$14,8), LEFT('2.LUC'!$K61,8)=LEFT(AZ$15,8), LEFT('2.LUC'!$K61,8)=LEFT(AZ$16,8), LEFT('2.LUC'!$K61,8)=LEFT(AZ$17,8))),luc!$E41,0),0)</f>
        <v/>
      </c>
      <c r="AZ24" s="1345" t="inlineStr">
        <is>
          <t>Oil palm</t>
        </is>
      </c>
      <c r="BB24" s="973" t="n"/>
      <c r="BC24" s="1351" t="n"/>
      <c r="BD24" s="1358">
        <f>IF((OR(LEFT('2.LUC'!$I61,8)=LEFT(Matrix!$BC$26,8), LEFT('2.LUC'!$I61,8)=LEFT(Matrix!AZ$3,8), LEFT('2.LUC'!$I61,8)=LEFT(Matrix!AZ$4,8), LEFT('2.LUC'!$I61,8)=LEFT(Matrix!AZ$5,8), LEFT('2.LUC'!$I61,8)=LEFT(Matrix!AZ$6,8), LEFT('2.LUC'!$I61,8)=LEFT(Matrix!AZ$7,8),  LEFT('2.LUC'!$I61,8)=LEFT(Matrix!AZ$8,8), LEFT('2.LUC'!$I61,8)=LEFT(Matrix!AZ$9,8), LEFT('2.LUC'!$I61,8)=LEFT(Matrix!AZ$10,8), LEFT('2.LUC'!$I61,8)=LEFT(Matrix!AZ$11,8), LEFT('2.LUC'!$I61,8)=LEFT(Matrix!AZ$12,8), LEFT('2.LUC'!$I61,8)=LEFT(Matrix!AZ$13,8), LEFT('2.LUC'!$I61,8)=LEFT(Matrix!AZ$14,8), LEFT('2.LUC'!$I61,8)=LEFT(Matrix!AZ$15,8), LEFT('2.LUC'!$I61,8)=LEFT(Matrix!AZ$16,8), LEFT('2.LUC'!$I61,8)=LEFT(Matrix!AZ$17,8))), IF(LEFT('2.LUC'!$K61,8)=LEFT(Matrix!BD$23,8), '2.LUC'!$P61, 0),0)</f>
        <v/>
      </c>
      <c r="BE24" s="1356">
        <f>IF((OR(LEFT('2.LUC'!$I61,8)=LEFT(Matrix!$BC$26,8), LEFT('2.LUC'!$I61,8)=LEFT(Matrix!AZ$3,8), LEFT('2.LUC'!$I61,8)=LEFT(Matrix!AZ$4,8), LEFT('2.LUC'!$I61,8)=LEFT(Matrix!AZ$5,8), LEFT('2.LUC'!$I61,8)=LEFT(Matrix!AZ$6,8), LEFT('2.LUC'!$I61,8)=LEFT(Matrix!AZ$7,8),  LEFT('2.LUC'!$I61,8)=LEFT(Matrix!AZ$8,8), LEFT('2.LUC'!$I61,8)=LEFT(Matrix!AZ$9,8), LEFT('2.LUC'!$I61,8)=LEFT(Matrix!AZ$10,8), LEFT('2.LUC'!$I61,8)=LEFT(Matrix!AZ$11,8), LEFT('2.LUC'!$I61,8)=LEFT(Matrix!AZ$12,8), LEFT('2.LUC'!$I61,8)=LEFT(Matrix!AZ$13,8), LEFT('2.LUC'!$I61,8)=LEFT(Matrix!AZ$14,8), LEFT('2.LUC'!$I61,8)=LEFT(Matrix!AZ$15,8), LEFT('2.LUC'!$I61,8)=LEFT(Matrix!AZ$16,8), LEFT('2.LUC'!$I61,8)=LEFT(Matrix!AZ$17,8))), IF(LEFT('2.LUC'!$K61,8)=LEFT(Matrix!BE$23,8), '2.LUC'!$P61, 0),0)</f>
        <v/>
      </c>
      <c r="BF24" s="1356">
        <f>IF((OR(LEFT('2.LUC'!$I61,8)=LEFT(Matrix!$BC$26,8), LEFT('2.LUC'!$I61,8)=LEFT(Matrix!AZ$3,8), LEFT('2.LUC'!$I61,8)=LEFT(Matrix!AZ$4,8), LEFT('2.LUC'!$I61,8)=LEFT(Matrix!AZ$5,8), LEFT('2.LUC'!$I61,8)=LEFT(Matrix!AZ$6,8), LEFT('2.LUC'!$I61,8)=LEFT(Matrix!AZ$7,8),  LEFT('2.LUC'!$I61,8)=LEFT(Matrix!AZ$8,8), LEFT('2.LUC'!$I61,8)=LEFT(Matrix!AZ$9,8), LEFT('2.LUC'!$I61,8)=LEFT(Matrix!AZ$10,8), LEFT('2.LUC'!$I61,8)=LEFT(Matrix!AZ$11,8), LEFT('2.LUC'!$I61,8)=LEFT(Matrix!AZ$12,8), LEFT('2.LUC'!$I61,8)=LEFT(Matrix!AZ$13,8), LEFT('2.LUC'!$I61,8)=LEFT(Matrix!AZ$14,8), LEFT('2.LUC'!$I61,8)=LEFT(Matrix!AZ$15,8), LEFT('2.LUC'!$I61,8)=LEFT(Matrix!AZ$16,8), LEFT('2.LUC'!$I61,8)=LEFT(Matrix!AZ$17,8))), IF(LEFT('2.LUC'!$K61,8)=LEFT(Matrix!BF$23,8), '2.LUC'!$P61, 0),0)</f>
        <v/>
      </c>
      <c r="BG24" s="1356">
        <f>IF((OR(LEFT('2.LUC'!$I61,8)=LEFT(Matrix!$BC$26,8), LEFT('2.LUC'!$I61,8)=LEFT(Matrix!AZ$3,8), LEFT('2.LUC'!$I61,8)=LEFT(Matrix!AZ$4,8), LEFT('2.LUC'!$I61,8)=LEFT(Matrix!AZ$5,8), LEFT('2.LUC'!$I61,8)=LEFT(Matrix!AZ$6,8), LEFT('2.LUC'!$I61,8)=LEFT(Matrix!AZ$7,8),  LEFT('2.LUC'!$I61,8)=LEFT(Matrix!AZ$8,8), LEFT('2.LUC'!$I61,8)=LEFT(Matrix!AZ$9,8), LEFT('2.LUC'!$I61,8)=LEFT(Matrix!AZ$10,8), LEFT('2.LUC'!$I61,8)=LEFT(Matrix!AZ$11,8), LEFT('2.LUC'!$I61,8)=LEFT(Matrix!AZ$12,8), LEFT('2.LUC'!$I61,8)=LEFT(Matrix!AZ$13,8), LEFT('2.LUC'!$I61,8)=LEFT(Matrix!AZ$14,8), LEFT('2.LUC'!$I61,8)=LEFT(Matrix!AZ$15,8), LEFT('2.LUC'!$I61,8)=LEFT(Matrix!AZ$16,8), LEFT('2.LUC'!$I61,8)=LEFT(Matrix!AZ$17,8))), IF(LEFT('2.LUC'!$K61,8)=LEFT(Matrix!BG$23,8), '2.LUC'!$P61, 0),0)</f>
        <v/>
      </c>
      <c r="BH24" s="1356">
        <f>IF((OR(LEFT('2.LUC'!$I61,8)=LEFT(Matrix!$BC$26,8), LEFT('2.LUC'!$I61,8)=LEFT(Matrix!AZ$3,8), LEFT('2.LUC'!$I61,8)=LEFT(Matrix!AZ$4,8), LEFT('2.LUC'!$I61,8)=LEFT(Matrix!AZ$5,8), LEFT('2.LUC'!$I61,8)=LEFT(Matrix!AZ$6,8), LEFT('2.LUC'!$I61,8)=LEFT(Matrix!AZ$7,8),  LEFT('2.LUC'!$I61,8)=LEFT(Matrix!AZ$8,8), LEFT('2.LUC'!$I61,8)=LEFT(Matrix!AZ$9,8), LEFT('2.LUC'!$I61,8)=LEFT(Matrix!AZ$10,8), LEFT('2.LUC'!$I61,8)=LEFT(Matrix!AZ$11,8), LEFT('2.LUC'!$I61,8)=LEFT(Matrix!AZ$12,8), LEFT('2.LUC'!$I61,8)=LEFT(Matrix!AZ$13,8), LEFT('2.LUC'!$I61,8)=LEFT(Matrix!AZ$14,8), LEFT('2.LUC'!$I61,8)=LEFT(Matrix!AZ$15,8), LEFT('2.LUC'!$I61,8)=LEFT(Matrix!AZ$16,8), LEFT('2.LUC'!$I61,8)=LEFT(Matrix!AZ$17,8))), IF(LEFT('2.LUC'!$K61,8)=LEFT(Matrix!BH$23,8), '2.LUC'!$P61, 0),0)</f>
        <v/>
      </c>
      <c r="BI24" s="1356">
        <f>IF((OR(LEFT('2.LUC'!$I61,8)=LEFT(Matrix!$BC$26,8), LEFT('2.LUC'!$I61,8)=LEFT(Matrix!AZ$3,8), LEFT('2.LUC'!$I61,8)=LEFT(Matrix!AZ$4,8), LEFT('2.LUC'!$I61,8)=LEFT(Matrix!AZ$5,8), LEFT('2.LUC'!$I61,8)=LEFT(Matrix!AZ$6,8), LEFT('2.LUC'!$I61,8)=LEFT(Matrix!AZ$7,8),  LEFT('2.LUC'!$I61,8)=LEFT(Matrix!AZ$8,8), LEFT('2.LUC'!$I61,8)=LEFT(Matrix!AZ$9,8), LEFT('2.LUC'!$I61,8)=LEFT(Matrix!AZ$10,8), LEFT('2.LUC'!$I61,8)=LEFT(Matrix!AZ$11,8), LEFT('2.LUC'!$I61,8)=LEFT(Matrix!AZ$12,8), LEFT('2.LUC'!$I61,8)=LEFT(Matrix!AZ$13,8), LEFT('2.LUC'!$I61,8)=LEFT(Matrix!AZ$14,8), LEFT('2.LUC'!$I61,8)=LEFT(Matrix!AZ$15,8), LEFT('2.LUC'!$I61,8)=LEFT(Matrix!AZ$16,8), LEFT('2.LUC'!$I61,8)=LEFT(Matrix!AZ$17,8))), IF(LEFT('2.LUC'!$K61,8)=LEFT(Matrix!BI$23,8), '2.LUC'!$P61, 0),0)</f>
        <v/>
      </c>
      <c r="BJ24" s="973" t="n"/>
      <c r="BM24" s="973" t="n"/>
      <c r="BN24" s="1351" t="n"/>
      <c r="BO24" s="1356">
        <f>IF(LEFT('2.LUC'!$I61,8)=LEFT($BN$26,8),IF(LEFT('2.LUC'!$K61,8)=LEFT(BO$23,8), luc!$E41,0),0)</f>
        <v/>
      </c>
      <c r="BP24" s="1356">
        <f>IF(LEFT('2.LUC'!$I61,8)=LEFT($BN$26,8),IF(LEFT('2.LUC'!$K61,8)=LEFT(BP$23,8), luc!$E41,0),0)</f>
        <v/>
      </c>
      <c r="BQ24" s="1356">
        <f>IF(LEFT('2.LUC'!$I61,8)=LEFT($BN$26,8),IF(LEFT('2.LUC'!$K61,8)=LEFT(BQ$23,8), luc!$E41,0),0)</f>
        <v/>
      </c>
      <c r="BR24" s="1360">
        <f>IF(LEFT('2.LUC'!$I61,8)=LEFT($BN$26,8),IF((OR(LEFT('2.LUC'!$K61,8)=LEFT(BR$23,8),LEFT('2.LUC'!$K61,8)=LEFT(AZ$3,8), LEFT('2.LUC'!$K61,8)=LEFT(AZ$4,9),LEFT('2.LUC'!$K61,8)=LEFT(AZ$5,8),LEFT('2.LUC'!$K61,8)=LEFT(AZ$6,8),LEFT('2.LUC'!$K61,8)=LEFT(AZ$7,8),LEFT('2.LUC'!$K61,8)=LEFT(AZ$8,8), LEFT('2.LUC'!$K61,8)=LEFT(AZ$9,8),  LEFT('2.LUC'!$K61,8)=LEFT(AZ$10,8), LEFT('2.LUC'!$K61,8)=LEFT(AZ$11,8),   LEFT('2.LUC'!$K61,8)=LEFT(AZ$12,8), LEFT('2.LUC'!$K61,8)=LEFT(AZ$13,8), LEFT('2.LUC'!$K61,8)=LEFT(AZ$14,8), LEFT('2.LUC'!$K61,8)=LEFT(AZ$15,8), LEFT('2.LUC'!$K61,8)=LEFT(AZ$16,8), LEFT('2.LUC'!$K61,8)=LEFT(AZ$17,8))), luc!$E41,0),0)</f>
        <v/>
      </c>
      <c r="BS24" s="1360">
        <f>IF(LEFT('2.LUC'!$I61,8)=LEFT($BN$26,8),IF(LEFT('2.LUC'!$K61,8)=LEFT(BS$23,8), luc!$E41,0),0)</f>
        <v/>
      </c>
      <c r="BT24" s="1356">
        <f>IF(LEFT('2.LUC'!$I61,8)=LEFT($BN$26,8),IF(LEFT('2.LUC'!$K61,8)=LEFT(BT$23,8), luc!$E41,0),0)</f>
        <v/>
      </c>
      <c r="BU24" s="973" t="n"/>
      <c r="BX24" s="973" t="n"/>
      <c r="BY24" s="1359" t="n"/>
      <c r="BZ24" s="1360">
        <f>IF(LEFT('2.LUC'!$I61,8)=LEFT($BY$26,8),IF(LEFT('2.LUC'!$K61,8)=LEFT(BZ$23,8), luc!$E41,0),0)</f>
        <v/>
      </c>
      <c r="CA24" s="1360">
        <f>IF(LEFT('2.LUC'!$I61,8)=LEFT($BY$26,8),IF(LEFT('2.LUC'!$K61,8)=LEFT(CA$23,8), luc!$E41,0),0)</f>
        <v/>
      </c>
      <c r="CB24" s="1360">
        <f>IF(LEFT('2.LUC'!$I61,8)=LEFT($BY$26,8),IF(LEFT('2.LUC'!$K61,8)=LEFT(CB$23,8), luc!$E41,0),0)</f>
        <v/>
      </c>
      <c r="CC24" s="1360">
        <f>IF(LEFT('2.LUC'!$I61,8)=LEFT($BY$26,8),IF((OR(LEFT('2.LUC'!$K61,8)=LEFT(CC$23,8),LEFT('2.LUC'!$K61,8)=LEFT(AZ$3,8), LEFT('2.LUC'!$K61,8)=LEFT(AZ$4,8),LEFT('2.LUC'!$K61,8)=LEFT(AZ$5,8),LEFT('2.LUC'!$K61,8)=LEFT(AZ$6,8),LEFT('2.LUC'!$K61,8)=LEFT(AZ$7,8),LEFT('2.LUC'!$K61,8)=LEFT(AZ$8,8), LEFT('2.LUC'!$K61,8)=LEFT(AZ$9,8),  LEFT('2.LUC'!$K61,8)=LEFT(AZ$10,8), LEFT('2.LUC'!$K61,8)=LEFT(AZ$11,8),   LEFT('2.LUC'!$K61,8)=LEFT(AZ$12,8), LEFT('2.LUC'!$K61,8)=LEFT(AZ$13,8), LEFT('2.LUC'!$K61,8)=LEFT(AZ$14,8), LEFT('2.LUC'!$K61,8)=LEFT(AZ$15,8), LEFT('2.LUC'!$K61,8)=LEFT(AZ$16,8), LEFT('2.LUC'!$K61,8)=LEFT(AZ$17,8))), luc!$E41,0),0)</f>
        <v/>
      </c>
      <c r="CD24" s="1360">
        <f>IF(LEFT('2.LUC'!$I61,8)=LEFT($BY$26,8),IF(LEFT('2.LUC'!$K61,8)=LEFT(CD$23,8), luc!$E41,0),0)</f>
        <v/>
      </c>
      <c r="CE24" s="1356">
        <f>IF(LEFT('2.LUC'!$I61,8)=LEFT($BY$26,8),IF(LEFT('2.LUC'!$K61,8)=LEFT(CE$23,8), luc!$E41,0),0)</f>
        <v/>
      </c>
      <c r="CF24" s="973" t="n"/>
      <c r="CI24" s="973" t="n"/>
      <c r="CJ24" s="1359" t="n"/>
      <c r="CK24" s="1360">
        <f>IF(LEFT('2.LUC'!$I61,8)=LEFT($CJ$26,8),IF(LEFT('2.LUC'!$K61,8)=LEFT(CK$23,8), luc!$E41,0),0)</f>
        <v/>
      </c>
      <c r="CL24" s="1360">
        <f>IF(LEFT('2.LUC'!$I61,8)=LEFT($CJ$26,8),IF(LEFT('2.LUC'!$K61,8)=LEFT(CL$23,8), luc!$E41,0),0)</f>
        <v/>
      </c>
      <c r="CM24" s="1360">
        <f>IF(LEFT('2.LUC'!$I61,8)=LEFT($CJ$26,8),IF(LEFT('2.LUC'!$K61,8)=LEFT(CM$23,8), luc!$E41,0),0)</f>
        <v/>
      </c>
      <c r="CN24" s="1356">
        <f>IF(LEFT('2.LUC'!$I61,8)=LEFT($CJ$26,8),IF((OR(LEFT('2.LUC'!$K61,8)=LEFT(CN$23,8),LEFT('2.LUC'!$K61,8)=LEFT(AZ$3,8),LEFT('2.LUC'!$K61,8)=LEFT(AZ$3,9),LEFT('2.LUC'!$K61,8)=LEFT(AZ$4,9),LEFT('2.LUC'!$K61,8)=LEFT(AZ$5,8),LEFT('2.LUC'!$K61,8)=LEFT(AZ$6,8),LEFT('2.LUC'!$K61,8)=LEFT(AZ$7,8),LEFT('2.LUC'!$K61,8)=LEFT(AZ$8,8), LEFT('2.LUC'!$K61,8)=LEFT(AZ$9,8),  LEFT('2.LUC'!$K61,8)=LEFT(AZ$10,8), LEFT('2.LUC'!$K61,8)=LEFT(AZ$11,8),   LEFT('2.LUC'!$K61,8)=LEFT(AZ$12,8), LEFT('2.LUC'!$K61,8)=LEFT(AZ$13,8), LEFT('2.LUC'!$K61,8)=LEFT(AZ$14,8), LEFT('2.LUC'!$K61,8)=LEFT(AZ$15,8), LEFT('2.LUC'!$K61,8)=LEFT(AZ$16,8), LEFT('2.LUC'!$K61,8)=LEFT(AZ$17,8))), luc!$E41,0),0)</f>
        <v/>
      </c>
      <c r="CO24" s="1361">
        <f>IF(LEFT('2.LUC'!$I61,8)=LEFT($CJ$26,8),IF(LEFT('2.LUC'!$K61,8)=LEFT(CO$23,8), luc!$E41,0),0)</f>
        <v/>
      </c>
      <c r="CP24" s="1356">
        <f>IF(LEFT('2.LUC'!$I61,8)=LEFT($CJ$26,8),IF(LEFT('2.LUC'!$K61,8)=LEFT(CP$23,8), luc!$E41,0),0)</f>
        <v/>
      </c>
      <c r="CQ24" s="973" t="n"/>
      <c r="CT24" s="973" t="n"/>
      <c r="CU24" s="1359" t="n"/>
      <c r="CV24" s="1360">
        <f>IF(LEFT('2.LUC'!$I61,8)=LEFT($CU$26,8),IF(LEFT('2.LUC'!$K61,8)=LEFT(CV$23,8), luc!$E41,0),0)</f>
        <v/>
      </c>
      <c r="CW24" s="1360">
        <f>IF(LEFT('2.LUC'!$I61,8)=LEFT($CU$26,8),IF(LEFT('2.LUC'!$K61,8)=LEFT(CW$23,8), luc!$E41,0),0)</f>
        <v/>
      </c>
      <c r="CX24" s="1360">
        <f>IF(LEFT('2.LUC'!$I61,8)=LEFT($CU$26,8),IF(LEFT('2.LUC'!$K61,8)=LEFT(CX$23,8), luc!$E41,0),0)</f>
        <v/>
      </c>
      <c r="CY24" s="1356">
        <f>IF(LEFT('2.LUC'!$I61,8)=LEFT($CU$26,8),IF((OR(LEFT('2.LUC'!$K61,8)=LEFT(CY$23,8),LEFT('2.LUC'!$K61,8)=LEFT(AZ$3,8),LEFT('2.LUC'!$K61,8)=LEFT(AZ$3,9),LEFT('2.LUC'!$K61,8)=LEFT(AZ$4,9),LEFT('2.LUC'!$K61,8)=LEFT(AZ$5,8),LEFT('2.LUC'!$K61,8)=LEFT(AZ$6,8),LEFT('2.LUC'!$K61,8)=LEFT(AZ$7,8),LEFT('2.LUC'!$K61,8)=LEFT(AZ$8,8), LEFT('2.LUC'!$K61,8)=LEFT(AZ$9,8),  LEFT('2.LUC'!$K61,8)=LEFT(AZ$10,8), LEFT('2.LUC'!$K61,8)=LEFT(AZ$11,8),   LEFT('2.LUC'!$K61,8)=LEFT(AZ$12,8), LEFT('2.LUC'!$K61,8)=LEFT(AZ$13,8), LEFT('2.LUC'!$K61,8)=LEFT(AZ$14,8), LEFT('2.LUC'!$K61,8)=LEFT(AZ$15,8), LEFT('2.LUC'!$K61,8)=LEFT(AZ$16,8), LEFT('2.LUC'!$K61,8)=LEFT(AZ$17,8))), luc!$E41,0),0)</f>
        <v/>
      </c>
      <c r="CZ24" s="1361">
        <f>IF(LEFT('2.LUC'!$I61,8)=LEFT($CU$26,8),IF(LEFT('2.LUC'!$K61,8)=LEFT(CZ$23,8), luc!$E41,0),0)</f>
        <v/>
      </c>
      <c r="DA24" s="1356">
        <f>IF(LEFT('2.LUC'!$I61,8)=LEFT($CU$26,8),IF(LEFT('2.LUC'!$K61,8)=LEFT(DA$23,8), luc!$E41,0),0)</f>
        <v/>
      </c>
      <c r="DB24" s="973" t="n"/>
      <c r="DD24" s="973" t="n"/>
      <c r="DE24" s="973" t="n"/>
      <c r="DF24" s="1359" t="n"/>
      <c r="DG24" s="1360">
        <f>IF(LEFT('2.LUC'!$I61,8)=LEFT($DF$26,8),IF(LEFT('2.LUC'!$K61,8)=LEFT(DG$23,8), luc!$E41,0),0)</f>
        <v/>
      </c>
      <c r="DH24" s="1360">
        <f>IF(LEFT('2.LUC'!$I61,8)=LEFT($DF$26,8),IF(LEFT('2.LUC'!$K61,8)=LEFT(DH$23,8), luc!$E41,0),0)</f>
        <v/>
      </c>
      <c r="DI24" s="1360">
        <f>IF(LEFT('2.LUC'!$I61,8)=LEFT($DF$26,8),IF(LEFT('2.LUC'!$K61,8)=LEFT(DI$23,8), luc!$E41,0),0)</f>
        <v/>
      </c>
      <c r="DJ24" s="1356">
        <f>IF(LEFT('2.LUC'!$I61,8)=LEFT($DF$26,8),IF((OR(LEFT('2.LUC'!$K61,8)=LEFT(DJ$23,8),LEFT('2.LUC'!$K61,8)=LEFT(AZ$3,8),LEFT('2.LUC'!$K61,8)=LEFT(AZ$3,9),LEFT('2.LUC'!$K61,8)=LEFT(AZ$4,9),LEFT('2.LUC'!$K61,8)=LEFT(AZ$5,8),LEFT('2.LUC'!$K61,8)=LEFT(AZ$6,8),LEFT('2.LUC'!$K61,8)=LEFT(AZ$7,8),LEFT('2.LUC'!$K61,8)=LEFT(AZ$8,8), LEFT('2.LUC'!$K61,8)=LEFT(AZ$9,8),  LEFT('2.LUC'!$K61,8)=LEFT(AZ$10,8), LEFT('2.LUC'!$K61,8)=LEFT(AZ$11,8),   LEFT('2.LUC'!$K61,8)=LEFT(AZ$12,8), LEFT('2.LUC'!$K61,8)=LEFT(AZ$13,8), LEFT('2.LUC'!$K61,8)=LEFT(AZ$14,8), LEFT('2.LUC'!$K61,8)=LEFT(AZ$15,8), LEFT('2.LUC'!$K61,8)=LEFT(AZ$16,8), LEFT('2.LUC'!$K61,8)=LEFT(AZ$17,8))), luc!$E41,0),0)</f>
        <v/>
      </c>
      <c r="DK24" s="1361">
        <f>IF(LEFT('2.LUC'!$I61,8)=LEFT($DF$26,8),IF(LEFT('2.LUC'!$K61,8)=LEFT(DK$23,8), luc!$E41,0),0)</f>
        <v/>
      </c>
      <c r="DL24" s="1356">
        <f>IF(LEFT('2.LUC'!$I61,8)=LEFT($DF$26,8),IF(LEFT('2.LUC'!$K61,8)=LEFT(DL$23,8), luc!$E41,0),0)</f>
        <v/>
      </c>
    </row>
    <row r="25">
      <c r="D25" s="973" t="n"/>
      <c r="F25" s="1354" t="n"/>
      <c r="G25" s="1388" t="inlineStr">
        <is>
          <t>Cropland</t>
        </is>
      </c>
      <c r="H25" s="1351" t="inlineStr">
        <is>
          <t>Annual cropland and fallow</t>
        </is>
      </c>
      <c r="I25" s="3139">
        <f>$AH$32</f>
        <v/>
      </c>
      <c r="J25" s="1438">
        <f>annual!$G$48+annual!$G$37+annual!$G$35</f>
        <v/>
      </c>
      <c r="K25" s="3138">
        <f>$AX$34</f>
        <v/>
      </c>
      <c r="L25" s="3138">
        <f>$AU$34</f>
        <v/>
      </c>
      <c r="M25" s="3138">
        <f>$AV$34</f>
        <v/>
      </c>
      <c r="N25" s="3138">
        <f>$AT$34</f>
        <v/>
      </c>
      <c r="O25" s="3138">
        <f>$AW$34+$AS$34</f>
        <v/>
      </c>
      <c r="P25" s="3138">
        <f>SUM(I25:O25)</f>
        <v/>
      </c>
      <c r="S25" s="1168" t="n"/>
      <c r="T25" s="1688" t="n"/>
      <c r="U25" s="1420">
        <f>IF('2.LUC'!$I12 = U$23, 1,0)* defo!$H36</f>
        <v/>
      </c>
      <c r="V25" s="1421">
        <f>IF('2.LUC'!$I12 = V$23, 1,0)* defo!$H36</f>
        <v/>
      </c>
      <c r="W25" s="1421">
        <f>IF('2.LUC'!$I12 = W$23, 1,0)* defo!$H36</f>
        <v/>
      </c>
      <c r="X25" s="1421">
        <f>IF('2.LUC'!$I12 = X$23, 1,0)* defo!$H36</f>
        <v/>
      </c>
      <c r="Y25" s="1421">
        <f>IF('2.LUC'!$I12 = Y$23, 1,0)* defo!$H36</f>
        <v/>
      </c>
      <c r="Z25" s="1421">
        <f>IF('2.LUC'!$I12 = Z$23, 1,0)* defo!$H36</f>
        <v/>
      </c>
      <c r="AA25" s="1422">
        <f>IF('2.LUC'!$I12 = AA$23, 1,0)* defo!$H36</f>
        <v/>
      </c>
      <c r="AB25" s="973" t="n"/>
      <c r="AE25" s="1168" t="n"/>
      <c r="AF25" s="1414" t="n"/>
      <c r="AG25" s="1420">
        <f>IF(AG$23 = '2.LUC'!$I37, '2.LUC'!$P37, 0)</f>
        <v/>
      </c>
      <c r="AH25" s="1421">
        <f>IF(AH$23='2.LUC'!$I37, '2.LUC'!$P37,0)</f>
        <v/>
      </c>
      <c r="AI25" s="1421">
        <f>IF(AI$23='2.LUC'!$I37, '2.LUC'!$P37, 0)</f>
        <v/>
      </c>
      <c r="AJ25" s="1421">
        <f>IF(AJ$23='2.LUC'!$I37, '2.LUC'!$P37, 0)</f>
        <v/>
      </c>
      <c r="AK25" s="1421">
        <f>IF(AK$23='2.LUC'!$I37, '2.LUC'!$P37, 0)</f>
        <v/>
      </c>
      <c r="AL25" s="1421">
        <f>IF(AL$23 = '2.LUC'!$I37, '2.LUC'!$P37, 0)</f>
        <v/>
      </c>
      <c r="AM25" s="1422">
        <f>IF(AM$23 = '2.LUC'!$I37, '2.LUC'!$P37, 0)</f>
        <v/>
      </c>
      <c r="AN25" s="973" t="n"/>
      <c r="AQ25" s="973" t="n"/>
      <c r="AR25" s="1362" t="inlineStr">
        <is>
          <t>START</t>
        </is>
      </c>
      <c r="AS25" s="1357">
        <f>IF(LEFT('2.LUC'!$I62,8)=LEFT($AR$26,8),IF(LEFT('2.LUC'!$K62,8)=LEFT(AS$23,8), luc!$E42,0),0)</f>
        <v/>
      </c>
      <c r="AT25" s="1354">
        <f>IF(LEFT('2.LUC'!$I62,8)=LEFT($AR$26,8),IF(LEFT('2.LUC'!$K62,8)=LEFT(AT$23,8), luc!$E42,0),0)</f>
        <v/>
      </c>
      <c r="AU25" s="1354">
        <f>IF(LEFT('2.LUC'!$I62,8)=LEFT($AR$26,8),IF(LEFT('2.LUC'!$K62,8)=LEFT(AU$23,8), luc!$E42,0),0)</f>
        <v/>
      </c>
      <c r="AV25" s="1354">
        <f>IF(LEFT('2.LUC'!$I62,8)=LEFT($AR$26,8),IF(LEFT('2.LUC'!$K62,8)=LEFT(AV$23,8), luc!$E42,0),0)</f>
        <v/>
      </c>
      <c r="AW25" s="1354">
        <f>IF(LEFT('2.LUC'!$I62,8)=LEFT($AR$26,8),IF(LEFT('2.LUC'!$K62,8)=LEFT(AW$23,8), luc!$E42,0),0)</f>
        <v/>
      </c>
      <c r="AX25" s="1354">
        <f>IF(LEFT('2.LUC'!$I62,8)=LEFT($AR$26,8),IF((OR(LEFT('2.LUC'!$K62,8)=LEFT(AX$23,8),LEFT('2.LUC'!$K62,8)=LEFT(AZ$3,8),LEFT('2.LUC'!$K62,8)=LEFT(AZ$3,9),LEFT('2.LUC'!$K62,8)=LEFT(AZ$4,9),LEFT('2.LUC'!$K62,8)=LEFT(AZ$5,8),LEFT('2.LUC'!$K62,8)=LEFT(AZ$6,8),LEFT('2.LUC'!$K62,8)=LEFT(AZ$7,8),LEFT('2.LUC'!$K62,8)=LEFT(AZ$8,8), LEFT('2.LUC'!$K62,8)=LEFT(AZ$9,8),  LEFT('2.LUC'!$K62,8)=LEFT(AZ$10,8), LEFT('2.LUC'!$K62,8)=LEFT(AZ$11,8),   LEFT('2.LUC'!$K62,8)=LEFT(AZ$12,8), LEFT('2.LUC'!$K62,8)=LEFT(AZ$13,8), LEFT('2.LUC'!$K62,8)=LEFT(AZ$14,8), LEFT('2.LUC'!$K62,8)=LEFT(AZ$15,8), LEFT('2.LUC'!$K62,8)=LEFT(AZ$16,8), LEFT('2.LUC'!$K62,8)=LEFT(AZ$17,8))),luc!$E42,0),0)</f>
        <v/>
      </c>
      <c r="AZ25" s="1345" t="inlineStr">
        <is>
          <t>Olive</t>
        </is>
      </c>
      <c r="BB25" s="973" t="n"/>
      <c r="BC25" s="1362" t="inlineStr">
        <is>
          <t>START</t>
        </is>
      </c>
      <c r="BD25" s="1357">
        <f>IF((OR(LEFT('2.LUC'!$I62,8)=LEFT(Matrix!$BC$26,8), LEFT('2.LUC'!$I62,8)=LEFT(Matrix!AZ$3,8), LEFT('2.LUC'!$I62,8)=LEFT(Matrix!AZ$4,8), LEFT('2.LUC'!$I62,8)=LEFT(Matrix!AZ$5,8), LEFT('2.LUC'!$I62,8)=LEFT(Matrix!AZ$6,8), LEFT('2.LUC'!$I62,8)=LEFT(Matrix!AZ$7,8),  LEFT('2.LUC'!$I62,8)=LEFT(Matrix!AZ$8,8), LEFT('2.LUC'!$I62,8)=LEFT(Matrix!AZ$9,8), LEFT('2.LUC'!$I62,8)=LEFT(Matrix!AZ$10,8), LEFT('2.LUC'!$I62,8)=LEFT(Matrix!AZ$11,8), LEFT('2.LUC'!$I62,8)=LEFT(Matrix!AZ$12,8), LEFT('2.LUC'!$I62,8)=LEFT(Matrix!AZ$13,8), LEFT('2.LUC'!$I62,8)=LEFT(Matrix!AZ$14,8), LEFT('2.LUC'!$I62,8)=LEFT(Matrix!AZ$15,8), LEFT('2.LUC'!$I62,8)=LEFT(Matrix!AZ$16,8), LEFT('2.LUC'!$I62,8)=LEFT(Matrix!AZ$17,8))), IF(LEFT('2.LUC'!$K62,8)=LEFT(Matrix!BD$23,8), '2.LUC'!$P62, 0),0)</f>
        <v/>
      </c>
      <c r="BE25" s="1354">
        <f>IF((OR(LEFT('2.LUC'!$I62,8)=LEFT(Matrix!$BC$26,8), LEFT('2.LUC'!$I62,8)=LEFT(Matrix!AZ$3,8), LEFT('2.LUC'!$I62,8)=LEFT(Matrix!AZ$4,8), LEFT('2.LUC'!$I62,8)=LEFT(Matrix!AZ$5,8), LEFT('2.LUC'!$I62,8)=LEFT(Matrix!AZ$6,8), LEFT('2.LUC'!$I62,8)=LEFT(Matrix!AZ$7,8),  LEFT('2.LUC'!$I62,8)=LEFT(Matrix!AZ$8,8), LEFT('2.LUC'!$I62,8)=LEFT(Matrix!AZ$9,8), LEFT('2.LUC'!$I62,8)=LEFT(Matrix!AZ$10,8), LEFT('2.LUC'!$I62,8)=LEFT(Matrix!AZ$11,8), LEFT('2.LUC'!$I62,8)=LEFT(Matrix!AZ$12,8), LEFT('2.LUC'!$I62,8)=LEFT(Matrix!AZ$13,8), LEFT('2.LUC'!$I62,8)=LEFT(Matrix!AZ$14,8), LEFT('2.LUC'!$I62,8)=LEFT(Matrix!AZ$15,8), LEFT('2.LUC'!$I62,8)=LEFT(Matrix!AZ$16,8), LEFT('2.LUC'!$I62,8)=LEFT(Matrix!AZ$17,8))), IF(LEFT('2.LUC'!$K62,8)=LEFT(Matrix!BE$23,8), '2.LUC'!$P62, 0),0)</f>
        <v/>
      </c>
      <c r="BF25" s="1354">
        <f>IF((OR(LEFT('2.LUC'!$I62,8)=LEFT(Matrix!$BC$26,8), LEFT('2.LUC'!$I62,8)=LEFT(Matrix!AZ$3,8), LEFT('2.LUC'!$I62,8)=LEFT(Matrix!AZ$4,8), LEFT('2.LUC'!$I62,8)=LEFT(Matrix!AZ$5,8), LEFT('2.LUC'!$I62,8)=LEFT(Matrix!AZ$6,8), LEFT('2.LUC'!$I62,8)=LEFT(Matrix!AZ$7,8),  LEFT('2.LUC'!$I62,8)=LEFT(Matrix!AZ$8,8), LEFT('2.LUC'!$I62,8)=LEFT(Matrix!AZ$9,8), LEFT('2.LUC'!$I62,8)=LEFT(Matrix!AZ$10,8), LEFT('2.LUC'!$I62,8)=LEFT(Matrix!AZ$11,8), LEFT('2.LUC'!$I62,8)=LEFT(Matrix!AZ$12,8), LEFT('2.LUC'!$I62,8)=LEFT(Matrix!AZ$13,8), LEFT('2.LUC'!$I62,8)=LEFT(Matrix!AZ$14,8), LEFT('2.LUC'!$I62,8)=LEFT(Matrix!AZ$15,8), LEFT('2.LUC'!$I62,8)=LEFT(Matrix!AZ$16,8), LEFT('2.LUC'!$I62,8)=LEFT(Matrix!AZ$17,8))), IF(LEFT('2.LUC'!$K62,8)=LEFT(Matrix!BF$23,8), '2.LUC'!$P62, 0),0)</f>
        <v/>
      </c>
      <c r="BG25" s="1354">
        <f>IF((OR(LEFT('2.LUC'!$I62,8)=LEFT(Matrix!$BC$26,8), LEFT('2.LUC'!$I62,8)=LEFT(Matrix!AZ$3,8), LEFT('2.LUC'!$I62,8)=LEFT(Matrix!AZ$4,8), LEFT('2.LUC'!$I62,8)=LEFT(Matrix!AZ$5,8), LEFT('2.LUC'!$I62,8)=LEFT(Matrix!AZ$6,8), LEFT('2.LUC'!$I62,8)=LEFT(Matrix!AZ$7,8),  LEFT('2.LUC'!$I62,8)=LEFT(Matrix!AZ$8,8), LEFT('2.LUC'!$I62,8)=LEFT(Matrix!AZ$9,8), LEFT('2.LUC'!$I62,8)=LEFT(Matrix!AZ$10,8), LEFT('2.LUC'!$I62,8)=LEFT(Matrix!AZ$11,8), LEFT('2.LUC'!$I62,8)=LEFT(Matrix!AZ$12,8), LEFT('2.LUC'!$I62,8)=LEFT(Matrix!AZ$13,8), LEFT('2.LUC'!$I62,8)=LEFT(Matrix!AZ$14,8), LEFT('2.LUC'!$I62,8)=LEFT(Matrix!AZ$15,8), LEFT('2.LUC'!$I62,8)=LEFT(Matrix!AZ$16,8), LEFT('2.LUC'!$I62,8)=LEFT(Matrix!AZ$17,8))), IF(LEFT('2.LUC'!$K62,8)=LEFT(Matrix!BG$23,8), '2.LUC'!$P62, 0),0)</f>
        <v/>
      </c>
      <c r="BH25" s="1354">
        <f>IF((OR(LEFT('2.LUC'!$I62,8)=LEFT(Matrix!$BC$26,8), LEFT('2.LUC'!$I62,8)=LEFT(Matrix!AZ$3,8), LEFT('2.LUC'!$I62,8)=LEFT(Matrix!AZ$4,8), LEFT('2.LUC'!$I62,8)=LEFT(Matrix!AZ$5,8), LEFT('2.LUC'!$I62,8)=LEFT(Matrix!AZ$6,8), LEFT('2.LUC'!$I62,8)=LEFT(Matrix!AZ$7,8),  LEFT('2.LUC'!$I62,8)=LEFT(Matrix!AZ$8,8), LEFT('2.LUC'!$I62,8)=LEFT(Matrix!AZ$9,8), LEFT('2.LUC'!$I62,8)=LEFT(Matrix!AZ$10,8), LEFT('2.LUC'!$I62,8)=LEFT(Matrix!AZ$11,8), LEFT('2.LUC'!$I62,8)=LEFT(Matrix!AZ$12,8), LEFT('2.LUC'!$I62,8)=LEFT(Matrix!AZ$13,8), LEFT('2.LUC'!$I62,8)=LEFT(Matrix!AZ$14,8), LEFT('2.LUC'!$I62,8)=LEFT(Matrix!AZ$15,8), LEFT('2.LUC'!$I62,8)=LEFT(Matrix!AZ$16,8), LEFT('2.LUC'!$I62,8)=LEFT(Matrix!AZ$17,8))), IF(LEFT('2.LUC'!$K62,8)=LEFT(Matrix!BH$23,8), '2.LUC'!$P62, 0),0)</f>
        <v/>
      </c>
      <c r="BI25" s="1354">
        <f>IF((OR(LEFT('2.LUC'!$I62,8)=LEFT(Matrix!$BC$26,8), LEFT('2.LUC'!$I62,8)=LEFT(Matrix!AZ$3,8), LEFT('2.LUC'!$I62,8)=LEFT(Matrix!AZ$4,8), LEFT('2.LUC'!$I62,8)=LEFT(Matrix!AZ$5,8), LEFT('2.LUC'!$I62,8)=LEFT(Matrix!AZ$6,8), LEFT('2.LUC'!$I62,8)=LEFT(Matrix!AZ$7,8),  LEFT('2.LUC'!$I62,8)=LEFT(Matrix!AZ$8,8), LEFT('2.LUC'!$I62,8)=LEFT(Matrix!AZ$9,8), LEFT('2.LUC'!$I62,8)=LEFT(Matrix!AZ$10,8), LEFT('2.LUC'!$I62,8)=LEFT(Matrix!AZ$11,8), LEFT('2.LUC'!$I62,8)=LEFT(Matrix!AZ$12,8), LEFT('2.LUC'!$I62,8)=LEFT(Matrix!AZ$13,8), LEFT('2.LUC'!$I62,8)=LEFT(Matrix!AZ$14,8), LEFT('2.LUC'!$I62,8)=LEFT(Matrix!AZ$15,8), LEFT('2.LUC'!$I62,8)=LEFT(Matrix!AZ$16,8), LEFT('2.LUC'!$I62,8)=LEFT(Matrix!AZ$17,8))), IF(LEFT('2.LUC'!$K62,8)=LEFT(Matrix!BI$23,8), '2.LUC'!$P62, 0),0)</f>
        <v/>
      </c>
      <c r="BJ25" s="973" t="n"/>
      <c r="BM25" s="973" t="n"/>
      <c r="BN25" s="1362" t="inlineStr">
        <is>
          <t>START</t>
        </is>
      </c>
      <c r="BO25" s="1354">
        <f>IF(LEFT('2.LUC'!$I62,8)=LEFT($BN$26,8),IF(LEFT('2.LUC'!$K62,8)=LEFT(BO$23,8), luc!$E42,0),0)</f>
        <v/>
      </c>
      <c r="BP25" s="1354">
        <f>IF(LEFT('2.LUC'!$I62,8)=LEFT($BN$26,8),IF(LEFT('2.LUC'!$K62,8)=LEFT(BP$23,8), luc!$E42,0),0)</f>
        <v/>
      </c>
      <c r="BQ25" s="1354">
        <f>IF(LEFT('2.LUC'!$I62,8)=LEFT($BN$26,8),IF(LEFT('2.LUC'!$K62,8)=LEFT(BQ$23,8), luc!$E42,0),0)</f>
        <v/>
      </c>
      <c r="BR25" s="1355">
        <f>IF(LEFT('2.LUC'!$I62,8)=LEFT($BN$26,8),IF((OR(LEFT('2.LUC'!$K62,8)=LEFT(BR$23,8),LEFT('2.LUC'!$K62,8)=LEFT(AZ$3,8), LEFT('2.LUC'!$K62,8)=LEFT(AZ$4,9),LEFT('2.LUC'!$K62,8)=LEFT(AZ$5,8),LEFT('2.LUC'!$K62,8)=LEFT(AZ$6,8),LEFT('2.LUC'!$K62,8)=LEFT(AZ$7,8),LEFT('2.LUC'!$K62,8)=LEFT(AZ$8,8), LEFT('2.LUC'!$K62,8)=LEFT(AZ$9,8),  LEFT('2.LUC'!$K62,8)=LEFT(AZ$10,8), LEFT('2.LUC'!$K62,8)=LEFT(AZ$11,8),   LEFT('2.LUC'!$K62,8)=LEFT(AZ$12,8), LEFT('2.LUC'!$K62,8)=LEFT(AZ$13,8), LEFT('2.LUC'!$K62,8)=LEFT(AZ$14,8), LEFT('2.LUC'!$K62,8)=LEFT(AZ$15,8), LEFT('2.LUC'!$K62,8)=LEFT(AZ$16,8), LEFT('2.LUC'!$K62,8)=LEFT(AZ$17,8))), luc!$E42,0),0)</f>
        <v/>
      </c>
      <c r="BS25" s="1355">
        <f>IF(LEFT('2.LUC'!$I62,8)=LEFT($BN$26,8),IF(LEFT('2.LUC'!$K62,8)=LEFT(BS$23,8), luc!$E42,0),0)</f>
        <v/>
      </c>
      <c r="BT25" s="1354">
        <f>IF(LEFT('2.LUC'!$I62,8)=LEFT($BN$26,8),IF(LEFT('2.LUC'!$K62,8)=LEFT(BT$23,8), luc!$E42,0),0)</f>
        <v/>
      </c>
      <c r="BU25" s="973" t="n"/>
      <c r="BX25" s="973" t="n"/>
      <c r="BY25" s="1365" t="inlineStr">
        <is>
          <t>START</t>
        </is>
      </c>
      <c r="BZ25" s="1355">
        <f>IF(LEFT('2.LUC'!$I62,8)=LEFT($BY$26,8),IF(LEFT('2.LUC'!$K62,8)=LEFT(BZ$23,8), luc!$E42,0),0)</f>
        <v/>
      </c>
      <c r="CA25" s="1355">
        <f>IF(LEFT('2.LUC'!$I62,8)=LEFT($BY$26,8),IF(LEFT('2.LUC'!$K62,8)=LEFT(CA$23,8), luc!$E42,0),0)</f>
        <v/>
      </c>
      <c r="CB25" s="1355">
        <f>IF(LEFT('2.LUC'!$I62,8)=LEFT($BY$26,8),IF(LEFT('2.LUC'!$K62,8)=LEFT(CB$23,8), luc!$E42,0),0)</f>
        <v/>
      </c>
      <c r="CC25" s="1355">
        <f>IF(LEFT('2.LUC'!$I62,8)=LEFT($BY$26,8),IF((OR(LEFT('2.LUC'!$K62,8)=LEFT(CC$23,8),LEFT('2.LUC'!$K62,8)=LEFT(AZ$3,8), LEFT('2.LUC'!$K62,8)=LEFT(AZ$4,8),LEFT('2.LUC'!$K62,8)=LEFT(AZ$5,8),LEFT('2.LUC'!$K62,8)=LEFT(AZ$6,8),LEFT('2.LUC'!$K62,8)=LEFT(AZ$7,8),LEFT('2.LUC'!$K62,8)=LEFT(AZ$8,8), LEFT('2.LUC'!$K62,8)=LEFT(AZ$9,8),  LEFT('2.LUC'!$K62,8)=LEFT(AZ$10,8), LEFT('2.LUC'!$K62,8)=LEFT(AZ$11,8),   LEFT('2.LUC'!$K62,8)=LEFT(AZ$12,8), LEFT('2.LUC'!$K62,8)=LEFT(AZ$13,8), LEFT('2.LUC'!$K62,8)=LEFT(AZ$14,8), LEFT('2.LUC'!$K62,8)=LEFT(AZ$15,8), LEFT('2.LUC'!$K62,8)=LEFT(AZ$16,8), LEFT('2.LUC'!$K62,8)=LEFT(AZ$17,8))), luc!$E42,0),0)</f>
        <v/>
      </c>
      <c r="CD25" s="1355">
        <f>IF(LEFT('2.LUC'!$I62,8)=LEFT($BY$26,8),IF(LEFT('2.LUC'!$K62,8)=LEFT(CD$23,8), luc!$E42,0),0)</f>
        <v/>
      </c>
      <c r="CE25" s="1354">
        <f>IF(LEFT('2.LUC'!$I62,8)=LEFT($BY$26,8),IF(LEFT('2.LUC'!$K62,8)=LEFT(CE$23,8), luc!$E42,0),0)</f>
        <v/>
      </c>
      <c r="CF25" s="973" t="n"/>
      <c r="CI25" s="973" t="n"/>
      <c r="CJ25" s="1365" t="inlineStr">
        <is>
          <t>START</t>
        </is>
      </c>
      <c r="CK25" s="1355">
        <f>IF(LEFT('2.LUC'!$I62,8)=LEFT($CJ$26,8),IF(LEFT('2.LUC'!$K62,8)=LEFT(CK$23,8), luc!$E42,0),0)</f>
        <v/>
      </c>
      <c r="CL25" s="1355">
        <f>IF(LEFT('2.LUC'!$I62,8)=LEFT($CJ$26,8),IF(LEFT('2.LUC'!$K62,8)=LEFT(CL$23,8), luc!$E42,0),0)</f>
        <v/>
      </c>
      <c r="CM25" s="1355">
        <f>IF(LEFT('2.LUC'!$I62,8)=LEFT($CJ$26,8),IF(LEFT('2.LUC'!$K62,8)=LEFT(CM$23,8), luc!$E42,0),0)</f>
        <v/>
      </c>
      <c r="CN25" s="1354">
        <f>IF(LEFT('2.LUC'!$I62,8)=LEFT($CJ$26,8),IF((OR(LEFT('2.LUC'!$K62,8)=LEFT(CN$23,8),LEFT('2.LUC'!$K62,8)=LEFT(AZ$3,8),LEFT('2.LUC'!$K62,8)=LEFT(AZ$3,9),LEFT('2.LUC'!$K62,8)=LEFT(AZ$4,9),LEFT('2.LUC'!$K62,8)=LEFT(AZ$5,8),LEFT('2.LUC'!$K62,8)=LEFT(AZ$6,8),LEFT('2.LUC'!$K62,8)=LEFT(AZ$7,8),LEFT('2.LUC'!$K62,8)=LEFT(AZ$8,8), LEFT('2.LUC'!$K62,8)=LEFT(AZ$9,8),  LEFT('2.LUC'!$K62,8)=LEFT(AZ$10,8), LEFT('2.LUC'!$K62,8)=LEFT(AZ$11,8),   LEFT('2.LUC'!$K62,8)=LEFT(AZ$12,8), LEFT('2.LUC'!$K62,8)=LEFT(AZ$13,8), LEFT('2.LUC'!$K62,8)=LEFT(AZ$14,8), LEFT('2.LUC'!$K62,8)=LEFT(AZ$15,8), LEFT('2.LUC'!$K62,8)=LEFT(AZ$16,8), LEFT('2.LUC'!$K62,8)=LEFT(AZ$17,8))), luc!$E42,0),0)</f>
        <v/>
      </c>
      <c r="CO25" s="1104">
        <f>IF(LEFT('2.LUC'!$I62,8)=LEFT($CJ$26,8),IF(LEFT('2.LUC'!$K62,8)=LEFT(CO$23,8), luc!$E42,0),0)</f>
        <v/>
      </c>
      <c r="CP25" s="1354">
        <f>IF(LEFT('2.LUC'!$I62,8)=LEFT($CJ$26,8),IF(LEFT('2.LUC'!$K62,8)=LEFT(CP$23,8), luc!$E42,0),0)</f>
        <v/>
      </c>
      <c r="CQ25" s="973" t="n"/>
      <c r="CT25" s="973" t="n"/>
      <c r="CU25" s="1365" t="inlineStr">
        <is>
          <t>START</t>
        </is>
      </c>
      <c r="CV25" s="1355">
        <f>IF(LEFT('2.LUC'!$I62,8)=LEFT($CU$26,8),IF(LEFT('2.LUC'!$K62,8)=LEFT(CV$23,8), luc!$E42,0),0)</f>
        <v/>
      </c>
      <c r="CW25" s="1355">
        <f>IF(LEFT('2.LUC'!$I62,8)=LEFT($CU$26,8),IF(LEFT('2.LUC'!$K62,8)=LEFT(CW$23,8), luc!$E42,0),0)</f>
        <v/>
      </c>
      <c r="CX25" s="1355">
        <f>IF(LEFT('2.LUC'!$I62,8)=LEFT($CU$26,8),IF(LEFT('2.LUC'!$K62,8)=LEFT(CX$23,8), luc!$E42,0),0)</f>
        <v/>
      </c>
      <c r="CY25" s="1354">
        <f>IF(LEFT('2.LUC'!$I62,8)=LEFT($CU$26,8),IF((OR(LEFT('2.LUC'!$K62,8)=LEFT(CY$23,8),LEFT('2.LUC'!$K62,8)=LEFT(AZ$3,8),LEFT('2.LUC'!$K62,8)=LEFT(AZ$3,9),LEFT('2.LUC'!$K62,8)=LEFT(AZ$4,9),LEFT('2.LUC'!$K62,8)=LEFT(AZ$5,8),LEFT('2.LUC'!$K62,8)=LEFT(AZ$6,8),LEFT('2.LUC'!$K62,8)=LEFT(AZ$7,8),LEFT('2.LUC'!$K62,8)=LEFT(AZ$8,8), LEFT('2.LUC'!$K62,8)=LEFT(AZ$9,8),  LEFT('2.LUC'!$K62,8)=LEFT(AZ$10,8), LEFT('2.LUC'!$K62,8)=LEFT(AZ$11,8),   LEFT('2.LUC'!$K62,8)=LEFT(AZ$12,8), LEFT('2.LUC'!$K62,8)=LEFT(AZ$13,8), LEFT('2.LUC'!$K62,8)=LEFT(AZ$14,8), LEFT('2.LUC'!$K62,8)=LEFT(AZ$15,8), LEFT('2.LUC'!$K62,8)=LEFT(AZ$16,8), LEFT('2.LUC'!$K62,8)=LEFT(AZ$17,8))), luc!$E42,0),0)</f>
        <v/>
      </c>
      <c r="CZ25" s="1104">
        <f>IF(LEFT('2.LUC'!$I62,8)=LEFT($CU$26,8),IF(LEFT('2.LUC'!$K62,8)=LEFT(CZ$23,8), luc!$E42,0),0)</f>
        <v/>
      </c>
      <c r="DA25" s="1354">
        <f>IF(LEFT('2.LUC'!$I62,8)=LEFT($CU$26,8),IF(LEFT('2.LUC'!$K62,8)=LEFT(DA$23,8), luc!$E42,0),0)</f>
        <v/>
      </c>
      <c r="DB25" s="973" t="n"/>
      <c r="DD25" s="973" t="n"/>
      <c r="DE25" s="973" t="n"/>
      <c r="DF25" s="1365" t="inlineStr">
        <is>
          <t>START</t>
        </is>
      </c>
      <c r="DG25" s="1355">
        <f>IF(LEFT('2.LUC'!$I62,8)=LEFT($DF$26,8),IF(LEFT('2.LUC'!$K62,8)=LEFT(DG$23,8), luc!$E42,0),0)</f>
        <v/>
      </c>
      <c r="DH25" s="1355">
        <f>IF(LEFT('2.LUC'!$I62,8)=LEFT($DF$26,8),IF(LEFT('2.LUC'!$K62,8)=LEFT(DH$23,8), luc!$E42,0),0)</f>
        <v/>
      </c>
      <c r="DI25" s="1355">
        <f>IF(LEFT('2.LUC'!$I62,8)=LEFT($DF$26,8),IF(LEFT('2.LUC'!$K62,8)=LEFT(DI$23,8), luc!$E42,0),0)</f>
        <v/>
      </c>
      <c r="DJ25" s="1354">
        <f>IF(LEFT('2.LUC'!$I62,8)=LEFT($DF$26,8),IF((OR(LEFT('2.LUC'!$K62,8)=LEFT(DJ$23,8),LEFT('2.LUC'!$K62,8)=LEFT(AZ$3,8),LEFT('2.LUC'!$K62,8)=LEFT(AZ$3,9),LEFT('2.LUC'!$K62,8)=LEFT(AZ$4,9),LEFT('2.LUC'!$K62,8)=LEFT(AZ$5,8),LEFT('2.LUC'!$K62,8)=LEFT(AZ$6,8),LEFT('2.LUC'!$K62,8)=LEFT(AZ$7,8),LEFT('2.LUC'!$K62,8)=LEFT(AZ$8,8), LEFT('2.LUC'!$K62,8)=LEFT(AZ$9,8),  LEFT('2.LUC'!$K62,8)=LEFT(AZ$10,8), LEFT('2.LUC'!$K62,8)=LEFT(AZ$11,8),   LEFT('2.LUC'!$K62,8)=LEFT(AZ$12,8), LEFT('2.LUC'!$K62,8)=LEFT(AZ$13,8), LEFT('2.LUC'!$K62,8)=LEFT(AZ$14,8), LEFT('2.LUC'!$K62,8)=LEFT(AZ$15,8), LEFT('2.LUC'!$K62,8)=LEFT(AZ$16,8), LEFT('2.LUC'!$K62,8)=LEFT(AZ$17,8))), luc!$E42,0),0)</f>
        <v/>
      </c>
      <c r="DK25" s="1104">
        <f>IF(LEFT('2.LUC'!$I62,8)=LEFT($DF$26,8),IF(LEFT('2.LUC'!$K62,8)=LEFT(DK$23,8), luc!$E42,0),0)</f>
        <v/>
      </c>
      <c r="DL25" s="1354">
        <f>IF(LEFT('2.LUC'!$I62,8)=LEFT($DF$26,8),IF(LEFT('2.LUC'!$K62,8)=LEFT(DL$23,8), luc!$E42,0),0)</f>
        <v/>
      </c>
    </row>
    <row r="26" ht="18" customHeight="1">
      <c r="D26" s="973" t="n"/>
      <c r="F26" s="1436" t="inlineStr">
        <is>
          <t>START</t>
        </is>
      </c>
      <c r="G26" s="1389" t="n"/>
      <c r="H26" s="1390" t="inlineStr">
        <is>
          <t>Agroforestry</t>
        </is>
      </c>
      <c r="I26" s="3139">
        <f>$AG$32</f>
        <v/>
      </c>
      <c r="J26" s="3138">
        <f>$BD$34</f>
        <v/>
      </c>
      <c r="K26" s="1438">
        <f>perennial!F47+perennial!F36+perennial!F34</f>
        <v/>
      </c>
      <c r="L26" s="3138">
        <f>$BG$34</f>
        <v/>
      </c>
      <c r="M26" s="3138">
        <f>$BH$34</f>
        <v/>
      </c>
      <c r="N26" s="3138">
        <f>$BF$34</f>
        <v/>
      </c>
      <c r="O26" s="3138">
        <f>$BI$34+$BE$34</f>
        <v/>
      </c>
      <c r="P26" s="3138">
        <f>SUM(I26:O26)</f>
        <v/>
      </c>
      <c r="S26" s="1418" t="n"/>
      <c r="T26" s="1688" t="inlineStr">
        <is>
          <t>START</t>
        </is>
      </c>
      <c r="U26" s="1420">
        <f>IF('2.LUC'!$I13 = U$23, 1,0)* defo!$H37</f>
        <v/>
      </c>
      <c r="V26" s="1421">
        <f>IF('2.LUC'!$I13 = V$23, 1,0)* defo!$H37</f>
        <v/>
      </c>
      <c r="W26" s="1421">
        <f>IF('2.LUC'!$I13 = W$23, 1,0)* defo!$H37</f>
        <v/>
      </c>
      <c r="X26" s="1421">
        <f>IF('2.LUC'!$I13 = X$23, 1,0)* defo!$H37</f>
        <v/>
      </c>
      <c r="Y26" s="1421">
        <f>IF('2.LUC'!$I13 = Y$23, 1,0)* defo!$H37</f>
        <v/>
      </c>
      <c r="Z26" s="1421">
        <f>IF('2.LUC'!$I13 = Z$23, 1,0)* defo!$H37</f>
        <v/>
      </c>
      <c r="AA26" s="1422">
        <f>IF('2.LUC'!$I13 = AA$23, 1,0)* defo!$H37</f>
        <v/>
      </c>
      <c r="AB26" s="973" t="n"/>
      <c r="AE26" s="1418" t="n"/>
      <c r="AF26" s="1414" t="inlineStr">
        <is>
          <t>START</t>
        </is>
      </c>
      <c r="AG26" s="1420">
        <f>IF(AG$23 = '2.LUC'!$I38, '2.LUC'!$P38, 0)</f>
        <v/>
      </c>
      <c r="AH26" s="1421">
        <f>IF(AH$23='2.LUC'!$I38, '2.LUC'!$P38,0)</f>
        <v/>
      </c>
      <c r="AI26" s="1421">
        <f>IF(AI$23='2.LUC'!$I38, '2.LUC'!$P38, 0)</f>
        <v/>
      </c>
      <c r="AJ26" s="1421">
        <f>IF(AJ$23='2.LUC'!$I38, '2.LUC'!$P38, 0)</f>
        <v/>
      </c>
      <c r="AK26" s="1421">
        <f>IF(AK$23='2.LUC'!$I38, '2.LUC'!$P38, 0)</f>
        <v/>
      </c>
      <c r="AL26" s="1421">
        <f>IF(AL$23 = '2.LUC'!$I38, '2.LUC'!$P38, 0)</f>
        <v/>
      </c>
      <c r="AM26" s="1422">
        <f>IF(AM$23 = '2.LUC'!$I38, '2.LUC'!$P38, 0)</f>
        <v/>
      </c>
      <c r="AN26" s="973" t="n"/>
      <c r="AQ26" s="973" t="n"/>
      <c r="AR26" s="1354" t="inlineStr">
        <is>
          <t>Annual cropland</t>
        </is>
      </c>
      <c r="AS26" s="1357">
        <f>IF(LEFT('2.LUC'!$I63,8)=LEFT($AR$26,8),IF(LEFT('2.LUC'!$K63,8)=LEFT(AS$23,8), luc!$E43,0),0)</f>
        <v/>
      </c>
      <c r="AT26" s="1354">
        <f>IF(LEFT('2.LUC'!$I63,8)=LEFT($AR$26,8),IF(LEFT('2.LUC'!$K63,8)=LEFT(AT$23,8), luc!$E43,0),0)</f>
        <v/>
      </c>
      <c r="AU26" s="1354">
        <f>IF(LEFT('2.LUC'!$I63,8)=LEFT($AR$26,8),IF(LEFT('2.LUC'!$K63,8)=LEFT(AU$23,8), luc!$E43,0),0)</f>
        <v/>
      </c>
      <c r="AV26" s="1354">
        <f>IF(LEFT('2.LUC'!$I63,8)=LEFT($AR$26,8),IF(LEFT('2.LUC'!$K63,8)=LEFT(AV$23,8), luc!$E43,0),0)</f>
        <v/>
      </c>
      <c r="AW26" s="1354">
        <f>IF(LEFT('2.LUC'!$I63,8)=LEFT($AR$26,8),IF(LEFT('2.LUC'!$K63,8)=LEFT(AW$23,8), luc!$E43,0),0)</f>
        <v/>
      </c>
      <c r="AX26" s="1354">
        <f>IF(LEFT('2.LUC'!$I63,8)=LEFT($AR$26,8),IF((OR(LEFT('2.LUC'!$K63,8)=LEFT(AX$23,8),LEFT('2.LUC'!$K63,8)=LEFT(AZ$3,8),LEFT('2.LUC'!$K63,8)=LEFT(AZ$3,9),LEFT('2.LUC'!$K63,8)=LEFT(AZ$4,9),LEFT('2.LUC'!$K63,8)=LEFT(AZ$5,8),LEFT('2.LUC'!$K63,8)=LEFT(AZ$6,8),LEFT('2.LUC'!$K63,8)=LEFT(AZ$7,8),LEFT('2.LUC'!$K63,8)=LEFT(AZ$8,8), LEFT('2.LUC'!$K63,8)=LEFT(AZ$9,8),  LEFT('2.LUC'!$K63,8)=LEFT(AZ$10,8), LEFT('2.LUC'!$K63,8)=LEFT(AZ$11,8),   LEFT('2.LUC'!$K63,8)=LEFT(AZ$12,8), LEFT('2.LUC'!$K63,8)=LEFT(AZ$13,8), LEFT('2.LUC'!$K63,8)=LEFT(AZ$14,8), LEFT('2.LUC'!$K63,8)=LEFT(AZ$15,8), LEFT('2.LUC'!$K63,8)=LEFT(AZ$16,8), LEFT('2.LUC'!$K63,8)=LEFT(AZ$17,8))),luc!$E43,0),0)</f>
        <v/>
      </c>
      <c r="AZ26" s="1345" t="inlineStr">
        <is>
          <t>Orchard</t>
        </is>
      </c>
      <c r="BB26" s="973" t="n"/>
      <c r="BC26" s="1354" t="inlineStr">
        <is>
          <t>Agroforestry</t>
        </is>
      </c>
      <c r="BD26" s="1357">
        <f>IF((OR(LEFT('2.LUC'!$I63,8)=LEFT(Matrix!$BC$26,8), LEFT('2.LUC'!$I63,8)=LEFT(Matrix!AZ$3,8), LEFT('2.LUC'!$I63,8)=LEFT(Matrix!AZ$4,8), LEFT('2.LUC'!$I63,8)=LEFT(Matrix!AZ$5,8), LEFT('2.LUC'!$I63,8)=LEFT(Matrix!AZ$6,8), LEFT('2.LUC'!$I63,8)=LEFT(Matrix!AZ$7,8),  LEFT('2.LUC'!$I63,8)=LEFT(Matrix!AZ$8,8), LEFT('2.LUC'!$I63,8)=LEFT(Matrix!AZ$9,8), LEFT('2.LUC'!$I63,8)=LEFT(Matrix!AZ$10,8), LEFT('2.LUC'!$I63,8)=LEFT(Matrix!AZ$11,8), LEFT('2.LUC'!$I63,8)=LEFT(Matrix!AZ$12,8), LEFT('2.LUC'!$I63,8)=LEFT(Matrix!AZ$13,8), LEFT('2.LUC'!$I63,8)=LEFT(Matrix!AZ$14,8), LEFT('2.LUC'!$I63,8)=LEFT(Matrix!AZ$15,8), LEFT('2.LUC'!$I63,8)=LEFT(Matrix!AZ$16,8), LEFT('2.LUC'!$I63,8)=LEFT(Matrix!AZ$17,8))), IF(LEFT('2.LUC'!$K63,8)=LEFT(Matrix!BD$23,8), '2.LUC'!$P63, 0),0)</f>
        <v/>
      </c>
      <c r="BE26" s="1354">
        <f>IF((OR(LEFT('2.LUC'!$I63,8)=LEFT(Matrix!$BC$26,8), LEFT('2.LUC'!$I63,8)=LEFT(Matrix!AZ$3,8), LEFT('2.LUC'!$I63,8)=LEFT(Matrix!AZ$4,8), LEFT('2.LUC'!$I63,8)=LEFT(Matrix!AZ$5,8), LEFT('2.LUC'!$I63,8)=LEFT(Matrix!AZ$6,8), LEFT('2.LUC'!$I63,8)=LEFT(Matrix!AZ$7,8),  LEFT('2.LUC'!$I63,8)=LEFT(Matrix!AZ$8,8), LEFT('2.LUC'!$I63,8)=LEFT(Matrix!AZ$9,8), LEFT('2.LUC'!$I63,8)=LEFT(Matrix!AZ$10,8), LEFT('2.LUC'!$I63,8)=LEFT(Matrix!AZ$11,8), LEFT('2.LUC'!$I63,8)=LEFT(Matrix!AZ$12,8), LEFT('2.LUC'!$I63,8)=LEFT(Matrix!AZ$13,8), LEFT('2.LUC'!$I63,8)=LEFT(Matrix!AZ$14,8), LEFT('2.LUC'!$I63,8)=LEFT(Matrix!AZ$15,8), LEFT('2.LUC'!$I63,8)=LEFT(Matrix!AZ$16,8), LEFT('2.LUC'!$I63,8)=LEFT(Matrix!AZ$17,8))), IF(LEFT('2.LUC'!$K63,8)=LEFT(Matrix!BE$23,8), '2.LUC'!$P63, 0),0)</f>
        <v/>
      </c>
      <c r="BF26" s="1354">
        <f>IF((OR(LEFT('2.LUC'!$I63,8)=LEFT(Matrix!$BC$26,8), LEFT('2.LUC'!$I63,8)=LEFT(Matrix!AZ$3,8), LEFT('2.LUC'!$I63,8)=LEFT(Matrix!AZ$4,8), LEFT('2.LUC'!$I63,8)=LEFT(Matrix!AZ$5,8), LEFT('2.LUC'!$I63,8)=LEFT(Matrix!AZ$6,8), LEFT('2.LUC'!$I63,8)=LEFT(Matrix!AZ$7,8),  LEFT('2.LUC'!$I63,8)=LEFT(Matrix!AZ$8,8), LEFT('2.LUC'!$I63,8)=LEFT(Matrix!AZ$9,8), LEFT('2.LUC'!$I63,8)=LEFT(Matrix!AZ$10,8), LEFT('2.LUC'!$I63,8)=LEFT(Matrix!AZ$11,8), LEFT('2.LUC'!$I63,8)=LEFT(Matrix!AZ$12,8), LEFT('2.LUC'!$I63,8)=LEFT(Matrix!AZ$13,8), LEFT('2.LUC'!$I63,8)=LEFT(Matrix!AZ$14,8), LEFT('2.LUC'!$I63,8)=LEFT(Matrix!AZ$15,8), LEFT('2.LUC'!$I63,8)=LEFT(Matrix!AZ$16,8), LEFT('2.LUC'!$I63,8)=LEFT(Matrix!AZ$17,8))), IF(LEFT('2.LUC'!$K63,8)=LEFT(Matrix!BF$23,8), '2.LUC'!$P63, 0),0)</f>
        <v/>
      </c>
      <c r="BG26" s="1354">
        <f>IF((OR(LEFT('2.LUC'!$I63,8)=LEFT(Matrix!$BC$26,8), LEFT('2.LUC'!$I63,8)=LEFT(Matrix!AZ$3,8), LEFT('2.LUC'!$I63,8)=LEFT(Matrix!AZ$4,8), LEFT('2.LUC'!$I63,8)=LEFT(Matrix!AZ$5,8), LEFT('2.LUC'!$I63,8)=LEFT(Matrix!AZ$6,8), LEFT('2.LUC'!$I63,8)=LEFT(Matrix!AZ$7,8),  LEFT('2.LUC'!$I63,8)=LEFT(Matrix!AZ$8,8), LEFT('2.LUC'!$I63,8)=LEFT(Matrix!AZ$9,8), LEFT('2.LUC'!$I63,8)=LEFT(Matrix!AZ$10,8), LEFT('2.LUC'!$I63,8)=LEFT(Matrix!AZ$11,8), LEFT('2.LUC'!$I63,8)=LEFT(Matrix!AZ$12,8), LEFT('2.LUC'!$I63,8)=LEFT(Matrix!AZ$13,8), LEFT('2.LUC'!$I63,8)=LEFT(Matrix!AZ$14,8), LEFT('2.LUC'!$I63,8)=LEFT(Matrix!AZ$15,8), LEFT('2.LUC'!$I63,8)=LEFT(Matrix!AZ$16,8), LEFT('2.LUC'!$I63,8)=LEFT(Matrix!AZ$17,8))), IF(LEFT('2.LUC'!$K63,8)=LEFT(Matrix!BG$23,8), '2.LUC'!$P63, 0),0)</f>
        <v/>
      </c>
      <c r="BH26" s="1354">
        <f>IF((OR(LEFT('2.LUC'!$I63,8)=LEFT(Matrix!$BC$26,8), LEFT('2.LUC'!$I63,8)=LEFT(Matrix!AZ$3,8), LEFT('2.LUC'!$I63,8)=LEFT(Matrix!AZ$4,8), LEFT('2.LUC'!$I63,8)=LEFT(Matrix!AZ$5,8), LEFT('2.LUC'!$I63,8)=LEFT(Matrix!AZ$6,8), LEFT('2.LUC'!$I63,8)=LEFT(Matrix!AZ$7,8),  LEFT('2.LUC'!$I63,8)=LEFT(Matrix!AZ$8,8), LEFT('2.LUC'!$I63,8)=LEFT(Matrix!AZ$9,8), LEFT('2.LUC'!$I63,8)=LEFT(Matrix!AZ$10,8), LEFT('2.LUC'!$I63,8)=LEFT(Matrix!AZ$11,8), LEFT('2.LUC'!$I63,8)=LEFT(Matrix!AZ$12,8), LEFT('2.LUC'!$I63,8)=LEFT(Matrix!AZ$13,8), LEFT('2.LUC'!$I63,8)=LEFT(Matrix!AZ$14,8), LEFT('2.LUC'!$I63,8)=LEFT(Matrix!AZ$15,8), LEFT('2.LUC'!$I63,8)=LEFT(Matrix!AZ$16,8), LEFT('2.LUC'!$I63,8)=LEFT(Matrix!AZ$17,8))), IF(LEFT('2.LUC'!$K63,8)=LEFT(Matrix!BH$23,8), '2.LUC'!$P63, 0),0)</f>
        <v/>
      </c>
      <c r="BI26" s="1354">
        <f>IF((OR(LEFT('2.LUC'!$I63,8)=LEFT(Matrix!$BC$26,8), LEFT('2.LUC'!$I63,8)=LEFT(Matrix!AZ$3,8), LEFT('2.LUC'!$I63,8)=LEFT(Matrix!AZ$4,8), LEFT('2.LUC'!$I63,8)=LEFT(Matrix!AZ$5,8), LEFT('2.LUC'!$I63,8)=LEFT(Matrix!AZ$6,8), LEFT('2.LUC'!$I63,8)=LEFT(Matrix!AZ$7,8),  LEFT('2.LUC'!$I63,8)=LEFT(Matrix!AZ$8,8), LEFT('2.LUC'!$I63,8)=LEFT(Matrix!AZ$9,8), LEFT('2.LUC'!$I63,8)=LEFT(Matrix!AZ$10,8), LEFT('2.LUC'!$I63,8)=LEFT(Matrix!AZ$11,8), LEFT('2.LUC'!$I63,8)=LEFT(Matrix!AZ$12,8), LEFT('2.LUC'!$I63,8)=LEFT(Matrix!AZ$13,8), LEFT('2.LUC'!$I63,8)=LEFT(Matrix!AZ$14,8), LEFT('2.LUC'!$I63,8)=LEFT(Matrix!AZ$15,8), LEFT('2.LUC'!$I63,8)=LEFT(Matrix!AZ$16,8), LEFT('2.LUC'!$I63,8)=LEFT(Matrix!AZ$17,8))), IF(LEFT('2.LUC'!$K63,8)=LEFT(Matrix!BI$23,8), '2.LUC'!$P63, 0),0)</f>
        <v/>
      </c>
      <c r="BJ26" s="973" t="n"/>
      <c r="BM26" s="973" t="n"/>
      <c r="BN26" s="1354" t="inlineStr">
        <is>
          <t>Flooded rice</t>
        </is>
      </c>
      <c r="BO26" s="1354">
        <f>IF(LEFT('2.LUC'!$I63,8)=LEFT($BN$26,8),IF(LEFT('2.LUC'!$K63,8)=LEFT(BO$23,8), luc!$E43,0),0)</f>
        <v/>
      </c>
      <c r="BP26" s="1354">
        <f>IF(LEFT('2.LUC'!$I63,8)=LEFT($BN$26,8),IF(LEFT('2.LUC'!$K63,8)=LEFT(BP$23,8), luc!$E43,0),0)</f>
        <v/>
      </c>
      <c r="BQ26" s="1354">
        <f>IF(LEFT('2.LUC'!$I63,8)=LEFT($BN$26,8),IF(LEFT('2.LUC'!$K63,8)=LEFT(BQ$23,8), luc!$E43,0),0)</f>
        <v/>
      </c>
      <c r="BR26" s="1355">
        <f>IF(LEFT('2.LUC'!$I63,8)=LEFT($BN$26,8),IF((OR(LEFT('2.LUC'!$K63,8)=LEFT(BR$23,8),LEFT('2.LUC'!$K63,8)=LEFT(AZ$3,8), LEFT('2.LUC'!$K63,8)=LEFT(AZ$4,9),LEFT('2.LUC'!$K63,8)=LEFT(AZ$5,8),LEFT('2.LUC'!$K63,8)=LEFT(AZ$6,8),LEFT('2.LUC'!$K63,8)=LEFT(AZ$7,8),LEFT('2.LUC'!$K63,8)=LEFT(AZ$8,8), LEFT('2.LUC'!$K63,8)=LEFT(AZ$9,8),  LEFT('2.LUC'!$K63,8)=LEFT(AZ$10,8), LEFT('2.LUC'!$K63,8)=LEFT(AZ$11,8),   LEFT('2.LUC'!$K63,8)=LEFT(AZ$12,8), LEFT('2.LUC'!$K63,8)=LEFT(AZ$13,8), LEFT('2.LUC'!$K63,8)=LEFT(AZ$14,8), LEFT('2.LUC'!$K63,8)=LEFT(AZ$15,8), LEFT('2.LUC'!$K63,8)=LEFT(AZ$16,8), LEFT('2.LUC'!$K63,8)=LEFT(AZ$17,8))), luc!$E43,0),0)</f>
        <v/>
      </c>
      <c r="BS26" s="1355">
        <f>IF(LEFT('2.LUC'!$I63,8)=LEFT($BN$26,8),IF(LEFT('2.LUC'!$K63,8)=LEFT(BS$23,8), luc!$E43,0),0)</f>
        <v/>
      </c>
      <c r="BT26" s="1354">
        <f>IF(LEFT('2.LUC'!$I63,8)=LEFT($BN$26,8),IF(LEFT('2.LUC'!$K63,8)=LEFT(BT$23,8), luc!$E43,0),0)</f>
        <v/>
      </c>
      <c r="BU26" s="973" t="n"/>
      <c r="BX26" s="973" t="n"/>
      <c r="BY26" s="1355" t="inlineStr">
        <is>
          <t>Annual fallow</t>
        </is>
      </c>
      <c r="BZ26" s="1355">
        <f>IF(LEFT('2.LUC'!$I63,8)=LEFT($BY$26,8),IF(LEFT('2.LUC'!$K63,8)=LEFT(BZ$23,8), luc!$E43,0),0)</f>
        <v/>
      </c>
      <c r="CA26" s="1355">
        <f>IF(LEFT('2.LUC'!$I63,8)=LEFT($BY$26,8),IF(LEFT('2.LUC'!$K63,8)=LEFT(CA$23,8), luc!$E43,0),0)</f>
        <v/>
      </c>
      <c r="CB26" s="1355">
        <f>IF(LEFT('2.LUC'!$I63,8)=LEFT($BY$26,8),IF(LEFT('2.LUC'!$K63,8)=LEFT(CB$23,8), luc!$E43,0),0)</f>
        <v/>
      </c>
      <c r="CC26" s="1355">
        <f>IF(LEFT('2.LUC'!$I63,8)=LEFT($BY$26,8),IF((OR(LEFT('2.LUC'!$K63,8)=LEFT(CC$23,8),LEFT('2.LUC'!$K63,8)=LEFT(AZ$3,8), LEFT('2.LUC'!$K63,8)=LEFT(AZ$4,8),LEFT('2.LUC'!$K63,8)=LEFT(AZ$5,8),LEFT('2.LUC'!$K63,8)=LEFT(AZ$6,8),LEFT('2.LUC'!$K63,8)=LEFT(AZ$7,8),LEFT('2.LUC'!$K63,8)=LEFT(AZ$8,8), LEFT('2.LUC'!$K63,8)=LEFT(AZ$9,8),  LEFT('2.LUC'!$K63,8)=LEFT(AZ$10,8), LEFT('2.LUC'!$K63,8)=LEFT(AZ$11,8),   LEFT('2.LUC'!$K63,8)=LEFT(AZ$12,8), LEFT('2.LUC'!$K63,8)=LEFT(AZ$13,8), LEFT('2.LUC'!$K63,8)=LEFT(AZ$14,8), LEFT('2.LUC'!$K63,8)=LEFT(AZ$15,8), LEFT('2.LUC'!$K63,8)=LEFT(AZ$16,8), LEFT('2.LUC'!$K63,8)=LEFT(AZ$17,8))), luc!$E43,0),0)</f>
        <v/>
      </c>
      <c r="CD26" s="1355">
        <f>IF(LEFT('2.LUC'!$I63,8)=LEFT($BY$26,8),IF(LEFT('2.LUC'!$K63,8)=LEFT(CD$23,8), luc!$E43,0),0)</f>
        <v/>
      </c>
      <c r="CE26" s="1354">
        <f>IF(LEFT('2.LUC'!$I63,8)=LEFT($BY$26,8),IF(LEFT('2.LUC'!$K63,8)=LEFT(CE$23,8), luc!$E43,0),0)</f>
        <v/>
      </c>
      <c r="CF26" s="973" t="n"/>
      <c r="CI26" s="973" t="n"/>
      <c r="CJ26" s="1355" t="inlineStr">
        <is>
          <t>Grassland</t>
        </is>
      </c>
      <c r="CK26" s="1355">
        <f>IF(LEFT('2.LUC'!$I63,8)=LEFT($CJ$26,8),IF(LEFT('2.LUC'!$K63,8)=LEFT(CK$23,8), luc!$E43,0),0)</f>
        <v/>
      </c>
      <c r="CL26" s="1355">
        <f>IF(LEFT('2.LUC'!$I63,8)=LEFT($CJ$26,8),IF(LEFT('2.LUC'!$K63,8)=LEFT(CL$23,8), luc!$E43,0),0)</f>
        <v/>
      </c>
      <c r="CM26" s="1355">
        <f>IF(LEFT('2.LUC'!$I63,8)=LEFT($CJ$26,8),IF(LEFT('2.LUC'!$K63,8)=LEFT(CM$23,8), luc!$E43,0),0)</f>
        <v/>
      </c>
      <c r="CN26" s="1354">
        <f>IF(LEFT('2.LUC'!$I63,8)=LEFT($CJ$26,8),IF((OR(LEFT('2.LUC'!$K63,8)=LEFT(CN$23,8),LEFT('2.LUC'!$K63,8)=LEFT(AZ$3,8),LEFT('2.LUC'!$K63,8)=LEFT(AZ$3,9),LEFT('2.LUC'!$K63,8)=LEFT(AZ$4,9),LEFT('2.LUC'!$K63,8)=LEFT(AZ$5,8),LEFT('2.LUC'!$K63,8)=LEFT(AZ$6,8),LEFT('2.LUC'!$K63,8)=LEFT(AZ$7,8),LEFT('2.LUC'!$K63,8)=LEFT(AZ$8,8), LEFT('2.LUC'!$K63,8)=LEFT(AZ$9,8),  LEFT('2.LUC'!$K63,8)=LEFT(AZ$10,8), LEFT('2.LUC'!$K63,8)=LEFT(AZ$11,8),   LEFT('2.LUC'!$K63,8)=LEFT(AZ$12,8), LEFT('2.LUC'!$K63,8)=LEFT(AZ$13,8), LEFT('2.LUC'!$K63,8)=LEFT(AZ$14,8), LEFT('2.LUC'!$K63,8)=LEFT(AZ$15,8), LEFT('2.LUC'!$K63,8)=LEFT(AZ$16,8), LEFT('2.LUC'!$K63,8)=LEFT(AZ$17,8))), luc!$E43,0),0)</f>
        <v/>
      </c>
      <c r="CO26" s="1104">
        <f>IF(LEFT('2.LUC'!$I63,8)=LEFT($CJ$26,8),IF(LEFT('2.LUC'!$K63,8)=LEFT(CO$23,8), luc!$E43,0),0)</f>
        <v/>
      </c>
      <c r="CP26" s="1354">
        <f>IF(LEFT('2.LUC'!$I63,8)=LEFT($CJ$26,8),IF(LEFT('2.LUC'!$K63,8)=LEFT(CP$23,8), luc!$E43,0),0)</f>
        <v/>
      </c>
      <c r="CQ26" s="973" t="n"/>
      <c r="CT26" s="973" t="n"/>
      <c r="CU26" s="1355" t="inlineStr">
        <is>
          <t>Degraded land</t>
        </is>
      </c>
      <c r="CV26" s="1355">
        <f>IF(LEFT('2.LUC'!$I63,8)=LEFT($CU$26,8),IF(LEFT('2.LUC'!$K63,8)=LEFT(CV$23,8), luc!$E43,0),0)</f>
        <v/>
      </c>
      <c r="CW26" s="1355">
        <f>IF(LEFT('2.LUC'!$I63,8)=LEFT($CU$26,8),IF(LEFT('2.LUC'!$K63,8)=LEFT(CW$23,8), luc!$E43,0),0)</f>
        <v/>
      </c>
      <c r="CX26" s="1355">
        <f>IF(LEFT('2.LUC'!$I63,8)=LEFT($CU$26,8),IF(LEFT('2.LUC'!$K63,8)=LEFT(CX$23,8), luc!$E43,0),0)</f>
        <v/>
      </c>
      <c r="CY26" s="1354">
        <f>IF(LEFT('2.LUC'!$I63,8)=LEFT($CU$26,8),IF((OR(LEFT('2.LUC'!$K63,8)=LEFT(CY$23,8),LEFT('2.LUC'!$K63,8)=LEFT(AZ$3,8),LEFT('2.LUC'!$K63,8)=LEFT(AZ$3,9),LEFT('2.LUC'!$K63,8)=LEFT(AZ$4,9),LEFT('2.LUC'!$K63,8)=LEFT(AZ$5,8),LEFT('2.LUC'!$K63,8)=LEFT(AZ$6,8),LEFT('2.LUC'!$K63,8)=LEFT(AZ$7,8),LEFT('2.LUC'!$K63,8)=LEFT(AZ$8,8), LEFT('2.LUC'!$K63,8)=LEFT(AZ$9,8),  LEFT('2.LUC'!$K63,8)=LEFT(AZ$10,8), LEFT('2.LUC'!$K63,8)=LEFT(AZ$11,8),   LEFT('2.LUC'!$K63,8)=LEFT(AZ$12,8), LEFT('2.LUC'!$K63,8)=LEFT(AZ$13,8), LEFT('2.LUC'!$K63,8)=LEFT(AZ$14,8), LEFT('2.LUC'!$K63,8)=LEFT(AZ$15,8), LEFT('2.LUC'!$K63,8)=LEFT(AZ$16,8), LEFT('2.LUC'!$K63,8)=LEFT(AZ$17,8))), luc!$E43,0),0)</f>
        <v/>
      </c>
      <c r="CZ26" s="1104">
        <f>IF(LEFT('2.LUC'!$I63,8)=LEFT($CU$26,8),IF(LEFT('2.LUC'!$K63,8)=LEFT(CZ$23,8), luc!$E43,0),0)</f>
        <v/>
      </c>
      <c r="DA26" s="1354">
        <f>IF(LEFT('2.LUC'!$I63,8)=LEFT($CU$26,8),IF(LEFT('2.LUC'!$K63,8)=LEFT(DA$23,8), luc!$E43,0),0)</f>
        <v/>
      </c>
      <c r="DB26" s="973" t="n"/>
      <c r="DD26" s="973" t="n"/>
      <c r="DE26" s="973" t="n"/>
      <c r="DF26" s="1355" t="inlineStr">
        <is>
          <t>Other land (non-vegetated)</t>
        </is>
      </c>
      <c r="DG26" s="1355">
        <f>IF(LEFT('2.LUC'!$I63,8)=LEFT($DF$26,8),IF(LEFT('2.LUC'!$K63,8)=LEFT(DG$23,8), luc!$E43,0),0)</f>
        <v/>
      </c>
      <c r="DH26" s="1355">
        <f>IF(LEFT('2.LUC'!$I63,8)=LEFT($DF$26,8),IF(LEFT('2.LUC'!$K63,8)=LEFT(DH$23,8), luc!$E43,0),0)</f>
        <v/>
      </c>
      <c r="DI26" s="1355">
        <f>IF(LEFT('2.LUC'!$I63,8)=LEFT($DF$26,8),IF(LEFT('2.LUC'!$K63,8)=LEFT(DI$23,8), luc!$E43,0),0)</f>
        <v/>
      </c>
      <c r="DJ26" s="1354">
        <f>IF(LEFT('2.LUC'!$I63,8)=LEFT($DF$26,8),IF((OR(LEFT('2.LUC'!$K63,8)=LEFT(DJ$23,8),LEFT('2.LUC'!$K63,8)=LEFT(AZ$3,8),LEFT('2.LUC'!$K63,8)=LEFT(AZ$3,9),LEFT('2.LUC'!$K63,8)=LEFT(AZ$4,9),LEFT('2.LUC'!$K63,8)=LEFT(AZ$5,8),LEFT('2.LUC'!$K63,8)=LEFT(AZ$6,8),LEFT('2.LUC'!$K63,8)=LEFT(AZ$7,8),LEFT('2.LUC'!$K63,8)=LEFT(AZ$8,8), LEFT('2.LUC'!$K63,8)=LEFT(AZ$9,8),  LEFT('2.LUC'!$K63,8)=LEFT(AZ$10,8), LEFT('2.LUC'!$K63,8)=LEFT(AZ$11,8),   LEFT('2.LUC'!$K63,8)=LEFT(AZ$12,8), LEFT('2.LUC'!$K63,8)=LEFT(AZ$13,8), LEFT('2.LUC'!$K63,8)=LEFT(AZ$14,8), LEFT('2.LUC'!$K63,8)=LEFT(AZ$15,8), LEFT('2.LUC'!$K63,8)=LEFT(AZ$16,8), LEFT('2.LUC'!$K63,8)=LEFT(AZ$17,8))), luc!$E43,0),0)</f>
        <v/>
      </c>
      <c r="DK26" s="1104">
        <f>IF(LEFT('2.LUC'!$I63,8)=LEFT($DF$26,8),IF(LEFT('2.LUC'!$K63,8)=LEFT(DK$23,8), luc!$E43,0),0)</f>
        <v/>
      </c>
      <c r="DL26" s="1354">
        <f>IF(LEFT('2.LUC'!$I63,8)=LEFT($DF$26,8),IF(LEFT('2.LUC'!$K63,8)=LEFT(DL$23,8), luc!$E43,0),0)</f>
        <v/>
      </c>
    </row>
    <row r="27">
      <c r="D27" s="973" t="n"/>
      <c r="F27" s="1368" t="n"/>
      <c r="G27" s="1391" t="n"/>
      <c r="H27" s="1392" t="inlineStr">
        <is>
          <t>Flooded rice</t>
        </is>
      </c>
      <c r="I27" s="3139">
        <f>$AK$32</f>
        <v/>
      </c>
      <c r="J27" s="3138">
        <f>$BO$34</f>
        <v/>
      </c>
      <c r="K27" s="3138">
        <f>$BR$34</f>
        <v/>
      </c>
      <c r="L27" s="1438">
        <f>rice!$F$31+rice!$F$33+'3.Cropland'!K121</f>
        <v/>
      </c>
      <c r="M27" s="3138">
        <f>$BS$34</f>
        <v/>
      </c>
      <c r="N27" s="3138">
        <f>$BQ$34</f>
        <v/>
      </c>
      <c r="O27" s="3138">
        <f>$BT$34+$BP$34</f>
        <v/>
      </c>
      <c r="P27" s="3138">
        <f>SUM(I27:O27)</f>
        <v/>
      </c>
      <c r="S27" s="1168" t="n"/>
      <c r="T27" s="1688" t="inlineStr">
        <is>
          <t>FL converted to…</t>
        </is>
      </c>
      <c r="U27" s="1420">
        <f>IF('2.LUC'!$I14 = U$23, 1,0)* defo!$H38</f>
        <v/>
      </c>
      <c r="V27" s="1421">
        <f>IF('2.LUC'!$I14 = V$23, 1,0)* defo!$H38</f>
        <v/>
      </c>
      <c r="W27" s="1421">
        <f>IF('2.LUC'!$I14 = W$23, 1,0)* defo!$H38</f>
        <v/>
      </c>
      <c r="X27" s="1421">
        <f>IF('2.LUC'!$I14 = X$23, 1,0)* defo!$H38</f>
        <v/>
      </c>
      <c r="Y27" s="1421">
        <f>IF('2.LUC'!$I14 = Y$23, 1,0)* defo!$H38</f>
        <v/>
      </c>
      <c r="Z27" s="1421">
        <f>IF('2.LUC'!$I14 = Z$23, 1,0)* defo!$H38</f>
        <v/>
      </c>
      <c r="AA27" s="1422">
        <f>IF('2.LUC'!$I14 = AA$23, 1,0)* defo!$H38</f>
        <v/>
      </c>
      <c r="AB27" s="973" t="n"/>
      <c r="AE27" s="1418" t="n"/>
      <c r="AF27" s="1414" t="inlineStr">
        <is>
          <t>FL converted to…</t>
        </is>
      </c>
      <c r="AG27" s="1420">
        <f>IF(AG$23 = '2.LUC'!$I39, '2.LUC'!$P39, 0)</f>
        <v/>
      </c>
      <c r="AH27" s="1421">
        <f>IF(AH$23='2.LUC'!$I39, '2.LUC'!$P39,0)</f>
        <v/>
      </c>
      <c r="AI27" s="1421">
        <f>IF(AI$23='2.LUC'!$I39, '2.LUC'!$P39, 0)</f>
        <v/>
      </c>
      <c r="AJ27" s="1421">
        <f>IF(AJ$23='2.LUC'!$I39, '2.LUC'!$P39, 0)</f>
        <v/>
      </c>
      <c r="AK27" s="1421">
        <f>IF(AK$23='2.LUC'!$I39, '2.LUC'!$P39, 0)</f>
        <v/>
      </c>
      <c r="AL27" s="1421">
        <f>IF(AL$23 = '2.LUC'!$I39, '2.LUC'!$P39, 0)</f>
        <v/>
      </c>
      <c r="AM27" s="1422">
        <f>IF(AM$23 = '2.LUC'!$I39, '2.LUC'!$P39, 0)</f>
        <v/>
      </c>
      <c r="AN27" s="973" t="n"/>
      <c r="AQ27" s="973" t="n"/>
      <c r="AR27" s="1354" t="inlineStr">
        <is>
          <t>converted to…</t>
        </is>
      </c>
      <c r="AS27" s="1357">
        <f>IF(LEFT('2.LUC'!$I64,8)=LEFT($AR$26,8),IF(LEFT('2.LUC'!$K64,8)=LEFT(AS$23,8), luc!$E44,0),0)</f>
        <v/>
      </c>
      <c r="AT27" s="1354">
        <f>IF(LEFT('2.LUC'!$I64,8)=LEFT($AR$26,8),IF(LEFT('2.LUC'!$K64,8)=LEFT(AT$23,8), luc!$E44,0),0)</f>
        <v/>
      </c>
      <c r="AU27" s="1354">
        <f>IF(LEFT('2.LUC'!$I64,8)=LEFT($AR$26,8),IF(LEFT('2.LUC'!$K64,8)=LEFT(AU$23,8), luc!$E44,0),0)</f>
        <v/>
      </c>
      <c r="AV27" s="1354">
        <f>IF(LEFT('2.LUC'!$I64,8)=LEFT($AR$26,8),IF(LEFT('2.LUC'!$K64,8)=LEFT(AV$23,8), luc!$E44,0),0)</f>
        <v/>
      </c>
      <c r="AW27" s="1354">
        <f>IF(LEFT('2.LUC'!$I64,8)=LEFT($AR$26,8),IF(LEFT('2.LUC'!$K64,8)=LEFT(AW$23,8), luc!$E44,0),0)</f>
        <v/>
      </c>
      <c r="AX27" s="1354">
        <f>IF(LEFT('2.LUC'!$I64,8)=LEFT($AR$26,8),IF((OR(LEFT('2.LUC'!$K64,8)=LEFT(AX$23,8),LEFT('2.LUC'!$K64,8)=LEFT(AZ$3,8),LEFT('2.LUC'!$K64,8)=LEFT(AZ$3,9),LEFT('2.LUC'!$K64,8)=LEFT(AZ$4,9),LEFT('2.LUC'!$K64,8)=LEFT(AZ$5,8),LEFT('2.LUC'!$K64,8)=LEFT(AZ$6,8),LEFT('2.LUC'!$K64,8)=LEFT(AZ$7,8),LEFT('2.LUC'!$K64,8)=LEFT(AZ$8,8), LEFT('2.LUC'!$K64,8)=LEFT(AZ$9,8),  LEFT('2.LUC'!$K64,8)=LEFT(AZ$10,8), LEFT('2.LUC'!$K64,8)=LEFT(AZ$11,8),   LEFT('2.LUC'!$K64,8)=LEFT(AZ$12,8), LEFT('2.LUC'!$K64,8)=LEFT(AZ$13,8), LEFT('2.LUC'!$K64,8)=LEFT(AZ$14,8), LEFT('2.LUC'!$K64,8)=LEFT(AZ$15,8), LEFT('2.LUC'!$K64,8)=LEFT(AZ$16,8), LEFT('2.LUC'!$K64,8)=LEFT(AZ$17,8))),luc!$E44,0),0)</f>
        <v/>
      </c>
      <c r="AZ27" s="1345" t="inlineStr">
        <is>
          <t>Parkland</t>
        </is>
      </c>
      <c r="BB27" s="973" t="n"/>
      <c r="BC27" s="1354" t="inlineStr">
        <is>
          <t>converted to…</t>
        </is>
      </c>
      <c r="BD27" s="1357">
        <f>IF((OR(LEFT('2.LUC'!$I64,8)=LEFT(Matrix!$BC$26,8), LEFT('2.LUC'!$I64,8)=LEFT(Matrix!AZ$3,8), LEFT('2.LUC'!$I64,8)=LEFT(Matrix!AZ$4,8), LEFT('2.LUC'!$I64,8)=LEFT(Matrix!AZ$5,8), LEFT('2.LUC'!$I64,8)=LEFT(Matrix!AZ$6,8), LEFT('2.LUC'!$I64,8)=LEFT(Matrix!AZ$7,8),  LEFT('2.LUC'!$I64,8)=LEFT(Matrix!AZ$8,8), LEFT('2.LUC'!$I64,8)=LEFT(Matrix!AZ$9,8), LEFT('2.LUC'!$I64,8)=LEFT(Matrix!AZ$10,8), LEFT('2.LUC'!$I64,8)=LEFT(Matrix!AZ$11,8), LEFT('2.LUC'!$I64,8)=LEFT(Matrix!AZ$12,8), LEFT('2.LUC'!$I64,8)=LEFT(Matrix!AZ$13,8), LEFT('2.LUC'!$I64,8)=LEFT(Matrix!AZ$14,8), LEFT('2.LUC'!$I64,8)=LEFT(Matrix!AZ$15,8), LEFT('2.LUC'!$I64,8)=LEFT(Matrix!AZ$16,8), LEFT('2.LUC'!$I64,8)=LEFT(Matrix!AZ$17,8))), IF(LEFT('2.LUC'!$K64,8)=LEFT(Matrix!BD$23,8), '2.LUC'!$P64, 0),0)</f>
        <v/>
      </c>
      <c r="BE27" s="1354">
        <f>IF((OR(LEFT('2.LUC'!$I64,8)=LEFT(Matrix!$BC$26,8), LEFT('2.LUC'!$I64,8)=LEFT(Matrix!AZ$3,8), LEFT('2.LUC'!$I64,8)=LEFT(Matrix!AZ$4,8), LEFT('2.LUC'!$I64,8)=LEFT(Matrix!AZ$5,8), LEFT('2.LUC'!$I64,8)=LEFT(Matrix!AZ$6,8), LEFT('2.LUC'!$I64,8)=LEFT(Matrix!AZ$7,8),  LEFT('2.LUC'!$I64,8)=LEFT(Matrix!AZ$8,8), LEFT('2.LUC'!$I64,8)=LEFT(Matrix!AZ$9,8), LEFT('2.LUC'!$I64,8)=LEFT(Matrix!AZ$10,8), LEFT('2.LUC'!$I64,8)=LEFT(Matrix!AZ$11,8), LEFT('2.LUC'!$I64,8)=LEFT(Matrix!AZ$12,8), LEFT('2.LUC'!$I64,8)=LEFT(Matrix!AZ$13,8), LEFT('2.LUC'!$I64,8)=LEFT(Matrix!AZ$14,8), LEFT('2.LUC'!$I64,8)=LEFT(Matrix!AZ$15,8), LEFT('2.LUC'!$I64,8)=LEFT(Matrix!AZ$16,8), LEFT('2.LUC'!$I64,8)=LEFT(Matrix!AZ$17,8))), IF(LEFT('2.LUC'!$K64,8)=LEFT(Matrix!BE$23,8), '2.LUC'!$P64, 0),0)</f>
        <v/>
      </c>
      <c r="BF27" s="1354">
        <f>IF((OR(LEFT('2.LUC'!$I64,8)=LEFT(Matrix!$BC$26,8), LEFT('2.LUC'!$I64,8)=LEFT(Matrix!AZ$3,8), LEFT('2.LUC'!$I64,8)=LEFT(Matrix!AZ$4,8), LEFT('2.LUC'!$I64,8)=LEFT(Matrix!AZ$5,8), LEFT('2.LUC'!$I64,8)=LEFT(Matrix!AZ$6,8), LEFT('2.LUC'!$I64,8)=LEFT(Matrix!AZ$7,8),  LEFT('2.LUC'!$I64,8)=LEFT(Matrix!AZ$8,8), LEFT('2.LUC'!$I64,8)=LEFT(Matrix!AZ$9,8), LEFT('2.LUC'!$I64,8)=LEFT(Matrix!AZ$10,8), LEFT('2.LUC'!$I64,8)=LEFT(Matrix!AZ$11,8), LEFT('2.LUC'!$I64,8)=LEFT(Matrix!AZ$12,8), LEFT('2.LUC'!$I64,8)=LEFT(Matrix!AZ$13,8), LEFT('2.LUC'!$I64,8)=LEFT(Matrix!AZ$14,8), LEFT('2.LUC'!$I64,8)=LEFT(Matrix!AZ$15,8), LEFT('2.LUC'!$I64,8)=LEFT(Matrix!AZ$16,8), LEFT('2.LUC'!$I64,8)=LEFT(Matrix!AZ$17,8))), IF(LEFT('2.LUC'!$K64,8)=LEFT(Matrix!BF$23,8), '2.LUC'!$P64, 0),0)</f>
        <v/>
      </c>
      <c r="BG27" s="1354">
        <f>IF((OR(LEFT('2.LUC'!$I64,8)=LEFT(Matrix!$BC$26,8), LEFT('2.LUC'!$I64,8)=LEFT(Matrix!AZ$3,8), LEFT('2.LUC'!$I64,8)=LEFT(Matrix!AZ$4,8), LEFT('2.LUC'!$I64,8)=LEFT(Matrix!AZ$5,8), LEFT('2.LUC'!$I64,8)=LEFT(Matrix!AZ$6,8), LEFT('2.LUC'!$I64,8)=LEFT(Matrix!AZ$7,8),  LEFT('2.LUC'!$I64,8)=LEFT(Matrix!AZ$8,8), LEFT('2.LUC'!$I64,8)=LEFT(Matrix!AZ$9,8), LEFT('2.LUC'!$I64,8)=LEFT(Matrix!AZ$10,8), LEFT('2.LUC'!$I64,8)=LEFT(Matrix!AZ$11,8), LEFT('2.LUC'!$I64,8)=LEFT(Matrix!AZ$12,8), LEFT('2.LUC'!$I64,8)=LEFT(Matrix!AZ$13,8), LEFT('2.LUC'!$I64,8)=LEFT(Matrix!AZ$14,8), LEFT('2.LUC'!$I64,8)=LEFT(Matrix!AZ$15,8), LEFT('2.LUC'!$I64,8)=LEFT(Matrix!AZ$16,8), LEFT('2.LUC'!$I64,8)=LEFT(Matrix!AZ$17,8))), IF(LEFT('2.LUC'!$K64,8)=LEFT(Matrix!BG$23,8), '2.LUC'!$P64, 0),0)</f>
        <v/>
      </c>
      <c r="BH27" s="1354">
        <f>IF((OR(LEFT('2.LUC'!$I64,8)=LEFT(Matrix!$BC$26,8), LEFT('2.LUC'!$I64,8)=LEFT(Matrix!AZ$3,8), LEFT('2.LUC'!$I64,8)=LEFT(Matrix!AZ$4,8), LEFT('2.LUC'!$I64,8)=LEFT(Matrix!AZ$5,8), LEFT('2.LUC'!$I64,8)=LEFT(Matrix!AZ$6,8), LEFT('2.LUC'!$I64,8)=LEFT(Matrix!AZ$7,8),  LEFT('2.LUC'!$I64,8)=LEFT(Matrix!AZ$8,8), LEFT('2.LUC'!$I64,8)=LEFT(Matrix!AZ$9,8), LEFT('2.LUC'!$I64,8)=LEFT(Matrix!AZ$10,8), LEFT('2.LUC'!$I64,8)=LEFT(Matrix!AZ$11,8), LEFT('2.LUC'!$I64,8)=LEFT(Matrix!AZ$12,8), LEFT('2.LUC'!$I64,8)=LEFT(Matrix!AZ$13,8), LEFT('2.LUC'!$I64,8)=LEFT(Matrix!AZ$14,8), LEFT('2.LUC'!$I64,8)=LEFT(Matrix!AZ$15,8), LEFT('2.LUC'!$I64,8)=LEFT(Matrix!AZ$16,8), LEFT('2.LUC'!$I64,8)=LEFT(Matrix!AZ$17,8))), IF(LEFT('2.LUC'!$K64,8)=LEFT(Matrix!BH$23,8), '2.LUC'!$P64, 0),0)</f>
        <v/>
      </c>
      <c r="BI27" s="1354">
        <f>IF((OR(LEFT('2.LUC'!$I64,8)=LEFT(Matrix!$BC$26,8), LEFT('2.LUC'!$I64,8)=LEFT(Matrix!AZ$3,8), LEFT('2.LUC'!$I64,8)=LEFT(Matrix!AZ$4,8), LEFT('2.LUC'!$I64,8)=LEFT(Matrix!AZ$5,8), LEFT('2.LUC'!$I64,8)=LEFT(Matrix!AZ$6,8), LEFT('2.LUC'!$I64,8)=LEFT(Matrix!AZ$7,8),  LEFT('2.LUC'!$I64,8)=LEFT(Matrix!AZ$8,8), LEFT('2.LUC'!$I64,8)=LEFT(Matrix!AZ$9,8), LEFT('2.LUC'!$I64,8)=LEFT(Matrix!AZ$10,8), LEFT('2.LUC'!$I64,8)=LEFT(Matrix!AZ$11,8), LEFT('2.LUC'!$I64,8)=LEFT(Matrix!AZ$12,8), LEFT('2.LUC'!$I64,8)=LEFT(Matrix!AZ$13,8), LEFT('2.LUC'!$I64,8)=LEFT(Matrix!AZ$14,8), LEFT('2.LUC'!$I64,8)=LEFT(Matrix!AZ$15,8), LEFT('2.LUC'!$I64,8)=LEFT(Matrix!AZ$16,8), LEFT('2.LUC'!$I64,8)=LEFT(Matrix!AZ$17,8))), IF(LEFT('2.LUC'!$K64,8)=LEFT(Matrix!BI$23,8), '2.LUC'!$P64, 0),0)</f>
        <v/>
      </c>
      <c r="BJ27" s="973" t="n"/>
      <c r="BM27" s="973" t="n"/>
      <c r="BN27" s="1354" t="inlineStr">
        <is>
          <t>converted to…</t>
        </is>
      </c>
      <c r="BO27" s="1354">
        <f>IF(LEFT('2.LUC'!$I64,8)=LEFT($BN$26,8),IF(LEFT('2.LUC'!$K64,8)=LEFT(BO$23,8), luc!$E44,0),0)</f>
        <v/>
      </c>
      <c r="BP27" s="1354">
        <f>IF(LEFT('2.LUC'!$I64,8)=LEFT($BN$26,8),IF(LEFT('2.LUC'!$K64,8)=LEFT(BP$23,8), luc!$E44,0),0)</f>
        <v/>
      </c>
      <c r="BQ27" s="1354">
        <f>IF(LEFT('2.LUC'!$I64,8)=LEFT($BN$26,8),IF(LEFT('2.LUC'!$K64,8)=LEFT(BQ$23,8), luc!$E44,0),0)</f>
        <v/>
      </c>
      <c r="BR27" s="1355">
        <f>IF(LEFT('2.LUC'!$I64,8)=LEFT($BN$26,8),IF((OR(LEFT('2.LUC'!$K64,8)=LEFT(BR$23,8),LEFT('2.LUC'!$K64,8)=LEFT(AZ$3,8), LEFT('2.LUC'!$K64,8)=LEFT(AZ$4,9),LEFT('2.LUC'!$K64,8)=LEFT(AZ$5,8),LEFT('2.LUC'!$K64,8)=LEFT(AZ$6,8),LEFT('2.LUC'!$K64,8)=LEFT(AZ$7,8),LEFT('2.LUC'!$K64,8)=LEFT(AZ$8,8), LEFT('2.LUC'!$K64,8)=LEFT(AZ$9,8),  LEFT('2.LUC'!$K64,8)=LEFT(AZ$10,8), LEFT('2.LUC'!$K64,8)=LEFT(AZ$11,8),   LEFT('2.LUC'!$K64,8)=LEFT(AZ$12,8), LEFT('2.LUC'!$K64,8)=LEFT(AZ$13,8), LEFT('2.LUC'!$K64,8)=LEFT(AZ$14,8), LEFT('2.LUC'!$K64,8)=LEFT(AZ$15,8), LEFT('2.LUC'!$K64,8)=LEFT(AZ$16,8), LEFT('2.LUC'!$K64,8)=LEFT(AZ$17,8))), luc!$E44,0),0)</f>
        <v/>
      </c>
      <c r="BS27" s="1355">
        <f>IF(LEFT('2.LUC'!$I64,8)=LEFT($BN$26,8),IF(LEFT('2.LUC'!$K64,8)=LEFT(BS$23,8), luc!$E44,0),0)</f>
        <v/>
      </c>
      <c r="BT27" s="1354">
        <f>IF(LEFT('2.LUC'!$I64,8)=LEFT($BN$26,8),IF(LEFT('2.LUC'!$K64,8)=LEFT(BT$23,8), luc!$E44,0),0)</f>
        <v/>
      </c>
      <c r="BU27" s="973" t="n"/>
      <c r="BX27" s="973" t="n"/>
      <c r="BY27" s="1355" t="inlineStr">
        <is>
          <t>converted to…</t>
        </is>
      </c>
      <c r="BZ27" s="1355">
        <f>IF(LEFT('2.LUC'!$I64,8)=LEFT($BY$26,8),IF(LEFT('2.LUC'!$K64,8)=LEFT(BZ$23,8), luc!$E44,0),0)</f>
        <v/>
      </c>
      <c r="CA27" s="1355">
        <f>IF(LEFT('2.LUC'!$I64,8)=LEFT($BY$26,8),IF(LEFT('2.LUC'!$K64,8)=LEFT(CA$23,8), luc!$E44,0),0)</f>
        <v/>
      </c>
      <c r="CB27" s="1355">
        <f>IF(LEFT('2.LUC'!$I64,8)=LEFT($BY$26,8),IF(LEFT('2.LUC'!$K64,8)=LEFT(CB$23,8), luc!$E44,0),0)</f>
        <v/>
      </c>
      <c r="CC27" s="1355">
        <f>IF(LEFT('2.LUC'!$I64,8)=LEFT($BY$26,8),IF((OR(LEFT('2.LUC'!$K64,8)=LEFT(CC$23,8),LEFT('2.LUC'!$K64,8)=LEFT(AZ$3,8), LEFT('2.LUC'!$K64,8)=LEFT(AZ$4,8),LEFT('2.LUC'!$K64,8)=LEFT(AZ$5,8),LEFT('2.LUC'!$K64,8)=LEFT(AZ$6,8),LEFT('2.LUC'!$K64,8)=LEFT(AZ$7,8),LEFT('2.LUC'!$K64,8)=LEFT(AZ$8,8), LEFT('2.LUC'!$K64,8)=LEFT(AZ$9,8),  LEFT('2.LUC'!$K64,8)=LEFT(AZ$10,8), LEFT('2.LUC'!$K64,8)=LEFT(AZ$11,8),   LEFT('2.LUC'!$K64,8)=LEFT(AZ$12,8), LEFT('2.LUC'!$K64,8)=LEFT(AZ$13,8), LEFT('2.LUC'!$K64,8)=LEFT(AZ$14,8), LEFT('2.LUC'!$K64,8)=LEFT(AZ$15,8), LEFT('2.LUC'!$K64,8)=LEFT(AZ$16,8), LEFT('2.LUC'!$K64,8)=LEFT(AZ$17,8))), luc!$E44,0),0)</f>
        <v/>
      </c>
      <c r="CD27" s="1355">
        <f>IF(LEFT('2.LUC'!$I64,8)=LEFT($BY$26,8),IF(LEFT('2.LUC'!$K64,8)=LEFT(CD$23,8), luc!$E44,0),0)</f>
        <v/>
      </c>
      <c r="CE27" s="1354">
        <f>IF(LEFT('2.LUC'!$I64,8)=LEFT($BY$26,8),IF(LEFT('2.LUC'!$K64,8)=LEFT(CE$23,8), luc!$E44,0),0)</f>
        <v/>
      </c>
      <c r="CF27" s="973" t="n"/>
      <c r="CI27" s="973" t="n"/>
      <c r="CJ27" s="1355" t="inlineStr">
        <is>
          <t>converted to…</t>
        </is>
      </c>
      <c r="CK27" s="1355">
        <f>IF(LEFT('2.LUC'!$I64,8)=LEFT($CJ$26,8),IF(LEFT('2.LUC'!$K64,8)=LEFT(CK$23,8), luc!$E44,0),0)</f>
        <v/>
      </c>
      <c r="CL27" s="1355">
        <f>IF(LEFT('2.LUC'!$I64,8)=LEFT($CJ$26,8),IF(LEFT('2.LUC'!$K64,8)=LEFT(CL$23,8), luc!$E44,0),0)</f>
        <v/>
      </c>
      <c r="CM27" s="1355">
        <f>IF(LEFT('2.LUC'!$I64,8)=LEFT($CJ$26,8),IF(LEFT('2.LUC'!$K64,8)=LEFT(CM$23,8), luc!$E44,0),0)</f>
        <v/>
      </c>
      <c r="CN27" s="1354">
        <f>IF(LEFT('2.LUC'!$I64,8)=LEFT($CJ$26,8),IF((OR(LEFT('2.LUC'!$K64,8)=LEFT(CN$23,8),LEFT('2.LUC'!$K64,8)=LEFT(AZ$3,8),LEFT('2.LUC'!$K64,8)=LEFT(AZ$3,9),LEFT('2.LUC'!$K64,8)=LEFT(AZ$4,9),LEFT('2.LUC'!$K64,8)=LEFT(AZ$5,8),LEFT('2.LUC'!$K64,8)=LEFT(AZ$6,8),LEFT('2.LUC'!$K64,8)=LEFT(AZ$7,8),LEFT('2.LUC'!$K64,8)=LEFT(AZ$8,8), LEFT('2.LUC'!$K64,8)=LEFT(AZ$9,8),  LEFT('2.LUC'!$K64,8)=LEFT(AZ$10,8), LEFT('2.LUC'!$K64,8)=LEFT(AZ$11,8),   LEFT('2.LUC'!$K64,8)=LEFT(AZ$12,8), LEFT('2.LUC'!$K64,8)=LEFT(AZ$13,8), LEFT('2.LUC'!$K64,8)=LEFT(AZ$14,8), LEFT('2.LUC'!$K64,8)=LEFT(AZ$15,8), LEFT('2.LUC'!$K64,8)=LEFT(AZ$16,8), LEFT('2.LUC'!$K64,8)=LEFT(AZ$17,8))), luc!$E44,0),0)</f>
        <v/>
      </c>
      <c r="CO27" s="1104">
        <f>IF(LEFT('2.LUC'!$I64,8)=LEFT($CJ$26,8),IF(LEFT('2.LUC'!$K64,8)=LEFT(CO$23,8), luc!$E44,0),0)</f>
        <v/>
      </c>
      <c r="CP27" s="1354">
        <f>IF(LEFT('2.LUC'!$I64,8)=LEFT($CJ$26,8),IF(LEFT('2.LUC'!$K64,8)=LEFT(CP$23,8), luc!$E44,0),0)</f>
        <v/>
      </c>
      <c r="CQ27" s="973" t="n"/>
      <c r="CT27" s="973" t="n"/>
      <c r="CU27" s="1355" t="inlineStr">
        <is>
          <t>converted to…</t>
        </is>
      </c>
      <c r="CV27" s="1355">
        <f>IF(LEFT('2.LUC'!$I64,8)=LEFT($CU$26,8),IF(LEFT('2.LUC'!$K64,8)=LEFT(CV$23,8), luc!$E44,0),0)</f>
        <v/>
      </c>
      <c r="CW27" s="1355">
        <f>IF(LEFT('2.LUC'!$I64,8)=LEFT($CU$26,8),IF(LEFT('2.LUC'!$K64,8)=LEFT(CW$23,8), luc!$E44,0),0)</f>
        <v/>
      </c>
      <c r="CX27" s="1355">
        <f>IF(LEFT('2.LUC'!$I64,8)=LEFT($CU$26,8),IF(LEFT('2.LUC'!$K64,8)=LEFT(CX$23,8), luc!$E44,0),0)</f>
        <v/>
      </c>
      <c r="CY27" s="1354">
        <f>IF(LEFT('2.LUC'!$I64,8)=LEFT($CU$26,8),IF((OR(LEFT('2.LUC'!$K64,8)=LEFT(CY$23,8),LEFT('2.LUC'!$K64,8)=LEFT(AZ$3,8),LEFT('2.LUC'!$K64,8)=LEFT(AZ$3,9),LEFT('2.LUC'!$K64,8)=LEFT(AZ$4,9),LEFT('2.LUC'!$K64,8)=LEFT(AZ$5,8),LEFT('2.LUC'!$K64,8)=LEFT(AZ$6,8),LEFT('2.LUC'!$K64,8)=LEFT(AZ$7,8),LEFT('2.LUC'!$K64,8)=LEFT(AZ$8,8), LEFT('2.LUC'!$K64,8)=LEFT(AZ$9,8),  LEFT('2.LUC'!$K64,8)=LEFT(AZ$10,8), LEFT('2.LUC'!$K64,8)=LEFT(AZ$11,8),   LEFT('2.LUC'!$K64,8)=LEFT(AZ$12,8), LEFT('2.LUC'!$K64,8)=LEFT(AZ$13,8), LEFT('2.LUC'!$K64,8)=LEFT(AZ$14,8), LEFT('2.LUC'!$K64,8)=LEFT(AZ$15,8), LEFT('2.LUC'!$K64,8)=LEFT(AZ$16,8), LEFT('2.LUC'!$K64,8)=LEFT(AZ$17,8))), luc!$E44,0),0)</f>
        <v/>
      </c>
      <c r="CZ27" s="1104">
        <f>IF(LEFT('2.LUC'!$I64,8)=LEFT($CU$26,8),IF(LEFT('2.LUC'!$K64,8)=LEFT(CZ$23,8), luc!$E44,0),0)</f>
        <v/>
      </c>
      <c r="DA27" s="1354">
        <f>IF(LEFT('2.LUC'!$I64,8)=LEFT($CU$26,8),IF(LEFT('2.LUC'!$K64,8)=LEFT(DA$23,8), luc!$E44,0),0)</f>
        <v/>
      </c>
      <c r="DB27" s="973" t="n"/>
      <c r="DD27" s="973" t="n"/>
      <c r="DE27" s="973" t="n"/>
      <c r="DF27" s="1355" t="inlineStr">
        <is>
          <t>converted to…</t>
        </is>
      </c>
      <c r="DG27" s="1355">
        <f>IF(LEFT('2.LUC'!$I64,8)=LEFT($DF$26,8),IF(LEFT('2.LUC'!$K64,8)=LEFT(DG$23,8), luc!$E44,0),0)</f>
        <v/>
      </c>
      <c r="DH27" s="1355">
        <f>IF(LEFT('2.LUC'!$I64,8)=LEFT($DF$26,8),IF(LEFT('2.LUC'!$K64,8)=LEFT(DH$23,8), luc!$E44,0),0)</f>
        <v/>
      </c>
      <c r="DI27" s="1355">
        <f>IF(LEFT('2.LUC'!$I64,8)=LEFT($DF$26,8),IF(LEFT('2.LUC'!$K64,8)=LEFT(DI$23,8), luc!$E44,0),0)</f>
        <v/>
      </c>
      <c r="DJ27" s="1354">
        <f>IF(LEFT('2.LUC'!$I64,8)=LEFT($DF$26,8),IF((OR(LEFT('2.LUC'!$K64,8)=LEFT(DJ$23,8),LEFT('2.LUC'!$K64,8)=LEFT(AZ$3,8),LEFT('2.LUC'!$K64,8)=LEFT(AZ$3,9),LEFT('2.LUC'!$K64,8)=LEFT(AZ$4,9),LEFT('2.LUC'!$K64,8)=LEFT(AZ$5,8),LEFT('2.LUC'!$K64,8)=LEFT(AZ$6,8),LEFT('2.LUC'!$K64,8)=LEFT(AZ$7,8),LEFT('2.LUC'!$K64,8)=LEFT(AZ$8,8), LEFT('2.LUC'!$K64,8)=LEFT(AZ$9,8),  LEFT('2.LUC'!$K64,8)=LEFT(AZ$10,8), LEFT('2.LUC'!$K64,8)=LEFT(AZ$11,8),   LEFT('2.LUC'!$K64,8)=LEFT(AZ$12,8), LEFT('2.LUC'!$K64,8)=LEFT(AZ$13,8), LEFT('2.LUC'!$K64,8)=LEFT(AZ$14,8), LEFT('2.LUC'!$K64,8)=LEFT(AZ$15,8), LEFT('2.LUC'!$K64,8)=LEFT(AZ$16,8), LEFT('2.LUC'!$K64,8)=LEFT(AZ$17,8))), luc!$E44,0),0)</f>
        <v/>
      </c>
      <c r="DK27" s="1104">
        <f>IF(LEFT('2.LUC'!$I64,8)=LEFT($DF$26,8),IF(LEFT('2.LUC'!$K64,8)=LEFT(DK$23,8), luc!$E44,0),0)</f>
        <v/>
      </c>
      <c r="DL27" s="1354">
        <f>IF(LEFT('2.LUC'!$I64,8)=LEFT($DF$26,8),IF(LEFT('2.LUC'!$K64,8)=LEFT(DL$23,8), luc!$E44,0),0)</f>
        <v/>
      </c>
    </row>
    <row r="28">
      <c r="D28" s="973" t="n"/>
      <c r="F28" s="1368" t="n"/>
      <c r="G28" s="1352" t="inlineStr">
        <is>
          <t>Grassland</t>
        </is>
      </c>
      <c r="H28" s="1386" t="inlineStr">
        <is>
          <t>Grassland</t>
        </is>
      </c>
      <c r="I28" s="3139">
        <f>$AL$32</f>
        <v/>
      </c>
      <c r="J28" s="3138">
        <f>$CK$34</f>
        <v/>
      </c>
      <c r="K28" s="3138">
        <f>$CN$34</f>
        <v/>
      </c>
      <c r="L28" s="3138">
        <f>$CL$34</f>
        <v/>
      </c>
      <c r="M28" s="1438">
        <f>grass!$F$44+grass!$F$33+grass!$F$31+Coastal!$AB$14+Coastal!$AC$14+Coastal!$AB$16+Coastal!$AB$73+Coastal!$AC$73+Coastal!$AB$75</f>
        <v/>
      </c>
      <c r="N28" s="3138">
        <f>$CM$34</f>
        <v/>
      </c>
      <c r="O28" s="3138">
        <f>$CP$34+$CO$34</f>
        <v/>
      </c>
      <c r="P28" s="3138">
        <f>SUM(I28:O28)</f>
        <v/>
      </c>
      <c r="S28" s="1168" t="n"/>
      <c r="T28" s="1688" t="n"/>
      <c r="U28" s="1420">
        <f>IF('2.LUC'!$I15 = U$23, 1,0)* defo!$H39</f>
        <v/>
      </c>
      <c r="V28" s="1421">
        <f>IF('2.LUC'!$I15 = V$23, 1,0)* defo!$H39</f>
        <v/>
      </c>
      <c r="W28" s="1421">
        <f>IF('2.LUC'!$I15 = W$23, 1,0)* defo!$H39</f>
        <v/>
      </c>
      <c r="X28" s="1421">
        <f>IF('2.LUC'!$I15 = X$23, 1,0)* defo!$H39</f>
        <v/>
      </c>
      <c r="Y28" s="1421">
        <f>IF('2.LUC'!$I15 = Y$23, 1,0)* defo!$H39</f>
        <v/>
      </c>
      <c r="Z28" s="1421">
        <f>IF('2.LUC'!$I15 = Z$23, 1,0)* defo!$H39</f>
        <v/>
      </c>
      <c r="AA28" s="1422">
        <f>IF('2.LUC'!$I15 = AA$23, 1,0)* defo!$H39</f>
        <v/>
      </c>
      <c r="AB28" s="973" t="n"/>
      <c r="AE28" s="1418" t="n"/>
      <c r="AF28" s="1414" t="n"/>
      <c r="AG28" s="1420">
        <f>IF(AG$23 = '2.LUC'!$I40, '2.LUC'!$P40, 0)</f>
        <v/>
      </c>
      <c r="AH28" s="1421">
        <f>IF(AH$23='2.LUC'!$I40, '2.LUC'!$P40,0)</f>
        <v/>
      </c>
      <c r="AI28" s="1421">
        <f>IF(AI$23='2.LUC'!$I40, '2.LUC'!$P40, 0)</f>
        <v/>
      </c>
      <c r="AJ28" s="1421">
        <f>IF(AJ$23='2.LUC'!$I40, '2.LUC'!$P40, 0)</f>
        <v/>
      </c>
      <c r="AK28" s="1421">
        <f>IF(AK$23='2.LUC'!$I40, '2.LUC'!$P40, 0)</f>
        <v/>
      </c>
      <c r="AL28" s="1421">
        <f>IF(AL$23 = '2.LUC'!$I40, '2.LUC'!$P40, 0)</f>
        <v/>
      </c>
      <c r="AM28" s="1422">
        <f>IF(AM$23 = '2.LUC'!$I40, '2.LUC'!$P40, 0)</f>
        <v/>
      </c>
      <c r="AN28" s="973" t="n"/>
      <c r="AQ28" s="973" t="n"/>
      <c r="AR28" s="1354" t="n"/>
      <c r="AS28" s="1357">
        <f>IF(LEFT('2.LUC'!$I65,8)=LEFT($AR$26,8),IF(LEFT('2.LUC'!$K65,8)=LEFT(AS$23,8), luc!$E45,0),0)</f>
        <v/>
      </c>
      <c r="AT28" s="1354">
        <f>IF(LEFT('2.LUC'!$I65,8)=LEFT($AR$26,8),IF(LEFT('2.LUC'!$K65,8)=LEFT(AT$23,8), luc!$E45,0),0)</f>
        <v/>
      </c>
      <c r="AU28" s="1354">
        <f>IF(LEFT('2.LUC'!$I65,8)=LEFT($AR$26,8),IF(LEFT('2.LUC'!$K65,8)=LEFT(AU$23,8), luc!$E45,0),0)</f>
        <v/>
      </c>
      <c r="AV28" s="1354">
        <f>IF(LEFT('2.LUC'!$I65,8)=LEFT($AR$26,8),IF(LEFT('2.LUC'!$K65,8)=LEFT(AV$23,8), luc!$E45,0),0)</f>
        <v/>
      </c>
      <c r="AW28" s="1354">
        <f>IF(LEFT('2.LUC'!$I65,8)=LEFT($AR$26,8),IF(LEFT('2.LUC'!$K65,8)=LEFT(AW$23,8), luc!$E45,0),0)</f>
        <v/>
      </c>
      <c r="AX28" s="1354">
        <f>IF(LEFT('2.LUC'!$I65,8)=LEFT($AR$26,8),IF((OR(LEFT('2.LUC'!$K65,8)=LEFT(AX$23,8),LEFT('2.LUC'!$K65,8)=LEFT(AZ$3,8),LEFT('2.LUC'!$K65,8)=LEFT(AZ$3,9),LEFT('2.LUC'!$K65,8)=LEFT(AZ$4,9),LEFT('2.LUC'!$K65,8)=LEFT(AZ$5,8),LEFT('2.LUC'!$K65,8)=LEFT(AZ$6,8),LEFT('2.LUC'!$K65,8)=LEFT(AZ$7,8),LEFT('2.LUC'!$K65,8)=LEFT(AZ$8,8), LEFT('2.LUC'!$K65,8)=LEFT(AZ$9,8),  LEFT('2.LUC'!$K65,8)=LEFT(AZ$10,8), LEFT('2.LUC'!$K65,8)=LEFT(AZ$11,8),   LEFT('2.LUC'!$K65,8)=LEFT(AZ$12,8), LEFT('2.LUC'!$K65,8)=LEFT(AZ$13,8), LEFT('2.LUC'!$K65,8)=LEFT(AZ$14,8), LEFT('2.LUC'!$K65,8)=LEFT(AZ$15,8), LEFT('2.LUC'!$K65,8)=LEFT(AZ$16,8), LEFT('2.LUC'!$K65,8)=LEFT(AZ$17,8))),luc!$E45,0),0)</f>
        <v/>
      </c>
      <c r="AZ28" s="1345" t="inlineStr">
        <is>
          <t>Perennial fallow</t>
        </is>
      </c>
      <c r="BB28" s="973" t="n"/>
      <c r="BC28" s="1354" t="n"/>
      <c r="BD28" s="1357">
        <f>IF((OR(LEFT('2.LUC'!$I65,8)=LEFT(Matrix!$BC$26,8), LEFT('2.LUC'!$I65,8)=LEFT(Matrix!AZ$3,8), LEFT('2.LUC'!$I65,8)=LEFT(Matrix!AZ$4,8), LEFT('2.LUC'!$I65,8)=LEFT(Matrix!AZ$5,8), LEFT('2.LUC'!$I65,8)=LEFT(Matrix!AZ$6,8), LEFT('2.LUC'!$I65,8)=LEFT(Matrix!AZ$7,8),  LEFT('2.LUC'!$I65,8)=LEFT(Matrix!AZ$8,8), LEFT('2.LUC'!$I65,8)=LEFT(Matrix!AZ$9,8), LEFT('2.LUC'!$I65,8)=LEFT(Matrix!AZ$10,8), LEFT('2.LUC'!$I65,8)=LEFT(Matrix!AZ$11,8), LEFT('2.LUC'!$I65,8)=LEFT(Matrix!AZ$12,8), LEFT('2.LUC'!$I65,8)=LEFT(Matrix!AZ$13,8), LEFT('2.LUC'!$I65,8)=LEFT(Matrix!AZ$14,8), LEFT('2.LUC'!$I65,8)=LEFT(Matrix!AZ$15,8), LEFT('2.LUC'!$I65,8)=LEFT(Matrix!AZ$16,8), LEFT('2.LUC'!$I65,8)=LEFT(Matrix!AZ$17,8))), IF(LEFT('2.LUC'!$K65,8)=LEFT(Matrix!BD$23,8), '2.LUC'!$P65, 0),0)</f>
        <v/>
      </c>
      <c r="BE28" s="1354">
        <f>IF((OR(LEFT('2.LUC'!$I65,8)=LEFT(Matrix!$BC$26,8), LEFT('2.LUC'!$I65,8)=LEFT(Matrix!AZ$3,8), LEFT('2.LUC'!$I65,8)=LEFT(Matrix!AZ$4,8), LEFT('2.LUC'!$I65,8)=LEFT(Matrix!AZ$5,8), LEFT('2.LUC'!$I65,8)=LEFT(Matrix!AZ$6,8), LEFT('2.LUC'!$I65,8)=LEFT(Matrix!AZ$7,8),  LEFT('2.LUC'!$I65,8)=LEFT(Matrix!AZ$8,8), LEFT('2.LUC'!$I65,8)=LEFT(Matrix!AZ$9,8), LEFT('2.LUC'!$I65,8)=LEFT(Matrix!AZ$10,8), LEFT('2.LUC'!$I65,8)=LEFT(Matrix!AZ$11,8), LEFT('2.LUC'!$I65,8)=LEFT(Matrix!AZ$12,8), LEFT('2.LUC'!$I65,8)=LEFT(Matrix!AZ$13,8), LEFT('2.LUC'!$I65,8)=LEFT(Matrix!AZ$14,8), LEFT('2.LUC'!$I65,8)=LEFT(Matrix!AZ$15,8), LEFT('2.LUC'!$I65,8)=LEFT(Matrix!AZ$16,8), LEFT('2.LUC'!$I65,8)=LEFT(Matrix!AZ$17,8))), IF(LEFT('2.LUC'!$K65,8)=LEFT(Matrix!BE$23,8), '2.LUC'!$P65, 0),0)</f>
        <v/>
      </c>
      <c r="BF28" s="1354">
        <f>IF((OR(LEFT('2.LUC'!$I65,8)=LEFT(Matrix!$BC$26,8), LEFT('2.LUC'!$I65,8)=LEFT(Matrix!AZ$3,8), LEFT('2.LUC'!$I65,8)=LEFT(Matrix!AZ$4,8), LEFT('2.LUC'!$I65,8)=LEFT(Matrix!AZ$5,8), LEFT('2.LUC'!$I65,8)=LEFT(Matrix!AZ$6,8), LEFT('2.LUC'!$I65,8)=LEFT(Matrix!AZ$7,8),  LEFT('2.LUC'!$I65,8)=LEFT(Matrix!AZ$8,8), LEFT('2.LUC'!$I65,8)=LEFT(Matrix!AZ$9,8), LEFT('2.LUC'!$I65,8)=LEFT(Matrix!AZ$10,8), LEFT('2.LUC'!$I65,8)=LEFT(Matrix!AZ$11,8), LEFT('2.LUC'!$I65,8)=LEFT(Matrix!AZ$12,8), LEFT('2.LUC'!$I65,8)=LEFT(Matrix!AZ$13,8), LEFT('2.LUC'!$I65,8)=LEFT(Matrix!AZ$14,8), LEFT('2.LUC'!$I65,8)=LEFT(Matrix!AZ$15,8), LEFT('2.LUC'!$I65,8)=LEFT(Matrix!AZ$16,8), LEFT('2.LUC'!$I65,8)=LEFT(Matrix!AZ$17,8))), IF(LEFT('2.LUC'!$K65,8)=LEFT(Matrix!BF$23,8), '2.LUC'!$P65, 0),0)</f>
        <v/>
      </c>
      <c r="BG28" s="1354">
        <f>IF((OR(LEFT('2.LUC'!$I65,8)=LEFT(Matrix!$BC$26,8), LEFT('2.LUC'!$I65,8)=LEFT(Matrix!AZ$3,8), LEFT('2.LUC'!$I65,8)=LEFT(Matrix!AZ$4,8), LEFT('2.LUC'!$I65,8)=LEFT(Matrix!AZ$5,8), LEFT('2.LUC'!$I65,8)=LEFT(Matrix!AZ$6,8), LEFT('2.LUC'!$I65,8)=LEFT(Matrix!AZ$7,8),  LEFT('2.LUC'!$I65,8)=LEFT(Matrix!AZ$8,8), LEFT('2.LUC'!$I65,8)=LEFT(Matrix!AZ$9,8), LEFT('2.LUC'!$I65,8)=LEFT(Matrix!AZ$10,8), LEFT('2.LUC'!$I65,8)=LEFT(Matrix!AZ$11,8), LEFT('2.LUC'!$I65,8)=LEFT(Matrix!AZ$12,8), LEFT('2.LUC'!$I65,8)=LEFT(Matrix!AZ$13,8), LEFT('2.LUC'!$I65,8)=LEFT(Matrix!AZ$14,8), LEFT('2.LUC'!$I65,8)=LEFT(Matrix!AZ$15,8), LEFT('2.LUC'!$I65,8)=LEFT(Matrix!AZ$16,8), LEFT('2.LUC'!$I65,8)=LEFT(Matrix!AZ$17,8))), IF(LEFT('2.LUC'!$K65,8)=LEFT(Matrix!BG$23,8), '2.LUC'!$P65, 0),0)</f>
        <v/>
      </c>
      <c r="BH28" s="1354">
        <f>IF((OR(LEFT('2.LUC'!$I65,8)=LEFT(Matrix!$BC$26,8), LEFT('2.LUC'!$I65,8)=LEFT(Matrix!AZ$3,8), LEFT('2.LUC'!$I65,8)=LEFT(Matrix!AZ$4,8), LEFT('2.LUC'!$I65,8)=LEFT(Matrix!AZ$5,8), LEFT('2.LUC'!$I65,8)=LEFT(Matrix!AZ$6,8), LEFT('2.LUC'!$I65,8)=LEFT(Matrix!AZ$7,8),  LEFT('2.LUC'!$I65,8)=LEFT(Matrix!AZ$8,8), LEFT('2.LUC'!$I65,8)=LEFT(Matrix!AZ$9,8), LEFT('2.LUC'!$I65,8)=LEFT(Matrix!AZ$10,8), LEFT('2.LUC'!$I65,8)=LEFT(Matrix!AZ$11,8), LEFT('2.LUC'!$I65,8)=LEFT(Matrix!AZ$12,8), LEFT('2.LUC'!$I65,8)=LEFT(Matrix!AZ$13,8), LEFT('2.LUC'!$I65,8)=LEFT(Matrix!AZ$14,8), LEFT('2.LUC'!$I65,8)=LEFT(Matrix!AZ$15,8), LEFT('2.LUC'!$I65,8)=LEFT(Matrix!AZ$16,8), LEFT('2.LUC'!$I65,8)=LEFT(Matrix!AZ$17,8))), IF(LEFT('2.LUC'!$K65,8)=LEFT(Matrix!BH$23,8), '2.LUC'!$P65, 0),0)</f>
        <v/>
      </c>
      <c r="BI28" s="1354">
        <f>IF((OR(LEFT('2.LUC'!$I65,8)=LEFT(Matrix!$BC$26,8), LEFT('2.LUC'!$I65,8)=LEFT(Matrix!AZ$3,8), LEFT('2.LUC'!$I65,8)=LEFT(Matrix!AZ$4,8), LEFT('2.LUC'!$I65,8)=LEFT(Matrix!AZ$5,8), LEFT('2.LUC'!$I65,8)=LEFT(Matrix!AZ$6,8), LEFT('2.LUC'!$I65,8)=LEFT(Matrix!AZ$7,8),  LEFT('2.LUC'!$I65,8)=LEFT(Matrix!AZ$8,8), LEFT('2.LUC'!$I65,8)=LEFT(Matrix!AZ$9,8), LEFT('2.LUC'!$I65,8)=LEFT(Matrix!AZ$10,8), LEFT('2.LUC'!$I65,8)=LEFT(Matrix!AZ$11,8), LEFT('2.LUC'!$I65,8)=LEFT(Matrix!AZ$12,8), LEFT('2.LUC'!$I65,8)=LEFT(Matrix!AZ$13,8), LEFT('2.LUC'!$I65,8)=LEFT(Matrix!AZ$14,8), LEFT('2.LUC'!$I65,8)=LEFT(Matrix!AZ$15,8), LEFT('2.LUC'!$I65,8)=LEFT(Matrix!AZ$16,8), LEFT('2.LUC'!$I65,8)=LEFT(Matrix!AZ$17,8))), IF(LEFT('2.LUC'!$K65,8)=LEFT(Matrix!BI$23,8), '2.LUC'!$P65, 0),0)</f>
        <v/>
      </c>
      <c r="BJ28" s="973" t="n"/>
      <c r="BM28" s="973" t="n"/>
      <c r="BN28" s="1354" t="n"/>
      <c r="BO28" s="1354">
        <f>IF(LEFT('2.LUC'!$I65,8)=LEFT($BN$26,8),IF(LEFT('2.LUC'!$K65,8)=LEFT(BO$23,8), luc!$E45,0),0)</f>
        <v/>
      </c>
      <c r="BP28" s="1354">
        <f>IF(LEFT('2.LUC'!$I65,8)=LEFT($BN$26,8),IF(LEFT('2.LUC'!$K65,8)=LEFT(BP$23,8), luc!$E45,0),0)</f>
        <v/>
      </c>
      <c r="BQ28" s="1354">
        <f>IF(LEFT('2.LUC'!$I65,8)=LEFT($BN$26,8),IF(LEFT('2.LUC'!$K65,8)=LEFT(BQ$23,8), luc!$E45,0),0)</f>
        <v/>
      </c>
      <c r="BR28" s="1355">
        <f>IF(LEFT('2.LUC'!$I65,8)=LEFT($BN$26,8),IF((OR(LEFT('2.LUC'!$K65,8)=LEFT(BR$23,8),LEFT('2.LUC'!$K65,8)=LEFT(AZ$3,8), LEFT('2.LUC'!$K65,8)=LEFT(AZ$4,9),LEFT('2.LUC'!$K65,8)=LEFT(AZ$5,8),LEFT('2.LUC'!$K65,8)=LEFT(AZ$6,8),LEFT('2.LUC'!$K65,8)=LEFT(AZ$7,8),LEFT('2.LUC'!$K65,8)=LEFT(AZ$8,8), LEFT('2.LUC'!$K65,8)=LEFT(AZ$9,8),  LEFT('2.LUC'!$K65,8)=LEFT(AZ$10,8), LEFT('2.LUC'!$K65,8)=LEFT(AZ$11,8),   LEFT('2.LUC'!$K65,8)=LEFT(AZ$12,8), LEFT('2.LUC'!$K65,8)=LEFT(AZ$13,8), LEFT('2.LUC'!$K65,8)=LEFT(AZ$14,8), LEFT('2.LUC'!$K65,8)=LEFT(AZ$15,8), LEFT('2.LUC'!$K65,8)=LEFT(AZ$16,8), LEFT('2.LUC'!$K65,8)=LEFT(AZ$17,8))), luc!$E45,0),0)</f>
        <v/>
      </c>
      <c r="BS28" s="1355">
        <f>IF(LEFT('2.LUC'!$I65,8)=LEFT($BN$26,8),IF(LEFT('2.LUC'!$K65,8)=LEFT(BS$23,8), luc!$E45,0),0)</f>
        <v/>
      </c>
      <c r="BT28" s="1354">
        <f>IF(LEFT('2.LUC'!$I65,8)=LEFT($BN$26,8),IF(LEFT('2.LUC'!$K65,8)=LEFT(BT$23,8), luc!$E45,0),0)</f>
        <v/>
      </c>
      <c r="BU28" s="973" t="n"/>
      <c r="BX28" s="973" t="n"/>
      <c r="BY28" s="1355" t="n"/>
      <c r="BZ28" s="1355">
        <f>IF(LEFT('2.LUC'!$I65,8)=LEFT($BY$26,8),IF(LEFT('2.LUC'!$K65,8)=LEFT(BZ$23,8), luc!$E45,0),0)</f>
        <v/>
      </c>
      <c r="CA28" s="1355">
        <f>IF(LEFT('2.LUC'!$I65,8)=LEFT($BY$26,8),IF(LEFT('2.LUC'!$K65,8)=LEFT(CA$23,8), luc!$E45,0),0)</f>
        <v/>
      </c>
      <c r="CB28" s="1355">
        <f>IF(LEFT('2.LUC'!$I65,8)=LEFT($BY$26,8),IF(LEFT('2.LUC'!$K65,8)=LEFT(CB$23,8), luc!$E45,0),0)</f>
        <v/>
      </c>
      <c r="CC28" s="1355">
        <f>IF(LEFT('2.LUC'!$I65,8)=LEFT($BY$26,8),IF((OR(LEFT('2.LUC'!$K65,8)=LEFT(CC$23,8),LEFT('2.LUC'!$K65,8)=LEFT(AZ$3,8), LEFT('2.LUC'!$K65,8)=LEFT(AZ$4,8),LEFT('2.LUC'!$K65,8)=LEFT(AZ$5,8),LEFT('2.LUC'!$K65,8)=LEFT(AZ$6,8),LEFT('2.LUC'!$K65,8)=LEFT(AZ$7,8),LEFT('2.LUC'!$K65,8)=LEFT(AZ$8,8), LEFT('2.LUC'!$K65,8)=LEFT(AZ$9,8),  LEFT('2.LUC'!$K65,8)=LEFT(AZ$10,8), LEFT('2.LUC'!$K65,8)=LEFT(AZ$11,8),   LEFT('2.LUC'!$K65,8)=LEFT(AZ$12,8), LEFT('2.LUC'!$K65,8)=LEFT(AZ$13,8), LEFT('2.LUC'!$K65,8)=LEFT(AZ$14,8), LEFT('2.LUC'!$K65,8)=LEFT(AZ$15,8), LEFT('2.LUC'!$K65,8)=LEFT(AZ$16,8), LEFT('2.LUC'!$K65,8)=LEFT(AZ$17,8))), luc!$E45,0),0)</f>
        <v/>
      </c>
      <c r="CD28" s="1355">
        <f>IF(LEFT('2.LUC'!$I65,8)=LEFT($BY$26,8),IF(LEFT('2.LUC'!$K65,8)=LEFT(CD$23,8), luc!$E45,0),0)</f>
        <v/>
      </c>
      <c r="CE28" s="1354">
        <f>IF(LEFT('2.LUC'!$I65,8)=LEFT($BY$26,8),IF(LEFT('2.LUC'!$K65,8)=LEFT(CE$23,8), luc!$E45,0),0)</f>
        <v/>
      </c>
      <c r="CF28" s="973" t="n"/>
      <c r="CI28" s="973" t="n"/>
      <c r="CJ28" s="1355" t="n"/>
      <c r="CK28" s="1355">
        <f>IF(LEFT('2.LUC'!$I65,8)=LEFT($CJ$26,8),IF(LEFT('2.LUC'!$K65,8)=LEFT(CK$23,8), luc!$E45,0),0)</f>
        <v/>
      </c>
      <c r="CL28" s="1355">
        <f>IF(LEFT('2.LUC'!$I65,8)=LEFT($CJ$26,8),IF(LEFT('2.LUC'!$K65,8)=LEFT(CL$23,8), luc!$E45,0),0)</f>
        <v/>
      </c>
      <c r="CM28" s="1355">
        <f>IF(LEFT('2.LUC'!$I65,8)=LEFT($CJ$26,8),IF(LEFT('2.LUC'!$K65,8)=LEFT(CM$23,8), luc!$E45,0),0)</f>
        <v/>
      </c>
      <c r="CN28" s="1354">
        <f>IF(LEFT('2.LUC'!$I65,8)=LEFT($CJ$26,8),IF((OR(LEFT('2.LUC'!$K65,8)=LEFT(CN$23,8),LEFT('2.LUC'!$K65,8)=LEFT(AZ$3,8),LEFT('2.LUC'!$K65,8)=LEFT(AZ$3,9),LEFT('2.LUC'!$K65,8)=LEFT(AZ$4,9),LEFT('2.LUC'!$K65,8)=LEFT(AZ$5,8),LEFT('2.LUC'!$K65,8)=LEFT(AZ$6,8),LEFT('2.LUC'!$K65,8)=LEFT(AZ$7,8),LEFT('2.LUC'!$K65,8)=LEFT(AZ$8,8), LEFT('2.LUC'!$K65,8)=LEFT(AZ$9,8),  LEFT('2.LUC'!$K65,8)=LEFT(AZ$10,8), LEFT('2.LUC'!$K65,8)=LEFT(AZ$11,8),   LEFT('2.LUC'!$K65,8)=LEFT(AZ$12,8), LEFT('2.LUC'!$K65,8)=LEFT(AZ$13,8), LEFT('2.LUC'!$K65,8)=LEFT(AZ$14,8), LEFT('2.LUC'!$K65,8)=LEFT(AZ$15,8), LEFT('2.LUC'!$K65,8)=LEFT(AZ$16,8), LEFT('2.LUC'!$K65,8)=LEFT(AZ$17,8))), luc!$E45,0),0)</f>
        <v/>
      </c>
      <c r="CO28" s="1104">
        <f>IF(LEFT('2.LUC'!$I65,8)=LEFT($CJ$26,8),IF(LEFT('2.LUC'!$K65,8)=LEFT(CO$23,8), luc!$E45,0),0)</f>
        <v/>
      </c>
      <c r="CP28" s="1354">
        <f>IF(LEFT('2.LUC'!$I65,8)=LEFT($CJ$26,8),IF(LEFT('2.LUC'!$K65,8)=LEFT(CP$23,8), luc!$E45,0),0)</f>
        <v/>
      </c>
      <c r="CQ28" s="973" t="n"/>
      <c r="CT28" s="973" t="n"/>
      <c r="CU28" s="1355" t="n"/>
      <c r="CV28" s="1355">
        <f>IF(LEFT('2.LUC'!$I65,8)=LEFT($CU$26,8),IF(LEFT('2.LUC'!$K65,8)=LEFT(CV$23,8), luc!$E45,0),0)</f>
        <v/>
      </c>
      <c r="CW28" s="1355">
        <f>IF(LEFT('2.LUC'!$I65,8)=LEFT($CU$26,8),IF(LEFT('2.LUC'!$K65,8)=LEFT(CW$23,8), luc!$E45,0),0)</f>
        <v/>
      </c>
      <c r="CX28" s="1355">
        <f>IF(LEFT('2.LUC'!$I65,8)=LEFT($CU$26,8),IF(LEFT('2.LUC'!$K65,8)=LEFT(CX$23,8), luc!$E45,0),0)</f>
        <v/>
      </c>
      <c r="CY28" s="1354">
        <f>IF(LEFT('2.LUC'!$I65,8)=LEFT($CU$26,8),IF((OR(LEFT('2.LUC'!$K65,8)=LEFT(CY$23,8),LEFT('2.LUC'!$K65,8)=LEFT(AZ$3,8),LEFT('2.LUC'!$K65,8)=LEFT(AZ$3,9),LEFT('2.LUC'!$K65,8)=LEFT(AZ$4,9),LEFT('2.LUC'!$K65,8)=LEFT(AZ$5,8),LEFT('2.LUC'!$K65,8)=LEFT(AZ$6,8),LEFT('2.LUC'!$K65,8)=LEFT(AZ$7,8),LEFT('2.LUC'!$K65,8)=LEFT(AZ$8,8), LEFT('2.LUC'!$K65,8)=LEFT(AZ$9,8),  LEFT('2.LUC'!$K65,8)=LEFT(AZ$10,8), LEFT('2.LUC'!$K65,8)=LEFT(AZ$11,8),   LEFT('2.LUC'!$K65,8)=LEFT(AZ$12,8), LEFT('2.LUC'!$K65,8)=LEFT(AZ$13,8), LEFT('2.LUC'!$K65,8)=LEFT(AZ$14,8), LEFT('2.LUC'!$K65,8)=LEFT(AZ$15,8), LEFT('2.LUC'!$K65,8)=LEFT(AZ$16,8), LEFT('2.LUC'!$K65,8)=LEFT(AZ$17,8))), luc!$E45,0),0)</f>
        <v/>
      </c>
      <c r="CZ28" s="1104">
        <f>IF(LEFT('2.LUC'!$I65,8)=LEFT($CU$26,8),IF(LEFT('2.LUC'!$K65,8)=LEFT(CZ$23,8), luc!$E45,0),0)</f>
        <v/>
      </c>
      <c r="DA28" s="1354">
        <f>IF(LEFT('2.LUC'!$I65,8)=LEFT($CU$26,8),IF(LEFT('2.LUC'!$K65,8)=LEFT(DA$23,8), luc!$E45,0),0)</f>
        <v/>
      </c>
      <c r="DB28" s="973" t="n"/>
      <c r="DD28" s="973" t="n"/>
      <c r="DE28" s="973" t="n"/>
      <c r="DF28" s="1355" t="n"/>
      <c r="DG28" s="1355">
        <f>IF(LEFT('2.LUC'!$I65,8)=LEFT($DF$26,8),IF(LEFT('2.LUC'!$K65,8)=LEFT(DG$23,8), luc!$E45,0),0)</f>
        <v/>
      </c>
      <c r="DH28" s="1355">
        <f>IF(LEFT('2.LUC'!$I65,8)=LEFT($DF$26,8),IF(LEFT('2.LUC'!$K65,8)=LEFT(DH$23,8), luc!$E45,0),0)</f>
        <v/>
      </c>
      <c r="DI28" s="1355">
        <f>IF(LEFT('2.LUC'!$I65,8)=LEFT($DF$26,8),IF(LEFT('2.LUC'!$K65,8)=LEFT(DI$23,8), luc!$E45,0),0)</f>
        <v/>
      </c>
      <c r="DJ28" s="1354">
        <f>IF(LEFT('2.LUC'!$I65,8)=LEFT($DF$26,8),IF((OR(LEFT('2.LUC'!$K65,8)=LEFT(DJ$23,8),LEFT('2.LUC'!$K65,8)=LEFT(AZ$3,8),LEFT('2.LUC'!$K65,8)=LEFT(AZ$3,9),LEFT('2.LUC'!$K65,8)=LEFT(AZ$4,9),LEFT('2.LUC'!$K65,8)=LEFT(AZ$5,8),LEFT('2.LUC'!$K65,8)=LEFT(AZ$6,8),LEFT('2.LUC'!$K65,8)=LEFT(AZ$7,8),LEFT('2.LUC'!$K65,8)=LEFT(AZ$8,8), LEFT('2.LUC'!$K65,8)=LEFT(AZ$9,8),  LEFT('2.LUC'!$K65,8)=LEFT(AZ$10,8), LEFT('2.LUC'!$K65,8)=LEFT(AZ$11,8),   LEFT('2.LUC'!$K65,8)=LEFT(AZ$12,8), LEFT('2.LUC'!$K65,8)=LEFT(AZ$13,8), LEFT('2.LUC'!$K65,8)=LEFT(AZ$14,8), LEFT('2.LUC'!$K65,8)=LEFT(AZ$15,8), LEFT('2.LUC'!$K65,8)=LEFT(AZ$16,8), LEFT('2.LUC'!$K65,8)=LEFT(AZ$17,8))), luc!$E45,0),0)</f>
        <v/>
      </c>
      <c r="DK28" s="1104">
        <f>IF(LEFT('2.LUC'!$I65,8)=LEFT($DF$26,8),IF(LEFT('2.LUC'!$K65,8)=LEFT(DK$23,8), luc!$E45,0),0)</f>
        <v/>
      </c>
      <c r="DL28" s="1354">
        <f>IF(LEFT('2.LUC'!$I65,8)=LEFT($DF$26,8),IF(LEFT('2.LUC'!$K65,8)=LEFT(DL$23,8), luc!$E45,0),0)</f>
        <v/>
      </c>
    </row>
    <row r="29">
      <c r="C29" s="973" t="n"/>
      <c r="F29" s="1368" t="n"/>
      <c r="G29" s="1388" t="inlineStr">
        <is>
          <t>Other land</t>
        </is>
      </c>
      <c r="H29" s="1327" t="inlineStr">
        <is>
          <t>Degraded</t>
        </is>
      </c>
      <c r="I29" s="3139">
        <f>$AJ$32</f>
        <v/>
      </c>
      <c r="J29" s="3138">
        <f>$CV$34</f>
        <v/>
      </c>
      <c r="K29" s="3138">
        <f>$CY$34</f>
        <v/>
      </c>
      <c r="L29" s="3138">
        <f>$CW$34</f>
        <v/>
      </c>
      <c r="M29" s="3138">
        <f>$CX$34</f>
        <v/>
      </c>
      <c r="N29" s="1438">
        <f>MAX(SUM($I$29:$M$29,$O$29),SUM($I$12:$M$12,$O$12))-SUM($I$29:$M$29,$O$29)</f>
        <v/>
      </c>
      <c r="O29" s="3138">
        <f>$DA$34+$CZ$34</f>
        <v/>
      </c>
      <c r="P29" s="3138">
        <f>SUM(I29:O29)</f>
        <v/>
      </c>
      <c r="S29" s="1168" t="n"/>
      <c r="T29" s="1688" t="n"/>
      <c r="U29" s="1420">
        <f>IF('2.LUC'!$I16 = U$23, 1,0)* defo!$H40</f>
        <v/>
      </c>
      <c r="V29" s="1421">
        <f>IF('2.LUC'!$I16 = V$23, 1,0)* defo!$H40</f>
        <v/>
      </c>
      <c r="W29" s="1421">
        <f>IF('2.LUC'!$I16 = W$23, 1,0)* defo!$H40</f>
        <v/>
      </c>
      <c r="X29" s="1421">
        <f>IF('2.LUC'!$I16 = X$23, 1,0)* defo!$H40</f>
        <v/>
      </c>
      <c r="Y29" s="1421">
        <f>IF('2.LUC'!$I16 = Y$23, 1,0)* defo!$H40</f>
        <v/>
      </c>
      <c r="Z29" s="1421">
        <f>IF('2.LUC'!$I16 = Z$23, 1,0)* defo!$H40</f>
        <v/>
      </c>
      <c r="AA29" s="1422">
        <f>IF('2.LUC'!$I16 = AA$23, 1,0)* defo!$H40</f>
        <v/>
      </c>
      <c r="AB29" s="973" t="n"/>
      <c r="AE29" s="1168" t="n"/>
      <c r="AF29" s="1414" t="n"/>
      <c r="AG29" s="1420">
        <f>IF(AG$23 = '2.LUC'!$I41, '2.LUC'!$P41, 0)</f>
        <v/>
      </c>
      <c r="AH29" s="1421">
        <f>IF(AH$23='2.LUC'!$I41, '2.LUC'!$P41,0)</f>
        <v/>
      </c>
      <c r="AI29" s="1421">
        <f>IF(AI$23='2.LUC'!$I41, '2.LUC'!$P41, 0)</f>
        <v/>
      </c>
      <c r="AJ29" s="1421">
        <f>IF(AJ$23='2.LUC'!$I41, '2.LUC'!$P41, 0)</f>
        <v/>
      </c>
      <c r="AK29" s="1421">
        <f>IF(AK$23='2.LUC'!$I41, '2.LUC'!$P41, 0)</f>
        <v/>
      </c>
      <c r="AL29" s="1421">
        <f>IF(AL$23 = '2.LUC'!$I41, '2.LUC'!$P41, 0)</f>
        <v/>
      </c>
      <c r="AM29" s="1422">
        <f>IF(AM$23 = '2.LUC'!$I41, '2.LUC'!$P41, 0)</f>
        <v/>
      </c>
      <c r="AN29" s="973" t="n"/>
      <c r="AQ29" s="973" t="n"/>
      <c r="AR29" s="1354" t="n"/>
      <c r="AS29" s="1357">
        <f>IF(LEFT('2.LUC'!$I66,8)=LEFT($AR$26,8),IF(LEFT('2.LUC'!$K66,8)=LEFT(AS$23,8), luc!$E46,0),0)</f>
        <v/>
      </c>
      <c r="AT29" s="1354">
        <f>IF(LEFT('2.LUC'!$I66,8)=LEFT($AR$26,8),IF(LEFT('2.LUC'!$K66,8)=LEFT(AT$23,8), luc!$E46,0),0)</f>
        <v/>
      </c>
      <c r="AU29" s="1354">
        <f>IF(LEFT('2.LUC'!$I66,8)=LEFT($AR$26,8),IF(LEFT('2.LUC'!$K66,8)=LEFT(AU$23,8), luc!$E46,0),0)</f>
        <v/>
      </c>
      <c r="AV29" s="1354">
        <f>IF(LEFT('2.LUC'!$I66,8)=LEFT($AR$26,8),IF(LEFT('2.LUC'!$K66,8)=LEFT(AV$23,8), luc!$E46,0),0)</f>
        <v/>
      </c>
      <c r="AW29" s="1354">
        <f>IF(LEFT('2.LUC'!$I66,8)=LEFT($AR$26,8),IF(LEFT('2.LUC'!$K66,8)=LEFT(AW$23,8), luc!$E46,0),0)</f>
        <v/>
      </c>
      <c r="AX29" s="1354">
        <f>IF(LEFT('2.LUC'!$I66,8)=LEFT($AR$26,8),IF((OR(LEFT('2.LUC'!$K66,8)=LEFT(AX$23,8),LEFT('2.LUC'!$K66,8)=LEFT(AZ$3,8),LEFT('2.LUC'!$K66,8)=LEFT(AZ$3,9),LEFT('2.LUC'!$K66,8)=LEFT(AZ$4,9),LEFT('2.LUC'!$K66,8)=LEFT(AZ$5,8),LEFT('2.LUC'!$K66,8)=LEFT(AZ$6,8),LEFT('2.LUC'!$K66,8)=LEFT(AZ$7,8),LEFT('2.LUC'!$K66,8)=LEFT(AZ$8,8), LEFT('2.LUC'!$K66,8)=LEFT(AZ$9,8),  LEFT('2.LUC'!$K66,8)=LEFT(AZ$10,8), LEFT('2.LUC'!$K66,8)=LEFT(AZ$11,8),   LEFT('2.LUC'!$K66,8)=LEFT(AZ$12,8), LEFT('2.LUC'!$K66,8)=LEFT(AZ$13,8), LEFT('2.LUC'!$K66,8)=LEFT(AZ$14,8), LEFT('2.LUC'!$K66,8)=LEFT(AZ$15,8), LEFT('2.LUC'!$K66,8)=LEFT(AZ$16,8), LEFT('2.LUC'!$K66,8)=LEFT(AZ$17,8))),luc!$E46,0),0)</f>
        <v/>
      </c>
      <c r="AZ29" s="1345" t="inlineStr">
        <is>
          <t>Rubber</t>
        </is>
      </c>
      <c r="BB29" s="973" t="n"/>
      <c r="BC29" s="1354" t="n"/>
      <c r="BD29" s="1357">
        <f>IF((OR(LEFT('2.LUC'!$I66,8)=LEFT(Matrix!$BC$26,8), LEFT('2.LUC'!$I66,8)=LEFT(Matrix!AZ$3,8), LEFT('2.LUC'!$I66,8)=LEFT(Matrix!AZ$4,8), LEFT('2.LUC'!$I66,8)=LEFT(Matrix!AZ$5,8), LEFT('2.LUC'!$I66,8)=LEFT(Matrix!AZ$6,8), LEFT('2.LUC'!$I66,8)=LEFT(Matrix!AZ$7,8),  LEFT('2.LUC'!$I66,8)=LEFT(Matrix!AZ$8,8), LEFT('2.LUC'!$I66,8)=LEFT(Matrix!AZ$9,8), LEFT('2.LUC'!$I66,8)=LEFT(Matrix!AZ$10,8), LEFT('2.LUC'!$I66,8)=LEFT(Matrix!AZ$11,8), LEFT('2.LUC'!$I66,8)=LEFT(Matrix!AZ$12,8), LEFT('2.LUC'!$I66,8)=LEFT(Matrix!AZ$13,8), LEFT('2.LUC'!$I66,8)=LEFT(Matrix!AZ$14,8), LEFT('2.LUC'!$I66,8)=LEFT(Matrix!AZ$15,8), LEFT('2.LUC'!$I66,8)=LEFT(Matrix!AZ$16,8), LEFT('2.LUC'!$I66,8)=LEFT(Matrix!AZ$17,8))), IF(LEFT('2.LUC'!$K66,8)=LEFT(Matrix!BD$23,8), '2.LUC'!$P66, 0),0)</f>
        <v/>
      </c>
      <c r="BE29" s="1354">
        <f>IF((OR(LEFT('2.LUC'!$I66,8)=LEFT(Matrix!$BC$26,8), LEFT('2.LUC'!$I66,8)=LEFT(Matrix!AZ$3,8), LEFT('2.LUC'!$I66,8)=LEFT(Matrix!AZ$4,8), LEFT('2.LUC'!$I66,8)=LEFT(Matrix!AZ$5,8), LEFT('2.LUC'!$I66,8)=LEFT(Matrix!AZ$6,8), LEFT('2.LUC'!$I66,8)=LEFT(Matrix!AZ$7,8),  LEFT('2.LUC'!$I66,8)=LEFT(Matrix!AZ$8,8), LEFT('2.LUC'!$I66,8)=LEFT(Matrix!AZ$9,8), LEFT('2.LUC'!$I66,8)=LEFT(Matrix!AZ$10,8), LEFT('2.LUC'!$I66,8)=LEFT(Matrix!AZ$11,8), LEFT('2.LUC'!$I66,8)=LEFT(Matrix!AZ$12,8), LEFT('2.LUC'!$I66,8)=LEFT(Matrix!AZ$13,8), LEFT('2.LUC'!$I66,8)=LEFT(Matrix!AZ$14,8), LEFT('2.LUC'!$I66,8)=LEFT(Matrix!AZ$15,8), LEFT('2.LUC'!$I66,8)=LEFT(Matrix!AZ$16,8), LEFT('2.LUC'!$I66,8)=LEFT(Matrix!AZ$17,8))), IF(LEFT('2.LUC'!$K66,8)=LEFT(Matrix!BE$23,8), '2.LUC'!$P66, 0),0)</f>
        <v/>
      </c>
      <c r="BF29" s="1354">
        <f>IF((OR(LEFT('2.LUC'!$I66,8)=LEFT(Matrix!$BC$26,8), LEFT('2.LUC'!$I66,8)=LEFT(Matrix!AZ$3,8), LEFT('2.LUC'!$I66,8)=LEFT(Matrix!AZ$4,8), LEFT('2.LUC'!$I66,8)=LEFT(Matrix!AZ$5,8), LEFT('2.LUC'!$I66,8)=LEFT(Matrix!AZ$6,8), LEFT('2.LUC'!$I66,8)=LEFT(Matrix!AZ$7,8),  LEFT('2.LUC'!$I66,8)=LEFT(Matrix!AZ$8,8), LEFT('2.LUC'!$I66,8)=LEFT(Matrix!AZ$9,8), LEFT('2.LUC'!$I66,8)=LEFT(Matrix!AZ$10,8), LEFT('2.LUC'!$I66,8)=LEFT(Matrix!AZ$11,8), LEFT('2.LUC'!$I66,8)=LEFT(Matrix!AZ$12,8), LEFT('2.LUC'!$I66,8)=LEFT(Matrix!AZ$13,8), LEFT('2.LUC'!$I66,8)=LEFT(Matrix!AZ$14,8), LEFT('2.LUC'!$I66,8)=LEFT(Matrix!AZ$15,8), LEFT('2.LUC'!$I66,8)=LEFT(Matrix!AZ$16,8), LEFT('2.LUC'!$I66,8)=LEFT(Matrix!AZ$17,8))), IF(LEFT('2.LUC'!$K66,8)=LEFT(Matrix!BF$23,8), '2.LUC'!$P66, 0),0)</f>
        <v/>
      </c>
      <c r="BG29" s="1354">
        <f>IF((OR(LEFT('2.LUC'!$I66,8)=LEFT(Matrix!$BC$26,8), LEFT('2.LUC'!$I66,8)=LEFT(Matrix!AZ$3,8), LEFT('2.LUC'!$I66,8)=LEFT(Matrix!AZ$4,8), LEFT('2.LUC'!$I66,8)=LEFT(Matrix!AZ$5,8), LEFT('2.LUC'!$I66,8)=LEFT(Matrix!AZ$6,8), LEFT('2.LUC'!$I66,8)=LEFT(Matrix!AZ$7,8),  LEFT('2.LUC'!$I66,8)=LEFT(Matrix!AZ$8,8), LEFT('2.LUC'!$I66,8)=LEFT(Matrix!AZ$9,8), LEFT('2.LUC'!$I66,8)=LEFT(Matrix!AZ$10,8), LEFT('2.LUC'!$I66,8)=LEFT(Matrix!AZ$11,8), LEFT('2.LUC'!$I66,8)=LEFT(Matrix!AZ$12,8), LEFT('2.LUC'!$I66,8)=LEFT(Matrix!AZ$13,8), LEFT('2.LUC'!$I66,8)=LEFT(Matrix!AZ$14,8), LEFT('2.LUC'!$I66,8)=LEFT(Matrix!AZ$15,8), LEFT('2.LUC'!$I66,8)=LEFT(Matrix!AZ$16,8), LEFT('2.LUC'!$I66,8)=LEFT(Matrix!AZ$17,8))), IF(LEFT('2.LUC'!$K66,8)=LEFT(Matrix!BG$23,8), '2.LUC'!$P66, 0),0)</f>
        <v/>
      </c>
      <c r="BH29" s="1354">
        <f>IF((OR(LEFT('2.LUC'!$I66,8)=LEFT(Matrix!$BC$26,8), LEFT('2.LUC'!$I66,8)=LEFT(Matrix!AZ$3,8), LEFT('2.LUC'!$I66,8)=LEFT(Matrix!AZ$4,8), LEFT('2.LUC'!$I66,8)=LEFT(Matrix!AZ$5,8), LEFT('2.LUC'!$I66,8)=LEFT(Matrix!AZ$6,8), LEFT('2.LUC'!$I66,8)=LEFT(Matrix!AZ$7,8),  LEFT('2.LUC'!$I66,8)=LEFT(Matrix!AZ$8,8), LEFT('2.LUC'!$I66,8)=LEFT(Matrix!AZ$9,8), LEFT('2.LUC'!$I66,8)=LEFT(Matrix!AZ$10,8), LEFT('2.LUC'!$I66,8)=LEFT(Matrix!AZ$11,8), LEFT('2.LUC'!$I66,8)=LEFT(Matrix!AZ$12,8), LEFT('2.LUC'!$I66,8)=LEFT(Matrix!AZ$13,8), LEFT('2.LUC'!$I66,8)=LEFT(Matrix!AZ$14,8), LEFT('2.LUC'!$I66,8)=LEFT(Matrix!AZ$15,8), LEFT('2.LUC'!$I66,8)=LEFT(Matrix!AZ$16,8), LEFT('2.LUC'!$I66,8)=LEFT(Matrix!AZ$17,8))), IF(LEFT('2.LUC'!$K66,8)=LEFT(Matrix!BH$23,8), '2.LUC'!$P66, 0),0)</f>
        <v/>
      </c>
      <c r="BI29" s="1354">
        <f>IF((OR(LEFT('2.LUC'!$I66,8)=LEFT(Matrix!$BC$26,8), LEFT('2.LUC'!$I66,8)=LEFT(Matrix!AZ$3,8), LEFT('2.LUC'!$I66,8)=LEFT(Matrix!AZ$4,8), LEFT('2.LUC'!$I66,8)=LEFT(Matrix!AZ$5,8), LEFT('2.LUC'!$I66,8)=LEFT(Matrix!AZ$6,8), LEFT('2.LUC'!$I66,8)=LEFT(Matrix!AZ$7,8),  LEFT('2.LUC'!$I66,8)=LEFT(Matrix!AZ$8,8), LEFT('2.LUC'!$I66,8)=LEFT(Matrix!AZ$9,8), LEFT('2.LUC'!$I66,8)=LEFT(Matrix!AZ$10,8), LEFT('2.LUC'!$I66,8)=LEFT(Matrix!AZ$11,8), LEFT('2.LUC'!$I66,8)=LEFT(Matrix!AZ$12,8), LEFT('2.LUC'!$I66,8)=LEFT(Matrix!AZ$13,8), LEFT('2.LUC'!$I66,8)=LEFT(Matrix!AZ$14,8), LEFT('2.LUC'!$I66,8)=LEFT(Matrix!AZ$15,8), LEFT('2.LUC'!$I66,8)=LEFT(Matrix!AZ$16,8), LEFT('2.LUC'!$I66,8)=LEFT(Matrix!AZ$17,8))), IF(LEFT('2.LUC'!$K66,8)=LEFT(Matrix!BI$23,8), '2.LUC'!$P66, 0),0)</f>
        <v/>
      </c>
      <c r="BJ29" s="973" t="n"/>
      <c r="BM29" s="973" t="n"/>
      <c r="BN29" s="1354" t="n"/>
      <c r="BO29" s="1354">
        <f>IF(LEFT('2.LUC'!$I66,8)=LEFT($BN$26,8),IF(LEFT('2.LUC'!$K66,8)=LEFT(BO$23,8), luc!$E46,0),0)</f>
        <v/>
      </c>
      <c r="BP29" s="1354">
        <f>IF(LEFT('2.LUC'!$I66,8)=LEFT($BN$26,8),IF(LEFT('2.LUC'!$K66,8)=LEFT(BP$23,8), luc!$E46,0),0)</f>
        <v/>
      </c>
      <c r="BQ29" s="1354">
        <f>IF(LEFT('2.LUC'!$I66,8)=LEFT($BN$26,8),IF(LEFT('2.LUC'!$K66,8)=LEFT(BQ$23,8), luc!$E46,0),0)</f>
        <v/>
      </c>
      <c r="BR29" s="1355">
        <f>IF(LEFT('2.LUC'!$I66,8)=LEFT($BN$26,8),IF((OR(LEFT('2.LUC'!$K66,8)=LEFT(BR$23,8),LEFT('2.LUC'!$K66,8)=LEFT(AZ$3,8), LEFT('2.LUC'!$K66,8)=LEFT(AZ$4,9),LEFT('2.LUC'!$K66,8)=LEFT(AZ$5,8),LEFT('2.LUC'!$K66,8)=LEFT(AZ$6,8),LEFT('2.LUC'!$K66,8)=LEFT(AZ$7,8),LEFT('2.LUC'!$K66,8)=LEFT(AZ$8,8), LEFT('2.LUC'!$K66,8)=LEFT(AZ$9,8),  LEFT('2.LUC'!$K66,8)=LEFT(AZ$10,8), LEFT('2.LUC'!$K66,8)=LEFT(AZ$11,8),   LEFT('2.LUC'!$K66,8)=LEFT(AZ$12,8), LEFT('2.LUC'!$K66,8)=LEFT(AZ$13,8), LEFT('2.LUC'!$K66,8)=LEFT(AZ$14,8), LEFT('2.LUC'!$K66,8)=LEFT(AZ$15,8), LEFT('2.LUC'!$K66,8)=LEFT(AZ$16,8), LEFT('2.LUC'!$K66,8)=LEFT(AZ$17,8))), luc!$E46,0),0)</f>
        <v/>
      </c>
      <c r="BS29" s="1355">
        <f>IF(LEFT('2.LUC'!$I66,8)=LEFT($BN$26,8),IF(LEFT('2.LUC'!$K66,8)=LEFT(BS$23,8), luc!$E46,0),0)</f>
        <v/>
      </c>
      <c r="BT29" s="1354">
        <f>IF(LEFT('2.LUC'!$I66,8)=LEFT($BN$26,8),IF(LEFT('2.LUC'!$K66,8)=LEFT(BT$23,8), luc!$E46,0),0)</f>
        <v/>
      </c>
      <c r="BU29" s="973" t="n"/>
      <c r="BX29" s="973" t="n"/>
      <c r="BY29" s="1355" t="n"/>
      <c r="BZ29" s="1355">
        <f>IF(LEFT('2.LUC'!$I66,8)=LEFT($BY$26,8),IF(LEFT('2.LUC'!$K66,8)=LEFT(BZ$23,8), luc!$E46,0),0)</f>
        <v/>
      </c>
      <c r="CA29" s="1355">
        <f>IF(LEFT('2.LUC'!$I66,8)=LEFT($BY$26,8),IF(LEFT('2.LUC'!$K66,8)=LEFT(CA$23,8), luc!$E46,0),0)</f>
        <v/>
      </c>
      <c r="CB29" s="1355">
        <f>IF(LEFT('2.LUC'!$I66,8)=LEFT($BY$26,8),IF(LEFT('2.LUC'!$K66,8)=LEFT(CB$23,8), luc!$E46,0),0)</f>
        <v/>
      </c>
      <c r="CC29" s="1355">
        <f>IF(LEFT('2.LUC'!$I66,8)=LEFT($BY$26,8),IF((OR(LEFT('2.LUC'!$K66,8)=LEFT(CC$23,8),LEFT('2.LUC'!$K66,8)=LEFT(AZ$3,8), LEFT('2.LUC'!$K66,8)=LEFT(AZ$4,8),LEFT('2.LUC'!$K66,8)=LEFT(AZ$5,8),LEFT('2.LUC'!$K66,8)=LEFT(AZ$6,8),LEFT('2.LUC'!$K66,8)=LEFT(AZ$7,8),LEFT('2.LUC'!$K66,8)=LEFT(AZ$8,8), LEFT('2.LUC'!$K66,8)=LEFT(AZ$9,8),  LEFT('2.LUC'!$K66,8)=LEFT(AZ$10,8), LEFT('2.LUC'!$K66,8)=LEFT(AZ$11,8),   LEFT('2.LUC'!$K66,8)=LEFT(AZ$12,8), LEFT('2.LUC'!$K66,8)=LEFT(AZ$13,8), LEFT('2.LUC'!$K66,8)=LEFT(AZ$14,8), LEFT('2.LUC'!$K66,8)=LEFT(AZ$15,8), LEFT('2.LUC'!$K66,8)=LEFT(AZ$16,8), LEFT('2.LUC'!$K66,8)=LEFT(AZ$17,8))), luc!$E46,0),0)</f>
        <v/>
      </c>
      <c r="CD29" s="1355">
        <f>IF(LEFT('2.LUC'!$I66,8)=LEFT($BY$26,8),IF(LEFT('2.LUC'!$K66,8)=LEFT(CD$23,8), luc!$E46,0),0)</f>
        <v/>
      </c>
      <c r="CE29" s="1354">
        <f>IF(LEFT('2.LUC'!$I66,8)=LEFT($BY$26,8),IF(LEFT('2.LUC'!$K66,8)=LEFT(CE$23,8), luc!$E46,0),0)</f>
        <v/>
      </c>
      <c r="CF29" s="973" t="n"/>
      <c r="CI29" s="973" t="n"/>
      <c r="CJ29" s="1355" t="n"/>
      <c r="CK29" s="1355">
        <f>IF(LEFT('2.LUC'!$I66,8)=LEFT($CJ$26,8),IF(LEFT('2.LUC'!$K66,8)=LEFT(CK$23,8), luc!$E46,0),0)</f>
        <v/>
      </c>
      <c r="CL29" s="1355">
        <f>IF(LEFT('2.LUC'!$I66,8)=LEFT($CJ$26,8),IF(LEFT('2.LUC'!$K66,8)=LEFT(CL$23,8), luc!$E46,0),0)</f>
        <v/>
      </c>
      <c r="CM29" s="1355">
        <f>IF(LEFT('2.LUC'!$I66,8)=LEFT($CJ$26,8),IF(LEFT('2.LUC'!$K66,8)=LEFT(CM$23,8), luc!$E46,0),0)</f>
        <v/>
      </c>
      <c r="CN29" s="1354">
        <f>IF(LEFT('2.LUC'!$I66,8)=LEFT($CJ$26,8),IF((OR(LEFT('2.LUC'!$K66,8)=LEFT(CN$23,8),LEFT('2.LUC'!$K66,8)=LEFT(AZ$3,8),LEFT('2.LUC'!$K66,8)=LEFT(AZ$3,9),LEFT('2.LUC'!$K66,8)=LEFT(AZ$4,9),LEFT('2.LUC'!$K66,8)=LEFT(AZ$5,8),LEFT('2.LUC'!$K66,8)=LEFT(AZ$6,8),LEFT('2.LUC'!$K66,8)=LEFT(AZ$7,8),LEFT('2.LUC'!$K66,8)=LEFT(AZ$8,8), LEFT('2.LUC'!$K66,8)=LEFT(AZ$9,8),  LEFT('2.LUC'!$K66,8)=LEFT(AZ$10,8), LEFT('2.LUC'!$K66,8)=LEFT(AZ$11,8),   LEFT('2.LUC'!$K66,8)=LEFT(AZ$12,8), LEFT('2.LUC'!$K66,8)=LEFT(AZ$13,8), LEFT('2.LUC'!$K66,8)=LEFT(AZ$14,8), LEFT('2.LUC'!$K66,8)=LEFT(AZ$15,8), LEFT('2.LUC'!$K66,8)=LEFT(AZ$16,8), LEFT('2.LUC'!$K66,8)=LEFT(AZ$17,8))), luc!$E46,0),0)</f>
        <v/>
      </c>
      <c r="CO29" s="1104">
        <f>IF(LEFT('2.LUC'!$I66,8)=LEFT($CJ$26,8),IF(LEFT('2.LUC'!$K66,8)=LEFT(CO$23,8), luc!$E46,0),0)</f>
        <v/>
      </c>
      <c r="CP29" s="1354">
        <f>IF(LEFT('2.LUC'!$I66,8)=LEFT($CJ$26,8),IF(LEFT('2.LUC'!$K66,8)=LEFT(CP$23,8), luc!$E46,0),0)</f>
        <v/>
      </c>
      <c r="CQ29" s="973" t="n"/>
      <c r="CT29" s="973" t="n"/>
      <c r="CU29" s="1355" t="n"/>
      <c r="CV29" s="1355">
        <f>IF(LEFT('2.LUC'!$I66,8)=LEFT($CU$26,8),IF(LEFT('2.LUC'!$K66,8)=LEFT(CV$23,8), luc!$E46,0),0)</f>
        <v/>
      </c>
      <c r="CW29" s="1355">
        <f>IF(LEFT('2.LUC'!$I66,8)=LEFT($CU$26,8),IF(LEFT('2.LUC'!$K66,8)=LEFT(CW$23,8), luc!$E46,0),0)</f>
        <v/>
      </c>
      <c r="CX29" s="1355">
        <f>IF(LEFT('2.LUC'!$I66,8)=LEFT($CU$26,8),IF(LEFT('2.LUC'!$K66,8)=LEFT(CX$23,8), luc!$E46,0),0)</f>
        <v/>
      </c>
      <c r="CY29" s="1354">
        <f>IF(LEFT('2.LUC'!$I66,8)=LEFT($CU$26,8),IF((OR(LEFT('2.LUC'!$K66,8)=LEFT(CY$23,8),LEFT('2.LUC'!$K66,8)=LEFT(AZ$3,8),LEFT('2.LUC'!$K66,8)=LEFT(AZ$3,9),LEFT('2.LUC'!$K66,8)=LEFT(AZ$4,9),LEFT('2.LUC'!$K66,8)=LEFT(AZ$5,8),LEFT('2.LUC'!$K66,8)=LEFT(AZ$6,8),LEFT('2.LUC'!$K66,8)=LEFT(AZ$7,8),LEFT('2.LUC'!$K66,8)=LEFT(AZ$8,8), LEFT('2.LUC'!$K66,8)=LEFT(AZ$9,8),  LEFT('2.LUC'!$K66,8)=LEFT(AZ$10,8), LEFT('2.LUC'!$K66,8)=LEFT(AZ$11,8),   LEFT('2.LUC'!$K66,8)=LEFT(AZ$12,8), LEFT('2.LUC'!$K66,8)=LEFT(AZ$13,8), LEFT('2.LUC'!$K66,8)=LEFT(AZ$14,8), LEFT('2.LUC'!$K66,8)=LEFT(AZ$15,8), LEFT('2.LUC'!$K66,8)=LEFT(AZ$16,8), LEFT('2.LUC'!$K66,8)=LEFT(AZ$17,8))), luc!$E46,0),0)</f>
        <v/>
      </c>
      <c r="CZ29" s="1104">
        <f>IF(LEFT('2.LUC'!$I66,8)=LEFT($CU$26,8),IF(LEFT('2.LUC'!$K66,8)=LEFT(CZ$23,8), luc!$E46,0),0)</f>
        <v/>
      </c>
      <c r="DA29" s="1354">
        <f>IF(LEFT('2.LUC'!$I66,8)=LEFT($CU$26,8),IF(LEFT('2.LUC'!$K66,8)=LEFT(DA$23,8), luc!$E46,0),0)</f>
        <v/>
      </c>
      <c r="DB29" s="973" t="n"/>
      <c r="DD29" s="973" t="n"/>
      <c r="DE29" s="973" t="n"/>
      <c r="DF29" s="1355" t="n"/>
      <c r="DG29" s="1355">
        <f>IF(LEFT('2.LUC'!$I66,8)=LEFT($DF$26,8),IF(LEFT('2.LUC'!$K66,8)=LEFT(DG$23,8), luc!$E46,0),0)</f>
        <v/>
      </c>
      <c r="DH29" s="1355">
        <f>IF(LEFT('2.LUC'!$I66,8)=LEFT($DF$26,8),IF(LEFT('2.LUC'!$K66,8)=LEFT(DH$23,8), luc!$E46,0),0)</f>
        <v/>
      </c>
      <c r="DI29" s="1355">
        <f>IF(LEFT('2.LUC'!$I66,8)=LEFT($DF$26,8),IF(LEFT('2.LUC'!$K66,8)=LEFT(DI$23,8), luc!$E46,0),0)</f>
        <v/>
      </c>
      <c r="DJ29" s="1354">
        <f>IF(LEFT('2.LUC'!$I66,8)=LEFT($DF$26,8),IF((OR(LEFT('2.LUC'!$K66,8)=LEFT(DJ$23,8),LEFT('2.LUC'!$K66,8)=LEFT(AZ$3,8),LEFT('2.LUC'!$K66,8)=LEFT(AZ$3,9),LEFT('2.LUC'!$K66,8)=LEFT(AZ$4,9),LEFT('2.LUC'!$K66,8)=LEFT(AZ$5,8),LEFT('2.LUC'!$K66,8)=LEFT(AZ$6,8),LEFT('2.LUC'!$K66,8)=LEFT(AZ$7,8),LEFT('2.LUC'!$K66,8)=LEFT(AZ$8,8), LEFT('2.LUC'!$K66,8)=LEFT(AZ$9,8),  LEFT('2.LUC'!$K66,8)=LEFT(AZ$10,8), LEFT('2.LUC'!$K66,8)=LEFT(AZ$11,8),   LEFT('2.LUC'!$K66,8)=LEFT(AZ$12,8), LEFT('2.LUC'!$K66,8)=LEFT(AZ$13,8), LEFT('2.LUC'!$K66,8)=LEFT(AZ$14,8), LEFT('2.LUC'!$K66,8)=LEFT(AZ$15,8), LEFT('2.LUC'!$K66,8)=LEFT(AZ$16,8), LEFT('2.LUC'!$K66,8)=LEFT(AZ$17,8))), luc!$E46,0),0)</f>
        <v/>
      </c>
      <c r="DK29" s="1104">
        <f>IF(LEFT('2.LUC'!$I66,8)=LEFT($DF$26,8),IF(LEFT('2.LUC'!$K66,8)=LEFT(DK$23,8), luc!$E46,0),0)</f>
        <v/>
      </c>
      <c r="DL29" s="1354">
        <f>IF(LEFT('2.LUC'!$I66,8)=LEFT($DF$26,8),IF(LEFT('2.LUC'!$K66,8)=LEFT(DL$23,8), luc!$E46,0),0)</f>
        <v/>
      </c>
    </row>
    <row r="30">
      <c r="D30" s="973" t="n"/>
      <c r="F30" s="1368" t="n"/>
      <c r="G30" s="1370" t="n"/>
      <c r="H30" s="1392" t="inlineStr">
        <is>
          <t>Other land (non-vegetated)</t>
        </is>
      </c>
      <c r="I30" s="3139">
        <f>$AM$32+$AI$32</f>
        <v/>
      </c>
      <c r="J30" s="3138">
        <f>$DG$34+$BZ$34</f>
        <v/>
      </c>
      <c r="K30" s="3138">
        <f>$DJ$34+$CC$34</f>
        <v/>
      </c>
      <c r="L30" s="3138">
        <f>$DH$34+$CA$34</f>
        <v/>
      </c>
      <c r="M30" s="3138">
        <f>$DI$34+$CD$34</f>
        <v/>
      </c>
      <c r="N30" s="3138">
        <f>$DL$34+$CB$34</f>
        <v/>
      </c>
      <c r="O30" s="1438">
        <f>MAX(SUM($I$30:$N$30),SUM($I$13:$N$13))-SUM($I$30:$N$30)+MAX('Inl. wetlands'!$C$513,'Inl. wetlands'!D513,'Inl. wetlands'!F513)+MAX(SUM(Coastal!$D$115:$D$120),SUM(Coastal!$E$115:$E$120),SUM(Coastal!$G$115:$G$120))+MAX(CE16+DK16,CE34+DK34)+SUM(MAX(Coastal!E17:E22,Coastal!G17:G22,Coastal!E41:E46,Coastal!H41:H46,Coastal!E51:E56,Coastal!H51:H56),MAX(Coastal!D79:D84,Coastal!G79:G84,Coastal!D89:D94,Coastal!G89:G94,Coastal!D100:D105,Coastal!G100:G105))</f>
        <v/>
      </c>
      <c r="P30" s="3138">
        <f>SUM(I30:O30)</f>
        <v/>
      </c>
      <c r="S30" s="1168" t="n"/>
      <c r="T30" s="1688" t="n"/>
      <c r="U30" s="1420">
        <f>IF('2.LUC'!$I17 = U$23, 1,0)* defo!$H41</f>
        <v/>
      </c>
      <c r="V30" s="1421">
        <f>IF('2.LUC'!$I17 = V$23, 1,0)* defo!$H41</f>
        <v/>
      </c>
      <c r="W30" s="1421">
        <f>IF('2.LUC'!$I17 = W$23, 1,0)* defo!$H41</f>
        <v/>
      </c>
      <c r="X30" s="1421">
        <f>IF('2.LUC'!$I17 = X$23, 1,0)* defo!$H41</f>
        <v/>
      </c>
      <c r="Y30" s="1421">
        <f>IF('2.LUC'!$I17 = Y$23, 1,0)* defo!$H41</f>
        <v/>
      </c>
      <c r="Z30" s="1421">
        <f>IF('2.LUC'!$I17 = Z$23, 1,0)* defo!$H41</f>
        <v/>
      </c>
      <c r="AA30" s="1422">
        <f>IF('2.LUC'!$I17 = AA$23, 1,0)* defo!$H41</f>
        <v/>
      </c>
      <c r="AB30" s="973" t="n"/>
      <c r="AE30" s="1168" t="n"/>
      <c r="AF30" s="1414" t="n"/>
      <c r="AG30" s="1420">
        <f>IF(AG$23 = '2.LUC'!$I42, '2.LUC'!$P42, 0)</f>
        <v/>
      </c>
      <c r="AH30" s="1421">
        <f>IF(AH$23='2.LUC'!$I42, '2.LUC'!$P42,0)</f>
        <v/>
      </c>
      <c r="AI30" s="1421">
        <f>IF(AI$23='2.LUC'!$I42, '2.LUC'!$P42, 0)</f>
        <v/>
      </c>
      <c r="AJ30" s="1421">
        <f>IF(AJ$23='2.LUC'!$I42, '2.LUC'!$P42, 0)</f>
        <v/>
      </c>
      <c r="AK30" s="1421">
        <f>IF(AK$23='2.LUC'!$I42, '2.LUC'!$P42, 0)</f>
        <v/>
      </c>
      <c r="AL30" s="1421">
        <f>IF(AL$23 = '2.LUC'!$I42, '2.LUC'!$P42, 0)</f>
        <v/>
      </c>
      <c r="AM30" s="1422">
        <f>IF(AM$23 = '2.LUC'!$I42, '2.LUC'!$P42, 0)</f>
        <v/>
      </c>
      <c r="AN30" s="973" t="n"/>
      <c r="AQ30" s="973" t="n"/>
      <c r="AR30" s="1354" t="n"/>
      <c r="AS30" s="1357">
        <f>IF(LEFT('2.LUC'!$I67,8)=LEFT($AR$26,8),IF(LEFT('2.LUC'!$K67,8)=LEFT(AS$23,8), luc!$E47,0),0)</f>
        <v/>
      </c>
      <c r="AT30" s="1354">
        <f>IF(LEFT('2.LUC'!$I67,8)=LEFT($AR$26,8),IF(LEFT('2.LUC'!$K67,8)=LEFT(AT$23,8), luc!$E47,0),0)</f>
        <v/>
      </c>
      <c r="AU30" s="1354">
        <f>IF(LEFT('2.LUC'!$I67,8)=LEFT($AR$26,8),IF(LEFT('2.LUC'!$K67,8)=LEFT(AU$23,8), luc!$E47,0),0)</f>
        <v/>
      </c>
      <c r="AV30" s="1354">
        <f>IF(LEFT('2.LUC'!$I67,8)=LEFT($AR$26,8),IF(LEFT('2.LUC'!$K67,8)=LEFT(AV$23,8), luc!$E47,0),0)</f>
        <v/>
      </c>
      <c r="AW30" s="1354">
        <f>IF(LEFT('2.LUC'!$I67,8)=LEFT($AR$26,8),IF(LEFT('2.LUC'!$K67,8)=LEFT(AW$23,8), luc!$E47,0),0)</f>
        <v/>
      </c>
      <c r="AX30" s="1354">
        <f>IF(LEFT('2.LUC'!$I67,8)=LEFT($AR$26,8),IF((OR(LEFT('2.LUC'!$K67,8)=LEFT(AX$23,8),LEFT('2.LUC'!$K67,8)=LEFT(AZ$3,8),LEFT('2.LUC'!$K67,8)=LEFT(AZ$3,9),LEFT('2.LUC'!$K67,8)=LEFT(AZ$4,9),LEFT('2.LUC'!$K67,8)=LEFT(AZ$5,8),LEFT('2.LUC'!$K67,8)=LEFT(AZ$6,8),LEFT('2.LUC'!$K67,8)=LEFT(AZ$7,8),LEFT('2.LUC'!$K67,8)=LEFT(AZ$8,8), LEFT('2.LUC'!$K67,8)=LEFT(AZ$9,8),  LEFT('2.LUC'!$K67,8)=LEFT(AZ$10,8), LEFT('2.LUC'!$K67,8)=LEFT(AZ$11,8),   LEFT('2.LUC'!$K67,8)=LEFT(AZ$12,8), LEFT('2.LUC'!$K67,8)=LEFT(AZ$13,8), LEFT('2.LUC'!$K67,8)=LEFT(AZ$14,8), LEFT('2.LUC'!$K67,8)=LEFT(AZ$15,8), LEFT('2.LUC'!$K67,8)=LEFT(AZ$16,8), LEFT('2.LUC'!$K67,8)=LEFT(AZ$17,8))),luc!$E47,0),0)</f>
        <v/>
      </c>
      <c r="AZ30" s="1345" t="inlineStr">
        <is>
          <t>Shaded Perennial</t>
        </is>
      </c>
      <c r="BB30" s="973" t="n"/>
      <c r="BC30" s="1354" t="n"/>
      <c r="BD30" s="1357">
        <f>IF((OR(LEFT('2.LUC'!$I67,8)=LEFT(Matrix!$BC$26,8), LEFT('2.LUC'!$I67,8)=LEFT(Matrix!AZ$3,8), LEFT('2.LUC'!$I67,8)=LEFT(Matrix!AZ$4,8), LEFT('2.LUC'!$I67,8)=LEFT(Matrix!AZ$5,8), LEFT('2.LUC'!$I67,8)=LEFT(Matrix!AZ$6,8), LEFT('2.LUC'!$I67,8)=LEFT(Matrix!AZ$7,8),  LEFT('2.LUC'!$I67,8)=LEFT(Matrix!AZ$8,8), LEFT('2.LUC'!$I67,8)=LEFT(Matrix!AZ$9,8), LEFT('2.LUC'!$I67,8)=LEFT(Matrix!AZ$10,8), LEFT('2.LUC'!$I67,8)=LEFT(Matrix!AZ$11,8), LEFT('2.LUC'!$I67,8)=LEFT(Matrix!AZ$12,8), LEFT('2.LUC'!$I67,8)=LEFT(Matrix!AZ$13,8), LEFT('2.LUC'!$I67,8)=LEFT(Matrix!AZ$14,8), LEFT('2.LUC'!$I67,8)=LEFT(Matrix!AZ$15,8), LEFT('2.LUC'!$I67,8)=LEFT(Matrix!AZ$16,8), LEFT('2.LUC'!$I67,8)=LEFT(Matrix!AZ$17,8))), IF(LEFT('2.LUC'!$K67,8)=LEFT(Matrix!BD$23,8), '2.LUC'!$P67, 0),0)</f>
        <v/>
      </c>
      <c r="BE30" s="1354">
        <f>IF((OR(LEFT('2.LUC'!$I67,8)=LEFT(Matrix!$BC$26,8), LEFT('2.LUC'!$I67,8)=LEFT(Matrix!AZ$3,8), LEFT('2.LUC'!$I67,8)=LEFT(Matrix!AZ$4,8), LEFT('2.LUC'!$I67,8)=LEFT(Matrix!AZ$5,8), LEFT('2.LUC'!$I67,8)=LEFT(Matrix!AZ$6,8), LEFT('2.LUC'!$I67,8)=LEFT(Matrix!AZ$7,8),  LEFT('2.LUC'!$I67,8)=LEFT(Matrix!AZ$8,8), LEFT('2.LUC'!$I67,8)=LEFT(Matrix!AZ$9,8), LEFT('2.LUC'!$I67,8)=LEFT(Matrix!AZ$10,8), LEFT('2.LUC'!$I67,8)=LEFT(Matrix!AZ$11,8), LEFT('2.LUC'!$I67,8)=LEFT(Matrix!AZ$12,8), LEFT('2.LUC'!$I67,8)=LEFT(Matrix!AZ$13,8), LEFT('2.LUC'!$I67,8)=LEFT(Matrix!AZ$14,8), LEFT('2.LUC'!$I67,8)=LEFT(Matrix!AZ$15,8), LEFT('2.LUC'!$I67,8)=LEFT(Matrix!AZ$16,8), LEFT('2.LUC'!$I67,8)=LEFT(Matrix!AZ$17,8))), IF(LEFT('2.LUC'!$K67,8)=LEFT(Matrix!BE$23,8), '2.LUC'!$P67, 0),0)</f>
        <v/>
      </c>
      <c r="BF30" s="1354">
        <f>IF((OR(LEFT('2.LUC'!$I67,8)=LEFT(Matrix!$BC$26,8), LEFT('2.LUC'!$I67,8)=LEFT(Matrix!AZ$3,8), LEFT('2.LUC'!$I67,8)=LEFT(Matrix!AZ$4,8), LEFT('2.LUC'!$I67,8)=LEFT(Matrix!AZ$5,8), LEFT('2.LUC'!$I67,8)=LEFT(Matrix!AZ$6,8), LEFT('2.LUC'!$I67,8)=LEFT(Matrix!AZ$7,8),  LEFT('2.LUC'!$I67,8)=LEFT(Matrix!AZ$8,8), LEFT('2.LUC'!$I67,8)=LEFT(Matrix!AZ$9,8), LEFT('2.LUC'!$I67,8)=LEFT(Matrix!AZ$10,8), LEFT('2.LUC'!$I67,8)=LEFT(Matrix!AZ$11,8), LEFT('2.LUC'!$I67,8)=LEFT(Matrix!AZ$12,8), LEFT('2.LUC'!$I67,8)=LEFT(Matrix!AZ$13,8), LEFT('2.LUC'!$I67,8)=LEFT(Matrix!AZ$14,8), LEFT('2.LUC'!$I67,8)=LEFT(Matrix!AZ$15,8), LEFT('2.LUC'!$I67,8)=LEFT(Matrix!AZ$16,8), LEFT('2.LUC'!$I67,8)=LEFT(Matrix!AZ$17,8))), IF(LEFT('2.LUC'!$K67,8)=LEFT(Matrix!BF$23,8), '2.LUC'!$P67, 0),0)</f>
        <v/>
      </c>
      <c r="BG30" s="1354">
        <f>IF((OR(LEFT('2.LUC'!$I67,8)=LEFT(Matrix!$BC$26,8), LEFT('2.LUC'!$I67,8)=LEFT(Matrix!AZ$3,8), LEFT('2.LUC'!$I67,8)=LEFT(Matrix!AZ$4,8), LEFT('2.LUC'!$I67,8)=LEFT(Matrix!AZ$5,8), LEFT('2.LUC'!$I67,8)=LEFT(Matrix!AZ$6,8), LEFT('2.LUC'!$I67,8)=LEFT(Matrix!AZ$7,8),  LEFT('2.LUC'!$I67,8)=LEFT(Matrix!AZ$8,8), LEFT('2.LUC'!$I67,8)=LEFT(Matrix!AZ$9,8), LEFT('2.LUC'!$I67,8)=LEFT(Matrix!AZ$10,8), LEFT('2.LUC'!$I67,8)=LEFT(Matrix!AZ$11,8), LEFT('2.LUC'!$I67,8)=LEFT(Matrix!AZ$12,8), LEFT('2.LUC'!$I67,8)=LEFT(Matrix!AZ$13,8), LEFT('2.LUC'!$I67,8)=LEFT(Matrix!AZ$14,8), LEFT('2.LUC'!$I67,8)=LEFT(Matrix!AZ$15,8), LEFT('2.LUC'!$I67,8)=LEFT(Matrix!AZ$16,8), LEFT('2.LUC'!$I67,8)=LEFT(Matrix!AZ$17,8))), IF(LEFT('2.LUC'!$K67,8)=LEFT(Matrix!BG$23,8), '2.LUC'!$P67, 0),0)</f>
        <v/>
      </c>
      <c r="BH30" s="1354">
        <f>IF((OR(LEFT('2.LUC'!$I67,8)=LEFT(Matrix!$BC$26,8), LEFT('2.LUC'!$I67,8)=LEFT(Matrix!AZ$3,8), LEFT('2.LUC'!$I67,8)=LEFT(Matrix!AZ$4,8), LEFT('2.LUC'!$I67,8)=LEFT(Matrix!AZ$5,8), LEFT('2.LUC'!$I67,8)=LEFT(Matrix!AZ$6,8), LEFT('2.LUC'!$I67,8)=LEFT(Matrix!AZ$7,8),  LEFT('2.LUC'!$I67,8)=LEFT(Matrix!AZ$8,8), LEFT('2.LUC'!$I67,8)=LEFT(Matrix!AZ$9,8), LEFT('2.LUC'!$I67,8)=LEFT(Matrix!AZ$10,8), LEFT('2.LUC'!$I67,8)=LEFT(Matrix!AZ$11,8), LEFT('2.LUC'!$I67,8)=LEFT(Matrix!AZ$12,8), LEFT('2.LUC'!$I67,8)=LEFT(Matrix!AZ$13,8), LEFT('2.LUC'!$I67,8)=LEFT(Matrix!AZ$14,8), LEFT('2.LUC'!$I67,8)=LEFT(Matrix!AZ$15,8), LEFT('2.LUC'!$I67,8)=LEFT(Matrix!AZ$16,8), LEFT('2.LUC'!$I67,8)=LEFT(Matrix!AZ$17,8))), IF(LEFT('2.LUC'!$K67,8)=LEFT(Matrix!BH$23,8), '2.LUC'!$P67, 0),0)</f>
        <v/>
      </c>
      <c r="BI30" s="1354">
        <f>IF((OR(LEFT('2.LUC'!$I67,8)=LEFT(Matrix!$BC$26,8), LEFT('2.LUC'!$I67,8)=LEFT(Matrix!AZ$3,8), LEFT('2.LUC'!$I67,8)=LEFT(Matrix!AZ$4,8), LEFT('2.LUC'!$I67,8)=LEFT(Matrix!AZ$5,8), LEFT('2.LUC'!$I67,8)=LEFT(Matrix!AZ$6,8), LEFT('2.LUC'!$I67,8)=LEFT(Matrix!AZ$7,8),  LEFT('2.LUC'!$I67,8)=LEFT(Matrix!AZ$8,8), LEFT('2.LUC'!$I67,8)=LEFT(Matrix!AZ$9,8), LEFT('2.LUC'!$I67,8)=LEFT(Matrix!AZ$10,8), LEFT('2.LUC'!$I67,8)=LEFT(Matrix!AZ$11,8), LEFT('2.LUC'!$I67,8)=LEFT(Matrix!AZ$12,8), LEFT('2.LUC'!$I67,8)=LEFT(Matrix!AZ$13,8), LEFT('2.LUC'!$I67,8)=LEFT(Matrix!AZ$14,8), LEFT('2.LUC'!$I67,8)=LEFT(Matrix!AZ$15,8), LEFT('2.LUC'!$I67,8)=LEFT(Matrix!AZ$16,8), LEFT('2.LUC'!$I67,8)=LEFT(Matrix!AZ$17,8))), IF(LEFT('2.LUC'!$K67,8)=LEFT(Matrix!BI$23,8), '2.LUC'!$P67, 0),0)</f>
        <v/>
      </c>
      <c r="BJ30" s="973" t="n"/>
      <c r="BM30" s="973" t="n"/>
      <c r="BN30" s="1354" t="n"/>
      <c r="BO30" s="1354">
        <f>IF(LEFT('2.LUC'!$I67,8)=LEFT($BN$26,8),IF(LEFT('2.LUC'!$K67,8)=LEFT(BO$23,8), luc!$E47,0),0)</f>
        <v/>
      </c>
      <c r="BP30" s="1354">
        <f>IF(LEFT('2.LUC'!$I67,8)=LEFT($BN$26,8),IF(LEFT('2.LUC'!$K67,8)=LEFT(BP$23,8), luc!$E47,0),0)</f>
        <v/>
      </c>
      <c r="BQ30" s="1354">
        <f>IF(LEFT('2.LUC'!$I67,8)=LEFT($BN$26,8),IF(LEFT('2.LUC'!$K67,8)=LEFT(BQ$23,8), luc!$E47,0),0)</f>
        <v/>
      </c>
      <c r="BR30" s="1355">
        <f>IF(LEFT('2.LUC'!$I67,8)=LEFT($BN$26,8),IF((OR(LEFT('2.LUC'!$K67,8)=LEFT(BR$23,8),LEFT('2.LUC'!$K67,8)=LEFT(AZ$3,8), LEFT('2.LUC'!$K67,8)=LEFT(AZ$4,9),LEFT('2.LUC'!$K67,8)=LEFT(AZ$5,8),LEFT('2.LUC'!$K67,8)=LEFT(AZ$6,8),LEFT('2.LUC'!$K67,8)=LEFT(AZ$7,8),LEFT('2.LUC'!$K67,8)=LEFT(AZ$8,8), LEFT('2.LUC'!$K67,8)=LEFT(AZ$9,8),  LEFT('2.LUC'!$K67,8)=LEFT(AZ$10,8), LEFT('2.LUC'!$K67,8)=LEFT(AZ$11,8),   LEFT('2.LUC'!$K67,8)=LEFT(AZ$12,8), LEFT('2.LUC'!$K67,8)=LEFT(AZ$13,8), LEFT('2.LUC'!$K67,8)=LEFT(AZ$14,8), LEFT('2.LUC'!$K67,8)=LEFT(AZ$15,8), LEFT('2.LUC'!$K67,8)=LEFT(AZ$16,8), LEFT('2.LUC'!$K67,8)=LEFT(AZ$17,8))), luc!$E47,0),0)</f>
        <v/>
      </c>
      <c r="BS30" s="1355">
        <f>IF(LEFT('2.LUC'!$I67,8)=LEFT($BN$26,8),IF(LEFT('2.LUC'!$K67,8)=LEFT(BS$23,8), luc!$E47,0),0)</f>
        <v/>
      </c>
      <c r="BT30" s="1354">
        <f>IF(LEFT('2.LUC'!$I67,8)=LEFT($BN$26,8),IF(LEFT('2.LUC'!$K67,8)=LEFT(BT$23,8), luc!$E47,0),0)</f>
        <v/>
      </c>
      <c r="BU30" s="973" t="n"/>
      <c r="BX30" s="973" t="n"/>
      <c r="BY30" s="1355" t="n"/>
      <c r="BZ30" s="1355">
        <f>IF(LEFT('2.LUC'!$I67,8)=LEFT($BY$26,8),IF(LEFT('2.LUC'!$K67,8)=LEFT(BZ$23,8), luc!$E47,0),0)</f>
        <v/>
      </c>
      <c r="CA30" s="1355">
        <f>IF(LEFT('2.LUC'!$I67,8)=LEFT($BY$26,8),IF(LEFT('2.LUC'!$K67,8)=LEFT(CA$23,8), luc!$E47,0),0)</f>
        <v/>
      </c>
      <c r="CB30" s="1355">
        <f>IF(LEFT('2.LUC'!$I67,8)=LEFT($BY$26,8),IF(LEFT('2.LUC'!$K67,8)=LEFT(CB$23,8), luc!$E47,0),0)</f>
        <v/>
      </c>
      <c r="CC30" s="1355">
        <f>IF(LEFT('2.LUC'!$I67,8)=LEFT($BY$26,8),IF((OR(LEFT('2.LUC'!$K67,8)=LEFT(CC$23,8),LEFT('2.LUC'!$K67,8)=LEFT(AZ$3,8), LEFT('2.LUC'!$K67,8)=LEFT(AZ$4,8),LEFT('2.LUC'!$K67,8)=LEFT(AZ$5,8),LEFT('2.LUC'!$K67,8)=LEFT(AZ$6,8),LEFT('2.LUC'!$K67,8)=LEFT(AZ$7,8),LEFT('2.LUC'!$K67,8)=LEFT(AZ$8,8), LEFT('2.LUC'!$K67,8)=LEFT(AZ$9,8),  LEFT('2.LUC'!$K67,8)=LEFT(AZ$10,8), LEFT('2.LUC'!$K67,8)=LEFT(AZ$11,8),   LEFT('2.LUC'!$K67,8)=LEFT(AZ$12,8), LEFT('2.LUC'!$K67,8)=LEFT(AZ$13,8), LEFT('2.LUC'!$K67,8)=LEFT(AZ$14,8), LEFT('2.LUC'!$K67,8)=LEFT(AZ$15,8), LEFT('2.LUC'!$K67,8)=LEFT(AZ$16,8), LEFT('2.LUC'!$K67,8)=LEFT(AZ$17,8))), luc!$E47,0),0)</f>
        <v/>
      </c>
      <c r="CD30" s="1355">
        <f>IF(LEFT('2.LUC'!$I67,8)=LEFT($BY$26,8),IF(LEFT('2.LUC'!$K67,8)=LEFT(CD$23,8), luc!$E47,0),0)</f>
        <v/>
      </c>
      <c r="CE30" s="1354">
        <f>IF(LEFT('2.LUC'!$I67,8)=LEFT($BY$26,8),IF(LEFT('2.LUC'!$K67,8)=LEFT(CE$23,8), luc!$E47,0),0)</f>
        <v/>
      </c>
      <c r="CF30" s="973" t="n"/>
      <c r="CI30" s="973" t="n"/>
      <c r="CJ30" s="1355" t="n"/>
      <c r="CK30" s="1355">
        <f>IF(LEFT('2.LUC'!$I67,8)=LEFT($CJ$26,8),IF(LEFT('2.LUC'!$K67,8)=LEFT(CK$23,8), luc!$E47,0),0)</f>
        <v/>
      </c>
      <c r="CL30" s="1355">
        <f>IF(LEFT('2.LUC'!$I67,8)=LEFT($CJ$26,8),IF(LEFT('2.LUC'!$K67,8)=LEFT(CL$23,8), luc!$E47,0),0)</f>
        <v/>
      </c>
      <c r="CM30" s="1355">
        <f>IF(LEFT('2.LUC'!$I67,8)=LEFT($CJ$26,8),IF(LEFT('2.LUC'!$K67,8)=LEFT(CM$23,8), luc!$E47,0),0)</f>
        <v/>
      </c>
      <c r="CN30" s="1354">
        <f>IF(LEFT('2.LUC'!$I67,8)=LEFT($CJ$26,8),IF((OR(LEFT('2.LUC'!$K67,8)=LEFT(CN$23,8),LEFT('2.LUC'!$K67,8)=LEFT(AZ$3,8),LEFT('2.LUC'!$K67,8)=LEFT(AZ$3,9),LEFT('2.LUC'!$K67,8)=LEFT(AZ$4,9),LEFT('2.LUC'!$K67,8)=LEFT(AZ$5,8),LEFT('2.LUC'!$K67,8)=LEFT(AZ$6,8),LEFT('2.LUC'!$K67,8)=LEFT(AZ$7,8),LEFT('2.LUC'!$K67,8)=LEFT(AZ$8,8), LEFT('2.LUC'!$K67,8)=LEFT(AZ$9,8),  LEFT('2.LUC'!$K67,8)=LEFT(AZ$10,8), LEFT('2.LUC'!$K67,8)=LEFT(AZ$11,8),   LEFT('2.LUC'!$K67,8)=LEFT(AZ$12,8), LEFT('2.LUC'!$K67,8)=LEFT(AZ$13,8), LEFT('2.LUC'!$K67,8)=LEFT(AZ$14,8), LEFT('2.LUC'!$K67,8)=LEFT(AZ$15,8), LEFT('2.LUC'!$K67,8)=LEFT(AZ$16,8), LEFT('2.LUC'!$K67,8)=LEFT(AZ$17,8))), luc!$E47,0),0)</f>
        <v/>
      </c>
      <c r="CO30" s="1104">
        <f>IF(LEFT('2.LUC'!$I67,8)=LEFT($CJ$26,8),IF(LEFT('2.LUC'!$K67,8)=LEFT(CO$23,8), luc!$E47,0),0)</f>
        <v/>
      </c>
      <c r="CP30" s="1354">
        <f>IF(LEFT('2.LUC'!$I67,8)=LEFT($CJ$26,8),IF(LEFT('2.LUC'!$K67,8)=LEFT(CP$23,8), luc!$E47,0),0)</f>
        <v/>
      </c>
      <c r="CQ30" s="973" t="n"/>
      <c r="CT30" s="973" t="n"/>
      <c r="CU30" s="1355" t="n"/>
      <c r="CV30" s="1355">
        <f>IF(LEFT('2.LUC'!$I67,8)=LEFT($CU$26,8),IF(LEFT('2.LUC'!$K67,8)=LEFT(CV$23,8), luc!$E47,0),0)</f>
        <v/>
      </c>
      <c r="CW30" s="1355">
        <f>IF(LEFT('2.LUC'!$I67,8)=LEFT($CU$26,8),IF(LEFT('2.LUC'!$K67,8)=LEFT(CW$23,8), luc!$E47,0),0)</f>
        <v/>
      </c>
      <c r="CX30" s="1355">
        <f>IF(LEFT('2.LUC'!$I67,8)=LEFT($CU$26,8),IF(LEFT('2.LUC'!$K67,8)=LEFT(CX$23,8), luc!$E47,0),0)</f>
        <v/>
      </c>
      <c r="CY30" s="1354">
        <f>IF(LEFT('2.LUC'!$I67,8)=LEFT($CU$26,8),IF((OR(LEFT('2.LUC'!$K67,8)=LEFT(CY$23,8),LEFT('2.LUC'!$K67,8)=LEFT(AZ$3,8),LEFT('2.LUC'!$K67,8)=LEFT(AZ$3,9),LEFT('2.LUC'!$K67,8)=LEFT(AZ$4,9),LEFT('2.LUC'!$K67,8)=LEFT(AZ$5,8),LEFT('2.LUC'!$K67,8)=LEFT(AZ$6,8),LEFT('2.LUC'!$K67,8)=LEFT(AZ$7,8),LEFT('2.LUC'!$K67,8)=LEFT(AZ$8,8), LEFT('2.LUC'!$K67,8)=LEFT(AZ$9,8),  LEFT('2.LUC'!$K67,8)=LEFT(AZ$10,8), LEFT('2.LUC'!$K67,8)=LEFT(AZ$11,8),   LEFT('2.LUC'!$K67,8)=LEFT(AZ$12,8), LEFT('2.LUC'!$K67,8)=LEFT(AZ$13,8), LEFT('2.LUC'!$K67,8)=LEFT(AZ$14,8), LEFT('2.LUC'!$K67,8)=LEFT(AZ$15,8), LEFT('2.LUC'!$K67,8)=LEFT(AZ$16,8), LEFT('2.LUC'!$K67,8)=LEFT(AZ$17,8))), luc!$E47,0),0)</f>
        <v/>
      </c>
      <c r="CZ30" s="1104">
        <f>IF(LEFT('2.LUC'!$I67,8)=LEFT($CU$26,8),IF(LEFT('2.LUC'!$K67,8)=LEFT(CZ$23,8), luc!$E47,0),0)</f>
        <v/>
      </c>
      <c r="DA30" s="1354">
        <f>IF(LEFT('2.LUC'!$I67,8)=LEFT($CU$26,8),IF(LEFT('2.LUC'!$K67,8)=LEFT(DA$23,8), luc!$E47,0),0)</f>
        <v/>
      </c>
      <c r="DB30" s="973" t="n"/>
      <c r="DD30" s="973" t="n"/>
      <c r="DE30" s="973" t="n"/>
      <c r="DF30" s="1355" t="n"/>
      <c r="DG30" s="1355">
        <f>IF(LEFT('2.LUC'!$I67,8)=LEFT($DF$26,8),IF(LEFT('2.LUC'!$K67,8)=LEFT(DG$23,8), luc!$E47,0),0)</f>
        <v/>
      </c>
      <c r="DH30" s="1355">
        <f>IF(LEFT('2.LUC'!$I67,8)=LEFT($DF$26,8),IF(LEFT('2.LUC'!$K67,8)=LEFT(DH$23,8), luc!$E47,0),0)</f>
        <v/>
      </c>
      <c r="DI30" s="1355">
        <f>IF(LEFT('2.LUC'!$I67,8)=LEFT($DF$26,8),IF(LEFT('2.LUC'!$K67,8)=LEFT(DI$23,8), luc!$E47,0),0)</f>
        <v/>
      </c>
      <c r="DJ30" s="1354">
        <f>IF(LEFT('2.LUC'!$I67,8)=LEFT($DF$26,8),IF((OR(LEFT('2.LUC'!$K67,8)=LEFT(DJ$23,8),LEFT('2.LUC'!$K67,8)=LEFT(AZ$3,8),LEFT('2.LUC'!$K67,8)=LEFT(AZ$3,9),LEFT('2.LUC'!$K67,8)=LEFT(AZ$4,9),LEFT('2.LUC'!$K67,8)=LEFT(AZ$5,8),LEFT('2.LUC'!$K67,8)=LEFT(AZ$6,8),LEFT('2.LUC'!$K67,8)=LEFT(AZ$7,8),LEFT('2.LUC'!$K67,8)=LEFT(AZ$8,8), LEFT('2.LUC'!$K67,8)=LEFT(AZ$9,8),  LEFT('2.LUC'!$K67,8)=LEFT(AZ$10,8), LEFT('2.LUC'!$K67,8)=LEFT(AZ$11,8),   LEFT('2.LUC'!$K67,8)=LEFT(AZ$12,8), LEFT('2.LUC'!$K67,8)=LEFT(AZ$13,8), LEFT('2.LUC'!$K67,8)=LEFT(AZ$14,8), LEFT('2.LUC'!$K67,8)=LEFT(AZ$15,8), LEFT('2.LUC'!$K67,8)=LEFT(AZ$16,8), LEFT('2.LUC'!$K67,8)=LEFT(AZ$17,8))), luc!$E47,0),0)</f>
        <v/>
      </c>
      <c r="DK30" s="1104">
        <f>IF(LEFT('2.LUC'!$I67,8)=LEFT($DF$26,8),IF(LEFT('2.LUC'!$K67,8)=LEFT(DK$23,8), luc!$E47,0),0)</f>
        <v/>
      </c>
      <c r="DL30" s="1354">
        <f>IF(LEFT('2.LUC'!$I67,8)=LEFT($DF$26,8),IF(LEFT('2.LUC'!$K67,8)=LEFT(DL$23,8), luc!$E47,0),0)</f>
        <v/>
      </c>
    </row>
    <row r="31">
      <c r="D31" s="973" t="n"/>
      <c r="F31" s="1370" t="n"/>
      <c r="G31" s="1393" t="inlineStr">
        <is>
          <t>Total area with the project (ha)</t>
        </is>
      </c>
      <c r="H31" s="1394" t="n"/>
      <c r="I31" s="3141">
        <f>SUM(I24:I30)</f>
        <v/>
      </c>
      <c r="J31" s="3140">
        <f>SUM(J24:J30)</f>
        <v/>
      </c>
      <c r="K31" s="3140">
        <f>SUM(K24:K30)</f>
        <v/>
      </c>
      <c r="L31" s="3140">
        <f>SUM(L24:L30)</f>
        <v/>
      </c>
      <c r="M31" s="3140">
        <f>SUM(M24:M30)</f>
        <v/>
      </c>
      <c r="N31" s="3140">
        <f>SUM(N24:N30)</f>
        <v/>
      </c>
      <c r="O31" s="3140">
        <f>SUM(O24:O30)</f>
        <v/>
      </c>
      <c r="P31" s="3138">
        <f>SUM(I31:O31)</f>
        <v/>
      </c>
      <c r="S31" s="1168" t="n"/>
      <c r="T31" s="1688" t="n"/>
      <c r="U31" s="1420">
        <f>IF('2.LUC'!$I18 = U$23, 1,0)* defo!$H42</f>
        <v/>
      </c>
      <c r="V31" s="1421">
        <f>IF('2.LUC'!$I18 = V$23, 1,0)* defo!$H42</f>
        <v/>
      </c>
      <c r="W31" s="1421">
        <f>IF('2.LUC'!$I18 = W$23, 1,0)* defo!$H42</f>
        <v/>
      </c>
      <c r="X31" s="1421">
        <f>IF('2.LUC'!$I18 = X$23, 1,0)* defo!$H42</f>
        <v/>
      </c>
      <c r="Y31" s="1421">
        <f>IF('2.LUC'!$I18 = Y$23, 1,0)* defo!$H42</f>
        <v/>
      </c>
      <c r="Z31" s="1421">
        <f>IF('2.LUC'!$I18 = Z$23, 1,0)* defo!$H42</f>
        <v/>
      </c>
      <c r="AA31" s="1422">
        <f>IF('2.LUC'!$I18 = AA$23, 1,0)* defo!$H42</f>
        <v/>
      </c>
      <c r="AB31" s="973" t="n"/>
      <c r="AE31" s="1168" t="n"/>
      <c r="AF31" s="1414" t="n"/>
      <c r="AG31" s="1420">
        <f>IF(AG$23 = '2.LUC'!$I43, '2.LUC'!$P43, 0)</f>
        <v/>
      </c>
      <c r="AH31" s="1421">
        <f>IF(AH$23='2.LUC'!$I43, '2.LUC'!$P43,0)</f>
        <v/>
      </c>
      <c r="AI31" s="1421">
        <f>IF(AI$23='2.LUC'!$I43, '2.LUC'!$P43, 0)</f>
        <v/>
      </c>
      <c r="AJ31" s="1421">
        <f>IF(AJ$23='2.LUC'!$I43, '2.LUC'!$P43, 0)</f>
        <v/>
      </c>
      <c r="AK31" s="1421">
        <f>IF(AK$23='2.LUC'!$I43, '2.LUC'!$P43, 0)</f>
        <v/>
      </c>
      <c r="AL31" s="1421">
        <f>IF(AL$23 = '2.LUC'!$I43, '2.LUC'!$P43, 0)</f>
        <v/>
      </c>
      <c r="AM31" s="1422">
        <f>IF(AM$23 = '2.LUC'!$I43, '2.LUC'!$P43, 0)</f>
        <v/>
      </c>
      <c r="AN31" s="973" t="n"/>
      <c r="AQ31" s="973" t="n"/>
      <c r="AR31" s="1354" t="n"/>
      <c r="AS31" s="1357">
        <f>IF(LEFT('2.LUC'!$I68,8)=LEFT($AR$26,8),IF(LEFT('2.LUC'!$K68,8)=LEFT(AS$23,8), luc!$E48,0),0)</f>
        <v/>
      </c>
      <c r="AT31" s="1354">
        <f>IF(LEFT('2.LUC'!$I68,8)=LEFT($AR$26,8),IF(LEFT('2.LUC'!$K68,8)=LEFT(AT$23,8), luc!$E48,0),0)</f>
        <v/>
      </c>
      <c r="AU31" s="1354">
        <f>IF(LEFT('2.LUC'!$I68,8)=LEFT($AR$26,8),IF(LEFT('2.LUC'!$K68,8)=LEFT(AU$23,8), luc!$E48,0),0)</f>
        <v/>
      </c>
      <c r="AV31" s="1354">
        <f>IF(LEFT('2.LUC'!$I68,8)=LEFT($AR$26,8),IF(LEFT('2.LUC'!$K68,8)=LEFT(AV$23,8), luc!$E48,0),0)</f>
        <v/>
      </c>
      <c r="AW31" s="1354">
        <f>IF(LEFT('2.LUC'!$I68,8)=LEFT($AR$26,8),IF(LEFT('2.LUC'!$K68,8)=LEFT(AW$23,8), luc!$E48,0),0)</f>
        <v/>
      </c>
      <c r="AX31" s="1354">
        <f>IF(LEFT('2.LUC'!$I68,8)=LEFT($AR$26,8),IF((OR(LEFT('2.LUC'!$K68,8)=LEFT(AX$23,8),LEFT('2.LUC'!$K68,8)=LEFT(AZ$3,8),LEFT('2.LUC'!$K68,8)=LEFT(AZ$3,9),LEFT('2.LUC'!$K68,8)=LEFT(AZ$4,9),LEFT('2.LUC'!$K68,8)=LEFT(AZ$5,8),LEFT('2.LUC'!$K68,8)=LEFT(AZ$6,8),LEFT('2.LUC'!$K68,8)=LEFT(AZ$7,8),LEFT('2.LUC'!$K68,8)=LEFT(AZ$8,8), LEFT('2.LUC'!$K68,8)=LEFT(AZ$9,8),  LEFT('2.LUC'!$K68,8)=LEFT(AZ$10,8), LEFT('2.LUC'!$K68,8)=LEFT(AZ$11,8),   LEFT('2.LUC'!$K68,8)=LEFT(AZ$12,8), LEFT('2.LUC'!$K68,8)=LEFT(AZ$13,8), LEFT('2.LUC'!$K68,8)=LEFT(AZ$14,8), LEFT('2.LUC'!$K68,8)=LEFT(AZ$15,8), LEFT('2.LUC'!$K68,8)=LEFT(AZ$16,8), LEFT('2.LUC'!$K68,8)=LEFT(AZ$17,8))),luc!$E48,0),0)</f>
        <v/>
      </c>
      <c r="AZ31" s="1345" t="inlineStr">
        <is>
          <t>Short Rotation Coppice</t>
        </is>
      </c>
      <c r="BB31" s="973" t="n"/>
      <c r="BC31" s="1354" t="n"/>
      <c r="BD31" s="1357">
        <f>IF((OR(LEFT('2.LUC'!$I68,8)=LEFT(Matrix!$BC$26,8), LEFT('2.LUC'!$I68,8)=LEFT(Matrix!AZ$3,8), LEFT('2.LUC'!$I68,8)=LEFT(Matrix!AZ$4,8), LEFT('2.LUC'!$I68,8)=LEFT(Matrix!AZ$5,8), LEFT('2.LUC'!$I68,8)=LEFT(Matrix!AZ$6,8), LEFT('2.LUC'!$I68,8)=LEFT(Matrix!AZ$7,8),  LEFT('2.LUC'!$I68,8)=LEFT(Matrix!AZ$8,8), LEFT('2.LUC'!$I68,8)=LEFT(Matrix!AZ$9,8), LEFT('2.LUC'!$I68,8)=LEFT(Matrix!AZ$10,8), LEFT('2.LUC'!$I68,8)=LEFT(Matrix!AZ$11,8), LEFT('2.LUC'!$I68,8)=LEFT(Matrix!AZ$12,8), LEFT('2.LUC'!$I68,8)=LEFT(Matrix!AZ$13,8), LEFT('2.LUC'!$I68,8)=LEFT(Matrix!AZ$14,8), LEFT('2.LUC'!$I68,8)=LEFT(Matrix!AZ$15,8), LEFT('2.LUC'!$I68,8)=LEFT(Matrix!AZ$16,8), LEFT('2.LUC'!$I68,8)=LEFT(Matrix!AZ$17,8))), IF(LEFT('2.LUC'!$K68,8)=LEFT(Matrix!BD$23,8), '2.LUC'!$P68, 0),0)</f>
        <v/>
      </c>
      <c r="BE31" s="1354">
        <f>IF((OR(LEFT('2.LUC'!$I68,8)=LEFT(Matrix!$BC$26,8), LEFT('2.LUC'!$I68,8)=LEFT(Matrix!AZ$3,8), LEFT('2.LUC'!$I68,8)=LEFT(Matrix!AZ$4,8), LEFT('2.LUC'!$I68,8)=LEFT(Matrix!AZ$5,8), LEFT('2.LUC'!$I68,8)=LEFT(Matrix!AZ$6,8), LEFT('2.LUC'!$I68,8)=LEFT(Matrix!AZ$7,8),  LEFT('2.LUC'!$I68,8)=LEFT(Matrix!AZ$8,8), LEFT('2.LUC'!$I68,8)=LEFT(Matrix!AZ$9,8), LEFT('2.LUC'!$I68,8)=LEFT(Matrix!AZ$10,8), LEFT('2.LUC'!$I68,8)=LEFT(Matrix!AZ$11,8), LEFT('2.LUC'!$I68,8)=LEFT(Matrix!AZ$12,8), LEFT('2.LUC'!$I68,8)=LEFT(Matrix!AZ$13,8), LEFT('2.LUC'!$I68,8)=LEFT(Matrix!AZ$14,8), LEFT('2.LUC'!$I68,8)=LEFT(Matrix!AZ$15,8), LEFT('2.LUC'!$I68,8)=LEFT(Matrix!AZ$16,8), LEFT('2.LUC'!$I68,8)=LEFT(Matrix!AZ$17,8))), IF(LEFT('2.LUC'!$K68,8)=LEFT(Matrix!BE$23,8), '2.LUC'!$P68, 0),0)</f>
        <v/>
      </c>
      <c r="BF31" s="1354">
        <f>IF((OR(LEFT('2.LUC'!$I68,8)=LEFT(Matrix!$BC$26,8), LEFT('2.LUC'!$I68,8)=LEFT(Matrix!AZ$3,8), LEFT('2.LUC'!$I68,8)=LEFT(Matrix!AZ$4,8), LEFT('2.LUC'!$I68,8)=LEFT(Matrix!AZ$5,8), LEFT('2.LUC'!$I68,8)=LEFT(Matrix!AZ$6,8), LEFT('2.LUC'!$I68,8)=LEFT(Matrix!AZ$7,8),  LEFT('2.LUC'!$I68,8)=LEFT(Matrix!AZ$8,8), LEFT('2.LUC'!$I68,8)=LEFT(Matrix!AZ$9,8), LEFT('2.LUC'!$I68,8)=LEFT(Matrix!AZ$10,8), LEFT('2.LUC'!$I68,8)=LEFT(Matrix!AZ$11,8), LEFT('2.LUC'!$I68,8)=LEFT(Matrix!AZ$12,8), LEFT('2.LUC'!$I68,8)=LEFT(Matrix!AZ$13,8), LEFT('2.LUC'!$I68,8)=LEFT(Matrix!AZ$14,8), LEFT('2.LUC'!$I68,8)=LEFT(Matrix!AZ$15,8), LEFT('2.LUC'!$I68,8)=LEFT(Matrix!AZ$16,8), LEFT('2.LUC'!$I68,8)=LEFT(Matrix!AZ$17,8))), IF(LEFT('2.LUC'!$K68,8)=LEFT(Matrix!BF$23,8), '2.LUC'!$P68, 0),0)</f>
        <v/>
      </c>
      <c r="BG31" s="1354">
        <f>IF((OR(LEFT('2.LUC'!$I68,8)=LEFT(Matrix!$BC$26,8), LEFT('2.LUC'!$I68,8)=LEFT(Matrix!AZ$3,8), LEFT('2.LUC'!$I68,8)=LEFT(Matrix!AZ$4,8), LEFT('2.LUC'!$I68,8)=LEFT(Matrix!AZ$5,8), LEFT('2.LUC'!$I68,8)=LEFT(Matrix!AZ$6,8), LEFT('2.LUC'!$I68,8)=LEFT(Matrix!AZ$7,8),  LEFT('2.LUC'!$I68,8)=LEFT(Matrix!AZ$8,8), LEFT('2.LUC'!$I68,8)=LEFT(Matrix!AZ$9,8), LEFT('2.LUC'!$I68,8)=LEFT(Matrix!AZ$10,8), LEFT('2.LUC'!$I68,8)=LEFT(Matrix!AZ$11,8), LEFT('2.LUC'!$I68,8)=LEFT(Matrix!AZ$12,8), LEFT('2.LUC'!$I68,8)=LEFT(Matrix!AZ$13,8), LEFT('2.LUC'!$I68,8)=LEFT(Matrix!AZ$14,8), LEFT('2.LUC'!$I68,8)=LEFT(Matrix!AZ$15,8), LEFT('2.LUC'!$I68,8)=LEFT(Matrix!AZ$16,8), LEFT('2.LUC'!$I68,8)=LEFT(Matrix!AZ$17,8))), IF(LEFT('2.LUC'!$K68,8)=LEFT(Matrix!BG$23,8), '2.LUC'!$P68, 0),0)</f>
        <v/>
      </c>
      <c r="BH31" s="1354">
        <f>IF((OR(LEFT('2.LUC'!$I68,8)=LEFT(Matrix!$BC$26,8), LEFT('2.LUC'!$I68,8)=LEFT(Matrix!AZ$3,8), LEFT('2.LUC'!$I68,8)=LEFT(Matrix!AZ$4,8), LEFT('2.LUC'!$I68,8)=LEFT(Matrix!AZ$5,8), LEFT('2.LUC'!$I68,8)=LEFT(Matrix!AZ$6,8), LEFT('2.LUC'!$I68,8)=LEFT(Matrix!AZ$7,8),  LEFT('2.LUC'!$I68,8)=LEFT(Matrix!AZ$8,8), LEFT('2.LUC'!$I68,8)=LEFT(Matrix!AZ$9,8), LEFT('2.LUC'!$I68,8)=LEFT(Matrix!AZ$10,8), LEFT('2.LUC'!$I68,8)=LEFT(Matrix!AZ$11,8), LEFT('2.LUC'!$I68,8)=LEFT(Matrix!AZ$12,8), LEFT('2.LUC'!$I68,8)=LEFT(Matrix!AZ$13,8), LEFT('2.LUC'!$I68,8)=LEFT(Matrix!AZ$14,8), LEFT('2.LUC'!$I68,8)=LEFT(Matrix!AZ$15,8), LEFT('2.LUC'!$I68,8)=LEFT(Matrix!AZ$16,8), LEFT('2.LUC'!$I68,8)=LEFT(Matrix!AZ$17,8))), IF(LEFT('2.LUC'!$K68,8)=LEFT(Matrix!BH$23,8), '2.LUC'!$P68, 0),0)</f>
        <v/>
      </c>
      <c r="BI31" s="1354">
        <f>IF((OR(LEFT('2.LUC'!$I68,8)=LEFT(Matrix!$BC$26,8), LEFT('2.LUC'!$I68,8)=LEFT(Matrix!AZ$3,8), LEFT('2.LUC'!$I68,8)=LEFT(Matrix!AZ$4,8), LEFT('2.LUC'!$I68,8)=LEFT(Matrix!AZ$5,8), LEFT('2.LUC'!$I68,8)=LEFT(Matrix!AZ$6,8), LEFT('2.LUC'!$I68,8)=LEFT(Matrix!AZ$7,8),  LEFT('2.LUC'!$I68,8)=LEFT(Matrix!AZ$8,8), LEFT('2.LUC'!$I68,8)=LEFT(Matrix!AZ$9,8), LEFT('2.LUC'!$I68,8)=LEFT(Matrix!AZ$10,8), LEFT('2.LUC'!$I68,8)=LEFT(Matrix!AZ$11,8), LEFT('2.LUC'!$I68,8)=LEFT(Matrix!AZ$12,8), LEFT('2.LUC'!$I68,8)=LEFT(Matrix!AZ$13,8), LEFT('2.LUC'!$I68,8)=LEFT(Matrix!AZ$14,8), LEFT('2.LUC'!$I68,8)=LEFT(Matrix!AZ$15,8), LEFT('2.LUC'!$I68,8)=LEFT(Matrix!AZ$16,8), LEFT('2.LUC'!$I68,8)=LEFT(Matrix!AZ$17,8))), IF(LEFT('2.LUC'!$K68,8)=LEFT(Matrix!BI$23,8), '2.LUC'!$P68, 0),0)</f>
        <v/>
      </c>
      <c r="BJ31" s="973" t="n"/>
      <c r="BM31" s="973" t="n"/>
      <c r="BN31" s="1354" t="n"/>
      <c r="BO31" s="1354">
        <f>IF(LEFT('2.LUC'!$I68,8)=LEFT($BN$26,8),IF(LEFT('2.LUC'!$K68,8)=LEFT(BO$23,8), luc!$E48,0),0)</f>
        <v/>
      </c>
      <c r="BP31" s="1354">
        <f>IF(LEFT('2.LUC'!$I68,8)=LEFT($BN$26,8),IF(LEFT('2.LUC'!$K68,8)=LEFT(BP$23,8), luc!$E48,0),0)</f>
        <v/>
      </c>
      <c r="BQ31" s="1354">
        <f>IF(LEFT('2.LUC'!$I68,8)=LEFT($BN$26,8),IF(LEFT('2.LUC'!$K68,8)=LEFT(BQ$23,8), luc!$E48,0),0)</f>
        <v/>
      </c>
      <c r="BR31" s="1355">
        <f>IF(LEFT('2.LUC'!$I68,8)=LEFT($BN$26,8),IF((OR(LEFT('2.LUC'!$K68,8)=LEFT(BR$23,8),LEFT('2.LUC'!$K68,8)=LEFT(AZ$3,8), LEFT('2.LUC'!$K68,8)=LEFT(AZ$4,9),LEFT('2.LUC'!$K68,8)=LEFT(AZ$5,8),LEFT('2.LUC'!$K68,8)=LEFT(AZ$6,8),LEFT('2.LUC'!$K68,8)=LEFT(AZ$7,8),LEFT('2.LUC'!$K68,8)=LEFT(AZ$8,8), LEFT('2.LUC'!$K68,8)=LEFT(AZ$9,8),  LEFT('2.LUC'!$K68,8)=LEFT(AZ$10,8), LEFT('2.LUC'!$K68,8)=LEFT(AZ$11,8),   LEFT('2.LUC'!$K68,8)=LEFT(AZ$12,8), LEFT('2.LUC'!$K68,8)=LEFT(AZ$13,8), LEFT('2.LUC'!$K68,8)=LEFT(AZ$14,8), LEFT('2.LUC'!$K68,8)=LEFT(AZ$15,8), LEFT('2.LUC'!$K68,8)=LEFT(AZ$16,8), LEFT('2.LUC'!$K68,8)=LEFT(AZ$17,8))), luc!$E48,0),0)</f>
        <v/>
      </c>
      <c r="BS31" s="1355">
        <f>IF(LEFT('2.LUC'!$I68,8)=LEFT($BN$26,8),IF(LEFT('2.LUC'!$K68,8)=LEFT(BS$23,8), luc!$E48,0),0)</f>
        <v/>
      </c>
      <c r="BT31" s="1354">
        <f>IF(LEFT('2.LUC'!$I68,8)=LEFT($BN$26,8),IF(LEFT('2.LUC'!$K68,8)=LEFT(BT$23,8), luc!$E48,0),0)</f>
        <v/>
      </c>
      <c r="BU31" s="973" t="n"/>
      <c r="BX31" s="973" t="n"/>
      <c r="BY31" s="1355" t="n"/>
      <c r="BZ31" s="1355">
        <f>IF(LEFT('2.LUC'!$I68,8)=LEFT($BY$26,8),IF(LEFT('2.LUC'!$K68,8)=LEFT(BZ$23,8), luc!$E48,0),0)</f>
        <v/>
      </c>
      <c r="CA31" s="1355">
        <f>IF(LEFT('2.LUC'!$I68,8)=LEFT($BY$26,8),IF(LEFT('2.LUC'!$K68,8)=LEFT(CA$23,8), luc!$E48,0),0)</f>
        <v/>
      </c>
      <c r="CB31" s="1355">
        <f>IF(LEFT('2.LUC'!$I68,8)=LEFT($BY$26,8),IF(LEFT('2.LUC'!$K68,8)=LEFT(CB$23,8), luc!$E48,0),0)</f>
        <v/>
      </c>
      <c r="CC31" s="1355">
        <f>IF(LEFT('2.LUC'!$I68,8)=LEFT($BY$26,8),IF((OR(LEFT('2.LUC'!$K68,8)=LEFT(CC$23,8),LEFT('2.LUC'!$K68,8)=LEFT(AZ$3,8), LEFT('2.LUC'!$K68,8)=LEFT(AZ$4,8),LEFT('2.LUC'!$K68,8)=LEFT(AZ$5,8),LEFT('2.LUC'!$K68,8)=LEFT(AZ$6,8),LEFT('2.LUC'!$K68,8)=LEFT(AZ$7,8),LEFT('2.LUC'!$K68,8)=LEFT(AZ$8,8), LEFT('2.LUC'!$K68,8)=LEFT(AZ$9,8),  LEFT('2.LUC'!$K68,8)=LEFT(AZ$10,8), LEFT('2.LUC'!$K68,8)=LEFT(AZ$11,8),   LEFT('2.LUC'!$K68,8)=LEFT(AZ$12,8), LEFT('2.LUC'!$K68,8)=LEFT(AZ$13,8), LEFT('2.LUC'!$K68,8)=LEFT(AZ$14,8), LEFT('2.LUC'!$K68,8)=LEFT(AZ$15,8), LEFT('2.LUC'!$K68,8)=LEFT(AZ$16,8), LEFT('2.LUC'!$K68,8)=LEFT(AZ$17,8))), luc!$E48,0),0)</f>
        <v/>
      </c>
      <c r="CD31" s="1355">
        <f>IF(LEFT('2.LUC'!$I68,8)=LEFT($BY$26,8),IF(LEFT('2.LUC'!$K68,8)=LEFT(CD$23,8), luc!$E48,0),0)</f>
        <v/>
      </c>
      <c r="CE31" s="1354">
        <f>IF(LEFT('2.LUC'!$I68,8)=LEFT($BY$26,8),IF(LEFT('2.LUC'!$K68,8)=LEFT(CE$23,8), luc!$E48,0),0)</f>
        <v/>
      </c>
      <c r="CF31" s="973" t="n"/>
      <c r="CI31" s="973" t="n"/>
      <c r="CJ31" s="1355" t="n"/>
      <c r="CK31" s="1355">
        <f>IF(LEFT('2.LUC'!$I68,8)=LEFT($CJ$26,8),IF(LEFT('2.LUC'!$K68,8)=LEFT(CK$23,8), luc!$E48,0),0)</f>
        <v/>
      </c>
      <c r="CL31" s="1355">
        <f>IF(LEFT('2.LUC'!$I68,8)=LEFT($CJ$26,8),IF(LEFT('2.LUC'!$K68,8)=LEFT(CL$23,8), luc!$E48,0),0)</f>
        <v/>
      </c>
      <c r="CM31" s="1355">
        <f>IF(LEFT('2.LUC'!$I68,8)=LEFT($CJ$26,8),IF(LEFT('2.LUC'!$K68,8)=LEFT(CM$23,8), luc!$E48,0),0)</f>
        <v/>
      </c>
      <c r="CN31" s="1354">
        <f>IF(LEFT('2.LUC'!$I68,8)=LEFT($CJ$26,8),IF((OR(LEFT('2.LUC'!$K68,8)=LEFT(CN$23,8),LEFT('2.LUC'!$K68,8)=LEFT(AZ$3,8),LEFT('2.LUC'!$K68,8)=LEFT(AZ$3,9),LEFT('2.LUC'!$K68,8)=LEFT(AZ$4,9),LEFT('2.LUC'!$K68,8)=LEFT(AZ$5,8),LEFT('2.LUC'!$K68,8)=LEFT(AZ$6,8),LEFT('2.LUC'!$K68,8)=LEFT(AZ$7,8),LEFT('2.LUC'!$K68,8)=LEFT(AZ$8,8), LEFT('2.LUC'!$K68,8)=LEFT(AZ$9,8),  LEFT('2.LUC'!$K68,8)=LEFT(AZ$10,8), LEFT('2.LUC'!$K68,8)=LEFT(AZ$11,8),   LEFT('2.LUC'!$K68,8)=LEFT(AZ$12,8), LEFT('2.LUC'!$K68,8)=LEFT(AZ$13,8), LEFT('2.LUC'!$K68,8)=LEFT(AZ$14,8), LEFT('2.LUC'!$K68,8)=LEFT(AZ$15,8), LEFT('2.LUC'!$K68,8)=LEFT(AZ$16,8), LEFT('2.LUC'!$K68,8)=LEFT(AZ$17,8))), luc!$E48,0),0)</f>
        <v/>
      </c>
      <c r="CO31" s="1104">
        <f>IF(LEFT('2.LUC'!$I68,8)=LEFT($CJ$26,8),IF(LEFT('2.LUC'!$K68,8)=LEFT(CO$23,8), luc!$E48,0),0)</f>
        <v/>
      </c>
      <c r="CP31" s="1354">
        <f>IF(LEFT('2.LUC'!$I68,8)=LEFT($CJ$26,8),IF(LEFT('2.LUC'!$K68,8)=LEFT(CP$23,8), luc!$E48,0),0)</f>
        <v/>
      </c>
      <c r="CQ31" s="973" t="n"/>
      <c r="CT31" s="973" t="n"/>
      <c r="CU31" s="1355" t="n"/>
      <c r="CV31" s="1355">
        <f>IF(LEFT('2.LUC'!$I68,8)=LEFT($CU$26,8),IF(LEFT('2.LUC'!$K68,8)=LEFT(CV$23,8), luc!$E48,0),0)</f>
        <v/>
      </c>
      <c r="CW31" s="1355">
        <f>IF(LEFT('2.LUC'!$I68,8)=LEFT($CU$26,8),IF(LEFT('2.LUC'!$K68,8)=LEFT(CW$23,8), luc!$E48,0),0)</f>
        <v/>
      </c>
      <c r="CX31" s="1355">
        <f>IF(LEFT('2.LUC'!$I68,8)=LEFT($CU$26,8),IF(LEFT('2.LUC'!$K68,8)=LEFT(CX$23,8), luc!$E48,0),0)</f>
        <v/>
      </c>
      <c r="CY31" s="1354">
        <f>IF(LEFT('2.LUC'!$I68,8)=LEFT($CU$26,8),IF((OR(LEFT('2.LUC'!$K68,8)=LEFT(CY$23,8),LEFT('2.LUC'!$K68,8)=LEFT(AZ$3,8),LEFT('2.LUC'!$K68,8)=LEFT(AZ$3,9),LEFT('2.LUC'!$K68,8)=LEFT(AZ$4,9),LEFT('2.LUC'!$K68,8)=LEFT(AZ$5,8),LEFT('2.LUC'!$K68,8)=LEFT(AZ$6,8),LEFT('2.LUC'!$K68,8)=LEFT(AZ$7,8),LEFT('2.LUC'!$K68,8)=LEFT(AZ$8,8), LEFT('2.LUC'!$K68,8)=LEFT(AZ$9,8),  LEFT('2.LUC'!$K68,8)=LEFT(AZ$10,8), LEFT('2.LUC'!$K68,8)=LEFT(AZ$11,8),   LEFT('2.LUC'!$K68,8)=LEFT(AZ$12,8), LEFT('2.LUC'!$K68,8)=LEFT(AZ$13,8), LEFT('2.LUC'!$K68,8)=LEFT(AZ$14,8), LEFT('2.LUC'!$K68,8)=LEFT(AZ$15,8), LEFT('2.LUC'!$K68,8)=LEFT(AZ$16,8), LEFT('2.LUC'!$K68,8)=LEFT(AZ$17,8))), luc!$E48,0),0)</f>
        <v/>
      </c>
      <c r="CZ31" s="1104">
        <f>IF(LEFT('2.LUC'!$I68,8)=LEFT($CU$26,8),IF(LEFT('2.LUC'!$K68,8)=LEFT(CZ$23,8), luc!$E48,0),0)</f>
        <v/>
      </c>
      <c r="DA31" s="1354">
        <f>IF(LEFT('2.LUC'!$I68,8)=LEFT($CU$26,8),IF(LEFT('2.LUC'!$K68,8)=LEFT(DA$23,8), luc!$E48,0),0)</f>
        <v/>
      </c>
      <c r="DB31" s="973" t="n"/>
      <c r="DD31" s="973" t="n"/>
      <c r="DE31" s="973" t="n"/>
      <c r="DF31" s="1355" t="n"/>
      <c r="DG31" s="1355">
        <f>IF(LEFT('2.LUC'!$I68,8)=LEFT($DF$26,8),IF(LEFT('2.LUC'!$K68,8)=LEFT(DG$23,8), luc!$E48,0),0)</f>
        <v/>
      </c>
      <c r="DH31" s="1355">
        <f>IF(LEFT('2.LUC'!$I68,8)=LEFT($DF$26,8),IF(LEFT('2.LUC'!$K68,8)=LEFT(DH$23,8), luc!$E48,0),0)</f>
        <v/>
      </c>
      <c r="DI31" s="1355">
        <f>IF(LEFT('2.LUC'!$I68,8)=LEFT($DF$26,8),IF(LEFT('2.LUC'!$K68,8)=LEFT(DI$23,8), luc!$E48,0),0)</f>
        <v/>
      </c>
      <c r="DJ31" s="1354">
        <f>IF(LEFT('2.LUC'!$I68,8)=LEFT($DF$26,8),IF((OR(LEFT('2.LUC'!$K68,8)=LEFT(DJ$23,8),LEFT('2.LUC'!$K68,8)=LEFT(AZ$3,8),LEFT('2.LUC'!$K68,8)=LEFT(AZ$3,9),LEFT('2.LUC'!$K68,8)=LEFT(AZ$4,9),LEFT('2.LUC'!$K68,8)=LEFT(AZ$5,8),LEFT('2.LUC'!$K68,8)=LEFT(AZ$6,8),LEFT('2.LUC'!$K68,8)=LEFT(AZ$7,8),LEFT('2.LUC'!$K68,8)=LEFT(AZ$8,8), LEFT('2.LUC'!$K68,8)=LEFT(AZ$9,8),  LEFT('2.LUC'!$K68,8)=LEFT(AZ$10,8), LEFT('2.LUC'!$K68,8)=LEFT(AZ$11,8),   LEFT('2.LUC'!$K68,8)=LEFT(AZ$12,8), LEFT('2.LUC'!$K68,8)=LEFT(AZ$13,8), LEFT('2.LUC'!$K68,8)=LEFT(AZ$14,8), LEFT('2.LUC'!$K68,8)=LEFT(AZ$15,8), LEFT('2.LUC'!$K68,8)=LEFT(AZ$16,8), LEFT('2.LUC'!$K68,8)=LEFT(AZ$17,8))), luc!$E48,0),0)</f>
        <v/>
      </c>
      <c r="DK31" s="1104">
        <f>IF(LEFT('2.LUC'!$I68,8)=LEFT($DF$26,8),IF(LEFT('2.LUC'!$K68,8)=LEFT(DK$23,8), luc!$E48,0),0)</f>
        <v/>
      </c>
      <c r="DL31" s="1354">
        <f>IF(LEFT('2.LUC'!$I68,8)=LEFT($DF$26,8),IF(LEFT('2.LUC'!$K68,8)=LEFT(DL$23,8), luc!$E48,0),0)</f>
        <v/>
      </c>
    </row>
    <row r="32">
      <c r="D32" s="973" t="n"/>
      <c r="F32" s="1765" t="inlineStr">
        <is>
          <t>*Annual includes Annual Cropland and Annual Fallow</t>
        </is>
      </c>
      <c r="J32" s="1765" t="inlineStr">
        <is>
          <t>Mangroves are accounted for within Forest</t>
        </is>
      </c>
      <c r="S32" s="1168" t="n"/>
      <c r="T32" s="1749" t="inlineStr">
        <is>
          <t xml:space="preserve">Total </t>
        </is>
      </c>
      <c r="U32" s="1374">
        <f>SUM(U24:U31)</f>
        <v/>
      </c>
      <c r="V32" s="1374">
        <f>SUM(V24:V31)</f>
        <v/>
      </c>
      <c r="W32" s="1374">
        <f>SUM(W24:W31)</f>
        <v/>
      </c>
      <c r="X32" s="1374">
        <f>SUM(X24:X31)</f>
        <v/>
      </c>
      <c r="Y32" s="1374">
        <f>SUM(Y24:Y31)</f>
        <v/>
      </c>
      <c r="Z32" s="1374">
        <f>SUM(Z24:Z31)</f>
        <v/>
      </c>
      <c r="AA32" s="1374">
        <f>SUM(AA24:AA31)</f>
        <v/>
      </c>
      <c r="AB32" s="973" t="n"/>
      <c r="AE32" s="1168" t="n"/>
      <c r="AF32" s="1749" t="inlineStr">
        <is>
          <t>Total</t>
        </is>
      </c>
      <c r="AG32" s="1759">
        <f>SUM(AG24:AG31)</f>
        <v/>
      </c>
      <c r="AH32" s="1759">
        <f>SUM(AH24:AH31)</f>
        <v/>
      </c>
      <c r="AI32" s="1759">
        <f>SUM(AI24:AI31)</f>
        <v/>
      </c>
      <c r="AJ32" s="1759">
        <f>SUM(AJ24:AJ31)</f>
        <v/>
      </c>
      <c r="AK32" s="1759">
        <f>SUM(AK24:AK31)</f>
        <v/>
      </c>
      <c r="AL32" s="1759">
        <f>SUM(AL24:AL31)</f>
        <v/>
      </c>
      <c r="AM32" s="1759">
        <f>SUM(AM24:AM31)</f>
        <v/>
      </c>
      <c r="AN32" s="973" t="n"/>
      <c r="AQ32" s="973" t="n"/>
      <c r="AR32" s="1362" t="n"/>
      <c r="AS32" s="1357">
        <f>IF(LEFT('2.LUC'!$I69,8)=LEFT($AR$26,8),IF(LEFT('2.LUC'!$K69,8)=LEFT(AS$23,8), luc!$E49,0),0)</f>
        <v/>
      </c>
      <c r="AT32" s="1354">
        <f>IF(LEFT('2.LUC'!$I69,8)=LEFT($AR$26,8),IF(LEFT('2.LUC'!$K69,8)=LEFT(AT$23,8), luc!$E49,0),0)</f>
        <v/>
      </c>
      <c r="AU32" s="1354">
        <f>IF(LEFT('2.LUC'!$I69,8)=LEFT($AR$26,8),IF(LEFT('2.LUC'!$K69,8)=LEFT(AU$23,8), luc!$E49,0),0)</f>
        <v/>
      </c>
      <c r="AV32" s="1354">
        <f>IF(LEFT('2.LUC'!$I69,8)=LEFT($AR$26,8),IF(LEFT('2.LUC'!$K69,8)=LEFT(AV$23,8), luc!$E49,0),0)</f>
        <v/>
      </c>
      <c r="AW32" s="1354">
        <f>IF(LEFT('2.LUC'!$I69,8)=LEFT($AR$26,8),IF(LEFT('2.LUC'!$K69,8)=LEFT(AW$23,8), luc!$E49,0),0)</f>
        <v/>
      </c>
      <c r="AX32" s="1354">
        <f>IF(LEFT('2.LUC'!$I69,8)=LEFT($AR$26,8),IF((OR(LEFT('2.LUC'!$K69,8)=LEFT(AX$23,8),LEFT('2.LUC'!$K69,8)=LEFT(AZ$3,8),LEFT('2.LUC'!$K69,8)=LEFT(AZ$3,9),LEFT('2.LUC'!$K69,8)=LEFT(AZ$4,9),LEFT('2.LUC'!$K69,8)=LEFT(AZ$5,8),LEFT('2.LUC'!$K69,8)=LEFT(AZ$6,8),LEFT('2.LUC'!$K69,8)=LEFT(AZ$7,8),LEFT('2.LUC'!$K69,8)=LEFT(AZ$8,8), LEFT('2.LUC'!$K69,8)=LEFT(AZ$9,8),  LEFT('2.LUC'!$K69,8)=LEFT(AZ$10,8), LEFT('2.LUC'!$K69,8)=LEFT(AZ$11,8),   LEFT('2.LUC'!$K69,8)=LEFT(AZ$12,8), LEFT('2.LUC'!$K69,8)=LEFT(AZ$13,8), LEFT('2.LUC'!$K69,8)=LEFT(AZ$14,8), LEFT('2.LUC'!$K69,8)=LEFT(AZ$15,8), LEFT('2.LUC'!$K69,8)=LEFT(AZ$16,8), LEFT('2.LUC'!$K69,8)=LEFT(AZ$17,8))),luc!$E49,0),0)</f>
        <v/>
      </c>
      <c r="AZ32" s="1345" t="inlineStr">
        <is>
          <t>Silvoarable</t>
        </is>
      </c>
      <c r="BB32" s="973" t="n"/>
      <c r="BC32" s="1354" t="n"/>
      <c r="BD32" s="1357">
        <f>IF((OR(LEFT('2.LUC'!$I69,8)=LEFT(Matrix!$BC$26,8), LEFT('2.LUC'!$I69,8)=LEFT(Matrix!AZ$3,8), LEFT('2.LUC'!$I69,8)=LEFT(Matrix!AZ$4,8), LEFT('2.LUC'!$I69,8)=LEFT(Matrix!AZ$5,8), LEFT('2.LUC'!$I69,8)=LEFT(Matrix!AZ$6,8), LEFT('2.LUC'!$I69,8)=LEFT(Matrix!AZ$7,8),  LEFT('2.LUC'!$I69,8)=LEFT(Matrix!AZ$8,8), LEFT('2.LUC'!$I69,8)=LEFT(Matrix!AZ$9,8), LEFT('2.LUC'!$I69,8)=LEFT(Matrix!AZ$10,8), LEFT('2.LUC'!$I69,8)=LEFT(Matrix!AZ$11,8), LEFT('2.LUC'!$I69,8)=LEFT(Matrix!AZ$12,8), LEFT('2.LUC'!$I69,8)=LEFT(Matrix!AZ$13,8), LEFT('2.LUC'!$I69,8)=LEFT(Matrix!AZ$14,8), LEFT('2.LUC'!$I69,8)=LEFT(Matrix!AZ$15,8), LEFT('2.LUC'!$I69,8)=LEFT(Matrix!AZ$16,8), LEFT('2.LUC'!$I69,8)=LEFT(Matrix!AZ$17,8))), IF(LEFT('2.LUC'!$K69,8)=LEFT(Matrix!BD$23,8), '2.LUC'!$P69, 0),0)</f>
        <v/>
      </c>
      <c r="BE32" s="1354">
        <f>IF((OR(LEFT('2.LUC'!$I69,8)=LEFT(Matrix!$BC$26,8), LEFT('2.LUC'!$I69,8)=LEFT(Matrix!AZ$3,8), LEFT('2.LUC'!$I69,8)=LEFT(Matrix!AZ$4,8), LEFT('2.LUC'!$I69,8)=LEFT(Matrix!AZ$5,8), LEFT('2.LUC'!$I69,8)=LEFT(Matrix!AZ$6,8), LEFT('2.LUC'!$I69,8)=LEFT(Matrix!AZ$7,8),  LEFT('2.LUC'!$I69,8)=LEFT(Matrix!AZ$8,8), LEFT('2.LUC'!$I69,8)=LEFT(Matrix!AZ$9,8), LEFT('2.LUC'!$I69,8)=LEFT(Matrix!AZ$10,8), LEFT('2.LUC'!$I69,8)=LEFT(Matrix!AZ$11,8), LEFT('2.LUC'!$I69,8)=LEFT(Matrix!AZ$12,8), LEFT('2.LUC'!$I69,8)=LEFT(Matrix!AZ$13,8), LEFT('2.LUC'!$I69,8)=LEFT(Matrix!AZ$14,8), LEFT('2.LUC'!$I69,8)=LEFT(Matrix!AZ$15,8), LEFT('2.LUC'!$I69,8)=LEFT(Matrix!AZ$16,8), LEFT('2.LUC'!$I69,8)=LEFT(Matrix!AZ$17,8))), IF(LEFT('2.LUC'!$K69,8)=LEFT(Matrix!BE$23,8), '2.LUC'!$P69, 0),0)</f>
        <v/>
      </c>
      <c r="BF32" s="1354">
        <f>IF((OR(LEFT('2.LUC'!$I69,8)=LEFT(Matrix!$BC$26,8), LEFT('2.LUC'!$I69,8)=LEFT(Matrix!AZ$3,8), LEFT('2.LUC'!$I69,8)=LEFT(Matrix!AZ$4,8), LEFT('2.LUC'!$I69,8)=LEFT(Matrix!AZ$5,8), LEFT('2.LUC'!$I69,8)=LEFT(Matrix!AZ$6,8), LEFT('2.LUC'!$I69,8)=LEFT(Matrix!AZ$7,8),  LEFT('2.LUC'!$I69,8)=LEFT(Matrix!AZ$8,8), LEFT('2.LUC'!$I69,8)=LEFT(Matrix!AZ$9,8), LEFT('2.LUC'!$I69,8)=LEFT(Matrix!AZ$10,8), LEFT('2.LUC'!$I69,8)=LEFT(Matrix!AZ$11,8), LEFT('2.LUC'!$I69,8)=LEFT(Matrix!AZ$12,8), LEFT('2.LUC'!$I69,8)=LEFT(Matrix!AZ$13,8), LEFT('2.LUC'!$I69,8)=LEFT(Matrix!AZ$14,8), LEFT('2.LUC'!$I69,8)=LEFT(Matrix!AZ$15,8), LEFT('2.LUC'!$I69,8)=LEFT(Matrix!AZ$16,8), LEFT('2.LUC'!$I69,8)=LEFT(Matrix!AZ$17,8))), IF(LEFT('2.LUC'!$K69,8)=LEFT(Matrix!BF$23,8), '2.LUC'!$P69, 0),0)</f>
        <v/>
      </c>
      <c r="BG32" s="1354">
        <f>IF((OR(LEFT('2.LUC'!$I69,8)=LEFT(Matrix!$BC$26,8), LEFT('2.LUC'!$I69,8)=LEFT(Matrix!AZ$3,8), LEFT('2.LUC'!$I69,8)=LEFT(Matrix!AZ$4,8), LEFT('2.LUC'!$I69,8)=LEFT(Matrix!AZ$5,8), LEFT('2.LUC'!$I69,8)=LEFT(Matrix!AZ$6,8), LEFT('2.LUC'!$I69,8)=LEFT(Matrix!AZ$7,8),  LEFT('2.LUC'!$I69,8)=LEFT(Matrix!AZ$8,8), LEFT('2.LUC'!$I69,8)=LEFT(Matrix!AZ$9,8), LEFT('2.LUC'!$I69,8)=LEFT(Matrix!AZ$10,8), LEFT('2.LUC'!$I69,8)=LEFT(Matrix!AZ$11,8), LEFT('2.LUC'!$I69,8)=LEFT(Matrix!AZ$12,8), LEFT('2.LUC'!$I69,8)=LEFT(Matrix!AZ$13,8), LEFT('2.LUC'!$I69,8)=LEFT(Matrix!AZ$14,8), LEFT('2.LUC'!$I69,8)=LEFT(Matrix!AZ$15,8), LEFT('2.LUC'!$I69,8)=LEFT(Matrix!AZ$16,8), LEFT('2.LUC'!$I69,8)=LEFT(Matrix!AZ$17,8))), IF(LEFT('2.LUC'!$K69,8)=LEFT(Matrix!BG$23,8), '2.LUC'!$P69, 0),0)</f>
        <v/>
      </c>
      <c r="BH32" s="1354">
        <f>IF((OR(LEFT('2.LUC'!$I69,8)=LEFT(Matrix!$BC$26,8), LEFT('2.LUC'!$I69,8)=LEFT(Matrix!AZ$3,8), LEFT('2.LUC'!$I69,8)=LEFT(Matrix!AZ$4,8), LEFT('2.LUC'!$I69,8)=LEFT(Matrix!AZ$5,8), LEFT('2.LUC'!$I69,8)=LEFT(Matrix!AZ$6,8), LEFT('2.LUC'!$I69,8)=LEFT(Matrix!AZ$7,8),  LEFT('2.LUC'!$I69,8)=LEFT(Matrix!AZ$8,8), LEFT('2.LUC'!$I69,8)=LEFT(Matrix!AZ$9,8), LEFT('2.LUC'!$I69,8)=LEFT(Matrix!AZ$10,8), LEFT('2.LUC'!$I69,8)=LEFT(Matrix!AZ$11,8), LEFT('2.LUC'!$I69,8)=LEFT(Matrix!AZ$12,8), LEFT('2.LUC'!$I69,8)=LEFT(Matrix!AZ$13,8), LEFT('2.LUC'!$I69,8)=LEFT(Matrix!AZ$14,8), LEFT('2.LUC'!$I69,8)=LEFT(Matrix!AZ$15,8), LEFT('2.LUC'!$I69,8)=LEFT(Matrix!AZ$16,8), LEFT('2.LUC'!$I69,8)=LEFT(Matrix!AZ$17,8))), IF(LEFT('2.LUC'!$K69,8)=LEFT(Matrix!BH$23,8), '2.LUC'!$P69, 0),0)</f>
        <v/>
      </c>
      <c r="BI32" s="1354">
        <f>IF((OR(LEFT('2.LUC'!$I69,8)=LEFT(Matrix!$BC$26,8), LEFT('2.LUC'!$I69,8)=LEFT(Matrix!AZ$3,8), LEFT('2.LUC'!$I69,8)=LEFT(Matrix!AZ$4,8), LEFT('2.LUC'!$I69,8)=LEFT(Matrix!AZ$5,8), LEFT('2.LUC'!$I69,8)=LEFT(Matrix!AZ$6,8), LEFT('2.LUC'!$I69,8)=LEFT(Matrix!AZ$7,8),  LEFT('2.LUC'!$I69,8)=LEFT(Matrix!AZ$8,8), LEFT('2.LUC'!$I69,8)=LEFT(Matrix!AZ$9,8), LEFT('2.LUC'!$I69,8)=LEFT(Matrix!AZ$10,8), LEFT('2.LUC'!$I69,8)=LEFT(Matrix!AZ$11,8), LEFT('2.LUC'!$I69,8)=LEFT(Matrix!AZ$12,8), LEFT('2.LUC'!$I69,8)=LEFT(Matrix!AZ$13,8), LEFT('2.LUC'!$I69,8)=LEFT(Matrix!AZ$14,8), LEFT('2.LUC'!$I69,8)=LEFT(Matrix!AZ$15,8), LEFT('2.LUC'!$I69,8)=LEFT(Matrix!AZ$16,8), LEFT('2.LUC'!$I69,8)=LEFT(Matrix!AZ$17,8))), IF(LEFT('2.LUC'!$K69,8)=LEFT(Matrix!BI$23,8), '2.LUC'!$P69, 0),0)</f>
        <v/>
      </c>
      <c r="BJ32" s="973" t="n"/>
      <c r="BM32" s="973" t="n"/>
      <c r="BN32" s="1354" t="n"/>
      <c r="BO32" s="1354">
        <f>IF(LEFT('2.LUC'!$I69,8)=LEFT($BN$26,8),IF(LEFT('2.LUC'!$K69,8)=LEFT(BO$23,8), luc!$E49,0),0)</f>
        <v/>
      </c>
      <c r="BP32" s="1354">
        <f>IF(LEFT('2.LUC'!$I69,8)=LEFT($BN$26,8),IF(LEFT('2.LUC'!$K69,8)=LEFT(BP$23,8), luc!$E49,0),0)</f>
        <v/>
      </c>
      <c r="BQ32" s="1354">
        <f>IF(LEFT('2.LUC'!$I69,8)=LEFT($BN$26,8),IF(LEFT('2.LUC'!$K69,8)=LEFT(BQ$23,8), luc!$E49,0),0)</f>
        <v/>
      </c>
      <c r="BR32" s="1355">
        <f>IF(LEFT('2.LUC'!$I69,8)=LEFT($BN$26,8),IF((OR(LEFT('2.LUC'!$K69,8)=LEFT(BR$23,8),LEFT('2.LUC'!$K69,8)=LEFT(AZ$3,8), LEFT('2.LUC'!$K69,8)=LEFT(AZ$4,9),LEFT('2.LUC'!$K69,8)=LEFT(AZ$5,8),LEFT('2.LUC'!$K69,8)=LEFT(AZ$6,8),LEFT('2.LUC'!$K69,8)=LEFT(AZ$7,8),LEFT('2.LUC'!$K69,8)=LEFT(AZ$8,8), LEFT('2.LUC'!$K69,8)=LEFT(AZ$9,8),  LEFT('2.LUC'!$K69,8)=LEFT(AZ$10,8), LEFT('2.LUC'!$K69,8)=LEFT(AZ$11,8),   LEFT('2.LUC'!$K69,8)=LEFT(AZ$12,8), LEFT('2.LUC'!$K69,8)=LEFT(AZ$13,8), LEFT('2.LUC'!$K69,8)=LEFT(AZ$14,8), LEFT('2.LUC'!$K69,8)=LEFT(AZ$15,8), LEFT('2.LUC'!$K69,8)=LEFT(AZ$16,8), LEFT('2.LUC'!$K69,8)=LEFT(AZ$17,8))), luc!$E49,0),0)</f>
        <v/>
      </c>
      <c r="BS32" s="1355">
        <f>IF(LEFT('2.LUC'!$I69,8)=LEFT($BN$26,8),IF(LEFT('2.LUC'!$K69,8)=LEFT(BS$23,8), luc!$E49,0),0)</f>
        <v/>
      </c>
      <c r="BT32" s="1354">
        <f>IF(LEFT('2.LUC'!$I69,8)=LEFT($BN$26,8),IF(LEFT('2.LUC'!$K69,8)=LEFT(BT$23,8), luc!$E49,0),0)</f>
        <v/>
      </c>
      <c r="BU32" s="973" t="n"/>
      <c r="BX32" s="973" t="n"/>
      <c r="BY32" s="1355" t="n"/>
      <c r="BZ32" s="1355">
        <f>IF(LEFT('2.LUC'!$I69,8)=LEFT($BY$26,8),IF(LEFT('2.LUC'!$K69,8)=LEFT(BZ$23,8), luc!$E49,0),0)</f>
        <v/>
      </c>
      <c r="CA32" s="1355">
        <f>IF(LEFT('2.LUC'!$I69,8)=LEFT($BY$26,8),IF(LEFT('2.LUC'!$K69,8)=LEFT(CA$23,8), luc!$E49,0),0)</f>
        <v/>
      </c>
      <c r="CB32" s="1355">
        <f>IF(LEFT('2.LUC'!$I69,8)=LEFT($BY$26,8),IF(LEFT('2.LUC'!$K69,8)=LEFT(CB$23,8), luc!$E49,0),0)</f>
        <v/>
      </c>
      <c r="CC32" s="1355">
        <f>IF(LEFT('2.LUC'!$I69,8)=LEFT($BY$26,8),IF((OR(LEFT('2.LUC'!$K69,8)=LEFT(CC$23,8),LEFT('2.LUC'!$K69,8)=LEFT(AZ$3,8), LEFT('2.LUC'!$K69,8)=LEFT(AZ$4,8),LEFT('2.LUC'!$K69,8)=LEFT(AZ$5,8),LEFT('2.LUC'!$K69,8)=LEFT(AZ$6,8),LEFT('2.LUC'!$K69,8)=LEFT(AZ$7,8),LEFT('2.LUC'!$K69,8)=LEFT(AZ$8,8), LEFT('2.LUC'!$K69,8)=LEFT(AZ$9,8),  LEFT('2.LUC'!$K69,8)=LEFT(AZ$10,8), LEFT('2.LUC'!$K69,8)=LEFT(AZ$11,8),   LEFT('2.LUC'!$K69,8)=LEFT(AZ$12,8), LEFT('2.LUC'!$K69,8)=LEFT(AZ$13,8), LEFT('2.LUC'!$K69,8)=LEFT(AZ$14,8), LEFT('2.LUC'!$K69,8)=LEFT(AZ$15,8), LEFT('2.LUC'!$K69,8)=LEFT(AZ$16,8), LEFT('2.LUC'!$K69,8)=LEFT(AZ$17,8))), luc!$E49,0),0)</f>
        <v/>
      </c>
      <c r="CD32" s="1355">
        <f>IF(LEFT('2.LUC'!$I69,8)=LEFT($BY$26,8),IF(LEFT('2.LUC'!$K69,8)=LEFT(CD$23,8), luc!$E49,0),0)</f>
        <v/>
      </c>
      <c r="CE32" s="1354">
        <f>IF(LEFT('2.LUC'!$I69,8)=LEFT($BY$26,8),IF(LEFT('2.LUC'!$K69,8)=LEFT(CE$23,8), luc!$E49,0),0)</f>
        <v/>
      </c>
      <c r="CF32" s="973" t="n"/>
      <c r="CI32" s="973" t="n"/>
      <c r="CJ32" s="1355" t="n"/>
      <c r="CK32" s="1355">
        <f>IF(LEFT('2.LUC'!$I69,8)=LEFT($CJ$26,8),IF(LEFT('2.LUC'!$K69,8)=LEFT(CK$23,8), luc!$E49,0),0)</f>
        <v/>
      </c>
      <c r="CL32" s="1355">
        <f>IF(LEFT('2.LUC'!$I69,8)=LEFT($CJ$26,8),IF(LEFT('2.LUC'!$K69,8)=LEFT(CL$23,8), luc!$E49,0),0)</f>
        <v/>
      </c>
      <c r="CM32" s="1355">
        <f>IF(LEFT('2.LUC'!$I69,8)=LEFT($CJ$26,8),IF(LEFT('2.LUC'!$K69,8)=LEFT(CM$23,8), luc!$E49,0),0)</f>
        <v/>
      </c>
      <c r="CN32" s="1354">
        <f>IF(LEFT('2.LUC'!$I69,8)=LEFT($CJ$26,8),IF((OR(LEFT('2.LUC'!$K69,8)=LEFT(CN$23,8),LEFT('2.LUC'!$K69,8)=LEFT(AZ$3,8),LEFT('2.LUC'!$K69,8)=LEFT(AZ$3,9),LEFT('2.LUC'!$K69,8)=LEFT(AZ$4,9),LEFT('2.LUC'!$K69,8)=LEFT(AZ$5,8),LEFT('2.LUC'!$K69,8)=LEFT(AZ$6,8),LEFT('2.LUC'!$K69,8)=LEFT(AZ$7,8),LEFT('2.LUC'!$K69,8)=LEFT(AZ$8,8), LEFT('2.LUC'!$K69,8)=LEFT(AZ$9,8),  LEFT('2.LUC'!$K69,8)=LEFT(AZ$10,8), LEFT('2.LUC'!$K69,8)=LEFT(AZ$11,8),   LEFT('2.LUC'!$K69,8)=LEFT(AZ$12,8), LEFT('2.LUC'!$K69,8)=LEFT(AZ$13,8), LEFT('2.LUC'!$K69,8)=LEFT(AZ$14,8), LEFT('2.LUC'!$K69,8)=LEFT(AZ$15,8), LEFT('2.LUC'!$K69,8)=LEFT(AZ$16,8), LEFT('2.LUC'!$K69,8)=LEFT(AZ$17,8))), luc!$E49,0),0)</f>
        <v/>
      </c>
      <c r="CO32" s="1104">
        <f>IF(LEFT('2.LUC'!$I69,8)=LEFT($CJ$26,8),IF(LEFT('2.LUC'!$K69,8)=LEFT(CO$23,8), luc!$E49,0),0)</f>
        <v/>
      </c>
      <c r="CP32" s="1354">
        <f>IF(LEFT('2.LUC'!$I69,8)=LEFT($CJ$26,8),IF(LEFT('2.LUC'!$K69,8)=LEFT(CP$23,8), luc!$E49,0),0)</f>
        <v/>
      </c>
      <c r="CQ32" s="973" t="n"/>
      <c r="CT32" s="973" t="n"/>
      <c r="CU32" s="1355" t="n"/>
      <c r="CV32" s="1355">
        <f>IF(LEFT('2.LUC'!$I69,8)=LEFT($CU$26,8),IF(LEFT('2.LUC'!$K69,8)=LEFT(CV$23,8), luc!$E49,0),0)</f>
        <v/>
      </c>
      <c r="CW32" s="1355">
        <f>IF(LEFT('2.LUC'!$I69,8)=LEFT($CU$26,8),IF(LEFT('2.LUC'!$K69,8)=LEFT(CW$23,8), luc!$E49,0),0)</f>
        <v/>
      </c>
      <c r="CX32" s="1355">
        <f>IF(LEFT('2.LUC'!$I69,8)=LEFT($CU$26,8),IF(LEFT('2.LUC'!$K69,8)=LEFT(CX$23,8), luc!$E49,0),0)</f>
        <v/>
      </c>
      <c r="CY32" s="1354">
        <f>IF(LEFT('2.LUC'!$I69,8)=LEFT($CU$26,8),IF((OR(LEFT('2.LUC'!$K69,8)=LEFT(CY$23,8),LEFT('2.LUC'!$K69,8)=LEFT(AZ$3,8),LEFT('2.LUC'!$K69,8)=LEFT(AZ$3,9),LEFT('2.LUC'!$K69,8)=LEFT(AZ$4,9),LEFT('2.LUC'!$K69,8)=LEFT(AZ$5,8),LEFT('2.LUC'!$K69,8)=LEFT(AZ$6,8),LEFT('2.LUC'!$K69,8)=LEFT(AZ$7,8),LEFT('2.LUC'!$K69,8)=LEFT(AZ$8,8), LEFT('2.LUC'!$K69,8)=LEFT(AZ$9,8),  LEFT('2.LUC'!$K69,8)=LEFT(AZ$10,8), LEFT('2.LUC'!$K69,8)=LEFT(AZ$11,8),   LEFT('2.LUC'!$K69,8)=LEFT(AZ$12,8), LEFT('2.LUC'!$K69,8)=LEFT(AZ$13,8), LEFT('2.LUC'!$K69,8)=LEFT(AZ$14,8), LEFT('2.LUC'!$K69,8)=LEFT(AZ$15,8), LEFT('2.LUC'!$K69,8)=LEFT(AZ$16,8), LEFT('2.LUC'!$K69,8)=LEFT(AZ$17,8))), luc!$E49,0),0)</f>
        <v/>
      </c>
      <c r="CZ32" s="1104">
        <f>IF(LEFT('2.LUC'!$I69,8)=LEFT($CU$26,8),IF(LEFT('2.LUC'!$K69,8)=LEFT(CZ$23,8), luc!$E49,0),0)</f>
        <v/>
      </c>
      <c r="DA32" s="1354">
        <f>IF(LEFT('2.LUC'!$I69,8)=LEFT($CU$26,8),IF(LEFT('2.LUC'!$K69,8)=LEFT(DA$23,8), luc!$E49,0),0)</f>
        <v/>
      </c>
      <c r="DB32" s="973" t="n"/>
      <c r="DD32" s="973" t="n"/>
      <c r="DE32" s="973" t="n"/>
      <c r="DF32" s="1355" t="n"/>
      <c r="DG32" s="1355">
        <f>IF(LEFT('2.LUC'!$I69,8)=LEFT($DF$26,8),IF(LEFT('2.LUC'!$K69,8)=LEFT(DG$23,8), luc!$E49,0),0)</f>
        <v/>
      </c>
      <c r="DH32" s="1355">
        <f>IF(LEFT('2.LUC'!$I69,8)=LEFT($DF$26,8),IF(LEFT('2.LUC'!$K69,8)=LEFT(DH$23,8), luc!$E49,0),0)</f>
        <v/>
      </c>
      <c r="DI32" s="1355">
        <f>IF(LEFT('2.LUC'!$I69,8)=LEFT($DF$26,8),IF(LEFT('2.LUC'!$K69,8)=LEFT(DI$23,8), luc!$E49,0),0)</f>
        <v/>
      </c>
      <c r="DJ32" s="1354">
        <f>IF(LEFT('2.LUC'!$I69,8)=LEFT($DF$26,8),IF((OR(LEFT('2.LUC'!$K69,8)=LEFT(DJ$23,8),LEFT('2.LUC'!$K69,8)=LEFT(AZ$3,8),LEFT('2.LUC'!$K69,8)=LEFT(AZ$3,9),LEFT('2.LUC'!$K69,8)=LEFT(AZ$4,9),LEFT('2.LUC'!$K69,8)=LEFT(AZ$5,8),LEFT('2.LUC'!$K69,8)=LEFT(AZ$6,8),LEFT('2.LUC'!$K69,8)=LEFT(AZ$7,8),LEFT('2.LUC'!$K69,8)=LEFT(AZ$8,8), LEFT('2.LUC'!$K69,8)=LEFT(AZ$9,8),  LEFT('2.LUC'!$K69,8)=LEFT(AZ$10,8), LEFT('2.LUC'!$K69,8)=LEFT(AZ$11,8),   LEFT('2.LUC'!$K69,8)=LEFT(AZ$12,8), LEFT('2.LUC'!$K69,8)=LEFT(AZ$13,8), LEFT('2.LUC'!$K69,8)=LEFT(AZ$14,8), LEFT('2.LUC'!$K69,8)=LEFT(AZ$15,8), LEFT('2.LUC'!$K69,8)=LEFT(AZ$16,8), LEFT('2.LUC'!$K69,8)=LEFT(AZ$17,8))), luc!$E49,0),0)</f>
        <v/>
      </c>
      <c r="DK32" s="1104">
        <f>IF(LEFT('2.LUC'!$I69,8)=LEFT($DF$26,8),IF(LEFT('2.LUC'!$K69,8)=LEFT(DK$23,8), luc!$E49,0),0)</f>
        <v/>
      </c>
      <c r="DL32" s="1354">
        <f>IF(LEFT('2.LUC'!$I69,8)=LEFT($DF$26,8),IF(LEFT('2.LUC'!$K69,8)=LEFT(DL$23,8), luc!$E49,0),0)</f>
        <v/>
      </c>
    </row>
    <row r="33">
      <c r="F33" s="1765" t="inlineStr">
        <is>
          <t>Tidal marshes and seagrass are accounted for within Grassland</t>
        </is>
      </c>
      <c r="J33" s="1765" t="inlineStr">
        <is>
          <t>Coastal ecosystems on aggregated soils are included here</t>
        </is>
      </c>
      <c r="N33" s="3134" t="n"/>
      <c r="S33" s="973" t="n"/>
      <c r="T33" s="3491" t="n"/>
      <c r="U33" s="973" t="n"/>
      <c r="V33" s="973" t="n"/>
      <c r="W33" s="973" t="n"/>
      <c r="X33" s="973" t="n"/>
      <c r="Y33" s="973" t="n"/>
      <c r="Z33" s="973" t="n"/>
      <c r="AA33" s="973" t="n"/>
      <c r="AB33" s="973" t="n"/>
      <c r="AE33" s="973" t="n"/>
      <c r="AF33" s="973" t="n"/>
      <c r="AG33" s="973" t="n"/>
      <c r="AH33" s="973" t="n"/>
      <c r="AI33" s="973" t="n"/>
      <c r="AJ33" s="973" t="n"/>
      <c r="AK33" s="973" t="n"/>
      <c r="AL33" s="973" t="n"/>
      <c r="AM33" s="973" t="n"/>
      <c r="AN33" s="973" t="n"/>
      <c r="AQ33" s="973" t="n"/>
      <c r="AR33" s="1362" t="n"/>
      <c r="AS33" s="1375">
        <f>IF(LEFT('2.LUC'!$I70,8)=LEFT($AR$26,8),IF(LEFT('2.LUC'!$K70,8)=LEFT(AS$23,8), luc!$E50,0),0)</f>
        <v/>
      </c>
      <c r="AT33" s="1376">
        <f>IF(LEFT('2.LUC'!$I70,8)=LEFT($AR$26,8),IF(LEFT('2.LUC'!$K70,8)=LEFT(AT$23,8), luc!$E50,0),0)</f>
        <v/>
      </c>
      <c r="AU33" s="1376">
        <f>IF(LEFT('2.LUC'!$I70,8)=LEFT($AR$26,8),IF(LEFT('2.LUC'!$K70,8)=LEFT(AU$23,8), luc!$E50,0),0)</f>
        <v/>
      </c>
      <c r="AV33" s="1376">
        <f>IF(LEFT('2.LUC'!$I70,8)=LEFT($AR$26,8),IF(LEFT('2.LUC'!$K70,8)=LEFT(AV$23,8), luc!$E50,0),0)</f>
        <v/>
      </c>
      <c r="AW33" s="1376">
        <f>IF(LEFT('2.LUC'!$I70,8)=LEFT($AR$26,8),IF(LEFT('2.LUC'!$K70,8)=LEFT(AW$23,8), luc!$E50,0),0)</f>
        <v/>
      </c>
      <c r="AX33" s="1376">
        <f>IF(LEFT('2.LUC'!$I70,8)=LEFT($AR$26,8),IF((OR(LEFT('2.LUC'!$K70,8)=LEFT(AX$23,8),LEFT('2.LUC'!$K70,8)=LEFT(AZ$3,8),LEFT('2.LUC'!$K70,8)=LEFT(AZ$3,9),LEFT('2.LUC'!$K70,8)=LEFT(AZ$4,9),LEFT('2.LUC'!$K70,8)=LEFT(AZ$5,8),LEFT('2.LUC'!$K70,8)=LEFT(AZ$6,8),LEFT('2.LUC'!$K70,8)=LEFT(AZ$7,8),LEFT('2.LUC'!$K70,8)=LEFT(AZ$8,8), LEFT('2.LUC'!$K70,8)=LEFT(AZ$9,8),  LEFT('2.LUC'!$K70,8)=LEFT(AZ$10,8), LEFT('2.LUC'!$K70,8)=LEFT(AZ$11,8),   LEFT('2.LUC'!$K70,8)=LEFT(AZ$12,8), LEFT('2.LUC'!$K70,8)=LEFT(AZ$13,8), LEFT('2.LUC'!$K70,8)=LEFT(AZ$14,8), LEFT('2.LUC'!$K70,8)=LEFT(AZ$15,8), LEFT('2.LUC'!$K70,8)=LEFT(AZ$16,8), LEFT('2.LUC'!$K70,8)=LEFT(AZ$17,8))),luc!$E50,0),0)</f>
        <v/>
      </c>
      <c r="AZ33" s="1345" t="inlineStr">
        <is>
          <t>Silvopasture</t>
        </is>
      </c>
      <c r="BB33" s="973" t="n"/>
      <c r="BC33" s="1354" t="n"/>
      <c r="BD33" s="1375">
        <f>IF((OR(LEFT('2.LUC'!$I70,8)=LEFT(Matrix!$BC$26,8), LEFT('2.LUC'!$I70,8)=LEFT(Matrix!AZ$3,8), LEFT('2.LUC'!$I70,8)=LEFT(Matrix!AZ$4,8), LEFT('2.LUC'!$I70,8)=LEFT(Matrix!AZ$5,8), LEFT('2.LUC'!$I70,8)=LEFT(Matrix!AZ$6,8), LEFT('2.LUC'!$I70,8)=LEFT(Matrix!AZ$7,8),  LEFT('2.LUC'!$I70,8)=LEFT(Matrix!AZ$8,8), LEFT('2.LUC'!$I70,8)=LEFT(Matrix!AZ$9,8), LEFT('2.LUC'!$I70,8)=LEFT(Matrix!AZ$10,8), LEFT('2.LUC'!$I70,8)=LEFT(Matrix!AZ$11,8), LEFT('2.LUC'!$I70,8)=LEFT(Matrix!AZ$12,8), LEFT('2.LUC'!$I70,8)=LEFT(Matrix!AZ$13,8), LEFT('2.LUC'!$I70,8)=LEFT(Matrix!AZ$14,8), LEFT('2.LUC'!$I70,8)=LEFT(Matrix!AZ$15,8), LEFT('2.LUC'!$I70,8)=LEFT(Matrix!AZ$16,8), LEFT('2.LUC'!$I70,8)=LEFT(Matrix!AZ$17,8))), IF(LEFT('2.LUC'!$K70,8)=LEFT(Matrix!BD$23,8), '2.LUC'!$P70, 0),0)</f>
        <v/>
      </c>
      <c r="BE33" s="1376">
        <f>IF((OR(LEFT('2.LUC'!$I70,8)=LEFT(Matrix!$BC$26,8), LEFT('2.LUC'!$I70,8)=LEFT(Matrix!AZ$3,8), LEFT('2.LUC'!$I70,8)=LEFT(Matrix!AZ$4,8), LEFT('2.LUC'!$I70,8)=LEFT(Matrix!AZ$5,8), LEFT('2.LUC'!$I70,8)=LEFT(Matrix!AZ$6,8), LEFT('2.LUC'!$I70,8)=LEFT(Matrix!AZ$7,8),  LEFT('2.LUC'!$I70,8)=LEFT(Matrix!AZ$8,8), LEFT('2.LUC'!$I70,8)=LEFT(Matrix!AZ$9,8), LEFT('2.LUC'!$I70,8)=LEFT(Matrix!AZ$10,8), LEFT('2.LUC'!$I70,8)=LEFT(Matrix!AZ$11,8), LEFT('2.LUC'!$I70,8)=LEFT(Matrix!AZ$12,8), LEFT('2.LUC'!$I70,8)=LEFT(Matrix!AZ$13,8), LEFT('2.LUC'!$I70,8)=LEFT(Matrix!AZ$14,8), LEFT('2.LUC'!$I70,8)=LEFT(Matrix!AZ$15,8), LEFT('2.LUC'!$I70,8)=LEFT(Matrix!AZ$16,8), LEFT('2.LUC'!$I70,8)=LEFT(Matrix!AZ$17,8))), IF(LEFT('2.LUC'!$K70,8)=LEFT(Matrix!BE$23,8), '2.LUC'!$P70, 0),0)</f>
        <v/>
      </c>
      <c r="BF33" s="1376">
        <f>IF((OR(LEFT('2.LUC'!$I70,8)=LEFT(Matrix!$BC$26,8), LEFT('2.LUC'!$I70,8)=LEFT(Matrix!AZ$3,8), LEFT('2.LUC'!$I70,8)=LEFT(Matrix!AZ$4,8), LEFT('2.LUC'!$I70,8)=LEFT(Matrix!AZ$5,8), LEFT('2.LUC'!$I70,8)=LEFT(Matrix!AZ$6,8), LEFT('2.LUC'!$I70,8)=LEFT(Matrix!AZ$7,8),  LEFT('2.LUC'!$I70,8)=LEFT(Matrix!AZ$8,8), LEFT('2.LUC'!$I70,8)=LEFT(Matrix!AZ$9,8), LEFT('2.LUC'!$I70,8)=LEFT(Matrix!AZ$10,8), LEFT('2.LUC'!$I70,8)=LEFT(Matrix!AZ$11,8), LEFT('2.LUC'!$I70,8)=LEFT(Matrix!AZ$12,8), LEFT('2.LUC'!$I70,8)=LEFT(Matrix!AZ$13,8), LEFT('2.LUC'!$I70,8)=LEFT(Matrix!AZ$14,8), LEFT('2.LUC'!$I70,8)=LEFT(Matrix!AZ$15,8), LEFT('2.LUC'!$I70,8)=LEFT(Matrix!AZ$16,8), LEFT('2.LUC'!$I70,8)=LEFT(Matrix!AZ$17,8))), IF(LEFT('2.LUC'!$K70,8)=LEFT(Matrix!BF$23,8), '2.LUC'!$P70, 0),0)</f>
        <v/>
      </c>
      <c r="BG33" s="1376">
        <f>IF((OR(LEFT('2.LUC'!$I70,8)=LEFT(Matrix!$BC$26,8), LEFT('2.LUC'!$I70,8)=LEFT(Matrix!AZ$3,8), LEFT('2.LUC'!$I70,8)=LEFT(Matrix!AZ$4,8), LEFT('2.LUC'!$I70,8)=LEFT(Matrix!AZ$5,8), LEFT('2.LUC'!$I70,8)=LEFT(Matrix!AZ$6,8), LEFT('2.LUC'!$I70,8)=LEFT(Matrix!AZ$7,8),  LEFT('2.LUC'!$I70,8)=LEFT(Matrix!AZ$8,8), LEFT('2.LUC'!$I70,8)=LEFT(Matrix!AZ$9,8), LEFT('2.LUC'!$I70,8)=LEFT(Matrix!AZ$10,8), LEFT('2.LUC'!$I70,8)=LEFT(Matrix!AZ$11,8), LEFT('2.LUC'!$I70,8)=LEFT(Matrix!AZ$12,8), LEFT('2.LUC'!$I70,8)=LEFT(Matrix!AZ$13,8), LEFT('2.LUC'!$I70,8)=LEFT(Matrix!AZ$14,8), LEFT('2.LUC'!$I70,8)=LEFT(Matrix!AZ$15,8), LEFT('2.LUC'!$I70,8)=LEFT(Matrix!AZ$16,8), LEFT('2.LUC'!$I70,8)=LEFT(Matrix!AZ$17,8))), IF(LEFT('2.LUC'!$K70,8)=LEFT(Matrix!BG$23,8), '2.LUC'!$P70, 0),0)</f>
        <v/>
      </c>
      <c r="BH33" s="1376">
        <f>IF((OR(LEFT('2.LUC'!$I70,8)=LEFT(Matrix!$BC$26,8), LEFT('2.LUC'!$I70,8)=LEFT(Matrix!AZ$3,8), LEFT('2.LUC'!$I70,8)=LEFT(Matrix!AZ$4,8), LEFT('2.LUC'!$I70,8)=LEFT(Matrix!AZ$5,8), LEFT('2.LUC'!$I70,8)=LEFT(Matrix!AZ$6,8), LEFT('2.LUC'!$I70,8)=LEFT(Matrix!AZ$7,8),  LEFT('2.LUC'!$I70,8)=LEFT(Matrix!AZ$8,8), LEFT('2.LUC'!$I70,8)=LEFT(Matrix!AZ$9,8), LEFT('2.LUC'!$I70,8)=LEFT(Matrix!AZ$10,8), LEFT('2.LUC'!$I70,8)=LEFT(Matrix!AZ$11,8), LEFT('2.LUC'!$I70,8)=LEFT(Matrix!AZ$12,8), LEFT('2.LUC'!$I70,8)=LEFT(Matrix!AZ$13,8), LEFT('2.LUC'!$I70,8)=LEFT(Matrix!AZ$14,8), LEFT('2.LUC'!$I70,8)=LEFT(Matrix!AZ$15,8), LEFT('2.LUC'!$I70,8)=LEFT(Matrix!AZ$16,8), LEFT('2.LUC'!$I70,8)=LEFT(Matrix!AZ$17,8))), IF(LEFT('2.LUC'!$K70,8)=LEFT(Matrix!BH$23,8), '2.LUC'!$P70, 0),0)</f>
        <v/>
      </c>
      <c r="BI33" s="1376">
        <f>IF((OR(LEFT('2.LUC'!$I70,8)=LEFT(Matrix!$BC$26,8), LEFT('2.LUC'!$I70,8)=LEFT(Matrix!AZ$3,8), LEFT('2.LUC'!$I70,8)=LEFT(Matrix!AZ$4,8), LEFT('2.LUC'!$I70,8)=LEFT(Matrix!AZ$5,8), LEFT('2.LUC'!$I70,8)=LEFT(Matrix!AZ$6,8), LEFT('2.LUC'!$I70,8)=LEFT(Matrix!AZ$7,8),  LEFT('2.LUC'!$I70,8)=LEFT(Matrix!AZ$8,8), LEFT('2.LUC'!$I70,8)=LEFT(Matrix!AZ$9,8), LEFT('2.LUC'!$I70,8)=LEFT(Matrix!AZ$10,8), LEFT('2.LUC'!$I70,8)=LEFT(Matrix!AZ$11,8), LEFT('2.LUC'!$I70,8)=LEFT(Matrix!AZ$12,8), LEFT('2.LUC'!$I70,8)=LEFT(Matrix!AZ$13,8), LEFT('2.LUC'!$I70,8)=LEFT(Matrix!AZ$14,8), LEFT('2.LUC'!$I70,8)=LEFT(Matrix!AZ$15,8), LEFT('2.LUC'!$I70,8)=LEFT(Matrix!AZ$16,8), LEFT('2.LUC'!$I70,8)=LEFT(Matrix!AZ$17,8))), IF(LEFT('2.LUC'!$K70,8)=LEFT(Matrix!BI$23,8), '2.LUC'!$P70, 0),0)</f>
        <v/>
      </c>
      <c r="BJ33" s="973" t="n"/>
      <c r="BM33" s="973" t="n"/>
      <c r="BN33" s="1354" t="n"/>
      <c r="BO33" s="1376">
        <f>IF(LEFT('2.LUC'!$I70,8)=LEFT($BN$26,8),IF(LEFT('2.LUC'!$K70,8)=LEFT(BO$23,8), luc!$E50,0),0)</f>
        <v/>
      </c>
      <c r="BP33" s="1376">
        <f>IF(LEFT('2.LUC'!$I70,8)=LEFT($BN$26,8),IF(LEFT('2.LUC'!$K70,8)=LEFT(BP$23,8), luc!$E50,0),0)</f>
        <v/>
      </c>
      <c r="BQ33" s="1376">
        <f>IF(LEFT('2.LUC'!$I70,8)=LEFT($BN$26,8),IF(LEFT('2.LUC'!$K70,8)=LEFT(BQ$23,8), luc!$E50,0),0)</f>
        <v/>
      </c>
      <c r="BR33" s="1377">
        <f>IF(LEFT('2.LUC'!$I70,8)=LEFT($BN$26,8),IF((OR(LEFT('2.LUC'!$K70,8)=LEFT(BR$23,8),LEFT('2.LUC'!$K70,8)=LEFT(AZ$3,8), LEFT('2.LUC'!$K70,8)=LEFT(AZ$4,9),LEFT('2.LUC'!$K70,8)=LEFT(AZ$5,8),LEFT('2.LUC'!$K70,8)=LEFT(AZ$6,8),LEFT('2.LUC'!$K70,8)=LEFT(AZ$7,8),LEFT('2.LUC'!$K70,8)=LEFT(AZ$8,8), LEFT('2.LUC'!$K70,8)=LEFT(AZ$9,8),  LEFT('2.LUC'!$K70,8)=LEFT(AZ$10,8), LEFT('2.LUC'!$K70,8)=LEFT(AZ$11,8),   LEFT('2.LUC'!$K70,8)=LEFT(AZ$12,8), LEFT('2.LUC'!$K70,8)=LEFT(AZ$13,8), LEFT('2.LUC'!$K70,8)=LEFT(AZ$14,8), LEFT('2.LUC'!$K70,8)=LEFT(AZ$15,8), LEFT('2.LUC'!$K70,8)=LEFT(AZ$16,8), LEFT('2.LUC'!$K70,8)=LEFT(AZ$17,8))), luc!$E50,0),0)</f>
        <v/>
      </c>
      <c r="BS33" s="1377">
        <f>IF(LEFT('2.LUC'!$I70,8)=LEFT($BN$26,8),IF(LEFT('2.LUC'!$K70,8)=LEFT(BS$23,8), luc!$E50,0),0)</f>
        <v/>
      </c>
      <c r="BT33" s="1376">
        <f>IF(LEFT('2.LUC'!$I70,8)=LEFT($BN$26,8),IF(LEFT('2.LUC'!$K70,8)=LEFT(BT$23,8), luc!$E50,0),0)</f>
        <v/>
      </c>
      <c r="BU33" s="973" t="n"/>
      <c r="BX33" s="973" t="n"/>
      <c r="BY33" s="1355" t="n"/>
      <c r="BZ33" s="1377">
        <f>IF(LEFT('2.LUC'!$I70,8)=LEFT($BY$26,8),IF(LEFT('2.LUC'!$K70,8)=LEFT(BZ$23,8), luc!$E50,0),0)</f>
        <v/>
      </c>
      <c r="CA33" s="1377">
        <f>IF(LEFT('2.LUC'!$I70,8)=LEFT($BY$26,8),IF(LEFT('2.LUC'!$K70,8)=LEFT(CA$23,8), luc!$E50,0),0)</f>
        <v/>
      </c>
      <c r="CB33" s="1377">
        <f>IF(LEFT('2.LUC'!$I70,8)=LEFT($BY$26,8),IF(LEFT('2.LUC'!$K70,8)=LEFT(CB$23,8), luc!$E50,0),0)</f>
        <v/>
      </c>
      <c r="CC33" s="1377">
        <f>IF(LEFT('2.LUC'!$I70,8)=LEFT($BY$26,8),IF((OR(LEFT('2.LUC'!$K70,8)=LEFT(CC$23,8),LEFT('2.LUC'!$K70,8)=LEFT(AZ$3,8), LEFT('2.LUC'!$K70,8)=LEFT(AZ$4,8),LEFT('2.LUC'!$K70,8)=LEFT(AZ$5,8),LEFT('2.LUC'!$K70,8)=LEFT(AZ$6,8),LEFT('2.LUC'!$K70,8)=LEFT(AZ$7,8),LEFT('2.LUC'!$K70,8)=LEFT(AZ$8,8), LEFT('2.LUC'!$K70,8)=LEFT(AZ$9,8),  LEFT('2.LUC'!$K70,8)=LEFT(AZ$10,8), LEFT('2.LUC'!$K70,8)=LEFT(AZ$11,8),   LEFT('2.LUC'!$K70,8)=LEFT(AZ$12,8), LEFT('2.LUC'!$K70,8)=LEFT(AZ$13,8), LEFT('2.LUC'!$K70,8)=LEFT(AZ$14,8), LEFT('2.LUC'!$K70,8)=LEFT(AZ$15,8), LEFT('2.LUC'!$K70,8)=LEFT(AZ$16,8), LEFT('2.LUC'!$K70,8)=LEFT(AZ$17,8))), luc!$E50,0),0)</f>
        <v/>
      </c>
      <c r="CD33" s="1377">
        <f>IF(LEFT('2.LUC'!$I70,8)=LEFT($BY$26,8),IF(LEFT('2.LUC'!$K70,8)=LEFT(CD$23,8), luc!$E50,0),0)</f>
        <v/>
      </c>
      <c r="CE33" s="1376">
        <f>IF(LEFT('2.LUC'!$I70,8)=LEFT($BY$26,8),IF(LEFT('2.LUC'!$K70,8)=LEFT(CE$23,8), luc!$E50,0),0)</f>
        <v/>
      </c>
      <c r="CF33" s="973" t="n"/>
      <c r="CI33" s="973" t="n"/>
      <c r="CJ33" s="1355" t="n"/>
      <c r="CK33" s="1377">
        <f>IF(LEFT('2.LUC'!$I70,8)=LEFT($CJ$26,8),IF(LEFT('2.LUC'!$K70,8)=LEFT(CK$23,8), luc!$E50,0),0)</f>
        <v/>
      </c>
      <c r="CL33" s="1377">
        <f>IF(LEFT('2.LUC'!$I70,8)=LEFT($CJ$26,8),IF(LEFT('2.LUC'!$K70,8)=LEFT(CL$23,8), luc!$E50,0),0)</f>
        <v/>
      </c>
      <c r="CM33" s="1377">
        <f>IF(LEFT('2.LUC'!$I70,8)=LEFT($CJ$26,8),IF(LEFT('2.LUC'!$K70,8)=LEFT(CM$23,8), luc!$E50,0),0)</f>
        <v/>
      </c>
      <c r="CN33" s="1376">
        <f>IF(LEFT('2.LUC'!$I70,8)=LEFT($CJ$26,8),IF((OR(LEFT('2.LUC'!$K70,8)=LEFT(CN$23,8),LEFT('2.LUC'!$K70,8)=LEFT(AZ$3,8),LEFT('2.LUC'!$K70,8)=LEFT(AZ$3,9),LEFT('2.LUC'!$K70,8)=LEFT(AZ$4,9),LEFT('2.LUC'!$K70,8)=LEFT(AZ$5,8),LEFT('2.LUC'!$K70,8)=LEFT(AZ$6,8),LEFT('2.LUC'!$K70,8)=LEFT(AZ$7,8),LEFT('2.LUC'!$K70,8)=LEFT(AZ$8,8), LEFT('2.LUC'!$K70,8)=LEFT(AZ$9,8),  LEFT('2.LUC'!$K70,8)=LEFT(AZ$10,8), LEFT('2.LUC'!$K70,8)=LEFT(AZ$11,8),   LEFT('2.LUC'!$K70,8)=LEFT(AZ$12,8), LEFT('2.LUC'!$K70,8)=LEFT(AZ$13,8), LEFT('2.LUC'!$K70,8)=LEFT(AZ$14,8), LEFT('2.LUC'!$K70,8)=LEFT(AZ$15,8), LEFT('2.LUC'!$K70,8)=LEFT(AZ$16,8), LEFT('2.LUC'!$K70,8)=LEFT(AZ$17,8))), luc!$E50,0),0)</f>
        <v/>
      </c>
      <c r="CO33" s="1378">
        <f>IF(LEFT('2.LUC'!$I70,8)=LEFT($CJ$26,8),IF(LEFT('2.LUC'!$K70,8)=LEFT(CO$23,8), luc!$E50,0),0)</f>
        <v/>
      </c>
      <c r="CP33" s="1376">
        <f>IF(LEFT('2.LUC'!$I70,8)=LEFT($CJ$26,8),IF(LEFT('2.LUC'!$K70,8)=LEFT(CP$23,8), luc!$E50,0),0)</f>
        <v/>
      </c>
      <c r="CQ33" s="973" t="n"/>
      <c r="CT33" s="973" t="n"/>
      <c r="CU33" s="1355" t="n"/>
      <c r="CV33" s="1377">
        <f>IF(LEFT('2.LUC'!$I70,8)=LEFT($CU$26,8),IF(LEFT('2.LUC'!$K70,8)=LEFT(CV$23,8), luc!$E50,0),0)</f>
        <v/>
      </c>
      <c r="CW33" s="1377">
        <f>IF(LEFT('2.LUC'!$I70,8)=LEFT($CU$26,8),IF(LEFT('2.LUC'!$K70,8)=LEFT(CW$23,8), luc!$E50,0),0)</f>
        <v/>
      </c>
      <c r="CX33" s="1377">
        <f>IF(LEFT('2.LUC'!$I70,8)=LEFT($CU$26,8),IF(LEFT('2.LUC'!$K70,8)=LEFT(CX$23,8), luc!$E50,0),0)</f>
        <v/>
      </c>
      <c r="CY33" s="1376">
        <f>IF(LEFT('2.LUC'!$I70,8)=LEFT($CU$26,8),IF((OR(LEFT('2.LUC'!$K70,8)=LEFT(CY$23,8),LEFT('2.LUC'!$K70,8)=LEFT(AZ$3,8),LEFT('2.LUC'!$K70,8)=LEFT(AZ$3,9),LEFT('2.LUC'!$K70,8)=LEFT(AZ$4,9),LEFT('2.LUC'!$K70,8)=LEFT(AZ$5,8),LEFT('2.LUC'!$K70,8)=LEFT(AZ$6,8),LEFT('2.LUC'!$K70,8)=LEFT(AZ$7,8),LEFT('2.LUC'!$K70,8)=LEFT(AZ$8,8), LEFT('2.LUC'!$K70,8)=LEFT(AZ$9,8),  LEFT('2.LUC'!$K70,8)=LEFT(AZ$10,8), LEFT('2.LUC'!$K70,8)=LEFT(AZ$11,8),   LEFT('2.LUC'!$K70,8)=LEFT(AZ$12,8), LEFT('2.LUC'!$K70,8)=LEFT(AZ$13,8), LEFT('2.LUC'!$K70,8)=LEFT(AZ$14,8), LEFT('2.LUC'!$K70,8)=LEFT(AZ$15,8), LEFT('2.LUC'!$K70,8)=LEFT(AZ$16,8), LEFT('2.LUC'!$K70,8)=LEFT(AZ$17,8))), luc!$E50,0),0)</f>
        <v/>
      </c>
      <c r="CZ33" s="1378">
        <f>IF(LEFT('2.LUC'!$I70,8)=LEFT($CU$26,8),IF(LEFT('2.LUC'!$K70,8)=LEFT(CZ$23,8), luc!$E50,0),0)</f>
        <v/>
      </c>
      <c r="DA33" s="1376">
        <f>IF(LEFT('2.LUC'!$I70,8)=LEFT($CU$26,8),IF(LEFT('2.LUC'!$K70,8)=LEFT(DA$23,8), luc!$E50,0),0)</f>
        <v/>
      </c>
      <c r="DB33" s="973" t="n"/>
      <c r="DD33" s="973" t="n"/>
      <c r="DE33" s="973" t="n"/>
      <c r="DF33" s="1355" t="n"/>
      <c r="DG33" s="1377">
        <f>IF(LEFT('2.LUC'!$I70,8)=LEFT($DF$26,8),IF(LEFT('2.LUC'!$K70,8)=LEFT(DG$23,8), luc!$E50,0),0)</f>
        <v/>
      </c>
      <c r="DH33" s="1377">
        <f>IF(LEFT('2.LUC'!$I70,8)=LEFT($DF$26,8),IF(LEFT('2.LUC'!$K70,8)=LEFT(DH$23,8), luc!$E50,0),0)</f>
        <v/>
      </c>
      <c r="DI33" s="1377">
        <f>IF(LEFT('2.LUC'!$I70,8)=LEFT($DF$26,8),IF(LEFT('2.LUC'!$K70,8)=LEFT(DI$23,8), luc!$E50,0),0)</f>
        <v/>
      </c>
      <c r="DJ33" s="1376">
        <f>IF(LEFT('2.LUC'!$I70,8)=LEFT($DF$26,8),IF((OR(LEFT('2.LUC'!$K70,8)=LEFT(DJ$23,8),LEFT('2.LUC'!$K70,8)=LEFT(AZ$3,8),LEFT('2.LUC'!$K70,8)=LEFT(AZ$3,9),LEFT('2.LUC'!$K70,8)=LEFT(AZ$4,9),LEFT('2.LUC'!$K70,8)=LEFT(AZ$5,8),LEFT('2.LUC'!$K70,8)=LEFT(AZ$6,8),LEFT('2.LUC'!$K70,8)=LEFT(AZ$7,8),LEFT('2.LUC'!$K70,8)=LEFT(AZ$8,8), LEFT('2.LUC'!$K70,8)=LEFT(AZ$9,8),  LEFT('2.LUC'!$K70,8)=LEFT(AZ$10,8), LEFT('2.LUC'!$K70,8)=LEFT(AZ$11,8),   LEFT('2.LUC'!$K70,8)=LEFT(AZ$12,8), LEFT('2.LUC'!$K70,8)=LEFT(AZ$13,8), LEFT('2.LUC'!$K70,8)=LEFT(AZ$14,8), LEFT('2.LUC'!$K70,8)=LEFT(AZ$15,8), LEFT('2.LUC'!$K70,8)=LEFT(AZ$16,8), LEFT('2.LUC'!$K70,8)=LEFT(AZ$17,8))), luc!$E50,0),0)</f>
        <v/>
      </c>
      <c r="DK33" s="1378">
        <f>IF(LEFT('2.LUC'!$I70,8)=LEFT($DF$26,8),IF(LEFT('2.LUC'!$K70,8)=LEFT(DK$23,8), luc!$E50,0),0)</f>
        <v/>
      </c>
      <c r="DL33" s="1376">
        <f>IF(LEFT('2.LUC'!$I70,8)=LEFT($DF$26,8),IF(LEFT('2.LUC'!$K70,8)=LEFT(DL$23,8), luc!$E50,0),0)</f>
        <v/>
      </c>
    </row>
    <row r="34">
      <c r="D34" s="973" t="n"/>
      <c r="J34" s="1765" t="inlineStr">
        <is>
          <t>Waterbodies are accounted for within Other land (non-vegetated)</t>
        </is>
      </c>
      <c r="N34" s="3134" t="n"/>
      <c r="S34" s="973" t="n"/>
      <c r="T34" s="973" t="n"/>
      <c r="U34" s="973" t="n"/>
      <c r="V34" s="973" t="n"/>
      <c r="W34" s="973" t="n"/>
      <c r="X34" s="973" t="n"/>
      <c r="Y34" s="973" t="n"/>
      <c r="Z34" s="973" t="n"/>
      <c r="AA34" s="973" t="n"/>
      <c r="AB34" s="973" t="n"/>
      <c r="AE34" s="973" t="n"/>
      <c r="AF34" s="973" t="n"/>
      <c r="AG34" s="973" t="n"/>
      <c r="AH34" s="973" t="n"/>
      <c r="AI34" s="973" t="n"/>
      <c r="AJ34" s="973" t="n"/>
      <c r="AK34" s="973" t="n"/>
      <c r="AL34" s="973" t="n"/>
      <c r="AM34" s="973" t="n"/>
      <c r="AN34" s="973" t="n"/>
      <c r="AQ34" s="973" t="n"/>
      <c r="AR34" s="1380" t="inlineStr">
        <is>
          <t>Total</t>
        </is>
      </c>
      <c r="AS34" s="1380">
        <f>SUM(AS24:AS33)</f>
        <v/>
      </c>
      <c r="AT34" s="1380">
        <f>SUM(AT24:AT33)</f>
        <v/>
      </c>
      <c r="AU34" s="1380">
        <f>SUM(AU24:AU33)</f>
        <v/>
      </c>
      <c r="AV34" s="1380">
        <f>SUM(AV24:AV33)</f>
        <v/>
      </c>
      <c r="AW34" s="1380">
        <f>SUM(AW24:AW33)</f>
        <v/>
      </c>
      <c r="AX34" s="1380">
        <f>SUM(AX24:AX33)</f>
        <v/>
      </c>
      <c r="AZ34" s="1345" t="inlineStr">
        <is>
          <t>Tea</t>
        </is>
      </c>
      <c r="BB34" s="973" t="n"/>
      <c r="BC34" s="1380" t="inlineStr">
        <is>
          <t>Total</t>
        </is>
      </c>
      <c r="BD34" s="1381">
        <f>SUM(BD24:BD33)</f>
        <v/>
      </c>
      <c r="BE34" s="1381">
        <f>SUM(BE24:BE33)</f>
        <v/>
      </c>
      <c r="BF34" s="1381">
        <f>SUM(BF24:BF33)</f>
        <v/>
      </c>
      <c r="BG34" s="1381">
        <f>SUM(BG24:BG33)</f>
        <v/>
      </c>
      <c r="BH34" s="1381">
        <f>SUM(BH24:BH33)</f>
        <v/>
      </c>
      <c r="BI34" s="1381">
        <f>SUM(BI24:BI33)</f>
        <v/>
      </c>
      <c r="BJ34" s="973" t="n"/>
      <c r="BM34" s="973" t="n"/>
      <c r="BN34" s="1380" t="inlineStr">
        <is>
          <t>Total</t>
        </is>
      </c>
      <c r="BO34" s="1381">
        <f>SUM(BO24:BO33)</f>
        <v/>
      </c>
      <c r="BP34" s="1381">
        <f>SUM(BP24:BP33)</f>
        <v/>
      </c>
      <c r="BQ34" s="1381">
        <f>SUM(BQ24:BQ33)</f>
        <v/>
      </c>
      <c r="BR34" s="1381">
        <f>SUM(BR24:BR33)</f>
        <v/>
      </c>
      <c r="BS34" s="1381">
        <f>SUM(BS24:BS33)</f>
        <v/>
      </c>
      <c r="BT34" s="1381">
        <f>SUM(BT24:BT33)</f>
        <v/>
      </c>
      <c r="BU34" s="973" t="n"/>
      <c r="BX34" s="973" t="n"/>
      <c r="BY34" s="1380" t="inlineStr">
        <is>
          <t>Total</t>
        </is>
      </c>
      <c r="BZ34" s="1382">
        <f>SUM(BZ24:BZ33)</f>
        <v/>
      </c>
      <c r="CA34" s="1382">
        <f>SUM(CA24:CA33)</f>
        <v/>
      </c>
      <c r="CB34" s="1382">
        <f>SUM(CB24:CB33)</f>
        <v/>
      </c>
      <c r="CC34" s="1382">
        <f>SUM(CC24:CC33)</f>
        <v/>
      </c>
      <c r="CD34" s="1382">
        <f>SUM(CD24:CD33)</f>
        <v/>
      </c>
      <c r="CE34" s="1382">
        <f>SUM(CE24:CE33)</f>
        <v/>
      </c>
      <c r="CF34" s="973" t="n"/>
      <c r="CI34" s="973" t="n"/>
      <c r="CJ34" s="1380" t="inlineStr">
        <is>
          <t>Total</t>
        </is>
      </c>
      <c r="CK34" s="1382">
        <f>SUM(CK24:CK33)</f>
        <v/>
      </c>
      <c r="CL34" s="1382">
        <f>SUM(CL24:CL33)</f>
        <v/>
      </c>
      <c r="CM34" s="1382">
        <f>SUM(CM24:CM33)</f>
        <v/>
      </c>
      <c r="CN34" s="1382">
        <f>SUM(CN24:CN33)</f>
        <v/>
      </c>
      <c r="CO34" s="1382">
        <f>SUM(CO24:CO33)</f>
        <v/>
      </c>
      <c r="CP34" s="1382">
        <f>SUM(CP24:CP33)</f>
        <v/>
      </c>
      <c r="CQ34" s="973" t="n"/>
      <c r="CT34" s="973" t="n"/>
      <c r="CU34" s="1380" t="inlineStr">
        <is>
          <t>Total</t>
        </is>
      </c>
      <c r="CV34" s="1382">
        <f>SUM(CV24:CV33)</f>
        <v/>
      </c>
      <c r="CW34" s="1382">
        <f>SUM(CW24:CW33)</f>
        <v/>
      </c>
      <c r="CX34" s="1382">
        <f>SUM(CX24:CX33)</f>
        <v/>
      </c>
      <c r="CY34" s="1382">
        <f>SUM(CY24:CY33)</f>
        <v/>
      </c>
      <c r="CZ34" s="1382">
        <f>SUM(CZ24:CZ33)</f>
        <v/>
      </c>
      <c r="DA34" s="1382">
        <f>SUM(DA24:DA33)</f>
        <v/>
      </c>
      <c r="DB34" s="973" t="n"/>
      <c r="DD34" s="973" t="n"/>
      <c r="DE34" s="973" t="n"/>
      <c r="DF34" s="1380" t="inlineStr">
        <is>
          <t>Total</t>
        </is>
      </c>
      <c r="DG34" s="1382">
        <f>SUM(DG24:DG33)</f>
        <v/>
      </c>
      <c r="DH34" s="1382">
        <f>SUM(DH24:DH33)</f>
        <v/>
      </c>
      <c r="DI34" s="1382">
        <f>SUM(DI24:DI33)</f>
        <v/>
      </c>
      <c r="DJ34" s="1382">
        <f>SUM(DJ24:DJ33)</f>
        <v/>
      </c>
      <c r="DK34" s="1382">
        <f>SUM(DK24:DK33)</f>
        <v/>
      </c>
      <c r="DL34" s="1381">
        <f>SUM(DL24:DL33)</f>
        <v/>
      </c>
    </row>
    <row r="35">
      <c r="S35" s="973" t="n"/>
      <c r="AQ35" s="973" t="n"/>
      <c r="AR35" s="973" t="n"/>
      <c r="AS35" s="973" t="n"/>
      <c r="AT35" s="973" t="n"/>
      <c r="AU35" s="973" t="n"/>
      <c r="AV35" s="973" t="n"/>
      <c r="AW35" s="973" t="n"/>
      <c r="AX35" s="973" t="n"/>
      <c r="AZ35" s="1384" t="inlineStr">
        <is>
          <t>Vine</t>
        </is>
      </c>
      <c r="BB35" s="973" t="n"/>
      <c r="BC35" s="973" t="n"/>
      <c r="BD35" s="973" t="n"/>
      <c r="BE35" s="973" t="n"/>
      <c r="BF35" s="973" t="n"/>
      <c r="BG35" s="973" t="n"/>
      <c r="BH35" s="973" t="n"/>
      <c r="BI35" s="973" t="n"/>
      <c r="BJ35" s="973" t="n"/>
      <c r="BK35" s="973" t="n"/>
      <c r="BL35" s="973" t="n"/>
      <c r="BM35" s="973" t="n"/>
      <c r="BN35" s="973" t="n"/>
      <c r="BO35" s="973" t="n"/>
      <c r="BP35" s="973" t="n"/>
      <c r="BQ35" s="973" t="n"/>
      <c r="BR35" s="973" t="n"/>
      <c r="BS35" s="973" t="n"/>
      <c r="BT35" s="973" t="n"/>
      <c r="BU35" s="973" t="n"/>
      <c r="BV35" s="973" t="n"/>
      <c r="BW35" s="973" t="n"/>
      <c r="BX35" s="973" t="n"/>
      <c r="BY35" s="973" t="n"/>
      <c r="BZ35" s="973" t="n"/>
      <c r="CA35" s="973" t="n"/>
      <c r="CB35" s="973" t="n"/>
      <c r="CC35" s="973" t="n"/>
      <c r="CD35" s="973" t="n"/>
      <c r="CE35" s="973" t="n"/>
      <c r="CF35" s="973" t="n"/>
      <c r="CG35" s="973" t="n"/>
      <c r="CH35" s="973" t="n"/>
      <c r="CI35" s="973" t="n"/>
      <c r="CJ35" s="973" t="n"/>
      <c r="CK35" s="973" t="n"/>
      <c r="CL35" s="973" t="n"/>
      <c r="CM35" s="973" t="n"/>
      <c r="CN35" s="973" t="n"/>
      <c r="CO35" s="973" t="n"/>
      <c r="CP35" s="973" t="n"/>
      <c r="CQ35" s="973" t="n"/>
      <c r="CR35" s="973" t="n"/>
      <c r="CS35" s="973" t="n"/>
      <c r="CT35" s="973" t="n"/>
      <c r="CU35" s="973" t="n"/>
      <c r="CV35" s="973" t="n"/>
      <c r="CW35" s="973" t="n"/>
      <c r="CX35" s="973" t="n"/>
      <c r="CY35" s="973" t="n"/>
      <c r="CZ35" s="973" t="n"/>
      <c r="DA35" s="973" t="n"/>
      <c r="DB35" s="973" t="n"/>
      <c r="DC35" s="973" t="n"/>
      <c r="DD35" s="973" t="n"/>
      <c r="DE35" s="973" t="n"/>
      <c r="DF35" s="973" t="n"/>
      <c r="DG35" s="973" t="n"/>
      <c r="DH35" s="973" t="n"/>
      <c r="DI35" s="973" t="n"/>
      <c r="DJ35" s="973" t="n"/>
      <c r="DK35" s="973" t="n"/>
      <c r="DL35" s="973" t="n"/>
      <c r="DN35" s="973" t="n"/>
    </row>
    <row r="37">
      <c r="AT37" s="1395" t="inlineStr">
        <is>
          <t>w/out</t>
        </is>
      </c>
      <c r="AU37" s="1396">
        <f>SUM(AS16:AX16)</f>
        <v/>
      </c>
    </row>
    <row r="38">
      <c r="O38" s="1397" t="n"/>
      <c r="AT38" s="1395" t="inlineStr">
        <is>
          <t>with</t>
        </is>
      </c>
      <c r="AU38" s="1396">
        <f>SUM(AS34:AX34)</f>
        <v/>
      </c>
      <c r="AV38" s="1387">
        <f>AU38-AU37</f>
        <v/>
      </c>
    </row>
    <row r="40" customFormat="1" s="1398"/>
    <row r="41" ht="25" customFormat="1" customHeight="1" s="1398">
      <c r="B41" s="1399" t="inlineStr">
        <is>
          <t>LAND USE CHANGE MATRIX - ORGANIC SOILS</t>
        </is>
      </c>
    </row>
    <row r="42" customFormat="1" s="1398"/>
    <row r="43">
      <c r="S43" s="973" t="n"/>
      <c r="T43" s="973" t="n"/>
      <c r="U43" s="1281" t="n"/>
      <c r="V43" s="973" t="n"/>
      <c r="W43" s="973" t="n"/>
      <c r="X43" s="973" t="n"/>
      <c r="Y43" s="973" t="n"/>
      <c r="Z43" s="973" t="n"/>
      <c r="AA43" s="973" t="n"/>
      <c r="AB43" s="973" t="n"/>
      <c r="AC43" s="973" t="n"/>
      <c r="AD43" s="973" t="n"/>
      <c r="AE43" s="973" t="n"/>
      <c r="AF43" s="973" t="n"/>
      <c r="AG43" s="973" t="n"/>
      <c r="AH43" s="973" t="n"/>
      <c r="AI43" s="973" t="n"/>
      <c r="AJ43" s="973" t="n"/>
      <c r="AK43" s="973" t="n"/>
      <c r="AL43" s="973" t="n"/>
      <c r="AM43" s="973" t="n"/>
      <c r="AN43" s="973" t="n"/>
      <c r="AO43" s="973" t="n"/>
      <c r="AP43" s="973" t="n"/>
      <c r="AQ43" s="973" t="n"/>
      <c r="AR43" s="973" t="n"/>
      <c r="AS43" s="973" t="n"/>
      <c r="AT43" s="973" t="n"/>
      <c r="AU43" s="973" t="n"/>
      <c r="AV43" s="973" t="n"/>
      <c r="AW43" s="973" t="n"/>
      <c r="AX43" s="973" t="n"/>
      <c r="AZ43" s="1325" t="inlineStr">
        <is>
          <t>Agroforestry systems</t>
        </is>
      </c>
      <c r="BB43" s="973" t="n"/>
      <c r="BC43" s="973" t="n"/>
      <c r="BD43" s="973" t="n"/>
      <c r="BE43" s="973" t="n"/>
      <c r="BF43" s="973" t="n"/>
      <c r="BG43" s="973" t="n"/>
      <c r="BH43" s="973" t="n"/>
      <c r="BI43" s="973" t="n"/>
      <c r="BJ43" s="973" t="n"/>
      <c r="BM43" s="973" t="n"/>
      <c r="BN43" s="973" t="n"/>
      <c r="BO43" s="973" t="n"/>
      <c r="BP43" s="973" t="n"/>
      <c r="BQ43" s="973" t="n"/>
      <c r="BR43" s="973" t="n"/>
      <c r="BS43" s="973" t="n"/>
      <c r="BT43" s="973" t="n"/>
      <c r="BU43" s="973" t="n"/>
      <c r="BX43" s="973" t="n"/>
      <c r="BY43" s="973" t="n"/>
      <c r="BZ43" s="973" t="n"/>
      <c r="CA43" s="973" t="n"/>
      <c r="CB43" s="973" t="n"/>
      <c r="CC43" s="973" t="n"/>
      <c r="CD43" s="973" t="n"/>
      <c r="CE43" s="973" t="n"/>
      <c r="CF43" s="973" t="n"/>
      <c r="CI43" s="973" t="n"/>
      <c r="CJ43" s="973" t="n"/>
      <c r="CK43" s="973" t="n"/>
      <c r="CL43" s="973" t="n"/>
      <c r="CM43" s="973" t="n"/>
      <c r="CN43" s="973" t="n"/>
      <c r="CO43" s="973" t="n"/>
      <c r="CP43" s="973" t="n"/>
      <c r="CQ43" s="973" t="n"/>
      <c r="CT43" s="973" t="n"/>
      <c r="CU43" s="973" t="n"/>
      <c r="CV43" s="973" t="n"/>
      <c r="CW43" s="973" t="n"/>
      <c r="CX43" s="973" t="n"/>
      <c r="CY43" s="973" t="n"/>
      <c r="CZ43" s="973" t="n"/>
      <c r="DA43" s="973" t="n"/>
      <c r="DB43" s="973" t="n"/>
      <c r="DC43" s="973" t="n"/>
      <c r="DD43" s="973" t="n"/>
      <c r="DE43" s="973" t="n"/>
      <c r="DF43" s="973" t="n"/>
      <c r="DG43" s="973" t="n"/>
      <c r="DH43" s="973" t="n"/>
      <c r="DI43" s="973" t="n"/>
      <c r="DJ43" s="973" t="n"/>
      <c r="DK43" s="973" t="n"/>
      <c r="DL43" s="973" t="n"/>
      <c r="DM43" s="973" t="n"/>
    </row>
    <row r="44">
      <c r="S44" s="973" t="n"/>
      <c r="T44" s="973" t="n"/>
      <c r="U44" s="973" t="n"/>
      <c r="V44" s="973" t="n"/>
      <c r="W44" s="973" t="n"/>
      <c r="X44" s="973" t="n"/>
      <c r="Y44" s="973" t="n"/>
      <c r="Z44" s="973" t="n"/>
      <c r="AA44" s="973" t="n"/>
      <c r="AB44" s="973" t="n"/>
      <c r="AC44" s="973" t="n"/>
      <c r="AD44" s="973" t="n"/>
      <c r="AE44" s="973" t="n"/>
      <c r="AF44" s="973" t="n"/>
      <c r="AG44" s="973" t="n"/>
      <c r="AH44" s="973" t="n"/>
      <c r="AI44" s="973" t="n"/>
      <c r="AJ44" s="973" t="n"/>
      <c r="AK44" s="973" t="n"/>
      <c r="AL44" s="973" t="n"/>
      <c r="AM44" s="973" t="n"/>
      <c r="AN44" s="973" t="n"/>
      <c r="AO44" s="973" t="n"/>
      <c r="AP44" s="973" t="n"/>
      <c r="AQ44" s="973" t="n"/>
      <c r="AR44" s="973" t="n"/>
      <c r="AS44" s="973" t="n"/>
      <c r="AT44" s="973" t="n"/>
      <c r="AU44" s="973" t="n"/>
      <c r="AV44" s="973" t="n"/>
      <c r="AW44" s="973" t="n"/>
      <c r="AX44" s="973" t="n"/>
      <c r="AZ44" s="1345" t="inlineStr">
        <is>
          <t>Alley cropping</t>
        </is>
      </c>
      <c r="BB44" s="973" t="n"/>
      <c r="BC44" s="973" t="n"/>
      <c r="BD44" s="973" t="n"/>
      <c r="BE44" s="973" t="n"/>
      <c r="BF44" s="973" t="n"/>
      <c r="BG44" s="973" t="n"/>
      <c r="BH44" s="973" t="n"/>
      <c r="BI44" s="973" t="n"/>
      <c r="BJ44" s="973" t="n"/>
      <c r="BM44" s="973" t="n"/>
      <c r="BN44" s="973" t="n"/>
      <c r="BO44" s="973" t="n"/>
      <c r="BP44" s="973" t="n"/>
      <c r="BQ44" s="973" t="n"/>
      <c r="BR44" s="973" t="n"/>
      <c r="BS44" s="973" t="n"/>
      <c r="BT44" s="973" t="n"/>
      <c r="BU44" s="973" t="n"/>
      <c r="BX44" s="973" t="n"/>
      <c r="BY44" s="973" t="n"/>
      <c r="BZ44" s="973" t="n"/>
      <c r="CA44" s="973" t="n"/>
      <c r="CB44" s="973" t="n"/>
      <c r="CC44" s="973" t="n"/>
      <c r="CD44" s="973" t="n"/>
      <c r="CE44" s="973" t="n"/>
      <c r="CF44" s="973" t="n"/>
      <c r="CI44" s="973" t="n"/>
      <c r="CJ44" s="973" t="n"/>
      <c r="CK44" s="973" t="n"/>
      <c r="CL44" s="973" t="n"/>
      <c r="CM44" s="973" t="n"/>
      <c r="CN44" s="973" t="n"/>
      <c r="CO44" s="973" t="n"/>
      <c r="CP44" s="973" t="n"/>
      <c r="CQ44" s="973" t="n"/>
      <c r="CT44" s="973" t="n"/>
      <c r="CU44" s="973" t="n"/>
      <c r="CV44" s="973" t="n"/>
      <c r="CW44" s="973" t="n"/>
      <c r="CX44" s="973" t="n"/>
      <c r="CY44" s="973" t="n"/>
      <c r="CZ44" s="973" t="n"/>
      <c r="DA44" s="973" t="n"/>
      <c r="DB44" s="973" t="n"/>
      <c r="DE44" s="973" t="n"/>
      <c r="DF44" s="973" t="n"/>
      <c r="DG44" s="973" t="n"/>
      <c r="DH44" s="973" t="n"/>
      <c r="DI44" s="973" t="n"/>
      <c r="DJ44" s="973" t="n"/>
      <c r="DK44" s="973" t="n"/>
      <c r="DL44" s="973" t="n"/>
      <c r="DM44" s="973" t="n"/>
    </row>
    <row r="45">
      <c r="AB45" s="973" t="n"/>
      <c r="AC45" s="973" t="n"/>
      <c r="AD45" s="973" t="n"/>
      <c r="AE45" s="973" t="n"/>
      <c r="AF45" s="973" t="n"/>
      <c r="AG45" s="973" t="n"/>
      <c r="AH45" s="973" t="n"/>
      <c r="AI45" s="973" t="n"/>
      <c r="AJ45" s="973" t="n"/>
      <c r="AK45" s="973" t="n"/>
      <c r="AL45" s="973" t="n"/>
      <c r="AM45" s="973" t="n"/>
      <c r="AN45" s="973" t="n"/>
      <c r="AO45" s="973" t="n"/>
      <c r="AP45" s="973" t="n"/>
      <c r="AQ45" s="973" t="n"/>
      <c r="AR45" s="973" t="n"/>
      <c r="AS45" s="973" t="n"/>
      <c r="AT45" s="973" t="n"/>
      <c r="AU45" s="973" t="n"/>
      <c r="AV45" s="973" t="n"/>
      <c r="AW45" s="973" t="n"/>
      <c r="AX45" s="973" t="n"/>
      <c r="AZ45" s="1345" t="inlineStr">
        <is>
          <t>Hedgerow</t>
        </is>
      </c>
      <c r="BB45" s="973" t="n"/>
      <c r="BC45" s="973" t="n"/>
      <c r="BD45" s="973" t="n"/>
      <c r="BE45" s="973" t="n"/>
      <c r="BF45" s="973" t="n"/>
      <c r="BG45" s="973" t="n"/>
      <c r="BH45" s="973" t="n"/>
      <c r="BI45" s="973" t="n"/>
      <c r="BJ45" s="973" t="n"/>
      <c r="BM45" s="973" t="n"/>
      <c r="BN45" s="973" t="n"/>
      <c r="BO45" s="973" t="n"/>
      <c r="BP45" s="973" t="n"/>
      <c r="BQ45" s="973" t="n"/>
      <c r="BR45" s="973" t="n"/>
      <c r="BS45" s="973" t="n"/>
      <c r="BT45" s="973" t="n"/>
      <c r="BU45" s="973" t="n"/>
      <c r="BX45" s="973" t="n"/>
      <c r="BY45" s="973" t="n"/>
      <c r="BZ45" s="973" t="n"/>
      <c r="CA45" s="973" t="n"/>
      <c r="CB45" s="973" t="n"/>
      <c r="CC45" s="973" t="n"/>
      <c r="CD45" s="973" t="n"/>
      <c r="CE45" s="973" t="n"/>
      <c r="CF45" s="973" t="n"/>
      <c r="CI45" s="973" t="n"/>
      <c r="CJ45" s="973" t="n"/>
      <c r="CK45" s="973" t="n"/>
      <c r="CL45" s="973" t="n"/>
      <c r="CM45" s="973" t="n"/>
      <c r="CN45" s="973" t="n"/>
      <c r="CO45" s="973" t="n"/>
      <c r="CP45" s="973" t="n"/>
      <c r="CQ45" s="973" t="n"/>
      <c r="CT45" s="973" t="n"/>
      <c r="CU45" s="973" t="n"/>
      <c r="CV45" s="973" t="n"/>
      <c r="CW45" s="973" t="n"/>
      <c r="CX45" s="973" t="n"/>
      <c r="CY45" s="973" t="n"/>
      <c r="CZ45" s="973" t="n"/>
      <c r="DA45" s="973" t="n"/>
      <c r="DB45" s="973" t="n"/>
      <c r="DE45" s="973" t="n"/>
      <c r="DF45" s="973" t="n"/>
      <c r="DG45" s="973" t="n"/>
      <c r="DH45" s="973" t="n"/>
      <c r="DI45" s="973" t="n"/>
      <c r="DJ45" s="973" t="n"/>
      <c r="DK45" s="973" t="n"/>
      <c r="DL45" s="973" t="n"/>
      <c r="DM45" s="973" t="n"/>
    </row>
    <row r="46" ht="21" customHeight="1">
      <c r="F46" s="1058" t="n"/>
      <c r="G46" s="1128" t="n"/>
      <c r="H46" s="1058" t="n"/>
      <c r="I46" s="1058" t="n"/>
      <c r="J46" s="1431" t="n"/>
      <c r="K46" s="1431" t="n"/>
      <c r="L46" s="1431" t="n"/>
      <c r="M46" s="1431" t="n"/>
      <c r="N46" s="1431" t="n"/>
      <c r="O46" s="1431" t="n"/>
      <c r="P46" s="1577" t="n"/>
      <c r="AB46" s="973" t="n"/>
      <c r="AC46" s="973" t="n"/>
      <c r="AD46" s="973" t="n"/>
      <c r="AE46" s="973" t="n"/>
      <c r="AF46" s="973" t="n"/>
      <c r="AG46" s="973" t="n"/>
      <c r="AH46" s="973" t="n"/>
      <c r="AI46" s="973" t="n"/>
      <c r="AJ46" s="973" t="n"/>
      <c r="AK46" s="973" t="n"/>
      <c r="AL46" s="973" t="n"/>
      <c r="AM46" s="973" t="n"/>
      <c r="AN46" s="973" t="n"/>
      <c r="AO46" s="973" t="n"/>
      <c r="AP46" s="973" t="n"/>
      <c r="AQ46" s="973" t="n"/>
      <c r="AR46" s="973" t="n"/>
      <c r="AS46" s="973" t="n"/>
      <c r="AT46" s="973" t="n"/>
      <c r="AU46" s="973" t="n"/>
      <c r="AV46" s="973" t="n"/>
      <c r="AW46" s="973" t="n"/>
      <c r="AX46" s="973" t="n"/>
      <c r="AZ46" s="1345" t="inlineStr">
        <is>
          <t>Multistrata</t>
        </is>
      </c>
      <c r="BB46" s="973" t="n"/>
      <c r="BC46" s="973" t="n"/>
      <c r="BD46" s="973" t="n"/>
      <c r="BE46" s="973" t="n"/>
      <c r="BF46" s="973" t="n"/>
      <c r="BG46" s="973" t="n"/>
      <c r="BH46" s="973" t="n"/>
      <c r="BI46" s="973" t="n"/>
      <c r="BJ46" s="973" t="n"/>
      <c r="BM46" s="973" t="n"/>
      <c r="BN46" s="973" t="n"/>
      <c r="BO46" s="973" t="n"/>
      <c r="BP46" s="973" t="n"/>
      <c r="BQ46" s="973" t="n"/>
      <c r="BR46" s="973" t="n"/>
      <c r="BS46" s="973" t="n"/>
      <c r="BT46" s="973" t="n"/>
      <c r="BU46" s="973" t="n"/>
      <c r="BX46" s="973" t="n"/>
      <c r="BY46" s="973" t="n"/>
      <c r="BZ46" s="973" t="n"/>
      <c r="CA46" s="973" t="n"/>
      <c r="CB46" s="973" t="n"/>
      <c r="CC46" s="973" t="n"/>
      <c r="CD46" s="973" t="n"/>
      <c r="CE46" s="973" t="n"/>
      <c r="CF46" s="973" t="n"/>
      <c r="CI46" s="973" t="n"/>
      <c r="CJ46" s="973" t="n"/>
      <c r="CK46" s="973" t="n"/>
      <c r="CL46" s="973" t="n"/>
      <c r="CM46" s="973" t="n"/>
      <c r="CN46" s="973" t="n"/>
      <c r="CO46" s="973" t="n"/>
      <c r="CP46" s="973" t="n"/>
      <c r="CQ46" s="973" t="n"/>
      <c r="CT46" s="973" t="n"/>
      <c r="CU46" s="973" t="n"/>
      <c r="CV46" s="973" t="n"/>
      <c r="CW46" s="973" t="n"/>
      <c r="CX46" s="973" t="n"/>
      <c r="CY46" s="973" t="n"/>
      <c r="CZ46" s="973" t="n"/>
      <c r="DA46" s="973" t="n"/>
      <c r="DB46" s="973" t="n"/>
      <c r="DE46" s="973" t="n"/>
      <c r="DF46" s="973" t="n"/>
      <c r="DG46" s="973" t="n"/>
      <c r="DH46" s="973" t="n"/>
      <c r="DI46" s="973" t="n"/>
      <c r="DJ46" s="973" t="n"/>
      <c r="DK46" s="973" t="n"/>
      <c r="DL46" s="973" t="n"/>
      <c r="DM46" s="973" t="n"/>
    </row>
    <row r="47" ht="18.75" customHeight="1">
      <c r="F47" s="1326" t="n"/>
      <c r="G47" s="1331" t="n"/>
      <c r="H47" s="1331" t="n"/>
      <c r="I47" s="1331" t="n"/>
      <c r="J47" s="1331" t="n"/>
      <c r="K47" s="1331" t="n"/>
      <c r="L47" s="1331" t="n"/>
      <c r="M47" s="1331" t="n"/>
      <c r="N47" s="1331" t="n"/>
      <c r="O47" s="1331" t="n"/>
      <c r="P47" s="1327" t="n"/>
      <c r="R47" s="973" t="n"/>
      <c r="S47" s="973" t="n"/>
      <c r="AB47" s="973" t="n"/>
      <c r="AC47" s="973" t="n"/>
      <c r="AD47" s="973" t="n"/>
      <c r="AE47" s="973" t="n"/>
      <c r="AN47" s="973" t="n"/>
      <c r="AO47" s="973" t="n"/>
      <c r="AP47" s="973" t="n"/>
      <c r="AQ47" s="973" t="n"/>
      <c r="AR47" s="1281" t="inlineStr">
        <is>
          <t>WITHOUT - Annual to non forest land use</t>
        </is>
      </c>
      <c r="AS47" s="1281" t="n"/>
      <c r="AT47" s="1281" t="n"/>
      <c r="AU47" s="1281" t="n"/>
      <c r="AV47" s="1281" t="n"/>
      <c r="AW47" s="1281" t="n"/>
      <c r="AX47" s="1281" t="n"/>
      <c r="AZ47" s="1345" t="inlineStr">
        <is>
          <t>Oil palm</t>
        </is>
      </c>
      <c r="BB47" s="973" t="n"/>
      <c r="BC47" s="1281" t="inlineStr">
        <is>
          <t>WITHOUT -Agroforestry to non forest land use</t>
        </is>
      </c>
      <c r="BD47" s="973" t="n"/>
      <c r="BE47" s="973" t="n"/>
      <c r="BF47" s="973" t="n"/>
      <c r="BG47" s="973" t="n"/>
      <c r="BH47" s="973" t="n"/>
      <c r="BI47" s="973" t="n"/>
      <c r="BJ47" s="973" t="n"/>
      <c r="BM47" s="973" t="n"/>
      <c r="BN47" s="1281" t="inlineStr">
        <is>
          <t>WITHOUT - Flooded rice to non forest land use</t>
        </is>
      </c>
      <c r="BO47" s="973" t="n"/>
      <c r="BP47" s="973" t="n"/>
      <c r="BQ47" s="973" t="n"/>
      <c r="BR47" s="973" t="n"/>
      <c r="BS47" s="973" t="n"/>
      <c r="BT47" s="973" t="n"/>
      <c r="BU47" s="973" t="n"/>
      <c r="BX47" s="973" t="n"/>
      <c r="BY47" s="1281" t="inlineStr">
        <is>
          <t>WITHOUT - Annual fallow to non forest land use</t>
        </is>
      </c>
      <c r="BZ47" s="973" t="n"/>
      <c r="CA47" s="973" t="n"/>
      <c r="CB47" s="973" t="n"/>
      <c r="CC47" s="973" t="n"/>
      <c r="CD47" s="973" t="n"/>
      <c r="CE47" s="973" t="n"/>
      <c r="CF47" s="973" t="n"/>
      <c r="CI47" s="973" t="n"/>
      <c r="CJ47" s="1281" t="inlineStr">
        <is>
          <t>WITHOUT - grassland to non forest land use</t>
        </is>
      </c>
      <c r="CK47" s="973" t="n"/>
      <c r="CL47" s="973" t="n"/>
      <c r="CM47" s="973" t="n"/>
      <c r="CN47" s="973" t="n"/>
      <c r="CO47" s="973" t="n"/>
      <c r="CP47" s="973" t="n"/>
      <c r="CQ47" s="973" t="n"/>
      <c r="CT47" s="973" t="n"/>
      <c r="CU47" s="1281" t="inlineStr">
        <is>
          <t>WITHOUT - Degraded land to non forest land use</t>
        </is>
      </c>
      <c r="CV47" s="973" t="n"/>
      <c r="CW47" s="973" t="n"/>
      <c r="CX47" s="973" t="n"/>
      <c r="CY47" s="973" t="n"/>
      <c r="CZ47" s="973" t="n"/>
      <c r="DA47" s="973" t="n"/>
      <c r="DB47" s="973" t="n"/>
      <c r="DE47" s="973" t="n"/>
      <c r="DF47" s="1281" t="inlineStr">
        <is>
          <t>WITHOUT - Other land to non forest land use</t>
        </is>
      </c>
      <c r="DG47" s="973" t="n"/>
      <c r="DH47" s="973" t="n"/>
      <c r="DI47" s="973" t="n"/>
      <c r="DJ47" s="973" t="n"/>
      <c r="DK47" s="973" t="n"/>
      <c r="DL47" s="973" t="n"/>
      <c r="DM47" s="973" t="n"/>
    </row>
    <row r="48" ht="21" customHeight="1">
      <c r="F48" s="1332" t="n"/>
      <c r="G48" s="1333" t="n"/>
      <c r="H48" s="1434" t="n"/>
      <c r="I48" s="1437" t="inlineStr">
        <is>
          <t>FINAL LAND USES ON ORGANIC SOILS - WITHOUT PROJECT</t>
        </is>
      </c>
      <c r="J48" s="1435" t="n"/>
      <c r="K48" s="1435" t="n"/>
      <c r="L48" s="1435" t="n"/>
      <c r="M48" s="1435" t="n"/>
      <c r="N48" s="1435" t="n"/>
      <c r="O48" s="1435" t="n"/>
      <c r="P48" s="1394" t="n"/>
      <c r="R48" s="973" t="n"/>
      <c r="S48" s="973" t="n"/>
      <c r="T48" s="1400" t="n"/>
      <c r="U48" s="1401" t="n"/>
      <c r="V48" s="1402" t="inlineStr">
        <is>
          <t>!!!!! END WITHOUT PROJECT !!!!!</t>
        </is>
      </c>
      <c r="W48" s="1403" t="n"/>
      <c r="X48" s="1401" t="n"/>
      <c r="Y48" s="1401" t="n"/>
      <c r="Z48" s="1401" t="n"/>
      <c r="AA48" s="1404" t="n"/>
      <c r="AE48" s="973" t="n"/>
      <c r="AF48" s="1400" t="n"/>
      <c r="AG48" s="1401" t="n"/>
      <c r="AH48" s="1402" t="inlineStr">
        <is>
          <t>!!!!! START WITHOUT PROJECT !!!!!</t>
        </is>
      </c>
      <c r="AI48" s="1403" t="n"/>
      <c r="AJ48" s="1401" t="n"/>
      <c r="AK48" s="1401" t="n"/>
      <c r="AL48" s="1401" t="n"/>
      <c r="AM48" s="1404" t="n"/>
      <c r="AN48" s="973" t="n"/>
      <c r="AQ48" s="973" t="n"/>
      <c r="AR48" s="1326" t="n"/>
      <c r="AS48" s="1328" t="inlineStr">
        <is>
          <t>END WITHOUT  PROJECT</t>
        </is>
      </c>
      <c r="AT48" s="1329" t="n"/>
      <c r="AU48" s="1330" t="n"/>
      <c r="AV48" s="1331" t="n"/>
      <c r="AW48" s="1331" t="n"/>
      <c r="AX48" s="1327" t="n"/>
      <c r="AZ48" s="1345" t="inlineStr">
        <is>
          <t>Olive</t>
        </is>
      </c>
      <c r="BB48" s="973" t="n"/>
      <c r="BC48" s="1326" t="n"/>
      <c r="BD48" s="1328" t="inlineStr">
        <is>
          <t>END WITHOUT  PROJECT</t>
        </is>
      </c>
      <c r="BE48" s="1329" t="n"/>
      <c r="BF48" s="1330" t="n"/>
      <c r="BG48" s="1331" t="n"/>
      <c r="BH48" s="1331" t="n"/>
      <c r="BI48" s="1327" t="n"/>
      <c r="BJ48" s="973" t="n"/>
      <c r="BM48" s="973" t="n"/>
      <c r="BN48" s="1326" t="n"/>
      <c r="BO48" s="1328" t="inlineStr">
        <is>
          <t>END WITHOUT  PROJECT</t>
        </is>
      </c>
      <c r="BP48" s="1329" t="n"/>
      <c r="BQ48" s="1330" t="n"/>
      <c r="BR48" s="1331" t="n"/>
      <c r="BS48" s="1331" t="n"/>
      <c r="BT48" s="1327" t="n"/>
      <c r="BU48" s="973" t="n"/>
      <c r="BX48" s="973" t="n"/>
      <c r="BY48" s="1326" t="n"/>
      <c r="BZ48" s="1328" t="inlineStr">
        <is>
          <t>END WITHOUT  PROJECT</t>
        </is>
      </c>
      <c r="CA48" s="1329" t="n"/>
      <c r="CB48" s="1330" t="n"/>
      <c r="CC48" s="1331" t="n"/>
      <c r="CD48" s="1331" t="n"/>
      <c r="CE48" s="1327" t="n"/>
      <c r="CF48" s="973" t="n"/>
      <c r="CI48" s="973" t="n"/>
      <c r="CJ48" s="1326" t="n"/>
      <c r="CK48" s="1328" t="inlineStr">
        <is>
          <t>END WITHOUT  PROJECT</t>
        </is>
      </c>
      <c r="CL48" s="1329" t="n"/>
      <c r="CM48" s="1330" t="n"/>
      <c r="CN48" s="1331" t="n"/>
      <c r="CO48" s="1331" t="n"/>
      <c r="CP48" s="1327" t="n"/>
      <c r="CQ48" s="973" t="n"/>
      <c r="CT48" s="973" t="n"/>
      <c r="CU48" s="1326" t="n"/>
      <c r="CV48" s="1328" t="inlineStr">
        <is>
          <t>END WITHOUT  PROJECT</t>
        </is>
      </c>
      <c r="CW48" s="1329" t="n"/>
      <c r="CX48" s="1330" t="n"/>
      <c r="CY48" s="1331" t="n"/>
      <c r="CZ48" s="1331" t="n"/>
      <c r="DA48" s="1327" t="n"/>
      <c r="DB48" s="973" t="n"/>
      <c r="DE48" s="973" t="n"/>
      <c r="DF48" s="1326" t="n"/>
      <c r="DG48" s="1328" t="inlineStr">
        <is>
          <t>END WITHOUT  PROJECT</t>
        </is>
      </c>
      <c r="DH48" s="1329" t="n"/>
      <c r="DI48" s="1330" t="n"/>
      <c r="DJ48" s="1331" t="n"/>
      <c r="DK48" s="1331" t="n"/>
      <c r="DL48" s="1327" t="n"/>
      <c r="DM48" s="973" t="n"/>
    </row>
    <row r="49" ht="16" customHeight="1">
      <c r="F49" s="1351" t="n"/>
      <c r="G49" s="1352" t="inlineStr">
        <is>
          <t>IPCC class</t>
        </is>
      </c>
      <c r="H49" s="1432" t="inlineStr">
        <is>
          <t>EX-ACT class</t>
        </is>
      </c>
      <c r="I49" s="1374" t="inlineStr">
        <is>
          <t>Primary (Natural)/Planted</t>
        </is>
      </c>
      <c r="J49" s="1374" t="inlineStr">
        <is>
          <t>Annual</t>
        </is>
      </c>
      <c r="K49" s="1374" t="inlineStr">
        <is>
          <t>Perennial</t>
        </is>
      </c>
      <c r="L49" s="1374" t="inlineStr">
        <is>
          <t>Flooded rice</t>
        </is>
      </c>
      <c r="M49" s="1374">
        <f>H54</f>
        <v/>
      </c>
      <c r="N49" s="1374" t="inlineStr">
        <is>
          <t>Degraded land</t>
        </is>
      </c>
      <c r="O49" s="1374" t="inlineStr">
        <is>
          <t>Other land (non-vegetated)</t>
        </is>
      </c>
      <c r="P49" s="1433" t="inlineStr">
        <is>
          <t>Total initial area (ha)</t>
        </is>
      </c>
      <c r="S49" s="1576" t="n"/>
      <c r="T49" s="1334" t="inlineStr">
        <is>
          <t>Area (ha)</t>
        </is>
      </c>
      <c r="U49" s="1408" t="inlineStr">
        <is>
          <t>Deforestation: FL converted to non-FL ( without project scenario)</t>
        </is>
      </c>
      <c r="V49" s="1409" t="n"/>
      <c r="W49" s="1410" t="n"/>
      <c r="X49" s="1410" t="n"/>
      <c r="Y49" s="1410" t="n"/>
      <c r="Z49" s="1410" t="n"/>
      <c r="AA49" s="1411" t="n"/>
      <c r="AE49" s="1168" t="n"/>
      <c r="AF49" s="1412" t="inlineStr">
        <is>
          <t>Area (ha)</t>
        </is>
      </c>
      <c r="AG49" s="1405" t="inlineStr">
        <is>
          <t>Afforestation:  non-FL converted to FL ( without project scenario)</t>
        </is>
      </c>
      <c r="AH49" s="1406" t="n"/>
      <c r="AI49" s="1407" t="n"/>
      <c r="AJ49" s="1407" t="n"/>
      <c r="AK49" s="1407" t="n"/>
      <c r="AL49" s="1407" t="n"/>
      <c r="AM49" s="1413" t="n"/>
      <c r="AN49" s="973" t="n"/>
      <c r="AQ49" s="973" t="n"/>
      <c r="AR49" s="1335" t="inlineStr">
        <is>
          <t>Area (ha)</t>
        </is>
      </c>
      <c r="AS49" s="1336" t="n"/>
      <c r="AT49" s="1337" t="n"/>
      <c r="AU49" s="1338" t="n"/>
      <c r="AV49" s="1338" t="n"/>
      <c r="AW49" s="1338" t="n"/>
      <c r="AX49" s="1339" t="n"/>
      <c r="AZ49" s="1345" t="inlineStr">
        <is>
          <t>Orchard</t>
        </is>
      </c>
      <c r="BB49" s="973" t="n"/>
      <c r="BC49" s="1335" t="inlineStr">
        <is>
          <t>Area (ha)</t>
        </is>
      </c>
      <c r="BD49" s="1336" t="n"/>
      <c r="BE49" s="1337" t="n"/>
      <c r="BF49" s="1338" t="n"/>
      <c r="BG49" s="1338" t="n"/>
      <c r="BH49" s="1338" t="n"/>
      <c r="BI49" s="1339" t="n"/>
      <c r="BJ49" s="973" t="n"/>
      <c r="BM49" s="973" t="n"/>
      <c r="BN49" s="1335" t="inlineStr">
        <is>
          <t>Area (ha)</t>
        </is>
      </c>
      <c r="BO49" s="1336" t="n"/>
      <c r="BP49" s="1337" t="n"/>
      <c r="BQ49" s="1338" t="n"/>
      <c r="BR49" s="1338" t="n"/>
      <c r="BS49" s="1338" t="n"/>
      <c r="BT49" s="1339" t="n"/>
      <c r="BU49" s="973" t="n"/>
      <c r="BX49" s="973" t="n"/>
      <c r="BY49" s="1335" t="inlineStr">
        <is>
          <t>Area (ha)</t>
        </is>
      </c>
      <c r="BZ49" s="1336" t="n"/>
      <c r="CA49" s="1337" t="n"/>
      <c r="CB49" s="1338" t="n"/>
      <c r="CC49" s="1338" t="n"/>
      <c r="CD49" s="1338" t="n"/>
      <c r="CE49" s="1339" t="n"/>
      <c r="CF49" s="973" t="n"/>
      <c r="CI49" s="973" t="n"/>
      <c r="CJ49" s="1335" t="inlineStr">
        <is>
          <t>Area (ha)</t>
        </is>
      </c>
      <c r="CK49" s="1336" t="n"/>
      <c r="CL49" s="1337" t="n"/>
      <c r="CM49" s="1338" t="n"/>
      <c r="CN49" s="1338" t="n"/>
      <c r="CO49" s="1338" t="n"/>
      <c r="CP49" s="1339" t="n"/>
      <c r="CQ49" s="973" t="n"/>
      <c r="CT49" s="973" t="n"/>
      <c r="CU49" s="1335" t="inlineStr">
        <is>
          <t>Area (ha)</t>
        </is>
      </c>
      <c r="CV49" s="1336" t="n"/>
      <c r="CW49" s="1337" t="n"/>
      <c r="CX49" s="1338" t="n"/>
      <c r="CY49" s="1338" t="n"/>
      <c r="CZ49" s="1338" t="n"/>
      <c r="DA49" s="1339" t="n"/>
      <c r="DB49" s="973" t="n"/>
      <c r="DE49" s="973" t="n"/>
      <c r="DF49" s="1335" t="inlineStr">
        <is>
          <t>Area (ha)</t>
        </is>
      </c>
      <c r="DG49" s="1336" t="n"/>
      <c r="DH49" s="1337" t="n"/>
      <c r="DI49" s="1338" t="n"/>
      <c r="DJ49" s="1338" t="n"/>
      <c r="DK49" s="1338" t="n"/>
      <c r="DL49" s="1339" t="n"/>
      <c r="DM49" s="973" t="n"/>
    </row>
    <row r="50" ht="15" customHeight="1">
      <c r="F50" s="1362" t="n"/>
      <c r="G50" s="1363" t="inlineStr">
        <is>
          <t>Forest land</t>
        </is>
      </c>
      <c r="H50" s="1364" t="inlineStr">
        <is>
          <t>Primary (Natural)/Planted</t>
        </is>
      </c>
      <c r="I50" s="2851">
        <f>SUM('Inl. wetlands'!$N36:$N41)-SUM('Inl. wetlands'!$S36:$S41)+SUM('Inl. wetlands'!$L339:$L344)+Coastal!$AA$15+Coastal!$AA$74</f>
        <v/>
      </c>
      <c r="J50" s="3142">
        <f>V57</f>
        <v/>
      </c>
      <c r="K50" s="3142">
        <f>U57</f>
        <v/>
      </c>
      <c r="L50" s="3142">
        <f>Y57</f>
        <v/>
      </c>
      <c r="M50" s="3142">
        <f>Z57</f>
        <v/>
      </c>
      <c r="N50" s="3142">
        <f>X57</f>
        <v/>
      </c>
      <c r="O50" s="3142">
        <f>AA57+W57</f>
        <v/>
      </c>
      <c r="P50" s="3143">
        <f>SUM(I50:O50)</f>
        <v/>
      </c>
      <c r="S50" s="1576" t="n"/>
      <c r="T50" s="1340" t="inlineStr">
        <is>
          <t>w/out  project</t>
        </is>
      </c>
      <c r="U50" s="1290" t="inlineStr">
        <is>
          <t>Agroforestry</t>
        </is>
      </c>
      <c r="V50" s="1290" t="inlineStr">
        <is>
          <t>Annual cropland</t>
        </is>
      </c>
      <c r="W50" s="1290" t="inlineStr">
        <is>
          <t>Annual fallow</t>
        </is>
      </c>
      <c r="X50" s="1290" t="inlineStr">
        <is>
          <t>Degraded land</t>
        </is>
      </c>
      <c r="Y50" s="1290" t="inlineStr">
        <is>
          <t>Flooded rice</t>
        </is>
      </c>
      <c r="Z50" s="1290" t="inlineStr">
        <is>
          <t>Grassland</t>
        </is>
      </c>
      <c r="AA50" s="1430" t="inlineStr">
        <is>
          <t>Other land (non-vegetated)</t>
        </is>
      </c>
      <c r="AE50" s="1168" t="n"/>
      <c r="AF50" s="1340" t="inlineStr">
        <is>
          <t>w/out  project</t>
        </is>
      </c>
      <c r="AG50" s="1760" t="inlineStr">
        <is>
          <t>Agroforestry</t>
        </is>
      </c>
      <c r="AH50" s="1752" t="inlineStr">
        <is>
          <t>Annual cropland</t>
        </is>
      </c>
      <c r="AI50" s="1752" t="inlineStr">
        <is>
          <t>Annual fallow</t>
        </is>
      </c>
      <c r="AJ50" s="1752" t="inlineStr">
        <is>
          <t>Degraded land</t>
        </is>
      </c>
      <c r="AK50" s="1752" t="inlineStr">
        <is>
          <t>Flooded rice</t>
        </is>
      </c>
      <c r="AL50" s="1752" t="inlineStr">
        <is>
          <t>Grassland</t>
        </is>
      </c>
      <c r="AM50" s="1753" t="inlineStr">
        <is>
          <t>Other land (non-vegetated)</t>
        </is>
      </c>
      <c r="AN50" s="973" t="n"/>
      <c r="AQ50" s="973" t="n"/>
      <c r="AR50" s="1342" t="inlineStr">
        <is>
          <t>w/out  project</t>
        </is>
      </c>
      <c r="AS50" s="1343" t="inlineStr">
        <is>
          <t>Annual fallow</t>
        </is>
      </c>
      <c r="AT50" s="1344" t="inlineStr">
        <is>
          <t>Degraded land</t>
        </is>
      </c>
      <c r="AU50" s="1344" t="inlineStr">
        <is>
          <t>Flooded rice</t>
        </is>
      </c>
      <c r="AV50" s="1344" t="inlineStr">
        <is>
          <t>Grassland</t>
        </is>
      </c>
      <c r="AW50" s="1344" t="inlineStr">
        <is>
          <t>Other land (non-vegetated)</t>
        </is>
      </c>
      <c r="AX50" s="1341" t="inlineStr">
        <is>
          <t>Agroforestry</t>
        </is>
      </c>
      <c r="AZ50" s="1345" t="inlineStr">
        <is>
          <t>Parkland</t>
        </is>
      </c>
      <c r="BB50" s="973" t="n"/>
      <c r="BC50" s="1342" t="inlineStr">
        <is>
          <t>w/out  project</t>
        </is>
      </c>
      <c r="BD50" s="1354" t="inlineStr">
        <is>
          <t>Annual cropland</t>
        </is>
      </c>
      <c r="BE50" s="1347" t="inlineStr">
        <is>
          <t>Annual fallow</t>
        </is>
      </c>
      <c r="BF50" s="1347" t="inlineStr">
        <is>
          <t>Degraded land</t>
        </is>
      </c>
      <c r="BG50" s="1347" t="inlineStr">
        <is>
          <t>Flooded rice</t>
        </is>
      </c>
      <c r="BH50" s="1347" t="inlineStr">
        <is>
          <t>Grassland</t>
        </is>
      </c>
      <c r="BI50" s="1348" t="inlineStr">
        <is>
          <t>Other land (non-vegetated)</t>
        </is>
      </c>
      <c r="BJ50" s="973" t="n"/>
      <c r="BM50" s="973" t="n"/>
      <c r="BN50" s="1349" t="inlineStr">
        <is>
          <t>w/out  project</t>
        </is>
      </c>
      <c r="BO50" s="1354" t="inlineStr">
        <is>
          <t>Annual cropland</t>
        </is>
      </c>
      <c r="BP50" s="1347" t="inlineStr">
        <is>
          <t>Annual fallow</t>
        </is>
      </c>
      <c r="BQ50" s="1347" t="inlineStr">
        <is>
          <t>Degraded land</t>
        </is>
      </c>
      <c r="BR50" s="1347" t="inlineStr">
        <is>
          <t>Agroforestry</t>
        </is>
      </c>
      <c r="BS50" s="1347" t="inlineStr">
        <is>
          <t>Grassland</t>
        </is>
      </c>
      <c r="BT50" s="1341" t="inlineStr">
        <is>
          <t>Other land (non-vegetated)</t>
        </is>
      </c>
      <c r="BU50" s="973" t="n"/>
      <c r="BX50" s="973" t="n"/>
      <c r="BY50" s="1349" t="inlineStr">
        <is>
          <t>w/out  project</t>
        </is>
      </c>
      <c r="BZ50" s="1354" t="inlineStr">
        <is>
          <t>Annual cropland</t>
        </is>
      </c>
      <c r="CA50" s="1347" t="inlineStr">
        <is>
          <t>Flooded rice</t>
        </is>
      </c>
      <c r="CB50" s="1347" t="inlineStr">
        <is>
          <t>Degraded land</t>
        </is>
      </c>
      <c r="CC50" s="1347" t="inlineStr">
        <is>
          <t>Agroforestry</t>
        </is>
      </c>
      <c r="CD50" s="1347" t="inlineStr">
        <is>
          <t>Grassland</t>
        </is>
      </c>
      <c r="CE50" s="1347" t="inlineStr">
        <is>
          <t>Other land (non-vegetated)</t>
        </is>
      </c>
      <c r="CF50" s="973" t="n"/>
      <c r="CI50" s="973" t="n"/>
      <c r="CJ50" s="1349" t="inlineStr">
        <is>
          <t>w/out  project</t>
        </is>
      </c>
      <c r="CK50" s="1354" t="inlineStr">
        <is>
          <t>Annual cropland</t>
        </is>
      </c>
      <c r="CL50" s="1347" t="inlineStr">
        <is>
          <t>Flooded rice</t>
        </is>
      </c>
      <c r="CM50" s="1347" t="inlineStr">
        <is>
          <t>Degraded land</t>
        </is>
      </c>
      <c r="CN50" s="1347" t="inlineStr">
        <is>
          <t>Agroforestry</t>
        </is>
      </c>
      <c r="CO50" s="1347" t="inlineStr">
        <is>
          <t>Annual fallow</t>
        </is>
      </c>
      <c r="CP50" s="1347" t="inlineStr">
        <is>
          <t>Other land (non-vegetated)</t>
        </is>
      </c>
      <c r="CQ50" s="973" t="n"/>
      <c r="CT50" s="973" t="n"/>
      <c r="CU50" s="1349" t="inlineStr">
        <is>
          <t>w/out  project</t>
        </is>
      </c>
      <c r="CV50" s="1354" t="inlineStr">
        <is>
          <t>Annual cropland</t>
        </is>
      </c>
      <c r="CW50" s="1347" t="inlineStr">
        <is>
          <t>Flooded rice</t>
        </is>
      </c>
      <c r="CX50" s="1347" t="inlineStr">
        <is>
          <t>Grassland</t>
        </is>
      </c>
      <c r="CY50" s="1347" t="inlineStr">
        <is>
          <t>Agroforestry</t>
        </is>
      </c>
      <c r="CZ50" s="1347" t="inlineStr">
        <is>
          <t>Annual fallow</t>
        </is>
      </c>
      <c r="DA50" s="1347" t="inlineStr">
        <is>
          <t>Other land (non-vegetated)</t>
        </is>
      </c>
      <c r="DB50" s="973" t="n"/>
      <c r="DE50" s="973" t="n"/>
      <c r="DF50" s="1349" t="inlineStr">
        <is>
          <t>w/out  project</t>
        </is>
      </c>
      <c r="DG50" s="1354" t="inlineStr">
        <is>
          <t>Annual cropland</t>
        </is>
      </c>
      <c r="DH50" s="1347" t="inlineStr">
        <is>
          <t>Flooded rice</t>
        </is>
      </c>
      <c r="DI50" s="1347" t="inlineStr">
        <is>
          <t>Grassland</t>
        </is>
      </c>
      <c r="DJ50" s="1347" t="inlineStr">
        <is>
          <t>Agroforestry</t>
        </is>
      </c>
      <c r="DK50" s="1347" t="inlineStr">
        <is>
          <t>Annual fallow</t>
        </is>
      </c>
      <c r="DL50" s="1350" t="inlineStr">
        <is>
          <t>Degraded land</t>
        </is>
      </c>
      <c r="DM50" s="973" t="n"/>
    </row>
    <row r="51" ht="18" customHeight="1">
      <c r="B51" s="1439" t="inlineStr">
        <is>
          <t>Deforestation</t>
        </is>
      </c>
      <c r="C51" s="1440" t="n"/>
      <c r="F51" s="1354" t="n"/>
      <c r="G51" s="1366" t="inlineStr">
        <is>
          <t>Cropland</t>
        </is>
      </c>
      <c r="H51" s="1351" t="inlineStr">
        <is>
          <t>Annual*</t>
        </is>
      </c>
      <c r="I51" s="3144">
        <f>AH57</f>
        <v/>
      </c>
      <c r="J51" s="2851">
        <f>SUMIF('Inl. wetlands'!$C413:$C418,$J$49,'Inl. wetlands'!$F413:$F418)+MAX(SUM(K51:O51,I51),SUM(K67:O67,I67))-SUM(K51:O51,I51)</f>
        <v/>
      </c>
      <c r="K51" s="3143">
        <f>AX57</f>
        <v/>
      </c>
      <c r="L51" s="3143">
        <f>AU57</f>
        <v/>
      </c>
      <c r="M51" s="3143">
        <f>AV57</f>
        <v/>
      </c>
      <c r="N51" s="3143">
        <f>AT57</f>
        <v/>
      </c>
      <c r="O51" s="3143">
        <f>AW57+$AS$57</f>
        <v/>
      </c>
      <c r="P51" s="3143">
        <f>SUM(I51:O51)</f>
        <v/>
      </c>
      <c r="S51" s="1576" t="n"/>
      <c r="T51" s="1414" t="n"/>
      <c r="U51" s="1415">
        <f>IF('6.Inland wetlands'!$I13 = $U$50, 1,0)* 'Inl. wetlands'!$S36</f>
        <v/>
      </c>
      <c r="V51" s="1416">
        <f>IF('6.Inland wetlands'!$I13 = $V$50, 1,0)* 'Inl. wetlands'!$S36</f>
        <v/>
      </c>
      <c r="W51" s="1416">
        <f>IF('6.Inland wetlands'!$I13 = $W$50, 1,0)* 'Inl. wetlands'!$S36</f>
        <v/>
      </c>
      <c r="X51" s="1416">
        <f>IF('6.Inland wetlands'!$I13 = $X$50, 1,0)* 'Inl. wetlands'!$S36</f>
        <v/>
      </c>
      <c r="Y51" s="1416">
        <f>IF('6.Inland wetlands'!$I13 = $Y$50, 1,0)* 'Inl. wetlands'!$S36</f>
        <v/>
      </c>
      <c r="Z51" s="1416">
        <f>IF('6.Inland wetlands'!$I13 = $Z$50, 1,0)* 'Inl. wetlands'!$S36</f>
        <v/>
      </c>
      <c r="AA51" s="1417">
        <f>IF('6.Inland wetlands'!$I13 = $AA$50, 1,0)* 'Inl. wetlands'!$S36</f>
        <v/>
      </c>
      <c r="AE51" s="1418" t="n"/>
      <c r="AF51" s="1414" t="n"/>
      <c r="AG51" s="1415">
        <f>IF(AG$50='6.Inland wetlands'!$I46, '6.Inland wetlands'!$N46,0)</f>
        <v/>
      </c>
      <c r="AH51" s="1416">
        <f>IF(AH$50='6.Inland wetlands'!$I46, '6.Inland wetlands'!$N46,0)</f>
        <v/>
      </c>
      <c r="AI51" s="1416">
        <f>IF(AI$50='6.Inland wetlands'!$I46, '6.Inland wetlands'!$N46,0)</f>
        <v/>
      </c>
      <c r="AJ51" s="1416">
        <f>IF(AJ$50='6.Inland wetlands'!$I46, '6.Inland wetlands'!$N46,0)</f>
        <v/>
      </c>
      <c r="AK51" s="1416">
        <f>IF(AK$50='6.Inland wetlands'!$I46, '6.Inland wetlands'!$N46,0)</f>
        <v/>
      </c>
      <c r="AL51" s="1416">
        <f>IF(AL$50='6.Inland wetlands'!$I46, '6.Inland wetlands'!$N46,0)</f>
        <v/>
      </c>
      <c r="AM51" s="1417">
        <f>IF(AM$50='6.Inland wetlands'!$I46, '6.Inland wetlands'!$N46,0)</f>
        <v/>
      </c>
      <c r="AN51" s="973" t="n"/>
      <c r="AQ51" s="973" t="n"/>
      <c r="AR51" s="1351" t="n"/>
      <c r="AS51" s="1356">
        <f>IF(LEFT('6.Inland wetlands'!$I80,8)=LEFT($AR$53,8),IF(LEFT('6.Inland wetlands'!$K80,8)=LEFT(AS$50,8), '6.Inland wetlands'!$N80,0),0)</f>
        <v/>
      </c>
      <c r="AT51" s="1356">
        <f>IF(LEFT('6.Inland wetlands'!$I80,8)=LEFT($AR$53,8),IF(LEFT('6.Inland wetlands'!$K80,8)=LEFT(AT$50,8), '6.Inland wetlands'!$N80,0),0)</f>
        <v/>
      </c>
      <c r="AU51" s="1356">
        <f>IF(LEFT('6.Inland wetlands'!$I80,8)=LEFT($AR$53,8),IF(LEFT('6.Inland wetlands'!$K80,8)=LEFT(AU$50,8), '6.Inland wetlands'!$N80,0),0)</f>
        <v/>
      </c>
      <c r="AV51" s="1356">
        <f>IF(LEFT('6.Inland wetlands'!$I80,8)=LEFT($AR$53,8),IF(LEFT('6.Inland wetlands'!$K80,8)=LEFT(AV$50,8), '6.Inland wetlands'!$N80,0),0)</f>
        <v/>
      </c>
      <c r="AW51" s="1356">
        <f>IF(LEFT('6.Inland wetlands'!$I80,8)=LEFT($AR$53,8),IF(LEFT('6.Inland wetlands'!$K80,8)=LEFT(AW$50,8), '6.Inland wetlands'!$N80,0),0)</f>
        <v/>
      </c>
      <c r="AX51" s="1356">
        <f>IF(LEFT('6.Inland wetlands'!$I80,8)=LEFT($AR$53,8),IF((OR(LEFT('6.Inland wetlands'!$K80,8)=LEFT(AX$50,8),LEFT('6.Inland wetlands'!$K80,8)=LEFT($AZ$3,8),LEFT('6.Inland wetlands'!$K80,8)=LEFT($AZ$4,8),LEFT('6.Inland wetlands'!$K80,8)=LEFT($AZ$5,8),LEFT('6.Inland wetlands'!$K80,8)=LEFT($AZ$6,8),LEFT('6.Inland wetlands'!$K80,8)=LEFT($AZ$7,8),LEFT('6.Inland wetlands'!$K80,8)=LEFT($AZ$8,8), LEFT('6.Inland wetlands'!$K80,8)=LEFT($AZ$9,8),  LEFT('6.Inland wetlands'!$K80,8)=LEFT($AZ$10,8), LEFT('6.Inland wetlands'!$K80,8)=LEFT($AZ$11,8),   LEFT('6.Inland wetlands'!$K80,8)=LEFT($AZ$12,8), LEFT('6.Inland wetlands'!$K80,8)=LEFT($AZ$13,8), LEFT('6.Inland wetlands'!$K80,8)=LEFT($AZ$14,8), LEFT('6.Inland wetlands'!$K80,8)=LEFT($AZ$15,8), LEFT('6.Inland wetlands'!$K80,8)=LEFT($AZ$16,8), LEFT('6.Inland wetlands'!$K80,8)=LEFT($AZ$17,8))),'6.Inland wetlands'!$N80,0),0)</f>
        <v/>
      </c>
      <c r="AZ51" s="1345" t="inlineStr">
        <is>
          <t>Perennial fallow</t>
        </is>
      </c>
      <c r="BB51" s="973" t="n"/>
      <c r="BC51" s="1351" t="n"/>
      <c r="BD51" s="1356">
        <f>IF((OR(LEFT('6.Inland wetlands'!$I80,8)=LEFT(Matrix!$BC$53,8), LEFT('6.Inland wetlands'!$I80,8)=LEFT(Matrix!$AZ$44,8), LEFT('6.Inland wetlands'!$I80,8)=LEFT(Matrix!$AZ$45,8), LEFT('6.Inland wetlands'!$I80,8)=LEFT(Matrix!$AZ$46,8), LEFT('6.Inland wetlands'!$I80,8)=LEFT(Matrix!AZ$47,8), LEFT('6.Inland wetlands'!$I80,8)=LEFT(Matrix!$AZ$48,8),  LEFT('6.Inland wetlands'!$I80,8)=LEFT(Matrix!$AZ$49,8), LEFT('6.Inland wetlands'!$I80,8)=LEFT(Matrix!$AZ$50,8), LEFT('6.Inland wetlands'!$I80,8)=LEFT(Matrix!$AZ$51,8), LEFT('6.Inland wetlands'!$I80,8)=LEFT(Matrix!$AZ$52,8), LEFT('6.Inland wetlands'!$I80,8)=LEFT(Matrix!$AZ$53,8), LEFT('6.Inland wetlands'!$I80,8)=LEFT(Matrix!$AZ$54,8), LEFT('6.Inland wetlands'!$I80,8)=LEFT(Matrix!$AZ$55,8), LEFT('6.Inland wetlands'!$I80,8)=LEFT(Matrix!$AZ$56,8), LEFT('6.Inland wetlands'!$I80,8)=LEFT(Matrix!$AZ$57,8), LEFT('6.Inland wetlands'!$I80,8)=LEFT(Matrix!$AZ$58,8))), IF(LEFT('6.Inland wetlands'!$K80,8)=LEFT(Matrix!BD$50,8), '6.Inland wetlands'!$N80, 0),0)</f>
        <v/>
      </c>
      <c r="BE51" s="1356">
        <f>IF((OR(LEFT('6.Inland wetlands'!$I80,8)=LEFT(Matrix!$BC$53,8), LEFT('6.Inland wetlands'!$I80,8)=LEFT(Matrix!$AZ$44,8), LEFT('6.Inland wetlands'!$I80,8)=LEFT(Matrix!$AZ$45,8), LEFT('6.Inland wetlands'!$I80,8)=LEFT(Matrix!$AZ$46,8), LEFT('6.Inland wetlands'!$I80,8)=LEFT(Matrix!BA$47,8), LEFT('6.Inland wetlands'!$I80,8)=LEFT(Matrix!$AZ$48,8),  LEFT('6.Inland wetlands'!$I80,8)=LEFT(Matrix!$AZ$49,8), LEFT('6.Inland wetlands'!$I80,8)=LEFT(Matrix!$AZ$50,8), LEFT('6.Inland wetlands'!$I80,8)=LEFT(Matrix!$AZ$51,8), LEFT('6.Inland wetlands'!$I80,8)=LEFT(Matrix!$AZ$52,8), LEFT('6.Inland wetlands'!$I80,8)=LEFT(Matrix!$AZ$53,8), LEFT('6.Inland wetlands'!$I80,8)=LEFT(Matrix!$AZ$54,8), LEFT('6.Inland wetlands'!$I80,8)=LEFT(Matrix!$AZ$55,8), LEFT('6.Inland wetlands'!$I80,8)=LEFT(Matrix!$AZ$56,8), LEFT('6.Inland wetlands'!$I80,8)=LEFT(Matrix!$AZ$57,8), LEFT('6.Inland wetlands'!$I80,8)=LEFT(Matrix!$AZ$58,8))), IF(LEFT('6.Inland wetlands'!$K80,8)=LEFT(Matrix!BE$50,8), '6.Inland wetlands'!$N80, 0),0)</f>
        <v/>
      </c>
      <c r="BF51" s="1356">
        <f>IF((OR(LEFT('6.Inland wetlands'!$I80,8)=LEFT(Matrix!$BC$53,8), LEFT('6.Inland wetlands'!$I80,8)=LEFT(Matrix!$AZ$44,8), LEFT('6.Inland wetlands'!$I80,8)=LEFT(Matrix!$AZ$45,8), LEFT('6.Inland wetlands'!$I80,8)=LEFT(Matrix!$AZ$46,8), LEFT('6.Inland wetlands'!$I80,8)=LEFT(Matrix!BB$47,8), LEFT('6.Inland wetlands'!$I80,8)=LEFT(Matrix!$AZ$48,8),  LEFT('6.Inland wetlands'!$I80,8)=LEFT(Matrix!$AZ$49,8), LEFT('6.Inland wetlands'!$I80,8)=LEFT(Matrix!$AZ$50,8), LEFT('6.Inland wetlands'!$I80,8)=LEFT(Matrix!$AZ$51,8), LEFT('6.Inland wetlands'!$I80,8)=LEFT(Matrix!$AZ$52,8), LEFT('6.Inland wetlands'!$I80,8)=LEFT(Matrix!$AZ$53,8), LEFT('6.Inland wetlands'!$I80,8)=LEFT(Matrix!$AZ$54,8), LEFT('6.Inland wetlands'!$I80,8)=LEFT(Matrix!$AZ$55,8), LEFT('6.Inland wetlands'!$I80,8)=LEFT(Matrix!$AZ$56,8), LEFT('6.Inland wetlands'!$I80,8)=LEFT(Matrix!$AZ$57,8), LEFT('6.Inland wetlands'!$I80,8)=LEFT(Matrix!$AZ$58,8))), IF(LEFT('6.Inland wetlands'!$K80,8)=LEFT(Matrix!BF$50,8), '6.Inland wetlands'!$N80, 0),0)</f>
        <v/>
      </c>
      <c r="BG51" s="1356">
        <f>IF((OR(LEFT('6.Inland wetlands'!$I80,8)=LEFT(Matrix!$BC$53,8), LEFT('6.Inland wetlands'!$I80,8)=LEFT(Matrix!$AZ$44,8), LEFT('6.Inland wetlands'!$I80,8)=LEFT(Matrix!$AZ$45,8), LEFT('6.Inland wetlands'!$I80,8)=LEFT(Matrix!$AZ$46,8), LEFT('6.Inland wetlands'!$I80,8)=LEFT(Matrix!BC$47,8), LEFT('6.Inland wetlands'!$I80,8)=LEFT(Matrix!$AZ$48,8),  LEFT('6.Inland wetlands'!$I80,8)=LEFT(Matrix!$AZ$49,8), LEFT('6.Inland wetlands'!$I80,8)=LEFT(Matrix!$AZ$50,8), LEFT('6.Inland wetlands'!$I80,8)=LEFT(Matrix!$AZ$51,8), LEFT('6.Inland wetlands'!$I80,8)=LEFT(Matrix!$AZ$52,8), LEFT('6.Inland wetlands'!$I80,8)=LEFT(Matrix!$AZ$53,8), LEFT('6.Inland wetlands'!$I80,8)=LEFT(Matrix!$AZ$54,8), LEFT('6.Inland wetlands'!$I80,8)=LEFT(Matrix!$AZ$55,8), LEFT('6.Inland wetlands'!$I80,8)=LEFT(Matrix!$AZ$56,8), LEFT('6.Inland wetlands'!$I80,8)=LEFT(Matrix!$AZ$57,8), LEFT('6.Inland wetlands'!$I80,8)=LEFT(Matrix!$AZ$58,8))), IF(LEFT('6.Inland wetlands'!$K80,8)=LEFT(Matrix!BG$50,8), '6.Inland wetlands'!$N80, 0),0)</f>
        <v/>
      </c>
      <c r="BH51" s="1356">
        <f>IF((OR(LEFT('6.Inland wetlands'!$I80,8)=LEFT(Matrix!$BC$53,8), LEFT('6.Inland wetlands'!$I80,8)=LEFT(Matrix!$AZ$44,8), LEFT('6.Inland wetlands'!$I80,8)=LEFT(Matrix!$AZ$45,8), LEFT('6.Inland wetlands'!$I80,8)=LEFT(Matrix!$AZ$46,8), LEFT('6.Inland wetlands'!$I80,8)=LEFT(Matrix!BD$47,8), LEFT('6.Inland wetlands'!$I80,8)=LEFT(Matrix!$AZ$48,8),  LEFT('6.Inland wetlands'!$I80,8)=LEFT(Matrix!$AZ$49,8), LEFT('6.Inland wetlands'!$I80,8)=LEFT(Matrix!$AZ$50,8), LEFT('6.Inland wetlands'!$I80,8)=LEFT(Matrix!$AZ$51,8), LEFT('6.Inland wetlands'!$I80,8)=LEFT(Matrix!$AZ$52,8), LEFT('6.Inland wetlands'!$I80,8)=LEFT(Matrix!$AZ$53,8), LEFT('6.Inland wetlands'!$I80,8)=LEFT(Matrix!$AZ$54,8), LEFT('6.Inland wetlands'!$I80,8)=LEFT(Matrix!$AZ$55,8), LEFT('6.Inland wetlands'!$I80,8)=LEFT(Matrix!$AZ$56,8), LEFT('6.Inland wetlands'!$I80,8)=LEFT(Matrix!$AZ$57,8), LEFT('6.Inland wetlands'!$I80,8)=LEFT(Matrix!$AZ$58,8))), IF(LEFT('6.Inland wetlands'!$K80,8)=LEFT(Matrix!BH$50,8), '6.Inland wetlands'!$N80, 0),0)</f>
        <v/>
      </c>
      <c r="BI51" s="1356">
        <f>IF((OR(LEFT('6.Inland wetlands'!$I80,8)=LEFT(Matrix!$BC$53,8), LEFT('6.Inland wetlands'!$I80,8)=LEFT(Matrix!$AZ$44,8), LEFT('6.Inland wetlands'!$I80,8)=LEFT(Matrix!$AZ$45,8), LEFT('6.Inland wetlands'!$I80,8)=LEFT(Matrix!$AZ$46,8), LEFT('6.Inland wetlands'!$I80,8)=LEFT(Matrix!BE$47,8), LEFT('6.Inland wetlands'!$I80,8)=LEFT(Matrix!$AZ$48,8),  LEFT('6.Inland wetlands'!$I80,8)=LEFT(Matrix!$AZ$49,8), LEFT('6.Inland wetlands'!$I80,8)=LEFT(Matrix!$AZ$50,8), LEFT('6.Inland wetlands'!$I80,8)=LEFT(Matrix!$AZ$51,8), LEFT('6.Inland wetlands'!$I80,8)=LEFT(Matrix!$AZ$52,8), LEFT('6.Inland wetlands'!$I80,8)=LEFT(Matrix!$AZ$53,8), LEFT('6.Inland wetlands'!$I80,8)=LEFT(Matrix!$AZ$54,8), LEFT('6.Inland wetlands'!$I80,8)=LEFT(Matrix!$AZ$55,8), LEFT('6.Inland wetlands'!$I80,8)=LEFT(Matrix!$AZ$56,8), LEFT('6.Inland wetlands'!$I80,8)=LEFT(Matrix!$AZ$57,8), LEFT('6.Inland wetlands'!$I80,8)=LEFT(Matrix!$AZ$58,8))), IF(LEFT('6.Inland wetlands'!$K80,8)=LEFT(Matrix!BI$50,8), '6.Inland wetlands'!$N80, 0),0)</f>
        <v/>
      </c>
      <c r="BJ51" s="973" t="n"/>
      <c r="BM51" s="973" t="n"/>
      <c r="BN51" s="1359" t="n"/>
      <c r="BO51" s="1356">
        <f>IF(LEFT('6.Inland wetlands'!$I80,8)=LEFT($BN$53,8),IF(LEFT('6.Inland wetlands'!$K80,8)=LEFT(BO$50,8),'6.Inland wetlands'!$N80,0),0)</f>
        <v/>
      </c>
      <c r="BP51" s="1356">
        <f>IF(LEFT('6.Inland wetlands'!$I80,8)=LEFT($BN$53,8),IF(LEFT('6.Inland wetlands'!$K80,8)=LEFT(BP$50,8),'6.Inland wetlands'!$N80,0),0)</f>
        <v/>
      </c>
      <c r="BQ51" s="1356">
        <f>IF(LEFT('6.Inland wetlands'!$I80,8)=LEFT($BN$53,8),IF(LEFT('6.Inland wetlands'!$K80,8)=LEFT(BQ$50,8),'6.Inland wetlands'!$N80,0),0)</f>
        <v/>
      </c>
      <c r="BR51" s="1356">
        <f>IF(LEFT('6.Inland wetlands'!$I80,8)=LEFT($BN$53,8),IF((OR(LEFT('6.Inland wetlands'!$K80,8)=LEFT(BR$50,8),LEFT('6.Inland wetlands'!$K80,8)=LEFT($AZ$3,8), LEFT('6.Inland wetlands'!$K80,8)=LEFT($AZ$4,9),LEFT('6.Inland wetlands'!$K80,8)=LEFT($AZ$5,8),LEFT('6.Inland wetlands'!$K80,8)=LEFT($AZ$6,8),LEFT('6.Inland wetlands'!$K80,8)=LEFT($AZ$7,8),LEFT('6.Inland wetlands'!$K80,8)=LEFT($AZ$8,8), LEFT('6.Inland wetlands'!$K80,8)=LEFT($AZ$9,8),  LEFT('6.Inland wetlands'!$K80,8)=LEFT($AZ$10,8), LEFT('6.Inland wetlands'!$K80,8)=LEFT($AZ$11,8),   LEFT('6.Inland wetlands'!$K80,8)=LEFT($AZ$12,8), LEFT('6.Inland wetlands'!$K80,8)=LEFT($AZ$13,8), LEFT('6.Inland wetlands'!$K80,8)=LEFT($AZ$14,8), LEFT('6.Inland wetlands'!$K80,8)=LEFT($AZ$15,8), LEFT('6.Inland wetlands'!$K80,8)=LEFT($AZ$16,8), LEFT('6.Inland wetlands'!$K80,8)=LEFT($AZ$17,8))),'6.Inland wetlands'!$N80,0),0)</f>
        <v/>
      </c>
      <c r="BS51" s="1356">
        <f>IF(LEFT('6.Inland wetlands'!$I80,8)=LEFT($BN$53,8),IF(LEFT('6.Inland wetlands'!$K80,8)=LEFT(BS$50,8),'6.Inland wetlands'!$N80,0),0)</f>
        <v/>
      </c>
      <c r="BT51" s="1356">
        <f>IF(LEFT('6.Inland wetlands'!$I80,8)=LEFT($BN$53,8),IF(LEFT('6.Inland wetlands'!$K80,8)=LEFT(BT$50,8),'6.Inland wetlands'!$N80,0),0)</f>
        <v/>
      </c>
      <c r="BU51" s="973" t="n"/>
      <c r="BX51" s="973" t="n"/>
      <c r="BY51" s="1359" t="n"/>
      <c r="BZ51" s="1356">
        <f>IF(LEFT('6.Inland wetlands'!$I80,8)=LEFT($BY$8,8),IF(LEFT('6.Inland wetlands'!$K80,8)=LEFT(BZ$5,8),'6.Inland wetlands'!$N80,0),0)</f>
        <v/>
      </c>
      <c r="CA51" s="1356">
        <f>IF(LEFT('6.Inland wetlands'!$I80,8)=LEFT($BY$8,8),IF(LEFT('6.Inland wetlands'!$K80,8)=LEFT(CA$5,8),'6.Inland wetlands'!$N80,0),0)</f>
        <v/>
      </c>
      <c r="CB51" s="1356">
        <f>IF(LEFT('6.Inland wetlands'!$I80,8)=LEFT($BY$8,8),IF(LEFT('6.Inland wetlands'!$K80,8)=LEFT(CB$5,8),'6.Inland wetlands'!$N80,0),0)</f>
        <v/>
      </c>
      <c r="CC51" s="1356">
        <f>IF(LEFT('6.Inland wetlands'!$I80,8)=LEFT($BY$8,8),IF((OR(LEFT('6.Inland wetlands'!$K80,8)=LEFT(CC$5,8),LEFT('6.Inland wetlands'!$K80,8)=LEFT(AZ$3,8),LEFT('6.Inland wetlands'!$K80,8)=LEFT(AZ$4,8),LEFT('6.Inland wetlands'!$K80,8)=LEFT($AZ$5,8),LEFT('6.Inland wetlands'!$K80,8)=LEFT($AZ$6,8),LEFT('6.Inland wetlands'!$K80,8)=LEFT($AZ$7,8),LEFT('6.Inland wetlands'!$K80,8)=LEFT($AZ$8,8), LEFT('6.Inland wetlands'!$K80,8)=LEFT($AZ$9,8),  LEFT('6.Inland wetlands'!$K80,8)=LEFT($AZ$10,8), LEFT('6.Inland wetlands'!$K80,8)=LEFT($AZ$11,8),   LEFT('6.Inland wetlands'!$K80,8)=LEFT($AZ$12,8), LEFT('6.Inland wetlands'!$K80,8)=LEFT($AZ$13,8), LEFT('6.Inland wetlands'!$K80,8)=LEFT($AZ$14,8), LEFT('6.Inland wetlands'!$K80,8)=LEFT($AZ$15,8), LEFT('6.Inland wetlands'!$K80,8)=LEFT($AZ$16,8), LEFT('6.Inland wetlands'!$K80,8)=LEFT($AZ$17,8))),'6.Inland wetlands'!$N80,0),0)</f>
        <v/>
      </c>
      <c r="CD51" s="1356">
        <f>IF(LEFT('6.Inland wetlands'!$I80,8)=LEFT($BY$8,8),IF(LEFT('6.Inland wetlands'!$K80,8)=LEFT(CD$5,8),'6.Inland wetlands'!$N80,0),0)</f>
        <v/>
      </c>
      <c r="CE51" s="1356">
        <f>IF(LEFT('6.Inland wetlands'!$I80,8)=LEFT($BY$8,8),IF(LEFT('6.Inland wetlands'!$K80,8)=LEFT(CE$5,8),'6.Inland wetlands'!$N80,0),0)</f>
        <v/>
      </c>
      <c r="CF51" s="973" t="n"/>
      <c r="CI51" s="973" t="n"/>
      <c r="CJ51" s="1359" t="n"/>
      <c r="CK51" s="1356">
        <f>IF(LEFT('6.Inland wetlands'!$I80,8)=LEFT($CJ$8,8),IF(LEFT('6.Inland wetlands'!$K80,8)=LEFT(CK$5,8),'6.Inland wetlands'!$N80,0),0)</f>
        <v/>
      </c>
      <c r="CL51" s="1356">
        <f>IF(LEFT('6.Inland wetlands'!$I80,8)=LEFT($CJ$8,8),IF(LEFT('6.Inland wetlands'!$K80,8)=LEFT(CL$5,8),'6.Inland wetlands'!$N80,0),0)</f>
        <v/>
      </c>
      <c r="CM51" s="1360">
        <f>IF(LEFT('6.Inland wetlands'!$I80,8)=LEFT($CJ$8,8),IF(LEFT('6.Inland wetlands'!$K80,8)=LEFT(CM$5,8),'6.Inland wetlands'!$N80,0),0)</f>
        <v/>
      </c>
      <c r="CN51" s="1356">
        <f>IF(LEFT('6.Inland wetlands'!$I80,8)=LEFT($CJ$8,8),IF((OR(LEFT('6.Inland wetlands'!$K80,8)=LEFT(CN$5,8),LEFT('6.Inland wetlands'!$K80,8)=LEFT($AZ$3,8),LEFT('6.Inland wetlands'!$K80,8)=LEFT($AZ$4,8),LEFT('6.Inland wetlands'!$K80,8)=LEFT($AZ$5,8),LEFT('6.Inland wetlands'!$K80,8)=LEFT($AZ$6,8),LEFT('6.Inland wetlands'!$K80,8)=LEFT($AZ$7,8),LEFT('6.Inland wetlands'!$K80,8)=LEFT($AZ$8,8), LEFT('6.Inland wetlands'!$K80,8)=LEFT($AZ$9,8),  LEFT('6.Inland wetlands'!$K80,8)=LEFT($AZ$10,8), LEFT('6.Inland wetlands'!$K80,8)=LEFT($AZ$11,8),   LEFT('6.Inland wetlands'!$K80,8)=LEFT($AZ$12,8), LEFT('6.Inland wetlands'!$K80,8)=LEFT($AZ$13,8), LEFT('6.Inland wetlands'!$K80,8)=LEFT($AZ$14,8), LEFT('6.Inland wetlands'!$K80,8)=LEFT($AZ$15,8), LEFT('6.Inland wetlands'!$K80,8)=LEFT($AZ$16,8), LEFT('6.Inland wetlands'!$K80,8)=LEFT($AZ$17,8))),'6.Inland wetlands'!$N80,0),0)</f>
        <v/>
      </c>
      <c r="CO51" s="1358">
        <f>IF(LEFT('6.Inland wetlands'!$I80,8)=LEFT($CJ$8,8),IF(LEFT('6.Inland wetlands'!$K80,8)=LEFT(CO$5,8),'6.Inland wetlands'!$N80,0),0)</f>
        <v/>
      </c>
      <c r="CP51" s="1356">
        <f>IF(LEFT('6.Inland wetlands'!$I80,8)=LEFT($CJ$8,8),IF(LEFT('6.Inland wetlands'!$K80,8)=LEFT(CP$5,8),'6.Inland wetlands'!$N80,0),0)</f>
        <v/>
      </c>
      <c r="CQ51" s="973" t="n"/>
      <c r="CT51" s="973" t="n"/>
      <c r="CU51" s="1359" t="n"/>
      <c r="CV51" s="1360">
        <f>IF(LEFT('6.Inland wetlands'!$I80,8)=LEFT($CU$53,8),IF(LEFT('6.Inland wetlands'!$K80,8)=LEFT(CV$50,8),'6.Inland wetlands'!$N80,0),0)</f>
        <v/>
      </c>
      <c r="CW51" s="1360">
        <f>IF(LEFT('6.Inland wetlands'!$I80,8)=LEFT($CU$53,8),IF(LEFT('6.Inland wetlands'!$K80,8)=LEFT(CW$50,8),'6.Inland wetlands'!$N80,0),0)</f>
        <v/>
      </c>
      <c r="CX51" s="1360">
        <f>IF(LEFT('6.Inland wetlands'!$I80,8)=LEFT($CU$53,8),IF(LEFT('6.Inland wetlands'!$K80,8)=LEFT(CX$50,8),'6.Inland wetlands'!$N80,0),0)</f>
        <v/>
      </c>
      <c r="CY51" s="1356">
        <f>IF(LEFT('6.Inland wetlands'!$I80,8)=LEFT($CU$53,8),IF((OR(LEFT('6.Inland wetlands'!$K80,8)=LEFT($CY$50,8),LEFT('6.Inland wetlands'!$K80,8)=LEFT($AZ$3,8),LEFT('6.Inland wetlands'!$K80,8)=LEFT($AZ$4,8),LEFT('6.Inland wetlands'!$K80,8)=LEFT($AZ$5,8),LEFT('6.Inland wetlands'!$K80,8)=LEFT($AZ$6,8),LEFT('6.Inland wetlands'!$K80,8)=LEFT($AZ$7,8),LEFT('6.Inland wetlands'!$K80,8)=LEFT($AZ$8,8), LEFT('6.Inland wetlands'!$K80,8)=LEFT($AZ$9,8),  LEFT('6.Inland wetlands'!$K80,8)=LEFT($AZ$10,8), LEFT('6.Inland wetlands'!$K80,8)=LEFT($AZ$11,8),   LEFT('6.Inland wetlands'!$K80,8)=LEFT($AZ$12,8), LEFT('6.Inland wetlands'!$K80,8)=LEFT($AZ$13,8), LEFT('6.Inland wetlands'!$K80,8)=LEFT($AZ$14,8), LEFT('6.Inland wetlands'!$K80,8)=LEFT($AZ$15,8), LEFT('6.Inland wetlands'!$K80,8)=LEFT($AZ$16,8), LEFT('6.Inland wetlands'!$K80,8)=LEFT($AZ$17,8))),'6.Inland wetlands'!$N80,0),0)</f>
        <v/>
      </c>
      <c r="CZ51" s="1361">
        <f>IF(LEFT('6.Inland wetlands'!$I80,8)=LEFT($CU$53,8),IF(LEFT('6.Inland wetlands'!$K80,8)=LEFT(CZ$50,8),'6.Inland wetlands'!$N80,0),0)</f>
        <v/>
      </c>
      <c r="DA51" s="1356">
        <f>IF(LEFT('6.Inland wetlands'!$I80,8)=LEFT($CU$53,8),IF(LEFT('6.Inland wetlands'!$K80,8)=LEFT(DA$50,8),'6.Inland wetlands'!$N80,0),0)</f>
        <v/>
      </c>
      <c r="DB51" s="973" t="n"/>
      <c r="DE51" s="973" t="n"/>
      <c r="DF51" s="1359" t="n"/>
      <c r="DG51" s="1360">
        <f>IF(LEFT('6.Inland wetlands'!$I80,8)=LEFT($DF$53,8),IF(LEFT('6.Inland wetlands'!$K80,8)=LEFT(DG$50,8),'6.Inland wetlands'!$N80,0),0)</f>
        <v/>
      </c>
      <c r="DH51" s="1360">
        <f>IF(LEFT('6.Inland wetlands'!$I80,8)=LEFT($DF$53,8),IF(LEFT('6.Inland wetlands'!$K80,8)=LEFT(DH$50,8),'6.Inland wetlands'!$N80,0),0)</f>
        <v/>
      </c>
      <c r="DI51" s="1360">
        <f>IF(LEFT('6.Inland wetlands'!$I80,8)=LEFT($DF$53,8),IF(LEFT('6.Inland wetlands'!$K80,8)=LEFT(DI$50,8),'6.Inland wetlands'!$N80,0),0)</f>
        <v/>
      </c>
      <c r="DJ51" s="1356">
        <f>IF(LEFT('6.Inland wetlands'!$I80,8)=LEFT($DF$53,8),IF((OR(LEFT('6.Inland wetlands'!$K80,8)=LEFT($DJ50,8),LEFT('6.Inland wetlands'!$K80,8)=LEFT($AZ$3,8),LEFT('6.Inland wetlands'!$K80,8)=LEFT($AZ$4,8),LEFT('6.Inland wetlands'!$K80,8)=LEFT($AZ$5,8),LEFT('6.Inland wetlands'!$K80,8)=LEFT($AZ$6,8),LEFT('6.Inland wetlands'!$K80,8)=LEFT($AZ$7,8),LEFT('6.Inland wetlands'!$K80,8)=LEFT($AZ$8,8), LEFT('6.Inland wetlands'!$K80,8)=LEFT($AZ$9,8),  LEFT('6.Inland wetlands'!$K80,8)=LEFT($AZ$10,8), LEFT('6.Inland wetlands'!$K80,8)=LEFT($AZ$11,8),   LEFT('6.Inland wetlands'!$K80,8)=LEFT($AZ$12,8), LEFT('6.Inland wetlands'!$K80,8)=LEFT($AZ$13,8), LEFT('6.Inland wetlands'!$K80,8)=LEFT($AZ$14,8), LEFT('6.Inland wetlands'!$K80,8)=LEFT($AZ$15,8), LEFT('6.Inland wetlands'!$K80,8)=LEFT($AZ$16,8), LEFT('6.Inland wetlands'!$K80,8)=LEFT($AZ$17,8))),'6.Inland wetlands'!$N80,0),0)</f>
        <v/>
      </c>
      <c r="DK51" s="1360">
        <f>IF(LEFT('6.Inland wetlands'!$I80,8)=LEFT($DF$53,8),IF(LEFT('6.Inland wetlands'!$K80,8)=LEFT(DK$50,8),'6.Inland wetlands'!$N80,0),0)</f>
        <v/>
      </c>
      <c r="DL51" s="1356">
        <f>IF(LEFT('6.Inland wetlands'!$I80,8)=LEFT($DF$53,8),IF(LEFT('6.Inland wetlands'!$K80,8)=LEFT(DL$50,8),'6.Inland wetlands'!$N80,0),0)</f>
        <v/>
      </c>
      <c r="DM51" s="973" t="n"/>
    </row>
    <row r="52" ht="18" customHeight="1">
      <c r="B52" s="1441" t="inlineStr">
        <is>
          <t>Afforestation</t>
        </is>
      </c>
      <c r="C52" s="1442" t="n"/>
      <c r="D52" s="973" t="n"/>
      <c r="F52" s="1436" t="inlineStr">
        <is>
          <t>START</t>
        </is>
      </c>
      <c r="G52" s="1367" t="n"/>
      <c r="H52" s="1368" t="inlineStr">
        <is>
          <t>Agroforestry</t>
        </is>
      </c>
      <c r="I52" s="3144">
        <f>AG57</f>
        <v/>
      </c>
      <c r="J52" s="3143">
        <f>BD57</f>
        <v/>
      </c>
      <c r="K52" s="2851">
        <f>SUMIF('Inl. wetlands'!$C413:$C418,$K$49,'Inl. wetlands'!$F413:$F418)+MAX(SUM(I52:J52,L52:O52),SUM(I68:J68,L68:O68))-SUM(I52:J52,L52:O52)</f>
        <v/>
      </c>
      <c r="L52" s="3143">
        <f>BG57</f>
        <v/>
      </c>
      <c r="M52" s="3143">
        <f>BH57</f>
        <v/>
      </c>
      <c r="N52" s="3143">
        <f>BF57</f>
        <v/>
      </c>
      <c r="O52" s="3143">
        <f>BI57+BE57</f>
        <v/>
      </c>
      <c r="P52" s="3143">
        <f>SUM(I52:O52)</f>
        <v/>
      </c>
      <c r="S52" s="1576" t="n"/>
      <c r="T52" s="1414" t="inlineStr">
        <is>
          <t>START</t>
        </is>
      </c>
      <c r="U52" s="1420">
        <f>IF('6.Inland wetlands'!$I14 = $U$50, 1,0)* 'Inl. wetlands'!$S37</f>
        <v/>
      </c>
      <c r="V52" s="1421">
        <f>IF('6.Inland wetlands'!$I14 = $V$50, 1,0)* 'Inl. wetlands'!$S37</f>
        <v/>
      </c>
      <c r="W52" s="1421">
        <f>IF('6.Inland wetlands'!$I14 = $W$50, 1,0)* 'Inl. wetlands'!$S37</f>
        <v/>
      </c>
      <c r="X52" s="1421">
        <f>IF('6.Inland wetlands'!$I14 = $X$50, 1,0)* 'Inl. wetlands'!$S37</f>
        <v/>
      </c>
      <c r="Y52" s="1421">
        <f>IF('6.Inland wetlands'!$I14 = $Y$50, 1,0)* 'Inl. wetlands'!$S37</f>
        <v/>
      </c>
      <c r="Z52" s="1421">
        <f>IF('6.Inland wetlands'!$I14 = $Z$50, 1,0)* 'Inl. wetlands'!$S37</f>
        <v/>
      </c>
      <c r="AA52" s="1422">
        <f>IF('6.Inland wetlands'!$I14 = $AA$50, 1,0)* 'Inl. wetlands'!$S37</f>
        <v/>
      </c>
      <c r="AE52" s="1418" t="n"/>
      <c r="AF52" s="1414" t="inlineStr">
        <is>
          <t>START</t>
        </is>
      </c>
      <c r="AG52" s="1420">
        <f>IF(AG$50='6.Inland wetlands'!$I47, '6.Inland wetlands'!$N47,0)</f>
        <v/>
      </c>
      <c r="AH52" s="1421">
        <f>IF(AH$50='6.Inland wetlands'!$I47, '6.Inland wetlands'!$N47,0)</f>
        <v/>
      </c>
      <c r="AI52" s="1421">
        <f>IF(AI$50='6.Inland wetlands'!$I47, '6.Inland wetlands'!$N47,0)</f>
        <v/>
      </c>
      <c r="AJ52" s="1421">
        <f>IF(AJ$50='6.Inland wetlands'!$I47, '6.Inland wetlands'!$N47,0)</f>
        <v/>
      </c>
      <c r="AK52" s="1421">
        <f>IF(AK$50='6.Inland wetlands'!$I47, '6.Inland wetlands'!$N47,0)</f>
        <v/>
      </c>
      <c r="AL52" s="1421">
        <f>IF(AL$50='6.Inland wetlands'!$I47, '6.Inland wetlands'!$N47,0)</f>
        <v/>
      </c>
      <c r="AM52" s="1422">
        <f>IF(AM$50='6.Inland wetlands'!$I47, '6.Inland wetlands'!$N47,0)</f>
        <v/>
      </c>
      <c r="AN52" s="973" t="n"/>
      <c r="AQ52" s="973" t="n"/>
      <c r="AR52" s="1362" t="inlineStr">
        <is>
          <t>START</t>
        </is>
      </c>
      <c r="AS52" s="1354">
        <f>IF(LEFT('6.Inland wetlands'!$I81,8)=LEFT($AR$53,8),IF(LEFT('6.Inland wetlands'!$K81,8)=LEFT(AS$50,8), '6.Inland wetlands'!$N81,0),0)</f>
        <v/>
      </c>
      <c r="AT52" s="1354">
        <f>IF(LEFT('6.Inland wetlands'!$I81,8)=LEFT($AR$53,8),IF(LEFT('6.Inland wetlands'!$K81,8)=LEFT(AT$50,8), '6.Inland wetlands'!$N81,0),0)</f>
        <v/>
      </c>
      <c r="AU52" s="1354">
        <f>IF(LEFT('6.Inland wetlands'!$I81,8)=LEFT($AR$53,8),IF(LEFT('6.Inland wetlands'!$K81,8)=LEFT(AU$50,8), '6.Inland wetlands'!$N81,0),0)</f>
        <v/>
      </c>
      <c r="AV52" s="1354">
        <f>IF(LEFT('6.Inland wetlands'!$I81,8)=LEFT($AR$53,8),IF(LEFT('6.Inland wetlands'!$K81,8)=LEFT(AV$50,8), '6.Inland wetlands'!$N81,0),0)</f>
        <v/>
      </c>
      <c r="AW52" s="1354">
        <f>IF(LEFT('6.Inland wetlands'!$I81,8)=LEFT($AR$53,8),IF(LEFT('6.Inland wetlands'!$K81,8)=LEFT(AW$50,8), '6.Inland wetlands'!$N81,0),0)</f>
        <v/>
      </c>
      <c r="AX52" s="1354">
        <f>IF(LEFT('6.Inland wetlands'!$I81,8)=LEFT($AR$53,8),IF((OR(LEFT('6.Inland wetlands'!$K81,8)=LEFT(AX$50,8),LEFT('6.Inland wetlands'!$K81,8)=LEFT($AZ$3,8),LEFT('6.Inland wetlands'!$K81,8)=LEFT($AZ$4,8),LEFT('6.Inland wetlands'!$K81,8)=LEFT($AZ$5,8),LEFT('6.Inland wetlands'!$K81,8)=LEFT($AZ$6,8),LEFT('6.Inland wetlands'!$K81,8)=LEFT($AZ$7,8),LEFT('6.Inland wetlands'!$K81,8)=LEFT($AZ$8,8), LEFT('6.Inland wetlands'!$K81,8)=LEFT($AZ$9,8),  LEFT('6.Inland wetlands'!$K81,8)=LEFT($AZ$10,8), LEFT('6.Inland wetlands'!$K81,8)=LEFT($AZ$11,8),   LEFT('6.Inland wetlands'!$K81,8)=LEFT($AZ$12,8), LEFT('6.Inland wetlands'!$K81,8)=LEFT($AZ$13,8), LEFT('6.Inland wetlands'!$K81,8)=LEFT($AZ$14,8), LEFT('6.Inland wetlands'!$K81,8)=LEFT($AZ$15,8), LEFT('6.Inland wetlands'!$K81,8)=LEFT($AZ$16,8), LEFT('6.Inland wetlands'!$K81,8)=LEFT($AZ$17,8))),'6.Inland wetlands'!$N81,0),0)</f>
        <v/>
      </c>
      <c r="AZ52" s="1345" t="inlineStr">
        <is>
          <t>Rubber</t>
        </is>
      </c>
      <c r="BB52" s="973" t="n"/>
      <c r="BC52" s="1362" t="inlineStr">
        <is>
          <t>START</t>
        </is>
      </c>
      <c r="BD52" s="1354">
        <f>IF((OR(LEFT('6.Inland wetlands'!$I81,8)=LEFT(Matrix!$BC$53,8), LEFT('6.Inland wetlands'!$I81,8)=LEFT(Matrix!$AZ$44,8), LEFT('6.Inland wetlands'!$I81,8)=LEFT(Matrix!$AZ$45,8), LEFT('6.Inland wetlands'!$I81,8)=LEFT(Matrix!$AZ$46,8), LEFT('6.Inland wetlands'!$I81,8)=LEFT(Matrix!AZ$47,8), LEFT('6.Inland wetlands'!$I81,8)=LEFT(Matrix!$AZ$48,8),  LEFT('6.Inland wetlands'!$I81,8)=LEFT(Matrix!$AZ$49,8), LEFT('6.Inland wetlands'!$I81,8)=LEFT(Matrix!$AZ$50,8), LEFT('6.Inland wetlands'!$I81,8)=LEFT(Matrix!$AZ$51,8), LEFT('6.Inland wetlands'!$I81,8)=LEFT(Matrix!$AZ$52,8), LEFT('6.Inland wetlands'!$I81,8)=LEFT(Matrix!$AZ$53,8), LEFT('6.Inland wetlands'!$I81,8)=LEFT(Matrix!$AZ$54,8), LEFT('6.Inland wetlands'!$I81,8)=LEFT(Matrix!$AZ$55,8), LEFT('6.Inland wetlands'!$I81,8)=LEFT(Matrix!$AZ$56,8), LEFT('6.Inland wetlands'!$I81,8)=LEFT(Matrix!$AZ$57,8), LEFT('6.Inland wetlands'!$I81,8)=LEFT(Matrix!$AZ$58,8))), IF(LEFT('6.Inland wetlands'!$K81,8)=LEFT(Matrix!BD$50,8), '6.Inland wetlands'!$N81, 0),0)</f>
        <v/>
      </c>
      <c r="BE52" s="1354">
        <f>IF((OR(LEFT('6.Inland wetlands'!$I81,8)=LEFT(Matrix!$BC$53,8), LEFT('6.Inland wetlands'!$I81,8)=LEFT(Matrix!$AZ$44,8), LEFT('6.Inland wetlands'!$I81,8)=LEFT(Matrix!$AZ$45,8), LEFT('6.Inland wetlands'!$I81,8)=LEFT(Matrix!$AZ$46,8), LEFT('6.Inland wetlands'!$I81,8)=LEFT(Matrix!BA$47,8), LEFT('6.Inland wetlands'!$I81,8)=LEFT(Matrix!$AZ$48,8),  LEFT('6.Inland wetlands'!$I81,8)=LEFT(Matrix!$AZ$49,8), LEFT('6.Inland wetlands'!$I81,8)=LEFT(Matrix!$AZ$50,8), LEFT('6.Inland wetlands'!$I81,8)=LEFT(Matrix!$AZ$51,8), LEFT('6.Inland wetlands'!$I81,8)=LEFT(Matrix!$AZ$52,8), LEFT('6.Inland wetlands'!$I81,8)=LEFT(Matrix!$AZ$53,8), LEFT('6.Inland wetlands'!$I81,8)=LEFT(Matrix!$AZ$54,8), LEFT('6.Inland wetlands'!$I81,8)=LEFT(Matrix!$AZ$55,8), LEFT('6.Inland wetlands'!$I81,8)=LEFT(Matrix!$AZ$56,8), LEFT('6.Inland wetlands'!$I81,8)=LEFT(Matrix!$AZ$57,8), LEFT('6.Inland wetlands'!$I81,8)=LEFT(Matrix!$AZ$58,8))), IF(LEFT('6.Inland wetlands'!$K81,8)=LEFT(Matrix!BE$50,8), '6.Inland wetlands'!$N81, 0),0)</f>
        <v/>
      </c>
      <c r="BF52" s="1354">
        <f>IF((OR(LEFT('6.Inland wetlands'!$I81,8)=LEFT(Matrix!$BC$53,8), LEFT('6.Inland wetlands'!$I81,8)=LEFT(Matrix!$AZ$44,8), LEFT('6.Inland wetlands'!$I81,8)=LEFT(Matrix!$AZ$45,8), LEFT('6.Inland wetlands'!$I81,8)=LEFT(Matrix!$AZ$46,8), LEFT('6.Inland wetlands'!$I81,8)=LEFT(Matrix!BB$47,8), LEFT('6.Inland wetlands'!$I81,8)=LEFT(Matrix!$AZ$48,8),  LEFT('6.Inland wetlands'!$I81,8)=LEFT(Matrix!$AZ$49,8), LEFT('6.Inland wetlands'!$I81,8)=LEFT(Matrix!$AZ$50,8), LEFT('6.Inland wetlands'!$I81,8)=LEFT(Matrix!$AZ$51,8), LEFT('6.Inland wetlands'!$I81,8)=LEFT(Matrix!$AZ$52,8), LEFT('6.Inland wetlands'!$I81,8)=LEFT(Matrix!$AZ$53,8), LEFT('6.Inland wetlands'!$I81,8)=LEFT(Matrix!$AZ$54,8), LEFT('6.Inland wetlands'!$I81,8)=LEFT(Matrix!$AZ$55,8), LEFT('6.Inland wetlands'!$I81,8)=LEFT(Matrix!$AZ$56,8), LEFT('6.Inland wetlands'!$I81,8)=LEFT(Matrix!$AZ$57,8), LEFT('6.Inland wetlands'!$I81,8)=LEFT(Matrix!$AZ$58,8))), IF(LEFT('6.Inland wetlands'!$K81,8)=LEFT(Matrix!BF$50,8), '6.Inland wetlands'!$N81, 0),0)</f>
        <v/>
      </c>
      <c r="BG52" s="1354">
        <f>IF((OR(LEFT('6.Inland wetlands'!$I81,8)=LEFT(Matrix!$BC$53,8), LEFT('6.Inland wetlands'!$I81,8)=LEFT(Matrix!$AZ$44,8), LEFT('6.Inland wetlands'!$I81,8)=LEFT(Matrix!$AZ$45,8), LEFT('6.Inland wetlands'!$I81,8)=LEFT(Matrix!$AZ$46,8), LEFT('6.Inland wetlands'!$I81,8)=LEFT(Matrix!BC$47,8), LEFT('6.Inland wetlands'!$I81,8)=LEFT(Matrix!$AZ$48,8),  LEFT('6.Inland wetlands'!$I81,8)=LEFT(Matrix!$AZ$49,8), LEFT('6.Inland wetlands'!$I81,8)=LEFT(Matrix!$AZ$50,8), LEFT('6.Inland wetlands'!$I81,8)=LEFT(Matrix!$AZ$51,8), LEFT('6.Inland wetlands'!$I81,8)=LEFT(Matrix!$AZ$52,8), LEFT('6.Inland wetlands'!$I81,8)=LEFT(Matrix!$AZ$53,8), LEFT('6.Inland wetlands'!$I81,8)=LEFT(Matrix!$AZ$54,8), LEFT('6.Inland wetlands'!$I81,8)=LEFT(Matrix!$AZ$55,8), LEFT('6.Inland wetlands'!$I81,8)=LEFT(Matrix!$AZ$56,8), LEFT('6.Inland wetlands'!$I81,8)=LEFT(Matrix!$AZ$57,8), LEFT('6.Inland wetlands'!$I81,8)=LEFT(Matrix!$AZ$58,8))), IF(LEFT('6.Inland wetlands'!$K81,8)=LEFT(Matrix!BG$50,8), '6.Inland wetlands'!$N81, 0),0)</f>
        <v/>
      </c>
      <c r="BH52" s="1354">
        <f>IF((OR(LEFT('6.Inland wetlands'!$I81,8)=LEFT(Matrix!$BC$53,8), LEFT('6.Inland wetlands'!$I81,8)=LEFT(Matrix!$AZ$44,8), LEFT('6.Inland wetlands'!$I81,8)=LEFT(Matrix!$AZ$45,8), LEFT('6.Inland wetlands'!$I81,8)=LEFT(Matrix!$AZ$46,8), LEFT('6.Inland wetlands'!$I81,8)=LEFT(Matrix!BD$47,8), LEFT('6.Inland wetlands'!$I81,8)=LEFT(Matrix!$AZ$48,8),  LEFT('6.Inland wetlands'!$I81,8)=LEFT(Matrix!$AZ$49,8), LEFT('6.Inland wetlands'!$I81,8)=LEFT(Matrix!$AZ$50,8), LEFT('6.Inland wetlands'!$I81,8)=LEFT(Matrix!$AZ$51,8), LEFT('6.Inland wetlands'!$I81,8)=LEFT(Matrix!$AZ$52,8), LEFT('6.Inland wetlands'!$I81,8)=LEFT(Matrix!$AZ$53,8), LEFT('6.Inland wetlands'!$I81,8)=LEFT(Matrix!$AZ$54,8), LEFT('6.Inland wetlands'!$I81,8)=LEFT(Matrix!$AZ$55,8), LEFT('6.Inland wetlands'!$I81,8)=LEFT(Matrix!$AZ$56,8), LEFT('6.Inland wetlands'!$I81,8)=LEFT(Matrix!$AZ$57,8), LEFT('6.Inland wetlands'!$I81,8)=LEFT(Matrix!$AZ$58,8))), IF(LEFT('6.Inland wetlands'!$K81,8)=LEFT(Matrix!BH$50,8), '6.Inland wetlands'!$N81, 0),0)</f>
        <v/>
      </c>
      <c r="BI52" s="1354">
        <f>IF((OR(LEFT('6.Inland wetlands'!$I81,8)=LEFT(Matrix!$BC$53,8), LEFT('6.Inland wetlands'!$I81,8)=LEFT(Matrix!$AZ$44,8), LEFT('6.Inland wetlands'!$I81,8)=LEFT(Matrix!$AZ$45,8), LEFT('6.Inland wetlands'!$I81,8)=LEFT(Matrix!$AZ$46,8), LEFT('6.Inland wetlands'!$I81,8)=LEFT(Matrix!BE$47,8), LEFT('6.Inland wetlands'!$I81,8)=LEFT(Matrix!$AZ$48,8),  LEFT('6.Inland wetlands'!$I81,8)=LEFT(Matrix!$AZ$49,8), LEFT('6.Inland wetlands'!$I81,8)=LEFT(Matrix!$AZ$50,8), LEFT('6.Inland wetlands'!$I81,8)=LEFT(Matrix!$AZ$51,8), LEFT('6.Inland wetlands'!$I81,8)=LEFT(Matrix!$AZ$52,8), LEFT('6.Inland wetlands'!$I81,8)=LEFT(Matrix!$AZ$53,8), LEFT('6.Inland wetlands'!$I81,8)=LEFT(Matrix!$AZ$54,8), LEFT('6.Inland wetlands'!$I81,8)=LEFT(Matrix!$AZ$55,8), LEFT('6.Inland wetlands'!$I81,8)=LEFT(Matrix!$AZ$56,8), LEFT('6.Inland wetlands'!$I81,8)=LEFT(Matrix!$AZ$57,8), LEFT('6.Inland wetlands'!$I81,8)=LEFT(Matrix!$AZ$58,8))), IF(LEFT('6.Inland wetlands'!$K81,8)=LEFT(Matrix!BI$50,8), '6.Inland wetlands'!$N81, 0),0)</f>
        <v/>
      </c>
      <c r="BJ52" s="973" t="n"/>
      <c r="BM52" s="973" t="n"/>
      <c r="BN52" s="1365" t="inlineStr">
        <is>
          <t>START</t>
        </is>
      </c>
      <c r="BO52" s="1354">
        <f>IF(LEFT('6.Inland wetlands'!$I81,8)=LEFT($BN$53,8),IF(LEFT('6.Inland wetlands'!$K81,8)=LEFT(BO$50,8),'6.Inland wetlands'!$N81,0),0)</f>
        <v/>
      </c>
      <c r="BP52" s="1354">
        <f>IF(LEFT('6.Inland wetlands'!$I81,8)=LEFT($BN$53,8),IF(LEFT('6.Inland wetlands'!$K81,8)=LEFT(BP$50,8),'6.Inland wetlands'!$N81,0),0)</f>
        <v/>
      </c>
      <c r="BQ52" s="1354">
        <f>IF(LEFT('6.Inland wetlands'!$I81,8)=LEFT($BN$53,8),IF(LEFT('6.Inland wetlands'!$K81,8)=LEFT(BQ$50,8),'6.Inland wetlands'!$N81,0),0)</f>
        <v/>
      </c>
      <c r="BR52" s="1354">
        <f>IF(LEFT('6.Inland wetlands'!$I81,8)=LEFT($BN$53,8),IF((OR(LEFT('6.Inland wetlands'!$K81,8)=LEFT(BR$50,8),LEFT('6.Inland wetlands'!$K81,8)=LEFT($AZ$3,8), LEFT('6.Inland wetlands'!$K81,8)=LEFT($AZ$4,9),LEFT('6.Inland wetlands'!$K81,8)=LEFT($AZ$5,8),LEFT('6.Inland wetlands'!$K81,8)=LEFT($AZ$6,8),LEFT('6.Inland wetlands'!$K81,8)=LEFT($AZ$7,8),LEFT('6.Inland wetlands'!$K81,8)=LEFT($AZ$8,8), LEFT('6.Inland wetlands'!$K81,8)=LEFT($AZ$9,8),  LEFT('6.Inland wetlands'!$K81,8)=LEFT($AZ$10,8), LEFT('6.Inland wetlands'!$K81,8)=LEFT($AZ$11,8),   LEFT('6.Inland wetlands'!$K81,8)=LEFT($AZ$12,8), LEFT('6.Inland wetlands'!$K81,8)=LEFT($AZ$13,8), LEFT('6.Inland wetlands'!$K81,8)=LEFT($AZ$14,8), LEFT('6.Inland wetlands'!$K81,8)=LEFT($AZ$15,8), LEFT('6.Inland wetlands'!$K81,8)=LEFT($AZ$16,8), LEFT('6.Inland wetlands'!$K81,8)=LEFT($AZ$17,8))),'6.Inland wetlands'!$N81,0),0)</f>
        <v/>
      </c>
      <c r="BS52" s="1354">
        <f>IF(LEFT('6.Inland wetlands'!$I81,8)=LEFT($BN$53,8),IF(LEFT('6.Inland wetlands'!$K81,8)=LEFT(BS$50,8),'6.Inland wetlands'!$N81,0),0)</f>
        <v/>
      </c>
      <c r="BT52" s="1354">
        <f>IF(LEFT('6.Inland wetlands'!$I81,8)=LEFT($BN$53,8),IF(LEFT('6.Inland wetlands'!$K81,8)=LEFT(BT$50,8),'6.Inland wetlands'!$N81,0),0)</f>
        <v/>
      </c>
      <c r="BU52" s="973" t="n"/>
      <c r="BX52" s="973" t="n"/>
      <c r="BY52" s="1365" t="inlineStr">
        <is>
          <t>START</t>
        </is>
      </c>
      <c r="BZ52" s="1354">
        <f>IF(LEFT('6.Inland wetlands'!$I81,8)=LEFT($BY$8,8),IF(LEFT('6.Inland wetlands'!$K81,8)=LEFT(BZ$5,8),'6.Inland wetlands'!$N81,0),0)</f>
        <v/>
      </c>
      <c r="CA52" s="1354">
        <f>IF(LEFT('6.Inland wetlands'!$I81,8)=LEFT($BY$8,8),IF(LEFT('6.Inland wetlands'!$K81,8)=LEFT(CA$5,8),'6.Inland wetlands'!$N81,0),0)</f>
        <v/>
      </c>
      <c r="CB52" s="1354">
        <f>IF(LEFT('6.Inland wetlands'!$I81,8)=LEFT($BY$8,8),IF(LEFT('6.Inland wetlands'!$K81,8)=LEFT(CB$5,8),'6.Inland wetlands'!$N81,0),0)</f>
        <v/>
      </c>
      <c r="CC52" s="1354">
        <f>IF(LEFT('6.Inland wetlands'!$I81,8)=LEFT($BY$8,8),IF((OR(LEFT('6.Inland wetlands'!$K81,8)=LEFT(CC$5,8),LEFT('6.Inland wetlands'!$K81,8)=LEFT(AZ$3,8),LEFT('6.Inland wetlands'!$K81,8)=LEFT(AZ$4,8),LEFT('6.Inland wetlands'!$K81,8)=LEFT($AZ$5,8),LEFT('6.Inland wetlands'!$K81,8)=LEFT($AZ$6,8),LEFT('6.Inland wetlands'!$K81,8)=LEFT($AZ$7,8),LEFT('6.Inland wetlands'!$K81,8)=LEFT($AZ$8,8), LEFT('6.Inland wetlands'!$K81,8)=LEFT($AZ$9,8),  LEFT('6.Inland wetlands'!$K81,8)=LEFT($AZ$10,8), LEFT('6.Inland wetlands'!$K81,8)=LEFT($AZ$11,8),   LEFT('6.Inland wetlands'!$K81,8)=LEFT($AZ$12,8), LEFT('6.Inland wetlands'!$K81,8)=LEFT($AZ$13,8), LEFT('6.Inland wetlands'!$K81,8)=LEFT($AZ$14,8), LEFT('6.Inland wetlands'!$K81,8)=LEFT($AZ$15,8), LEFT('6.Inland wetlands'!$K81,8)=LEFT($AZ$16,8), LEFT('6.Inland wetlands'!$K81,8)=LEFT($AZ$17,8))),'6.Inland wetlands'!$N81,0),0)</f>
        <v/>
      </c>
      <c r="CD52" s="1354">
        <f>IF(LEFT('6.Inland wetlands'!$I81,8)=LEFT($BY$8,8),IF(LEFT('6.Inland wetlands'!$K81,8)=LEFT(CD$5,8),'6.Inland wetlands'!$N81,0),0)</f>
        <v/>
      </c>
      <c r="CE52" s="1354">
        <f>IF(LEFT('6.Inland wetlands'!$I81,8)=LEFT($BY$8,8),IF(LEFT('6.Inland wetlands'!$K81,8)=LEFT(CE$5,8),'6.Inland wetlands'!$N81,0),0)</f>
        <v/>
      </c>
      <c r="CF52" s="973" t="n"/>
      <c r="CI52" s="973" t="n"/>
      <c r="CJ52" s="1365" t="inlineStr">
        <is>
          <t>START</t>
        </is>
      </c>
      <c r="CK52" s="1354">
        <f>IF(LEFT('6.Inland wetlands'!$I81,8)=LEFT($CJ$8,8),IF(LEFT('6.Inland wetlands'!$K81,8)=LEFT(CK$5,8),'6.Inland wetlands'!$N81,0),0)</f>
        <v/>
      </c>
      <c r="CL52" s="1354">
        <f>IF(LEFT('6.Inland wetlands'!$I81,8)=LEFT($CJ$8,8),IF(LEFT('6.Inland wetlands'!$K81,8)=LEFT(CL$5,8),'6.Inland wetlands'!$N81,0),0)</f>
        <v/>
      </c>
      <c r="CM52" s="1355">
        <f>IF(LEFT('6.Inland wetlands'!$I81,8)=LEFT($CJ$8,8),IF(LEFT('6.Inland wetlands'!$K81,8)=LEFT(CM$5,8),'6.Inland wetlands'!$N81,0),0)</f>
        <v/>
      </c>
      <c r="CN52" s="1354">
        <f>IF(LEFT('6.Inland wetlands'!$I81,8)=LEFT($CJ$8,8),IF((OR(LEFT('6.Inland wetlands'!$K81,8)=LEFT(CN$5,8),LEFT('6.Inland wetlands'!$K81,8)=LEFT($AZ$3,8),LEFT('6.Inland wetlands'!$K81,8)=LEFT($AZ$4,8),LEFT('6.Inland wetlands'!$K81,8)=LEFT($AZ$5,8),LEFT('6.Inland wetlands'!$K81,8)=LEFT($AZ$6,8),LEFT('6.Inland wetlands'!$K81,8)=LEFT($AZ$7,8),LEFT('6.Inland wetlands'!$K81,8)=LEFT($AZ$8,8), LEFT('6.Inland wetlands'!$K81,8)=LEFT($AZ$9,8),  LEFT('6.Inland wetlands'!$K81,8)=LEFT($AZ$10,8), LEFT('6.Inland wetlands'!$K81,8)=LEFT($AZ$11,8),   LEFT('6.Inland wetlands'!$K81,8)=LEFT($AZ$12,8), LEFT('6.Inland wetlands'!$K81,8)=LEFT($AZ$13,8), LEFT('6.Inland wetlands'!$K81,8)=LEFT($AZ$14,8), LEFT('6.Inland wetlands'!$K81,8)=LEFT($AZ$15,8), LEFT('6.Inland wetlands'!$K81,8)=LEFT($AZ$16,8), LEFT('6.Inland wetlands'!$K81,8)=LEFT($AZ$17,8))),'6.Inland wetlands'!$N81,0),0)</f>
        <v/>
      </c>
      <c r="CO52" s="1357">
        <f>IF(LEFT('6.Inland wetlands'!$I81,8)=LEFT($CJ$8,8),IF(LEFT('6.Inland wetlands'!$K81,8)=LEFT(CO$5,8),'6.Inland wetlands'!$N81,0),0)</f>
        <v/>
      </c>
      <c r="CP52" s="1354">
        <f>IF(LEFT('6.Inland wetlands'!$I81,8)=LEFT($CJ$8,8),IF(LEFT('6.Inland wetlands'!$K81,8)=LEFT(CP$5,8),'6.Inland wetlands'!$N81,0),0)</f>
        <v/>
      </c>
      <c r="CQ52" s="973" t="n"/>
      <c r="CT52" s="973" t="n"/>
      <c r="CU52" s="1365" t="inlineStr">
        <is>
          <t>START</t>
        </is>
      </c>
      <c r="CV52" s="1355">
        <f>IF(LEFT('6.Inland wetlands'!$I81,8)=LEFT($CU$53,8),IF(LEFT('6.Inland wetlands'!$K81,8)=LEFT(CV$50,8),'6.Inland wetlands'!$N81,0),0)</f>
        <v/>
      </c>
      <c r="CW52" s="1355">
        <f>IF(LEFT('6.Inland wetlands'!$I81,8)=LEFT($CU$53,8),IF(LEFT('6.Inland wetlands'!$K81,8)=LEFT(CW$50,8),'6.Inland wetlands'!$N81,0),0)</f>
        <v/>
      </c>
      <c r="CX52" s="1355">
        <f>IF(LEFT('6.Inland wetlands'!$I81,8)=LEFT($CU$53,8),IF(LEFT('6.Inland wetlands'!$K81,8)=LEFT(CX$50,8),'6.Inland wetlands'!$N81,0),0)</f>
        <v/>
      </c>
      <c r="CY52" s="1354">
        <f>IF(LEFT('6.Inland wetlands'!$I81,8)=LEFT($CU$53,8),IF((OR(LEFT('6.Inland wetlands'!$K81,8)=LEFT($CY$50,8),LEFT('6.Inland wetlands'!$K81,8)=LEFT($AZ$3,8),LEFT('6.Inland wetlands'!$K81,8)=LEFT($AZ$4,8),LEFT('6.Inland wetlands'!$K81,8)=LEFT($AZ$5,8),LEFT('6.Inland wetlands'!$K81,8)=LEFT($AZ$6,8),LEFT('6.Inland wetlands'!$K81,8)=LEFT($AZ$7,8),LEFT('6.Inland wetlands'!$K81,8)=LEFT($AZ$8,8), LEFT('6.Inland wetlands'!$K81,8)=LEFT($AZ$9,8),  LEFT('6.Inland wetlands'!$K81,8)=LEFT($AZ$10,8), LEFT('6.Inland wetlands'!$K81,8)=LEFT($AZ$11,8),   LEFT('6.Inland wetlands'!$K81,8)=LEFT($AZ$12,8), LEFT('6.Inland wetlands'!$K81,8)=LEFT($AZ$13,8), LEFT('6.Inland wetlands'!$K81,8)=LEFT($AZ$14,8), LEFT('6.Inland wetlands'!$K81,8)=LEFT($AZ$15,8), LEFT('6.Inland wetlands'!$K81,8)=LEFT($AZ$16,8), LEFT('6.Inland wetlands'!$K81,8)=LEFT($AZ$17,8))),'6.Inland wetlands'!$N81,0),0)</f>
        <v/>
      </c>
      <c r="CZ52" s="1104">
        <f>IF(LEFT('6.Inland wetlands'!$I81,8)=LEFT($CU$53,8),IF(LEFT('6.Inland wetlands'!$K81,8)=LEFT(CZ$50,8),'6.Inland wetlands'!$N81,0),0)</f>
        <v/>
      </c>
      <c r="DA52" s="1354">
        <f>IF(LEFT('6.Inland wetlands'!$I81,8)=LEFT($CU$53,8),IF(LEFT('6.Inland wetlands'!$K81,8)=LEFT(DA$50,8),'6.Inland wetlands'!$N81,0),0)</f>
        <v/>
      </c>
      <c r="DB52" s="973" t="n"/>
      <c r="DE52" s="973" t="n"/>
      <c r="DF52" s="1365" t="inlineStr">
        <is>
          <t>START</t>
        </is>
      </c>
      <c r="DG52" s="1355">
        <f>IF(LEFT('6.Inland wetlands'!$I81,8)=LEFT($DF$53,8),IF(LEFT('6.Inland wetlands'!$K81,8)=LEFT(DG$50,8),'6.Inland wetlands'!$N81,0),0)</f>
        <v/>
      </c>
      <c r="DH52" s="1355">
        <f>IF(LEFT('6.Inland wetlands'!$I81,8)=LEFT($DF$53,8),IF(LEFT('6.Inland wetlands'!$K81,8)=LEFT(DH$50,8),'6.Inland wetlands'!$N81,0),0)</f>
        <v/>
      </c>
      <c r="DI52" s="1355">
        <f>IF(LEFT('6.Inland wetlands'!$I81,8)=LEFT($DF$53,8),IF(LEFT('6.Inland wetlands'!$K81,8)=LEFT(DI$50,8),'6.Inland wetlands'!$N81,0),0)</f>
        <v/>
      </c>
      <c r="DJ52" s="1354">
        <f>IF(LEFT('6.Inland wetlands'!$I81,8)=LEFT($DF$53,8),IF((OR(LEFT('6.Inland wetlands'!$K81,8)=LEFT($DJ51,8),LEFT('6.Inland wetlands'!$K81,8)=LEFT($AZ$3,8),LEFT('6.Inland wetlands'!$K81,8)=LEFT($AZ$4,8),LEFT('6.Inland wetlands'!$K81,8)=LEFT($AZ$5,8),LEFT('6.Inland wetlands'!$K81,8)=LEFT($AZ$6,8),LEFT('6.Inland wetlands'!$K81,8)=LEFT($AZ$7,8),LEFT('6.Inland wetlands'!$K81,8)=LEFT($AZ$8,8), LEFT('6.Inland wetlands'!$K81,8)=LEFT($AZ$9,8),  LEFT('6.Inland wetlands'!$K81,8)=LEFT($AZ$10,8), LEFT('6.Inland wetlands'!$K81,8)=LEFT($AZ$11,8),   LEFT('6.Inland wetlands'!$K81,8)=LEFT($AZ$12,8), LEFT('6.Inland wetlands'!$K81,8)=LEFT($AZ$13,8), LEFT('6.Inland wetlands'!$K81,8)=LEFT($AZ$14,8), LEFT('6.Inland wetlands'!$K81,8)=LEFT($AZ$15,8), LEFT('6.Inland wetlands'!$K81,8)=LEFT($AZ$16,8), LEFT('6.Inland wetlands'!$K81,8)=LEFT($AZ$17,8))),'6.Inland wetlands'!$N81,0),0)</f>
        <v/>
      </c>
      <c r="DK52" s="1355">
        <f>IF(LEFT('6.Inland wetlands'!$I81,8)=LEFT($DF$53,8),IF(LEFT('6.Inland wetlands'!$K81,8)=LEFT(DK$50,8),'6.Inland wetlands'!$N81,0),0)</f>
        <v/>
      </c>
      <c r="DL52" s="1354">
        <f>IF(LEFT('6.Inland wetlands'!$I81,8)=LEFT($DF$53,8),IF(LEFT('6.Inland wetlands'!$K81,8)=LEFT(DL$50,8),'6.Inland wetlands'!$N81,0),0)</f>
        <v/>
      </c>
    </row>
    <row r="53">
      <c r="B53" s="1443" t="inlineStr">
        <is>
          <t>Other land use changes</t>
        </is>
      </c>
      <c r="C53" s="1444" t="n"/>
      <c r="D53" s="973" t="n"/>
      <c r="F53" s="1368" t="n"/>
      <c r="G53" s="1369" t="n"/>
      <c r="H53" s="1370" t="inlineStr">
        <is>
          <t>Flooded rice</t>
        </is>
      </c>
      <c r="I53" s="3144">
        <f>AK57</f>
        <v/>
      </c>
      <c r="J53" s="3143">
        <f>BO57</f>
        <v/>
      </c>
      <c r="K53" s="3143">
        <f>BR57</f>
        <v/>
      </c>
      <c r="L53" s="2851">
        <f>SUMIF('Inl. wetlands'!$C413:$C418,$L$49,'Inl. wetlands'!$F413:$F418)+MAX(SUM(I69:K69,M69:O69),(I53:K53,M53:O53))-SUM(I53:K53,M53:O53)</f>
        <v/>
      </c>
      <c r="M53" s="3143">
        <f>BS57</f>
        <v/>
      </c>
      <c r="N53" s="3143">
        <f>BQ57</f>
        <v/>
      </c>
      <c r="O53" s="3143">
        <f>BT57+BP57</f>
        <v/>
      </c>
      <c r="P53" s="3143">
        <f>SUM(I53:O53)</f>
        <v/>
      </c>
      <c r="S53" s="1576" t="n"/>
      <c r="T53" s="1414" t="inlineStr">
        <is>
          <t>FL converted to…</t>
        </is>
      </c>
      <c r="U53" s="1420">
        <f>IF('6.Inland wetlands'!$I15 = $U$50, 1,0)* 'Inl. wetlands'!$S38</f>
        <v/>
      </c>
      <c r="V53" s="1421">
        <f>IF('6.Inland wetlands'!$I15 = $V$50, 1,0)* 'Inl. wetlands'!$S38</f>
        <v/>
      </c>
      <c r="W53" s="1421">
        <f>IF('6.Inland wetlands'!$I15 = $W$50, 1,0)* 'Inl. wetlands'!$S38</f>
        <v/>
      </c>
      <c r="X53" s="1421">
        <f>IF('6.Inland wetlands'!$I15 = $X$50, 1,0)* 'Inl. wetlands'!$S38</f>
        <v/>
      </c>
      <c r="Y53" s="1421">
        <f>IF('6.Inland wetlands'!$I15 = $Y$50, 1,0)* 'Inl. wetlands'!$S38</f>
        <v/>
      </c>
      <c r="Z53" s="1421">
        <f>IF('6.Inland wetlands'!$I15 = $Z$50, 1,0)* 'Inl. wetlands'!$S38</f>
        <v/>
      </c>
      <c r="AA53" s="1422">
        <f>IF('6.Inland wetlands'!$I15 = $AA$50, 1,0)* 'Inl. wetlands'!$S38</f>
        <v/>
      </c>
      <c r="AE53" s="1418" t="n"/>
      <c r="AF53" s="1414" t="inlineStr">
        <is>
          <t>FL converted to…</t>
        </is>
      </c>
      <c r="AG53" s="1420">
        <f>IF(AG$50='6.Inland wetlands'!$I48, '6.Inland wetlands'!$N48,0)</f>
        <v/>
      </c>
      <c r="AH53" s="1421">
        <f>IF(AH$50='6.Inland wetlands'!$I48, '6.Inland wetlands'!$N48,0)</f>
        <v/>
      </c>
      <c r="AI53" s="1421">
        <f>IF(AI$50='6.Inland wetlands'!$I48, '6.Inland wetlands'!$N48,0)</f>
        <v/>
      </c>
      <c r="AJ53" s="1421">
        <f>IF(AJ$50='6.Inland wetlands'!$I48, '6.Inland wetlands'!$N48,0)</f>
        <v/>
      </c>
      <c r="AK53" s="1421">
        <f>IF(AK$50='6.Inland wetlands'!$I48, '6.Inland wetlands'!$N48,0)</f>
        <v/>
      </c>
      <c r="AL53" s="1421">
        <f>IF(AL$50='6.Inland wetlands'!$I48, '6.Inland wetlands'!$N48,0)</f>
        <v/>
      </c>
      <c r="AM53" s="1422">
        <f>IF(AM$50='6.Inland wetlands'!$I48, '6.Inland wetlands'!$N48,0)</f>
        <v/>
      </c>
      <c r="AN53" s="973" t="n"/>
      <c r="AQ53" s="973" t="n"/>
      <c r="AR53" s="1354" t="inlineStr">
        <is>
          <t>Annual cropland</t>
        </is>
      </c>
      <c r="AS53" s="1354">
        <f>IF(LEFT('6.Inland wetlands'!$I82,8)=LEFT($AR$53,8),IF(LEFT('6.Inland wetlands'!$K82,8)=LEFT(AS$50,8), '6.Inland wetlands'!$N82,0),0)</f>
        <v/>
      </c>
      <c r="AT53" s="1354">
        <f>IF(LEFT('6.Inland wetlands'!$I82,8)=LEFT($AR$53,8),IF(LEFT('6.Inland wetlands'!$K82,8)=LEFT(AT$50,8), '6.Inland wetlands'!$N82,0),0)</f>
        <v/>
      </c>
      <c r="AU53" s="1354">
        <f>IF(LEFT('6.Inland wetlands'!$I82,8)=LEFT($AR$53,8),IF(LEFT('6.Inland wetlands'!$K82,8)=LEFT(AU$50,8), '6.Inland wetlands'!$N82,0),0)</f>
        <v/>
      </c>
      <c r="AV53" s="1354">
        <f>IF(LEFT('6.Inland wetlands'!$I82,8)=LEFT($AR$53,8),IF(LEFT('6.Inland wetlands'!$K82,8)=LEFT(AV$50,8), '6.Inland wetlands'!$N82,0),0)</f>
        <v/>
      </c>
      <c r="AW53" s="1354">
        <f>IF(LEFT('6.Inland wetlands'!$I82,8)=LEFT($AR$53,8),IF(LEFT('6.Inland wetlands'!$K82,8)=LEFT(AW$50,8), '6.Inland wetlands'!$N82,0),0)</f>
        <v/>
      </c>
      <c r="AX53" s="1354">
        <f>IF(LEFT('6.Inland wetlands'!$I82,8)=LEFT($AR$53,8),IF((OR(LEFT('6.Inland wetlands'!$K82,8)=LEFT(AX$50,8),LEFT('6.Inland wetlands'!$K82,8)=LEFT($AZ$3,8),LEFT('6.Inland wetlands'!$K82,8)=LEFT($AZ$4,8),LEFT('6.Inland wetlands'!$K82,8)=LEFT($AZ$5,8),LEFT('6.Inland wetlands'!$K82,8)=LEFT($AZ$6,8),LEFT('6.Inland wetlands'!$K82,8)=LEFT($AZ$7,8),LEFT('6.Inland wetlands'!$K82,8)=LEFT($AZ$8,8), LEFT('6.Inland wetlands'!$K82,8)=LEFT($AZ$9,8),  LEFT('6.Inland wetlands'!$K82,8)=LEFT($AZ$10,8), LEFT('6.Inland wetlands'!$K82,8)=LEFT($AZ$11,8),   LEFT('6.Inland wetlands'!$K82,8)=LEFT($AZ$12,8), LEFT('6.Inland wetlands'!$K82,8)=LEFT($AZ$13,8), LEFT('6.Inland wetlands'!$K82,8)=LEFT($AZ$14,8), LEFT('6.Inland wetlands'!$K82,8)=LEFT($AZ$15,8), LEFT('6.Inland wetlands'!$K82,8)=LEFT($AZ$16,8), LEFT('6.Inland wetlands'!$K82,8)=LEFT($AZ$17,8))),'6.Inland wetlands'!$N82,0),0)</f>
        <v/>
      </c>
      <c r="AZ53" s="1345" t="inlineStr">
        <is>
          <t>Shaded Perennial</t>
        </is>
      </c>
      <c r="BB53" s="973" t="n"/>
      <c r="BC53" s="1354" t="inlineStr">
        <is>
          <t>Agroforestry</t>
        </is>
      </c>
      <c r="BD53" s="1354">
        <f>IF((OR(LEFT('6.Inland wetlands'!$I82,8)=LEFT(Matrix!$BC$53,8), LEFT('6.Inland wetlands'!$I82,8)=LEFT(Matrix!$AZ$44,8), LEFT('6.Inland wetlands'!$I82,8)=LEFT(Matrix!$AZ$45,8), LEFT('6.Inland wetlands'!$I82,8)=LEFT(Matrix!$AZ$46,8), LEFT('6.Inland wetlands'!$I82,8)=LEFT(Matrix!AZ$47,8), LEFT('6.Inland wetlands'!$I82,8)=LEFT(Matrix!$AZ$48,8),  LEFT('6.Inland wetlands'!$I82,8)=LEFT(Matrix!$AZ$49,8), LEFT('6.Inland wetlands'!$I82,8)=LEFT(Matrix!$AZ$50,8), LEFT('6.Inland wetlands'!$I82,8)=LEFT(Matrix!$AZ$51,8), LEFT('6.Inland wetlands'!$I82,8)=LEFT(Matrix!$AZ$52,8), LEFT('6.Inland wetlands'!$I82,8)=LEFT(Matrix!$AZ$53,8), LEFT('6.Inland wetlands'!$I82,8)=LEFT(Matrix!$AZ$54,8), LEFT('6.Inland wetlands'!$I82,8)=LEFT(Matrix!$AZ$55,8), LEFT('6.Inland wetlands'!$I82,8)=LEFT(Matrix!$AZ$56,8), LEFT('6.Inland wetlands'!$I82,8)=LEFT(Matrix!$AZ$57,8), LEFT('6.Inland wetlands'!$I82,8)=LEFT(Matrix!$AZ$58,8))), IF(LEFT('6.Inland wetlands'!$K82,8)=LEFT(Matrix!BD$50,8), '6.Inland wetlands'!$N82, 0),0)</f>
        <v/>
      </c>
      <c r="BE53" s="1354">
        <f>IF((OR(LEFT('6.Inland wetlands'!$I82,8)=LEFT(Matrix!$BC$53,8), LEFT('6.Inland wetlands'!$I82,8)=LEFT(Matrix!$AZ$44,8), LEFT('6.Inland wetlands'!$I82,8)=LEFT(Matrix!$AZ$45,8), LEFT('6.Inland wetlands'!$I82,8)=LEFT(Matrix!$AZ$46,8), LEFT('6.Inland wetlands'!$I82,8)=LEFT(Matrix!BA$47,8), LEFT('6.Inland wetlands'!$I82,8)=LEFT(Matrix!$AZ$48,8),  LEFT('6.Inland wetlands'!$I82,8)=LEFT(Matrix!$AZ$49,8), LEFT('6.Inland wetlands'!$I82,8)=LEFT(Matrix!$AZ$50,8), LEFT('6.Inland wetlands'!$I82,8)=LEFT(Matrix!$AZ$51,8), LEFT('6.Inland wetlands'!$I82,8)=LEFT(Matrix!$AZ$52,8), LEFT('6.Inland wetlands'!$I82,8)=LEFT(Matrix!$AZ$53,8), LEFT('6.Inland wetlands'!$I82,8)=LEFT(Matrix!$AZ$54,8), LEFT('6.Inland wetlands'!$I82,8)=LEFT(Matrix!$AZ$55,8), LEFT('6.Inland wetlands'!$I82,8)=LEFT(Matrix!$AZ$56,8), LEFT('6.Inland wetlands'!$I82,8)=LEFT(Matrix!$AZ$57,8), LEFT('6.Inland wetlands'!$I82,8)=LEFT(Matrix!$AZ$58,8))), IF(LEFT('6.Inland wetlands'!$K82,8)=LEFT(Matrix!BE$50,8), '6.Inland wetlands'!$N82, 0),0)</f>
        <v/>
      </c>
      <c r="BF53" s="1354">
        <f>IF((OR(LEFT('6.Inland wetlands'!$I82,8)=LEFT(Matrix!$BC$53,8), LEFT('6.Inland wetlands'!$I82,8)=LEFT(Matrix!$AZ$44,8), LEFT('6.Inland wetlands'!$I82,8)=LEFT(Matrix!$AZ$45,8), LEFT('6.Inland wetlands'!$I82,8)=LEFT(Matrix!$AZ$46,8), LEFT('6.Inland wetlands'!$I82,8)=LEFT(Matrix!BB$47,8), LEFT('6.Inland wetlands'!$I82,8)=LEFT(Matrix!$AZ$48,8),  LEFT('6.Inland wetlands'!$I82,8)=LEFT(Matrix!$AZ$49,8), LEFT('6.Inland wetlands'!$I82,8)=LEFT(Matrix!$AZ$50,8), LEFT('6.Inland wetlands'!$I82,8)=LEFT(Matrix!$AZ$51,8), LEFT('6.Inland wetlands'!$I82,8)=LEFT(Matrix!$AZ$52,8), LEFT('6.Inland wetlands'!$I82,8)=LEFT(Matrix!$AZ$53,8), LEFT('6.Inland wetlands'!$I82,8)=LEFT(Matrix!$AZ$54,8), LEFT('6.Inland wetlands'!$I82,8)=LEFT(Matrix!$AZ$55,8), LEFT('6.Inland wetlands'!$I82,8)=LEFT(Matrix!$AZ$56,8), LEFT('6.Inland wetlands'!$I82,8)=LEFT(Matrix!$AZ$57,8), LEFT('6.Inland wetlands'!$I82,8)=LEFT(Matrix!$AZ$58,8))), IF(LEFT('6.Inland wetlands'!$K82,8)=LEFT(Matrix!BF$50,8), '6.Inland wetlands'!$N82, 0),0)</f>
        <v/>
      </c>
      <c r="BG53" s="1354">
        <f>IF((OR(LEFT('6.Inland wetlands'!$I82,8)=LEFT(Matrix!$BC$53,8), LEFT('6.Inland wetlands'!$I82,8)=LEFT(Matrix!$AZ$44,8), LEFT('6.Inland wetlands'!$I82,8)=LEFT(Matrix!$AZ$45,8), LEFT('6.Inland wetlands'!$I82,8)=LEFT(Matrix!$AZ$46,8), LEFT('6.Inland wetlands'!$I82,8)=LEFT(Matrix!BC$47,8), LEFT('6.Inland wetlands'!$I82,8)=LEFT(Matrix!$AZ$48,8),  LEFT('6.Inland wetlands'!$I82,8)=LEFT(Matrix!$AZ$49,8), LEFT('6.Inland wetlands'!$I82,8)=LEFT(Matrix!$AZ$50,8), LEFT('6.Inland wetlands'!$I82,8)=LEFT(Matrix!$AZ$51,8), LEFT('6.Inland wetlands'!$I82,8)=LEFT(Matrix!$AZ$52,8), LEFT('6.Inland wetlands'!$I82,8)=LEFT(Matrix!$AZ$53,8), LEFT('6.Inland wetlands'!$I82,8)=LEFT(Matrix!$AZ$54,8), LEFT('6.Inland wetlands'!$I82,8)=LEFT(Matrix!$AZ$55,8), LEFT('6.Inland wetlands'!$I82,8)=LEFT(Matrix!$AZ$56,8), LEFT('6.Inland wetlands'!$I82,8)=LEFT(Matrix!$AZ$57,8), LEFT('6.Inland wetlands'!$I82,8)=LEFT(Matrix!$AZ$58,8))), IF(LEFT('6.Inland wetlands'!$K82,8)=LEFT(Matrix!BG$50,8), '6.Inland wetlands'!$N82, 0),0)</f>
        <v/>
      </c>
      <c r="BH53" s="1354">
        <f>IF((OR(LEFT('6.Inland wetlands'!$I82,8)=LEFT(Matrix!$BC$53,8), LEFT('6.Inland wetlands'!$I82,8)=LEFT(Matrix!$AZ$44,8), LEFT('6.Inland wetlands'!$I82,8)=LEFT(Matrix!$AZ$45,8), LEFT('6.Inland wetlands'!$I82,8)=LEFT(Matrix!$AZ$46,8), LEFT('6.Inland wetlands'!$I82,8)=LEFT(Matrix!BD$47,8), LEFT('6.Inland wetlands'!$I82,8)=LEFT(Matrix!$AZ$48,8),  LEFT('6.Inland wetlands'!$I82,8)=LEFT(Matrix!$AZ$49,8), LEFT('6.Inland wetlands'!$I82,8)=LEFT(Matrix!$AZ$50,8), LEFT('6.Inland wetlands'!$I82,8)=LEFT(Matrix!$AZ$51,8), LEFT('6.Inland wetlands'!$I82,8)=LEFT(Matrix!$AZ$52,8), LEFT('6.Inland wetlands'!$I82,8)=LEFT(Matrix!$AZ$53,8), LEFT('6.Inland wetlands'!$I82,8)=LEFT(Matrix!$AZ$54,8), LEFT('6.Inland wetlands'!$I82,8)=LEFT(Matrix!$AZ$55,8), LEFT('6.Inland wetlands'!$I82,8)=LEFT(Matrix!$AZ$56,8), LEFT('6.Inland wetlands'!$I82,8)=LEFT(Matrix!$AZ$57,8), LEFT('6.Inland wetlands'!$I82,8)=LEFT(Matrix!$AZ$58,8))), IF(LEFT('6.Inland wetlands'!$K82,8)=LEFT(Matrix!BH$50,8), '6.Inland wetlands'!$N82, 0),0)</f>
        <v/>
      </c>
      <c r="BI53" s="1354">
        <f>IF((OR(LEFT('6.Inland wetlands'!$I82,8)=LEFT(Matrix!$BC$53,8), LEFT('6.Inland wetlands'!$I82,8)=LEFT(Matrix!$AZ$44,8), LEFT('6.Inland wetlands'!$I82,8)=LEFT(Matrix!$AZ$45,8), LEFT('6.Inland wetlands'!$I82,8)=LEFT(Matrix!$AZ$46,8), LEFT('6.Inland wetlands'!$I82,8)=LEFT(Matrix!BE$47,8), LEFT('6.Inland wetlands'!$I82,8)=LEFT(Matrix!$AZ$48,8),  LEFT('6.Inland wetlands'!$I82,8)=LEFT(Matrix!$AZ$49,8), LEFT('6.Inland wetlands'!$I82,8)=LEFT(Matrix!$AZ$50,8), LEFT('6.Inland wetlands'!$I82,8)=LEFT(Matrix!$AZ$51,8), LEFT('6.Inland wetlands'!$I82,8)=LEFT(Matrix!$AZ$52,8), LEFT('6.Inland wetlands'!$I82,8)=LEFT(Matrix!$AZ$53,8), LEFT('6.Inland wetlands'!$I82,8)=LEFT(Matrix!$AZ$54,8), LEFT('6.Inland wetlands'!$I82,8)=LEFT(Matrix!$AZ$55,8), LEFT('6.Inland wetlands'!$I82,8)=LEFT(Matrix!$AZ$56,8), LEFT('6.Inland wetlands'!$I82,8)=LEFT(Matrix!$AZ$57,8), LEFT('6.Inland wetlands'!$I82,8)=LEFT(Matrix!$AZ$58,8))), IF(LEFT('6.Inland wetlands'!$K82,8)=LEFT(Matrix!BI$50,8), '6.Inland wetlands'!$N82, 0),0)</f>
        <v/>
      </c>
      <c r="BJ53" s="973" t="n"/>
      <c r="BM53" s="973" t="n"/>
      <c r="BN53" s="1355" t="inlineStr">
        <is>
          <t>Flooded rice</t>
        </is>
      </c>
      <c r="BO53" s="1354">
        <f>IF(LEFT('6.Inland wetlands'!$I82,8)=LEFT($BN$53,8),IF(LEFT('6.Inland wetlands'!$K82,8)=LEFT(BO$50,8),'6.Inland wetlands'!$N82,0),0)</f>
        <v/>
      </c>
      <c r="BP53" s="1354">
        <f>IF(LEFT('6.Inland wetlands'!$I82,8)=LEFT($BN$53,8),IF(LEFT('6.Inland wetlands'!$K82,8)=LEFT(BP$50,8),'6.Inland wetlands'!$N82,0),0)</f>
        <v/>
      </c>
      <c r="BQ53" s="1354">
        <f>IF(LEFT('6.Inland wetlands'!$I82,8)=LEFT($BN$53,8),IF(LEFT('6.Inland wetlands'!$K82,8)=LEFT(BQ$50,8),'6.Inland wetlands'!$N82,0),0)</f>
        <v/>
      </c>
      <c r="BR53" s="1354">
        <f>IF(LEFT('6.Inland wetlands'!$I82,8)=LEFT($BN$53,8),IF((OR(LEFT('6.Inland wetlands'!$K82,8)=LEFT(BR$50,8),LEFT('6.Inland wetlands'!$K82,8)=LEFT($AZ$3,8), LEFT('6.Inland wetlands'!$K82,8)=LEFT($AZ$4,9),LEFT('6.Inland wetlands'!$K82,8)=LEFT($AZ$5,8),LEFT('6.Inland wetlands'!$K82,8)=LEFT($AZ$6,8),LEFT('6.Inland wetlands'!$K82,8)=LEFT($AZ$7,8),LEFT('6.Inland wetlands'!$K82,8)=LEFT($AZ$8,8), LEFT('6.Inland wetlands'!$K82,8)=LEFT($AZ$9,8),  LEFT('6.Inland wetlands'!$K82,8)=LEFT($AZ$10,8), LEFT('6.Inland wetlands'!$K82,8)=LEFT($AZ$11,8),   LEFT('6.Inland wetlands'!$K82,8)=LEFT($AZ$12,8), LEFT('6.Inland wetlands'!$K82,8)=LEFT($AZ$13,8), LEFT('6.Inland wetlands'!$K82,8)=LEFT($AZ$14,8), LEFT('6.Inland wetlands'!$K82,8)=LEFT($AZ$15,8), LEFT('6.Inland wetlands'!$K82,8)=LEFT($AZ$16,8), LEFT('6.Inland wetlands'!$K82,8)=LEFT($AZ$17,8))),'6.Inland wetlands'!$N82,0),0)</f>
        <v/>
      </c>
      <c r="BS53" s="1354">
        <f>IF(LEFT('6.Inland wetlands'!$I82,8)=LEFT($BN$53,8),IF(LEFT('6.Inland wetlands'!$K82,8)=LEFT(BS$50,8),'6.Inland wetlands'!$N82,0),0)</f>
        <v/>
      </c>
      <c r="BT53" s="1354">
        <f>IF(LEFT('6.Inland wetlands'!$I82,8)=LEFT($BN$53,8),IF(LEFT('6.Inland wetlands'!$K82,8)=LEFT(BT$50,8),'6.Inland wetlands'!$N82,0),0)</f>
        <v/>
      </c>
      <c r="BU53" s="973" t="n"/>
      <c r="BX53" s="973" t="n"/>
      <c r="BY53" s="1355" t="inlineStr">
        <is>
          <t>Annual fallow</t>
        </is>
      </c>
      <c r="BZ53" s="1354">
        <f>IF(LEFT('6.Inland wetlands'!$I82,8)=LEFT($BY$8,8),IF(LEFT('6.Inland wetlands'!$K82,8)=LEFT(BZ$5,8),'6.Inland wetlands'!$N82,0),0)</f>
        <v/>
      </c>
      <c r="CA53" s="1354">
        <f>IF(LEFT('6.Inland wetlands'!$I82,8)=LEFT($BY$8,8),IF(LEFT('6.Inland wetlands'!$K82,8)=LEFT(CA$5,8),'6.Inland wetlands'!$N82,0),0)</f>
        <v/>
      </c>
      <c r="CB53" s="1354">
        <f>IF(LEFT('6.Inland wetlands'!$I82,8)=LEFT($BY$8,8),IF(LEFT('6.Inland wetlands'!$K82,8)=LEFT(CB$5,8),'6.Inland wetlands'!$N82,0),0)</f>
        <v/>
      </c>
      <c r="CC53" s="1354">
        <f>IF(LEFT('6.Inland wetlands'!$I82,8)=LEFT($BY$8,8),IF((OR(LEFT('6.Inland wetlands'!$K82,8)=LEFT(CC$5,8),LEFT('6.Inland wetlands'!$K82,8)=LEFT(AZ$3,8),LEFT('6.Inland wetlands'!$K82,8)=LEFT(AZ$4,8),LEFT('6.Inland wetlands'!$K82,8)=LEFT($AZ$5,8),LEFT('6.Inland wetlands'!$K82,8)=LEFT($AZ$6,8),LEFT('6.Inland wetlands'!$K82,8)=LEFT($AZ$7,8),LEFT('6.Inland wetlands'!$K82,8)=LEFT($AZ$8,8), LEFT('6.Inland wetlands'!$K82,8)=LEFT($AZ$9,8),  LEFT('6.Inland wetlands'!$K82,8)=LEFT($AZ$10,8), LEFT('6.Inland wetlands'!$K82,8)=LEFT($AZ$11,8),   LEFT('6.Inland wetlands'!$K82,8)=LEFT($AZ$12,8), LEFT('6.Inland wetlands'!$K82,8)=LEFT($AZ$13,8), LEFT('6.Inland wetlands'!$K82,8)=LEFT($AZ$14,8), LEFT('6.Inland wetlands'!$K82,8)=LEFT($AZ$15,8), LEFT('6.Inland wetlands'!$K82,8)=LEFT($AZ$16,8), LEFT('6.Inland wetlands'!$K82,8)=LEFT($AZ$17,8))),'6.Inland wetlands'!$N82,0),0)</f>
        <v/>
      </c>
      <c r="CD53" s="1354">
        <f>IF(LEFT('6.Inland wetlands'!$I82,8)=LEFT($BY$8,8),IF(LEFT('6.Inland wetlands'!$K82,8)=LEFT(CD$5,8),'6.Inland wetlands'!$N82,0),0)</f>
        <v/>
      </c>
      <c r="CE53" s="1354">
        <f>IF(LEFT('6.Inland wetlands'!$I82,8)=LEFT($BY$8,8),IF(LEFT('6.Inland wetlands'!$K82,8)=LEFT(CE$5,8),'6.Inland wetlands'!$N82,0),0)</f>
        <v/>
      </c>
      <c r="CF53" s="973" t="n"/>
      <c r="CI53" s="973" t="n"/>
      <c r="CJ53" s="1355" t="inlineStr">
        <is>
          <t>Grassland</t>
        </is>
      </c>
      <c r="CK53" s="1354">
        <f>IF(LEFT('6.Inland wetlands'!$I82,8)=LEFT($CJ$8,8),IF(LEFT('6.Inland wetlands'!$K82,8)=LEFT(CK$5,8),'6.Inland wetlands'!$N82,0),0)</f>
        <v/>
      </c>
      <c r="CL53" s="1354">
        <f>IF(LEFT('6.Inland wetlands'!$I82,8)=LEFT($CJ$8,8),IF(LEFT('6.Inland wetlands'!$K82,8)=LEFT(CL$5,8),'6.Inland wetlands'!$N82,0),0)</f>
        <v/>
      </c>
      <c r="CM53" s="1355">
        <f>IF(LEFT('6.Inland wetlands'!$I82,8)=LEFT($CJ$8,8),IF(LEFT('6.Inland wetlands'!$K82,8)=LEFT(CM$5,8),'6.Inland wetlands'!$N82,0),0)</f>
        <v/>
      </c>
      <c r="CN53" s="1354">
        <f>IF(LEFT('6.Inland wetlands'!$I82,8)=LEFT($CJ$8,8),IF((OR(LEFT('6.Inland wetlands'!$K82,8)=LEFT(CN$5,8),LEFT('6.Inland wetlands'!$K82,8)=LEFT($AZ$3,8),LEFT('6.Inland wetlands'!$K82,8)=LEFT($AZ$4,8),LEFT('6.Inland wetlands'!$K82,8)=LEFT($AZ$5,8),LEFT('6.Inland wetlands'!$K82,8)=LEFT($AZ$6,8),LEFT('6.Inland wetlands'!$K82,8)=LEFT($AZ$7,8),LEFT('6.Inland wetlands'!$K82,8)=LEFT($AZ$8,8), LEFT('6.Inland wetlands'!$K82,8)=LEFT($AZ$9,8),  LEFT('6.Inland wetlands'!$K82,8)=LEFT($AZ$10,8), LEFT('6.Inland wetlands'!$K82,8)=LEFT($AZ$11,8),   LEFT('6.Inland wetlands'!$K82,8)=LEFT($AZ$12,8), LEFT('6.Inland wetlands'!$K82,8)=LEFT($AZ$13,8), LEFT('6.Inland wetlands'!$K82,8)=LEFT($AZ$14,8), LEFT('6.Inland wetlands'!$K82,8)=LEFT($AZ$15,8), LEFT('6.Inland wetlands'!$K82,8)=LEFT($AZ$16,8), LEFT('6.Inland wetlands'!$K82,8)=LEFT($AZ$17,8))),'6.Inland wetlands'!$N82,0),0)</f>
        <v/>
      </c>
      <c r="CO53" s="1357">
        <f>IF(LEFT('6.Inland wetlands'!$I82,8)=LEFT($CJ$8,8),IF(LEFT('6.Inland wetlands'!$K82,8)=LEFT(CO$5,8),'6.Inland wetlands'!$N82,0),0)</f>
        <v/>
      </c>
      <c r="CP53" s="1354">
        <f>IF(LEFT('6.Inland wetlands'!$I82,8)=LEFT($CJ$8,8),IF(LEFT('6.Inland wetlands'!$K82,8)=LEFT(CP$5,8),'6.Inland wetlands'!$N82,0),0)</f>
        <v/>
      </c>
      <c r="CQ53" s="973" t="n"/>
      <c r="CT53" s="973" t="n"/>
      <c r="CU53" s="1355" t="inlineStr">
        <is>
          <t>Degraded land</t>
        </is>
      </c>
      <c r="CV53" s="1355">
        <f>IF(LEFT('6.Inland wetlands'!$I82,8)=LEFT($CU$53,8),IF(LEFT('6.Inland wetlands'!$K82,8)=LEFT(CV$50,8),'6.Inland wetlands'!$N82,0),0)</f>
        <v/>
      </c>
      <c r="CW53" s="1355">
        <f>IF(LEFT('6.Inland wetlands'!$I82,8)=LEFT($CU$53,8),IF(LEFT('6.Inland wetlands'!$K82,8)=LEFT(CW$50,8),'6.Inland wetlands'!$N82,0),0)</f>
        <v/>
      </c>
      <c r="CX53" s="1355">
        <f>IF(LEFT('6.Inland wetlands'!$I82,8)=LEFT($CU$53,8),IF(LEFT('6.Inland wetlands'!$K82,8)=LEFT(CX$50,8),'6.Inland wetlands'!$N82,0),0)</f>
        <v/>
      </c>
      <c r="CY53" s="1354">
        <f>IF(LEFT('6.Inland wetlands'!$I82,8)=LEFT($CU$53,8),IF((OR(LEFT('6.Inland wetlands'!$K82,8)=LEFT($CY$50,8),LEFT('6.Inland wetlands'!$K82,8)=LEFT($AZ$3,8),LEFT('6.Inland wetlands'!$K82,8)=LEFT($AZ$4,8),LEFT('6.Inland wetlands'!$K82,8)=LEFT($AZ$5,8),LEFT('6.Inland wetlands'!$K82,8)=LEFT($AZ$6,8),LEFT('6.Inland wetlands'!$K82,8)=LEFT($AZ$7,8),LEFT('6.Inland wetlands'!$K82,8)=LEFT($AZ$8,8), LEFT('6.Inland wetlands'!$K82,8)=LEFT($AZ$9,8),  LEFT('6.Inland wetlands'!$K82,8)=LEFT($AZ$10,8), LEFT('6.Inland wetlands'!$K82,8)=LEFT($AZ$11,8),   LEFT('6.Inland wetlands'!$K82,8)=LEFT($AZ$12,8), LEFT('6.Inland wetlands'!$K82,8)=LEFT($AZ$13,8), LEFT('6.Inland wetlands'!$K82,8)=LEFT($AZ$14,8), LEFT('6.Inland wetlands'!$K82,8)=LEFT($AZ$15,8), LEFT('6.Inland wetlands'!$K82,8)=LEFT($AZ$16,8), LEFT('6.Inland wetlands'!$K82,8)=LEFT($AZ$17,8))),'6.Inland wetlands'!$N82,0),0)</f>
        <v/>
      </c>
      <c r="CZ53" s="1104">
        <f>IF(LEFT('6.Inland wetlands'!$I82,8)=LEFT($CU$53,8),IF(LEFT('6.Inland wetlands'!$K82,8)=LEFT(CZ$50,8),'6.Inland wetlands'!$N82,0),0)</f>
        <v/>
      </c>
      <c r="DA53" s="1354">
        <f>IF(LEFT('6.Inland wetlands'!$I82,8)=LEFT($CU$53,8),IF(LEFT('6.Inland wetlands'!$K82,8)=LEFT(DA$50,8),'6.Inland wetlands'!$N82,0),0)</f>
        <v/>
      </c>
      <c r="DB53" s="973" t="n"/>
      <c r="DE53" s="973" t="n"/>
      <c r="DF53" s="1355" t="inlineStr">
        <is>
          <t>Other land (non-vegetated)</t>
        </is>
      </c>
      <c r="DG53" s="1355">
        <f>IF(LEFT('6.Inland wetlands'!$I82,8)=LEFT($DF$53,8),IF(LEFT('6.Inland wetlands'!$K82,8)=LEFT(DG$50,8),'6.Inland wetlands'!$N82,0),0)</f>
        <v/>
      </c>
      <c r="DH53" s="1355">
        <f>IF(LEFT('6.Inland wetlands'!$I82,8)=LEFT($DF$53,8),IF(LEFT('6.Inland wetlands'!$K82,8)=LEFT(DH$50,8),'6.Inland wetlands'!$N82,0),0)</f>
        <v/>
      </c>
      <c r="DI53" s="1355">
        <f>IF(LEFT('6.Inland wetlands'!$I82,8)=LEFT($DF$53,8),IF(LEFT('6.Inland wetlands'!$K82,8)=LEFT(DI$50,8),'6.Inland wetlands'!$N82,0),0)</f>
        <v/>
      </c>
      <c r="DJ53" s="1354">
        <f>IF(LEFT('6.Inland wetlands'!$I82,8)=LEFT($DF$53,8),IF((OR(LEFT('6.Inland wetlands'!$K82,8)=LEFT($DJ52,8),LEFT('6.Inland wetlands'!$K82,8)=LEFT($AZ$3,8),LEFT('6.Inland wetlands'!$K82,8)=LEFT($AZ$4,8),LEFT('6.Inland wetlands'!$K82,8)=LEFT($AZ$5,8),LEFT('6.Inland wetlands'!$K82,8)=LEFT($AZ$6,8),LEFT('6.Inland wetlands'!$K82,8)=LEFT($AZ$7,8),LEFT('6.Inland wetlands'!$K82,8)=LEFT($AZ$8,8), LEFT('6.Inland wetlands'!$K82,8)=LEFT($AZ$9,8),  LEFT('6.Inland wetlands'!$K82,8)=LEFT($AZ$10,8), LEFT('6.Inland wetlands'!$K82,8)=LEFT($AZ$11,8),   LEFT('6.Inland wetlands'!$K82,8)=LEFT($AZ$12,8), LEFT('6.Inland wetlands'!$K82,8)=LEFT($AZ$13,8), LEFT('6.Inland wetlands'!$K82,8)=LEFT($AZ$14,8), LEFT('6.Inland wetlands'!$K82,8)=LEFT($AZ$15,8), LEFT('6.Inland wetlands'!$K82,8)=LEFT($AZ$16,8), LEFT('6.Inland wetlands'!$K82,8)=LEFT($AZ$17,8))),'6.Inland wetlands'!$N82,0),0)</f>
        <v/>
      </c>
      <c r="DK53" s="1355">
        <f>IF(LEFT('6.Inland wetlands'!$I82,8)=LEFT($DF$53,8),IF(LEFT('6.Inland wetlands'!$K82,8)=LEFT(DK$50,8),'6.Inland wetlands'!$N82,0),0)</f>
        <v/>
      </c>
      <c r="DL53" s="1354">
        <f>IF(LEFT('6.Inland wetlands'!$I82,8)=LEFT($DF$53,8),IF(LEFT('6.Inland wetlands'!$K82,8)=LEFT(DL$50,8),'6.Inland wetlands'!$N82,0),0)</f>
        <v/>
      </c>
    </row>
    <row r="54">
      <c r="D54" s="973" t="n"/>
      <c r="F54" s="1368" t="n"/>
      <c r="G54" s="1363" t="inlineStr">
        <is>
          <t>Grassland</t>
        </is>
      </c>
      <c r="H54" s="1364" t="inlineStr">
        <is>
          <t>Grassland</t>
        </is>
      </c>
      <c r="I54" s="3144">
        <f>AL57</f>
        <v/>
      </c>
      <c r="J54" s="3145">
        <f>CK57</f>
        <v/>
      </c>
      <c r="K54" s="3145">
        <f>CN57</f>
        <v/>
      </c>
      <c r="L54" s="3145">
        <f>CL57</f>
        <v/>
      </c>
      <c r="M54" s="2851">
        <f>SUMIF('Inl. wetlands'!$C413:$C418,$M$49,'Inl. wetlands'!$F413:$F418)+MAX(SUM(I70:L70,N70:O70), SUM(I54:L54,N54:O54))-SUM(I54:L54,N54:O54)+Coastal!$AB$15+Coastal!$AB$74</f>
        <v/>
      </c>
      <c r="N54" s="3145">
        <f>CM57</f>
        <v/>
      </c>
      <c r="O54" s="3145">
        <f>CP57+CO57</f>
        <v/>
      </c>
      <c r="P54" s="3143">
        <f>SUM(I54:O54)</f>
        <v/>
      </c>
      <c r="S54" s="1576" t="n"/>
      <c r="T54" s="1414" t="n"/>
      <c r="U54" s="1420">
        <f>IF('6.Inland wetlands'!$I16 = $U$50, 1,0)* 'Inl. wetlands'!$S39</f>
        <v/>
      </c>
      <c r="V54" s="1421">
        <f>IF('6.Inland wetlands'!$I16 = $V$50, 1,0)* 'Inl. wetlands'!$S39</f>
        <v/>
      </c>
      <c r="W54" s="1421">
        <f>IF('6.Inland wetlands'!$I16 = $W$50, 1,0)* 'Inl. wetlands'!$S39</f>
        <v/>
      </c>
      <c r="X54" s="1421">
        <f>IF('6.Inland wetlands'!$I16 = $X$50, 1,0)* 'Inl. wetlands'!$S39</f>
        <v/>
      </c>
      <c r="Y54" s="1421">
        <f>IF('6.Inland wetlands'!$I16 = $Y$50, 1,0)* 'Inl. wetlands'!$S39</f>
        <v/>
      </c>
      <c r="Z54" s="1421">
        <f>IF('6.Inland wetlands'!$I16 = $Z$50, 1,0)* 'Inl. wetlands'!$S39</f>
        <v/>
      </c>
      <c r="AA54" s="1422">
        <f>IF('6.Inland wetlands'!$I16 = $AA$50, 1,0)* 'Inl. wetlands'!$S39</f>
        <v/>
      </c>
      <c r="AE54" s="1168" t="n"/>
      <c r="AF54" s="1414" t="n"/>
      <c r="AG54" s="1420">
        <f>IF(AG$50='6.Inland wetlands'!$I49, '6.Inland wetlands'!$N49,0)</f>
        <v/>
      </c>
      <c r="AH54" s="1421">
        <f>IF(AH$50='6.Inland wetlands'!$I49, '6.Inland wetlands'!$N49,0)</f>
        <v/>
      </c>
      <c r="AI54" s="1421">
        <f>IF(AI$50='6.Inland wetlands'!$I49, '6.Inland wetlands'!$N49,0)</f>
        <v/>
      </c>
      <c r="AJ54" s="1421">
        <f>IF(AJ$50='6.Inland wetlands'!$I49, '6.Inland wetlands'!$N49,0)</f>
        <v/>
      </c>
      <c r="AK54" s="1421">
        <f>IF(AK$50='6.Inland wetlands'!$I49, '6.Inland wetlands'!$N49,0)</f>
        <v/>
      </c>
      <c r="AL54" s="1421">
        <f>IF(AL$50='6.Inland wetlands'!$I49, '6.Inland wetlands'!$N49,0)</f>
        <v/>
      </c>
      <c r="AM54" s="1422">
        <f>IF(AM$50='6.Inland wetlands'!$I49, '6.Inland wetlands'!$N49,0)</f>
        <v/>
      </c>
      <c r="AN54" s="973" t="n"/>
      <c r="AQ54" s="973" t="n"/>
      <c r="AR54" s="1354" t="inlineStr">
        <is>
          <t>converted to…</t>
        </is>
      </c>
      <c r="AS54" s="1354">
        <f>IF(LEFT('6.Inland wetlands'!$I83,8)=LEFT($AR$53,8),IF(LEFT('6.Inland wetlands'!$K83,8)=LEFT(AS$50,8), '6.Inland wetlands'!$N83,0),0)</f>
        <v/>
      </c>
      <c r="AT54" s="1354">
        <f>IF(LEFT('6.Inland wetlands'!$I83,8)=LEFT($AR$53,8),IF(LEFT('6.Inland wetlands'!$K83,8)=LEFT(AT$50,8), '6.Inland wetlands'!$N83,0),0)</f>
        <v/>
      </c>
      <c r="AU54" s="1354">
        <f>IF(LEFT('6.Inland wetlands'!$I83,8)=LEFT($AR$53,8),IF(LEFT('6.Inland wetlands'!$K83,8)=LEFT(AU$50,8), '6.Inland wetlands'!$N83,0),0)</f>
        <v/>
      </c>
      <c r="AV54" s="1354">
        <f>IF(LEFT('6.Inland wetlands'!$I83,8)=LEFT($AR$53,8),IF(LEFT('6.Inland wetlands'!$K83,8)=LEFT(AV$50,8), '6.Inland wetlands'!$N83,0),0)</f>
        <v/>
      </c>
      <c r="AW54" s="1354">
        <f>IF(LEFT('6.Inland wetlands'!$I83,8)=LEFT($AR$53,8),IF(LEFT('6.Inland wetlands'!$K83,8)=LEFT(AW$50,8), '6.Inland wetlands'!$N83,0),0)</f>
        <v/>
      </c>
      <c r="AX54" s="1354">
        <f>IF(LEFT('6.Inland wetlands'!$I83,8)=LEFT($AR$53,8),IF((OR(LEFT('6.Inland wetlands'!$K83,8)=LEFT(AX$50,8),LEFT('6.Inland wetlands'!$K83,8)=LEFT($AZ$3,8),LEFT('6.Inland wetlands'!$K83,8)=LEFT($AZ$4,8),LEFT('6.Inland wetlands'!$K83,8)=LEFT($AZ$5,8),LEFT('6.Inland wetlands'!$K83,8)=LEFT($AZ$6,8),LEFT('6.Inland wetlands'!$K83,8)=LEFT($AZ$7,8),LEFT('6.Inland wetlands'!$K83,8)=LEFT($AZ$8,8), LEFT('6.Inland wetlands'!$K83,8)=LEFT($AZ$9,8),  LEFT('6.Inland wetlands'!$K83,8)=LEFT($AZ$10,8), LEFT('6.Inland wetlands'!$K83,8)=LEFT($AZ$11,8),   LEFT('6.Inland wetlands'!$K83,8)=LEFT($AZ$12,8), LEFT('6.Inland wetlands'!$K83,8)=LEFT($AZ$13,8), LEFT('6.Inland wetlands'!$K83,8)=LEFT($AZ$14,8), LEFT('6.Inland wetlands'!$K83,8)=LEFT($AZ$15,8), LEFT('6.Inland wetlands'!$K83,8)=LEFT($AZ$16,8), LEFT('6.Inland wetlands'!$K83,8)=LEFT($AZ$17,8))),'6.Inland wetlands'!$N83,0),0)</f>
        <v/>
      </c>
      <c r="AZ54" s="1345" t="inlineStr">
        <is>
          <t>Short Rotation Coppice</t>
        </is>
      </c>
      <c r="BB54" s="973" t="n"/>
      <c r="BC54" s="1354" t="inlineStr">
        <is>
          <t>converted to…</t>
        </is>
      </c>
      <c r="BD54" s="1354">
        <f>IF((OR(LEFT('6.Inland wetlands'!$I83,8)=LEFT(Matrix!$BC$53,8), LEFT('6.Inland wetlands'!$I83,8)=LEFT(Matrix!$AZ$44,8), LEFT('6.Inland wetlands'!$I83,8)=LEFT(Matrix!$AZ$45,8), LEFT('6.Inland wetlands'!$I83,8)=LEFT(Matrix!$AZ$46,8), LEFT('6.Inland wetlands'!$I83,8)=LEFT(Matrix!AZ$47,8), LEFT('6.Inland wetlands'!$I83,8)=LEFT(Matrix!$AZ$48,8),  LEFT('6.Inland wetlands'!$I83,8)=LEFT(Matrix!$AZ$49,8), LEFT('6.Inland wetlands'!$I83,8)=LEFT(Matrix!$AZ$50,8), LEFT('6.Inland wetlands'!$I83,8)=LEFT(Matrix!$AZ$51,8), LEFT('6.Inland wetlands'!$I83,8)=LEFT(Matrix!$AZ$52,8), LEFT('6.Inland wetlands'!$I83,8)=LEFT(Matrix!$AZ$53,8), LEFT('6.Inland wetlands'!$I83,8)=LEFT(Matrix!$AZ$54,8), LEFT('6.Inland wetlands'!$I83,8)=LEFT(Matrix!$AZ$55,8), LEFT('6.Inland wetlands'!$I83,8)=LEFT(Matrix!$AZ$56,8), LEFT('6.Inland wetlands'!$I83,8)=LEFT(Matrix!$AZ$57,8), LEFT('6.Inland wetlands'!$I83,8)=LEFT(Matrix!$AZ$58,8))), IF(LEFT('6.Inland wetlands'!$K83,8)=LEFT(Matrix!BD$50,8), '6.Inland wetlands'!$N83, 0),0)</f>
        <v/>
      </c>
      <c r="BE54" s="1354">
        <f>IF((OR(LEFT('6.Inland wetlands'!$I83,8)=LEFT(Matrix!$BC$53,8), LEFT('6.Inland wetlands'!$I83,8)=LEFT(Matrix!$AZ$44,8), LEFT('6.Inland wetlands'!$I83,8)=LEFT(Matrix!$AZ$45,8), LEFT('6.Inland wetlands'!$I83,8)=LEFT(Matrix!$AZ$46,8), LEFT('6.Inland wetlands'!$I83,8)=LEFT(Matrix!BA$47,8), LEFT('6.Inland wetlands'!$I83,8)=LEFT(Matrix!$AZ$48,8),  LEFT('6.Inland wetlands'!$I83,8)=LEFT(Matrix!$AZ$49,8), LEFT('6.Inland wetlands'!$I83,8)=LEFT(Matrix!$AZ$50,8), LEFT('6.Inland wetlands'!$I83,8)=LEFT(Matrix!$AZ$51,8), LEFT('6.Inland wetlands'!$I83,8)=LEFT(Matrix!$AZ$52,8), LEFT('6.Inland wetlands'!$I83,8)=LEFT(Matrix!$AZ$53,8), LEFT('6.Inland wetlands'!$I83,8)=LEFT(Matrix!$AZ$54,8), LEFT('6.Inland wetlands'!$I83,8)=LEFT(Matrix!$AZ$55,8), LEFT('6.Inland wetlands'!$I83,8)=LEFT(Matrix!$AZ$56,8), LEFT('6.Inland wetlands'!$I83,8)=LEFT(Matrix!$AZ$57,8), LEFT('6.Inland wetlands'!$I83,8)=LEFT(Matrix!$AZ$58,8))), IF(LEFT('6.Inland wetlands'!$K83,8)=LEFT(Matrix!BE$50,8), '6.Inland wetlands'!$N83, 0),0)</f>
        <v/>
      </c>
      <c r="BF54" s="1354">
        <f>IF((OR(LEFT('6.Inland wetlands'!$I83,8)=LEFT(Matrix!$BC$53,8), LEFT('6.Inland wetlands'!$I83,8)=LEFT(Matrix!$AZ$44,8), LEFT('6.Inland wetlands'!$I83,8)=LEFT(Matrix!$AZ$45,8), LEFT('6.Inland wetlands'!$I83,8)=LEFT(Matrix!$AZ$46,8), LEFT('6.Inland wetlands'!$I83,8)=LEFT(Matrix!BB$47,8), LEFT('6.Inland wetlands'!$I83,8)=LEFT(Matrix!$AZ$48,8),  LEFT('6.Inland wetlands'!$I83,8)=LEFT(Matrix!$AZ$49,8), LEFT('6.Inland wetlands'!$I83,8)=LEFT(Matrix!$AZ$50,8), LEFT('6.Inland wetlands'!$I83,8)=LEFT(Matrix!$AZ$51,8), LEFT('6.Inland wetlands'!$I83,8)=LEFT(Matrix!$AZ$52,8), LEFT('6.Inland wetlands'!$I83,8)=LEFT(Matrix!$AZ$53,8), LEFT('6.Inland wetlands'!$I83,8)=LEFT(Matrix!$AZ$54,8), LEFT('6.Inland wetlands'!$I83,8)=LEFT(Matrix!$AZ$55,8), LEFT('6.Inland wetlands'!$I83,8)=LEFT(Matrix!$AZ$56,8), LEFT('6.Inland wetlands'!$I83,8)=LEFT(Matrix!$AZ$57,8), LEFT('6.Inland wetlands'!$I83,8)=LEFT(Matrix!$AZ$58,8))), IF(LEFT('6.Inland wetlands'!$K83,8)=LEFT(Matrix!BF$50,8), '6.Inland wetlands'!$N83, 0),0)</f>
        <v/>
      </c>
      <c r="BG54" s="1354">
        <f>IF((OR(LEFT('6.Inland wetlands'!$I83,8)=LEFT(Matrix!$BC$53,8), LEFT('6.Inland wetlands'!$I83,8)=LEFT(Matrix!$AZ$44,8), LEFT('6.Inland wetlands'!$I83,8)=LEFT(Matrix!$AZ$45,8), LEFT('6.Inland wetlands'!$I83,8)=LEFT(Matrix!$AZ$46,8), LEFT('6.Inland wetlands'!$I83,8)=LEFT(Matrix!BC$47,8), LEFT('6.Inland wetlands'!$I83,8)=LEFT(Matrix!$AZ$48,8),  LEFT('6.Inland wetlands'!$I83,8)=LEFT(Matrix!$AZ$49,8), LEFT('6.Inland wetlands'!$I83,8)=LEFT(Matrix!$AZ$50,8), LEFT('6.Inland wetlands'!$I83,8)=LEFT(Matrix!$AZ$51,8), LEFT('6.Inland wetlands'!$I83,8)=LEFT(Matrix!$AZ$52,8), LEFT('6.Inland wetlands'!$I83,8)=LEFT(Matrix!$AZ$53,8), LEFT('6.Inland wetlands'!$I83,8)=LEFT(Matrix!$AZ$54,8), LEFT('6.Inland wetlands'!$I83,8)=LEFT(Matrix!$AZ$55,8), LEFT('6.Inland wetlands'!$I83,8)=LEFT(Matrix!$AZ$56,8), LEFT('6.Inland wetlands'!$I83,8)=LEFT(Matrix!$AZ$57,8), LEFT('6.Inland wetlands'!$I83,8)=LEFT(Matrix!$AZ$58,8))), IF(LEFT('6.Inland wetlands'!$K83,8)=LEFT(Matrix!BG$50,8), '6.Inland wetlands'!$N83, 0),0)</f>
        <v/>
      </c>
      <c r="BH54" s="1354">
        <f>IF((OR(LEFT('6.Inland wetlands'!$I83,8)=LEFT(Matrix!$BC$53,8), LEFT('6.Inland wetlands'!$I83,8)=LEFT(Matrix!$AZ$44,8), LEFT('6.Inland wetlands'!$I83,8)=LEFT(Matrix!$AZ$45,8), LEFT('6.Inland wetlands'!$I83,8)=LEFT(Matrix!$AZ$46,8), LEFT('6.Inland wetlands'!$I83,8)=LEFT(Matrix!BD$47,8), LEFT('6.Inland wetlands'!$I83,8)=LEFT(Matrix!$AZ$48,8),  LEFT('6.Inland wetlands'!$I83,8)=LEFT(Matrix!$AZ$49,8), LEFT('6.Inland wetlands'!$I83,8)=LEFT(Matrix!$AZ$50,8), LEFT('6.Inland wetlands'!$I83,8)=LEFT(Matrix!$AZ$51,8), LEFT('6.Inland wetlands'!$I83,8)=LEFT(Matrix!$AZ$52,8), LEFT('6.Inland wetlands'!$I83,8)=LEFT(Matrix!$AZ$53,8), LEFT('6.Inland wetlands'!$I83,8)=LEFT(Matrix!$AZ$54,8), LEFT('6.Inland wetlands'!$I83,8)=LEFT(Matrix!$AZ$55,8), LEFT('6.Inland wetlands'!$I83,8)=LEFT(Matrix!$AZ$56,8), LEFT('6.Inland wetlands'!$I83,8)=LEFT(Matrix!$AZ$57,8), LEFT('6.Inland wetlands'!$I83,8)=LEFT(Matrix!$AZ$58,8))), IF(LEFT('6.Inland wetlands'!$K83,8)=LEFT(Matrix!BH$50,8), '6.Inland wetlands'!$N83, 0),0)</f>
        <v/>
      </c>
      <c r="BI54" s="1354">
        <f>IF((OR(LEFT('6.Inland wetlands'!$I83,8)=LEFT(Matrix!$BC$53,8), LEFT('6.Inland wetlands'!$I83,8)=LEFT(Matrix!$AZ$44,8), LEFT('6.Inland wetlands'!$I83,8)=LEFT(Matrix!$AZ$45,8), LEFT('6.Inland wetlands'!$I83,8)=LEFT(Matrix!$AZ$46,8), LEFT('6.Inland wetlands'!$I83,8)=LEFT(Matrix!BE$47,8), LEFT('6.Inland wetlands'!$I83,8)=LEFT(Matrix!$AZ$48,8),  LEFT('6.Inland wetlands'!$I83,8)=LEFT(Matrix!$AZ$49,8), LEFT('6.Inland wetlands'!$I83,8)=LEFT(Matrix!$AZ$50,8), LEFT('6.Inland wetlands'!$I83,8)=LEFT(Matrix!$AZ$51,8), LEFT('6.Inland wetlands'!$I83,8)=LEFT(Matrix!$AZ$52,8), LEFT('6.Inland wetlands'!$I83,8)=LEFT(Matrix!$AZ$53,8), LEFT('6.Inland wetlands'!$I83,8)=LEFT(Matrix!$AZ$54,8), LEFT('6.Inland wetlands'!$I83,8)=LEFT(Matrix!$AZ$55,8), LEFT('6.Inland wetlands'!$I83,8)=LEFT(Matrix!$AZ$56,8), LEFT('6.Inland wetlands'!$I83,8)=LEFT(Matrix!$AZ$57,8), LEFT('6.Inland wetlands'!$I83,8)=LEFT(Matrix!$AZ$58,8))), IF(LEFT('6.Inland wetlands'!$K83,8)=LEFT(Matrix!BI$50,8), '6.Inland wetlands'!$N83, 0),0)</f>
        <v/>
      </c>
      <c r="BJ54" s="973" t="n"/>
      <c r="BM54" s="973" t="n"/>
      <c r="BN54" s="1355" t="inlineStr">
        <is>
          <t>converted to…</t>
        </is>
      </c>
      <c r="BO54" s="1354">
        <f>IF(LEFT('6.Inland wetlands'!$I83,8)=LEFT($BN$53,8),IF(LEFT('6.Inland wetlands'!$K83,8)=LEFT(BO$50,8),'6.Inland wetlands'!$N83,0),0)</f>
        <v/>
      </c>
      <c r="BP54" s="1354">
        <f>IF(LEFT('6.Inland wetlands'!$I83,8)=LEFT($BN$53,8),IF(LEFT('6.Inland wetlands'!$K83,8)=LEFT(BP$50,8),'6.Inland wetlands'!$N83,0),0)</f>
        <v/>
      </c>
      <c r="BQ54" s="1354">
        <f>IF(LEFT('6.Inland wetlands'!$I83,8)=LEFT($BN$53,8),IF(LEFT('6.Inland wetlands'!$K83,8)=LEFT(BQ$50,8),'6.Inland wetlands'!$N83,0),0)</f>
        <v/>
      </c>
      <c r="BR54" s="1354">
        <f>IF(LEFT('6.Inland wetlands'!$I83,8)=LEFT($BN$53,8),IF((OR(LEFT('6.Inland wetlands'!$K83,8)=LEFT(BR$50,8),LEFT('6.Inland wetlands'!$K83,8)=LEFT($AZ$3,8), LEFT('6.Inland wetlands'!$K83,8)=LEFT($AZ$4,9),LEFT('6.Inland wetlands'!$K83,8)=LEFT($AZ$5,8),LEFT('6.Inland wetlands'!$K83,8)=LEFT($AZ$6,8),LEFT('6.Inland wetlands'!$K83,8)=LEFT($AZ$7,8),LEFT('6.Inland wetlands'!$K83,8)=LEFT($AZ$8,8), LEFT('6.Inland wetlands'!$K83,8)=LEFT($AZ$9,8),  LEFT('6.Inland wetlands'!$K83,8)=LEFT($AZ$10,8), LEFT('6.Inland wetlands'!$K83,8)=LEFT($AZ$11,8),   LEFT('6.Inland wetlands'!$K83,8)=LEFT($AZ$12,8), LEFT('6.Inland wetlands'!$K83,8)=LEFT($AZ$13,8), LEFT('6.Inland wetlands'!$K83,8)=LEFT($AZ$14,8), LEFT('6.Inland wetlands'!$K83,8)=LEFT($AZ$15,8), LEFT('6.Inland wetlands'!$K83,8)=LEFT($AZ$16,8), LEFT('6.Inland wetlands'!$K83,8)=LEFT($AZ$17,8))),'6.Inland wetlands'!$N83,0),0)</f>
        <v/>
      </c>
      <c r="BS54" s="1354">
        <f>IF(LEFT('6.Inland wetlands'!$I83,8)=LEFT($BN$53,8),IF(LEFT('6.Inland wetlands'!$K83,8)=LEFT(BS$50,8),'6.Inland wetlands'!$N83,0),0)</f>
        <v/>
      </c>
      <c r="BT54" s="1354">
        <f>IF(LEFT('6.Inland wetlands'!$I83,8)=LEFT($BN$53,8),IF(LEFT('6.Inland wetlands'!$K83,8)=LEFT(BT$50,8),'6.Inland wetlands'!$N83,0),0)</f>
        <v/>
      </c>
      <c r="BU54" s="973" t="n"/>
      <c r="BX54" s="973" t="n"/>
      <c r="BY54" s="1355" t="inlineStr">
        <is>
          <t>converted to…</t>
        </is>
      </c>
      <c r="BZ54" s="1354">
        <f>IF(LEFT('6.Inland wetlands'!$I83,8)=LEFT($BY$8,8),IF(LEFT('6.Inland wetlands'!$K83,8)=LEFT(BZ$5,8),'6.Inland wetlands'!$N83,0),0)</f>
        <v/>
      </c>
      <c r="CA54" s="1354">
        <f>IF(LEFT('6.Inland wetlands'!$I83,8)=LEFT($BY$8,8),IF(LEFT('6.Inland wetlands'!$K83,8)=LEFT(CA$5,8),'6.Inland wetlands'!$N83,0),0)</f>
        <v/>
      </c>
      <c r="CB54" s="1354">
        <f>IF(LEFT('6.Inland wetlands'!$I83,8)=LEFT($BY$8,8),IF(LEFT('6.Inland wetlands'!$K83,8)=LEFT(CB$5,8),'6.Inland wetlands'!$N83,0),0)</f>
        <v/>
      </c>
      <c r="CC54" s="1354">
        <f>IF(LEFT('6.Inland wetlands'!$I83,8)=LEFT($BY$8,8),IF((OR(LEFT('6.Inland wetlands'!$K83,8)=LEFT(CC$5,8),LEFT('6.Inland wetlands'!$K83,8)=LEFT(AZ$3,8),LEFT('6.Inland wetlands'!$K83,8)=LEFT(AZ$4,8),LEFT('6.Inland wetlands'!$K83,8)=LEFT($AZ$5,8),LEFT('6.Inland wetlands'!$K83,8)=LEFT($AZ$6,8),LEFT('6.Inland wetlands'!$K83,8)=LEFT($AZ$7,8),LEFT('6.Inland wetlands'!$K83,8)=LEFT($AZ$8,8), LEFT('6.Inland wetlands'!$K83,8)=LEFT($AZ$9,8),  LEFT('6.Inland wetlands'!$K83,8)=LEFT($AZ$10,8), LEFT('6.Inland wetlands'!$K83,8)=LEFT($AZ$11,8),   LEFT('6.Inland wetlands'!$K83,8)=LEFT($AZ$12,8), LEFT('6.Inland wetlands'!$K83,8)=LEFT($AZ$13,8), LEFT('6.Inland wetlands'!$K83,8)=LEFT($AZ$14,8), LEFT('6.Inland wetlands'!$K83,8)=LEFT($AZ$15,8), LEFT('6.Inland wetlands'!$K83,8)=LEFT($AZ$16,8), LEFT('6.Inland wetlands'!$K83,8)=LEFT($AZ$17,8))),'6.Inland wetlands'!$N83,0),0)</f>
        <v/>
      </c>
      <c r="CD54" s="1354">
        <f>IF(LEFT('6.Inland wetlands'!$I83,8)=LEFT($BY$8,8),IF(LEFT('6.Inland wetlands'!$K83,8)=LEFT(CD$5,8),'6.Inland wetlands'!$N83,0),0)</f>
        <v/>
      </c>
      <c r="CE54" s="1354">
        <f>IF(LEFT('6.Inland wetlands'!$I83,8)=LEFT($BY$8,8),IF(LEFT('6.Inland wetlands'!$K83,8)=LEFT(CE$5,8),'6.Inland wetlands'!$N83,0),0)</f>
        <v/>
      </c>
      <c r="CF54" s="973" t="n"/>
      <c r="CI54" s="973" t="n"/>
      <c r="CJ54" s="1355" t="inlineStr">
        <is>
          <t>converted to…</t>
        </is>
      </c>
      <c r="CK54" s="1354">
        <f>IF(LEFT('6.Inland wetlands'!$I83,8)=LEFT($CJ$8,8),IF(LEFT('6.Inland wetlands'!$K83,8)=LEFT(CK$5,8),'6.Inland wetlands'!$N83,0),0)</f>
        <v/>
      </c>
      <c r="CL54" s="1354">
        <f>IF(LEFT('6.Inland wetlands'!$I83,8)=LEFT($CJ$8,8),IF(LEFT('6.Inland wetlands'!$K83,8)=LEFT(CL$5,8),'6.Inland wetlands'!$N83,0),0)</f>
        <v/>
      </c>
      <c r="CM54" s="1355">
        <f>IF(LEFT('6.Inland wetlands'!$I83,8)=LEFT($CJ$8,8),IF(LEFT('6.Inland wetlands'!$K83,8)=LEFT(CM$5,8),'6.Inland wetlands'!$N83,0),0)</f>
        <v/>
      </c>
      <c r="CN54" s="1354">
        <f>IF(LEFT('6.Inland wetlands'!$I83,8)=LEFT($CJ$8,8),IF((OR(LEFT('6.Inland wetlands'!$K83,8)=LEFT(CN$5,8),LEFT('6.Inland wetlands'!$K83,8)=LEFT($AZ$3,8),LEFT('6.Inland wetlands'!$K83,8)=LEFT($AZ$4,8),LEFT('6.Inland wetlands'!$K83,8)=LEFT($AZ$5,8),LEFT('6.Inland wetlands'!$K83,8)=LEFT($AZ$6,8),LEFT('6.Inland wetlands'!$K83,8)=LEFT($AZ$7,8),LEFT('6.Inland wetlands'!$K83,8)=LEFT($AZ$8,8), LEFT('6.Inland wetlands'!$K83,8)=LEFT($AZ$9,8),  LEFT('6.Inland wetlands'!$K83,8)=LEFT($AZ$10,8), LEFT('6.Inland wetlands'!$K83,8)=LEFT($AZ$11,8),   LEFT('6.Inland wetlands'!$K83,8)=LEFT($AZ$12,8), LEFT('6.Inland wetlands'!$K83,8)=LEFT($AZ$13,8), LEFT('6.Inland wetlands'!$K83,8)=LEFT($AZ$14,8), LEFT('6.Inland wetlands'!$K83,8)=LEFT($AZ$15,8), LEFT('6.Inland wetlands'!$K83,8)=LEFT($AZ$16,8), LEFT('6.Inland wetlands'!$K83,8)=LEFT($AZ$17,8))),'6.Inland wetlands'!$N83,0),0)</f>
        <v/>
      </c>
      <c r="CO54" s="1357">
        <f>IF(LEFT('6.Inland wetlands'!$I83,8)=LEFT($CJ$8,8),IF(LEFT('6.Inland wetlands'!$K83,8)=LEFT(CO$5,8),'6.Inland wetlands'!$N83,0),0)</f>
        <v/>
      </c>
      <c r="CP54" s="1354">
        <f>IF(LEFT('6.Inland wetlands'!$I83,8)=LEFT($CJ$8,8),IF(LEFT('6.Inland wetlands'!$K83,8)=LEFT(CP$5,8),'6.Inland wetlands'!$N83,0),0)</f>
        <v/>
      </c>
      <c r="CQ54" s="973" t="n"/>
      <c r="CT54" s="973" t="n"/>
      <c r="CU54" s="1355" t="inlineStr">
        <is>
          <t>converted to…</t>
        </is>
      </c>
      <c r="CV54" s="1355">
        <f>IF(LEFT('6.Inland wetlands'!$I83,8)=LEFT($CU$53,8),IF(LEFT('6.Inland wetlands'!$K83,8)=LEFT(CV$50,8),'6.Inland wetlands'!$N83,0),0)</f>
        <v/>
      </c>
      <c r="CW54" s="1355">
        <f>IF(LEFT('6.Inland wetlands'!$I83,8)=LEFT($CU$53,8),IF(LEFT('6.Inland wetlands'!$K83,8)=LEFT(CW$50,8),'6.Inland wetlands'!$N83,0),0)</f>
        <v/>
      </c>
      <c r="CX54" s="1355">
        <f>IF(LEFT('6.Inland wetlands'!$I83,8)=LEFT($CU$53,8),IF(LEFT('6.Inland wetlands'!$K83,8)=LEFT(CX$50,8),'6.Inland wetlands'!$N83,0),0)</f>
        <v/>
      </c>
      <c r="CY54" s="1354">
        <f>IF(LEFT('6.Inland wetlands'!$I83,8)=LEFT($CU$53,8),IF((OR(LEFT('6.Inland wetlands'!$K83,8)=LEFT($CY$50,8),LEFT('6.Inland wetlands'!$K83,8)=LEFT($AZ$3,8),LEFT('6.Inland wetlands'!$K83,8)=LEFT($AZ$4,8),LEFT('6.Inland wetlands'!$K83,8)=LEFT($AZ$5,8),LEFT('6.Inland wetlands'!$K83,8)=LEFT($AZ$6,8),LEFT('6.Inland wetlands'!$K83,8)=LEFT($AZ$7,8),LEFT('6.Inland wetlands'!$K83,8)=LEFT($AZ$8,8), LEFT('6.Inland wetlands'!$K83,8)=LEFT($AZ$9,8),  LEFT('6.Inland wetlands'!$K83,8)=LEFT($AZ$10,8), LEFT('6.Inland wetlands'!$K83,8)=LEFT($AZ$11,8),   LEFT('6.Inland wetlands'!$K83,8)=LEFT($AZ$12,8), LEFT('6.Inland wetlands'!$K83,8)=LEFT($AZ$13,8), LEFT('6.Inland wetlands'!$K83,8)=LEFT($AZ$14,8), LEFT('6.Inland wetlands'!$K83,8)=LEFT($AZ$15,8), LEFT('6.Inland wetlands'!$K83,8)=LEFT($AZ$16,8), LEFT('6.Inland wetlands'!$K83,8)=LEFT($AZ$17,8))),'6.Inland wetlands'!$N83,0),0)</f>
        <v/>
      </c>
      <c r="CZ54" s="1104">
        <f>IF(LEFT('6.Inland wetlands'!$I83,8)=LEFT($CU$53,8),IF(LEFT('6.Inland wetlands'!$K83,8)=LEFT(CZ$50,8),'6.Inland wetlands'!$N83,0),0)</f>
        <v/>
      </c>
      <c r="DA54" s="1354">
        <f>IF(LEFT('6.Inland wetlands'!$I83,8)=LEFT($CU$53,8),IF(LEFT('6.Inland wetlands'!$K83,8)=LEFT(DA$50,8),'6.Inland wetlands'!$N83,0),0)</f>
        <v/>
      </c>
      <c r="DB54" s="973" t="n"/>
      <c r="DE54" s="973" t="n"/>
      <c r="DF54" s="1355" t="inlineStr">
        <is>
          <t>converted to…</t>
        </is>
      </c>
      <c r="DG54" s="1355">
        <f>IF(LEFT('6.Inland wetlands'!$I83,8)=LEFT($DF$53,8),IF(LEFT('6.Inland wetlands'!$K83,8)=LEFT(DG$50,8),'6.Inland wetlands'!$N83,0),0)</f>
        <v/>
      </c>
      <c r="DH54" s="1355">
        <f>IF(LEFT('6.Inland wetlands'!$I83,8)=LEFT($DF$53,8),IF(LEFT('6.Inland wetlands'!$K83,8)=LEFT(DH$50,8),'6.Inland wetlands'!$N83,0),0)</f>
        <v/>
      </c>
      <c r="DI54" s="1355">
        <f>IF(LEFT('6.Inland wetlands'!$I83,8)=LEFT($DF$53,8),IF(LEFT('6.Inland wetlands'!$K83,8)=LEFT(DI$50,8),'6.Inland wetlands'!$N83,0),0)</f>
        <v/>
      </c>
      <c r="DJ54" s="1354">
        <f>IF(LEFT('6.Inland wetlands'!$I83,8)=LEFT($DF$53,8),IF((OR(LEFT('6.Inland wetlands'!$K83,8)=LEFT($DJ53,8),LEFT('6.Inland wetlands'!$K83,8)=LEFT($AZ$3,8),LEFT('6.Inland wetlands'!$K83,8)=LEFT($AZ$4,8),LEFT('6.Inland wetlands'!$K83,8)=LEFT($AZ$5,8),LEFT('6.Inland wetlands'!$K83,8)=LEFT($AZ$6,8),LEFT('6.Inland wetlands'!$K83,8)=LEFT($AZ$7,8),LEFT('6.Inland wetlands'!$K83,8)=LEFT($AZ$8,8), LEFT('6.Inland wetlands'!$K83,8)=LEFT($AZ$9,8),  LEFT('6.Inland wetlands'!$K83,8)=LEFT($AZ$10,8), LEFT('6.Inland wetlands'!$K83,8)=LEFT($AZ$11,8),   LEFT('6.Inland wetlands'!$K83,8)=LEFT($AZ$12,8), LEFT('6.Inland wetlands'!$K83,8)=LEFT($AZ$13,8), LEFT('6.Inland wetlands'!$K83,8)=LEFT($AZ$14,8), LEFT('6.Inland wetlands'!$K83,8)=LEFT($AZ$15,8), LEFT('6.Inland wetlands'!$K83,8)=LEFT($AZ$16,8), LEFT('6.Inland wetlands'!$K83,8)=LEFT($AZ$17,8))),'6.Inland wetlands'!$N83,0),0)</f>
        <v/>
      </c>
      <c r="DK54" s="1355">
        <f>IF(LEFT('6.Inland wetlands'!$I83,8)=LEFT($DF$53,8),IF(LEFT('6.Inland wetlands'!$K83,8)=LEFT(DK$50,8),'6.Inland wetlands'!$N83,0),0)</f>
        <v/>
      </c>
      <c r="DL54" s="1354">
        <f>IF(LEFT('6.Inland wetlands'!$I83,8)=LEFT($DF$53,8),IF(LEFT('6.Inland wetlands'!$K83,8)=LEFT(DL$50,8),'6.Inland wetlands'!$N83,0),0)</f>
        <v/>
      </c>
    </row>
    <row r="55">
      <c r="D55" s="973" t="n"/>
      <c r="F55" s="1368" t="n"/>
      <c r="G55" s="1367" t="inlineStr">
        <is>
          <t>Other land</t>
        </is>
      </c>
      <c r="H55" s="1368" t="inlineStr">
        <is>
          <t>Degraded</t>
        </is>
      </c>
      <c r="I55" s="3144">
        <f>AJ57</f>
        <v/>
      </c>
      <c r="J55" s="3143">
        <f>CV57</f>
        <v/>
      </c>
      <c r="K55" s="3143">
        <f>CY57</f>
        <v/>
      </c>
      <c r="L55" s="3143">
        <f>CW57</f>
        <v/>
      </c>
      <c r="M55" s="3143">
        <f>CX57</f>
        <v/>
      </c>
      <c r="N55" s="2851">
        <f>SUMIF('Inl. wetlands'!$C413:$C418,$N$49,'Inl. wetlands'!$F413:$F418)+(MAX(SUM(I55:M55,O55),SUM(I71:M71,O71))-SUM(I55:M55,O55))+MAX(SUM('6.Inland wetlands'!$M$176:$M$179),SUM('6.Inland wetlands'!$N$176:$N$179),SUM('6.Inland wetlands'!$P$176:$P$179))</f>
        <v/>
      </c>
      <c r="O55" s="3143">
        <f>DA57+CZ57</f>
        <v/>
      </c>
      <c r="P55" s="3143">
        <f>SUM(I55:O55)</f>
        <v/>
      </c>
      <c r="S55" s="1576" t="n"/>
      <c r="T55" s="1414" t="n"/>
      <c r="U55" s="1420">
        <f>IF('6.Inland wetlands'!$I17 = $U$50, 1,0)* 'Inl. wetlands'!$S40</f>
        <v/>
      </c>
      <c r="V55" s="1421">
        <f>IF('6.Inland wetlands'!$I17 = $V$50, 1,0)* 'Inl. wetlands'!$S40</f>
        <v/>
      </c>
      <c r="W55" s="1421">
        <f>IF('6.Inland wetlands'!$I17 = $W$50, 1,0)* 'Inl. wetlands'!$S40</f>
        <v/>
      </c>
      <c r="X55" s="1421">
        <f>IF('6.Inland wetlands'!$I17 = $X$50, 1,0)* 'Inl. wetlands'!$S40</f>
        <v/>
      </c>
      <c r="Y55" s="1421">
        <f>IF('6.Inland wetlands'!$I17 = $Y$50, 1,0)* 'Inl. wetlands'!$S40</f>
        <v/>
      </c>
      <c r="Z55" s="1421">
        <f>IF('6.Inland wetlands'!$I17 = $Z$50, 1,0)* 'Inl. wetlands'!$S40</f>
        <v/>
      </c>
      <c r="AA55" s="1422">
        <f>IF('6.Inland wetlands'!$I17 = $AA$50, 1,0)* 'Inl. wetlands'!$S40</f>
        <v/>
      </c>
      <c r="AE55" s="1168" t="n"/>
      <c r="AF55" s="1414" t="n"/>
      <c r="AG55" s="1420">
        <f>IF(AG$50='6.Inland wetlands'!$I50, '6.Inland wetlands'!$N50,0)</f>
        <v/>
      </c>
      <c r="AH55" s="1421">
        <f>IF(AH$50='6.Inland wetlands'!$I50, '6.Inland wetlands'!$N50,0)</f>
        <v/>
      </c>
      <c r="AI55" s="1421">
        <f>IF(AI$50='6.Inland wetlands'!$I50, '6.Inland wetlands'!$N50,0)</f>
        <v/>
      </c>
      <c r="AJ55" s="1421">
        <f>IF(AJ$50='6.Inland wetlands'!$I50, '6.Inland wetlands'!$N50,0)</f>
        <v/>
      </c>
      <c r="AK55" s="1421">
        <f>IF(AK$50='6.Inland wetlands'!$I50, '6.Inland wetlands'!$N50,0)</f>
        <v/>
      </c>
      <c r="AL55" s="1421">
        <f>IF(AL$50='6.Inland wetlands'!$I50, '6.Inland wetlands'!$N50,0)</f>
        <v/>
      </c>
      <c r="AM55" s="1422">
        <f>IF(AM$50='6.Inland wetlands'!$I50, '6.Inland wetlands'!$N50,0)</f>
        <v/>
      </c>
      <c r="AN55" s="973" t="n"/>
      <c r="AQ55" s="973" t="n"/>
      <c r="AR55" s="1354" t="n"/>
      <c r="AS55" s="1354">
        <f>IF(LEFT('6.Inland wetlands'!$I84,8)=LEFT($AR$53,8),IF(LEFT('6.Inland wetlands'!$K84,8)=LEFT(AS$50,8), '6.Inland wetlands'!$N84,0),0)</f>
        <v/>
      </c>
      <c r="AT55" s="1354">
        <f>IF(LEFT('6.Inland wetlands'!$I84,8)=LEFT($AR$53,8),IF(LEFT('6.Inland wetlands'!$K84,8)=LEFT(AT$50,8), '6.Inland wetlands'!$N84,0),0)</f>
        <v/>
      </c>
      <c r="AU55" s="1354">
        <f>IF(LEFT('6.Inland wetlands'!$I84,8)=LEFT($AR$53,8),IF(LEFT('6.Inland wetlands'!$K84,8)=LEFT(AU$50,8), '6.Inland wetlands'!$N84,0),0)</f>
        <v/>
      </c>
      <c r="AV55" s="1354">
        <f>IF(LEFT('6.Inland wetlands'!$I84,8)=LEFT($AR$53,8),IF(LEFT('6.Inland wetlands'!$K84,8)=LEFT(AV$50,8), '6.Inland wetlands'!$N84,0),0)</f>
        <v/>
      </c>
      <c r="AW55" s="1354">
        <f>IF(LEFT('6.Inland wetlands'!$I84,8)=LEFT($AR$53,8),IF(LEFT('6.Inland wetlands'!$K84,8)=LEFT(AW$50,8), '6.Inland wetlands'!$N84,0),0)</f>
        <v/>
      </c>
      <c r="AX55" s="1354">
        <f>IF(LEFT('6.Inland wetlands'!$I84,8)=LEFT($AR$53,8),IF((OR(LEFT('6.Inland wetlands'!$K84,8)=LEFT(AX$50,8),LEFT('6.Inland wetlands'!$K84,8)=LEFT($AZ$3,8),LEFT('6.Inland wetlands'!$K84,8)=LEFT($AZ$4,8),LEFT('6.Inland wetlands'!$K84,8)=LEFT($AZ$5,8),LEFT('6.Inland wetlands'!$K84,8)=LEFT($AZ$6,8),LEFT('6.Inland wetlands'!$K84,8)=LEFT($AZ$7,8),LEFT('6.Inland wetlands'!$K84,8)=LEFT($AZ$8,8), LEFT('6.Inland wetlands'!$K84,8)=LEFT($AZ$9,8),  LEFT('6.Inland wetlands'!$K84,8)=LEFT($AZ$10,8), LEFT('6.Inland wetlands'!$K84,8)=LEFT($AZ$11,8),   LEFT('6.Inland wetlands'!$K84,8)=LEFT($AZ$12,8), LEFT('6.Inland wetlands'!$K84,8)=LEFT($AZ$13,8), LEFT('6.Inland wetlands'!$K84,8)=LEFT($AZ$14,8), LEFT('6.Inland wetlands'!$K84,8)=LEFT($AZ$15,8), LEFT('6.Inland wetlands'!$K84,8)=LEFT($AZ$16,8), LEFT('6.Inland wetlands'!$K84,8)=LEFT($AZ$17,8))),'6.Inland wetlands'!$N84,0),0)</f>
        <v/>
      </c>
      <c r="AZ55" s="1345" t="inlineStr">
        <is>
          <t>Silvoarable</t>
        </is>
      </c>
      <c r="BB55" s="973" t="n"/>
      <c r="BC55" s="1354" t="n"/>
      <c r="BD55" s="1354">
        <f>IF((OR(LEFT('6.Inland wetlands'!$I84,8)=LEFT(Matrix!$BC$53,8), LEFT('6.Inland wetlands'!$I84,8)=LEFT(Matrix!$AZ$44,8), LEFT('6.Inland wetlands'!$I84,8)=LEFT(Matrix!$AZ$45,8), LEFT('6.Inland wetlands'!$I84,8)=LEFT(Matrix!$AZ$46,8), LEFT('6.Inland wetlands'!$I84,8)=LEFT(Matrix!AZ$47,8), LEFT('6.Inland wetlands'!$I84,8)=LEFT(Matrix!$AZ$48,8),  LEFT('6.Inland wetlands'!$I84,8)=LEFT(Matrix!$AZ$49,8), LEFT('6.Inland wetlands'!$I84,8)=LEFT(Matrix!$AZ$50,8), LEFT('6.Inland wetlands'!$I84,8)=LEFT(Matrix!$AZ$51,8), LEFT('6.Inland wetlands'!$I84,8)=LEFT(Matrix!$AZ$52,8), LEFT('6.Inland wetlands'!$I84,8)=LEFT(Matrix!$AZ$53,8), LEFT('6.Inland wetlands'!$I84,8)=LEFT(Matrix!$AZ$54,8), LEFT('6.Inland wetlands'!$I84,8)=LEFT(Matrix!$AZ$55,8), LEFT('6.Inland wetlands'!$I84,8)=LEFT(Matrix!$AZ$56,8), LEFT('6.Inland wetlands'!$I84,8)=LEFT(Matrix!$AZ$57,8), LEFT('6.Inland wetlands'!$I84,8)=LEFT(Matrix!$AZ$58,8))), IF(LEFT('6.Inland wetlands'!$K84,8)=LEFT(Matrix!BD$50,8), '6.Inland wetlands'!$N84, 0),0)</f>
        <v/>
      </c>
      <c r="BE55" s="1354">
        <f>IF((OR(LEFT('6.Inland wetlands'!$I84,8)=LEFT(Matrix!$BC$53,8), LEFT('6.Inland wetlands'!$I84,8)=LEFT(Matrix!$AZ$44,8), LEFT('6.Inland wetlands'!$I84,8)=LEFT(Matrix!$AZ$45,8), LEFT('6.Inland wetlands'!$I84,8)=LEFT(Matrix!$AZ$46,8), LEFT('6.Inland wetlands'!$I84,8)=LEFT(Matrix!BA$47,8), LEFT('6.Inland wetlands'!$I84,8)=LEFT(Matrix!$AZ$48,8),  LEFT('6.Inland wetlands'!$I84,8)=LEFT(Matrix!$AZ$49,8), LEFT('6.Inland wetlands'!$I84,8)=LEFT(Matrix!$AZ$50,8), LEFT('6.Inland wetlands'!$I84,8)=LEFT(Matrix!$AZ$51,8), LEFT('6.Inland wetlands'!$I84,8)=LEFT(Matrix!$AZ$52,8), LEFT('6.Inland wetlands'!$I84,8)=LEFT(Matrix!$AZ$53,8), LEFT('6.Inland wetlands'!$I84,8)=LEFT(Matrix!$AZ$54,8), LEFT('6.Inland wetlands'!$I84,8)=LEFT(Matrix!$AZ$55,8), LEFT('6.Inland wetlands'!$I84,8)=LEFT(Matrix!$AZ$56,8), LEFT('6.Inland wetlands'!$I84,8)=LEFT(Matrix!$AZ$57,8), LEFT('6.Inland wetlands'!$I84,8)=LEFT(Matrix!$AZ$58,8))), IF(LEFT('6.Inland wetlands'!$K84,8)=LEFT(Matrix!BE$50,8), '6.Inland wetlands'!$N84, 0),0)</f>
        <v/>
      </c>
      <c r="BF55" s="1354">
        <f>IF((OR(LEFT('6.Inland wetlands'!$I84,8)=LEFT(Matrix!$BC$53,8), LEFT('6.Inland wetlands'!$I84,8)=LEFT(Matrix!$AZ$44,8), LEFT('6.Inland wetlands'!$I84,8)=LEFT(Matrix!$AZ$45,8), LEFT('6.Inland wetlands'!$I84,8)=LEFT(Matrix!$AZ$46,8), LEFT('6.Inland wetlands'!$I84,8)=LEFT(Matrix!BB$47,8), LEFT('6.Inland wetlands'!$I84,8)=LEFT(Matrix!$AZ$48,8),  LEFT('6.Inland wetlands'!$I84,8)=LEFT(Matrix!$AZ$49,8), LEFT('6.Inland wetlands'!$I84,8)=LEFT(Matrix!$AZ$50,8), LEFT('6.Inland wetlands'!$I84,8)=LEFT(Matrix!$AZ$51,8), LEFT('6.Inland wetlands'!$I84,8)=LEFT(Matrix!$AZ$52,8), LEFT('6.Inland wetlands'!$I84,8)=LEFT(Matrix!$AZ$53,8), LEFT('6.Inland wetlands'!$I84,8)=LEFT(Matrix!$AZ$54,8), LEFT('6.Inland wetlands'!$I84,8)=LEFT(Matrix!$AZ$55,8), LEFT('6.Inland wetlands'!$I84,8)=LEFT(Matrix!$AZ$56,8), LEFT('6.Inland wetlands'!$I84,8)=LEFT(Matrix!$AZ$57,8), LEFT('6.Inland wetlands'!$I84,8)=LEFT(Matrix!$AZ$58,8))), IF(LEFT('6.Inland wetlands'!$K84,8)=LEFT(Matrix!BF$50,8), '6.Inland wetlands'!$N84, 0),0)</f>
        <v/>
      </c>
      <c r="BG55" s="1354">
        <f>IF((OR(LEFT('6.Inland wetlands'!$I84,8)=LEFT(Matrix!$BC$53,8), LEFT('6.Inland wetlands'!$I84,8)=LEFT(Matrix!$AZ$44,8), LEFT('6.Inland wetlands'!$I84,8)=LEFT(Matrix!$AZ$45,8), LEFT('6.Inland wetlands'!$I84,8)=LEFT(Matrix!$AZ$46,8), LEFT('6.Inland wetlands'!$I84,8)=LEFT(Matrix!BC$47,8), LEFT('6.Inland wetlands'!$I84,8)=LEFT(Matrix!$AZ$48,8),  LEFT('6.Inland wetlands'!$I84,8)=LEFT(Matrix!$AZ$49,8), LEFT('6.Inland wetlands'!$I84,8)=LEFT(Matrix!$AZ$50,8), LEFT('6.Inland wetlands'!$I84,8)=LEFT(Matrix!$AZ$51,8), LEFT('6.Inland wetlands'!$I84,8)=LEFT(Matrix!$AZ$52,8), LEFT('6.Inland wetlands'!$I84,8)=LEFT(Matrix!$AZ$53,8), LEFT('6.Inland wetlands'!$I84,8)=LEFT(Matrix!$AZ$54,8), LEFT('6.Inland wetlands'!$I84,8)=LEFT(Matrix!$AZ$55,8), LEFT('6.Inland wetlands'!$I84,8)=LEFT(Matrix!$AZ$56,8), LEFT('6.Inland wetlands'!$I84,8)=LEFT(Matrix!$AZ$57,8), LEFT('6.Inland wetlands'!$I84,8)=LEFT(Matrix!$AZ$58,8))), IF(LEFT('6.Inland wetlands'!$K84,8)=LEFT(Matrix!BG$50,8), '6.Inland wetlands'!$N84, 0),0)</f>
        <v/>
      </c>
      <c r="BH55" s="1354">
        <f>IF((OR(LEFT('6.Inland wetlands'!$I84,8)=LEFT(Matrix!$BC$53,8), LEFT('6.Inland wetlands'!$I84,8)=LEFT(Matrix!$AZ$44,8), LEFT('6.Inland wetlands'!$I84,8)=LEFT(Matrix!$AZ$45,8), LEFT('6.Inland wetlands'!$I84,8)=LEFT(Matrix!$AZ$46,8), LEFT('6.Inland wetlands'!$I84,8)=LEFT(Matrix!BD$47,8), LEFT('6.Inland wetlands'!$I84,8)=LEFT(Matrix!$AZ$48,8),  LEFT('6.Inland wetlands'!$I84,8)=LEFT(Matrix!$AZ$49,8), LEFT('6.Inland wetlands'!$I84,8)=LEFT(Matrix!$AZ$50,8), LEFT('6.Inland wetlands'!$I84,8)=LEFT(Matrix!$AZ$51,8), LEFT('6.Inland wetlands'!$I84,8)=LEFT(Matrix!$AZ$52,8), LEFT('6.Inland wetlands'!$I84,8)=LEFT(Matrix!$AZ$53,8), LEFT('6.Inland wetlands'!$I84,8)=LEFT(Matrix!$AZ$54,8), LEFT('6.Inland wetlands'!$I84,8)=LEFT(Matrix!$AZ$55,8), LEFT('6.Inland wetlands'!$I84,8)=LEFT(Matrix!$AZ$56,8), LEFT('6.Inland wetlands'!$I84,8)=LEFT(Matrix!$AZ$57,8), LEFT('6.Inland wetlands'!$I84,8)=LEFT(Matrix!$AZ$58,8))), IF(LEFT('6.Inland wetlands'!$K84,8)=LEFT(Matrix!BH$50,8), '6.Inland wetlands'!$N84, 0),0)</f>
        <v/>
      </c>
      <c r="BI55" s="1354">
        <f>IF((OR(LEFT('6.Inland wetlands'!$I84,8)=LEFT(Matrix!$BC$53,8), LEFT('6.Inland wetlands'!$I84,8)=LEFT(Matrix!$AZ$44,8), LEFT('6.Inland wetlands'!$I84,8)=LEFT(Matrix!$AZ$45,8), LEFT('6.Inland wetlands'!$I84,8)=LEFT(Matrix!$AZ$46,8), LEFT('6.Inland wetlands'!$I84,8)=LEFT(Matrix!BE$47,8), LEFT('6.Inland wetlands'!$I84,8)=LEFT(Matrix!$AZ$48,8),  LEFT('6.Inland wetlands'!$I84,8)=LEFT(Matrix!$AZ$49,8), LEFT('6.Inland wetlands'!$I84,8)=LEFT(Matrix!$AZ$50,8), LEFT('6.Inland wetlands'!$I84,8)=LEFT(Matrix!$AZ$51,8), LEFT('6.Inland wetlands'!$I84,8)=LEFT(Matrix!$AZ$52,8), LEFT('6.Inland wetlands'!$I84,8)=LEFT(Matrix!$AZ$53,8), LEFT('6.Inland wetlands'!$I84,8)=LEFT(Matrix!$AZ$54,8), LEFT('6.Inland wetlands'!$I84,8)=LEFT(Matrix!$AZ$55,8), LEFT('6.Inland wetlands'!$I84,8)=LEFT(Matrix!$AZ$56,8), LEFT('6.Inland wetlands'!$I84,8)=LEFT(Matrix!$AZ$57,8), LEFT('6.Inland wetlands'!$I84,8)=LEFT(Matrix!$AZ$58,8))), IF(LEFT('6.Inland wetlands'!$K84,8)=LEFT(Matrix!BI$50,8), '6.Inland wetlands'!$N84, 0),0)</f>
        <v/>
      </c>
      <c r="BJ55" s="973" t="n"/>
      <c r="BM55" s="973" t="n"/>
      <c r="BN55" s="1355" t="n"/>
      <c r="BO55" s="1354">
        <f>IF(LEFT('6.Inland wetlands'!$I84,8)=LEFT($BN$53,8),IF(LEFT('6.Inland wetlands'!$K84,8)=LEFT(BO$50,8),'6.Inland wetlands'!$N84,0),0)</f>
        <v/>
      </c>
      <c r="BP55" s="1354">
        <f>IF(LEFT('6.Inland wetlands'!$I84,8)=LEFT($BN$53,8),IF(LEFT('6.Inland wetlands'!$K84,8)=LEFT(BP$50,8),'6.Inland wetlands'!$N84,0),0)</f>
        <v/>
      </c>
      <c r="BQ55" s="1354">
        <f>IF(LEFT('6.Inland wetlands'!$I84,8)=LEFT($BN$53,8),IF(LEFT('6.Inland wetlands'!$K84,8)=LEFT(BQ$50,8),'6.Inland wetlands'!$N84,0),0)</f>
        <v/>
      </c>
      <c r="BR55" s="1354">
        <f>IF(LEFT('6.Inland wetlands'!$I84,8)=LEFT($BN$53,8),IF((OR(LEFT('6.Inland wetlands'!$K84,8)=LEFT(BR$50,8),LEFT('6.Inland wetlands'!$K84,8)=LEFT($AZ$3,8), LEFT('6.Inland wetlands'!$K84,8)=LEFT($AZ$4,9),LEFT('6.Inland wetlands'!$K84,8)=LEFT($AZ$5,8),LEFT('6.Inland wetlands'!$K84,8)=LEFT($AZ$6,8),LEFT('6.Inland wetlands'!$K84,8)=LEFT($AZ$7,8),LEFT('6.Inland wetlands'!$K84,8)=LEFT($AZ$8,8), LEFT('6.Inland wetlands'!$K84,8)=LEFT($AZ$9,8),  LEFT('6.Inland wetlands'!$K84,8)=LEFT($AZ$10,8), LEFT('6.Inland wetlands'!$K84,8)=LEFT($AZ$11,8),   LEFT('6.Inland wetlands'!$K84,8)=LEFT($AZ$12,8), LEFT('6.Inland wetlands'!$K84,8)=LEFT($AZ$13,8), LEFT('6.Inland wetlands'!$K84,8)=LEFT($AZ$14,8), LEFT('6.Inland wetlands'!$K84,8)=LEFT($AZ$15,8), LEFT('6.Inland wetlands'!$K84,8)=LEFT($AZ$16,8), LEFT('6.Inland wetlands'!$K84,8)=LEFT($AZ$17,8))),'6.Inland wetlands'!$N84,0),0)</f>
        <v/>
      </c>
      <c r="BS55" s="1354">
        <f>IF(LEFT('6.Inland wetlands'!$I84,8)=LEFT($BN$53,8),IF(LEFT('6.Inland wetlands'!$K84,8)=LEFT(BS$50,8),'6.Inland wetlands'!$N84,0),0)</f>
        <v/>
      </c>
      <c r="BT55" s="1354">
        <f>IF(LEFT('6.Inland wetlands'!$I84,8)=LEFT($BN$53,8),IF(LEFT('6.Inland wetlands'!$K84,8)=LEFT(BT$50,8),'6.Inland wetlands'!$N84,0),0)</f>
        <v/>
      </c>
      <c r="BU55" s="973" t="n"/>
      <c r="BX55" s="973" t="n"/>
      <c r="BY55" s="1355" t="n"/>
      <c r="BZ55" s="1354">
        <f>IF(LEFT('6.Inland wetlands'!$I84,8)=LEFT($BY$8,8),IF(LEFT('6.Inland wetlands'!$K84,8)=LEFT(BZ$5,8),'6.Inland wetlands'!$N84,0),0)</f>
        <v/>
      </c>
      <c r="CA55" s="1354">
        <f>IF(LEFT('6.Inland wetlands'!$I84,8)=LEFT($BY$8,8),IF(LEFT('6.Inland wetlands'!$K84,8)=LEFT(CA$5,8),'6.Inland wetlands'!$N84,0),0)</f>
        <v/>
      </c>
      <c r="CB55" s="1354">
        <f>IF(LEFT('6.Inland wetlands'!$I84,8)=LEFT($BY$8,8),IF(LEFT('6.Inland wetlands'!$K84,8)=LEFT(CB$5,8),'6.Inland wetlands'!$N84,0),0)</f>
        <v/>
      </c>
      <c r="CC55" s="1354">
        <f>IF(LEFT('6.Inland wetlands'!$I84,8)=LEFT($BY$8,8),IF((OR(LEFT('6.Inland wetlands'!$K84,8)=LEFT(CC$5,8),LEFT('6.Inland wetlands'!$K84,8)=LEFT(AZ$3,8),LEFT('6.Inland wetlands'!$K84,8)=LEFT(AZ$4,8),LEFT('6.Inland wetlands'!$K84,8)=LEFT($AZ$5,8),LEFT('6.Inland wetlands'!$K84,8)=LEFT($AZ$6,8),LEFT('6.Inland wetlands'!$K84,8)=LEFT($AZ$7,8),LEFT('6.Inland wetlands'!$K84,8)=LEFT($AZ$8,8), LEFT('6.Inland wetlands'!$K84,8)=LEFT($AZ$9,8),  LEFT('6.Inland wetlands'!$K84,8)=LEFT($AZ$10,8), LEFT('6.Inland wetlands'!$K84,8)=LEFT($AZ$11,8),   LEFT('6.Inland wetlands'!$K84,8)=LEFT($AZ$12,8), LEFT('6.Inland wetlands'!$K84,8)=LEFT($AZ$13,8), LEFT('6.Inland wetlands'!$K84,8)=LEFT($AZ$14,8), LEFT('6.Inland wetlands'!$K84,8)=LEFT($AZ$15,8), LEFT('6.Inland wetlands'!$K84,8)=LEFT($AZ$16,8), LEFT('6.Inland wetlands'!$K84,8)=LEFT($AZ$17,8))),'6.Inland wetlands'!$N84,0),0)</f>
        <v/>
      </c>
      <c r="CD55" s="1354">
        <f>IF(LEFT('6.Inland wetlands'!$I84,8)=LEFT($BY$8,8),IF(LEFT('6.Inland wetlands'!$K84,8)=LEFT(CD$5,8),'6.Inland wetlands'!$N84,0),0)</f>
        <v/>
      </c>
      <c r="CE55" s="1354">
        <f>IF(LEFT('6.Inland wetlands'!$I84,8)=LEFT($BY$8,8),IF(LEFT('6.Inland wetlands'!$K84,8)=LEFT(CE$5,8),'6.Inland wetlands'!$N84,0),0)</f>
        <v/>
      </c>
      <c r="CF55" s="973" t="n"/>
      <c r="CI55" s="973" t="n"/>
      <c r="CJ55" s="1355" t="n"/>
      <c r="CK55" s="1354">
        <f>IF(LEFT('6.Inland wetlands'!$I84,8)=LEFT($CJ$8,8),IF(LEFT('6.Inland wetlands'!$K84,8)=LEFT(CK$5,8),'6.Inland wetlands'!$N84,0),0)</f>
        <v/>
      </c>
      <c r="CL55" s="1354">
        <f>IF(LEFT('6.Inland wetlands'!$I84,8)=LEFT($CJ$8,8),IF(LEFT('6.Inland wetlands'!$K84,8)=LEFT(CL$5,8),'6.Inland wetlands'!$N84,0),0)</f>
        <v/>
      </c>
      <c r="CM55" s="1355">
        <f>IF(LEFT('6.Inland wetlands'!$I84,8)=LEFT($CJ$8,8),IF(LEFT('6.Inland wetlands'!$K84,8)=LEFT(CM$5,8),'6.Inland wetlands'!$N84,0),0)</f>
        <v/>
      </c>
      <c r="CN55" s="1354">
        <f>IF(LEFT('6.Inland wetlands'!$I84,8)=LEFT($CJ$8,8),IF((OR(LEFT('6.Inland wetlands'!$K84,8)=LEFT(CN$5,8),LEFT('6.Inland wetlands'!$K84,8)=LEFT($AZ$3,8),LEFT('6.Inland wetlands'!$K84,8)=LEFT($AZ$4,8),LEFT('6.Inland wetlands'!$K84,8)=LEFT($AZ$5,8),LEFT('6.Inland wetlands'!$K84,8)=LEFT($AZ$6,8),LEFT('6.Inland wetlands'!$K84,8)=LEFT($AZ$7,8),LEFT('6.Inland wetlands'!$K84,8)=LEFT($AZ$8,8), LEFT('6.Inland wetlands'!$K84,8)=LEFT($AZ$9,8),  LEFT('6.Inland wetlands'!$K84,8)=LEFT($AZ$10,8), LEFT('6.Inland wetlands'!$K84,8)=LEFT($AZ$11,8),   LEFT('6.Inland wetlands'!$K84,8)=LEFT($AZ$12,8), LEFT('6.Inland wetlands'!$K84,8)=LEFT($AZ$13,8), LEFT('6.Inland wetlands'!$K84,8)=LEFT($AZ$14,8), LEFT('6.Inland wetlands'!$K84,8)=LEFT($AZ$15,8), LEFT('6.Inland wetlands'!$K84,8)=LEFT($AZ$16,8), LEFT('6.Inland wetlands'!$K84,8)=LEFT($AZ$17,8))),'6.Inland wetlands'!$N84,0),0)</f>
        <v/>
      </c>
      <c r="CO55" s="1357">
        <f>IF(LEFT('6.Inland wetlands'!$I84,8)=LEFT($CJ$8,8),IF(LEFT('6.Inland wetlands'!$K84,8)=LEFT(CO$5,8),'6.Inland wetlands'!$N84,0),0)</f>
        <v/>
      </c>
      <c r="CP55" s="1354">
        <f>IF(LEFT('6.Inland wetlands'!$I84,8)=LEFT($CJ$8,8),IF(LEFT('6.Inland wetlands'!$K84,8)=LEFT(CP$5,8),'6.Inland wetlands'!$N84,0),0)</f>
        <v/>
      </c>
      <c r="CQ55" s="973" t="n"/>
      <c r="CT55" s="973" t="n"/>
      <c r="CU55" s="1355" t="n"/>
      <c r="CV55" s="1355">
        <f>IF(LEFT('6.Inland wetlands'!$I84,8)=LEFT($CU$53,8),IF(LEFT('6.Inland wetlands'!$K84,8)=LEFT(CV$50,8),'6.Inland wetlands'!$N84,0),0)</f>
        <v/>
      </c>
      <c r="CW55" s="1355">
        <f>IF(LEFT('6.Inland wetlands'!$I84,8)=LEFT($CU$53,8),IF(LEFT('6.Inland wetlands'!$K84,8)=LEFT(CW$50,8),'6.Inland wetlands'!$N84,0),0)</f>
        <v/>
      </c>
      <c r="CX55" s="1355">
        <f>IF(LEFT('6.Inland wetlands'!$I84,8)=LEFT($CU$53,8),IF(LEFT('6.Inland wetlands'!$K84,8)=LEFT(CX$50,8),'6.Inland wetlands'!$N84,0),0)</f>
        <v/>
      </c>
      <c r="CY55" s="1354">
        <f>IF(LEFT('6.Inland wetlands'!$I84,8)=LEFT($CU$53,8),IF((OR(LEFT('6.Inland wetlands'!$K84,8)=LEFT($CY$50,8),LEFT('6.Inland wetlands'!$K84,8)=LEFT($AZ$3,8),LEFT('6.Inland wetlands'!$K84,8)=LEFT($AZ$4,8),LEFT('6.Inland wetlands'!$K84,8)=LEFT($AZ$5,8),LEFT('6.Inland wetlands'!$K84,8)=LEFT($AZ$6,8),LEFT('6.Inland wetlands'!$K84,8)=LEFT($AZ$7,8),LEFT('6.Inland wetlands'!$K84,8)=LEFT($AZ$8,8), LEFT('6.Inland wetlands'!$K84,8)=LEFT($AZ$9,8),  LEFT('6.Inland wetlands'!$K84,8)=LEFT($AZ$10,8), LEFT('6.Inland wetlands'!$K84,8)=LEFT($AZ$11,8),   LEFT('6.Inland wetlands'!$K84,8)=LEFT($AZ$12,8), LEFT('6.Inland wetlands'!$K84,8)=LEFT($AZ$13,8), LEFT('6.Inland wetlands'!$K84,8)=LEFT($AZ$14,8), LEFT('6.Inland wetlands'!$K84,8)=LEFT($AZ$15,8), LEFT('6.Inland wetlands'!$K84,8)=LEFT($AZ$16,8), LEFT('6.Inland wetlands'!$K84,8)=LEFT($AZ$17,8))),'6.Inland wetlands'!$N84,0),0)</f>
        <v/>
      </c>
      <c r="CZ55" s="1104">
        <f>IF(LEFT('6.Inland wetlands'!$I84,8)=LEFT($CU$53,8),IF(LEFT('6.Inland wetlands'!$K84,8)=LEFT(CZ$50,8),'6.Inland wetlands'!$N84,0),0)</f>
        <v/>
      </c>
      <c r="DA55" s="1354">
        <f>IF(LEFT('6.Inland wetlands'!$I84,8)=LEFT($CU$53,8),IF(LEFT('6.Inland wetlands'!$K84,8)=LEFT(DA$50,8),'6.Inland wetlands'!$N84,0),0)</f>
        <v/>
      </c>
      <c r="DB55" s="973" t="n"/>
      <c r="DE55" s="973" t="n"/>
      <c r="DF55" s="1355" t="n"/>
      <c r="DG55" s="1355">
        <f>IF(LEFT('6.Inland wetlands'!$I84,8)=LEFT($DF$53,8),IF(LEFT('6.Inland wetlands'!$K84,8)=LEFT(DG$50,8),'6.Inland wetlands'!$N84,0),0)</f>
        <v/>
      </c>
      <c r="DH55" s="1355">
        <f>IF(LEFT('6.Inland wetlands'!$I84,8)=LEFT($DF$53,8),IF(LEFT('6.Inland wetlands'!$K84,8)=LEFT(DH$50,8),'6.Inland wetlands'!$N84,0),0)</f>
        <v/>
      </c>
      <c r="DI55" s="1355">
        <f>IF(LEFT('6.Inland wetlands'!$I84,8)=LEFT($DF$53,8),IF(LEFT('6.Inland wetlands'!$K84,8)=LEFT(DI$50,8),'6.Inland wetlands'!$N84,0),0)</f>
        <v/>
      </c>
      <c r="DJ55" s="1354">
        <f>IF(LEFT('6.Inland wetlands'!$I84,8)=LEFT($DF$53,8),IF((OR(LEFT('6.Inland wetlands'!$K84,8)=LEFT($DJ54,8),LEFT('6.Inland wetlands'!$K84,8)=LEFT($AZ$3,8),LEFT('6.Inland wetlands'!$K84,8)=LEFT($AZ$4,8),LEFT('6.Inland wetlands'!$K84,8)=LEFT($AZ$5,8),LEFT('6.Inland wetlands'!$K84,8)=LEFT($AZ$6,8),LEFT('6.Inland wetlands'!$K84,8)=LEFT($AZ$7,8),LEFT('6.Inland wetlands'!$K84,8)=LEFT($AZ$8,8), LEFT('6.Inland wetlands'!$K84,8)=LEFT($AZ$9,8),  LEFT('6.Inland wetlands'!$K84,8)=LEFT($AZ$10,8), LEFT('6.Inland wetlands'!$K84,8)=LEFT($AZ$11,8),   LEFT('6.Inland wetlands'!$K84,8)=LEFT($AZ$12,8), LEFT('6.Inland wetlands'!$K84,8)=LEFT($AZ$13,8), LEFT('6.Inland wetlands'!$K84,8)=LEFT($AZ$14,8), LEFT('6.Inland wetlands'!$K84,8)=LEFT($AZ$15,8), LEFT('6.Inland wetlands'!$K84,8)=LEFT($AZ$16,8), LEFT('6.Inland wetlands'!$K84,8)=LEFT($AZ$17,8))),'6.Inland wetlands'!$N84,0),0)</f>
        <v/>
      </c>
      <c r="DK55" s="1355">
        <f>IF(LEFT('6.Inland wetlands'!$I84,8)=LEFT($DF$53,8),IF(LEFT('6.Inland wetlands'!$K84,8)=LEFT(DK$50,8),'6.Inland wetlands'!$N84,0),0)</f>
        <v/>
      </c>
      <c r="DL55" s="1354">
        <f>IF(LEFT('6.Inland wetlands'!$I84,8)=LEFT($DF$53,8),IF(LEFT('6.Inland wetlands'!$K84,8)=LEFT(DL$50,8),'6.Inland wetlands'!$N84,0),0)</f>
        <v/>
      </c>
    </row>
    <row r="56">
      <c r="D56" s="973" t="n"/>
      <c r="F56" s="1368" t="n"/>
      <c r="G56" s="1371" t="n"/>
      <c r="H56" s="1370" t="inlineStr">
        <is>
          <t>Other land (non-vegetated)</t>
        </is>
      </c>
      <c r="I56" s="3144">
        <f>AM57+AI57</f>
        <v/>
      </c>
      <c r="J56" s="3143">
        <f>DG57+BZ57</f>
        <v/>
      </c>
      <c r="K56" s="3143">
        <f>DJ57+CC57</f>
        <v/>
      </c>
      <c r="L56" s="3143">
        <f>DH57+CA57</f>
        <v/>
      </c>
      <c r="M56" s="3143">
        <f>DI57+CD57</f>
        <v/>
      </c>
      <c r="N56" s="3143">
        <f>DL57+CB57</f>
        <v/>
      </c>
      <c r="O56" s="2851">
        <f>SUMIF('Inl. wetlands'!$C413:$C418,$O$49,'Inl. wetlands'!$F413:$F418)+(MAX(SUM(I56:N56),SUM(I72:N72))-SUM(I56:N56))+MAX(CE57+DK57,CE73+DK73)</f>
        <v/>
      </c>
      <c r="P56" s="3143">
        <f>SUM(I56:O56)</f>
        <v/>
      </c>
      <c r="S56" s="1576" t="n"/>
      <c r="T56" s="1414" t="n"/>
      <c r="U56" s="1424">
        <f>IF('6.Inland wetlands'!$I18 = $U$50, 1,0)* 'Inl. wetlands'!$S41</f>
        <v/>
      </c>
      <c r="V56" s="1425">
        <f>IF('6.Inland wetlands'!$I18 = $V$50, 1,0)* 'Inl. wetlands'!$S41</f>
        <v/>
      </c>
      <c r="W56" s="1425">
        <f>IF('6.Inland wetlands'!$I18 = $W$50, 1,0)* 'Inl. wetlands'!$S41</f>
        <v/>
      </c>
      <c r="X56" s="1425">
        <f>IF('6.Inland wetlands'!$I18 = $X$50, 1,0)* 'Inl. wetlands'!$S41</f>
        <v/>
      </c>
      <c r="Y56" s="1425">
        <f>IF('6.Inland wetlands'!$I18 = $Y$50, 1,0)* 'Inl. wetlands'!$S41</f>
        <v/>
      </c>
      <c r="Z56" s="1425">
        <f>IF('6.Inland wetlands'!$I18 = $Z$50, 1,0)* 'Inl. wetlands'!$S41</f>
        <v/>
      </c>
      <c r="AA56" s="1426">
        <f>IF('6.Inland wetlands'!$I18 = $AA$50, 1,0)* 'Inl. wetlands'!$S41</f>
        <v/>
      </c>
      <c r="AB56" s="973" t="n"/>
      <c r="AE56" s="1168" t="n"/>
      <c r="AF56" s="1414" t="n"/>
      <c r="AG56" s="1424">
        <f>IF(AG$50='6.Inland wetlands'!$I51, '6.Inland wetlands'!$N51,0)</f>
        <v/>
      </c>
      <c r="AH56" s="1425">
        <f>IF(AH$50='6.Inland wetlands'!$I51, '6.Inland wetlands'!$N51,0)</f>
        <v/>
      </c>
      <c r="AI56" s="1425">
        <f>IF(AI$50='6.Inland wetlands'!$I51, '6.Inland wetlands'!$N51,0)</f>
        <v/>
      </c>
      <c r="AJ56" s="1425">
        <f>IF(AJ$50='6.Inland wetlands'!$I51, '6.Inland wetlands'!$N51,0)</f>
        <v/>
      </c>
      <c r="AK56" s="1425">
        <f>IF(AK$50='6.Inland wetlands'!$I51, '6.Inland wetlands'!$N51,0)</f>
        <v/>
      </c>
      <c r="AL56" s="1425">
        <f>IF(AL$50='6.Inland wetlands'!$I51, '6.Inland wetlands'!$N51,0)</f>
        <v/>
      </c>
      <c r="AM56" s="1426">
        <f>IF(AM$50='6.Inland wetlands'!$I51, '6.Inland wetlands'!$N51,0)</f>
        <v/>
      </c>
      <c r="AN56" s="973" t="n"/>
      <c r="AQ56" s="973" t="n"/>
      <c r="AR56" s="1354" t="n"/>
      <c r="AS56" s="1376">
        <f>IF(LEFT('6.Inland wetlands'!$I85,8)=LEFT($AR$53,8),IF(LEFT('6.Inland wetlands'!$K85,8)=LEFT(AS$50,8), '6.Inland wetlands'!$N85,0),0)</f>
        <v/>
      </c>
      <c r="AT56" s="1376">
        <f>IF(LEFT('6.Inland wetlands'!$I85,8)=LEFT($AR$53,8),IF(LEFT('6.Inland wetlands'!$K85,8)=LEFT(AT$50,8), '6.Inland wetlands'!$N85,0),0)</f>
        <v/>
      </c>
      <c r="AU56" s="1376">
        <f>IF(LEFT('6.Inland wetlands'!$I85,8)=LEFT($AR$53,8),IF(LEFT('6.Inland wetlands'!$K85,8)=LEFT(AU$50,8), '6.Inland wetlands'!$N85,0),0)</f>
        <v/>
      </c>
      <c r="AV56" s="1376">
        <f>IF(LEFT('6.Inland wetlands'!$I85,8)=LEFT($AR$53,8),IF(LEFT('6.Inland wetlands'!$K85,8)=LEFT(AV$50,8), '6.Inland wetlands'!$N85,0),0)</f>
        <v/>
      </c>
      <c r="AW56" s="1376">
        <f>IF(LEFT('6.Inland wetlands'!$I85,8)=LEFT($AR$53,8),IF(LEFT('6.Inland wetlands'!$K85,8)=LEFT(AW$50,8), '6.Inland wetlands'!$N85,0),0)</f>
        <v/>
      </c>
      <c r="AX56" s="1376">
        <f>IF(LEFT('6.Inland wetlands'!$I85,8)=LEFT($AR$53,8),IF((OR(LEFT('6.Inland wetlands'!$K85,8)=LEFT(AX$50,8),LEFT('6.Inland wetlands'!$K85,8)=LEFT($AZ$3,8),LEFT('6.Inland wetlands'!$K85,8)=LEFT($AZ$4,8),LEFT('6.Inland wetlands'!$K85,8)=LEFT($AZ$5,8),LEFT('6.Inland wetlands'!$K85,8)=LEFT($AZ$6,8),LEFT('6.Inland wetlands'!$K85,8)=LEFT($AZ$7,8),LEFT('6.Inland wetlands'!$K85,8)=LEFT($AZ$8,8), LEFT('6.Inland wetlands'!$K85,8)=LEFT($AZ$9,8),  LEFT('6.Inland wetlands'!$K85,8)=LEFT($AZ$10,8), LEFT('6.Inland wetlands'!$K85,8)=LEFT($AZ$11,8),   LEFT('6.Inland wetlands'!$K85,8)=LEFT($AZ$12,8), LEFT('6.Inland wetlands'!$K85,8)=LEFT($AZ$13,8), LEFT('6.Inland wetlands'!$K85,8)=LEFT($AZ$14,8), LEFT('6.Inland wetlands'!$K85,8)=LEFT($AZ$15,8), LEFT('6.Inland wetlands'!$K85,8)=LEFT($AZ$16,8), LEFT('6.Inland wetlands'!$K85,8)=LEFT($AZ$17,8))),'6.Inland wetlands'!$N85,0),0)</f>
        <v/>
      </c>
      <c r="AZ56" s="1345" t="inlineStr">
        <is>
          <t>Silvopasture</t>
        </is>
      </c>
      <c r="BB56" s="973" t="n"/>
      <c r="BC56" s="1354" t="n"/>
      <c r="BD56" s="1376">
        <f>IF((OR(LEFT('6.Inland wetlands'!$I85,8)=LEFT(Matrix!$BC$53,8), LEFT('6.Inland wetlands'!$I85,8)=LEFT(Matrix!$AZ$44,8), LEFT('6.Inland wetlands'!$I85,8)=LEFT(Matrix!$AZ$45,8), LEFT('6.Inland wetlands'!$I85,8)=LEFT(Matrix!$AZ$46,8), LEFT('6.Inland wetlands'!$I85,8)=LEFT(Matrix!AZ$47,8), LEFT('6.Inland wetlands'!$I85,8)=LEFT(Matrix!$AZ$48,8),  LEFT('6.Inland wetlands'!$I85,8)=LEFT(Matrix!$AZ$49,8), LEFT('6.Inland wetlands'!$I85,8)=LEFT(Matrix!$AZ$50,8), LEFT('6.Inland wetlands'!$I85,8)=LEFT(Matrix!$AZ$51,8), LEFT('6.Inland wetlands'!$I85,8)=LEFT(Matrix!$AZ$52,8), LEFT('6.Inland wetlands'!$I85,8)=LEFT(Matrix!$AZ$53,8), LEFT('6.Inland wetlands'!$I85,8)=LEFT(Matrix!$AZ$54,8), LEFT('6.Inland wetlands'!$I85,8)=LEFT(Matrix!$AZ$55,8), LEFT('6.Inland wetlands'!$I85,8)=LEFT(Matrix!$AZ$56,8), LEFT('6.Inland wetlands'!$I85,8)=LEFT(Matrix!$AZ$57,8), LEFT('6.Inland wetlands'!$I85,8)=LEFT(Matrix!$AZ$58,8))), IF(LEFT('6.Inland wetlands'!$K85,8)=LEFT(Matrix!BD$50,8), '6.Inland wetlands'!$N85, 0),0)</f>
        <v/>
      </c>
      <c r="BE56" s="1376">
        <f>IF((OR(LEFT('6.Inland wetlands'!$I85,8)=LEFT(Matrix!$BC$53,8), LEFT('6.Inland wetlands'!$I85,8)=LEFT(Matrix!$AZ$44,8), LEFT('6.Inland wetlands'!$I85,8)=LEFT(Matrix!$AZ$45,8), LEFT('6.Inland wetlands'!$I85,8)=LEFT(Matrix!$AZ$46,8), LEFT('6.Inland wetlands'!$I85,8)=LEFT(Matrix!BA$47,8), LEFT('6.Inland wetlands'!$I85,8)=LEFT(Matrix!$AZ$48,8),  LEFT('6.Inland wetlands'!$I85,8)=LEFT(Matrix!$AZ$49,8), LEFT('6.Inland wetlands'!$I85,8)=LEFT(Matrix!$AZ$50,8), LEFT('6.Inland wetlands'!$I85,8)=LEFT(Matrix!$AZ$51,8), LEFT('6.Inland wetlands'!$I85,8)=LEFT(Matrix!$AZ$52,8), LEFT('6.Inland wetlands'!$I85,8)=LEFT(Matrix!$AZ$53,8), LEFT('6.Inland wetlands'!$I85,8)=LEFT(Matrix!$AZ$54,8), LEFT('6.Inland wetlands'!$I85,8)=LEFT(Matrix!$AZ$55,8), LEFT('6.Inland wetlands'!$I85,8)=LEFT(Matrix!$AZ$56,8), LEFT('6.Inland wetlands'!$I85,8)=LEFT(Matrix!$AZ$57,8), LEFT('6.Inland wetlands'!$I85,8)=LEFT(Matrix!$AZ$58,8))), IF(LEFT('6.Inland wetlands'!$K85,8)=LEFT(Matrix!BE$50,8), '6.Inland wetlands'!$N85, 0),0)</f>
        <v/>
      </c>
      <c r="BF56" s="1376">
        <f>IF((OR(LEFT('6.Inland wetlands'!$I85,8)=LEFT(Matrix!$BC$53,8), LEFT('6.Inland wetlands'!$I85,8)=LEFT(Matrix!$AZ$44,8), LEFT('6.Inland wetlands'!$I85,8)=LEFT(Matrix!$AZ$45,8), LEFT('6.Inland wetlands'!$I85,8)=LEFT(Matrix!$AZ$46,8), LEFT('6.Inland wetlands'!$I85,8)=LEFT(Matrix!BB$47,8), LEFT('6.Inland wetlands'!$I85,8)=LEFT(Matrix!$AZ$48,8),  LEFT('6.Inland wetlands'!$I85,8)=LEFT(Matrix!$AZ$49,8), LEFT('6.Inland wetlands'!$I85,8)=LEFT(Matrix!$AZ$50,8), LEFT('6.Inland wetlands'!$I85,8)=LEFT(Matrix!$AZ$51,8), LEFT('6.Inland wetlands'!$I85,8)=LEFT(Matrix!$AZ$52,8), LEFT('6.Inland wetlands'!$I85,8)=LEFT(Matrix!$AZ$53,8), LEFT('6.Inland wetlands'!$I85,8)=LEFT(Matrix!$AZ$54,8), LEFT('6.Inland wetlands'!$I85,8)=LEFT(Matrix!$AZ$55,8), LEFT('6.Inland wetlands'!$I85,8)=LEFT(Matrix!$AZ$56,8), LEFT('6.Inland wetlands'!$I85,8)=LEFT(Matrix!$AZ$57,8), LEFT('6.Inland wetlands'!$I85,8)=LEFT(Matrix!$AZ$58,8))), IF(LEFT('6.Inland wetlands'!$K85,8)=LEFT(Matrix!BF$50,8), '6.Inland wetlands'!$N85, 0),0)</f>
        <v/>
      </c>
      <c r="BG56" s="1376">
        <f>IF((OR(LEFT('6.Inland wetlands'!$I85,8)=LEFT(Matrix!$BC$53,8), LEFT('6.Inland wetlands'!$I85,8)=LEFT(Matrix!$AZ$44,8), LEFT('6.Inland wetlands'!$I85,8)=LEFT(Matrix!$AZ$45,8), LEFT('6.Inland wetlands'!$I85,8)=LEFT(Matrix!$AZ$46,8), LEFT('6.Inland wetlands'!$I85,8)=LEFT(Matrix!BC$47,8), LEFT('6.Inland wetlands'!$I85,8)=LEFT(Matrix!$AZ$48,8),  LEFT('6.Inland wetlands'!$I85,8)=LEFT(Matrix!$AZ$49,8), LEFT('6.Inland wetlands'!$I85,8)=LEFT(Matrix!$AZ$50,8), LEFT('6.Inland wetlands'!$I85,8)=LEFT(Matrix!$AZ$51,8), LEFT('6.Inland wetlands'!$I85,8)=LEFT(Matrix!$AZ$52,8), LEFT('6.Inland wetlands'!$I85,8)=LEFT(Matrix!$AZ$53,8), LEFT('6.Inland wetlands'!$I85,8)=LEFT(Matrix!$AZ$54,8), LEFT('6.Inland wetlands'!$I85,8)=LEFT(Matrix!$AZ$55,8), LEFT('6.Inland wetlands'!$I85,8)=LEFT(Matrix!$AZ$56,8), LEFT('6.Inland wetlands'!$I85,8)=LEFT(Matrix!$AZ$57,8), LEFT('6.Inland wetlands'!$I85,8)=LEFT(Matrix!$AZ$58,8))), IF(LEFT('6.Inland wetlands'!$K85,8)=LEFT(Matrix!BG$50,8), '6.Inland wetlands'!$N85, 0),0)</f>
        <v/>
      </c>
      <c r="BH56" s="1376">
        <f>IF((OR(LEFT('6.Inland wetlands'!$I85,8)=LEFT(Matrix!$BC$53,8), LEFT('6.Inland wetlands'!$I85,8)=LEFT(Matrix!$AZ$44,8), LEFT('6.Inland wetlands'!$I85,8)=LEFT(Matrix!$AZ$45,8), LEFT('6.Inland wetlands'!$I85,8)=LEFT(Matrix!$AZ$46,8), LEFT('6.Inland wetlands'!$I85,8)=LEFT(Matrix!BD$47,8), LEFT('6.Inland wetlands'!$I85,8)=LEFT(Matrix!$AZ$48,8),  LEFT('6.Inland wetlands'!$I85,8)=LEFT(Matrix!$AZ$49,8), LEFT('6.Inland wetlands'!$I85,8)=LEFT(Matrix!$AZ$50,8), LEFT('6.Inland wetlands'!$I85,8)=LEFT(Matrix!$AZ$51,8), LEFT('6.Inland wetlands'!$I85,8)=LEFT(Matrix!$AZ$52,8), LEFT('6.Inland wetlands'!$I85,8)=LEFT(Matrix!$AZ$53,8), LEFT('6.Inland wetlands'!$I85,8)=LEFT(Matrix!$AZ$54,8), LEFT('6.Inland wetlands'!$I85,8)=LEFT(Matrix!$AZ$55,8), LEFT('6.Inland wetlands'!$I85,8)=LEFT(Matrix!$AZ$56,8), LEFT('6.Inland wetlands'!$I85,8)=LEFT(Matrix!$AZ$57,8), LEFT('6.Inland wetlands'!$I85,8)=LEFT(Matrix!$AZ$58,8))), IF(LEFT('6.Inland wetlands'!$K85,8)=LEFT(Matrix!BH$50,8), '6.Inland wetlands'!$N85, 0),0)</f>
        <v/>
      </c>
      <c r="BI56" s="1376">
        <f>IF((OR(LEFT('6.Inland wetlands'!$I85,8)=LEFT(Matrix!$BC$53,8), LEFT('6.Inland wetlands'!$I85,8)=LEFT(Matrix!$AZ$44,8), LEFT('6.Inland wetlands'!$I85,8)=LEFT(Matrix!$AZ$45,8), LEFT('6.Inland wetlands'!$I85,8)=LEFT(Matrix!$AZ$46,8), LEFT('6.Inland wetlands'!$I85,8)=LEFT(Matrix!BE$47,8), LEFT('6.Inland wetlands'!$I85,8)=LEFT(Matrix!$AZ$48,8),  LEFT('6.Inland wetlands'!$I85,8)=LEFT(Matrix!$AZ$49,8), LEFT('6.Inland wetlands'!$I85,8)=LEFT(Matrix!$AZ$50,8), LEFT('6.Inland wetlands'!$I85,8)=LEFT(Matrix!$AZ$51,8), LEFT('6.Inland wetlands'!$I85,8)=LEFT(Matrix!$AZ$52,8), LEFT('6.Inland wetlands'!$I85,8)=LEFT(Matrix!$AZ$53,8), LEFT('6.Inland wetlands'!$I85,8)=LEFT(Matrix!$AZ$54,8), LEFT('6.Inland wetlands'!$I85,8)=LEFT(Matrix!$AZ$55,8), LEFT('6.Inland wetlands'!$I85,8)=LEFT(Matrix!$AZ$56,8), LEFT('6.Inland wetlands'!$I85,8)=LEFT(Matrix!$AZ$57,8), LEFT('6.Inland wetlands'!$I85,8)=LEFT(Matrix!$AZ$58,8))), IF(LEFT('6.Inland wetlands'!$K85,8)=LEFT(Matrix!BI$50,8), '6.Inland wetlands'!$N85, 0),0)</f>
        <v/>
      </c>
      <c r="BJ56" s="973" t="n"/>
      <c r="BM56" s="973" t="n"/>
      <c r="BN56" s="1355" t="n"/>
      <c r="BO56" s="1376">
        <f>IF(LEFT('6.Inland wetlands'!$I85,8)=LEFT($BN$53,8),IF(LEFT('6.Inland wetlands'!$K85,8)=LEFT(BO$50,8),'6.Inland wetlands'!$N85,0),0)</f>
        <v/>
      </c>
      <c r="BP56" s="1376">
        <f>IF(LEFT('6.Inland wetlands'!$I85,8)=LEFT($BN$53,8),IF(LEFT('6.Inland wetlands'!$K85,8)=LEFT(BP$50,8),'6.Inland wetlands'!$N85,0),0)</f>
        <v/>
      </c>
      <c r="BQ56" s="1376">
        <f>IF(LEFT('6.Inland wetlands'!$I85,8)=LEFT($BN$53,8),IF(LEFT('6.Inland wetlands'!$K85,8)=LEFT(BQ$50,8),'6.Inland wetlands'!$N85,0),0)</f>
        <v/>
      </c>
      <c r="BR56" s="1376">
        <f>IF(LEFT('6.Inland wetlands'!$I85,8)=LEFT($BN$53,8),IF((OR(LEFT('6.Inland wetlands'!$K85,8)=LEFT(BR$50,8),LEFT('6.Inland wetlands'!$K85,8)=LEFT($AZ$3,8), LEFT('6.Inland wetlands'!$K85,8)=LEFT($AZ$4,9),LEFT('6.Inland wetlands'!$K85,8)=LEFT($AZ$5,8),LEFT('6.Inland wetlands'!$K85,8)=LEFT($AZ$6,8),LEFT('6.Inland wetlands'!$K85,8)=LEFT($AZ$7,8),LEFT('6.Inland wetlands'!$K85,8)=LEFT($AZ$8,8), LEFT('6.Inland wetlands'!$K85,8)=LEFT($AZ$9,8),  LEFT('6.Inland wetlands'!$K85,8)=LEFT($AZ$10,8), LEFT('6.Inland wetlands'!$K85,8)=LEFT($AZ$11,8),   LEFT('6.Inland wetlands'!$K85,8)=LEFT($AZ$12,8), LEFT('6.Inland wetlands'!$K85,8)=LEFT($AZ$13,8), LEFT('6.Inland wetlands'!$K85,8)=LEFT($AZ$14,8), LEFT('6.Inland wetlands'!$K85,8)=LEFT($AZ$15,8), LEFT('6.Inland wetlands'!$K85,8)=LEFT($AZ$16,8), LEFT('6.Inland wetlands'!$K85,8)=LEFT($AZ$17,8))),'6.Inland wetlands'!$N85,0),0)</f>
        <v/>
      </c>
      <c r="BS56" s="1376">
        <f>IF(LEFT('6.Inland wetlands'!$I85,8)=LEFT($BN$53,8),IF(LEFT('6.Inland wetlands'!$K85,8)=LEFT(BS$50,8),'6.Inland wetlands'!$N85,0),0)</f>
        <v/>
      </c>
      <c r="BT56" s="1376">
        <f>IF(LEFT('6.Inland wetlands'!$I85,8)=LEFT($BN$53,8),IF(LEFT('6.Inland wetlands'!$K85,8)=LEFT(BT$50,8),'6.Inland wetlands'!$N85,0),0)</f>
        <v/>
      </c>
      <c r="BU56" s="973" t="n"/>
      <c r="BX56" s="973" t="n"/>
      <c r="BY56" s="1355" t="n"/>
      <c r="BZ56" s="1376">
        <f>IF(LEFT('6.Inland wetlands'!$I85,8)=LEFT($BY$8,8),IF(LEFT('6.Inland wetlands'!$K85,8)=LEFT(BZ$5,8),'6.Inland wetlands'!$N85,0),0)</f>
        <v/>
      </c>
      <c r="CA56" s="1376">
        <f>IF(LEFT('6.Inland wetlands'!$I85,8)=LEFT($BY$8,8),IF(LEFT('6.Inland wetlands'!$K85,8)=LEFT(CA$5,8),'6.Inland wetlands'!$N85,0),0)</f>
        <v/>
      </c>
      <c r="CB56" s="1376">
        <f>IF(LEFT('6.Inland wetlands'!$I85,8)=LEFT($BY$8,8),IF(LEFT('6.Inland wetlands'!$K85,8)=LEFT(CB$5,8),'6.Inland wetlands'!$N85,0),0)</f>
        <v/>
      </c>
      <c r="CC56" s="1376">
        <f>IF(LEFT('6.Inland wetlands'!$I85,8)=LEFT($BY$8,8),IF((OR(LEFT('6.Inland wetlands'!$K85,8)=LEFT(CC$5,8),LEFT('6.Inland wetlands'!$K85,8)=LEFT(AZ$3,8),LEFT('6.Inland wetlands'!$K85,8)=LEFT(AZ$4,8),LEFT('6.Inland wetlands'!$K85,8)=LEFT($AZ$5,8),LEFT('6.Inland wetlands'!$K85,8)=LEFT($AZ$6,8),LEFT('6.Inland wetlands'!$K85,8)=LEFT($AZ$7,8),LEFT('6.Inland wetlands'!$K85,8)=LEFT($AZ$8,8), LEFT('6.Inland wetlands'!$K85,8)=LEFT($AZ$9,8),  LEFT('6.Inland wetlands'!$K85,8)=LEFT($AZ$10,8), LEFT('6.Inland wetlands'!$K85,8)=LEFT($AZ$11,8),   LEFT('6.Inland wetlands'!$K85,8)=LEFT($AZ$12,8), LEFT('6.Inland wetlands'!$K85,8)=LEFT($AZ$13,8), LEFT('6.Inland wetlands'!$K85,8)=LEFT($AZ$14,8), LEFT('6.Inland wetlands'!$K85,8)=LEFT($AZ$15,8), LEFT('6.Inland wetlands'!$K85,8)=LEFT($AZ$16,8), LEFT('6.Inland wetlands'!$K85,8)=LEFT($AZ$17,8))),'6.Inland wetlands'!$N85,0),0)</f>
        <v/>
      </c>
      <c r="CD56" s="1376">
        <f>IF(LEFT('6.Inland wetlands'!$I85,8)=LEFT($BY$8,8),IF(LEFT('6.Inland wetlands'!$K85,8)=LEFT(CD$5,8),'6.Inland wetlands'!$N85,0),0)</f>
        <v/>
      </c>
      <c r="CE56" s="1376">
        <f>IF(LEFT('6.Inland wetlands'!$I85,8)=LEFT($BY$8,8),IF(LEFT('6.Inland wetlands'!$K85,8)=LEFT(CE$5,8),'6.Inland wetlands'!$N85,0),0)</f>
        <v/>
      </c>
      <c r="CF56" s="973" t="n"/>
      <c r="CI56" s="973" t="n"/>
      <c r="CJ56" s="1355" t="n"/>
      <c r="CK56" s="1376">
        <f>IF(LEFT('6.Inland wetlands'!$I85,8)=LEFT($CJ$8,8),IF(LEFT('6.Inland wetlands'!$K85,8)=LEFT(CK$5,8),'6.Inland wetlands'!$N85,0),0)</f>
        <v/>
      </c>
      <c r="CL56" s="1376">
        <f>IF(LEFT('6.Inland wetlands'!$I85,8)=LEFT($CJ$8,8),IF(LEFT('6.Inland wetlands'!$K85,8)=LEFT(CL$5,8),'6.Inland wetlands'!$N85,0),0)</f>
        <v/>
      </c>
      <c r="CM56" s="1377">
        <f>IF(LEFT('6.Inland wetlands'!$I85,8)=LEFT($CJ$8,8),IF(LEFT('6.Inland wetlands'!$K85,8)=LEFT(CM$5,8),'6.Inland wetlands'!$N85,0),0)</f>
        <v/>
      </c>
      <c r="CN56" s="1376">
        <f>IF(LEFT('6.Inland wetlands'!$I85,8)=LEFT($CJ$8,8),IF((OR(LEFT('6.Inland wetlands'!$K85,8)=LEFT(CN$5,8),LEFT('6.Inland wetlands'!$K85,8)=LEFT($AZ$3,8),LEFT('6.Inland wetlands'!$K85,8)=LEFT($AZ$4,8),LEFT('6.Inland wetlands'!$K85,8)=LEFT($AZ$5,8),LEFT('6.Inland wetlands'!$K85,8)=LEFT($AZ$6,8),LEFT('6.Inland wetlands'!$K85,8)=LEFT($AZ$7,8),LEFT('6.Inland wetlands'!$K85,8)=LEFT($AZ$8,8), LEFT('6.Inland wetlands'!$K85,8)=LEFT($AZ$9,8),  LEFT('6.Inland wetlands'!$K85,8)=LEFT($AZ$10,8), LEFT('6.Inland wetlands'!$K85,8)=LEFT($AZ$11,8),   LEFT('6.Inland wetlands'!$K85,8)=LEFT($AZ$12,8), LEFT('6.Inland wetlands'!$K85,8)=LEFT($AZ$13,8), LEFT('6.Inland wetlands'!$K85,8)=LEFT($AZ$14,8), LEFT('6.Inland wetlands'!$K85,8)=LEFT($AZ$15,8), LEFT('6.Inland wetlands'!$K85,8)=LEFT($AZ$16,8), LEFT('6.Inland wetlands'!$K85,8)=LEFT($AZ$17,8))),'6.Inland wetlands'!$N85,0),0)</f>
        <v/>
      </c>
      <c r="CO56" s="1375">
        <f>IF(LEFT('6.Inland wetlands'!$I85,8)=LEFT($CJ$8,8),IF(LEFT('6.Inland wetlands'!$K85,8)=LEFT(CO$5,8),'6.Inland wetlands'!$N85,0),0)</f>
        <v/>
      </c>
      <c r="CP56" s="1376">
        <f>IF(LEFT('6.Inland wetlands'!$I85,8)=LEFT($CJ$8,8),IF(LEFT('6.Inland wetlands'!$K85,8)=LEFT(CP$5,8),'6.Inland wetlands'!$N85,0),0)</f>
        <v/>
      </c>
      <c r="CQ56" s="973" t="n"/>
      <c r="CT56" s="973" t="n"/>
      <c r="CU56" s="1355" t="n"/>
      <c r="CV56" s="1377">
        <f>IF(LEFT('6.Inland wetlands'!$I85,8)=LEFT($CU$53,8),IF(LEFT('6.Inland wetlands'!$K85,8)=LEFT(CV$50,8),'6.Inland wetlands'!$N85,0),0)</f>
        <v/>
      </c>
      <c r="CW56" s="1377">
        <f>IF(LEFT('6.Inland wetlands'!$I85,8)=LEFT($CU$53,8),IF(LEFT('6.Inland wetlands'!$K85,8)=LEFT(CW$50,8),'6.Inland wetlands'!$N85,0),0)</f>
        <v/>
      </c>
      <c r="CX56" s="1377">
        <f>IF(LEFT('6.Inland wetlands'!$I85,8)=LEFT($CU$53,8),IF(LEFT('6.Inland wetlands'!$K85,8)=LEFT(CX$50,8),'6.Inland wetlands'!$N85,0),0)</f>
        <v/>
      </c>
      <c r="CY56" s="1376">
        <f>IF(LEFT('6.Inland wetlands'!$I85,8)=LEFT($CU$53,8),IF((OR(LEFT('6.Inland wetlands'!$K85,8)=LEFT($CY$50,8),LEFT('6.Inland wetlands'!$K85,8)=LEFT($AZ$3,8),LEFT('6.Inland wetlands'!$K85,8)=LEFT($AZ$4,8),LEFT('6.Inland wetlands'!$K85,8)=LEFT($AZ$5,8),LEFT('6.Inland wetlands'!$K85,8)=LEFT($AZ$6,8),LEFT('6.Inland wetlands'!$K85,8)=LEFT($AZ$7,8),LEFT('6.Inland wetlands'!$K85,8)=LEFT($AZ$8,8), LEFT('6.Inland wetlands'!$K85,8)=LEFT($AZ$9,8),  LEFT('6.Inland wetlands'!$K85,8)=LEFT($AZ$10,8), LEFT('6.Inland wetlands'!$K85,8)=LEFT($AZ$11,8),   LEFT('6.Inland wetlands'!$K85,8)=LEFT($AZ$12,8), LEFT('6.Inland wetlands'!$K85,8)=LEFT($AZ$13,8), LEFT('6.Inland wetlands'!$K85,8)=LEFT($AZ$14,8), LEFT('6.Inland wetlands'!$K85,8)=LEFT($AZ$15,8), LEFT('6.Inland wetlands'!$K85,8)=LEFT($AZ$16,8), LEFT('6.Inland wetlands'!$K85,8)=LEFT($AZ$17,8))),'6.Inland wetlands'!$N85,0),0)</f>
        <v/>
      </c>
      <c r="CZ56" s="1378">
        <f>IF(LEFT('6.Inland wetlands'!$I85,8)=LEFT($CU$53,8),IF(LEFT('6.Inland wetlands'!$K85,8)=LEFT(CZ$50,8),'6.Inland wetlands'!$N85,0),0)</f>
        <v/>
      </c>
      <c r="DA56" s="1376">
        <f>IF(LEFT('6.Inland wetlands'!$I85,8)=LEFT($CU$53,8),IF(LEFT('6.Inland wetlands'!$K85,8)=LEFT(DA$50,8),'6.Inland wetlands'!$N85,0),0)</f>
        <v/>
      </c>
      <c r="DB56" s="973" t="n"/>
      <c r="DE56" s="973" t="n"/>
      <c r="DF56" s="1355" t="n"/>
      <c r="DG56" s="1377">
        <f>IF(LEFT('6.Inland wetlands'!$I85,8)=LEFT($DF$53,8),IF(LEFT('6.Inland wetlands'!$K85,8)=LEFT(DG$50,8),'6.Inland wetlands'!$N85,0),0)</f>
        <v/>
      </c>
      <c r="DH56" s="1377">
        <f>IF(LEFT('6.Inland wetlands'!$I85,8)=LEFT($DF$53,8),IF(LEFT('6.Inland wetlands'!$K85,8)=LEFT(DH$50,8),'6.Inland wetlands'!$N85,0),0)</f>
        <v/>
      </c>
      <c r="DI56" s="1377">
        <f>IF(LEFT('6.Inland wetlands'!$I85,8)=LEFT($DF$53,8),IF(LEFT('6.Inland wetlands'!$K85,8)=LEFT(DI$50,8),'6.Inland wetlands'!$N85,0),0)</f>
        <v/>
      </c>
      <c r="DJ56" s="1376">
        <f>IF(LEFT('6.Inland wetlands'!$I85,8)=LEFT($DF$53,8),IF((OR(LEFT('6.Inland wetlands'!$K85,8)=LEFT($DJ55,8),LEFT('6.Inland wetlands'!$K85,8)=LEFT($AZ$3,8),LEFT('6.Inland wetlands'!$K85,8)=LEFT($AZ$4,8),LEFT('6.Inland wetlands'!$K85,8)=LEFT($AZ$5,8),LEFT('6.Inland wetlands'!$K85,8)=LEFT($AZ$6,8),LEFT('6.Inland wetlands'!$K85,8)=LEFT($AZ$7,8),LEFT('6.Inland wetlands'!$K85,8)=LEFT($AZ$8,8), LEFT('6.Inland wetlands'!$K85,8)=LEFT($AZ$9,8),  LEFT('6.Inland wetlands'!$K85,8)=LEFT($AZ$10,8), LEFT('6.Inland wetlands'!$K85,8)=LEFT($AZ$11,8),   LEFT('6.Inland wetlands'!$K85,8)=LEFT($AZ$12,8), LEFT('6.Inland wetlands'!$K85,8)=LEFT($AZ$13,8), LEFT('6.Inland wetlands'!$K85,8)=LEFT($AZ$14,8), LEFT('6.Inland wetlands'!$K85,8)=LEFT($AZ$15,8), LEFT('6.Inland wetlands'!$K85,8)=LEFT($AZ$16,8), LEFT('6.Inland wetlands'!$K85,8)=LEFT($AZ$17,8))),'6.Inland wetlands'!$N85,0),0)</f>
        <v/>
      </c>
      <c r="DK56" s="1377">
        <f>IF(LEFT('6.Inland wetlands'!$I85,8)=LEFT($DF$53,8),IF(LEFT('6.Inland wetlands'!$K85,8)=LEFT(DK$50,8),'6.Inland wetlands'!$N85,0),0)</f>
        <v/>
      </c>
      <c r="DL56" s="1376">
        <f>IF(LEFT('6.Inland wetlands'!$I85,8)=LEFT($DF$53,8),IF(LEFT('6.Inland wetlands'!$K85,8)=LEFT(DL$50,8),'6.Inland wetlands'!$N85,0),0)</f>
        <v/>
      </c>
    </row>
    <row r="57">
      <c r="F57" s="1370" t="n"/>
      <c r="G57" s="1372" t="inlineStr">
        <is>
          <t>Total area final w/out project (ha)</t>
        </is>
      </c>
      <c r="H57" s="1373" t="n"/>
      <c r="I57" s="3140">
        <f>SUM(I50:I56)</f>
        <v/>
      </c>
      <c r="J57" s="3140">
        <f>SUM(J50:J56)</f>
        <v/>
      </c>
      <c r="K57" s="3140">
        <f>SUM(K50:K56)</f>
        <v/>
      </c>
      <c r="L57" s="3140">
        <f>SUM(L50:L56)</f>
        <v/>
      </c>
      <c r="M57" s="3140">
        <f>SUM(M50:M56)</f>
        <v/>
      </c>
      <c r="N57" s="3140">
        <f>SUM(N50:N56)</f>
        <v/>
      </c>
      <c r="O57" s="3140">
        <f>SUM(O50:O56)</f>
        <v/>
      </c>
      <c r="P57" s="3146">
        <f>SUM(P50:P56)</f>
        <v/>
      </c>
      <c r="R57" s="973" t="n"/>
      <c r="T57" s="1374" t="inlineStr">
        <is>
          <t xml:space="preserve">Total </t>
        </is>
      </c>
      <c r="U57" s="1124">
        <f>SUM(U51:U56)</f>
        <v/>
      </c>
      <c r="V57" s="1124">
        <f>SUM(V51:V56)</f>
        <v/>
      </c>
      <c r="W57" s="1124">
        <f>SUM(W51:W56)</f>
        <v/>
      </c>
      <c r="X57" s="1124">
        <f>SUM(X51:X56)</f>
        <v/>
      </c>
      <c r="Y57" s="1124">
        <f>SUM(Y51:Y56)</f>
        <v/>
      </c>
      <c r="Z57" s="1124">
        <f>SUM(Z51:Z56)</f>
        <v/>
      </c>
      <c r="AA57" s="1124">
        <f>SUM(AA51:AA56)</f>
        <v/>
      </c>
      <c r="AB57" s="973" t="n"/>
      <c r="AE57" s="973" t="n"/>
      <c r="AF57" s="1374" t="inlineStr">
        <is>
          <t xml:space="preserve">Total </t>
        </is>
      </c>
      <c r="AG57" s="1124">
        <f>SUM(AG51:AG56)</f>
        <v/>
      </c>
      <c r="AH57" s="1124">
        <f>SUM(AH51:AH56)</f>
        <v/>
      </c>
      <c r="AI57" s="1124">
        <f>SUM(AI51:AI56)</f>
        <v/>
      </c>
      <c r="AJ57" s="1124">
        <f>SUM(AJ51:AJ56)</f>
        <v/>
      </c>
      <c r="AK57" s="1124">
        <f>SUM(AK51:AK56)</f>
        <v/>
      </c>
      <c r="AL57" s="1124">
        <f>SUM(AL51:AL56)</f>
        <v/>
      </c>
      <c r="AM57" s="1124">
        <f>SUM(AM51:AM56)</f>
        <v/>
      </c>
      <c r="AN57" s="973" t="n"/>
      <c r="AQ57" s="973" t="n"/>
      <c r="AR57" s="1379" t="inlineStr">
        <is>
          <t>Total</t>
        </is>
      </c>
      <c r="AS57" s="1380">
        <f>SUM(AS51:AS56)</f>
        <v/>
      </c>
      <c r="AT57" s="1380">
        <f>SUM(AT51:AT56)</f>
        <v/>
      </c>
      <c r="AU57" s="1380">
        <f>SUM(AU51:AU56)</f>
        <v/>
      </c>
      <c r="AV57" s="1380">
        <f>SUM(AV51:AV56)</f>
        <v/>
      </c>
      <c r="AW57" s="1380">
        <f>SUM(AW51:AW56)</f>
        <v/>
      </c>
      <c r="AX57" s="1380">
        <f>SUM(AX51:AX56)</f>
        <v/>
      </c>
      <c r="AZ57" s="1345" t="inlineStr">
        <is>
          <t>Tea</t>
        </is>
      </c>
      <c r="BB57" s="973" t="n"/>
      <c r="BC57" s="1379" t="inlineStr">
        <is>
          <t>Total</t>
        </is>
      </c>
      <c r="BD57" s="1380">
        <f>SUM(BD51:BD56)</f>
        <v/>
      </c>
      <c r="BE57" s="1380">
        <f>SUM(BE51:BE56)</f>
        <v/>
      </c>
      <c r="BF57" s="1380">
        <f>SUM(BF51:BF56)</f>
        <v/>
      </c>
      <c r="BG57" s="1380">
        <f>SUM(BG51:BG56)</f>
        <v/>
      </c>
      <c r="BH57" s="1380">
        <f>SUM(BH51:BH56)</f>
        <v/>
      </c>
      <c r="BI57" s="1380">
        <f>SUM(BI51:BI56)</f>
        <v/>
      </c>
      <c r="BJ57" s="973" t="n"/>
      <c r="BM57" s="973" t="n"/>
      <c r="BN57" s="1380" t="inlineStr">
        <is>
          <t>Total</t>
        </is>
      </c>
      <c r="BO57" s="1381">
        <f>SUM(BO51:BO56)</f>
        <v/>
      </c>
      <c r="BP57" s="1381">
        <f>SUM(BP51:BP56)</f>
        <v/>
      </c>
      <c r="BQ57" s="1381">
        <f>SUM(BQ51:BQ56)</f>
        <v/>
      </c>
      <c r="BR57" s="1381">
        <f>SUM(BR51:BR56)</f>
        <v/>
      </c>
      <c r="BS57" s="1381">
        <f>SUM(BS51:BS56)</f>
        <v/>
      </c>
      <c r="BT57" s="1381">
        <f>SUM(BT51:BT56)</f>
        <v/>
      </c>
      <c r="BU57" s="973" t="n"/>
      <c r="BX57" s="973" t="n"/>
      <c r="BY57" s="1380" t="inlineStr">
        <is>
          <t>Total</t>
        </is>
      </c>
      <c r="BZ57" s="1382">
        <f>SUM(BZ51:BZ56)</f>
        <v/>
      </c>
      <c r="CA57" s="1382">
        <f>SUM(CA51:CA56)</f>
        <v/>
      </c>
      <c r="CB57" s="1382">
        <f>SUM(CB51:CB56)</f>
        <v/>
      </c>
      <c r="CC57" s="1382">
        <f>SUM(CC51:CC56)</f>
        <v/>
      </c>
      <c r="CD57" s="1382">
        <f>SUM(CD51:CD56)</f>
        <v/>
      </c>
      <c r="CE57" s="1382">
        <f>SUM(CE51:CE56)</f>
        <v/>
      </c>
      <c r="CF57" s="973" t="n"/>
      <c r="CI57" s="973" t="n"/>
      <c r="CJ57" s="1380" t="inlineStr">
        <is>
          <t>Total</t>
        </is>
      </c>
      <c r="CK57" s="1382">
        <f>SUM(CK51:CK56)</f>
        <v/>
      </c>
      <c r="CL57" s="1382">
        <f>SUM(CL51:CL56)</f>
        <v/>
      </c>
      <c r="CM57" s="1382">
        <f>SUM(CM51:CM56)</f>
        <v/>
      </c>
      <c r="CN57" s="1382">
        <f>SUM(CN51:CN56)</f>
        <v/>
      </c>
      <c r="CO57" s="1382">
        <f>SUM(CO51:CO56)</f>
        <v/>
      </c>
      <c r="CP57" s="1382">
        <f>SUM(CP51:CP56)</f>
        <v/>
      </c>
      <c r="CQ57" s="973" t="n"/>
      <c r="CT57" s="973" t="n"/>
      <c r="CU57" s="1380" t="inlineStr">
        <is>
          <t>Total</t>
        </is>
      </c>
      <c r="CV57" s="1382">
        <f>SUM(CV51:CV56)</f>
        <v/>
      </c>
      <c r="CW57" s="1382">
        <f>SUM(CW51:CW56)</f>
        <v/>
      </c>
      <c r="CX57" s="1382">
        <f>SUM(CX51:CX56)</f>
        <v/>
      </c>
      <c r="CY57" s="1382">
        <f>SUM(CY51:CY56)</f>
        <v/>
      </c>
      <c r="CZ57" s="1382">
        <f>SUM(CZ51:CZ56)</f>
        <v/>
      </c>
      <c r="DA57" s="1382">
        <f>SUM(DA51:DA56)</f>
        <v/>
      </c>
      <c r="DB57" s="973" t="n"/>
      <c r="DE57" s="973" t="n"/>
      <c r="DF57" s="1380" t="inlineStr">
        <is>
          <t>Total</t>
        </is>
      </c>
      <c r="DG57" s="1382">
        <f>SUM(DG51:DG56)</f>
        <v/>
      </c>
      <c r="DH57" s="1382">
        <f>SUM(DH51:DH56)</f>
        <v/>
      </c>
      <c r="DI57" s="1382">
        <f>SUM(DI51:DI56)</f>
        <v/>
      </c>
      <c r="DJ57" s="1382">
        <f>SUM(DJ51:DJ56)</f>
        <v/>
      </c>
      <c r="DK57" s="1382">
        <f>SUM(DK51:DK56)</f>
        <v/>
      </c>
      <c r="DL57" s="1381">
        <f>SUM(DL51:DL56)</f>
        <v/>
      </c>
    </row>
    <row r="58">
      <c r="D58" s="973" t="n"/>
      <c r="F58" s="1765" t="inlineStr">
        <is>
          <t>*Annual includes Annual Cropland and Annual Fallow</t>
        </is>
      </c>
      <c r="J58" s="1765" t="inlineStr">
        <is>
          <t>Mangroves are accounted for within Forest</t>
        </is>
      </c>
      <c r="S58" s="973" t="n"/>
      <c r="T58" s="973" t="n"/>
      <c r="U58" s="973" t="n"/>
      <c r="V58" s="973" t="n"/>
      <c r="W58" s="973" t="n"/>
      <c r="X58" s="973" t="n"/>
      <c r="Y58" s="973" t="n"/>
      <c r="Z58" s="973" t="n"/>
      <c r="AA58" s="973" t="n"/>
      <c r="AB58" s="973" t="n"/>
      <c r="AE58" s="973" t="n"/>
      <c r="AF58" s="973" t="n"/>
      <c r="AG58" s="973" t="n"/>
      <c r="AH58" s="973" t="n"/>
      <c r="AI58" s="973" t="n"/>
      <c r="AJ58" s="973" t="n"/>
      <c r="AK58" s="973" t="n"/>
      <c r="AL58" s="973" t="n"/>
      <c r="AM58" s="973" t="n"/>
      <c r="AN58" s="973" t="n"/>
      <c r="AQ58" s="973" t="n"/>
      <c r="AR58" s="973" t="n"/>
      <c r="AS58" s="973" t="n"/>
      <c r="AT58" s="973" t="n"/>
      <c r="AU58" s="973" t="n"/>
      <c r="AV58" s="973" t="n"/>
      <c r="AW58" s="973" t="n"/>
      <c r="AX58" s="973" t="n"/>
      <c r="AZ58" s="1384" t="inlineStr">
        <is>
          <t>Vine</t>
        </is>
      </c>
      <c r="BB58" s="973" t="n"/>
      <c r="BC58" s="973" t="n"/>
      <c r="BD58" s="973" t="n"/>
      <c r="BE58" s="973" t="n"/>
      <c r="BF58" s="973" t="n"/>
      <c r="BG58" s="973" t="n"/>
      <c r="BH58" s="973" t="n"/>
      <c r="BI58" s="973" t="n"/>
      <c r="BJ58" s="973" t="n"/>
      <c r="BM58" s="973" t="n"/>
      <c r="BN58" s="973" t="n"/>
      <c r="BO58" s="973" t="n"/>
      <c r="BP58" s="973" t="n"/>
      <c r="BQ58" s="973" t="n"/>
      <c r="BR58" s="973" t="n"/>
      <c r="BS58" s="973" t="n"/>
      <c r="BT58" s="973" t="n"/>
      <c r="BU58" s="973" t="n"/>
      <c r="BX58" s="973" t="n"/>
      <c r="BY58" s="973" t="n"/>
      <c r="BZ58" s="973" t="n"/>
      <c r="CA58" s="973" t="n"/>
      <c r="CB58" s="973" t="n"/>
      <c r="CC58" s="973" t="n"/>
      <c r="CD58" s="973" t="n"/>
      <c r="CE58" s="973" t="n"/>
      <c r="CF58" s="973" t="n"/>
      <c r="CI58" s="973" t="n"/>
      <c r="CJ58" s="973" t="n"/>
      <c r="CK58" s="973" t="n"/>
      <c r="CL58" s="973" t="n"/>
      <c r="CM58" s="973" t="n"/>
      <c r="CN58" s="973" t="n"/>
      <c r="CO58" s="973" t="n"/>
      <c r="CP58" s="973" t="n"/>
      <c r="CQ58" s="973" t="n"/>
      <c r="CT58" s="973" t="n"/>
      <c r="CU58" s="973" t="n"/>
      <c r="CV58" s="973" t="n"/>
      <c r="CW58" s="973" t="n"/>
      <c r="CX58" s="973" t="n"/>
      <c r="CY58" s="973" t="n"/>
      <c r="CZ58" s="973" t="n"/>
      <c r="DA58" s="973" t="n"/>
      <c r="DB58" s="973" t="n"/>
      <c r="DE58" s="973" t="n"/>
      <c r="DF58" s="973" t="n"/>
      <c r="DG58" s="973" t="n"/>
      <c r="DH58" s="973" t="n"/>
      <c r="DI58" s="973" t="n"/>
      <c r="DJ58" s="973" t="n"/>
      <c r="DK58" s="973" t="n"/>
      <c r="DL58" s="973" t="n"/>
    </row>
    <row r="59">
      <c r="B59" s="973" t="n"/>
      <c r="C59" s="1469" t="n"/>
      <c r="D59" s="1576" t="n"/>
      <c r="F59" s="1765" t="inlineStr">
        <is>
          <t>Tidal marshes are accounted for within Grassland</t>
        </is>
      </c>
      <c r="J59" s="1765" t="inlineStr">
        <is>
          <t>Land for peat extraction is accounted for within Degraded land</t>
        </is>
      </c>
      <c r="AQ59" s="973" t="n"/>
      <c r="CI59" s="973" t="n"/>
      <c r="CJ59" s="973" t="n"/>
      <c r="CK59" s="973" t="n"/>
      <c r="CL59" s="973" t="n"/>
      <c r="CM59" s="973" t="n"/>
      <c r="CN59" s="973" t="n"/>
      <c r="CO59" s="973" t="n"/>
      <c r="CP59" s="973" t="n"/>
      <c r="CQ59" s="973" t="n"/>
    </row>
    <row r="60">
      <c r="B60" s="973" t="n"/>
      <c r="C60" s="1469" t="n"/>
      <c r="D60" s="1454" t="n"/>
      <c r="CI60" s="973" t="n"/>
      <c r="CJ60" s="973" t="n"/>
      <c r="CK60" s="973" t="n"/>
      <c r="CL60" s="973" t="n"/>
      <c r="CM60" s="973" t="n"/>
      <c r="CN60" s="973" t="n"/>
      <c r="CO60" s="973" t="n"/>
      <c r="CP60" s="973" t="n"/>
      <c r="CQ60" s="973" t="n"/>
    </row>
    <row r="61">
      <c r="B61" s="973" t="n"/>
      <c r="C61" s="973" t="n"/>
      <c r="D61" s="973" t="n"/>
      <c r="S61" s="973" t="n"/>
      <c r="T61" s="973" t="n"/>
      <c r="U61" s="1281" t="n"/>
      <c r="V61" s="973" t="n"/>
      <c r="W61" s="973" t="n"/>
      <c r="X61" s="973" t="n"/>
      <c r="Y61" s="973" t="n"/>
      <c r="Z61" s="973" t="n"/>
      <c r="AA61" s="973" t="n"/>
      <c r="AB61" s="973" t="n"/>
      <c r="AC61" s="973" t="n"/>
      <c r="AD61" s="973" t="n"/>
      <c r="AE61" s="973" t="n"/>
      <c r="AF61" s="973" t="n"/>
      <c r="AG61" s="973" t="n"/>
      <c r="AH61" s="973" t="n"/>
      <c r="AI61" s="973" t="n"/>
      <c r="AJ61" s="973" t="n"/>
      <c r="AK61" s="973" t="n"/>
      <c r="AL61" s="973" t="n"/>
      <c r="AM61" s="973" t="n"/>
      <c r="AN61" s="973" t="n"/>
      <c r="AQ61" s="973" t="n"/>
      <c r="AS61" s="973" t="n"/>
      <c r="AT61" s="973" t="n"/>
      <c r="AU61" s="973" t="n"/>
      <c r="AV61" s="973" t="n"/>
      <c r="AW61" s="973" t="n"/>
      <c r="AX61" s="973" t="n"/>
      <c r="AZ61" s="1325" t="inlineStr">
        <is>
          <t>Agroforestry systems</t>
        </is>
      </c>
      <c r="BB61" s="973" t="n"/>
      <c r="BJ61" s="973" t="n"/>
      <c r="BM61" s="973" t="n"/>
      <c r="BN61" s="973" t="n"/>
      <c r="BO61" s="973" t="n"/>
      <c r="BP61" s="973" t="n"/>
      <c r="BQ61" s="973" t="n"/>
      <c r="BR61" s="973" t="n"/>
      <c r="BS61" s="973" t="n"/>
      <c r="BT61" s="973" t="n"/>
      <c r="BU61" s="973" t="n"/>
      <c r="BX61" s="973" t="n"/>
      <c r="BY61" s="973" t="n"/>
      <c r="BZ61" s="973" t="n"/>
      <c r="CA61" s="973" t="n"/>
      <c r="CB61" s="973" t="n"/>
      <c r="CC61" s="973" t="n"/>
      <c r="CD61" s="973" t="n"/>
      <c r="CE61" s="973" t="n"/>
      <c r="CF61" s="973" t="n"/>
      <c r="CG61" s="973" t="n"/>
      <c r="CI61" s="973" t="n"/>
      <c r="CJ61" s="973" t="n"/>
      <c r="CK61" s="973" t="n"/>
      <c r="CL61" s="973" t="n"/>
      <c r="CM61" s="973" t="n"/>
      <c r="CN61" s="973" t="n"/>
      <c r="CO61" s="973" t="n"/>
      <c r="CP61" s="973" t="n"/>
      <c r="CQ61" s="973" t="n"/>
      <c r="CT61" s="973" t="n"/>
      <c r="CU61" s="973" t="n"/>
      <c r="CV61" s="973" t="n"/>
      <c r="CW61" s="973" t="n"/>
      <c r="CX61" s="973" t="n"/>
      <c r="CY61" s="973" t="n"/>
      <c r="CZ61" s="973" t="n"/>
      <c r="DA61" s="973" t="n"/>
      <c r="DB61" s="973" t="n"/>
      <c r="DE61" s="973" t="n"/>
      <c r="DF61" s="973" t="n"/>
      <c r="DG61" s="973" t="n"/>
      <c r="DH61" s="973" t="n"/>
      <c r="DI61" s="973" t="n"/>
      <c r="DJ61" s="973" t="n"/>
      <c r="DK61" s="973" t="n"/>
      <c r="DL61" s="973" t="n"/>
    </row>
    <row r="62" ht="21" customHeight="1">
      <c r="D62" s="973" t="n"/>
      <c r="F62" s="973" t="n"/>
      <c r="G62" s="1281" t="n"/>
      <c r="H62" s="973" t="n"/>
      <c r="I62" s="1429" t="n"/>
      <c r="J62" s="1429" t="n"/>
      <c r="K62" s="1429" t="n"/>
      <c r="L62" s="1429" t="n"/>
      <c r="M62" s="1429" t="n"/>
      <c r="N62" s="1429" t="n"/>
      <c r="O62" s="1429" t="n"/>
      <c r="P62" s="1576" t="n"/>
      <c r="Q62" s="973" t="n"/>
      <c r="S62" s="973" t="n"/>
      <c r="T62" s="973" t="n"/>
      <c r="U62" s="973" t="n"/>
      <c r="V62" s="973" t="n"/>
      <c r="W62" s="973" t="n"/>
      <c r="X62" s="973" t="n"/>
      <c r="Y62" s="973" t="n"/>
      <c r="Z62" s="973" t="n"/>
      <c r="AA62" s="973" t="n"/>
      <c r="AB62" s="973" t="n"/>
      <c r="AC62" s="973" t="n"/>
      <c r="AD62" s="973" t="n"/>
      <c r="AE62" s="973" t="n"/>
      <c r="AF62" s="973" t="n"/>
      <c r="AG62" s="973" t="n"/>
      <c r="AH62" s="973" t="n"/>
      <c r="AI62" s="973" t="n"/>
      <c r="AJ62" s="973" t="n"/>
      <c r="AK62" s="973" t="n"/>
      <c r="AL62" s="973" t="n"/>
      <c r="AM62" s="973" t="n"/>
      <c r="AN62" s="973" t="n"/>
      <c r="AQ62" s="973" t="n"/>
      <c r="AZ62" s="1345" t="inlineStr">
        <is>
          <t>Alley cropping</t>
        </is>
      </c>
      <c r="BB62" s="973" t="n"/>
      <c r="BJ62" s="973" t="n"/>
      <c r="BM62" s="973" t="n"/>
      <c r="BU62" s="973" t="n"/>
      <c r="BX62" s="973" t="n"/>
      <c r="BY62" s="973" t="n"/>
      <c r="BZ62" s="973" t="n"/>
      <c r="CA62" s="973" t="n"/>
      <c r="CB62" s="973" t="n"/>
      <c r="CC62" s="973" t="n"/>
      <c r="CD62" s="973" t="n"/>
      <c r="CE62" s="973" t="n"/>
      <c r="CF62" s="973" t="n"/>
      <c r="CG62" s="973" t="n"/>
      <c r="CI62" s="973" t="n"/>
      <c r="CQ62" s="973" t="n"/>
      <c r="CT62" s="973" t="n"/>
      <c r="CU62" s="973" t="n"/>
      <c r="CV62" s="973" t="n"/>
      <c r="CW62" s="973" t="n"/>
      <c r="CX62" s="973" t="n"/>
      <c r="CY62" s="973" t="n"/>
      <c r="CZ62" s="973" t="n"/>
      <c r="DA62" s="973" t="n"/>
      <c r="DB62" s="973" t="n"/>
      <c r="DE62" s="973" t="n"/>
      <c r="DF62" s="973" t="n"/>
      <c r="DG62" s="973" t="n"/>
      <c r="DH62" s="973" t="n"/>
      <c r="DI62" s="973" t="n"/>
      <c r="DJ62" s="973" t="n"/>
      <c r="DK62" s="973" t="n"/>
      <c r="DL62" s="973" t="n"/>
    </row>
    <row r="63" ht="16.5" customHeight="1">
      <c r="D63" s="973" t="n"/>
      <c r="F63" s="1326" t="n"/>
      <c r="G63" s="1331" t="n"/>
      <c r="H63" s="1331" t="n"/>
      <c r="I63" s="1331" t="n"/>
      <c r="J63" s="1331" t="n"/>
      <c r="K63" s="1331" t="n"/>
      <c r="L63" s="1331" t="n"/>
      <c r="M63" s="1331" t="n"/>
      <c r="N63" s="1331" t="n"/>
      <c r="O63" s="1331" t="n"/>
      <c r="P63" s="1327" t="n"/>
      <c r="S63" s="973" t="n"/>
      <c r="T63" s="973" t="n"/>
      <c r="U63" s="973" t="n"/>
      <c r="V63" s="973" t="n"/>
      <c r="W63" s="973" t="n"/>
      <c r="X63" s="973" t="n"/>
      <c r="Y63" s="973" t="n"/>
      <c r="Z63" s="973" t="n"/>
      <c r="AA63" s="973" t="n"/>
      <c r="AB63" s="973" t="n"/>
      <c r="AC63" s="973" t="n"/>
      <c r="AD63" s="973" t="n"/>
      <c r="AE63" s="973" t="n"/>
      <c r="AF63" s="973" t="n"/>
      <c r="AG63" s="973" t="n"/>
      <c r="AH63" s="973" t="n"/>
      <c r="AI63" s="973" t="n"/>
      <c r="AJ63" s="973" t="n"/>
      <c r="AK63" s="973" t="n"/>
      <c r="AL63" s="973" t="n"/>
      <c r="AM63" s="973" t="n"/>
      <c r="AN63" s="973" t="n"/>
      <c r="AQ63" s="973" t="n"/>
      <c r="AR63" s="1281" t="inlineStr">
        <is>
          <t>WITH - Annual to non forest land use</t>
        </is>
      </c>
      <c r="AZ63" s="1345" t="inlineStr">
        <is>
          <t>Hedgerow</t>
        </is>
      </c>
      <c r="BB63" s="973" t="n"/>
      <c r="BC63" s="1281" t="inlineStr">
        <is>
          <t>WITH -Agroforestry to non forest land use</t>
        </is>
      </c>
      <c r="BD63" s="973" t="n"/>
      <c r="BE63" s="973" t="n"/>
      <c r="BF63" s="973" t="n"/>
      <c r="BG63" s="973" t="n"/>
      <c r="BH63" s="973" t="n"/>
      <c r="BI63" s="973" t="n"/>
      <c r="BJ63" s="973" t="n"/>
      <c r="BM63" s="973" t="n"/>
      <c r="BN63" s="1281" t="inlineStr">
        <is>
          <t>WITH - Flooded rice to non forest land use</t>
        </is>
      </c>
      <c r="BU63" s="973" t="n"/>
      <c r="BX63" s="973" t="n"/>
      <c r="BY63" s="1281" t="inlineStr">
        <is>
          <t>WITH - Annual fallow to non forest land use</t>
        </is>
      </c>
      <c r="CF63" s="973" t="n"/>
      <c r="CI63" s="973" t="n"/>
      <c r="CJ63" s="1281" t="inlineStr">
        <is>
          <t>WITH - grassland to non forest land use</t>
        </is>
      </c>
      <c r="CQ63" s="973" t="n"/>
      <c r="CT63" s="973" t="n"/>
      <c r="CU63" s="1281" t="inlineStr">
        <is>
          <t>WITH - Degraded land to non forest land use</t>
        </is>
      </c>
      <c r="CV63" s="973" t="n"/>
      <c r="CW63" s="973" t="n"/>
      <c r="CX63" s="973" t="n"/>
      <c r="CY63" s="973" t="n"/>
      <c r="CZ63" s="973" t="n"/>
      <c r="DA63" s="973" t="n"/>
      <c r="DB63" s="973" t="n"/>
      <c r="DE63" s="973" t="n"/>
      <c r="DF63" s="1281" t="inlineStr">
        <is>
          <t>WITH - Other land to non forest land use</t>
        </is>
      </c>
      <c r="DG63" s="973" t="n"/>
      <c r="DH63" s="973" t="n"/>
      <c r="DI63" s="973" t="n"/>
      <c r="DJ63" s="973" t="n"/>
      <c r="DK63" s="973" t="n"/>
      <c r="DL63" s="973" t="n"/>
    </row>
    <row r="64" ht="18.75" customHeight="1">
      <c r="D64" s="973" t="n"/>
      <c r="F64" s="1332" t="n"/>
      <c r="G64" s="1333" t="n"/>
      <c r="H64" s="1434" t="n"/>
      <c r="I64" s="1437" t="inlineStr">
        <is>
          <t>FINAL LAND USES ON ORGANIC SOILS - WITH PROJECT</t>
        </is>
      </c>
      <c r="J64" s="1435" t="n"/>
      <c r="K64" s="1435" t="n"/>
      <c r="L64" s="1435" t="n"/>
      <c r="M64" s="1435" t="n"/>
      <c r="N64" s="1435" t="n"/>
      <c r="O64" s="1435" t="n"/>
      <c r="P64" s="1394" t="n"/>
      <c r="S64" s="973" t="n"/>
      <c r="T64" s="1400" t="n"/>
      <c r="U64" s="1401" t="n"/>
      <c r="V64" s="1402" t="inlineStr">
        <is>
          <t>!!!!! END WITH PROJECT !!!!!</t>
        </is>
      </c>
      <c r="W64" s="1403" t="n"/>
      <c r="X64" s="1401" t="n"/>
      <c r="Y64" s="1401" t="n"/>
      <c r="Z64" s="1401" t="n"/>
      <c r="AA64" s="1404" t="n"/>
      <c r="AB64" s="973" t="n"/>
      <c r="AE64" s="973" t="n"/>
      <c r="AF64" s="1400" t="n"/>
      <c r="AG64" s="1401" t="n"/>
      <c r="AH64" s="1402" t="inlineStr">
        <is>
          <t>!!!!! START WITH PROJECT !!!!!</t>
        </is>
      </c>
      <c r="AI64" s="1403" t="n"/>
      <c r="AJ64" s="1401" t="n"/>
      <c r="AK64" s="1401" t="n"/>
      <c r="AL64" s="1401" t="n"/>
      <c r="AM64" s="1404" t="n"/>
      <c r="AN64" s="973" t="n"/>
      <c r="AQ64" s="973" t="n"/>
      <c r="AR64" s="1326" t="n"/>
      <c r="AS64" s="1328" t="inlineStr">
        <is>
          <t>END WITH  PROJECT</t>
        </is>
      </c>
      <c r="AT64" s="1329" t="n"/>
      <c r="AU64" s="1330" t="n"/>
      <c r="AV64" s="1331" t="n"/>
      <c r="AW64" s="1331" t="n"/>
      <c r="AX64" s="1327" t="n"/>
      <c r="AZ64" s="1345" t="inlineStr">
        <is>
          <t>Multistrata</t>
        </is>
      </c>
      <c r="BB64" s="973" t="n"/>
      <c r="BC64" s="1326" t="n"/>
      <c r="BD64" s="1328" t="inlineStr">
        <is>
          <t>END WITH PROJECT</t>
        </is>
      </c>
      <c r="BE64" s="1329" t="n"/>
      <c r="BF64" s="1330" t="n"/>
      <c r="BG64" s="1331" t="n"/>
      <c r="BH64" s="1331" t="n"/>
      <c r="BI64" s="1327" t="n"/>
      <c r="BJ64" s="973" t="n"/>
      <c r="BM64" s="973" t="n"/>
      <c r="BN64" s="1326" t="n"/>
      <c r="BO64" s="1328" t="inlineStr">
        <is>
          <t>END WITH PROJECT</t>
        </is>
      </c>
      <c r="BP64" s="1329" t="n"/>
      <c r="BQ64" s="1330" t="n"/>
      <c r="BR64" s="1331" t="n"/>
      <c r="BS64" s="1331" t="n"/>
      <c r="BT64" s="1327" t="n"/>
      <c r="BU64" s="973" t="n"/>
      <c r="BX64" s="973" t="n"/>
      <c r="BY64" s="1326" t="n"/>
      <c r="BZ64" s="1328" t="inlineStr">
        <is>
          <t>END WITH  PROJECT</t>
        </is>
      </c>
      <c r="CA64" s="1329" t="n"/>
      <c r="CB64" s="1330" t="n"/>
      <c r="CC64" s="1331" t="n"/>
      <c r="CD64" s="1331" t="n"/>
      <c r="CE64" s="1327" t="n"/>
      <c r="CF64" s="973" t="n"/>
      <c r="CI64" s="973" t="n"/>
      <c r="CJ64" s="1326" t="n"/>
      <c r="CK64" s="1328" t="inlineStr">
        <is>
          <t>END WITH PROJECT</t>
        </is>
      </c>
      <c r="CL64" s="1329" t="n"/>
      <c r="CM64" s="1330" t="n"/>
      <c r="CN64" s="1331" t="n"/>
      <c r="CO64" s="1331" t="n"/>
      <c r="CP64" s="1327" t="n"/>
      <c r="CQ64" s="973" t="n"/>
      <c r="CT64" s="973" t="n"/>
      <c r="CU64" s="1326" t="n"/>
      <c r="CV64" s="1328" t="inlineStr">
        <is>
          <t>END WITH  PROJECT</t>
        </is>
      </c>
      <c r="CW64" s="1329" t="n"/>
      <c r="CX64" s="1330" t="n"/>
      <c r="CY64" s="1331" t="n"/>
      <c r="CZ64" s="1331" t="n"/>
      <c r="DA64" s="1327" t="n"/>
      <c r="DB64" s="973" t="n"/>
      <c r="DE64" s="973" t="n"/>
      <c r="DF64" s="1326" t="n"/>
      <c r="DG64" s="1328" t="inlineStr">
        <is>
          <t>END WITH  PROJECT</t>
        </is>
      </c>
      <c r="DH64" s="1329" t="n"/>
      <c r="DI64" s="1330" t="n"/>
      <c r="DJ64" s="1331" t="n"/>
      <c r="DK64" s="1331" t="n"/>
      <c r="DL64" s="1327" t="n"/>
    </row>
    <row r="65" ht="16" customHeight="1">
      <c r="D65" s="973" t="n"/>
      <c r="F65" s="1351" t="n"/>
      <c r="G65" s="1352" t="inlineStr">
        <is>
          <t>IPCC class</t>
        </is>
      </c>
      <c r="H65" s="1432" t="inlineStr">
        <is>
          <t>EX-ACT class</t>
        </is>
      </c>
      <c r="I65" s="1374" t="inlineStr">
        <is>
          <t>Primary (Natural)/Planted</t>
        </is>
      </c>
      <c r="J65" s="1374" t="inlineStr">
        <is>
          <t>Annual</t>
        </is>
      </c>
      <c r="K65" s="1374" t="inlineStr">
        <is>
          <t>Perennial</t>
        </is>
      </c>
      <c r="L65" s="1374" t="inlineStr">
        <is>
          <t>Flooded rice</t>
        </is>
      </c>
      <c r="M65" s="1374">
        <f>H70</f>
        <v/>
      </c>
      <c r="N65" s="1374" t="inlineStr">
        <is>
          <t>Degraded land</t>
        </is>
      </c>
      <c r="O65" s="1374">
        <f>H72</f>
        <v/>
      </c>
      <c r="P65" s="1433" t="inlineStr">
        <is>
          <t>Total initial area (ha)</t>
        </is>
      </c>
      <c r="S65" s="973" t="n"/>
      <c r="T65" s="1385" t="inlineStr">
        <is>
          <t>Area (ha)</t>
        </is>
      </c>
      <c r="U65" s="1408" t="inlineStr">
        <is>
          <t>Deforestation: FL converted to non-FL (with project scenario)</t>
        </is>
      </c>
      <c r="V65" s="1409" t="n"/>
      <c r="W65" s="1410" t="n"/>
      <c r="X65" s="1410" t="n"/>
      <c r="Y65" s="1410" t="n"/>
      <c r="Z65" s="1410" t="n"/>
      <c r="AA65" s="1411" t="n"/>
      <c r="AB65" s="973" t="n"/>
      <c r="AE65" s="973" t="n"/>
      <c r="AF65" s="1412" t="inlineStr">
        <is>
          <t>Area (ha)</t>
        </is>
      </c>
      <c r="AG65" s="1405" t="inlineStr">
        <is>
          <t>Afforestation:  non-FL converted to FL ( without project scenario)</t>
        </is>
      </c>
      <c r="AH65" s="1406" t="n"/>
      <c r="AI65" s="1407" t="n"/>
      <c r="AJ65" s="1407" t="n"/>
      <c r="AK65" s="1407" t="n"/>
      <c r="AL65" s="1407" t="n"/>
      <c r="AM65" s="1413" t="n"/>
      <c r="AN65" s="973" t="n"/>
      <c r="AQ65" s="973" t="n"/>
      <c r="AR65" s="1335" t="inlineStr">
        <is>
          <t>Area (ha)</t>
        </is>
      </c>
      <c r="AS65" s="1336" t="n"/>
      <c r="AT65" s="1337" t="n"/>
      <c r="AU65" s="1338" t="n"/>
      <c r="AV65" s="1338" t="n"/>
      <c r="AW65" s="1338" t="n"/>
      <c r="AX65" s="1339" t="n"/>
      <c r="AZ65" s="1345" t="inlineStr">
        <is>
          <t>Oil palm</t>
        </is>
      </c>
      <c r="BB65" s="973" t="n"/>
      <c r="BC65" s="1335" t="inlineStr">
        <is>
          <t>Area (ha)</t>
        </is>
      </c>
      <c r="BD65" s="1336" t="n"/>
      <c r="BE65" s="1337" t="n"/>
      <c r="BF65" s="1338" t="n"/>
      <c r="BG65" s="1338" t="n"/>
      <c r="BH65" s="1338" t="n"/>
      <c r="BI65" s="1339" t="n"/>
      <c r="BJ65" s="973" t="n"/>
      <c r="BM65" s="973" t="n"/>
      <c r="BN65" s="1335" t="inlineStr">
        <is>
          <t>Area (ha)</t>
        </is>
      </c>
      <c r="BO65" s="1336" t="n"/>
      <c r="BP65" s="1337" t="n"/>
      <c r="BQ65" s="1338" t="n"/>
      <c r="BR65" s="1338" t="n"/>
      <c r="BS65" s="1338" t="n"/>
      <c r="BT65" s="1339" t="n"/>
      <c r="BU65" s="973" t="n"/>
      <c r="BX65" s="973" t="n"/>
      <c r="BY65" s="1335" t="inlineStr">
        <is>
          <t>Area (ha)</t>
        </is>
      </c>
      <c r="BZ65" s="1336" t="n"/>
      <c r="CA65" s="1337" t="n"/>
      <c r="CB65" s="1338" t="n"/>
      <c r="CC65" s="1338" t="n"/>
      <c r="CD65" s="1338" t="n"/>
      <c r="CE65" s="1339" t="n"/>
      <c r="CF65" s="973" t="n"/>
      <c r="CI65" s="973" t="n"/>
      <c r="CJ65" s="1335" t="inlineStr">
        <is>
          <t>Area (ha)</t>
        </is>
      </c>
      <c r="CK65" s="1336" t="n"/>
      <c r="CL65" s="1337" t="n"/>
      <c r="CM65" s="1338" t="n"/>
      <c r="CN65" s="1338" t="n"/>
      <c r="CO65" s="1338" t="n"/>
      <c r="CP65" s="1339" t="n"/>
      <c r="CQ65" s="973" t="n"/>
      <c r="CT65" s="973" t="n"/>
      <c r="CU65" s="1335" t="inlineStr">
        <is>
          <t>Area (ha)</t>
        </is>
      </c>
      <c r="CV65" s="1336" t="n"/>
      <c r="CW65" s="1337" t="n"/>
      <c r="CX65" s="1338" t="n"/>
      <c r="CY65" s="1338" t="n"/>
      <c r="CZ65" s="1338" t="n"/>
      <c r="DA65" s="1339" t="n"/>
      <c r="DB65" s="973" t="n"/>
      <c r="DE65" s="973" t="n"/>
      <c r="DF65" s="1335" t="inlineStr">
        <is>
          <t>Area (ha)</t>
        </is>
      </c>
      <c r="DG65" s="1336" t="n"/>
      <c r="DH65" s="1337" t="n"/>
      <c r="DI65" s="1338" t="n"/>
      <c r="DJ65" s="1338" t="n"/>
      <c r="DK65" s="1338" t="n"/>
      <c r="DL65" s="1339" t="n"/>
    </row>
    <row r="66" ht="16" customHeight="1">
      <c r="D66" s="973" t="n"/>
      <c r="F66" s="1362" t="n"/>
      <c r="G66" s="1352" t="inlineStr">
        <is>
          <t>Forest land</t>
        </is>
      </c>
      <c r="H66" s="1386" t="inlineStr">
        <is>
          <t>Primary (Natural)/Planted</t>
        </is>
      </c>
      <c r="I66" s="2851">
        <f>SUM('Inl. wetlands'!$N36:$N41)-SUM('Inl. wetlands'!$T36:$T41)+SUM('Inl. wetlands'!$L339:$L344)+Coastal!$AA$15+Coastal!$AA$74</f>
        <v/>
      </c>
      <c r="J66" s="3147">
        <f>V73</f>
        <v/>
      </c>
      <c r="K66" s="3147">
        <f>U73</f>
        <v/>
      </c>
      <c r="L66" s="3147">
        <f>Y73</f>
        <v/>
      </c>
      <c r="M66" s="3147">
        <f>Z73</f>
        <v/>
      </c>
      <c r="N66" s="3147">
        <f>X73</f>
        <v/>
      </c>
      <c r="O66" s="3147">
        <f>AA73+W73</f>
        <v/>
      </c>
      <c r="P66" s="3143">
        <f>SUM(I66:O66)</f>
        <v/>
      </c>
      <c r="R66" s="973" t="n"/>
      <c r="S66" s="973" t="n"/>
      <c r="T66" s="1302" t="inlineStr">
        <is>
          <t>With project</t>
        </is>
      </c>
      <c r="U66" s="1290" t="inlineStr">
        <is>
          <t>Agroforestry</t>
        </is>
      </c>
      <c r="V66" s="1290" t="inlineStr">
        <is>
          <t>Annual cropland</t>
        </is>
      </c>
      <c r="W66" s="1290" t="inlineStr">
        <is>
          <t>Annual fallow</t>
        </is>
      </c>
      <c r="X66" s="1290" t="inlineStr">
        <is>
          <t>Degraded land</t>
        </is>
      </c>
      <c r="Y66" s="1290" t="inlineStr">
        <is>
          <t>Flooded rice</t>
        </is>
      </c>
      <c r="Z66" s="1290" t="inlineStr">
        <is>
          <t>Grassland</t>
        </is>
      </c>
      <c r="AA66" s="1430" t="inlineStr">
        <is>
          <t>Other land (non-vegetated)</t>
        </is>
      </c>
      <c r="AB66" s="973" t="n"/>
      <c r="AE66" s="973" t="n"/>
      <c r="AF66" s="1758" t="inlineStr">
        <is>
          <t>With  project</t>
        </is>
      </c>
      <c r="AG66" s="1761" t="inlineStr">
        <is>
          <t>Agroforestry</t>
        </is>
      </c>
      <c r="AH66" s="1754" t="inlineStr">
        <is>
          <t>Annual cropland</t>
        </is>
      </c>
      <c r="AI66" s="1754" t="inlineStr">
        <is>
          <t>Annual fallow</t>
        </is>
      </c>
      <c r="AJ66" s="1754" t="inlineStr">
        <is>
          <t>Degraded land</t>
        </is>
      </c>
      <c r="AK66" s="1754" t="inlineStr">
        <is>
          <t>Flooded rice</t>
        </is>
      </c>
      <c r="AL66" s="1754" t="inlineStr">
        <is>
          <t>Grassland</t>
        </is>
      </c>
      <c r="AM66" s="1755" t="inlineStr">
        <is>
          <t>Other land (non-vegetated)</t>
        </is>
      </c>
      <c r="AN66" s="973" t="n"/>
      <c r="AQ66" s="973" t="n"/>
      <c r="AR66" s="1342" t="inlineStr">
        <is>
          <t>WITH project</t>
        </is>
      </c>
      <c r="AS66" s="1343" t="inlineStr">
        <is>
          <t>Annual fallow</t>
        </is>
      </c>
      <c r="AT66" s="1347" t="inlineStr">
        <is>
          <t>Degraded land</t>
        </is>
      </c>
      <c r="AU66" s="1347" t="inlineStr">
        <is>
          <t>Flooded rice</t>
        </is>
      </c>
      <c r="AV66" s="1347" t="inlineStr">
        <is>
          <t>Grassland</t>
        </is>
      </c>
      <c r="AW66" s="1347" t="inlineStr">
        <is>
          <t>Other land (non-vegetated)</t>
        </is>
      </c>
      <c r="AX66" s="1341" t="inlineStr">
        <is>
          <t>Agroforestry</t>
        </is>
      </c>
      <c r="AZ66" s="1345" t="inlineStr">
        <is>
          <t>Olive</t>
        </is>
      </c>
      <c r="BB66" s="973" t="n"/>
      <c r="BC66" s="1342" t="inlineStr">
        <is>
          <t>WITH  project</t>
        </is>
      </c>
      <c r="BD66" s="1354" t="inlineStr">
        <is>
          <t>Annual cropland</t>
        </is>
      </c>
      <c r="BE66" s="1347" t="inlineStr">
        <is>
          <t>Annual fallow</t>
        </is>
      </c>
      <c r="BF66" s="1347" t="inlineStr">
        <is>
          <t>Degraded land</t>
        </is>
      </c>
      <c r="BG66" s="1347" t="inlineStr">
        <is>
          <t>Flooded rice</t>
        </is>
      </c>
      <c r="BH66" s="1347" t="inlineStr">
        <is>
          <t>Grassland</t>
        </is>
      </c>
      <c r="BI66" s="1348" t="inlineStr">
        <is>
          <t>Other land (non-vegetated)</t>
        </is>
      </c>
      <c r="BJ66" s="973" t="n"/>
      <c r="BM66" s="973" t="n"/>
      <c r="BN66" s="1342" t="inlineStr">
        <is>
          <t>WITH  project</t>
        </is>
      </c>
      <c r="BO66" s="1354" t="inlineStr">
        <is>
          <t>Annual cropland</t>
        </is>
      </c>
      <c r="BP66" s="1347" t="inlineStr">
        <is>
          <t>Annual fallow</t>
        </is>
      </c>
      <c r="BQ66" s="1347" t="inlineStr">
        <is>
          <t>Degraded land</t>
        </is>
      </c>
      <c r="BR66" s="1347" t="inlineStr">
        <is>
          <t>Agroforestry</t>
        </is>
      </c>
      <c r="BS66" s="1347" t="inlineStr">
        <is>
          <t>Grassland</t>
        </is>
      </c>
      <c r="BT66" s="1347" t="inlineStr">
        <is>
          <t>Other land (non-vegetated)</t>
        </is>
      </c>
      <c r="BU66" s="973" t="n"/>
      <c r="BX66" s="973" t="n"/>
      <c r="BY66" s="1349" t="inlineStr">
        <is>
          <t>WITH  project</t>
        </is>
      </c>
      <c r="BZ66" s="1354" t="inlineStr">
        <is>
          <t>Annual cropland</t>
        </is>
      </c>
      <c r="CA66" s="1347" t="inlineStr">
        <is>
          <t>Flooded rice</t>
        </is>
      </c>
      <c r="CB66" s="1347" t="inlineStr">
        <is>
          <t>Degraded land</t>
        </is>
      </c>
      <c r="CC66" s="1347" t="inlineStr">
        <is>
          <t>Agroforestry</t>
        </is>
      </c>
      <c r="CD66" s="1347" t="inlineStr">
        <is>
          <t>Grassland</t>
        </is>
      </c>
      <c r="CE66" s="1347" t="inlineStr">
        <is>
          <t>Other land (non-vegetated)</t>
        </is>
      </c>
      <c r="CF66" s="973" t="n"/>
      <c r="CI66" s="973" t="n"/>
      <c r="CJ66" s="1349" t="inlineStr">
        <is>
          <t>WITH  project</t>
        </is>
      </c>
      <c r="CK66" s="1354" t="inlineStr">
        <is>
          <t>Annual cropland</t>
        </is>
      </c>
      <c r="CL66" s="1347" t="inlineStr">
        <is>
          <t>Flooded rice</t>
        </is>
      </c>
      <c r="CM66" s="1347" t="inlineStr">
        <is>
          <t>Degraded land</t>
        </is>
      </c>
      <c r="CN66" s="1347" t="inlineStr">
        <is>
          <t>Agroforestry</t>
        </is>
      </c>
      <c r="CO66" s="1347" t="inlineStr">
        <is>
          <t>Annual fallow</t>
        </is>
      </c>
      <c r="CP66" s="1347" t="inlineStr">
        <is>
          <t>Other land (non-vegetated)</t>
        </is>
      </c>
      <c r="CQ66" s="973" t="n"/>
      <c r="CT66" s="973" t="n"/>
      <c r="CU66" s="1349" t="inlineStr">
        <is>
          <t>WITH project</t>
        </is>
      </c>
      <c r="CV66" s="1354" t="inlineStr">
        <is>
          <t>Annual cropland</t>
        </is>
      </c>
      <c r="CW66" s="1347" t="inlineStr">
        <is>
          <t>Flooded rice</t>
        </is>
      </c>
      <c r="CX66" s="1347" t="inlineStr">
        <is>
          <t>Grassland</t>
        </is>
      </c>
      <c r="CY66" s="1347" t="inlineStr">
        <is>
          <t>Agroforestry</t>
        </is>
      </c>
      <c r="CZ66" s="1347" t="inlineStr">
        <is>
          <t>Annual fallow</t>
        </is>
      </c>
      <c r="DA66" s="1347" t="inlineStr">
        <is>
          <t>Other land (non-vegetated)</t>
        </is>
      </c>
      <c r="DB66" s="973" t="n"/>
      <c r="DE66" s="973" t="n"/>
      <c r="DF66" s="1349" t="inlineStr">
        <is>
          <t>WITH  project</t>
        </is>
      </c>
      <c r="DG66" s="1354" t="inlineStr">
        <is>
          <t>Annual cropland</t>
        </is>
      </c>
      <c r="DH66" s="1347" t="inlineStr">
        <is>
          <t>Flooded rice</t>
        </is>
      </c>
      <c r="DI66" s="1347" t="inlineStr">
        <is>
          <t>Grassland</t>
        </is>
      </c>
      <c r="DJ66" s="1347" t="inlineStr">
        <is>
          <t>Agroforestry</t>
        </is>
      </c>
      <c r="DK66" s="1347" t="inlineStr">
        <is>
          <t>Annual fallow</t>
        </is>
      </c>
      <c r="DL66" s="1428" t="inlineStr">
        <is>
          <t>Degraded land</t>
        </is>
      </c>
    </row>
    <row r="67">
      <c r="D67" s="973" t="n"/>
      <c r="F67" s="1354" t="n"/>
      <c r="G67" s="1388" t="inlineStr">
        <is>
          <t>Cropland</t>
        </is>
      </c>
      <c r="H67" s="1351" t="inlineStr">
        <is>
          <t>Annual*</t>
        </is>
      </c>
      <c r="I67" s="3144">
        <f>AH73</f>
        <v/>
      </c>
      <c r="J67" s="2851">
        <f>SUMIF('Inl. wetlands'!$C413:$C418,$J$65,'Inl. wetlands'!$J413:$J418)+MAX(SUM(K67:O67,I67),SUM(I51,K51:O51))-SUM(K67:O67,I67)</f>
        <v/>
      </c>
      <c r="K67" s="3143">
        <f>AX73</f>
        <v/>
      </c>
      <c r="L67" s="3143">
        <f>AU73</f>
        <v/>
      </c>
      <c r="M67" s="3143">
        <f>AV73</f>
        <v/>
      </c>
      <c r="N67" s="3143">
        <f>AT73</f>
        <v/>
      </c>
      <c r="O67" s="3143">
        <f>AW73+$AS$73</f>
        <v/>
      </c>
      <c r="P67" s="3143">
        <f>SUM(I67:O67)</f>
        <v/>
      </c>
      <c r="R67" s="973" t="n"/>
      <c r="S67" s="1168" t="n"/>
      <c r="T67" s="1414" t="n"/>
      <c r="U67" s="1415">
        <f>IF('6.Inland wetlands'!$I13 =U$66, 1,0)* '6.Inland wetlands'!$T13</f>
        <v/>
      </c>
      <c r="V67" s="1416">
        <f>IF('6.Inland wetlands'!$I13 =V$66, 1,0)* '6.Inland wetlands'!$T13</f>
        <v/>
      </c>
      <c r="W67" s="1416">
        <f>IF('6.Inland wetlands'!$I13 =W$66, 1,0)* '6.Inland wetlands'!$T13</f>
        <v/>
      </c>
      <c r="X67" s="1416">
        <f>IF('6.Inland wetlands'!$I13 =X$66, 1,0)* '6.Inland wetlands'!$T13</f>
        <v/>
      </c>
      <c r="Y67" s="1416">
        <f>IF('6.Inland wetlands'!$I13 =Y$66, 1,0)* '6.Inland wetlands'!$T13</f>
        <v/>
      </c>
      <c r="Z67" s="1416">
        <f>IF('6.Inland wetlands'!$I13 =Z$66, 1,0)* '6.Inland wetlands'!$T13</f>
        <v/>
      </c>
      <c r="AA67" s="1417">
        <f>IF('6.Inland wetlands'!$I13 =AA$66, 1,0)* '6.Inland wetlands'!$T13</f>
        <v/>
      </c>
      <c r="AB67" s="973" t="n"/>
      <c r="AE67" s="1168" t="n"/>
      <c r="AF67" s="1414" t="n"/>
      <c r="AG67" s="1415">
        <f>IF(AG$66 = '6.Inland wetlands'!$I46, '6.Inland wetlands'!$P46, 0)</f>
        <v/>
      </c>
      <c r="AH67" s="1416">
        <f>IF(AH$66 = '6.Inland wetlands'!$I46, '6.Inland wetlands'!$P46, 0)</f>
        <v/>
      </c>
      <c r="AI67" s="1416">
        <f>IF(AI$66 = '6.Inland wetlands'!$I46, '6.Inland wetlands'!$P46, 0)</f>
        <v/>
      </c>
      <c r="AJ67" s="1416">
        <f>IF(AJ$66 = '6.Inland wetlands'!$I46, '6.Inland wetlands'!$P46, 0)</f>
        <v/>
      </c>
      <c r="AK67" s="1416">
        <f>IF(AK$66 = '6.Inland wetlands'!$I46, '6.Inland wetlands'!$P46, 0)</f>
        <v/>
      </c>
      <c r="AL67" s="1416">
        <f>IF(AL$66 = '6.Inland wetlands'!$I46, '6.Inland wetlands'!$P46, 0)</f>
        <v/>
      </c>
      <c r="AM67" s="1417">
        <f>IF(AM$66 = '6.Inland wetlands'!$I46, '6.Inland wetlands'!$P46, 0)</f>
        <v/>
      </c>
      <c r="AN67" s="973" t="n"/>
      <c r="AQ67" s="973" t="n"/>
      <c r="AR67" s="1351" t="n"/>
      <c r="AS67" s="1356">
        <f>IF(LEFT('6.Inland wetlands'!$I80,8)=LEFT($AR$69,8),IF(LEFT('6.Inland wetlands'!$K80,8)=LEFT(AS$66,8), '6.Inland wetlands'!$P80,0),0)</f>
        <v/>
      </c>
      <c r="AT67" s="1356">
        <f>IF(LEFT('6.Inland wetlands'!$I80,8)=LEFT($AR$69,8),IF(LEFT('6.Inland wetlands'!$K80,8)=LEFT(AT$66,8), '6.Inland wetlands'!$P80,0),0)</f>
        <v/>
      </c>
      <c r="AU67" s="1356">
        <f>IF(LEFT('6.Inland wetlands'!$I80,8)=LEFT($AR$69,8),IF(LEFT('6.Inland wetlands'!$K80,8)=LEFT(AU$66,8), '6.Inland wetlands'!$P80,0),0)</f>
        <v/>
      </c>
      <c r="AV67" s="1356">
        <f>IF(LEFT('6.Inland wetlands'!$I80,8)=LEFT($AR$69,8),IF(LEFT('6.Inland wetlands'!$K80,8)=LEFT(AV$66,8), '6.Inland wetlands'!$P80,0),0)</f>
        <v/>
      </c>
      <c r="AW67" s="1356">
        <f>IF(LEFT('6.Inland wetlands'!$I80,8)=LEFT($AR$69,8),IF(LEFT('6.Inland wetlands'!$K80,8)=LEFT(AW$66,8), '6.Inland wetlands'!$P80,0),0)</f>
        <v/>
      </c>
      <c r="AX67" s="1356">
        <f>IF(LEFT('6.Inland wetlands'!$I80,8)=LEFT($AR$69,8),IF((OR(LEFT('6.Inland wetlands'!$K80,8)=LEFT(AX$66,8),LEFT('6.Inland wetlands'!$K80,8)=LEFT($AZ$3,8),LEFT('6.Inland wetlands'!$K80,8)=LEFT($AZ$4,8),LEFT('6.Inland wetlands'!$K80,8)=LEFT($AZ$5,8),LEFT('6.Inland wetlands'!$K80,8)=LEFT($AZ$6,8),LEFT('6.Inland wetlands'!$K80,8)=LEFT($AZ$7,8),LEFT('6.Inland wetlands'!$K80,8)=LEFT($AZ$8,8), LEFT('6.Inland wetlands'!$K80,8)=LEFT($AZ$9,8),  LEFT('6.Inland wetlands'!$K80,8)=LEFT($AZ$10,8), LEFT('6.Inland wetlands'!$K80,8)=LEFT($AZ$11,8),   LEFT('6.Inland wetlands'!$K80,8)=LEFT($AZ$12,8), LEFT('6.Inland wetlands'!$K80,8)=LEFT($AZ$13,8), LEFT('6.Inland wetlands'!$K80,8)=LEFT($AZ$14,8), LEFT('6.Inland wetlands'!$K80,8)=LEFT($AZ$15,8), LEFT('6.Inland wetlands'!$K80,8)=LEFT($AZ$16,8), LEFT('6.Inland wetlands'!$K80,8)=LEFT($AZ$17,8))),'6.Inland wetlands'!$P80,0),0)</f>
        <v/>
      </c>
      <c r="AZ67" s="1345" t="inlineStr">
        <is>
          <t>Orchard</t>
        </is>
      </c>
      <c r="BB67" s="973" t="n"/>
      <c r="BC67" s="1351" t="n"/>
      <c r="BD67" s="1356">
        <f>IF((OR(LEFT('6.Inland wetlands'!$I80,8)=LEFT(Matrix!$BC$69,8), LEFT('6.Inland wetlands'!$I80,8)=LEFT(Matrix!$AZ$62,8), LEFT('6.Inland wetlands'!$I80,8)=LEFT(Matrix!$AZ$63,8), LEFT('6.Inland wetlands'!$I80,8)=LEFT(Matrix!$AZ$64,8), LEFT('6.Inland wetlands'!$I80,8)=LEFT(Matrix!$AZ$65,8), LEFT('6.Inland wetlands'!$I80,8)=LEFT(Matrix!$AZ$66,8),  LEFT('6.Inland wetlands'!$I80,8)=LEFT(Matrix!$AZ$67,8), LEFT('6.Inland wetlands'!$I80,8)=LEFT(Matrix!$AZ$68,8), LEFT('6.Inland wetlands'!$I80,8)=LEFT(Matrix!$AZ$69,8), LEFT('6.Inland wetlands'!$I80,8)=LEFT(Matrix!$AZ$70,8), LEFT('6.Inland wetlands'!$I80,8)=LEFT(Matrix!$AZ$71,8), LEFT('6.Inland wetlands'!$I80,8)=LEFT(Matrix!$AZ$72,8), LEFT('6.Inland wetlands'!$I80,8)=LEFT(Matrix!$AZ$73,8), LEFT('6.Inland wetlands'!$I80,8)=LEFT(Matrix!$AZ$74,8), LEFT('6.Inland wetlands'!$I80,8)=LEFT(Matrix!$AZ$75,8), LEFT('6.Inland wetlands'!$I80,8)=LEFT(Matrix!$AZ$76,8))), IF(LEFT('6.Inland wetlands'!$K80,8)=LEFT(Matrix!BD$66,8), '6.Inland wetlands'!$P80, 0),0)</f>
        <v/>
      </c>
      <c r="BE67" s="1356">
        <f>IF((OR(LEFT('6.Inland wetlands'!$I80,8)=LEFT(Matrix!$BC$69,8), LEFT('6.Inland wetlands'!$I80,8)=LEFT(Matrix!$AZ$62,8), LEFT('6.Inland wetlands'!$I80,8)=LEFT(Matrix!$AZ$63,8), LEFT('6.Inland wetlands'!$I80,8)=LEFT(Matrix!$AZ$64,8), LEFT('6.Inland wetlands'!$I80,8)=LEFT(Matrix!$AZ$65,8), LEFT('6.Inland wetlands'!$I80,8)=LEFT(Matrix!$AZ$66,8),  LEFT('6.Inland wetlands'!$I80,8)=LEFT(Matrix!$AZ$67,8), LEFT('6.Inland wetlands'!$I80,8)=LEFT(Matrix!$AZ$68,8), LEFT('6.Inland wetlands'!$I80,8)=LEFT(Matrix!$AZ$69,8), LEFT('6.Inland wetlands'!$I80,8)=LEFT(Matrix!$AZ$70,8), LEFT('6.Inland wetlands'!$I80,8)=LEFT(Matrix!$AZ$71,8), LEFT('6.Inland wetlands'!$I80,8)=LEFT(Matrix!$AZ$72,8), LEFT('6.Inland wetlands'!$I80,8)=LEFT(Matrix!$AZ$73,8), LEFT('6.Inland wetlands'!$I80,8)=LEFT(Matrix!$AZ$74,8), LEFT('6.Inland wetlands'!$I80,8)=LEFT(Matrix!$AZ$75,8), LEFT('6.Inland wetlands'!$I80,8)=LEFT(Matrix!$AZ$76,8))), IF(LEFT('6.Inland wetlands'!$K80,8)=LEFT(Matrix!BE$66,8), '6.Inland wetlands'!$P80, 0),0)</f>
        <v/>
      </c>
      <c r="BF67" s="1356">
        <f>IF((OR(LEFT('6.Inland wetlands'!$I80,8)=LEFT(Matrix!$BC$69,8), LEFT('6.Inland wetlands'!$I80,8)=LEFT(Matrix!$AZ$62,8), LEFT('6.Inland wetlands'!$I80,8)=LEFT(Matrix!$AZ$63,8), LEFT('6.Inland wetlands'!$I80,8)=LEFT(Matrix!$AZ$64,8), LEFT('6.Inland wetlands'!$I80,8)=LEFT(Matrix!$AZ$65,8), LEFT('6.Inland wetlands'!$I80,8)=LEFT(Matrix!$AZ$66,8),  LEFT('6.Inland wetlands'!$I80,8)=LEFT(Matrix!$AZ$67,8), LEFT('6.Inland wetlands'!$I80,8)=LEFT(Matrix!$AZ$68,8), LEFT('6.Inland wetlands'!$I80,8)=LEFT(Matrix!$AZ$69,8), LEFT('6.Inland wetlands'!$I80,8)=LEFT(Matrix!$AZ$70,8), LEFT('6.Inland wetlands'!$I80,8)=LEFT(Matrix!$AZ$71,8), LEFT('6.Inland wetlands'!$I80,8)=LEFT(Matrix!$AZ$72,8), LEFT('6.Inland wetlands'!$I80,8)=LEFT(Matrix!$AZ$73,8), LEFT('6.Inland wetlands'!$I80,8)=LEFT(Matrix!$AZ$74,8), LEFT('6.Inland wetlands'!$I80,8)=LEFT(Matrix!$AZ$75,8), LEFT('6.Inland wetlands'!$I80,8)=LEFT(Matrix!$AZ$76,8))), IF(LEFT('6.Inland wetlands'!$K80,8)=LEFT(Matrix!BF$66,8), '6.Inland wetlands'!$P80, 0),0)</f>
        <v/>
      </c>
      <c r="BG67" s="1356">
        <f>IF((OR(LEFT('6.Inland wetlands'!$I80,8)=LEFT(Matrix!$BC$69,8), LEFT('6.Inland wetlands'!$I80,8)=LEFT(Matrix!$AZ$62,8), LEFT('6.Inland wetlands'!$I80,8)=LEFT(Matrix!$AZ$63,8), LEFT('6.Inland wetlands'!$I80,8)=LEFT(Matrix!$AZ$64,8), LEFT('6.Inland wetlands'!$I80,8)=LEFT(Matrix!$AZ$65,8), LEFT('6.Inland wetlands'!$I80,8)=LEFT(Matrix!$AZ$66,8),  LEFT('6.Inland wetlands'!$I80,8)=LEFT(Matrix!$AZ$67,8), LEFT('6.Inland wetlands'!$I80,8)=LEFT(Matrix!$AZ$68,8), LEFT('6.Inland wetlands'!$I80,8)=LEFT(Matrix!$AZ$69,8), LEFT('6.Inland wetlands'!$I80,8)=LEFT(Matrix!$AZ$70,8), LEFT('6.Inland wetlands'!$I80,8)=LEFT(Matrix!$AZ$71,8), LEFT('6.Inland wetlands'!$I80,8)=LEFT(Matrix!$AZ$72,8), LEFT('6.Inland wetlands'!$I80,8)=LEFT(Matrix!$AZ$73,8), LEFT('6.Inland wetlands'!$I80,8)=LEFT(Matrix!$AZ$74,8), LEFT('6.Inland wetlands'!$I80,8)=LEFT(Matrix!$AZ$75,8), LEFT('6.Inland wetlands'!$I80,8)=LEFT(Matrix!$AZ$76,8))), IF(LEFT('6.Inland wetlands'!$K80,8)=LEFT(Matrix!BG$66,8), '6.Inland wetlands'!$P80, 0),0)</f>
        <v/>
      </c>
      <c r="BH67" s="1356">
        <f>IF((OR(LEFT('6.Inland wetlands'!$I80,8)=LEFT(Matrix!$BC$69,8), LEFT('6.Inland wetlands'!$I80,8)=LEFT(Matrix!$AZ$62,8), LEFT('6.Inland wetlands'!$I80,8)=LEFT(Matrix!$AZ$63,8), LEFT('6.Inland wetlands'!$I80,8)=LEFT(Matrix!$AZ$64,8), LEFT('6.Inland wetlands'!$I80,8)=LEFT(Matrix!$AZ$65,8), LEFT('6.Inland wetlands'!$I80,8)=LEFT(Matrix!$AZ$66,8),  LEFT('6.Inland wetlands'!$I80,8)=LEFT(Matrix!$AZ$67,8), LEFT('6.Inland wetlands'!$I80,8)=LEFT(Matrix!$AZ$68,8), LEFT('6.Inland wetlands'!$I80,8)=LEFT(Matrix!$AZ$69,8), LEFT('6.Inland wetlands'!$I80,8)=LEFT(Matrix!$AZ$70,8), LEFT('6.Inland wetlands'!$I80,8)=LEFT(Matrix!$AZ$71,8), LEFT('6.Inland wetlands'!$I80,8)=LEFT(Matrix!$AZ$72,8), LEFT('6.Inland wetlands'!$I80,8)=LEFT(Matrix!$AZ$73,8), LEFT('6.Inland wetlands'!$I80,8)=LEFT(Matrix!$AZ$74,8), LEFT('6.Inland wetlands'!$I80,8)=LEFT(Matrix!$AZ$75,8), LEFT('6.Inland wetlands'!$I80,8)=LEFT(Matrix!$AZ$76,8))), IF(LEFT('6.Inland wetlands'!$K80,8)=LEFT(Matrix!BH$66,8), '6.Inland wetlands'!$P80, 0),0)</f>
        <v/>
      </c>
      <c r="BI67" s="1356">
        <f>IF((OR(LEFT('6.Inland wetlands'!$I80,8)=LEFT(Matrix!$BC$69,8), LEFT('6.Inland wetlands'!$I80,8)=LEFT(Matrix!$AZ$62,8), LEFT('6.Inland wetlands'!$I80,8)=LEFT(Matrix!$AZ$63,8), LEFT('6.Inland wetlands'!$I80,8)=LEFT(Matrix!$AZ$64,8), LEFT('6.Inland wetlands'!$I80,8)=LEFT(Matrix!$AZ$65,8), LEFT('6.Inland wetlands'!$I80,8)=LEFT(Matrix!$AZ$66,8),  LEFT('6.Inland wetlands'!$I80,8)=LEFT(Matrix!$AZ$67,8), LEFT('6.Inland wetlands'!$I80,8)=LEFT(Matrix!$AZ$68,8), LEFT('6.Inland wetlands'!$I80,8)=LEFT(Matrix!$AZ$69,8), LEFT('6.Inland wetlands'!$I80,8)=LEFT(Matrix!$AZ$70,8), LEFT('6.Inland wetlands'!$I80,8)=LEFT(Matrix!$AZ$71,8), LEFT('6.Inland wetlands'!$I80,8)=LEFT(Matrix!$AZ$72,8), LEFT('6.Inland wetlands'!$I80,8)=LEFT(Matrix!$AZ$73,8), LEFT('6.Inland wetlands'!$I80,8)=LEFT(Matrix!$AZ$74,8), LEFT('6.Inland wetlands'!$I80,8)=LEFT(Matrix!$AZ$75,8), LEFT('6.Inland wetlands'!$I80,8)=LEFT(Matrix!$AZ$76,8))), IF(LEFT('6.Inland wetlands'!$K80,8)=LEFT(Matrix!BI$66,8), '6.Inland wetlands'!$P80, 0),0)</f>
        <v/>
      </c>
      <c r="BJ67" s="973" t="n"/>
      <c r="BM67" s="973" t="n"/>
      <c r="BN67" s="1351" t="n"/>
      <c r="BO67" s="1356">
        <f>IF(LEFT('6.Inland wetlands'!$I80,8)=LEFT($BN$26,8),IF(LEFT('6.Inland wetlands'!$K80,8)=LEFT(BO$23,8),'6.Inland wetlands'!$P80,0),0)</f>
        <v/>
      </c>
      <c r="BP67" s="1356">
        <f>IF(LEFT('6.Inland wetlands'!$I80,8)=LEFT($BN$26,8),IF(LEFT('6.Inland wetlands'!$K80,8)=LEFT(BP$23,8),'6.Inland wetlands'!$P80,0),0)</f>
        <v/>
      </c>
      <c r="BQ67" s="1356">
        <f>IF(LEFT('6.Inland wetlands'!$I80,8)=LEFT($BN$26,8),IF(LEFT('6.Inland wetlands'!$K80,8)=LEFT(BQ$23,8),'6.Inland wetlands'!$P80,0),0)</f>
        <v/>
      </c>
      <c r="BR67" s="1356">
        <f>IF(LEFT('6.Inland wetlands'!$I80,8)=LEFT($BN$69,8),IF((OR(LEFT('6.Inland wetlands'!$K80,8)=LEFT(BR$66,8),LEFT('6.Inland wetlands'!$K80,8)=LEFT($AZ$3,8), LEFT('6.Inland wetlands'!$K80,8)=LEFT($AZ$5,8),LEFT('6.Inland wetlands'!$K80,8)=LEFT($AZ$6,8),LEFT('6.Inland wetlands'!$K80,8)=LEFT($AZ$7,8),LEFT('6.Inland wetlands'!$K80,8)=LEFT($AZ$8,8), LEFT('6.Inland wetlands'!$K80,8)=LEFT($AZ$9,8),  LEFT('6.Inland wetlands'!$K80,8)=LEFT($AZ$10,8), LEFT('6.Inland wetlands'!$K80,8)=LEFT($AZ$11,8),   LEFT('6.Inland wetlands'!$K80,8)=LEFT($AZ$12,8), LEFT('6.Inland wetlands'!$K80,8)=LEFT($AZ$13,8), LEFT('6.Inland wetlands'!$K80,8)=LEFT($AZ$14,8), LEFT('6.Inland wetlands'!$K80,8)=LEFT($AZ$15,8), LEFT('6.Inland wetlands'!$K80,8)=LEFT($AZ$16,8), LEFT('6.Inland wetlands'!$K80,8)=LEFT($AZ$17,8))),'6.Inland wetlands'!$P80,0),0)</f>
        <v/>
      </c>
      <c r="BS67" s="1356">
        <f>IF(LEFT('6.Inland wetlands'!$I80,8)=LEFT($BN$26,8),IF(LEFT('6.Inland wetlands'!$K80,8)=LEFT(BS$23,8),'6.Inland wetlands'!$P80,0),0)</f>
        <v/>
      </c>
      <c r="BT67" s="1356">
        <f>IF(LEFT('6.Inland wetlands'!$I80,8)=LEFT($BN$26,8),IF(LEFT('6.Inland wetlands'!$K80,8)=LEFT(BT$23,8),'6.Inland wetlands'!$P80,0),0)</f>
        <v/>
      </c>
      <c r="BU67" s="973" t="n"/>
      <c r="BX67" s="973" t="n"/>
      <c r="BY67" s="1359" t="n"/>
      <c r="BZ67" s="1356">
        <f>IF(LEFT('6.Inland wetlands'!$I80,8)=LEFT($BY$26,8),IF(LEFT('6.Inland wetlands'!$K80,8)=LEFT(BZ$23,8),'6.Inland wetlands'!$P80,0),0)</f>
        <v/>
      </c>
      <c r="CA67" s="1356">
        <f>IF(LEFT('6.Inland wetlands'!$I80,8)=LEFT($BY$26,8),IF(LEFT('6.Inland wetlands'!$K80,8)=LEFT(CA$23,8),'6.Inland wetlands'!$P80,0),0)</f>
        <v/>
      </c>
      <c r="CB67" s="1356">
        <f>IF(LEFT('6.Inland wetlands'!$I80,8)=LEFT($BY$26,8),IF(LEFT('6.Inland wetlands'!$K80,8)=LEFT(CB$23,8),'6.Inland wetlands'!$P80,0),0)</f>
        <v/>
      </c>
      <c r="CC67" s="1356">
        <f>IF(LEFT('6.Inland wetlands'!$I80,8)=LEFT($BY$26,8),IF((OR(LEFT('6.Inland wetlands'!$K80,8)=LEFT(CC$23,8),LEFT('6.Inland wetlands'!$K80,8)=LEFT($AZ$3,8),LEFT('6.Inland wetlands'!$K80,8)=LEFT($AZ$4,8),LEFT('6.Inland wetlands'!$K80,8)=LEFT($AZ$5,8),LEFT('6.Inland wetlands'!$K80,8)=LEFT($AZ$6,8),LEFT('6.Inland wetlands'!$K80,8)=LEFT($AZ$7,8),LEFT('6.Inland wetlands'!$K80,8)=LEFT($AZ$8,8), LEFT('6.Inland wetlands'!$K80,8)=LEFT($AZ$9,8),  LEFT('6.Inland wetlands'!$K80,8)=LEFT($AZ$10,8), LEFT('6.Inland wetlands'!$K80,8)=LEFT($AZ$11,8),   LEFT('6.Inland wetlands'!$K80,8)=LEFT($AZ$12,8), LEFT('6.Inland wetlands'!$K80,8)=LEFT($AZ$13,8), LEFT('6.Inland wetlands'!$K80,8)=LEFT($AZ$14,8), LEFT('6.Inland wetlands'!$K80,8)=LEFT($AZ$15,8), LEFT('6.Inland wetlands'!$K80,8)=LEFT($AZ$16,8), LEFT('6.Inland wetlands'!$K80,8)=LEFT($AZ$17,8))),'6.Inland wetlands'!$P80,0),0)</f>
        <v/>
      </c>
      <c r="CD67" s="1356">
        <f>IF(LEFT('6.Inland wetlands'!$I80,8)=LEFT($BY$26,8),IF(LEFT('6.Inland wetlands'!$K80,8)=LEFT(CD$23,8),'6.Inland wetlands'!$P80,0),0)</f>
        <v/>
      </c>
      <c r="CE67" s="1356">
        <f>IF(LEFT('6.Inland wetlands'!$I80,8)=LEFT($BY$26,8),IF(LEFT('6.Inland wetlands'!$K80,8)=LEFT(CE$23,8),'6.Inland wetlands'!$P80,0),0)</f>
        <v/>
      </c>
      <c r="CF67" s="973" t="n"/>
      <c r="CI67" s="973" t="n"/>
      <c r="CJ67" s="1359" t="n"/>
      <c r="CK67" s="1360">
        <f>IF(LEFT('6.Inland wetlands'!$I80,8)=LEFT($CJ$8,8),IF(LEFT('6.Inland wetlands'!$K80,8)=LEFT(CK$5,8),'6.Inland wetlands'!$P80,0),0)</f>
        <v/>
      </c>
      <c r="CL67" s="1360">
        <f>IF(LEFT('6.Inland wetlands'!$I80,8)=LEFT($CJ$8,8),IF(LEFT('6.Inland wetlands'!$K80,8)=LEFT(CL$5,8),'6.Inland wetlands'!$P80,0),0)</f>
        <v/>
      </c>
      <c r="CM67" s="1360">
        <f>IF(LEFT('6.Inland wetlands'!$I80,8)=LEFT($CJ$8,8),IF(LEFT('6.Inland wetlands'!$K80,8)=LEFT(CM$5,8),'6.Inland wetlands'!$P80,0),0)</f>
        <v/>
      </c>
      <c r="CN67" s="1356">
        <f>IF(LEFT('6.Inland wetlands'!$I80,8)=LEFT($CJ$8,8),IF((OR(LEFT('6.Inland wetlands'!$K80,8)=LEFT(CN$5,8),LEFT('6.Inland wetlands'!$K80,8)=LEFT(AZ$3,8),LEFT('6.Inland wetlands'!$K80,8)=LEFT(AZ$4,8),LEFT('6.Inland wetlands'!$K80,8)=LEFT($AZ$5,8),LEFT('6.Inland wetlands'!$K80,8)=LEFT($AZ$6,8),LEFT('6.Inland wetlands'!$K80,8)=LEFT($AZ$7,8),LEFT('6.Inland wetlands'!$K80,8)=LEFT($AZ$8,8), LEFT('6.Inland wetlands'!$K80,8)=LEFT($AZ$9,8),  LEFT('6.Inland wetlands'!$K80,8)=LEFT($AZ$10,8), LEFT('6.Inland wetlands'!$K80,8)=LEFT($AZ$11,8),   LEFT('6.Inland wetlands'!$K80,8)=LEFT($AZ$12,8), LEFT('6.Inland wetlands'!$K80,8)=LEFT($AZ$13,8), LEFT('6.Inland wetlands'!$K80,8)=LEFT($AZ$14,8), LEFT('6.Inland wetlands'!$K80,8)=LEFT($AZ$15,8), LEFT('6.Inland wetlands'!$K80,8)=LEFT($AZ$16,8), LEFT('6.Inland wetlands'!$K80,8)=LEFT($AZ$17,8))),'6.Inland wetlands'!$P80,0),0)</f>
        <v/>
      </c>
      <c r="CO67" s="1360">
        <f>IF(LEFT('6.Inland wetlands'!$I80,8)=LEFT($CJ$8,8),IF(LEFT('6.Inland wetlands'!$K80,8)=LEFT(CO$5,8),'6.Inland wetlands'!$P80,0),0)</f>
        <v/>
      </c>
      <c r="CP67" s="1356">
        <f>IF(LEFT('6.Inland wetlands'!$I80,8)=LEFT($CJ$8,8),IF(LEFT('6.Inland wetlands'!$K80,8)=LEFT(CP$5,8),'6.Inland wetlands'!$P80,0),0)</f>
        <v/>
      </c>
      <c r="CQ67" s="973" t="n"/>
      <c r="CT67" s="973" t="n"/>
      <c r="CU67" s="1359" t="n"/>
      <c r="CV67" s="1360">
        <f>IF(LEFT('6.Inland wetlands'!$I80,8)=LEFT($CU$53,8),IF(LEFT('6.Inland wetlands'!$K80,8)=LEFT(CV$50,8),'6.Inland wetlands'!$P80,0),0)</f>
        <v/>
      </c>
      <c r="CW67" s="1360">
        <f>IF(LEFT('6.Inland wetlands'!$I80,8)=LEFT($CU$53,8),IF(LEFT('6.Inland wetlands'!$K80,8)=LEFT(CW$50,8),'6.Inland wetlands'!$P80,0),0)</f>
        <v/>
      </c>
      <c r="CX67" s="1360">
        <f>IF(LEFT('6.Inland wetlands'!$I80,8)=LEFT($CU$53,8),IF(LEFT('6.Inland wetlands'!$K80,8)=LEFT(CX$50,8),'6.Inland wetlands'!$P80,0),0)</f>
        <v/>
      </c>
      <c r="CY67" s="1356">
        <f>IF(LEFT('6.Inland wetlands'!$I80,8)=LEFT($CU$53,8),IF((OR(LEFT('6.Inland wetlands'!$K80,8)=LEFT($CY$50,8),LEFT('6.Inland wetlands'!$K80,8)=LEFT($AZ$3,8),LEFT('6.Inland wetlands'!$K80,8)=LEFT($AZ$4,8),LEFT('6.Inland wetlands'!$K80,8)=LEFT($AZ$5,8),LEFT('6.Inland wetlands'!$K80,8)=LEFT($AZ$6,8),LEFT('6.Inland wetlands'!$K80,8)=LEFT($AZ$7,8),LEFT('6.Inland wetlands'!$K80,8)=LEFT($AZ$8,8), LEFT('6.Inland wetlands'!$K80,8)=LEFT($AZ$9,8),  LEFT('6.Inland wetlands'!$K80,8)=LEFT($AZ$10,8), LEFT('6.Inland wetlands'!$K80,8)=LEFT($AZ$11,8),   LEFT('6.Inland wetlands'!$K80,8)=LEFT($AZ$12,8), LEFT('6.Inland wetlands'!$K80,8)=LEFT($AZ$13,8), LEFT('6.Inland wetlands'!$K80,8)=LEFT($AZ$14,8), LEFT('6.Inland wetlands'!$K80,8)=LEFT($AZ$15,8), LEFT('6.Inland wetlands'!$K80,8)=LEFT($AZ$16,8), LEFT('6.Inland wetlands'!$K80,8)=LEFT($AZ$17,8))),'6.Inland wetlands'!$P80,0),0)</f>
        <v/>
      </c>
      <c r="CZ67" s="1361">
        <f>IF(LEFT('6.Inland wetlands'!$I80,8)=LEFT($CU$53,8),IF(LEFT('6.Inland wetlands'!$K80,8)=LEFT(CZ$50,8),'6.Inland wetlands'!$P80,0),0)</f>
        <v/>
      </c>
      <c r="DA67" s="1356">
        <f>IF(LEFT('6.Inland wetlands'!$I80,8)=LEFT($CU$53,8),IF(LEFT('6.Inland wetlands'!$K80,8)=LEFT(DA$50,8),'6.Inland wetlands'!$P80,0),0)</f>
        <v/>
      </c>
      <c r="DB67" s="973" t="n"/>
      <c r="DE67" s="973" t="n"/>
      <c r="DF67" s="1359" t="n"/>
      <c r="DG67" s="1360">
        <f>IF(LEFT('6.Inland wetlands'!$I80,8)=LEFT($DF$53,8),IF(LEFT('6.Inland wetlands'!$K80,8)=LEFT(DG$50,8),'6.Inland wetlands'!$P80,0),0)</f>
        <v/>
      </c>
      <c r="DH67" s="1360">
        <f>IF(LEFT('6.Inland wetlands'!$I80,8)=LEFT($DF$53,8),IF(LEFT('6.Inland wetlands'!$K80,8)=LEFT(DH$50,8),'6.Inland wetlands'!$P80,0),0)</f>
        <v/>
      </c>
      <c r="DI67" s="1360">
        <f>IF(LEFT('6.Inland wetlands'!$I80,8)=LEFT($DF$53,8),IF(LEFT('6.Inland wetlands'!$K80,8)=LEFT(DI$50,8),'6.Inland wetlands'!$P80,0),0)</f>
        <v/>
      </c>
      <c r="DJ67" s="1356">
        <f>IF(LEFT('6.Inland wetlands'!$I80,8)=LEFT($DF$53,8),IF((OR(LEFT('6.Inland wetlands'!$K80,8)=LEFT($DJ50,8),LEFT('6.Inland wetlands'!$K80,8)=LEFT($AZ$3,8),LEFT('6.Inland wetlands'!$K80,8)=LEFT($AZ$4,8),LEFT('6.Inland wetlands'!$K80,8)=LEFT($AZ$5,8),LEFT('6.Inland wetlands'!$K80,8)=LEFT($AZ$6,8),LEFT('6.Inland wetlands'!$K80,8)=LEFT($AZ$7,8),LEFT('6.Inland wetlands'!$K80,8)=LEFT($AZ$8,8), LEFT('6.Inland wetlands'!$K80,8)=LEFT($AZ$9,8),  LEFT('6.Inland wetlands'!$K80,8)=LEFT($AZ$10,8), LEFT('6.Inland wetlands'!$K80,8)=LEFT($AZ$11,8),   LEFT('6.Inland wetlands'!$K80,8)=LEFT($AZ$12,8), LEFT('6.Inland wetlands'!$K80,8)=LEFT($AZ$13,8), LEFT('6.Inland wetlands'!$K80,8)=LEFT($AZ$14,8), LEFT('6.Inland wetlands'!$K80,8)=LEFT($AZ$15,8), LEFT('6.Inland wetlands'!$K80,8)=LEFT($AZ$16,8), LEFT('6.Inland wetlands'!$K80,8)=LEFT($AZ$17,8))),'6.Inland wetlands'!$P80,0),0)</f>
        <v/>
      </c>
      <c r="DK67" s="1360">
        <f>IF(LEFT('6.Inland wetlands'!$I80,8)=LEFT($DF$53,8),IF(LEFT('6.Inland wetlands'!$K80,8)=LEFT(DK$50,8),'6.Inland wetlands'!$P80,0),0)</f>
        <v/>
      </c>
      <c r="DL67" s="1356">
        <f>IF(LEFT('6.Inland wetlands'!$I80,8)=LEFT($DF$53,8),IF(LEFT('6.Inland wetlands'!$K80,8)=LEFT(DL$50,8),'6.Inland wetlands'!$P80,0),0)</f>
        <v/>
      </c>
    </row>
    <row r="68" ht="18" customHeight="1">
      <c r="D68" s="973" t="n"/>
      <c r="F68" s="1436" t="inlineStr">
        <is>
          <t>START</t>
        </is>
      </c>
      <c r="G68" s="1389" t="n"/>
      <c r="H68" s="1390" t="inlineStr">
        <is>
          <t>Agroforestry</t>
        </is>
      </c>
      <c r="I68" s="3144">
        <f>AG73</f>
        <v/>
      </c>
      <c r="J68" s="3143">
        <f>BD73</f>
        <v/>
      </c>
      <c r="K68" s="2851">
        <f>SUMIF('Inl. wetlands'!$C413:$C418,$K$65,'Inl. wetlands'!$J413:$J418)+MAX(SUM(I68:J68,L68:O68),SUM(I52:J52,L52:O52))-SUM(I68:J68,L68:O68)</f>
        <v/>
      </c>
      <c r="L68" s="3143">
        <f>BG73</f>
        <v/>
      </c>
      <c r="M68" s="3143">
        <f>BH73</f>
        <v/>
      </c>
      <c r="N68" s="3143">
        <f>BF73</f>
        <v/>
      </c>
      <c r="O68" s="3143">
        <f>BI73+BE73</f>
        <v/>
      </c>
      <c r="P68" s="3143">
        <f>SUM(I68:O68)</f>
        <v/>
      </c>
      <c r="R68" s="973" t="n"/>
      <c r="S68" s="1168" t="n"/>
      <c r="T68" s="1414" t="inlineStr">
        <is>
          <t>START</t>
        </is>
      </c>
      <c r="U68" s="1420">
        <f>IF('6.Inland wetlands'!$I14 =U$66, 1,0)* '6.Inland wetlands'!$T14</f>
        <v/>
      </c>
      <c r="V68" s="1421">
        <f>IF('6.Inland wetlands'!$I14 =V$66, 1,0)* '6.Inland wetlands'!$T14</f>
        <v/>
      </c>
      <c r="W68" s="1421">
        <f>IF('6.Inland wetlands'!$I14 =W$66, 1,0)* '6.Inland wetlands'!$T14</f>
        <v/>
      </c>
      <c r="X68" s="1421">
        <f>IF('6.Inland wetlands'!$I14 =X$66, 1,0)* '6.Inland wetlands'!$T14</f>
        <v/>
      </c>
      <c r="Y68" s="1421">
        <f>IF('6.Inland wetlands'!$I14 =Y$66, 1,0)* '6.Inland wetlands'!$T14</f>
        <v/>
      </c>
      <c r="Z68" s="1421">
        <f>IF('6.Inland wetlands'!$I14 =Z$66, 1,0)* '6.Inland wetlands'!$T14</f>
        <v/>
      </c>
      <c r="AA68" s="1422">
        <f>IF('6.Inland wetlands'!$I14 =AA$66, 1,0)* '6.Inland wetlands'!$T14</f>
        <v/>
      </c>
      <c r="AB68" s="973" t="n"/>
      <c r="AE68" s="1168" t="n"/>
      <c r="AF68" s="1414" t="inlineStr">
        <is>
          <t>START</t>
        </is>
      </c>
      <c r="AG68" s="1420">
        <f>IF(AG$66 = '6.Inland wetlands'!$I47, '6.Inland wetlands'!$P47, 0)</f>
        <v/>
      </c>
      <c r="AH68" s="1421">
        <f>IF(AH$66 = '6.Inland wetlands'!$I47, '6.Inland wetlands'!$P47, 0)</f>
        <v/>
      </c>
      <c r="AI68" s="1421">
        <f>IF(AI$66 = '6.Inland wetlands'!$I47, '6.Inland wetlands'!$P47, 0)</f>
        <v/>
      </c>
      <c r="AJ68" s="1421">
        <f>IF(AJ$66 = '6.Inland wetlands'!$I47, '6.Inland wetlands'!$P47, 0)</f>
        <v/>
      </c>
      <c r="AK68" s="1421">
        <f>IF(AK$66 = '6.Inland wetlands'!$I47, '6.Inland wetlands'!$P47, 0)</f>
        <v/>
      </c>
      <c r="AL68" s="1421">
        <f>IF(AL$66 = '6.Inland wetlands'!$I47, '6.Inland wetlands'!$P47, 0)</f>
        <v/>
      </c>
      <c r="AM68" s="1422">
        <f>IF(AM$66 = '6.Inland wetlands'!$I47, '6.Inland wetlands'!$P47, 0)</f>
        <v/>
      </c>
      <c r="AN68" s="973" t="n"/>
      <c r="AQ68" s="973" t="n"/>
      <c r="AR68" s="1362" t="inlineStr">
        <is>
          <t>START</t>
        </is>
      </c>
      <c r="AS68" s="1354">
        <f>IF(LEFT('6.Inland wetlands'!$I81,8)=LEFT($AR$69,8),IF(LEFT('6.Inland wetlands'!$K81,8)=LEFT(AS$66,8), '6.Inland wetlands'!$P81,0),0)</f>
        <v/>
      </c>
      <c r="AT68" s="1354">
        <f>IF(LEFT('6.Inland wetlands'!$I81,8)=LEFT($AR$69,8),IF(LEFT('6.Inland wetlands'!$K81,8)=LEFT(AT$66,8), '6.Inland wetlands'!$P81,0),0)</f>
        <v/>
      </c>
      <c r="AU68" s="1354">
        <f>IF(LEFT('6.Inland wetlands'!$I81,8)=LEFT($AR$69,8),IF(LEFT('6.Inland wetlands'!$K81,8)=LEFT(AU$66,8), '6.Inland wetlands'!$P81,0),0)</f>
        <v/>
      </c>
      <c r="AV68" s="1354">
        <f>IF(LEFT('6.Inland wetlands'!$I81,8)=LEFT($AR$69,8),IF(LEFT('6.Inland wetlands'!$K81,8)=LEFT(AV$66,8), '6.Inland wetlands'!$P81,0),0)</f>
        <v/>
      </c>
      <c r="AW68" s="1354">
        <f>IF(LEFT('6.Inland wetlands'!$I81,8)=LEFT($AR$69,8),IF(LEFT('6.Inland wetlands'!$K81,8)=LEFT(AW$66,8), '6.Inland wetlands'!$P81,0),0)</f>
        <v/>
      </c>
      <c r="AX68" s="1354">
        <f>IF(LEFT('6.Inland wetlands'!$I81,8)=LEFT($AR$69,8),IF((OR(LEFT('6.Inland wetlands'!$K81,8)=LEFT(AX$66,8),LEFT('6.Inland wetlands'!$K81,8)=LEFT($AZ$3,8),LEFT('6.Inland wetlands'!$K81,8)=LEFT($AZ$4,8),LEFT('6.Inland wetlands'!$K81,8)=LEFT($AZ$5,8),LEFT('6.Inland wetlands'!$K81,8)=LEFT($AZ$6,8),LEFT('6.Inland wetlands'!$K81,8)=LEFT($AZ$7,8),LEFT('6.Inland wetlands'!$K81,8)=LEFT($AZ$8,8), LEFT('6.Inland wetlands'!$K81,8)=LEFT($AZ$9,8),  LEFT('6.Inland wetlands'!$K81,8)=LEFT($AZ$10,8), LEFT('6.Inland wetlands'!$K81,8)=LEFT($AZ$11,8),   LEFT('6.Inland wetlands'!$K81,8)=LEFT($AZ$12,8), LEFT('6.Inland wetlands'!$K81,8)=LEFT($AZ$13,8), LEFT('6.Inland wetlands'!$K81,8)=LEFT($AZ$14,8), LEFT('6.Inland wetlands'!$K81,8)=LEFT($AZ$15,8), LEFT('6.Inland wetlands'!$K81,8)=LEFT($AZ$16,8), LEFT('6.Inland wetlands'!$K81,8)=LEFT($AZ$17,8))),'6.Inland wetlands'!$P81,0),0)</f>
        <v/>
      </c>
      <c r="AZ68" s="1345" t="inlineStr">
        <is>
          <t>Parkland</t>
        </is>
      </c>
      <c r="BB68" s="973" t="n"/>
      <c r="BC68" s="1362" t="inlineStr">
        <is>
          <t>START</t>
        </is>
      </c>
      <c r="BD68" s="1354">
        <f>IF((OR(LEFT('6.Inland wetlands'!$I81,8)=LEFT(Matrix!$BC$69,8), LEFT('6.Inland wetlands'!$I81,8)=LEFT(Matrix!$AZ$62,8), LEFT('6.Inland wetlands'!$I81,8)=LEFT(Matrix!$AZ$63,8), LEFT('6.Inland wetlands'!$I81,8)=LEFT(Matrix!$AZ$64,8), LEFT('6.Inland wetlands'!$I81,8)=LEFT(Matrix!$AZ$65,8), LEFT('6.Inland wetlands'!$I81,8)=LEFT(Matrix!$AZ$66,8),  LEFT('6.Inland wetlands'!$I81,8)=LEFT(Matrix!$AZ$67,8), LEFT('6.Inland wetlands'!$I81,8)=LEFT(Matrix!$AZ$68,8), LEFT('6.Inland wetlands'!$I81,8)=LEFT(Matrix!$AZ$69,8), LEFT('6.Inland wetlands'!$I81,8)=LEFT(Matrix!$AZ$70,8), LEFT('6.Inland wetlands'!$I81,8)=LEFT(Matrix!$AZ$71,8), LEFT('6.Inland wetlands'!$I81,8)=LEFT(Matrix!$AZ$72,8), LEFT('6.Inland wetlands'!$I81,8)=LEFT(Matrix!$AZ$73,8), LEFT('6.Inland wetlands'!$I81,8)=LEFT(Matrix!$AZ$74,8), LEFT('6.Inland wetlands'!$I81,8)=LEFT(Matrix!$AZ$75,8), LEFT('6.Inland wetlands'!$I81,8)=LEFT(Matrix!$AZ$76,8))), IF(LEFT('6.Inland wetlands'!$K81,8)=LEFT(Matrix!BD$66,8), '6.Inland wetlands'!$P81, 0),0)</f>
        <v/>
      </c>
      <c r="BE68" s="1354">
        <f>IF((OR(LEFT('6.Inland wetlands'!$I81,8)=LEFT(Matrix!$BC$69,8), LEFT('6.Inland wetlands'!$I81,8)=LEFT(Matrix!$AZ$62,8), LEFT('6.Inland wetlands'!$I81,8)=LEFT(Matrix!$AZ$63,8), LEFT('6.Inland wetlands'!$I81,8)=LEFT(Matrix!$AZ$64,8), LEFT('6.Inland wetlands'!$I81,8)=LEFT(Matrix!$AZ$65,8), LEFT('6.Inland wetlands'!$I81,8)=LEFT(Matrix!$AZ$66,8),  LEFT('6.Inland wetlands'!$I81,8)=LEFT(Matrix!$AZ$67,8), LEFT('6.Inland wetlands'!$I81,8)=LEFT(Matrix!$AZ$68,8), LEFT('6.Inland wetlands'!$I81,8)=LEFT(Matrix!$AZ$69,8), LEFT('6.Inland wetlands'!$I81,8)=LEFT(Matrix!$AZ$70,8), LEFT('6.Inland wetlands'!$I81,8)=LEFT(Matrix!$AZ$71,8), LEFT('6.Inland wetlands'!$I81,8)=LEFT(Matrix!$AZ$72,8), LEFT('6.Inland wetlands'!$I81,8)=LEFT(Matrix!$AZ$73,8), LEFT('6.Inland wetlands'!$I81,8)=LEFT(Matrix!$AZ$74,8), LEFT('6.Inland wetlands'!$I81,8)=LEFT(Matrix!$AZ$75,8), LEFT('6.Inland wetlands'!$I81,8)=LEFT(Matrix!$AZ$76,8))), IF(LEFT('6.Inland wetlands'!$K81,8)=LEFT(Matrix!BE$66,8), '6.Inland wetlands'!$P81, 0),0)</f>
        <v/>
      </c>
      <c r="BF68" s="1354">
        <f>IF((OR(LEFT('6.Inland wetlands'!$I81,8)=LEFT(Matrix!$BC$69,8), LEFT('6.Inland wetlands'!$I81,8)=LEFT(Matrix!$AZ$62,8), LEFT('6.Inland wetlands'!$I81,8)=LEFT(Matrix!$AZ$63,8), LEFT('6.Inland wetlands'!$I81,8)=LEFT(Matrix!$AZ$64,8), LEFT('6.Inland wetlands'!$I81,8)=LEFT(Matrix!$AZ$65,8), LEFT('6.Inland wetlands'!$I81,8)=LEFT(Matrix!$AZ$66,8),  LEFT('6.Inland wetlands'!$I81,8)=LEFT(Matrix!$AZ$67,8), LEFT('6.Inland wetlands'!$I81,8)=LEFT(Matrix!$AZ$68,8), LEFT('6.Inland wetlands'!$I81,8)=LEFT(Matrix!$AZ$69,8), LEFT('6.Inland wetlands'!$I81,8)=LEFT(Matrix!$AZ$70,8), LEFT('6.Inland wetlands'!$I81,8)=LEFT(Matrix!$AZ$71,8), LEFT('6.Inland wetlands'!$I81,8)=LEFT(Matrix!$AZ$72,8), LEFT('6.Inland wetlands'!$I81,8)=LEFT(Matrix!$AZ$73,8), LEFT('6.Inland wetlands'!$I81,8)=LEFT(Matrix!$AZ$74,8), LEFT('6.Inland wetlands'!$I81,8)=LEFT(Matrix!$AZ$75,8), LEFT('6.Inland wetlands'!$I81,8)=LEFT(Matrix!$AZ$76,8))), IF(LEFT('6.Inland wetlands'!$K81,8)=LEFT(Matrix!BF$66,8), '6.Inland wetlands'!$P81, 0),0)</f>
        <v/>
      </c>
      <c r="BG68" s="1354">
        <f>IF((OR(LEFT('6.Inland wetlands'!$I81,8)=LEFT(Matrix!$BC$69,8), LEFT('6.Inland wetlands'!$I81,8)=LEFT(Matrix!$AZ$62,8), LEFT('6.Inland wetlands'!$I81,8)=LEFT(Matrix!$AZ$63,8), LEFT('6.Inland wetlands'!$I81,8)=LEFT(Matrix!$AZ$64,8), LEFT('6.Inland wetlands'!$I81,8)=LEFT(Matrix!$AZ$65,8), LEFT('6.Inland wetlands'!$I81,8)=LEFT(Matrix!$AZ$66,8),  LEFT('6.Inland wetlands'!$I81,8)=LEFT(Matrix!$AZ$67,8), LEFT('6.Inland wetlands'!$I81,8)=LEFT(Matrix!$AZ$68,8), LEFT('6.Inland wetlands'!$I81,8)=LEFT(Matrix!$AZ$69,8), LEFT('6.Inland wetlands'!$I81,8)=LEFT(Matrix!$AZ$70,8), LEFT('6.Inland wetlands'!$I81,8)=LEFT(Matrix!$AZ$71,8), LEFT('6.Inland wetlands'!$I81,8)=LEFT(Matrix!$AZ$72,8), LEFT('6.Inland wetlands'!$I81,8)=LEFT(Matrix!$AZ$73,8), LEFT('6.Inland wetlands'!$I81,8)=LEFT(Matrix!$AZ$74,8), LEFT('6.Inland wetlands'!$I81,8)=LEFT(Matrix!$AZ$75,8), LEFT('6.Inland wetlands'!$I81,8)=LEFT(Matrix!$AZ$76,8))), IF(LEFT('6.Inland wetlands'!$K81,8)=LEFT(Matrix!BG$66,8), '6.Inland wetlands'!$P81, 0),0)</f>
        <v/>
      </c>
      <c r="BH68" s="1354">
        <f>IF((OR(LEFT('6.Inland wetlands'!$I81,8)=LEFT(Matrix!$BC$69,8), LEFT('6.Inland wetlands'!$I81,8)=LEFT(Matrix!$AZ$62,8), LEFT('6.Inland wetlands'!$I81,8)=LEFT(Matrix!$AZ$63,8), LEFT('6.Inland wetlands'!$I81,8)=LEFT(Matrix!$AZ$64,8), LEFT('6.Inland wetlands'!$I81,8)=LEFT(Matrix!$AZ$65,8), LEFT('6.Inland wetlands'!$I81,8)=LEFT(Matrix!$AZ$66,8),  LEFT('6.Inland wetlands'!$I81,8)=LEFT(Matrix!$AZ$67,8), LEFT('6.Inland wetlands'!$I81,8)=LEFT(Matrix!$AZ$68,8), LEFT('6.Inland wetlands'!$I81,8)=LEFT(Matrix!$AZ$69,8), LEFT('6.Inland wetlands'!$I81,8)=LEFT(Matrix!$AZ$70,8), LEFT('6.Inland wetlands'!$I81,8)=LEFT(Matrix!$AZ$71,8), LEFT('6.Inland wetlands'!$I81,8)=LEFT(Matrix!$AZ$72,8), LEFT('6.Inland wetlands'!$I81,8)=LEFT(Matrix!$AZ$73,8), LEFT('6.Inland wetlands'!$I81,8)=LEFT(Matrix!$AZ$74,8), LEFT('6.Inland wetlands'!$I81,8)=LEFT(Matrix!$AZ$75,8), LEFT('6.Inland wetlands'!$I81,8)=LEFT(Matrix!$AZ$76,8))), IF(LEFT('6.Inland wetlands'!$K81,8)=LEFT(Matrix!BH$66,8), '6.Inland wetlands'!$P81, 0),0)</f>
        <v/>
      </c>
      <c r="BI68" s="1354">
        <f>IF((OR(LEFT('6.Inland wetlands'!$I81,8)=LEFT(Matrix!$BC$69,8), LEFT('6.Inland wetlands'!$I81,8)=LEFT(Matrix!$AZ$62,8), LEFT('6.Inland wetlands'!$I81,8)=LEFT(Matrix!$AZ$63,8), LEFT('6.Inland wetlands'!$I81,8)=LEFT(Matrix!$AZ$64,8), LEFT('6.Inland wetlands'!$I81,8)=LEFT(Matrix!$AZ$65,8), LEFT('6.Inland wetlands'!$I81,8)=LEFT(Matrix!$AZ$66,8),  LEFT('6.Inland wetlands'!$I81,8)=LEFT(Matrix!$AZ$67,8), LEFT('6.Inland wetlands'!$I81,8)=LEFT(Matrix!$AZ$68,8), LEFT('6.Inland wetlands'!$I81,8)=LEFT(Matrix!$AZ$69,8), LEFT('6.Inland wetlands'!$I81,8)=LEFT(Matrix!$AZ$70,8), LEFT('6.Inland wetlands'!$I81,8)=LEFT(Matrix!$AZ$71,8), LEFT('6.Inland wetlands'!$I81,8)=LEFT(Matrix!$AZ$72,8), LEFT('6.Inland wetlands'!$I81,8)=LEFT(Matrix!$AZ$73,8), LEFT('6.Inland wetlands'!$I81,8)=LEFT(Matrix!$AZ$74,8), LEFT('6.Inland wetlands'!$I81,8)=LEFT(Matrix!$AZ$75,8), LEFT('6.Inland wetlands'!$I81,8)=LEFT(Matrix!$AZ$76,8))), IF(LEFT('6.Inland wetlands'!$K81,8)=LEFT(Matrix!BI$66,8), '6.Inland wetlands'!$P81, 0),0)</f>
        <v/>
      </c>
      <c r="BJ68" s="973" t="n"/>
      <c r="BM68" s="973" t="n"/>
      <c r="BN68" s="1362" t="inlineStr">
        <is>
          <t>START</t>
        </is>
      </c>
      <c r="BO68" s="1354">
        <f>IF(LEFT('6.Inland wetlands'!$I81,8)=LEFT($BN$26,8),IF(LEFT('6.Inland wetlands'!$K81,8)=LEFT(BO$23,8),'6.Inland wetlands'!$P81,0),0)</f>
        <v/>
      </c>
      <c r="BP68" s="1354">
        <f>IF(LEFT('6.Inland wetlands'!$I81,8)=LEFT($BN$26,8),IF(LEFT('6.Inland wetlands'!$K81,8)=LEFT(BP$23,8),'6.Inland wetlands'!$P81,0),0)</f>
        <v/>
      </c>
      <c r="BQ68" s="1354">
        <f>IF(LEFT('6.Inland wetlands'!$I81,8)=LEFT($BN$26,8),IF(LEFT('6.Inland wetlands'!$K81,8)=LEFT(BQ$23,8),'6.Inland wetlands'!$P81,0),0)</f>
        <v/>
      </c>
      <c r="BR68" s="1354">
        <f>IF(LEFT('6.Inland wetlands'!$I81,8)=LEFT($BN$69,8),IF((OR(LEFT('6.Inland wetlands'!$K81,8)=LEFT(BR$66,8),LEFT('6.Inland wetlands'!$K81,8)=LEFT($AZ$3,8), LEFT('6.Inland wetlands'!$K81,8)=LEFT($AZ$5,8),LEFT('6.Inland wetlands'!$K81,8)=LEFT($AZ$6,8),LEFT('6.Inland wetlands'!$K81,8)=LEFT($AZ$7,8),LEFT('6.Inland wetlands'!$K81,8)=LEFT($AZ$8,8), LEFT('6.Inland wetlands'!$K81,8)=LEFT($AZ$9,8),  LEFT('6.Inland wetlands'!$K81,8)=LEFT($AZ$10,8), LEFT('6.Inland wetlands'!$K81,8)=LEFT($AZ$11,8),   LEFT('6.Inland wetlands'!$K81,8)=LEFT($AZ$12,8), LEFT('6.Inland wetlands'!$K81,8)=LEFT($AZ$13,8), LEFT('6.Inland wetlands'!$K81,8)=LEFT($AZ$14,8), LEFT('6.Inland wetlands'!$K81,8)=LEFT($AZ$15,8), LEFT('6.Inland wetlands'!$K81,8)=LEFT($AZ$16,8), LEFT('6.Inland wetlands'!$K81,8)=LEFT($AZ$17,8))),'6.Inland wetlands'!$P81,0),0)</f>
        <v/>
      </c>
      <c r="BS68" s="1354">
        <f>IF(LEFT('6.Inland wetlands'!$I81,8)=LEFT($BN$26,8),IF(LEFT('6.Inland wetlands'!$K81,8)=LEFT(BS$23,8),'6.Inland wetlands'!$P81,0),0)</f>
        <v/>
      </c>
      <c r="BT68" s="1354">
        <f>IF(LEFT('6.Inland wetlands'!$I81,8)=LEFT($BN$26,8),IF(LEFT('6.Inland wetlands'!$K81,8)=LEFT(BT$23,8),'6.Inland wetlands'!$P81,0),0)</f>
        <v/>
      </c>
      <c r="BU68" s="973" t="n"/>
      <c r="BX68" s="973" t="n"/>
      <c r="BY68" s="1365" t="inlineStr">
        <is>
          <t>START</t>
        </is>
      </c>
      <c r="BZ68" s="1354">
        <f>IF(LEFT('6.Inland wetlands'!$I81,8)=LEFT($BY$26,8),IF(LEFT('6.Inland wetlands'!$K81,8)=LEFT(BZ$23,8),'6.Inland wetlands'!$P81,0),0)</f>
        <v/>
      </c>
      <c r="CA68" s="1354">
        <f>IF(LEFT('6.Inland wetlands'!$I81,8)=LEFT($BY$26,8),IF(LEFT('6.Inland wetlands'!$K81,8)=LEFT(CA$23,8),'6.Inland wetlands'!$P81,0),0)</f>
        <v/>
      </c>
      <c r="CB68" s="1354">
        <f>IF(LEFT('6.Inland wetlands'!$I81,8)=LEFT($BY$26,8),IF(LEFT('6.Inland wetlands'!$K81,8)=LEFT(CB$23,8),'6.Inland wetlands'!$P81,0),0)</f>
        <v/>
      </c>
      <c r="CC68" s="1354">
        <f>IF(LEFT('6.Inland wetlands'!$I81,8)=LEFT($BY$26,8),IF((OR(LEFT('6.Inland wetlands'!$K81,8)=LEFT(CC$23,8),LEFT('6.Inland wetlands'!$K81,8)=LEFT($AZ$3,8),LEFT('6.Inland wetlands'!$K81,8)=LEFT($AZ$4,8),LEFT('6.Inland wetlands'!$K81,8)=LEFT($AZ$5,8),LEFT('6.Inland wetlands'!$K81,8)=LEFT($AZ$6,8),LEFT('6.Inland wetlands'!$K81,8)=LEFT($AZ$7,8),LEFT('6.Inland wetlands'!$K81,8)=LEFT($AZ$8,8), LEFT('6.Inland wetlands'!$K81,8)=LEFT($AZ$9,8),  LEFT('6.Inland wetlands'!$K81,8)=LEFT($AZ$10,8), LEFT('6.Inland wetlands'!$K81,8)=LEFT($AZ$11,8),   LEFT('6.Inland wetlands'!$K81,8)=LEFT($AZ$12,8), LEFT('6.Inland wetlands'!$K81,8)=LEFT($AZ$13,8), LEFT('6.Inland wetlands'!$K81,8)=LEFT($AZ$14,8), LEFT('6.Inland wetlands'!$K81,8)=LEFT($AZ$15,8), LEFT('6.Inland wetlands'!$K81,8)=LEFT($AZ$16,8), LEFT('6.Inland wetlands'!$K81,8)=LEFT($AZ$17,8))),'6.Inland wetlands'!$P81,0),0)</f>
        <v/>
      </c>
      <c r="CD68" s="1354">
        <f>IF(LEFT('6.Inland wetlands'!$I81,8)=LEFT($BY$26,8),IF(LEFT('6.Inland wetlands'!$K81,8)=LEFT(CD$23,8),'6.Inland wetlands'!$P81,0),0)</f>
        <v/>
      </c>
      <c r="CE68" s="1354">
        <f>IF(LEFT('6.Inland wetlands'!$I81,8)=LEFT($BY$26,8),IF(LEFT('6.Inland wetlands'!$K81,8)=LEFT(CE$23,8),'6.Inland wetlands'!$P81,0),0)</f>
        <v/>
      </c>
      <c r="CF68" s="973" t="n"/>
      <c r="CI68" s="973" t="n"/>
      <c r="CJ68" s="1365" t="inlineStr">
        <is>
          <t>START</t>
        </is>
      </c>
      <c r="CK68" s="1355">
        <f>IF(LEFT('6.Inland wetlands'!$I81,8)=LEFT($CJ$8,8),IF(LEFT('6.Inland wetlands'!$K81,8)=LEFT(CK$5,8),'6.Inland wetlands'!$P81,0),0)</f>
        <v/>
      </c>
      <c r="CL68" s="1355">
        <f>IF(LEFT('6.Inland wetlands'!$I81,8)=LEFT($CJ$8,8),IF(LEFT('6.Inland wetlands'!$K81,8)=LEFT(CL$5,8),'6.Inland wetlands'!$P81,0),0)</f>
        <v/>
      </c>
      <c r="CM68" s="1355">
        <f>IF(LEFT('6.Inland wetlands'!$I81,8)=LEFT($CJ$8,8),IF(LEFT('6.Inland wetlands'!$K81,8)=LEFT(CM$5,8),'6.Inland wetlands'!$P81,0),0)</f>
        <v/>
      </c>
      <c r="CN68" s="1354">
        <f>IF(LEFT('6.Inland wetlands'!$I81,8)=LEFT($CJ$8,8),IF((OR(LEFT('6.Inland wetlands'!$K81,8)=LEFT(CN$5,8),LEFT('6.Inland wetlands'!$K81,8)=LEFT(AZ$3,8),LEFT('6.Inland wetlands'!$K81,8)=LEFT(AZ$4,8),LEFT('6.Inland wetlands'!$K81,8)=LEFT($AZ$5,8),LEFT('6.Inland wetlands'!$K81,8)=LEFT($AZ$6,8),LEFT('6.Inland wetlands'!$K81,8)=LEFT($AZ$7,8),LEFT('6.Inland wetlands'!$K81,8)=LEFT($AZ$8,8), LEFT('6.Inland wetlands'!$K81,8)=LEFT($AZ$9,8),  LEFT('6.Inland wetlands'!$K81,8)=LEFT($AZ$10,8), LEFT('6.Inland wetlands'!$K81,8)=LEFT($AZ$11,8),   LEFT('6.Inland wetlands'!$K81,8)=LEFT($AZ$12,8), LEFT('6.Inland wetlands'!$K81,8)=LEFT($AZ$13,8), LEFT('6.Inland wetlands'!$K81,8)=LEFT($AZ$14,8), LEFT('6.Inland wetlands'!$K81,8)=LEFT($AZ$15,8), LEFT('6.Inland wetlands'!$K81,8)=LEFT($AZ$16,8), LEFT('6.Inland wetlands'!$K81,8)=LEFT($AZ$17,8))),'6.Inland wetlands'!$P81,0),0)</f>
        <v/>
      </c>
      <c r="CO68" s="1355">
        <f>IF(LEFT('6.Inland wetlands'!$I81,8)=LEFT($CJ$8,8),IF(LEFT('6.Inland wetlands'!$K81,8)=LEFT(CO$5,8),'6.Inland wetlands'!$P81,0),0)</f>
        <v/>
      </c>
      <c r="CP68" s="1354">
        <f>IF(LEFT('6.Inland wetlands'!$I81,8)=LEFT($CJ$8,8),IF(LEFT('6.Inland wetlands'!$K81,8)=LEFT(CP$5,8),'6.Inland wetlands'!$P81,0),0)</f>
        <v/>
      </c>
      <c r="CQ68" s="973" t="n"/>
      <c r="CT68" s="973" t="n"/>
      <c r="CU68" s="1365" t="inlineStr">
        <is>
          <t>START</t>
        </is>
      </c>
      <c r="CV68" s="1355">
        <f>IF(LEFT('6.Inland wetlands'!$I81,8)=LEFT($CU$53,8),IF(LEFT('6.Inland wetlands'!$K81,8)=LEFT(CV$50,8),'6.Inland wetlands'!$P81,0),0)</f>
        <v/>
      </c>
      <c r="CW68" s="1355">
        <f>IF(LEFT('6.Inland wetlands'!$I81,8)=LEFT($CU$53,8),IF(LEFT('6.Inland wetlands'!$K81,8)=LEFT(CW$50,8),'6.Inland wetlands'!$P81,0),0)</f>
        <v/>
      </c>
      <c r="CX68" s="1355">
        <f>IF(LEFT('6.Inland wetlands'!$I81,8)=LEFT($CU$53,8),IF(LEFT('6.Inland wetlands'!$K81,8)=LEFT(CX$50,8),'6.Inland wetlands'!$P81,0),0)</f>
        <v/>
      </c>
      <c r="CY68" s="1354">
        <f>IF(LEFT('6.Inland wetlands'!$I81,8)=LEFT($CU$53,8),IF((OR(LEFT('6.Inland wetlands'!$K81,8)=LEFT($CY$50,8),LEFT('6.Inland wetlands'!$K81,8)=LEFT($AZ$3,8),LEFT('6.Inland wetlands'!$K81,8)=LEFT($AZ$4,8),LEFT('6.Inland wetlands'!$K81,8)=LEFT($AZ$5,8),LEFT('6.Inland wetlands'!$K81,8)=LEFT($AZ$6,8),LEFT('6.Inland wetlands'!$K81,8)=LEFT($AZ$7,8),LEFT('6.Inland wetlands'!$K81,8)=LEFT($AZ$8,8), LEFT('6.Inland wetlands'!$K81,8)=LEFT($AZ$9,8),  LEFT('6.Inland wetlands'!$K81,8)=LEFT($AZ$10,8), LEFT('6.Inland wetlands'!$K81,8)=LEFT($AZ$11,8),   LEFT('6.Inland wetlands'!$K81,8)=LEFT($AZ$12,8), LEFT('6.Inland wetlands'!$K81,8)=LEFT($AZ$13,8), LEFT('6.Inland wetlands'!$K81,8)=LEFT($AZ$14,8), LEFT('6.Inland wetlands'!$K81,8)=LEFT($AZ$15,8), LEFT('6.Inland wetlands'!$K81,8)=LEFT($AZ$16,8), LEFT('6.Inland wetlands'!$K81,8)=LEFT($AZ$17,8))),'6.Inland wetlands'!$P81,0),0)</f>
        <v/>
      </c>
      <c r="CZ68" s="1104">
        <f>IF(LEFT('6.Inland wetlands'!$I81,8)=LEFT($CU$53,8),IF(LEFT('6.Inland wetlands'!$K81,8)=LEFT(CZ$50,8),'6.Inland wetlands'!$P81,0),0)</f>
        <v/>
      </c>
      <c r="DA68" s="1354">
        <f>IF(LEFT('6.Inland wetlands'!$I81,8)=LEFT($CU$53,8),IF(LEFT('6.Inland wetlands'!$K81,8)=LEFT(DA$50,8),'6.Inland wetlands'!$P81,0),0)</f>
        <v/>
      </c>
      <c r="DB68" s="973" t="n"/>
      <c r="DE68" s="973" t="n"/>
      <c r="DF68" s="1365" t="inlineStr">
        <is>
          <t>START</t>
        </is>
      </c>
      <c r="DG68" s="1355">
        <f>IF(LEFT('6.Inland wetlands'!$I81,8)=LEFT($DF$53,8),IF(LEFT('6.Inland wetlands'!$K81,8)=LEFT(DG$50,8),'6.Inland wetlands'!$P81,0),0)</f>
        <v/>
      </c>
      <c r="DH68" s="1355">
        <f>IF(LEFT('6.Inland wetlands'!$I81,8)=LEFT($DF$53,8),IF(LEFT('6.Inland wetlands'!$K81,8)=LEFT(DH$50,8),'6.Inland wetlands'!$P81,0),0)</f>
        <v/>
      </c>
      <c r="DI68" s="1355">
        <f>IF(LEFT('6.Inland wetlands'!$I81,8)=LEFT($DF$53,8),IF(LEFT('6.Inland wetlands'!$K81,8)=LEFT(DI$50,8),'6.Inland wetlands'!$P81,0),0)</f>
        <v/>
      </c>
      <c r="DJ68" s="1354">
        <f>IF(LEFT('6.Inland wetlands'!$I81,8)=LEFT($DF$53,8),IF((OR(LEFT('6.Inland wetlands'!$K81,8)=LEFT($DJ51,8),LEFT('6.Inland wetlands'!$K81,8)=LEFT($AZ$3,8),LEFT('6.Inland wetlands'!$K81,8)=LEFT($AZ$4,8),LEFT('6.Inland wetlands'!$K81,8)=LEFT($AZ$5,8),LEFT('6.Inland wetlands'!$K81,8)=LEFT($AZ$6,8),LEFT('6.Inland wetlands'!$K81,8)=LEFT($AZ$7,8),LEFT('6.Inland wetlands'!$K81,8)=LEFT($AZ$8,8), LEFT('6.Inland wetlands'!$K81,8)=LEFT($AZ$9,8),  LEFT('6.Inland wetlands'!$K81,8)=LEFT($AZ$10,8), LEFT('6.Inland wetlands'!$K81,8)=LEFT($AZ$11,8),   LEFT('6.Inland wetlands'!$K81,8)=LEFT($AZ$12,8), LEFT('6.Inland wetlands'!$K81,8)=LEFT($AZ$13,8), LEFT('6.Inland wetlands'!$K81,8)=LEFT($AZ$14,8), LEFT('6.Inland wetlands'!$K81,8)=LEFT($AZ$15,8), LEFT('6.Inland wetlands'!$K81,8)=LEFT($AZ$16,8), LEFT('6.Inland wetlands'!$K81,8)=LEFT($AZ$17,8))),'6.Inland wetlands'!$P81,0),0)</f>
        <v/>
      </c>
      <c r="DK68" s="1355">
        <f>IF(LEFT('6.Inland wetlands'!$I81,8)=LEFT($DF$53,8),IF(LEFT('6.Inland wetlands'!$K81,8)=LEFT(DK$50,8),'6.Inland wetlands'!$P81,0),0)</f>
        <v/>
      </c>
      <c r="DL68" s="1354">
        <f>IF(LEFT('6.Inland wetlands'!$I81,8)=LEFT($DF$53,8),IF(LEFT('6.Inland wetlands'!$K81,8)=LEFT(DL$50,8),'6.Inland wetlands'!$P81,0),0)</f>
        <v/>
      </c>
    </row>
    <row r="69">
      <c r="D69" s="973" t="n"/>
      <c r="F69" s="1368" t="n"/>
      <c r="G69" s="1391" t="n"/>
      <c r="H69" s="1392" t="inlineStr">
        <is>
          <t>Flooded rice</t>
        </is>
      </c>
      <c r="I69" s="3144">
        <f>AK73</f>
        <v/>
      </c>
      <c r="J69" s="3143">
        <f>BO73</f>
        <v/>
      </c>
      <c r="K69" s="3143">
        <f>BR73</f>
        <v/>
      </c>
      <c r="L69" s="2851">
        <f>SUMIF('Inl. wetlands'!$C413:$C418,$L$65,'Inl. wetlands'!$J413:$J418)+MAX(SUM(I69:K69,M69:O69),SUM(I53:K53,M53:O53))-SUM(I69:K69,M69:O69)</f>
        <v/>
      </c>
      <c r="M69" s="3143">
        <f>BS73</f>
        <v/>
      </c>
      <c r="N69" s="3143">
        <f>BQ73</f>
        <v/>
      </c>
      <c r="O69" s="3143">
        <f>BT73+BP73</f>
        <v/>
      </c>
      <c r="P69" s="3143">
        <f>SUM(I69:O69)</f>
        <v/>
      </c>
      <c r="R69" s="973" t="n"/>
      <c r="S69" s="1418" t="n"/>
      <c r="T69" s="1414" t="inlineStr">
        <is>
          <t>FL converted to…</t>
        </is>
      </c>
      <c r="U69" s="1420">
        <f>IF('6.Inland wetlands'!$I15 =U$66, 1,0)* '6.Inland wetlands'!$T15</f>
        <v/>
      </c>
      <c r="V69" s="1421">
        <f>IF('6.Inland wetlands'!$I15 =V$66, 1,0)* '6.Inland wetlands'!$T15</f>
        <v/>
      </c>
      <c r="W69" s="1421">
        <f>IF('6.Inland wetlands'!$I15 =W$66, 1,0)* '6.Inland wetlands'!$T15</f>
        <v/>
      </c>
      <c r="X69" s="1421">
        <f>IF('6.Inland wetlands'!$I15 =X$66, 1,0)* '6.Inland wetlands'!$T15</f>
        <v/>
      </c>
      <c r="Y69" s="1421">
        <f>IF('6.Inland wetlands'!$I15 =Y$66, 1,0)* '6.Inland wetlands'!$T15</f>
        <v/>
      </c>
      <c r="Z69" s="1421">
        <f>IF('6.Inland wetlands'!$I15 =Z$66, 1,0)* '6.Inland wetlands'!$T15</f>
        <v/>
      </c>
      <c r="AA69" s="1422">
        <f>IF('6.Inland wetlands'!$I15 =AA$66, 1,0)* '6.Inland wetlands'!$T15</f>
        <v/>
      </c>
      <c r="AB69" s="973" t="n"/>
      <c r="AE69" s="1418" t="n"/>
      <c r="AF69" s="1414" t="inlineStr">
        <is>
          <t>FL converted to…</t>
        </is>
      </c>
      <c r="AG69" s="1420">
        <f>IF(AG$66 = '6.Inland wetlands'!$I48, '6.Inland wetlands'!$P48, 0)</f>
        <v/>
      </c>
      <c r="AH69" s="1421">
        <f>IF(AH$66 = '6.Inland wetlands'!$I48, '6.Inland wetlands'!$P48, 0)</f>
        <v/>
      </c>
      <c r="AI69" s="1421">
        <f>IF(AI$66 = '6.Inland wetlands'!$I48, '6.Inland wetlands'!$P48, 0)</f>
        <v/>
      </c>
      <c r="AJ69" s="1421">
        <f>IF(AJ$66 = '6.Inland wetlands'!$I48, '6.Inland wetlands'!$P48, 0)</f>
        <v/>
      </c>
      <c r="AK69" s="1421">
        <f>IF(AK$66 = '6.Inland wetlands'!$I48, '6.Inland wetlands'!$P48, 0)</f>
        <v/>
      </c>
      <c r="AL69" s="1421">
        <f>IF(AL$66 = '6.Inland wetlands'!$I48, '6.Inland wetlands'!$P48, 0)</f>
        <v/>
      </c>
      <c r="AM69" s="1422">
        <f>IF(AM$66 = '6.Inland wetlands'!$I48, '6.Inland wetlands'!$P48, 0)</f>
        <v/>
      </c>
      <c r="AN69" s="973" t="n"/>
      <c r="AQ69" s="973" t="n"/>
      <c r="AR69" s="1354" t="inlineStr">
        <is>
          <t>Annual cropland</t>
        </is>
      </c>
      <c r="AS69" s="1354">
        <f>IF(LEFT('6.Inland wetlands'!$I82,8)=LEFT($AR$69,8),IF(LEFT('6.Inland wetlands'!$K82,8)=LEFT(AS$66,8), '6.Inland wetlands'!$P82,0),0)</f>
        <v/>
      </c>
      <c r="AT69" s="1354">
        <f>IF(LEFT('6.Inland wetlands'!$I82,8)=LEFT($AR$69,8),IF(LEFT('6.Inland wetlands'!$K82,8)=LEFT(AT$66,8), '6.Inland wetlands'!$P82,0),0)</f>
        <v/>
      </c>
      <c r="AU69" s="1354">
        <f>IF(LEFT('6.Inland wetlands'!$I82,8)=LEFT($AR$69,8),IF(LEFT('6.Inland wetlands'!$K82,8)=LEFT(AU$66,8), '6.Inland wetlands'!$P82,0),0)</f>
        <v/>
      </c>
      <c r="AV69" s="1354">
        <f>IF(LEFT('6.Inland wetlands'!$I82,8)=LEFT($AR$69,8),IF(LEFT('6.Inland wetlands'!$K82,8)=LEFT(AV$66,8), '6.Inland wetlands'!$P82,0),0)</f>
        <v/>
      </c>
      <c r="AW69" s="1354">
        <f>IF(LEFT('6.Inland wetlands'!$I82,8)=LEFT($AR$69,8),IF(LEFT('6.Inland wetlands'!$K82,8)=LEFT(AW$66,8), '6.Inland wetlands'!$P82,0),0)</f>
        <v/>
      </c>
      <c r="AX69" s="1354">
        <f>IF(LEFT('6.Inland wetlands'!$I82,8)=LEFT($AR$69,8),IF((OR(LEFT('6.Inland wetlands'!$K82,8)=LEFT(AX$66,8),LEFT('6.Inland wetlands'!$K82,8)=LEFT($AZ$3,8),LEFT('6.Inland wetlands'!$K82,8)=LEFT($AZ$4,8),LEFT('6.Inland wetlands'!$K82,8)=LEFT($AZ$5,8),LEFT('6.Inland wetlands'!$K82,8)=LEFT($AZ$6,8),LEFT('6.Inland wetlands'!$K82,8)=LEFT($AZ$7,8),LEFT('6.Inland wetlands'!$K82,8)=LEFT($AZ$8,8), LEFT('6.Inland wetlands'!$K82,8)=LEFT($AZ$9,8),  LEFT('6.Inland wetlands'!$K82,8)=LEFT($AZ$10,8), LEFT('6.Inland wetlands'!$K82,8)=LEFT($AZ$11,8),   LEFT('6.Inland wetlands'!$K82,8)=LEFT($AZ$12,8), LEFT('6.Inland wetlands'!$K82,8)=LEFT($AZ$13,8), LEFT('6.Inland wetlands'!$K82,8)=LEFT($AZ$14,8), LEFT('6.Inland wetlands'!$K82,8)=LEFT($AZ$15,8), LEFT('6.Inland wetlands'!$K82,8)=LEFT($AZ$16,8), LEFT('6.Inland wetlands'!$K82,8)=LEFT($AZ$17,8))),'6.Inland wetlands'!$P82,0),0)</f>
        <v/>
      </c>
      <c r="AZ69" s="1345" t="inlineStr">
        <is>
          <t>Perennial fallow</t>
        </is>
      </c>
      <c r="BB69" s="973" t="n"/>
      <c r="BC69" s="1354" t="inlineStr">
        <is>
          <t>Agroforestry</t>
        </is>
      </c>
      <c r="BD69" s="1354">
        <f>IF((OR(LEFT('6.Inland wetlands'!$I82,8)=LEFT(Matrix!$BC$69,8), LEFT('6.Inland wetlands'!$I82,8)=LEFT(Matrix!$AZ$62,8), LEFT('6.Inland wetlands'!$I82,8)=LEFT(Matrix!$AZ$63,8), LEFT('6.Inland wetlands'!$I82,8)=LEFT(Matrix!$AZ$64,8), LEFT('6.Inland wetlands'!$I82,8)=LEFT(Matrix!$AZ$65,8), LEFT('6.Inland wetlands'!$I82,8)=LEFT(Matrix!$AZ$66,8),  LEFT('6.Inland wetlands'!$I82,8)=LEFT(Matrix!$AZ$67,8), LEFT('6.Inland wetlands'!$I82,8)=LEFT(Matrix!$AZ$68,8), LEFT('6.Inland wetlands'!$I82,8)=LEFT(Matrix!$AZ$69,8), LEFT('6.Inland wetlands'!$I82,8)=LEFT(Matrix!$AZ$70,8), LEFT('6.Inland wetlands'!$I82,8)=LEFT(Matrix!$AZ$71,8), LEFT('6.Inland wetlands'!$I82,8)=LEFT(Matrix!$AZ$72,8), LEFT('6.Inland wetlands'!$I82,8)=LEFT(Matrix!$AZ$73,8), LEFT('6.Inland wetlands'!$I82,8)=LEFT(Matrix!$AZ$74,8), LEFT('6.Inland wetlands'!$I82,8)=LEFT(Matrix!$AZ$75,8), LEFT('6.Inland wetlands'!$I82,8)=LEFT(Matrix!$AZ$76,8))), IF(LEFT('6.Inland wetlands'!$K82,8)=LEFT(Matrix!BD$66,8), '6.Inland wetlands'!$P82, 0),0)</f>
        <v/>
      </c>
      <c r="BE69" s="1354">
        <f>IF((OR(LEFT('6.Inland wetlands'!$I82,8)=LEFT(Matrix!$BC$69,8), LEFT('6.Inland wetlands'!$I82,8)=LEFT(Matrix!$AZ$62,8), LEFT('6.Inland wetlands'!$I82,8)=LEFT(Matrix!$AZ$63,8), LEFT('6.Inland wetlands'!$I82,8)=LEFT(Matrix!$AZ$64,8), LEFT('6.Inland wetlands'!$I82,8)=LEFT(Matrix!$AZ$65,8), LEFT('6.Inland wetlands'!$I82,8)=LEFT(Matrix!$AZ$66,8),  LEFT('6.Inland wetlands'!$I82,8)=LEFT(Matrix!$AZ$67,8), LEFT('6.Inland wetlands'!$I82,8)=LEFT(Matrix!$AZ$68,8), LEFT('6.Inland wetlands'!$I82,8)=LEFT(Matrix!$AZ$69,8), LEFT('6.Inland wetlands'!$I82,8)=LEFT(Matrix!$AZ$70,8), LEFT('6.Inland wetlands'!$I82,8)=LEFT(Matrix!$AZ$71,8), LEFT('6.Inland wetlands'!$I82,8)=LEFT(Matrix!$AZ$72,8), LEFT('6.Inland wetlands'!$I82,8)=LEFT(Matrix!$AZ$73,8), LEFT('6.Inland wetlands'!$I82,8)=LEFT(Matrix!$AZ$74,8), LEFT('6.Inland wetlands'!$I82,8)=LEFT(Matrix!$AZ$75,8), LEFT('6.Inland wetlands'!$I82,8)=LEFT(Matrix!$AZ$76,8))), IF(LEFT('6.Inland wetlands'!$K82,8)=LEFT(Matrix!BE$66,8), '6.Inland wetlands'!$P82, 0),0)</f>
        <v/>
      </c>
      <c r="BF69" s="1354">
        <f>IF((OR(LEFT('6.Inland wetlands'!$I82,8)=LEFT(Matrix!$BC$69,8), LEFT('6.Inland wetlands'!$I82,8)=LEFT(Matrix!$AZ$62,8), LEFT('6.Inland wetlands'!$I82,8)=LEFT(Matrix!$AZ$63,8), LEFT('6.Inland wetlands'!$I82,8)=LEFT(Matrix!$AZ$64,8), LEFT('6.Inland wetlands'!$I82,8)=LEFT(Matrix!$AZ$65,8), LEFT('6.Inland wetlands'!$I82,8)=LEFT(Matrix!$AZ$66,8),  LEFT('6.Inland wetlands'!$I82,8)=LEFT(Matrix!$AZ$67,8), LEFT('6.Inland wetlands'!$I82,8)=LEFT(Matrix!$AZ$68,8), LEFT('6.Inland wetlands'!$I82,8)=LEFT(Matrix!$AZ$69,8), LEFT('6.Inland wetlands'!$I82,8)=LEFT(Matrix!$AZ$70,8), LEFT('6.Inland wetlands'!$I82,8)=LEFT(Matrix!$AZ$71,8), LEFT('6.Inland wetlands'!$I82,8)=LEFT(Matrix!$AZ$72,8), LEFT('6.Inland wetlands'!$I82,8)=LEFT(Matrix!$AZ$73,8), LEFT('6.Inland wetlands'!$I82,8)=LEFT(Matrix!$AZ$74,8), LEFT('6.Inland wetlands'!$I82,8)=LEFT(Matrix!$AZ$75,8), LEFT('6.Inland wetlands'!$I82,8)=LEFT(Matrix!$AZ$76,8))), IF(LEFT('6.Inland wetlands'!$K82,8)=LEFT(Matrix!BF$66,8), '6.Inland wetlands'!$P82, 0),0)</f>
        <v/>
      </c>
      <c r="BG69" s="1354">
        <f>IF((OR(LEFT('6.Inland wetlands'!$I82,8)=LEFT(Matrix!$BC$69,8), LEFT('6.Inland wetlands'!$I82,8)=LEFT(Matrix!$AZ$62,8), LEFT('6.Inland wetlands'!$I82,8)=LEFT(Matrix!$AZ$63,8), LEFT('6.Inland wetlands'!$I82,8)=LEFT(Matrix!$AZ$64,8), LEFT('6.Inland wetlands'!$I82,8)=LEFT(Matrix!$AZ$65,8), LEFT('6.Inland wetlands'!$I82,8)=LEFT(Matrix!$AZ$66,8),  LEFT('6.Inland wetlands'!$I82,8)=LEFT(Matrix!$AZ$67,8), LEFT('6.Inland wetlands'!$I82,8)=LEFT(Matrix!$AZ$68,8), LEFT('6.Inland wetlands'!$I82,8)=LEFT(Matrix!$AZ$69,8), LEFT('6.Inland wetlands'!$I82,8)=LEFT(Matrix!$AZ$70,8), LEFT('6.Inland wetlands'!$I82,8)=LEFT(Matrix!$AZ$71,8), LEFT('6.Inland wetlands'!$I82,8)=LEFT(Matrix!$AZ$72,8), LEFT('6.Inland wetlands'!$I82,8)=LEFT(Matrix!$AZ$73,8), LEFT('6.Inland wetlands'!$I82,8)=LEFT(Matrix!$AZ$74,8), LEFT('6.Inland wetlands'!$I82,8)=LEFT(Matrix!$AZ$75,8), LEFT('6.Inland wetlands'!$I82,8)=LEFT(Matrix!$AZ$76,8))), IF(LEFT('6.Inland wetlands'!$K82,8)=LEFT(Matrix!BG$66,8), '6.Inland wetlands'!$P82, 0),0)</f>
        <v/>
      </c>
      <c r="BH69" s="1354">
        <f>IF((OR(LEFT('6.Inland wetlands'!$I82,8)=LEFT(Matrix!$BC$69,8), LEFT('6.Inland wetlands'!$I82,8)=LEFT(Matrix!$AZ$62,8), LEFT('6.Inland wetlands'!$I82,8)=LEFT(Matrix!$AZ$63,8), LEFT('6.Inland wetlands'!$I82,8)=LEFT(Matrix!$AZ$64,8), LEFT('6.Inland wetlands'!$I82,8)=LEFT(Matrix!$AZ$65,8), LEFT('6.Inland wetlands'!$I82,8)=LEFT(Matrix!$AZ$66,8),  LEFT('6.Inland wetlands'!$I82,8)=LEFT(Matrix!$AZ$67,8), LEFT('6.Inland wetlands'!$I82,8)=LEFT(Matrix!$AZ$68,8), LEFT('6.Inland wetlands'!$I82,8)=LEFT(Matrix!$AZ$69,8), LEFT('6.Inland wetlands'!$I82,8)=LEFT(Matrix!$AZ$70,8), LEFT('6.Inland wetlands'!$I82,8)=LEFT(Matrix!$AZ$71,8), LEFT('6.Inland wetlands'!$I82,8)=LEFT(Matrix!$AZ$72,8), LEFT('6.Inland wetlands'!$I82,8)=LEFT(Matrix!$AZ$73,8), LEFT('6.Inland wetlands'!$I82,8)=LEFT(Matrix!$AZ$74,8), LEFT('6.Inland wetlands'!$I82,8)=LEFT(Matrix!$AZ$75,8), LEFT('6.Inland wetlands'!$I82,8)=LEFT(Matrix!$AZ$76,8))), IF(LEFT('6.Inland wetlands'!$K82,8)=LEFT(Matrix!BH$66,8), '6.Inland wetlands'!$P82, 0),0)</f>
        <v/>
      </c>
      <c r="BI69" s="1354">
        <f>IF((OR(LEFT('6.Inland wetlands'!$I82,8)=LEFT(Matrix!$BC$69,8), LEFT('6.Inland wetlands'!$I82,8)=LEFT(Matrix!$AZ$62,8), LEFT('6.Inland wetlands'!$I82,8)=LEFT(Matrix!$AZ$63,8), LEFT('6.Inland wetlands'!$I82,8)=LEFT(Matrix!$AZ$64,8), LEFT('6.Inland wetlands'!$I82,8)=LEFT(Matrix!$AZ$65,8), LEFT('6.Inland wetlands'!$I82,8)=LEFT(Matrix!$AZ$66,8),  LEFT('6.Inland wetlands'!$I82,8)=LEFT(Matrix!$AZ$67,8), LEFT('6.Inland wetlands'!$I82,8)=LEFT(Matrix!$AZ$68,8), LEFT('6.Inland wetlands'!$I82,8)=LEFT(Matrix!$AZ$69,8), LEFT('6.Inland wetlands'!$I82,8)=LEFT(Matrix!$AZ$70,8), LEFT('6.Inland wetlands'!$I82,8)=LEFT(Matrix!$AZ$71,8), LEFT('6.Inland wetlands'!$I82,8)=LEFT(Matrix!$AZ$72,8), LEFT('6.Inland wetlands'!$I82,8)=LEFT(Matrix!$AZ$73,8), LEFT('6.Inland wetlands'!$I82,8)=LEFT(Matrix!$AZ$74,8), LEFT('6.Inland wetlands'!$I82,8)=LEFT(Matrix!$AZ$75,8), LEFT('6.Inland wetlands'!$I82,8)=LEFT(Matrix!$AZ$76,8))), IF(LEFT('6.Inland wetlands'!$K82,8)=LEFT(Matrix!BI$66,8), '6.Inland wetlands'!$P82, 0),0)</f>
        <v/>
      </c>
      <c r="BJ69" s="973" t="n"/>
      <c r="BM69" s="973" t="n"/>
      <c r="BN69" s="1354" t="inlineStr">
        <is>
          <t>Flooded rice</t>
        </is>
      </c>
      <c r="BO69" s="1354">
        <f>IF(LEFT('6.Inland wetlands'!$I82,8)=LEFT($BN$26,8),IF(LEFT('6.Inland wetlands'!$K82,8)=LEFT(BO$23,8),'6.Inland wetlands'!$P82,0),0)</f>
        <v/>
      </c>
      <c r="BP69" s="1354">
        <f>IF(LEFT('6.Inland wetlands'!$I82,8)=LEFT($BN$26,8),IF(LEFT('6.Inland wetlands'!$K82,8)=LEFT(BP$23,8),'6.Inland wetlands'!$P82,0),0)</f>
        <v/>
      </c>
      <c r="BQ69" s="1354">
        <f>IF(LEFT('6.Inland wetlands'!$I82,8)=LEFT($BN$26,8),IF(LEFT('6.Inland wetlands'!$K82,8)=LEFT(BQ$23,8),'6.Inland wetlands'!$P82,0),0)</f>
        <v/>
      </c>
      <c r="BR69" s="1354">
        <f>IF(LEFT('6.Inland wetlands'!$I82,8)=LEFT($BN$69,8),IF((OR(LEFT('6.Inland wetlands'!$K82,8)=LEFT(BR$66,8),LEFT('6.Inland wetlands'!$K82,8)=LEFT($AZ$3,8), LEFT('6.Inland wetlands'!$K82,8)=LEFT($AZ$5,8),LEFT('6.Inland wetlands'!$K82,8)=LEFT($AZ$6,8),LEFT('6.Inland wetlands'!$K82,8)=LEFT($AZ$7,8),LEFT('6.Inland wetlands'!$K82,8)=LEFT($AZ$8,8), LEFT('6.Inland wetlands'!$K82,8)=LEFT($AZ$9,8),  LEFT('6.Inland wetlands'!$K82,8)=LEFT($AZ$10,8), LEFT('6.Inland wetlands'!$K82,8)=LEFT($AZ$11,8),   LEFT('6.Inland wetlands'!$K82,8)=LEFT($AZ$12,8), LEFT('6.Inland wetlands'!$K82,8)=LEFT($AZ$13,8), LEFT('6.Inland wetlands'!$K82,8)=LEFT($AZ$14,8), LEFT('6.Inland wetlands'!$K82,8)=LEFT($AZ$15,8), LEFT('6.Inland wetlands'!$K82,8)=LEFT($AZ$16,8), LEFT('6.Inland wetlands'!$K82,8)=LEFT($AZ$17,8))),'6.Inland wetlands'!$P82,0),0)</f>
        <v/>
      </c>
      <c r="BS69" s="1354">
        <f>IF(LEFT('6.Inland wetlands'!$I82,8)=LEFT($BN$26,8),IF(LEFT('6.Inland wetlands'!$K82,8)=LEFT(BS$23,8),'6.Inland wetlands'!$P82,0),0)</f>
        <v/>
      </c>
      <c r="BT69" s="1354">
        <f>IF(LEFT('6.Inland wetlands'!$I82,8)=LEFT($BN$26,8),IF(LEFT('6.Inland wetlands'!$K82,8)=LEFT(BT$23,8),'6.Inland wetlands'!$P82,0),0)</f>
        <v/>
      </c>
      <c r="BU69" s="973" t="n"/>
      <c r="BX69" s="973" t="n"/>
      <c r="BY69" s="1355" t="inlineStr">
        <is>
          <t>Annual fallow</t>
        </is>
      </c>
      <c r="BZ69" s="1354">
        <f>IF(LEFT('6.Inland wetlands'!$I82,8)=LEFT($BY$26,8),IF(LEFT('6.Inland wetlands'!$K82,8)=LEFT(BZ$23,8),'6.Inland wetlands'!$P82,0),0)</f>
        <v/>
      </c>
      <c r="CA69" s="1354">
        <f>IF(LEFT('6.Inland wetlands'!$I82,8)=LEFT($BY$26,8),IF(LEFT('6.Inland wetlands'!$K82,8)=LEFT(CA$23,8),'6.Inland wetlands'!$P82,0),0)</f>
        <v/>
      </c>
      <c r="CB69" s="1354">
        <f>IF(LEFT('6.Inland wetlands'!$I82,8)=LEFT($BY$26,8),IF(LEFT('6.Inland wetlands'!$K82,8)=LEFT(CB$23,8),'6.Inland wetlands'!$P82,0),0)</f>
        <v/>
      </c>
      <c r="CC69" s="1354">
        <f>IF(LEFT('6.Inland wetlands'!$I82,8)=LEFT($BY$26,8),IF((OR(LEFT('6.Inland wetlands'!$K82,8)=LEFT(CC$23,8),LEFT('6.Inland wetlands'!$K82,8)=LEFT($AZ$3,8),LEFT('6.Inland wetlands'!$K82,8)=LEFT($AZ$4,8),LEFT('6.Inland wetlands'!$K82,8)=LEFT($AZ$5,8),LEFT('6.Inland wetlands'!$K82,8)=LEFT($AZ$6,8),LEFT('6.Inland wetlands'!$K82,8)=LEFT($AZ$7,8),LEFT('6.Inland wetlands'!$K82,8)=LEFT($AZ$8,8), LEFT('6.Inland wetlands'!$K82,8)=LEFT($AZ$9,8),  LEFT('6.Inland wetlands'!$K82,8)=LEFT($AZ$10,8), LEFT('6.Inland wetlands'!$K82,8)=LEFT($AZ$11,8),   LEFT('6.Inland wetlands'!$K82,8)=LEFT($AZ$12,8), LEFT('6.Inland wetlands'!$K82,8)=LEFT($AZ$13,8), LEFT('6.Inland wetlands'!$K82,8)=LEFT($AZ$14,8), LEFT('6.Inland wetlands'!$K82,8)=LEFT($AZ$15,8), LEFT('6.Inland wetlands'!$K82,8)=LEFT($AZ$16,8), LEFT('6.Inland wetlands'!$K82,8)=LEFT($AZ$17,8))),'6.Inland wetlands'!$P82,0),0)</f>
        <v/>
      </c>
      <c r="CD69" s="1354">
        <f>IF(LEFT('6.Inland wetlands'!$I82,8)=LEFT($BY$26,8),IF(LEFT('6.Inland wetlands'!$K82,8)=LEFT(CD$23,8),'6.Inland wetlands'!$P82,0),0)</f>
        <v/>
      </c>
      <c r="CE69" s="1354">
        <f>IF(LEFT('6.Inland wetlands'!$I82,8)=LEFT($BY$26,8),IF(LEFT('6.Inland wetlands'!$K82,8)=LEFT(CE$23,8),'6.Inland wetlands'!$P82,0),0)</f>
        <v/>
      </c>
      <c r="CF69" s="973" t="n"/>
      <c r="CI69" s="973" t="n"/>
      <c r="CJ69" s="1355" t="inlineStr">
        <is>
          <t>Grassland</t>
        </is>
      </c>
      <c r="CK69" s="1355">
        <f>IF(LEFT('6.Inland wetlands'!$I82,8)=LEFT($CJ$8,8),IF(LEFT('6.Inland wetlands'!$K82,8)=LEFT(CK$5,8),'6.Inland wetlands'!$P82,0),0)</f>
        <v/>
      </c>
      <c r="CL69" s="1355">
        <f>IF(LEFT('6.Inland wetlands'!$I82,8)=LEFT($CJ$8,8),IF(LEFT('6.Inland wetlands'!$K82,8)=LEFT(CL$5,8),'6.Inland wetlands'!$P82,0),0)</f>
        <v/>
      </c>
      <c r="CM69" s="1355">
        <f>IF(LEFT('6.Inland wetlands'!$I82,8)=LEFT($CJ$8,8),IF(LEFT('6.Inland wetlands'!$K82,8)=LEFT(CM$5,8),'6.Inland wetlands'!$P82,0),0)</f>
        <v/>
      </c>
      <c r="CN69" s="1354">
        <f>IF(LEFT('6.Inland wetlands'!$I82,8)=LEFT($CJ$8,8),IF((OR(LEFT('6.Inland wetlands'!$K82,8)=LEFT(CN$5,8),LEFT('6.Inland wetlands'!$K82,8)=LEFT(AZ$3,8),LEFT('6.Inland wetlands'!$K82,8)=LEFT(AZ$4,8),LEFT('6.Inland wetlands'!$K82,8)=LEFT($AZ$5,8),LEFT('6.Inland wetlands'!$K82,8)=LEFT($AZ$6,8),LEFT('6.Inland wetlands'!$K82,8)=LEFT($AZ$7,8),LEFT('6.Inland wetlands'!$K82,8)=LEFT($AZ$8,8), LEFT('6.Inland wetlands'!$K82,8)=LEFT($AZ$9,8),  LEFT('6.Inland wetlands'!$K82,8)=LEFT($AZ$10,8), LEFT('6.Inland wetlands'!$K82,8)=LEFT($AZ$11,8),   LEFT('6.Inland wetlands'!$K82,8)=LEFT($AZ$12,8), LEFT('6.Inland wetlands'!$K82,8)=LEFT($AZ$13,8), LEFT('6.Inland wetlands'!$K82,8)=LEFT($AZ$14,8), LEFT('6.Inland wetlands'!$K82,8)=LEFT($AZ$15,8), LEFT('6.Inland wetlands'!$K82,8)=LEFT($AZ$16,8), LEFT('6.Inland wetlands'!$K82,8)=LEFT($AZ$17,8))),'6.Inland wetlands'!$P82,0),0)</f>
        <v/>
      </c>
      <c r="CO69" s="1355">
        <f>IF(LEFT('6.Inland wetlands'!$I82,8)=LEFT($CJ$8,8),IF(LEFT('6.Inland wetlands'!$K82,8)=LEFT(CO$5,8),'6.Inland wetlands'!$P82,0),0)</f>
        <v/>
      </c>
      <c r="CP69" s="1354">
        <f>IF(LEFT('6.Inland wetlands'!$I82,8)=LEFT($CJ$8,8),IF(LEFT('6.Inland wetlands'!$K82,8)=LEFT(CP$5,8),'6.Inland wetlands'!$P82,0),0)</f>
        <v/>
      </c>
      <c r="CQ69" s="973" t="n"/>
      <c r="CT69" s="973" t="n"/>
      <c r="CU69" s="1355" t="inlineStr">
        <is>
          <t>Degraded land</t>
        </is>
      </c>
      <c r="CV69" s="1355">
        <f>IF(LEFT('6.Inland wetlands'!$I82,8)=LEFT($CU$53,8),IF(LEFT('6.Inland wetlands'!$K82,8)=LEFT(CV$50,8),'6.Inland wetlands'!$P82,0),0)</f>
        <v/>
      </c>
      <c r="CW69" s="1355">
        <f>IF(LEFT('6.Inland wetlands'!$I82,8)=LEFT($CU$53,8),IF(LEFT('6.Inland wetlands'!$K82,8)=LEFT(CW$50,8),'6.Inland wetlands'!$P82,0),0)</f>
        <v/>
      </c>
      <c r="CX69" s="1355">
        <f>IF(LEFT('6.Inland wetlands'!$I82,8)=LEFT($CU$53,8),IF(LEFT('6.Inland wetlands'!$K82,8)=LEFT(CX$50,8),'6.Inland wetlands'!$P82,0),0)</f>
        <v/>
      </c>
      <c r="CY69" s="1354">
        <f>IF(LEFT('6.Inland wetlands'!$I82,8)=LEFT($CU$53,8),IF((OR(LEFT('6.Inland wetlands'!$K82,8)=LEFT($CY$50,8),LEFT('6.Inland wetlands'!$K82,8)=LEFT($AZ$3,8),LEFT('6.Inland wetlands'!$K82,8)=LEFT($AZ$4,8),LEFT('6.Inland wetlands'!$K82,8)=LEFT($AZ$5,8),LEFT('6.Inland wetlands'!$K82,8)=LEFT($AZ$6,8),LEFT('6.Inland wetlands'!$K82,8)=LEFT($AZ$7,8),LEFT('6.Inland wetlands'!$K82,8)=LEFT($AZ$8,8), LEFT('6.Inland wetlands'!$K82,8)=LEFT($AZ$9,8),  LEFT('6.Inland wetlands'!$K82,8)=LEFT($AZ$10,8), LEFT('6.Inland wetlands'!$K82,8)=LEFT($AZ$11,8),   LEFT('6.Inland wetlands'!$K82,8)=LEFT($AZ$12,8), LEFT('6.Inland wetlands'!$K82,8)=LEFT($AZ$13,8), LEFT('6.Inland wetlands'!$K82,8)=LEFT($AZ$14,8), LEFT('6.Inland wetlands'!$K82,8)=LEFT($AZ$15,8), LEFT('6.Inland wetlands'!$K82,8)=LEFT($AZ$16,8), LEFT('6.Inland wetlands'!$K82,8)=LEFT($AZ$17,8))),'6.Inland wetlands'!$P82,0),0)</f>
        <v/>
      </c>
      <c r="CZ69" s="1104">
        <f>IF(LEFT('6.Inland wetlands'!$I82,8)=LEFT($CU$53,8),IF(LEFT('6.Inland wetlands'!$K82,8)=LEFT(CZ$50,8),'6.Inland wetlands'!$P82,0),0)</f>
        <v/>
      </c>
      <c r="DA69" s="1354">
        <f>IF(LEFT('6.Inland wetlands'!$I82,8)=LEFT($CU$53,8),IF(LEFT('6.Inland wetlands'!$K82,8)=LEFT(DA$50,8),'6.Inland wetlands'!$P82,0),0)</f>
        <v/>
      </c>
      <c r="DB69" s="973" t="n"/>
      <c r="DE69" s="973" t="n"/>
      <c r="DF69" s="1355" t="inlineStr">
        <is>
          <t>Other land (non-vegetated)</t>
        </is>
      </c>
      <c r="DG69" s="1355">
        <f>IF(LEFT('6.Inland wetlands'!$I82,8)=LEFT($DF$53,8),IF(LEFT('6.Inland wetlands'!$K82,8)=LEFT(DG$50,8),'6.Inland wetlands'!$P82,0),0)</f>
        <v/>
      </c>
      <c r="DH69" s="1355">
        <f>IF(LEFT('6.Inland wetlands'!$I82,8)=LEFT($DF$53,8),IF(LEFT('6.Inland wetlands'!$K82,8)=LEFT(DH$50,8),'6.Inland wetlands'!$P82,0),0)</f>
        <v/>
      </c>
      <c r="DI69" s="1355">
        <f>IF(LEFT('6.Inland wetlands'!$I82,8)=LEFT($DF$53,8),IF(LEFT('6.Inland wetlands'!$K82,8)=LEFT(DI$50,8),'6.Inland wetlands'!$P82,0),0)</f>
        <v/>
      </c>
      <c r="DJ69" s="1354">
        <f>IF(LEFT('6.Inland wetlands'!$I82,8)=LEFT($DF$53,8),IF((OR(LEFT('6.Inland wetlands'!$K82,8)=LEFT($DJ52,8),LEFT('6.Inland wetlands'!$K82,8)=LEFT($AZ$3,8),LEFT('6.Inland wetlands'!$K82,8)=LEFT($AZ$4,8),LEFT('6.Inland wetlands'!$K82,8)=LEFT($AZ$5,8),LEFT('6.Inland wetlands'!$K82,8)=LEFT($AZ$6,8),LEFT('6.Inland wetlands'!$K82,8)=LEFT($AZ$7,8),LEFT('6.Inland wetlands'!$K82,8)=LEFT($AZ$8,8), LEFT('6.Inland wetlands'!$K82,8)=LEFT($AZ$9,8),  LEFT('6.Inland wetlands'!$K82,8)=LEFT($AZ$10,8), LEFT('6.Inland wetlands'!$K82,8)=LEFT($AZ$11,8),   LEFT('6.Inland wetlands'!$K82,8)=LEFT($AZ$12,8), LEFT('6.Inland wetlands'!$K82,8)=LEFT($AZ$13,8), LEFT('6.Inland wetlands'!$K82,8)=LEFT($AZ$14,8), LEFT('6.Inland wetlands'!$K82,8)=LEFT($AZ$15,8), LEFT('6.Inland wetlands'!$K82,8)=LEFT($AZ$16,8), LEFT('6.Inland wetlands'!$K82,8)=LEFT($AZ$17,8))),'6.Inland wetlands'!$P82,0),0)</f>
        <v/>
      </c>
      <c r="DK69" s="1355">
        <f>IF(LEFT('6.Inland wetlands'!$I82,8)=LEFT($DF$53,8),IF(LEFT('6.Inland wetlands'!$K82,8)=LEFT(DK$50,8),'6.Inland wetlands'!$P82,0),0)</f>
        <v/>
      </c>
      <c r="DL69" s="1354">
        <f>IF(LEFT('6.Inland wetlands'!$I82,8)=LEFT($DF$53,8),IF(LEFT('6.Inland wetlands'!$K82,8)=LEFT(DL$50,8),'6.Inland wetlands'!$P82,0),0)</f>
        <v/>
      </c>
    </row>
    <row r="70">
      <c r="D70" s="973" t="n"/>
      <c r="F70" s="1368" t="n"/>
      <c r="G70" s="1352" t="inlineStr">
        <is>
          <t>Grassland</t>
        </is>
      </c>
      <c r="H70" s="1386" t="inlineStr">
        <is>
          <t>Grassland</t>
        </is>
      </c>
      <c r="I70" s="3144">
        <f>AL73</f>
        <v/>
      </c>
      <c r="J70" s="3145">
        <f>CK73</f>
        <v/>
      </c>
      <c r="K70" s="3145">
        <f>CN73</f>
        <v/>
      </c>
      <c r="L70" s="3145">
        <f>CL73</f>
        <v/>
      </c>
      <c r="M70" s="2851">
        <f>SUMIF('Inl. wetlands'!$C413:$C418,$M$65,'Inl. wetlands'!$J413:$J418)+MAX(SUM(I70:L70,N70:O70), SUM(I54:L54,N54:O54))-SUM(I70:L70,N70:O70)+Coastal!$AB$15+Coastal!$AB$74</f>
        <v/>
      </c>
      <c r="N70" s="3145">
        <f>CM73</f>
        <v/>
      </c>
      <c r="O70" s="3145">
        <f>CP73+CO73</f>
        <v/>
      </c>
      <c r="P70" s="3143">
        <f>SUM(I70:O70)</f>
        <v/>
      </c>
      <c r="R70" s="973" t="n"/>
      <c r="S70" s="1168" t="n"/>
      <c r="T70" s="1414" t="n"/>
      <c r="U70" s="1420">
        <f>IF('6.Inland wetlands'!$I16 =U$66, 1,0)* '6.Inland wetlands'!$T16</f>
        <v/>
      </c>
      <c r="V70" s="1421">
        <f>IF('6.Inland wetlands'!$I16 =V$66, 1,0)* '6.Inland wetlands'!$T16</f>
        <v/>
      </c>
      <c r="W70" s="1421">
        <f>IF('6.Inland wetlands'!$I16 =W$66, 1,0)* '6.Inland wetlands'!$T16</f>
        <v/>
      </c>
      <c r="X70" s="1421">
        <f>IF('6.Inland wetlands'!$I16 =X$66, 1,0)* '6.Inland wetlands'!$T16</f>
        <v/>
      </c>
      <c r="Y70" s="1421">
        <f>IF('6.Inland wetlands'!$I16 =Y$66, 1,0)* '6.Inland wetlands'!$T16</f>
        <v/>
      </c>
      <c r="Z70" s="1421">
        <f>IF('6.Inland wetlands'!$I16 =Z$66, 1,0)* '6.Inland wetlands'!$T16</f>
        <v/>
      </c>
      <c r="AA70" s="1422">
        <f>IF('6.Inland wetlands'!$I16 =AA$66, 1,0)* '6.Inland wetlands'!$T16</f>
        <v/>
      </c>
      <c r="AB70" s="973" t="n"/>
      <c r="AE70" s="1418" t="n"/>
      <c r="AF70" s="1414" t="n"/>
      <c r="AG70" s="1420">
        <f>IF(AG$66 = '6.Inland wetlands'!$I49, '6.Inland wetlands'!$P49, 0)</f>
        <v/>
      </c>
      <c r="AH70" s="1421">
        <f>IF(AH$66 = '6.Inland wetlands'!$I49, '6.Inland wetlands'!$P49, 0)</f>
        <v/>
      </c>
      <c r="AI70" s="1421">
        <f>IF(AI$66 = '6.Inland wetlands'!$I49, '6.Inland wetlands'!$P49, 0)</f>
        <v/>
      </c>
      <c r="AJ70" s="1421">
        <f>IF(AJ$66 = '6.Inland wetlands'!$I49, '6.Inland wetlands'!$P49, 0)</f>
        <v/>
      </c>
      <c r="AK70" s="1421">
        <f>IF(AK$66 = '6.Inland wetlands'!$I49, '6.Inland wetlands'!$P49, 0)</f>
        <v/>
      </c>
      <c r="AL70" s="1421">
        <f>IF(AL$66 = '6.Inland wetlands'!$I49, '6.Inland wetlands'!$P49, 0)</f>
        <v/>
      </c>
      <c r="AM70" s="1422">
        <f>IF(AM$66 = '6.Inland wetlands'!$I49, '6.Inland wetlands'!$P49, 0)</f>
        <v/>
      </c>
      <c r="AN70" s="973" t="n"/>
      <c r="AQ70" s="973" t="n"/>
      <c r="AR70" s="1354" t="inlineStr">
        <is>
          <t>converted to…</t>
        </is>
      </c>
      <c r="AS70" s="1354">
        <f>IF(LEFT('6.Inland wetlands'!$I83,8)=LEFT($AR$69,8),IF(LEFT('6.Inland wetlands'!$K83,8)=LEFT(AS$66,8), '6.Inland wetlands'!$P83,0),0)</f>
        <v/>
      </c>
      <c r="AT70" s="1354">
        <f>IF(LEFT('6.Inland wetlands'!$I83,8)=LEFT($AR$69,8),IF(LEFT('6.Inland wetlands'!$K83,8)=LEFT(AT$66,8), '6.Inland wetlands'!$P83,0),0)</f>
        <v/>
      </c>
      <c r="AU70" s="1354">
        <f>IF(LEFT('6.Inland wetlands'!$I83,8)=LEFT($AR$69,8),IF(LEFT('6.Inland wetlands'!$K83,8)=LEFT(AU$66,8), '6.Inland wetlands'!$P83,0),0)</f>
        <v/>
      </c>
      <c r="AV70" s="1354">
        <f>IF(LEFT('6.Inland wetlands'!$I83,8)=LEFT($AR$69,8),IF(LEFT('6.Inland wetlands'!$K83,8)=LEFT(AV$66,8), '6.Inland wetlands'!$P83,0),0)</f>
        <v/>
      </c>
      <c r="AW70" s="1354">
        <f>IF(LEFT('6.Inland wetlands'!$I83,8)=LEFT($AR$69,8),IF(LEFT('6.Inland wetlands'!$K83,8)=LEFT(AW$66,8), '6.Inland wetlands'!$P83,0),0)</f>
        <v/>
      </c>
      <c r="AX70" s="1354">
        <f>IF(LEFT('6.Inland wetlands'!$I83,8)=LEFT($AR$69,8),IF((OR(LEFT('6.Inland wetlands'!$K83,8)=LEFT(AX$66,8),LEFT('6.Inland wetlands'!$K83,8)=LEFT($AZ$3,8),LEFT('6.Inland wetlands'!$K83,8)=LEFT($AZ$4,8),LEFT('6.Inland wetlands'!$K83,8)=LEFT($AZ$5,8),LEFT('6.Inland wetlands'!$K83,8)=LEFT($AZ$6,8),LEFT('6.Inland wetlands'!$K83,8)=LEFT($AZ$7,8),LEFT('6.Inland wetlands'!$K83,8)=LEFT($AZ$8,8), LEFT('6.Inland wetlands'!$K83,8)=LEFT($AZ$9,8),  LEFT('6.Inland wetlands'!$K83,8)=LEFT($AZ$10,8), LEFT('6.Inland wetlands'!$K83,8)=LEFT($AZ$11,8),   LEFT('6.Inland wetlands'!$K83,8)=LEFT($AZ$12,8), LEFT('6.Inland wetlands'!$K83,8)=LEFT($AZ$13,8), LEFT('6.Inland wetlands'!$K83,8)=LEFT($AZ$14,8), LEFT('6.Inland wetlands'!$K83,8)=LEFT($AZ$15,8), LEFT('6.Inland wetlands'!$K83,8)=LEFT($AZ$16,8), LEFT('6.Inland wetlands'!$K83,8)=LEFT($AZ$17,8))),'6.Inland wetlands'!$P83,0),0)</f>
        <v/>
      </c>
      <c r="AZ70" s="1345" t="inlineStr">
        <is>
          <t>Rubber</t>
        </is>
      </c>
      <c r="BB70" s="973" t="n"/>
      <c r="BC70" s="1354" t="inlineStr">
        <is>
          <t>converted to…</t>
        </is>
      </c>
      <c r="BD70" s="1354">
        <f>IF((OR(LEFT('6.Inland wetlands'!$I83,8)=LEFT(Matrix!$BC$69,8), LEFT('6.Inland wetlands'!$I83,8)=LEFT(Matrix!$AZ$62,8), LEFT('6.Inland wetlands'!$I83,8)=LEFT(Matrix!$AZ$63,8), LEFT('6.Inland wetlands'!$I83,8)=LEFT(Matrix!$AZ$64,8), LEFT('6.Inland wetlands'!$I83,8)=LEFT(Matrix!$AZ$65,8), LEFT('6.Inland wetlands'!$I83,8)=LEFT(Matrix!$AZ$66,8),  LEFT('6.Inland wetlands'!$I83,8)=LEFT(Matrix!$AZ$67,8), LEFT('6.Inland wetlands'!$I83,8)=LEFT(Matrix!$AZ$68,8), LEFT('6.Inland wetlands'!$I83,8)=LEFT(Matrix!$AZ$69,8), LEFT('6.Inland wetlands'!$I83,8)=LEFT(Matrix!$AZ$70,8), LEFT('6.Inland wetlands'!$I83,8)=LEFT(Matrix!$AZ$71,8), LEFT('6.Inland wetlands'!$I83,8)=LEFT(Matrix!$AZ$72,8), LEFT('6.Inland wetlands'!$I83,8)=LEFT(Matrix!$AZ$73,8), LEFT('6.Inland wetlands'!$I83,8)=LEFT(Matrix!$AZ$74,8), LEFT('6.Inland wetlands'!$I83,8)=LEFT(Matrix!$AZ$75,8), LEFT('6.Inland wetlands'!$I83,8)=LEFT(Matrix!$AZ$76,8))), IF(LEFT('6.Inland wetlands'!$K83,8)=LEFT(Matrix!BD$66,8), '6.Inland wetlands'!$P83, 0),0)</f>
        <v/>
      </c>
      <c r="BE70" s="1354">
        <f>IF((OR(LEFT('6.Inland wetlands'!$I83,8)=LEFT(Matrix!$BC$69,8), LEFT('6.Inland wetlands'!$I83,8)=LEFT(Matrix!$AZ$62,8), LEFT('6.Inland wetlands'!$I83,8)=LEFT(Matrix!$AZ$63,8), LEFT('6.Inland wetlands'!$I83,8)=LEFT(Matrix!$AZ$64,8), LEFT('6.Inland wetlands'!$I83,8)=LEFT(Matrix!$AZ$65,8), LEFT('6.Inland wetlands'!$I83,8)=LEFT(Matrix!$AZ$66,8),  LEFT('6.Inland wetlands'!$I83,8)=LEFT(Matrix!$AZ$67,8), LEFT('6.Inland wetlands'!$I83,8)=LEFT(Matrix!$AZ$68,8), LEFT('6.Inland wetlands'!$I83,8)=LEFT(Matrix!$AZ$69,8), LEFT('6.Inland wetlands'!$I83,8)=LEFT(Matrix!$AZ$70,8), LEFT('6.Inland wetlands'!$I83,8)=LEFT(Matrix!$AZ$71,8), LEFT('6.Inland wetlands'!$I83,8)=LEFT(Matrix!$AZ$72,8), LEFT('6.Inland wetlands'!$I83,8)=LEFT(Matrix!$AZ$73,8), LEFT('6.Inland wetlands'!$I83,8)=LEFT(Matrix!$AZ$74,8), LEFT('6.Inland wetlands'!$I83,8)=LEFT(Matrix!$AZ$75,8), LEFT('6.Inland wetlands'!$I83,8)=LEFT(Matrix!$AZ$76,8))), IF(LEFT('6.Inland wetlands'!$K83,8)=LEFT(Matrix!BE$66,8), '6.Inland wetlands'!$P83, 0),0)</f>
        <v/>
      </c>
      <c r="BF70" s="1354">
        <f>IF((OR(LEFT('6.Inland wetlands'!$I83,8)=LEFT(Matrix!$BC$69,8), LEFT('6.Inland wetlands'!$I83,8)=LEFT(Matrix!$AZ$62,8), LEFT('6.Inland wetlands'!$I83,8)=LEFT(Matrix!$AZ$63,8), LEFT('6.Inland wetlands'!$I83,8)=LEFT(Matrix!$AZ$64,8), LEFT('6.Inland wetlands'!$I83,8)=LEFT(Matrix!$AZ$65,8), LEFT('6.Inland wetlands'!$I83,8)=LEFT(Matrix!$AZ$66,8),  LEFT('6.Inland wetlands'!$I83,8)=LEFT(Matrix!$AZ$67,8), LEFT('6.Inland wetlands'!$I83,8)=LEFT(Matrix!$AZ$68,8), LEFT('6.Inland wetlands'!$I83,8)=LEFT(Matrix!$AZ$69,8), LEFT('6.Inland wetlands'!$I83,8)=LEFT(Matrix!$AZ$70,8), LEFT('6.Inland wetlands'!$I83,8)=LEFT(Matrix!$AZ$71,8), LEFT('6.Inland wetlands'!$I83,8)=LEFT(Matrix!$AZ$72,8), LEFT('6.Inland wetlands'!$I83,8)=LEFT(Matrix!$AZ$73,8), LEFT('6.Inland wetlands'!$I83,8)=LEFT(Matrix!$AZ$74,8), LEFT('6.Inland wetlands'!$I83,8)=LEFT(Matrix!$AZ$75,8), LEFT('6.Inland wetlands'!$I83,8)=LEFT(Matrix!$AZ$76,8))), IF(LEFT('6.Inland wetlands'!$K83,8)=LEFT(Matrix!BF$66,8), '6.Inland wetlands'!$P83, 0),0)</f>
        <v/>
      </c>
      <c r="BG70" s="1354">
        <f>IF((OR(LEFT('6.Inland wetlands'!$I83,8)=LEFT(Matrix!$BC$69,8), LEFT('6.Inland wetlands'!$I83,8)=LEFT(Matrix!$AZ$62,8), LEFT('6.Inland wetlands'!$I83,8)=LEFT(Matrix!$AZ$63,8), LEFT('6.Inland wetlands'!$I83,8)=LEFT(Matrix!$AZ$64,8), LEFT('6.Inland wetlands'!$I83,8)=LEFT(Matrix!$AZ$65,8), LEFT('6.Inland wetlands'!$I83,8)=LEFT(Matrix!$AZ$66,8),  LEFT('6.Inland wetlands'!$I83,8)=LEFT(Matrix!$AZ$67,8), LEFT('6.Inland wetlands'!$I83,8)=LEFT(Matrix!$AZ$68,8), LEFT('6.Inland wetlands'!$I83,8)=LEFT(Matrix!$AZ$69,8), LEFT('6.Inland wetlands'!$I83,8)=LEFT(Matrix!$AZ$70,8), LEFT('6.Inland wetlands'!$I83,8)=LEFT(Matrix!$AZ$71,8), LEFT('6.Inland wetlands'!$I83,8)=LEFT(Matrix!$AZ$72,8), LEFT('6.Inland wetlands'!$I83,8)=LEFT(Matrix!$AZ$73,8), LEFT('6.Inland wetlands'!$I83,8)=LEFT(Matrix!$AZ$74,8), LEFT('6.Inland wetlands'!$I83,8)=LEFT(Matrix!$AZ$75,8), LEFT('6.Inland wetlands'!$I83,8)=LEFT(Matrix!$AZ$76,8))), IF(LEFT('6.Inland wetlands'!$K83,8)=LEFT(Matrix!BG$66,8), '6.Inland wetlands'!$P83, 0),0)</f>
        <v/>
      </c>
      <c r="BH70" s="1354">
        <f>IF((OR(LEFT('6.Inland wetlands'!$I83,8)=LEFT(Matrix!$BC$69,8), LEFT('6.Inland wetlands'!$I83,8)=LEFT(Matrix!$AZ$62,8), LEFT('6.Inland wetlands'!$I83,8)=LEFT(Matrix!$AZ$63,8), LEFT('6.Inland wetlands'!$I83,8)=LEFT(Matrix!$AZ$64,8), LEFT('6.Inland wetlands'!$I83,8)=LEFT(Matrix!$AZ$65,8), LEFT('6.Inland wetlands'!$I83,8)=LEFT(Matrix!$AZ$66,8),  LEFT('6.Inland wetlands'!$I83,8)=LEFT(Matrix!$AZ$67,8), LEFT('6.Inland wetlands'!$I83,8)=LEFT(Matrix!$AZ$68,8), LEFT('6.Inland wetlands'!$I83,8)=LEFT(Matrix!$AZ$69,8), LEFT('6.Inland wetlands'!$I83,8)=LEFT(Matrix!$AZ$70,8), LEFT('6.Inland wetlands'!$I83,8)=LEFT(Matrix!$AZ$71,8), LEFT('6.Inland wetlands'!$I83,8)=LEFT(Matrix!$AZ$72,8), LEFT('6.Inland wetlands'!$I83,8)=LEFT(Matrix!$AZ$73,8), LEFT('6.Inland wetlands'!$I83,8)=LEFT(Matrix!$AZ$74,8), LEFT('6.Inland wetlands'!$I83,8)=LEFT(Matrix!$AZ$75,8), LEFT('6.Inland wetlands'!$I83,8)=LEFT(Matrix!$AZ$76,8))), IF(LEFT('6.Inland wetlands'!$K83,8)=LEFT(Matrix!BH$66,8), '6.Inland wetlands'!$P83, 0),0)</f>
        <v/>
      </c>
      <c r="BI70" s="1354">
        <f>IF((OR(LEFT('6.Inland wetlands'!$I83,8)=LEFT(Matrix!$BC$69,8), LEFT('6.Inland wetlands'!$I83,8)=LEFT(Matrix!$AZ$62,8), LEFT('6.Inland wetlands'!$I83,8)=LEFT(Matrix!$AZ$63,8), LEFT('6.Inland wetlands'!$I83,8)=LEFT(Matrix!$AZ$64,8), LEFT('6.Inland wetlands'!$I83,8)=LEFT(Matrix!$AZ$65,8), LEFT('6.Inland wetlands'!$I83,8)=LEFT(Matrix!$AZ$66,8),  LEFT('6.Inland wetlands'!$I83,8)=LEFT(Matrix!$AZ$67,8), LEFT('6.Inland wetlands'!$I83,8)=LEFT(Matrix!$AZ$68,8), LEFT('6.Inland wetlands'!$I83,8)=LEFT(Matrix!$AZ$69,8), LEFT('6.Inland wetlands'!$I83,8)=LEFT(Matrix!$AZ$70,8), LEFT('6.Inland wetlands'!$I83,8)=LEFT(Matrix!$AZ$71,8), LEFT('6.Inland wetlands'!$I83,8)=LEFT(Matrix!$AZ$72,8), LEFT('6.Inland wetlands'!$I83,8)=LEFT(Matrix!$AZ$73,8), LEFT('6.Inland wetlands'!$I83,8)=LEFT(Matrix!$AZ$74,8), LEFT('6.Inland wetlands'!$I83,8)=LEFT(Matrix!$AZ$75,8), LEFT('6.Inland wetlands'!$I83,8)=LEFT(Matrix!$AZ$76,8))), IF(LEFT('6.Inland wetlands'!$K83,8)=LEFT(Matrix!BI$66,8), '6.Inland wetlands'!$P83, 0),0)</f>
        <v/>
      </c>
      <c r="BJ70" s="973" t="n"/>
      <c r="BM70" s="973" t="n"/>
      <c r="BN70" s="1354" t="inlineStr">
        <is>
          <t>converted to…</t>
        </is>
      </c>
      <c r="BO70" s="1354">
        <f>IF(LEFT('6.Inland wetlands'!$I83,8)=LEFT($BN$26,8),IF(LEFT('6.Inland wetlands'!$K83,8)=LEFT(BO$23,8),'6.Inland wetlands'!$P83,0),0)</f>
        <v/>
      </c>
      <c r="BP70" s="1354">
        <f>IF(LEFT('6.Inland wetlands'!$I83,8)=LEFT($BN$26,8),IF(LEFT('6.Inland wetlands'!$K83,8)=LEFT(BP$23,8),'6.Inland wetlands'!$P83,0),0)</f>
        <v/>
      </c>
      <c r="BQ70" s="1354">
        <f>IF(LEFT('6.Inland wetlands'!$I83,8)=LEFT($BN$26,8),IF(LEFT('6.Inland wetlands'!$K83,8)=LEFT(BQ$23,8),'6.Inland wetlands'!$P83,0),0)</f>
        <v/>
      </c>
      <c r="BR70" s="1354">
        <f>IF(LEFT('6.Inland wetlands'!$I83,8)=LEFT($BN$69,8),IF((OR(LEFT('6.Inland wetlands'!$K83,8)=LEFT(BR$66,8),LEFT('6.Inland wetlands'!$K83,8)=LEFT($AZ$3,8), LEFT('6.Inland wetlands'!$K83,8)=LEFT($AZ$5,8),LEFT('6.Inland wetlands'!$K83,8)=LEFT($AZ$6,8),LEFT('6.Inland wetlands'!$K83,8)=LEFT($AZ$7,8),LEFT('6.Inland wetlands'!$K83,8)=LEFT($AZ$8,8), LEFT('6.Inland wetlands'!$K83,8)=LEFT($AZ$9,8),  LEFT('6.Inland wetlands'!$K83,8)=LEFT($AZ$10,8), LEFT('6.Inland wetlands'!$K83,8)=LEFT($AZ$11,8),   LEFT('6.Inland wetlands'!$K83,8)=LEFT($AZ$12,8), LEFT('6.Inland wetlands'!$K83,8)=LEFT($AZ$13,8), LEFT('6.Inland wetlands'!$K83,8)=LEFT($AZ$14,8), LEFT('6.Inland wetlands'!$K83,8)=LEFT($AZ$15,8), LEFT('6.Inland wetlands'!$K83,8)=LEFT($AZ$16,8), LEFT('6.Inland wetlands'!$K83,8)=LEFT($AZ$17,8))),'6.Inland wetlands'!$P83,0),0)</f>
        <v/>
      </c>
      <c r="BS70" s="1354">
        <f>IF(LEFT('6.Inland wetlands'!$I83,8)=LEFT($BN$26,8),IF(LEFT('6.Inland wetlands'!$K83,8)=LEFT(BS$23,8),'6.Inland wetlands'!$P83,0),0)</f>
        <v/>
      </c>
      <c r="BT70" s="1354">
        <f>IF(LEFT('6.Inland wetlands'!$I83,8)=LEFT($BN$26,8),IF(LEFT('6.Inland wetlands'!$K83,8)=LEFT(BT$23,8),'6.Inland wetlands'!$P83,0),0)</f>
        <v/>
      </c>
      <c r="BU70" s="973" t="n"/>
      <c r="BX70" s="973" t="n"/>
      <c r="BY70" s="1355" t="inlineStr">
        <is>
          <t>converted to…</t>
        </is>
      </c>
      <c r="BZ70" s="1354">
        <f>IF(LEFT('6.Inland wetlands'!$I83,8)=LEFT($BY$26,8),IF(LEFT('6.Inland wetlands'!$K83,8)=LEFT(BZ$23,8),'6.Inland wetlands'!$P83,0),0)</f>
        <v/>
      </c>
      <c r="CA70" s="1354">
        <f>IF(LEFT('6.Inland wetlands'!$I83,8)=LEFT($BY$26,8),IF(LEFT('6.Inland wetlands'!$K83,8)=LEFT(CA$23,8),'6.Inland wetlands'!$P83,0),0)</f>
        <v/>
      </c>
      <c r="CB70" s="1354">
        <f>IF(LEFT('6.Inland wetlands'!$I83,8)=LEFT($BY$26,8),IF(LEFT('6.Inland wetlands'!$K83,8)=LEFT(CB$23,8),'6.Inland wetlands'!$P83,0),0)</f>
        <v/>
      </c>
      <c r="CC70" s="1354">
        <f>IF(LEFT('6.Inland wetlands'!$I83,8)=LEFT($BY$26,8),IF((OR(LEFT('6.Inland wetlands'!$K83,8)=LEFT(CC$23,8),LEFT('6.Inland wetlands'!$K83,8)=LEFT($AZ$3,8),LEFT('6.Inland wetlands'!$K83,8)=LEFT($AZ$4,8),LEFT('6.Inland wetlands'!$K83,8)=LEFT($AZ$5,8),LEFT('6.Inland wetlands'!$K83,8)=LEFT($AZ$6,8),LEFT('6.Inland wetlands'!$K83,8)=LEFT($AZ$7,8),LEFT('6.Inland wetlands'!$K83,8)=LEFT($AZ$8,8), LEFT('6.Inland wetlands'!$K83,8)=LEFT($AZ$9,8),  LEFT('6.Inland wetlands'!$K83,8)=LEFT($AZ$10,8), LEFT('6.Inland wetlands'!$K83,8)=LEFT($AZ$11,8),   LEFT('6.Inland wetlands'!$K83,8)=LEFT($AZ$12,8), LEFT('6.Inland wetlands'!$K83,8)=LEFT($AZ$13,8), LEFT('6.Inland wetlands'!$K83,8)=LEFT($AZ$14,8), LEFT('6.Inland wetlands'!$K83,8)=LEFT($AZ$15,8), LEFT('6.Inland wetlands'!$K83,8)=LEFT($AZ$16,8), LEFT('6.Inland wetlands'!$K83,8)=LEFT($AZ$17,8))),'6.Inland wetlands'!$P83,0),0)</f>
        <v/>
      </c>
      <c r="CD70" s="1354">
        <f>IF(LEFT('6.Inland wetlands'!$I83,8)=LEFT($BY$26,8),IF(LEFT('6.Inland wetlands'!$K83,8)=LEFT(CD$23,8),'6.Inland wetlands'!$P83,0),0)</f>
        <v/>
      </c>
      <c r="CE70" s="1354">
        <f>IF(LEFT('6.Inland wetlands'!$I83,8)=LEFT($BY$26,8),IF(LEFT('6.Inland wetlands'!$K83,8)=LEFT(CE$23,8),'6.Inland wetlands'!$P83,0),0)</f>
        <v/>
      </c>
      <c r="CF70" s="973" t="n"/>
      <c r="CI70" s="973" t="n"/>
      <c r="CJ70" s="1355" t="inlineStr">
        <is>
          <t>converted to…</t>
        </is>
      </c>
      <c r="CK70" s="1355">
        <f>IF(LEFT('6.Inland wetlands'!$I83,8)=LEFT($CJ$8,8),IF(LEFT('6.Inland wetlands'!$K83,8)=LEFT(CK$5,8),'6.Inland wetlands'!$P83,0),0)</f>
        <v/>
      </c>
      <c r="CL70" s="1355">
        <f>IF(LEFT('6.Inland wetlands'!$I83,8)=LEFT($CJ$8,8),IF(LEFT('6.Inland wetlands'!$K83,8)=LEFT(CL$5,8),'6.Inland wetlands'!$P83,0),0)</f>
        <v/>
      </c>
      <c r="CM70" s="1355">
        <f>IF(LEFT('6.Inland wetlands'!$I83,8)=LEFT($CJ$8,8),IF(LEFT('6.Inland wetlands'!$K83,8)=LEFT(CM$5,8),'6.Inland wetlands'!$P83,0),0)</f>
        <v/>
      </c>
      <c r="CN70" s="1354">
        <f>IF(LEFT('6.Inland wetlands'!$I83,8)=LEFT($CJ$8,8),IF((OR(LEFT('6.Inland wetlands'!$K83,8)=LEFT(CN$5,8),LEFT('6.Inland wetlands'!$K83,8)=LEFT(AZ$3,8),LEFT('6.Inland wetlands'!$K83,8)=LEFT(AZ$4,8),LEFT('6.Inland wetlands'!$K83,8)=LEFT($AZ$5,8),LEFT('6.Inland wetlands'!$K83,8)=LEFT($AZ$6,8),LEFT('6.Inland wetlands'!$K83,8)=LEFT($AZ$7,8),LEFT('6.Inland wetlands'!$K83,8)=LEFT($AZ$8,8), LEFT('6.Inland wetlands'!$K83,8)=LEFT($AZ$9,8),  LEFT('6.Inland wetlands'!$K83,8)=LEFT($AZ$10,8), LEFT('6.Inland wetlands'!$K83,8)=LEFT($AZ$11,8),   LEFT('6.Inland wetlands'!$K83,8)=LEFT($AZ$12,8), LEFT('6.Inland wetlands'!$K83,8)=LEFT($AZ$13,8), LEFT('6.Inland wetlands'!$K83,8)=LEFT($AZ$14,8), LEFT('6.Inland wetlands'!$K83,8)=LEFT($AZ$15,8), LEFT('6.Inland wetlands'!$K83,8)=LEFT($AZ$16,8), LEFT('6.Inland wetlands'!$K83,8)=LEFT($AZ$17,8))),'6.Inland wetlands'!$P83,0),0)</f>
        <v/>
      </c>
      <c r="CO70" s="1355">
        <f>IF(LEFT('6.Inland wetlands'!$I83,8)=LEFT($CJ$8,8),IF(LEFT('6.Inland wetlands'!$K83,8)=LEFT(CO$5,8),'6.Inland wetlands'!$P83,0),0)</f>
        <v/>
      </c>
      <c r="CP70" s="1354">
        <f>IF(LEFT('6.Inland wetlands'!$I83,8)=LEFT($CJ$8,8),IF(LEFT('6.Inland wetlands'!$K83,8)=LEFT(CP$5,8),'6.Inland wetlands'!$P83,0),0)</f>
        <v/>
      </c>
      <c r="CQ70" s="973" t="n"/>
      <c r="CT70" s="973" t="n"/>
      <c r="CU70" s="1355" t="inlineStr">
        <is>
          <t>converted to…</t>
        </is>
      </c>
      <c r="CV70" s="1355">
        <f>IF(LEFT('6.Inland wetlands'!$I83,8)=LEFT($CU$53,8),IF(LEFT('6.Inland wetlands'!$K83,8)=LEFT(CV$50,8),'6.Inland wetlands'!$P83,0),0)</f>
        <v/>
      </c>
      <c r="CW70" s="1355">
        <f>IF(LEFT('6.Inland wetlands'!$I83,8)=LEFT($CU$53,8),IF(LEFT('6.Inland wetlands'!$K83,8)=LEFT(CW$50,8),'6.Inland wetlands'!$P83,0),0)</f>
        <v/>
      </c>
      <c r="CX70" s="1355">
        <f>IF(LEFT('6.Inland wetlands'!$I83,8)=LEFT($CU$53,8),IF(LEFT('6.Inland wetlands'!$K83,8)=LEFT(CX$50,8),'6.Inland wetlands'!$P83,0),0)</f>
        <v/>
      </c>
      <c r="CY70" s="1354">
        <f>IF(LEFT('6.Inland wetlands'!$I83,8)=LEFT($CU$53,8),IF((OR(LEFT('6.Inland wetlands'!$K83,8)=LEFT($CY$50,8),LEFT('6.Inland wetlands'!$K83,8)=LEFT($AZ$3,8),LEFT('6.Inland wetlands'!$K83,8)=LEFT($AZ$4,8),LEFT('6.Inland wetlands'!$K83,8)=LEFT($AZ$5,8),LEFT('6.Inland wetlands'!$K83,8)=LEFT($AZ$6,8),LEFT('6.Inland wetlands'!$K83,8)=LEFT($AZ$7,8),LEFT('6.Inland wetlands'!$K83,8)=LEFT($AZ$8,8), LEFT('6.Inland wetlands'!$K83,8)=LEFT($AZ$9,8),  LEFT('6.Inland wetlands'!$K83,8)=LEFT($AZ$10,8), LEFT('6.Inland wetlands'!$K83,8)=LEFT($AZ$11,8),   LEFT('6.Inland wetlands'!$K83,8)=LEFT($AZ$12,8), LEFT('6.Inland wetlands'!$K83,8)=LEFT($AZ$13,8), LEFT('6.Inland wetlands'!$K83,8)=LEFT($AZ$14,8), LEFT('6.Inland wetlands'!$K83,8)=LEFT($AZ$15,8), LEFT('6.Inland wetlands'!$K83,8)=LEFT($AZ$16,8), LEFT('6.Inland wetlands'!$K83,8)=LEFT($AZ$17,8))),'6.Inland wetlands'!$P83,0),0)</f>
        <v/>
      </c>
      <c r="CZ70" s="1104">
        <f>IF(LEFT('6.Inland wetlands'!$I83,8)=LEFT($CU$53,8),IF(LEFT('6.Inland wetlands'!$K83,8)=LEFT(CZ$50,8),'6.Inland wetlands'!$P83,0),0)</f>
        <v/>
      </c>
      <c r="DA70" s="1354">
        <f>IF(LEFT('6.Inland wetlands'!$I83,8)=LEFT($CU$53,8),IF(LEFT('6.Inland wetlands'!$K83,8)=LEFT(DA$50,8),'6.Inland wetlands'!$P83,0),0)</f>
        <v/>
      </c>
      <c r="DB70" s="973" t="n"/>
      <c r="DE70" s="973" t="n"/>
      <c r="DF70" s="1355" t="inlineStr">
        <is>
          <t>converted to…</t>
        </is>
      </c>
      <c r="DG70" s="1355">
        <f>IF(LEFT('6.Inland wetlands'!$I83,8)=LEFT($DF$53,8),IF(LEFT('6.Inland wetlands'!$K83,8)=LEFT(DG$50,8),'6.Inland wetlands'!$P83,0),0)</f>
        <v/>
      </c>
      <c r="DH70" s="1355">
        <f>IF(LEFT('6.Inland wetlands'!$I83,8)=LEFT($DF$53,8),IF(LEFT('6.Inland wetlands'!$K83,8)=LEFT(DH$50,8),'6.Inland wetlands'!$P83,0),0)</f>
        <v/>
      </c>
      <c r="DI70" s="1355">
        <f>IF(LEFT('6.Inland wetlands'!$I83,8)=LEFT($DF$53,8),IF(LEFT('6.Inland wetlands'!$K83,8)=LEFT(DI$50,8),'6.Inland wetlands'!$P83,0),0)</f>
        <v/>
      </c>
      <c r="DJ70" s="1354">
        <f>IF(LEFT('6.Inland wetlands'!$I83,8)=LEFT($DF$53,8),IF((OR(LEFT('6.Inland wetlands'!$K83,8)=LEFT($DJ53,8),LEFT('6.Inland wetlands'!$K83,8)=LEFT($AZ$3,8),LEFT('6.Inland wetlands'!$K83,8)=LEFT($AZ$4,8),LEFT('6.Inland wetlands'!$K83,8)=LEFT($AZ$5,8),LEFT('6.Inland wetlands'!$K83,8)=LEFT($AZ$6,8),LEFT('6.Inland wetlands'!$K83,8)=LEFT($AZ$7,8),LEFT('6.Inland wetlands'!$K83,8)=LEFT($AZ$8,8), LEFT('6.Inland wetlands'!$K83,8)=LEFT($AZ$9,8),  LEFT('6.Inland wetlands'!$K83,8)=LEFT($AZ$10,8), LEFT('6.Inland wetlands'!$K83,8)=LEFT($AZ$11,8),   LEFT('6.Inland wetlands'!$K83,8)=LEFT($AZ$12,8), LEFT('6.Inland wetlands'!$K83,8)=LEFT($AZ$13,8), LEFT('6.Inland wetlands'!$K83,8)=LEFT($AZ$14,8), LEFT('6.Inland wetlands'!$K83,8)=LEFT($AZ$15,8), LEFT('6.Inland wetlands'!$K83,8)=LEFT($AZ$16,8), LEFT('6.Inland wetlands'!$K83,8)=LEFT($AZ$17,8))),'6.Inland wetlands'!$P83,0),0)</f>
        <v/>
      </c>
      <c r="DK70" s="1355">
        <f>IF(LEFT('6.Inland wetlands'!$I83,8)=LEFT($DF$53,8),IF(LEFT('6.Inland wetlands'!$K83,8)=LEFT(DK$50,8),'6.Inland wetlands'!$P83,0),0)</f>
        <v/>
      </c>
      <c r="DL70" s="1354">
        <f>IF(LEFT('6.Inland wetlands'!$I83,8)=LEFT($DF$53,8),IF(LEFT('6.Inland wetlands'!$K83,8)=LEFT(DL$50,8),'6.Inland wetlands'!$P83,0),0)</f>
        <v/>
      </c>
    </row>
    <row r="71">
      <c r="D71" s="973" t="n"/>
      <c r="F71" s="1368" t="n"/>
      <c r="G71" s="1388" t="inlineStr">
        <is>
          <t>Other land</t>
        </is>
      </c>
      <c r="H71" s="1327" t="inlineStr">
        <is>
          <t>Degraded</t>
        </is>
      </c>
      <c r="I71" s="3144">
        <f>AJ73</f>
        <v/>
      </c>
      <c r="J71" s="3143">
        <f>CV73</f>
        <v/>
      </c>
      <c r="K71" s="3143">
        <f>CY73</f>
        <v/>
      </c>
      <c r="L71" s="3143">
        <f>CW73</f>
        <v/>
      </c>
      <c r="M71" s="3143">
        <f>CX73</f>
        <v/>
      </c>
      <c r="N71" s="2851">
        <f>SUMIF('Inl. wetlands'!$C413:$C418,$N$65,'Inl. wetlands'!$J413:$J418)+(MAX(SUM(I55:M55,O55),SUM(I71:M71,O71))-SUM(I71:M71,O71))+MAX(SUM('6.Inland wetlands'!$M$176:$M$179),SUM('6.Inland wetlands'!$N$176:$N$179),SUM('6.Inland wetlands'!$P$176:$P$179))</f>
        <v/>
      </c>
      <c r="O71" s="3143">
        <f>DA73+CZ73</f>
        <v/>
      </c>
      <c r="P71" s="3143">
        <f>SUM(I71:O71)</f>
        <v/>
      </c>
      <c r="R71" s="973" t="n"/>
      <c r="S71" s="1168" t="n"/>
      <c r="T71" s="1414" t="n"/>
      <c r="U71" s="1420">
        <f>IF('6.Inland wetlands'!$I17 =U$66, 1,0)* '6.Inland wetlands'!$T17</f>
        <v/>
      </c>
      <c r="V71" s="1421">
        <f>IF('6.Inland wetlands'!$I17 =V$66, 1,0)* '6.Inland wetlands'!$T17</f>
        <v/>
      </c>
      <c r="W71" s="1421">
        <f>IF('6.Inland wetlands'!$I17 =W$66, 1,0)* '6.Inland wetlands'!$T17</f>
        <v/>
      </c>
      <c r="X71" s="1421">
        <f>IF('6.Inland wetlands'!$I17 =X$66, 1,0)* '6.Inland wetlands'!$T17</f>
        <v/>
      </c>
      <c r="Y71" s="1421">
        <f>IF('6.Inland wetlands'!$I17 =Y$66, 1,0)* '6.Inland wetlands'!$T17</f>
        <v/>
      </c>
      <c r="Z71" s="1421">
        <f>IF('6.Inland wetlands'!$I17 =Z$66, 1,0)* '6.Inland wetlands'!$T17</f>
        <v/>
      </c>
      <c r="AA71" s="1422">
        <f>IF('6.Inland wetlands'!$I17 =AA$66, 1,0)* '6.Inland wetlands'!$T17</f>
        <v/>
      </c>
      <c r="AB71" s="973" t="n"/>
      <c r="AE71" s="1418" t="n"/>
      <c r="AF71" s="1414" t="n"/>
      <c r="AG71" s="1420">
        <f>IF(AG$66 = '6.Inland wetlands'!$I50, '6.Inland wetlands'!$P50, 0)</f>
        <v/>
      </c>
      <c r="AH71" s="1421">
        <f>IF(AH$66 = '6.Inland wetlands'!$I50, '6.Inland wetlands'!$P50, 0)</f>
        <v/>
      </c>
      <c r="AI71" s="1421">
        <f>IF(AI$66 = '6.Inland wetlands'!$I50, '6.Inland wetlands'!$P50, 0)</f>
        <v/>
      </c>
      <c r="AJ71" s="1421">
        <f>IF(AJ$66 = '6.Inland wetlands'!$I50, '6.Inland wetlands'!$P50, 0)</f>
        <v/>
      </c>
      <c r="AK71" s="1421">
        <f>IF(AK$66 = '6.Inland wetlands'!$I50, '6.Inland wetlands'!$P50, 0)</f>
        <v/>
      </c>
      <c r="AL71" s="1421">
        <f>IF(AL$66 = '6.Inland wetlands'!$I50, '6.Inland wetlands'!$P50, 0)</f>
        <v/>
      </c>
      <c r="AM71" s="1422">
        <f>IF(AM$66 = '6.Inland wetlands'!$I50, '6.Inland wetlands'!$P50, 0)</f>
        <v/>
      </c>
      <c r="AN71" s="973" t="n"/>
      <c r="AQ71" s="973" t="n"/>
      <c r="AR71" s="1354" t="n"/>
      <c r="AS71" s="1354">
        <f>IF(LEFT('6.Inland wetlands'!$I84,8)=LEFT($AR$69,8),IF(LEFT('6.Inland wetlands'!$K84,8)=LEFT(AS$66,8), '6.Inland wetlands'!$P84,0),0)</f>
        <v/>
      </c>
      <c r="AT71" s="1354">
        <f>IF(LEFT('6.Inland wetlands'!$I84,8)=LEFT($AR$69,8),IF(LEFT('6.Inland wetlands'!$K84,8)=LEFT(AT$66,8), '6.Inland wetlands'!$P84,0),0)</f>
        <v/>
      </c>
      <c r="AU71" s="1354">
        <f>IF(LEFT('6.Inland wetlands'!$I84,8)=LEFT($AR$69,8),IF(LEFT('6.Inland wetlands'!$K84,8)=LEFT(AU$66,8), '6.Inland wetlands'!$P84,0),0)</f>
        <v/>
      </c>
      <c r="AV71" s="1354">
        <f>IF(LEFT('6.Inland wetlands'!$I84,8)=LEFT($AR$69,8),IF(LEFT('6.Inland wetlands'!$K84,8)=LEFT(AV$66,8), '6.Inland wetlands'!$P84,0),0)</f>
        <v/>
      </c>
      <c r="AW71" s="1354">
        <f>IF(LEFT('6.Inland wetlands'!$I84,8)=LEFT($AR$69,8),IF(LEFT('6.Inland wetlands'!$K84,8)=LEFT(AW$66,8), '6.Inland wetlands'!$P84,0),0)</f>
        <v/>
      </c>
      <c r="AX71" s="1354">
        <f>IF(LEFT('6.Inland wetlands'!$I84,8)=LEFT($AR$69,8),IF((OR(LEFT('6.Inland wetlands'!$K84,8)=LEFT(AX$66,8),LEFT('6.Inland wetlands'!$K84,8)=LEFT($AZ$3,8),LEFT('6.Inland wetlands'!$K84,8)=LEFT($AZ$4,8),LEFT('6.Inland wetlands'!$K84,8)=LEFT($AZ$5,8),LEFT('6.Inland wetlands'!$K84,8)=LEFT($AZ$6,8),LEFT('6.Inland wetlands'!$K84,8)=LEFT($AZ$7,8),LEFT('6.Inland wetlands'!$K84,8)=LEFT($AZ$8,8), LEFT('6.Inland wetlands'!$K84,8)=LEFT($AZ$9,8),  LEFT('6.Inland wetlands'!$K84,8)=LEFT($AZ$10,8), LEFT('6.Inland wetlands'!$K84,8)=LEFT($AZ$11,8),   LEFT('6.Inland wetlands'!$K84,8)=LEFT($AZ$12,8), LEFT('6.Inland wetlands'!$K84,8)=LEFT($AZ$13,8), LEFT('6.Inland wetlands'!$K84,8)=LEFT($AZ$14,8), LEFT('6.Inland wetlands'!$K84,8)=LEFT($AZ$15,8), LEFT('6.Inland wetlands'!$K84,8)=LEFT($AZ$16,8), LEFT('6.Inland wetlands'!$K84,8)=LEFT($AZ$17,8))),'6.Inland wetlands'!$P84,0),0)</f>
        <v/>
      </c>
      <c r="AZ71" s="1345" t="inlineStr">
        <is>
          <t>Shaded Perennial</t>
        </is>
      </c>
      <c r="BB71" s="973" t="n"/>
      <c r="BC71" s="1354" t="n"/>
      <c r="BD71" s="1354">
        <f>IF((OR(LEFT('6.Inland wetlands'!$I84,8)=LEFT(Matrix!$BC$69,8), LEFT('6.Inland wetlands'!$I84,8)=LEFT(Matrix!$AZ$62,8), LEFT('6.Inland wetlands'!$I84,8)=LEFT(Matrix!$AZ$63,8), LEFT('6.Inland wetlands'!$I84,8)=LEFT(Matrix!$AZ$64,8), LEFT('6.Inland wetlands'!$I84,8)=LEFT(Matrix!$AZ$65,8), LEFT('6.Inland wetlands'!$I84,8)=LEFT(Matrix!$AZ$66,8),  LEFT('6.Inland wetlands'!$I84,8)=LEFT(Matrix!$AZ$67,8), LEFT('6.Inland wetlands'!$I84,8)=LEFT(Matrix!$AZ$68,8), LEFT('6.Inland wetlands'!$I84,8)=LEFT(Matrix!$AZ$69,8), LEFT('6.Inland wetlands'!$I84,8)=LEFT(Matrix!$AZ$70,8), LEFT('6.Inland wetlands'!$I84,8)=LEFT(Matrix!$AZ$71,8), LEFT('6.Inland wetlands'!$I84,8)=LEFT(Matrix!$AZ$72,8), LEFT('6.Inland wetlands'!$I84,8)=LEFT(Matrix!$AZ$73,8), LEFT('6.Inland wetlands'!$I84,8)=LEFT(Matrix!$AZ$74,8), LEFT('6.Inland wetlands'!$I84,8)=LEFT(Matrix!$AZ$75,8), LEFT('6.Inland wetlands'!$I84,8)=LEFT(Matrix!$AZ$76,8))), IF(LEFT('6.Inland wetlands'!$K84,8)=LEFT(Matrix!BD$66,8), '6.Inland wetlands'!$P84, 0),0)</f>
        <v/>
      </c>
      <c r="BE71" s="1354">
        <f>IF((OR(LEFT('6.Inland wetlands'!$I84,8)=LEFT(Matrix!$BC$69,8), LEFT('6.Inland wetlands'!$I84,8)=LEFT(Matrix!$AZ$62,8), LEFT('6.Inland wetlands'!$I84,8)=LEFT(Matrix!$AZ$63,8), LEFT('6.Inland wetlands'!$I84,8)=LEFT(Matrix!$AZ$64,8), LEFT('6.Inland wetlands'!$I84,8)=LEFT(Matrix!$AZ$65,8), LEFT('6.Inland wetlands'!$I84,8)=LEFT(Matrix!$AZ$66,8),  LEFT('6.Inland wetlands'!$I84,8)=LEFT(Matrix!$AZ$67,8), LEFT('6.Inland wetlands'!$I84,8)=LEFT(Matrix!$AZ$68,8), LEFT('6.Inland wetlands'!$I84,8)=LEFT(Matrix!$AZ$69,8), LEFT('6.Inland wetlands'!$I84,8)=LEFT(Matrix!$AZ$70,8), LEFT('6.Inland wetlands'!$I84,8)=LEFT(Matrix!$AZ$71,8), LEFT('6.Inland wetlands'!$I84,8)=LEFT(Matrix!$AZ$72,8), LEFT('6.Inland wetlands'!$I84,8)=LEFT(Matrix!$AZ$73,8), LEFT('6.Inland wetlands'!$I84,8)=LEFT(Matrix!$AZ$74,8), LEFT('6.Inland wetlands'!$I84,8)=LEFT(Matrix!$AZ$75,8), LEFT('6.Inland wetlands'!$I84,8)=LEFT(Matrix!$AZ$76,8))), IF(LEFT('6.Inland wetlands'!$K84,8)=LEFT(Matrix!BE$66,8), '6.Inland wetlands'!$P84, 0),0)</f>
        <v/>
      </c>
      <c r="BF71" s="1354">
        <f>IF((OR(LEFT('6.Inland wetlands'!$I84,8)=LEFT(Matrix!$BC$69,8), LEFT('6.Inland wetlands'!$I84,8)=LEFT(Matrix!$AZ$62,8), LEFT('6.Inland wetlands'!$I84,8)=LEFT(Matrix!$AZ$63,8), LEFT('6.Inland wetlands'!$I84,8)=LEFT(Matrix!$AZ$64,8), LEFT('6.Inland wetlands'!$I84,8)=LEFT(Matrix!$AZ$65,8), LEFT('6.Inland wetlands'!$I84,8)=LEFT(Matrix!$AZ$66,8),  LEFT('6.Inland wetlands'!$I84,8)=LEFT(Matrix!$AZ$67,8), LEFT('6.Inland wetlands'!$I84,8)=LEFT(Matrix!$AZ$68,8), LEFT('6.Inland wetlands'!$I84,8)=LEFT(Matrix!$AZ$69,8), LEFT('6.Inland wetlands'!$I84,8)=LEFT(Matrix!$AZ$70,8), LEFT('6.Inland wetlands'!$I84,8)=LEFT(Matrix!$AZ$71,8), LEFT('6.Inland wetlands'!$I84,8)=LEFT(Matrix!$AZ$72,8), LEFT('6.Inland wetlands'!$I84,8)=LEFT(Matrix!$AZ$73,8), LEFT('6.Inland wetlands'!$I84,8)=LEFT(Matrix!$AZ$74,8), LEFT('6.Inland wetlands'!$I84,8)=LEFT(Matrix!$AZ$75,8), LEFT('6.Inland wetlands'!$I84,8)=LEFT(Matrix!$AZ$76,8))), IF(LEFT('6.Inland wetlands'!$K84,8)=LEFT(Matrix!BF$66,8), '6.Inland wetlands'!$P84, 0),0)</f>
        <v/>
      </c>
      <c r="BG71" s="1354">
        <f>IF((OR(LEFT('6.Inland wetlands'!$I84,8)=LEFT(Matrix!$BC$69,8), LEFT('6.Inland wetlands'!$I84,8)=LEFT(Matrix!$AZ$62,8), LEFT('6.Inland wetlands'!$I84,8)=LEFT(Matrix!$AZ$63,8), LEFT('6.Inland wetlands'!$I84,8)=LEFT(Matrix!$AZ$64,8), LEFT('6.Inland wetlands'!$I84,8)=LEFT(Matrix!$AZ$65,8), LEFT('6.Inland wetlands'!$I84,8)=LEFT(Matrix!$AZ$66,8),  LEFT('6.Inland wetlands'!$I84,8)=LEFT(Matrix!$AZ$67,8), LEFT('6.Inland wetlands'!$I84,8)=LEFT(Matrix!$AZ$68,8), LEFT('6.Inland wetlands'!$I84,8)=LEFT(Matrix!$AZ$69,8), LEFT('6.Inland wetlands'!$I84,8)=LEFT(Matrix!$AZ$70,8), LEFT('6.Inland wetlands'!$I84,8)=LEFT(Matrix!$AZ$71,8), LEFT('6.Inland wetlands'!$I84,8)=LEFT(Matrix!$AZ$72,8), LEFT('6.Inland wetlands'!$I84,8)=LEFT(Matrix!$AZ$73,8), LEFT('6.Inland wetlands'!$I84,8)=LEFT(Matrix!$AZ$74,8), LEFT('6.Inland wetlands'!$I84,8)=LEFT(Matrix!$AZ$75,8), LEFT('6.Inland wetlands'!$I84,8)=LEFT(Matrix!$AZ$76,8))), IF(LEFT('6.Inland wetlands'!$K84,8)=LEFT(Matrix!BG$66,8), '6.Inland wetlands'!$P84, 0),0)</f>
        <v/>
      </c>
      <c r="BH71" s="1354">
        <f>IF((OR(LEFT('6.Inland wetlands'!$I84,8)=LEFT(Matrix!$BC$69,8), LEFT('6.Inland wetlands'!$I84,8)=LEFT(Matrix!$AZ$62,8), LEFT('6.Inland wetlands'!$I84,8)=LEFT(Matrix!$AZ$63,8), LEFT('6.Inland wetlands'!$I84,8)=LEFT(Matrix!$AZ$64,8), LEFT('6.Inland wetlands'!$I84,8)=LEFT(Matrix!$AZ$65,8), LEFT('6.Inland wetlands'!$I84,8)=LEFT(Matrix!$AZ$66,8),  LEFT('6.Inland wetlands'!$I84,8)=LEFT(Matrix!$AZ$67,8), LEFT('6.Inland wetlands'!$I84,8)=LEFT(Matrix!$AZ$68,8), LEFT('6.Inland wetlands'!$I84,8)=LEFT(Matrix!$AZ$69,8), LEFT('6.Inland wetlands'!$I84,8)=LEFT(Matrix!$AZ$70,8), LEFT('6.Inland wetlands'!$I84,8)=LEFT(Matrix!$AZ$71,8), LEFT('6.Inland wetlands'!$I84,8)=LEFT(Matrix!$AZ$72,8), LEFT('6.Inland wetlands'!$I84,8)=LEFT(Matrix!$AZ$73,8), LEFT('6.Inland wetlands'!$I84,8)=LEFT(Matrix!$AZ$74,8), LEFT('6.Inland wetlands'!$I84,8)=LEFT(Matrix!$AZ$75,8), LEFT('6.Inland wetlands'!$I84,8)=LEFT(Matrix!$AZ$76,8))), IF(LEFT('6.Inland wetlands'!$K84,8)=LEFT(Matrix!BH$66,8), '6.Inland wetlands'!$P84, 0),0)</f>
        <v/>
      </c>
      <c r="BI71" s="1354">
        <f>IF((OR(LEFT('6.Inland wetlands'!$I84,8)=LEFT(Matrix!$BC$69,8), LEFT('6.Inland wetlands'!$I84,8)=LEFT(Matrix!$AZ$62,8), LEFT('6.Inland wetlands'!$I84,8)=LEFT(Matrix!$AZ$63,8), LEFT('6.Inland wetlands'!$I84,8)=LEFT(Matrix!$AZ$64,8), LEFT('6.Inland wetlands'!$I84,8)=LEFT(Matrix!$AZ$65,8), LEFT('6.Inland wetlands'!$I84,8)=LEFT(Matrix!$AZ$66,8),  LEFT('6.Inland wetlands'!$I84,8)=LEFT(Matrix!$AZ$67,8), LEFT('6.Inland wetlands'!$I84,8)=LEFT(Matrix!$AZ$68,8), LEFT('6.Inland wetlands'!$I84,8)=LEFT(Matrix!$AZ$69,8), LEFT('6.Inland wetlands'!$I84,8)=LEFT(Matrix!$AZ$70,8), LEFT('6.Inland wetlands'!$I84,8)=LEFT(Matrix!$AZ$71,8), LEFT('6.Inland wetlands'!$I84,8)=LEFT(Matrix!$AZ$72,8), LEFT('6.Inland wetlands'!$I84,8)=LEFT(Matrix!$AZ$73,8), LEFT('6.Inland wetlands'!$I84,8)=LEFT(Matrix!$AZ$74,8), LEFT('6.Inland wetlands'!$I84,8)=LEFT(Matrix!$AZ$75,8), LEFT('6.Inland wetlands'!$I84,8)=LEFT(Matrix!$AZ$76,8))), IF(LEFT('6.Inland wetlands'!$K84,8)=LEFT(Matrix!BI$66,8), '6.Inland wetlands'!$P84, 0),0)</f>
        <v/>
      </c>
      <c r="BJ71" s="973" t="n"/>
      <c r="BM71" s="973" t="n"/>
      <c r="BN71" s="1354" t="n"/>
      <c r="BO71" s="1354">
        <f>IF(LEFT('6.Inland wetlands'!$I84,8)=LEFT($BN$26,8),IF(LEFT('6.Inland wetlands'!$K84,8)=LEFT(BO$23,8),'6.Inland wetlands'!$P84,0),0)</f>
        <v/>
      </c>
      <c r="BP71" s="1354">
        <f>IF(LEFT('6.Inland wetlands'!$I84,8)=LEFT($BN$26,8),IF(LEFT('6.Inland wetlands'!$K84,8)=LEFT(BP$23,8),'6.Inland wetlands'!$P84,0),0)</f>
        <v/>
      </c>
      <c r="BQ71" s="1354">
        <f>IF(LEFT('6.Inland wetlands'!$I84,8)=LEFT($BN$26,8),IF(LEFT('6.Inland wetlands'!$K84,8)=LEFT(BQ$23,8),'6.Inland wetlands'!$P84,0),0)</f>
        <v/>
      </c>
      <c r="BR71" s="1354">
        <f>IF(LEFT('6.Inland wetlands'!$I84,8)=LEFT($BN$69,8),IF((OR(LEFT('6.Inland wetlands'!$K84,8)=LEFT(BR$66,8),LEFT('6.Inland wetlands'!$K84,8)=LEFT($AZ$3,8), LEFT('6.Inland wetlands'!$K84,8)=LEFT($AZ$5,8),LEFT('6.Inland wetlands'!$K84,8)=LEFT($AZ$6,8),LEFT('6.Inland wetlands'!$K84,8)=LEFT($AZ$7,8),LEFT('6.Inland wetlands'!$K84,8)=LEFT($AZ$8,8), LEFT('6.Inland wetlands'!$K84,8)=LEFT($AZ$9,8),  LEFT('6.Inland wetlands'!$K84,8)=LEFT($AZ$10,8), LEFT('6.Inland wetlands'!$K84,8)=LEFT($AZ$11,8),   LEFT('6.Inland wetlands'!$K84,8)=LEFT($AZ$12,8), LEFT('6.Inland wetlands'!$K84,8)=LEFT($AZ$13,8), LEFT('6.Inland wetlands'!$K84,8)=LEFT($AZ$14,8), LEFT('6.Inland wetlands'!$K84,8)=LEFT($AZ$15,8), LEFT('6.Inland wetlands'!$K84,8)=LEFT($AZ$16,8), LEFT('6.Inland wetlands'!$K84,8)=LEFT($AZ$17,8))),'6.Inland wetlands'!$P84,0),0)</f>
        <v/>
      </c>
      <c r="BS71" s="1354">
        <f>IF(LEFT('6.Inland wetlands'!$I84,8)=LEFT($BN$26,8),IF(LEFT('6.Inland wetlands'!$K84,8)=LEFT(BS$23,8),'6.Inland wetlands'!$P84,0),0)</f>
        <v/>
      </c>
      <c r="BT71" s="1354">
        <f>IF(LEFT('6.Inland wetlands'!$I84,8)=LEFT($BN$26,8),IF(LEFT('6.Inland wetlands'!$K84,8)=LEFT(BT$23,8),'6.Inland wetlands'!$P84,0),0)</f>
        <v/>
      </c>
      <c r="BU71" s="973" t="n"/>
      <c r="BX71" s="973" t="n"/>
      <c r="BY71" s="1355" t="n"/>
      <c r="BZ71" s="1354">
        <f>IF(LEFT('6.Inland wetlands'!$I84,8)=LEFT($BY$26,8),IF(LEFT('6.Inland wetlands'!$K84,8)=LEFT(BZ$23,8),'6.Inland wetlands'!$P84,0),0)</f>
        <v/>
      </c>
      <c r="CA71" s="1354">
        <f>IF(LEFT('6.Inland wetlands'!$I84,8)=LEFT($BY$26,8),IF(LEFT('6.Inland wetlands'!$K84,8)=LEFT(CA$23,8),'6.Inland wetlands'!$P84,0),0)</f>
        <v/>
      </c>
      <c r="CB71" s="1354">
        <f>IF(LEFT('6.Inland wetlands'!$I84,8)=LEFT($BY$26,8),IF(LEFT('6.Inland wetlands'!$K84,8)=LEFT(CB$23,8),'6.Inland wetlands'!$P84,0),0)</f>
        <v/>
      </c>
      <c r="CC71" s="1354">
        <f>IF(LEFT('6.Inland wetlands'!$I84,8)=LEFT($BY$26,8),IF((OR(LEFT('6.Inland wetlands'!$K84,8)=LEFT(CC$23,8),LEFT('6.Inland wetlands'!$K84,8)=LEFT($AZ$3,8),LEFT('6.Inland wetlands'!$K84,8)=LEFT($AZ$4,8),LEFT('6.Inland wetlands'!$K84,8)=LEFT($AZ$5,8),LEFT('6.Inland wetlands'!$K84,8)=LEFT($AZ$6,8),LEFT('6.Inland wetlands'!$K84,8)=LEFT($AZ$7,8),LEFT('6.Inland wetlands'!$K84,8)=LEFT($AZ$8,8), LEFT('6.Inland wetlands'!$K84,8)=LEFT($AZ$9,8),  LEFT('6.Inland wetlands'!$K84,8)=LEFT($AZ$10,8), LEFT('6.Inland wetlands'!$K84,8)=LEFT($AZ$11,8),   LEFT('6.Inland wetlands'!$K84,8)=LEFT($AZ$12,8), LEFT('6.Inland wetlands'!$K84,8)=LEFT($AZ$13,8), LEFT('6.Inland wetlands'!$K84,8)=LEFT($AZ$14,8), LEFT('6.Inland wetlands'!$K84,8)=LEFT($AZ$15,8), LEFT('6.Inland wetlands'!$K84,8)=LEFT($AZ$16,8), LEFT('6.Inland wetlands'!$K84,8)=LEFT($AZ$17,8))),'6.Inland wetlands'!$P84,0),0)</f>
        <v/>
      </c>
      <c r="CD71" s="1354">
        <f>IF(LEFT('6.Inland wetlands'!$I84,8)=LEFT($BY$26,8),IF(LEFT('6.Inland wetlands'!$K84,8)=LEFT(CD$23,8),'6.Inland wetlands'!$P84,0),0)</f>
        <v/>
      </c>
      <c r="CE71" s="1354">
        <f>IF(LEFT('6.Inland wetlands'!$I84,8)=LEFT($BY$26,8),IF(LEFT('6.Inland wetlands'!$K84,8)=LEFT(CE$23,8),'6.Inland wetlands'!$P84,0),0)</f>
        <v/>
      </c>
      <c r="CF71" s="973" t="n"/>
      <c r="CI71" s="973" t="n"/>
      <c r="CJ71" s="1355" t="n"/>
      <c r="CK71" s="1355">
        <f>IF(LEFT('6.Inland wetlands'!$I84,8)=LEFT($CJ$8,8),IF(LEFT('6.Inland wetlands'!$K84,8)=LEFT(CK$5,8),'6.Inland wetlands'!$P84,0),0)</f>
        <v/>
      </c>
      <c r="CL71" s="1355">
        <f>IF(LEFT('6.Inland wetlands'!$I84,8)=LEFT($CJ$8,8),IF(LEFT('6.Inland wetlands'!$K84,8)=LEFT(CL$5,8),'6.Inland wetlands'!$P84,0),0)</f>
        <v/>
      </c>
      <c r="CM71" s="1355">
        <f>IF(LEFT('6.Inland wetlands'!$I84,8)=LEFT($CJ$8,8),IF(LEFT('6.Inland wetlands'!$K84,8)=LEFT(CM$5,8),'6.Inland wetlands'!$P84,0),0)</f>
        <v/>
      </c>
      <c r="CN71" s="1354">
        <f>IF(LEFT('6.Inland wetlands'!$I84,8)=LEFT($CJ$8,8),IF((OR(LEFT('6.Inland wetlands'!$K84,8)=LEFT(CN$5,8),LEFT('6.Inland wetlands'!$K84,8)=LEFT(AZ$3,8),LEFT('6.Inland wetlands'!$K84,8)=LEFT(AZ$4,8),LEFT('6.Inland wetlands'!$K84,8)=LEFT($AZ$5,8),LEFT('6.Inland wetlands'!$K84,8)=LEFT($AZ$6,8),LEFT('6.Inland wetlands'!$K84,8)=LEFT($AZ$7,8),LEFT('6.Inland wetlands'!$K84,8)=LEFT($AZ$8,8), LEFT('6.Inland wetlands'!$K84,8)=LEFT($AZ$9,8),  LEFT('6.Inland wetlands'!$K84,8)=LEFT($AZ$10,8), LEFT('6.Inland wetlands'!$K84,8)=LEFT($AZ$11,8),   LEFT('6.Inland wetlands'!$K84,8)=LEFT($AZ$12,8), LEFT('6.Inland wetlands'!$K84,8)=LEFT($AZ$13,8), LEFT('6.Inland wetlands'!$K84,8)=LEFT($AZ$14,8), LEFT('6.Inland wetlands'!$K84,8)=LEFT($AZ$15,8), LEFT('6.Inland wetlands'!$K84,8)=LEFT($AZ$16,8), LEFT('6.Inland wetlands'!$K84,8)=LEFT($AZ$17,8))),'6.Inland wetlands'!$P84,0),0)</f>
        <v/>
      </c>
      <c r="CO71" s="1355">
        <f>IF(LEFT('6.Inland wetlands'!$I84,8)=LEFT($CJ$8,8),IF(LEFT('6.Inland wetlands'!$K84,8)=LEFT(CO$5,8),'6.Inland wetlands'!$P84,0),0)</f>
        <v/>
      </c>
      <c r="CP71" s="1354">
        <f>IF(LEFT('6.Inland wetlands'!$I84,8)=LEFT($CJ$8,8),IF(LEFT('6.Inland wetlands'!$K84,8)=LEFT(CP$5,8),'6.Inland wetlands'!$P84,0),0)</f>
        <v/>
      </c>
      <c r="CQ71" s="973" t="n"/>
      <c r="CT71" s="973" t="n"/>
      <c r="CU71" s="1355" t="n"/>
      <c r="CV71" s="1355">
        <f>IF(LEFT('6.Inland wetlands'!$I84,8)=LEFT($CU$53,8),IF(LEFT('6.Inland wetlands'!$K84,8)=LEFT(CV$50,8),'6.Inland wetlands'!$P84,0),0)</f>
        <v/>
      </c>
      <c r="CW71" s="1355">
        <f>IF(LEFT('6.Inland wetlands'!$I84,8)=LEFT($CU$53,8),IF(LEFT('6.Inland wetlands'!$K84,8)=LEFT(CW$50,8),'6.Inland wetlands'!$P84,0),0)</f>
        <v/>
      </c>
      <c r="CX71" s="1355">
        <f>IF(LEFT('6.Inland wetlands'!$I84,8)=LEFT($CU$53,8),IF(LEFT('6.Inland wetlands'!$K84,8)=LEFT(CX$50,8),'6.Inland wetlands'!$P84,0),0)</f>
        <v/>
      </c>
      <c r="CY71" s="1354">
        <f>IF(LEFT('6.Inland wetlands'!$I84,8)=LEFT($CU$53,8),IF((OR(LEFT('6.Inland wetlands'!$K84,8)=LEFT($CY$50,8),LEFT('6.Inland wetlands'!$K84,8)=LEFT($AZ$3,8),LEFT('6.Inland wetlands'!$K84,8)=LEFT($AZ$4,8),LEFT('6.Inland wetlands'!$K84,8)=LEFT($AZ$5,8),LEFT('6.Inland wetlands'!$K84,8)=LEFT($AZ$6,8),LEFT('6.Inland wetlands'!$K84,8)=LEFT($AZ$7,8),LEFT('6.Inland wetlands'!$K84,8)=LEFT($AZ$8,8), LEFT('6.Inland wetlands'!$K84,8)=LEFT($AZ$9,8),  LEFT('6.Inland wetlands'!$K84,8)=LEFT($AZ$10,8), LEFT('6.Inland wetlands'!$K84,8)=LEFT($AZ$11,8),   LEFT('6.Inland wetlands'!$K84,8)=LEFT($AZ$12,8), LEFT('6.Inland wetlands'!$K84,8)=LEFT($AZ$13,8), LEFT('6.Inland wetlands'!$K84,8)=LEFT($AZ$14,8), LEFT('6.Inland wetlands'!$K84,8)=LEFT($AZ$15,8), LEFT('6.Inland wetlands'!$K84,8)=LEFT($AZ$16,8), LEFT('6.Inland wetlands'!$K84,8)=LEFT($AZ$17,8))),'6.Inland wetlands'!$P84,0),0)</f>
        <v/>
      </c>
      <c r="CZ71" s="1104">
        <f>IF(LEFT('6.Inland wetlands'!$I84,8)=LEFT($CU$53,8),IF(LEFT('6.Inland wetlands'!$K84,8)=LEFT(CZ$50,8),'6.Inland wetlands'!$P84,0),0)</f>
        <v/>
      </c>
      <c r="DA71" s="1354">
        <f>IF(LEFT('6.Inland wetlands'!$I84,8)=LEFT($CU$53,8),IF(LEFT('6.Inland wetlands'!$K84,8)=LEFT(DA$50,8),'6.Inland wetlands'!$P84,0),0)</f>
        <v/>
      </c>
      <c r="DB71" s="973" t="n"/>
      <c r="DE71" s="973" t="n"/>
      <c r="DF71" s="1355" t="n"/>
      <c r="DG71" s="1355">
        <f>IF(LEFT('6.Inland wetlands'!$I84,8)=LEFT($DF$53,8),IF(LEFT('6.Inland wetlands'!$K84,8)=LEFT(DG$50,8),'6.Inland wetlands'!$P84,0),0)</f>
        <v/>
      </c>
      <c r="DH71" s="1355">
        <f>IF(LEFT('6.Inland wetlands'!$I84,8)=LEFT($DF$53,8),IF(LEFT('6.Inland wetlands'!$K84,8)=LEFT(DH$50,8),'6.Inland wetlands'!$P84,0),0)</f>
        <v/>
      </c>
      <c r="DI71" s="1355">
        <f>IF(LEFT('6.Inland wetlands'!$I84,8)=LEFT($DF$53,8),IF(LEFT('6.Inland wetlands'!$K84,8)=LEFT(DI$50,8),'6.Inland wetlands'!$P84,0),0)</f>
        <v/>
      </c>
      <c r="DJ71" s="1354">
        <f>IF(LEFT('6.Inland wetlands'!$I84,8)=LEFT($DF$53,8),IF((OR(LEFT('6.Inland wetlands'!$K84,8)=LEFT($DJ54,8),LEFT('6.Inland wetlands'!$K84,8)=LEFT($AZ$3,8),LEFT('6.Inland wetlands'!$K84,8)=LEFT($AZ$4,8),LEFT('6.Inland wetlands'!$K84,8)=LEFT($AZ$5,8),LEFT('6.Inland wetlands'!$K84,8)=LEFT($AZ$6,8),LEFT('6.Inland wetlands'!$K84,8)=LEFT($AZ$7,8),LEFT('6.Inland wetlands'!$K84,8)=LEFT($AZ$8,8), LEFT('6.Inland wetlands'!$K84,8)=LEFT($AZ$9,8),  LEFT('6.Inland wetlands'!$K84,8)=LEFT($AZ$10,8), LEFT('6.Inland wetlands'!$K84,8)=LEFT($AZ$11,8),   LEFT('6.Inland wetlands'!$K84,8)=LEFT($AZ$12,8), LEFT('6.Inland wetlands'!$K84,8)=LEFT($AZ$13,8), LEFT('6.Inland wetlands'!$K84,8)=LEFT($AZ$14,8), LEFT('6.Inland wetlands'!$K84,8)=LEFT($AZ$15,8), LEFT('6.Inland wetlands'!$K84,8)=LEFT($AZ$16,8), LEFT('6.Inland wetlands'!$K84,8)=LEFT($AZ$17,8))),'6.Inland wetlands'!$P84,0),0)</f>
        <v/>
      </c>
      <c r="DK71" s="1355">
        <f>IF(LEFT('6.Inland wetlands'!$I84,8)=LEFT($DF$53,8),IF(LEFT('6.Inland wetlands'!$K84,8)=LEFT(DK$50,8),'6.Inland wetlands'!$P84,0),0)</f>
        <v/>
      </c>
      <c r="DL71" s="1354">
        <f>IF(LEFT('6.Inland wetlands'!$I84,8)=LEFT($DF$53,8),IF(LEFT('6.Inland wetlands'!$K84,8)=LEFT(DL$50,8),'6.Inland wetlands'!$P84,0),0)</f>
        <v/>
      </c>
    </row>
    <row r="72">
      <c r="D72" s="973" t="n"/>
      <c r="F72" s="1368" t="n"/>
      <c r="G72" s="1370" t="n"/>
      <c r="H72" s="1392" t="inlineStr">
        <is>
          <t>Other land (non-vegetated)</t>
        </is>
      </c>
      <c r="I72" s="3144">
        <f>AM73+AI73</f>
        <v/>
      </c>
      <c r="J72" s="3143">
        <f>DG73+BZ73</f>
        <v/>
      </c>
      <c r="K72" s="3143">
        <f>DJ73+CC73</f>
        <v/>
      </c>
      <c r="L72" s="3143">
        <f>DH73+CA73</f>
        <v/>
      </c>
      <c r="M72" s="3143">
        <f>DI73+CD73</f>
        <v/>
      </c>
      <c r="N72" s="3143">
        <f>DL73+CB73</f>
        <v/>
      </c>
      <c r="O72" s="2851">
        <f>SUMIF('Inl. wetlands'!$C413:$C418,$O$65,'Inl. wetlands'!$J413:$J418)+(MAX(SUM(I56:N56),SUM(I72:N72))-SUM(I72:N72))+MAX(CE57+DK57,CE73+DK73)</f>
        <v/>
      </c>
      <c r="P72" s="3143">
        <f>SUM(I72:O72)</f>
        <v/>
      </c>
      <c r="R72" s="973" t="n"/>
      <c r="S72" s="1168" t="n"/>
      <c r="T72" s="1414" t="n"/>
      <c r="U72" s="1424">
        <f>IF('6.Inland wetlands'!$I18 =U$66, 1,0)* '6.Inland wetlands'!$T18</f>
        <v/>
      </c>
      <c r="V72" s="1425">
        <f>IF('6.Inland wetlands'!$I18 =V$66, 1,0)* '6.Inland wetlands'!$T18</f>
        <v/>
      </c>
      <c r="W72" s="1425">
        <f>IF('6.Inland wetlands'!$I18 =W$66, 1,0)* '6.Inland wetlands'!$T18</f>
        <v/>
      </c>
      <c r="X72" s="1425">
        <f>IF('6.Inland wetlands'!$I18 =X$66, 1,0)* '6.Inland wetlands'!$T18</f>
        <v/>
      </c>
      <c r="Y72" s="1425">
        <f>IF('6.Inland wetlands'!$I18 =Y$66, 1,0)* '6.Inland wetlands'!$T18</f>
        <v/>
      </c>
      <c r="Z72" s="1425">
        <f>IF('6.Inland wetlands'!$I18 =Z$66, 1,0)* '6.Inland wetlands'!$T18</f>
        <v/>
      </c>
      <c r="AA72" s="1426">
        <f>IF('6.Inland wetlands'!$I18 =AA$66, 1,0)* '6.Inland wetlands'!$T18</f>
        <v/>
      </c>
      <c r="AB72" s="973" t="n"/>
      <c r="AE72" s="1168" t="n"/>
      <c r="AF72" s="1414" t="n"/>
      <c r="AG72" s="1424">
        <f>IF(AG$66 = '6.Inland wetlands'!$I51, '6.Inland wetlands'!$P51, 0)</f>
        <v/>
      </c>
      <c r="AH72" s="1425">
        <f>IF(AH$66 = '6.Inland wetlands'!$I51, '6.Inland wetlands'!$P51, 0)</f>
        <v/>
      </c>
      <c r="AI72" s="1425">
        <f>IF(AI$66 = '6.Inland wetlands'!$I51, '6.Inland wetlands'!$P51, 0)</f>
        <v/>
      </c>
      <c r="AJ72" s="1425">
        <f>IF(AJ$66 = '6.Inland wetlands'!$I51, '6.Inland wetlands'!$P51, 0)</f>
        <v/>
      </c>
      <c r="AK72" s="1425">
        <f>IF(AK$66 = '6.Inland wetlands'!$I51, '6.Inland wetlands'!$P51, 0)</f>
        <v/>
      </c>
      <c r="AL72" s="1425">
        <f>IF(AL$66 = '6.Inland wetlands'!$I51, '6.Inland wetlands'!$P51, 0)</f>
        <v/>
      </c>
      <c r="AM72" s="1426">
        <f>IF(AM$66 = '6.Inland wetlands'!$I51, '6.Inland wetlands'!$P51, 0)</f>
        <v/>
      </c>
      <c r="AN72" s="973" t="n"/>
      <c r="AQ72" s="973" t="n"/>
      <c r="AR72" s="1354" t="n"/>
      <c r="AS72" s="1376">
        <f>IF(LEFT('6.Inland wetlands'!$I85,8)=LEFT($AR$69,8),IF(LEFT('6.Inland wetlands'!$K85,8)=LEFT(AS$66,8), '6.Inland wetlands'!$P85,0),0)</f>
        <v/>
      </c>
      <c r="AT72" s="1376">
        <f>IF(LEFT('6.Inland wetlands'!$I85,8)=LEFT($AR$69,8),IF(LEFT('6.Inland wetlands'!$K85,8)=LEFT(AT$66,8), '6.Inland wetlands'!$P85,0),0)</f>
        <v/>
      </c>
      <c r="AU72" s="1376">
        <f>IF(LEFT('6.Inland wetlands'!$I85,8)=LEFT($AR$69,8),IF(LEFT('6.Inland wetlands'!$K85,8)=LEFT(AU$66,8), '6.Inland wetlands'!$P85,0),0)</f>
        <v/>
      </c>
      <c r="AV72" s="1376">
        <f>IF(LEFT('6.Inland wetlands'!$I85,8)=LEFT($AR$69,8),IF(LEFT('6.Inland wetlands'!$K85,8)=LEFT(AV$66,8), '6.Inland wetlands'!$P85,0),0)</f>
        <v/>
      </c>
      <c r="AW72" s="1376">
        <f>IF(LEFT('6.Inland wetlands'!$I85,8)=LEFT($AR$69,8),IF(LEFT('6.Inland wetlands'!$K85,8)=LEFT(AW$66,8), '6.Inland wetlands'!$P85,0),0)</f>
        <v/>
      </c>
      <c r="AX72" s="1376">
        <f>IF(LEFT('6.Inland wetlands'!$I85,8)=LEFT($AR$69,8),IF((OR(LEFT('6.Inland wetlands'!$K85,8)=LEFT(AX$66,8),LEFT('6.Inland wetlands'!$K85,8)=LEFT($AZ$3,8),LEFT('6.Inland wetlands'!$K85,8)=LEFT($AZ$4,8),LEFT('6.Inland wetlands'!$K85,8)=LEFT($AZ$5,8),LEFT('6.Inland wetlands'!$K85,8)=LEFT($AZ$6,8),LEFT('6.Inland wetlands'!$K85,8)=LEFT($AZ$7,8),LEFT('6.Inland wetlands'!$K85,8)=LEFT($AZ$8,8), LEFT('6.Inland wetlands'!$K85,8)=LEFT($AZ$9,8),  LEFT('6.Inland wetlands'!$K85,8)=LEFT($AZ$10,8), LEFT('6.Inland wetlands'!$K85,8)=LEFT($AZ$11,8),   LEFT('6.Inland wetlands'!$K85,8)=LEFT($AZ$12,8), LEFT('6.Inland wetlands'!$K85,8)=LEFT($AZ$13,8), LEFT('6.Inland wetlands'!$K85,8)=LEFT($AZ$14,8), LEFT('6.Inland wetlands'!$K85,8)=LEFT($AZ$15,8), LEFT('6.Inland wetlands'!$K85,8)=LEFT($AZ$16,8), LEFT('6.Inland wetlands'!$K85,8)=LEFT($AZ$17,8))),'6.Inland wetlands'!$P85,0),0)</f>
        <v/>
      </c>
      <c r="AZ72" s="1345" t="inlineStr">
        <is>
          <t>Short Rotation Coppice</t>
        </is>
      </c>
      <c r="BB72" s="973" t="n"/>
      <c r="BC72" s="1354" t="n"/>
      <c r="BD72" s="1376">
        <f>IF((OR(LEFT('6.Inland wetlands'!$I85,8)=LEFT(Matrix!$BC$69,8), LEFT('6.Inland wetlands'!$I85,8)=LEFT(Matrix!$AZ$62,8), LEFT('6.Inland wetlands'!$I85,8)=LEFT(Matrix!$AZ$63,8), LEFT('6.Inland wetlands'!$I85,8)=LEFT(Matrix!$AZ$64,8), LEFT('6.Inland wetlands'!$I85,8)=LEFT(Matrix!$AZ$65,8), LEFT('6.Inland wetlands'!$I85,8)=LEFT(Matrix!$AZ$66,8),  LEFT('6.Inland wetlands'!$I85,8)=LEFT(Matrix!$AZ$67,8), LEFT('6.Inland wetlands'!$I85,8)=LEFT(Matrix!$AZ$68,8), LEFT('6.Inland wetlands'!$I85,8)=LEFT(Matrix!$AZ$69,8), LEFT('6.Inland wetlands'!$I85,8)=LEFT(Matrix!$AZ$70,8), LEFT('6.Inland wetlands'!$I85,8)=LEFT(Matrix!$AZ$71,8), LEFT('6.Inland wetlands'!$I85,8)=LEFT(Matrix!$AZ$72,8), LEFT('6.Inland wetlands'!$I85,8)=LEFT(Matrix!$AZ$73,8), LEFT('6.Inland wetlands'!$I85,8)=LEFT(Matrix!$AZ$74,8), LEFT('6.Inland wetlands'!$I85,8)=LEFT(Matrix!$AZ$75,8), LEFT('6.Inland wetlands'!$I85,8)=LEFT(Matrix!$AZ$76,8))), IF(LEFT('6.Inland wetlands'!$K85,8)=LEFT(Matrix!BD$66,8), '6.Inland wetlands'!$P85, 0),0)</f>
        <v/>
      </c>
      <c r="BE72" s="1376">
        <f>IF((OR(LEFT('6.Inland wetlands'!$I85,8)=LEFT(Matrix!$BC$69,8), LEFT('6.Inland wetlands'!$I85,8)=LEFT(Matrix!$AZ$62,8), LEFT('6.Inland wetlands'!$I85,8)=LEFT(Matrix!$AZ$63,8), LEFT('6.Inland wetlands'!$I85,8)=LEFT(Matrix!$AZ$64,8), LEFT('6.Inland wetlands'!$I85,8)=LEFT(Matrix!$AZ$65,8), LEFT('6.Inland wetlands'!$I85,8)=LEFT(Matrix!$AZ$66,8),  LEFT('6.Inland wetlands'!$I85,8)=LEFT(Matrix!$AZ$67,8), LEFT('6.Inland wetlands'!$I85,8)=LEFT(Matrix!$AZ$68,8), LEFT('6.Inland wetlands'!$I85,8)=LEFT(Matrix!$AZ$69,8), LEFT('6.Inland wetlands'!$I85,8)=LEFT(Matrix!$AZ$70,8), LEFT('6.Inland wetlands'!$I85,8)=LEFT(Matrix!$AZ$71,8), LEFT('6.Inland wetlands'!$I85,8)=LEFT(Matrix!$AZ$72,8), LEFT('6.Inland wetlands'!$I85,8)=LEFT(Matrix!$AZ$73,8), LEFT('6.Inland wetlands'!$I85,8)=LEFT(Matrix!$AZ$74,8), LEFT('6.Inland wetlands'!$I85,8)=LEFT(Matrix!$AZ$75,8), LEFT('6.Inland wetlands'!$I85,8)=LEFT(Matrix!$AZ$76,8))), IF(LEFT('6.Inland wetlands'!$K85,8)=LEFT(Matrix!BE$66,8), '6.Inland wetlands'!$P85, 0),0)</f>
        <v/>
      </c>
      <c r="BF72" s="1376">
        <f>IF((OR(LEFT('6.Inland wetlands'!$I85,8)=LEFT(Matrix!$BC$69,8), LEFT('6.Inland wetlands'!$I85,8)=LEFT(Matrix!$AZ$62,8), LEFT('6.Inland wetlands'!$I85,8)=LEFT(Matrix!$AZ$63,8), LEFT('6.Inland wetlands'!$I85,8)=LEFT(Matrix!$AZ$64,8), LEFT('6.Inland wetlands'!$I85,8)=LEFT(Matrix!$AZ$65,8), LEFT('6.Inland wetlands'!$I85,8)=LEFT(Matrix!$AZ$66,8),  LEFT('6.Inland wetlands'!$I85,8)=LEFT(Matrix!$AZ$67,8), LEFT('6.Inland wetlands'!$I85,8)=LEFT(Matrix!$AZ$68,8), LEFT('6.Inland wetlands'!$I85,8)=LEFT(Matrix!$AZ$69,8), LEFT('6.Inland wetlands'!$I85,8)=LEFT(Matrix!$AZ$70,8), LEFT('6.Inland wetlands'!$I85,8)=LEFT(Matrix!$AZ$71,8), LEFT('6.Inland wetlands'!$I85,8)=LEFT(Matrix!$AZ$72,8), LEFT('6.Inland wetlands'!$I85,8)=LEFT(Matrix!$AZ$73,8), LEFT('6.Inland wetlands'!$I85,8)=LEFT(Matrix!$AZ$74,8), LEFT('6.Inland wetlands'!$I85,8)=LEFT(Matrix!$AZ$75,8), LEFT('6.Inland wetlands'!$I85,8)=LEFT(Matrix!$AZ$76,8))), IF(LEFT('6.Inland wetlands'!$K85,8)=LEFT(Matrix!BF$66,8), '6.Inland wetlands'!$P85, 0),0)</f>
        <v/>
      </c>
      <c r="BG72" s="1376">
        <f>IF((OR(LEFT('6.Inland wetlands'!$I85,8)=LEFT(Matrix!$BC$69,8), LEFT('6.Inland wetlands'!$I85,8)=LEFT(Matrix!$AZ$62,8), LEFT('6.Inland wetlands'!$I85,8)=LEFT(Matrix!$AZ$63,8), LEFT('6.Inland wetlands'!$I85,8)=LEFT(Matrix!$AZ$64,8), LEFT('6.Inland wetlands'!$I85,8)=LEFT(Matrix!$AZ$65,8), LEFT('6.Inland wetlands'!$I85,8)=LEFT(Matrix!$AZ$66,8),  LEFT('6.Inland wetlands'!$I85,8)=LEFT(Matrix!$AZ$67,8), LEFT('6.Inland wetlands'!$I85,8)=LEFT(Matrix!$AZ$68,8), LEFT('6.Inland wetlands'!$I85,8)=LEFT(Matrix!$AZ$69,8), LEFT('6.Inland wetlands'!$I85,8)=LEFT(Matrix!$AZ$70,8), LEFT('6.Inland wetlands'!$I85,8)=LEFT(Matrix!$AZ$71,8), LEFT('6.Inland wetlands'!$I85,8)=LEFT(Matrix!$AZ$72,8), LEFT('6.Inland wetlands'!$I85,8)=LEFT(Matrix!$AZ$73,8), LEFT('6.Inland wetlands'!$I85,8)=LEFT(Matrix!$AZ$74,8), LEFT('6.Inland wetlands'!$I85,8)=LEFT(Matrix!$AZ$75,8), LEFT('6.Inland wetlands'!$I85,8)=LEFT(Matrix!$AZ$76,8))), IF(LEFT('6.Inland wetlands'!$K85,8)=LEFT(Matrix!BG$66,8), '6.Inland wetlands'!$P85, 0),0)</f>
        <v/>
      </c>
      <c r="BH72" s="1376">
        <f>IF((OR(LEFT('6.Inland wetlands'!$I85,8)=LEFT(Matrix!$BC$69,8), LEFT('6.Inland wetlands'!$I85,8)=LEFT(Matrix!$AZ$62,8), LEFT('6.Inland wetlands'!$I85,8)=LEFT(Matrix!$AZ$63,8), LEFT('6.Inland wetlands'!$I85,8)=LEFT(Matrix!$AZ$64,8), LEFT('6.Inland wetlands'!$I85,8)=LEFT(Matrix!$AZ$65,8), LEFT('6.Inland wetlands'!$I85,8)=LEFT(Matrix!$AZ$66,8),  LEFT('6.Inland wetlands'!$I85,8)=LEFT(Matrix!$AZ$67,8), LEFT('6.Inland wetlands'!$I85,8)=LEFT(Matrix!$AZ$68,8), LEFT('6.Inland wetlands'!$I85,8)=LEFT(Matrix!$AZ$69,8), LEFT('6.Inland wetlands'!$I85,8)=LEFT(Matrix!$AZ$70,8), LEFT('6.Inland wetlands'!$I85,8)=LEFT(Matrix!$AZ$71,8), LEFT('6.Inland wetlands'!$I85,8)=LEFT(Matrix!$AZ$72,8), LEFT('6.Inland wetlands'!$I85,8)=LEFT(Matrix!$AZ$73,8), LEFT('6.Inland wetlands'!$I85,8)=LEFT(Matrix!$AZ$74,8), LEFT('6.Inland wetlands'!$I85,8)=LEFT(Matrix!$AZ$75,8), LEFT('6.Inland wetlands'!$I85,8)=LEFT(Matrix!$AZ$76,8))), IF(LEFT('6.Inland wetlands'!$K85,8)=LEFT(Matrix!BH$66,8), '6.Inland wetlands'!$P85, 0),0)</f>
        <v/>
      </c>
      <c r="BI72" s="1376">
        <f>IF((OR(LEFT('6.Inland wetlands'!$I85,8)=LEFT(Matrix!$BC$69,8), LEFT('6.Inland wetlands'!$I85,8)=LEFT(Matrix!$AZ$62,8), LEFT('6.Inland wetlands'!$I85,8)=LEFT(Matrix!$AZ$63,8), LEFT('6.Inland wetlands'!$I85,8)=LEFT(Matrix!$AZ$64,8), LEFT('6.Inland wetlands'!$I85,8)=LEFT(Matrix!$AZ$65,8), LEFT('6.Inland wetlands'!$I85,8)=LEFT(Matrix!$AZ$66,8),  LEFT('6.Inland wetlands'!$I85,8)=LEFT(Matrix!$AZ$67,8), LEFT('6.Inland wetlands'!$I85,8)=LEFT(Matrix!$AZ$68,8), LEFT('6.Inland wetlands'!$I85,8)=LEFT(Matrix!$AZ$69,8), LEFT('6.Inland wetlands'!$I85,8)=LEFT(Matrix!$AZ$70,8), LEFT('6.Inland wetlands'!$I85,8)=LEFT(Matrix!$AZ$71,8), LEFT('6.Inland wetlands'!$I85,8)=LEFT(Matrix!$AZ$72,8), LEFT('6.Inland wetlands'!$I85,8)=LEFT(Matrix!$AZ$73,8), LEFT('6.Inland wetlands'!$I85,8)=LEFT(Matrix!$AZ$74,8), LEFT('6.Inland wetlands'!$I85,8)=LEFT(Matrix!$AZ$75,8), LEFT('6.Inland wetlands'!$I85,8)=LEFT(Matrix!$AZ$76,8))), IF(LEFT('6.Inland wetlands'!$K85,8)=LEFT(Matrix!BI$66,8), '6.Inland wetlands'!$P85, 0),0)</f>
        <v/>
      </c>
      <c r="BJ72" s="973" t="n"/>
      <c r="BM72" s="973" t="n"/>
      <c r="BN72" s="1354" t="n"/>
      <c r="BO72" s="1376">
        <f>IF(LEFT('6.Inland wetlands'!$I85,8)=LEFT($BN$26,8),IF(LEFT('6.Inland wetlands'!$K85,8)=LEFT(BO$23,8),'6.Inland wetlands'!$P85,0),0)</f>
        <v/>
      </c>
      <c r="BP72" s="1376">
        <f>IF(LEFT('6.Inland wetlands'!$I85,8)=LEFT($BN$26,8),IF(LEFT('6.Inland wetlands'!$K85,8)=LEFT(BP$23,8),'6.Inland wetlands'!$P85,0),0)</f>
        <v/>
      </c>
      <c r="BQ72" s="1376">
        <f>IF(LEFT('6.Inland wetlands'!$I85,8)=LEFT($BN$26,8),IF(LEFT('6.Inland wetlands'!$K85,8)=LEFT(BQ$23,8),'6.Inland wetlands'!$P85,0),0)</f>
        <v/>
      </c>
      <c r="BR72" s="1376">
        <f>IF(LEFT('6.Inland wetlands'!$I85,8)=LEFT($BN$69,8),IF((OR(LEFT('6.Inland wetlands'!$K85,8)=LEFT(BR$66,8),LEFT('6.Inland wetlands'!$K85,8)=LEFT($AZ$3,8), LEFT('6.Inland wetlands'!$K85,8)=LEFT($AZ$5,8),LEFT('6.Inland wetlands'!$K85,8)=LEFT($AZ$6,8),LEFT('6.Inland wetlands'!$K85,8)=LEFT($AZ$7,8),LEFT('6.Inland wetlands'!$K85,8)=LEFT($AZ$8,8), LEFT('6.Inland wetlands'!$K85,8)=LEFT($AZ$9,8),  LEFT('6.Inland wetlands'!$K85,8)=LEFT($AZ$10,8), LEFT('6.Inland wetlands'!$K85,8)=LEFT($AZ$11,8),   LEFT('6.Inland wetlands'!$K85,8)=LEFT($AZ$12,8), LEFT('6.Inland wetlands'!$K85,8)=LEFT($AZ$13,8), LEFT('6.Inland wetlands'!$K85,8)=LEFT($AZ$14,8), LEFT('6.Inland wetlands'!$K85,8)=LEFT($AZ$15,8), LEFT('6.Inland wetlands'!$K85,8)=LEFT($AZ$16,8), LEFT('6.Inland wetlands'!$K85,8)=LEFT($AZ$17,8))),'6.Inland wetlands'!$P85,0),0)</f>
        <v/>
      </c>
      <c r="BS72" s="1376">
        <f>IF(LEFT('6.Inland wetlands'!$I85,8)=LEFT($BN$26,8),IF(LEFT('6.Inland wetlands'!$K85,8)=LEFT(BS$23,8),'6.Inland wetlands'!$P85,0),0)</f>
        <v/>
      </c>
      <c r="BT72" s="1376">
        <f>IF(LEFT('6.Inland wetlands'!$I85,8)=LEFT($BN$26,8),IF(LEFT('6.Inland wetlands'!$K85,8)=LEFT(BT$23,8),'6.Inland wetlands'!$P85,0),0)</f>
        <v/>
      </c>
      <c r="BU72" s="973" t="n"/>
      <c r="BX72" s="973" t="n"/>
      <c r="BY72" s="1355" t="n"/>
      <c r="BZ72" s="1376">
        <f>IF(LEFT('6.Inland wetlands'!$I85,8)=LEFT($BY$26,8),IF(LEFT('6.Inland wetlands'!$K85,8)=LEFT(BZ$23,8),'6.Inland wetlands'!$P85,0),0)</f>
        <v/>
      </c>
      <c r="CA72" s="1376">
        <f>IF(LEFT('6.Inland wetlands'!$I85,8)=LEFT($BY$26,8),IF(LEFT('6.Inland wetlands'!$K85,8)=LEFT(CA$23,8),'6.Inland wetlands'!$P85,0),0)</f>
        <v/>
      </c>
      <c r="CB72" s="1376">
        <f>IF(LEFT('6.Inland wetlands'!$I85,8)=LEFT($BY$26,8),IF(LEFT('6.Inland wetlands'!$K85,8)=LEFT(CB$23,8),'6.Inland wetlands'!$P85,0),0)</f>
        <v/>
      </c>
      <c r="CC72" s="1376">
        <f>IF(LEFT('6.Inland wetlands'!$I85,8)=LEFT($BY$26,8),IF((OR(LEFT('6.Inland wetlands'!$K85,8)=LEFT(CC$23,8),LEFT('6.Inland wetlands'!$K85,8)=LEFT($AZ$3,8),LEFT('6.Inland wetlands'!$K85,8)=LEFT($AZ$4,8),LEFT('6.Inland wetlands'!$K85,8)=LEFT($AZ$5,8),LEFT('6.Inland wetlands'!$K85,8)=LEFT($AZ$6,8),LEFT('6.Inland wetlands'!$K85,8)=LEFT($AZ$7,8),LEFT('6.Inland wetlands'!$K85,8)=LEFT($AZ$8,8), LEFT('6.Inland wetlands'!$K85,8)=LEFT($AZ$9,8),  LEFT('6.Inland wetlands'!$K85,8)=LEFT($AZ$10,8), LEFT('6.Inland wetlands'!$K85,8)=LEFT($AZ$11,8),   LEFT('6.Inland wetlands'!$K85,8)=LEFT($AZ$12,8), LEFT('6.Inland wetlands'!$K85,8)=LEFT($AZ$13,8), LEFT('6.Inland wetlands'!$K85,8)=LEFT($AZ$14,8), LEFT('6.Inland wetlands'!$K85,8)=LEFT($AZ$15,8), LEFT('6.Inland wetlands'!$K85,8)=LEFT($AZ$16,8), LEFT('6.Inland wetlands'!$K85,8)=LEFT($AZ$17,8))),'6.Inland wetlands'!$P85,0),0)</f>
        <v/>
      </c>
      <c r="CD72" s="1376">
        <f>IF(LEFT('6.Inland wetlands'!$I85,8)=LEFT($BY$26,8),IF(LEFT('6.Inland wetlands'!$K85,8)=LEFT(CD$23,8),'6.Inland wetlands'!$P85,0),0)</f>
        <v/>
      </c>
      <c r="CE72" s="1376">
        <f>IF(LEFT('6.Inland wetlands'!$I85,8)=LEFT($BY$26,8),IF(LEFT('6.Inland wetlands'!$K85,8)=LEFT(CE$23,8),'6.Inland wetlands'!$P85,0),0)</f>
        <v/>
      </c>
      <c r="CF72" s="973" t="n"/>
      <c r="CI72" s="973" t="n"/>
      <c r="CJ72" s="1355" t="n"/>
      <c r="CK72" s="1377">
        <f>IF(LEFT('6.Inland wetlands'!$I85,8)=LEFT($CJ$8,8),IF(LEFT('6.Inland wetlands'!$K85,8)=LEFT(CK$5,8),'6.Inland wetlands'!$P85,0),0)</f>
        <v/>
      </c>
      <c r="CL72" s="1377">
        <f>IF(LEFT('6.Inland wetlands'!$I85,8)=LEFT($CJ$8,8),IF(LEFT('6.Inland wetlands'!$K85,8)=LEFT(CL$5,8),'6.Inland wetlands'!$P85,0),0)</f>
        <v/>
      </c>
      <c r="CM72" s="1377">
        <f>IF(LEFT('6.Inland wetlands'!$I85,8)=LEFT($CJ$8,8),IF(LEFT('6.Inland wetlands'!$K85,8)=LEFT(CM$5,8),'6.Inland wetlands'!$P85,0),0)</f>
        <v/>
      </c>
      <c r="CN72" s="1376">
        <f>IF(LEFT('6.Inland wetlands'!$I85,8)=LEFT($CJ$8,8),IF((OR(LEFT('6.Inland wetlands'!$K85,8)=LEFT(CN$5,8),LEFT('6.Inland wetlands'!$K85,8)=LEFT(AZ$3,8),LEFT('6.Inland wetlands'!$K85,8)=LEFT(AZ$4,8),LEFT('6.Inland wetlands'!$K85,8)=LEFT($AZ$5,8),LEFT('6.Inland wetlands'!$K85,8)=LEFT($AZ$6,8),LEFT('6.Inland wetlands'!$K85,8)=LEFT($AZ$7,8),LEFT('6.Inland wetlands'!$K85,8)=LEFT($AZ$8,8), LEFT('6.Inland wetlands'!$K85,8)=LEFT($AZ$9,8),  LEFT('6.Inland wetlands'!$K85,8)=LEFT($AZ$10,8), LEFT('6.Inland wetlands'!$K85,8)=LEFT($AZ$11,8),   LEFT('6.Inland wetlands'!$K85,8)=LEFT($AZ$12,8), LEFT('6.Inland wetlands'!$K85,8)=LEFT($AZ$13,8), LEFT('6.Inland wetlands'!$K85,8)=LEFT($AZ$14,8), LEFT('6.Inland wetlands'!$K85,8)=LEFT($AZ$15,8), LEFT('6.Inland wetlands'!$K85,8)=LEFT($AZ$16,8), LEFT('6.Inland wetlands'!$K85,8)=LEFT($AZ$17,8))),'6.Inland wetlands'!$P85,0),0)</f>
        <v/>
      </c>
      <c r="CO72" s="1377">
        <f>IF(LEFT('6.Inland wetlands'!$I85,8)=LEFT($CJ$8,8),IF(LEFT('6.Inland wetlands'!$K85,8)=LEFT(CO$5,8),'6.Inland wetlands'!$P85,0),0)</f>
        <v/>
      </c>
      <c r="CP72" s="1376">
        <f>IF(LEFT('6.Inland wetlands'!$I85,8)=LEFT($CJ$8,8),IF(LEFT('6.Inland wetlands'!$K85,8)=LEFT(CP$5,8),'6.Inland wetlands'!$P85,0),0)</f>
        <v/>
      </c>
      <c r="CQ72" s="973" t="n"/>
      <c r="CT72" s="973" t="n"/>
      <c r="CU72" s="1355" t="n"/>
      <c r="CV72" s="1377">
        <f>IF(LEFT('6.Inland wetlands'!$I85,8)=LEFT($CU$53,8),IF(LEFT('6.Inland wetlands'!$K85,8)=LEFT(CV$50,8),'6.Inland wetlands'!$P85,0),0)</f>
        <v/>
      </c>
      <c r="CW72" s="1377">
        <f>IF(LEFT('6.Inland wetlands'!$I85,8)=LEFT($CU$53,8),IF(LEFT('6.Inland wetlands'!$K85,8)=LEFT(CW$50,8),'6.Inland wetlands'!$P85,0),0)</f>
        <v/>
      </c>
      <c r="CX72" s="1377">
        <f>IF(LEFT('6.Inland wetlands'!$I85,8)=LEFT($CU$53,8),IF(LEFT('6.Inland wetlands'!$K85,8)=LEFT(CX$50,8),'6.Inland wetlands'!$P85,0),0)</f>
        <v/>
      </c>
      <c r="CY72" s="1376">
        <f>IF(LEFT('6.Inland wetlands'!$I85,8)=LEFT($CU$53,8),IF((OR(LEFT('6.Inland wetlands'!$K85,8)=LEFT($CY$50,8),LEFT('6.Inland wetlands'!$K85,8)=LEFT($AZ$3,8),LEFT('6.Inland wetlands'!$K85,8)=LEFT($AZ$4,8),LEFT('6.Inland wetlands'!$K85,8)=LEFT($AZ$5,8),LEFT('6.Inland wetlands'!$K85,8)=LEFT($AZ$6,8),LEFT('6.Inland wetlands'!$K85,8)=LEFT($AZ$7,8),LEFT('6.Inland wetlands'!$K85,8)=LEFT($AZ$8,8), LEFT('6.Inland wetlands'!$K85,8)=LEFT($AZ$9,8),  LEFT('6.Inland wetlands'!$K85,8)=LEFT($AZ$10,8), LEFT('6.Inland wetlands'!$K85,8)=LEFT($AZ$11,8),   LEFT('6.Inland wetlands'!$K85,8)=LEFT($AZ$12,8), LEFT('6.Inland wetlands'!$K85,8)=LEFT($AZ$13,8), LEFT('6.Inland wetlands'!$K85,8)=LEFT($AZ$14,8), LEFT('6.Inland wetlands'!$K85,8)=LEFT($AZ$15,8), LEFT('6.Inland wetlands'!$K85,8)=LEFT($AZ$16,8), LEFT('6.Inland wetlands'!$K85,8)=LEFT($AZ$17,8))),'6.Inland wetlands'!$P85,0),0)</f>
        <v/>
      </c>
      <c r="CZ72" s="1378">
        <f>IF(LEFT('6.Inland wetlands'!$I85,8)=LEFT($CU$53,8),IF(LEFT('6.Inland wetlands'!$K85,8)=LEFT(CZ$50,8),'6.Inland wetlands'!$P85,0),0)</f>
        <v/>
      </c>
      <c r="DA72" s="1376">
        <f>IF(LEFT('6.Inland wetlands'!$I85,8)=LEFT($CU$53,8),IF(LEFT('6.Inland wetlands'!$K85,8)=LEFT(DA$50,8),'6.Inland wetlands'!$P85,0),0)</f>
        <v/>
      </c>
      <c r="DB72" s="973" t="n"/>
      <c r="DE72" s="973" t="n"/>
      <c r="DF72" s="1355" t="n"/>
      <c r="DG72" s="1377">
        <f>IF(LEFT('6.Inland wetlands'!$I85,8)=LEFT($DF$53,8),IF(LEFT('6.Inland wetlands'!$K85,8)=LEFT(DG$50,8),'6.Inland wetlands'!$P85,0),0)</f>
        <v/>
      </c>
      <c r="DH72" s="1377">
        <f>IF(LEFT('6.Inland wetlands'!$I85,8)=LEFT($DF$53,8),IF(LEFT('6.Inland wetlands'!$K85,8)=LEFT(DH$50,8),'6.Inland wetlands'!$P85,0),0)</f>
        <v/>
      </c>
      <c r="DI72" s="1377">
        <f>IF(LEFT('6.Inland wetlands'!$I85,8)=LEFT($DF$53,8),IF(LEFT('6.Inland wetlands'!$K85,8)=LEFT(DI$50,8),'6.Inland wetlands'!$P85,0),0)</f>
        <v/>
      </c>
      <c r="DJ72" s="1376">
        <f>IF(LEFT('6.Inland wetlands'!$I85,8)=LEFT($DF$53,8),IF((OR(LEFT('6.Inland wetlands'!$K85,8)=LEFT($DJ55,8),LEFT('6.Inland wetlands'!$K85,8)=LEFT($AZ$3,8),LEFT('6.Inland wetlands'!$K85,8)=LEFT($AZ$4,8),LEFT('6.Inland wetlands'!$K85,8)=LEFT($AZ$5,8),LEFT('6.Inland wetlands'!$K85,8)=LEFT($AZ$6,8),LEFT('6.Inland wetlands'!$K85,8)=LEFT($AZ$7,8),LEFT('6.Inland wetlands'!$K85,8)=LEFT($AZ$8,8), LEFT('6.Inland wetlands'!$K85,8)=LEFT($AZ$9,8),  LEFT('6.Inland wetlands'!$K85,8)=LEFT($AZ$10,8), LEFT('6.Inland wetlands'!$K85,8)=LEFT($AZ$11,8),   LEFT('6.Inland wetlands'!$K85,8)=LEFT($AZ$12,8), LEFT('6.Inland wetlands'!$K85,8)=LEFT($AZ$13,8), LEFT('6.Inland wetlands'!$K85,8)=LEFT($AZ$14,8), LEFT('6.Inland wetlands'!$K85,8)=LEFT($AZ$15,8), LEFT('6.Inland wetlands'!$K85,8)=LEFT($AZ$16,8), LEFT('6.Inland wetlands'!$K85,8)=LEFT($AZ$17,8))),'6.Inland wetlands'!$P85,0),0)</f>
        <v/>
      </c>
      <c r="DK72" s="1377">
        <f>IF(LEFT('6.Inland wetlands'!$I85,8)=LEFT($DF$53,8),IF(LEFT('6.Inland wetlands'!$K85,8)=LEFT(DK$50,8),'6.Inland wetlands'!$P85,0),0)</f>
        <v/>
      </c>
      <c r="DL72" s="1376">
        <f>IF(LEFT('6.Inland wetlands'!$I85,8)=LEFT($DF$53,8),IF(LEFT('6.Inland wetlands'!$K85,8)=LEFT(DL$50,8),'6.Inland wetlands'!$P85,0),0)</f>
        <v/>
      </c>
    </row>
    <row r="73">
      <c r="F73" s="1370" t="n"/>
      <c r="G73" s="1393" t="inlineStr">
        <is>
          <t>Total area final with the project (ha)</t>
        </is>
      </c>
      <c r="H73" s="1394" t="n"/>
      <c r="I73" s="3141">
        <f>SUM(I66:I72)</f>
        <v/>
      </c>
      <c r="J73" s="3140">
        <f>SUM(J66:J72)</f>
        <v/>
      </c>
      <c r="K73" s="3140">
        <f>SUM(K66:K72)</f>
        <v/>
      </c>
      <c r="L73" s="3140">
        <f>SUM(L66:L72)</f>
        <v/>
      </c>
      <c r="M73" s="3140">
        <f>SUM(M66:M72)</f>
        <v/>
      </c>
      <c r="N73" s="3140">
        <f>SUM(N66:N72)</f>
        <v/>
      </c>
      <c r="O73" s="3140">
        <f>SUM(O66:O72)</f>
        <v/>
      </c>
      <c r="P73" s="3146">
        <f>SUM(P66:P72)</f>
        <v/>
      </c>
      <c r="S73" s="973" t="n"/>
      <c r="T73" s="1374" t="inlineStr">
        <is>
          <t xml:space="preserve">Total </t>
        </is>
      </c>
      <c r="U73" s="1374">
        <f>SUM(U67:U72)</f>
        <v/>
      </c>
      <c r="V73" s="1374">
        <f>SUM(V67:V72)</f>
        <v/>
      </c>
      <c r="W73" s="1374">
        <f>SUM(W67:W72)</f>
        <v/>
      </c>
      <c r="X73" s="1374">
        <f>SUM(X67:X72)</f>
        <v/>
      </c>
      <c r="Y73" s="1374">
        <f>SUM(Y67:Y72)</f>
        <v/>
      </c>
      <c r="Z73" s="1374">
        <f>SUM(Z67:Z72)</f>
        <v/>
      </c>
      <c r="AA73" s="1374">
        <f>SUM(AA67:AA72)</f>
        <v/>
      </c>
      <c r="AB73" s="973" t="n"/>
      <c r="AE73" s="1168" t="n"/>
      <c r="AF73" s="1374" t="inlineStr">
        <is>
          <t xml:space="preserve">Total </t>
        </is>
      </c>
      <c r="AG73" s="1124">
        <f>SUM(AG67:AG72)</f>
        <v/>
      </c>
      <c r="AH73" s="1124">
        <f>SUM(AH67:AH72)</f>
        <v/>
      </c>
      <c r="AI73" s="1124">
        <f>SUM(AI67:AI72)</f>
        <v/>
      </c>
      <c r="AJ73" s="1124">
        <f>SUM(AJ67:AJ72)</f>
        <v/>
      </c>
      <c r="AK73" s="1124">
        <f>SUM(AK67:AK72)</f>
        <v/>
      </c>
      <c r="AL73" s="1124">
        <f>SUM(AL67:AL72)</f>
        <v/>
      </c>
      <c r="AM73" s="1124">
        <f>SUM(AM67:AM72)</f>
        <v/>
      </c>
      <c r="AN73" s="973" t="n"/>
      <c r="AQ73" s="973" t="n"/>
      <c r="AR73" s="1380" t="inlineStr">
        <is>
          <t>Total</t>
        </is>
      </c>
      <c r="AS73" s="1380">
        <f>SUM(AS67:AS72)</f>
        <v/>
      </c>
      <c r="AT73" s="1380">
        <f>SUM(AT67:AT72)</f>
        <v/>
      </c>
      <c r="AU73" s="1380">
        <f>SUM(AU67:AU72)</f>
        <v/>
      </c>
      <c r="AV73" s="1380">
        <f>SUM(AV67:AV72)</f>
        <v/>
      </c>
      <c r="AW73" s="1380">
        <f>SUM(AW67:AW72)</f>
        <v/>
      </c>
      <c r="AX73" s="1380">
        <f>SUM(AX67:AX72)</f>
        <v/>
      </c>
      <c r="AZ73" s="1345" t="inlineStr">
        <is>
          <t>Silvoarable</t>
        </is>
      </c>
      <c r="BB73" s="973" t="n"/>
      <c r="BC73" s="1380" t="inlineStr">
        <is>
          <t>Total</t>
        </is>
      </c>
      <c r="BD73" s="1381">
        <f>SUM(BD67:BD72)</f>
        <v/>
      </c>
      <c r="BE73" s="1381">
        <f>SUM(BE67:BE72)</f>
        <v/>
      </c>
      <c r="BF73" s="1381">
        <f>SUM(BF67:BF72)</f>
        <v/>
      </c>
      <c r="BG73" s="1381">
        <f>SUM(BG67:BG72)</f>
        <v/>
      </c>
      <c r="BH73" s="1381">
        <f>SUM(BH67:BH72)</f>
        <v/>
      </c>
      <c r="BI73" s="1381">
        <f>SUM(BI67:BI72)</f>
        <v/>
      </c>
      <c r="BJ73" s="973" t="n"/>
      <c r="BM73" s="973" t="n"/>
      <c r="BN73" s="1380" t="inlineStr">
        <is>
          <t>Total</t>
        </is>
      </c>
      <c r="BO73" s="1381">
        <f>SUM(BO67:BO72)</f>
        <v/>
      </c>
      <c r="BP73" s="1381">
        <f>SUM(BP67:BP72)</f>
        <v/>
      </c>
      <c r="BQ73" s="1381">
        <f>SUM(BQ67:BQ72)</f>
        <v/>
      </c>
      <c r="BR73" s="1381">
        <f>SUM(BR67:BR72)</f>
        <v/>
      </c>
      <c r="BS73" s="1381">
        <f>SUM(BS67:BS72)</f>
        <v/>
      </c>
      <c r="BT73" s="1381">
        <f>SUM(BT67:BT72)</f>
        <v/>
      </c>
      <c r="BU73" s="973" t="n"/>
      <c r="BX73" s="973" t="n"/>
      <c r="BY73" s="1380" t="inlineStr">
        <is>
          <t>Total</t>
        </is>
      </c>
      <c r="BZ73" s="1382">
        <f>SUM(BZ67:BZ72)</f>
        <v/>
      </c>
      <c r="CA73" s="1382">
        <f>SUM(CA67:CA72)</f>
        <v/>
      </c>
      <c r="CB73" s="1382">
        <f>SUM(CB67:CB72)</f>
        <v/>
      </c>
      <c r="CC73" s="1382">
        <f>SUM(CC67:CC72)</f>
        <v/>
      </c>
      <c r="CD73" s="1382">
        <f>SUM(CD67:CD72)</f>
        <v/>
      </c>
      <c r="CE73" s="1382">
        <f>SUM(CE67:CE72)</f>
        <v/>
      </c>
      <c r="CF73" s="973" t="n"/>
      <c r="CI73" s="973" t="n"/>
      <c r="CJ73" s="1380" t="inlineStr">
        <is>
          <t>Total</t>
        </is>
      </c>
      <c r="CK73" s="1382">
        <f>SUM(CK67:CK72)</f>
        <v/>
      </c>
      <c r="CL73" s="1382">
        <f>SUM(CL67:CL72)</f>
        <v/>
      </c>
      <c r="CM73" s="1382">
        <f>SUM(CM67:CM72)</f>
        <v/>
      </c>
      <c r="CN73" s="1382">
        <f>SUM(CN67:CN72)</f>
        <v/>
      </c>
      <c r="CO73" s="1382">
        <f>SUM(CO67:CO72)</f>
        <v/>
      </c>
      <c r="CP73" s="1382">
        <f>SUM(CP67:CP72)</f>
        <v/>
      </c>
      <c r="CQ73" s="973" t="n"/>
      <c r="CT73" s="973" t="n"/>
      <c r="CU73" s="1380" t="inlineStr">
        <is>
          <t>Total</t>
        </is>
      </c>
      <c r="CV73" s="1382">
        <f>SUM(CV67:CV72)</f>
        <v/>
      </c>
      <c r="CW73" s="1382">
        <f>SUM(CW67:CW72)</f>
        <v/>
      </c>
      <c r="CX73" s="1382">
        <f>SUM(CX67:CX72)</f>
        <v/>
      </c>
      <c r="CY73" s="1382">
        <f>SUM(CY67:CY72)</f>
        <v/>
      </c>
      <c r="CZ73" s="1382">
        <f>SUM(CZ67:CZ72)</f>
        <v/>
      </c>
      <c r="DA73" s="1382">
        <f>SUM(DA67:DA72)</f>
        <v/>
      </c>
      <c r="DB73" s="973" t="n"/>
      <c r="DE73" s="973" t="n"/>
      <c r="DF73" s="1380" t="inlineStr">
        <is>
          <t>Total</t>
        </is>
      </c>
      <c r="DG73" s="1382">
        <f>SUM(DG67:DG72)</f>
        <v/>
      </c>
      <c r="DH73" s="1382">
        <f>SUM(DH67:DH72)</f>
        <v/>
      </c>
      <c r="DI73" s="1382">
        <f>SUM(DI67:DI72)</f>
        <v/>
      </c>
      <c r="DJ73" s="1382">
        <f>SUM(DJ67:DJ72)</f>
        <v/>
      </c>
      <c r="DK73" s="1382">
        <f>SUM(DK67:DK72)</f>
        <v/>
      </c>
      <c r="DL73" s="1383">
        <f>SUM(DL67:DL72)</f>
        <v/>
      </c>
    </row>
    <row r="74">
      <c r="F74" s="1765" t="inlineStr">
        <is>
          <t>*Annual includes Annual Cropland and Annual Fallow</t>
        </is>
      </c>
      <c r="J74" s="1765" t="inlineStr">
        <is>
          <t>Mangroves are accounted for within Forest</t>
        </is>
      </c>
      <c r="S74" s="973" t="n"/>
      <c r="T74" s="973" t="n"/>
      <c r="U74" s="973" t="n"/>
      <c r="V74" s="973" t="n"/>
      <c r="W74" s="973" t="n"/>
      <c r="X74" s="973" t="n"/>
      <c r="Y74" s="973" t="n"/>
      <c r="Z74" s="973" t="n"/>
      <c r="AA74" s="973" t="n"/>
      <c r="AB74" s="973" t="n"/>
      <c r="AE74" s="973" t="n"/>
      <c r="AF74" s="973" t="n"/>
      <c r="AG74" s="973" t="n"/>
      <c r="AH74" s="973" t="n"/>
      <c r="AI74" s="973" t="n"/>
      <c r="AJ74" s="973" t="n"/>
      <c r="AK74" s="973" t="n"/>
      <c r="AL74" s="973" t="n"/>
      <c r="AM74" s="973" t="n"/>
      <c r="AN74" s="973" t="n"/>
      <c r="AQ74" s="973" t="n"/>
      <c r="AZ74" s="1345" t="inlineStr">
        <is>
          <t>Silvopasture</t>
        </is>
      </c>
      <c r="BB74" s="973" t="n"/>
    </row>
    <row r="75">
      <c r="F75" s="1765" t="inlineStr">
        <is>
          <t>Tidal marshes are accounted for within Grassland</t>
        </is>
      </c>
      <c r="J75" s="1765" t="inlineStr">
        <is>
          <t>Land for peat extraction is accounted for within Degraded land</t>
        </is>
      </c>
      <c r="S75" s="973" t="n"/>
      <c r="T75" s="973" t="n"/>
      <c r="U75" s="973" t="n"/>
      <c r="V75" s="973" t="n"/>
      <c r="W75" s="973" t="n"/>
      <c r="X75" s="973" t="n"/>
      <c r="Y75" s="973" t="n"/>
      <c r="Z75" s="973" t="n"/>
      <c r="AA75" s="973" t="n"/>
      <c r="AB75" s="973" t="n"/>
      <c r="AE75" s="973" t="n"/>
      <c r="AF75" s="973" t="n"/>
      <c r="AG75" s="973" t="n"/>
      <c r="AH75" s="973" t="n"/>
      <c r="AI75" s="973" t="n"/>
      <c r="AJ75" s="973" t="n"/>
      <c r="AK75" s="973" t="n"/>
      <c r="AL75" s="973" t="n"/>
      <c r="AM75" s="973" t="n"/>
      <c r="AN75" s="973" t="n"/>
      <c r="AQ75" s="973" t="n"/>
      <c r="AZ75" s="1345" t="inlineStr">
        <is>
          <t>Tea</t>
        </is>
      </c>
      <c r="BB75" s="973" t="n"/>
      <c r="CQ75" s="973" t="n"/>
      <c r="CT75" s="973" t="n"/>
    </row>
    <row r="76">
      <c r="J76" s="1765" t="n"/>
      <c r="AQ76" s="973" t="n"/>
      <c r="AR76" s="973" t="n"/>
      <c r="AS76" s="973" t="n"/>
      <c r="AT76" s="973" t="n"/>
      <c r="AU76" s="973" t="n"/>
      <c r="AV76" s="973" t="n"/>
      <c r="AW76" s="973" t="n"/>
      <c r="AX76" s="973" t="n"/>
      <c r="AZ76" s="1384" t="inlineStr">
        <is>
          <t>Vine</t>
        </is>
      </c>
      <c r="BB76" s="973" t="n"/>
      <c r="BC76" s="973" t="n"/>
      <c r="BD76" s="973" t="n"/>
      <c r="BE76" s="973" t="n"/>
      <c r="BF76" s="973" t="n"/>
      <c r="BG76" s="973" t="n"/>
      <c r="BH76" s="973" t="n"/>
      <c r="BI76" s="973" t="n"/>
      <c r="BJ76" s="973" t="n"/>
      <c r="BM76" s="973" t="n"/>
      <c r="BN76" s="973" t="n"/>
      <c r="BO76" s="973" t="n"/>
      <c r="BP76" s="973" t="n"/>
      <c r="BQ76" s="973" t="n"/>
      <c r="BR76" s="973" t="n"/>
      <c r="BS76" s="973" t="n"/>
      <c r="BT76" s="973" t="n"/>
      <c r="BU76" s="973" t="n"/>
      <c r="BX76" s="973" t="n"/>
      <c r="BY76" s="973" t="n"/>
      <c r="BZ76" s="973" t="n"/>
      <c r="CA76" s="973" t="n"/>
      <c r="CB76" s="973" t="n"/>
      <c r="CC76" s="973" t="n"/>
      <c r="CD76" s="973" t="n"/>
      <c r="CE76" s="973" t="n"/>
      <c r="CF76" s="973" t="n"/>
      <c r="CI76" s="973" t="n"/>
      <c r="CJ76" s="973" t="n"/>
      <c r="CK76" s="973" t="n"/>
      <c r="CL76" s="973" t="n"/>
      <c r="CM76" s="973" t="n"/>
      <c r="CN76" s="973" t="n"/>
      <c r="CO76" s="973" t="n"/>
      <c r="CP76" s="973" t="n"/>
      <c r="CQ76" s="973" t="n"/>
      <c r="CT76" s="973" t="n"/>
      <c r="CU76" s="973" t="n"/>
      <c r="CV76" s="973" t="n"/>
      <c r="CW76" s="973" t="n"/>
      <c r="CX76" s="973" t="n"/>
      <c r="CY76" s="973" t="n"/>
      <c r="CZ76" s="973" t="n"/>
      <c r="DA76" s="973" t="n"/>
      <c r="DB76" s="973" t="n"/>
      <c r="DE76" s="973" t="n"/>
      <c r="DF76" s="973" t="n"/>
      <c r="DG76" s="973" t="n"/>
      <c r="DH76" s="973" t="n"/>
      <c r="DI76" s="973" t="n"/>
      <c r="DJ76" s="973" t="n"/>
      <c r="DK76" s="973" t="n"/>
      <c r="DL76" s="973" t="n"/>
      <c r="DM76" s="973" t="n"/>
      <c r="DN76" s="973" t="n"/>
    </row>
    <row r="77">
      <c r="F77" s="1765" t="n"/>
      <c r="BX77" s="973" t="n"/>
      <c r="BY77" s="973" t="n"/>
      <c r="BZ77" s="973" t="n"/>
      <c r="CA77" s="973" t="n"/>
      <c r="CB77" s="973" t="n"/>
      <c r="CC77" s="973" t="n"/>
      <c r="CD77" s="973" t="n"/>
      <c r="CE77" s="973" t="n"/>
      <c r="CF77" s="973" t="n"/>
      <c r="CJ77" s="973" t="n"/>
      <c r="CK77" s="973" t="n"/>
      <c r="CL77" s="973" t="n"/>
      <c r="CM77" s="973" t="n"/>
      <c r="CN77" s="973" t="n"/>
      <c r="CO77" s="973" t="n"/>
      <c r="CP77" s="973" t="n"/>
      <c r="CQ77" s="973" t="n"/>
      <c r="CT77" s="973" t="n"/>
      <c r="DB77" s="973" t="n"/>
      <c r="DE77" s="973" t="n"/>
      <c r="DF77" s="973" t="n"/>
      <c r="DG77" s="973" t="n"/>
      <c r="DH77" s="973" t="n"/>
      <c r="DI77" s="973" t="n"/>
      <c r="DJ77" s="973" t="n"/>
      <c r="DK77" s="973" t="n"/>
      <c r="DL77" s="973" t="n"/>
      <c r="DM77" s="973" t="n"/>
      <c r="DN77" s="973" t="n"/>
    </row>
    <row r="78">
      <c r="D78" s="1324" t="inlineStr">
        <is>
          <t>Start</t>
        </is>
      </c>
      <c r="E78" s="1324" t="inlineStr">
        <is>
          <t>without</t>
        </is>
      </c>
      <c r="F78" s="1324" t="inlineStr">
        <is>
          <t>with</t>
        </is>
      </c>
    </row>
    <row r="79">
      <c r="C79" s="4025" t="inlineStr">
        <is>
          <t>Drained areas</t>
        </is>
      </c>
    </row>
    <row r="80">
      <c r="C80" s="4025" t="inlineStr">
        <is>
          <t>Rewetted areas</t>
        </is>
      </c>
    </row>
    <row r="81">
      <c r="C81" s="4025" t="inlineStr">
        <is>
          <t>undrained areas</t>
        </is>
      </c>
    </row>
  </sheetData>
  <pageMargins left="0.7" right="0.7" top="0.75" bottom="0.75" header="0.3" footer="0.3"/>
  <pageSetup orientation="portrait" paperSize="9" horizontalDpi="300" verticalDpi="300"/>
  <legacyDrawing r:id="anysvml"/>
</worksheet>
</file>

<file path=xl/worksheets/sheet38.xml><?xml version="1.0" encoding="utf-8"?>
<worksheet xmlns="http://schemas.openxmlformats.org/spreadsheetml/2006/main">
  <sheetPr>
    <tabColor rgb="FF00B050"/>
    <outlinePr summaryBelow="1" summaryRight="1"/>
    <pageSetUpPr/>
  </sheetPr>
  <dimension ref="A2:DH408"/>
  <sheetViews>
    <sheetView topLeftCell="A97" workbookViewId="0">
      <pane xSplit="1" topLeftCell="B1" activePane="topRight" state="frozen"/>
      <selection activeCell="O30" sqref="O30"/>
      <selection pane="topRight" activeCell="C106" sqref="C106"/>
    </sheetView>
  </sheetViews>
  <sheetFormatPr baseColWidth="10" defaultColWidth="9.33203125" defaultRowHeight="15"/>
  <cols>
    <col width="23.5" customWidth="1" min="1" max="1"/>
    <col width="23" customWidth="1" min="2" max="2"/>
    <col width="17.5" customWidth="1" min="3" max="3"/>
    <col width="49" customWidth="1" min="4" max="4"/>
    <col width="40.5" customWidth="1" min="5" max="5"/>
    <col width="29.33203125" customWidth="1" min="6" max="6"/>
    <col hidden="1" width="29.33203125" customWidth="1" min="7" max="7"/>
    <col hidden="1" width="8.33203125" customWidth="1" min="8" max="8"/>
    <col width="11.33203125" customWidth="1" min="9" max="9"/>
    <col width="28.5" customWidth="1" min="10" max="10"/>
    <col width="24.33203125" customWidth="1" min="11" max="11"/>
    <col width="20.6640625" customWidth="1" min="12" max="12"/>
    <col width="13.33203125" bestFit="1" customWidth="1" min="13" max="13"/>
    <col width="15.33203125" bestFit="1" customWidth="1" min="14" max="14"/>
    <col width="12" bestFit="1" customWidth="1" min="15" max="15"/>
    <col width="12.33203125" bestFit="1" customWidth="1" min="25" max="25"/>
    <col width="15.5" bestFit="1" customWidth="1" min="32" max="32"/>
    <col width="11.5" bestFit="1" customWidth="1" min="60" max="60"/>
    <col width="12.33203125" bestFit="1" customWidth="1" min="61" max="61"/>
  </cols>
  <sheetData>
    <row r="2" ht="32" customFormat="1" customHeight="1" s="4395">
      <c r="B2" s="4395" t="inlineStr">
        <is>
          <t>User notes</t>
        </is>
      </c>
      <c r="C2" s="4395" t="inlineStr">
        <is>
          <t>Activity</t>
        </is>
      </c>
      <c r="D2" s="4395" t="inlineStr">
        <is>
          <t>Balance</t>
        </is>
      </c>
      <c r="E2" s="4395" t="inlineStr">
        <is>
          <t>Start year of activity implementation (in project years)</t>
        </is>
      </c>
      <c r="F2" s="4395" t="inlineStr">
        <is>
          <t>End year of activity implementation (in project years)</t>
        </is>
      </c>
      <c r="G2" t="inlineStr">
        <is>
          <t>Dynamic of change WOP</t>
        </is>
      </c>
      <c r="H2" t="inlineStr">
        <is>
          <t>Dynamic of change WP</t>
        </is>
      </c>
      <c r="I2" s="4395" t="inlineStr">
        <is>
          <t>Aggregate DOC</t>
        </is>
      </c>
      <c r="J2" s="4395" t="inlineStr">
        <is>
          <t>Balance - IMPLEMENTATION</t>
        </is>
      </c>
      <c r="K2" s="4395" t="inlineStr">
        <is>
          <t>Balance - CAPITALIZATION</t>
        </is>
      </c>
      <c r="L2" s="4395" t="inlineStr">
        <is>
          <t>Year by year</t>
        </is>
      </c>
      <c r="M2" s="4395" t="n">
        <v>1</v>
      </c>
      <c r="N2" s="4395" t="n">
        <v>2</v>
      </c>
      <c r="O2" s="4395" t="n">
        <v>3</v>
      </c>
      <c r="P2" s="4395" t="n">
        <v>4</v>
      </c>
      <c r="Q2" s="4395" t="n">
        <v>5</v>
      </c>
      <c r="R2" s="4395" t="n">
        <v>6</v>
      </c>
      <c r="S2" s="4395" t="n">
        <v>7</v>
      </c>
      <c r="T2" s="4395" t="n">
        <v>8</v>
      </c>
      <c r="U2" s="4395" t="n">
        <v>9</v>
      </c>
      <c r="V2" s="4395" t="n">
        <v>10</v>
      </c>
      <c r="W2" s="4395" t="n">
        <v>11</v>
      </c>
      <c r="X2" s="4395" t="n">
        <v>12</v>
      </c>
      <c r="Y2" s="4395" t="n">
        <v>13</v>
      </c>
      <c r="Z2" s="4395" t="n">
        <v>14</v>
      </c>
      <c r="AA2" s="4395" t="n">
        <v>15</v>
      </c>
      <c r="AB2" s="4395" t="n">
        <v>16</v>
      </c>
      <c r="AC2" s="4395" t="n">
        <v>17</v>
      </c>
      <c r="AD2" s="4395" t="n">
        <v>18</v>
      </c>
      <c r="AE2" s="4395" t="n">
        <v>19</v>
      </c>
      <c r="AF2" s="4395" t="n">
        <v>20</v>
      </c>
      <c r="AG2" s="4395" t="n">
        <v>21</v>
      </c>
      <c r="AH2" s="4395" t="n">
        <v>22</v>
      </c>
      <c r="AI2" s="4395" t="n">
        <v>23</v>
      </c>
      <c r="AJ2" s="4395" t="n">
        <v>24</v>
      </c>
      <c r="AK2" s="4395" t="n">
        <v>25</v>
      </c>
      <c r="AL2" s="4395" t="n">
        <v>26</v>
      </c>
      <c r="AM2" s="4395" t="n">
        <v>27</v>
      </c>
      <c r="AN2" s="4395" t="n">
        <v>28</v>
      </c>
      <c r="AO2" s="4395" t="n">
        <v>29</v>
      </c>
      <c r="AP2" s="4395" t="n">
        <v>30</v>
      </c>
      <c r="AQ2" s="4395" t="n">
        <v>31</v>
      </c>
      <c r="AR2" s="4395" t="n">
        <v>32</v>
      </c>
      <c r="AS2" s="4395" t="n">
        <v>33</v>
      </c>
      <c r="AT2" s="4395" t="n">
        <v>34</v>
      </c>
      <c r="AU2" s="4395" t="n">
        <v>35</v>
      </c>
      <c r="AV2" s="4395" t="n">
        <v>36</v>
      </c>
      <c r="AW2" s="4395" t="n">
        <v>37</v>
      </c>
      <c r="AX2" s="4395" t="n">
        <v>38</v>
      </c>
      <c r="AY2" s="4395" t="n">
        <v>39</v>
      </c>
      <c r="AZ2" s="4395" t="n">
        <v>40</v>
      </c>
      <c r="BA2" s="4395" t="n">
        <v>41</v>
      </c>
      <c r="BB2" s="4395" t="n">
        <v>42</v>
      </c>
      <c r="BC2" s="4395" t="n">
        <v>43</v>
      </c>
      <c r="BD2" s="4395" t="n">
        <v>44</v>
      </c>
      <c r="BE2" s="4395" t="n">
        <v>45</v>
      </c>
      <c r="BF2" s="4395" t="n">
        <v>46</v>
      </c>
      <c r="BG2" s="4395" t="n">
        <v>47</v>
      </c>
      <c r="BH2" s="4395" t="n">
        <v>48</v>
      </c>
      <c r="BI2" s="4395" t="n">
        <v>49</v>
      </c>
      <c r="BJ2" s="4395" t="n">
        <v>50</v>
      </c>
    </row>
    <row r="3" customFormat="1" s="4395"/>
    <row r="4" ht="16" customFormat="1" customHeight="1" s="4395">
      <c r="A4" s="4396" t="inlineStr">
        <is>
          <t>Simple total balance</t>
        </is>
      </c>
      <c r="B4" s="4396" t="inlineStr">
        <is>
          <t>GHG fluxes</t>
        </is>
      </c>
      <c r="C4" s="4396" t="inlineStr">
        <is>
          <t>All</t>
        </is>
      </c>
      <c r="D4" s="4397">
        <f>'10.Results'!F131</f>
        <v/>
      </c>
      <c r="E4" s="4396" t="n">
        <v>1</v>
      </c>
      <c r="F4" s="784">
        <f>time</f>
        <v/>
      </c>
      <c r="G4" s="784" t="n"/>
      <c r="H4" s="4396" t="inlineStr">
        <is>
          <t>D</t>
        </is>
      </c>
      <c r="I4" s="4396" t="n"/>
      <c r="J4" s="4396">
        <f>D4/((F4-E4+1)*VLOOKUP(H4,list!$I$48:$K$50,3)+(time_cap))*time*VLOOKUP(H4,list!$I$48:$K$50,3)</f>
        <v/>
      </c>
      <c r="K4" s="4396">
        <f>D4/((F4-E4+1)*VLOOKUP(H4,list!$I$48:$K$50,3)+(time_cap))*time_cap</f>
        <v/>
      </c>
      <c r="L4" s="4396" t="inlineStr">
        <is>
          <t>Annual fluxes</t>
        </is>
      </c>
      <c r="M4" s="4396">
        <f>IF(2+$F4-$E4&gt;=N$2, $J4/$F4, 0)+IF(IF(2+$F4-$E4&gt;=N$2, $J4/$F4, 0) = 0, $K4/(20-$F4),0)</f>
        <v/>
      </c>
      <c r="N4" s="4396">
        <f>IF(2+$F4-$E4&gt;=O$2, $J4/$F4, 0)+IF(IF(2+$F4-$E4&gt;=O$2, $J4/$F4, 0) = 0, $K4/(20-$F4),0)</f>
        <v/>
      </c>
      <c r="O4" s="4396">
        <f>IF(2+$F4-$E4&gt;=P$2, $J4/$F4, 0)+IF(IF(2+$F4-$E4&gt;=P$2, $J4/$F4, 0) = 0, $K4/(20-$F4),0)</f>
        <v/>
      </c>
      <c r="P4" s="4396">
        <f>IF(2+$F4-$E4&gt;=Q$2, $J4/$F4, 0)+IF(IF(2+$F4-$E4&gt;=Q$2, $J4/$F4, 0) = 0, $K4/(20-$F4),0)</f>
        <v/>
      </c>
      <c r="Q4" s="4396">
        <f>IF(2+$F4-$E4&gt;=R$2, $J4/$F4, 0)+IF(IF(2+$F4-$E4&gt;=R$2, $J4/$F4, 0) = 0, $K4/(20-$F4),0)</f>
        <v/>
      </c>
      <c r="R4" s="4396">
        <f>IF(2+$F4-$E4&gt;=S$2, $J4/$F4, 0)+IF(IF(2+$F4-$E4&gt;=S$2, $J4/$F4, 0) = 0, $K4/(20-$F4),0)</f>
        <v/>
      </c>
      <c r="S4" s="4396">
        <f>IF(2+$F4-$E4&gt;=T$2, $J4/$F4, 0)+IF(IF(2+$F4-$E4&gt;=T$2, $J4/$F4, 0) = 0, $K4/(20-$F4),0)</f>
        <v/>
      </c>
      <c r="T4" s="4396">
        <f>IF(2+$F4-$E4&gt;=U$2, $J4/$F4, 0)+IF(IF(2+$F4-$E4&gt;=U$2, $J4/$F4, 0) = 0, $K4/(20-$F4),0)</f>
        <v/>
      </c>
      <c r="U4" s="4396">
        <f>IF(2+$F4-$E4&gt;=V$2, $J4/$F4, 0)+IF(IF(2+$F4-$E4&gt;=V$2, $J4/$F4, 0) = 0, $K4/(20-$F4),0)</f>
        <v/>
      </c>
      <c r="V4" s="4396">
        <f>IF(2+$F4-$E4&gt;=W$2, $J4/$F4, 0)+IF(IF(2+$F4-$E4&gt;=W$2, $J4/$F4, 0) = 0, $K4/(20-$F4),0)</f>
        <v/>
      </c>
      <c r="W4" s="4396">
        <f>IF(2+$F4-$E4&gt;=X$2, $J4/$F4, 0)+IF(IF(2+$F4-$E4&gt;=X$2, $J4/$F4, 0) = 0, $K4/(20-$F4),0)</f>
        <v/>
      </c>
      <c r="X4" s="4396">
        <f>IF(2+$F4-$E4&gt;=Y$2, $J4/$F4, 0)+IF(IF(2+$F4-$E4&gt;=Y$2, $J4/$F4, 0) = 0, $K4/(20-$F4),0)</f>
        <v/>
      </c>
      <c r="Y4" s="4396">
        <f>IF(2+$F4-$E4&gt;=Z$2, $J4/$F4, 0)+IF(IF(2+$F4-$E4&gt;=Z$2, $J4/$F4, 0) = 0, $K4/(20-$F4),0)</f>
        <v/>
      </c>
      <c r="Z4" s="4396">
        <f>IF(2+$F4-$E4&gt;=AA$2, $J4/$F4, 0)+IF(IF(2+$F4-$E4&gt;=AA$2, $J4/$F4, 0) = 0, $K4/(20-$F4),0)</f>
        <v/>
      </c>
      <c r="AA4" s="4396">
        <f>IF(2+$F4-$E4&gt;=AB$2, $J4/$F4, 0)+IF(IF(2+$F4-$E4&gt;=AB$2, $J4/$F4, 0) = 0, $K4/(20-$F4),0)</f>
        <v/>
      </c>
      <c r="AB4" s="4396">
        <f>IF(2+$F4-$E4&gt;=AC$2, $J4/$F4, 0)+IF(IF(2+$F4-$E4&gt;=AC$2, $J4/$F4, 0) = 0, $K4/(20-$F4),0)</f>
        <v/>
      </c>
      <c r="AC4" s="4396">
        <f>IF(2+$F4-$E4&gt;=AD$2, $J4/$F4, 0)+IF(IF(2+$F4-$E4&gt;=AD$2, $J4/$F4, 0) = 0, $K4/(20-$F4),0)</f>
        <v/>
      </c>
      <c r="AD4" s="4396">
        <f>IF(2+$F4-$E4&gt;=AE$2, $J4/$F4, 0)+IF(IF(2+$F4-$E4&gt;=AE$2, $J4/$F4, 0) = 0, $K4/(20-$F4),0)</f>
        <v/>
      </c>
      <c r="AE4" s="4396">
        <f>IF(2+$F4-$E4&gt;=AF$2, $J4/$F4, 0)+IF(IF(2+$F4-$E4&gt;=AF$2, $J4/$F4, 0) = 0, $K4/(20-$F4),0)</f>
        <v/>
      </c>
      <c r="AF4" s="4396">
        <f>IF(2+$F4-$E4&gt;=AG$2, $J4/$F4, 0)+IF(IF(2+$F4-$E4&gt;=AG$2, $J4/$F4, 0) = 0, $K4/(20-$F4),0)</f>
        <v/>
      </c>
      <c r="AG4" s="4396">
        <f>IF(2+$F4-$E4&gt;=AH$2, $J4/$F4, 0)+IF(IF(2+$F4-$E4&gt;=AH$2, $J4/$F4, 0) = 0, $K4/(20-$F4),0)</f>
        <v/>
      </c>
      <c r="AH4" s="4396">
        <f>IF(2+$F4-$E4&gt;=AI$2, $J4/$F4, 0)+IF(IF(2+$F4-$E4&gt;=AI$2, $J4/$F4, 0) = 0, $K4/(20-$F4),0)</f>
        <v/>
      </c>
      <c r="AI4" s="4396">
        <f>IF(2+$F4-$E4&gt;=AJ$2, $J4/$F4, 0)+IF(IF(2+$F4-$E4&gt;=AJ$2, $J4/$F4, 0) = 0, $K4/(20-$F4),0)</f>
        <v/>
      </c>
      <c r="AJ4" s="4396">
        <f>IF(2+$F4-$E4&gt;=AK$2, $J4/$F4, 0)+IF(IF(2+$F4-$E4&gt;=AK$2, $J4/$F4, 0) = 0, $K4/(20-$F4),0)</f>
        <v/>
      </c>
      <c r="AK4" s="4396">
        <f>IF(2+$F4-$E4&gt;=AL$2, $J4/$F4, 0)+IF(IF(2+$F4-$E4&gt;=AL$2, $J4/$F4, 0) = 0, $K4/(20-$F4),0)</f>
        <v/>
      </c>
      <c r="AL4" s="4396">
        <f>IF(2+$F4-$E4&gt;=AM$2, $J4/$F4, 0)+IF(IF(2+$F4-$E4&gt;=AM$2, $J4/$F4, 0) = 0, $K4/(20-$F4),0)</f>
        <v/>
      </c>
      <c r="AM4" s="4396">
        <f>IF(2+$F4-$E4&gt;=AN$2, $J4/$F4, 0)+IF(IF(2+$F4-$E4&gt;=AN$2, $J4/$F4, 0) = 0, $K4/(20-$F4),0)</f>
        <v/>
      </c>
      <c r="AN4" s="4396">
        <f>IF(2+$F4-$E4&gt;=AO$2, $J4/$F4, 0)+IF(IF(2+$F4-$E4&gt;=AO$2, $J4/$F4, 0) = 0, $K4/(20-$F4),0)</f>
        <v/>
      </c>
      <c r="AO4" s="4396">
        <f>IF(2+$F4-$E4&gt;=AP$2, $J4/$F4, 0)+IF(IF(2+$F4-$E4&gt;=AP$2, $J4/$F4, 0) = 0, $K4/(20-$F4),0)</f>
        <v/>
      </c>
      <c r="AP4" s="4396">
        <f>IF(2+$F4-$E4&gt;=AQ$2, $J4/$F4, 0)+IF(IF(2+$F4-$E4&gt;=AQ$2, $J4/$F4, 0) = 0, $K4/(20-$F4),0)</f>
        <v/>
      </c>
      <c r="AQ4" s="4396">
        <f>IF(2+$F4-$E4&gt;=AR$2, $J4/$F4, 0)+IF(IF(2+$F4-$E4&gt;=AR$2, $J4/$F4, 0) = 0, $K4/(20-$F4),0)</f>
        <v/>
      </c>
      <c r="AR4" s="4396">
        <f>IF(2+$F4-$E4&gt;=AS$2, $J4/$F4, 0)+IF(IF(2+$F4-$E4&gt;=AS$2, $J4/$F4, 0) = 0, $K4/(20-$F4),0)</f>
        <v/>
      </c>
      <c r="AS4" s="4396">
        <f>IF(2+$F4-$E4&gt;=AT$2, $J4/$F4, 0)+IF(IF(2+$F4-$E4&gt;=AT$2, $J4/$F4, 0) = 0, $K4/(20-$F4),0)</f>
        <v/>
      </c>
      <c r="AT4" s="4396">
        <f>IF(2+$F4-$E4&gt;=AU$2, $J4/$F4, 0)+IF(IF(2+$F4-$E4&gt;=AU$2, $J4/$F4, 0) = 0, $K4/(20-$F4),0)</f>
        <v/>
      </c>
      <c r="AU4" s="4396">
        <f>IF(2+$F4-$E4&gt;=AV$2, $J4/$F4, 0)+IF(IF(2+$F4-$E4&gt;=AV$2, $J4/$F4, 0) = 0, $K4/(20-$F4),0)</f>
        <v/>
      </c>
      <c r="AV4" s="4396">
        <f>IF(2+$F4-$E4&gt;=AW$2, $J4/$F4, 0)+IF(IF(2+$F4-$E4&gt;=AW$2, $J4/$F4, 0) = 0, $K4/(20-$F4),0)</f>
        <v/>
      </c>
      <c r="AW4" s="4396">
        <f>IF(2+$F4-$E4&gt;=AX$2, $J4/$F4, 0)+IF(IF(2+$F4-$E4&gt;=AX$2, $J4/$F4, 0) = 0, $K4/(20-$F4),0)</f>
        <v/>
      </c>
      <c r="AX4" s="4396">
        <f>IF(2+$F4-$E4&gt;=AY$2, $J4/$F4, 0)+IF(IF(2+$F4-$E4&gt;=AY$2, $J4/$F4, 0) = 0, $K4/(20-$F4),0)</f>
        <v/>
      </c>
      <c r="AY4" s="4396">
        <f>IF(2+$F4-$E4&gt;=AZ$2, $J4/$F4, 0)+IF(IF(2+$F4-$E4&gt;=AZ$2, $J4/$F4, 0) = 0, $K4/(20-$F4),0)</f>
        <v/>
      </c>
      <c r="AZ4" s="4396">
        <f>IF(2+$F4-$E4&gt;=BA$2, $J4/$F4, 0)+IF(IF(2+$F4-$E4&gt;=BA$2, $J4/$F4, 0) = 0, $K4/(20-$F4),0)</f>
        <v/>
      </c>
      <c r="BA4" s="4396">
        <f>IF(2+$F4-$E4&gt;=BB$2, $J4/$F4, 0)+IF(IF(2+$F4-$E4&gt;=BB$2, $J4/$F4, 0) = 0, $K4/(20-$F4),0)</f>
        <v/>
      </c>
      <c r="BB4" s="4396">
        <f>IF(2+$F4-$E4&gt;=BC$2, $J4/$F4, 0)+IF(IF(2+$F4-$E4&gt;=BC$2, $J4/$F4, 0) = 0, $K4/(20-$F4),0)</f>
        <v/>
      </c>
      <c r="BC4" s="4396">
        <f>IF(2+$F4-$E4&gt;=BD$2, $J4/$F4, 0)+IF(IF(2+$F4-$E4&gt;=BD$2, $J4/$F4, 0) = 0, $K4/(20-$F4),0)</f>
        <v/>
      </c>
      <c r="BD4" s="4396">
        <f>IF(2+$F4-$E4&gt;=BE$2, $J4/$F4, 0)+IF(IF(2+$F4-$E4&gt;=BE$2, $J4/$F4, 0) = 0, $K4/(20-$F4),0)</f>
        <v/>
      </c>
      <c r="BE4" s="4396">
        <f>IF(2+$F4-$E4&gt;=BF$2, $J4/$F4, 0)+IF(IF(2+$F4-$E4&gt;=BF$2, $J4/$F4, 0) = 0, $K4/(20-$F4),0)</f>
        <v/>
      </c>
      <c r="BF4" s="4396">
        <f>IF(2+$F4-$E4&gt;=BG$2, $J4/$F4, 0)+IF(IF(2+$F4-$E4&gt;=BG$2, $J4/$F4, 0) = 0, $K4/(20-$F4),0)</f>
        <v/>
      </c>
      <c r="BG4" s="4396">
        <f>IF(2+$F4-$E4&gt;=BH$2, $J4/$F4, 0)+IF(IF(2+$F4-$E4&gt;=BH$2, $J4/$F4, 0) = 0, $K4/(20-$F4),0)</f>
        <v/>
      </c>
      <c r="BH4" s="4396">
        <f>IF(2+$F4-$E4&gt;=BI$2, $J4/$F4, 0)+IF(IF(2+$F4-$E4&gt;=BI$2, $J4/$F4, 0) = 0, $K4/(20-$F4),0)</f>
        <v/>
      </c>
      <c r="BI4" s="4396">
        <f>IF(2+$F4-$E4&gt;=BJ$2, $J4/$F4, 0)+IF(IF(2+$F4-$E4&gt;=BJ$2, $J4/$F4, 0) = 0, $K4/(20-$F4),0)</f>
        <v/>
      </c>
      <c r="BJ4" s="4396">
        <f>IF(2+$F4-$E4&gt;=BK$2, $J4/$F4, 0)+IF(IF(2+$F4-$E4&gt;=BK$2, $J4/$F4, 0) = 0, $K4/(20-$F4),0)</f>
        <v/>
      </c>
    </row>
    <row r="5" ht="16" customFormat="1" customHeight="1" s="4395">
      <c r="A5" s="4396" t="n"/>
      <c r="B5" s="4396" t="inlineStr">
        <is>
          <t>Cumulative balance</t>
        </is>
      </c>
      <c r="C5" s="4396" t="n"/>
      <c r="D5" s="4397" t="n"/>
      <c r="E5" s="4396" t="n"/>
      <c r="F5" s="784" t="n"/>
      <c r="G5" s="784" t="n"/>
      <c r="H5" s="4396" t="n"/>
      <c r="I5" s="4396" t="n"/>
      <c r="J5" s="4396" t="n"/>
      <c r="K5" s="4396" t="n"/>
      <c r="L5" s="4396" t="inlineStr">
        <is>
          <t>Cumulative</t>
        </is>
      </c>
      <c r="M5" s="4396">
        <f>M4</f>
        <v/>
      </c>
      <c r="N5" s="4396">
        <f>M5+N4</f>
        <v/>
      </c>
      <c r="O5" s="4396">
        <f>N5+O4</f>
        <v/>
      </c>
      <c r="P5" s="4396">
        <f>O5+P4</f>
        <v/>
      </c>
      <c r="Q5" s="4396">
        <f>P5+Q4</f>
        <v/>
      </c>
      <c r="R5" s="4396">
        <f>Q5+R4</f>
        <v/>
      </c>
      <c r="S5" s="4396">
        <f>R5+S4</f>
        <v/>
      </c>
      <c r="T5" s="4396">
        <f>S5+T4</f>
        <v/>
      </c>
      <c r="U5" s="4396">
        <f>T5+U4</f>
        <v/>
      </c>
      <c r="V5" s="4396">
        <f>U5+V4</f>
        <v/>
      </c>
      <c r="W5" s="4396">
        <f>V5+W4</f>
        <v/>
      </c>
      <c r="X5" s="4396">
        <f>W5+X4</f>
        <v/>
      </c>
      <c r="Y5" s="4396">
        <f>X5+Y4</f>
        <v/>
      </c>
      <c r="Z5" s="4396">
        <f>Y5+Z4</f>
        <v/>
      </c>
      <c r="AA5" s="4396">
        <f>Z5+AA4</f>
        <v/>
      </c>
      <c r="AB5" s="4396">
        <f>AA5+AB4</f>
        <v/>
      </c>
      <c r="AC5" s="4396">
        <f>AB5+AC4</f>
        <v/>
      </c>
      <c r="AD5" s="4396">
        <f>AC5+AD4</f>
        <v/>
      </c>
      <c r="AE5" s="4396">
        <f>AD5+AE4</f>
        <v/>
      </c>
      <c r="AF5" s="4396">
        <f>AE5+AF4</f>
        <v/>
      </c>
      <c r="AG5" s="4396">
        <f>AF5+AG4</f>
        <v/>
      </c>
      <c r="AH5" s="4396">
        <f>AG5+AH4</f>
        <v/>
      </c>
      <c r="AI5" s="4396">
        <f>AH5+AI4</f>
        <v/>
      </c>
      <c r="AJ5" s="4396">
        <f>AI5+AJ4</f>
        <v/>
      </c>
      <c r="AK5" s="4396">
        <f>AJ5+AK4</f>
        <v/>
      </c>
      <c r="AL5" s="4396">
        <f>AK5+AL4</f>
        <v/>
      </c>
      <c r="AM5" s="4396">
        <f>AL5+AM4</f>
        <v/>
      </c>
      <c r="AN5" s="4396">
        <f>AM5+AN4</f>
        <v/>
      </c>
      <c r="AO5" s="4396">
        <f>AN5+AO4</f>
        <v/>
      </c>
      <c r="AP5" s="4396">
        <f>AO5+AP4</f>
        <v/>
      </c>
      <c r="AQ5" s="4396">
        <f>AP5+AQ4</f>
        <v/>
      </c>
      <c r="AR5" s="4396">
        <f>AQ5+AR4</f>
        <v/>
      </c>
      <c r="AS5" s="4396">
        <f>AR5+AS4</f>
        <v/>
      </c>
      <c r="AT5" s="4396">
        <f>AS5+AT4</f>
        <v/>
      </c>
      <c r="AU5" s="4396">
        <f>AT5+AU4</f>
        <v/>
      </c>
      <c r="AV5" s="4396">
        <f>AU5+AV4</f>
        <v/>
      </c>
      <c r="AW5" s="4396">
        <f>AV5+AW4</f>
        <v/>
      </c>
      <c r="AX5" s="4396">
        <f>AW5+AX4</f>
        <v/>
      </c>
      <c r="AY5" s="4396">
        <f>AX5+AY4</f>
        <v/>
      </c>
      <c r="AZ5" s="4396">
        <f>AY5+AZ4</f>
        <v/>
      </c>
      <c r="BA5" s="4396">
        <f>AZ5+BA4</f>
        <v/>
      </c>
      <c r="BB5" s="4396">
        <f>BA5+BB4</f>
        <v/>
      </c>
      <c r="BC5" s="4396">
        <f>BB5+BC4</f>
        <v/>
      </c>
      <c r="BD5" s="4396">
        <f>BC5+BD4</f>
        <v/>
      </c>
      <c r="BE5" s="4396">
        <f>BD5+BE4</f>
        <v/>
      </c>
      <c r="BF5" s="4396">
        <f>BE5+BF4</f>
        <v/>
      </c>
      <c r="BG5" s="4396">
        <f>BF5+BG4</f>
        <v/>
      </c>
      <c r="BH5" s="4396">
        <f>BG5+BH4</f>
        <v/>
      </c>
      <c r="BI5" s="4396">
        <f>BH5+BI4</f>
        <v/>
      </c>
      <c r="BJ5" s="4396">
        <f>BI5+BJ4</f>
        <v/>
      </c>
    </row>
    <row r="6" customFormat="1" s="4395">
      <c r="D6" s="4398" t="n"/>
    </row>
    <row r="7" ht="16" customFormat="1" customHeight="1" s="4395">
      <c r="A7" s="4399" t="inlineStr">
        <is>
          <t>Detailed total balance</t>
        </is>
      </c>
      <c r="B7" s="4399" t="inlineStr">
        <is>
          <t>GHG fluxes</t>
        </is>
      </c>
      <c r="C7" s="4399" t="inlineStr">
        <is>
          <t>All</t>
        </is>
      </c>
      <c r="D7" s="4399">
        <f>SUM(D11:D240)</f>
        <v/>
      </c>
      <c r="E7" s="4399" t="n">
        <v>1</v>
      </c>
      <c r="F7" s="4400">
        <f>time</f>
        <v/>
      </c>
      <c r="G7" s="4400" t="n"/>
      <c r="H7" s="4399" t="n"/>
      <c r="I7" s="4399" t="n"/>
      <c r="J7" s="4399">
        <f>SUM(J11:J240)</f>
        <v/>
      </c>
      <c r="K7" s="4399">
        <f>SUM(K11:K240)</f>
        <v/>
      </c>
      <c r="L7" s="4399" t="inlineStr">
        <is>
          <t>Annual fluxes</t>
        </is>
      </c>
      <c r="M7" s="4399">
        <f>SUM(M11:M247)</f>
        <v/>
      </c>
      <c r="N7" s="4399">
        <f>SUM(N11:N247)</f>
        <v/>
      </c>
      <c r="O7" s="4399">
        <f>SUM(O11:O247)</f>
        <v/>
      </c>
      <c r="P7" s="4399">
        <f>SUM(P11:P247)</f>
        <v/>
      </c>
      <c r="Q7" s="4399">
        <f>SUM(Q11:Q247)</f>
        <v/>
      </c>
      <c r="R7" s="4399">
        <f>SUM(R11:R247)</f>
        <v/>
      </c>
      <c r="S7" s="4399">
        <f>SUM(S11:S247)</f>
        <v/>
      </c>
      <c r="T7" s="4399">
        <f>SUM(T11:T247)</f>
        <v/>
      </c>
      <c r="U7" s="4399">
        <f>SUM(U11:U247)</f>
        <v/>
      </c>
      <c r="V7" s="4399">
        <f>SUM(V11:V247)</f>
        <v/>
      </c>
      <c r="W7" s="4399">
        <f>SUM(W11:W247)</f>
        <v/>
      </c>
      <c r="X7" s="4399">
        <f>SUM(X11:X247)</f>
        <v/>
      </c>
      <c r="Y7" s="4399">
        <f>SUM(Y11:Y247)</f>
        <v/>
      </c>
      <c r="Z7" s="4399">
        <f>SUM(Z11:Z247)</f>
        <v/>
      </c>
      <c r="AA7" s="4399">
        <f>SUM(AA11:AA247)</f>
        <v/>
      </c>
      <c r="AB7" s="4399">
        <f>SUM(AB11:AB247)</f>
        <v/>
      </c>
      <c r="AC7" s="4399">
        <f>SUM(AC11:AC247)</f>
        <v/>
      </c>
      <c r="AD7" s="4399">
        <f>SUM(AD11:AD247)</f>
        <v/>
      </c>
      <c r="AE7" s="4399">
        <f>SUM(AE11:AE247)</f>
        <v/>
      </c>
      <c r="AF7" s="4399">
        <f>SUM(AF11:AF247)</f>
        <v/>
      </c>
      <c r="AG7" s="4399">
        <f>SUM(AG11:AG247)</f>
        <v/>
      </c>
      <c r="AH7" s="4399">
        <f>SUM(AH11:AH247)</f>
        <v/>
      </c>
      <c r="AI7" s="4399">
        <f>SUM(AI11:AI247)</f>
        <v/>
      </c>
      <c r="AJ7" s="4399">
        <f>SUM(AJ11:AJ247)</f>
        <v/>
      </c>
      <c r="AK7" s="4399">
        <f>SUM(AK11:AK247)</f>
        <v/>
      </c>
      <c r="AL7" s="4399">
        <f>SUM(AL11:AL247)</f>
        <v/>
      </c>
      <c r="AM7" s="4399">
        <f>SUM(AM11:AM247)</f>
        <v/>
      </c>
      <c r="AN7" s="4399">
        <f>SUM(AN11:AN247)</f>
        <v/>
      </c>
      <c r="AO7" s="4399">
        <f>SUM(AO11:AO247)</f>
        <v/>
      </c>
      <c r="AP7" s="4399">
        <f>SUM(AP11:AP247)</f>
        <v/>
      </c>
      <c r="AQ7" s="4399">
        <f>SUM(AQ11:AQ247)</f>
        <v/>
      </c>
      <c r="AR7" s="4399">
        <f>SUM(AR11:AR247)</f>
        <v/>
      </c>
      <c r="AS7" s="4399">
        <f>SUM(AS11:AS247)</f>
        <v/>
      </c>
      <c r="AT7" s="4399">
        <f>SUM(AT11:AT247)</f>
        <v/>
      </c>
      <c r="AU7" s="4399">
        <f>SUM(AU11:AU247)</f>
        <v/>
      </c>
      <c r="AV7" s="4399">
        <f>SUM(AV11:AV247)</f>
        <v/>
      </c>
      <c r="AW7" s="4399">
        <f>SUM(AW11:AW247)</f>
        <v/>
      </c>
      <c r="AX7" s="4399">
        <f>SUM(AX11:AX247)</f>
        <v/>
      </c>
      <c r="AY7" s="4399">
        <f>SUM(AY11:AY247)</f>
        <v/>
      </c>
      <c r="AZ7" s="4399">
        <f>SUM(AZ11:AZ247)</f>
        <v/>
      </c>
      <c r="BA7" s="4399">
        <f>SUM(BA11:BA247)</f>
        <v/>
      </c>
      <c r="BB7" s="4399">
        <f>SUM(BB11:BB247)</f>
        <v/>
      </c>
      <c r="BC7" s="4399">
        <f>SUM(BC11:BC247)</f>
        <v/>
      </c>
      <c r="BD7" s="4399">
        <f>SUM(BD11:BD247)</f>
        <v/>
      </c>
      <c r="BE7" s="4399">
        <f>SUM(BE11:BE247)</f>
        <v/>
      </c>
      <c r="BF7" s="4399">
        <f>SUM(BF11:BF247)</f>
        <v/>
      </c>
      <c r="BG7" s="4399">
        <f>SUM(BG11:BG247)</f>
        <v/>
      </c>
      <c r="BH7" s="4399">
        <f>SUM(BH11:BH247)</f>
        <v/>
      </c>
      <c r="BI7" s="4399">
        <f>SUM(BI11:BI247)</f>
        <v/>
      </c>
      <c r="BJ7" s="4399">
        <f>SUM(BJ11:BJ247)</f>
        <v/>
      </c>
    </row>
    <row r="8" ht="16" customFormat="1" customHeight="1" s="4395">
      <c r="A8" s="4399" t="n"/>
      <c r="B8" s="4399" t="inlineStr">
        <is>
          <t>Cumulative balance</t>
        </is>
      </c>
      <c r="C8" s="4399" t="n"/>
      <c r="D8" s="4399" t="n"/>
      <c r="E8" s="4399" t="n"/>
      <c r="F8" s="4400" t="n"/>
      <c r="G8" s="4400" t="n"/>
      <c r="H8" s="4399" t="n"/>
      <c r="I8" s="4399" t="n"/>
      <c r="J8" s="4399" t="n"/>
      <c r="K8" s="4399" t="n"/>
      <c r="L8" s="4399" t="inlineStr">
        <is>
          <t>Cumulative</t>
        </is>
      </c>
      <c r="M8" s="4399">
        <f>M7</f>
        <v/>
      </c>
      <c r="N8" s="4399">
        <f>M8+N7</f>
        <v/>
      </c>
      <c r="O8" s="4399">
        <f>N8+O7</f>
        <v/>
      </c>
      <c r="P8" s="4399">
        <f>O8+P7</f>
        <v/>
      </c>
      <c r="Q8" s="4399">
        <f>P8+Q7</f>
        <v/>
      </c>
      <c r="R8" s="4399">
        <f>Q8+R7</f>
        <v/>
      </c>
      <c r="S8" s="4399">
        <f>R8+S7</f>
        <v/>
      </c>
      <c r="T8" s="4399">
        <f>S8+T7</f>
        <v/>
      </c>
      <c r="U8" s="4399">
        <f>T8+U7</f>
        <v/>
      </c>
      <c r="V8" s="4399">
        <f>U8+V7</f>
        <v/>
      </c>
      <c r="W8" s="4399">
        <f>V8+W7</f>
        <v/>
      </c>
      <c r="X8" s="4399">
        <f>W8+X7</f>
        <v/>
      </c>
      <c r="Y8" s="4399">
        <f>X8+Y7</f>
        <v/>
      </c>
      <c r="Z8" s="4399">
        <f>Y8+Z7</f>
        <v/>
      </c>
      <c r="AA8" s="4399">
        <f>Z8+AA7</f>
        <v/>
      </c>
      <c r="AB8" s="4399">
        <f>AA8+AB7</f>
        <v/>
      </c>
      <c r="AC8" s="4399">
        <f>AB8+AC7</f>
        <v/>
      </c>
      <c r="AD8" s="4399">
        <f>AC8+AD7</f>
        <v/>
      </c>
      <c r="AE8" s="4399">
        <f>AD8+AE7</f>
        <v/>
      </c>
      <c r="AF8" s="4399">
        <f>AE8+AF7</f>
        <v/>
      </c>
      <c r="AG8" s="4399">
        <f>AF8+AG7</f>
        <v/>
      </c>
      <c r="AH8" s="4399">
        <f>AG8+AH7</f>
        <v/>
      </c>
      <c r="AI8" s="4399">
        <f>AH8+AI7</f>
        <v/>
      </c>
      <c r="AJ8" s="4399">
        <f>AI8+AJ7</f>
        <v/>
      </c>
      <c r="AK8" s="4399">
        <f>AJ8+AK7</f>
        <v/>
      </c>
      <c r="AL8" s="4399">
        <f>AK8+AL7</f>
        <v/>
      </c>
      <c r="AM8" s="4399">
        <f>AL8+AM7</f>
        <v/>
      </c>
      <c r="AN8" s="4399">
        <f>AM8+AN7</f>
        <v/>
      </c>
      <c r="AO8" s="4399">
        <f>AN8+AO7</f>
        <v/>
      </c>
      <c r="AP8" s="4399">
        <f>AO8+AP7</f>
        <v/>
      </c>
      <c r="AQ8" s="4399">
        <f>AP8+AQ7</f>
        <v/>
      </c>
      <c r="AR8" s="4399">
        <f>AQ8+AR7</f>
        <v/>
      </c>
      <c r="AS8" s="4399">
        <f>AR8+AS7</f>
        <v/>
      </c>
      <c r="AT8" s="4399">
        <f>AS8+AT7</f>
        <v/>
      </c>
      <c r="AU8" s="4399">
        <f>AT8+AU7</f>
        <v/>
      </c>
      <c r="AV8" s="4399">
        <f>AU8+AV7</f>
        <v/>
      </c>
      <c r="AW8" s="4399">
        <f>AV8+AW7</f>
        <v/>
      </c>
      <c r="AX8" s="4399">
        <f>AW8+AX7</f>
        <v/>
      </c>
      <c r="AY8" s="4399">
        <f>AX8+AY7</f>
        <v/>
      </c>
      <c r="AZ8" s="4399">
        <f>AY8+AZ7</f>
        <v/>
      </c>
      <c r="BA8" s="4399">
        <f>AZ8+BA7</f>
        <v/>
      </c>
      <c r="BB8" s="4399">
        <f>BA8+BB7</f>
        <v/>
      </c>
      <c r="BC8" s="4399">
        <f>BB8+BC7</f>
        <v/>
      </c>
      <c r="BD8" s="4399">
        <f>BC8+BD7</f>
        <v/>
      </c>
      <c r="BE8" s="4399">
        <f>BD8+BE7</f>
        <v/>
      </c>
      <c r="BF8" s="4399">
        <f>BE8+BF7</f>
        <v/>
      </c>
      <c r="BG8" s="4399">
        <f>BF8+BG7</f>
        <v/>
      </c>
      <c r="BH8" s="4399">
        <f>BG8+BH7</f>
        <v/>
      </c>
      <c r="BI8" s="4399">
        <f>BH8+BI7</f>
        <v/>
      </c>
      <c r="BJ8" s="4399">
        <f>BI8+BJ7</f>
        <v/>
      </c>
    </row>
    <row r="9" customFormat="1" s="4395"/>
    <row r="10" customFormat="1" s="4395"/>
    <row r="11" ht="16" customHeight="1">
      <c r="A11" t="inlineStr">
        <is>
          <t>DEFO</t>
        </is>
      </c>
      <c r="C11">
        <f>'2.LUC'!C11</f>
        <v/>
      </c>
      <c r="D11">
        <f>'2.LUC'!Y11</f>
        <v/>
      </c>
      <c r="E11">
        <f>IF('2.LUC'!BU11&lt;&gt;0,'2.LUC'!BU11,'2.LUC'!BT11)</f>
        <v/>
      </c>
      <c r="F11">
        <f>time</f>
        <v/>
      </c>
      <c r="G11" s="4395">
        <f>'2.LUC'!O11</f>
        <v/>
      </c>
      <c r="H11" s="4395">
        <f>'2.LUC'!Q11</f>
        <v/>
      </c>
      <c r="I11" s="4395">
        <f>IF(OR(H11="I", G11="I"), "I", IF(OR(H11="E", G11="E"), "E", "D"))</f>
        <v/>
      </c>
      <c r="J11" s="4395">
        <f>((D11/(time_cap+((F11-E11+1)*VLOOKUP(I11,list!$I$48:$K$50,3, FALSE))))*(F11-E11+1)*VLOOKUP(I11,list!$I$48:$K$50,3, FALSE))</f>
        <v/>
      </c>
      <c r="K11" s="4395">
        <f>((D11/(time_cap+((F11-E11+1)*VLOOKUP(I11,list!$I$48:$K$50,3, FALSE))))*time_cap)</f>
        <v/>
      </c>
      <c r="L11" s="4410" t="n"/>
      <c r="M11" s="4395">
        <f>IFERROR(IF((time+time_cap)&lt;M$2, 0,IF(AND(time+1&gt;=N$2, $E11&lt;N$2), IF($I11= "I", $J11/($F11-$E11+1), $J11/(($F11*($F11+1)/2)-(($E11-1)*($E11-1+1)/2))*M$2), 0)+IF(IF(time+1&gt;=N$2, $K11/time_cap/(time+1)*M$2, 0) = 0, $K11/(time_cap),0)),0)</f>
        <v/>
      </c>
      <c r="N11" s="4395">
        <f>IFERROR(IF((time+time_cap)&lt;N$2, 0,IF(AND(time+1&gt;=O$2, $E11&lt;O$2), IF($I11= "I", $J11/($F11-$E11+1), $J11/(($F11*($F11+1)/2)-(($E11-1)*($E11-1+1)/2))*N$2), 0)+IF(IF(time+1&gt;=O$2, $K11/time_cap/(time+1)*N$2, 0) = 0, $K11/(time_cap),0)),0)</f>
        <v/>
      </c>
      <c r="O11" s="4395">
        <f>IFERROR(IF((time+time_cap)&lt;O$2, 0,IF(AND(time+1&gt;=P$2, $E11&lt;P$2), IF($I11= "I", $J11/($F11-$E11+1), $J11/(($F11*($F11+1)/2)-(($E11-1)*($E11-1+1)/2))*O$2), 0)+IF(IF(time+1&gt;=P$2, $K11/time_cap/(time+1)*O$2, 0) = 0, $K11/(time_cap),0)),0)</f>
        <v/>
      </c>
      <c r="P11" s="4395">
        <f>IFERROR(IF((time+time_cap)&lt;P$2, 0,IF(AND(time+1&gt;=Q$2, $E11&lt;Q$2), IF($I11= "I", $J11/($F11-$E11+1), $J11/(($F11*($F11+1)/2)-(($E11-1)*($E11-1+1)/2))*P$2), 0)+IF(IF(time+1&gt;=Q$2, $K11/time_cap/(time+1)*P$2, 0) = 0, $K11/(time_cap),0)),0)</f>
        <v/>
      </c>
      <c r="Q11" s="4395">
        <f>IFERROR(IF((time+time_cap)&lt;Q$2, 0,IF(AND(time+1&gt;=R$2, $E11&lt;R$2), IF($I11= "I", $J11/($F11-$E11+1), $J11/(($F11*($F11+1)/2)-(($E11-1)*($E11-1+1)/2))*Q$2), 0)+IF(IF(time+1&gt;=R$2, $K11/time_cap/(time+1)*Q$2, 0) = 0, $K11/(time_cap),0)),0)</f>
        <v/>
      </c>
      <c r="R11" s="4395">
        <f>IFERROR(IF((time+time_cap)&lt;R$2, 0,IF(AND(time+1&gt;=S$2, $E11&lt;S$2), IF($I11= "I", $J11/($F11-$E11+1), $J11/(($F11*($F11+1)/2)-(($E11-1)*($E11-1+1)/2))*R$2), 0)+IF(IF(time+1&gt;=S$2, $K11/time_cap/(time+1)*R$2, 0) = 0, $K11/(time_cap),0)),0)</f>
        <v/>
      </c>
      <c r="S11" s="4395">
        <f>IFERROR(IF((time+time_cap)&lt;S$2, 0,IF(AND(time+1&gt;=T$2, $E11&lt;T$2), IF($I11= "I", $J11/($F11-$E11+1), $J11/(($F11*($F11+1)/2)-(($E11-1)*($E11-1+1)/2))*S$2), 0)+IF(IF(time+1&gt;=T$2, $K11/time_cap/(time+1)*S$2, 0) = 0, $K11/(time_cap),0)),0)</f>
        <v/>
      </c>
      <c r="T11" s="4395">
        <f>IFERROR(IF((time+time_cap)&lt;T$2, 0,IF(AND(time+1&gt;=U$2, $E11&lt;U$2), IF($I11= "I", $J11/($F11-$E11+1), $J11/(($F11*($F11+1)/2)-(($E11-1)*($E11-1+1)/2))*T$2), 0)+IF(IF(time+1&gt;=U$2, $K11/time_cap/(time+1)*T$2, 0) = 0, $K11/(time_cap),0)),0)</f>
        <v/>
      </c>
      <c r="U11" s="4395">
        <f>IFERROR(IF((time+time_cap)&lt;U$2, 0,IF(AND(time+1&gt;=V$2, $E11&lt;V$2), IF($I11= "I", $J11/($F11-$E11+1), $J11/(($F11*($F11+1)/2)-(($E11-1)*($E11-1+1)/2))*U$2), 0)+IF(IF(time+1&gt;=V$2, $K11/time_cap/(time+1)*U$2, 0) = 0, $K11/(time_cap),0)),0)</f>
        <v/>
      </c>
      <c r="V11" s="4395">
        <f>IFERROR(IF((time+time_cap)&lt;V$2, 0,IF(AND(time+1&gt;=W$2, $E11&lt;W$2), IF($I11= "I", $J11/($F11-$E11+1), $J11/(($F11*($F11+1)/2)-(($E11-1)*($E11-1+1)/2))*V$2), 0)+IF(IF(time+1&gt;=W$2, $K11/time_cap/(time+1)*V$2, 0) = 0, $K11/(time_cap),0)),0)</f>
        <v/>
      </c>
      <c r="W11" s="4395">
        <f>IFERROR(IF((time+time_cap)&lt;W$2, 0,IF(AND(time+1&gt;=X$2, $E11&lt;X$2), IF($I11= "I", $J11/($F11-$E11+1), $J11/(($F11*($F11+1)/2)-(($E11-1)*($E11-1+1)/2))*W$2), 0)+IF(IF(time+1&gt;=X$2, $K11/time_cap/(time+1)*W$2, 0) = 0, $K11/(time_cap),0)),0)</f>
        <v/>
      </c>
      <c r="X11" s="4395">
        <f>IFERROR(IF((time+time_cap)&lt;X$2, 0,IF(AND(time+1&gt;=Y$2, $E11&lt;Y$2), IF($I11= "I", $J11/($F11-$E11+1), $J11/(($F11*($F11+1)/2)-(($E11-1)*($E11-1+1)/2))*X$2), 0)+IF(IF(time+1&gt;=Y$2, $K11/time_cap/(time+1)*X$2, 0) = 0, $K11/(time_cap),0)),0)</f>
        <v/>
      </c>
      <c r="Y11" s="4395">
        <f>IFERROR(IF((time+time_cap)&lt;Y$2, 0,IF(AND(time+1&gt;=Z$2, $E11&lt;Z$2), IF($I11= "I", $J11/($F11-$E11+1), $J11/(($F11*($F11+1)/2)-(($E11-1)*($E11-1+1)/2))*Y$2), 0)+IF(IF(time+1&gt;=Z$2, $K11/time_cap/(time+1)*Y$2, 0) = 0, $K11/(time_cap),0)),0)</f>
        <v/>
      </c>
      <c r="Z11" s="4395">
        <f>IFERROR(IF((time+time_cap)&lt;Z$2, 0,IF(AND(time+1&gt;=AA$2, $E11&lt;AA$2), IF($I11= "I", $J11/($F11-$E11+1), $J11/(($F11*($F11+1)/2)-(($E11-1)*($E11-1+1)/2))*Z$2), 0)+IF(IF(time+1&gt;=AA$2, $K11/time_cap/(time+1)*Z$2, 0) = 0, $K11/(time_cap),0)),0)</f>
        <v/>
      </c>
      <c r="AA11" s="4395">
        <f>IFERROR(IF((time+time_cap)&lt;AA$2, 0,IF(AND(time+1&gt;=AB$2, $E11&lt;AB$2), IF($I11= "I", $J11/($F11-$E11+1), $J11/(($F11*($F11+1)/2)-(($E11-1)*($E11-1+1)/2))*AA$2), 0)+IF(IF(time+1&gt;=AB$2, $K11/time_cap/(time+1)*AA$2, 0) = 0, $K11/(time_cap),0)),0)</f>
        <v/>
      </c>
      <c r="AB11" s="4395">
        <f>IFERROR(IF((time+time_cap)&lt;AB$2, 0,IF(AND(time+1&gt;=AC$2, $E11&lt;AC$2), IF($I11= "I", $J11/($F11-$E11+1), $J11/(($F11*($F11+1)/2)-(($E11-1)*($E11-1+1)/2))*AB$2), 0)+IF(IF(time+1&gt;=AC$2, $K11/time_cap/(time+1)*AB$2, 0) = 0, $K11/(time_cap),0)),0)</f>
        <v/>
      </c>
      <c r="AC11" s="4395">
        <f>IFERROR(IF((time+time_cap)&lt;AC$2, 0,IF(AND(time+1&gt;=AD$2, $E11&lt;AD$2), IF($I11= "I", $J11/($F11-$E11+1), $J11/(($F11*($F11+1)/2)-(($E11-1)*($E11-1+1)/2))*AC$2), 0)+IF(IF(time+1&gt;=AD$2, $K11/time_cap/(time+1)*AC$2, 0) = 0, $K11/(time_cap),0)),0)</f>
        <v/>
      </c>
      <c r="AD11" s="4395">
        <f>IFERROR(IF((time+time_cap)&lt;AD$2, 0,IF(AND(time+1&gt;=AE$2, $E11&lt;AE$2), IF($I11= "I", $J11/($F11-$E11+1), $J11/(($F11*($F11+1)/2)-(($E11-1)*($E11-1+1)/2))*AD$2), 0)+IF(IF(time+1&gt;=AE$2, $K11/time_cap/(time+1)*AD$2, 0) = 0, $K11/(time_cap),0)),0)</f>
        <v/>
      </c>
      <c r="AE11" s="4395">
        <f>IFERROR(IF((time+time_cap)&lt;AE$2, 0,IF(AND(time+1&gt;=AF$2, $E11&lt;AF$2), IF($I11= "I", $J11/($F11-$E11+1), $J11/(($F11*($F11+1)/2)-(($E11-1)*($E11-1+1)/2))*AE$2), 0)+IF(IF(time+1&gt;=AF$2, $K11/time_cap/(time+1)*AE$2, 0) = 0, $K11/(time_cap),0)),0)</f>
        <v/>
      </c>
      <c r="AF11" s="4395">
        <f>IFERROR(IF((time+time_cap)&lt;AF$2, 0,IF(AND(time+1&gt;=AG$2, $E11&lt;AG$2), IF($I11= "I", $J11/($F11-$E11+1), $J11/(($F11*($F11+1)/2)-(($E11-1)*($E11-1+1)/2))*AF$2), 0)+IF(IF(time+1&gt;=AG$2, $K11/time_cap/(time+1)*AF$2, 0) = 0, $K11/(time_cap),0)),0)</f>
        <v/>
      </c>
      <c r="AG11" s="4395">
        <f>IFERROR(IF((time+time_cap)&lt;AG$2, 0,IF(AND(time+1&gt;=AH$2, $E11&lt;AH$2), IF($I11= "I", $J11/($F11-$E11+1), $J11/(($F11*($F11+1)/2)-(($E11-1)*($E11-1+1)/2))*AG$2), 0)+IF(IF(time+1&gt;=AH$2, $K11/time_cap/(time+1)*AG$2, 0) = 0, $K11/(time_cap),0)),0)</f>
        <v/>
      </c>
      <c r="AH11" s="4395">
        <f>IFERROR(IF((time+time_cap)&lt;AH$2, 0,IF(AND(time+1&gt;=AI$2, $E11&lt;AI$2), IF($I11= "I", $J11/($F11-$E11+1), $J11/(($F11*($F11+1)/2)-(($E11-1)*($E11-1+1)/2))*AH$2), 0)+IF(IF(time+1&gt;=AI$2, $K11/time_cap/(time+1)*AH$2, 0) = 0, $K11/(time_cap),0)),0)</f>
        <v/>
      </c>
      <c r="AI11" s="4395">
        <f>IFERROR(IF((time+time_cap)&lt;AI$2, 0,IF(AND(time+1&gt;=AJ$2, $E11&lt;AJ$2), IF($I11= "I", $J11/($F11-$E11+1), $J11/(($F11*($F11+1)/2)-(($E11-1)*($E11-1+1)/2))*AI$2), 0)+IF(IF(time+1&gt;=AJ$2, $K11/time_cap/(time+1)*AI$2, 0) = 0, $K11/(time_cap),0)),0)</f>
        <v/>
      </c>
      <c r="AJ11" s="4395">
        <f>IFERROR(IF((time+time_cap)&lt;AJ$2, 0,IF(AND(time+1&gt;=AK$2, $E11&lt;AK$2), IF($I11= "I", $J11/($F11-$E11+1), $J11/(($F11*($F11+1)/2)-(($E11-1)*($E11-1+1)/2))*AJ$2), 0)+IF(IF(time+1&gt;=AK$2, $K11/time_cap/(time+1)*AJ$2, 0) = 0, $K11/(time_cap),0)),0)</f>
        <v/>
      </c>
      <c r="AK11" s="4395">
        <f>IFERROR(IF((time+time_cap)&lt;AK$2, 0,IF(AND(time+1&gt;=AL$2, $E11&lt;AL$2), IF($I11= "I", $J11/($F11-$E11+1), $J11/(($F11*($F11+1)/2)-(($E11-1)*($E11-1+1)/2))*AK$2), 0)+IF(IF(time+1&gt;=AL$2, $K11/time_cap/(time+1)*AK$2, 0) = 0, $K11/(time_cap),0)),0)</f>
        <v/>
      </c>
      <c r="AL11" s="4395">
        <f>IFERROR(IF((time+time_cap)&lt;AL$2, 0,IF(AND(time+1&gt;=AM$2, $E11&lt;AM$2), IF($I11= "I", $J11/($F11-$E11+1), $J11/(($F11*($F11+1)/2)-(($E11-1)*($E11-1+1)/2))*AL$2), 0)+IF(IF(time+1&gt;=AM$2, $K11/time_cap/(time+1)*AL$2, 0) = 0, $K11/(time_cap),0)),0)</f>
        <v/>
      </c>
      <c r="AM11" s="4395">
        <f>IFERROR(IF((time+time_cap)&lt;AM$2, 0,IF(AND(time+1&gt;=AN$2, $E11&lt;AN$2), IF($I11= "I", $J11/($F11-$E11+1), $J11/(($F11*($F11+1)/2)-(($E11-1)*($E11-1+1)/2))*AM$2), 0)+IF(IF(time+1&gt;=AN$2, $K11/time_cap/(time+1)*AM$2, 0) = 0, $K11/(time_cap),0)),0)</f>
        <v/>
      </c>
      <c r="AN11" s="4395">
        <f>IFERROR(IF((time+time_cap)&lt;AN$2, 0,IF(AND(time+1&gt;=AO$2, $E11&lt;AO$2), IF($I11= "I", $J11/($F11-$E11+1), $J11/(($F11*($F11+1)/2)-(($E11-1)*($E11-1+1)/2))*AN$2), 0)+IF(IF(time+1&gt;=AO$2, $K11/time_cap/(time+1)*AN$2, 0) = 0, $K11/(time_cap),0)),0)</f>
        <v/>
      </c>
      <c r="AO11" s="4395">
        <f>IFERROR(IF((time+time_cap)&lt;AO$2, 0,IF(AND(time+1&gt;=AP$2, $E11&lt;AP$2), IF($I11= "I", $J11/($F11-$E11+1), $J11/(($F11*($F11+1)/2)-(($E11-1)*($E11-1+1)/2))*AO$2), 0)+IF(IF(time+1&gt;=AP$2, $K11/time_cap/(time+1)*AO$2, 0) = 0, $K11/(time_cap),0)),0)</f>
        <v/>
      </c>
      <c r="AP11" s="4395">
        <f>IFERROR(IF((time+time_cap)&lt;AP$2, 0,IF(AND(time+1&gt;=AQ$2, $E11&lt;AQ$2), IF($I11= "I", $J11/($F11-$E11+1), $J11/(($F11*($F11+1)/2)-(($E11-1)*($E11-1+1)/2))*AP$2), 0)+IF(IF(time+1&gt;=AQ$2, $K11/time_cap/(time+1)*AP$2, 0) = 0, $K11/(time_cap),0)),0)</f>
        <v/>
      </c>
      <c r="AQ11" s="4395">
        <f>IFERROR(IF((time+time_cap)&lt;AQ$2, 0,IF(AND(time+1&gt;=AR$2, $E11&lt;AR$2), IF($I11= "I", $J11/($F11-$E11+1), $J11/(($F11*($F11+1)/2)-(($E11-1)*($E11-1+1)/2))*AQ$2), 0)+IF(IF(time+1&gt;=AR$2, $K11/time_cap/(time+1)*AQ$2, 0) = 0, $K11/(time_cap),0)),0)</f>
        <v/>
      </c>
      <c r="AR11" s="4395">
        <f>IFERROR(IF((time+time_cap)&lt;AR$2, 0,IF(AND(time+1&gt;=AS$2, $E11&lt;AS$2), IF($I11= "I", $J11/($F11-$E11+1), $J11/(($F11*($F11+1)/2)-(($E11-1)*($E11-1+1)/2))*AR$2), 0)+IF(IF(time+1&gt;=AS$2, $K11/time_cap/(time+1)*AR$2, 0) = 0, $K11/(time_cap),0)),0)</f>
        <v/>
      </c>
      <c r="AS11" s="4395">
        <f>IFERROR(IF((time+time_cap)&lt;AS$2, 0,IF(AND(time+1&gt;=AT$2, $E11&lt;AT$2), IF($I11= "I", $J11/($F11-$E11+1), $J11/(($F11*($F11+1)/2)-(($E11-1)*($E11-1+1)/2))*AS$2), 0)+IF(IF(time+1&gt;=AT$2, $K11/time_cap/(time+1)*AS$2, 0) = 0, $K11/(time_cap),0)),0)</f>
        <v/>
      </c>
      <c r="AT11" s="4395">
        <f>IFERROR(IF((time+time_cap)&lt;AT$2, 0,IF(AND(time+1&gt;=AU$2, $E11&lt;AU$2), IF($I11= "I", $J11/($F11-$E11+1), $J11/(($F11*($F11+1)/2)-(($E11-1)*($E11-1+1)/2))*AT$2), 0)+IF(IF(time+1&gt;=AU$2, $K11/time_cap/(time+1)*AT$2, 0) = 0, $K11/(time_cap),0)),0)</f>
        <v/>
      </c>
      <c r="AU11" s="4395">
        <f>IFERROR(IF((time+time_cap)&lt;AU$2, 0,IF(AND(time+1&gt;=AV$2, $E11&lt;AV$2), IF($I11= "I", $J11/($F11-$E11+1), $J11/(($F11*($F11+1)/2)-(($E11-1)*($E11-1+1)/2))*AU$2), 0)+IF(IF(time+1&gt;=AV$2, $K11/time_cap/(time+1)*AU$2, 0) = 0, $K11/(time_cap),0)),0)</f>
        <v/>
      </c>
      <c r="AV11" s="4395">
        <f>IFERROR(IF((time+time_cap)&lt;AV$2, 0,IF(AND(time+1&gt;=AW$2, $E11&lt;AW$2), IF($I11= "I", $J11/($F11-$E11+1), $J11/(($F11*($F11+1)/2)-(($E11-1)*($E11-1+1)/2))*AV$2), 0)+IF(IF(time+1&gt;=AW$2, $K11/time_cap/(time+1)*AV$2, 0) = 0, $K11/(time_cap),0)),0)</f>
        <v/>
      </c>
      <c r="AW11" s="4395">
        <f>IFERROR(IF((time+time_cap)&lt;AW$2, 0,IF(AND(time+1&gt;=AX$2, $E11&lt;AX$2), IF($I11= "I", $J11/($F11-$E11+1), $J11/(($F11*($F11+1)/2)-(($E11-1)*($E11-1+1)/2))*AW$2), 0)+IF(IF(time+1&gt;=AX$2, $K11/time_cap/(time+1)*AW$2, 0) = 0, $K11/(time_cap),0)),0)</f>
        <v/>
      </c>
      <c r="AX11" s="4395">
        <f>IFERROR(IF((time+time_cap)&lt;AX$2, 0,IF(AND(time+1&gt;=AY$2, $E11&lt;AY$2), IF($I11= "I", $J11/($F11-$E11+1), $J11/(($F11*($F11+1)/2)-(($E11-1)*($E11-1+1)/2))*AX$2), 0)+IF(IF(time+1&gt;=AY$2, $K11/time_cap/(time+1)*AX$2, 0) = 0, $K11/(time_cap),0)),0)</f>
        <v/>
      </c>
      <c r="AY11" s="4395">
        <f>IFERROR(IF((time+time_cap)&lt;AY$2, 0,IF(AND(time+1&gt;=AZ$2, $E11&lt;AZ$2), IF($I11= "I", $J11/($F11-$E11+1), $J11/(($F11*($F11+1)/2)-(($E11-1)*($E11-1+1)/2))*AY$2), 0)+IF(IF(time+1&gt;=AZ$2, $K11/time_cap/(time+1)*AY$2, 0) = 0, $K11/(time_cap),0)),0)</f>
        <v/>
      </c>
      <c r="AZ11" s="4395">
        <f>IFERROR(IF((time+time_cap)&lt;AZ$2, 0,IF(AND(time+1&gt;=BA$2, $E11&lt;BA$2), IF($I11= "I", $J11/($F11-$E11+1), $J11/(($F11*($F11+1)/2)-(($E11-1)*($E11-1+1)/2))*AZ$2), 0)+IF(IF(time+1&gt;=BA$2, $K11/time_cap/(time+1)*AZ$2, 0) = 0, $K11/(time_cap),0)),0)</f>
        <v/>
      </c>
      <c r="BA11" s="4395">
        <f>IFERROR(IF((time+time_cap)&lt;BA$2, 0,IF(AND(time+1&gt;=BB$2, $E11&lt;BB$2), IF($I11= "I", $J11/($F11-$E11+1), $J11/(($F11*($F11+1)/2)-(($E11-1)*($E11-1+1)/2))*BA$2), 0)+IF(IF(time+1&gt;=BB$2, $K11/time_cap/(time+1)*BA$2, 0) = 0, $K11/(time_cap),0)),0)</f>
        <v/>
      </c>
      <c r="BB11" s="4395">
        <f>IFERROR(IF((time+time_cap)&lt;BB$2, 0,IF(AND(time+1&gt;=BC$2, $E11&lt;BC$2), IF($I11= "I", $J11/($F11-$E11+1), $J11/(($F11*($F11+1)/2)-(($E11-1)*($E11-1+1)/2))*BB$2), 0)+IF(IF(time+1&gt;=BC$2, $K11/time_cap/(time+1)*BB$2, 0) = 0, $K11/(time_cap),0)),0)</f>
        <v/>
      </c>
      <c r="BC11" s="4395">
        <f>IFERROR(IF((time+time_cap)&lt;BC$2, 0,IF(AND(time+1&gt;=BD$2, $E11&lt;BD$2), IF($I11= "I", $J11/($F11-$E11+1), $J11/(($F11*($F11+1)/2)-(($E11-1)*($E11-1+1)/2))*BC$2), 0)+IF(IF(time+1&gt;=BD$2, $K11/time_cap/(time+1)*BC$2, 0) = 0, $K11/(time_cap),0)),0)</f>
        <v/>
      </c>
      <c r="BD11" s="4395">
        <f>IFERROR(IF((time+time_cap)&lt;BD$2, 0,IF(AND(time+1&gt;=BE$2, $E11&lt;BE$2), IF($I11= "I", $J11/($F11-$E11+1), $J11/(($F11*($F11+1)/2)-(($E11-1)*($E11-1+1)/2))*BD$2), 0)+IF(IF(time+1&gt;=BE$2, $K11/time_cap/(time+1)*BD$2, 0) = 0, $K11/(time_cap),0)),0)</f>
        <v/>
      </c>
      <c r="BE11" s="4395">
        <f>IFERROR(IF((time+time_cap)&lt;BE$2, 0,IF(AND(time+1&gt;=BF$2, $E11&lt;BF$2), IF($I11= "I", $J11/($F11-$E11+1), $J11/(($F11*($F11+1)/2)-(($E11-1)*($E11-1+1)/2))*BE$2), 0)+IF(IF(time+1&gt;=BF$2, $K11/time_cap/(time+1)*BE$2, 0) = 0, $K11/(time_cap),0)),0)</f>
        <v/>
      </c>
      <c r="BF11" s="4395">
        <f>IFERROR(IF((time+time_cap)&lt;BF$2, 0,IF(AND(time+1&gt;=BG$2, $E11&lt;BG$2), IF($I11= "I", $J11/($F11-$E11+1), $J11/(($F11*($F11+1)/2)-(($E11-1)*($E11-1+1)/2))*BF$2), 0)+IF(IF(time+1&gt;=BG$2, $K11/time_cap/(time+1)*BF$2, 0) = 0, $K11/(time_cap),0)),0)</f>
        <v/>
      </c>
      <c r="BG11" s="4395">
        <f>IFERROR(IF((time+time_cap)&lt;BG$2, 0,IF(AND(time+1&gt;=BH$2, $E11&lt;BH$2), IF($I11= "I", $J11/($F11-$E11+1), $J11/(($F11*($F11+1)/2)-(($E11-1)*($E11-1+1)/2))*BG$2), 0)+IF(IF(time+1&gt;=BH$2, $K11/time_cap/(time+1)*BG$2, 0) = 0, $K11/(time_cap),0)),0)</f>
        <v/>
      </c>
      <c r="BH11" s="4395">
        <f>IFERROR(IF((time+time_cap)&lt;BH$2, 0,IF(AND(time+1&gt;=BI$2, $E11&lt;BI$2), IF($I11= "I", $J11/($F11-$E11+1), $J11/(($F11*($F11+1)/2)-(($E11-1)*($E11-1+1)/2))*BH$2), 0)+IF(IF(time+1&gt;=BI$2, $K11/time_cap/(time+1)*BH$2, 0) = 0, $K11/(time_cap),0)),0)</f>
        <v/>
      </c>
      <c r="BI11" s="4395">
        <f>IFERROR(IF((time+time_cap)&lt;BI$2, 0,IF(AND(time+1&gt;=BJ$2, $E11&lt;BJ$2), IF($I11= "I", $J11/($F11-$E11+1), $J11/(($F11*($F11+1)/2)-(($E11-1)*($E11-1+1)/2))*BI$2), 0)+IF(IF(time+1&gt;=BJ$2, $K11/time_cap/(time+1)*BI$2, 0) = 0, $K11/(time_cap),0)),0)</f>
        <v/>
      </c>
      <c r="BJ11" s="4395">
        <f>IFERROR(IF((time+time_cap)&lt;BJ$2, 0,IF(AND(time+1&gt;=BK$2, $E11&lt;BK$2), IF($I11= "I", $J11/($F11-$E11+1), $J11/(($F11*($F11+1)/2)-(($E11-1)*($E11-1+1)/2))*BJ$2), 0)+IF(IF(time+1&gt;=BK$2, $K11/time_cap/(time+1)*BJ$2, 0) = 0, $K11/(time_cap),0)),0)</f>
        <v/>
      </c>
      <c r="BK11" s="4395" t="n"/>
      <c r="BL11" s="4395" t="n"/>
      <c r="BM11" s="4395" t="n"/>
      <c r="BN11" s="4395" t="n"/>
      <c r="BO11" s="4395" t="n"/>
      <c r="BP11" s="4395" t="n"/>
      <c r="BQ11" s="4395" t="n"/>
      <c r="BR11" s="4395" t="n"/>
      <c r="BS11" s="4395" t="n"/>
      <c r="BT11" s="4395" t="n"/>
      <c r="BU11" s="4395" t="n"/>
      <c r="BV11" s="4395" t="n"/>
      <c r="BW11" s="4395" t="n"/>
      <c r="BX11" s="4395" t="n"/>
      <c r="BY11" s="4395" t="n"/>
      <c r="BZ11" s="4395" t="n"/>
      <c r="CA11" s="4395" t="n"/>
      <c r="CB11" s="4395" t="n"/>
      <c r="CC11" s="4395" t="n"/>
      <c r="CD11" s="4395" t="n"/>
      <c r="CE11" s="4395" t="n"/>
      <c r="CF11" s="4395" t="n"/>
      <c r="CG11" s="4395" t="n"/>
      <c r="CH11" s="4395" t="n"/>
      <c r="CI11" s="4395" t="n"/>
      <c r="CJ11" s="4395" t="n"/>
      <c r="CK11" s="4395" t="n"/>
      <c r="CL11" s="4395" t="n"/>
      <c r="CM11" s="4395" t="n"/>
      <c r="CN11" s="4395" t="n"/>
      <c r="CO11" s="4395" t="n"/>
      <c r="CP11" s="4395" t="n"/>
      <c r="CQ11" s="4395" t="n"/>
      <c r="CR11" s="4395" t="n"/>
      <c r="CS11" s="4395" t="n"/>
      <c r="CT11" s="4395" t="n"/>
      <c r="CU11" s="4395" t="n"/>
      <c r="CV11" s="4395" t="n"/>
      <c r="CW11" s="4395" t="n"/>
      <c r="CX11" s="4395" t="n"/>
      <c r="CY11" s="4395" t="n"/>
      <c r="CZ11" s="4395" t="n"/>
      <c r="DA11" s="4395" t="n"/>
      <c r="DB11" s="4395" t="n"/>
      <c r="DC11" s="4395" t="n"/>
      <c r="DD11" s="4395" t="n"/>
      <c r="DE11" s="4395" t="n"/>
      <c r="DF11" s="4395" t="n"/>
      <c r="DG11" s="4395" t="n"/>
      <c r="DH11" s="4395" t="n"/>
    </row>
    <row r="12" ht="16" customHeight="1">
      <c r="A12" t="inlineStr">
        <is>
          <t>DEFO</t>
        </is>
      </c>
      <c r="C12">
        <f>'2.LUC'!C12</f>
        <v/>
      </c>
      <c r="D12">
        <f>'2.LUC'!Y12</f>
        <v/>
      </c>
      <c r="E12">
        <f>IF('2.LUC'!BU12&lt;&gt;0,'2.LUC'!BU12,'2.LUC'!BT12)</f>
        <v/>
      </c>
      <c r="F12">
        <f>time</f>
        <v/>
      </c>
      <c r="G12" s="4395">
        <f>'2.LUC'!O12</f>
        <v/>
      </c>
      <c r="H12" s="4395">
        <f>'2.LUC'!Q12</f>
        <v/>
      </c>
      <c r="I12" s="4395">
        <f>IF(OR(H12="I", G12="I"), "I", IF(OR(H12="E", G12="E"), "E", "D"))</f>
        <v/>
      </c>
      <c r="J12" s="4395">
        <f>((D12/(time_cap+((F12-E12+1)*VLOOKUP(I12,list!$I$48:$K$50,3, FALSE))))*(F12-E12+1)*VLOOKUP(I12,list!$I$48:$K$50,3, FALSE))</f>
        <v/>
      </c>
      <c r="K12" s="4395">
        <f>((D12/(time_cap+((F12-E12+1)*VLOOKUP(I12,list!$I$48:$K$50,3, FALSE))))*time_cap)</f>
        <v/>
      </c>
      <c r="M12" s="4395">
        <f>IFERROR(IF((time+time_cap)&lt;M$2, 0,IF(AND(time+1&gt;=N$2, $E12&lt;N$2), IF($I12= "I", $J12/($F12-$E12+1), $J12/(($F12*($F12+1)/2)-(($E12-1)*($E12-1+1)/2))*M$2), 0)+IF(IF(time+1&gt;=N$2, $K12/time_cap/(time+1)*M$2, 0) = 0, $K12/(time_cap),0)),0)</f>
        <v/>
      </c>
      <c r="N12" s="4395">
        <f>IFERROR(IF((time+time_cap)&lt;N$2, 0,IF(AND(time+1&gt;=O$2, $E12&lt;O$2), IF($I12= "I", $J12/($F12-$E12+1), $J12/(($F12*($F12+1)/2)-(($E12-1)*($E12-1+1)/2))*N$2), 0)+IF(IF(time+1&gt;=O$2, $K12/time_cap/(time+1)*N$2, 0) = 0, $K12/(time_cap),0)),0)</f>
        <v/>
      </c>
      <c r="O12" s="4395">
        <f>IFERROR(IF((time+time_cap)&lt;O$2, 0,IF(AND(time+1&gt;=P$2, $E12&lt;P$2), IF($I12= "I", $J12/($F12-$E12+1), $J12/(($F12*($F12+1)/2)-(($E12-1)*($E12-1+1)/2))*O$2), 0)+IF(IF(time+1&gt;=P$2, $K12/time_cap/(time+1)*O$2, 0) = 0, $K12/(time_cap),0)),0)</f>
        <v/>
      </c>
      <c r="P12" s="4395">
        <f>IFERROR(IF((time+time_cap)&lt;P$2, 0,IF(AND(time+1&gt;=Q$2, $E12&lt;Q$2), IF($I12= "I", $J12/($F12-$E12+1), $J12/(($F12*($F12+1)/2)-(($E12-1)*($E12-1+1)/2))*P$2), 0)+IF(IF(time+1&gt;=Q$2, $K12/time_cap/(time+1)*P$2, 0) = 0, $K12/(time_cap),0)),0)</f>
        <v/>
      </c>
      <c r="Q12" s="4395">
        <f>IFERROR(IF((time+time_cap)&lt;Q$2, 0,IF(AND(time+1&gt;=R$2, $E12&lt;R$2), IF($I12= "I", $J12/($F12-$E12+1), $J12/(($F12*($F12+1)/2)-(($E12-1)*($E12-1+1)/2))*Q$2), 0)+IF(IF(time+1&gt;=R$2, $K12/time_cap/(time+1)*Q$2, 0) = 0, $K12/(time_cap),0)),0)</f>
        <v/>
      </c>
      <c r="R12" s="4395">
        <f>IFERROR(IF((time+time_cap)&lt;R$2, 0,IF(AND(time+1&gt;=S$2, $E12&lt;S$2), IF($I12= "I", $J12/($F12-$E12+1), $J12/(($F12*($F12+1)/2)-(($E12-1)*($E12-1+1)/2))*R$2), 0)+IF(IF(time+1&gt;=S$2, $K12/time_cap/(time+1)*R$2, 0) = 0, $K12/(time_cap),0)),0)</f>
        <v/>
      </c>
      <c r="S12" s="4395">
        <f>IFERROR(IF((time+time_cap)&lt;S$2, 0,IF(AND(time+1&gt;=T$2, $E12&lt;T$2), IF($I12= "I", $J12/($F12-$E12+1), $J12/(($F12*($F12+1)/2)-(($E12-1)*($E12-1+1)/2))*S$2), 0)+IF(IF(time+1&gt;=T$2, $K12/time_cap/(time+1)*S$2, 0) = 0, $K12/(time_cap),0)),0)</f>
        <v/>
      </c>
      <c r="T12" s="4395">
        <f>IFERROR(IF((time+time_cap)&lt;T$2, 0,IF(AND(time+1&gt;=U$2, $E12&lt;U$2), IF($I12= "I", $J12/($F12-$E12+1), $J12/(($F12*($F12+1)/2)-(($E12-1)*($E12-1+1)/2))*T$2), 0)+IF(IF(time+1&gt;=U$2, $K12/time_cap/(time+1)*T$2, 0) = 0, $K12/(time_cap),0)),0)</f>
        <v/>
      </c>
      <c r="U12" s="4395">
        <f>IFERROR(IF((time+time_cap)&lt;U$2, 0,IF(AND(time+1&gt;=V$2, $E12&lt;V$2), IF($I12= "I", $J12/($F12-$E12+1), $J12/(($F12*($F12+1)/2)-(($E12-1)*($E12-1+1)/2))*U$2), 0)+IF(IF(time+1&gt;=V$2, $K12/time_cap/(time+1)*U$2, 0) = 0, $K12/(time_cap),0)),0)</f>
        <v/>
      </c>
      <c r="V12" s="4395">
        <f>IFERROR(IF((time+time_cap)&lt;V$2, 0,IF(AND(time+1&gt;=W$2, $E12&lt;W$2), IF($I12= "I", $J12/($F12-$E12+1), $J12/(($F12*($F12+1)/2)-(($E12-1)*($E12-1+1)/2))*V$2), 0)+IF(IF(time+1&gt;=W$2, $K12/time_cap/(time+1)*V$2, 0) = 0, $K12/(time_cap),0)),0)</f>
        <v/>
      </c>
      <c r="W12" s="4395">
        <f>IFERROR(IF((time+time_cap)&lt;W$2, 0,IF(AND(time+1&gt;=X$2, $E12&lt;X$2), IF($I12= "I", $J12/($F12-$E12+1), $J12/(($F12*($F12+1)/2)-(($E12-1)*($E12-1+1)/2))*W$2), 0)+IF(IF(time+1&gt;=X$2, $K12/time_cap/(time+1)*W$2, 0) = 0, $K12/(time_cap),0)),0)</f>
        <v/>
      </c>
      <c r="X12" s="4395">
        <f>IFERROR(IF((time+time_cap)&lt;X$2, 0,IF(AND(time+1&gt;=Y$2, $E12&lt;Y$2), IF($I12= "I", $J12/($F12-$E12+1), $J12/(($F12*($F12+1)/2)-(($E12-1)*($E12-1+1)/2))*X$2), 0)+IF(IF(time+1&gt;=Y$2, $K12/time_cap/(time+1)*X$2, 0) = 0, $K12/(time_cap),0)),0)</f>
        <v/>
      </c>
      <c r="Y12" s="4395">
        <f>IFERROR(IF((time+time_cap)&lt;Y$2, 0,IF(AND(time+1&gt;=Z$2, $E12&lt;Z$2), IF($I12= "I", $J12/($F12-$E12+1), $J12/(($F12*($F12+1)/2)-(($E12-1)*($E12-1+1)/2))*Y$2), 0)+IF(IF(time+1&gt;=Z$2, $K12/time_cap/(time+1)*Y$2, 0) = 0, $K12/(time_cap),0)),0)</f>
        <v/>
      </c>
      <c r="Z12" s="4395">
        <f>IFERROR(IF((time+time_cap)&lt;Z$2, 0,IF(AND(time+1&gt;=AA$2, $E12&lt;AA$2), IF($I12= "I", $J12/($F12-$E12+1), $J12/(($F12*($F12+1)/2)-(($E12-1)*($E12-1+1)/2))*Z$2), 0)+IF(IF(time+1&gt;=AA$2, $K12/time_cap/(time+1)*Z$2, 0) = 0, $K12/(time_cap),0)),0)</f>
        <v/>
      </c>
      <c r="AA12" s="4395">
        <f>IFERROR(IF((time+time_cap)&lt;AA$2, 0,IF(AND(time+1&gt;=AB$2, $E12&lt;AB$2), IF($I12= "I", $J12/($F12-$E12+1), $J12/(($F12*($F12+1)/2)-(($E12-1)*($E12-1+1)/2))*AA$2), 0)+IF(IF(time+1&gt;=AB$2, $K12/time_cap/(time+1)*AA$2, 0) = 0, $K12/(time_cap),0)),0)</f>
        <v/>
      </c>
      <c r="AB12" s="4395">
        <f>IFERROR(IF((time+time_cap)&lt;AB$2, 0,IF(AND(time+1&gt;=AC$2, $E12&lt;AC$2), IF($I12= "I", $J12/($F12-$E12+1), $J12/(($F12*($F12+1)/2)-(($E12-1)*($E12-1+1)/2))*AB$2), 0)+IF(IF(time+1&gt;=AC$2, $K12/time_cap/(time+1)*AB$2, 0) = 0, $K12/(time_cap),0)),0)</f>
        <v/>
      </c>
      <c r="AC12" s="4395">
        <f>IFERROR(IF((time+time_cap)&lt;AC$2, 0,IF(AND(time+1&gt;=AD$2, $E12&lt;AD$2), IF($I12= "I", $J12/($F12-$E12+1), $J12/(($F12*($F12+1)/2)-(($E12-1)*($E12-1+1)/2))*AC$2), 0)+IF(IF(time+1&gt;=AD$2, $K12/time_cap/(time+1)*AC$2, 0) = 0, $K12/(time_cap),0)),0)</f>
        <v/>
      </c>
      <c r="AD12" s="4395">
        <f>IFERROR(IF((time+time_cap)&lt;AD$2, 0,IF(AND(time+1&gt;=AE$2, $E12&lt;AE$2), IF($I12= "I", $J12/($F12-$E12+1), $J12/(($F12*($F12+1)/2)-(($E12-1)*($E12-1+1)/2))*AD$2), 0)+IF(IF(time+1&gt;=AE$2, $K12/time_cap/(time+1)*AD$2, 0) = 0, $K12/(time_cap),0)),0)</f>
        <v/>
      </c>
      <c r="AE12" s="4395">
        <f>IFERROR(IF((time+time_cap)&lt;AE$2, 0,IF(AND(time+1&gt;=AF$2, $E12&lt;AF$2), IF($I12= "I", $J12/($F12-$E12+1), $J12/(($F12*($F12+1)/2)-(($E12-1)*($E12-1+1)/2))*AE$2), 0)+IF(IF(time+1&gt;=AF$2, $K12/time_cap/(time+1)*AE$2, 0) = 0, $K12/(time_cap),0)),0)</f>
        <v/>
      </c>
      <c r="AF12" s="4395">
        <f>IFERROR(IF((time+time_cap)&lt;AF$2, 0,IF(AND(time+1&gt;=AG$2, $E12&lt;AG$2), IF($I12= "I", $J12/($F12-$E12+1), $J12/(($F12*($F12+1)/2)-(($E12-1)*($E12-1+1)/2))*AF$2), 0)+IF(IF(time+1&gt;=AG$2, $K12/time_cap/(time+1)*AF$2, 0) = 0, $K12/(time_cap),0)),0)</f>
        <v/>
      </c>
      <c r="AG12" s="4395">
        <f>IFERROR(IF((time+time_cap)&lt;AG$2, 0,IF(AND(time+1&gt;=AH$2, $E12&lt;AH$2), IF($I12= "I", $J12/($F12-$E12+1), $J12/(($F12*($F12+1)/2)-(($E12-1)*($E12-1+1)/2))*AG$2), 0)+IF(IF(time+1&gt;=AH$2, $K12/time_cap/(time+1)*AG$2, 0) = 0, $K12/(time_cap),0)),0)</f>
        <v/>
      </c>
      <c r="AH12" s="4395">
        <f>IFERROR(IF((time+time_cap)&lt;AH$2, 0,IF(AND(time+1&gt;=AI$2, $E12&lt;AI$2), IF($I12= "I", $J12/($F12-$E12+1), $J12/(($F12*($F12+1)/2)-(($E12-1)*($E12-1+1)/2))*AH$2), 0)+IF(IF(time+1&gt;=AI$2, $K12/time_cap/(time+1)*AH$2, 0) = 0, $K12/(time_cap),0)),0)</f>
        <v/>
      </c>
      <c r="AI12" s="4395">
        <f>IFERROR(IF((time+time_cap)&lt;AI$2, 0,IF(AND(time+1&gt;=AJ$2, $E12&lt;AJ$2), IF($I12= "I", $J12/($F12-$E12+1), $J12/(($F12*($F12+1)/2)-(($E12-1)*($E12-1+1)/2))*AI$2), 0)+IF(IF(time+1&gt;=AJ$2, $K12/time_cap/(time+1)*AI$2, 0) = 0, $K12/(time_cap),0)),0)</f>
        <v/>
      </c>
      <c r="AJ12" s="4395">
        <f>IFERROR(IF((time+time_cap)&lt;AJ$2, 0,IF(AND(time+1&gt;=AK$2, $E12&lt;AK$2), IF($I12= "I", $J12/($F12-$E12+1), $J12/(($F12*($F12+1)/2)-(($E12-1)*($E12-1+1)/2))*AJ$2), 0)+IF(IF(time+1&gt;=AK$2, $K12/time_cap/(time+1)*AJ$2, 0) = 0, $K12/(time_cap),0)),0)</f>
        <v/>
      </c>
      <c r="AK12" s="4395">
        <f>IFERROR(IF((time+time_cap)&lt;AK$2, 0,IF(AND(time+1&gt;=AL$2, $E12&lt;AL$2), IF($I12= "I", $J12/($F12-$E12+1), $J12/(($F12*($F12+1)/2)-(($E12-1)*($E12-1+1)/2))*AK$2), 0)+IF(IF(time+1&gt;=AL$2, $K12/time_cap/(time+1)*AK$2, 0) = 0, $K12/(time_cap),0)),0)</f>
        <v/>
      </c>
      <c r="AL12" s="4395">
        <f>IFERROR(IF((time+time_cap)&lt;AL$2, 0,IF(AND(time+1&gt;=AM$2, $E12&lt;AM$2), IF($I12= "I", $J12/($F12-$E12+1), $J12/(($F12*($F12+1)/2)-(($E12-1)*($E12-1+1)/2))*AL$2), 0)+IF(IF(time+1&gt;=AM$2, $K12/time_cap/(time+1)*AL$2, 0) = 0, $K12/(time_cap),0)),0)</f>
        <v/>
      </c>
      <c r="AM12" s="4395">
        <f>IFERROR(IF((time+time_cap)&lt;AM$2, 0,IF(AND(time+1&gt;=AN$2, $E12&lt;AN$2), IF($I12= "I", $J12/($F12-$E12+1), $J12/(($F12*($F12+1)/2)-(($E12-1)*($E12-1+1)/2))*AM$2), 0)+IF(IF(time+1&gt;=AN$2, $K12/time_cap/(time+1)*AM$2, 0) = 0, $K12/(time_cap),0)),0)</f>
        <v/>
      </c>
      <c r="AN12" s="4395">
        <f>IFERROR(IF((time+time_cap)&lt;AN$2, 0,IF(AND(time+1&gt;=AO$2, $E12&lt;AO$2), IF($I12= "I", $J12/($F12-$E12+1), $J12/(($F12*($F12+1)/2)-(($E12-1)*($E12-1+1)/2))*AN$2), 0)+IF(IF(time+1&gt;=AO$2, $K12/time_cap/(time+1)*AN$2, 0) = 0, $K12/(time_cap),0)),0)</f>
        <v/>
      </c>
      <c r="AO12" s="4395">
        <f>IFERROR(IF((time+time_cap)&lt;AO$2, 0,IF(AND(time+1&gt;=AP$2, $E12&lt;AP$2), IF($I12= "I", $J12/($F12-$E12+1), $J12/(($F12*($F12+1)/2)-(($E12-1)*($E12-1+1)/2))*AO$2), 0)+IF(IF(time+1&gt;=AP$2, $K12/time_cap/(time+1)*AO$2, 0) = 0, $K12/(time_cap),0)),0)</f>
        <v/>
      </c>
      <c r="AP12" s="4395">
        <f>IFERROR(IF((time+time_cap)&lt;AP$2, 0,IF(AND(time+1&gt;=AQ$2, $E12&lt;AQ$2), IF($I12= "I", $J12/($F12-$E12+1), $J12/(($F12*($F12+1)/2)-(($E12-1)*($E12-1+1)/2))*AP$2), 0)+IF(IF(time+1&gt;=AQ$2, $K12/time_cap/(time+1)*AP$2, 0) = 0, $K12/(time_cap),0)),0)</f>
        <v/>
      </c>
      <c r="AQ12" s="4395">
        <f>IFERROR(IF((time+time_cap)&lt;AQ$2, 0,IF(AND(time+1&gt;=AR$2, $E12&lt;AR$2), IF($I12= "I", $J12/($F12-$E12+1), $J12/(($F12*($F12+1)/2)-(($E12-1)*($E12-1+1)/2))*AQ$2), 0)+IF(IF(time+1&gt;=AR$2, $K12/time_cap/(time+1)*AQ$2, 0) = 0, $K12/(time_cap),0)),0)</f>
        <v/>
      </c>
      <c r="AR12" s="4395">
        <f>IFERROR(IF((time+time_cap)&lt;AR$2, 0,IF(AND(time+1&gt;=AS$2, $E12&lt;AS$2), IF($I12= "I", $J12/($F12-$E12+1), $J12/(($F12*($F12+1)/2)-(($E12-1)*($E12-1+1)/2))*AR$2), 0)+IF(IF(time+1&gt;=AS$2, $K12/time_cap/(time+1)*AR$2, 0) = 0, $K12/(time_cap),0)),0)</f>
        <v/>
      </c>
      <c r="AS12" s="4395">
        <f>IFERROR(IF((time+time_cap)&lt;AS$2, 0,IF(AND(time+1&gt;=AT$2, $E12&lt;AT$2), IF($I12= "I", $J12/($F12-$E12+1), $J12/(($F12*($F12+1)/2)-(($E12-1)*($E12-1+1)/2))*AS$2), 0)+IF(IF(time+1&gt;=AT$2, $K12/time_cap/(time+1)*AS$2, 0) = 0, $K12/(time_cap),0)),0)</f>
        <v/>
      </c>
      <c r="AT12" s="4395">
        <f>IFERROR(IF((time+time_cap)&lt;AT$2, 0,IF(AND(time+1&gt;=AU$2, $E12&lt;AU$2), IF($I12= "I", $J12/($F12-$E12+1), $J12/(($F12*($F12+1)/2)-(($E12-1)*($E12-1+1)/2))*AT$2), 0)+IF(IF(time+1&gt;=AU$2, $K12/time_cap/(time+1)*AT$2, 0) = 0, $K12/(time_cap),0)),0)</f>
        <v/>
      </c>
      <c r="AU12" s="4395">
        <f>IFERROR(IF((time+time_cap)&lt;AU$2, 0,IF(AND(time+1&gt;=AV$2, $E12&lt;AV$2), IF($I12= "I", $J12/($F12-$E12+1), $J12/(($F12*($F12+1)/2)-(($E12-1)*($E12-1+1)/2))*AU$2), 0)+IF(IF(time+1&gt;=AV$2, $K12/time_cap/(time+1)*AU$2, 0) = 0, $K12/(time_cap),0)),0)</f>
        <v/>
      </c>
      <c r="AV12" s="4395">
        <f>IFERROR(IF((time+time_cap)&lt;AV$2, 0,IF(AND(time+1&gt;=AW$2, $E12&lt;AW$2), IF($I12= "I", $J12/($F12-$E12+1), $J12/(($F12*($F12+1)/2)-(($E12-1)*($E12-1+1)/2))*AV$2), 0)+IF(IF(time+1&gt;=AW$2, $K12/time_cap/(time+1)*AV$2, 0) = 0, $K12/(time_cap),0)),0)</f>
        <v/>
      </c>
      <c r="AW12" s="4395">
        <f>IFERROR(IF((time+time_cap)&lt;AW$2, 0,IF(AND(time+1&gt;=AX$2, $E12&lt;AX$2), IF($I12= "I", $J12/($F12-$E12+1), $J12/(($F12*($F12+1)/2)-(($E12-1)*($E12-1+1)/2))*AW$2), 0)+IF(IF(time+1&gt;=AX$2, $K12/time_cap/(time+1)*AW$2, 0) = 0, $K12/(time_cap),0)),0)</f>
        <v/>
      </c>
      <c r="AX12" s="4395">
        <f>IFERROR(IF((time+time_cap)&lt;AX$2, 0,IF(AND(time+1&gt;=AY$2, $E12&lt;AY$2), IF($I12= "I", $J12/($F12-$E12+1), $J12/(($F12*($F12+1)/2)-(($E12-1)*($E12-1+1)/2))*AX$2), 0)+IF(IF(time+1&gt;=AY$2, $K12/time_cap/(time+1)*AX$2, 0) = 0, $K12/(time_cap),0)),0)</f>
        <v/>
      </c>
      <c r="AY12" s="4395">
        <f>IFERROR(IF((time+time_cap)&lt;AY$2, 0,IF(AND(time+1&gt;=AZ$2, $E12&lt;AZ$2), IF($I12= "I", $J12/($F12-$E12+1), $J12/(($F12*($F12+1)/2)-(($E12-1)*($E12-1+1)/2))*AY$2), 0)+IF(IF(time+1&gt;=AZ$2, $K12/time_cap/(time+1)*AY$2, 0) = 0, $K12/(time_cap),0)),0)</f>
        <v/>
      </c>
      <c r="AZ12" s="4395">
        <f>IFERROR(IF((time+time_cap)&lt;AZ$2, 0,IF(AND(time+1&gt;=BA$2, $E12&lt;BA$2), IF($I12= "I", $J12/($F12-$E12+1), $J12/(($F12*($F12+1)/2)-(($E12-1)*($E12-1+1)/2))*AZ$2), 0)+IF(IF(time+1&gt;=BA$2, $K12/time_cap/(time+1)*AZ$2, 0) = 0, $K12/(time_cap),0)),0)</f>
        <v/>
      </c>
      <c r="BA12" s="4395">
        <f>IFERROR(IF((time+time_cap)&lt;BA$2, 0,IF(AND(time+1&gt;=BB$2, $E12&lt;BB$2), IF($I12= "I", $J12/($F12-$E12+1), $J12/(($F12*($F12+1)/2)-(($E12-1)*($E12-1+1)/2))*BA$2), 0)+IF(IF(time+1&gt;=BB$2, $K12/time_cap/(time+1)*BA$2, 0) = 0, $K12/(time_cap),0)),0)</f>
        <v/>
      </c>
      <c r="BB12" s="4395">
        <f>IFERROR(IF((time+time_cap)&lt;BB$2, 0,IF(AND(time+1&gt;=BC$2, $E12&lt;BC$2), IF($I12= "I", $J12/($F12-$E12+1), $J12/(($F12*($F12+1)/2)-(($E12-1)*($E12-1+1)/2))*BB$2), 0)+IF(IF(time+1&gt;=BC$2, $K12/time_cap/(time+1)*BB$2, 0) = 0, $K12/(time_cap),0)),0)</f>
        <v/>
      </c>
      <c r="BC12" s="4395">
        <f>IFERROR(IF((time+time_cap)&lt;BC$2, 0,IF(AND(time+1&gt;=BD$2, $E12&lt;BD$2), IF($I12= "I", $J12/($F12-$E12+1), $J12/(($F12*($F12+1)/2)-(($E12-1)*($E12-1+1)/2))*BC$2), 0)+IF(IF(time+1&gt;=BD$2, $K12/time_cap/(time+1)*BC$2, 0) = 0, $K12/(time_cap),0)),0)</f>
        <v/>
      </c>
      <c r="BD12" s="4395">
        <f>IFERROR(IF((time+time_cap)&lt;BD$2, 0,IF(AND(time+1&gt;=BE$2, $E12&lt;BE$2), IF($I12= "I", $J12/($F12-$E12+1), $J12/(($F12*($F12+1)/2)-(($E12-1)*($E12-1+1)/2))*BD$2), 0)+IF(IF(time+1&gt;=BE$2, $K12/time_cap/(time+1)*BD$2, 0) = 0, $K12/(time_cap),0)),0)</f>
        <v/>
      </c>
      <c r="BE12" s="4395">
        <f>IFERROR(IF((time+time_cap)&lt;BE$2, 0,IF(AND(time+1&gt;=BF$2, $E12&lt;BF$2), IF($I12= "I", $J12/($F12-$E12+1), $J12/(($F12*($F12+1)/2)-(($E12-1)*($E12-1+1)/2))*BE$2), 0)+IF(IF(time+1&gt;=BF$2, $K12/time_cap/(time+1)*BE$2, 0) = 0, $K12/(time_cap),0)),0)</f>
        <v/>
      </c>
      <c r="BF12" s="4395">
        <f>IFERROR(IF((time+time_cap)&lt;BF$2, 0,IF(AND(time+1&gt;=BG$2, $E12&lt;BG$2), IF($I12= "I", $J12/($F12-$E12+1), $J12/(($F12*($F12+1)/2)-(($E12-1)*($E12-1+1)/2))*BF$2), 0)+IF(IF(time+1&gt;=BG$2, $K12/time_cap/(time+1)*BF$2, 0) = 0, $K12/(time_cap),0)),0)</f>
        <v/>
      </c>
      <c r="BG12" s="4395">
        <f>IFERROR(IF((time+time_cap)&lt;BG$2, 0,IF(AND(time+1&gt;=BH$2, $E12&lt;BH$2), IF($I12= "I", $J12/($F12-$E12+1), $J12/(($F12*($F12+1)/2)-(($E12-1)*($E12-1+1)/2))*BG$2), 0)+IF(IF(time+1&gt;=BH$2, $K12/time_cap/(time+1)*BG$2, 0) = 0, $K12/(time_cap),0)),0)</f>
        <v/>
      </c>
      <c r="BH12" s="4395">
        <f>IFERROR(IF((time+time_cap)&lt;BH$2, 0,IF(AND(time+1&gt;=BI$2, $E12&lt;BI$2), IF($I12= "I", $J12/($F12-$E12+1), $J12/(($F12*($F12+1)/2)-(($E12-1)*($E12-1+1)/2))*BH$2), 0)+IF(IF(time+1&gt;=BI$2, $K12/time_cap/(time+1)*BH$2, 0) = 0, $K12/(time_cap),0)),0)</f>
        <v/>
      </c>
      <c r="BI12" s="4395">
        <f>IFERROR(IF((time+time_cap)&lt;BI$2, 0,IF(AND(time+1&gt;=BJ$2, $E12&lt;BJ$2), IF($I12= "I", $J12/($F12-$E12+1), $J12/(($F12*($F12+1)/2)-(($E12-1)*($E12-1+1)/2))*BI$2), 0)+IF(IF(time+1&gt;=BJ$2, $K12/time_cap/(time+1)*BI$2, 0) = 0, $K12/(time_cap),0)),0)</f>
        <v/>
      </c>
      <c r="BJ12" s="4395">
        <f>IFERROR(IF((time+time_cap)&lt;BJ$2, 0,IF(AND(time+1&gt;=BK$2, $E12&lt;BK$2), IF($I12= "I", $J12/($F12-$E12+1), $J12/(($F12*($F12+1)/2)-(($E12-1)*($E12-1+1)/2))*BJ$2), 0)+IF(IF(time+1&gt;=BK$2, $K12/time_cap/(time+1)*BJ$2, 0) = 0, $K12/(time_cap),0)),0)</f>
        <v/>
      </c>
      <c r="BK12" s="4395" t="n"/>
      <c r="BL12" s="4395" t="n"/>
      <c r="BM12" s="4395" t="n"/>
      <c r="BN12" s="4395" t="n"/>
      <c r="BO12" s="4395" t="n"/>
      <c r="BP12" s="4395" t="n"/>
      <c r="BQ12" s="4395" t="n"/>
      <c r="BR12" s="4395" t="n"/>
      <c r="BS12" s="4395" t="n"/>
      <c r="BT12" s="4395" t="n"/>
      <c r="BU12" s="4395" t="n"/>
      <c r="BV12" s="4395" t="n"/>
      <c r="BW12" s="4395" t="n"/>
      <c r="BX12" s="4395" t="n"/>
      <c r="BY12" s="4395" t="n"/>
      <c r="BZ12" s="4395" t="n"/>
      <c r="CA12" s="4395" t="n"/>
      <c r="CB12" s="4395" t="n"/>
      <c r="CC12" s="4395" t="n"/>
      <c r="CD12" s="4395" t="n"/>
      <c r="CE12" s="4395" t="n"/>
      <c r="CF12" s="4395" t="n"/>
      <c r="CG12" s="4395" t="n"/>
      <c r="CH12" s="4395" t="n"/>
      <c r="CI12" s="4395" t="n"/>
      <c r="CJ12" s="4395" t="n"/>
      <c r="CK12" s="4395" t="n"/>
      <c r="CL12" s="4395" t="n"/>
      <c r="CM12" s="4395" t="n"/>
      <c r="CN12" s="4395" t="n"/>
      <c r="CO12" s="4395" t="n"/>
      <c r="CP12" s="4395" t="n"/>
      <c r="CQ12" s="4395" t="n"/>
      <c r="CR12" s="4395" t="n"/>
      <c r="CS12" s="4395" t="n"/>
      <c r="CT12" s="4395" t="n"/>
      <c r="CU12" s="4395" t="n"/>
      <c r="CV12" s="4395" t="n"/>
      <c r="CW12" s="4395" t="n"/>
      <c r="CX12" s="4395" t="n"/>
      <c r="CY12" s="4395" t="n"/>
      <c r="CZ12" s="4395" t="n"/>
      <c r="DA12" s="4395" t="n"/>
      <c r="DB12" s="4395" t="n"/>
      <c r="DC12" s="4395" t="n"/>
      <c r="DD12" s="4395" t="n"/>
      <c r="DE12" s="4395" t="n"/>
      <c r="DF12" s="4395" t="n"/>
      <c r="DG12" s="4395" t="n"/>
      <c r="DH12" s="4395" t="n"/>
    </row>
    <row r="13" ht="16" customHeight="1">
      <c r="A13" t="inlineStr">
        <is>
          <t>DEFO</t>
        </is>
      </c>
      <c r="C13">
        <f>'2.LUC'!C13</f>
        <v/>
      </c>
      <c r="D13">
        <f>'2.LUC'!Y13</f>
        <v/>
      </c>
      <c r="E13">
        <f>IF('2.LUC'!BU13&lt;&gt;0,'2.LUC'!BU13,'2.LUC'!BT13)</f>
        <v/>
      </c>
      <c r="F13">
        <f>time</f>
        <v/>
      </c>
      <c r="G13" s="4395">
        <f>'2.LUC'!O13</f>
        <v/>
      </c>
      <c r="H13" s="4395">
        <f>'2.LUC'!Q13</f>
        <v/>
      </c>
      <c r="I13" s="4395">
        <f>IF(OR(H13="I", G13="I"), "I", IF(OR(H13="E", G13="E"), "E", "D"))</f>
        <v/>
      </c>
      <c r="J13" s="4395">
        <f>((D13/(time_cap+((F13-E13+1)*VLOOKUP(I13,list!$I$48:$K$50,3, FALSE))))*(F13-E13+1)*VLOOKUP(I13,list!$I$48:$K$50,3, FALSE))</f>
        <v/>
      </c>
      <c r="K13" s="4395">
        <f>((D13/(time_cap+((F13-E13+1)*VLOOKUP(I13,list!$I$48:$K$50,3, FALSE))))*time_cap)</f>
        <v/>
      </c>
      <c r="M13" s="4395">
        <f>IFERROR(IF((time+time_cap)&lt;M$2, 0,IF(AND(time+1&gt;=N$2, $E13&lt;N$2), IF($I13= "I", $J13/($F13-$E13+1), $J13/(($F13*($F13+1)/2)-(($E13-1)*($E13-1+1)/2))*M$2), 0)+IF(IF(time+1&gt;=N$2, $K13/time_cap/(time+1)*M$2, 0) = 0, $K13/(time_cap),0)),0)</f>
        <v/>
      </c>
      <c r="N13" s="4395">
        <f>IFERROR(IF((time+time_cap)&lt;N$2, 0,IF(AND(time+1&gt;=O$2, $E13&lt;O$2), IF($I13= "I", $J13/($F13-$E13+1), $J13/(($F13*($F13+1)/2)-(($E13-1)*($E13-1+1)/2))*N$2), 0)+IF(IF(time+1&gt;=O$2, $K13/time_cap/(time+1)*N$2, 0) = 0, $K13/(time_cap),0)),0)</f>
        <v/>
      </c>
      <c r="O13" s="4395">
        <f>IFERROR(IF((time+time_cap)&lt;O$2, 0,IF(AND(time+1&gt;=P$2, $E13&lt;P$2), IF($I13= "I", $J13/($F13-$E13+1), $J13/(($F13*($F13+1)/2)-(($E13-1)*($E13-1+1)/2))*O$2), 0)+IF(IF(time+1&gt;=P$2, $K13/time_cap/(time+1)*O$2, 0) = 0, $K13/(time_cap),0)),0)</f>
        <v/>
      </c>
      <c r="P13" s="4395">
        <f>IFERROR(IF((time+time_cap)&lt;P$2, 0,IF(AND(time+1&gt;=Q$2, $E13&lt;Q$2), IF($I13= "I", $J13/($F13-$E13+1), $J13/(($F13*($F13+1)/2)-(($E13-1)*($E13-1+1)/2))*P$2), 0)+IF(IF(time+1&gt;=Q$2, $K13/time_cap/(time+1)*P$2, 0) = 0, $K13/(time_cap),0)),0)</f>
        <v/>
      </c>
      <c r="Q13" s="4395">
        <f>IFERROR(IF((time+time_cap)&lt;Q$2, 0,IF(AND(time+1&gt;=R$2, $E13&lt;R$2), IF($I13= "I", $J13/($F13-$E13+1), $J13/(($F13*($F13+1)/2)-(($E13-1)*($E13-1+1)/2))*Q$2), 0)+IF(IF(time+1&gt;=R$2, $K13/time_cap/(time+1)*Q$2, 0) = 0, $K13/(time_cap),0)),0)</f>
        <v/>
      </c>
      <c r="R13" s="4395">
        <f>IFERROR(IF((time+time_cap)&lt;R$2, 0,IF(AND(time+1&gt;=S$2, $E13&lt;S$2), IF($I13= "I", $J13/($F13-$E13+1), $J13/(($F13*($F13+1)/2)-(($E13-1)*($E13-1+1)/2))*R$2), 0)+IF(IF(time+1&gt;=S$2, $K13/time_cap/(time+1)*R$2, 0) = 0, $K13/(time_cap),0)),0)</f>
        <v/>
      </c>
      <c r="S13" s="4395">
        <f>IFERROR(IF((time+time_cap)&lt;S$2, 0,IF(AND(time+1&gt;=T$2, $E13&lt;T$2), IF($I13= "I", $J13/($F13-$E13+1), $J13/(($F13*($F13+1)/2)-(($E13-1)*($E13-1+1)/2))*S$2), 0)+IF(IF(time+1&gt;=T$2, $K13/time_cap/(time+1)*S$2, 0) = 0, $K13/(time_cap),0)),0)</f>
        <v/>
      </c>
      <c r="T13" s="4395">
        <f>IFERROR(IF((time+time_cap)&lt;T$2, 0,IF(AND(time+1&gt;=U$2, $E13&lt;U$2), IF($I13= "I", $J13/($F13-$E13+1), $J13/(($F13*($F13+1)/2)-(($E13-1)*($E13-1+1)/2))*T$2), 0)+IF(IF(time+1&gt;=U$2, $K13/time_cap/(time+1)*T$2, 0) = 0, $K13/(time_cap),0)),0)</f>
        <v/>
      </c>
      <c r="U13" s="4395">
        <f>IFERROR(IF((time+time_cap)&lt;U$2, 0,IF(AND(time+1&gt;=V$2, $E13&lt;V$2), IF($I13= "I", $J13/($F13-$E13+1), $J13/(($F13*($F13+1)/2)-(($E13-1)*($E13-1+1)/2))*U$2), 0)+IF(IF(time+1&gt;=V$2, $K13/time_cap/(time+1)*U$2, 0) = 0, $K13/(time_cap),0)),0)</f>
        <v/>
      </c>
      <c r="V13" s="4395">
        <f>IFERROR(IF((time+time_cap)&lt;V$2, 0,IF(AND(time+1&gt;=W$2, $E13&lt;W$2), IF($I13= "I", $J13/($F13-$E13+1), $J13/(($F13*($F13+1)/2)-(($E13-1)*($E13-1+1)/2))*V$2), 0)+IF(IF(time+1&gt;=W$2, $K13/time_cap/(time+1)*V$2, 0) = 0, $K13/(time_cap),0)),0)</f>
        <v/>
      </c>
      <c r="W13" s="4395">
        <f>IFERROR(IF((time+time_cap)&lt;W$2, 0,IF(AND(time+1&gt;=X$2, $E13&lt;X$2), IF($I13= "I", $J13/($F13-$E13+1), $J13/(($F13*($F13+1)/2)-(($E13-1)*($E13-1+1)/2))*W$2), 0)+IF(IF(time+1&gt;=X$2, $K13/time_cap/(time+1)*W$2, 0) = 0, $K13/(time_cap),0)),0)</f>
        <v/>
      </c>
      <c r="X13" s="4395">
        <f>IFERROR(IF((time+time_cap)&lt;X$2, 0,IF(AND(time+1&gt;=Y$2, $E13&lt;Y$2), IF($I13= "I", $J13/($F13-$E13+1), $J13/(($F13*($F13+1)/2)-(($E13-1)*($E13-1+1)/2))*X$2), 0)+IF(IF(time+1&gt;=Y$2, $K13/time_cap/(time+1)*X$2, 0) = 0, $K13/(time_cap),0)),0)</f>
        <v/>
      </c>
      <c r="Y13" s="4395">
        <f>IFERROR(IF((time+time_cap)&lt;Y$2, 0,IF(AND(time+1&gt;=Z$2, $E13&lt;Z$2), IF($I13= "I", $J13/($F13-$E13+1), $J13/(($F13*($F13+1)/2)-(($E13-1)*($E13-1+1)/2))*Y$2), 0)+IF(IF(time+1&gt;=Z$2, $K13/time_cap/(time+1)*Y$2, 0) = 0, $K13/(time_cap),0)),0)</f>
        <v/>
      </c>
      <c r="Z13" s="4395">
        <f>IFERROR(IF((time+time_cap)&lt;Z$2, 0,IF(AND(time+1&gt;=AA$2, $E13&lt;AA$2), IF($I13= "I", $J13/($F13-$E13+1), $J13/(($F13*($F13+1)/2)-(($E13-1)*($E13-1+1)/2))*Z$2), 0)+IF(IF(time+1&gt;=AA$2, $K13/time_cap/(time+1)*Z$2, 0) = 0, $K13/(time_cap),0)),0)</f>
        <v/>
      </c>
      <c r="AA13" s="4395">
        <f>IFERROR(IF((time+time_cap)&lt;AA$2, 0,IF(AND(time+1&gt;=AB$2, $E13&lt;AB$2), IF($I13= "I", $J13/($F13-$E13+1), $J13/(($F13*($F13+1)/2)-(($E13-1)*($E13-1+1)/2))*AA$2), 0)+IF(IF(time+1&gt;=AB$2, $K13/time_cap/(time+1)*AA$2, 0) = 0, $K13/(time_cap),0)),0)</f>
        <v/>
      </c>
      <c r="AB13" s="4395">
        <f>IFERROR(IF((time+time_cap)&lt;AB$2, 0,IF(AND(time+1&gt;=AC$2, $E13&lt;AC$2), IF($I13= "I", $J13/($F13-$E13+1), $J13/(($F13*($F13+1)/2)-(($E13-1)*($E13-1+1)/2))*AB$2), 0)+IF(IF(time+1&gt;=AC$2, $K13/time_cap/(time+1)*AB$2, 0) = 0, $K13/(time_cap),0)),0)</f>
        <v/>
      </c>
      <c r="AC13" s="4395">
        <f>IFERROR(IF((time+time_cap)&lt;AC$2, 0,IF(AND(time+1&gt;=AD$2, $E13&lt;AD$2), IF($I13= "I", $J13/($F13-$E13+1), $J13/(($F13*($F13+1)/2)-(($E13-1)*($E13-1+1)/2))*AC$2), 0)+IF(IF(time+1&gt;=AD$2, $K13/time_cap/(time+1)*AC$2, 0) = 0, $K13/(time_cap),0)),0)</f>
        <v/>
      </c>
      <c r="AD13" s="4395">
        <f>IFERROR(IF((time+time_cap)&lt;AD$2, 0,IF(AND(time+1&gt;=AE$2, $E13&lt;AE$2), IF($I13= "I", $J13/($F13-$E13+1), $J13/(($F13*($F13+1)/2)-(($E13-1)*($E13-1+1)/2))*AD$2), 0)+IF(IF(time+1&gt;=AE$2, $K13/time_cap/(time+1)*AD$2, 0) = 0, $K13/(time_cap),0)),0)</f>
        <v/>
      </c>
      <c r="AE13" s="4395">
        <f>IFERROR(IF((time+time_cap)&lt;AE$2, 0,IF(AND(time+1&gt;=AF$2, $E13&lt;AF$2), IF($I13= "I", $J13/($F13-$E13+1), $J13/(($F13*($F13+1)/2)-(($E13-1)*($E13-1+1)/2))*AE$2), 0)+IF(IF(time+1&gt;=AF$2, $K13/time_cap/(time+1)*AE$2, 0) = 0, $K13/(time_cap),0)),0)</f>
        <v/>
      </c>
      <c r="AF13" s="4395">
        <f>IFERROR(IF((time+time_cap)&lt;AF$2, 0,IF(AND(time+1&gt;=AG$2, $E13&lt;AG$2), IF($I13= "I", $J13/($F13-$E13+1), $J13/(($F13*($F13+1)/2)-(($E13-1)*($E13-1+1)/2))*AF$2), 0)+IF(IF(time+1&gt;=AG$2, $K13/time_cap/(time+1)*AF$2, 0) = 0, $K13/(time_cap),0)),0)</f>
        <v/>
      </c>
      <c r="AG13" s="4395">
        <f>IFERROR(IF((time+time_cap)&lt;AG$2, 0,IF(AND(time+1&gt;=AH$2, $E13&lt;AH$2), IF($I13= "I", $J13/($F13-$E13+1), $J13/(($F13*($F13+1)/2)-(($E13-1)*($E13-1+1)/2))*AG$2), 0)+IF(IF(time+1&gt;=AH$2, $K13/time_cap/(time+1)*AG$2, 0) = 0, $K13/(time_cap),0)),0)</f>
        <v/>
      </c>
      <c r="AH13" s="4395">
        <f>IFERROR(IF((time+time_cap)&lt;AH$2, 0,IF(AND(time+1&gt;=AI$2, $E13&lt;AI$2), IF($I13= "I", $J13/($F13-$E13+1), $J13/(($F13*($F13+1)/2)-(($E13-1)*($E13-1+1)/2))*AH$2), 0)+IF(IF(time+1&gt;=AI$2, $K13/time_cap/(time+1)*AH$2, 0) = 0, $K13/(time_cap),0)),0)</f>
        <v/>
      </c>
      <c r="AI13" s="4395">
        <f>IFERROR(IF((time+time_cap)&lt;AI$2, 0,IF(AND(time+1&gt;=AJ$2, $E13&lt;AJ$2), IF($I13= "I", $J13/($F13-$E13+1), $J13/(($F13*($F13+1)/2)-(($E13-1)*($E13-1+1)/2))*AI$2), 0)+IF(IF(time+1&gt;=AJ$2, $K13/time_cap/(time+1)*AI$2, 0) = 0, $K13/(time_cap),0)),0)</f>
        <v/>
      </c>
      <c r="AJ13" s="4395">
        <f>IFERROR(IF((time+time_cap)&lt;AJ$2, 0,IF(AND(time+1&gt;=AK$2, $E13&lt;AK$2), IF($I13= "I", $J13/($F13-$E13+1), $J13/(($F13*($F13+1)/2)-(($E13-1)*($E13-1+1)/2))*AJ$2), 0)+IF(IF(time+1&gt;=AK$2, $K13/time_cap/(time+1)*AJ$2, 0) = 0, $K13/(time_cap),0)),0)</f>
        <v/>
      </c>
      <c r="AK13" s="4395">
        <f>IFERROR(IF((time+time_cap)&lt;AK$2, 0,IF(AND(time+1&gt;=AL$2, $E13&lt;AL$2), IF($I13= "I", $J13/($F13-$E13+1), $J13/(($F13*($F13+1)/2)-(($E13-1)*($E13-1+1)/2))*AK$2), 0)+IF(IF(time+1&gt;=AL$2, $K13/time_cap/(time+1)*AK$2, 0) = 0, $K13/(time_cap),0)),0)</f>
        <v/>
      </c>
      <c r="AL13" s="4395">
        <f>IFERROR(IF((time+time_cap)&lt;AL$2, 0,IF(AND(time+1&gt;=AM$2, $E13&lt;AM$2), IF($I13= "I", $J13/($F13-$E13+1), $J13/(($F13*($F13+1)/2)-(($E13-1)*($E13-1+1)/2))*AL$2), 0)+IF(IF(time+1&gt;=AM$2, $K13/time_cap/(time+1)*AL$2, 0) = 0, $K13/(time_cap),0)),0)</f>
        <v/>
      </c>
      <c r="AM13" s="4395">
        <f>IFERROR(IF((time+time_cap)&lt;AM$2, 0,IF(AND(time+1&gt;=AN$2, $E13&lt;AN$2), IF($I13= "I", $J13/($F13-$E13+1), $J13/(($F13*($F13+1)/2)-(($E13-1)*($E13-1+1)/2))*AM$2), 0)+IF(IF(time+1&gt;=AN$2, $K13/time_cap/(time+1)*AM$2, 0) = 0, $K13/(time_cap),0)),0)</f>
        <v/>
      </c>
      <c r="AN13" s="4395">
        <f>IFERROR(IF((time+time_cap)&lt;AN$2, 0,IF(AND(time+1&gt;=AO$2, $E13&lt;AO$2), IF($I13= "I", $J13/($F13-$E13+1), $J13/(($F13*($F13+1)/2)-(($E13-1)*($E13-1+1)/2))*AN$2), 0)+IF(IF(time+1&gt;=AO$2, $K13/time_cap/(time+1)*AN$2, 0) = 0, $K13/(time_cap),0)),0)</f>
        <v/>
      </c>
      <c r="AO13" s="4395">
        <f>IFERROR(IF((time+time_cap)&lt;AO$2, 0,IF(AND(time+1&gt;=AP$2, $E13&lt;AP$2), IF($I13= "I", $J13/($F13-$E13+1), $J13/(($F13*($F13+1)/2)-(($E13-1)*($E13-1+1)/2))*AO$2), 0)+IF(IF(time+1&gt;=AP$2, $K13/time_cap/(time+1)*AO$2, 0) = 0, $K13/(time_cap),0)),0)</f>
        <v/>
      </c>
      <c r="AP13" s="4395">
        <f>IFERROR(IF((time+time_cap)&lt;AP$2, 0,IF(AND(time+1&gt;=AQ$2, $E13&lt;AQ$2), IF($I13= "I", $J13/($F13-$E13+1), $J13/(($F13*($F13+1)/2)-(($E13-1)*($E13-1+1)/2))*AP$2), 0)+IF(IF(time+1&gt;=AQ$2, $K13/time_cap/(time+1)*AP$2, 0) = 0, $K13/(time_cap),0)),0)</f>
        <v/>
      </c>
      <c r="AQ13" s="4395">
        <f>IFERROR(IF((time+time_cap)&lt;AQ$2, 0,IF(AND(time+1&gt;=AR$2, $E13&lt;AR$2), IF($I13= "I", $J13/($F13-$E13+1), $J13/(($F13*($F13+1)/2)-(($E13-1)*($E13-1+1)/2))*AQ$2), 0)+IF(IF(time+1&gt;=AR$2, $K13/time_cap/(time+1)*AQ$2, 0) = 0, $K13/(time_cap),0)),0)</f>
        <v/>
      </c>
      <c r="AR13" s="4395">
        <f>IFERROR(IF((time+time_cap)&lt;AR$2, 0,IF(AND(time+1&gt;=AS$2, $E13&lt;AS$2), IF($I13= "I", $J13/($F13-$E13+1), $J13/(($F13*($F13+1)/2)-(($E13-1)*($E13-1+1)/2))*AR$2), 0)+IF(IF(time+1&gt;=AS$2, $K13/time_cap/(time+1)*AR$2, 0) = 0, $K13/(time_cap),0)),0)</f>
        <v/>
      </c>
      <c r="AS13" s="4395">
        <f>IFERROR(IF((time+time_cap)&lt;AS$2, 0,IF(AND(time+1&gt;=AT$2, $E13&lt;AT$2), IF($I13= "I", $J13/($F13-$E13+1), $J13/(($F13*($F13+1)/2)-(($E13-1)*($E13-1+1)/2))*AS$2), 0)+IF(IF(time+1&gt;=AT$2, $K13/time_cap/(time+1)*AS$2, 0) = 0, $K13/(time_cap),0)),0)</f>
        <v/>
      </c>
      <c r="AT13" s="4395">
        <f>IFERROR(IF((time+time_cap)&lt;AT$2, 0,IF(AND(time+1&gt;=AU$2, $E13&lt;AU$2), IF($I13= "I", $J13/($F13-$E13+1), $J13/(($F13*($F13+1)/2)-(($E13-1)*($E13-1+1)/2))*AT$2), 0)+IF(IF(time+1&gt;=AU$2, $K13/time_cap/(time+1)*AT$2, 0) = 0, $K13/(time_cap),0)),0)</f>
        <v/>
      </c>
      <c r="AU13" s="4395">
        <f>IFERROR(IF((time+time_cap)&lt;AU$2, 0,IF(AND(time+1&gt;=AV$2, $E13&lt;AV$2), IF($I13= "I", $J13/($F13-$E13+1), $J13/(($F13*($F13+1)/2)-(($E13-1)*($E13-1+1)/2))*AU$2), 0)+IF(IF(time+1&gt;=AV$2, $K13/time_cap/(time+1)*AU$2, 0) = 0, $K13/(time_cap),0)),0)</f>
        <v/>
      </c>
      <c r="AV13" s="4395">
        <f>IFERROR(IF((time+time_cap)&lt;AV$2, 0,IF(AND(time+1&gt;=AW$2, $E13&lt;AW$2), IF($I13= "I", $J13/($F13-$E13+1), $J13/(($F13*($F13+1)/2)-(($E13-1)*($E13-1+1)/2))*AV$2), 0)+IF(IF(time+1&gt;=AW$2, $K13/time_cap/(time+1)*AV$2, 0) = 0, $K13/(time_cap),0)),0)</f>
        <v/>
      </c>
      <c r="AW13" s="4395">
        <f>IFERROR(IF((time+time_cap)&lt;AW$2, 0,IF(AND(time+1&gt;=AX$2, $E13&lt;AX$2), IF($I13= "I", $J13/($F13-$E13+1), $J13/(($F13*($F13+1)/2)-(($E13-1)*($E13-1+1)/2))*AW$2), 0)+IF(IF(time+1&gt;=AX$2, $K13/time_cap/(time+1)*AW$2, 0) = 0, $K13/(time_cap),0)),0)</f>
        <v/>
      </c>
      <c r="AX13" s="4395">
        <f>IFERROR(IF((time+time_cap)&lt;AX$2, 0,IF(AND(time+1&gt;=AY$2, $E13&lt;AY$2), IF($I13= "I", $J13/($F13-$E13+1), $J13/(($F13*($F13+1)/2)-(($E13-1)*($E13-1+1)/2))*AX$2), 0)+IF(IF(time+1&gt;=AY$2, $K13/time_cap/(time+1)*AX$2, 0) = 0, $K13/(time_cap),0)),0)</f>
        <v/>
      </c>
      <c r="AY13" s="4395">
        <f>IFERROR(IF((time+time_cap)&lt;AY$2, 0,IF(AND(time+1&gt;=AZ$2, $E13&lt;AZ$2), IF($I13= "I", $J13/($F13-$E13+1), $J13/(($F13*($F13+1)/2)-(($E13-1)*($E13-1+1)/2))*AY$2), 0)+IF(IF(time+1&gt;=AZ$2, $K13/time_cap/(time+1)*AY$2, 0) = 0, $K13/(time_cap),0)),0)</f>
        <v/>
      </c>
      <c r="AZ13" s="4395">
        <f>IFERROR(IF((time+time_cap)&lt;AZ$2, 0,IF(AND(time+1&gt;=BA$2, $E13&lt;BA$2), IF($I13= "I", $J13/($F13-$E13+1), $J13/(($F13*($F13+1)/2)-(($E13-1)*($E13-1+1)/2))*AZ$2), 0)+IF(IF(time+1&gt;=BA$2, $K13/time_cap/(time+1)*AZ$2, 0) = 0, $K13/(time_cap),0)),0)</f>
        <v/>
      </c>
      <c r="BA13" s="4395">
        <f>IFERROR(IF((time+time_cap)&lt;BA$2, 0,IF(AND(time+1&gt;=BB$2, $E13&lt;BB$2), IF($I13= "I", $J13/($F13-$E13+1), $J13/(($F13*($F13+1)/2)-(($E13-1)*($E13-1+1)/2))*BA$2), 0)+IF(IF(time+1&gt;=BB$2, $K13/time_cap/(time+1)*BA$2, 0) = 0, $K13/(time_cap),0)),0)</f>
        <v/>
      </c>
      <c r="BB13" s="4395">
        <f>IFERROR(IF((time+time_cap)&lt;BB$2, 0,IF(AND(time+1&gt;=BC$2, $E13&lt;BC$2), IF($I13= "I", $J13/($F13-$E13+1), $J13/(($F13*($F13+1)/2)-(($E13-1)*($E13-1+1)/2))*BB$2), 0)+IF(IF(time+1&gt;=BC$2, $K13/time_cap/(time+1)*BB$2, 0) = 0, $K13/(time_cap),0)),0)</f>
        <v/>
      </c>
      <c r="BC13" s="4395">
        <f>IFERROR(IF((time+time_cap)&lt;BC$2, 0,IF(AND(time+1&gt;=BD$2, $E13&lt;BD$2), IF($I13= "I", $J13/($F13-$E13+1), $J13/(($F13*($F13+1)/2)-(($E13-1)*($E13-1+1)/2))*BC$2), 0)+IF(IF(time+1&gt;=BD$2, $K13/time_cap/(time+1)*BC$2, 0) = 0, $K13/(time_cap),0)),0)</f>
        <v/>
      </c>
      <c r="BD13" s="4395">
        <f>IFERROR(IF((time+time_cap)&lt;BD$2, 0,IF(AND(time+1&gt;=BE$2, $E13&lt;BE$2), IF($I13= "I", $J13/($F13-$E13+1), $J13/(($F13*($F13+1)/2)-(($E13-1)*($E13-1+1)/2))*BD$2), 0)+IF(IF(time+1&gt;=BE$2, $K13/time_cap/(time+1)*BD$2, 0) = 0, $K13/(time_cap),0)),0)</f>
        <v/>
      </c>
      <c r="BE13" s="4395">
        <f>IFERROR(IF((time+time_cap)&lt;BE$2, 0,IF(AND(time+1&gt;=BF$2, $E13&lt;BF$2), IF($I13= "I", $J13/($F13-$E13+1), $J13/(($F13*($F13+1)/2)-(($E13-1)*($E13-1+1)/2))*BE$2), 0)+IF(IF(time+1&gt;=BF$2, $K13/time_cap/(time+1)*BE$2, 0) = 0, $K13/(time_cap),0)),0)</f>
        <v/>
      </c>
      <c r="BF13" s="4395">
        <f>IFERROR(IF((time+time_cap)&lt;BF$2, 0,IF(AND(time+1&gt;=BG$2, $E13&lt;BG$2), IF($I13= "I", $J13/($F13-$E13+1), $J13/(($F13*($F13+1)/2)-(($E13-1)*($E13-1+1)/2))*BF$2), 0)+IF(IF(time+1&gt;=BG$2, $K13/time_cap/(time+1)*BF$2, 0) = 0, $K13/(time_cap),0)),0)</f>
        <v/>
      </c>
      <c r="BG13" s="4395">
        <f>IFERROR(IF((time+time_cap)&lt;BG$2, 0,IF(AND(time+1&gt;=BH$2, $E13&lt;BH$2), IF($I13= "I", $J13/($F13-$E13+1), $J13/(($F13*($F13+1)/2)-(($E13-1)*($E13-1+1)/2))*BG$2), 0)+IF(IF(time+1&gt;=BH$2, $K13/time_cap/(time+1)*BG$2, 0) = 0, $K13/(time_cap),0)),0)</f>
        <v/>
      </c>
      <c r="BH13" s="4395">
        <f>IFERROR(IF((time+time_cap)&lt;BH$2, 0,IF(AND(time+1&gt;=BI$2, $E13&lt;BI$2), IF($I13= "I", $J13/($F13-$E13+1), $J13/(($F13*($F13+1)/2)-(($E13-1)*($E13-1+1)/2))*BH$2), 0)+IF(IF(time+1&gt;=BI$2, $K13/time_cap/(time+1)*BH$2, 0) = 0, $K13/(time_cap),0)),0)</f>
        <v/>
      </c>
      <c r="BI13" s="4395">
        <f>IFERROR(IF((time+time_cap)&lt;BI$2, 0,IF(AND(time+1&gt;=BJ$2, $E13&lt;BJ$2), IF($I13= "I", $J13/($F13-$E13+1), $J13/(($F13*($F13+1)/2)-(($E13-1)*($E13-1+1)/2))*BI$2), 0)+IF(IF(time+1&gt;=BJ$2, $K13/time_cap/(time+1)*BI$2, 0) = 0, $K13/(time_cap),0)),0)</f>
        <v/>
      </c>
      <c r="BJ13" s="4395">
        <f>IFERROR(IF((time+time_cap)&lt;BJ$2, 0,IF(AND(time+1&gt;=BK$2, $E13&lt;BK$2), IF($I13= "I", $J13/($F13-$E13+1), $J13/(($F13*($F13+1)/2)-(($E13-1)*($E13-1+1)/2))*BJ$2), 0)+IF(IF(time+1&gt;=BK$2, $K13/time_cap/(time+1)*BJ$2, 0) = 0, $K13/(time_cap),0)),0)</f>
        <v/>
      </c>
      <c r="BK13" s="4395" t="n"/>
      <c r="BL13" s="4395" t="n"/>
      <c r="BM13" s="4395" t="n"/>
      <c r="BN13" s="4395" t="n"/>
      <c r="BO13" s="4395" t="n"/>
      <c r="BP13" s="4395" t="n"/>
      <c r="BQ13" s="4395" t="n"/>
      <c r="BR13" s="4395" t="n"/>
      <c r="BS13" s="4395" t="n"/>
      <c r="BT13" s="4395" t="n"/>
      <c r="BU13" s="4395" t="n"/>
      <c r="BV13" s="4395" t="n"/>
      <c r="BW13" s="4395" t="n"/>
      <c r="BX13" s="4395" t="n"/>
      <c r="BY13" s="4395" t="n"/>
      <c r="BZ13" s="4395" t="n"/>
      <c r="CA13" s="4395" t="n"/>
      <c r="CB13" s="4395" t="n"/>
      <c r="CC13" s="4395" t="n"/>
      <c r="CD13" s="4395" t="n"/>
      <c r="CE13" s="4395" t="n"/>
      <c r="CF13" s="4395" t="n"/>
      <c r="CG13" s="4395" t="n"/>
      <c r="CH13" s="4395" t="n"/>
      <c r="CI13" s="4395" t="n"/>
      <c r="CJ13" s="4395" t="n"/>
      <c r="CK13" s="4395" t="n"/>
      <c r="CL13" s="4395" t="n"/>
      <c r="CM13" s="4395" t="n"/>
      <c r="CN13" s="4395" t="n"/>
      <c r="CO13" s="4395" t="n"/>
      <c r="CP13" s="4395" t="n"/>
      <c r="CQ13" s="4395" t="n"/>
      <c r="CR13" s="4395" t="n"/>
      <c r="CS13" s="4395" t="n"/>
      <c r="CT13" s="4395" t="n"/>
      <c r="CU13" s="4395" t="n"/>
      <c r="CV13" s="4395" t="n"/>
      <c r="CW13" s="4395" t="n"/>
      <c r="CX13" s="4395" t="n"/>
      <c r="CY13" s="4395" t="n"/>
      <c r="CZ13" s="4395" t="n"/>
      <c r="DA13" s="4395" t="n"/>
      <c r="DB13" s="4395" t="n"/>
      <c r="DC13" s="4395" t="n"/>
      <c r="DD13" s="4395" t="n"/>
      <c r="DE13" s="4395" t="n"/>
      <c r="DF13" s="4395" t="n"/>
      <c r="DG13" s="4395" t="n"/>
      <c r="DH13" s="4395" t="n"/>
    </row>
    <row r="14" ht="16" customHeight="1">
      <c r="A14" t="inlineStr">
        <is>
          <t>DEFO</t>
        </is>
      </c>
      <c r="C14">
        <f>'2.LUC'!C14</f>
        <v/>
      </c>
      <c r="D14">
        <f>'2.LUC'!Y14</f>
        <v/>
      </c>
      <c r="E14">
        <f>IF('2.LUC'!BU14&lt;&gt;0,'2.LUC'!BU14,'2.LUC'!BT14)</f>
        <v/>
      </c>
      <c r="F14">
        <f>time</f>
        <v/>
      </c>
      <c r="G14" s="4395">
        <f>'2.LUC'!O14</f>
        <v/>
      </c>
      <c r="H14" s="4395">
        <f>'2.LUC'!Q14</f>
        <v/>
      </c>
      <c r="I14" s="4395">
        <f>IF(OR(H14="I", G14="I"), "I", IF(OR(H14="E", G14="E"), "E", "D"))</f>
        <v/>
      </c>
      <c r="J14" s="4395">
        <f>((D14/(time_cap+((F14-E14+1)*VLOOKUP(I14,list!$I$48:$K$50,3, FALSE))))*(F14-E14+1)*VLOOKUP(I14,list!$I$48:$K$50,3, FALSE))</f>
        <v/>
      </c>
      <c r="K14" s="4395">
        <f>((D14/(time_cap+((F14-E14+1)*VLOOKUP(I14,list!$I$48:$K$50,3, FALSE))))*time_cap)</f>
        <v/>
      </c>
      <c r="M14" s="4395">
        <f>IFERROR(IF((time+time_cap)&lt;M$2, 0,IF(AND(time+1&gt;=N$2, $E14&lt;N$2), IF($I14= "I", $J14/($F14-$E14+1), $J14/(($F14*($F14+1)/2)-(($E14-1)*($E14-1+1)/2))*M$2), 0)+IF(IF(time+1&gt;=N$2, $K14/time_cap/(time+1)*M$2, 0) = 0, $K14/(time_cap),0)),0)</f>
        <v/>
      </c>
      <c r="N14" s="4395">
        <f>IFERROR(IF((time+time_cap)&lt;N$2, 0,IF(AND(time+1&gt;=O$2, $E14&lt;O$2), IF($I14= "I", $J14/($F14-$E14+1), $J14/(($F14*($F14+1)/2)-(($E14-1)*($E14-1+1)/2))*N$2), 0)+IF(IF(time+1&gt;=O$2, $K14/time_cap/(time+1)*N$2, 0) = 0, $K14/(time_cap),0)),0)</f>
        <v/>
      </c>
      <c r="O14" s="4395">
        <f>IFERROR(IF((time+time_cap)&lt;O$2, 0,IF(AND(time+1&gt;=P$2, $E14&lt;P$2), IF($I14= "I", $J14/($F14-$E14+1), $J14/(($F14*($F14+1)/2)-(($E14-1)*($E14-1+1)/2))*O$2), 0)+IF(IF(time+1&gt;=P$2, $K14/time_cap/(time+1)*O$2, 0) = 0, $K14/(time_cap),0)),0)</f>
        <v/>
      </c>
      <c r="P14" s="4395">
        <f>IFERROR(IF((time+time_cap)&lt;P$2, 0,IF(AND(time+1&gt;=Q$2, $E14&lt;Q$2), IF($I14= "I", $J14/($F14-$E14+1), $J14/(($F14*($F14+1)/2)-(($E14-1)*($E14-1+1)/2))*P$2), 0)+IF(IF(time+1&gt;=Q$2, $K14/time_cap/(time+1)*P$2, 0) = 0, $K14/(time_cap),0)),0)</f>
        <v/>
      </c>
      <c r="Q14" s="4395">
        <f>IFERROR(IF((time+time_cap)&lt;Q$2, 0,IF(AND(time+1&gt;=R$2, $E14&lt;R$2), IF($I14= "I", $J14/($F14-$E14+1), $J14/(($F14*($F14+1)/2)-(($E14-1)*($E14-1+1)/2))*Q$2), 0)+IF(IF(time+1&gt;=R$2, $K14/time_cap/(time+1)*Q$2, 0) = 0, $K14/(time_cap),0)),0)</f>
        <v/>
      </c>
      <c r="R14" s="4395">
        <f>IFERROR(IF((time+time_cap)&lt;R$2, 0,IF(AND(time+1&gt;=S$2, $E14&lt;S$2), IF($I14= "I", $J14/($F14-$E14+1), $J14/(($F14*($F14+1)/2)-(($E14-1)*($E14-1+1)/2))*R$2), 0)+IF(IF(time+1&gt;=S$2, $K14/time_cap/(time+1)*R$2, 0) = 0, $K14/(time_cap),0)),0)</f>
        <v/>
      </c>
      <c r="S14" s="4395">
        <f>IFERROR(IF((time+time_cap)&lt;S$2, 0,IF(AND(time+1&gt;=T$2, $E14&lt;T$2), IF($I14= "I", $J14/($F14-$E14+1), $J14/(($F14*($F14+1)/2)-(($E14-1)*($E14-1+1)/2))*S$2), 0)+IF(IF(time+1&gt;=T$2, $K14/time_cap/(time+1)*S$2, 0) = 0, $K14/(time_cap),0)),0)</f>
        <v/>
      </c>
      <c r="T14" s="4395">
        <f>IFERROR(IF((time+time_cap)&lt;T$2, 0,IF(AND(time+1&gt;=U$2, $E14&lt;U$2), IF($I14= "I", $J14/($F14-$E14+1), $J14/(($F14*($F14+1)/2)-(($E14-1)*($E14-1+1)/2))*T$2), 0)+IF(IF(time+1&gt;=U$2, $K14/time_cap/(time+1)*T$2, 0) = 0, $K14/(time_cap),0)),0)</f>
        <v/>
      </c>
      <c r="U14" s="4395">
        <f>IFERROR(IF((time+time_cap)&lt;U$2, 0,IF(AND(time+1&gt;=V$2, $E14&lt;V$2), IF($I14= "I", $J14/($F14-$E14+1), $J14/(($F14*($F14+1)/2)-(($E14-1)*($E14-1+1)/2))*U$2), 0)+IF(IF(time+1&gt;=V$2, $K14/time_cap/(time+1)*U$2, 0) = 0, $K14/(time_cap),0)),0)</f>
        <v/>
      </c>
      <c r="V14" s="4395">
        <f>IFERROR(IF((time+time_cap)&lt;V$2, 0,IF(AND(time+1&gt;=W$2, $E14&lt;W$2), IF($I14= "I", $J14/($F14-$E14+1), $J14/(($F14*($F14+1)/2)-(($E14-1)*($E14-1+1)/2))*V$2), 0)+IF(IF(time+1&gt;=W$2, $K14/time_cap/(time+1)*V$2, 0) = 0, $K14/(time_cap),0)),0)</f>
        <v/>
      </c>
      <c r="W14" s="4395">
        <f>IFERROR(IF((time+time_cap)&lt;W$2, 0,IF(AND(time+1&gt;=X$2, $E14&lt;X$2), IF($I14= "I", $J14/($F14-$E14+1), $J14/(($F14*($F14+1)/2)-(($E14-1)*($E14-1+1)/2))*W$2), 0)+IF(IF(time+1&gt;=X$2, $K14/time_cap/(time+1)*W$2, 0) = 0, $K14/(time_cap),0)),0)</f>
        <v/>
      </c>
      <c r="X14" s="4395">
        <f>IFERROR(IF((time+time_cap)&lt;X$2, 0,IF(AND(time+1&gt;=Y$2, $E14&lt;Y$2), IF($I14= "I", $J14/($F14-$E14+1), $J14/(($F14*($F14+1)/2)-(($E14-1)*($E14-1+1)/2))*X$2), 0)+IF(IF(time+1&gt;=Y$2, $K14/time_cap/(time+1)*X$2, 0) = 0, $K14/(time_cap),0)),0)</f>
        <v/>
      </c>
      <c r="Y14" s="4395">
        <f>IFERROR(IF((time+time_cap)&lt;Y$2, 0,IF(AND(time+1&gt;=Z$2, $E14&lt;Z$2), IF($I14= "I", $J14/($F14-$E14+1), $J14/(($F14*($F14+1)/2)-(($E14-1)*($E14-1+1)/2))*Y$2), 0)+IF(IF(time+1&gt;=Z$2, $K14/time_cap/(time+1)*Y$2, 0) = 0, $K14/(time_cap),0)),0)</f>
        <v/>
      </c>
      <c r="Z14" s="4395">
        <f>IFERROR(IF((time+time_cap)&lt;Z$2, 0,IF(AND(time+1&gt;=AA$2, $E14&lt;AA$2), IF($I14= "I", $J14/($F14-$E14+1), $J14/(($F14*($F14+1)/2)-(($E14-1)*($E14-1+1)/2))*Z$2), 0)+IF(IF(time+1&gt;=AA$2, $K14/time_cap/(time+1)*Z$2, 0) = 0, $K14/(time_cap),0)),0)</f>
        <v/>
      </c>
      <c r="AA14" s="4395">
        <f>IFERROR(IF((time+time_cap)&lt;AA$2, 0,IF(AND(time+1&gt;=AB$2, $E14&lt;AB$2), IF($I14= "I", $J14/($F14-$E14+1), $J14/(($F14*($F14+1)/2)-(($E14-1)*($E14-1+1)/2))*AA$2), 0)+IF(IF(time+1&gt;=AB$2, $K14/time_cap/(time+1)*AA$2, 0) = 0, $K14/(time_cap),0)),0)</f>
        <v/>
      </c>
      <c r="AB14" s="4395">
        <f>IFERROR(IF((time+time_cap)&lt;AB$2, 0,IF(AND(time+1&gt;=AC$2, $E14&lt;AC$2), IF($I14= "I", $J14/($F14-$E14+1), $J14/(($F14*($F14+1)/2)-(($E14-1)*($E14-1+1)/2))*AB$2), 0)+IF(IF(time+1&gt;=AC$2, $K14/time_cap/(time+1)*AB$2, 0) = 0, $K14/(time_cap),0)),0)</f>
        <v/>
      </c>
      <c r="AC14" s="4395">
        <f>IFERROR(IF((time+time_cap)&lt;AC$2, 0,IF(AND(time+1&gt;=AD$2, $E14&lt;AD$2), IF($I14= "I", $J14/($F14-$E14+1), $J14/(($F14*($F14+1)/2)-(($E14-1)*($E14-1+1)/2))*AC$2), 0)+IF(IF(time+1&gt;=AD$2, $K14/time_cap/(time+1)*AC$2, 0) = 0, $K14/(time_cap),0)),0)</f>
        <v/>
      </c>
      <c r="AD14" s="4395">
        <f>IFERROR(IF((time+time_cap)&lt;AD$2, 0,IF(AND(time+1&gt;=AE$2, $E14&lt;AE$2), IF($I14= "I", $J14/($F14-$E14+1), $J14/(($F14*($F14+1)/2)-(($E14-1)*($E14-1+1)/2))*AD$2), 0)+IF(IF(time+1&gt;=AE$2, $K14/time_cap/(time+1)*AD$2, 0) = 0, $K14/(time_cap),0)),0)</f>
        <v/>
      </c>
      <c r="AE14" s="4395">
        <f>IFERROR(IF((time+time_cap)&lt;AE$2, 0,IF(AND(time+1&gt;=AF$2, $E14&lt;AF$2), IF($I14= "I", $J14/($F14-$E14+1), $J14/(($F14*($F14+1)/2)-(($E14-1)*($E14-1+1)/2))*AE$2), 0)+IF(IF(time+1&gt;=AF$2, $K14/time_cap/(time+1)*AE$2, 0) = 0, $K14/(time_cap),0)),0)</f>
        <v/>
      </c>
      <c r="AF14" s="4395">
        <f>IFERROR(IF((time+time_cap)&lt;AF$2, 0,IF(AND(time+1&gt;=AG$2, $E14&lt;AG$2), IF($I14= "I", $J14/($F14-$E14+1), $J14/(($F14*($F14+1)/2)-(($E14-1)*($E14-1+1)/2))*AF$2), 0)+IF(IF(time+1&gt;=AG$2, $K14/time_cap/(time+1)*AF$2, 0) = 0, $K14/(time_cap),0)),0)</f>
        <v/>
      </c>
      <c r="AG14" s="4395">
        <f>IFERROR(IF((time+time_cap)&lt;AG$2, 0,IF(AND(time+1&gt;=AH$2, $E14&lt;AH$2), IF($I14= "I", $J14/($F14-$E14+1), $J14/(($F14*($F14+1)/2)-(($E14-1)*($E14-1+1)/2))*AG$2), 0)+IF(IF(time+1&gt;=AH$2, $K14/time_cap/(time+1)*AG$2, 0) = 0, $K14/(time_cap),0)),0)</f>
        <v/>
      </c>
      <c r="AH14" s="4395">
        <f>IFERROR(IF((time+time_cap)&lt;AH$2, 0,IF(AND(time+1&gt;=AI$2, $E14&lt;AI$2), IF($I14= "I", $J14/($F14-$E14+1), $J14/(($F14*($F14+1)/2)-(($E14-1)*($E14-1+1)/2))*AH$2), 0)+IF(IF(time+1&gt;=AI$2, $K14/time_cap/(time+1)*AH$2, 0) = 0, $K14/(time_cap),0)),0)</f>
        <v/>
      </c>
      <c r="AI14" s="4395">
        <f>IFERROR(IF((time+time_cap)&lt;AI$2, 0,IF(AND(time+1&gt;=AJ$2, $E14&lt;AJ$2), IF($I14= "I", $J14/($F14-$E14+1), $J14/(($F14*($F14+1)/2)-(($E14-1)*($E14-1+1)/2))*AI$2), 0)+IF(IF(time+1&gt;=AJ$2, $K14/time_cap/(time+1)*AI$2, 0) = 0, $K14/(time_cap),0)),0)</f>
        <v/>
      </c>
      <c r="AJ14" s="4395">
        <f>IFERROR(IF((time+time_cap)&lt;AJ$2, 0,IF(AND(time+1&gt;=AK$2, $E14&lt;AK$2), IF($I14= "I", $J14/($F14-$E14+1), $J14/(($F14*($F14+1)/2)-(($E14-1)*($E14-1+1)/2))*AJ$2), 0)+IF(IF(time+1&gt;=AK$2, $K14/time_cap/(time+1)*AJ$2, 0) = 0, $K14/(time_cap),0)),0)</f>
        <v/>
      </c>
      <c r="AK14" s="4395">
        <f>IFERROR(IF((time+time_cap)&lt;AK$2, 0,IF(AND(time+1&gt;=AL$2, $E14&lt;AL$2), IF($I14= "I", $J14/($F14-$E14+1), $J14/(($F14*($F14+1)/2)-(($E14-1)*($E14-1+1)/2))*AK$2), 0)+IF(IF(time+1&gt;=AL$2, $K14/time_cap/(time+1)*AK$2, 0) = 0, $K14/(time_cap),0)),0)</f>
        <v/>
      </c>
      <c r="AL14" s="4395">
        <f>IFERROR(IF((time+time_cap)&lt;AL$2, 0,IF(AND(time+1&gt;=AM$2, $E14&lt;AM$2), IF($I14= "I", $J14/($F14-$E14+1), $J14/(($F14*($F14+1)/2)-(($E14-1)*($E14-1+1)/2))*AL$2), 0)+IF(IF(time+1&gt;=AM$2, $K14/time_cap/(time+1)*AL$2, 0) = 0, $K14/(time_cap),0)),0)</f>
        <v/>
      </c>
      <c r="AM14" s="4395">
        <f>IFERROR(IF((time+time_cap)&lt;AM$2, 0,IF(AND(time+1&gt;=AN$2, $E14&lt;AN$2), IF($I14= "I", $J14/($F14-$E14+1), $J14/(($F14*($F14+1)/2)-(($E14-1)*($E14-1+1)/2))*AM$2), 0)+IF(IF(time+1&gt;=AN$2, $K14/time_cap/(time+1)*AM$2, 0) = 0, $K14/(time_cap),0)),0)</f>
        <v/>
      </c>
      <c r="AN14" s="4395">
        <f>IFERROR(IF((time+time_cap)&lt;AN$2, 0,IF(AND(time+1&gt;=AO$2, $E14&lt;AO$2), IF($I14= "I", $J14/($F14-$E14+1), $J14/(($F14*($F14+1)/2)-(($E14-1)*($E14-1+1)/2))*AN$2), 0)+IF(IF(time+1&gt;=AO$2, $K14/time_cap/(time+1)*AN$2, 0) = 0, $K14/(time_cap),0)),0)</f>
        <v/>
      </c>
      <c r="AO14" s="4395">
        <f>IFERROR(IF((time+time_cap)&lt;AO$2, 0,IF(AND(time+1&gt;=AP$2, $E14&lt;AP$2), IF($I14= "I", $J14/($F14-$E14+1), $J14/(($F14*($F14+1)/2)-(($E14-1)*($E14-1+1)/2))*AO$2), 0)+IF(IF(time+1&gt;=AP$2, $K14/time_cap/(time+1)*AO$2, 0) = 0, $K14/(time_cap),0)),0)</f>
        <v/>
      </c>
      <c r="AP14" s="4395">
        <f>IFERROR(IF((time+time_cap)&lt;AP$2, 0,IF(AND(time+1&gt;=AQ$2, $E14&lt;AQ$2), IF($I14= "I", $J14/($F14-$E14+1), $J14/(($F14*($F14+1)/2)-(($E14-1)*($E14-1+1)/2))*AP$2), 0)+IF(IF(time+1&gt;=AQ$2, $K14/time_cap/(time+1)*AP$2, 0) = 0, $K14/(time_cap),0)),0)</f>
        <v/>
      </c>
      <c r="AQ14" s="4395">
        <f>IFERROR(IF((time+time_cap)&lt;AQ$2, 0,IF(AND(time+1&gt;=AR$2, $E14&lt;AR$2), IF($I14= "I", $J14/($F14-$E14+1), $J14/(($F14*($F14+1)/2)-(($E14-1)*($E14-1+1)/2))*AQ$2), 0)+IF(IF(time+1&gt;=AR$2, $K14/time_cap/(time+1)*AQ$2, 0) = 0, $K14/(time_cap),0)),0)</f>
        <v/>
      </c>
      <c r="AR14" s="4395">
        <f>IFERROR(IF((time+time_cap)&lt;AR$2, 0,IF(AND(time+1&gt;=AS$2, $E14&lt;AS$2), IF($I14= "I", $J14/($F14-$E14+1), $J14/(($F14*($F14+1)/2)-(($E14-1)*($E14-1+1)/2))*AR$2), 0)+IF(IF(time+1&gt;=AS$2, $K14/time_cap/(time+1)*AR$2, 0) = 0, $K14/(time_cap),0)),0)</f>
        <v/>
      </c>
      <c r="AS14" s="4395">
        <f>IFERROR(IF((time+time_cap)&lt;AS$2, 0,IF(AND(time+1&gt;=AT$2, $E14&lt;AT$2), IF($I14= "I", $J14/($F14-$E14+1), $J14/(($F14*($F14+1)/2)-(($E14-1)*($E14-1+1)/2))*AS$2), 0)+IF(IF(time+1&gt;=AT$2, $K14/time_cap/(time+1)*AS$2, 0) = 0, $K14/(time_cap),0)),0)</f>
        <v/>
      </c>
      <c r="AT14" s="4395">
        <f>IFERROR(IF((time+time_cap)&lt;AT$2, 0,IF(AND(time+1&gt;=AU$2, $E14&lt;AU$2), IF($I14= "I", $J14/($F14-$E14+1), $J14/(($F14*($F14+1)/2)-(($E14-1)*($E14-1+1)/2))*AT$2), 0)+IF(IF(time+1&gt;=AU$2, $K14/time_cap/(time+1)*AT$2, 0) = 0, $K14/(time_cap),0)),0)</f>
        <v/>
      </c>
      <c r="AU14" s="4395">
        <f>IFERROR(IF((time+time_cap)&lt;AU$2, 0,IF(AND(time+1&gt;=AV$2, $E14&lt;AV$2), IF($I14= "I", $J14/($F14-$E14+1), $J14/(($F14*($F14+1)/2)-(($E14-1)*($E14-1+1)/2))*AU$2), 0)+IF(IF(time+1&gt;=AV$2, $K14/time_cap/(time+1)*AU$2, 0) = 0, $K14/(time_cap),0)),0)</f>
        <v/>
      </c>
      <c r="AV14" s="4395">
        <f>IFERROR(IF((time+time_cap)&lt;AV$2, 0,IF(AND(time+1&gt;=AW$2, $E14&lt;AW$2), IF($I14= "I", $J14/($F14-$E14+1), $J14/(($F14*($F14+1)/2)-(($E14-1)*($E14-1+1)/2))*AV$2), 0)+IF(IF(time+1&gt;=AW$2, $K14/time_cap/(time+1)*AV$2, 0) = 0, $K14/(time_cap),0)),0)</f>
        <v/>
      </c>
      <c r="AW14" s="4395">
        <f>IFERROR(IF((time+time_cap)&lt;AW$2, 0,IF(AND(time+1&gt;=AX$2, $E14&lt;AX$2), IF($I14= "I", $J14/($F14-$E14+1), $J14/(($F14*($F14+1)/2)-(($E14-1)*($E14-1+1)/2))*AW$2), 0)+IF(IF(time+1&gt;=AX$2, $K14/time_cap/(time+1)*AW$2, 0) = 0, $K14/(time_cap),0)),0)</f>
        <v/>
      </c>
      <c r="AX14" s="4395">
        <f>IFERROR(IF((time+time_cap)&lt;AX$2, 0,IF(AND(time+1&gt;=AY$2, $E14&lt;AY$2), IF($I14= "I", $J14/($F14-$E14+1), $J14/(($F14*($F14+1)/2)-(($E14-1)*($E14-1+1)/2))*AX$2), 0)+IF(IF(time+1&gt;=AY$2, $K14/time_cap/(time+1)*AX$2, 0) = 0, $K14/(time_cap),0)),0)</f>
        <v/>
      </c>
      <c r="AY14" s="4395">
        <f>IFERROR(IF((time+time_cap)&lt;AY$2, 0,IF(AND(time+1&gt;=AZ$2, $E14&lt;AZ$2), IF($I14= "I", $J14/($F14-$E14+1), $J14/(($F14*($F14+1)/2)-(($E14-1)*($E14-1+1)/2))*AY$2), 0)+IF(IF(time+1&gt;=AZ$2, $K14/time_cap/(time+1)*AY$2, 0) = 0, $K14/(time_cap),0)),0)</f>
        <v/>
      </c>
      <c r="AZ14" s="4395">
        <f>IFERROR(IF((time+time_cap)&lt;AZ$2, 0,IF(AND(time+1&gt;=BA$2, $E14&lt;BA$2), IF($I14= "I", $J14/($F14-$E14+1), $J14/(($F14*($F14+1)/2)-(($E14-1)*($E14-1+1)/2))*AZ$2), 0)+IF(IF(time+1&gt;=BA$2, $K14/time_cap/(time+1)*AZ$2, 0) = 0, $K14/(time_cap),0)),0)</f>
        <v/>
      </c>
      <c r="BA14" s="4395">
        <f>IFERROR(IF((time+time_cap)&lt;BA$2, 0,IF(AND(time+1&gt;=BB$2, $E14&lt;BB$2), IF($I14= "I", $J14/($F14-$E14+1), $J14/(($F14*($F14+1)/2)-(($E14-1)*($E14-1+1)/2))*BA$2), 0)+IF(IF(time+1&gt;=BB$2, $K14/time_cap/(time+1)*BA$2, 0) = 0, $K14/(time_cap),0)),0)</f>
        <v/>
      </c>
      <c r="BB14" s="4395">
        <f>IFERROR(IF((time+time_cap)&lt;BB$2, 0,IF(AND(time+1&gt;=BC$2, $E14&lt;BC$2), IF($I14= "I", $J14/($F14-$E14+1), $J14/(($F14*($F14+1)/2)-(($E14-1)*($E14-1+1)/2))*BB$2), 0)+IF(IF(time+1&gt;=BC$2, $K14/time_cap/(time+1)*BB$2, 0) = 0, $K14/(time_cap),0)),0)</f>
        <v/>
      </c>
      <c r="BC14" s="4395">
        <f>IFERROR(IF((time+time_cap)&lt;BC$2, 0,IF(AND(time+1&gt;=BD$2, $E14&lt;BD$2), IF($I14= "I", $J14/($F14-$E14+1), $J14/(($F14*($F14+1)/2)-(($E14-1)*($E14-1+1)/2))*BC$2), 0)+IF(IF(time+1&gt;=BD$2, $K14/time_cap/(time+1)*BC$2, 0) = 0, $K14/(time_cap),0)),0)</f>
        <v/>
      </c>
      <c r="BD14" s="4395">
        <f>IFERROR(IF((time+time_cap)&lt;BD$2, 0,IF(AND(time+1&gt;=BE$2, $E14&lt;BE$2), IF($I14= "I", $J14/($F14-$E14+1), $J14/(($F14*($F14+1)/2)-(($E14-1)*($E14-1+1)/2))*BD$2), 0)+IF(IF(time+1&gt;=BE$2, $K14/time_cap/(time+1)*BD$2, 0) = 0, $K14/(time_cap),0)),0)</f>
        <v/>
      </c>
      <c r="BE14" s="4395">
        <f>IFERROR(IF((time+time_cap)&lt;BE$2, 0,IF(AND(time+1&gt;=BF$2, $E14&lt;BF$2), IF($I14= "I", $J14/($F14-$E14+1), $J14/(($F14*($F14+1)/2)-(($E14-1)*($E14-1+1)/2))*BE$2), 0)+IF(IF(time+1&gt;=BF$2, $K14/time_cap/(time+1)*BE$2, 0) = 0, $K14/(time_cap),0)),0)</f>
        <v/>
      </c>
      <c r="BF14" s="4395">
        <f>IFERROR(IF((time+time_cap)&lt;BF$2, 0,IF(AND(time+1&gt;=BG$2, $E14&lt;BG$2), IF($I14= "I", $J14/($F14-$E14+1), $J14/(($F14*($F14+1)/2)-(($E14-1)*($E14-1+1)/2))*BF$2), 0)+IF(IF(time+1&gt;=BG$2, $K14/time_cap/(time+1)*BF$2, 0) = 0, $K14/(time_cap),0)),0)</f>
        <v/>
      </c>
      <c r="BG14" s="4395">
        <f>IFERROR(IF((time+time_cap)&lt;BG$2, 0,IF(AND(time+1&gt;=BH$2, $E14&lt;BH$2), IF($I14= "I", $J14/($F14-$E14+1), $J14/(($F14*($F14+1)/2)-(($E14-1)*($E14-1+1)/2))*BG$2), 0)+IF(IF(time+1&gt;=BH$2, $K14/time_cap/(time+1)*BG$2, 0) = 0, $K14/(time_cap),0)),0)</f>
        <v/>
      </c>
      <c r="BH14" s="4395">
        <f>IFERROR(IF((time+time_cap)&lt;BH$2, 0,IF(AND(time+1&gt;=BI$2, $E14&lt;BI$2), IF($I14= "I", $J14/($F14-$E14+1), $J14/(($F14*($F14+1)/2)-(($E14-1)*($E14-1+1)/2))*BH$2), 0)+IF(IF(time+1&gt;=BI$2, $K14/time_cap/(time+1)*BH$2, 0) = 0, $K14/(time_cap),0)),0)</f>
        <v/>
      </c>
      <c r="BI14" s="4395">
        <f>IFERROR(IF((time+time_cap)&lt;BI$2, 0,IF(AND(time+1&gt;=BJ$2, $E14&lt;BJ$2), IF($I14= "I", $J14/($F14-$E14+1), $J14/(($F14*($F14+1)/2)-(($E14-1)*($E14-1+1)/2))*BI$2), 0)+IF(IF(time+1&gt;=BJ$2, $K14/time_cap/(time+1)*BI$2, 0) = 0, $K14/(time_cap),0)),0)</f>
        <v/>
      </c>
      <c r="BJ14" s="4395">
        <f>IFERROR(IF((time+time_cap)&lt;BJ$2, 0,IF(AND(time+1&gt;=BK$2, $E14&lt;BK$2), IF($I14= "I", $J14/($F14-$E14+1), $J14/(($F14*($F14+1)/2)-(($E14-1)*($E14-1+1)/2))*BJ$2), 0)+IF(IF(time+1&gt;=BK$2, $K14/time_cap/(time+1)*BJ$2, 0) = 0, $K14/(time_cap),0)),0)</f>
        <v/>
      </c>
      <c r="BK14" s="4395" t="n"/>
      <c r="BL14" s="4395" t="n"/>
      <c r="BM14" s="4395" t="n"/>
      <c r="BN14" s="4395" t="n"/>
      <c r="BO14" s="4395" t="n"/>
      <c r="BP14" s="4395" t="n"/>
      <c r="BQ14" s="4395" t="n"/>
      <c r="BR14" s="4395" t="n"/>
      <c r="BS14" s="4395" t="n"/>
      <c r="BT14" s="4395" t="n"/>
      <c r="BU14" s="4395" t="n"/>
      <c r="BV14" s="4395" t="n"/>
      <c r="BW14" s="4395" t="n"/>
      <c r="BX14" s="4395" t="n"/>
      <c r="BY14" s="4395" t="n"/>
      <c r="BZ14" s="4395" t="n"/>
      <c r="CA14" s="4395" t="n"/>
      <c r="CB14" s="4395" t="n"/>
      <c r="CC14" s="4395" t="n"/>
      <c r="CD14" s="4395" t="n"/>
      <c r="CE14" s="4395" t="n"/>
      <c r="CF14" s="4395" t="n"/>
      <c r="CG14" s="4395" t="n"/>
      <c r="CH14" s="4395" t="n"/>
      <c r="CI14" s="4395" t="n"/>
      <c r="CJ14" s="4395" t="n"/>
      <c r="CK14" s="4395" t="n"/>
      <c r="CL14" s="4395" t="n"/>
      <c r="CM14" s="4395" t="n"/>
      <c r="CN14" s="4395" t="n"/>
      <c r="CO14" s="4395" t="n"/>
      <c r="CP14" s="4395" t="n"/>
      <c r="CQ14" s="4395" t="n"/>
      <c r="CR14" s="4395" t="n"/>
      <c r="CS14" s="4395" t="n"/>
      <c r="CT14" s="4395" t="n"/>
      <c r="CU14" s="4395" t="n"/>
      <c r="CV14" s="4395" t="n"/>
      <c r="CW14" s="4395" t="n"/>
      <c r="CX14" s="4395" t="n"/>
      <c r="CY14" s="4395" t="n"/>
      <c r="CZ14" s="4395" t="n"/>
      <c r="DA14" s="4395" t="n"/>
      <c r="DB14" s="4395" t="n"/>
      <c r="DC14" s="4395" t="n"/>
      <c r="DD14" s="4395" t="n"/>
      <c r="DE14" s="4395" t="n"/>
      <c r="DF14" s="4395" t="n"/>
      <c r="DG14" s="4395" t="n"/>
      <c r="DH14" s="4395" t="n"/>
    </row>
    <row r="15" ht="16" customHeight="1">
      <c r="A15" t="inlineStr">
        <is>
          <t>DEFO</t>
        </is>
      </c>
      <c r="C15">
        <f>'2.LUC'!C15</f>
        <v/>
      </c>
      <c r="D15">
        <f>'2.LUC'!Y15</f>
        <v/>
      </c>
      <c r="E15">
        <f>IF('2.LUC'!BU15&lt;&gt;0,'2.LUC'!BU15,'2.LUC'!BT15)</f>
        <v/>
      </c>
      <c r="F15">
        <f>time</f>
        <v/>
      </c>
      <c r="G15" s="4395">
        <f>'2.LUC'!O15</f>
        <v/>
      </c>
      <c r="H15" s="4395">
        <f>'2.LUC'!Q15</f>
        <v/>
      </c>
      <c r="I15" s="4395">
        <f>IF(OR(H15="I", G15="I"), "I", IF(OR(H15="E", G15="E"), "E", "D"))</f>
        <v/>
      </c>
      <c r="J15" s="4395">
        <f>((D15/(time_cap+((F15-E15+1)*VLOOKUP(I15,list!$I$48:$K$50,3, FALSE))))*(F15-E15+1)*VLOOKUP(I15,list!$I$48:$K$50,3, FALSE))</f>
        <v/>
      </c>
      <c r="K15" s="4395">
        <f>((D15/(time_cap+((F15-E15+1)*VLOOKUP(I15,list!$I$48:$K$50,3, FALSE))))*time_cap)</f>
        <v/>
      </c>
      <c r="M15" s="4395">
        <f>IFERROR(IF((time+time_cap)&lt;M$2, 0,IF(AND(time+1&gt;=N$2, $E15&lt;N$2), IF($I15= "I", $J15/($F15-$E15+1), $J15/(($F15*($F15+1)/2)-(($E15-1)*($E15-1+1)/2))*M$2), 0)+IF(IF(time+1&gt;=N$2, $K15/time_cap/(time+1)*M$2, 0) = 0, $K15/(time_cap),0)),0)</f>
        <v/>
      </c>
      <c r="N15" s="4395">
        <f>IFERROR(IF((time+time_cap)&lt;N$2, 0,IF(AND(time+1&gt;=O$2, $E15&lt;O$2), IF($I15= "I", $J15/($F15-$E15+1), $J15/(($F15*($F15+1)/2)-(($E15-1)*($E15-1+1)/2))*N$2), 0)+IF(IF(time+1&gt;=O$2, $K15/time_cap/(time+1)*N$2, 0) = 0, $K15/(time_cap),0)),0)</f>
        <v/>
      </c>
      <c r="O15" s="4395">
        <f>IFERROR(IF((time+time_cap)&lt;O$2, 0,IF(AND(time+1&gt;=P$2, $E15&lt;P$2), IF($I15= "I", $J15/($F15-$E15+1), $J15/(($F15*($F15+1)/2)-(($E15-1)*($E15-1+1)/2))*O$2), 0)+IF(IF(time+1&gt;=P$2, $K15/time_cap/(time+1)*O$2, 0) = 0, $K15/(time_cap),0)),0)</f>
        <v/>
      </c>
      <c r="P15" s="4395">
        <f>IFERROR(IF((time+time_cap)&lt;P$2, 0,IF(AND(time+1&gt;=Q$2, $E15&lt;Q$2), IF($I15= "I", $J15/($F15-$E15+1), $J15/(($F15*($F15+1)/2)-(($E15-1)*($E15-1+1)/2))*P$2), 0)+IF(IF(time+1&gt;=Q$2, $K15/time_cap/(time+1)*P$2, 0) = 0, $K15/(time_cap),0)),0)</f>
        <v/>
      </c>
      <c r="Q15" s="4395">
        <f>IFERROR(IF((time+time_cap)&lt;Q$2, 0,IF(AND(time+1&gt;=R$2, $E15&lt;R$2), IF($I15= "I", $J15/($F15-$E15+1), $J15/(($F15*($F15+1)/2)-(($E15-1)*($E15-1+1)/2))*Q$2), 0)+IF(IF(time+1&gt;=R$2, $K15/time_cap/(time+1)*Q$2, 0) = 0, $K15/(time_cap),0)),0)</f>
        <v/>
      </c>
      <c r="R15" s="4395">
        <f>IFERROR(IF((time+time_cap)&lt;R$2, 0,IF(AND(time+1&gt;=S$2, $E15&lt;S$2), IF($I15= "I", $J15/($F15-$E15+1), $J15/(($F15*($F15+1)/2)-(($E15-1)*($E15-1+1)/2))*R$2), 0)+IF(IF(time+1&gt;=S$2, $K15/time_cap/(time+1)*R$2, 0) = 0, $K15/(time_cap),0)),0)</f>
        <v/>
      </c>
      <c r="S15" s="4395">
        <f>IFERROR(IF((time+time_cap)&lt;S$2, 0,IF(AND(time+1&gt;=T$2, $E15&lt;T$2), IF($I15= "I", $J15/($F15-$E15+1), $J15/(($F15*($F15+1)/2)-(($E15-1)*($E15-1+1)/2))*S$2), 0)+IF(IF(time+1&gt;=T$2, $K15/time_cap/(time+1)*S$2, 0) = 0, $K15/(time_cap),0)),0)</f>
        <v/>
      </c>
      <c r="T15" s="4395">
        <f>IFERROR(IF((time+time_cap)&lt;T$2, 0,IF(AND(time+1&gt;=U$2, $E15&lt;U$2), IF($I15= "I", $J15/($F15-$E15+1), $J15/(($F15*($F15+1)/2)-(($E15-1)*($E15-1+1)/2))*T$2), 0)+IF(IF(time+1&gt;=U$2, $K15/time_cap/(time+1)*T$2, 0) = 0, $K15/(time_cap),0)),0)</f>
        <v/>
      </c>
      <c r="U15" s="4395">
        <f>IFERROR(IF((time+time_cap)&lt;U$2, 0,IF(AND(time+1&gt;=V$2, $E15&lt;V$2), IF($I15= "I", $J15/($F15-$E15+1), $J15/(($F15*($F15+1)/2)-(($E15-1)*($E15-1+1)/2))*U$2), 0)+IF(IF(time+1&gt;=V$2, $K15/time_cap/(time+1)*U$2, 0) = 0, $K15/(time_cap),0)),0)</f>
        <v/>
      </c>
      <c r="V15" s="4395">
        <f>IFERROR(IF((time+time_cap)&lt;V$2, 0,IF(AND(time+1&gt;=W$2, $E15&lt;W$2), IF($I15= "I", $J15/($F15-$E15+1), $J15/(($F15*($F15+1)/2)-(($E15-1)*($E15-1+1)/2))*V$2), 0)+IF(IF(time+1&gt;=W$2, $K15/time_cap/(time+1)*V$2, 0) = 0, $K15/(time_cap),0)),0)</f>
        <v/>
      </c>
      <c r="W15" s="4395">
        <f>IFERROR(IF((time+time_cap)&lt;W$2, 0,IF(AND(time+1&gt;=X$2, $E15&lt;X$2), IF($I15= "I", $J15/($F15-$E15+1), $J15/(($F15*($F15+1)/2)-(($E15-1)*($E15-1+1)/2))*W$2), 0)+IF(IF(time+1&gt;=X$2, $K15/time_cap/(time+1)*W$2, 0) = 0, $K15/(time_cap),0)),0)</f>
        <v/>
      </c>
      <c r="X15" s="4395">
        <f>IFERROR(IF((time+time_cap)&lt;X$2, 0,IF(AND(time+1&gt;=Y$2, $E15&lt;Y$2), IF($I15= "I", $J15/($F15-$E15+1), $J15/(($F15*($F15+1)/2)-(($E15-1)*($E15-1+1)/2))*X$2), 0)+IF(IF(time+1&gt;=Y$2, $K15/time_cap/(time+1)*X$2, 0) = 0, $K15/(time_cap),0)),0)</f>
        <v/>
      </c>
      <c r="Y15" s="4395">
        <f>IFERROR(IF((time+time_cap)&lt;Y$2, 0,IF(AND(time+1&gt;=Z$2, $E15&lt;Z$2), IF($I15= "I", $J15/($F15-$E15+1), $J15/(($F15*($F15+1)/2)-(($E15-1)*($E15-1+1)/2))*Y$2), 0)+IF(IF(time+1&gt;=Z$2, $K15/time_cap/(time+1)*Y$2, 0) = 0, $K15/(time_cap),0)),0)</f>
        <v/>
      </c>
      <c r="Z15" s="4395">
        <f>IFERROR(IF((time+time_cap)&lt;Z$2, 0,IF(AND(time+1&gt;=AA$2, $E15&lt;AA$2), IF($I15= "I", $J15/($F15-$E15+1), $J15/(($F15*($F15+1)/2)-(($E15-1)*($E15-1+1)/2))*Z$2), 0)+IF(IF(time+1&gt;=AA$2, $K15/time_cap/(time+1)*Z$2, 0) = 0, $K15/(time_cap),0)),0)</f>
        <v/>
      </c>
      <c r="AA15" s="4395">
        <f>IFERROR(IF((time+time_cap)&lt;AA$2, 0,IF(AND(time+1&gt;=AB$2, $E15&lt;AB$2), IF($I15= "I", $J15/($F15-$E15+1), $J15/(($F15*($F15+1)/2)-(($E15-1)*($E15-1+1)/2))*AA$2), 0)+IF(IF(time+1&gt;=AB$2, $K15/time_cap/(time+1)*AA$2, 0) = 0, $K15/(time_cap),0)),0)</f>
        <v/>
      </c>
      <c r="AB15" s="4395">
        <f>IFERROR(IF((time+time_cap)&lt;AB$2, 0,IF(AND(time+1&gt;=AC$2, $E15&lt;AC$2), IF($I15= "I", $J15/($F15-$E15+1), $J15/(($F15*($F15+1)/2)-(($E15-1)*($E15-1+1)/2))*AB$2), 0)+IF(IF(time+1&gt;=AC$2, $K15/time_cap/(time+1)*AB$2, 0) = 0, $K15/(time_cap),0)),0)</f>
        <v/>
      </c>
      <c r="AC15" s="4395">
        <f>IFERROR(IF((time+time_cap)&lt;AC$2, 0,IF(AND(time+1&gt;=AD$2, $E15&lt;AD$2), IF($I15= "I", $J15/($F15-$E15+1), $J15/(($F15*($F15+1)/2)-(($E15-1)*($E15-1+1)/2))*AC$2), 0)+IF(IF(time+1&gt;=AD$2, $K15/time_cap/(time+1)*AC$2, 0) = 0, $K15/(time_cap),0)),0)</f>
        <v/>
      </c>
      <c r="AD15" s="4395">
        <f>IFERROR(IF((time+time_cap)&lt;AD$2, 0,IF(AND(time+1&gt;=AE$2, $E15&lt;AE$2), IF($I15= "I", $J15/($F15-$E15+1), $J15/(($F15*($F15+1)/2)-(($E15-1)*($E15-1+1)/2))*AD$2), 0)+IF(IF(time+1&gt;=AE$2, $K15/time_cap/(time+1)*AD$2, 0) = 0, $K15/(time_cap),0)),0)</f>
        <v/>
      </c>
      <c r="AE15" s="4395">
        <f>IFERROR(IF((time+time_cap)&lt;AE$2, 0,IF(AND(time+1&gt;=AF$2, $E15&lt;AF$2), IF($I15= "I", $J15/($F15-$E15+1), $J15/(($F15*($F15+1)/2)-(($E15-1)*($E15-1+1)/2))*AE$2), 0)+IF(IF(time+1&gt;=AF$2, $K15/time_cap/(time+1)*AE$2, 0) = 0, $K15/(time_cap),0)),0)</f>
        <v/>
      </c>
      <c r="AF15" s="4395">
        <f>IFERROR(IF((time+time_cap)&lt;AF$2, 0,IF(AND(time+1&gt;=AG$2, $E15&lt;AG$2), IF($I15= "I", $J15/($F15-$E15+1), $J15/(($F15*($F15+1)/2)-(($E15-1)*($E15-1+1)/2))*AF$2), 0)+IF(IF(time+1&gt;=AG$2, $K15/time_cap/(time+1)*AF$2, 0) = 0, $K15/(time_cap),0)),0)</f>
        <v/>
      </c>
      <c r="AG15" s="4395">
        <f>IFERROR(IF((time+time_cap)&lt;AG$2, 0,IF(AND(time+1&gt;=AH$2, $E15&lt;AH$2), IF($I15= "I", $J15/($F15-$E15+1), $J15/(($F15*($F15+1)/2)-(($E15-1)*($E15-1+1)/2))*AG$2), 0)+IF(IF(time+1&gt;=AH$2, $K15/time_cap/(time+1)*AG$2, 0) = 0, $K15/(time_cap),0)),0)</f>
        <v/>
      </c>
      <c r="AH15" s="4395">
        <f>IFERROR(IF((time+time_cap)&lt;AH$2, 0,IF(AND(time+1&gt;=AI$2, $E15&lt;AI$2), IF($I15= "I", $J15/($F15-$E15+1), $J15/(($F15*($F15+1)/2)-(($E15-1)*($E15-1+1)/2))*AH$2), 0)+IF(IF(time+1&gt;=AI$2, $K15/time_cap/(time+1)*AH$2, 0) = 0, $K15/(time_cap),0)),0)</f>
        <v/>
      </c>
      <c r="AI15" s="4395">
        <f>IFERROR(IF((time+time_cap)&lt;AI$2, 0,IF(AND(time+1&gt;=AJ$2, $E15&lt;AJ$2), IF($I15= "I", $J15/($F15-$E15+1), $J15/(($F15*($F15+1)/2)-(($E15-1)*($E15-1+1)/2))*AI$2), 0)+IF(IF(time+1&gt;=AJ$2, $K15/time_cap/(time+1)*AI$2, 0) = 0, $K15/(time_cap),0)),0)</f>
        <v/>
      </c>
      <c r="AJ15" s="4395">
        <f>IFERROR(IF((time+time_cap)&lt;AJ$2, 0,IF(AND(time+1&gt;=AK$2, $E15&lt;AK$2), IF($I15= "I", $J15/($F15-$E15+1), $J15/(($F15*($F15+1)/2)-(($E15-1)*($E15-1+1)/2))*AJ$2), 0)+IF(IF(time+1&gt;=AK$2, $K15/time_cap/(time+1)*AJ$2, 0) = 0, $K15/(time_cap),0)),0)</f>
        <v/>
      </c>
      <c r="AK15" s="4395">
        <f>IFERROR(IF((time+time_cap)&lt;AK$2, 0,IF(AND(time+1&gt;=AL$2, $E15&lt;AL$2), IF($I15= "I", $J15/($F15-$E15+1), $J15/(($F15*($F15+1)/2)-(($E15-1)*($E15-1+1)/2))*AK$2), 0)+IF(IF(time+1&gt;=AL$2, $K15/time_cap/(time+1)*AK$2, 0) = 0, $K15/(time_cap),0)),0)</f>
        <v/>
      </c>
      <c r="AL15" s="4395">
        <f>IFERROR(IF((time+time_cap)&lt;AL$2, 0,IF(AND(time+1&gt;=AM$2, $E15&lt;AM$2), IF($I15= "I", $J15/($F15-$E15+1), $J15/(($F15*($F15+1)/2)-(($E15-1)*($E15-1+1)/2))*AL$2), 0)+IF(IF(time+1&gt;=AM$2, $K15/time_cap/(time+1)*AL$2, 0) = 0, $K15/(time_cap),0)),0)</f>
        <v/>
      </c>
      <c r="AM15" s="4395">
        <f>IFERROR(IF((time+time_cap)&lt;AM$2, 0,IF(AND(time+1&gt;=AN$2, $E15&lt;AN$2), IF($I15= "I", $J15/($F15-$E15+1), $J15/(($F15*($F15+1)/2)-(($E15-1)*($E15-1+1)/2))*AM$2), 0)+IF(IF(time+1&gt;=AN$2, $K15/time_cap/(time+1)*AM$2, 0) = 0, $K15/(time_cap),0)),0)</f>
        <v/>
      </c>
      <c r="AN15" s="4395">
        <f>IFERROR(IF((time+time_cap)&lt;AN$2, 0,IF(AND(time+1&gt;=AO$2, $E15&lt;AO$2), IF($I15= "I", $J15/($F15-$E15+1), $J15/(($F15*($F15+1)/2)-(($E15-1)*($E15-1+1)/2))*AN$2), 0)+IF(IF(time+1&gt;=AO$2, $K15/time_cap/(time+1)*AN$2, 0) = 0, $K15/(time_cap),0)),0)</f>
        <v/>
      </c>
      <c r="AO15" s="4395">
        <f>IFERROR(IF((time+time_cap)&lt;AO$2, 0,IF(AND(time+1&gt;=AP$2, $E15&lt;AP$2), IF($I15= "I", $J15/($F15-$E15+1), $J15/(($F15*($F15+1)/2)-(($E15-1)*($E15-1+1)/2))*AO$2), 0)+IF(IF(time+1&gt;=AP$2, $K15/time_cap/(time+1)*AO$2, 0) = 0, $K15/(time_cap),0)),0)</f>
        <v/>
      </c>
      <c r="AP15" s="4395">
        <f>IFERROR(IF((time+time_cap)&lt;AP$2, 0,IF(AND(time+1&gt;=AQ$2, $E15&lt;AQ$2), IF($I15= "I", $J15/($F15-$E15+1), $J15/(($F15*($F15+1)/2)-(($E15-1)*($E15-1+1)/2))*AP$2), 0)+IF(IF(time+1&gt;=AQ$2, $K15/time_cap/(time+1)*AP$2, 0) = 0, $K15/(time_cap),0)),0)</f>
        <v/>
      </c>
      <c r="AQ15" s="4395">
        <f>IFERROR(IF((time+time_cap)&lt;AQ$2, 0,IF(AND(time+1&gt;=AR$2, $E15&lt;AR$2), IF($I15= "I", $J15/($F15-$E15+1), $J15/(($F15*($F15+1)/2)-(($E15-1)*($E15-1+1)/2))*AQ$2), 0)+IF(IF(time+1&gt;=AR$2, $K15/time_cap/(time+1)*AQ$2, 0) = 0, $K15/(time_cap),0)),0)</f>
        <v/>
      </c>
      <c r="AR15" s="4395">
        <f>IFERROR(IF((time+time_cap)&lt;AR$2, 0,IF(AND(time+1&gt;=AS$2, $E15&lt;AS$2), IF($I15= "I", $J15/($F15-$E15+1), $J15/(($F15*($F15+1)/2)-(($E15-1)*($E15-1+1)/2))*AR$2), 0)+IF(IF(time+1&gt;=AS$2, $K15/time_cap/(time+1)*AR$2, 0) = 0, $K15/(time_cap),0)),0)</f>
        <v/>
      </c>
      <c r="AS15" s="4395">
        <f>IFERROR(IF((time+time_cap)&lt;AS$2, 0,IF(AND(time+1&gt;=AT$2, $E15&lt;AT$2), IF($I15= "I", $J15/($F15-$E15+1), $J15/(($F15*($F15+1)/2)-(($E15-1)*($E15-1+1)/2))*AS$2), 0)+IF(IF(time+1&gt;=AT$2, $K15/time_cap/(time+1)*AS$2, 0) = 0, $K15/(time_cap),0)),0)</f>
        <v/>
      </c>
      <c r="AT15" s="4395">
        <f>IFERROR(IF((time+time_cap)&lt;AT$2, 0,IF(AND(time+1&gt;=AU$2, $E15&lt;AU$2), IF($I15= "I", $J15/($F15-$E15+1), $J15/(($F15*($F15+1)/2)-(($E15-1)*($E15-1+1)/2))*AT$2), 0)+IF(IF(time+1&gt;=AU$2, $K15/time_cap/(time+1)*AT$2, 0) = 0, $K15/(time_cap),0)),0)</f>
        <v/>
      </c>
      <c r="AU15" s="4395">
        <f>IFERROR(IF((time+time_cap)&lt;AU$2, 0,IF(AND(time+1&gt;=AV$2, $E15&lt;AV$2), IF($I15= "I", $J15/($F15-$E15+1), $J15/(($F15*($F15+1)/2)-(($E15-1)*($E15-1+1)/2))*AU$2), 0)+IF(IF(time+1&gt;=AV$2, $K15/time_cap/(time+1)*AU$2, 0) = 0, $K15/(time_cap),0)),0)</f>
        <v/>
      </c>
      <c r="AV15" s="4395">
        <f>IFERROR(IF((time+time_cap)&lt;AV$2, 0,IF(AND(time+1&gt;=AW$2, $E15&lt;AW$2), IF($I15= "I", $J15/($F15-$E15+1), $J15/(($F15*($F15+1)/2)-(($E15-1)*($E15-1+1)/2))*AV$2), 0)+IF(IF(time+1&gt;=AW$2, $K15/time_cap/(time+1)*AV$2, 0) = 0, $K15/(time_cap),0)),0)</f>
        <v/>
      </c>
      <c r="AW15" s="4395">
        <f>IFERROR(IF((time+time_cap)&lt;AW$2, 0,IF(AND(time+1&gt;=AX$2, $E15&lt;AX$2), IF($I15= "I", $J15/($F15-$E15+1), $J15/(($F15*($F15+1)/2)-(($E15-1)*($E15-1+1)/2))*AW$2), 0)+IF(IF(time+1&gt;=AX$2, $K15/time_cap/(time+1)*AW$2, 0) = 0, $K15/(time_cap),0)),0)</f>
        <v/>
      </c>
      <c r="AX15" s="4395">
        <f>IFERROR(IF((time+time_cap)&lt;AX$2, 0,IF(AND(time+1&gt;=AY$2, $E15&lt;AY$2), IF($I15= "I", $J15/($F15-$E15+1), $J15/(($F15*($F15+1)/2)-(($E15-1)*($E15-1+1)/2))*AX$2), 0)+IF(IF(time+1&gt;=AY$2, $K15/time_cap/(time+1)*AX$2, 0) = 0, $K15/(time_cap),0)),0)</f>
        <v/>
      </c>
      <c r="AY15" s="4395">
        <f>IFERROR(IF((time+time_cap)&lt;AY$2, 0,IF(AND(time+1&gt;=AZ$2, $E15&lt;AZ$2), IF($I15= "I", $J15/($F15-$E15+1), $J15/(($F15*($F15+1)/2)-(($E15-1)*($E15-1+1)/2))*AY$2), 0)+IF(IF(time+1&gt;=AZ$2, $K15/time_cap/(time+1)*AY$2, 0) = 0, $K15/(time_cap),0)),0)</f>
        <v/>
      </c>
      <c r="AZ15" s="4395">
        <f>IFERROR(IF((time+time_cap)&lt;AZ$2, 0,IF(AND(time+1&gt;=BA$2, $E15&lt;BA$2), IF($I15= "I", $J15/($F15-$E15+1), $J15/(($F15*($F15+1)/2)-(($E15-1)*($E15-1+1)/2))*AZ$2), 0)+IF(IF(time+1&gt;=BA$2, $K15/time_cap/(time+1)*AZ$2, 0) = 0, $K15/(time_cap),0)),0)</f>
        <v/>
      </c>
      <c r="BA15" s="4395">
        <f>IFERROR(IF((time+time_cap)&lt;BA$2, 0,IF(AND(time+1&gt;=BB$2, $E15&lt;BB$2), IF($I15= "I", $J15/($F15-$E15+1), $J15/(($F15*($F15+1)/2)-(($E15-1)*($E15-1+1)/2))*BA$2), 0)+IF(IF(time+1&gt;=BB$2, $K15/time_cap/(time+1)*BA$2, 0) = 0, $K15/(time_cap),0)),0)</f>
        <v/>
      </c>
      <c r="BB15" s="4395">
        <f>IFERROR(IF((time+time_cap)&lt;BB$2, 0,IF(AND(time+1&gt;=BC$2, $E15&lt;BC$2), IF($I15= "I", $J15/($F15-$E15+1), $J15/(($F15*($F15+1)/2)-(($E15-1)*($E15-1+1)/2))*BB$2), 0)+IF(IF(time+1&gt;=BC$2, $K15/time_cap/(time+1)*BB$2, 0) = 0, $K15/(time_cap),0)),0)</f>
        <v/>
      </c>
      <c r="BC15" s="4395">
        <f>IFERROR(IF((time+time_cap)&lt;BC$2, 0,IF(AND(time+1&gt;=BD$2, $E15&lt;BD$2), IF($I15= "I", $J15/($F15-$E15+1), $J15/(($F15*($F15+1)/2)-(($E15-1)*($E15-1+1)/2))*BC$2), 0)+IF(IF(time+1&gt;=BD$2, $K15/time_cap/(time+1)*BC$2, 0) = 0, $K15/(time_cap),0)),0)</f>
        <v/>
      </c>
      <c r="BD15" s="4395">
        <f>IFERROR(IF((time+time_cap)&lt;BD$2, 0,IF(AND(time+1&gt;=BE$2, $E15&lt;BE$2), IF($I15= "I", $J15/($F15-$E15+1), $J15/(($F15*($F15+1)/2)-(($E15-1)*($E15-1+1)/2))*BD$2), 0)+IF(IF(time+1&gt;=BE$2, $K15/time_cap/(time+1)*BD$2, 0) = 0, $K15/(time_cap),0)),0)</f>
        <v/>
      </c>
      <c r="BE15" s="4395">
        <f>IFERROR(IF((time+time_cap)&lt;BE$2, 0,IF(AND(time+1&gt;=BF$2, $E15&lt;BF$2), IF($I15= "I", $J15/($F15-$E15+1), $J15/(($F15*($F15+1)/2)-(($E15-1)*($E15-1+1)/2))*BE$2), 0)+IF(IF(time+1&gt;=BF$2, $K15/time_cap/(time+1)*BE$2, 0) = 0, $K15/(time_cap),0)),0)</f>
        <v/>
      </c>
      <c r="BF15" s="4395">
        <f>IFERROR(IF((time+time_cap)&lt;BF$2, 0,IF(AND(time+1&gt;=BG$2, $E15&lt;BG$2), IF($I15= "I", $J15/($F15-$E15+1), $J15/(($F15*($F15+1)/2)-(($E15-1)*($E15-1+1)/2))*BF$2), 0)+IF(IF(time+1&gt;=BG$2, $K15/time_cap/(time+1)*BF$2, 0) = 0, $K15/(time_cap),0)),0)</f>
        <v/>
      </c>
      <c r="BG15" s="4395">
        <f>IFERROR(IF((time+time_cap)&lt;BG$2, 0,IF(AND(time+1&gt;=BH$2, $E15&lt;BH$2), IF($I15= "I", $J15/($F15-$E15+1), $J15/(($F15*($F15+1)/2)-(($E15-1)*($E15-1+1)/2))*BG$2), 0)+IF(IF(time+1&gt;=BH$2, $K15/time_cap/(time+1)*BG$2, 0) = 0, $K15/(time_cap),0)),0)</f>
        <v/>
      </c>
      <c r="BH15" s="4395">
        <f>IFERROR(IF((time+time_cap)&lt;BH$2, 0,IF(AND(time+1&gt;=BI$2, $E15&lt;BI$2), IF($I15= "I", $J15/($F15-$E15+1), $J15/(($F15*($F15+1)/2)-(($E15-1)*($E15-1+1)/2))*BH$2), 0)+IF(IF(time+1&gt;=BI$2, $K15/time_cap/(time+1)*BH$2, 0) = 0, $K15/(time_cap),0)),0)</f>
        <v/>
      </c>
      <c r="BI15" s="4395">
        <f>IFERROR(IF((time+time_cap)&lt;BI$2, 0,IF(AND(time+1&gt;=BJ$2, $E15&lt;BJ$2), IF($I15= "I", $J15/($F15-$E15+1), $J15/(($F15*($F15+1)/2)-(($E15-1)*($E15-1+1)/2))*BI$2), 0)+IF(IF(time+1&gt;=BJ$2, $K15/time_cap/(time+1)*BI$2, 0) = 0, $K15/(time_cap),0)),0)</f>
        <v/>
      </c>
      <c r="BJ15" s="4395">
        <f>IFERROR(IF((time+time_cap)&lt;BJ$2, 0,IF(AND(time+1&gt;=BK$2, $E15&lt;BK$2), IF($I15= "I", $J15/($F15-$E15+1), $J15/(($F15*($F15+1)/2)-(($E15-1)*($E15-1+1)/2))*BJ$2), 0)+IF(IF(time+1&gt;=BK$2, $K15/time_cap/(time+1)*BJ$2, 0) = 0, $K15/(time_cap),0)),0)</f>
        <v/>
      </c>
      <c r="BK15" s="4395" t="n"/>
      <c r="BL15" s="4395" t="n"/>
      <c r="BM15" s="4395" t="n"/>
      <c r="BN15" s="4395" t="n"/>
      <c r="BO15" s="4395" t="n"/>
      <c r="BP15" s="4395" t="n"/>
      <c r="BQ15" s="4395" t="n"/>
      <c r="BR15" s="4395" t="n"/>
      <c r="BS15" s="4395" t="n"/>
      <c r="BT15" s="4395" t="n"/>
      <c r="BU15" s="4395" t="n"/>
      <c r="BV15" s="4395" t="n"/>
      <c r="BW15" s="4395" t="n"/>
      <c r="BX15" s="4395" t="n"/>
      <c r="BY15" s="4395" t="n"/>
      <c r="BZ15" s="4395" t="n"/>
      <c r="CA15" s="4395" t="n"/>
      <c r="CB15" s="4395" t="n"/>
      <c r="CC15" s="4395" t="n"/>
      <c r="CD15" s="4395" t="n"/>
      <c r="CE15" s="4395" t="n"/>
      <c r="CF15" s="4395" t="n"/>
      <c r="CG15" s="4395" t="n"/>
      <c r="CH15" s="4395" t="n"/>
      <c r="CI15" s="4395" t="n"/>
      <c r="CJ15" s="4395" t="n"/>
      <c r="CK15" s="4395" t="n"/>
      <c r="CL15" s="4395" t="n"/>
      <c r="CM15" s="4395" t="n"/>
      <c r="CN15" s="4395" t="n"/>
      <c r="CO15" s="4395" t="n"/>
      <c r="CP15" s="4395" t="n"/>
      <c r="CQ15" s="4395" t="n"/>
      <c r="CR15" s="4395" t="n"/>
      <c r="CS15" s="4395" t="n"/>
      <c r="CT15" s="4395" t="n"/>
      <c r="CU15" s="4395" t="n"/>
      <c r="CV15" s="4395" t="n"/>
      <c r="CW15" s="4395" t="n"/>
      <c r="CX15" s="4395" t="n"/>
      <c r="CY15" s="4395" t="n"/>
      <c r="CZ15" s="4395" t="n"/>
      <c r="DA15" s="4395" t="n"/>
      <c r="DB15" s="4395" t="n"/>
      <c r="DC15" s="4395" t="n"/>
      <c r="DD15" s="4395" t="n"/>
      <c r="DE15" s="4395" t="n"/>
      <c r="DF15" s="4395" t="n"/>
      <c r="DG15" s="4395" t="n"/>
      <c r="DH15" s="4395" t="n"/>
    </row>
    <row r="16" ht="16" customHeight="1">
      <c r="A16" t="inlineStr">
        <is>
          <t>DEFO</t>
        </is>
      </c>
      <c r="C16">
        <f>'2.LUC'!C16</f>
        <v/>
      </c>
      <c r="D16">
        <f>'2.LUC'!Y16</f>
        <v/>
      </c>
      <c r="E16">
        <f>IF('2.LUC'!BU16&lt;&gt;0,'2.LUC'!BU16,'2.LUC'!BT16)</f>
        <v/>
      </c>
      <c r="F16">
        <f>time</f>
        <v/>
      </c>
      <c r="G16" s="4395">
        <f>'2.LUC'!O16</f>
        <v/>
      </c>
      <c r="H16" s="4395">
        <f>'2.LUC'!Q16</f>
        <v/>
      </c>
      <c r="I16" s="4395">
        <f>IF(OR(H16="I", G16="I"), "I", IF(OR(H16="E", G16="E"), "E", "D"))</f>
        <v/>
      </c>
      <c r="J16" s="4395">
        <f>((D16/(time_cap+((F16-E16+1)*VLOOKUP(I16,list!$I$48:$K$50,3, FALSE))))*(F16-E16+1)*VLOOKUP(I16,list!$I$48:$K$50,3, FALSE))</f>
        <v/>
      </c>
      <c r="K16" s="4395">
        <f>((D16/(time_cap+((F16-E16+1)*VLOOKUP(I16,list!$I$48:$K$50,3, FALSE))))*time_cap)</f>
        <v/>
      </c>
      <c r="M16" s="4395">
        <f>IFERROR(IF((time+time_cap)&lt;M$2, 0,IF(AND(time+1&gt;=N$2, $E16&lt;N$2), IF($I16= "I", $J16/($F16-$E16+1), $J16/(($F16*($F16+1)/2)-(($E16-1)*($E16-1+1)/2))*M$2), 0)+IF(IF(time+1&gt;=N$2, $K16/time_cap/(time+1)*M$2, 0) = 0, $K16/(time_cap),0)),0)</f>
        <v/>
      </c>
      <c r="N16" s="4395">
        <f>IFERROR(IF((time+time_cap)&lt;N$2, 0,IF(AND(time+1&gt;=O$2, $E16&lt;O$2), IF($I16= "I", $J16/($F16-$E16+1), $J16/(($F16*($F16+1)/2)-(($E16-1)*($E16-1+1)/2))*N$2), 0)+IF(IF(time+1&gt;=O$2, $K16/time_cap/(time+1)*N$2, 0) = 0, $K16/(time_cap),0)),0)</f>
        <v/>
      </c>
      <c r="O16" s="4395">
        <f>IFERROR(IF((time+time_cap)&lt;O$2, 0,IF(AND(time+1&gt;=P$2, $E16&lt;P$2), IF($I16= "I", $J16/($F16-$E16+1), $J16/(($F16*($F16+1)/2)-(($E16-1)*($E16-1+1)/2))*O$2), 0)+IF(IF(time+1&gt;=P$2, $K16/time_cap/(time+1)*O$2, 0) = 0, $K16/(time_cap),0)),0)</f>
        <v/>
      </c>
      <c r="P16" s="4395">
        <f>IFERROR(IF((time+time_cap)&lt;P$2, 0,IF(AND(time+1&gt;=Q$2, $E16&lt;Q$2), IF($I16= "I", $J16/($F16-$E16+1), $J16/(($F16*($F16+1)/2)-(($E16-1)*($E16-1+1)/2))*P$2), 0)+IF(IF(time+1&gt;=Q$2, $K16/time_cap/(time+1)*P$2, 0) = 0, $K16/(time_cap),0)),0)</f>
        <v/>
      </c>
      <c r="Q16" s="4395">
        <f>IFERROR(IF((time+time_cap)&lt;Q$2, 0,IF(AND(time+1&gt;=R$2, $E16&lt;R$2), IF($I16= "I", $J16/($F16-$E16+1), $J16/(($F16*($F16+1)/2)-(($E16-1)*($E16-1+1)/2))*Q$2), 0)+IF(IF(time+1&gt;=R$2, $K16/time_cap/(time+1)*Q$2, 0) = 0, $K16/(time_cap),0)),0)</f>
        <v/>
      </c>
      <c r="R16" s="4395">
        <f>IFERROR(IF((time+time_cap)&lt;R$2, 0,IF(AND(time+1&gt;=S$2, $E16&lt;S$2), IF($I16= "I", $J16/($F16-$E16+1), $J16/(($F16*($F16+1)/2)-(($E16-1)*($E16-1+1)/2))*R$2), 0)+IF(IF(time+1&gt;=S$2, $K16/time_cap/(time+1)*R$2, 0) = 0, $K16/(time_cap),0)),0)</f>
        <v/>
      </c>
      <c r="S16" s="4395">
        <f>IFERROR(IF((time+time_cap)&lt;S$2, 0,IF(AND(time+1&gt;=T$2, $E16&lt;T$2), IF($I16= "I", $J16/($F16-$E16+1), $J16/(($F16*($F16+1)/2)-(($E16-1)*($E16-1+1)/2))*S$2), 0)+IF(IF(time+1&gt;=T$2, $K16/time_cap/(time+1)*S$2, 0) = 0, $K16/(time_cap),0)),0)</f>
        <v/>
      </c>
      <c r="T16" s="4395">
        <f>IFERROR(IF((time+time_cap)&lt;T$2, 0,IF(AND(time+1&gt;=U$2, $E16&lt;U$2), IF($I16= "I", $J16/($F16-$E16+1), $J16/(($F16*($F16+1)/2)-(($E16-1)*($E16-1+1)/2))*T$2), 0)+IF(IF(time+1&gt;=U$2, $K16/time_cap/(time+1)*T$2, 0) = 0, $K16/(time_cap),0)),0)</f>
        <v/>
      </c>
      <c r="U16" s="4395">
        <f>IFERROR(IF((time+time_cap)&lt;U$2, 0,IF(AND(time+1&gt;=V$2, $E16&lt;V$2), IF($I16= "I", $J16/($F16-$E16+1), $J16/(($F16*($F16+1)/2)-(($E16-1)*($E16-1+1)/2))*U$2), 0)+IF(IF(time+1&gt;=V$2, $K16/time_cap/(time+1)*U$2, 0) = 0, $K16/(time_cap),0)),0)</f>
        <v/>
      </c>
      <c r="V16" s="4395">
        <f>IFERROR(IF((time+time_cap)&lt;V$2, 0,IF(AND(time+1&gt;=W$2, $E16&lt;W$2), IF($I16= "I", $J16/($F16-$E16+1), $J16/(($F16*($F16+1)/2)-(($E16-1)*($E16-1+1)/2))*V$2), 0)+IF(IF(time+1&gt;=W$2, $K16/time_cap/(time+1)*V$2, 0) = 0, $K16/(time_cap),0)),0)</f>
        <v/>
      </c>
      <c r="W16" s="4395">
        <f>IFERROR(IF((time+time_cap)&lt;W$2, 0,IF(AND(time+1&gt;=X$2, $E16&lt;X$2), IF($I16= "I", $J16/($F16-$E16+1), $J16/(($F16*($F16+1)/2)-(($E16-1)*($E16-1+1)/2))*W$2), 0)+IF(IF(time+1&gt;=X$2, $K16/time_cap/(time+1)*W$2, 0) = 0, $K16/(time_cap),0)),0)</f>
        <v/>
      </c>
      <c r="X16" s="4395">
        <f>IFERROR(IF((time+time_cap)&lt;X$2, 0,IF(AND(time+1&gt;=Y$2, $E16&lt;Y$2), IF($I16= "I", $J16/($F16-$E16+1), $J16/(($F16*($F16+1)/2)-(($E16-1)*($E16-1+1)/2))*X$2), 0)+IF(IF(time+1&gt;=Y$2, $K16/time_cap/(time+1)*X$2, 0) = 0, $K16/(time_cap),0)),0)</f>
        <v/>
      </c>
      <c r="Y16" s="4395">
        <f>IFERROR(IF((time+time_cap)&lt;Y$2, 0,IF(AND(time+1&gt;=Z$2, $E16&lt;Z$2), IF($I16= "I", $J16/($F16-$E16+1), $J16/(($F16*($F16+1)/2)-(($E16-1)*($E16-1+1)/2))*Y$2), 0)+IF(IF(time+1&gt;=Z$2, $K16/time_cap/(time+1)*Y$2, 0) = 0, $K16/(time_cap),0)),0)</f>
        <v/>
      </c>
      <c r="Z16" s="4395">
        <f>IFERROR(IF((time+time_cap)&lt;Z$2, 0,IF(AND(time+1&gt;=AA$2, $E16&lt;AA$2), IF($I16= "I", $J16/($F16-$E16+1), $J16/(($F16*($F16+1)/2)-(($E16-1)*($E16-1+1)/2))*Z$2), 0)+IF(IF(time+1&gt;=AA$2, $K16/time_cap/(time+1)*Z$2, 0) = 0, $K16/(time_cap),0)),0)</f>
        <v/>
      </c>
      <c r="AA16" s="4395">
        <f>IFERROR(IF((time+time_cap)&lt;AA$2, 0,IF(AND(time+1&gt;=AB$2, $E16&lt;AB$2), IF($I16= "I", $J16/($F16-$E16+1), $J16/(($F16*($F16+1)/2)-(($E16-1)*($E16-1+1)/2))*AA$2), 0)+IF(IF(time+1&gt;=AB$2, $K16/time_cap/(time+1)*AA$2, 0) = 0, $K16/(time_cap),0)),0)</f>
        <v/>
      </c>
      <c r="AB16" s="4395">
        <f>IFERROR(IF((time+time_cap)&lt;AB$2, 0,IF(AND(time+1&gt;=AC$2, $E16&lt;AC$2), IF($I16= "I", $J16/($F16-$E16+1), $J16/(($F16*($F16+1)/2)-(($E16-1)*($E16-1+1)/2))*AB$2), 0)+IF(IF(time+1&gt;=AC$2, $K16/time_cap/(time+1)*AB$2, 0) = 0, $K16/(time_cap),0)),0)</f>
        <v/>
      </c>
      <c r="AC16" s="4395">
        <f>IFERROR(IF((time+time_cap)&lt;AC$2, 0,IF(AND(time+1&gt;=AD$2, $E16&lt;AD$2), IF($I16= "I", $J16/($F16-$E16+1), $J16/(($F16*($F16+1)/2)-(($E16-1)*($E16-1+1)/2))*AC$2), 0)+IF(IF(time+1&gt;=AD$2, $K16/time_cap/(time+1)*AC$2, 0) = 0, $K16/(time_cap),0)),0)</f>
        <v/>
      </c>
      <c r="AD16" s="4395">
        <f>IFERROR(IF((time+time_cap)&lt;AD$2, 0,IF(AND(time+1&gt;=AE$2, $E16&lt;AE$2), IF($I16= "I", $J16/($F16-$E16+1), $J16/(($F16*($F16+1)/2)-(($E16-1)*($E16-1+1)/2))*AD$2), 0)+IF(IF(time+1&gt;=AE$2, $K16/time_cap/(time+1)*AD$2, 0) = 0, $K16/(time_cap),0)),0)</f>
        <v/>
      </c>
      <c r="AE16" s="4395">
        <f>IFERROR(IF((time+time_cap)&lt;AE$2, 0,IF(AND(time+1&gt;=AF$2, $E16&lt;AF$2), IF($I16= "I", $J16/($F16-$E16+1), $J16/(($F16*($F16+1)/2)-(($E16-1)*($E16-1+1)/2))*AE$2), 0)+IF(IF(time+1&gt;=AF$2, $K16/time_cap/(time+1)*AE$2, 0) = 0, $K16/(time_cap),0)),0)</f>
        <v/>
      </c>
      <c r="AF16" s="4395">
        <f>IFERROR(IF((time+time_cap)&lt;AF$2, 0,IF(AND(time+1&gt;=AG$2, $E16&lt;AG$2), IF($I16= "I", $J16/($F16-$E16+1), $J16/(($F16*($F16+1)/2)-(($E16-1)*($E16-1+1)/2))*AF$2), 0)+IF(IF(time+1&gt;=AG$2, $K16/time_cap/(time+1)*AF$2, 0) = 0, $K16/(time_cap),0)),0)</f>
        <v/>
      </c>
      <c r="AG16" s="4395">
        <f>IFERROR(IF((time+time_cap)&lt;AG$2, 0,IF(AND(time+1&gt;=AH$2, $E16&lt;AH$2), IF($I16= "I", $J16/($F16-$E16+1), $J16/(($F16*($F16+1)/2)-(($E16-1)*($E16-1+1)/2))*AG$2), 0)+IF(IF(time+1&gt;=AH$2, $K16/time_cap/(time+1)*AG$2, 0) = 0, $K16/(time_cap),0)),0)</f>
        <v/>
      </c>
      <c r="AH16" s="4395">
        <f>IFERROR(IF((time+time_cap)&lt;AH$2, 0,IF(AND(time+1&gt;=AI$2, $E16&lt;AI$2), IF($I16= "I", $J16/($F16-$E16+1), $J16/(($F16*($F16+1)/2)-(($E16-1)*($E16-1+1)/2))*AH$2), 0)+IF(IF(time+1&gt;=AI$2, $K16/time_cap/(time+1)*AH$2, 0) = 0, $K16/(time_cap),0)),0)</f>
        <v/>
      </c>
      <c r="AI16" s="4395">
        <f>IFERROR(IF((time+time_cap)&lt;AI$2, 0,IF(AND(time+1&gt;=AJ$2, $E16&lt;AJ$2), IF($I16= "I", $J16/($F16-$E16+1), $J16/(($F16*($F16+1)/2)-(($E16-1)*($E16-1+1)/2))*AI$2), 0)+IF(IF(time+1&gt;=AJ$2, $K16/time_cap/(time+1)*AI$2, 0) = 0, $K16/(time_cap),0)),0)</f>
        <v/>
      </c>
      <c r="AJ16" s="4395">
        <f>IFERROR(IF((time+time_cap)&lt;AJ$2, 0,IF(AND(time+1&gt;=AK$2, $E16&lt;AK$2), IF($I16= "I", $J16/($F16-$E16+1), $J16/(($F16*($F16+1)/2)-(($E16-1)*($E16-1+1)/2))*AJ$2), 0)+IF(IF(time+1&gt;=AK$2, $K16/time_cap/(time+1)*AJ$2, 0) = 0, $K16/(time_cap),0)),0)</f>
        <v/>
      </c>
      <c r="AK16" s="4395">
        <f>IFERROR(IF((time+time_cap)&lt;AK$2, 0,IF(AND(time+1&gt;=AL$2, $E16&lt;AL$2), IF($I16= "I", $J16/($F16-$E16+1), $J16/(($F16*($F16+1)/2)-(($E16-1)*($E16-1+1)/2))*AK$2), 0)+IF(IF(time+1&gt;=AL$2, $K16/time_cap/(time+1)*AK$2, 0) = 0, $K16/(time_cap),0)),0)</f>
        <v/>
      </c>
      <c r="AL16" s="4395">
        <f>IFERROR(IF((time+time_cap)&lt;AL$2, 0,IF(AND(time+1&gt;=AM$2, $E16&lt;AM$2), IF($I16= "I", $J16/($F16-$E16+1), $J16/(($F16*($F16+1)/2)-(($E16-1)*($E16-1+1)/2))*AL$2), 0)+IF(IF(time+1&gt;=AM$2, $K16/time_cap/(time+1)*AL$2, 0) = 0, $K16/(time_cap),0)),0)</f>
        <v/>
      </c>
      <c r="AM16" s="4395">
        <f>IFERROR(IF((time+time_cap)&lt;AM$2, 0,IF(AND(time+1&gt;=AN$2, $E16&lt;AN$2), IF($I16= "I", $J16/($F16-$E16+1), $J16/(($F16*($F16+1)/2)-(($E16-1)*($E16-1+1)/2))*AM$2), 0)+IF(IF(time+1&gt;=AN$2, $K16/time_cap/(time+1)*AM$2, 0) = 0, $K16/(time_cap),0)),0)</f>
        <v/>
      </c>
      <c r="AN16" s="4395">
        <f>IFERROR(IF((time+time_cap)&lt;AN$2, 0,IF(AND(time+1&gt;=AO$2, $E16&lt;AO$2), IF($I16= "I", $J16/($F16-$E16+1), $J16/(($F16*($F16+1)/2)-(($E16-1)*($E16-1+1)/2))*AN$2), 0)+IF(IF(time+1&gt;=AO$2, $K16/time_cap/(time+1)*AN$2, 0) = 0, $K16/(time_cap),0)),0)</f>
        <v/>
      </c>
      <c r="AO16" s="4395">
        <f>IFERROR(IF((time+time_cap)&lt;AO$2, 0,IF(AND(time+1&gt;=AP$2, $E16&lt;AP$2), IF($I16= "I", $J16/($F16-$E16+1), $J16/(($F16*($F16+1)/2)-(($E16-1)*($E16-1+1)/2))*AO$2), 0)+IF(IF(time+1&gt;=AP$2, $K16/time_cap/(time+1)*AO$2, 0) = 0, $K16/(time_cap),0)),0)</f>
        <v/>
      </c>
      <c r="AP16" s="4395">
        <f>IFERROR(IF((time+time_cap)&lt;AP$2, 0,IF(AND(time+1&gt;=AQ$2, $E16&lt;AQ$2), IF($I16= "I", $J16/($F16-$E16+1), $J16/(($F16*($F16+1)/2)-(($E16-1)*($E16-1+1)/2))*AP$2), 0)+IF(IF(time+1&gt;=AQ$2, $K16/time_cap/(time+1)*AP$2, 0) = 0, $K16/(time_cap),0)),0)</f>
        <v/>
      </c>
      <c r="AQ16" s="4395">
        <f>IFERROR(IF((time+time_cap)&lt;AQ$2, 0,IF(AND(time+1&gt;=AR$2, $E16&lt;AR$2), IF($I16= "I", $J16/($F16-$E16+1), $J16/(($F16*($F16+1)/2)-(($E16-1)*($E16-1+1)/2))*AQ$2), 0)+IF(IF(time+1&gt;=AR$2, $K16/time_cap/(time+1)*AQ$2, 0) = 0, $K16/(time_cap),0)),0)</f>
        <v/>
      </c>
      <c r="AR16" s="4395">
        <f>IFERROR(IF((time+time_cap)&lt;AR$2, 0,IF(AND(time+1&gt;=AS$2, $E16&lt;AS$2), IF($I16= "I", $J16/($F16-$E16+1), $J16/(($F16*($F16+1)/2)-(($E16-1)*($E16-1+1)/2))*AR$2), 0)+IF(IF(time+1&gt;=AS$2, $K16/time_cap/(time+1)*AR$2, 0) = 0, $K16/(time_cap),0)),0)</f>
        <v/>
      </c>
      <c r="AS16" s="4395">
        <f>IFERROR(IF((time+time_cap)&lt;AS$2, 0,IF(AND(time+1&gt;=AT$2, $E16&lt;AT$2), IF($I16= "I", $J16/($F16-$E16+1), $J16/(($F16*($F16+1)/2)-(($E16-1)*($E16-1+1)/2))*AS$2), 0)+IF(IF(time+1&gt;=AT$2, $K16/time_cap/(time+1)*AS$2, 0) = 0, $K16/(time_cap),0)),0)</f>
        <v/>
      </c>
      <c r="AT16" s="4395">
        <f>IFERROR(IF((time+time_cap)&lt;AT$2, 0,IF(AND(time+1&gt;=AU$2, $E16&lt;AU$2), IF($I16= "I", $J16/($F16-$E16+1), $J16/(($F16*($F16+1)/2)-(($E16-1)*($E16-1+1)/2))*AT$2), 0)+IF(IF(time+1&gt;=AU$2, $K16/time_cap/(time+1)*AT$2, 0) = 0, $K16/(time_cap),0)),0)</f>
        <v/>
      </c>
      <c r="AU16" s="4395">
        <f>IFERROR(IF((time+time_cap)&lt;AU$2, 0,IF(AND(time+1&gt;=AV$2, $E16&lt;AV$2), IF($I16= "I", $J16/($F16-$E16+1), $J16/(($F16*($F16+1)/2)-(($E16-1)*($E16-1+1)/2))*AU$2), 0)+IF(IF(time+1&gt;=AV$2, $K16/time_cap/(time+1)*AU$2, 0) = 0, $K16/(time_cap),0)),0)</f>
        <v/>
      </c>
      <c r="AV16" s="4395">
        <f>IFERROR(IF((time+time_cap)&lt;AV$2, 0,IF(AND(time+1&gt;=AW$2, $E16&lt;AW$2), IF($I16= "I", $J16/($F16-$E16+1), $J16/(($F16*($F16+1)/2)-(($E16-1)*($E16-1+1)/2))*AV$2), 0)+IF(IF(time+1&gt;=AW$2, $K16/time_cap/(time+1)*AV$2, 0) = 0, $K16/(time_cap),0)),0)</f>
        <v/>
      </c>
      <c r="AW16" s="4395">
        <f>IFERROR(IF((time+time_cap)&lt;AW$2, 0,IF(AND(time+1&gt;=AX$2, $E16&lt;AX$2), IF($I16= "I", $J16/($F16-$E16+1), $J16/(($F16*($F16+1)/2)-(($E16-1)*($E16-1+1)/2))*AW$2), 0)+IF(IF(time+1&gt;=AX$2, $K16/time_cap/(time+1)*AW$2, 0) = 0, $K16/(time_cap),0)),0)</f>
        <v/>
      </c>
      <c r="AX16" s="4395">
        <f>IFERROR(IF((time+time_cap)&lt;AX$2, 0,IF(AND(time+1&gt;=AY$2, $E16&lt;AY$2), IF($I16= "I", $J16/($F16-$E16+1), $J16/(($F16*($F16+1)/2)-(($E16-1)*($E16-1+1)/2))*AX$2), 0)+IF(IF(time+1&gt;=AY$2, $K16/time_cap/(time+1)*AX$2, 0) = 0, $K16/(time_cap),0)),0)</f>
        <v/>
      </c>
      <c r="AY16" s="4395">
        <f>IFERROR(IF((time+time_cap)&lt;AY$2, 0,IF(AND(time+1&gt;=AZ$2, $E16&lt;AZ$2), IF($I16= "I", $J16/($F16-$E16+1), $J16/(($F16*($F16+1)/2)-(($E16-1)*($E16-1+1)/2))*AY$2), 0)+IF(IF(time+1&gt;=AZ$2, $K16/time_cap/(time+1)*AY$2, 0) = 0, $K16/(time_cap),0)),0)</f>
        <v/>
      </c>
      <c r="AZ16" s="4395">
        <f>IFERROR(IF((time+time_cap)&lt;AZ$2, 0,IF(AND(time+1&gt;=BA$2, $E16&lt;BA$2), IF($I16= "I", $J16/($F16-$E16+1), $J16/(($F16*($F16+1)/2)-(($E16-1)*($E16-1+1)/2))*AZ$2), 0)+IF(IF(time+1&gt;=BA$2, $K16/time_cap/(time+1)*AZ$2, 0) = 0, $K16/(time_cap),0)),0)</f>
        <v/>
      </c>
      <c r="BA16" s="4395">
        <f>IFERROR(IF((time+time_cap)&lt;BA$2, 0,IF(AND(time+1&gt;=BB$2, $E16&lt;BB$2), IF($I16= "I", $J16/($F16-$E16+1), $J16/(($F16*($F16+1)/2)-(($E16-1)*($E16-1+1)/2))*BA$2), 0)+IF(IF(time+1&gt;=BB$2, $K16/time_cap/(time+1)*BA$2, 0) = 0, $K16/(time_cap),0)),0)</f>
        <v/>
      </c>
      <c r="BB16" s="4395">
        <f>IFERROR(IF((time+time_cap)&lt;BB$2, 0,IF(AND(time+1&gt;=BC$2, $E16&lt;BC$2), IF($I16= "I", $J16/($F16-$E16+1), $J16/(($F16*($F16+1)/2)-(($E16-1)*($E16-1+1)/2))*BB$2), 0)+IF(IF(time+1&gt;=BC$2, $K16/time_cap/(time+1)*BB$2, 0) = 0, $K16/(time_cap),0)),0)</f>
        <v/>
      </c>
      <c r="BC16" s="4395">
        <f>IFERROR(IF((time+time_cap)&lt;BC$2, 0,IF(AND(time+1&gt;=BD$2, $E16&lt;BD$2), IF($I16= "I", $J16/($F16-$E16+1), $J16/(($F16*($F16+1)/2)-(($E16-1)*($E16-1+1)/2))*BC$2), 0)+IF(IF(time+1&gt;=BD$2, $K16/time_cap/(time+1)*BC$2, 0) = 0, $K16/(time_cap),0)),0)</f>
        <v/>
      </c>
      <c r="BD16" s="4395">
        <f>IFERROR(IF((time+time_cap)&lt;BD$2, 0,IF(AND(time+1&gt;=BE$2, $E16&lt;BE$2), IF($I16= "I", $J16/($F16-$E16+1), $J16/(($F16*($F16+1)/2)-(($E16-1)*($E16-1+1)/2))*BD$2), 0)+IF(IF(time+1&gt;=BE$2, $K16/time_cap/(time+1)*BD$2, 0) = 0, $K16/(time_cap),0)),0)</f>
        <v/>
      </c>
      <c r="BE16" s="4395">
        <f>IFERROR(IF((time+time_cap)&lt;BE$2, 0,IF(AND(time+1&gt;=BF$2, $E16&lt;BF$2), IF($I16= "I", $J16/($F16-$E16+1), $J16/(($F16*($F16+1)/2)-(($E16-1)*($E16-1+1)/2))*BE$2), 0)+IF(IF(time+1&gt;=BF$2, $K16/time_cap/(time+1)*BE$2, 0) = 0, $K16/(time_cap),0)),0)</f>
        <v/>
      </c>
      <c r="BF16" s="4395">
        <f>IFERROR(IF((time+time_cap)&lt;BF$2, 0,IF(AND(time+1&gt;=BG$2, $E16&lt;BG$2), IF($I16= "I", $J16/($F16-$E16+1), $J16/(($F16*($F16+1)/2)-(($E16-1)*($E16-1+1)/2))*BF$2), 0)+IF(IF(time+1&gt;=BG$2, $K16/time_cap/(time+1)*BF$2, 0) = 0, $K16/(time_cap),0)),0)</f>
        <v/>
      </c>
      <c r="BG16" s="4395">
        <f>IFERROR(IF((time+time_cap)&lt;BG$2, 0,IF(AND(time+1&gt;=BH$2, $E16&lt;BH$2), IF($I16= "I", $J16/($F16-$E16+1), $J16/(($F16*($F16+1)/2)-(($E16-1)*($E16-1+1)/2))*BG$2), 0)+IF(IF(time+1&gt;=BH$2, $K16/time_cap/(time+1)*BG$2, 0) = 0, $K16/(time_cap),0)),0)</f>
        <v/>
      </c>
      <c r="BH16" s="4395">
        <f>IFERROR(IF((time+time_cap)&lt;BH$2, 0,IF(AND(time+1&gt;=BI$2, $E16&lt;BI$2), IF($I16= "I", $J16/($F16-$E16+1), $J16/(($F16*($F16+1)/2)-(($E16-1)*($E16-1+1)/2))*BH$2), 0)+IF(IF(time+1&gt;=BI$2, $K16/time_cap/(time+1)*BH$2, 0) = 0, $K16/(time_cap),0)),0)</f>
        <v/>
      </c>
      <c r="BI16" s="4395">
        <f>IFERROR(IF((time+time_cap)&lt;BI$2, 0,IF(AND(time+1&gt;=BJ$2, $E16&lt;BJ$2), IF($I16= "I", $J16/($F16-$E16+1), $J16/(($F16*($F16+1)/2)-(($E16-1)*($E16-1+1)/2))*BI$2), 0)+IF(IF(time+1&gt;=BJ$2, $K16/time_cap/(time+1)*BI$2, 0) = 0, $K16/(time_cap),0)),0)</f>
        <v/>
      </c>
      <c r="BJ16" s="4395">
        <f>IFERROR(IF((time+time_cap)&lt;BJ$2, 0,IF(AND(time+1&gt;=BK$2, $E16&lt;BK$2), IF($I16= "I", $J16/($F16-$E16+1), $J16/(($F16*($F16+1)/2)-(($E16-1)*($E16-1+1)/2))*BJ$2), 0)+IF(IF(time+1&gt;=BK$2, $K16/time_cap/(time+1)*BJ$2, 0) = 0, $K16/(time_cap),0)),0)</f>
        <v/>
      </c>
      <c r="BK16" s="4395" t="n"/>
      <c r="BL16" s="4395" t="n"/>
      <c r="BM16" s="4395" t="n"/>
      <c r="BN16" s="4395" t="n"/>
      <c r="BO16" s="4395" t="n"/>
      <c r="BP16" s="4395" t="n"/>
      <c r="BQ16" s="4395" t="n"/>
      <c r="BR16" s="4395" t="n"/>
      <c r="BS16" s="4395" t="n"/>
      <c r="BT16" s="4395" t="n"/>
      <c r="BU16" s="4395" t="n"/>
      <c r="BV16" s="4395" t="n"/>
      <c r="BW16" s="4395" t="n"/>
      <c r="BX16" s="4395" t="n"/>
      <c r="BY16" s="4395" t="n"/>
      <c r="BZ16" s="4395" t="n"/>
      <c r="CA16" s="4395" t="n"/>
      <c r="CB16" s="4395" t="n"/>
      <c r="CC16" s="4395" t="n"/>
      <c r="CD16" s="4395" t="n"/>
      <c r="CE16" s="4395" t="n"/>
      <c r="CF16" s="4395" t="n"/>
      <c r="CG16" s="4395" t="n"/>
      <c r="CH16" s="4395" t="n"/>
      <c r="CI16" s="4395" t="n"/>
      <c r="CJ16" s="4395" t="n"/>
      <c r="CK16" s="4395" t="n"/>
      <c r="CL16" s="4395" t="n"/>
      <c r="CM16" s="4395" t="n"/>
      <c r="CN16" s="4395" t="n"/>
      <c r="CO16" s="4395" t="n"/>
      <c r="CP16" s="4395" t="n"/>
      <c r="CQ16" s="4395" t="n"/>
      <c r="CR16" s="4395" t="n"/>
      <c r="CS16" s="4395" t="n"/>
      <c r="CT16" s="4395" t="n"/>
      <c r="CU16" s="4395" t="n"/>
      <c r="CV16" s="4395" t="n"/>
      <c r="CW16" s="4395" t="n"/>
      <c r="CX16" s="4395" t="n"/>
      <c r="CY16" s="4395" t="n"/>
      <c r="CZ16" s="4395" t="n"/>
      <c r="DA16" s="4395" t="n"/>
      <c r="DB16" s="4395" t="n"/>
      <c r="DC16" s="4395" t="n"/>
      <c r="DD16" s="4395" t="n"/>
      <c r="DE16" s="4395" t="n"/>
      <c r="DF16" s="4395" t="n"/>
      <c r="DG16" s="4395" t="n"/>
      <c r="DH16" s="4395" t="n"/>
    </row>
    <row r="17" ht="16" customHeight="1">
      <c r="A17" t="inlineStr">
        <is>
          <t>DEFO</t>
        </is>
      </c>
      <c r="C17">
        <f>'2.LUC'!C17</f>
        <v/>
      </c>
      <c r="D17">
        <f>'2.LUC'!Y17</f>
        <v/>
      </c>
      <c r="E17">
        <f>IF('2.LUC'!BU17&lt;&gt;0,'2.LUC'!BU17,'2.LUC'!BT17)</f>
        <v/>
      </c>
      <c r="F17">
        <f>time</f>
        <v/>
      </c>
      <c r="G17" s="4395">
        <f>'2.LUC'!O17</f>
        <v/>
      </c>
      <c r="H17" s="4395">
        <f>'2.LUC'!Q17</f>
        <v/>
      </c>
      <c r="I17" s="4395">
        <f>IF(OR(H17="I", G17="I"), "I", IF(OR(H17="E", G17="E"), "E", "D"))</f>
        <v/>
      </c>
      <c r="J17" s="4395">
        <f>((D17/(time_cap+((F17-E17+1)*VLOOKUP(I17,list!$I$48:$K$50,3, FALSE))))*(F17-E17+1)*VLOOKUP(I17,list!$I$48:$K$50,3, FALSE))</f>
        <v/>
      </c>
      <c r="K17" s="4395">
        <f>((D17/(time_cap+((F17-E17+1)*VLOOKUP(I17,list!$I$48:$K$50,3, FALSE))))*time_cap)</f>
        <v/>
      </c>
      <c r="M17" s="4395">
        <f>IFERROR(IF((time+time_cap)&lt;M$2, 0,IF(AND(time+1&gt;=N$2, $E17&lt;N$2), IF($I17= "I", $J17/($F17-$E17+1), $J17/(($F17*($F17+1)/2)-(($E17-1)*($E17-1+1)/2))*M$2), 0)+IF(IF(time+1&gt;=N$2, $K17/time_cap/(time+1)*M$2, 0) = 0, $K17/(time_cap),0)),0)</f>
        <v/>
      </c>
      <c r="N17" s="4395">
        <f>IFERROR(IF((time+time_cap)&lt;N$2, 0,IF(AND(time+1&gt;=O$2, $E17&lt;O$2), IF($I17= "I", $J17/($F17-$E17+1), $J17/(($F17*($F17+1)/2)-(($E17-1)*($E17-1+1)/2))*N$2), 0)+IF(IF(time+1&gt;=O$2, $K17/time_cap/(time+1)*N$2, 0) = 0, $K17/(time_cap),0)),0)</f>
        <v/>
      </c>
      <c r="O17" s="4395">
        <f>IFERROR(IF((time+time_cap)&lt;O$2, 0,IF(AND(time+1&gt;=P$2, $E17&lt;P$2), IF($I17= "I", $J17/($F17-$E17+1), $J17/(($F17*($F17+1)/2)-(($E17-1)*($E17-1+1)/2))*O$2), 0)+IF(IF(time+1&gt;=P$2, $K17/time_cap/(time+1)*O$2, 0) = 0, $K17/(time_cap),0)),0)</f>
        <v/>
      </c>
      <c r="P17" s="4395">
        <f>IFERROR(IF((time+time_cap)&lt;P$2, 0,IF(AND(time+1&gt;=Q$2, $E17&lt;Q$2), IF($I17= "I", $J17/($F17-$E17+1), $J17/(($F17*($F17+1)/2)-(($E17-1)*($E17-1+1)/2))*P$2), 0)+IF(IF(time+1&gt;=Q$2, $K17/time_cap/(time+1)*P$2, 0) = 0, $K17/(time_cap),0)),0)</f>
        <v/>
      </c>
      <c r="Q17" s="4395">
        <f>IFERROR(IF((time+time_cap)&lt;Q$2, 0,IF(AND(time+1&gt;=R$2, $E17&lt;R$2), IF($I17= "I", $J17/($F17-$E17+1), $J17/(($F17*($F17+1)/2)-(($E17-1)*($E17-1+1)/2))*Q$2), 0)+IF(IF(time+1&gt;=R$2, $K17/time_cap/(time+1)*Q$2, 0) = 0, $K17/(time_cap),0)),0)</f>
        <v/>
      </c>
      <c r="R17" s="4395">
        <f>IFERROR(IF((time+time_cap)&lt;R$2, 0,IF(AND(time+1&gt;=S$2, $E17&lt;S$2), IF($I17= "I", $J17/($F17-$E17+1), $J17/(($F17*($F17+1)/2)-(($E17-1)*($E17-1+1)/2))*R$2), 0)+IF(IF(time+1&gt;=S$2, $K17/time_cap/(time+1)*R$2, 0) = 0, $K17/(time_cap),0)),0)</f>
        <v/>
      </c>
      <c r="S17" s="4395">
        <f>IFERROR(IF((time+time_cap)&lt;S$2, 0,IF(AND(time+1&gt;=T$2, $E17&lt;T$2), IF($I17= "I", $J17/($F17-$E17+1), $J17/(($F17*($F17+1)/2)-(($E17-1)*($E17-1+1)/2))*S$2), 0)+IF(IF(time+1&gt;=T$2, $K17/time_cap/(time+1)*S$2, 0) = 0, $K17/(time_cap),0)),0)</f>
        <v/>
      </c>
      <c r="T17" s="4395">
        <f>IFERROR(IF((time+time_cap)&lt;T$2, 0,IF(AND(time+1&gt;=U$2, $E17&lt;U$2), IF($I17= "I", $J17/($F17-$E17+1), $J17/(($F17*($F17+1)/2)-(($E17-1)*($E17-1+1)/2))*T$2), 0)+IF(IF(time+1&gt;=U$2, $K17/time_cap/(time+1)*T$2, 0) = 0, $K17/(time_cap),0)),0)</f>
        <v/>
      </c>
      <c r="U17" s="4395">
        <f>IFERROR(IF((time+time_cap)&lt;U$2, 0,IF(AND(time+1&gt;=V$2, $E17&lt;V$2), IF($I17= "I", $J17/($F17-$E17+1), $J17/(($F17*($F17+1)/2)-(($E17-1)*($E17-1+1)/2))*U$2), 0)+IF(IF(time+1&gt;=V$2, $K17/time_cap/(time+1)*U$2, 0) = 0, $K17/(time_cap),0)),0)</f>
        <v/>
      </c>
      <c r="V17" s="4395">
        <f>IFERROR(IF((time+time_cap)&lt;V$2, 0,IF(AND(time+1&gt;=W$2, $E17&lt;W$2), IF($I17= "I", $J17/($F17-$E17+1), $J17/(($F17*($F17+1)/2)-(($E17-1)*($E17-1+1)/2))*V$2), 0)+IF(IF(time+1&gt;=W$2, $K17/time_cap/(time+1)*V$2, 0) = 0, $K17/(time_cap),0)),0)</f>
        <v/>
      </c>
      <c r="W17" s="4395">
        <f>IFERROR(IF((time+time_cap)&lt;W$2, 0,IF(AND(time+1&gt;=X$2, $E17&lt;X$2), IF($I17= "I", $J17/($F17-$E17+1), $J17/(($F17*($F17+1)/2)-(($E17-1)*($E17-1+1)/2))*W$2), 0)+IF(IF(time+1&gt;=X$2, $K17/time_cap/(time+1)*W$2, 0) = 0, $K17/(time_cap),0)),0)</f>
        <v/>
      </c>
      <c r="X17" s="4395">
        <f>IFERROR(IF((time+time_cap)&lt;X$2, 0,IF(AND(time+1&gt;=Y$2, $E17&lt;Y$2), IF($I17= "I", $J17/($F17-$E17+1), $J17/(($F17*($F17+1)/2)-(($E17-1)*($E17-1+1)/2))*X$2), 0)+IF(IF(time+1&gt;=Y$2, $K17/time_cap/(time+1)*X$2, 0) = 0, $K17/(time_cap),0)),0)</f>
        <v/>
      </c>
      <c r="Y17" s="4395">
        <f>IFERROR(IF((time+time_cap)&lt;Y$2, 0,IF(AND(time+1&gt;=Z$2, $E17&lt;Z$2), IF($I17= "I", $J17/($F17-$E17+1), $J17/(($F17*($F17+1)/2)-(($E17-1)*($E17-1+1)/2))*Y$2), 0)+IF(IF(time+1&gt;=Z$2, $K17/time_cap/(time+1)*Y$2, 0) = 0, $K17/(time_cap),0)),0)</f>
        <v/>
      </c>
      <c r="Z17" s="4395">
        <f>IFERROR(IF((time+time_cap)&lt;Z$2, 0,IF(AND(time+1&gt;=AA$2, $E17&lt;AA$2), IF($I17= "I", $J17/($F17-$E17+1), $J17/(($F17*($F17+1)/2)-(($E17-1)*($E17-1+1)/2))*Z$2), 0)+IF(IF(time+1&gt;=AA$2, $K17/time_cap/(time+1)*Z$2, 0) = 0, $K17/(time_cap),0)),0)</f>
        <v/>
      </c>
      <c r="AA17" s="4395">
        <f>IFERROR(IF((time+time_cap)&lt;AA$2, 0,IF(AND(time+1&gt;=AB$2, $E17&lt;AB$2), IF($I17= "I", $J17/($F17-$E17+1), $J17/(($F17*($F17+1)/2)-(($E17-1)*($E17-1+1)/2))*AA$2), 0)+IF(IF(time+1&gt;=AB$2, $K17/time_cap/(time+1)*AA$2, 0) = 0, $K17/(time_cap),0)),0)</f>
        <v/>
      </c>
      <c r="AB17" s="4395">
        <f>IFERROR(IF((time+time_cap)&lt;AB$2, 0,IF(AND(time+1&gt;=AC$2, $E17&lt;AC$2), IF($I17= "I", $J17/($F17-$E17+1), $J17/(($F17*($F17+1)/2)-(($E17-1)*($E17-1+1)/2))*AB$2), 0)+IF(IF(time+1&gt;=AC$2, $K17/time_cap/(time+1)*AB$2, 0) = 0, $K17/(time_cap),0)),0)</f>
        <v/>
      </c>
      <c r="AC17" s="4395">
        <f>IFERROR(IF((time+time_cap)&lt;AC$2, 0,IF(AND(time+1&gt;=AD$2, $E17&lt;AD$2), IF($I17= "I", $J17/($F17-$E17+1), $J17/(($F17*($F17+1)/2)-(($E17-1)*($E17-1+1)/2))*AC$2), 0)+IF(IF(time+1&gt;=AD$2, $K17/time_cap/(time+1)*AC$2, 0) = 0, $K17/(time_cap),0)),0)</f>
        <v/>
      </c>
      <c r="AD17" s="4395">
        <f>IFERROR(IF((time+time_cap)&lt;AD$2, 0,IF(AND(time+1&gt;=AE$2, $E17&lt;AE$2), IF($I17= "I", $J17/($F17-$E17+1), $J17/(($F17*($F17+1)/2)-(($E17-1)*($E17-1+1)/2))*AD$2), 0)+IF(IF(time+1&gt;=AE$2, $K17/time_cap/(time+1)*AD$2, 0) = 0, $K17/(time_cap),0)),0)</f>
        <v/>
      </c>
      <c r="AE17" s="4395">
        <f>IFERROR(IF((time+time_cap)&lt;AE$2, 0,IF(AND(time+1&gt;=AF$2, $E17&lt;AF$2), IF($I17= "I", $J17/($F17-$E17+1), $J17/(($F17*($F17+1)/2)-(($E17-1)*($E17-1+1)/2))*AE$2), 0)+IF(IF(time+1&gt;=AF$2, $K17/time_cap/(time+1)*AE$2, 0) = 0, $K17/(time_cap),0)),0)</f>
        <v/>
      </c>
      <c r="AF17" s="4395">
        <f>IFERROR(IF((time+time_cap)&lt;AF$2, 0,IF(AND(time+1&gt;=AG$2, $E17&lt;AG$2), IF($I17= "I", $J17/($F17-$E17+1), $J17/(($F17*($F17+1)/2)-(($E17-1)*($E17-1+1)/2))*AF$2), 0)+IF(IF(time+1&gt;=AG$2, $K17/time_cap/(time+1)*AF$2, 0) = 0, $K17/(time_cap),0)),0)</f>
        <v/>
      </c>
      <c r="AG17" s="4395">
        <f>IFERROR(IF((time+time_cap)&lt;AG$2, 0,IF(AND(time+1&gt;=AH$2, $E17&lt;AH$2), IF($I17= "I", $J17/($F17-$E17+1), $J17/(($F17*($F17+1)/2)-(($E17-1)*($E17-1+1)/2))*AG$2), 0)+IF(IF(time+1&gt;=AH$2, $K17/time_cap/(time+1)*AG$2, 0) = 0, $K17/(time_cap),0)),0)</f>
        <v/>
      </c>
      <c r="AH17" s="4395">
        <f>IFERROR(IF((time+time_cap)&lt;AH$2, 0,IF(AND(time+1&gt;=AI$2, $E17&lt;AI$2), IF($I17= "I", $J17/($F17-$E17+1), $J17/(($F17*($F17+1)/2)-(($E17-1)*($E17-1+1)/2))*AH$2), 0)+IF(IF(time+1&gt;=AI$2, $K17/time_cap/(time+1)*AH$2, 0) = 0, $K17/(time_cap),0)),0)</f>
        <v/>
      </c>
      <c r="AI17" s="4395">
        <f>IFERROR(IF((time+time_cap)&lt;AI$2, 0,IF(AND(time+1&gt;=AJ$2, $E17&lt;AJ$2), IF($I17= "I", $J17/($F17-$E17+1), $J17/(($F17*($F17+1)/2)-(($E17-1)*($E17-1+1)/2))*AI$2), 0)+IF(IF(time+1&gt;=AJ$2, $K17/time_cap/(time+1)*AI$2, 0) = 0, $K17/(time_cap),0)),0)</f>
        <v/>
      </c>
      <c r="AJ17" s="4395">
        <f>IFERROR(IF((time+time_cap)&lt;AJ$2, 0,IF(AND(time+1&gt;=AK$2, $E17&lt;AK$2), IF($I17= "I", $J17/($F17-$E17+1), $J17/(($F17*($F17+1)/2)-(($E17-1)*($E17-1+1)/2))*AJ$2), 0)+IF(IF(time+1&gt;=AK$2, $K17/time_cap/(time+1)*AJ$2, 0) = 0, $K17/(time_cap),0)),0)</f>
        <v/>
      </c>
      <c r="AK17" s="4395">
        <f>IFERROR(IF((time+time_cap)&lt;AK$2, 0,IF(AND(time+1&gt;=AL$2, $E17&lt;AL$2), IF($I17= "I", $J17/($F17-$E17+1), $J17/(($F17*($F17+1)/2)-(($E17-1)*($E17-1+1)/2))*AK$2), 0)+IF(IF(time+1&gt;=AL$2, $K17/time_cap/(time+1)*AK$2, 0) = 0, $K17/(time_cap),0)),0)</f>
        <v/>
      </c>
      <c r="AL17" s="4395">
        <f>IFERROR(IF((time+time_cap)&lt;AL$2, 0,IF(AND(time+1&gt;=AM$2, $E17&lt;AM$2), IF($I17= "I", $J17/($F17-$E17+1), $J17/(($F17*($F17+1)/2)-(($E17-1)*($E17-1+1)/2))*AL$2), 0)+IF(IF(time+1&gt;=AM$2, $K17/time_cap/(time+1)*AL$2, 0) = 0, $K17/(time_cap),0)),0)</f>
        <v/>
      </c>
      <c r="AM17" s="4395">
        <f>IFERROR(IF((time+time_cap)&lt;AM$2, 0,IF(AND(time+1&gt;=AN$2, $E17&lt;AN$2), IF($I17= "I", $J17/($F17-$E17+1), $J17/(($F17*($F17+1)/2)-(($E17-1)*($E17-1+1)/2))*AM$2), 0)+IF(IF(time+1&gt;=AN$2, $K17/time_cap/(time+1)*AM$2, 0) = 0, $K17/(time_cap),0)),0)</f>
        <v/>
      </c>
      <c r="AN17" s="4395">
        <f>IFERROR(IF((time+time_cap)&lt;AN$2, 0,IF(AND(time+1&gt;=AO$2, $E17&lt;AO$2), IF($I17= "I", $J17/($F17-$E17+1), $J17/(($F17*($F17+1)/2)-(($E17-1)*($E17-1+1)/2))*AN$2), 0)+IF(IF(time+1&gt;=AO$2, $K17/time_cap/(time+1)*AN$2, 0) = 0, $K17/(time_cap),0)),0)</f>
        <v/>
      </c>
      <c r="AO17" s="4395">
        <f>IFERROR(IF((time+time_cap)&lt;AO$2, 0,IF(AND(time+1&gt;=AP$2, $E17&lt;AP$2), IF($I17= "I", $J17/($F17-$E17+1), $J17/(($F17*($F17+1)/2)-(($E17-1)*($E17-1+1)/2))*AO$2), 0)+IF(IF(time+1&gt;=AP$2, $K17/time_cap/(time+1)*AO$2, 0) = 0, $K17/(time_cap),0)),0)</f>
        <v/>
      </c>
      <c r="AP17" s="4395">
        <f>IFERROR(IF((time+time_cap)&lt;AP$2, 0,IF(AND(time+1&gt;=AQ$2, $E17&lt;AQ$2), IF($I17= "I", $J17/($F17-$E17+1), $J17/(($F17*($F17+1)/2)-(($E17-1)*($E17-1+1)/2))*AP$2), 0)+IF(IF(time+1&gt;=AQ$2, $K17/time_cap/(time+1)*AP$2, 0) = 0, $K17/(time_cap),0)),0)</f>
        <v/>
      </c>
      <c r="AQ17" s="4395">
        <f>IFERROR(IF((time+time_cap)&lt;AQ$2, 0,IF(AND(time+1&gt;=AR$2, $E17&lt;AR$2), IF($I17= "I", $J17/($F17-$E17+1), $J17/(($F17*($F17+1)/2)-(($E17-1)*($E17-1+1)/2))*AQ$2), 0)+IF(IF(time+1&gt;=AR$2, $K17/time_cap/(time+1)*AQ$2, 0) = 0, $K17/(time_cap),0)),0)</f>
        <v/>
      </c>
      <c r="AR17" s="4395">
        <f>IFERROR(IF((time+time_cap)&lt;AR$2, 0,IF(AND(time+1&gt;=AS$2, $E17&lt;AS$2), IF($I17= "I", $J17/($F17-$E17+1), $J17/(($F17*($F17+1)/2)-(($E17-1)*($E17-1+1)/2))*AR$2), 0)+IF(IF(time+1&gt;=AS$2, $K17/time_cap/(time+1)*AR$2, 0) = 0, $K17/(time_cap),0)),0)</f>
        <v/>
      </c>
      <c r="AS17" s="4395">
        <f>IFERROR(IF((time+time_cap)&lt;AS$2, 0,IF(AND(time+1&gt;=AT$2, $E17&lt;AT$2), IF($I17= "I", $J17/($F17-$E17+1), $J17/(($F17*($F17+1)/2)-(($E17-1)*($E17-1+1)/2))*AS$2), 0)+IF(IF(time+1&gt;=AT$2, $K17/time_cap/(time+1)*AS$2, 0) = 0, $K17/(time_cap),0)),0)</f>
        <v/>
      </c>
      <c r="AT17" s="4395">
        <f>IFERROR(IF((time+time_cap)&lt;AT$2, 0,IF(AND(time+1&gt;=AU$2, $E17&lt;AU$2), IF($I17= "I", $J17/($F17-$E17+1), $J17/(($F17*($F17+1)/2)-(($E17-1)*($E17-1+1)/2))*AT$2), 0)+IF(IF(time+1&gt;=AU$2, $K17/time_cap/(time+1)*AT$2, 0) = 0, $K17/(time_cap),0)),0)</f>
        <v/>
      </c>
      <c r="AU17" s="4395">
        <f>IFERROR(IF((time+time_cap)&lt;AU$2, 0,IF(AND(time+1&gt;=AV$2, $E17&lt;AV$2), IF($I17= "I", $J17/($F17-$E17+1), $J17/(($F17*($F17+1)/2)-(($E17-1)*($E17-1+1)/2))*AU$2), 0)+IF(IF(time+1&gt;=AV$2, $K17/time_cap/(time+1)*AU$2, 0) = 0, $K17/(time_cap),0)),0)</f>
        <v/>
      </c>
      <c r="AV17" s="4395">
        <f>IFERROR(IF((time+time_cap)&lt;AV$2, 0,IF(AND(time+1&gt;=AW$2, $E17&lt;AW$2), IF($I17= "I", $J17/($F17-$E17+1), $J17/(($F17*($F17+1)/2)-(($E17-1)*($E17-1+1)/2))*AV$2), 0)+IF(IF(time+1&gt;=AW$2, $K17/time_cap/(time+1)*AV$2, 0) = 0, $K17/(time_cap),0)),0)</f>
        <v/>
      </c>
      <c r="AW17" s="4395">
        <f>IFERROR(IF((time+time_cap)&lt;AW$2, 0,IF(AND(time+1&gt;=AX$2, $E17&lt;AX$2), IF($I17= "I", $J17/($F17-$E17+1), $J17/(($F17*($F17+1)/2)-(($E17-1)*($E17-1+1)/2))*AW$2), 0)+IF(IF(time+1&gt;=AX$2, $K17/time_cap/(time+1)*AW$2, 0) = 0, $K17/(time_cap),0)),0)</f>
        <v/>
      </c>
      <c r="AX17" s="4395">
        <f>IFERROR(IF((time+time_cap)&lt;AX$2, 0,IF(AND(time+1&gt;=AY$2, $E17&lt;AY$2), IF($I17= "I", $J17/($F17-$E17+1), $J17/(($F17*($F17+1)/2)-(($E17-1)*($E17-1+1)/2))*AX$2), 0)+IF(IF(time+1&gt;=AY$2, $K17/time_cap/(time+1)*AX$2, 0) = 0, $K17/(time_cap),0)),0)</f>
        <v/>
      </c>
      <c r="AY17" s="4395">
        <f>IFERROR(IF((time+time_cap)&lt;AY$2, 0,IF(AND(time+1&gt;=AZ$2, $E17&lt;AZ$2), IF($I17= "I", $J17/($F17-$E17+1), $J17/(($F17*($F17+1)/2)-(($E17-1)*($E17-1+1)/2))*AY$2), 0)+IF(IF(time+1&gt;=AZ$2, $K17/time_cap/(time+1)*AY$2, 0) = 0, $K17/(time_cap),0)),0)</f>
        <v/>
      </c>
      <c r="AZ17" s="4395">
        <f>IFERROR(IF((time+time_cap)&lt;AZ$2, 0,IF(AND(time+1&gt;=BA$2, $E17&lt;BA$2), IF($I17= "I", $J17/($F17-$E17+1), $J17/(($F17*($F17+1)/2)-(($E17-1)*($E17-1+1)/2))*AZ$2), 0)+IF(IF(time+1&gt;=BA$2, $K17/time_cap/(time+1)*AZ$2, 0) = 0, $K17/(time_cap),0)),0)</f>
        <v/>
      </c>
      <c r="BA17" s="4395">
        <f>IFERROR(IF((time+time_cap)&lt;BA$2, 0,IF(AND(time+1&gt;=BB$2, $E17&lt;BB$2), IF($I17= "I", $J17/($F17-$E17+1), $J17/(($F17*($F17+1)/2)-(($E17-1)*($E17-1+1)/2))*BA$2), 0)+IF(IF(time+1&gt;=BB$2, $K17/time_cap/(time+1)*BA$2, 0) = 0, $K17/(time_cap),0)),0)</f>
        <v/>
      </c>
      <c r="BB17" s="4395">
        <f>IFERROR(IF((time+time_cap)&lt;BB$2, 0,IF(AND(time+1&gt;=BC$2, $E17&lt;BC$2), IF($I17= "I", $J17/($F17-$E17+1), $J17/(($F17*($F17+1)/2)-(($E17-1)*($E17-1+1)/2))*BB$2), 0)+IF(IF(time+1&gt;=BC$2, $K17/time_cap/(time+1)*BB$2, 0) = 0, $K17/(time_cap),0)),0)</f>
        <v/>
      </c>
      <c r="BC17" s="4395">
        <f>IFERROR(IF((time+time_cap)&lt;BC$2, 0,IF(AND(time+1&gt;=BD$2, $E17&lt;BD$2), IF($I17= "I", $J17/($F17-$E17+1), $J17/(($F17*($F17+1)/2)-(($E17-1)*($E17-1+1)/2))*BC$2), 0)+IF(IF(time+1&gt;=BD$2, $K17/time_cap/(time+1)*BC$2, 0) = 0, $K17/(time_cap),0)),0)</f>
        <v/>
      </c>
      <c r="BD17" s="4395">
        <f>IFERROR(IF((time+time_cap)&lt;BD$2, 0,IF(AND(time+1&gt;=BE$2, $E17&lt;BE$2), IF($I17= "I", $J17/($F17-$E17+1), $J17/(($F17*($F17+1)/2)-(($E17-1)*($E17-1+1)/2))*BD$2), 0)+IF(IF(time+1&gt;=BE$2, $K17/time_cap/(time+1)*BD$2, 0) = 0, $K17/(time_cap),0)),0)</f>
        <v/>
      </c>
      <c r="BE17" s="4395">
        <f>IFERROR(IF((time+time_cap)&lt;BE$2, 0,IF(AND(time+1&gt;=BF$2, $E17&lt;BF$2), IF($I17= "I", $J17/($F17-$E17+1), $J17/(($F17*($F17+1)/2)-(($E17-1)*($E17-1+1)/2))*BE$2), 0)+IF(IF(time+1&gt;=BF$2, $K17/time_cap/(time+1)*BE$2, 0) = 0, $K17/(time_cap),0)),0)</f>
        <v/>
      </c>
      <c r="BF17" s="4395">
        <f>IFERROR(IF((time+time_cap)&lt;BF$2, 0,IF(AND(time+1&gt;=BG$2, $E17&lt;BG$2), IF($I17= "I", $J17/($F17-$E17+1), $J17/(($F17*($F17+1)/2)-(($E17-1)*($E17-1+1)/2))*BF$2), 0)+IF(IF(time+1&gt;=BG$2, $K17/time_cap/(time+1)*BF$2, 0) = 0, $K17/(time_cap),0)),0)</f>
        <v/>
      </c>
      <c r="BG17" s="4395">
        <f>IFERROR(IF((time+time_cap)&lt;BG$2, 0,IF(AND(time+1&gt;=BH$2, $E17&lt;BH$2), IF($I17= "I", $J17/($F17-$E17+1), $J17/(($F17*($F17+1)/2)-(($E17-1)*($E17-1+1)/2))*BG$2), 0)+IF(IF(time+1&gt;=BH$2, $K17/time_cap/(time+1)*BG$2, 0) = 0, $K17/(time_cap),0)),0)</f>
        <v/>
      </c>
      <c r="BH17" s="4395">
        <f>IFERROR(IF((time+time_cap)&lt;BH$2, 0,IF(AND(time+1&gt;=BI$2, $E17&lt;BI$2), IF($I17= "I", $J17/($F17-$E17+1), $J17/(($F17*($F17+1)/2)-(($E17-1)*($E17-1+1)/2))*BH$2), 0)+IF(IF(time+1&gt;=BI$2, $K17/time_cap/(time+1)*BH$2, 0) = 0, $K17/(time_cap),0)),0)</f>
        <v/>
      </c>
      <c r="BI17" s="4395">
        <f>IFERROR(IF((time+time_cap)&lt;BI$2, 0,IF(AND(time+1&gt;=BJ$2, $E17&lt;BJ$2), IF($I17= "I", $J17/($F17-$E17+1), $J17/(($F17*($F17+1)/2)-(($E17-1)*($E17-1+1)/2))*BI$2), 0)+IF(IF(time+1&gt;=BJ$2, $K17/time_cap/(time+1)*BI$2, 0) = 0, $K17/(time_cap),0)),0)</f>
        <v/>
      </c>
      <c r="BJ17" s="4395">
        <f>IFERROR(IF((time+time_cap)&lt;BJ$2, 0,IF(AND(time+1&gt;=BK$2, $E17&lt;BK$2), IF($I17= "I", $J17/($F17-$E17+1), $J17/(($F17*($F17+1)/2)-(($E17-1)*($E17-1+1)/2))*BJ$2), 0)+IF(IF(time+1&gt;=BK$2, $K17/time_cap/(time+1)*BJ$2, 0) = 0, $K17/(time_cap),0)),0)</f>
        <v/>
      </c>
      <c r="BK17" s="4395" t="n"/>
      <c r="BL17" s="4395" t="n"/>
      <c r="BM17" s="4395" t="n"/>
      <c r="BN17" s="4395" t="n"/>
      <c r="BO17" s="4395" t="n"/>
      <c r="BP17" s="4395" t="n"/>
      <c r="BQ17" s="4395" t="n"/>
      <c r="BR17" s="4395" t="n"/>
      <c r="BS17" s="4395" t="n"/>
      <c r="BT17" s="4395" t="n"/>
      <c r="BU17" s="4395" t="n"/>
      <c r="BV17" s="4395" t="n"/>
      <c r="BW17" s="4395" t="n"/>
      <c r="BX17" s="4395" t="n"/>
      <c r="BY17" s="4395" t="n"/>
      <c r="BZ17" s="4395" t="n"/>
      <c r="CA17" s="4395" t="n"/>
      <c r="CB17" s="4395" t="n"/>
      <c r="CC17" s="4395" t="n"/>
      <c r="CD17" s="4395" t="n"/>
      <c r="CE17" s="4395" t="n"/>
      <c r="CF17" s="4395" t="n"/>
      <c r="CG17" s="4395" t="n"/>
      <c r="CH17" s="4395" t="n"/>
      <c r="CI17" s="4395" t="n"/>
      <c r="CJ17" s="4395" t="n"/>
      <c r="CK17" s="4395" t="n"/>
      <c r="CL17" s="4395" t="n"/>
      <c r="CM17" s="4395" t="n"/>
      <c r="CN17" s="4395" t="n"/>
      <c r="CO17" s="4395" t="n"/>
      <c r="CP17" s="4395" t="n"/>
      <c r="CQ17" s="4395" t="n"/>
      <c r="CR17" s="4395" t="n"/>
      <c r="CS17" s="4395" t="n"/>
      <c r="CT17" s="4395" t="n"/>
      <c r="CU17" s="4395" t="n"/>
      <c r="CV17" s="4395" t="n"/>
      <c r="CW17" s="4395" t="n"/>
      <c r="CX17" s="4395" t="n"/>
      <c r="CY17" s="4395" t="n"/>
      <c r="CZ17" s="4395" t="n"/>
      <c r="DA17" s="4395" t="n"/>
      <c r="DB17" s="4395" t="n"/>
      <c r="DC17" s="4395" t="n"/>
      <c r="DD17" s="4395" t="n"/>
      <c r="DE17" s="4395" t="n"/>
      <c r="DF17" s="4395" t="n"/>
      <c r="DG17" s="4395" t="n"/>
      <c r="DH17" s="4395" t="n"/>
    </row>
    <row r="18" ht="16" customHeight="1">
      <c r="A18" t="inlineStr">
        <is>
          <t>DEFO</t>
        </is>
      </c>
      <c r="C18">
        <f>'2.LUC'!C18</f>
        <v/>
      </c>
      <c r="D18">
        <f>'2.LUC'!Y18</f>
        <v/>
      </c>
      <c r="E18">
        <f>IF('2.LUC'!BU18&lt;&gt;0,'2.LUC'!BU18,'2.LUC'!BT18)</f>
        <v/>
      </c>
      <c r="F18">
        <f>time</f>
        <v/>
      </c>
      <c r="G18" s="4395">
        <f>'2.LUC'!O18</f>
        <v/>
      </c>
      <c r="H18" s="4395">
        <f>'2.LUC'!Q18</f>
        <v/>
      </c>
      <c r="I18" s="4395">
        <f>IF(OR(H18="I", G18="I"), "I", IF(OR(H18="E", G18="E"), "E", "D"))</f>
        <v/>
      </c>
      <c r="J18" s="4395">
        <f>((D18/(time_cap+((F18-E18+1)*VLOOKUP(I18,list!$I$48:$K$50,3, FALSE))))*(F18-E18+1)*VLOOKUP(I18,list!$I$48:$K$50,3, FALSE))</f>
        <v/>
      </c>
      <c r="K18" s="4395">
        <f>((D18/(time_cap+((F18-E18+1)*VLOOKUP(I18,list!$I$48:$K$50,3, FALSE))))*time_cap)</f>
        <v/>
      </c>
      <c r="M18" s="4395">
        <f>IFERROR(IF((time+time_cap)&lt;M$2, 0,IF(AND(time+1&gt;=N$2, $E18&lt;N$2), IF($I18= "I", $J18/($F18-$E18+1), $J18/(($F18*($F18+1)/2)-(($E18-1)*($E18-1+1)/2))*M$2), 0)+IF(IF(time+1&gt;=N$2, $K18/time_cap/(time+1)*M$2, 0) = 0, $K18/(time_cap),0)),0)</f>
        <v/>
      </c>
      <c r="N18" s="4395">
        <f>IFERROR(IF((time+time_cap)&lt;N$2, 0,IF(AND(time+1&gt;=O$2, $E18&lt;O$2), IF($I18= "I", $J18/($F18-$E18+1), $J18/(($F18*($F18+1)/2)-(($E18-1)*($E18-1+1)/2))*N$2), 0)+IF(IF(time+1&gt;=O$2, $K18/time_cap/(time+1)*N$2, 0) = 0, $K18/(time_cap),0)),0)</f>
        <v/>
      </c>
      <c r="O18" s="4395">
        <f>IFERROR(IF((time+time_cap)&lt;O$2, 0,IF(AND(time+1&gt;=P$2, $E18&lt;P$2), IF($I18= "I", $J18/($F18-$E18+1), $J18/(($F18*($F18+1)/2)-(($E18-1)*($E18-1+1)/2))*O$2), 0)+IF(IF(time+1&gt;=P$2, $K18/time_cap/(time+1)*O$2, 0) = 0, $K18/(time_cap),0)),0)</f>
        <v/>
      </c>
      <c r="P18" s="4395">
        <f>IFERROR(IF((time+time_cap)&lt;P$2, 0,IF(AND(time+1&gt;=Q$2, $E18&lt;Q$2), IF($I18= "I", $J18/($F18-$E18+1), $J18/(($F18*($F18+1)/2)-(($E18-1)*($E18-1+1)/2))*P$2), 0)+IF(IF(time+1&gt;=Q$2, $K18/time_cap/(time+1)*P$2, 0) = 0, $K18/(time_cap),0)),0)</f>
        <v/>
      </c>
      <c r="Q18" s="4395">
        <f>IFERROR(IF((time+time_cap)&lt;Q$2, 0,IF(AND(time+1&gt;=R$2, $E18&lt;R$2), IF($I18= "I", $J18/($F18-$E18+1), $J18/(($F18*($F18+1)/2)-(($E18-1)*($E18-1+1)/2))*Q$2), 0)+IF(IF(time+1&gt;=R$2, $K18/time_cap/(time+1)*Q$2, 0) = 0, $K18/(time_cap),0)),0)</f>
        <v/>
      </c>
      <c r="R18" s="4395">
        <f>IFERROR(IF((time+time_cap)&lt;R$2, 0,IF(AND(time+1&gt;=S$2, $E18&lt;S$2), IF($I18= "I", $J18/($F18-$E18+1), $J18/(($F18*($F18+1)/2)-(($E18-1)*($E18-1+1)/2))*R$2), 0)+IF(IF(time+1&gt;=S$2, $K18/time_cap/(time+1)*R$2, 0) = 0, $K18/(time_cap),0)),0)</f>
        <v/>
      </c>
      <c r="S18" s="4395">
        <f>IFERROR(IF((time+time_cap)&lt;S$2, 0,IF(AND(time+1&gt;=T$2, $E18&lt;T$2), IF($I18= "I", $J18/($F18-$E18+1), $J18/(($F18*($F18+1)/2)-(($E18-1)*($E18-1+1)/2))*S$2), 0)+IF(IF(time+1&gt;=T$2, $K18/time_cap/(time+1)*S$2, 0) = 0, $K18/(time_cap),0)),0)</f>
        <v/>
      </c>
      <c r="T18" s="4395">
        <f>IFERROR(IF((time+time_cap)&lt;T$2, 0,IF(AND(time+1&gt;=U$2, $E18&lt;U$2), IF($I18= "I", $J18/($F18-$E18+1), $J18/(($F18*($F18+1)/2)-(($E18-1)*($E18-1+1)/2))*T$2), 0)+IF(IF(time+1&gt;=U$2, $K18/time_cap/(time+1)*T$2, 0) = 0, $K18/(time_cap),0)),0)</f>
        <v/>
      </c>
      <c r="U18" s="4395">
        <f>IFERROR(IF((time+time_cap)&lt;U$2, 0,IF(AND(time+1&gt;=V$2, $E18&lt;V$2), IF($I18= "I", $J18/($F18-$E18+1), $J18/(($F18*($F18+1)/2)-(($E18-1)*($E18-1+1)/2))*U$2), 0)+IF(IF(time+1&gt;=V$2, $K18/time_cap/(time+1)*U$2, 0) = 0, $K18/(time_cap),0)),0)</f>
        <v/>
      </c>
      <c r="V18" s="4395">
        <f>IFERROR(IF((time+time_cap)&lt;V$2, 0,IF(AND(time+1&gt;=W$2, $E18&lt;W$2), IF($I18= "I", $J18/($F18-$E18+1), $J18/(($F18*($F18+1)/2)-(($E18-1)*($E18-1+1)/2))*V$2), 0)+IF(IF(time+1&gt;=W$2, $K18/time_cap/(time+1)*V$2, 0) = 0, $K18/(time_cap),0)),0)</f>
        <v/>
      </c>
      <c r="W18" s="4395">
        <f>IFERROR(IF((time+time_cap)&lt;W$2, 0,IF(AND(time+1&gt;=X$2, $E18&lt;X$2), IF($I18= "I", $J18/($F18-$E18+1), $J18/(($F18*($F18+1)/2)-(($E18-1)*($E18-1+1)/2))*W$2), 0)+IF(IF(time+1&gt;=X$2, $K18/time_cap/(time+1)*W$2, 0) = 0, $K18/(time_cap),0)),0)</f>
        <v/>
      </c>
      <c r="X18" s="4395">
        <f>IFERROR(IF((time+time_cap)&lt;X$2, 0,IF(AND(time+1&gt;=Y$2, $E18&lt;Y$2), IF($I18= "I", $J18/($F18-$E18+1), $J18/(($F18*($F18+1)/2)-(($E18-1)*($E18-1+1)/2))*X$2), 0)+IF(IF(time+1&gt;=Y$2, $K18/time_cap/(time+1)*X$2, 0) = 0, $K18/(time_cap),0)),0)</f>
        <v/>
      </c>
      <c r="Y18" s="4395">
        <f>IFERROR(IF((time+time_cap)&lt;Y$2, 0,IF(AND(time+1&gt;=Z$2, $E18&lt;Z$2), IF($I18= "I", $J18/($F18-$E18+1), $J18/(($F18*($F18+1)/2)-(($E18-1)*($E18-1+1)/2))*Y$2), 0)+IF(IF(time+1&gt;=Z$2, $K18/time_cap/(time+1)*Y$2, 0) = 0, $K18/(time_cap),0)),0)</f>
        <v/>
      </c>
      <c r="Z18" s="4395">
        <f>IFERROR(IF((time+time_cap)&lt;Z$2, 0,IF(AND(time+1&gt;=AA$2, $E18&lt;AA$2), IF($I18= "I", $J18/($F18-$E18+1), $J18/(($F18*($F18+1)/2)-(($E18-1)*($E18-1+1)/2))*Z$2), 0)+IF(IF(time+1&gt;=AA$2, $K18/time_cap/(time+1)*Z$2, 0) = 0, $K18/(time_cap),0)),0)</f>
        <v/>
      </c>
      <c r="AA18" s="4395">
        <f>IFERROR(IF((time+time_cap)&lt;AA$2, 0,IF(AND(time+1&gt;=AB$2, $E18&lt;AB$2), IF($I18= "I", $J18/($F18-$E18+1), $J18/(($F18*($F18+1)/2)-(($E18-1)*($E18-1+1)/2))*AA$2), 0)+IF(IF(time+1&gt;=AB$2, $K18/time_cap/(time+1)*AA$2, 0) = 0, $K18/(time_cap),0)),0)</f>
        <v/>
      </c>
      <c r="AB18" s="4395">
        <f>IFERROR(IF((time+time_cap)&lt;AB$2, 0,IF(AND(time+1&gt;=AC$2, $E18&lt;AC$2), IF($I18= "I", $J18/($F18-$E18+1), $J18/(($F18*($F18+1)/2)-(($E18-1)*($E18-1+1)/2))*AB$2), 0)+IF(IF(time+1&gt;=AC$2, $K18/time_cap/(time+1)*AB$2, 0) = 0, $K18/(time_cap),0)),0)</f>
        <v/>
      </c>
      <c r="AC18" s="4395">
        <f>IFERROR(IF((time+time_cap)&lt;AC$2, 0,IF(AND(time+1&gt;=AD$2, $E18&lt;AD$2), IF($I18= "I", $J18/($F18-$E18+1), $J18/(($F18*($F18+1)/2)-(($E18-1)*($E18-1+1)/2))*AC$2), 0)+IF(IF(time+1&gt;=AD$2, $K18/time_cap/(time+1)*AC$2, 0) = 0, $K18/(time_cap),0)),0)</f>
        <v/>
      </c>
      <c r="AD18" s="4395">
        <f>IFERROR(IF((time+time_cap)&lt;AD$2, 0,IF(AND(time+1&gt;=AE$2, $E18&lt;AE$2), IF($I18= "I", $J18/($F18-$E18+1), $J18/(($F18*($F18+1)/2)-(($E18-1)*($E18-1+1)/2))*AD$2), 0)+IF(IF(time+1&gt;=AE$2, $K18/time_cap/(time+1)*AD$2, 0) = 0, $K18/(time_cap),0)),0)</f>
        <v/>
      </c>
      <c r="AE18" s="4395">
        <f>IFERROR(IF((time+time_cap)&lt;AE$2, 0,IF(AND(time+1&gt;=AF$2, $E18&lt;AF$2), IF($I18= "I", $J18/($F18-$E18+1), $J18/(($F18*($F18+1)/2)-(($E18-1)*($E18-1+1)/2))*AE$2), 0)+IF(IF(time+1&gt;=AF$2, $K18/time_cap/(time+1)*AE$2, 0) = 0, $K18/(time_cap),0)),0)</f>
        <v/>
      </c>
      <c r="AF18" s="4395">
        <f>IFERROR(IF((time+time_cap)&lt;AF$2, 0,IF(AND(time+1&gt;=AG$2, $E18&lt;AG$2), IF($I18= "I", $J18/($F18-$E18+1), $J18/(($F18*($F18+1)/2)-(($E18-1)*($E18-1+1)/2))*AF$2), 0)+IF(IF(time+1&gt;=AG$2, $K18/time_cap/(time+1)*AF$2, 0) = 0, $K18/(time_cap),0)),0)</f>
        <v/>
      </c>
      <c r="AG18" s="4395">
        <f>IFERROR(IF((time+time_cap)&lt;AG$2, 0,IF(AND(time+1&gt;=AH$2, $E18&lt;AH$2), IF($I18= "I", $J18/($F18-$E18+1), $J18/(($F18*($F18+1)/2)-(($E18-1)*($E18-1+1)/2))*AG$2), 0)+IF(IF(time+1&gt;=AH$2, $K18/time_cap/(time+1)*AG$2, 0) = 0, $K18/(time_cap),0)),0)</f>
        <v/>
      </c>
      <c r="AH18" s="4395">
        <f>IFERROR(IF((time+time_cap)&lt;AH$2, 0,IF(AND(time+1&gt;=AI$2, $E18&lt;AI$2), IF($I18= "I", $J18/($F18-$E18+1), $J18/(($F18*($F18+1)/2)-(($E18-1)*($E18-1+1)/2))*AH$2), 0)+IF(IF(time+1&gt;=AI$2, $K18/time_cap/(time+1)*AH$2, 0) = 0, $K18/(time_cap),0)),0)</f>
        <v/>
      </c>
      <c r="AI18" s="4395">
        <f>IFERROR(IF((time+time_cap)&lt;AI$2, 0,IF(AND(time+1&gt;=AJ$2, $E18&lt;AJ$2), IF($I18= "I", $J18/($F18-$E18+1), $J18/(($F18*($F18+1)/2)-(($E18-1)*($E18-1+1)/2))*AI$2), 0)+IF(IF(time+1&gt;=AJ$2, $K18/time_cap/(time+1)*AI$2, 0) = 0, $K18/(time_cap),0)),0)</f>
        <v/>
      </c>
      <c r="AJ18" s="4395">
        <f>IFERROR(IF((time+time_cap)&lt;AJ$2, 0,IF(AND(time+1&gt;=AK$2, $E18&lt;AK$2), IF($I18= "I", $J18/($F18-$E18+1), $J18/(($F18*($F18+1)/2)-(($E18-1)*($E18-1+1)/2))*AJ$2), 0)+IF(IF(time+1&gt;=AK$2, $K18/time_cap/(time+1)*AJ$2, 0) = 0, $K18/(time_cap),0)),0)</f>
        <v/>
      </c>
      <c r="AK18" s="4395">
        <f>IFERROR(IF((time+time_cap)&lt;AK$2, 0,IF(AND(time+1&gt;=AL$2, $E18&lt;AL$2), IF($I18= "I", $J18/($F18-$E18+1), $J18/(($F18*($F18+1)/2)-(($E18-1)*($E18-1+1)/2))*AK$2), 0)+IF(IF(time+1&gt;=AL$2, $K18/time_cap/(time+1)*AK$2, 0) = 0, $K18/(time_cap),0)),0)</f>
        <v/>
      </c>
      <c r="AL18" s="4395">
        <f>IFERROR(IF((time+time_cap)&lt;AL$2, 0,IF(AND(time+1&gt;=AM$2, $E18&lt;AM$2), IF($I18= "I", $J18/($F18-$E18+1), $J18/(($F18*($F18+1)/2)-(($E18-1)*($E18-1+1)/2))*AL$2), 0)+IF(IF(time+1&gt;=AM$2, $K18/time_cap/(time+1)*AL$2, 0) = 0, $K18/(time_cap),0)),0)</f>
        <v/>
      </c>
      <c r="AM18" s="4395">
        <f>IFERROR(IF((time+time_cap)&lt;AM$2, 0,IF(AND(time+1&gt;=AN$2, $E18&lt;AN$2), IF($I18= "I", $J18/($F18-$E18+1), $J18/(($F18*($F18+1)/2)-(($E18-1)*($E18-1+1)/2))*AM$2), 0)+IF(IF(time+1&gt;=AN$2, $K18/time_cap/(time+1)*AM$2, 0) = 0, $K18/(time_cap),0)),0)</f>
        <v/>
      </c>
      <c r="AN18" s="4395">
        <f>IFERROR(IF((time+time_cap)&lt;AN$2, 0,IF(AND(time+1&gt;=AO$2, $E18&lt;AO$2), IF($I18= "I", $J18/($F18-$E18+1), $J18/(($F18*($F18+1)/2)-(($E18-1)*($E18-1+1)/2))*AN$2), 0)+IF(IF(time+1&gt;=AO$2, $K18/time_cap/(time+1)*AN$2, 0) = 0, $K18/(time_cap),0)),0)</f>
        <v/>
      </c>
      <c r="AO18" s="4395">
        <f>IFERROR(IF((time+time_cap)&lt;AO$2, 0,IF(AND(time+1&gt;=AP$2, $E18&lt;AP$2), IF($I18= "I", $J18/($F18-$E18+1), $J18/(($F18*($F18+1)/2)-(($E18-1)*($E18-1+1)/2))*AO$2), 0)+IF(IF(time+1&gt;=AP$2, $K18/time_cap/(time+1)*AO$2, 0) = 0, $K18/(time_cap),0)),0)</f>
        <v/>
      </c>
      <c r="AP18" s="4395">
        <f>IFERROR(IF((time+time_cap)&lt;AP$2, 0,IF(AND(time+1&gt;=AQ$2, $E18&lt;AQ$2), IF($I18= "I", $J18/($F18-$E18+1), $J18/(($F18*($F18+1)/2)-(($E18-1)*($E18-1+1)/2))*AP$2), 0)+IF(IF(time+1&gt;=AQ$2, $K18/time_cap/(time+1)*AP$2, 0) = 0, $K18/(time_cap),0)),0)</f>
        <v/>
      </c>
      <c r="AQ18" s="4395">
        <f>IFERROR(IF((time+time_cap)&lt;AQ$2, 0,IF(AND(time+1&gt;=AR$2, $E18&lt;AR$2), IF($I18= "I", $J18/($F18-$E18+1), $J18/(($F18*($F18+1)/2)-(($E18-1)*($E18-1+1)/2))*AQ$2), 0)+IF(IF(time+1&gt;=AR$2, $K18/time_cap/(time+1)*AQ$2, 0) = 0, $K18/(time_cap),0)),0)</f>
        <v/>
      </c>
      <c r="AR18" s="4395">
        <f>IFERROR(IF((time+time_cap)&lt;AR$2, 0,IF(AND(time+1&gt;=AS$2, $E18&lt;AS$2), IF($I18= "I", $J18/($F18-$E18+1), $J18/(($F18*($F18+1)/2)-(($E18-1)*($E18-1+1)/2))*AR$2), 0)+IF(IF(time+1&gt;=AS$2, $K18/time_cap/(time+1)*AR$2, 0) = 0, $K18/(time_cap),0)),0)</f>
        <v/>
      </c>
      <c r="AS18" s="4395">
        <f>IFERROR(IF((time+time_cap)&lt;AS$2, 0,IF(AND(time+1&gt;=AT$2, $E18&lt;AT$2), IF($I18= "I", $J18/($F18-$E18+1), $J18/(($F18*($F18+1)/2)-(($E18-1)*($E18-1+1)/2))*AS$2), 0)+IF(IF(time+1&gt;=AT$2, $K18/time_cap/(time+1)*AS$2, 0) = 0, $K18/(time_cap),0)),0)</f>
        <v/>
      </c>
      <c r="AT18" s="4395">
        <f>IFERROR(IF((time+time_cap)&lt;AT$2, 0,IF(AND(time+1&gt;=AU$2, $E18&lt;AU$2), IF($I18= "I", $J18/($F18-$E18+1), $J18/(($F18*($F18+1)/2)-(($E18-1)*($E18-1+1)/2))*AT$2), 0)+IF(IF(time+1&gt;=AU$2, $K18/time_cap/(time+1)*AT$2, 0) = 0, $K18/(time_cap),0)),0)</f>
        <v/>
      </c>
      <c r="AU18" s="4395">
        <f>IFERROR(IF((time+time_cap)&lt;AU$2, 0,IF(AND(time+1&gt;=AV$2, $E18&lt;AV$2), IF($I18= "I", $J18/($F18-$E18+1), $J18/(($F18*($F18+1)/2)-(($E18-1)*($E18-1+1)/2))*AU$2), 0)+IF(IF(time+1&gt;=AV$2, $K18/time_cap/(time+1)*AU$2, 0) = 0, $K18/(time_cap),0)),0)</f>
        <v/>
      </c>
      <c r="AV18" s="4395">
        <f>IFERROR(IF((time+time_cap)&lt;AV$2, 0,IF(AND(time+1&gt;=AW$2, $E18&lt;AW$2), IF($I18= "I", $J18/($F18-$E18+1), $J18/(($F18*($F18+1)/2)-(($E18-1)*($E18-1+1)/2))*AV$2), 0)+IF(IF(time+1&gt;=AW$2, $K18/time_cap/(time+1)*AV$2, 0) = 0, $K18/(time_cap),0)),0)</f>
        <v/>
      </c>
      <c r="AW18" s="4395">
        <f>IFERROR(IF((time+time_cap)&lt;AW$2, 0,IF(AND(time+1&gt;=AX$2, $E18&lt;AX$2), IF($I18= "I", $J18/($F18-$E18+1), $J18/(($F18*($F18+1)/2)-(($E18-1)*($E18-1+1)/2))*AW$2), 0)+IF(IF(time+1&gt;=AX$2, $K18/time_cap/(time+1)*AW$2, 0) = 0, $K18/(time_cap),0)),0)</f>
        <v/>
      </c>
      <c r="AX18" s="4395">
        <f>IFERROR(IF((time+time_cap)&lt;AX$2, 0,IF(AND(time+1&gt;=AY$2, $E18&lt;AY$2), IF($I18= "I", $J18/($F18-$E18+1), $J18/(($F18*($F18+1)/2)-(($E18-1)*($E18-1+1)/2))*AX$2), 0)+IF(IF(time+1&gt;=AY$2, $K18/time_cap/(time+1)*AX$2, 0) = 0, $K18/(time_cap),0)),0)</f>
        <v/>
      </c>
      <c r="AY18" s="4395">
        <f>IFERROR(IF((time+time_cap)&lt;AY$2, 0,IF(AND(time+1&gt;=AZ$2, $E18&lt;AZ$2), IF($I18= "I", $J18/($F18-$E18+1), $J18/(($F18*($F18+1)/2)-(($E18-1)*($E18-1+1)/2))*AY$2), 0)+IF(IF(time+1&gt;=AZ$2, $K18/time_cap/(time+1)*AY$2, 0) = 0, $K18/(time_cap),0)),0)</f>
        <v/>
      </c>
      <c r="AZ18" s="4395">
        <f>IFERROR(IF((time+time_cap)&lt;AZ$2, 0,IF(AND(time+1&gt;=BA$2, $E18&lt;BA$2), IF($I18= "I", $J18/($F18-$E18+1), $J18/(($F18*($F18+1)/2)-(($E18-1)*($E18-1+1)/2))*AZ$2), 0)+IF(IF(time+1&gt;=BA$2, $K18/time_cap/(time+1)*AZ$2, 0) = 0, $K18/(time_cap),0)),0)</f>
        <v/>
      </c>
      <c r="BA18" s="4395">
        <f>IFERROR(IF((time+time_cap)&lt;BA$2, 0,IF(AND(time+1&gt;=BB$2, $E18&lt;BB$2), IF($I18= "I", $J18/($F18-$E18+1), $J18/(($F18*($F18+1)/2)-(($E18-1)*($E18-1+1)/2))*BA$2), 0)+IF(IF(time+1&gt;=BB$2, $K18/time_cap/(time+1)*BA$2, 0) = 0, $K18/(time_cap),0)),0)</f>
        <v/>
      </c>
      <c r="BB18" s="4395">
        <f>IFERROR(IF((time+time_cap)&lt;BB$2, 0,IF(AND(time+1&gt;=BC$2, $E18&lt;BC$2), IF($I18= "I", $J18/($F18-$E18+1), $J18/(($F18*($F18+1)/2)-(($E18-1)*($E18-1+1)/2))*BB$2), 0)+IF(IF(time+1&gt;=BC$2, $K18/time_cap/(time+1)*BB$2, 0) = 0, $K18/(time_cap),0)),0)</f>
        <v/>
      </c>
      <c r="BC18" s="4395">
        <f>IFERROR(IF((time+time_cap)&lt;BC$2, 0,IF(AND(time+1&gt;=BD$2, $E18&lt;BD$2), IF($I18= "I", $J18/($F18-$E18+1), $J18/(($F18*($F18+1)/2)-(($E18-1)*($E18-1+1)/2))*BC$2), 0)+IF(IF(time+1&gt;=BD$2, $K18/time_cap/(time+1)*BC$2, 0) = 0, $K18/(time_cap),0)),0)</f>
        <v/>
      </c>
      <c r="BD18" s="4395">
        <f>IFERROR(IF((time+time_cap)&lt;BD$2, 0,IF(AND(time+1&gt;=BE$2, $E18&lt;BE$2), IF($I18= "I", $J18/($F18-$E18+1), $J18/(($F18*($F18+1)/2)-(($E18-1)*($E18-1+1)/2))*BD$2), 0)+IF(IF(time+1&gt;=BE$2, $K18/time_cap/(time+1)*BD$2, 0) = 0, $K18/(time_cap),0)),0)</f>
        <v/>
      </c>
      <c r="BE18" s="4395">
        <f>IFERROR(IF((time+time_cap)&lt;BE$2, 0,IF(AND(time+1&gt;=BF$2, $E18&lt;BF$2), IF($I18= "I", $J18/($F18-$E18+1), $J18/(($F18*($F18+1)/2)-(($E18-1)*($E18-1+1)/2))*BE$2), 0)+IF(IF(time+1&gt;=BF$2, $K18/time_cap/(time+1)*BE$2, 0) = 0, $K18/(time_cap),0)),0)</f>
        <v/>
      </c>
      <c r="BF18" s="4395">
        <f>IFERROR(IF((time+time_cap)&lt;BF$2, 0,IF(AND(time+1&gt;=BG$2, $E18&lt;BG$2), IF($I18= "I", $J18/($F18-$E18+1), $J18/(($F18*($F18+1)/2)-(($E18-1)*($E18-1+1)/2))*BF$2), 0)+IF(IF(time+1&gt;=BG$2, $K18/time_cap/(time+1)*BF$2, 0) = 0, $K18/(time_cap),0)),0)</f>
        <v/>
      </c>
      <c r="BG18" s="4395">
        <f>IFERROR(IF((time+time_cap)&lt;BG$2, 0,IF(AND(time+1&gt;=BH$2, $E18&lt;BH$2), IF($I18= "I", $J18/($F18-$E18+1), $J18/(($F18*($F18+1)/2)-(($E18-1)*($E18-1+1)/2))*BG$2), 0)+IF(IF(time+1&gt;=BH$2, $K18/time_cap/(time+1)*BG$2, 0) = 0, $K18/(time_cap),0)),0)</f>
        <v/>
      </c>
      <c r="BH18" s="4395">
        <f>IFERROR(IF((time+time_cap)&lt;BH$2, 0,IF(AND(time+1&gt;=BI$2, $E18&lt;BI$2), IF($I18= "I", $J18/($F18-$E18+1), $J18/(($F18*($F18+1)/2)-(($E18-1)*($E18-1+1)/2))*BH$2), 0)+IF(IF(time+1&gt;=BI$2, $K18/time_cap/(time+1)*BH$2, 0) = 0, $K18/(time_cap),0)),0)</f>
        <v/>
      </c>
      <c r="BI18" s="4395">
        <f>IFERROR(IF((time+time_cap)&lt;BI$2, 0,IF(AND(time+1&gt;=BJ$2, $E18&lt;BJ$2), IF($I18= "I", $J18/($F18-$E18+1), $J18/(($F18*($F18+1)/2)-(($E18-1)*($E18-1+1)/2))*BI$2), 0)+IF(IF(time+1&gt;=BJ$2, $K18/time_cap/(time+1)*BI$2, 0) = 0, $K18/(time_cap),0)),0)</f>
        <v/>
      </c>
      <c r="BJ18" s="4395">
        <f>IFERROR(IF((time+time_cap)&lt;BJ$2, 0,IF(AND(time+1&gt;=BK$2, $E18&lt;BK$2), IF($I18= "I", $J18/($F18-$E18+1), $J18/(($F18*($F18+1)/2)-(($E18-1)*($E18-1+1)/2))*BJ$2), 0)+IF(IF(time+1&gt;=BK$2, $K18/time_cap/(time+1)*BJ$2, 0) = 0, $K18/(time_cap),0)),0)</f>
        <v/>
      </c>
      <c r="BK18" s="4395" t="n"/>
      <c r="BL18" s="4395" t="n"/>
      <c r="BM18" s="4395" t="n"/>
      <c r="BN18" s="4395" t="n"/>
      <c r="BO18" s="4395" t="n"/>
      <c r="BP18" s="4395" t="n"/>
      <c r="BQ18" s="4395" t="n"/>
      <c r="BR18" s="4395" t="n"/>
      <c r="BS18" s="4395" t="n"/>
      <c r="BT18" s="4395" t="n"/>
      <c r="BU18" s="4395" t="n"/>
      <c r="BV18" s="4395" t="n"/>
      <c r="BW18" s="4395" t="n"/>
      <c r="BX18" s="4395" t="n"/>
      <c r="BY18" s="4395" t="n"/>
      <c r="BZ18" s="4395" t="n"/>
      <c r="CA18" s="4395" t="n"/>
      <c r="CB18" s="4395" t="n"/>
      <c r="CC18" s="4395" t="n"/>
      <c r="CD18" s="4395" t="n"/>
      <c r="CE18" s="4395" t="n"/>
      <c r="CF18" s="4395" t="n"/>
      <c r="CG18" s="4395" t="n"/>
      <c r="CH18" s="4395" t="n"/>
      <c r="CI18" s="4395" t="n"/>
      <c r="CJ18" s="4395" t="n"/>
      <c r="CK18" s="4395" t="n"/>
      <c r="CL18" s="4395" t="n"/>
      <c r="CM18" s="4395" t="n"/>
      <c r="CN18" s="4395" t="n"/>
      <c r="CO18" s="4395" t="n"/>
      <c r="CP18" s="4395" t="n"/>
      <c r="CQ18" s="4395" t="n"/>
      <c r="CR18" s="4395" t="n"/>
      <c r="CS18" s="4395" t="n"/>
      <c r="CT18" s="4395" t="n"/>
      <c r="CU18" s="4395" t="n"/>
      <c r="CV18" s="4395" t="n"/>
      <c r="CW18" s="4395" t="n"/>
      <c r="CX18" s="4395" t="n"/>
      <c r="CY18" s="4395" t="n"/>
      <c r="CZ18" s="4395" t="n"/>
      <c r="DA18" s="4395" t="n"/>
      <c r="DB18" s="4395" t="n"/>
      <c r="DC18" s="4395" t="n"/>
      <c r="DD18" s="4395" t="n"/>
      <c r="DE18" s="4395" t="n"/>
      <c r="DF18" s="4395" t="n"/>
      <c r="DG18" s="4395" t="n"/>
      <c r="DH18" s="4395" t="n"/>
    </row>
    <row r="19" ht="16" customHeight="1">
      <c r="A19" t="inlineStr">
        <is>
          <t>A/R</t>
        </is>
      </c>
      <c r="C19">
        <f>'2.LUC'!C36</f>
        <v/>
      </c>
      <c r="D19">
        <f>'2.LUC'!Y36</f>
        <v/>
      </c>
      <c r="E19">
        <f>IF('2.LUC'!CA36&lt;&gt;0,'2.LUC'!CA36,'2.LUC'!BZ36)</f>
        <v/>
      </c>
      <c r="F19">
        <f>time</f>
        <v/>
      </c>
      <c r="G19" s="4395">
        <f>'2.LUC'!O36</f>
        <v/>
      </c>
      <c r="H19" s="4395">
        <f>'2.LUC'!Q36</f>
        <v/>
      </c>
      <c r="I19" s="4395">
        <f>IF(OR(H19="I", G19="I"), "I", IF(OR(H19="E", G19="E"), "E", "D"))</f>
        <v/>
      </c>
      <c r="J19" s="4395">
        <f>((D19/(time_cap+((F19-E19+1)*VLOOKUP(I19,list!$I$48:$K$50,3, FALSE))))*(F19-E19+1)*VLOOKUP(I19,list!$I$48:$K$50,3, FALSE))</f>
        <v/>
      </c>
      <c r="K19" s="4395">
        <f>((D19/(time_cap+((F19-E19+1)*VLOOKUP(I19,list!$I$48:$K$50,3, FALSE))))*time_cap)</f>
        <v/>
      </c>
      <c r="M19" s="4395">
        <f>IFERROR(IF((time+time_cap)&lt;M$2, 0,IF(AND(time+1&gt;=N$2, $E19&lt;N$2), IF($I19= "I", $J19/($F19-$E19+1), $J19/(($F19*($F19+1)/2)-(($E19-1)*($E19-1+1)/2))*M$2), 0)+IF(IF(time+1&gt;=N$2, $K19/time_cap/(time+1)*M$2, 0) = 0, $K19/(time_cap),0)),0)</f>
        <v/>
      </c>
      <c r="N19" s="4395">
        <f>IFERROR(IF((time+time_cap)&lt;N$2, 0,IF(AND(time+1&gt;=O$2, $E19&lt;O$2), IF($I19= "I", $J19/($F19-$E19+1), $J19/(($F19*($F19+1)/2)-(($E19-1)*($E19-1+1)/2))*N$2), 0)+IF(IF(time+1&gt;=O$2, $K19/time_cap/(time+1)*N$2, 0) = 0, $K19/(time_cap),0)),0)</f>
        <v/>
      </c>
      <c r="O19" s="4395">
        <f>IFERROR(IF((time+time_cap)&lt;O$2, 0,IF(AND(time+1&gt;=P$2, $E19&lt;P$2), IF($I19= "I", $J19/($F19-$E19+1), $J19/(($F19*($F19+1)/2)-(($E19-1)*($E19-1+1)/2))*O$2), 0)+IF(IF(time+1&gt;=P$2, $K19/time_cap/(time+1)*O$2, 0) = 0, $K19/(time_cap),0)),0)</f>
        <v/>
      </c>
      <c r="P19" s="4395">
        <f>IFERROR(IF((time+time_cap)&lt;P$2, 0,IF(AND(time+1&gt;=Q$2, $E19&lt;Q$2), IF($I19= "I", $J19/($F19-$E19+1), $J19/(($F19*($F19+1)/2)-(($E19-1)*($E19-1+1)/2))*P$2), 0)+IF(IF(time+1&gt;=Q$2, $K19/time_cap/(time+1)*P$2, 0) = 0, $K19/(time_cap),0)),0)</f>
        <v/>
      </c>
      <c r="Q19" s="4395">
        <f>IFERROR(IF((time+time_cap)&lt;Q$2, 0,IF(AND(time+1&gt;=R$2, $E19&lt;R$2), IF($I19= "I", $J19/($F19-$E19+1), $J19/(($F19*($F19+1)/2)-(($E19-1)*($E19-1+1)/2))*Q$2), 0)+IF(IF(time+1&gt;=R$2, $K19/time_cap/(time+1)*Q$2, 0) = 0, $K19/(time_cap),0)),0)</f>
        <v/>
      </c>
      <c r="R19" s="4395">
        <f>IFERROR(IF((time+time_cap)&lt;R$2, 0,IF(AND(time+1&gt;=S$2, $E19&lt;S$2), IF($I19= "I", $J19/($F19-$E19+1), $J19/(($F19*($F19+1)/2)-(($E19-1)*($E19-1+1)/2))*R$2), 0)+IF(IF(time+1&gt;=S$2, $K19/time_cap/(time+1)*R$2, 0) = 0, $K19/(time_cap),0)),0)</f>
        <v/>
      </c>
      <c r="S19" s="4395">
        <f>IFERROR(IF((time+time_cap)&lt;S$2, 0,IF(AND(time+1&gt;=T$2, $E19&lt;T$2), IF($I19= "I", $J19/($F19-$E19+1), $J19/(($F19*($F19+1)/2)-(($E19-1)*($E19-1+1)/2))*S$2), 0)+IF(IF(time+1&gt;=T$2, $K19/time_cap/(time+1)*S$2, 0) = 0, $K19/(time_cap),0)),0)</f>
        <v/>
      </c>
      <c r="T19" s="4395">
        <f>IFERROR(IF((time+time_cap)&lt;T$2, 0,IF(AND(time+1&gt;=U$2, $E19&lt;U$2), IF($I19= "I", $J19/($F19-$E19+1), $J19/(($F19*($F19+1)/2)-(($E19-1)*($E19-1+1)/2))*T$2), 0)+IF(IF(time+1&gt;=U$2, $K19/time_cap/(time+1)*T$2, 0) = 0, $K19/(time_cap),0)),0)</f>
        <v/>
      </c>
      <c r="U19" s="4395">
        <f>IFERROR(IF((time+time_cap)&lt;U$2, 0,IF(AND(time+1&gt;=V$2, $E19&lt;V$2), IF($I19= "I", $J19/($F19-$E19+1), $J19/(($F19*($F19+1)/2)-(($E19-1)*($E19-1+1)/2))*U$2), 0)+IF(IF(time+1&gt;=V$2, $K19/time_cap/(time+1)*U$2, 0) = 0, $K19/(time_cap),0)),0)</f>
        <v/>
      </c>
      <c r="V19" s="4395">
        <f>IFERROR(IF((time+time_cap)&lt;V$2, 0,IF(AND(time+1&gt;=W$2, $E19&lt;W$2), IF($I19= "I", $J19/($F19-$E19+1), $J19/(($F19*($F19+1)/2)-(($E19-1)*($E19-1+1)/2))*V$2), 0)+IF(IF(time+1&gt;=W$2, $K19/time_cap/(time+1)*V$2, 0) = 0, $K19/(time_cap),0)),0)</f>
        <v/>
      </c>
      <c r="W19" s="4395">
        <f>IFERROR(IF((time+time_cap)&lt;W$2, 0,IF(AND(time+1&gt;=X$2, $E19&lt;X$2), IF($I19= "I", $J19/($F19-$E19+1), $J19/(($F19*($F19+1)/2)-(($E19-1)*($E19-1+1)/2))*W$2), 0)+IF(IF(time+1&gt;=X$2, $K19/time_cap/(time+1)*W$2, 0) = 0, $K19/(time_cap),0)),0)</f>
        <v/>
      </c>
      <c r="X19" s="4395">
        <f>IFERROR(IF((time+time_cap)&lt;X$2, 0,IF(AND(time+1&gt;=Y$2, $E19&lt;Y$2), IF($I19= "I", $J19/($F19-$E19+1), $J19/(($F19*($F19+1)/2)-(($E19-1)*($E19-1+1)/2))*X$2), 0)+IF(IF(time+1&gt;=Y$2, $K19/time_cap/(time+1)*X$2, 0) = 0, $K19/(time_cap),0)),0)</f>
        <v/>
      </c>
      <c r="Y19" s="4395">
        <f>IFERROR(IF((time+time_cap)&lt;Y$2, 0,IF(AND(time+1&gt;=Z$2, $E19&lt;Z$2), IF($I19= "I", $J19/($F19-$E19+1), $J19/(($F19*($F19+1)/2)-(($E19-1)*($E19-1+1)/2))*Y$2), 0)+IF(IF(time+1&gt;=Z$2, $K19/time_cap/(time+1)*Y$2, 0) = 0, $K19/(time_cap),0)),0)</f>
        <v/>
      </c>
      <c r="Z19" s="4395">
        <f>IFERROR(IF((time+time_cap)&lt;Z$2, 0,IF(AND(time+1&gt;=AA$2, $E19&lt;AA$2), IF($I19= "I", $J19/($F19-$E19+1), $J19/(($F19*($F19+1)/2)-(($E19-1)*($E19-1+1)/2))*Z$2), 0)+IF(IF(time+1&gt;=AA$2, $K19/time_cap/(time+1)*Z$2, 0) = 0, $K19/(time_cap),0)),0)</f>
        <v/>
      </c>
      <c r="AA19" s="4395">
        <f>IFERROR(IF((time+time_cap)&lt;AA$2, 0,IF(AND(time+1&gt;=AB$2, $E19&lt;AB$2), IF($I19= "I", $J19/($F19-$E19+1), $J19/(($F19*($F19+1)/2)-(($E19-1)*($E19-1+1)/2))*AA$2), 0)+IF(IF(time+1&gt;=AB$2, $K19/time_cap/(time+1)*AA$2, 0) = 0, $K19/(time_cap),0)),0)</f>
        <v/>
      </c>
      <c r="AB19" s="4395">
        <f>IFERROR(IF((time+time_cap)&lt;AB$2, 0,IF(AND(time+1&gt;=AC$2, $E19&lt;AC$2), IF($I19= "I", $J19/($F19-$E19+1), $J19/(($F19*($F19+1)/2)-(($E19-1)*($E19-1+1)/2))*AB$2), 0)+IF(IF(time+1&gt;=AC$2, $K19/time_cap/(time+1)*AB$2, 0) = 0, $K19/(time_cap),0)),0)</f>
        <v/>
      </c>
      <c r="AC19" s="4395">
        <f>IFERROR(IF((time+time_cap)&lt;AC$2, 0,IF(AND(time+1&gt;=AD$2, $E19&lt;AD$2), IF($I19= "I", $J19/($F19-$E19+1), $J19/(($F19*($F19+1)/2)-(($E19-1)*($E19-1+1)/2))*AC$2), 0)+IF(IF(time+1&gt;=AD$2, $K19/time_cap/(time+1)*AC$2, 0) = 0, $K19/(time_cap),0)),0)</f>
        <v/>
      </c>
      <c r="AD19" s="4395">
        <f>IFERROR(IF((time+time_cap)&lt;AD$2, 0,IF(AND(time+1&gt;=AE$2, $E19&lt;AE$2), IF($I19= "I", $J19/($F19-$E19+1), $J19/(($F19*($F19+1)/2)-(($E19-1)*($E19-1+1)/2))*AD$2), 0)+IF(IF(time+1&gt;=AE$2, $K19/time_cap/(time+1)*AD$2, 0) = 0, $K19/(time_cap),0)),0)</f>
        <v/>
      </c>
      <c r="AE19" s="4395">
        <f>IFERROR(IF((time+time_cap)&lt;AE$2, 0,IF(AND(time+1&gt;=AF$2, $E19&lt;AF$2), IF($I19= "I", $J19/($F19-$E19+1), $J19/(($F19*($F19+1)/2)-(($E19-1)*($E19-1+1)/2))*AE$2), 0)+IF(IF(time+1&gt;=AF$2, $K19/time_cap/(time+1)*AE$2, 0) = 0, $K19/(time_cap),0)),0)</f>
        <v/>
      </c>
      <c r="AF19" s="4395">
        <f>IFERROR(IF((time+time_cap)&lt;AF$2, 0,IF(AND(time+1&gt;=AG$2, $E19&lt;AG$2), IF($I19= "I", $J19/($F19-$E19+1), $J19/(($F19*($F19+1)/2)-(($E19-1)*($E19-1+1)/2))*AF$2), 0)+IF(IF(time+1&gt;=AG$2, $K19/time_cap/(time+1)*AF$2, 0) = 0, $K19/(time_cap),0)),0)</f>
        <v/>
      </c>
      <c r="AG19" s="4395">
        <f>IFERROR(IF((time+time_cap)&lt;AG$2, 0,IF(AND(time+1&gt;=AH$2, $E19&lt;AH$2), IF($I19= "I", $J19/($F19-$E19+1), $J19/(($F19*($F19+1)/2)-(($E19-1)*($E19-1+1)/2))*AG$2), 0)+IF(IF(time+1&gt;=AH$2, $K19/time_cap/(time+1)*AG$2, 0) = 0, $K19/(time_cap),0)),0)</f>
        <v/>
      </c>
      <c r="AH19" s="4395">
        <f>IFERROR(IF((time+time_cap)&lt;AH$2, 0,IF(AND(time+1&gt;=AI$2, $E19&lt;AI$2), IF($I19= "I", $J19/($F19-$E19+1), $J19/(($F19*($F19+1)/2)-(($E19-1)*($E19-1+1)/2))*AH$2), 0)+IF(IF(time+1&gt;=AI$2, $K19/time_cap/(time+1)*AH$2, 0) = 0, $K19/(time_cap),0)),0)</f>
        <v/>
      </c>
      <c r="AI19" s="4395">
        <f>IFERROR(IF((time+time_cap)&lt;AI$2, 0,IF(AND(time+1&gt;=AJ$2, $E19&lt;AJ$2), IF($I19= "I", $J19/($F19-$E19+1), $J19/(($F19*($F19+1)/2)-(($E19-1)*($E19-1+1)/2))*AI$2), 0)+IF(IF(time+1&gt;=AJ$2, $K19/time_cap/(time+1)*AI$2, 0) = 0, $K19/(time_cap),0)),0)</f>
        <v/>
      </c>
      <c r="AJ19" s="4395">
        <f>IFERROR(IF((time+time_cap)&lt;AJ$2, 0,IF(AND(time+1&gt;=AK$2, $E19&lt;AK$2), IF($I19= "I", $J19/($F19-$E19+1), $J19/(($F19*($F19+1)/2)-(($E19-1)*($E19-1+1)/2))*AJ$2), 0)+IF(IF(time+1&gt;=AK$2, $K19/time_cap/(time+1)*AJ$2, 0) = 0, $K19/(time_cap),0)),0)</f>
        <v/>
      </c>
      <c r="AK19" s="4395">
        <f>IFERROR(IF((time+time_cap)&lt;AK$2, 0,IF(AND(time+1&gt;=AL$2, $E19&lt;AL$2), IF($I19= "I", $J19/($F19-$E19+1), $J19/(($F19*($F19+1)/2)-(($E19-1)*($E19-1+1)/2))*AK$2), 0)+IF(IF(time+1&gt;=AL$2, $K19/time_cap/(time+1)*AK$2, 0) = 0, $K19/(time_cap),0)),0)</f>
        <v/>
      </c>
      <c r="AL19" s="4395">
        <f>IFERROR(IF((time+time_cap)&lt;AL$2, 0,IF(AND(time+1&gt;=AM$2, $E19&lt;AM$2), IF($I19= "I", $J19/($F19-$E19+1), $J19/(($F19*($F19+1)/2)-(($E19-1)*($E19-1+1)/2))*AL$2), 0)+IF(IF(time+1&gt;=AM$2, $K19/time_cap/(time+1)*AL$2, 0) = 0, $K19/(time_cap),0)),0)</f>
        <v/>
      </c>
      <c r="AM19" s="4395">
        <f>IFERROR(IF((time+time_cap)&lt;AM$2, 0,IF(AND(time+1&gt;=AN$2, $E19&lt;AN$2), IF($I19= "I", $J19/($F19-$E19+1), $J19/(($F19*($F19+1)/2)-(($E19-1)*($E19-1+1)/2))*AM$2), 0)+IF(IF(time+1&gt;=AN$2, $K19/time_cap/(time+1)*AM$2, 0) = 0, $K19/(time_cap),0)),0)</f>
        <v/>
      </c>
      <c r="AN19" s="4395">
        <f>IFERROR(IF((time+time_cap)&lt;AN$2, 0,IF(AND(time+1&gt;=AO$2, $E19&lt;AO$2), IF($I19= "I", $J19/($F19-$E19+1), $J19/(($F19*($F19+1)/2)-(($E19-1)*($E19-1+1)/2))*AN$2), 0)+IF(IF(time+1&gt;=AO$2, $K19/time_cap/(time+1)*AN$2, 0) = 0, $K19/(time_cap),0)),0)</f>
        <v/>
      </c>
      <c r="AO19" s="4395">
        <f>IFERROR(IF((time+time_cap)&lt;AO$2, 0,IF(AND(time+1&gt;=AP$2, $E19&lt;AP$2), IF($I19= "I", $J19/($F19-$E19+1), $J19/(($F19*($F19+1)/2)-(($E19-1)*($E19-1+1)/2))*AO$2), 0)+IF(IF(time+1&gt;=AP$2, $K19/time_cap/(time+1)*AO$2, 0) = 0, $K19/(time_cap),0)),0)</f>
        <v/>
      </c>
      <c r="AP19" s="4395">
        <f>IFERROR(IF((time+time_cap)&lt;AP$2, 0,IF(AND(time+1&gt;=AQ$2, $E19&lt;AQ$2), IF($I19= "I", $J19/($F19-$E19+1), $J19/(($F19*($F19+1)/2)-(($E19-1)*($E19-1+1)/2))*AP$2), 0)+IF(IF(time+1&gt;=AQ$2, $K19/time_cap/(time+1)*AP$2, 0) = 0, $K19/(time_cap),0)),0)</f>
        <v/>
      </c>
      <c r="AQ19" s="4395">
        <f>IFERROR(IF((time+time_cap)&lt;AQ$2, 0,IF(AND(time+1&gt;=AR$2, $E19&lt;AR$2), IF($I19= "I", $J19/($F19-$E19+1), $J19/(($F19*($F19+1)/2)-(($E19-1)*($E19-1+1)/2))*AQ$2), 0)+IF(IF(time+1&gt;=AR$2, $K19/time_cap/(time+1)*AQ$2, 0) = 0, $K19/(time_cap),0)),0)</f>
        <v/>
      </c>
      <c r="AR19" s="4395">
        <f>IFERROR(IF((time+time_cap)&lt;AR$2, 0,IF(AND(time+1&gt;=AS$2, $E19&lt;AS$2), IF($I19= "I", $J19/($F19-$E19+1), $J19/(($F19*($F19+1)/2)-(($E19-1)*($E19-1+1)/2))*AR$2), 0)+IF(IF(time+1&gt;=AS$2, $K19/time_cap/(time+1)*AR$2, 0) = 0, $K19/(time_cap),0)),0)</f>
        <v/>
      </c>
      <c r="AS19" s="4395">
        <f>IFERROR(IF((time+time_cap)&lt;AS$2, 0,IF(AND(time+1&gt;=AT$2, $E19&lt;AT$2), IF($I19= "I", $J19/($F19-$E19+1), $J19/(($F19*($F19+1)/2)-(($E19-1)*($E19-1+1)/2))*AS$2), 0)+IF(IF(time+1&gt;=AT$2, $K19/time_cap/(time+1)*AS$2, 0) = 0, $K19/(time_cap),0)),0)</f>
        <v/>
      </c>
      <c r="AT19" s="4395">
        <f>IFERROR(IF((time+time_cap)&lt;AT$2, 0,IF(AND(time+1&gt;=AU$2, $E19&lt;AU$2), IF($I19= "I", $J19/($F19-$E19+1), $J19/(($F19*($F19+1)/2)-(($E19-1)*($E19-1+1)/2))*AT$2), 0)+IF(IF(time+1&gt;=AU$2, $K19/time_cap/(time+1)*AT$2, 0) = 0, $K19/(time_cap),0)),0)</f>
        <v/>
      </c>
      <c r="AU19" s="4395">
        <f>IFERROR(IF((time+time_cap)&lt;AU$2, 0,IF(AND(time+1&gt;=AV$2, $E19&lt;AV$2), IF($I19= "I", $J19/($F19-$E19+1), $J19/(($F19*($F19+1)/2)-(($E19-1)*($E19-1+1)/2))*AU$2), 0)+IF(IF(time+1&gt;=AV$2, $K19/time_cap/(time+1)*AU$2, 0) = 0, $K19/(time_cap),0)),0)</f>
        <v/>
      </c>
      <c r="AV19" s="4395">
        <f>IFERROR(IF((time+time_cap)&lt;AV$2, 0,IF(AND(time+1&gt;=AW$2, $E19&lt;AW$2), IF($I19= "I", $J19/($F19-$E19+1), $J19/(($F19*($F19+1)/2)-(($E19-1)*($E19-1+1)/2))*AV$2), 0)+IF(IF(time+1&gt;=AW$2, $K19/time_cap/(time+1)*AV$2, 0) = 0, $K19/(time_cap),0)),0)</f>
        <v/>
      </c>
      <c r="AW19" s="4395">
        <f>IFERROR(IF((time+time_cap)&lt;AW$2, 0,IF(AND(time+1&gt;=AX$2, $E19&lt;AX$2), IF($I19= "I", $J19/($F19-$E19+1), $J19/(($F19*($F19+1)/2)-(($E19-1)*($E19-1+1)/2))*AW$2), 0)+IF(IF(time+1&gt;=AX$2, $K19/time_cap/(time+1)*AW$2, 0) = 0, $K19/(time_cap),0)),0)</f>
        <v/>
      </c>
      <c r="AX19" s="4395">
        <f>IFERROR(IF((time+time_cap)&lt;AX$2, 0,IF(AND(time+1&gt;=AY$2, $E19&lt;AY$2), IF($I19= "I", $J19/($F19-$E19+1), $J19/(($F19*($F19+1)/2)-(($E19-1)*($E19-1+1)/2))*AX$2), 0)+IF(IF(time+1&gt;=AY$2, $K19/time_cap/(time+1)*AX$2, 0) = 0, $K19/(time_cap),0)),0)</f>
        <v/>
      </c>
      <c r="AY19" s="4395">
        <f>IFERROR(IF((time+time_cap)&lt;AY$2, 0,IF(AND(time+1&gt;=AZ$2, $E19&lt;AZ$2), IF($I19= "I", $J19/($F19-$E19+1), $J19/(($F19*($F19+1)/2)-(($E19-1)*($E19-1+1)/2))*AY$2), 0)+IF(IF(time+1&gt;=AZ$2, $K19/time_cap/(time+1)*AY$2, 0) = 0, $K19/(time_cap),0)),0)</f>
        <v/>
      </c>
      <c r="AZ19" s="4395">
        <f>IFERROR(IF((time+time_cap)&lt;AZ$2, 0,IF(AND(time+1&gt;=BA$2, $E19&lt;BA$2), IF($I19= "I", $J19/($F19-$E19+1), $J19/(($F19*($F19+1)/2)-(($E19-1)*($E19-1+1)/2))*AZ$2), 0)+IF(IF(time+1&gt;=BA$2, $K19/time_cap/(time+1)*AZ$2, 0) = 0, $K19/(time_cap),0)),0)</f>
        <v/>
      </c>
      <c r="BA19" s="4395">
        <f>IFERROR(IF((time+time_cap)&lt;BA$2, 0,IF(AND(time+1&gt;=BB$2, $E19&lt;BB$2), IF($I19= "I", $J19/($F19-$E19+1), $J19/(($F19*($F19+1)/2)-(($E19-1)*($E19-1+1)/2))*BA$2), 0)+IF(IF(time+1&gt;=BB$2, $K19/time_cap/(time+1)*BA$2, 0) = 0, $K19/(time_cap),0)),0)</f>
        <v/>
      </c>
      <c r="BB19" s="4395">
        <f>IFERROR(IF((time+time_cap)&lt;BB$2, 0,IF(AND(time+1&gt;=BC$2, $E19&lt;BC$2), IF($I19= "I", $J19/($F19-$E19+1), $J19/(($F19*($F19+1)/2)-(($E19-1)*($E19-1+1)/2))*BB$2), 0)+IF(IF(time+1&gt;=BC$2, $K19/time_cap/(time+1)*BB$2, 0) = 0, $K19/(time_cap),0)),0)</f>
        <v/>
      </c>
      <c r="BC19" s="4395">
        <f>IFERROR(IF((time+time_cap)&lt;BC$2, 0,IF(AND(time+1&gt;=BD$2, $E19&lt;BD$2), IF($I19= "I", $J19/($F19-$E19+1), $J19/(($F19*($F19+1)/2)-(($E19-1)*($E19-1+1)/2))*BC$2), 0)+IF(IF(time+1&gt;=BD$2, $K19/time_cap/(time+1)*BC$2, 0) = 0, $K19/(time_cap),0)),0)</f>
        <v/>
      </c>
      <c r="BD19" s="4395">
        <f>IFERROR(IF((time+time_cap)&lt;BD$2, 0,IF(AND(time+1&gt;=BE$2, $E19&lt;BE$2), IF($I19= "I", $J19/($F19-$E19+1), $J19/(($F19*($F19+1)/2)-(($E19-1)*($E19-1+1)/2))*BD$2), 0)+IF(IF(time+1&gt;=BE$2, $K19/time_cap/(time+1)*BD$2, 0) = 0, $K19/(time_cap),0)),0)</f>
        <v/>
      </c>
      <c r="BE19" s="4395">
        <f>IFERROR(IF((time+time_cap)&lt;BE$2, 0,IF(AND(time+1&gt;=BF$2, $E19&lt;BF$2), IF($I19= "I", $J19/($F19-$E19+1), $J19/(($F19*($F19+1)/2)-(($E19-1)*($E19-1+1)/2))*BE$2), 0)+IF(IF(time+1&gt;=BF$2, $K19/time_cap/(time+1)*BE$2, 0) = 0, $K19/(time_cap),0)),0)</f>
        <v/>
      </c>
      <c r="BF19" s="4395">
        <f>IFERROR(IF((time+time_cap)&lt;BF$2, 0,IF(AND(time+1&gt;=BG$2, $E19&lt;BG$2), IF($I19= "I", $J19/($F19-$E19+1), $J19/(($F19*($F19+1)/2)-(($E19-1)*($E19-1+1)/2))*BF$2), 0)+IF(IF(time+1&gt;=BG$2, $K19/time_cap/(time+1)*BF$2, 0) = 0, $K19/(time_cap),0)),0)</f>
        <v/>
      </c>
      <c r="BG19" s="4395">
        <f>IFERROR(IF((time+time_cap)&lt;BG$2, 0,IF(AND(time+1&gt;=BH$2, $E19&lt;BH$2), IF($I19= "I", $J19/($F19-$E19+1), $J19/(($F19*($F19+1)/2)-(($E19-1)*($E19-1+1)/2))*BG$2), 0)+IF(IF(time+1&gt;=BH$2, $K19/time_cap/(time+1)*BG$2, 0) = 0, $K19/(time_cap),0)),0)</f>
        <v/>
      </c>
      <c r="BH19" s="4395">
        <f>IFERROR(IF((time+time_cap)&lt;BH$2, 0,IF(AND(time+1&gt;=BI$2, $E19&lt;BI$2), IF($I19= "I", $J19/($F19-$E19+1), $J19/(($F19*($F19+1)/2)-(($E19-1)*($E19-1+1)/2))*BH$2), 0)+IF(IF(time+1&gt;=BI$2, $K19/time_cap/(time+1)*BH$2, 0) = 0, $K19/(time_cap),0)),0)</f>
        <v/>
      </c>
      <c r="BI19" s="4395">
        <f>IFERROR(IF((time+time_cap)&lt;BI$2, 0,IF(AND(time+1&gt;=BJ$2, $E19&lt;BJ$2), IF($I19= "I", $J19/($F19-$E19+1), $J19/(($F19*($F19+1)/2)-(($E19-1)*($E19-1+1)/2))*BI$2), 0)+IF(IF(time+1&gt;=BJ$2, $K19/time_cap/(time+1)*BI$2, 0) = 0, $K19/(time_cap),0)),0)</f>
        <v/>
      </c>
      <c r="BJ19" s="4395">
        <f>IFERROR(IF((time+time_cap)&lt;BJ$2, 0,IF(AND(time+1&gt;=BK$2, $E19&lt;BK$2), IF($I19= "I", $J19/($F19-$E19+1), $J19/(($F19*($F19+1)/2)-(($E19-1)*($E19-1+1)/2))*BJ$2), 0)+IF(IF(time+1&gt;=BK$2, $K19/time_cap/(time+1)*BJ$2, 0) = 0, $K19/(time_cap),0)),0)</f>
        <v/>
      </c>
      <c r="BK19" s="4395" t="n"/>
      <c r="BL19" s="4395" t="n"/>
      <c r="BM19" s="4395" t="n"/>
      <c r="BN19" s="4395" t="n"/>
      <c r="BO19" s="4395" t="n"/>
      <c r="BP19" s="4395" t="n"/>
      <c r="BQ19" s="4395" t="n"/>
      <c r="BR19" s="4395" t="n"/>
      <c r="BS19" s="4395" t="n"/>
      <c r="BT19" s="4395" t="n"/>
      <c r="BU19" s="4395" t="n"/>
      <c r="BV19" s="4395" t="n"/>
      <c r="BW19" s="4395" t="n"/>
      <c r="BX19" s="4395" t="n"/>
      <c r="BY19" s="4395" t="n"/>
      <c r="BZ19" s="4395" t="n"/>
      <c r="CA19" s="4395" t="n"/>
      <c r="CB19" s="4395" t="n"/>
      <c r="CC19" s="4395" t="n"/>
      <c r="CD19" s="4395" t="n"/>
      <c r="CE19" s="4395" t="n"/>
      <c r="CF19" s="4395" t="n"/>
      <c r="CG19" s="4395" t="n"/>
      <c r="CH19" s="4395" t="n"/>
      <c r="CI19" s="4395" t="n"/>
      <c r="CJ19" s="4395" t="n"/>
      <c r="CK19" s="4395" t="n"/>
      <c r="CL19" s="4395" t="n"/>
      <c r="CM19" s="4395" t="n"/>
      <c r="CN19" s="4395" t="n"/>
      <c r="CO19" s="4395" t="n"/>
      <c r="CP19" s="4395" t="n"/>
      <c r="CQ19" s="4395" t="n"/>
      <c r="CR19" s="4395" t="n"/>
      <c r="CS19" s="4395" t="n"/>
      <c r="CT19" s="4395" t="n"/>
      <c r="CU19" s="4395" t="n"/>
      <c r="CV19" s="4395" t="n"/>
      <c r="CW19" s="4395" t="n"/>
      <c r="CX19" s="4395" t="n"/>
      <c r="CY19" s="4395" t="n"/>
      <c r="CZ19" s="4395" t="n"/>
      <c r="DA19" s="4395" t="n"/>
      <c r="DB19" s="4395" t="n"/>
      <c r="DC19" s="4395" t="n"/>
      <c r="DD19" s="4395" t="n"/>
      <c r="DE19" s="4395" t="n"/>
      <c r="DF19" s="4395" t="n"/>
      <c r="DG19" s="4395" t="n"/>
      <c r="DH19" s="4395" t="n"/>
    </row>
    <row r="20" ht="16" customHeight="1">
      <c r="A20" t="inlineStr">
        <is>
          <t>A/R</t>
        </is>
      </c>
      <c r="C20">
        <f>'2.LUC'!C37</f>
        <v/>
      </c>
      <c r="D20">
        <f>'2.LUC'!Y37</f>
        <v/>
      </c>
      <c r="E20">
        <f>IF('2.LUC'!CA37&lt;&gt;0,'2.LUC'!CA37,'2.LUC'!BZ37)</f>
        <v/>
      </c>
      <c r="F20">
        <f>time</f>
        <v/>
      </c>
      <c r="G20" s="4395">
        <f>'2.LUC'!O37</f>
        <v/>
      </c>
      <c r="H20" s="4395">
        <f>'2.LUC'!Q37</f>
        <v/>
      </c>
      <c r="I20" s="4395">
        <f>IF(OR(H20="I", G20="I"), "I", IF(OR(H20="E", G20="E"), "E", "D"))</f>
        <v/>
      </c>
      <c r="J20" s="4395">
        <f>((D20/(time_cap+((F20-E20+1)*VLOOKUP(I20,list!$I$48:$K$50,3, FALSE))))*(F20-E20+1)*VLOOKUP(I20,list!$I$48:$K$50,3, FALSE))</f>
        <v/>
      </c>
      <c r="K20" s="4395">
        <f>((D20/(time_cap+((F20-E20+1)*VLOOKUP(I20,list!$I$48:$K$50,3, FALSE))))*time_cap)</f>
        <v/>
      </c>
      <c r="M20" s="4395">
        <f>IFERROR(IF((time+time_cap)&lt;M$2, 0,IF(AND(time+1&gt;=N$2, $E20&lt;N$2), IF($I20= "I", $J20/($F20-$E20+1), $J20/(($F20*($F20+1)/2)-(($E20-1)*($E20-1+1)/2))*M$2), 0)+IF(IF(time+1&gt;=N$2, $K20/time_cap/(time+1)*M$2, 0) = 0, $K20/(time_cap),0)),0)</f>
        <v/>
      </c>
      <c r="N20" s="4395">
        <f>IFERROR(IF((time+time_cap)&lt;N$2, 0,IF(AND(time+1&gt;=O$2, $E20&lt;O$2), IF($I20= "I", $J20/($F20-$E20+1), $J20/(($F20*($F20+1)/2)-(($E20-1)*($E20-1+1)/2))*N$2), 0)+IF(IF(time+1&gt;=O$2, $K20/time_cap/(time+1)*N$2, 0) = 0, $K20/(time_cap),0)),0)</f>
        <v/>
      </c>
      <c r="O20" s="4395">
        <f>IFERROR(IF((time+time_cap)&lt;O$2, 0,IF(AND(time+1&gt;=P$2, $E20&lt;P$2), IF($I20= "I", $J20/($F20-$E20+1), $J20/(($F20*($F20+1)/2)-(($E20-1)*($E20-1+1)/2))*O$2), 0)+IF(IF(time+1&gt;=P$2, $K20/time_cap/(time+1)*O$2, 0) = 0, $K20/(time_cap),0)),0)</f>
        <v/>
      </c>
      <c r="P20" s="4395">
        <f>IFERROR(IF((time+time_cap)&lt;P$2, 0,IF(AND(time+1&gt;=Q$2, $E20&lt;Q$2), IF($I20= "I", $J20/($F20-$E20+1), $J20/(($F20*($F20+1)/2)-(($E20-1)*($E20-1+1)/2))*P$2), 0)+IF(IF(time+1&gt;=Q$2, $K20/time_cap/(time+1)*P$2, 0) = 0, $K20/(time_cap),0)),0)</f>
        <v/>
      </c>
      <c r="Q20" s="4395">
        <f>IFERROR(IF((time+time_cap)&lt;Q$2, 0,IF(AND(time+1&gt;=R$2, $E20&lt;R$2), IF($I20= "I", $J20/($F20-$E20+1), $J20/(($F20*($F20+1)/2)-(($E20-1)*($E20-1+1)/2))*Q$2), 0)+IF(IF(time+1&gt;=R$2, $K20/time_cap/(time+1)*Q$2, 0) = 0, $K20/(time_cap),0)),0)</f>
        <v/>
      </c>
      <c r="R20" s="4395">
        <f>IFERROR(IF((time+time_cap)&lt;R$2, 0,IF(AND(time+1&gt;=S$2, $E20&lt;S$2), IF($I20= "I", $J20/($F20-$E20+1), $J20/(($F20*($F20+1)/2)-(($E20-1)*($E20-1+1)/2))*R$2), 0)+IF(IF(time+1&gt;=S$2, $K20/time_cap/(time+1)*R$2, 0) = 0, $K20/(time_cap),0)),0)</f>
        <v/>
      </c>
      <c r="S20" s="4395">
        <f>IFERROR(IF((time+time_cap)&lt;S$2, 0,IF(AND(time+1&gt;=T$2, $E20&lt;T$2), IF($I20= "I", $J20/($F20-$E20+1), $J20/(($F20*($F20+1)/2)-(($E20-1)*($E20-1+1)/2))*S$2), 0)+IF(IF(time+1&gt;=T$2, $K20/time_cap/(time+1)*S$2, 0) = 0, $K20/(time_cap),0)),0)</f>
        <v/>
      </c>
      <c r="T20" s="4395">
        <f>IFERROR(IF((time+time_cap)&lt;T$2, 0,IF(AND(time+1&gt;=U$2, $E20&lt;U$2), IF($I20= "I", $J20/($F20-$E20+1), $J20/(($F20*($F20+1)/2)-(($E20-1)*($E20-1+1)/2))*T$2), 0)+IF(IF(time+1&gt;=U$2, $K20/time_cap/(time+1)*T$2, 0) = 0, $K20/(time_cap),0)),0)</f>
        <v/>
      </c>
      <c r="U20" s="4395">
        <f>IFERROR(IF((time+time_cap)&lt;U$2, 0,IF(AND(time+1&gt;=V$2, $E20&lt;V$2), IF($I20= "I", $J20/($F20-$E20+1), $J20/(($F20*($F20+1)/2)-(($E20-1)*($E20-1+1)/2))*U$2), 0)+IF(IF(time+1&gt;=V$2, $K20/time_cap/(time+1)*U$2, 0) = 0, $K20/(time_cap),0)),0)</f>
        <v/>
      </c>
      <c r="V20" s="4395">
        <f>IFERROR(IF((time+time_cap)&lt;V$2, 0,IF(AND(time+1&gt;=W$2, $E20&lt;W$2), IF($I20= "I", $J20/($F20-$E20+1), $J20/(($F20*($F20+1)/2)-(($E20-1)*($E20-1+1)/2))*V$2), 0)+IF(IF(time+1&gt;=W$2, $K20/time_cap/(time+1)*V$2, 0) = 0, $K20/(time_cap),0)),0)</f>
        <v/>
      </c>
      <c r="W20" s="4395">
        <f>IFERROR(IF((time+time_cap)&lt;W$2, 0,IF(AND(time+1&gt;=X$2, $E20&lt;X$2), IF($I20= "I", $J20/($F20-$E20+1), $J20/(($F20*($F20+1)/2)-(($E20-1)*($E20-1+1)/2))*W$2), 0)+IF(IF(time+1&gt;=X$2, $K20/time_cap/(time+1)*W$2, 0) = 0, $K20/(time_cap),0)),0)</f>
        <v/>
      </c>
      <c r="X20" s="4395">
        <f>IFERROR(IF((time+time_cap)&lt;X$2, 0,IF(AND(time+1&gt;=Y$2, $E20&lt;Y$2), IF($I20= "I", $J20/($F20-$E20+1), $J20/(($F20*($F20+1)/2)-(($E20-1)*($E20-1+1)/2))*X$2), 0)+IF(IF(time+1&gt;=Y$2, $K20/time_cap/(time+1)*X$2, 0) = 0, $K20/(time_cap),0)),0)</f>
        <v/>
      </c>
      <c r="Y20" s="4395">
        <f>IFERROR(IF((time+time_cap)&lt;Y$2, 0,IF(AND(time+1&gt;=Z$2, $E20&lt;Z$2), IF($I20= "I", $J20/($F20-$E20+1), $J20/(($F20*($F20+1)/2)-(($E20-1)*($E20-1+1)/2))*Y$2), 0)+IF(IF(time+1&gt;=Z$2, $K20/time_cap/(time+1)*Y$2, 0) = 0, $K20/(time_cap),0)),0)</f>
        <v/>
      </c>
      <c r="Z20" s="4395">
        <f>IFERROR(IF((time+time_cap)&lt;Z$2, 0,IF(AND(time+1&gt;=AA$2, $E20&lt;AA$2), IF($I20= "I", $J20/($F20-$E20+1), $J20/(($F20*($F20+1)/2)-(($E20-1)*($E20-1+1)/2))*Z$2), 0)+IF(IF(time+1&gt;=AA$2, $K20/time_cap/(time+1)*Z$2, 0) = 0, $K20/(time_cap),0)),0)</f>
        <v/>
      </c>
      <c r="AA20" s="4395">
        <f>IFERROR(IF((time+time_cap)&lt;AA$2, 0,IF(AND(time+1&gt;=AB$2, $E20&lt;AB$2), IF($I20= "I", $J20/($F20-$E20+1), $J20/(($F20*($F20+1)/2)-(($E20-1)*($E20-1+1)/2))*AA$2), 0)+IF(IF(time+1&gt;=AB$2, $K20/time_cap/(time+1)*AA$2, 0) = 0, $K20/(time_cap),0)),0)</f>
        <v/>
      </c>
      <c r="AB20" s="4395">
        <f>IFERROR(IF((time+time_cap)&lt;AB$2, 0,IF(AND(time+1&gt;=AC$2, $E20&lt;AC$2), IF($I20= "I", $J20/($F20-$E20+1), $J20/(($F20*($F20+1)/2)-(($E20-1)*($E20-1+1)/2))*AB$2), 0)+IF(IF(time+1&gt;=AC$2, $K20/time_cap/(time+1)*AB$2, 0) = 0, $K20/(time_cap),0)),0)</f>
        <v/>
      </c>
      <c r="AC20" s="4395">
        <f>IFERROR(IF((time+time_cap)&lt;AC$2, 0,IF(AND(time+1&gt;=AD$2, $E20&lt;AD$2), IF($I20= "I", $J20/($F20-$E20+1), $J20/(($F20*($F20+1)/2)-(($E20-1)*($E20-1+1)/2))*AC$2), 0)+IF(IF(time+1&gt;=AD$2, $K20/time_cap/(time+1)*AC$2, 0) = 0, $K20/(time_cap),0)),0)</f>
        <v/>
      </c>
      <c r="AD20" s="4395">
        <f>IFERROR(IF((time+time_cap)&lt;AD$2, 0,IF(AND(time+1&gt;=AE$2, $E20&lt;AE$2), IF($I20= "I", $J20/($F20-$E20+1), $J20/(($F20*($F20+1)/2)-(($E20-1)*($E20-1+1)/2))*AD$2), 0)+IF(IF(time+1&gt;=AE$2, $K20/time_cap/(time+1)*AD$2, 0) = 0, $K20/(time_cap),0)),0)</f>
        <v/>
      </c>
      <c r="AE20" s="4395">
        <f>IFERROR(IF((time+time_cap)&lt;AE$2, 0,IF(AND(time+1&gt;=AF$2, $E20&lt;AF$2), IF($I20= "I", $J20/($F20-$E20+1), $J20/(($F20*($F20+1)/2)-(($E20-1)*($E20-1+1)/2))*AE$2), 0)+IF(IF(time+1&gt;=AF$2, $K20/time_cap/(time+1)*AE$2, 0) = 0, $K20/(time_cap),0)),0)</f>
        <v/>
      </c>
      <c r="AF20" s="4395">
        <f>IFERROR(IF((time+time_cap)&lt;AF$2, 0,IF(AND(time+1&gt;=AG$2, $E20&lt;AG$2), IF($I20= "I", $J20/($F20-$E20+1), $J20/(($F20*($F20+1)/2)-(($E20-1)*($E20-1+1)/2))*AF$2), 0)+IF(IF(time+1&gt;=AG$2, $K20/time_cap/(time+1)*AF$2, 0) = 0, $K20/(time_cap),0)),0)</f>
        <v/>
      </c>
      <c r="AG20" s="4395">
        <f>IFERROR(IF((time+time_cap)&lt;AG$2, 0,IF(AND(time+1&gt;=AH$2, $E20&lt;AH$2), IF($I20= "I", $J20/($F20-$E20+1), $J20/(($F20*($F20+1)/2)-(($E20-1)*($E20-1+1)/2))*AG$2), 0)+IF(IF(time+1&gt;=AH$2, $K20/time_cap/(time+1)*AG$2, 0) = 0, $K20/(time_cap),0)),0)</f>
        <v/>
      </c>
      <c r="AH20" s="4395">
        <f>IFERROR(IF((time+time_cap)&lt;AH$2, 0,IF(AND(time+1&gt;=AI$2, $E20&lt;AI$2), IF($I20= "I", $J20/($F20-$E20+1), $J20/(($F20*($F20+1)/2)-(($E20-1)*($E20-1+1)/2))*AH$2), 0)+IF(IF(time+1&gt;=AI$2, $K20/time_cap/(time+1)*AH$2, 0) = 0, $K20/(time_cap),0)),0)</f>
        <v/>
      </c>
      <c r="AI20" s="4395">
        <f>IFERROR(IF((time+time_cap)&lt;AI$2, 0,IF(AND(time+1&gt;=AJ$2, $E20&lt;AJ$2), IF($I20= "I", $J20/($F20-$E20+1), $J20/(($F20*($F20+1)/2)-(($E20-1)*($E20-1+1)/2))*AI$2), 0)+IF(IF(time+1&gt;=AJ$2, $K20/time_cap/(time+1)*AI$2, 0) = 0, $K20/(time_cap),0)),0)</f>
        <v/>
      </c>
      <c r="AJ20" s="4395">
        <f>IFERROR(IF((time+time_cap)&lt;AJ$2, 0,IF(AND(time+1&gt;=AK$2, $E20&lt;AK$2), IF($I20= "I", $J20/($F20-$E20+1), $J20/(($F20*($F20+1)/2)-(($E20-1)*($E20-1+1)/2))*AJ$2), 0)+IF(IF(time+1&gt;=AK$2, $K20/time_cap/(time+1)*AJ$2, 0) = 0, $K20/(time_cap),0)),0)</f>
        <v/>
      </c>
      <c r="AK20" s="4395">
        <f>IFERROR(IF((time+time_cap)&lt;AK$2, 0,IF(AND(time+1&gt;=AL$2, $E20&lt;AL$2), IF($I20= "I", $J20/($F20-$E20+1), $J20/(($F20*($F20+1)/2)-(($E20-1)*($E20-1+1)/2))*AK$2), 0)+IF(IF(time+1&gt;=AL$2, $K20/time_cap/(time+1)*AK$2, 0) = 0, $K20/(time_cap),0)),0)</f>
        <v/>
      </c>
      <c r="AL20" s="4395">
        <f>IFERROR(IF((time+time_cap)&lt;AL$2, 0,IF(AND(time+1&gt;=AM$2, $E20&lt;AM$2), IF($I20= "I", $J20/($F20-$E20+1), $J20/(($F20*($F20+1)/2)-(($E20-1)*($E20-1+1)/2))*AL$2), 0)+IF(IF(time+1&gt;=AM$2, $K20/time_cap/(time+1)*AL$2, 0) = 0, $K20/(time_cap),0)),0)</f>
        <v/>
      </c>
      <c r="AM20" s="4395">
        <f>IFERROR(IF((time+time_cap)&lt;AM$2, 0,IF(AND(time+1&gt;=AN$2, $E20&lt;AN$2), IF($I20= "I", $J20/($F20-$E20+1), $J20/(($F20*($F20+1)/2)-(($E20-1)*($E20-1+1)/2))*AM$2), 0)+IF(IF(time+1&gt;=AN$2, $K20/time_cap/(time+1)*AM$2, 0) = 0, $K20/(time_cap),0)),0)</f>
        <v/>
      </c>
      <c r="AN20" s="4395">
        <f>IFERROR(IF((time+time_cap)&lt;AN$2, 0,IF(AND(time+1&gt;=AO$2, $E20&lt;AO$2), IF($I20= "I", $J20/($F20-$E20+1), $J20/(($F20*($F20+1)/2)-(($E20-1)*($E20-1+1)/2))*AN$2), 0)+IF(IF(time+1&gt;=AO$2, $K20/time_cap/(time+1)*AN$2, 0) = 0, $K20/(time_cap),0)),0)</f>
        <v/>
      </c>
      <c r="AO20" s="4395">
        <f>IFERROR(IF((time+time_cap)&lt;AO$2, 0,IF(AND(time+1&gt;=AP$2, $E20&lt;AP$2), IF($I20= "I", $J20/($F20-$E20+1), $J20/(($F20*($F20+1)/2)-(($E20-1)*($E20-1+1)/2))*AO$2), 0)+IF(IF(time+1&gt;=AP$2, $K20/time_cap/(time+1)*AO$2, 0) = 0, $K20/(time_cap),0)),0)</f>
        <v/>
      </c>
      <c r="AP20" s="4395">
        <f>IFERROR(IF((time+time_cap)&lt;AP$2, 0,IF(AND(time+1&gt;=AQ$2, $E20&lt;AQ$2), IF($I20= "I", $J20/($F20-$E20+1), $J20/(($F20*($F20+1)/2)-(($E20-1)*($E20-1+1)/2))*AP$2), 0)+IF(IF(time+1&gt;=AQ$2, $K20/time_cap/(time+1)*AP$2, 0) = 0, $K20/(time_cap),0)),0)</f>
        <v/>
      </c>
      <c r="AQ20" s="4395">
        <f>IFERROR(IF((time+time_cap)&lt;AQ$2, 0,IF(AND(time+1&gt;=AR$2, $E20&lt;AR$2), IF($I20= "I", $J20/($F20-$E20+1), $J20/(($F20*($F20+1)/2)-(($E20-1)*($E20-1+1)/2))*AQ$2), 0)+IF(IF(time+1&gt;=AR$2, $K20/time_cap/(time+1)*AQ$2, 0) = 0, $K20/(time_cap),0)),0)</f>
        <v/>
      </c>
      <c r="AR20" s="4395">
        <f>IFERROR(IF((time+time_cap)&lt;AR$2, 0,IF(AND(time+1&gt;=AS$2, $E20&lt;AS$2), IF($I20= "I", $J20/($F20-$E20+1), $J20/(($F20*($F20+1)/2)-(($E20-1)*($E20-1+1)/2))*AR$2), 0)+IF(IF(time+1&gt;=AS$2, $K20/time_cap/(time+1)*AR$2, 0) = 0, $K20/(time_cap),0)),0)</f>
        <v/>
      </c>
      <c r="AS20" s="4395">
        <f>IFERROR(IF((time+time_cap)&lt;AS$2, 0,IF(AND(time+1&gt;=AT$2, $E20&lt;AT$2), IF($I20= "I", $J20/($F20-$E20+1), $J20/(($F20*($F20+1)/2)-(($E20-1)*($E20-1+1)/2))*AS$2), 0)+IF(IF(time+1&gt;=AT$2, $K20/time_cap/(time+1)*AS$2, 0) = 0, $K20/(time_cap),0)),0)</f>
        <v/>
      </c>
      <c r="AT20" s="4395">
        <f>IFERROR(IF((time+time_cap)&lt;AT$2, 0,IF(AND(time+1&gt;=AU$2, $E20&lt;AU$2), IF($I20= "I", $J20/($F20-$E20+1), $J20/(($F20*($F20+1)/2)-(($E20-1)*($E20-1+1)/2))*AT$2), 0)+IF(IF(time+1&gt;=AU$2, $K20/time_cap/(time+1)*AT$2, 0) = 0, $K20/(time_cap),0)),0)</f>
        <v/>
      </c>
      <c r="AU20" s="4395">
        <f>IFERROR(IF((time+time_cap)&lt;AU$2, 0,IF(AND(time+1&gt;=AV$2, $E20&lt;AV$2), IF($I20= "I", $J20/($F20-$E20+1), $J20/(($F20*($F20+1)/2)-(($E20-1)*($E20-1+1)/2))*AU$2), 0)+IF(IF(time+1&gt;=AV$2, $K20/time_cap/(time+1)*AU$2, 0) = 0, $K20/(time_cap),0)),0)</f>
        <v/>
      </c>
      <c r="AV20" s="4395">
        <f>IFERROR(IF((time+time_cap)&lt;AV$2, 0,IF(AND(time+1&gt;=AW$2, $E20&lt;AW$2), IF($I20= "I", $J20/($F20-$E20+1), $J20/(($F20*($F20+1)/2)-(($E20-1)*($E20-1+1)/2))*AV$2), 0)+IF(IF(time+1&gt;=AW$2, $K20/time_cap/(time+1)*AV$2, 0) = 0, $K20/(time_cap),0)),0)</f>
        <v/>
      </c>
      <c r="AW20" s="4395">
        <f>IFERROR(IF((time+time_cap)&lt;AW$2, 0,IF(AND(time+1&gt;=AX$2, $E20&lt;AX$2), IF($I20= "I", $J20/($F20-$E20+1), $J20/(($F20*($F20+1)/2)-(($E20-1)*($E20-1+1)/2))*AW$2), 0)+IF(IF(time+1&gt;=AX$2, $K20/time_cap/(time+1)*AW$2, 0) = 0, $K20/(time_cap),0)),0)</f>
        <v/>
      </c>
      <c r="AX20" s="4395">
        <f>IFERROR(IF((time+time_cap)&lt;AX$2, 0,IF(AND(time+1&gt;=AY$2, $E20&lt;AY$2), IF($I20= "I", $J20/($F20-$E20+1), $J20/(($F20*($F20+1)/2)-(($E20-1)*($E20-1+1)/2))*AX$2), 0)+IF(IF(time+1&gt;=AY$2, $K20/time_cap/(time+1)*AX$2, 0) = 0, $K20/(time_cap),0)),0)</f>
        <v/>
      </c>
      <c r="AY20" s="4395">
        <f>IFERROR(IF((time+time_cap)&lt;AY$2, 0,IF(AND(time+1&gt;=AZ$2, $E20&lt;AZ$2), IF($I20= "I", $J20/($F20-$E20+1), $J20/(($F20*($F20+1)/2)-(($E20-1)*($E20-1+1)/2))*AY$2), 0)+IF(IF(time+1&gt;=AZ$2, $K20/time_cap/(time+1)*AY$2, 0) = 0, $K20/(time_cap),0)),0)</f>
        <v/>
      </c>
      <c r="AZ20" s="4395">
        <f>IFERROR(IF((time+time_cap)&lt;AZ$2, 0,IF(AND(time+1&gt;=BA$2, $E20&lt;BA$2), IF($I20= "I", $J20/($F20-$E20+1), $J20/(($F20*($F20+1)/2)-(($E20-1)*($E20-1+1)/2))*AZ$2), 0)+IF(IF(time+1&gt;=BA$2, $K20/time_cap/(time+1)*AZ$2, 0) = 0, $K20/(time_cap),0)),0)</f>
        <v/>
      </c>
      <c r="BA20" s="4395">
        <f>IFERROR(IF((time+time_cap)&lt;BA$2, 0,IF(AND(time+1&gt;=BB$2, $E20&lt;BB$2), IF($I20= "I", $J20/($F20-$E20+1), $J20/(($F20*($F20+1)/2)-(($E20-1)*($E20-1+1)/2))*BA$2), 0)+IF(IF(time+1&gt;=BB$2, $K20/time_cap/(time+1)*BA$2, 0) = 0, $K20/(time_cap),0)),0)</f>
        <v/>
      </c>
      <c r="BB20" s="4395">
        <f>IFERROR(IF((time+time_cap)&lt;BB$2, 0,IF(AND(time+1&gt;=BC$2, $E20&lt;BC$2), IF($I20= "I", $J20/($F20-$E20+1), $J20/(($F20*($F20+1)/2)-(($E20-1)*($E20-1+1)/2))*BB$2), 0)+IF(IF(time+1&gt;=BC$2, $K20/time_cap/(time+1)*BB$2, 0) = 0, $K20/(time_cap),0)),0)</f>
        <v/>
      </c>
      <c r="BC20" s="4395">
        <f>IFERROR(IF((time+time_cap)&lt;BC$2, 0,IF(AND(time+1&gt;=BD$2, $E20&lt;BD$2), IF($I20= "I", $J20/($F20-$E20+1), $J20/(($F20*($F20+1)/2)-(($E20-1)*($E20-1+1)/2))*BC$2), 0)+IF(IF(time+1&gt;=BD$2, $K20/time_cap/(time+1)*BC$2, 0) = 0, $K20/(time_cap),0)),0)</f>
        <v/>
      </c>
      <c r="BD20" s="4395">
        <f>IFERROR(IF((time+time_cap)&lt;BD$2, 0,IF(AND(time+1&gt;=BE$2, $E20&lt;BE$2), IF($I20= "I", $J20/($F20-$E20+1), $J20/(($F20*($F20+1)/2)-(($E20-1)*($E20-1+1)/2))*BD$2), 0)+IF(IF(time+1&gt;=BE$2, $K20/time_cap/(time+1)*BD$2, 0) = 0, $K20/(time_cap),0)),0)</f>
        <v/>
      </c>
      <c r="BE20" s="4395">
        <f>IFERROR(IF((time+time_cap)&lt;BE$2, 0,IF(AND(time+1&gt;=BF$2, $E20&lt;BF$2), IF($I20= "I", $J20/($F20-$E20+1), $J20/(($F20*($F20+1)/2)-(($E20-1)*($E20-1+1)/2))*BE$2), 0)+IF(IF(time+1&gt;=BF$2, $K20/time_cap/(time+1)*BE$2, 0) = 0, $K20/(time_cap),0)),0)</f>
        <v/>
      </c>
      <c r="BF20" s="4395">
        <f>IFERROR(IF((time+time_cap)&lt;BF$2, 0,IF(AND(time+1&gt;=BG$2, $E20&lt;BG$2), IF($I20= "I", $J20/($F20-$E20+1), $J20/(($F20*($F20+1)/2)-(($E20-1)*($E20-1+1)/2))*BF$2), 0)+IF(IF(time+1&gt;=BG$2, $K20/time_cap/(time+1)*BF$2, 0) = 0, $K20/(time_cap),0)),0)</f>
        <v/>
      </c>
      <c r="BG20" s="4395">
        <f>IFERROR(IF((time+time_cap)&lt;BG$2, 0,IF(AND(time+1&gt;=BH$2, $E20&lt;BH$2), IF($I20= "I", $J20/($F20-$E20+1), $J20/(($F20*($F20+1)/2)-(($E20-1)*($E20-1+1)/2))*BG$2), 0)+IF(IF(time+1&gt;=BH$2, $K20/time_cap/(time+1)*BG$2, 0) = 0, $K20/(time_cap),0)),0)</f>
        <v/>
      </c>
      <c r="BH20" s="4395">
        <f>IFERROR(IF((time+time_cap)&lt;BH$2, 0,IF(AND(time+1&gt;=BI$2, $E20&lt;BI$2), IF($I20= "I", $J20/($F20-$E20+1), $J20/(($F20*($F20+1)/2)-(($E20-1)*($E20-1+1)/2))*BH$2), 0)+IF(IF(time+1&gt;=BI$2, $K20/time_cap/(time+1)*BH$2, 0) = 0, $K20/(time_cap),0)),0)</f>
        <v/>
      </c>
      <c r="BI20" s="4395">
        <f>IFERROR(IF((time+time_cap)&lt;BI$2, 0,IF(AND(time+1&gt;=BJ$2, $E20&lt;BJ$2), IF($I20= "I", $J20/($F20-$E20+1), $J20/(($F20*($F20+1)/2)-(($E20-1)*($E20-1+1)/2))*BI$2), 0)+IF(IF(time+1&gt;=BJ$2, $K20/time_cap/(time+1)*BI$2, 0) = 0, $K20/(time_cap),0)),0)</f>
        <v/>
      </c>
      <c r="BJ20" s="4395">
        <f>IFERROR(IF((time+time_cap)&lt;BJ$2, 0,IF(AND(time+1&gt;=BK$2, $E20&lt;BK$2), IF($I20= "I", $J20/($F20-$E20+1), $J20/(($F20*($F20+1)/2)-(($E20-1)*($E20-1+1)/2))*BJ$2), 0)+IF(IF(time+1&gt;=BK$2, $K20/time_cap/(time+1)*BJ$2, 0) = 0, $K20/(time_cap),0)),0)</f>
        <v/>
      </c>
      <c r="BK20" s="4395" t="n"/>
      <c r="BL20" s="4395" t="n"/>
      <c r="BM20" s="4395" t="n"/>
      <c r="BN20" s="4395" t="n"/>
      <c r="BO20" s="4395" t="n"/>
      <c r="BP20" s="4395" t="n"/>
      <c r="BQ20" s="4395" t="n"/>
      <c r="BR20" s="4395" t="n"/>
      <c r="BS20" s="4395" t="n"/>
      <c r="BT20" s="4395" t="n"/>
      <c r="BU20" s="4395" t="n"/>
      <c r="BV20" s="4395" t="n"/>
      <c r="BW20" s="4395" t="n"/>
      <c r="BX20" s="4395" t="n"/>
      <c r="BY20" s="4395" t="n"/>
      <c r="BZ20" s="4395" t="n"/>
      <c r="CA20" s="4395" t="n"/>
      <c r="CB20" s="4395" t="n"/>
      <c r="CC20" s="4395" t="n"/>
      <c r="CD20" s="4395" t="n"/>
      <c r="CE20" s="4395" t="n"/>
      <c r="CF20" s="4395" t="n"/>
      <c r="CG20" s="4395" t="n"/>
      <c r="CH20" s="4395" t="n"/>
      <c r="CI20" s="4395" t="n"/>
      <c r="CJ20" s="4395" t="n"/>
      <c r="CK20" s="4395" t="n"/>
      <c r="CL20" s="4395" t="n"/>
      <c r="CM20" s="4395" t="n"/>
      <c r="CN20" s="4395" t="n"/>
      <c r="CO20" s="4395" t="n"/>
      <c r="CP20" s="4395" t="n"/>
      <c r="CQ20" s="4395" t="n"/>
      <c r="CR20" s="4395" t="n"/>
      <c r="CS20" s="4395" t="n"/>
      <c r="CT20" s="4395" t="n"/>
      <c r="CU20" s="4395" t="n"/>
      <c r="CV20" s="4395" t="n"/>
      <c r="CW20" s="4395" t="n"/>
      <c r="CX20" s="4395" t="n"/>
      <c r="CY20" s="4395" t="n"/>
      <c r="CZ20" s="4395" t="n"/>
      <c r="DA20" s="4395" t="n"/>
      <c r="DB20" s="4395" t="n"/>
      <c r="DC20" s="4395" t="n"/>
      <c r="DD20" s="4395" t="n"/>
      <c r="DE20" s="4395" t="n"/>
      <c r="DF20" s="4395" t="n"/>
      <c r="DG20" s="4395" t="n"/>
      <c r="DH20" s="4395" t="n"/>
    </row>
    <row r="21" ht="16" customHeight="1">
      <c r="A21" t="inlineStr">
        <is>
          <t>A/R</t>
        </is>
      </c>
      <c r="C21">
        <f>'2.LUC'!C38</f>
        <v/>
      </c>
      <c r="D21">
        <f>'2.LUC'!Y38</f>
        <v/>
      </c>
      <c r="E21">
        <f>IF('2.LUC'!CA38&lt;&gt;0,'2.LUC'!CA38,'2.LUC'!BZ38)</f>
        <v/>
      </c>
      <c r="F21">
        <f>time</f>
        <v/>
      </c>
      <c r="G21" s="4395">
        <f>'2.LUC'!O38</f>
        <v/>
      </c>
      <c r="H21" s="4395">
        <f>'2.LUC'!Q38</f>
        <v/>
      </c>
      <c r="I21" s="4395">
        <f>IF(OR(H21="I", G21="I"), "I", IF(OR(H21="E", G21="E"), "E", "D"))</f>
        <v/>
      </c>
      <c r="J21" s="4395">
        <f>((D21/(time_cap+((F21-E21+1)*VLOOKUP(I21,list!$I$48:$K$50,3, FALSE))))*(F21-E21+1)*VLOOKUP(I21,list!$I$48:$K$50,3, FALSE))</f>
        <v/>
      </c>
      <c r="K21" s="4395">
        <f>((D21/(time_cap+((F21-E21+1)*VLOOKUP(I21,list!$I$48:$K$50,3, FALSE))))*time_cap)</f>
        <v/>
      </c>
      <c r="M21" s="4395">
        <f>IFERROR(IF((time+time_cap)&lt;M$2, 0,IF(AND(time+1&gt;=N$2, $E21&lt;N$2), IF($I21= "I", $J21/($F21-$E21+1), $J21/(($F21*($F21+1)/2)-(($E21-1)*($E21-1+1)/2))*M$2), 0)+IF(IF(time+1&gt;=N$2, $K21/time_cap/(time+1)*M$2, 0) = 0, $K21/(time_cap),0)),0)</f>
        <v/>
      </c>
      <c r="N21" s="4395">
        <f>IFERROR(IF((time+time_cap)&lt;N$2, 0,IF(AND(time+1&gt;=O$2, $E21&lt;O$2), IF($I21= "I", $J21/($F21-$E21+1), $J21/(($F21*($F21+1)/2)-(($E21-1)*($E21-1+1)/2))*N$2), 0)+IF(IF(time+1&gt;=O$2, $K21/time_cap/(time+1)*N$2, 0) = 0, $K21/(time_cap),0)),0)</f>
        <v/>
      </c>
      <c r="O21" s="4395">
        <f>IFERROR(IF((time+time_cap)&lt;O$2, 0,IF(AND(time+1&gt;=P$2, $E21&lt;P$2), IF($I21= "I", $J21/($F21-$E21+1), $J21/(($F21*($F21+1)/2)-(($E21-1)*($E21-1+1)/2))*O$2), 0)+IF(IF(time+1&gt;=P$2, $K21/time_cap/(time+1)*O$2, 0) = 0, $K21/(time_cap),0)),0)</f>
        <v/>
      </c>
      <c r="P21" s="4395">
        <f>IFERROR(IF((time+time_cap)&lt;P$2, 0,IF(AND(time+1&gt;=Q$2, $E21&lt;Q$2), IF($I21= "I", $J21/($F21-$E21+1), $J21/(($F21*($F21+1)/2)-(($E21-1)*($E21-1+1)/2))*P$2), 0)+IF(IF(time+1&gt;=Q$2, $K21/time_cap/(time+1)*P$2, 0) = 0, $K21/(time_cap),0)),0)</f>
        <v/>
      </c>
      <c r="Q21" s="4395">
        <f>IFERROR(IF((time+time_cap)&lt;Q$2, 0,IF(AND(time+1&gt;=R$2, $E21&lt;R$2), IF($I21= "I", $J21/($F21-$E21+1), $J21/(($F21*($F21+1)/2)-(($E21-1)*($E21-1+1)/2))*Q$2), 0)+IF(IF(time+1&gt;=R$2, $K21/time_cap/(time+1)*Q$2, 0) = 0, $K21/(time_cap),0)),0)</f>
        <v/>
      </c>
      <c r="R21" s="4395">
        <f>IFERROR(IF((time+time_cap)&lt;R$2, 0,IF(AND(time+1&gt;=S$2, $E21&lt;S$2), IF($I21= "I", $J21/($F21-$E21+1), $J21/(($F21*($F21+1)/2)-(($E21-1)*($E21-1+1)/2))*R$2), 0)+IF(IF(time+1&gt;=S$2, $K21/time_cap/(time+1)*R$2, 0) = 0, $K21/(time_cap),0)),0)</f>
        <v/>
      </c>
      <c r="S21" s="4395">
        <f>IFERROR(IF((time+time_cap)&lt;S$2, 0,IF(AND(time+1&gt;=T$2, $E21&lt;T$2), IF($I21= "I", $J21/($F21-$E21+1), $J21/(($F21*($F21+1)/2)-(($E21-1)*($E21-1+1)/2))*S$2), 0)+IF(IF(time+1&gt;=T$2, $K21/time_cap/(time+1)*S$2, 0) = 0, $K21/(time_cap),0)),0)</f>
        <v/>
      </c>
      <c r="T21" s="4395">
        <f>IFERROR(IF((time+time_cap)&lt;T$2, 0,IF(AND(time+1&gt;=U$2, $E21&lt;U$2), IF($I21= "I", $J21/($F21-$E21+1), $J21/(($F21*($F21+1)/2)-(($E21-1)*($E21-1+1)/2))*T$2), 0)+IF(IF(time+1&gt;=U$2, $K21/time_cap/(time+1)*T$2, 0) = 0, $K21/(time_cap),0)),0)</f>
        <v/>
      </c>
      <c r="U21" s="4395">
        <f>IFERROR(IF((time+time_cap)&lt;U$2, 0,IF(AND(time+1&gt;=V$2, $E21&lt;V$2), IF($I21= "I", $J21/($F21-$E21+1), $J21/(($F21*($F21+1)/2)-(($E21-1)*($E21-1+1)/2))*U$2), 0)+IF(IF(time+1&gt;=V$2, $K21/time_cap/(time+1)*U$2, 0) = 0, $K21/(time_cap),0)),0)</f>
        <v/>
      </c>
      <c r="V21" s="4395">
        <f>IFERROR(IF((time+time_cap)&lt;V$2, 0,IF(AND(time+1&gt;=W$2, $E21&lt;W$2), IF($I21= "I", $J21/($F21-$E21+1), $J21/(($F21*($F21+1)/2)-(($E21-1)*($E21-1+1)/2))*V$2), 0)+IF(IF(time+1&gt;=W$2, $K21/time_cap/(time+1)*V$2, 0) = 0, $K21/(time_cap),0)),0)</f>
        <v/>
      </c>
      <c r="W21" s="4395">
        <f>IFERROR(IF((time+time_cap)&lt;W$2, 0,IF(AND(time+1&gt;=X$2, $E21&lt;X$2), IF($I21= "I", $J21/($F21-$E21+1), $J21/(($F21*($F21+1)/2)-(($E21-1)*($E21-1+1)/2))*W$2), 0)+IF(IF(time+1&gt;=X$2, $K21/time_cap/(time+1)*W$2, 0) = 0, $K21/(time_cap),0)),0)</f>
        <v/>
      </c>
      <c r="X21" s="4395">
        <f>IFERROR(IF((time+time_cap)&lt;X$2, 0,IF(AND(time+1&gt;=Y$2, $E21&lt;Y$2), IF($I21= "I", $J21/($F21-$E21+1), $J21/(($F21*($F21+1)/2)-(($E21-1)*($E21-1+1)/2))*X$2), 0)+IF(IF(time+1&gt;=Y$2, $K21/time_cap/(time+1)*X$2, 0) = 0, $K21/(time_cap),0)),0)</f>
        <v/>
      </c>
      <c r="Y21" s="4395">
        <f>IFERROR(IF((time+time_cap)&lt;Y$2, 0,IF(AND(time+1&gt;=Z$2, $E21&lt;Z$2), IF($I21= "I", $J21/($F21-$E21+1), $J21/(($F21*($F21+1)/2)-(($E21-1)*($E21-1+1)/2))*Y$2), 0)+IF(IF(time+1&gt;=Z$2, $K21/time_cap/(time+1)*Y$2, 0) = 0, $K21/(time_cap),0)),0)</f>
        <v/>
      </c>
      <c r="Z21" s="4395">
        <f>IFERROR(IF((time+time_cap)&lt;Z$2, 0,IF(AND(time+1&gt;=AA$2, $E21&lt;AA$2), IF($I21= "I", $J21/($F21-$E21+1), $J21/(($F21*($F21+1)/2)-(($E21-1)*($E21-1+1)/2))*Z$2), 0)+IF(IF(time+1&gt;=AA$2, $K21/time_cap/(time+1)*Z$2, 0) = 0, $K21/(time_cap),0)),0)</f>
        <v/>
      </c>
      <c r="AA21" s="4395">
        <f>IFERROR(IF((time+time_cap)&lt;AA$2, 0,IF(AND(time+1&gt;=AB$2, $E21&lt;AB$2), IF($I21= "I", $J21/($F21-$E21+1), $J21/(($F21*($F21+1)/2)-(($E21-1)*($E21-1+1)/2))*AA$2), 0)+IF(IF(time+1&gt;=AB$2, $K21/time_cap/(time+1)*AA$2, 0) = 0, $K21/(time_cap),0)),0)</f>
        <v/>
      </c>
      <c r="AB21" s="4395">
        <f>IFERROR(IF((time+time_cap)&lt;AB$2, 0,IF(AND(time+1&gt;=AC$2, $E21&lt;AC$2), IF($I21= "I", $J21/($F21-$E21+1), $J21/(($F21*($F21+1)/2)-(($E21-1)*($E21-1+1)/2))*AB$2), 0)+IF(IF(time+1&gt;=AC$2, $K21/time_cap/(time+1)*AB$2, 0) = 0, $K21/(time_cap),0)),0)</f>
        <v/>
      </c>
      <c r="AC21" s="4395">
        <f>IFERROR(IF((time+time_cap)&lt;AC$2, 0,IF(AND(time+1&gt;=AD$2, $E21&lt;AD$2), IF($I21= "I", $J21/($F21-$E21+1), $J21/(($F21*($F21+1)/2)-(($E21-1)*($E21-1+1)/2))*AC$2), 0)+IF(IF(time+1&gt;=AD$2, $K21/time_cap/(time+1)*AC$2, 0) = 0, $K21/(time_cap),0)),0)</f>
        <v/>
      </c>
      <c r="AD21" s="4395">
        <f>IFERROR(IF((time+time_cap)&lt;AD$2, 0,IF(AND(time+1&gt;=AE$2, $E21&lt;AE$2), IF($I21= "I", $J21/($F21-$E21+1), $J21/(($F21*($F21+1)/2)-(($E21-1)*($E21-1+1)/2))*AD$2), 0)+IF(IF(time+1&gt;=AE$2, $K21/time_cap/(time+1)*AD$2, 0) = 0, $K21/(time_cap),0)),0)</f>
        <v/>
      </c>
      <c r="AE21" s="4395">
        <f>IFERROR(IF((time+time_cap)&lt;AE$2, 0,IF(AND(time+1&gt;=AF$2, $E21&lt;AF$2), IF($I21= "I", $J21/($F21-$E21+1), $J21/(($F21*($F21+1)/2)-(($E21-1)*($E21-1+1)/2))*AE$2), 0)+IF(IF(time+1&gt;=AF$2, $K21/time_cap/(time+1)*AE$2, 0) = 0, $K21/(time_cap),0)),0)</f>
        <v/>
      </c>
      <c r="AF21" s="4395">
        <f>IFERROR(IF((time+time_cap)&lt;AF$2, 0,IF(AND(time+1&gt;=AG$2, $E21&lt;AG$2), IF($I21= "I", $J21/($F21-$E21+1), $J21/(($F21*($F21+1)/2)-(($E21-1)*($E21-1+1)/2))*AF$2), 0)+IF(IF(time+1&gt;=AG$2, $K21/time_cap/(time+1)*AF$2, 0) = 0, $K21/(time_cap),0)),0)</f>
        <v/>
      </c>
      <c r="AG21" s="4395">
        <f>IFERROR(IF((time+time_cap)&lt;AG$2, 0,IF(AND(time+1&gt;=AH$2, $E21&lt;AH$2), IF($I21= "I", $J21/($F21-$E21+1), $J21/(($F21*($F21+1)/2)-(($E21-1)*($E21-1+1)/2))*AG$2), 0)+IF(IF(time+1&gt;=AH$2, $K21/time_cap/(time+1)*AG$2, 0) = 0, $K21/(time_cap),0)),0)</f>
        <v/>
      </c>
      <c r="AH21" s="4395">
        <f>IFERROR(IF((time+time_cap)&lt;AH$2, 0,IF(AND(time+1&gt;=AI$2, $E21&lt;AI$2), IF($I21= "I", $J21/($F21-$E21+1), $J21/(($F21*($F21+1)/2)-(($E21-1)*($E21-1+1)/2))*AH$2), 0)+IF(IF(time+1&gt;=AI$2, $K21/time_cap/(time+1)*AH$2, 0) = 0, $K21/(time_cap),0)),0)</f>
        <v/>
      </c>
      <c r="AI21" s="4395">
        <f>IFERROR(IF((time+time_cap)&lt;AI$2, 0,IF(AND(time+1&gt;=AJ$2, $E21&lt;AJ$2), IF($I21= "I", $J21/($F21-$E21+1), $J21/(($F21*($F21+1)/2)-(($E21-1)*($E21-1+1)/2))*AI$2), 0)+IF(IF(time+1&gt;=AJ$2, $K21/time_cap/(time+1)*AI$2, 0) = 0, $K21/(time_cap),0)),0)</f>
        <v/>
      </c>
      <c r="AJ21" s="4395">
        <f>IFERROR(IF((time+time_cap)&lt;AJ$2, 0,IF(AND(time+1&gt;=AK$2, $E21&lt;AK$2), IF($I21= "I", $J21/($F21-$E21+1), $J21/(($F21*($F21+1)/2)-(($E21-1)*($E21-1+1)/2))*AJ$2), 0)+IF(IF(time+1&gt;=AK$2, $K21/time_cap/(time+1)*AJ$2, 0) = 0, $K21/(time_cap),0)),0)</f>
        <v/>
      </c>
      <c r="AK21" s="4395">
        <f>IFERROR(IF((time+time_cap)&lt;AK$2, 0,IF(AND(time+1&gt;=AL$2, $E21&lt;AL$2), IF($I21= "I", $J21/($F21-$E21+1), $J21/(($F21*($F21+1)/2)-(($E21-1)*($E21-1+1)/2))*AK$2), 0)+IF(IF(time+1&gt;=AL$2, $K21/time_cap/(time+1)*AK$2, 0) = 0, $K21/(time_cap),0)),0)</f>
        <v/>
      </c>
      <c r="AL21" s="4395">
        <f>IFERROR(IF((time+time_cap)&lt;AL$2, 0,IF(AND(time+1&gt;=AM$2, $E21&lt;AM$2), IF($I21= "I", $J21/($F21-$E21+1), $J21/(($F21*($F21+1)/2)-(($E21-1)*($E21-1+1)/2))*AL$2), 0)+IF(IF(time+1&gt;=AM$2, $K21/time_cap/(time+1)*AL$2, 0) = 0, $K21/(time_cap),0)),0)</f>
        <v/>
      </c>
      <c r="AM21" s="4395">
        <f>IFERROR(IF((time+time_cap)&lt;AM$2, 0,IF(AND(time+1&gt;=AN$2, $E21&lt;AN$2), IF($I21= "I", $J21/($F21-$E21+1), $J21/(($F21*($F21+1)/2)-(($E21-1)*($E21-1+1)/2))*AM$2), 0)+IF(IF(time+1&gt;=AN$2, $K21/time_cap/(time+1)*AM$2, 0) = 0, $K21/(time_cap),0)),0)</f>
        <v/>
      </c>
      <c r="AN21" s="4395">
        <f>IFERROR(IF((time+time_cap)&lt;AN$2, 0,IF(AND(time+1&gt;=AO$2, $E21&lt;AO$2), IF($I21= "I", $J21/($F21-$E21+1), $J21/(($F21*($F21+1)/2)-(($E21-1)*($E21-1+1)/2))*AN$2), 0)+IF(IF(time+1&gt;=AO$2, $K21/time_cap/(time+1)*AN$2, 0) = 0, $K21/(time_cap),0)),0)</f>
        <v/>
      </c>
      <c r="AO21" s="4395">
        <f>IFERROR(IF((time+time_cap)&lt;AO$2, 0,IF(AND(time+1&gt;=AP$2, $E21&lt;AP$2), IF($I21= "I", $J21/($F21-$E21+1), $J21/(($F21*($F21+1)/2)-(($E21-1)*($E21-1+1)/2))*AO$2), 0)+IF(IF(time+1&gt;=AP$2, $K21/time_cap/(time+1)*AO$2, 0) = 0, $K21/(time_cap),0)),0)</f>
        <v/>
      </c>
      <c r="AP21" s="4395">
        <f>IFERROR(IF((time+time_cap)&lt;AP$2, 0,IF(AND(time+1&gt;=AQ$2, $E21&lt;AQ$2), IF($I21= "I", $J21/($F21-$E21+1), $J21/(($F21*($F21+1)/2)-(($E21-1)*($E21-1+1)/2))*AP$2), 0)+IF(IF(time+1&gt;=AQ$2, $K21/time_cap/(time+1)*AP$2, 0) = 0, $K21/(time_cap),0)),0)</f>
        <v/>
      </c>
      <c r="AQ21" s="4395">
        <f>IFERROR(IF((time+time_cap)&lt;AQ$2, 0,IF(AND(time+1&gt;=AR$2, $E21&lt;AR$2), IF($I21= "I", $J21/($F21-$E21+1), $J21/(($F21*($F21+1)/2)-(($E21-1)*($E21-1+1)/2))*AQ$2), 0)+IF(IF(time+1&gt;=AR$2, $K21/time_cap/(time+1)*AQ$2, 0) = 0, $K21/(time_cap),0)),0)</f>
        <v/>
      </c>
      <c r="AR21" s="4395">
        <f>IFERROR(IF((time+time_cap)&lt;AR$2, 0,IF(AND(time+1&gt;=AS$2, $E21&lt;AS$2), IF($I21= "I", $J21/($F21-$E21+1), $J21/(($F21*($F21+1)/2)-(($E21-1)*($E21-1+1)/2))*AR$2), 0)+IF(IF(time+1&gt;=AS$2, $K21/time_cap/(time+1)*AR$2, 0) = 0, $K21/(time_cap),0)),0)</f>
        <v/>
      </c>
      <c r="AS21" s="4395">
        <f>IFERROR(IF((time+time_cap)&lt;AS$2, 0,IF(AND(time+1&gt;=AT$2, $E21&lt;AT$2), IF($I21= "I", $J21/($F21-$E21+1), $J21/(($F21*($F21+1)/2)-(($E21-1)*($E21-1+1)/2))*AS$2), 0)+IF(IF(time+1&gt;=AT$2, $K21/time_cap/(time+1)*AS$2, 0) = 0, $K21/(time_cap),0)),0)</f>
        <v/>
      </c>
      <c r="AT21" s="4395">
        <f>IFERROR(IF((time+time_cap)&lt;AT$2, 0,IF(AND(time+1&gt;=AU$2, $E21&lt;AU$2), IF($I21= "I", $J21/($F21-$E21+1), $J21/(($F21*($F21+1)/2)-(($E21-1)*($E21-1+1)/2))*AT$2), 0)+IF(IF(time+1&gt;=AU$2, $K21/time_cap/(time+1)*AT$2, 0) = 0, $K21/(time_cap),0)),0)</f>
        <v/>
      </c>
      <c r="AU21" s="4395">
        <f>IFERROR(IF((time+time_cap)&lt;AU$2, 0,IF(AND(time+1&gt;=AV$2, $E21&lt;AV$2), IF($I21= "I", $J21/($F21-$E21+1), $J21/(($F21*($F21+1)/2)-(($E21-1)*($E21-1+1)/2))*AU$2), 0)+IF(IF(time+1&gt;=AV$2, $K21/time_cap/(time+1)*AU$2, 0) = 0, $K21/(time_cap),0)),0)</f>
        <v/>
      </c>
      <c r="AV21" s="4395">
        <f>IFERROR(IF((time+time_cap)&lt;AV$2, 0,IF(AND(time+1&gt;=AW$2, $E21&lt;AW$2), IF($I21= "I", $J21/($F21-$E21+1), $J21/(($F21*($F21+1)/2)-(($E21-1)*($E21-1+1)/2))*AV$2), 0)+IF(IF(time+1&gt;=AW$2, $K21/time_cap/(time+1)*AV$2, 0) = 0, $K21/(time_cap),0)),0)</f>
        <v/>
      </c>
      <c r="AW21" s="4395">
        <f>IFERROR(IF((time+time_cap)&lt;AW$2, 0,IF(AND(time+1&gt;=AX$2, $E21&lt;AX$2), IF($I21= "I", $J21/($F21-$E21+1), $J21/(($F21*($F21+1)/2)-(($E21-1)*($E21-1+1)/2))*AW$2), 0)+IF(IF(time+1&gt;=AX$2, $K21/time_cap/(time+1)*AW$2, 0) = 0, $K21/(time_cap),0)),0)</f>
        <v/>
      </c>
      <c r="AX21" s="4395">
        <f>IFERROR(IF((time+time_cap)&lt;AX$2, 0,IF(AND(time+1&gt;=AY$2, $E21&lt;AY$2), IF($I21= "I", $J21/($F21-$E21+1), $J21/(($F21*($F21+1)/2)-(($E21-1)*($E21-1+1)/2))*AX$2), 0)+IF(IF(time+1&gt;=AY$2, $K21/time_cap/(time+1)*AX$2, 0) = 0, $K21/(time_cap),0)),0)</f>
        <v/>
      </c>
      <c r="AY21" s="4395">
        <f>IFERROR(IF((time+time_cap)&lt;AY$2, 0,IF(AND(time+1&gt;=AZ$2, $E21&lt;AZ$2), IF($I21= "I", $J21/($F21-$E21+1), $J21/(($F21*($F21+1)/2)-(($E21-1)*($E21-1+1)/2))*AY$2), 0)+IF(IF(time+1&gt;=AZ$2, $K21/time_cap/(time+1)*AY$2, 0) = 0, $K21/(time_cap),0)),0)</f>
        <v/>
      </c>
      <c r="AZ21" s="4395">
        <f>IFERROR(IF((time+time_cap)&lt;AZ$2, 0,IF(AND(time+1&gt;=BA$2, $E21&lt;BA$2), IF($I21= "I", $J21/($F21-$E21+1), $J21/(($F21*($F21+1)/2)-(($E21-1)*($E21-1+1)/2))*AZ$2), 0)+IF(IF(time+1&gt;=BA$2, $K21/time_cap/(time+1)*AZ$2, 0) = 0, $K21/(time_cap),0)),0)</f>
        <v/>
      </c>
      <c r="BA21" s="4395">
        <f>IFERROR(IF((time+time_cap)&lt;BA$2, 0,IF(AND(time+1&gt;=BB$2, $E21&lt;BB$2), IF($I21= "I", $J21/($F21-$E21+1), $J21/(($F21*($F21+1)/2)-(($E21-1)*($E21-1+1)/2))*BA$2), 0)+IF(IF(time+1&gt;=BB$2, $K21/time_cap/(time+1)*BA$2, 0) = 0, $K21/(time_cap),0)),0)</f>
        <v/>
      </c>
      <c r="BB21" s="4395">
        <f>IFERROR(IF((time+time_cap)&lt;BB$2, 0,IF(AND(time+1&gt;=BC$2, $E21&lt;BC$2), IF($I21= "I", $J21/($F21-$E21+1), $J21/(($F21*($F21+1)/2)-(($E21-1)*($E21-1+1)/2))*BB$2), 0)+IF(IF(time+1&gt;=BC$2, $K21/time_cap/(time+1)*BB$2, 0) = 0, $K21/(time_cap),0)),0)</f>
        <v/>
      </c>
      <c r="BC21" s="4395">
        <f>IFERROR(IF((time+time_cap)&lt;BC$2, 0,IF(AND(time+1&gt;=BD$2, $E21&lt;BD$2), IF($I21= "I", $J21/($F21-$E21+1), $J21/(($F21*($F21+1)/2)-(($E21-1)*($E21-1+1)/2))*BC$2), 0)+IF(IF(time+1&gt;=BD$2, $K21/time_cap/(time+1)*BC$2, 0) = 0, $K21/(time_cap),0)),0)</f>
        <v/>
      </c>
      <c r="BD21" s="4395">
        <f>IFERROR(IF((time+time_cap)&lt;BD$2, 0,IF(AND(time+1&gt;=BE$2, $E21&lt;BE$2), IF($I21= "I", $J21/($F21-$E21+1), $J21/(($F21*($F21+1)/2)-(($E21-1)*($E21-1+1)/2))*BD$2), 0)+IF(IF(time+1&gt;=BE$2, $K21/time_cap/(time+1)*BD$2, 0) = 0, $K21/(time_cap),0)),0)</f>
        <v/>
      </c>
      <c r="BE21" s="4395">
        <f>IFERROR(IF((time+time_cap)&lt;BE$2, 0,IF(AND(time+1&gt;=BF$2, $E21&lt;BF$2), IF($I21= "I", $J21/($F21-$E21+1), $J21/(($F21*($F21+1)/2)-(($E21-1)*($E21-1+1)/2))*BE$2), 0)+IF(IF(time+1&gt;=BF$2, $K21/time_cap/(time+1)*BE$2, 0) = 0, $K21/(time_cap),0)),0)</f>
        <v/>
      </c>
      <c r="BF21" s="4395">
        <f>IFERROR(IF((time+time_cap)&lt;BF$2, 0,IF(AND(time+1&gt;=BG$2, $E21&lt;BG$2), IF($I21= "I", $J21/($F21-$E21+1), $J21/(($F21*($F21+1)/2)-(($E21-1)*($E21-1+1)/2))*BF$2), 0)+IF(IF(time+1&gt;=BG$2, $K21/time_cap/(time+1)*BF$2, 0) = 0, $K21/(time_cap),0)),0)</f>
        <v/>
      </c>
      <c r="BG21" s="4395">
        <f>IFERROR(IF((time+time_cap)&lt;BG$2, 0,IF(AND(time+1&gt;=BH$2, $E21&lt;BH$2), IF($I21= "I", $J21/($F21-$E21+1), $J21/(($F21*($F21+1)/2)-(($E21-1)*($E21-1+1)/2))*BG$2), 0)+IF(IF(time+1&gt;=BH$2, $K21/time_cap/(time+1)*BG$2, 0) = 0, $K21/(time_cap),0)),0)</f>
        <v/>
      </c>
      <c r="BH21" s="4395">
        <f>IFERROR(IF((time+time_cap)&lt;BH$2, 0,IF(AND(time+1&gt;=BI$2, $E21&lt;BI$2), IF($I21= "I", $J21/($F21-$E21+1), $J21/(($F21*($F21+1)/2)-(($E21-1)*($E21-1+1)/2))*BH$2), 0)+IF(IF(time+1&gt;=BI$2, $K21/time_cap/(time+1)*BH$2, 0) = 0, $K21/(time_cap),0)),0)</f>
        <v/>
      </c>
      <c r="BI21" s="4395">
        <f>IFERROR(IF((time+time_cap)&lt;BI$2, 0,IF(AND(time+1&gt;=BJ$2, $E21&lt;BJ$2), IF($I21= "I", $J21/($F21-$E21+1), $J21/(($F21*($F21+1)/2)-(($E21-1)*($E21-1+1)/2))*BI$2), 0)+IF(IF(time+1&gt;=BJ$2, $K21/time_cap/(time+1)*BI$2, 0) = 0, $K21/(time_cap),0)),0)</f>
        <v/>
      </c>
      <c r="BJ21" s="4395">
        <f>IFERROR(IF((time+time_cap)&lt;BJ$2, 0,IF(AND(time+1&gt;=BK$2, $E21&lt;BK$2), IF($I21= "I", $J21/($F21-$E21+1), $J21/(($F21*($F21+1)/2)-(($E21-1)*($E21-1+1)/2))*BJ$2), 0)+IF(IF(time+1&gt;=BK$2, $K21/time_cap/(time+1)*BJ$2, 0) = 0, $K21/(time_cap),0)),0)</f>
        <v/>
      </c>
      <c r="BK21" s="4395" t="n"/>
      <c r="BL21" s="4395" t="n"/>
      <c r="BM21" s="4395" t="n"/>
      <c r="BN21" s="4395" t="n"/>
      <c r="BO21" s="4395" t="n"/>
      <c r="BP21" s="4395" t="n"/>
      <c r="BQ21" s="4395" t="n"/>
      <c r="BR21" s="4395" t="n"/>
      <c r="BS21" s="4395" t="n"/>
      <c r="BT21" s="4395" t="n"/>
      <c r="BU21" s="4395" t="n"/>
      <c r="BV21" s="4395" t="n"/>
      <c r="BW21" s="4395" t="n"/>
      <c r="BX21" s="4395" t="n"/>
      <c r="BY21" s="4395" t="n"/>
      <c r="BZ21" s="4395" t="n"/>
      <c r="CA21" s="4395" t="n"/>
      <c r="CB21" s="4395" t="n"/>
      <c r="CC21" s="4395" t="n"/>
      <c r="CD21" s="4395" t="n"/>
      <c r="CE21" s="4395" t="n"/>
      <c r="CF21" s="4395" t="n"/>
      <c r="CG21" s="4395" t="n"/>
      <c r="CH21" s="4395" t="n"/>
      <c r="CI21" s="4395" t="n"/>
      <c r="CJ21" s="4395" t="n"/>
      <c r="CK21" s="4395" t="n"/>
      <c r="CL21" s="4395" t="n"/>
      <c r="CM21" s="4395" t="n"/>
      <c r="CN21" s="4395" t="n"/>
      <c r="CO21" s="4395" t="n"/>
      <c r="CP21" s="4395" t="n"/>
      <c r="CQ21" s="4395" t="n"/>
      <c r="CR21" s="4395" t="n"/>
      <c r="CS21" s="4395" t="n"/>
      <c r="CT21" s="4395" t="n"/>
      <c r="CU21" s="4395" t="n"/>
      <c r="CV21" s="4395" t="n"/>
      <c r="CW21" s="4395" t="n"/>
      <c r="CX21" s="4395" t="n"/>
      <c r="CY21" s="4395" t="n"/>
      <c r="CZ21" s="4395" t="n"/>
      <c r="DA21" s="4395" t="n"/>
      <c r="DB21" s="4395" t="n"/>
      <c r="DC21" s="4395" t="n"/>
      <c r="DD21" s="4395" t="n"/>
      <c r="DE21" s="4395" t="n"/>
      <c r="DF21" s="4395" t="n"/>
      <c r="DG21" s="4395" t="n"/>
      <c r="DH21" s="4395" t="n"/>
    </row>
    <row r="22" ht="16" customHeight="1">
      <c r="A22" t="inlineStr">
        <is>
          <t>A/R</t>
        </is>
      </c>
      <c r="C22">
        <f>'2.LUC'!C39</f>
        <v/>
      </c>
      <c r="D22">
        <f>'2.LUC'!Y39</f>
        <v/>
      </c>
      <c r="E22">
        <f>IF('2.LUC'!CA39&lt;&gt;0,'2.LUC'!CA39,'2.LUC'!BZ39)</f>
        <v/>
      </c>
      <c r="F22">
        <f>time</f>
        <v/>
      </c>
      <c r="G22" s="4395">
        <f>'2.LUC'!O39</f>
        <v/>
      </c>
      <c r="H22" s="4395">
        <f>'2.LUC'!Q39</f>
        <v/>
      </c>
      <c r="I22" s="4395">
        <f>IF(OR(H22="I", G22="I"), "I", IF(OR(H22="E", G22="E"), "E", "D"))</f>
        <v/>
      </c>
      <c r="J22" s="4395">
        <f>((D22/(time_cap+((F22-E22+1)*VLOOKUP(I22,list!$I$48:$K$50,3, FALSE))))*(F22-E22+1)*VLOOKUP(I22,list!$I$48:$K$50,3, FALSE))</f>
        <v/>
      </c>
      <c r="K22" s="4395">
        <f>((D22/(time_cap+((F22-E22+1)*VLOOKUP(I22,list!$I$48:$K$50,3, FALSE))))*time_cap)</f>
        <v/>
      </c>
      <c r="M22" s="4395">
        <f>IFERROR(IF((time+time_cap)&lt;M$2, 0,IF(AND(time+1&gt;=N$2, $E22&lt;N$2), IF($I22= "I", $J22/($F22-$E22+1), $J22/(($F22*($F22+1)/2)-(($E22-1)*($E22-1+1)/2))*M$2), 0)+IF(IF(time+1&gt;=N$2, $K22/time_cap/(time+1)*M$2, 0) = 0, $K22/(time_cap),0)),0)</f>
        <v/>
      </c>
      <c r="N22" s="4395">
        <f>IFERROR(IF((time+time_cap)&lt;N$2, 0,IF(AND(time+1&gt;=O$2, $E22&lt;O$2), IF($I22= "I", $J22/($F22-$E22+1), $J22/(($F22*($F22+1)/2)-(($E22-1)*($E22-1+1)/2))*N$2), 0)+IF(IF(time+1&gt;=O$2, $K22/time_cap/(time+1)*N$2, 0) = 0, $K22/(time_cap),0)),0)</f>
        <v/>
      </c>
      <c r="O22" s="4395">
        <f>IFERROR(IF((time+time_cap)&lt;O$2, 0,IF(AND(time+1&gt;=P$2, $E22&lt;P$2), IF($I22= "I", $J22/($F22-$E22+1), $J22/(($F22*($F22+1)/2)-(($E22-1)*($E22-1+1)/2))*O$2), 0)+IF(IF(time+1&gt;=P$2, $K22/time_cap/(time+1)*O$2, 0) = 0, $K22/(time_cap),0)),0)</f>
        <v/>
      </c>
      <c r="P22" s="4395">
        <f>IFERROR(IF((time+time_cap)&lt;P$2, 0,IF(AND(time+1&gt;=Q$2, $E22&lt;Q$2), IF($I22= "I", $J22/($F22-$E22+1), $J22/(($F22*($F22+1)/2)-(($E22-1)*($E22-1+1)/2))*P$2), 0)+IF(IF(time+1&gt;=Q$2, $K22/time_cap/(time+1)*P$2, 0) = 0, $K22/(time_cap),0)),0)</f>
        <v/>
      </c>
      <c r="Q22" s="4395">
        <f>IFERROR(IF((time+time_cap)&lt;Q$2, 0,IF(AND(time+1&gt;=R$2, $E22&lt;R$2), IF($I22= "I", $J22/($F22-$E22+1), $J22/(($F22*($F22+1)/2)-(($E22-1)*($E22-1+1)/2))*Q$2), 0)+IF(IF(time+1&gt;=R$2, $K22/time_cap/(time+1)*Q$2, 0) = 0, $K22/(time_cap),0)),0)</f>
        <v/>
      </c>
      <c r="R22" s="4395">
        <f>IFERROR(IF((time+time_cap)&lt;R$2, 0,IF(AND(time+1&gt;=S$2, $E22&lt;S$2), IF($I22= "I", $J22/($F22-$E22+1), $J22/(($F22*($F22+1)/2)-(($E22-1)*($E22-1+1)/2))*R$2), 0)+IF(IF(time+1&gt;=S$2, $K22/time_cap/(time+1)*R$2, 0) = 0, $K22/(time_cap),0)),0)</f>
        <v/>
      </c>
      <c r="S22" s="4395">
        <f>IFERROR(IF((time+time_cap)&lt;S$2, 0,IF(AND(time+1&gt;=T$2, $E22&lt;T$2), IF($I22= "I", $J22/($F22-$E22+1), $J22/(($F22*($F22+1)/2)-(($E22-1)*($E22-1+1)/2))*S$2), 0)+IF(IF(time+1&gt;=T$2, $K22/time_cap/(time+1)*S$2, 0) = 0, $K22/(time_cap),0)),0)</f>
        <v/>
      </c>
      <c r="T22" s="4395">
        <f>IFERROR(IF((time+time_cap)&lt;T$2, 0,IF(AND(time+1&gt;=U$2, $E22&lt;U$2), IF($I22= "I", $J22/($F22-$E22+1), $J22/(($F22*($F22+1)/2)-(($E22-1)*($E22-1+1)/2))*T$2), 0)+IF(IF(time+1&gt;=U$2, $K22/time_cap/(time+1)*T$2, 0) = 0, $K22/(time_cap),0)),0)</f>
        <v/>
      </c>
      <c r="U22" s="4395">
        <f>IFERROR(IF((time+time_cap)&lt;U$2, 0,IF(AND(time+1&gt;=V$2, $E22&lt;V$2), IF($I22= "I", $J22/($F22-$E22+1), $J22/(($F22*($F22+1)/2)-(($E22-1)*($E22-1+1)/2))*U$2), 0)+IF(IF(time+1&gt;=V$2, $K22/time_cap/(time+1)*U$2, 0) = 0, $K22/(time_cap),0)),0)</f>
        <v/>
      </c>
      <c r="V22" s="4395">
        <f>IFERROR(IF((time+time_cap)&lt;V$2, 0,IF(AND(time+1&gt;=W$2, $E22&lt;W$2), IF($I22= "I", $J22/($F22-$E22+1), $J22/(($F22*($F22+1)/2)-(($E22-1)*($E22-1+1)/2))*V$2), 0)+IF(IF(time+1&gt;=W$2, $K22/time_cap/(time+1)*V$2, 0) = 0, $K22/(time_cap),0)),0)</f>
        <v/>
      </c>
      <c r="W22" s="4395">
        <f>IFERROR(IF((time+time_cap)&lt;W$2, 0,IF(AND(time+1&gt;=X$2, $E22&lt;X$2), IF($I22= "I", $J22/($F22-$E22+1), $J22/(($F22*($F22+1)/2)-(($E22-1)*($E22-1+1)/2))*W$2), 0)+IF(IF(time+1&gt;=X$2, $K22/time_cap/(time+1)*W$2, 0) = 0, $K22/(time_cap),0)),0)</f>
        <v/>
      </c>
      <c r="X22" s="4395">
        <f>IFERROR(IF((time+time_cap)&lt;X$2, 0,IF(AND(time+1&gt;=Y$2, $E22&lt;Y$2), IF($I22= "I", $J22/($F22-$E22+1), $J22/(($F22*($F22+1)/2)-(($E22-1)*($E22-1+1)/2))*X$2), 0)+IF(IF(time+1&gt;=Y$2, $K22/time_cap/(time+1)*X$2, 0) = 0, $K22/(time_cap),0)),0)</f>
        <v/>
      </c>
      <c r="Y22" s="4395">
        <f>IFERROR(IF((time+time_cap)&lt;Y$2, 0,IF(AND(time+1&gt;=Z$2, $E22&lt;Z$2), IF($I22= "I", $J22/($F22-$E22+1), $J22/(($F22*($F22+1)/2)-(($E22-1)*($E22-1+1)/2))*Y$2), 0)+IF(IF(time+1&gt;=Z$2, $K22/time_cap/(time+1)*Y$2, 0) = 0, $K22/(time_cap),0)),0)</f>
        <v/>
      </c>
      <c r="Z22" s="4395">
        <f>IFERROR(IF((time+time_cap)&lt;Z$2, 0,IF(AND(time+1&gt;=AA$2, $E22&lt;AA$2), IF($I22= "I", $J22/($F22-$E22+1), $J22/(($F22*($F22+1)/2)-(($E22-1)*($E22-1+1)/2))*Z$2), 0)+IF(IF(time+1&gt;=AA$2, $K22/time_cap/(time+1)*Z$2, 0) = 0, $K22/(time_cap),0)),0)</f>
        <v/>
      </c>
      <c r="AA22" s="4395">
        <f>IFERROR(IF((time+time_cap)&lt;AA$2, 0,IF(AND(time+1&gt;=AB$2, $E22&lt;AB$2), IF($I22= "I", $J22/($F22-$E22+1), $J22/(($F22*($F22+1)/2)-(($E22-1)*($E22-1+1)/2))*AA$2), 0)+IF(IF(time+1&gt;=AB$2, $K22/time_cap/(time+1)*AA$2, 0) = 0, $K22/(time_cap),0)),0)</f>
        <v/>
      </c>
      <c r="AB22" s="4395">
        <f>IFERROR(IF((time+time_cap)&lt;AB$2, 0,IF(AND(time+1&gt;=AC$2, $E22&lt;AC$2), IF($I22= "I", $J22/($F22-$E22+1), $J22/(($F22*($F22+1)/2)-(($E22-1)*($E22-1+1)/2))*AB$2), 0)+IF(IF(time+1&gt;=AC$2, $K22/time_cap/(time+1)*AB$2, 0) = 0, $K22/(time_cap),0)),0)</f>
        <v/>
      </c>
      <c r="AC22" s="4395">
        <f>IFERROR(IF((time+time_cap)&lt;AC$2, 0,IF(AND(time+1&gt;=AD$2, $E22&lt;AD$2), IF($I22= "I", $J22/($F22-$E22+1), $J22/(($F22*($F22+1)/2)-(($E22-1)*($E22-1+1)/2))*AC$2), 0)+IF(IF(time+1&gt;=AD$2, $K22/time_cap/(time+1)*AC$2, 0) = 0, $K22/(time_cap),0)),0)</f>
        <v/>
      </c>
      <c r="AD22" s="4395">
        <f>IFERROR(IF((time+time_cap)&lt;AD$2, 0,IF(AND(time+1&gt;=AE$2, $E22&lt;AE$2), IF($I22= "I", $J22/($F22-$E22+1), $J22/(($F22*($F22+1)/2)-(($E22-1)*($E22-1+1)/2))*AD$2), 0)+IF(IF(time+1&gt;=AE$2, $K22/time_cap/(time+1)*AD$2, 0) = 0, $K22/(time_cap),0)),0)</f>
        <v/>
      </c>
      <c r="AE22" s="4395">
        <f>IFERROR(IF((time+time_cap)&lt;AE$2, 0,IF(AND(time+1&gt;=AF$2, $E22&lt;AF$2), IF($I22= "I", $J22/($F22-$E22+1), $J22/(($F22*($F22+1)/2)-(($E22-1)*($E22-1+1)/2))*AE$2), 0)+IF(IF(time+1&gt;=AF$2, $K22/time_cap/(time+1)*AE$2, 0) = 0, $K22/(time_cap),0)),0)</f>
        <v/>
      </c>
      <c r="AF22" s="4395">
        <f>IFERROR(IF((time+time_cap)&lt;AF$2, 0,IF(AND(time+1&gt;=AG$2, $E22&lt;AG$2), IF($I22= "I", $J22/($F22-$E22+1), $J22/(($F22*($F22+1)/2)-(($E22-1)*($E22-1+1)/2))*AF$2), 0)+IF(IF(time+1&gt;=AG$2, $K22/time_cap/(time+1)*AF$2, 0) = 0, $K22/(time_cap),0)),0)</f>
        <v/>
      </c>
      <c r="AG22" s="4395">
        <f>IFERROR(IF((time+time_cap)&lt;AG$2, 0,IF(AND(time+1&gt;=AH$2, $E22&lt;AH$2), IF($I22= "I", $J22/($F22-$E22+1), $J22/(($F22*($F22+1)/2)-(($E22-1)*($E22-1+1)/2))*AG$2), 0)+IF(IF(time+1&gt;=AH$2, $K22/time_cap/(time+1)*AG$2, 0) = 0, $K22/(time_cap),0)),0)</f>
        <v/>
      </c>
      <c r="AH22" s="4395">
        <f>IFERROR(IF((time+time_cap)&lt;AH$2, 0,IF(AND(time+1&gt;=AI$2, $E22&lt;AI$2), IF($I22= "I", $J22/($F22-$E22+1), $J22/(($F22*($F22+1)/2)-(($E22-1)*($E22-1+1)/2))*AH$2), 0)+IF(IF(time+1&gt;=AI$2, $K22/time_cap/(time+1)*AH$2, 0) = 0, $K22/(time_cap),0)),0)</f>
        <v/>
      </c>
      <c r="AI22" s="4395">
        <f>IFERROR(IF((time+time_cap)&lt;AI$2, 0,IF(AND(time+1&gt;=AJ$2, $E22&lt;AJ$2), IF($I22= "I", $J22/($F22-$E22+1), $J22/(($F22*($F22+1)/2)-(($E22-1)*($E22-1+1)/2))*AI$2), 0)+IF(IF(time+1&gt;=AJ$2, $K22/time_cap/(time+1)*AI$2, 0) = 0, $K22/(time_cap),0)),0)</f>
        <v/>
      </c>
      <c r="AJ22" s="4395">
        <f>IFERROR(IF((time+time_cap)&lt;AJ$2, 0,IF(AND(time+1&gt;=AK$2, $E22&lt;AK$2), IF($I22= "I", $J22/($F22-$E22+1), $J22/(($F22*($F22+1)/2)-(($E22-1)*($E22-1+1)/2))*AJ$2), 0)+IF(IF(time+1&gt;=AK$2, $K22/time_cap/(time+1)*AJ$2, 0) = 0, $K22/(time_cap),0)),0)</f>
        <v/>
      </c>
      <c r="AK22" s="4395">
        <f>IFERROR(IF((time+time_cap)&lt;AK$2, 0,IF(AND(time+1&gt;=AL$2, $E22&lt;AL$2), IF($I22= "I", $J22/($F22-$E22+1), $J22/(($F22*($F22+1)/2)-(($E22-1)*($E22-1+1)/2))*AK$2), 0)+IF(IF(time+1&gt;=AL$2, $K22/time_cap/(time+1)*AK$2, 0) = 0, $K22/(time_cap),0)),0)</f>
        <v/>
      </c>
      <c r="AL22" s="4395">
        <f>IFERROR(IF((time+time_cap)&lt;AL$2, 0,IF(AND(time+1&gt;=AM$2, $E22&lt;AM$2), IF($I22= "I", $J22/($F22-$E22+1), $J22/(($F22*($F22+1)/2)-(($E22-1)*($E22-1+1)/2))*AL$2), 0)+IF(IF(time+1&gt;=AM$2, $K22/time_cap/(time+1)*AL$2, 0) = 0, $K22/(time_cap),0)),0)</f>
        <v/>
      </c>
      <c r="AM22" s="4395">
        <f>IFERROR(IF((time+time_cap)&lt;AM$2, 0,IF(AND(time+1&gt;=AN$2, $E22&lt;AN$2), IF($I22= "I", $J22/($F22-$E22+1), $J22/(($F22*($F22+1)/2)-(($E22-1)*($E22-1+1)/2))*AM$2), 0)+IF(IF(time+1&gt;=AN$2, $K22/time_cap/(time+1)*AM$2, 0) = 0, $K22/(time_cap),0)),0)</f>
        <v/>
      </c>
      <c r="AN22" s="4395">
        <f>IFERROR(IF((time+time_cap)&lt;AN$2, 0,IF(AND(time+1&gt;=AO$2, $E22&lt;AO$2), IF($I22= "I", $J22/($F22-$E22+1), $J22/(($F22*($F22+1)/2)-(($E22-1)*($E22-1+1)/2))*AN$2), 0)+IF(IF(time+1&gt;=AO$2, $K22/time_cap/(time+1)*AN$2, 0) = 0, $K22/(time_cap),0)),0)</f>
        <v/>
      </c>
      <c r="AO22" s="4395">
        <f>IFERROR(IF((time+time_cap)&lt;AO$2, 0,IF(AND(time+1&gt;=AP$2, $E22&lt;AP$2), IF($I22= "I", $J22/($F22-$E22+1), $J22/(($F22*($F22+1)/2)-(($E22-1)*($E22-1+1)/2))*AO$2), 0)+IF(IF(time+1&gt;=AP$2, $K22/time_cap/(time+1)*AO$2, 0) = 0, $K22/(time_cap),0)),0)</f>
        <v/>
      </c>
      <c r="AP22" s="4395">
        <f>IFERROR(IF((time+time_cap)&lt;AP$2, 0,IF(AND(time+1&gt;=AQ$2, $E22&lt;AQ$2), IF($I22= "I", $J22/($F22-$E22+1), $J22/(($F22*($F22+1)/2)-(($E22-1)*($E22-1+1)/2))*AP$2), 0)+IF(IF(time+1&gt;=AQ$2, $K22/time_cap/(time+1)*AP$2, 0) = 0, $K22/(time_cap),0)),0)</f>
        <v/>
      </c>
      <c r="AQ22" s="4395">
        <f>IFERROR(IF((time+time_cap)&lt;AQ$2, 0,IF(AND(time+1&gt;=AR$2, $E22&lt;AR$2), IF($I22= "I", $J22/($F22-$E22+1), $J22/(($F22*($F22+1)/2)-(($E22-1)*($E22-1+1)/2))*AQ$2), 0)+IF(IF(time+1&gt;=AR$2, $K22/time_cap/(time+1)*AQ$2, 0) = 0, $K22/(time_cap),0)),0)</f>
        <v/>
      </c>
      <c r="AR22" s="4395">
        <f>IFERROR(IF((time+time_cap)&lt;AR$2, 0,IF(AND(time+1&gt;=AS$2, $E22&lt;AS$2), IF($I22= "I", $J22/($F22-$E22+1), $J22/(($F22*($F22+1)/2)-(($E22-1)*($E22-1+1)/2))*AR$2), 0)+IF(IF(time+1&gt;=AS$2, $K22/time_cap/(time+1)*AR$2, 0) = 0, $K22/(time_cap),0)),0)</f>
        <v/>
      </c>
      <c r="AS22" s="4395">
        <f>IFERROR(IF((time+time_cap)&lt;AS$2, 0,IF(AND(time+1&gt;=AT$2, $E22&lt;AT$2), IF($I22= "I", $J22/($F22-$E22+1), $J22/(($F22*($F22+1)/2)-(($E22-1)*($E22-1+1)/2))*AS$2), 0)+IF(IF(time+1&gt;=AT$2, $K22/time_cap/(time+1)*AS$2, 0) = 0, $K22/(time_cap),0)),0)</f>
        <v/>
      </c>
      <c r="AT22" s="4395">
        <f>IFERROR(IF((time+time_cap)&lt;AT$2, 0,IF(AND(time+1&gt;=AU$2, $E22&lt;AU$2), IF($I22= "I", $J22/($F22-$E22+1), $J22/(($F22*($F22+1)/2)-(($E22-1)*($E22-1+1)/2))*AT$2), 0)+IF(IF(time+1&gt;=AU$2, $K22/time_cap/(time+1)*AT$2, 0) = 0, $K22/(time_cap),0)),0)</f>
        <v/>
      </c>
      <c r="AU22" s="4395">
        <f>IFERROR(IF((time+time_cap)&lt;AU$2, 0,IF(AND(time+1&gt;=AV$2, $E22&lt;AV$2), IF($I22= "I", $J22/($F22-$E22+1), $J22/(($F22*($F22+1)/2)-(($E22-1)*($E22-1+1)/2))*AU$2), 0)+IF(IF(time+1&gt;=AV$2, $K22/time_cap/(time+1)*AU$2, 0) = 0, $K22/(time_cap),0)),0)</f>
        <v/>
      </c>
      <c r="AV22" s="4395">
        <f>IFERROR(IF((time+time_cap)&lt;AV$2, 0,IF(AND(time+1&gt;=AW$2, $E22&lt;AW$2), IF($I22= "I", $J22/($F22-$E22+1), $J22/(($F22*($F22+1)/2)-(($E22-1)*($E22-1+1)/2))*AV$2), 0)+IF(IF(time+1&gt;=AW$2, $K22/time_cap/(time+1)*AV$2, 0) = 0, $K22/(time_cap),0)),0)</f>
        <v/>
      </c>
      <c r="AW22" s="4395">
        <f>IFERROR(IF((time+time_cap)&lt;AW$2, 0,IF(AND(time+1&gt;=AX$2, $E22&lt;AX$2), IF($I22= "I", $J22/($F22-$E22+1), $J22/(($F22*($F22+1)/2)-(($E22-1)*($E22-1+1)/2))*AW$2), 0)+IF(IF(time+1&gt;=AX$2, $K22/time_cap/(time+1)*AW$2, 0) = 0, $K22/(time_cap),0)),0)</f>
        <v/>
      </c>
      <c r="AX22" s="4395">
        <f>IFERROR(IF((time+time_cap)&lt;AX$2, 0,IF(AND(time+1&gt;=AY$2, $E22&lt;AY$2), IF($I22= "I", $J22/($F22-$E22+1), $J22/(($F22*($F22+1)/2)-(($E22-1)*($E22-1+1)/2))*AX$2), 0)+IF(IF(time+1&gt;=AY$2, $K22/time_cap/(time+1)*AX$2, 0) = 0, $K22/(time_cap),0)),0)</f>
        <v/>
      </c>
      <c r="AY22" s="4395">
        <f>IFERROR(IF((time+time_cap)&lt;AY$2, 0,IF(AND(time+1&gt;=AZ$2, $E22&lt;AZ$2), IF($I22= "I", $J22/($F22-$E22+1), $J22/(($F22*($F22+1)/2)-(($E22-1)*($E22-1+1)/2))*AY$2), 0)+IF(IF(time+1&gt;=AZ$2, $K22/time_cap/(time+1)*AY$2, 0) = 0, $K22/(time_cap),0)),0)</f>
        <v/>
      </c>
      <c r="AZ22" s="4395">
        <f>IFERROR(IF((time+time_cap)&lt;AZ$2, 0,IF(AND(time+1&gt;=BA$2, $E22&lt;BA$2), IF($I22= "I", $J22/($F22-$E22+1), $J22/(($F22*($F22+1)/2)-(($E22-1)*($E22-1+1)/2))*AZ$2), 0)+IF(IF(time+1&gt;=BA$2, $K22/time_cap/(time+1)*AZ$2, 0) = 0, $K22/(time_cap),0)),0)</f>
        <v/>
      </c>
      <c r="BA22" s="4395">
        <f>IFERROR(IF((time+time_cap)&lt;BA$2, 0,IF(AND(time+1&gt;=BB$2, $E22&lt;BB$2), IF($I22= "I", $J22/($F22-$E22+1), $J22/(($F22*($F22+1)/2)-(($E22-1)*($E22-1+1)/2))*BA$2), 0)+IF(IF(time+1&gt;=BB$2, $K22/time_cap/(time+1)*BA$2, 0) = 0, $K22/(time_cap),0)),0)</f>
        <v/>
      </c>
      <c r="BB22" s="4395">
        <f>IFERROR(IF((time+time_cap)&lt;BB$2, 0,IF(AND(time+1&gt;=BC$2, $E22&lt;BC$2), IF($I22= "I", $J22/($F22-$E22+1), $J22/(($F22*($F22+1)/2)-(($E22-1)*($E22-1+1)/2))*BB$2), 0)+IF(IF(time+1&gt;=BC$2, $K22/time_cap/(time+1)*BB$2, 0) = 0, $K22/(time_cap),0)),0)</f>
        <v/>
      </c>
      <c r="BC22" s="4395">
        <f>IFERROR(IF((time+time_cap)&lt;BC$2, 0,IF(AND(time+1&gt;=BD$2, $E22&lt;BD$2), IF($I22= "I", $J22/($F22-$E22+1), $J22/(($F22*($F22+1)/2)-(($E22-1)*($E22-1+1)/2))*BC$2), 0)+IF(IF(time+1&gt;=BD$2, $K22/time_cap/(time+1)*BC$2, 0) = 0, $K22/(time_cap),0)),0)</f>
        <v/>
      </c>
      <c r="BD22" s="4395">
        <f>IFERROR(IF((time+time_cap)&lt;BD$2, 0,IF(AND(time+1&gt;=BE$2, $E22&lt;BE$2), IF($I22= "I", $J22/($F22-$E22+1), $J22/(($F22*($F22+1)/2)-(($E22-1)*($E22-1+1)/2))*BD$2), 0)+IF(IF(time+1&gt;=BE$2, $K22/time_cap/(time+1)*BD$2, 0) = 0, $K22/(time_cap),0)),0)</f>
        <v/>
      </c>
      <c r="BE22" s="4395">
        <f>IFERROR(IF((time+time_cap)&lt;BE$2, 0,IF(AND(time+1&gt;=BF$2, $E22&lt;BF$2), IF($I22= "I", $J22/($F22-$E22+1), $J22/(($F22*($F22+1)/2)-(($E22-1)*($E22-1+1)/2))*BE$2), 0)+IF(IF(time+1&gt;=BF$2, $K22/time_cap/(time+1)*BE$2, 0) = 0, $K22/(time_cap),0)),0)</f>
        <v/>
      </c>
      <c r="BF22" s="4395">
        <f>IFERROR(IF((time+time_cap)&lt;BF$2, 0,IF(AND(time+1&gt;=BG$2, $E22&lt;BG$2), IF($I22= "I", $J22/($F22-$E22+1), $J22/(($F22*($F22+1)/2)-(($E22-1)*($E22-1+1)/2))*BF$2), 0)+IF(IF(time+1&gt;=BG$2, $K22/time_cap/(time+1)*BF$2, 0) = 0, $K22/(time_cap),0)),0)</f>
        <v/>
      </c>
      <c r="BG22" s="4395">
        <f>IFERROR(IF((time+time_cap)&lt;BG$2, 0,IF(AND(time+1&gt;=BH$2, $E22&lt;BH$2), IF($I22= "I", $J22/($F22-$E22+1), $J22/(($F22*($F22+1)/2)-(($E22-1)*($E22-1+1)/2))*BG$2), 0)+IF(IF(time+1&gt;=BH$2, $K22/time_cap/(time+1)*BG$2, 0) = 0, $K22/(time_cap),0)),0)</f>
        <v/>
      </c>
      <c r="BH22" s="4395">
        <f>IFERROR(IF((time+time_cap)&lt;BH$2, 0,IF(AND(time+1&gt;=BI$2, $E22&lt;BI$2), IF($I22= "I", $J22/($F22-$E22+1), $J22/(($F22*($F22+1)/2)-(($E22-1)*($E22-1+1)/2))*BH$2), 0)+IF(IF(time+1&gt;=BI$2, $K22/time_cap/(time+1)*BH$2, 0) = 0, $K22/(time_cap),0)),0)</f>
        <v/>
      </c>
      <c r="BI22" s="4395">
        <f>IFERROR(IF((time+time_cap)&lt;BI$2, 0,IF(AND(time+1&gt;=BJ$2, $E22&lt;BJ$2), IF($I22= "I", $J22/($F22-$E22+1), $J22/(($F22*($F22+1)/2)-(($E22-1)*($E22-1+1)/2))*BI$2), 0)+IF(IF(time+1&gt;=BJ$2, $K22/time_cap/(time+1)*BI$2, 0) = 0, $K22/(time_cap),0)),0)</f>
        <v/>
      </c>
      <c r="BJ22" s="4395">
        <f>IFERROR(IF((time+time_cap)&lt;BJ$2, 0,IF(AND(time+1&gt;=BK$2, $E22&lt;BK$2), IF($I22= "I", $J22/($F22-$E22+1), $J22/(($F22*($F22+1)/2)-(($E22-1)*($E22-1+1)/2))*BJ$2), 0)+IF(IF(time+1&gt;=BK$2, $K22/time_cap/(time+1)*BJ$2, 0) = 0, $K22/(time_cap),0)),0)</f>
        <v/>
      </c>
      <c r="BK22" s="4395" t="n"/>
      <c r="BL22" s="4395" t="n"/>
      <c r="BM22" s="4395" t="n"/>
      <c r="BN22" s="4395" t="n"/>
      <c r="BO22" s="4395" t="n"/>
      <c r="BP22" s="4395" t="n"/>
      <c r="BQ22" s="4395" t="n"/>
      <c r="BR22" s="4395" t="n"/>
      <c r="BS22" s="4395" t="n"/>
      <c r="BT22" s="4395" t="n"/>
      <c r="BU22" s="4395" t="n"/>
      <c r="BV22" s="4395" t="n"/>
      <c r="BW22" s="4395" t="n"/>
      <c r="BX22" s="4395" t="n"/>
      <c r="BY22" s="4395" t="n"/>
      <c r="BZ22" s="4395" t="n"/>
      <c r="CA22" s="4395" t="n"/>
      <c r="CB22" s="4395" t="n"/>
      <c r="CC22" s="4395" t="n"/>
      <c r="CD22" s="4395" t="n"/>
      <c r="CE22" s="4395" t="n"/>
      <c r="CF22" s="4395" t="n"/>
      <c r="CG22" s="4395" t="n"/>
      <c r="CH22" s="4395" t="n"/>
      <c r="CI22" s="4395" t="n"/>
      <c r="CJ22" s="4395" t="n"/>
      <c r="CK22" s="4395" t="n"/>
      <c r="CL22" s="4395" t="n"/>
      <c r="CM22" s="4395" t="n"/>
      <c r="CN22" s="4395" t="n"/>
      <c r="CO22" s="4395" t="n"/>
      <c r="CP22" s="4395" t="n"/>
      <c r="CQ22" s="4395" t="n"/>
      <c r="CR22" s="4395" t="n"/>
      <c r="CS22" s="4395" t="n"/>
      <c r="CT22" s="4395" t="n"/>
      <c r="CU22" s="4395" t="n"/>
      <c r="CV22" s="4395" t="n"/>
      <c r="CW22" s="4395" t="n"/>
      <c r="CX22" s="4395" t="n"/>
      <c r="CY22" s="4395" t="n"/>
      <c r="CZ22" s="4395" t="n"/>
      <c r="DA22" s="4395" t="n"/>
      <c r="DB22" s="4395" t="n"/>
      <c r="DC22" s="4395" t="n"/>
      <c r="DD22" s="4395" t="n"/>
      <c r="DE22" s="4395" t="n"/>
      <c r="DF22" s="4395" t="n"/>
      <c r="DG22" s="4395" t="n"/>
      <c r="DH22" s="4395" t="n"/>
    </row>
    <row r="23" ht="16" customHeight="1">
      <c r="A23" t="inlineStr">
        <is>
          <t>A/R</t>
        </is>
      </c>
      <c r="C23">
        <f>'2.LUC'!C40</f>
        <v/>
      </c>
      <c r="D23">
        <f>'2.LUC'!Y40</f>
        <v/>
      </c>
      <c r="E23">
        <f>IF('2.LUC'!CA40&lt;&gt;0,'2.LUC'!CA40,'2.LUC'!BZ40)</f>
        <v/>
      </c>
      <c r="F23">
        <f>time</f>
        <v/>
      </c>
      <c r="G23" s="4395">
        <f>'2.LUC'!O40</f>
        <v/>
      </c>
      <c r="H23" s="4395">
        <f>'2.LUC'!Q40</f>
        <v/>
      </c>
      <c r="I23" s="4395">
        <f>IF(OR(H23="I", G23="I"), "I", IF(OR(H23="E", G23="E"), "E", "D"))</f>
        <v/>
      </c>
      <c r="J23" s="4395">
        <f>((D23/(time_cap+((F23-E23+1)*VLOOKUP(I23,list!$I$48:$K$50,3, FALSE))))*(F23-E23+1)*VLOOKUP(I23,list!$I$48:$K$50,3, FALSE))</f>
        <v/>
      </c>
      <c r="K23" s="4395">
        <f>((D23/(time_cap+((F23-E23+1)*VLOOKUP(I23,list!$I$48:$K$50,3, FALSE))))*time_cap)</f>
        <v/>
      </c>
      <c r="M23" s="4395">
        <f>IFERROR(IF((time+time_cap)&lt;M$2, 0,IF(AND(time+1&gt;=N$2, $E23&lt;N$2), IF($I23= "I", $J23/($F23-$E23+1), $J23/(($F23*($F23+1)/2)-(($E23-1)*($E23-1+1)/2))*M$2), 0)+IF(IF(time+1&gt;=N$2, $K23/time_cap/(time+1)*M$2, 0) = 0, $K23/(time_cap),0)),0)</f>
        <v/>
      </c>
      <c r="N23" s="4395">
        <f>IFERROR(IF((time+time_cap)&lt;N$2, 0,IF(AND(time+1&gt;=O$2, $E23&lt;O$2), IF($I23= "I", $J23/($F23-$E23+1), $J23/(($F23*($F23+1)/2)-(($E23-1)*($E23-1+1)/2))*N$2), 0)+IF(IF(time+1&gt;=O$2, $K23/time_cap/(time+1)*N$2, 0) = 0, $K23/(time_cap),0)),0)</f>
        <v/>
      </c>
      <c r="O23" s="4395">
        <f>IFERROR(IF((time+time_cap)&lt;O$2, 0,IF(AND(time+1&gt;=P$2, $E23&lt;P$2), IF($I23= "I", $J23/($F23-$E23+1), $J23/(($F23*($F23+1)/2)-(($E23-1)*($E23-1+1)/2))*O$2), 0)+IF(IF(time+1&gt;=P$2, $K23/time_cap/(time+1)*O$2, 0) = 0, $K23/(time_cap),0)),0)</f>
        <v/>
      </c>
      <c r="P23" s="4395">
        <f>IFERROR(IF((time+time_cap)&lt;P$2, 0,IF(AND(time+1&gt;=Q$2, $E23&lt;Q$2), IF($I23= "I", $J23/($F23-$E23+1), $J23/(($F23*($F23+1)/2)-(($E23-1)*($E23-1+1)/2))*P$2), 0)+IF(IF(time+1&gt;=Q$2, $K23/time_cap/(time+1)*P$2, 0) = 0, $K23/(time_cap),0)),0)</f>
        <v/>
      </c>
      <c r="Q23" s="4395">
        <f>IFERROR(IF((time+time_cap)&lt;Q$2, 0,IF(AND(time+1&gt;=R$2, $E23&lt;R$2), IF($I23= "I", $J23/($F23-$E23+1), $J23/(($F23*($F23+1)/2)-(($E23-1)*($E23-1+1)/2))*Q$2), 0)+IF(IF(time+1&gt;=R$2, $K23/time_cap/(time+1)*Q$2, 0) = 0, $K23/(time_cap),0)),0)</f>
        <v/>
      </c>
      <c r="R23" s="4395">
        <f>IFERROR(IF((time+time_cap)&lt;R$2, 0,IF(AND(time+1&gt;=S$2, $E23&lt;S$2), IF($I23= "I", $J23/($F23-$E23+1), $J23/(($F23*($F23+1)/2)-(($E23-1)*($E23-1+1)/2))*R$2), 0)+IF(IF(time+1&gt;=S$2, $K23/time_cap/(time+1)*R$2, 0) = 0, $K23/(time_cap),0)),0)</f>
        <v/>
      </c>
      <c r="S23" s="4395">
        <f>IFERROR(IF((time+time_cap)&lt;S$2, 0,IF(AND(time+1&gt;=T$2, $E23&lt;T$2), IF($I23= "I", $J23/($F23-$E23+1), $J23/(($F23*($F23+1)/2)-(($E23-1)*($E23-1+1)/2))*S$2), 0)+IF(IF(time+1&gt;=T$2, $K23/time_cap/(time+1)*S$2, 0) = 0, $K23/(time_cap),0)),0)</f>
        <v/>
      </c>
      <c r="T23" s="4395">
        <f>IFERROR(IF((time+time_cap)&lt;T$2, 0,IF(AND(time+1&gt;=U$2, $E23&lt;U$2), IF($I23= "I", $J23/($F23-$E23+1), $J23/(($F23*($F23+1)/2)-(($E23-1)*($E23-1+1)/2))*T$2), 0)+IF(IF(time+1&gt;=U$2, $K23/time_cap/(time+1)*T$2, 0) = 0, $K23/(time_cap),0)),0)</f>
        <v/>
      </c>
      <c r="U23" s="4395">
        <f>IFERROR(IF((time+time_cap)&lt;U$2, 0,IF(AND(time+1&gt;=V$2, $E23&lt;V$2), IF($I23= "I", $J23/($F23-$E23+1), $J23/(($F23*($F23+1)/2)-(($E23-1)*($E23-1+1)/2))*U$2), 0)+IF(IF(time+1&gt;=V$2, $K23/time_cap/(time+1)*U$2, 0) = 0, $K23/(time_cap),0)),0)</f>
        <v/>
      </c>
      <c r="V23" s="4395">
        <f>IFERROR(IF((time+time_cap)&lt;V$2, 0,IF(AND(time+1&gt;=W$2, $E23&lt;W$2), IF($I23= "I", $J23/($F23-$E23+1), $J23/(($F23*($F23+1)/2)-(($E23-1)*($E23-1+1)/2))*V$2), 0)+IF(IF(time+1&gt;=W$2, $K23/time_cap/(time+1)*V$2, 0) = 0, $K23/(time_cap),0)),0)</f>
        <v/>
      </c>
      <c r="W23" s="4395">
        <f>IFERROR(IF((time+time_cap)&lt;W$2, 0,IF(AND(time+1&gt;=X$2, $E23&lt;X$2), IF($I23= "I", $J23/($F23-$E23+1), $J23/(($F23*($F23+1)/2)-(($E23-1)*($E23-1+1)/2))*W$2), 0)+IF(IF(time+1&gt;=X$2, $K23/time_cap/(time+1)*W$2, 0) = 0, $K23/(time_cap),0)),0)</f>
        <v/>
      </c>
      <c r="X23" s="4395">
        <f>IFERROR(IF((time+time_cap)&lt;X$2, 0,IF(AND(time+1&gt;=Y$2, $E23&lt;Y$2), IF($I23= "I", $J23/($F23-$E23+1), $J23/(($F23*($F23+1)/2)-(($E23-1)*($E23-1+1)/2))*X$2), 0)+IF(IF(time+1&gt;=Y$2, $K23/time_cap/(time+1)*X$2, 0) = 0, $K23/(time_cap),0)),0)</f>
        <v/>
      </c>
      <c r="Y23" s="4395">
        <f>IFERROR(IF((time+time_cap)&lt;Y$2, 0,IF(AND(time+1&gt;=Z$2, $E23&lt;Z$2), IF($I23= "I", $J23/($F23-$E23+1), $J23/(($F23*($F23+1)/2)-(($E23-1)*($E23-1+1)/2))*Y$2), 0)+IF(IF(time+1&gt;=Z$2, $K23/time_cap/(time+1)*Y$2, 0) = 0, $K23/(time_cap),0)),0)</f>
        <v/>
      </c>
      <c r="Z23" s="4395">
        <f>IFERROR(IF((time+time_cap)&lt;Z$2, 0,IF(AND(time+1&gt;=AA$2, $E23&lt;AA$2), IF($I23= "I", $J23/($F23-$E23+1), $J23/(($F23*($F23+1)/2)-(($E23-1)*($E23-1+1)/2))*Z$2), 0)+IF(IF(time+1&gt;=AA$2, $K23/time_cap/(time+1)*Z$2, 0) = 0, $K23/(time_cap),0)),0)</f>
        <v/>
      </c>
      <c r="AA23" s="4395">
        <f>IFERROR(IF((time+time_cap)&lt;AA$2, 0,IF(AND(time+1&gt;=AB$2, $E23&lt;AB$2), IF($I23= "I", $J23/($F23-$E23+1), $J23/(($F23*($F23+1)/2)-(($E23-1)*($E23-1+1)/2))*AA$2), 0)+IF(IF(time+1&gt;=AB$2, $K23/time_cap/(time+1)*AA$2, 0) = 0, $K23/(time_cap),0)),0)</f>
        <v/>
      </c>
      <c r="AB23" s="4395">
        <f>IFERROR(IF((time+time_cap)&lt;AB$2, 0,IF(AND(time+1&gt;=AC$2, $E23&lt;AC$2), IF($I23= "I", $J23/($F23-$E23+1), $J23/(($F23*($F23+1)/2)-(($E23-1)*($E23-1+1)/2))*AB$2), 0)+IF(IF(time+1&gt;=AC$2, $K23/time_cap/(time+1)*AB$2, 0) = 0, $K23/(time_cap),0)),0)</f>
        <v/>
      </c>
      <c r="AC23" s="4395">
        <f>IFERROR(IF((time+time_cap)&lt;AC$2, 0,IF(AND(time+1&gt;=AD$2, $E23&lt;AD$2), IF($I23= "I", $J23/($F23-$E23+1), $J23/(($F23*($F23+1)/2)-(($E23-1)*($E23-1+1)/2))*AC$2), 0)+IF(IF(time+1&gt;=AD$2, $K23/time_cap/(time+1)*AC$2, 0) = 0, $K23/(time_cap),0)),0)</f>
        <v/>
      </c>
      <c r="AD23" s="4395">
        <f>IFERROR(IF((time+time_cap)&lt;AD$2, 0,IF(AND(time+1&gt;=AE$2, $E23&lt;AE$2), IF($I23= "I", $J23/($F23-$E23+1), $J23/(($F23*($F23+1)/2)-(($E23-1)*($E23-1+1)/2))*AD$2), 0)+IF(IF(time+1&gt;=AE$2, $K23/time_cap/(time+1)*AD$2, 0) = 0, $K23/(time_cap),0)),0)</f>
        <v/>
      </c>
      <c r="AE23" s="4395">
        <f>IFERROR(IF((time+time_cap)&lt;AE$2, 0,IF(AND(time+1&gt;=AF$2, $E23&lt;AF$2), IF($I23= "I", $J23/($F23-$E23+1), $J23/(($F23*($F23+1)/2)-(($E23-1)*($E23-1+1)/2))*AE$2), 0)+IF(IF(time+1&gt;=AF$2, $K23/time_cap/(time+1)*AE$2, 0) = 0, $K23/(time_cap),0)),0)</f>
        <v/>
      </c>
      <c r="AF23" s="4395">
        <f>IFERROR(IF((time+time_cap)&lt;AF$2, 0,IF(AND(time+1&gt;=AG$2, $E23&lt;AG$2), IF($I23= "I", $J23/($F23-$E23+1), $J23/(($F23*($F23+1)/2)-(($E23-1)*($E23-1+1)/2))*AF$2), 0)+IF(IF(time+1&gt;=AG$2, $K23/time_cap/(time+1)*AF$2, 0) = 0, $K23/(time_cap),0)),0)</f>
        <v/>
      </c>
      <c r="AG23" s="4395">
        <f>IFERROR(IF((time+time_cap)&lt;AG$2, 0,IF(AND(time+1&gt;=AH$2, $E23&lt;AH$2), IF($I23= "I", $J23/($F23-$E23+1), $J23/(($F23*($F23+1)/2)-(($E23-1)*($E23-1+1)/2))*AG$2), 0)+IF(IF(time+1&gt;=AH$2, $K23/time_cap/(time+1)*AG$2, 0) = 0, $K23/(time_cap),0)),0)</f>
        <v/>
      </c>
      <c r="AH23" s="4395">
        <f>IFERROR(IF((time+time_cap)&lt;AH$2, 0,IF(AND(time+1&gt;=AI$2, $E23&lt;AI$2), IF($I23= "I", $J23/($F23-$E23+1), $J23/(($F23*($F23+1)/2)-(($E23-1)*($E23-1+1)/2))*AH$2), 0)+IF(IF(time+1&gt;=AI$2, $K23/time_cap/(time+1)*AH$2, 0) = 0, $K23/(time_cap),0)),0)</f>
        <v/>
      </c>
      <c r="AI23" s="4395">
        <f>IFERROR(IF((time+time_cap)&lt;AI$2, 0,IF(AND(time+1&gt;=AJ$2, $E23&lt;AJ$2), IF($I23= "I", $J23/($F23-$E23+1), $J23/(($F23*($F23+1)/2)-(($E23-1)*($E23-1+1)/2))*AI$2), 0)+IF(IF(time+1&gt;=AJ$2, $K23/time_cap/(time+1)*AI$2, 0) = 0, $K23/(time_cap),0)),0)</f>
        <v/>
      </c>
      <c r="AJ23" s="4395">
        <f>IFERROR(IF((time+time_cap)&lt;AJ$2, 0,IF(AND(time+1&gt;=AK$2, $E23&lt;AK$2), IF($I23= "I", $J23/($F23-$E23+1), $J23/(($F23*($F23+1)/2)-(($E23-1)*($E23-1+1)/2))*AJ$2), 0)+IF(IF(time+1&gt;=AK$2, $K23/time_cap/(time+1)*AJ$2, 0) = 0, $K23/(time_cap),0)),0)</f>
        <v/>
      </c>
      <c r="AK23" s="4395">
        <f>IFERROR(IF((time+time_cap)&lt;AK$2, 0,IF(AND(time+1&gt;=AL$2, $E23&lt;AL$2), IF($I23= "I", $J23/($F23-$E23+1), $J23/(($F23*($F23+1)/2)-(($E23-1)*($E23-1+1)/2))*AK$2), 0)+IF(IF(time+1&gt;=AL$2, $K23/time_cap/(time+1)*AK$2, 0) = 0, $K23/(time_cap),0)),0)</f>
        <v/>
      </c>
      <c r="AL23" s="4395">
        <f>IFERROR(IF((time+time_cap)&lt;AL$2, 0,IF(AND(time+1&gt;=AM$2, $E23&lt;AM$2), IF($I23= "I", $J23/($F23-$E23+1), $J23/(($F23*($F23+1)/2)-(($E23-1)*($E23-1+1)/2))*AL$2), 0)+IF(IF(time+1&gt;=AM$2, $K23/time_cap/(time+1)*AL$2, 0) = 0, $K23/(time_cap),0)),0)</f>
        <v/>
      </c>
      <c r="AM23" s="4395">
        <f>IFERROR(IF((time+time_cap)&lt;AM$2, 0,IF(AND(time+1&gt;=AN$2, $E23&lt;AN$2), IF($I23= "I", $J23/($F23-$E23+1), $J23/(($F23*($F23+1)/2)-(($E23-1)*($E23-1+1)/2))*AM$2), 0)+IF(IF(time+1&gt;=AN$2, $K23/time_cap/(time+1)*AM$2, 0) = 0, $K23/(time_cap),0)),0)</f>
        <v/>
      </c>
      <c r="AN23" s="4395">
        <f>IFERROR(IF((time+time_cap)&lt;AN$2, 0,IF(AND(time+1&gt;=AO$2, $E23&lt;AO$2), IF($I23= "I", $J23/($F23-$E23+1), $J23/(($F23*($F23+1)/2)-(($E23-1)*($E23-1+1)/2))*AN$2), 0)+IF(IF(time+1&gt;=AO$2, $K23/time_cap/(time+1)*AN$2, 0) = 0, $K23/(time_cap),0)),0)</f>
        <v/>
      </c>
      <c r="AO23" s="4395">
        <f>IFERROR(IF((time+time_cap)&lt;AO$2, 0,IF(AND(time+1&gt;=AP$2, $E23&lt;AP$2), IF($I23= "I", $J23/($F23-$E23+1), $J23/(($F23*($F23+1)/2)-(($E23-1)*($E23-1+1)/2))*AO$2), 0)+IF(IF(time+1&gt;=AP$2, $K23/time_cap/(time+1)*AO$2, 0) = 0, $K23/(time_cap),0)),0)</f>
        <v/>
      </c>
      <c r="AP23" s="4395">
        <f>IFERROR(IF((time+time_cap)&lt;AP$2, 0,IF(AND(time+1&gt;=AQ$2, $E23&lt;AQ$2), IF($I23= "I", $J23/($F23-$E23+1), $J23/(($F23*($F23+1)/2)-(($E23-1)*($E23-1+1)/2))*AP$2), 0)+IF(IF(time+1&gt;=AQ$2, $K23/time_cap/(time+1)*AP$2, 0) = 0, $K23/(time_cap),0)),0)</f>
        <v/>
      </c>
      <c r="AQ23" s="4395">
        <f>IFERROR(IF((time+time_cap)&lt;AQ$2, 0,IF(AND(time+1&gt;=AR$2, $E23&lt;AR$2), IF($I23= "I", $J23/($F23-$E23+1), $J23/(($F23*($F23+1)/2)-(($E23-1)*($E23-1+1)/2))*AQ$2), 0)+IF(IF(time+1&gt;=AR$2, $K23/time_cap/(time+1)*AQ$2, 0) = 0, $K23/(time_cap),0)),0)</f>
        <v/>
      </c>
      <c r="AR23" s="4395">
        <f>IFERROR(IF((time+time_cap)&lt;AR$2, 0,IF(AND(time+1&gt;=AS$2, $E23&lt;AS$2), IF($I23= "I", $J23/($F23-$E23+1), $J23/(($F23*($F23+1)/2)-(($E23-1)*($E23-1+1)/2))*AR$2), 0)+IF(IF(time+1&gt;=AS$2, $K23/time_cap/(time+1)*AR$2, 0) = 0, $K23/(time_cap),0)),0)</f>
        <v/>
      </c>
      <c r="AS23" s="4395">
        <f>IFERROR(IF((time+time_cap)&lt;AS$2, 0,IF(AND(time+1&gt;=AT$2, $E23&lt;AT$2), IF($I23= "I", $J23/($F23-$E23+1), $J23/(($F23*($F23+1)/2)-(($E23-1)*($E23-1+1)/2))*AS$2), 0)+IF(IF(time+1&gt;=AT$2, $K23/time_cap/(time+1)*AS$2, 0) = 0, $K23/(time_cap),0)),0)</f>
        <v/>
      </c>
      <c r="AT23" s="4395">
        <f>IFERROR(IF((time+time_cap)&lt;AT$2, 0,IF(AND(time+1&gt;=AU$2, $E23&lt;AU$2), IF($I23= "I", $J23/($F23-$E23+1), $J23/(($F23*($F23+1)/2)-(($E23-1)*($E23-1+1)/2))*AT$2), 0)+IF(IF(time+1&gt;=AU$2, $K23/time_cap/(time+1)*AT$2, 0) = 0, $K23/(time_cap),0)),0)</f>
        <v/>
      </c>
      <c r="AU23" s="4395">
        <f>IFERROR(IF((time+time_cap)&lt;AU$2, 0,IF(AND(time+1&gt;=AV$2, $E23&lt;AV$2), IF($I23= "I", $J23/($F23-$E23+1), $J23/(($F23*($F23+1)/2)-(($E23-1)*($E23-1+1)/2))*AU$2), 0)+IF(IF(time+1&gt;=AV$2, $K23/time_cap/(time+1)*AU$2, 0) = 0, $K23/(time_cap),0)),0)</f>
        <v/>
      </c>
      <c r="AV23" s="4395">
        <f>IFERROR(IF((time+time_cap)&lt;AV$2, 0,IF(AND(time+1&gt;=AW$2, $E23&lt;AW$2), IF($I23= "I", $J23/($F23-$E23+1), $J23/(($F23*($F23+1)/2)-(($E23-1)*($E23-1+1)/2))*AV$2), 0)+IF(IF(time+1&gt;=AW$2, $K23/time_cap/(time+1)*AV$2, 0) = 0, $K23/(time_cap),0)),0)</f>
        <v/>
      </c>
      <c r="AW23" s="4395">
        <f>IFERROR(IF((time+time_cap)&lt;AW$2, 0,IF(AND(time+1&gt;=AX$2, $E23&lt;AX$2), IF($I23= "I", $J23/($F23-$E23+1), $J23/(($F23*($F23+1)/2)-(($E23-1)*($E23-1+1)/2))*AW$2), 0)+IF(IF(time+1&gt;=AX$2, $K23/time_cap/(time+1)*AW$2, 0) = 0, $K23/(time_cap),0)),0)</f>
        <v/>
      </c>
      <c r="AX23" s="4395">
        <f>IFERROR(IF((time+time_cap)&lt;AX$2, 0,IF(AND(time+1&gt;=AY$2, $E23&lt;AY$2), IF($I23= "I", $J23/($F23-$E23+1), $J23/(($F23*($F23+1)/2)-(($E23-1)*($E23-1+1)/2))*AX$2), 0)+IF(IF(time+1&gt;=AY$2, $K23/time_cap/(time+1)*AX$2, 0) = 0, $K23/(time_cap),0)),0)</f>
        <v/>
      </c>
      <c r="AY23" s="4395">
        <f>IFERROR(IF((time+time_cap)&lt;AY$2, 0,IF(AND(time+1&gt;=AZ$2, $E23&lt;AZ$2), IF($I23= "I", $J23/($F23-$E23+1), $J23/(($F23*($F23+1)/2)-(($E23-1)*($E23-1+1)/2))*AY$2), 0)+IF(IF(time+1&gt;=AZ$2, $K23/time_cap/(time+1)*AY$2, 0) = 0, $K23/(time_cap),0)),0)</f>
        <v/>
      </c>
      <c r="AZ23" s="4395">
        <f>IFERROR(IF((time+time_cap)&lt;AZ$2, 0,IF(AND(time+1&gt;=BA$2, $E23&lt;BA$2), IF($I23= "I", $J23/($F23-$E23+1), $J23/(($F23*($F23+1)/2)-(($E23-1)*($E23-1+1)/2))*AZ$2), 0)+IF(IF(time+1&gt;=BA$2, $K23/time_cap/(time+1)*AZ$2, 0) = 0, $K23/(time_cap),0)),0)</f>
        <v/>
      </c>
      <c r="BA23" s="4395">
        <f>IFERROR(IF((time+time_cap)&lt;BA$2, 0,IF(AND(time+1&gt;=BB$2, $E23&lt;BB$2), IF($I23= "I", $J23/($F23-$E23+1), $J23/(($F23*($F23+1)/2)-(($E23-1)*($E23-1+1)/2))*BA$2), 0)+IF(IF(time+1&gt;=BB$2, $K23/time_cap/(time+1)*BA$2, 0) = 0, $K23/(time_cap),0)),0)</f>
        <v/>
      </c>
      <c r="BB23" s="4395">
        <f>IFERROR(IF((time+time_cap)&lt;BB$2, 0,IF(AND(time+1&gt;=BC$2, $E23&lt;BC$2), IF($I23= "I", $J23/($F23-$E23+1), $J23/(($F23*($F23+1)/2)-(($E23-1)*($E23-1+1)/2))*BB$2), 0)+IF(IF(time+1&gt;=BC$2, $K23/time_cap/(time+1)*BB$2, 0) = 0, $K23/(time_cap),0)),0)</f>
        <v/>
      </c>
      <c r="BC23" s="4395">
        <f>IFERROR(IF((time+time_cap)&lt;BC$2, 0,IF(AND(time+1&gt;=BD$2, $E23&lt;BD$2), IF($I23= "I", $J23/($F23-$E23+1), $J23/(($F23*($F23+1)/2)-(($E23-1)*($E23-1+1)/2))*BC$2), 0)+IF(IF(time+1&gt;=BD$2, $K23/time_cap/(time+1)*BC$2, 0) = 0, $K23/(time_cap),0)),0)</f>
        <v/>
      </c>
      <c r="BD23" s="4395">
        <f>IFERROR(IF((time+time_cap)&lt;BD$2, 0,IF(AND(time+1&gt;=BE$2, $E23&lt;BE$2), IF($I23= "I", $J23/($F23-$E23+1), $J23/(($F23*($F23+1)/2)-(($E23-1)*($E23-1+1)/2))*BD$2), 0)+IF(IF(time+1&gt;=BE$2, $K23/time_cap/(time+1)*BD$2, 0) = 0, $K23/(time_cap),0)),0)</f>
        <v/>
      </c>
      <c r="BE23" s="4395">
        <f>IFERROR(IF((time+time_cap)&lt;BE$2, 0,IF(AND(time+1&gt;=BF$2, $E23&lt;BF$2), IF($I23= "I", $J23/($F23-$E23+1), $J23/(($F23*($F23+1)/2)-(($E23-1)*($E23-1+1)/2))*BE$2), 0)+IF(IF(time+1&gt;=BF$2, $K23/time_cap/(time+1)*BE$2, 0) = 0, $K23/(time_cap),0)),0)</f>
        <v/>
      </c>
      <c r="BF23" s="4395">
        <f>IFERROR(IF((time+time_cap)&lt;BF$2, 0,IF(AND(time+1&gt;=BG$2, $E23&lt;BG$2), IF($I23= "I", $J23/($F23-$E23+1), $J23/(($F23*($F23+1)/2)-(($E23-1)*($E23-1+1)/2))*BF$2), 0)+IF(IF(time+1&gt;=BG$2, $K23/time_cap/(time+1)*BF$2, 0) = 0, $K23/(time_cap),0)),0)</f>
        <v/>
      </c>
      <c r="BG23" s="4395">
        <f>IFERROR(IF((time+time_cap)&lt;BG$2, 0,IF(AND(time+1&gt;=BH$2, $E23&lt;BH$2), IF($I23= "I", $J23/($F23-$E23+1), $J23/(($F23*($F23+1)/2)-(($E23-1)*($E23-1+1)/2))*BG$2), 0)+IF(IF(time+1&gt;=BH$2, $K23/time_cap/(time+1)*BG$2, 0) = 0, $K23/(time_cap),0)),0)</f>
        <v/>
      </c>
      <c r="BH23" s="4395">
        <f>IFERROR(IF((time+time_cap)&lt;BH$2, 0,IF(AND(time+1&gt;=BI$2, $E23&lt;BI$2), IF($I23= "I", $J23/($F23-$E23+1), $J23/(($F23*($F23+1)/2)-(($E23-1)*($E23-1+1)/2))*BH$2), 0)+IF(IF(time+1&gt;=BI$2, $K23/time_cap/(time+1)*BH$2, 0) = 0, $K23/(time_cap),0)),0)</f>
        <v/>
      </c>
      <c r="BI23" s="4395">
        <f>IFERROR(IF((time+time_cap)&lt;BI$2, 0,IF(AND(time+1&gt;=BJ$2, $E23&lt;BJ$2), IF($I23= "I", $J23/($F23-$E23+1), $J23/(($F23*($F23+1)/2)-(($E23-1)*($E23-1+1)/2))*BI$2), 0)+IF(IF(time+1&gt;=BJ$2, $K23/time_cap/(time+1)*BI$2, 0) = 0, $K23/(time_cap),0)),0)</f>
        <v/>
      </c>
      <c r="BJ23" s="4395">
        <f>IFERROR(IF((time+time_cap)&lt;BJ$2, 0,IF(AND(time+1&gt;=BK$2, $E23&lt;BK$2), IF($I23= "I", $J23/($F23-$E23+1), $J23/(($F23*($F23+1)/2)-(($E23-1)*($E23-1+1)/2))*BJ$2), 0)+IF(IF(time+1&gt;=BK$2, $K23/time_cap/(time+1)*BJ$2, 0) = 0, $K23/(time_cap),0)),0)</f>
        <v/>
      </c>
      <c r="BK23" s="4395" t="n"/>
      <c r="BL23" s="4395" t="n"/>
      <c r="BM23" s="4395" t="n"/>
      <c r="BN23" s="4395" t="n"/>
      <c r="BO23" s="4395" t="n"/>
      <c r="BP23" s="4395" t="n"/>
      <c r="BQ23" s="4395" t="n"/>
      <c r="BR23" s="4395" t="n"/>
      <c r="BS23" s="4395" t="n"/>
      <c r="BT23" s="4395" t="n"/>
      <c r="BU23" s="4395" t="n"/>
      <c r="BV23" s="4395" t="n"/>
      <c r="BW23" s="4395" t="n"/>
      <c r="BX23" s="4395" t="n"/>
      <c r="BY23" s="4395" t="n"/>
      <c r="BZ23" s="4395" t="n"/>
      <c r="CA23" s="4395" t="n"/>
      <c r="CB23" s="4395" t="n"/>
      <c r="CC23" s="4395" t="n"/>
      <c r="CD23" s="4395" t="n"/>
      <c r="CE23" s="4395" t="n"/>
      <c r="CF23" s="4395" t="n"/>
      <c r="CG23" s="4395" t="n"/>
      <c r="CH23" s="4395" t="n"/>
      <c r="CI23" s="4395" t="n"/>
      <c r="CJ23" s="4395" t="n"/>
      <c r="CK23" s="4395" t="n"/>
      <c r="CL23" s="4395" t="n"/>
      <c r="CM23" s="4395" t="n"/>
      <c r="CN23" s="4395" t="n"/>
      <c r="CO23" s="4395" t="n"/>
      <c r="CP23" s="4395" t="n"/>
      <c r="CQ23" s="4395" t="n"/>
      <c r="CR23" s="4395" t="n"/>
      <c r="CS23" s="4395" t="n"/>
      <c r="CT23" s="4395" t="n"/>
      <c r="CU23" s="4395" t="n"/>
      <c r="CV23" s="4395" t="n"/>
      <c r="CW23" s="4395" t="n"/>
      <c r="CX23" s="4395" t="n"/>
      <c r="CY23" s="4395" t="n"/>
      <c r="CZ23" s="4395" t="n"/>
      <c r="DA23" s="4395" t="n"/>
      <c r="DB23" s="4395" t="n"/>
      <c r="DC23" s="4395" t="n"/>
      <c r="DD23" s="4395" t="n"/>
      <c r="DE23" s="4395" t="n"/>
      <c r="DF23" s="4395" t="n"/>
      <c r="DG23" s="4395" t="n"/>
      <c r="DH23" s="4395" t="n"/>
    </row>
    <row r="24" ht="16" customHeight="1">
      <c r="A24" t="inlineStr">
        <is>
          <t>A/R</t>
        </is>
      </c>
      <c r="C24">
        <f>'2.LUC'!C41</f>
        <v/>
      </c>
      <c r="D24">
        <f>'2.LUC'!Y41</f>
        <v/>
      </c>
      <c r="E24">
        <f>IF('2.LUC'!CA41&lt;&gt;0,'2.LUC'!CA41,'2.LUC'!BZ41)</f>
        <v/>
      </c>
      <c r="F24">
        <f>time</f>
        <v/>
      </c>
      <c r="G24" s="4395">
        <f>'2.LUC'!O41</f>
        <v/>
      </c>
      <c r="H24" s="4395">
        <f>'2.LUC'!Q41</f>
        <v/>
      </c>
      <c r="I24" s="4395">
        <f>IF(OR(H24="I", G24="I"), "I", IF(OR(H24="E", G24="E"), "E", "D"))</f>
        <v/>
      </c>
      <c r="J24" s="4395">
        <f>((D24/(time_cap+((F24-E24+1)*VLOOKUP(I24,list!$I$48:$K$50,3, FALSE))))*(F24-E24+1)*VLOOKUP(I24,list!$I$48:$K$50,3, FALSE))</f>
        <v/>
      </c>
      <c r="K24" s="4395">
        <f>((D24/(time_cap+((F24-E24+1)*VLOOKUP(I24,list!$I$48:$K$50,3, FALSE))))*time_cap)</f>
        <v/>
      </c>
      <c r="M24" s="4395">
        <f>IFERROR(IF((time+time_cap)&lt;M$2, 0,IF(AND(time+1&gt;=N$2, $E24&lt;N$2), IF($I24= "I", $J24/($F24-$E24+1), $J24/(($F24*($F24+1)/2)-(($E24-1)*($E24-1+1)/2))*M$2), 0)+IF(IF(time+1&gt;=N$2, $K24/time_cap/(time+1)*M$2, 0) = 0, $K24/(time_cap),0)),0)</f>
        <v/>
      </c>
      <c r="N24" s="4395">
        <f>IFERROR(IF((time+time_cap)&lt;N$2, 0,IF(AND(time+1&gt;=O$2, $E24&lt;O$2), IF($I24= "I", $J24/($F24-$E24+1), $J24/(($F24*($F24+1)/2)-(($E24-1)*($E24-1+1)/2))*N$2), 0)+IF(IF(time+1&gt;=O$2, $K24/time_cap/(time+1)*N$2, 0) = 0, $K24/(time_cap),0)),0)</f>
        <v/>
      </c>
      <c r="O24" s="4395">
        <f>IFERROR(IF((time+time_cap)&lt;O$2, 0,IF(AND(time+1&gt;=P$2, $E24&lt;P$2), IF($I24= "I", $J24/($F24-$E24+1), $J24/(($F24*($F24+1)/2)-(($E24-1)*($E24-1+1)/2))*O$2), 0)+IF(IF(time+1&gt;=P$2, $K24/time_cap/(time+1)*O$2, 0) = 0, $K24/(time_cap),0)),0)</f>
        <v/>
      </c>
      <c r="P24" s="4395">
        <f>IFERROR(IF((time+time_cap)&lt;P$2, 0,IF(AND(time+1&gt;=Q$2, $E24&lt;Q$2), IF($I24= "I", $J24/($F24-$E24+1), $J24/(($F24*($F24+1)/2)-(($E24-1)*($E24-1+1)/2))*P$2), 0)+IF(IF(time+1&gt;=Q$2, $K24/time_cap/(time+1)*P$2, 0) = 0, $K24/(time_cap),0)),0)</f>
        <v/>
      </c>
      <c r="Q24" s="4395">
        <f>IFERROR(IF((time+time_cap)&lt;Q$2, 0,IF(AND(time+1&gt;=R$2, $E24&lt;R$2), IF($I24= "I", $J24/($F24-$E24+1), $J24/(($F24*($F24+1)/2)-(($E24-1)*($E24-1+1)/2))*Q$2), 0)+IF(IF(time+1&gt;=R$2, $K24/time_cap/(time+1)*Q$2, 0) = 0, $K24/(time_cap),0)),0)</f>
        <v/>
      </c>
      <c r="R24" s="4395">
        <f>IFERROR(IF((time+time_cap)&lt;R$2, 0,IF(AND(time+1&gt;=S$2, $E24&lt;S$2), IF($I24= "I", $J24/($F24-$E24+1), $J24/(($F24*($F24+1)/2)-(($E24-1)*($E24-1+1)/2))*R$2), 0)+IF(IF(time+1&gt;=S$2, $K24/time_cap/(time+1)*R$2, 0) = 0, $K24/(time_cap),0)),0)</f>
        <v/>
      </c>
      <c r="S24" s="4395">
        <f>IFERROR(IF((time+time_cap)&lt;S$2, 0,IF(AND(time+1&gt;=T$2, $E24&lt;T$2), IF($I24= "I", $J24/($F24-$E24+1), $J24/(($F24*($F24+1)/2)-(($E24-1)*($E24-1+1)/2))*S$2), 0)+IF(IF(time+1&gt;=T$2, $K24/time_cap/(time+1)*S$2, 0) = 0, $K24/(time_cap),0)),0)</f>
        <v/>
      </c>
      <c r="T24" s="4395">
        <f>IFERROR(IF((time+time_cap)&lt;T$2, 0,IF(AND(time+1&gt;=U$2, $E24&lt;U$2), IF($I24= "I", $J24/($F24-$E24+1), $J24/(($F24*($F24+1)/2)-(($E24-1)*($E24-1+1)/2))*T$2), 0)+IF(IF(time+1&gt;=U$2, $K24/time_cap/(time+1)*T$2, 0) = 0, $K24/(time_cap),0)),0)</f>
        <v/>
      </c>
      <c r="U24" s="4395">
        <f>IFERROR(IF((time+time_cap)&lt;U$2, 0,IF(AND(time+1&gt;=V$2, $E24&lt;V$2), IF($I24= "I", $J24/($F24-$E24+1), $J24/(($F24*($F24+1)/2)-(($E24-1)*($E24-1+1)/2))*U$2), 0)+IF(IF(time+1&gt;=V$2, $K24/time_cap/(time+1)*U$2, 0) = 0, $K24/(time_cap),0)),0)</f>
        <v/>
      </c>
      <c r="V24" s="4395">
        <f>IFERROR(IF((time+time_cap)&lt;V$2, 0,IF(AND(time+1&gt;=W$2, $E24&lt;W$2), IF($I24= "I", $J24/($F24-$E24+1), $J24/(($F24*($F24+1)/2)-(($E24-1)*($E24-1+1)/2))*V$2), 0)+IF(IF(time+1&gt;=W$2, $K24/time_cap/(time+1)*V$2, 0) = 0, $K24/(time_cap),0)),0)</f>
        <v/>
      </c>
      <c r="W24" s="4395">
        <f>IFERROR(IF((time+time_cap)&lt;W$2, 0,IF(AND(time+1&gt;=X$2, $E24&lt;X$2), IF($I24= "I", $J24/($F24-$E24+1), $J24/(($F24*($F24+1)/2)-(($E24-1)*($E24-1+1)/2))*W$2), 0)+IF(IF(time+1&gt;=X$2, $K24/time_cap/(time+1)*W$2, 0) = 0, $K24/(time_cap),0)),0)</f>
        <v/>
      </c>
      <c r="X24" s="4395">
        <f>IFERROR(IF((time+time_cap)&lt;X$2, 0,IF(AND(time+1&gt;=Y$2, $E24&lt;Y$2), IF($I24= "I", $J24/($F24-$E24+1), $J24/(($F24*($F24+1)/2)-(($E24-1)*($E24-1+1)/2))*X$2), 0)+IF(IF(time+1&gt;=Y$2, $K24/time_cap/(time+1)*X$2, 0) = 0, $K24/(time_cap),0)),0)</f>
        <v/>
      </c>
      <c r="Y24" s="4395">
        <f>IFERROR(IF((time+time_cap)&lt;Y$2, 0,IF(AND(time+1&gt;=Z$2, $E24&lt;Z$2), IF($I24= "I", $J24/($F24-$E24+1), $J24/(($F24*($F24+1)/2)-(($E24-1)*($E24-1+1)/2))*Y$2), 0)+IF(IF(time+1&gt;=Z$2, $K24/time_cap/(time+1)*Y$2, 0) = 0, $K24/(time_cap),0)),0)</f>
        <v/>
      </c>
      <c r="Z24" s="4395">
        <f>IFERROR(IF((time+time_cap)&lt;Z$2, 0,IF(AND(time+1&gt;=AA$2, $E24&lt;AA$2), IF($I24= "I", $J24/($F24-$E24+1), $J24/(($F24*($F24+1)/2)-(($E24-1)*($E24-1+1)/2))*Z$2), 0)+IF(IF(time+1&gt;=AA$2, $K24/time_cap/(time+1)*Z$2, 0) = 0, $K24/(time_cap),0)),0)</f>
        <v/>
      </c>
      <c r="AA24" s="4395">
        <f>IFERROR(IF((time+time_cap)&lt;AA$2, 0,IF(AND(time+1&gt;=AB$2, $E24&lt;AB$2), IF($I24= "I", $J24/($F24-$E24+1), $J24/(($F24*($F24+1)/2)-(($E24-1)*($E24-1+1)/2))*AA$2), 0)+IF(IF(time+1&gt;=AB$2, $K24/time_cap/(time+1)*AA$2, 0) = 0, $K24/(time_cap),0)),0)</f>
        <v/>
      </c>
      <c r="AB24" s="4395">
        <f>IFERROR(IF((time+time_cap)&lt;AB$2, 0,IF(AND(time+1&gt;=AC$2, $E24&lt;AC$2), IF($I24= "I", $J24/($F24-$E24+1), $J24/(($F24*($F24+1)/2)-(($E24-1)*($E24-1+1)/2))*AB$2), 0)+IF(IF(time+1&gt;=AC$2, $K24/time_cap/(time+1)*AB$2, 0) = 0, $K24/(time_cap),0)),0)</f>
        <v/>
      </c>
      <c r="AC24" s="4395">
        <f>IFERROR(IF((time+time_cap)&lt;AC$2, 0,IF(AND(time+1&gt;=AD$2, $E24&lt;AD$2), IF($I24= "I", $J24/($F24-$E24+1), $J24/(($F24*($F24+1)/2)-(($E24-1)*($E24-1+1)/2))*AC$2), 0)+IF(IF(time+1&gt;=AD$2, $K24/time_cap/(time+1)*AC$2, 0) = 0, $K24/(time_cap),0)),0)</f>
        <v/>
      </c>
      <c r="AD24" s="4395">
        <f>IFERROR(IF((time+time_cap)&lt;AD$2, 0,IF(AND(time+1&gt;=AE$2, $E24&lt;AE$2), IF($I24= "I", $J24/($F24-$E24+1), $J24/(($F24*($F24+1)/2)-(($E24-1)*($E24-1+1)/2))*AD$2), 0)+IF(IF(time+1&gt;=AE$2, $K24/time_cap/(time+1)*AD$2, 0) = 0, $K24/(time_cap),0)),0)</f>
        <v/>
      </c>
      <c r="AE24" s="4395">
        <f>IFERROR(IF((time+time_cap)&lt;AE$2, 0,IF(AND(time+1&gt;=AF$2, $E24&lt;AF$2), IF($I24= "I", $J24/($F24-$E24+1), $J24/(($F24*($F24+1)/2)-(($E24-1)*($E24-1+1)/2))*AE$2), 0)+IF(IF(time+1&gt;=AF$2, $K24/time_cap/(time+1)*AE$2, 0) = 0, $K24/(time_cap),0)),0)</f>
        <v/>
      </c>
      <c r="AF24" s="4395">
        <f>IFERROR(IF((time+time_cap)&lt;AF$2, 0,IF(AND(time+1&gt;=AG$2, $E24&lt;AG$2), IF($I24= "I", $J24/($F24-$E24+1), $J24/(($F24*($F24+1)/2)-(($E24-1)*($E24-1+1)/2))*AF$2), 0)+IF(IF(time+1&gt;=AG$2, $K24/time_cap/(time+1)*AF$2, 0) = 0, $K24/(time_cap),0)),0)</f>
        <v/>
      </c>
      <c r="AG24" s="4395">
        <f>IFERROR(IF((time+time_cap)&lt;AG$2, 0,IF(AND(time+1&gt;=AH$2, $E24&lt;AH$2), IF($I24= "I", $J24/($F24-$E24+1), $J24/(($F24*($F24+1)/2)-(($E24-1)*($E24-1+1)/2))*AG$2), 0)+IF(IF(time+1&gt;=AH$2, $K24/time_cap/(time+1)*AG$2, 0) = 0, $K24/(time_cap),0)),0)</f>
        <v/>
      </c>
      <c r="AH24" s="4395">
        <f>IFERROR(IF((time+time_cap)&lt;AH$2, 0,IF(AND(time+1&gt;=AI$2, $E24&lt;AI$2), IF($I24= "I", $J24/($F24-$E24+1), $J24/(($F24*($F24+1)/2)-(($E24-1)*($E24-1+1)/2))*AH$2), 0)+IF(IF(time+1&gt;=AI$2, $K24/time_cap/(time+1)*AH$2, 0) = 0, $K24/(time_cap),0)),0)</f>
        <v/>
      </c>
      <c r="AI24" s="4395">
        <f>IFERROR(IF((time+time_cap)&lt;AI$2, 0,IF(AND(time+1&gt;=AJ$2, $E24&lt;AJ$2), IF($I24= "I", $J24/($F24-$E24+1), $J24/(($F24*($F24+1)/2)-(($E24-1)*($E24-1+1)/2))*AI$2), 0)+IF(IF(time+1&gt;=AJ$2, $K24/time_cap/(time+1)*AI$2, 0) = 0, $K24/(time_cap),0)),0)</f>
        <v/>
      </c>
      <c r="AJ24" s="4395">
        <f>IFERROR(IF((time+time_cap)&lt;AJ$2, 0,IF(AND(time+1&gt;=AK$2, $E24&lt;AK$2), IF($I24= "I", $J24/($F24-$E24+1), $J24/(($F24*($F24+1)/2)-(($E24-1)*($E24-1+1)/2))*AJ$2), 0)+IF(IF(time+1&gt;=AK$2, $K24/time_cap/(time+1)*AJ$2, 0) = 0, $K24/(time_cap),0)),0)</f>
        <v/>
      </c>
      <c r="AK24" s="4395">
        <f>IFERROR(IF((time+time_cap)&lt;AK$2, 0,IF(AND(time+1&gt;=AL$2, $E24&lt;AL$2), IF($I24= "I", $J24/($F24-$E24+1), $J24/(($F24*($F24+1)/2)-(($E24-1)*($E24-1+1)/2))*AK$2), 0)+IF(IF(time+1&gt;=AL$2, $K24/time_cap/(time+1)*AK$2, 0) = 0, $K24/(time_cap),0)),0)</f>
        <v/>
      </c>
      <c r="AL24" s="4395">
        <f>IFERROR(IF((time+time_cap)&lt;AL$2, 0,IF(AND(time+1&gt;=AM$2, $E24&lt;AM$2), IF($I24= "I", $J24/($F24-$E24+1), $J24/(($F24*($F24+1)/2)-(($E24-1)*($E24-1+1)/2))*AL$2), 0)+IF(IF(time+1&gt;=AM$2, $K24/time_cap/(time+1)*AL$2, 0) = 0, $K24/(time_cap),0)),0)</f>
        <v/>
      </c>
      <c r="AM24" s="4395">
        <f>IFERROR(IF((time+time_cap)&lt;AM$2, 0,IF(AND(time+1&gt;=AN$2, $E24&lt;AN$2), IF($I24= "I", $J24/($F24-$E24+1), $J24/(($F24*($F24+1)/2)-(($E24-1)*($E24-1+1)/2))*AM$2), 0)+IF(IF(time+1&gt;=AN$2, $K24/time_cap/(time+1)*AM$2, 0) = 0, $K24/(time_cap),0)),0)</f>
        <v/>
      </c>
      <c r="AN24" s="4395">
        <f>IFERROR(IF((time+time_cap)&lt;AN$2, 0,IF(AND(time+1&gt;=AO$2, $E24&lt;AO$2), IF($I24= "I", $J24/($F24-$E24+1), $J24/(($F24*($F24+1)/2)-(($E24-1)*($E24-1+1)/2))*AN$2), 0)+IF(IF(time+1&gt;=AO$2, $K24/time_cap/(time+1)*AN$2, 0) = 0, $K24/(time_cap),0)),0)</f>
        <v/>
      </c>
      <c r="AO24" s="4395">
        <f>IFERROR(IF((time+time_cap)&lt;AO$2, 0,IF(AND(time+1&gt;=AP$2, $E24&lt;AP$2), IF($I24= "I", $J24/($F24-$E24+1), $J24/(($F24*($F24+1)/2)-(($E24-1)*($E24-1+1)/2))*AO$2), 0)+IF(IF(time+1&gt;=AP$2, $K24/time_cap/(time+1)*AO$2, 0) = 0, $K24/(time_cap),0)),0)</f>
        <v/>
      </c>
      <c r="AP24" s="4395">
        <f>IFERROR(IF((time+time_cap)&lt;AP$2, 0,IF(AND(time+1&gt;=AQ$2, $E24&lt;AQ$2), IF($I24= "I", $J24/($F24-$E24+1), $J24/(($F24*($F24+1)/2)-(($E24-1)*($E24-1+1)/2))*AP$2), 0)+IF(IF(time+1&gt;=AQ$2, $K24/time_cap/(time+1)*AP$2, 0) = 0, $K24/(time_cap),0)),0)</f>
        <v/>
      </c>
      <c r="AQ24" s="4395">
        <f>IFERROR(IF((time+time_cap)&lt;AQ$2, 0,IF(AND(time+1&gt;=AR$2, $E24&lt;AR$2), IF($I24= "I", $J24/($F24-$E24+1), $J24/(($F24*($F24+1)/2)-(($E24-1)*($E24-1+1)/2))*AQ$2), 0)+IF(IF(time+1&gt;=AR$2, $K24/time_cap/(time+1)*AQ$2, 0) = 0, $K24/(time_cap),0)),0)</f>
        <v/>
      </c>
      <c r="AR24" s="4395">
        <f>IFERROR(IF((time+time_cap)&lt;AR$2, 0,IF(AND(time+1&gt;=AS$2, $E24&lt;AS$2), IF($I24= "I", $J24/($F24-$E24+1), $J24/(($F24*($F24+1)/2)-(($E24-1)*($E24-1+1)/2))*AR$2), 0)+IF(IF(time+1&gt;=AS$2, $K24/time_cap/(time+1)*AR$2, 0) = 0, $K24/(time_cap),0)),0)</f>
        <v/>
      </c>
      <c r="AS24" s="4395">
        <f>IFERROR(IF((time+time_cap)&lt;AS$2, 0,IF(AND(time+1&gt;=AT$2, $E24&lt;AT$2), IF($I24= "I", $J24/($F24-$E24+1), $J24/(($F24*($F24+1)/2)-(($E24-1)*($E24-1+1)/2))*AS$2), 0)+IF(IF(time+1&gt;=AT$2, $K24/time_cap/(time+1)*AS$2, 0) = 0, $K24/(time_cap),0)),0)</f>
        <v/>
      </c>
      <c r="AT24" s="4395">
        <f>IFERROR(IF((time+time_cap)&lt;AT$2, 0,IF(AND(time+1&gt;=AU$2, $E24&lt;AU$2), IF($I24= "I", $J24/($F24-$E24+1), $J24/(($F24*($F24+1)/2)-(($E24-1)*($E24-1+1)/2))*AT$2), 0)+IF(IF(time+1&gt;=AU$2, $K24/time_cap/(time+1)*AT$2, 0) = 0, $K24/(time_cap),0)),0)</f>
        <v/>
      </c>
      <c r="AU24" s="4395">
        <f>IFERROR(IF((time+time_cap)&lt;AU$2, 0,IF(AND(time+1&gt;=AV$2, $E24&lt;AV$2), IF($I24= "I", $J24/($F24-$E24+1), $J24/(($F24*($F24+1)/2)-(($E24-1)*($E24-1+1)/2))*AU$2), 0)+IF(IF(time+1&gt;=AV$2, $K24/time_cap/(time+1)*AU$2, 0) = 0, $K24/(time_cap),0)),0)</f>
        <v/>
      </c>
      <c r="AV24" s="4395">
        <f>IFERROR(IF((time+time_cap)&lt;AV$2, 0,IF(AND(time+1&gt;=AW$2, $E24&lt;AW$2), IF($I24= "I", $J24/($F24-$E24+1), $J24/(($F24*($F24+1)/2)-(($E24-1)*($E24-1+1)/2))*AV$2), 0)+IF(IF(time+1&gt;=AW$2, $K24/time_cap/(time+1)*AV$2, 0) = 0, $K24/(time_cap),0)),0)</f>
        <v/>
      </c>
      <c r="AW24" s="4395">
        <f>IFERROR(IF((time+time_cap)&lt;AW$2, 0,IF(AND(time+1&gt;=AX$2, $E24&lt;AX$2), IF($I24= "I", $J24/($F24-$E24+1), $J24/(($F24*($F24+1)/2)-(($E24-1)*($E24-1+1)/2))*AW$2), 0)+IF(IF(time+1&gt;=AX$2, $K24/time_cap/(time+1)*AW$2, 0) = 0, $K24/(time_cap),0)),0)</f>
        <v/>
      </c>
      <c r="AX24" s="4395">
        <f>IFERROR(IF((time+time_cap)&lt;AX$2, 0,IF(AND(time+1&gt;=AY$2, $E24&lt;AY$2), IF($I24= "I", $J24/($F24-$E24+1), $J24/(($F24*($F24+1)/2)-(($E24-1)*($E24-1+1)/2))*AX$2), 0)+IF(IF(time+1&gt;=AY$2, $K24/time_cap/(time+1)*AX$2, 0) = 0, $K24/(time_cap),0)),0)</f>
        <v/>
      </c>
      <c r="AY24" s="4395">
        <f>IFERROR(IF((time+time_cap)&lt;AY$2, 0,IF(AND(time+1&gt;=AZ$2, $E24&lt;AZ$2), IF($I24= "I", $J24/($F24-$E24+1), $J24/(($F24*($F24+1)/2)-(($E24-1)*($E24-1+1)/2))*AY$2), 0)+IF(IF(time+1&gt;=AZ$2, $K24/time_cap/(time+1)*AY$2, 0) = 0, $K24/(time_cap),0)),0)</f>
        <v/>
      </c>
      <c r="AZ24" s="4395">
        <f>IFERROR(IF((time+time_cap)&lt;AZ$2, 0,IF(AND(time+1&gt;=BA$2, $E24&lt;BA$2), IF($I24= "I", $J24/($F24-$E24+1), $J24/(($F24*($F24+1)/2)-(($E24-1)*($E24-1+1)/2))*AZ$2), 0)+IF(IF(time+1&gt;=BA$2, $K24/time_cap/(time+1)*AZ$2, 0) = 0, $K24/(time_cap),0)),0)</f>
        <v/>
      </c>
      <c r="BA24" s="4395">
        <f>IFERROR(IF((time+time_cap)&lt;BA$2, 0,IF(AND(time+1&gt;=BB$2, $E24&lt;BB$2), IF($I24= "I", $J24/($F24-$E24+1), $J24/(($F24*($F24+1)/2)-(($E24-1)*($E24-1+1)/2))*BA$2), 0)+IF(IF(time+1&gt;=BB$2, $K24/time_cap/(time+1)*BA$2, 0) = 0, $K24/(time_cap),0)),0)</f>
        <v/>
      </c>
      <c r="BB24" s="4395">
        <f>IFERROR(IF((time+time_cap)&lt;BB$2, 0,IF(AND(time+1&gt;=BC$2, $E24&lt;BC$2), IF($I24= "I", $J24/($F24-$E24+1), $J24/(($F24*($F24+1)/2)-(($E24-1)*($E24-1+1)/2))*BB$2), 0)+IF(IF(time+1&gt;=BC$2, $K24/time_cap/(time+1)*BB$2, 0) = 0, $K24/(time_cap),0)),0)</f>
        <v/>
      </c>
      <c r="BC24" s="4395">
        <f>IFERROR(IF((time+time_cap)&lt;BC$2, 0,IF(AND(time+1&gt;=BD$2, $E24&lt;BD$2), IF($I24= "I", $J24/($F24-$E24+1), $J24/(($F24*($F24+1)/2)-(($E24-1)*($E24-1+1)/2))*BC$2), 0)+IF(IF(time+1&gt;=BD$2, $K24/time_cap/(time+1)*BC$2, 0) = 0, $K24/(time_cap),0)),0)</f>
        <v/>
      </c>
      <c r="BD24" s="4395">
        <f>IFERROR(IF((time+time_cap)&lt;BD$2, 0,IF(AND(time+1&gt;=BE$2, $E24&lt;BE$2), IF($I24= "I", $J24/($F24-$E24+1), $J24/(($F24*($F24+1)/2)-(($E24-1)*($E24-1+1)/2))*BD$2), 0)+IF(IF(time+1&gt;=BE$2, $K24/time_cap/(time+1)*BD$2, 0) = 0, $K24/(time_cap),0)),0)</f>
        <v/>
      </c>
      <c r="BE24" s="4395">
        <f>IFERROR(IF((time+time_cap)&lt;BE$2, 0,IF(AND(time+1&gt;=BF$2, $E24&lt;BF$2), IF($I24= "I", $J24/($F24-$E24+1), $J24/(($F24*($F24+1)/2)-(($E24-1)*($E24-1+1)/2))*BE$2), 0)+IF(IF(time+1&gt;=BF$2, $K24/time_cap/(time+1)*BE$2, 0) = 0, $K24/(time_cap),0)),0)</f>
        <v/>
      </c>
      <c r="BF24" s="4395">
        <f>IFERROR(IF((time+time_cap)&lt;BF$2, 0,IF(AND(time+1&gt;=BG$2, $E24&lt;BG$2), IF($I24= "I", $J24/($F24-$E24+1), $J24/(($F24*($F24+1)/2)-(($E24-1)*($E24-1+1)/2))*BF$2), 0)+IF(IF(time+1&gt;=BG$2, $K24/time_cap/(time+1)*BF$2, 0) = 0, $K24/(time_cap),0)),0)</f>
        <v/>
      </c>
      <c r="BG24" s="4395">
        <f>IFERROR(IF((time+time_cap)&lt;BG$2, 0,IF(AND(time+1&gt;=BH$2, $E24&lt;BH$2), IF($I24= "I", $J24/($F24-$E24+1), $J24/(($F24*($F24+1)/2)-(($E24-1)*($E24-1+1)/2))*BG$2), 0)+IF(IF(time+1&gt;=BH$2, $K24/time_cap/(time+1)*BG$2, 0) = 0, $K24/(time_cap),0)),0)</f>
        <v/>
      </c>
      <c r="BH24" s="4395">
        <f>IFERROR(IF((time+time_cap)&lt;BH$2, 0,IF(AND(time+1&gt;=BI$2, $E24&lt;BI$2), IF($I24= "I", $J24/($F24-$E24+1), $J24/(($F24*($F24+1)/2)-(($E24-1)*($E24-1+1)/2))*BH$2), 0)+IF(IF(time+1&gt;=BI$2, $K24/time_cap/(time+1)*BH$2, 0) = 0, $K24/(time_cap),0)),0)</f>
        <v/>
      </c>
      <c r="BI24" s="4395">
        <f>IFERROR(IF((time+time_cap)&lt;BI$2, 0,IF(AND(time+1&gt;=BJ$2, $E24&lt;BJ$2), IF($I24= "I", $J24/($F24-$E24+1), $J24/(($F24*($F24+1)/2)-(($E24-1)*($E24-1+1)/2))*BI$2), 0)+IF(IF(time+1&gt;=BJ$2, $K24/time_cap/(time+1)*BI$2, 0) = 0, $K24/(time_cap),0)),0)</f>
        <v/>
      </c>
      <c r="BJ24" s="4395">
        <f>IFERROR(IF((time+time_cap)&lt;BJ$2, 0,IF(AND(time+1&gt;=BK$2, $E24&lt;BK$2), IF($I24= "I", $J24/($F24-$E24+1), $J24/(($F24*($F24+1)/2)-(($E24-1)*($E24-1+1)/2))*BJ$2), 0)+IF(IF(time+1&gt;=BK$2, $K24/time_cap/(time+1)*BJ$2, 0) = 0, $K24/(time_cap),0)),0)</f>
        <v/>
      </c>
      <c r="BK24" s="4395" t="n"/>
      <c r="BL24" s="4395" t="n"/>
      <c r="BM24" s="4395" t="n"/>
      <c r="BN24" s="4395" t="n"/>
      <c r="BO24" s="4395" t="n"/>
      <c r="BP24" s="4395" t="n"/>
      <c r="BQ24" s="4395" t="n"/>
      <c r="BR24" s="4395" t="n"/>
      <c r="BS24" s="4395" t="n"/>
      <c r="BT24" s="4395" t="n"/>
      <c r="BU24" s="4395" t="n"/>
      <c r="BV24" s="4395" t="n"/>
      <c r="BW24" s="4395" t="n"/>
      <c r="BX24" s="4395" t="n"/>
      <c r="BY24" s="4395" t="n"/>
      <c r="BZ24" s="4395" t="n"/>
      <c r="CA24" s="4395" t="n"/>
      <c r="CB24" s="4395" t="n"/>
      <c r="CC24" s="4395" t="n"/>
      <c r="CD24" s="4395" t="n"/>
      <c r="CE24" s="4395" t="n"/>
      <c r="CF24" s="4395" t="n"/>
      <c r="CG24" s="4395" t="n"/>
      <c r="CH24" s="4395" t="n"/>
      <c r="CI24" s="4395" t="n"/>
      <c r="CJ24" s="4395" t="n"/>
      <c r="CK24" s="4395" t="n"/>
      <c r="CL24" s="4395" t="n"/>
      <c r="CM24" s="4395" t="n"/>
      <c r="CN24" s="4395" t="n"/>
      <c r="CO24" s="4395" t="n"/>
      <c r="CP24" s="4395" t="n"/>
      <c r="CQ24" s="4395" t="n"/>
      <c r="CR24" s="4395" t="n"/>
      <c r="CS24" s="4395" t="n"/>
      <c r="CT24" s="4395" t="n"/>
      <c r="CU24" s="4395" t="n"/>
      <c r="CV24" s="4395" t="n"/>
      <c r="CW24" s="4395" t="n"/>
      <c r="CX24" s="4395" t="n"/>
      <c r="CY24" s="4395" t="n"/>
      <c r="CZ24" s="4395" t="n"/>
      <c r="DA24" s="4395" t="n"/>
      <c r="DB24" s="4395" t="n"/>
      <c r="DC24" s="4395" t="n"/>
      <c r="DD24" s="4395" t="n"/>
      <c r="DE24" s="4395" t="n"/>
      <c r="DF24" s="4395" t="n"/>
      <c r="DG24" s="4395" t="n"/>
      <c r="DH24" s="4395" t="n"/>
    </row>
    <row r="25" ht="16" customHeight="1">
      <c r="A25" t="inlineStr">
        <is>
          <t>A/R</t>
        </is>
      </c>
      <c r="C25">
        <f>'2.LUC'!C42</f>
        <v/>
      </c>
      <c r="D25">
        <f>'2.LUC'!Y42</f>
        <v/>
      </c>
      <c r="E25">
        <f>IF('2.LUC'!CA42&lt;&gt;0,'2.LUC'!CA42,'2.LUC'!BZ42)</f>
        <v/>
      </c>
      <c r="F25">
        <f>time</f>
        <v/>
      </c>
      <c r="G25" s="4395">
        <f>'2.LUC'!O42</f>
        <v/>
      </c>
      <c r="H25" s="4395">
        <f>'2.LUC'!Q42</f>
        <v/>
      </c>
      <c r="I25" s="4395">
        <f>IF(OR(H25="I", G25="I"), "I", IF(OR(H25="E", G25="E"), "E", "D"))</f>
        <v/>
      </c>
      <c r="J25" s="4395">
        <f>((D25/(time_cap+((F25-E25+1)*VLOOKUP(I25,list!$I$48:$K$50,3, FALSE))))*(F25-E25+1)*VLOOKUP(I25,list!$I$48:$K$50,3, FALSE))</f>
        <v/>
      </c>
      <c r="K25" s="4395">
        <f>((D25/(time_cap+((F25-E25+1)*VLOOKUP(I25,list!$I$48:$K$50,3, FALSE))))*time_cap)</f>
        <v/>
      </c>
      <c r="M25" s="4395">
        <f>IFERROR(IF((time+time_cap)&lt;M$2, 0,IF(AND(time+1&gt;=N$2, $E25&lt;N$2), IF($I25= "I", $J25/($F25-$E25+1), $J25/(($F25*($F25+1)/2)-(($E25-1)*($E25-1+1)/2))*M$2), 0)+IF(IF(time+1&gt;=N$2, $K25/time_cap/(time+1)*M$2, 0) = 0, $K25/(time_cap),0)),0)</f>
        <v/>
      </c>
      <c r="N25" s="4395">
        <f>IFERROR(IF((time+time_cap)&lt;N$2, 0,IF(AND(time+1&gt;=O$2, $E25&lt;O$2), IF($I25= "I", $J25/($F25-$E25+1), $J25/(($F25*($F25+1)/2)-(($E25-1)*($E25-1+1)/2))*N$2), 0)+IF(IF(time+1&gt;=O$2, $K25/time_cap/(time+1)*N$2, 0) = 0, $K25/(time_cap),0)),0)</f>
        <v/>
      </c>
      <c r="O25" s="4395">
        <f>IFERROR(IF((time+time_cap)&lt;O$2, 0,IF(AND(time+1&gt;=P$2, $E25&lt;P$2), IF($I25= "I", $J25/($F25-$E25+1), $J25/(($F25*($F25+1)/2)-(($E25-1)*($E25-1+1)/2))*O$2), 0)+IF(IF(time+1&gt;=P$2, $K25/time_cap/(time+1)*O$2, 0) = 0, $K25/(time_cap),0)),0)</f>
        <v/>
      </c>
      <c r="P25" s="4395">
        <f>IFERROR(IF((time+time_cap)&lt;P$2, 0,IF(AND(time+1&gt;=Q$2, $E25&lt;Q$2), IF($I25= "I", $J25/($F25-$E25+1), $J25/(($F25*($F25+1)/2)-(($E25-1)*($E25-1+1)/2))*P$2), 0)+IF(IF(time+1&gt;=Q$2, $K25/time_cap/(time+1)*P$2, 0) = 0, $K25/(time_cap),0)),0)</f>
        <v/>
      </c>
      <c r="Q25" s="4395">
        <f>IFERROR(IF((time+time_cap)&lt;Q$2, 0,IF(AND(time+1&gt;=R$2, $E25&lt;R$2), IF($I25= "I", $J25/($F25-$E25+1), $J25/(($F25*($F25+1)/2)-(($E25-1)*($E25-1+1)/2))*Q$2), 0)+IF(IF(time+1&gt;=R$2, $K25/time_cap/(time+1)*Q$2, 0) = 0, $K25/(time_cap),0)),0)</f>
        <v/>
      </c>
      <c r="R25" s="4395">
        <f>IFERROR(IF((time+time_cap)&lt;R$2, 0,IF(AND(time+1&gt;=S$2, $E25&lt;S$2), IF($I25= "I", $J25/($F25-$E25+1), $J25/(($F25*($F25+1)/2)-(($E25-1)*($E25-1+1)/2))*R$2), 0)+IF(IF(time+1&gt;=S$2, $K25/time_cap/(time+1)*R$2, 0) = 0, $K25/(time_cap),0)),0)</f>
        <v/>
      </c>
      <c r="S25" s="4395">
        <f>IFERROR(IF((time+time_cap)&lt;S$2, 0,IF(AND(time+1&gt;=T$2, $E25&lt;T$2), IF($I25= "I", $J25/($F25-$E25+1), $J25/(($F25*($F25+1)/2)-(($E25-1)*($E25-1+1)/2))*S$2), 0)+IF(IF(time+1&gt;=T$2, $K25/time_cap/(time+1)*S$2, 0) = 0, $K25/(time_cap),0)),0)</f>
        <v/>
      </c>
      <c r="T25" s="4395">
        <f>IFERROR(IF((time+time_cap)&lt;T$2, 0,IF(AND(time+1&gt;=U$2, $E25&lt;U$2), IF($I25= "I", $J25/($F25-$E25+1), $J25/(($F25*($F25+1)/2)-(($E25-1)*($E25-1+1)/2))*T$2), 0)+IF(IF(time+1&gt;=U$2, $K25/time_cap/(time+1)*T$2, 0) = 0, $K25/(time_cap),0)),0)</f>
        <v/>
      </c>
      <c r="U25" s="4395">
        <f>IFERROR(IF((time+time_cap)&lt;U$2, 0,IF(AND(time+1&gt;=V$2, $E25&lt;V$2), IF($I25= "I", $J25/($F25-$E25+1), $J25/(($F25*($F25+1)/2)-(($E25-1)*($E25-1+1)/2))*U$2), 0)+IF(IF(time+1&gt;=V$2, $K25/time_cap/(time+1)*U$2, 0) = 0, $K25/(time_cap),0)),0)</f>
        <v/>
      </c>
      <c r="V25" s="4395">
        <f>IFERROR(IF((time+time_cap)&lt;V$2, 0,IF(AND(time+1&gt;=W$2, $E25&lt;W$2), IF($I25= "I", $J25/($F25-$E25+1), $J25/(($F25*($F25+1)/2)-(($E25-1)*($E25-1+1)/2))*V$2), 0)+IF(IF(time+1&gt;=W$2, $K25/time_cap/(time+1)*V$2, 0) = 0, $K25/(time_cap),0)),0)</f>
        <v/>
      </c>
      <c r="W25" s="4395">
        <f>IFERROR(IF((time+time_cap)&lt;W$2, 0,IF(AND(time+1&gt;=X$2, $E25&lt;X$2), IF($I25= "I", $J25/($F25-$E25+1), $J25/(($F25*($F25+1)/2)-(($E25-1)*($E25-1+1)/2))*W$2), 0)+IF(IF(time+1&gt;=X$2, $K25/time_cap/(time+1)*W$2, 0) = 0, $K25/(time_cap),0)),0)</f>
        <v/>
      </c>
      <c r="X25" s="4395">
        <f>IFERROR(IF((time+time_cap)&lt;X$2, 0,IF(AND(time+1&gt;=Y$2, $E25&lt;Y$2), IF($I25= "I", $J25/($F25-$E25+1), $J25/(($F25*($F25+1)/2)-(($E25-1)*($E25-1+1)/2))*X$2), 0)+IF(IF(time+1&gt;=Y$2, $K25/time_cap/(time+1)*X$2, 0) = 0, $K25/(time_cap),0)),0)</f>
        <v/>
      </c>
      <c r="Y25" s="4395">
        <f>IFERROR(IF((time+time_cap)&lt;Y$2, 0,IF(AND(time+1&gt;=Z$2, $E25&lt;Z$2), IF($I25= "I", $J25/($F25-$E25+1), $J25/(($F25*($F25+1)/2)-(($E25-1)*($E25-1+1)/2))*Y$2), 0)+IF(IF(time+1&gt;=Z$2, $K25/time_cap/(time+1)*Y$2, 0) = 0, $K25/(time_cap),0)),0)</f>
        <v/>
      </c>
      <c r="Z25" s="4395">
        <f>IFERROR(IF((time+time_cap)&lt;Z$2, 0,IF(AND(time+1&gt;=AA$2, $E25&lt;AA$2), IF($I25= "I", $J25/($F25-$E25+1), $J25/(($F25*($F25+1)/2)-(($E25-1)*($E25-1+1)/2))*Z$2), 0)+IF(IF(time+1&gt;=AA$2, $K25/time_cap/(time+1)*Z$2, 0) = 0, $K25/(time_cap),0)),0)</f>
        <v/>
      </c>
      <c r="AA25" s="4395">
        <f>IFERROR(IF((time+time_cap)&lt;AA$2, 0,IF(AND(time+1&gt;=AB$2, $E25&lt;AB$2), IF($I25= "I", $J25/($F25-$E25+1), $J25/(($F25*($F25+1)/2)-(($E25-1)*($E25-1+1)/2))*AA$2), 0)+IF(IF(time+1&gt;=AB$2, $K25/time_cap/(time+1)*AA$2, 0) = 0, $K25/(time_cap),0)),0)</f>
        <v/>
      </c>
      <c r="AB25" s="4395">
        <f>IFERROR(IF((time+time_cap)&lt;AB$2, 0,IF(AND(time+1&gt;=AC$2, $E25&lt;AC$2), IF($I25= "I", $J25/($F25-$E25+1), $J25/(($F25*($F25+1)/2)-(($E25-1)*($E25-1+1)/2))*AB$2), 0)+IF(IF(time+1&gt;=AC$2, $K25/time_cap/(time+1)*AB$2, 0) = 0, $K25/(time_cap),0)),0)</f>
        <v/>
      </c>
      <c r="AC25" s="4395">
        <f>IFERROR(IF((time+time_cap)&lt;AC$2, 0,IF(AND(time+1&gt;=AD$2, $E25&lt;AD$2), IF($I25= "I", $J25/($F25-$E25+1), $J25/(($F25*($F25+1)/2)-(($E25-1)*($E25-1+1)/2))*AC$2), 0)+IF(IF(time+1&gt;=AD$2, $K25/time_cap/(time+1)*AC$2, 0) = 0, $K25/(time_cap),0)),0)</f>
        <v/>
      </c>
      <c r="AD25" s="4395">
        <f>IFERROR(IF((time+time_cap)&lt;AD$2, 0,IF(AND(time+1&gt;=AE$2, $E25&lt;AE$2), IF($I25= "I", $J25/($F25-$E25+1), $J25/(($F25*($F25+1)/2)-(($E25-1)*($E25-1+1)/2))*AD$2), 0)+IF(IF(time+1&gt;=AE$2, $K25/time_cap/(time+1)*AD$2, 0) = 0, $K25/(time_cap),0)),0)</f>
        <v/>
      </c>
      <c r="AE25" s="4395">
        <f>IFERROR(IF((time+time_cap)&lt;AE$2, 0,IF(AND(time+1&gt;=AF$2, $E25&lt;AF$2), IF($I25= "I", $J25/($F25-$E25+1), $J25/(($F25*($F25+1)/2)-(($E25-1)*($E25-1+1)/2))*AE$2), 0)+IF(IF(time+1&gt;=AF$2, $K25/time_cap/(time+1)*AE$2, 0) = 0, $K25/(time_cap),0)),0)</f>
        <v/>
      </c>
      <c r="AF25" s="4395">
        <f>IFERROR(IF((time+time_cap)&lt;AF$2, 0,IF(AND(time+1&gt;=AG$2, $E25&lt;AG$2), IF($I25= "I", $J25/($F25-$E25+1), $J25/(($F25*($F25+1)/2)-(($E25-1)*($E25-1+1)/2))*AF$2), 0)+IF(IF(time+1&gt;=AG$2, $K25/time_cap/(time+1)*AF$2, 0) = 0, $K25/(time_cap),0)),0)</f>
        <v/>
      </c>
      <c r="AG25" s="4395">
        <f>IFERROR(IF((time+time_cap)&lt;AG$2, 0,IF(AND(time+1&gt;=AH$2, $E25&lt;AH$2), IF($I25= "I", $J25/($F25-$E25+1), $J25/(($F25*($F25+1)/2)-(($E25-1)*($E25-1+1)/2))*AG$2), 0)+IF(IF(time+1&gt;=AH$2, $K25/time_cap/(time+1)*AG$2, 0) = 0, $K25/(time_cap),0)),0)</f>
        <v/>
      </c>
      <c r="AH25" s="4395">
        <f>IFERROR(IF((time+time_cap)&lt;AH$2, 0,IF(AND(time+1&gt;=AI$2, $E25&lt;AI$2), IF($I25= "I", $J25/($F25-$E25+1), $J25/(($F25*($F25+1)/2)-(($E25-1)*($E25-1+1)/2))*AH$2), 0)+IF(IF(time+1&gt;=AI$2, $K25/time_cap/(time+1)*AH$2, 0) = 0, $K25/(time_cap),0)),0)</f>
        <v/>
      </c>
      <c r="AI25" s="4395">
        <f>IFERROR(IF((time+time_cap)&lt;AI$2, 0,IF(AND(time+1&gt;=AJ$2, $E25&lt;AJ$2), IF($I25= "I", $J25/($F25-$E25+1), $J25/(($F25*($F25+1)/2)-(($E25-1)*($E25-1+1)/2))*AI$2), 0)+IF(IF(time+1&gt;=AJ$2, $K25/time_cap/(time+1)*AI$2, 0) = 0, $K25/(time_cap),0)),0)</f>
        <v/>
      </c>
      <c r="AJ25" s="4395">
        <f>IFERROR(IF((time+time_cap)&lt;AJ$2, 0,IF(AND(time+1&gt;=AK$2, $E25&lt;AK$2), IF($I25= "I", $J25/($F25-$E25+1), $J25/(($F25*($F25+1)/2)-(($E25-1)*($E25-1+1)/2))*AJ$2), 0)+IF(IF(time+1&gt;=AK$2, $K25/time_cap/(time+1)*AJ$2, 0) = 0, $K25/(time_cap),0)),0)</f>
        <v/>
      </c>
      <c r="AK25" s="4395">
        <f>IFERROR(IF((time+time_cap)&lt;AK$2, 0,IF(AND(time+1&gt;=AL$2, $E25&lt;AL$2), IF($I25= "I", $J25/($F25-$E25+1), $J25/(($F25*($F25+1)/2)-(($E25-1)*($E25-1+1)/2))*AK$2), 0)+IF(IF(time+1&gt;=AL$2, $K25/time_cap/(time+1)*AK$2, 0) = 0, $K25/(time_cap),0)),0)</f>
        <v/>
      </c>
      <c r="AL25" s="4395">
        <f>IFERROR(IF((time+time_cap)&lt;AL$2, 0,IF(AND(time+1&gt;=AM$2, $E25&lt;AM$2), IF($I25= "I", $J25/($F25-$E25+1), $J25/(($F25*($F25+1)/2)-(($E25-1)*($E25-1+1)/2))*AL$2), 0)+IF(IF(time+1&gt;=AM$2, $K25/time_cap/(time+1)*AL$2, 0) = 0, $K25/(time_cap),0)),0)</f>
        <v/>
      </c>
      <c r="AM25" s="4395">
        <f>IFERROR(IF((time+time_cap)&lt;AM$2, 0,IF(AND(time+1&gt;=AN$2, $E25&lt;AN$2), IF($I25= "I", $J25/($F25-$E25+1), $J25/(($F25*($F25+1)/2)-(($E25-1)*($E25-1+1)/2))*AM$2), 0)+IF(IF(time+1&gt;=AN$2, $K25/time_cap/(time+1)*AM$2, 0) = 0, $K25/(time_cap),0)),0)</f>
        <v/>
      </c>
      <c r="AN25" s="4395">
        <f>IFERROR(IF((time+time_cap)&lt;AN$2, 0,IF(AND(time+1&gt;=AO$2, $E25&lt;AO$2), IF($I25= "I", $J25/($F25-$E25+1), $J25/(($F25*($F25+1)/2)-(($E25-1)*($E25-1+1)/2))*AN$2), 0)+IF(IF(time+1&gt;=AO$2, $K25/time_cap/(time+1)*AN$2, 0) = 0, $K25/(time_cap),0)),0)</f>
        <v/>
      </c>
      <c r="AO25" s="4395">
        <f>IFERROR(IF((time+time_cap)&lt;AO$2, 0,IF(AND(time+1&gt;=AP$2, $E25&lt;AP$2), IF($I25= "I", $J25/($F25-$E25+1), $J25/(($F25*($F25+1)/2)-(($E25-1)*($E25-1+1)/2))*AO$2), 0)+IF(IF(time+1&gt;=AP$2, $K25/time_cap/(time+1)*AO$2, 0) = 0, $K25/(time_cap),0)),0)</f>
        <v/>
      </c>
      <c r="AP25" s="4395">
        <f>IFERROR(IF((time+time_cap)&lt;AP$2, 0,IF(AND(time+1&gt;=AQ$2, $E25&lt;AQ$2), IF($I25= "I", $J25/($F25-$E25+1), $J25/(($F25*($F25+1)/2)-(($E25-1)*($E25-1+1)/2))*AP$2), 0)+IF(IF(time+1&gt;=AQ$2, $K25/time_cap/(time+1)*AP$2, 0) = 0, $K25/(time_cap),0)),0)</f>
        <v/>
      </c>
      <c r="AQ25" s="4395">
        <f>IFERROR(IF((time+time_cap)&lt;AQ$2, 0,IF(AND(time+1&gt;=AR$2, $E25&lt;AR$2), IF($I25= "I", $J25/($F25-$E25+1), $J25/(($F25*($F25+1)/2)-(($E25-1)*($E25-1+1)/2))*AQ$2), 0)+IF(IF(time+1&gt;=AR$2, $K25/time_cap/(time+1)*AQ$2, 0) = 0, $K25/(time_cap),0)),0)</f>
        <v/>
      </c>
      <c r="AR25" s="4395">
        <f>IFERROR(IF((time+time_cap)&lt;AR$2, 0,IF(AND(time+1&gt;=AS$2, $E25&lt;AS$2), IF($I25= "I", $J25/($F25-$E25+1), $J25/(($F25*($F25+1)/2)-(($E25-1)*($E25-1+1)/2))*AR$2), 0)+IF(IF(time+1&gt;=AS$2, $K25/time_cap/(time+1)*AR$2, 0) = 0, $K25/(time_cap),0)),0)</f>
        <v/>
      </c>
      <c r="AS25" s="4395">
        <f>IFERROR(IF((time+time_cap)&lt;AS$2, 0,IF(AND(time+1&gt;=AT$2, $E25&lt;AT$2), IF($I25= "I", $J25/($F25-$E25+1), $J25/(($F25*($F25+1)/2)-(($E25-1)*($E25-1+1)/2))*AS$2), 0)+IF(IF(time+1&gt;=AT$2, $K25/time_cap/(time+1)*AS$2, 0) = 0, $K25/(time_cap),0)),0)</f>
        <v/>
      </c>
      <c r="AT25" s="4395">
        <f>IFERROR(IF((time+time_cap)&lt;AT$2, 0,IF(AND(time+1&gt;=AU$2, $E25&lt;AU$2), IF($I25= "I", $J25/($F25-$E25+1), $J25/(($F25*($F25+1)/2)-(($E25-1)*($E25-1+1)/2))*AT$2), 0)+IF(IF(time+1&gt;=AU$2, $K25/time_cap/(time+1)*AT$2, 0) = 0, $K25/(time_cap),0)),0)</f>
        <v/>
      </c>
      <c r="AU25" s="4395">
        <f>IFERROR(IF((time+time_cap)&lt;AU$2, 0,IF(AND(time+1&gt;=AV$2, $E25&lt;AV$2), IF($I25= "I", $J25/($F25-$E25+1), $J25/(($F25*($F25+1)/2)-(($E25-1)*($E25-1+1)/2))*AU$2), 0)+IF(IF(time+1&gt;=AV$2, $K25/time_cap/(time+1)*AU$2, 0) = 0, $K25/(time_cap),0)),0)</f>
        <v/>
      </c>
      <c r="AV25" s="4395">
        <f>IFERROR(IF((time+time_cap)&lt;AV$2, 0,IF(AND(time+1&gt;=AW$2, $E25&lt;AW$2), IF($I25= "I", $J25/($F25-$E25+1), $J25/(($F25*($F25+1)/2)-(($E25-1)*($E25-1+1)/2))*AV$2), 0)+IF(IF(time+1&gt;=AW$2, $K25/time_cap/(time+1)*AV$2, 0) = 0, $K25/(time_cap),0)),0)</f>
        <v/>
      </c>
      <c r="AW25" s="4395">
        <f>IFERROR(IF((time+time_cap)&lt;AW$2, 0,IF(AND(time+1&gt;=AX$2, $E25&lt;AX$2), IF($I25= "I", $J25/($F25-$E25+1), $J25/(($F25*($F25+1)/2)-(($E25-1)*($E25-1+1)/2))*AW$2), 0)+IF(IF(time+1&gt;=AX$2, $K25/time_cap/(time+1)*AW$2, 0) = 0, $K25/(time_cap),0)),0)</f>
        <v/>
      </c>
      <c r="AX25" s="4395">
        <f>IFERROR(IF((time+time_cap)&lt;AX$2, 0,IF(AND(time+1&gt;=AY$2, $E25&lt;AY$2), IF($I25= "I", $J25/($F25-$E25+1), $J25/(($F25*($F25+1)/2)-(($E25-1)*($E25-1+1)/2))*AX$2), 0)+IF(IF(time+1&gt;=AY$2, $K25/time_cap/(time+1)*AX$2, 0) = 0, $K25/(time_cap),0)),0)</f>
        <v/>
      </c>
      <c r="AY25" s="4395">
        <f>IFERROR(IF((time+time_cap)&lt;AY$2, 0,IF(AND(time+1&gt;=AZ$2, $E25&lt;AZ$2), IF($I25= "I", $J25/($F25-$E25+1), $J25/(($F25*($F25+1)/2)-(($E25-1)*($E25-1+1)/2))*AY$2), 0)+IF(IF(time+1&gt;=AZ$2, $K25/time_cap/(time+1)*AY$2, 0) = 0, $K25/(time_cap),0)),0)</f>
        <v/>
      </c>
      <c r="AZ25" s="4395">
        <f>IFERROR(IF((time+time_cap)&lt;AZ$2, 0,IF(AND(time+1&gt;=BA$2, $E25&lt;BA$2), IF($I25= "I", $J25/($F25-$E25+1), $J25/(($F25*($F25+1)/2)-(($E25-1)*($E25-1+1)/2))*AZ$2), 0)+IF(IF(time+1&gt;=BA$2, $K25/time_cap/(time+1)*AZ$2, 0) = 0, $K25/(time_cap),0)),0)</f>
        <v/>
      </c>
      <c r="BA25" s="4395">
        <f>IFERROR(IF((time+time_cap)&lt;BA$2, 0,IF(AND(time+1&gt;=BB$2, $E25&lt;BB$2), IF($I25= "I", $J25/($F25-$E25+1), $J25/(($F25*($F25+1)/2)-(($E25-1)*($E25-1+1)/2))*BA$2), 0)+IF(IF(time+1&gt;=BB$2, $K25/time_cap/(time+1)*BA$2, 0) = 0, $K25/(time_cap),0)),0)</f>
        <v/>
      </c>
      <c r="BB25" s="4395">
        <f>IFERROR(IF((time+time_cap)&lt;BB$2, 0,IF(AND(time+1&gt;=BC$2, $E25&lt;BC$2), IF($I25= "I", $J25/($F25-$E25+1), $J25/(($F25*($F25+1)/2)-(($E25-1)*($E25-1+1)/2))*BB$2), 0)+IF(IF(time+1&gt;=BC$2, $K25/time_cap/(time+1)*BB$2, 0) = 0, $K25/(time_cap),0)),0)</f>
        <v/>
      </c>
      <c r="BC25" s="4395">
        <f>IFERROR(IF((time+time_cap)&lt;BC$2, 0,IF(AND(time+1&gt;=BD$2, $E25&lt;BD$2), IF($I25= "I", $J25/($F25-$E25+1), $J25/(($F25*($F25+1)/2)-(($E25-1)*($E25-1+1)/2))*BC$2), 0)+IF(IF(time+1&gt;=BD$2, $K25/time_cap/(time+1)*BC$2, 0) = 0, $K25/(time_cap),0)),0)</f>
        <v/>
      </c>
      <c r="BD25" s="4395">
        <f>IFERROR(IF((time+time_cap)&lt;BD$2, 0,IF(AND(time+1&gt;=BE$2, $E25&lt;BE$2), IF($I25= "I", $J25/($F25-$E25+1), $J25/(($F25*($F25+1)/2)-(($E25-1)*($E25-1+1)/2))*BD$2), 0)+IF(IF(time+1&gt;=BE$2, $K25/time_cap/(time+1)*BD$2, 0) = 0, $K25/(time_cap),0)),0)</f>
        <v/>
      </c>
      <c r="BE25" s="4395">
        <f>IFERROR(IF((time+time_cap)&lt;BE$2, 0,IF(AND(time+1&gt;=BF$2, $E25&lt;BF$2), IF($I25= "I", $J25/($F25-$E25+1), $J25/(($F25*($F25+1)/2)-(($E25-1)*($E25-1+1)/2))*BE$2), 0)+IF(IF(time+1&gt;=BF$2, $K25/time_cap/(time+1)*BE$2, 0) = 0, $K25/(time_cap),0)),0)</f>
        <v/>
      </c>
      <c r="BF25" s="4395">
        <f>IFERROR(IF((time+time_cap)&lt;BF$2, 0,IF(AND(time+1&gt;=BG$2, $E25&lt;BG$2), IF($I25= "I", $J25/($F25-$E25+1), $J25/(($F25*($F25+1)/2)-(($E25-1)*($E25-1+1)/2))*BF$2), 0)+IF(IF(time+1&gt;=BG$2, $K25/time_cap/(time+1)*BF$2, 0) = 0, $K25/(time_cap),0)),0)</f>
        <v/>
      </c>
      <c r="BG25" s="4395">
        <f>IFERROR(IF((time+time_cap)&lt;BG$2, 0,IF(AND(time+1&gt;=BH$2, $E25&lt;BH$2), IF($I25= "I", $J25/($F25-$E25+1), $J25/(($F25*($F25+1)/2)-(($E25-1)*($E25-1+1)/2))*BG$2), 0)+IF(IF(time+1&gt;=BH$2, $K25/time_cap/(time+1)*BG$2, 0) = 0, $K25/(time_cap),0)),0)</f>
        <v/>
      </c>
      <c r="BH25" s="4395">
        <f>IFERROR(IF((time+time_cap)&lt;BH$2, 0,IF(AND(time+1&gt;=BI$2, $E25&lt;BI$2), IF($I25= "I", $J25/($F25-$E25+1), $J25/(($F25*($F25+1)/2)-(($E25-1)*($E25-1+1)/2))*BH$2), 0)+IF(IF(time+1&gt;=BI$2, $K25/time_cap/(time+1)*BH$2, 0) = 0, $K25/(time_cap),0)),0)</f>
        <v/>
      </c>
      <c r="BI25" s="4395">
        <f>IFERROR(IF((time+time_cap)&lt;BI$2, 0,IF(AND(time+1&gt;=BJ$2, $E25&lt;BJ$2), IF($I25= "I", $J25/($F25-$E25+1), $J25/(($F25*($F25+1)/2)-(($E25-1)*($E25-1+1)/2))*BI$2), 0)+IF(IF(time+1&gt;=BJ$2, $K25/time_cap/(time+1)*BI$2, 0) = 0, $K25/(time_cap),0)),0)</f>
        <v/>
      </c>
      <c r="BJ25" s="4395">
        <f>IFERROR(IF((time+time_cap)&lt;BJ$2, 0,IF(AND(time+1&gt;=BK$2, $E25&lt;BK$2), IF($I25= "I", $J25/($F25-$E25+1), $J25/(($F25*($F25+1)/2)-(($E25-1)*($E25-1+1)/2))*BJ$2), 0)+IF(IF(time+1&gt;=BK$2, $K25/time_cap/(time+1)*BJ$2, 0) = 0, $K25/(time_cap),0)),0)</f>
        <v/>
      </c>
      <c r="BK25" s="4395" t="n"/>
      <c r="BL25" s="4395" t="n"/>
      <c r="BM25" s="4395" t="n"/>
      <c r="BN25" s="4395" t="n"/>
      <c r="BO25" s="4395" t="n"/>
      <c r="BP25" s="4395" t="n"/>
      <c r="BQ25" s="4395" t="n"/>
      <c r="BR25" s="4395" t="n"/>
      <c r="BS25" s="4395" t="n"/>
      <c r="BT25" s="4395" t="n"/>
      <c r="BU25" s="4395" t="n"/>
      <c r="BV25" s="4395" t="n"/>
      <c r="BW25" s="4395" t="n"/>
      <c r="BX25" s="4395" t="n"/>
      <c r="BY25" s="4395" t="n"/>
      <c r="BZ25" s="4395" t="n"/>
      <c r="CA25" s="4395" t="n"/>
      <c r="CB25" s="4395" t="n"/>
      <c r="CC25" s="4395" t="n"/>
      <c r="CD25" s="4395" t="n"/>
      <c r="CE25" s="4395" t="n"/>
      <c r="CF25" s="4395" t="n"/>
      <c r="CG25" s="4395" t="n"/>
      <c r="CH25" s="4395" t="n"/>
      <c r="CI25" s="4395" t="n"/>
      <c r="CJ25" s="4395" t="n"/>
      <c r="CK25" s="4395" t="n"/>
      <c r="CL25" s="4395" t="n"/>
      <c r="CM25" s="4395" t="n"/>
      <c r="CN25" s="4395" t="n"/>
      <c r="CO25" s="4395" t="n"/>
      <c r="CP25" s="4395" t="n"/>
      <c r="CQ25" s="4395" t="n"/>
      <c r="CR25" s="4395" t="n"/>
      <c r="CS25" s="4395" t="n"/>
      <c r="CT25" s="4395" t="n"/>
      <c r="CU25" s="4395" t="n"/>
      <c r="CV25" s="4395" t="n"/>
      <c r="CW25" s="4395" t="n"/>
      <c r="CX25" s="4395" t="n"/>
      <c r="CY25" s="4395" t="n"/>
      <c r="CZ25" s="4395" t="n"/>
      <c r="DA25" s="4395" t="n"/>
      <c r="DB25" s="4395" t="n"/>
      <c r="DC25" s="4395" t="n"/>
      <c r="DD25" s="4395" t="n"/>
      <c r="DE25" s="4395" t="n"/>
      <c r="DF25" s="4395" t="n"/>
      <c r="DG25" s="4395" t="n"/>
      <c r="DH25" s="4395" t="n"/>
    </row>
    <row r="26" ht="16" customHeight="1">
      <c r="A26" t="inlineStr">
        <is>
          <t>A/R</t>
        </is>
      </c>
      <c r="C26">
        <f>'2.LUC'!C43</f>
        <v/>
      </c>
      <c r="D26">
        <f>'2.LUC'!Y43</f>
        <v/>
      </c>
      <c r="E26">
        <f>IF('2.LUC'!CA43&lt;&gt;0,'2.LUC'!CA43,'2.LUC'!BZ43)</f>
        <v/>
      </c>
      <c r="F26">
        <f>time</f>
        <v/>
      </c>
      <c r="G26" s="4395">
        <f>'2.LUC'!O43</f>
        <v/>
      </c>
      <c r="H26" s="4395">
        <f>'2.LUC'!Q43</f>
        <v/>
      </c>
      <c r="I26" s="4395">
        <f>IF(OR(H26="I", G26="I"), "I", IF(OR(H26="E", G26="E"), "E", "D"))</f>
        <v/>
      </c>
      <c r="J26" s="4395">
        <f>((D26/(time_cap+((F26-E26+1)*VLOOKUP(I26,list!$I$48:$K$50,3, FALSE))))*(F26-E26+1)*VLOOKUP(I26,list!$I$48:$K$50,3, FALSE))</f>
        <v/>
      </c>
      <c r="K26" s="4395">
        <f>((D26/(time_cap+((F26-E26+1)*VLOOKUP(I26,list!$I$48:$K$50,3, FALSE))))*time_cap)</f>
        <v/>
      </c>
      <c r="M26" s="4395">
        <f>IFERROR(IF((time+time_cap)&lt;M$2, 0,IF(AND(time+1&gt;=N$2, $E26&lt;N$2), IF($I26= "I", $J26/($F26-$E26+1), $J26/(($F26*($F26+1)/2)-(($E26-1)*($E26-1+1)/2))*M$2), 0)+IF(IF(time+1&gt;=N$2, $K26/time_cap/(time+1)*M$2, 0) = 0, $K26/(time_cap),0)),0)</f>
        <v/>
      </c>
      <c r="N26" s="4395">
        <f>IFERROR(IF((time+time_cap)&lt;N$2, 0,IF(AND(time+1&gt;=O$2, $E26&lt;O$2), IF($I26= "I", $J26/($F26-$E26+1), $J26/(($F26*($F26+1)/2)-(($E26-1)*($E26-1+1)/2))*N$2), 0)+IF(IF(time+1&gt;=O$2, $K26/time_cap/(time+1)*N$2, 0) = 0, $K26/(time_cap),0)),0)</f>
        <v/>
      </c>
      <c r="O26" s="4395">
        <f>IFERROR(IF((time+time_cap)&lt;O$2, 0,IF(AND(time+1&gt;=P$2, $E26&lt;P$2), IF($I26= "I", $J26/($F26-$E26+1), $J26/(($F26*($F26+1)/2)-(($E26-1)*($E26-1+1)/2))*O$2), 0)+IF(IF(time+1&gt;=P$2, $K26/time_cap/(time+1)*O$2, 0) = 0, $K26/(time_cap),0)),0)</f>
        <v/>
      </c>
      <c r="P26" s="4395">
        <f>IFERROR(IF((time+time_cap)&lt;P$2, 0,IF(AND(time+1&gt;=Q$2, $E26&lt;Q$2), IF($I26= "I", $J26/($F26-$E26+1), $J26/(($F26*($F26+1)/2)-(($E26-1)*($E26-1+1)/2))*P$2), 0)+IF(IF(time+1&gt;=Q$2, $K26/time_cap/(time+1)*P$2, 0) = 0, $K26/(time_cap),0)),0)</f>
        <v/>
      </c>
      <c r="Q26" s="4395">
        <f>IFERROR(IF((time+time_cap)&lt;Q$2, 0,IF(AND(time+1&gt;=R$2, $E26&lt;R$2), IF($I26= "I", $J26/($F26-$E26+1), $J26/(($F26*($F26+1)/2)-(($E26-1)*($E26-1+1)/2))*Q$2), 0)+IF(IF(time+1&gt;=R$2, $K26/time_cap/(time+1)*Q$2, 0) = 0, $K26/(time_cap),0)),0)</f>
        <v/>
      </c>
      <c r="R26" s="4395">
        <f>IFERROR(IF((time+time_cap)&lt;R$2, 0,IF(AND(time+1&gt;=S$2, $E26&lt;S$2), IF($I26= "I", $J26/($F26-$E26+1), $J26/(($F26*($F26+1)/2)-(($E26-1)*($E26-1+1)/2))*R$2), 0)+IF(IF(time+1&gt;=S$2, $K26/time_cap/(time+1)*R$2, 0) = 0, $K26/(time_cap),0)),0)</f>
        <v/>
      </c>
      <c r="S26" s="4395">
        <f>IFERROR(IF((time+time_cap)&lt;S$2, 0,IF(AND(time+1&gt;=T$2, $E26&lt;T$2), IF($I26= "I", $J26/($F26-$E26+1), $J26/(($F26*($F26+1)/2)-(($E26-1)*($E26-1+1)/2))*S$2), 0)+IF(IF(time+1&gt;=T$2, $K26/time_cap/(time+1)*S$2, 0) = 0, $K26/(time_cap),0)),0)</f>
        <v/>
      </c>
      <c r="T26" s="4395">
        <f>IFERROR(IF((time+time_cap)&lt;T$2, 0,IF(AND(time+1&gt;=U$2, $E26&lt;U$2), IF($I26= "I", $J26/($F26-$E26+1), $J26/(($F26*($F26+1)/2)-(($E26-1)*($E26-1+1)/2))*T$2), 0)+IF(IF(time+1&gt;=U$2, $K26/time_cap/(time+1)*T$2, 0) = 0, $K26/(time_cap),0)),0)</f>
        <v/>
      </c>
      <c r="U26" s="4395">
        <f>IFERROR(IF((time+time_cap)&lt;U$2, 0,IF(AND(time+1&gt;=V$2, $E26&lt;V$2), IF($I26= "I", $J26/($F26-$E26+1), $J26/(($F26*($F26+1)/2)-(($E26-1)*($E26-1+1)/2))*U$2), 0)+IF(IF(time+1&gt;=V$2, $K26/time_cap/(time+1)*U$2, 0) = 0, $K26/(time_cap),0)),0)</f>
        <v/>
      </c>
      <c r="V26" s="4395">
        <f>IFERROR(IF((time+time_cap)&lt;V$2, 0,IF(AND(time+1&gt;=W$2, $E26&lt;W$2), IF($I26= "I", $J26/($F26-$E26+1), $J26/(($F26*($F26+1)/2)-(($E26-1)*($E26-1+1)/2))*V$2), 0)+IF(IF(time+1&gt;=W$2, $K26/time_cap/(time+1)*V$2, 0) = 0, $K26/(time_cap),0)),0)</f>
        <v/>
      </c>
      <c r="W26" s="4395">
        <f>IFERROR(IF((time+time_cap)&lt;W$2, 0,IF(AND(time+1&gt;=X$2, $E26&lt;X$2), IF($I26= "I", $J26/($F26-$E26+1), $J26/(($F26*($F26+1)/2)-(($E26-1)*($E26-1+1)/2))*W$2), 0)+IF(IF(time+1&gt;=X$2, $K26/time_cap/(time+1)*W$2, 0) = 0, $K26/(time_cap),0)),0)</f>
        <v/>
      </c>
      <c r="X26" s="4395">
        <f>IFERROR(IF((time+time_cap)&lt;X$2, 0,IF(AND(time+1&gt;=Y$2, $E26&lt;Y$2), IF($I26= "I", $J26/($F26-$E26+1), $J26/(($F26*($F26+1)/2)-(($E26-1)*($E26-1+1)/2))*X$2), 0)+IF(IF(time+1&gt;=Y$2, $K26/time_cap/(time+1)*X$2, 0) = 0, $K26/(time_cap),0)),0)</f>
        <v/>
      </c>
      <c r="Y26" s="4395">
        <f>IFERROR(IF((time+time_cap)&lt;Y$2, 0,IF(AND(time+1&gt;=Z$2, $E26&lt;Z$2), IF($I26= "I", $J26/($F26-$E26+1), $J26/(($F26*($F26+1)/2)-(($E26-1)*($E26-1+1)/2))*Y$2), 0)+IF(IF(time+1&gt;=Z$2, $K26/time_cap/(time+1)*Y$2, 0) = 0, $K26/(time_cap),0)),0)</f>
        <v/>
      </c>
      <c r="Z26" s="4395">
        <f>IFERROR(IF((time+time_cap)&lt;Z$2, 0,IF(AND(time+1&gt;=AA$2, $E26&lt;AA$2), IF($I26= "I", $J26/($F26-$E26+1), $J26/(($F26*($F26+1)/2)-(($E26-1)*($E26-1+1)/2))*Z$2), 0)+IF(IF(time+1&gt;=AA$2, $K26/time_cap/(time+1)*Z$2, 0) = 0, $K26/(time_cap),0)),0)</f>
        <v/>
      </c>
      <c r="AA26" s="4395">
        <f>IFERROR(IF((time+time_cap)&lt;AA$2, 0,IF(AND(time+1&gt;=AB$2, $E26&lt;AB$2), IF($I26= "I", $J26/($F26-$E26+1), $J26/(($F26*($F26+1)/2)-(($E26-1)*($E26-1+1)/2))*AA$2), 0)+IF(IF(time+1&gt;=AB$2, $K26/time_cap/(time+1)*AA$2, 0) = 0, $K26/(time_cap),0)),0)</f>
        <v/>
      </c>
      <c r="AB26" s="4395">
        <f>IFERROR(IF((time+time_cap)&lt;AB$2, 0,IF(AND(time+1&gt;=AC$2, $E26&lt;AC$2), IF($I26= "I", $J26/($F26-$E26+1), $J26/(($F26*($F26+1)/2)-(($E26-1)*($E26-1+1)/2))*AB$2), 0)+IF(IF(time+1&gt;=AC$2, $K26/time_cap/(time+1)*AB$2, 0) = 0, $K26/(time_cap),0)),0)</f>
        <v/>
      </c>
      <c r="AC26" s="4395">
        <f>IFERROR(IF((time+time_cap)&lt;AC$2, 0,IF(AND(time+1&gt;=AD$2, $E26&lt;AD$2), IF($I26= "I", $J26/($F26-$E26+1), $J26/(($F26*($F26+1)/2)-(($E26-1)*($E26-1+1)/2))*AC$2), 0)+IF(IF(time+1&gt;=AD$2, $K26/time_cap/(time+1)*AC$2, 0) = 0, $K26/(time_cap),0)),0)</f>
        <v/>
      </c>
      <c r="AD26" s="4395">
        <f>IFERROR(IF((time+time_cap)&lt;AD$2, 0,IF(AND(time+1&gt;=AE$2, $E26&lt;AE$2), IF($I26= "I", $J26/($F26-$E26+1), $J26/(($F26*($F26+1)/2)-(($E26-1)*($E26-1+1)/2))*AD$2), 0)+IF(IF(time+1&gt;=AE$2, $K26/time_cap/(time+1)*AD$2, 0) = 0, $K26/(time_cap),0)),0)</f>
        <v/>
      </c>
      <c r="AE26" s="4395">
        <f>IFERROR(IF((time+time_cap)&lt;AE$2, 0,IF(AND(time+1&gt;=AF$2, $E26&lt;AF$2), IF($I26= "I", $J26/($F26-$E26+1), $J26/(($F26*($F26+1)/2)-(($E26-1)*($E26-1+1)/2))*AE$2), 0)+IF(IF(time+1&gt;=AF$2, $K26/time_cap/(time+1)*AE$2, 0) = 0, $K26/(time_cap),0)),0)</f>
        <v/>
      </c>
      <c r="AF26" s="4395">
        <f>IFERROR(IF((time+time_cap)&lt;AF$2, 0,IF(AND(time+1&gt;=AG$2, $E26&lt;AG$2), IF($I26= "I", $J26/($F26-$E26+1), $J26/(($F26*($F26+1)/2)-(($E26-1)*($E26-1+1)/2))*AF$2), 0)+IF(IF(time+1&gt;=AG$2, $K26/time_cap/(time+1)*AF$2, 0) = 0, $K26/(time_cap),0)),0)</f>
        <v/>
      </c>
      <c r="AG26" s="4395">
        <f>IFERROR(IF((time+time_cap)&lt;AG$2, 0,IF(AND(time+1&gt;=AH$2, $E26&lt;AH$2), IF($I26= "I", $J26/($F26-$E26+1), $J26/(($F26*($F26+1)/2)-(($E26-1)*($E26-1+1)/2))*AG$2), 0)+IF(IF(time+1&gt;=AH$2, $K26/time_cap/(time+1)*AG$2, 0) = 0, $K26/(time_cap),0)),0)</f>
        <v/>
      </c>
      <c r="AH26" s="4395">
        <f>IFERROR(IF((time+time_cap)&lt;AH$2, 0,IF(AND(time+1&gt;=AI$2, $E26&lt;AI$2), IF($I26= "I", $J26/($F26-$E26+1), $J26/(($F26*($F26+1)/2)-(($E26-1)*($E26-1+1)/2))*AH$2), 0)+IF(IF(time+1&gt;=AI$2, $K26/time_cap/(time+1)*AH$2, 0) = 0, $K26/(time_cap),0)),0)</f>
        <v/>
      </c>
      <c r="AI26" s="4395">
        <f>IFERROR(IF((time+time_cap)&lt;AI$2, 0,IF(AND(time+1&gt;=AJ$2, $E26&lt;AJ$2), IF($I26= "I", $J26/($F26-$E26+1), $J26/(($F26*($F26+1)/2)-(($E26-1)*($E26-1+1)/2))*AI$2), 0)+IF(IF(time+1&gt;=AJ$2, $K26/time_cap/(time+1)*AI$2, 0) = 0, $K26/(time_cap),0)),0)</f>
        <v/>
      </c>
      <c r="AJ26" s="4395">
        <f>IFERROR(IF((time+time_cap)&lt;AJ$2, 0,IF(AND(time+1&gt;=AK$2, $E26&lt;AK$2), IF($I26= "I", $J26/($F26-$E26+1), $J26/(($F26*($F26+1)/2)-(($E26-1)*($E26-1+1)/2))*AJ$2), 0)+IF(IF(time+1&gt;=AK$2, $K26/time_cap/(time+1)*AJ$2, 0) = 0, $K26/(time_cap),0)),0)</f>
        <v/>
      </c>
      <c r="AK26" s="4395">
        <f>IFERROR(IF((time+time_cap)&lt;AK$2, 0,IF(AND(time+1&gt;=AL$2, $E26&lt;AL$2), IF($I26= "I", $J26/($F26-$E26+1), $J26/(($F26*($F26+1)/2)-(($E26-1)*($E26-1+1)/2))*AK$2), 0)+IF(IF(time+1&gt;=AL$2, $K26/time_cap/(time+1)*AK$2, 0) = 0, $K26/(time_cap),0)),0)</f>
        <v/>
      </c>
      <c r="AL26" s="4395">
        <f>IFERROR(IF((time+time_cap)&lt;AL$2, 0,IF(AND(time+1&gt;=AM$2, $E26&lt;AM$2), IF($I26= "I", $J26/($F26-$E26+1), $J26/(($F26*($F26+1)/2)-(($E26-1)*($E26-1+1)/2))*AL$2), 0)+IF(IF(time+1&gt;=AM$2, $K26/time_cap/(time+1)*AL$2, 0) = 0, $K26/(time_cap),0)),0)</f>
        <v/>
      </c>
      <c r="AM26" s="4395">
        <f>IFERROR(IF((time+time_cap)&lt;AM$2, 0,IF(AND(time+1&gt;=AN$2, $E26&lt;AN$2), IF($I26= "I", $J26/($F26-$E26+1), $J26/(($F26*($F26+1)/2)-(($E26-1)*($E26-1+1)/2))*AM$2), 0)+IF(IF(time+1&gt;=AN$2, $K26/time_cap/(time+1)*AM$2, 0) = 0, $K26/(time_cap),0)),0)</f>
        <v/>
      </c>
      <c r="AN26" s="4395">
        <f>IFERROR(IF((time+time_cap)&lt;AN$2, 0,IF(AND(time+1&gt;=AO$2, $E26&lt;AO$2), IF($I26= "I", $J26/($F26-$E26+1), $J26/(($F26*($F26+1)/2)-(($E26-1)*($E26-1+1)/2))*AN$2), 0)+IF(IF(time+1&gt;=AO$2, $K26/time_cap/(time+1)*AN$2, 0) = 0, $K26/(time_cap),0)),0)</f>
        <v/>
      </c>
      <c r="AO26" s="4395">
        <f>IFERROR(IF((time+time_cap)&lt;AO$2, 0,IF(AND(time+1&gt;=AP$2, $E26&lt;AP$2), IF($I26= "I", $J26/($F26-$E26+1), $J26/(($F26*($F26+1)/2)-(($E26-1)*($E26-1+1)/2))*AO$2), 0)+IF(IF(time+1&gt;=AP$2, $K26/time_cap/(time+1)*AO$2, 0) = 0, $K26/(time_cap),0)),0)</f>
        <v/>
      </c>
      <c r="AP26" s="4395">
        <f>IFERROR(IF((time+time_cap)&lt;AP$2, 0,IF(AND(time+1&gt;=AQ$2, $E26&lt;AQ$2), IF($I26= "I", $J26/($F26-$E26+1), $J26/(($F26*($F26+1)/2)-(($E26-1)*($E26-1+1)/2))*AP$2), 0)+IF(IF(time+1&gt;=AQ$2, $K26/time_cap/(time+1)*AP$2, 0) = 0, $K26/(time_cap),0)),0)</f>
        <v/>
      </c>
      <c r="AQ26" s="4395">
        <f>IFERROR(IF((time+time_cap)&lt;AQ$2, 0,IF(AND(time+1&gt;=AR$2, $E26&lt;AR$2), IF($I26= "I", $J26/($F26-$E26+1), $J26/(($F26*($F26+1)/2)-(($E26-1)*($E26-1+1)/2))*AQ$2), 0)+IF(IF(time+1&gt;=AR$2, $K26/time_cap/(time+1)*AQ$2, 0) = 0, $K26/(time_cap),0)),0)</f>
        <v/>
      </c>
      <c r="AR26" s="4395">
        <f>IFERROR(IF((time+time_cap)&lt;AR$2, 0,IF(AND(time+1&gt;=AS$2, $E26&lt;AS$2), IF($I26= "I", $J26/($F26-$E26+1), $J26/(($F26*($F26+1)/2)-(($E26-1)*($E26-1+1)/2))*AR$2), 0)+IF(IF(time+1&gt;=AS$2, $K26/time_cap/(time+1)*AR$2, 0) = 0, $K26/(time_cap),0)),0)</f>
        <v/>
      </c>
      <c r="AS26" s="4395">
        <f>IFERROR(IF((time+time_cap)&lt;AS$2, 0,IF(AND(time+1&gt;=AT$2, $E26&lt;AT$2), IF($I26= "I", $J26/($F26-$E26+1), $J26/(($F26*($F26+1)/2)-(($E26-1)*($E26-1+1)/2))*AS$2), 0)+IF(IF(time+1&gt;=AT$2, $K26/time_cap/(time+1)*AS$2, 0) = 0, $K26/(time_cap),0)),0)</f>
        <v/>
      </c>
      <c r="AT26" s="4395">
        <f>IFERROR(IF((time+time_cap)&lt;AT$2, 0,IF(AND(time+1&gt;=AU$2, $E26&lt;AU$2), IF($I26= "I", $J26/($F26-$E26+1), $J26/(($F26*($F26+1)/2)-(($E26-1)*($E26-1+1)/2))*AT$2), 0)+IF(IF(time+1&gt;=AU$2, $K26/time_cap/(time+1)*AT$2, 0) = 0, $K26/(time_cap),0)),0)</f>
        <v/>
      </c>
      <c r="AU26" s="4395">
        <f>IFERROR(IF((time+time_cap)&lt;AU$2, 0,IF(AND(time+1&gt;=AV$2, $E26&lt;AV$2), IF($I26= "I", $J26/($F26-$E26+1), $J26/(($F26*($F26+1)/2)-(($E26-1)*($E26-1+1)/2))*AU$2), 0)+IF(IF(time+1&gt;=AV$2, $K26/time_cap/(time+1)*AU$2, 0) = 0, $K26/(time_cap),0)),0)</f>
        <v/>
      </c>
      <c r="AV26" s="4395">
        <f>IFERROR(IF((time+time_cap)&lt;AV$2, 0,IF(AND(time+1&gt;=AW$2, $E26&lt;AW$2), IF($I26= "I", $J26/($F26-$E26+1), $J26/(($F26*($F26+1)/2)-(($E26-1)*($E26-1+1)/2))*AV$2), 0)+IF(IF(time+1&gt;=AW$2, $K26/time_cap/(time+1)*AV$2, 0) = 0, $K26/(time_cap),0)),0)</f>
        <v/>
      </c>
      <c r="AW26" s="4395">
        <f>IFERROR(IF((time+time_cap)&lt;AW$2, 0,IF(AND(time+1&gt;=AX$2, $E26&lt;AX$2), IF($I26= "I", $J26/($F26-$E26+1), $J26/(($F26*($F26+1)/2)-(($E26-1)*($E26-1+1)/2))*AW$2), 0)+IF(IF(time+1&gt;=AX$2, $K26/time_cap/(time+1)*AW$2, 0) = 0, $K26/(time_cap),0)),0)</f>
        <v/>
      </c>
      <c r="AX26" s="4395">
        <f>IFERROR(IF((time+time_cap)&lt;AX$2, 0,IF(AND(time+1&gt;=AY$2, $E26&lt;AY$2), IF($I26= "I", $J26/($F26-$E26+1), $J26/(($F26*($F26+1)/2)-(($E26-1)*($E26-1+1)/2))*AX$2), 0)+IF(IF(time+1&gt;=AY$2, $K26/time_cap/(time+1)*AX$2, 0) = 0, $K26/(time_cap),0)),0)</f>
        <v/>
      </c>
      <c r="AY26" s="4395">
        <f>IFERROR(IF((time+time_cap)&lt;AY$2, 0,IF(AND(time+1&gt;=AZ$2, $E26&lt;AZ$2), IF($I26= "I", $J26/($F26-$E26+1), $J26/(($F26*($F26+1)/2)-(($E26-1)*($E26-1+1)/2))*AY$2), 0)+IF(IF(time+1&gt;=AZ$2, $K26/time_cap/(time+1)*AY$2, 0) = 0, $K26/(time_cap),0)),0)</f>
        <v/>
      </c>
      <c r="AZ26" s="4395">
        <f>IFERROR(IF((time+time_cap)&lt;AZ$2, 0,IF(AND(time+1&gt;=BA$2, $E26&lt;BA$2), IF($I26= "I", $J26/($F26-$E26+1), $J26/(($F26*($F26+1)/2)-(($E26-1)*($E26-1+1)/2))*AZ$2), 0)+IF(IF(time+1&gt;=BA$2, $K26/time_cap/(time+1)*AZ$2, 0) = 0, $K26/(time_cap),0)),0)</f>
        <v/>
      </c>
      <c r="BA26" s="4395">
        <f>IFERROR(IF((time+time_cap)&lt;BA$2, 0,IF(AND(time+1&gt;=BB$2, $E26&lt;BB$2), IF($I26= "I", $J26/($F26-$E26+1), $J26/(($F26*($F26+1)/2)-(($E26-1)*($E26-1+1)/2))*BA$2), 0)+IF(IF(time+1&gt;=BB$2, $K26/time_cap/(time+1)*BA$2, 0) = 0, $K26/(time_cap),0)),0)</f>
        <v/>
      </c>
      <c r="BB26" s="4395">
        <f>IFERROR(IF((time+time_cap)&lt;BB$2, 0,IF(AND(time+1&gt;=BC$2, $E26&lt;BC$2), IF($I26= "I", $J26/($F26-$E26+1), $J26/(($F26*($F26+1)/2)-(($E26-1)*($E26-1+1)/2))*BB$2), 0)+IF(IF(time+1&gt;=BC$2, $K26/time_cap/(time+1)*BB$2, 0) = 0, $K26/(time_cap),0)),0)</f>
        <v/>
      </c>
      <c r="BC26" s="4395">
        <f>IFERROR(IF((time+time_cap)&lt;BC$2, 0,IF(AND(time+1&gt;=BD$2, $E26&lt;BD$2), IF($I26= "I", $J26/($F26-$E26+1), $J26/(($F26*($F26+1)/2)-(($E26-1)*($E26-1+1)/2))*BC$2), 0)+IF(IF(time+1&gt;=BD$2, $K26/time_cap/(time+1)*BC$2, 0) = 0, $K26/(time_cap),0)),0)</f>
        <v/>
      </c>
      <c r="BD26" s="4395">
        <f>IFERROR(IF((time+time_cap)&lt;BD$2, 0,IF(AND(time+1&gt;=BE$2, $E26&lt;BE$2), IF($I26= "I", $J26/($F26-$E26+1), $J26/(($F26*($F26+1)/2)-(($E26-1)*($E26-1+1)/2))*BD$2), 0)+IF(IF(time+1&gt;=BE$2, $K26/time_cap/(time+1)*BD$2, 0) = 0, $K26/(time_cap),0)),0)</f>
        <v/>
      </c>
      <c r="BE26" s="4395">
        <f>IFERROR(IF((time+time_cap)&lt;BE$2, 0,IF(AND(time+1&gt;=BF$2, $E26&lt;BF$2), IF($I26= "I", $J26/($F26-$E26+1), $J26/(($F26*($F26+1)/2)-(($E26-1)*($E26-1+1)/2))*BE$2), 0)+IF(IF(time+1&gt;=BF$2, $K26/time_cap/(time+1)*BE$2, 0) = 0, $K26/(time_cap),0)),0)</f>
        <v/>
      </c>
      <c r="BF26" s="4395">
        <f>IFERROR(IF((time+time_cap)&lt;BF$2, 0,IF(AND(time+1&gt;=BG$2, $E26&lt;BG$2), IF($I26= "I", $J26/($F26-$E26+1), $J26/(($F26*($F26+1)/2)-(($E26-1)*($E26-1+1)/2))*BF$2), 0)+IF(IF(time+1&gt;=BG$2, $K26/time_cap/(time+1)*BF$2, 0) = 0, $K26/(time_cap),0)),0)</f>
        <v/>
      </c>
      <c r="BG26" s="4395">
        <f>IFERROR(IF((time+time_cap)&lt;BG$2, 0,IF(AND(time+1&gt;=BH$2, $E26&lt;BH$2), IF($I26= "I", $J26/($F26-$E26+1), $J26/(($F26*($F26+1)/2)-(($E26-1)*($E26-1+1)/2))*BG$2), 0)+IF(IF(time+1&gt;=BH$2, $K26/time_cap/(time+1)*BG$2, 0) = 0, $K26/(time_cap),0)),0)</f>
        <v/>
      </c>
      <c r="BH26" s="4395">
        <f>IFERROR(IF((time+time_cap)&lt;BH$2, 0,IF(AND(time+1&gt;=BI$2, $E26&lt;BI$2), IF($I26= "I", $J26/($F26-$E26+1), $J26/(($F26*($F26+1)/2)-(($E26-1)*($E26-1+1)/2))*BH$2), 0)+IF(IF(time+1&gt;=BI$2, $K26/time_cap/(time+1)*BH$2, 0) = 0, $K26/(time_cap),0)),0)</f>
        <v/>
      </c>
      <c r="BI26" s="4395">
        <f>IFERROR(IF((time+time_cap)&lt;BI$2, 0,IF(AND(time+1&gt;=BJ$2, $E26&lt;BJ$2), IF($I26= "I", $J26/($F26-$E26+1), $J26/(($F26*($F26+1)/2)-(($E26-1)*($E26-1+1)/2))*BI$2), 0)+IF(IF(time+1&gt;=BJ$2, $K26/time_cap/(time+1)*BI$2, 0) = 0, $K26/(time_cap),0)),0)</f>
        <v/>
      </c>
      <c r="BJ26" s="4395">
        <f>IFERROR(IF((time+time_cap)&lt;BJ$2, 0,IF(AND(time+1&gt;=BK$2, $E26&lt;BK$2), IF($I26= "I", $J26/($F26-$E26+1), $J26/(($F26*($F26+1)/2)-(($E26-1)*($E26-1+1)/2))*BJ$2), 0)+IF(IF(time+1&gt;=BK$2, $K26/time_cap/(time+1)*BJ$2, 0) = 0, $K26/(time_cap),0)),0)</f>
        <v/>
      </c>
      <c r="BK26" s="4395" t="n"/>
      <c r="BL26" s="4395" t="n"/>
      <c r="BM26" s="4395" t="n"/>
      <c r="BN26" s="4395" t="n"/>
      <c r="BO26" s="4395" t="n"/>
      <c r="BP26" s="4395" t="n"/>
      <c r="BQ26" s="4395" t="n"/>
      <c r="BR26" s="4395" t="n"/>
      <c r="BS26" s="4395" t="n"/>
      <c r="BT26" s="4395" t="n"/>
      <c r="BU26" s="4395" t="n"/>
      <c r="BV26" s="4395" t="n"/>
      <c r="BW26" s="4395" t="n"/>
      <c r="BX26" s="4395" t="n"/>
      <c r="BY26" s="4395" t="n"/>
      <c r="BZ26" s="4395" t="n"/>
      <c r="CA26" s="4395" t="n"/>
      <c r="CB26" s="4395" t="n"/>
      <c r="CC26" s="4395" t="n"/>
      <c r="CD26" s="4395" t="n"/>
      <c r="CE26" s="4395" t="n"/>
      <c r="CF26" s="4395" t="n"/>
      <c r="CG26" s="4395" t="n"/>
      <c r="CH26" s="4395" t="n"/>
      <c r="CI26" s="4395" t="n"/>
      <c r="CJ26" s="4395" t="n"/>
      <c r="CK26" s="4395" t="n"/>
      <c r="CL26" s="4395" t="n"/>
      <c r="CM26" s="4395" t="n"/>
      <c r="CN26" s="4395" t="n"/>
      <c r="CO26" s="4395" t="n"/>
      <c r="CP26" s="4395" t="n"/>
      <c r="CQ26" s="4395" t="n"/>
      <c r="CR26" s="4395" t="n"/>
      <c r="CS26" s="4395" t="n"/>
      <c r="CT26" s="4395" t="n"/>
      <c r="CU26" s="4395" t="n"/>
      <c r="CV26" s="4395" t="n"/>
      <c r="CW26" s="4395" t="n"/>
      <c r="CX26" s="4395" t="n"/>
      <c r="CY26" s="4395" t="n"/>
      <c r="CZ26" s="4395" t="n"/>
      <c r="DA26" s="4395" t="n"/>
      <c r="DB26" s="4395" t="n"/>
      <c r="DC26" s="4395" t="n"/>
      <c r="DD26" s="4395" t="n"/>
      <c r="DE26" s="4395" t="n"/>
      <c r="DF26" s="4395" t="n"/>
      <c r="DG26" s="4395" t="n"/>
      <c r="DH26" s="4395" t="n"/>
    </row>
    <row r="27" ht="16" customHeight="1">
      <c r="A27" t="inlineStr">
        <is>
          <t>OLUC</t>
        </is>
      </c>
      <c r="B27">
        <f>'2.LUC'!C61</f>
        <v/>
      </c>
      <c r="C27">
        <f>'2.LUC'!K61</f>
        <v/>
      </c>
      <c r="D27">
        <f>'2.LUC'!Y61</f>
        <v/>
      </c>
      <c r="E27">
        <f>IF('2.LUC'!BL61&lt;&gt;0,'2.LUC'!BL61,'2.LUC'!BK61)</f>
        <v/>
      </c>
      <c r="F27">
        <f>time</f>
        <v/>
      </c>
      <c r="G27" s="4395">
        <f>'2.LUC'!O61</f>
        <v/>
      </c>
      <c r="H27" s="4395">
        <f>'2.LUC'!Q61</f>
        <v/>
      </c>
      <c r="I27" s="4395">
        <f>IF(OR(H27="I", G27="I"), "I", IF(OR(H27="E", G27="E"), "E", "D"))</f>
        <v/>
      </c>
      <c r="J27" s="4395">
        <f>((D27/(time_cap+((F27-E27+1)*VLOOKUP(I27,list!$I$48:$K$50,3, FALSE))))*(F27-E27+1)*VLOOKUP(I27,list!$I$48:$K$50,3, FALSE))</f>
        <v/>
      </c>
      <c r="K27" s="4395">
        <f>((D27/(time_cap+((F27-E27+1)*VLOOKUP(I27,list!$I$48:$K$50,3, FALSE))))*time_cap)</f>
        <v/>
      </c>
      <c r="M27" s="4395">
        <f>IFERROR(IF((time+time_cap)&lt;M$2, 0,IF(AND(time+1&gt;=N$2, $E27&lt;N$2), IF($I27= "I", $J27/($F27-$E27+1), $J27/(($F27*($F27+1)/2)-(($E27-1)*($E27-1+1)/2))*M$2), 0)+IF(IF(time+1&gt;=N$2, $K27/time_cap/(time+1)*M$2, 0) = 0, $K27/(time_cap),0)),0)</f>
        <v/>
      </c>
      <c r="N27" s="4395">
        <f>IFERROR(IF((time+time_cap)&lt;N$2, 0,IF(AND(time+1&gt;=O$2, $E27&lt;O$2), IF($I27= "I", $J27/($F27-$E27+1), $J27/(($F27*($F27+1)/2)-(($E27-1)*($E27-1+1)/2))*N$2), 0)+IF(IF(time+1&gt;=O$2, $K27/time_cap/(time+1)*N$2, 0) = 0, $K27/(time_cap),0)),0)</f>
        <v/>
      </c>
      <c r="O27" s="4395">
        <f>IFERROR(IF((time+time_cap)&lt;O$2, 0,IF(AND(time+1&gt;=P$2, $E27&lt;P$2), IF($I27= "I", $J27/($F27-$E27+1), $J27/(($F27*($F27+1)/2)-(($E27-1)*($E27-1+1)/2))*O$2), 0)+IF(IF(time+1&gt;=P$2, $K27/time_cap/(time+1)*O$2, 0) = 0, $K27/(time_cap),0)),0)</f>
        <v/>
      </c>
      <c r="P27" s="4395">
        <f>IFERROR(IF((time+time_cap)&lt;P$2, 0,IF(AND(time+1&gt;=Q$2, $E27&lt;Q$2), IF($I27= "I", $J27/($F27-$E27+1), $J27/(($F27*($F27+1)/2)-(($E27-1)*($E27-1+1)/2))*P$2), 0)+IF(IF(time+1&gt;=Q$2, $K27/time_cap/(time+1)*P$2, 0) = 0, $K27/(time_cap),0)),0)</f>
        <v/>
      </c>
      <c r="Q27" s="4395">
        <f>IFERROR(IF((time+time_cap)&lt;Q$2, 0,IF(AND(time+1&gt;=R$2, $E27&lt;R$2), IF($I27= "I", $J27/($F27-$E27+1), $J27/(($F27*($F27+1)/2)-(($E27-1)*($E27-1+1)/2))*Q$2), 0)+IF(IF(time+1&gt;=R$2, $K27/time_cap/(time+1)*Q$2, 0) = 0, $K27/(time_cap),0)),0)</f>
        <v/>
      </c>
      <c r="R27" s="4395">
        <f>IFERROR(IF((time+time_cap)&lt;R$2, 0,IF(AND(time+1&gt;=S$2, $E27&lt;S$2), IF($I27= "I", $J27/($F27-$E27+1), $J27/(($F27*($F27+1)/2)-(($E27-1)*($E27-1+1)/2))*R$2), 0)+IF(IF(time+1&gt;=S$2, $K27/time_cap/(time+1)*R$2, 0) = 0, $K27/(time_cap),0)),0)</f>
        <v/>
      </c>
      <c r="S27" s="4395">
        <f>IFERROR(IF((time+time_cap)&lt;S$2, 0,IF(AND(time+1&gt;=T$2, $E27&lt;T$2), IF($I27= "I", $J27/($F27-$E27+1), $J27/(($F27*($F27+1)/2)-(($E27-1)*($E27-1+1)/2))*S$2), 0)+IF(IF(time+1&gt;=T$2, $K27/time_cap/(time+1)*S$2, 0) = 0, $K27/(time_cap),0)),0)</f>
        <v/>
      </c>
      <c r="T27" s="4395">
        <f>IFERROR(IF((time+time_cap)&lt;T$2, 0,IF(AND(time+1&gt;=U$2, $E27&lt;U$2), IF($I27= "I", $J27/($F27-$E27+1), $J27/(($F27*($F27+1)/2)-(($E27-1)*($E27-1+1)/2))*T$2), 0)+IF(IF(time+1&gt;=U$2, $K27/time_cap/(time+1)*T$2, 0) = 0, $K27/(time_cap),0)),0)</f>
        <v/>
      </c>
      <c r="U27" s="4395">
        <f>IFERROR(IF((time+time_cap)&lt;U$2, 0,IF(AND(time+1&gt;=V$2, $E27&lt;V$2), IF($I27= "I", $J27/($F27-$E27+1), $J27/(($F27*($F27+1)/2)-(($E27-1)*($E27-1+1)/2))*U$2), 0)+IF(IF(time+1&gt;=V$2, $K27/time_cap/(time+1)*U$2, 0) = 0, $K27/(time_cap),0)),0)</f>
        <v/>
      </c>
      <c r="V27" s="4395">
        <f>IFERROR(IF((time+time_cap)&lt;V$2, 0,IF(AND(time+1&gt;=W$2, $E27&lt;W$2), IF($I27= "I", $J27/($F27-$E27+1), $J27/(($F27*($F27+1)/2)-(($E27-1)*($E27-1+1)/2))*V$2), 0)+IF(IF(time+1&gt;=W$2, $K27/time_cap/(time+1)*V$2, 0) = 0, $K27/(time_cap),0)),0)</f>
        <v/>
      </c>
      <c r="W27" s="4395">
        <f>IFERROR(IF((time+time_cap)&lt;W$2, 0,IF(AND(time+1&gt;=X$2, $E27&lt;X$2), IF($I27= "I", $J27/($F27-$E27+1), $J27/(($F27*($F27+1)/2)-(($E27-1)*($E27-1+1)/2))*W$2), 0)+IF(IF(time+1&gt;=X$2, $K27/time_cap/(time+1)*W$2, 0) = 0, $K27/(time_cap),0)),0)</f>
        <v/>
      </c>
      <c r="X27" s="4395">
        <f>IFERROR(IF((time+time_cap)&lt;X$2, 0,IF(AND(time+1&gt;=Y$2, $E27&lt;Y$2), IF($I27= "I", $J27/($F27-$E27+1), $J27/(($F27*($F27+1)/2)-(($E27-1)*($E27-1+1)/2))*X$2), 0)+IF(IF(time+1&gt;=Y$2, $K27/time_cap/(time+1)*X$2, 0) = 0, $K27/(time_cap),0)),0)</f>
        <v/>
      </c>
      <c r="Y27" s="4395">
        <f>IFERROR(IF((time+time_cap)&lt;Y$2, 0,IF(AND(time+1&gt;=Z$2, $E27&lt;Z$2), IF($I27= "I", $J27/($F27-$E27+1), $J27/(($F27*($F27+1)/2)-(($E27-1)*($E27-1+1)/2))*Y$2), 0)+IF(IF(time+1&gt;=Z$2, $K27/time_cap/(time+1)*Y$2, 0) = 0, $K27/(time_cap),0)),0)</f>
        <v/>
      </c>
      <c r="Z27" s="4395">
        <f>IFERROR(IF((time+time_cap)&lt;Z$2, 0,IF(AND(time+1&gt;=AA$2, $E27&lt;AA$2), IF($I27= "I", $J27/($F27-$E27+1), $J27/(($F27*($F27+1)/2)-(($E27-1)*($E27-1+1)/2))*Z$2), 0)+IF(IF(time+1&gt;=AA$2, $K27/time_cap/(time+1)*Z$2, 0) = 0, $K27/(time_cap),0)),0)</f>
        <v/>
      </c>
      <c r="AA27" s="4395">
        <f>IFERROR(IF((time+time_cap)&lt;AA$2, 0,IF(AND(time+1&gt;=AB$2, $E27&lt;AB$2), IF($I27= "I", $J27/($F27-$E27+1), $J27/(($F27*($F27+1)/2)-(($E27-1)*($E27-1+1)/2))*AA$2), 0)+IF(IF(time+1&gt;=AB$2, $K27/time_cap/(time+1)*AA$2, 0) = 0, $K27/(time_cap),0)),0)</f>
        <v/>
      </c>
      <c r="AB27" s="4395">
        <f>IFERROR(IF((time+time_cap)&lt;AB$2, 0,IF(AND(time+1&gt;=AC$2, $E27&lt;AC$2), IF($I27= "I", $J27/($F27-$E27+1), $J27/(($F27*($F27+1)/2)-(($E27-1)*($E27-1+1)/2))*AB$2), 0)+IF(IF(time+1&gt;=AC$2, $K27/time_cap/(time+1)*AB$2, 0) = 0, $K27/(time_cap),0)),0)</f>
        <v/>
      </c>
      <c r="AC27" s="4395">
        <f>IFERROR(IF((time+time_cap)&lt;AC$2, 0,IF(AND(time+1&gt;=AD$2, $E27&lt;AD$2), IF($I27= "I", $J27/($F27-$E27+1), $J27/(($F27*($F27+1)/2)-(($E27-1)*($E27-1+1)/2))*AC$2), 0)+IF(IF(time+1&gt;=AD$2, $K27/time_cap/(time+1)*AC$2, 0) = 0, $K27/(time_cap),0)),0)</f>
        <v/>
      </c>
      <c r="AD27" s="4395">
        <f>IFERROR(IF((time+time_cap)&lt;AD$2, 0,IF(AND(time+1&gt;=AE$2, $E27&lt;AE$2), IF($I27= "I", $J27/($F27-$E27+1), $J27/(($F27*($F27+1)/2)-(($E27-1)*($E27-1+1)/2))*AD$2), 0)+IF(IF(time+1&gt;=AE$2, $K27/time_cap/(time+1)*AD$2, 0) = 0, $K27/(time_cap),0)),0)</f>
        <v/>
      </c>
      <c r="AE27" s="4395">
        <f>IFERROR(IF((time+time_cap)&lt;AE$2, 0,IF(AND(time+1&gt;=AF$2, $E27&lt;AF$2), IF($I27= "I", $J27/($F27-$E27+1), $J27/(($F27*($F27+1)/2)-(($E27-1)*($E27-1+1)/2))*AE$2), 0)+IF(IF(time+1&gt;=AF$2, $K27/time_cap/(time+1)*AE$2, 0) = 0, $K27/(time_cap),0)),0)</f>
        <v/>
      </c>
      <c r="AF27" s="4395">
        <f>IFERROR(IF((time+time_cap)&lt;AF$2, 0,IF(AND(time+1&gt;=AG$2, $E27&lt;AG$2), IF($I27= "I", $J27/($F27-$E27+1), $J27/(($F27*($F27+1)/2)-(($E27-1)*($E27-1+1)/2))*AF$2), 0)+IF(IF(time+1&gt;=AG$2, $K27/time_cap/(time+1)*AF$2, 0) = 0, $K27/(time_cap),0)),0)</f>
        <v/>
      </c>
      <c r="AG27" s="4395">
        <f>IFERROR(IF((time+time_cap)&lt;AG$2, 0,IF(AND(time+1&gt;=AH$2, $E27&lt;AH$2), IF($I27= "I", $J27/($F27-$E27+1), $J27/(($F27*($F27+1)/2)-(($E27-1)*($E27-1+1)/2))*AG$2), 0)+IF(IF(time+1&gt;=AH$2, $K27/time_cap/(time+1)*AG$2, 0) = 0, $K27/(time_cap),0)),0)</f>
        <v/>
      </c>
      <c r="AH27" s="4395">
        <f>IFERROR(IF((time+time_cap)&lt;AH$2, 0,IF(AND(time+1&gt;=AI$2, $E27&lt;AI$2), IF($I27= "I", $J27/($F27-$E27+1), $J27/(($F27*($F27+1)/2)-(($E27-1)*($E27-1+1)/2))*AH$2), 0)+IF(IF(time+1&gt;=AI$2, $K27/time_cap/(time+1)*AH$2, 0) = 0, $K27/(time_cap),0)),0)</f>
        <v/>
      </c>
      <c r="AI27" s="4395">
        <f>IFERROR(IF((time+time_cap)&lt;AI$2, 0,IF(AND(time+1&gt;=AJ$2, $E27&lt;AJ$2), IF($I27= "I", $J27/($F27-$E27+1), $J27/(($F27*($F27+1)/2)-(($E27-1)*($E27-1+1)/2))*AI$2), 0)+IF(IF(time+1&gt;=AJ$2, $K27/time_cap/(time+1)*AI$2, 0) = 0, $K27/(time_cap),0)),0)</f>
        <v/>
      </c>
      <c r="AJ27" s="4395">
        <f>IFERROR(IF((time+time_cap)&lt;AJ$2, 0,IF(AND(time+1&gt;=AK$2, $E27&lt;AK$2), IF($I27= "I", $J27/($F27-$E27+1), $J27/(($F27*($F27+1)/2)-(($E27-1)*($E27-1+1)/2))*AJ$2), 0)+IF(IF(time+1&gt;=AK$2, $K27/time_cap/(time+1)*AJ$2, 0) = 0, $K27/(time_cap),0)),0)</f>
        <v/>
      </c>
      <c r="AK27" s="4395">
        <f>IFERROR(IF((time+time_cap)&lt;AK$2, 0,IF(AND(time+1&gt;=AL$2, $E27&lt;AL$2), IF($I27= "I", $J27/($F27-$E27+1), $J27/(($F27*($F27+1)/2)-(($E27-1)*($E27-1+1)/2))*AK$2), 0)+IF(IF(time+1&gt;=AL$2, $K27/time_cap/(time+1)*AK$2, 0) = 0, $K27/(time_cap),0)),0)</f>
        <v/>
      </c>
      <c r="AL27" s="4395">
        <f>IFERROR(IF((time+time_cap)&lt;AL$2, 0,IF(AND(time+1&gt;=AM$2, $E27&lt;AM$2), IF($I27= "I", $J27/($F27-$E27+1), $J27/(($F27*($F27+1)/2)-(($E27-1)*($E27-1+1)/2))*AL$2), 0)+IF(IF(time+1&gt;=AM$2, $K27/time_cap/(time+1)*AL$2, 0) = 0, $K27/(time_cap),0)),0)</f>
        <v/>
      </c>
      <c r="AM27" s="4395">
        <f>IFERROR(IF((time+time_cap)&lt;AM$2, 0,IF(AND(time+1&gt;=AN$2, $E27&lt;AN$2), IF($I27= "I", $J27/($F27-$E27+1), $J27/(($F27*($F27+1)/2)-(($E27-1)*($E27-1+1)/2))*AM$2), 0)+IF(IF(time+1&gt;=AN$2, $K27/time_cap/(time+1)*AM$2, 0) = 0, $K27/(time_cap),0)),0)</f>
        <v/>
      </c>
      <c r="AN27" s="4395">
        <f>IFERROR(IF((time+time_cap)&lt;AN$2, 0,IF(AND(time+1&gt;=AO$2, $E27&lt;AO$2), IF($I27= "I", $J27/($F27-$E27+1), $J27/(($F27*($F27+1)/2)-(($E27-1)*($E27-1+1)/2))*AN$2), 0)+IF(IF(time+1&gt;=AO$2, $K27/time_cap/(time+1)*AN$2, 0) = 0, $K27/(time_cap),0)),0)</f>
        <v/>
      </c>
      <c r="AO27" s="4395">
        <f>IFERROR(IF((time+time_cap)&lt;AO$2, 0,IF(AND(time+1&gt;=AP$2, $E27&lt;AP$2), IF($I27= "I", $J27/($F27-$E27+1), $J27/(($F27*($F27+1)/2)-(($E27-1)*($E27-1+1)/2))*AO$2), 0)+IF(IF(time+1&gt;=AP$2, $K27/time_cap/(time+1)*AO$2, 0) = 0, $K27/(time_cap),0)),0)</f>
        <v/>
      </c>
      <c r="AP27" s="4395">
        <f>IFERROR(IF((time+time_cap)&lt;AP$2, 0,IF(AND(time+1&gt;=AQ$2, $E27&lt;AQ$2), IF($I27= "I", $J27/($F27-$E27+1), $J27/(($F27*($F27+1)/2)-(($E27-1)*($E27-1+1)/2))*AP$2), 0)+IF(IF(time+1&gt;=AQ$2, $K27/time_cap/(time+1)*AP$2, 0) = 0, $K27/(time_cap),0)),0)</f>
        <v/>
      </c>
      <c r="AQ27" s="4395">
        <f>IFERROR(IF((time+time_cap)&lt;AQ$2, 0,IF(AND(time+1&gt;=AR$2, $E27&lt;AR$2), IF($I27= "I", $J27/($F27-$E27+1), $J27/(($F27*($F27+1)/2)-(($E27-1)*($E27-1+1)/2))*AQ$2), 0)+IF(IF(time+1&gt;=AR$2, $K27/time_cap/(time+1)*AQ$2, 0) = 0, $K27/(time_cap),0)),0)</f>
        <v/>
      </c>
      <c r="AR27" s="4395">
        <f>IFERROR(IF((time+time_cap)&lt;AR$2, 0,IF(AND(time+1&gt;=AS$2, $E27&lt;AS$2), IF($I27= "I", $J27/($F27-$E27+1), $J27/(($F27*($F27+1)/2)-(($E27-1)*($E27-1+1)/2))*AR$2), 0)+IF(IF(time+1&gt;=AS$2, $K27/time_cap/(time+1)*AR$2, 0) = 0, $K27/(time_cap),0)),0)</f>
        <v/>
      </c>
      <c r="AS27" s="4395">
        <f>IFERROR(IF((time+time_cap)&lt;AS$2, 0,IF(AND(time+1&gt;=AT$2, $E27&lt;AT$2), IF($I27= "I", $J27/($F27-$E27+1), $J27/(($F27*($F27+1)/2)-(($E27-1)*($E27-1+1)/2))*AS$2), 0)+IF(IF(time+1&gt;=AT$2, $K27/time_cap/(time+1)*AS$2, 0) = 0, $K27/(time_cap),0)),0)</f>
        <v/>
      </c>
      <c r="AT27" s="4395">
        <f>IFERROR(IF((time+time_cap)&lt;AT$2, 0,IF(AND(time+1&gt;=AU$2, $E27&lt;AU$2), IF($I27= "I", $J27/($F27-$E27+1), $J27/(($F27*($F27+1)/2)-(($E27-1)*($E27-1+1)/2))*AT$2), 0)+IF(IF(time+1&gt;=AU$2, $K27/time_cap/(time+1)*AT$2, 0) = 0, $K27/(time_cap),0)),0)</f>
        <v/>
      </c>
      <c r="AU27" s="4395">
        <f>IFERROR(IF((time+time_cap)&lt;AU$2, 0,IF(AND(time+1&gt;=AV$2, $E27&lt;AV$2), IF($I27= "I", $J27/($F27-$E27+1), $J27/(($F27*($F27+1)/2)-(($E27-1)*($E27-1+1)/2))*AU$2), 0)+IF(IF(time+1&gt;=AV$2, $K27/time_cap/(time+1)*AU$2, 0) = 0, $K27/(time_cap),0)),0)</f>
        <v/>
      </c>
      <c r="AV27" s="4395">
        <f>IFERROR(IF((time+time_cap)&lt;AV$2, 0,IF(AND(time+1&gt;=AW$2, $E27&lt;AW$2), IF($I27= "I", $J27/($F27-$E27+1), $J27/(($F27*($F27+1)/2)-(($E27-1)*($E27-1+1)/2))*AV$2), 0)+IF(IF(time+1&gt;=AW$2, $K27/time_cap/(time+1)*AV$2, 0) = 0, $K27/(time_cap),0)),0)</f>
        <v/>
      </c>
      <c r="AW27" s="4395">
        <f>IFERROR(IF((time+time_cap)&lt;AW$2, 0,IF(AND(time+1&gt;=AX$2, $E27&lt;AX$2), IF($I27= "I", $J27/($F27-$E27+1), $J27/(($F27*($F27+1)/2)-(($E27-1)*($E27-1+1)/2))*AW$2), 0)+IF(IF(time+1&gt;=AX$2, $K27/time_cap/(time+1)*AW$2, 0) = 0, $K27/(time_cap),0)),0)</f>
        <v/>
      </c>
      <c r="AX27" s="4395">
        <f>IFERROR(IF((time+time_cap)&lt;AX$2, 0,IF(AND(time+1&gt;=AY$2, $E27&lt;AY$2), IF($I27= "I", $J27/($F27-$E27+1), $J27/(($F27*($F27+1)/2)-(($E27-1)*($E27-1+1)/2))*AX$2), 0)+IF(IF(time+1&gt;=AY$2, $K27/time_cap/(time+1)*AX$2, 0) = 0, $K27/(time_cap),0)),0)</f>
        <v/>
      </c>
      <c r="AY27" s="4395">
        <f>IFERROR(IF((time+time_cap)&lt;AY$2, 0,IF(AND(time+1&gt;=AZ$2, $E27&lt;AZ$2), IF($I27= "I", $J27/($F27-$E27+1), $J27/(($F27*($F27+1)/2)-(($E27-1)*($E27-1+1)/2))*AY$2), 0)+IF(IF(time+1&gt;=AZ$2, $K27/time_cap/(time+1)*AY$2, 0) = 0, $K27/(time_cap),0)),0)</f>
        <v/>
      </c>
      <c r="AZ27" s="4395">
        <f>IFERROR(IF((time+time_cap)&lt;AZ$2, 0,IF(AND(time+1&gt;=BA$2, $E27&lt;BA$2), IF($I27= "I", $J27/($F27-$E27+1), $J27/(($F27*($F27+1)/2)-(($E27-1)*($E27-1+1)/2))*AZ$2), 0)+IF(IF(time+1&gt;=BA$2, $K27/time_cap/(time+1)*AZ$2, 0) = 0, $K27/(time_cap),0)),0)</f>
        <v/>
      </c>
      <c r="BA27" s="4395">
        <f>IFERROR(IF((time+time_cap)&lt;BA$2, 0,IF(AND(time+1&gt;=BB$2, $E27&lt;BB$2), IF($I27= "I", $J27/($F27-$E27+1), $J27/(($F27*($F27+1)/2)-(($E27-1)*($E27-1+1)/2))*BA$2), 0)+IF(IF(time+1&gt;=BB$2, $K27/time_cap/(time+1)*BA$2, 0) = 0, $K27/(time_cap),0)),0)</f>
        <v/>
      </c>
      <c r="BB27" s="4395">
        <f>IFERROR(IF((time+time_cap)&lt;BB$2, 0,IF(AND(time+1&gt;=BC$2, $E27&lt;BC$2), IF($I27= "I", $J27/($F27-$E27+1), $J27/(($F27*($F27+1)/2)-(($E27-1)*($E27-1+1)/2))*BB$2), 0)+IF(IF(time+1&gt;=BC$2, $K27/time_cap/(time+1)*BB$2, 0) = 0, $K27/(time_cap),0)),0)</f>
        <v/>
      </c>
      <c r="BC27" s="4395">
        <f>IFERROR(IF((time+time_cap)&lt;BC$2, 0,IF(AND(time+1&gt;=BD$2, $E27&lt;BD$2), IF($I27= "I", $J27/($F27-$E27+1), $J27/(($F27*($F27+1)/2)-(($E27-1)*($E27-1+1)/2))*BC$2), 0)+IF(IF(time+1&gt;=BD$2, $K27/time_cap/(time+1)*BC$2, 0) = 0, $K27/(time_cap),0)),0)</f>
        <v/>
      </c>
      <c r="BD27" s="4395">
        <f>IFERROR(IF((time+time_cap)&lt;BD$2, 0,IF(AND(time+1&gt;=BE$2, $E27&lt;BE$2), IF($I27= "I", $J27/($F27-$E27+1), $J27/(($F27*($F27+1)/2)-(($E27-1)*($E27-1+1)/2))*BD$2), 0)+IF(IF(time+1&gt;=BE$2, $K27/time_cap/(time+1)*BD$2, 0) = 0, $K27/(time_cap),0)),0)</f>
        <v/>
      </c>
      <c r="BE27" s="4395">
        <f>IFERROR(IF((time+time_cap)&lt;BE$2, 0,IF(AND(time+1&gt;=BF$2, $E27&lt;BF$2), IF($I27= "I", $J27/($F27-$E27+1), $J27/(($F27*($F27+1)/2)-(($E27-1)*($E27-1+1)/2))*BE$2), 0)+IF(IF(time+1&gt;=BF$2, $K27/time_cap/(time+1)*BE$2, 0) = 0, $K27/(time_cap),0)),0)</f>
        <v/>
      </c>
      <c r="BF27" s="4395">
        <f>IFERROR(IF((time+time_cap)&lt;BF$2, 0,IF(AND(time+1&gt;=BG$2, $E27&lt;BG$2), IF($I27= "I", $J27/($F27-$E27+1), $J27/(($F27*($F27+1)/2)-(($E27-1)*($E27-1+1)/2))*BF$2), 0)+IF(IF(time+1&gt;=BG$2, $K27/time_cap/(time+1)*BF$2, 0) = 0, $K27/(time_cap),0)),0)</f>
        <v/>
      </c>
      <c r="BG27" s="4395">
        <f>IFERROR(IF((time+time_cap)&lt;BG$2, 0,IF(AND(time+1&gt;=BH$2, $E27&lt;BH$2), IF($I27= "I", $J27/($F27-$E27+1), $J27/(($F27*($F27+1)/2)-(($E27-1)*($E27-1+1)/2))*BG$2), 0)+IF(IF(time+1&gt;=BH$2, $K27/time_cap/(time+1)*BG$2, 0) = 0, $K27/(time_cap),0)),0)</f>
        <v/>
      </c>
      <c r="BH27" s="4395">
        <f>IFERROR(IF((time+time_cap)&lt;BH$2, 0,IF(AND(time+1&gt;=BI$2, $E27&lt;BI$2), IF($I27= "I", $J27/($F27-$E27+1), $J27/(($F27*($F27+1)/2)-(($E27-1)*($E27-1+1)/2))*BH$2), 0)+IF(IF(time+1&gt;=BI$2, $K27/time_cap/(time+1)*BH$2, 0) = 0, $K27/(time_cap),0)),0)</f>
        <v/>
      </c>
      <c r="BI27" s="4395">
        <f>IFERROR(IF((time+time_cap)&lt;BI$2, 0,IF(AND(time+1&gt;=BJ$2, $E27&lt;BJ$2), IF($I27= "I", $J27/($F27-$E27+1), $J27/(($F27*($F27+1)/2)-(($E27-1)*($E27-1+1)/2))*BI$2), 0)+IF(IF(time+1&gt;=BJ$2, $K27/time_cap/(time+1)*BI$2, 0) = 0, $K27/(time_cap),0)),0)</f>
        <v/>
      </c>
      <c r="BJ27" s="4395">
        <f>IFERROR(IF((time+time_cap)&lt;BJ$2, 0,IF(AND(time+1&gt;=BK$2, $E27&lt;BK$2), IF($I27= "I", $J27/($F27-$E27+1), $J27/(($F27*($F27+1)/2)-(($E27-1)*($E27-1+1)/2))*BJ$2), 0)+IF(IF(time+1&gt;=BK$2, $K27/time_cap/(time+1)*BJ$2, 0) = 0, $K27/(time_cap),0)),0)</f>
        <v/>
      </c>
      <c r="BK27" s="4395" t="n"/>
      <c r="BL27" s="4395" t="n"/>
      <c r="BM27" s="4395" t="n"/>
      <c r="BN27" s="4395" t="n"/>
      <c r="BO27" s="4395" t="n"/>
      <c r="BP27" s="4395" t="n"/>
      <c r="BQ27" s="4395" t="n"/>
      <c r="BR27" s="4395" t="n"/>
      <c r="BS27" s="4395" t="n"/>
      <c r="BT27" s="4395" t="n"/>
      <c r="BU27" s="4395" t="n"/>
      <c r="BV27" s="4395" t="n"/>
      <c r="BW27" s="4395" t="n"/>
      <c r="BX27" s="4395" t="n"/>
      <c r="BY27" s="4395" t="n"/>
      <c r="BZ27" s="4395" t="n"/>
      <c r="CA27" s="4395" t="n"/>
      <c r="CB27" s="4395" t="n"/>
      <c r="CC27" s="4395" t="n"/>
      <c r="CD27" s="4395" t="n"/>
      <c r="CE27" s="4395" t="n"/>
      <c r="CF27" s="4395" t="n"/>
      <c r="CG27" s="4395" t="n"/>
      <c r="CH27" s="4395" t="n"/>
      <c r="CI27" s="4395" t="n"/>
      <c r="CJ27" s="4395" t="n"/>
      <c r="CK27" s="4395" t="n"/>
      <c r="CL27" s="4395" t="n"/>
      <c r="CM27" s="4395" t="n"/>
      <c r="CN27" s="4395" t="n"/>
      <c r="CO27" s="4395" t="n"/>
      <c r="CP27" s="4395" t="n"/>
      <c r="CQ27" s="4395" t="n"/>
      <c r="CR27" s="4395" t="n"/>
      <c r="CS27" s="4395" t="n"/>
      <c r="CT27" s="4395" t="n"/>
      <c r="CU27" s="4395" t="n"/>
      <c r="CV27" s="4395" t="n"/>
      <c r="CW27" s="4395" t="n"/>
      <c r="CX27" s="4395" t="n"/>
      <c r="CY27" s="4395" t="n"/>
      <c r="CZ27" s="4395" t="n"/>
      <c r="DA27" s="4395" t="n"/>
      <c r="DB27" s="4395" t="n"/>
      <c r="DC27" s="4395" t="n"/>
      <c r="DD27" s="4395" t="n"/>
      <c r="DE27" s="4395" t="n"/>
      <c r="DF27" s="4395" t="n"/>
      <c r="DG27" s="4395" t="n"/>
      <c r="DH27" s="4395" t="n"/>
    </row>
    <row r="28" ht="16" customHeight="1">
      <c r="A28" t="inlineStr">
        <is>
          <t>OLUC</t>
        </is>
      </c>
      <c r="B28">
        <f>'2.LUC'!C62</f>
        <v/>
      </c>
      <c r="C28">
        <f>'2.LUC'!K62</f>
        <v/>
      </c>
      <c r="D28">
        <f>'2.LUC'!Y62</f>
        <v/>
      </c>
      <c r="E28">
        <f>IF('2.LUC'!BL62&lt;&gt;0,'2.LUC'!BL62,'2.LUC'!BK62)</f>
        <v/>
      </c>
      <c r="F28">
        <f>time</f>
        <v/>
      </c>
      <c r="G28" s="4395">
        <f>'2.LUC'!O62</f>
        <v/>
      </c>
      <c r="H28" s="4395">
        <f>'2.LUC'!Q62</f>
        <v/>
      </c>
      <c r="I28" s="4395">
        <f>IF(OR(H28="I", G28="I"), "I", IF(OR(H28="E", G28="E"), "E", "D"))</f>
        <v/>
      </c>
      <c r="J28" s="4395">
        <f>((D28/(time_cap+((F28-E28+1)*VLOOKUP(I28,list!$I$48:$K$50,3, FALSE))))*(F28-E28+1)*VLOOKUP(I28,list!$I$48:$K$50,3, FALSE))</f>
        <v/>
      </c>
      <c r="K28" s="4395">
        <f>((D28/(time_cap+((F28-E28+1)*VLOOKUP(I28,list!$I$48:$K$50,3, FALSE))))*time_cap)</f>
        <v/>
      </c>
      <c r="M28" s="4395">
        <f>IFERROR(IF((time+time_cap)&lt;M$2, 0,IF(AND(time+1&gt;=N$2, $E28&lt;N$2), IF($I28= "I", $J28/($F28-$E28+1), $J28/(($F28*($F28+1)/2)-(($E28-1)*($E28-1+1)/2))*M$2), 0)+IF(IF(time+1&gt;=N$2, $K28/time_cap/(time+1)*M$2, 0) = 0, $K28/(time_cap),0)),0)</f>
        <v/>
      </c>
      <c r="N28" s="4395">
        <f>IFERROR(IF((time+time_cap)&lt;N$2, 0,IF(AND(time+1&gt;=O$2, $E28&lt;O$2), IF($I28= "I", $J28/($F28-$E28+1), $J28/(($F28*($F28+1)/2)-(($E28-1)*($E28-1+1)/2))*N$2), 0)+IF(IF(time+1&gt;=O$2, $K28/time_cap/(time+1)*N$2, 0) = 0, $K28/(time_cap),0)),0)</f>
        <v/>
      </c>
      <c r="O28" s="4395">
        <f>IFERROR(IF((time+time_cap)&lt;O$2, 0,IF(AND(time+1&gt;=P$2, $E28&lt;P$2), IF($I28= "I", $J28/($F28-$E28+1), $J28/(($F28*($F28+1)/2)-(($E28-1)*($E28-1+1)/2))*O$2), 0)+IF(IF(time+1&gt;=P$2, $K28/time_cap/(time+1)*O$2, 0) = 0, $K28/(time_cap),0)),0)</f>
        <v/>
      </c>
      <c r="P28" s="4395">
        <f>IFERROR(IF((time+time_cap)&lt;P$2, 0,IF(AND(time+1&gt;=Q$2, $E28&lt;Q$2), IF($I28= "I", $J28/($F28-$E28+1), $J28/(($F28*($F28+1)/2)-(($E28-1)*($E28-1+1)/2))*P$2), 0)+IF(IF(time+1&gt;=Q$2, $K28/time_cap/(time+1)*P$2, 0) = 0, $K28/(time_cap),0)),0)</f>
        <v/>
      </c>
      <c r="Q28" s="4395">
        <f>IFERROR(IF((time+time_cap)&lt;Q$2, 0,IF(AND(time+1&gt;=R$2, $E28&lt;R$2), IF($I28= "I", $J28/($F28-$E28+1), $J28/(($F28*($F28+1)/2)-(($E28-1)*($E28-1+1)/2))*Q$2), 0)+IF(IF(time+1&gt;=R$2, $K28/time_cap/(time+1)*Q$2, 0) = 0, $K28/(time_cap),0)),0)</f>
        <v/>
      </c>
      <c r="R28" s="4395">
        <f>IFERROR(IF((time+time_cap)&lt;R$2, 0,IF(AND(time+1&gt;=S$2, $E28&lt;S$2), IF($I28= "I", $J28/($F28-$E28+1), $J28/(($F28*($F28+1)/2)-(($E28-1)*($E28-1+1)/2))*R$2), 0)+IF(IF(time+1&gt;=S$2, $K28/time_cap/(time+1)*R$2, 0) = 0, $K28/(time_cap),0)),0)</f>
        <v/>
      </c>
      <c r="S28" s="4395">
        <f>IFERROR(IF((time+time_cap)&lt;S$2, 0,IF(AND(time+1&gt;=T$2, $E28&lt;T$2), IF($I28= "I", $J28/($F28-$E28+1), $J28/(($F28*($F28+1)/2)-(($E28-1)*($E28-1+1)/2))*S$2), 0)+IF(IF(time+1&gt;=T$2, $K28/time_cap/(time+1)*S$2, 0) = 0, $K28/(time_cap),0)),0)</f>
        <v/>
      </c>
      <c r="T28" s="4395">
        <f>IFERROR(IF((time+time_cap)&lt;T$2, 0,IF(AND(time+1&gt;=U$2, $E28&lt;U$2), IF($I28= "I", $J28/($F28-$E28+1), $J28/(($F28*($F28+1)/2)-(($E28-1)*($E28-1+1)/2))*T$2), 0)+IF(IF(time+1&gt;=U$2, $K28/time_cap/(time+1)*T$2, 0) = 0, $K28/(time_cap),0)),0)</f>
        <v/>
      </c>
      <c r="U28" s="4395">
        <f>IFERROR(IF((time+time_cap)&lt;U$2, 0,IF(AND(time+1&gt;=V$2, $E28&lt;V$2), IF($I28= "I", $J28/($F28-$E28+1), $J28/(($F28*($F28+1)/2)-(($E28-1)*($E28-1+1)/2))*U$2), 0)+IF(IF(time+1&gt;=V$2, $K28/time_cap/(time+1)*U$2, 0) = 0, $K28/(time_cap),0)),0)</f>
        <v/>
      </c>
      <c r="V28" s="4395">
        <f>IFERROR(IF((time+time_cap)&lt;V$2, 0,IF(AND(time+1&gt;=W$2, $E28&lt;W$2), IF($I28= "I", $J28/($F28-$E28+1), $J28/(($F28*($F28+1)/2)-(($E28-1)*($E28-1+1)/2))*V$2), 0)+IF(IF(time+1&gt;=W$2, $K28/time_cap/(time+1)*V$2, 0) = 0, $K28/(time_cap),0)),0)</f>
        <v/>
      </c>
      <c r="W28" s="4395">
        <f>IFERROR(IF((time+time_cap)&lt;W$2, 0,IF(AND(time+1&gt;=X$2, $E28&lt;X$2), IF($I28= "I", $J28/($F28-$E28+1), $J28/(($F28*($F28+1)/2)-(($E28-1)*($E28-1+1)/2))*W$2), 0)+IF(IF(time+1&gt;=X$2, $K28/time_cap/(time+1)*W$2, 0) = 0, $K28/(time_cap),0)),0)</f>
        <v/>
      </c>
      <c r="X28" s="4395">
        <f>IFERROR(IF((time+time_cap)&lt;X$2, 0,IF(AND(time+1&gt;=Y$2, $E28&lt;Y$2), IF($I28= "I", $J28/($F28-$E28+1), $J28/(($F28*($F28+1)/2)-(($E28-1)*($E28-1+1)/2))*X$2), 0)+IF(IF(time+1&gt;=Y$2, $K28/time_cap/(time+1)*X$2, 0) = 0, $K28/(time_cap),0)),0)</f>
        <v/>
      </c>
      <c r="Y28" s="4395">
        <f>IFERROR(IF((time+time_cap)&lt;Y$2, 0,IF(AND(time+1&gt;=Z$2, $E28&lt;Z$2), IF($I28= "I", $J28/($F28-$E28+1), $J28/(($F28*($F28+1)/2)-(($E28-1)*($E28-1+1)/2))*Y$2), 0)+IF(IF(time+1&gt;=Z$2, $K28/time_cap/(time+1)*Y$2, 0) = 0, $K28/(time_cap),0)),0)</f>
        <v/>
      </c>
      <c r="Z28" s="4395">
        <f>IFERROR(IF((time+time_cap)&lt;Z$2, 0,IF(AND(time+1&gt;=AA$2, $E28&lt;AA$2), IF($I28= "I", $J28/($F28-$E28+1), $J28/(($F28*($F28+1)/2)-(($E28-1)*($E28-1+1)/2))*Z$2), 0)+IF(IF(time+1&gt;=AA$2, $K28/time_cap/(time+1)*Z$2, 0) = 0, $K28/(time_cap),0)),0)</f>
        <v/>
      </c>
      <c r="AA28" s="4395">
        <f>IFERROR(IF((time+time_cap)&lt;AA$2, 0,IF(AND(time+1&gt;=AB$2, $E28&lt;AB$2), IF($I28= "I", $J28/($F28-$E28+1), $J28/(($F28*($F28+1)/2)-(($E28-1)*($E28-1+1)/2))*AA$2), 0)+IF(IF(time+1&gt;=AB$2, $K28/time_cap/(time+1)*AA$2, 0) = 0, $K28/(time_cap),0)),0)</f>
        <v/>
      </c>
      <c r="AB28" s="4395">
        <f>IFERROR(IF((time+time_cap)&lt;AB$2, 0,IF(AND(time+1&gt;=AC$2, $E28&lt;AC$2), IF($I28= "I", $J28/($F28-$E28+1), $J28/(($F28*($F28+1)/2)-(($E28-1)*($E28-1+1)/2))*AB$2), 0)+IF(IF(time+1&gt;=AC$2, $K28/time_cap/(time+1)*AB$2, 0) = 0, $K28/(time_cap),0)),0)</f>
        <v/>
      </c>
      <c r="AC28" s="4395">
        <f>IFERROR(IF((time+time_cap)&lt;AC$2, 0,IF(AND(time+1&gt;=AD$2, $E28&lt;AD$2), IF($I28= "I", $J28/($F28-$E28+1), $J28/(($F28*($F28+1)/2)-(($E28-1)*($E28-1+1)/2))*AC$2), 0)+IF(IF(time+1&gt;=AD$2, $K28/time_cap/(time+1)*AC$2, 0) = 0, $K28/(time_cap),0)),0)</f>
        <v/>
      </c>
      <c r="AD28" s="4395">
        <f>IFERROR(IF((time+time_cap)&lt;AD$2, 0,IF(AND(time+1&gt;=AE$2, $E28&lt;AE$2), IF($I28= "I", $J28/($F28-$E28+1), $J28/(($F28*($F28+1)/2)-(($E28-1)*($E28-1+1)/2))*AD$2), 0)+IF(IF(time+1&gt;=AE$2, $K28/time_cap/(time+1)*AD$2, 0) = 0, $K28/(time_cap),0)),0)</f>
        <v/>
      </c>
      <c r="AE28" s="4395">
        <f>IFERROR(IF((time+time_cap)&lt;AE$2, 0,IF(AND(time+1&gt;=AF$2, $E28&lt;AF$2), IF($I28= "I", $J28/($F28-$E28+1), $J28/(($F28*($F28+1)/2)-(($E28-1)*($E28-1+1)/2))*AE$2), 0)+IF(IF(time+1&gt;=AF$2, $K28/time_cap/(time+1)*AE$2, 0) = 0, $K28/(time_cap),0)),0)</f>
        <v/>
      </c>
      <c r="AF28" s="4395">
        <f>IFERROR(IF((time+time_cap)&lt;AF$2, 0,IF(AND(time+1&gt;=AG$2, $E28&lt;AG$2), IF($I28= "I", $J28/($F28-$E28+1), $J28/(($F28*($F28+1)/2)-(($E28-1)*($E28-1+1)/2))*AF$2), 0)+IF(IF(time+1&gt;=AG$2, $K28/time_cap/(time+1)*AF$2, 0) = 0, $K28/(time_cap),0)),0)</f>
        <v/>
      </c>
      <c r="AG28" s="4395">
        <f>IFERROR(IF((time+time_cap)&lt;AG$2, 0,IF(AND(time+1&gt;=AH$2, $E28&lt;AH$2), IF($I28= "I", $J28/($F28-$E28+1), $J28/(($F28*($F28+1)/2)-(($E28-1)*($E28-1+1)/2))*AG$2), 0)+IF(IF(time+1&gt;=AH$2, $K28/time_cap/(time+1)*AG$2, 0) = 0, $K28/(time_cap),0)),0)</f>
        <v/>
      </c>
      <c r="AH28" s="4395">
        <f>IFERROR(IF((time+time_cap)&lt;AH$2, 0,IF(AND(time+1&gt;=AI$2, $E28&lt;AI$2), IF($I28= "I", $J28/($F28-$E28+1), $J28/(($F28*($F28+1)/2)-(($E28-1)*($E28-1+1)/2))*AH$2), 0)+IF(IF(time+1&gt;=AI$2, $K28/time_cap/(time+1)*AH$2, 0) = 0, $K28/(time_cap),0)),0)</f>
        <v/>
      </c>
      <c r="AI28" s="4395">
        <f>IFERROR(IF((time+time_cap)&lt;AI$2, 0,IF(AND(time+1&gt;=AJ$2, $E28&lt;AJ$2), IF($I28= "I", $J28/($F28-$E28+1), $J28/(($F28*($F28+1)/2)-(($E28-1)*($E28-1+1)/2))*AI$2), 0)+IF(IF(time+1&gt;=AJ$2, $K28/time_cap/(time+1)*AI$2, 0) = 0, $K28/(time_cap),0)),0)</f>
        <v/>
      </c>
      <c r="AJ28" s="4395">
        <f>IFERROR(IF((time+time_cap)&lt;AJ$2, 0,IF(AND(time+1&gt;=AK$2, $E28&lt;AK$2), IF($I28= "I", $J28/($F28-$E28+1), $J28/(($F28*($F28+1)/2)-(($E28-1)*($E28-1+1)/2))*AJ$2), 0)+IF(IF(time+1&gt;=AK$2, $K28/time_cap/(time+1)*AJ$2, 0) = 0, $K28/(time_cap),0)),0)</f>
        <v/>
      </c>
      <c r="AK28" s="4395">
        <f>IFERROR(IF((time+time_cap)&lt;AK$2, 0,IF(AND(time+1&gt;=AL$2, $E28&lt;AL$2), IF($I28= "I", $J28/($F28-$E28+1), $J28/(($F28*($F28+1)/2)-(($E28-1)*($E28-1+1)/2))*AK$2), 0)+IF(IF(time+1&gt;=AL$2, $K28/time_cap/(time+1)*AK$2, 0) = 0, $K28/(time_cap),0)),0)</f>
        <v/>
      </c>
      <c r="AL28" s="4395">
        <f>IFERROR(IF((time+time_cap)&lt;AL$2, 0,IF(AND(time+1&gt;=AM$2, $E28&lt;AM$2), IF($I28= "I", $J28/($F28-$E28+1), $J28/(($F28*($F28+1)/2)-(($E28-1)*($E28-1+1)/2))*AL$2), 0)+IF(IF(time+1&gt;=AM$2, $K28/time_cap/(time+1)*AL$2, 0) = 0, $K28/(time_cap),0)),0)</f>
        <v/>
      </c>
      <c r="AM28" s="4395">
        <f>IFERROR(IF((time+time_cap)&lt;AM$2, 0,IF(AND(time+1&gt;=AN$2, $E28&lt;AN$2), IF($I28= "I", $J28/($F28-$E28+1), $J28/(($F28*($F28+1)/2)-(($E28-1)*($E28-1+1)/2))*AM$2), 0)+IF(IF(time+1&gt;=AN$2, $K28/time_cap/(time+1)*AM$2, 0) = 0, $K28/(time_cap),0)),0)</f>
        <v/>
      </c>
      <c r="AN28" s="4395">
        <f>IFERROR(IF((time+time_cap)&lt;AN$2, 0,IF(AND(time+1&gt;=AO$2, $E28&lt;AO$2), IF($I28= "I", $J28/($F28-$E28+1), $J28/(($F28*($F28+1)/2)-(($E28-1)*($E28-1+1)/2))*AN$2), 0)+IF(IF(time+1&gt;=AO$2, $K28/time_cap/(time+1)*AN$2, 0) = 0, $K28/(time_cap),0)),0)</f>
        <v/>
      </c>
      <c r="AO28" s="4395">
        <f>IFERROR(IF((time+time_cap)&lt;AO$2, 0,IF(AND(time+1&gt;=AP$2, $E28&lt;AP$2), IF($I28= "I", $J28/($F28-$E28+1), $J28/(($F28*($F28+1)/2)-(($E28-1)*($E28-1+1)/2))*AO$2), 0)+IF(IF(time+1&gt;=AP$2, $K28/time_cap/(time+1)*AO$2, 0) = 0, $K28/(time_cap),0)),0)</f>
        <v/>
      </c>
      <c r="AP28" s="4395">
        <f>IFERROR(IF((time+time_cap)&lt;AP$2, 0,IF(AND(time+1&gt;=AQ$2, $E28&lt;AQ$2), IF($I28= "I", $J28/($F28-$E28+1), $J28/(($F28*($F28+1)/2)-(($E28-1)*($E28-1+1)/2))*AP$2), 0)+IF(IF(time+1&gt;=AQ$2, $K28/time_cap/(time+1)*AP$2, 0) = 0, $K28/(time_cap),0)),0)</f>
        <v/>
      </c>
      <c r="AQ28" s="4395">
        <f>IFERROR(IF((time+time_cap)&lt;AQ$2, 0,IF(AND(time+1&gt;=AR$2, $E28&lt;AR$2), IF($I28= "I", $J28/($F28-$E28+1), $J28/(($F28*($F28+1)/2)-(($E28-1)*($E28-1+1)/2))*AQ$2), 0)+IF(IF(time+1&gt;=AR$2, $K28/time_cap/(time+1)*AQ$2, 0) = 0, $K28/(time_cap),0)),0)</f>
        <v/>
      </c>
      <c r="AR28" s="4395">
        <f>IFERROR(IF((time+time_cap)&lt;AR$2, 0,IF(AND(time+1&gt;=AS$2, $E28&lt;AS$2), IF($I28= "I", $J28/($F28-$E28+1), $J28/(($F28*($F28+1)/2)-(($E28-1)*($E28-1+1)/2))*AR$2), 0)+IF(IF(time+1&gt;=AS$2, $K28/time_cap/(time+1)*AR$2, 0) = 0, $K28/(time_cap),0)),0)</f>
        <v/>
      </c>
      <c r="AS28" s="4395">
        <f>IFERROR(IF((time+time_cap)&lt;AS$2, 0,IF(AND(time+1&gt;=AT$2, $E28&lt;AT$2), IF($I28= "I", $J28/($F28-$E28+1), $J28/(($F28*($F28+1)/2)-(($E28-1)*($E28-1+1)/2))*AS$2), 0)+IF(IF(time+1&gt;=AT$2, $K28/time_cap/(time+1)*AS$2, 0) = 0, $K28/(time_cap),0)),0)</f>
        <v/>
      </c>
      <c r="AT28" s="4395">
        <f>IFERROR(IF((time+time_cap)&lt;AT$2, 0,IF(AND(time+1&gt;=AU$2, $E28&lt;AU$2), IF($I28= "I", $J28/($F28-$E28+1), $J28/(($F28*($F28+1)/2)-(($E28-1)*($E28-1+1)/2))*AT$2), 0)+IF(IF(time+1&gt;=AU$2, $K28/time_cap/(time+1)*AT$2, 0) = 0, $K28/(time_cap),0)),0)</f>
        <v/>
      </c>
      <c r="AU28" s="4395">
        <f>IFERROR(IF((time+time_cap)&lt;AU$2, 0,IF(AND(time+1&gt;=AV$2, $E28&lt;AV$2), IF($I28= "I", $J28/($F28-$E28+1), $J28/(($F28*($F28+1)/2)-(($E28-1)*($E28-1+1)/2))*AU$2), 0)+IF(IF(time+1&gt;=AV$2, $K28/time_cap/(time+1)*AU$2, 0) = 0, $K28/(time_cap),0)),0)</f>
        <v/>
      </c>
      <c r="AV28" s="4395">
        <f>IFERROR(IF((time+time_cap)&lt;AV$2, 0,IF(AND(time+1&gt;=AW$2, $E28&lt;AW$2), IF($I28= "I", $J28/($F28-$E28+1), $J28/(($F28*($F28+1)/2)-(($E28-1)*($E28-1+1)/2))*AV$2), 0)+IF(IF(time+1&gt;=AW$2, $K28/time_cap/(time+1)*AV$2, 0) = 0, $K28/(time_cap),0)),0)</f>
        <v/>
      </c>
      <c r="AW28" s="4395">
        <f>IFERROR(IF((time+time_cap)&lt;AW$2, 0,IF(AND(time+1&gt;=AX$2, $E28&lt;AX$2), IF($I28= "I", $J28/($F28-$E28+1), $J28/(($F28*($F28+1)/2)-(($E28-1)*($E28-1+1)/2))*AW$2), 0)+IF(IF(time+1&gt;=AX$2, $K28/time_cap/(time+1)*AW$2, 0) = 0, $K28/(time_cap),0)),0)</f>
        <v/>
      </c>
      <c r="AX28" s="4395">
        <f>IFERROR(IF((time+time_cap)&lt;AX$2, 0,IF(AND(time+1&gt;=AY$2, $E28&lt;AY$2), IF($I28= "I", $J28/($F28-$E28+1), $J28/(($F28*($F28+1)/2)-(($E28-1)*($E28-1+1)/2))*AX$2), 0)+IF(IF(time+1&gt;=AY$2, $K28/time_cap/(time+1)*AX$2, 0) = 0, $K28/(time_cap),0)),0)</f>
        <v/>
      </c>
      <c r="AY28" s="4395">
        <f>IFERROR(IF((time+time_cap)&lt;AY$2, 0,IF(AND(time+1&gt;=AZ$2, $E28&lt;AZ$2), IF($I28= "I", $J28/($F28-$E28+1), $J28/(($F28*($F28+1)/2)-(($E28-1)*($E28-1+1)/2))*AY$2), 0)+IF(IF(time+1&gt;=AZ$2, $K28/time_cap/(time+1)*AY$2, 0) = 0, $K28/(time_cap),0)),0)</f>
        <v/>
      </c>
      <c r="AZ28" s="4395">
        <f>IFERROR(IF((time+time_cap)&lt;AZ$2, 0,IF(AND(time+1&gt;=BA$2, $E28&lt;BA$2), IF($I28= "I", $J28/($F28-$E28+1), $J28/(($F28*($F28+1)/2)-(($E28-1)*($E28-1+1)/2))*AZ$2), 0)+IF(IF(time+1&gt;=BA$2, $K28/time_cap/(time+1)*AZ$2, 0) = 0, $K28/(time_cap),0)),0)</f>
        <v/>
      </c>
      <c r="BA28" s="4395">
        <f>IFERROR(IF((time+time_cap)&lt;BA$2, 0,IF(AND(time+1&gt;=BB$2, $E28&lt;BB$2), IF($I28= "I", $J28/($F28-$E28+1), $J28/(($F28*($F28+1)/2)-(($E28-1)*($E28-1+1)/2))*BA$2), 0)+IF(IF(time+1&gt;=BB$2, $K28/time_cap/(time+1)*BA$2, 0) = 0, $K28/(time_cap),0)),0)</f>
        <v/>
      </c>
      <c r="BB28" s="4395">
        <f>IFERROR(IF((time+time_cap)&lt;BB$2, 0,IF(AND(time+1&gt;=BC$2, $E28&lt;BC$2), IF($I28= "I", $J28/($F28-$E28+1), $J28/(($F28*($F28+1)/2)-(($E28-1)*($E28-1+1)/2))*BB$2), 0)+IF(IF(time+1&gt;=BC$2, $K28/time_cap/(time+1)*BB$2, 0) = 0, $K28/(time_cap),0)),0)</f>
        <v/>
      </c>
      <c r="BC28" s="4395">
        <f>IFERROR(IF((time+time_cap)&lt;BC$2, 0,IF(AND(time+1&gt;=BD$2, $E28&lt;BD$2), IF($I28= "I", $J28/($F28-$E28+1), $J28/(($F28*($F28+1)/2)-(($E28-1)*($E28-1+1)/2))*BC$2), 0)+IF(IF(time+1&gt;=BD$2, $K28/time_cap/(time+1)*BC$2, 0) = 0, $K28/(time_cap),0)),0)</f>
        <v/>
      </c>
      <c r="BD28" s="4395">
        <f>IFERROR(IF((time+time_cap)&lt;BD$2, 0,IF(AND(time+1&gt;=BE$2, $E28&lt;BE$2), IF($I28= "I", $J28/($F28-$E28+1), $J28/(($F28*($F28+1)/2)-(($E28-1)*($E28-1+1)/2))*BD$2), 0)+IF(IF(time+1&gt;=BE$2, $K28/time_cap/(time+1)*BD$2, 0) = 0, $K28/(time_cap),0)),0)</f>
        <v/>
      </c>
      <c r="BE28" s="4395">
        <f>IFERROR(IF((time+time_cap)&lt;BE$2, 0,IF(AND(time+1&gt;=BF$2, $E28&lt;BF$2), IF($I28= "I", $J28/($F28-$E28+1), $J28/(($F28*($F28+1)/2)-(($E28-1)*($E28-1+1)/2))*BE$2), 0)+IF(IF(time+1&gt;=BF$2, $K28/time_cap/(time+1)*BE$2, 0) = 0, $K28/(time_cap),0)),0)</f>
        <v/>
      </c>
      <c r="BF28" s="4395">
        <f>IFERROR(IF((time+time_cap)&lt;BF$2, 0,IF(AND(time+1&gt;=BG$2, $E28&lt;BG$2), IF($I28= "I", $J28/($F28-$E28+1), $J28/(($F28*($F28+1)/2)-(($E28-1)*($E28-1+1)/2))*BF$2), 0)+IF(IF(time+1&gt;=BG$2, $K28/time_cap/(time+1)*BF$2, 0) = 0, $K28/(time_cap),0)),0)</f>
        <v/>
      </c>
      <c r="BG28" s="4395">
        <f>IFERROR(IF((time+time_cap)&lt;BG$2, 0,IF(AND(time+1&gt;=BH$2, $E28&lt;BH$2), IF($I28= "I", $J28/($F28-$E28+1), $J28/(($F28*($F28+1)/2)-(($E28-1)*($E28-1+1)/2))*BG$2), 0)+IF(IF(time+1&gt;=BH$2, $K28/time_cap/(time+1)*BG$2, 0) = 0, $K28/(time_cap),0)),0)</f>
        <v/>
      </c>
      <c r="BH28" s="4395">
        <f>IFERROR(IF((time+time_cap)&lt;BH$2, 0,IF(AND(time+1&gt;=BI$2, $E28&lt;BI$2), IF($I28= "I", $J28/($F28-$E28+1), $J28/(($F28*($F28+1)/2)-(($E28-1)*($E28-1+1)/2))*BH$2), 0)+IF(IF(time+1&gt;=BI$2, $K28/time_cap/(time+1)*BH$2, 0) = 0, $K28/(time_cap),0)),0)</f>
        <v/>
      </c>
      <c r="BI28" s="4395">
        <f>IFERROR(IF((time+time_cap)&lt;BI$2, 0,IF(AND(time+1&gt;=BJ$2, $E28&lt;BJ$2), IF($I28= "I", $J28/($F28-$E28+1), $J28/(($F28*($F28+1)/2)-(($E28-1)*($E28-1+1)/2))*BI$2), 0)+IF(IF(time+1&gt;=BJ$2, $K28/time_cap/(time+1)*BI$2, 0) = 0, $K28/(time_cap),0)),0)</f>
        <v/>
      </c>
      <c r="BJ28" s="4395">
        <f>IFERROR(IF((time+time_cap)&lt;BJ$2, 0,IF(AND(time+1&gt;=BK$2, $E28&lt;BK$2), IF($I28= "I", $J28/($F28-$E28+1), $J28/(($F28*($F28+1)/2)-(($E28-1)*($E28-1+1)/2))*BJ$2), 0)+IF(IF(time+1&gt;=BK$2, $K28/time_cap/(time+1)*BJ$2, 0) = 0, $K28/(time_cap),0)),0)</f>
        <v/>
      </c>
      <c r="BK28" s="4395" t="n"/>
      <c r="BL28" s="4395" t="n"/>
      <c r="BM28" s="4395" t="n"/>
      <c r="BN28" s="4395" t="n"/>
      <c r="BO28" s="4395" t="n"/>
      <c r="BP28" s="4395" t="n"/>
      <c r="BQ28" s="4395" t="n"/>
      <c r="BR28" s="4395" t="n"/>
      <c r="BS28" s="4395" t="n"/>
      <c r="BT28" s="4395" t="n"/>
      <c r="BU28" s="4395" t="n"/>
      <c r="BV28" s="4395" t="n"/>
      <c r="BW28" s="4395" t="n"/>
      <c r="BX28" s="4395" t="n"/>
      <c r="BY28" s="4395" t="n"/>
      <c r="BZ28" s="4395" t="n"/>
      <c r="CA28" s="4395" t="n"/>
      <c r="CB28" s="4395" t="n"/>
      <c r="CC28" s="4395" t="n"/>
      <c r="CD28" s="4395" t="n"/>
      <c r="CE28" s="4395" t="n"/>
      <c r="CF28" s="4395" t="n"/>
      <c r="CG28" s="4395" t="n"/>
      <c r="CH28" s="4395" t="n"/>
      <c r="CI28" s="4395" t="n"/>
      <c r="CJ28" s="4395" t="n"/>
      <c r="CK28" s="4395" t="n"/>
      <c r="CL28" s="4395" t="n"/>
      <c r="CM28" s="4395" t="n"/>
      <c r="CN28" s="4395" t="n"/>
      <c r="CO28" s="4395" t="n"/>
      <c r="CP28" s="4395" t="n"/>
      <c r="CQ28" s="4395" t="n"/>
      <c r="CR28" s="4395" t="n"/>
      <c r="CS28" s="4395" t="n"/>
      <c r="CT28" s="4395" t="n"/>
      <c r="CU28" s="4395" t="n"/>
      <c r="CV28" s="4395" t="n"/>
      <c r="CW28" s="4395" t="n"/>
      <c r="CX28" s="4395" t="n"/>
      <c r="CY28" s="4395" t="n"/>
      <c r="CZ28" s="4395" t="n"/>
      <c r="DA28" s="4395" t="n"/>
      <c r="DB28" s="4395" t="n"/>
      <c r="DC28" s="4395" t="n"/>
      <c r="DD28" s="4395" t="n"/>
      <c r="DE28" s="4395" t="n"/>
      <c r="DF28" s="4395" t="n"/>
      <c r="DG28" s="4395" t="n"/>
      <c r="DH28" s="4395" t="n"/>
    </row>
    <row r="29" ht="16" customHeight="1">
      <c r="A29" t="inlineStr">
        <is>
          <t>OLUC</t>
        </is>
      </c>
      <c r="B29">
        <f>'2.LUC'!C63</f>
        <v/>
      </c>
      <c r="C29">
        <f>'2.LUC'!K63</f>
        <v/>
      </c>
      <c r="D29">
        <f>'2.LUC'!Y63</f>
        <v/>
      </c>
      <c r="E29">
        <f>IF('2.LUC'!BL63&lt;&gt;0,'2.LUC'!BL63,'2.LUC'!BK63)</f>
        <v/>
      </c>
      <c r="F29">
        <f>time</f>
        <v/>
      </c>
      <c r="G29" s="4395">
        <f>'2.LUC'!O63</f>
        <v/>
      </c>
      <c r="H29" s="4395">
        <f>'2.LUC'!Q63</f>
        <v/>
      </c>
      <c r="I29" s="4395">
        <f>IF(OR(H29="I", G29="I"), "I", IF(OR(H29="E", G29="E"), "E", "D"))</f>
        <v/>
      </c>
      <c r="J29" s="4395">
        <f>((D29/(time_cap+((F29-E29+1)*VLOOKUP(I29,list!$I$48:$K$50,3, FALSE))))*(F29-E29+1)*VLOOKUP(I29,list!$I$48:$K$50,3, FALSE))</f>
        <v/>
      </c>
      <c r="K29" s="4395">
        <f>((D29/(time_cap+((F29-E29+1)*VLOOKUP(I29,list!$I$48:$K$50,3, FALSE))))*time_cap)</f>
        <v/>
      </c>
      <c r="M29" s="4395">
        <f>IFERROR(IF((time+time_cap)&lt;M$2, 0,IF(AND(time+1&gt;=N$2, $E29&lt;N$2), IF($I29= "I", $J29/($F29-$E29+1), $J29/(($F29*($F29+1)/2)-(($E29-1)*($E29-1+1)/2))*M$2), 0)+IF(IF(time+1&gt;=N$2, $K29/time_cap/(time+1)*M$2, 0) = 0, $K29/(time_cap),0)),0)</f>
        <v/>
      </c>
      <c r="N29" s="4395">
        <f>IFERROR(IF((time+time_cap)&lt;N$2, 0,IF(AND(time+1&gt;=O$2, $E29&lt;O$2), IF($I29= "I", $J29/($F29-$E29+1), $J29/(($F29*($F29+1)/2)-(($E29-1)*($E29-1+1)/2))*N$2), 0)+IF(IF(time+1&gt;=O$2, $K29/time_cap/(time+1)*N$2, 0) = 0, $K29/(time_cap),0)),0)</f>
        <v/>
      </c>
      <c r="O29" s="4395">
        <f>IFERROR(IF((time+time_cap)&lt;O$2, 0,IF(AND(time+1&gt;=P$2, $E29&lt;P$2), IF($I29= "I", $J29/($F29-$E29+1), $J29/(($F29*($F29+1)/2)-(($E29-1)*($E29-1+1)/2))*O$2), 0)+IF(IF(time+1&gt;=P$2, $K29/time_cap/(time+1)*O$2, 0) = 0, $K29/(time_cap),0)),0)</f>
        <v/>
      </c>
      <c r="P29" s="4395">
        <f>IFERROR(IF((time+time_cap)&lt;P$2, 0,IF(AND(time+1&gt;=Q$2, $E29&lt;Q$2), IF($I29= "I", $J29/($F29-$E29+1), $J29/(($F29*($F29+1)/2)-(($E29-1)*($E29-1+1)/2))*P$2), 0)+IF(IF(time+1&gt;=Q$2, $K29/time_cap/(time+1)*P$2, 0) = 0, $K29/(time_cap),0)),0)</f>
        <v/>
      </c>
      <c r="Q29" s="4395">
        <f>IFERROR(IF((time+time_cap)&lt;Q$2, 0,IF(AND(time+1&gt;=R$2, $E29&lt;R$2), IF($I29= "I", $J29/($F29-$E29+1), $J29/(($F29*($F29+1)/2)-(($E29-1)*($E29-1+1)/2))*Q$2), 0)+IF(IF(time+1&gt;=R$2, $K29/time_cap/(time+1)*Q$2, 0) = 0, $K29/(time_cap),0)),0)</f>
        <v/>
      </c>
      <c r="R29" s="4395">
        <f>IFERROR(IF((time+time_cap)&lt;R$2, 0,IF(AND(time+1&gt;=S$2, $E29&lt;S$2), IF($I29= "I", $J29/($F29-$E29+1), $J29/(($F29*($F29+1)/2)-(($E29-1)*($E29-1+1)/2))*R$2), 0)+IF(IF(time+1&gt;=S$2, $K29/time_cap/(time+1)*R$2, 0) = 0, $K29/(time_cap),0)),0)</f>
        <v/>
      </c>
      <c r="S29" s="4395">
        <f>IFERROR(IF((time+time_cap)&lt;S$2, 0,IF(AND(time+1&gt;=T$2, $E29&lt;T$2), IF($I29= "I", $J29/($F29-$E29+1), $J29/(($F29*($F29+1)/2)-(($E29-1)*($E29-1+1)/2))*S$2), 0)+IF(IF(time+1&gt;=T$2, $K29/time_cap/(time+1)*S$2, 0) = 0, $K29/(time_cap),0)),0)</f>
        <v/>
      </c>
      <c r="T29" s="4395">
        <f>IFERROR(IF((time+time_cap)&lt;T$2, 0,IF(AND(time+1&gt;=U$2, $E29&lt;U$2), IF($I29= "I", $J29/($F29-$E29+1), $J29/(($F29*($F29+1)/2)-(($E29-1)*($E29-1+1)/2))*T$2), 0)+IF(IF(time+1&gt;=U$2, $K29/time_cap/(time+1)*T$2, 0) = 0, $K29/(time_cap),0)),0)</f>
        <v/>
      </c>
      <c r="U29" s="4395">
        <f>IFERROR(IF((time+time_cap)&lt;U$2, 0,IF(AND(time+1&gt;=V$2, $E29&lt;V$2), IF($I29= "I", $J29/($F29-$E29+1), $J29/(($F29*($F29+1)/2)-(($E29-1)*($E29-1+1)/2))*U$2), 0)+IF(IF(time+1&gt;=V$2, $K29/time_cap/(time+1)*U$2, 0) = 0, $K29/(time_cap),0)),0)</f>
        <v/>
      </c>
      <c r="V29" s="4395">
        <f>IFERROR(IF((time+time_cap)&lt;V$2, 0,IF(AND(time+1&gt;=W$2, $E29&lt;W$2), IF($I29= "I", $J29/($F29-$E29+1), $J29/(($F29*($F29+1)/2)-(($E29-1)*($E29-1+1)/2))*V$2), 0)+IF(IF(time+1&gt;=W$2, $K29/time_cap/(time+1)*V$2, 0) = 0, $K29/(time_cap),0)),0)</f>
        <v/>
      </c>
      <c r="W29" s="4395">
        <f>IFERROR(IF((time+time_cap)&lt;W$2, 0,IF(AND(time+1&gt;=X$2, $E29&lt;X$2), IF($I29= "I", $J29/($F29-$E29+1), $J29/(($F29*($F29+1)/2)-(($E29-1)*($E29-1+1)/2))*W$2), 0)+IF(IF(time+1&gt;=X$2, $K29/time_cap/(time+1)*W$2, 0) = 0, $K29/(time_cap),0)),0)</f>
        <v/>
      </c>
      <c r="X29" s="4395">
        <f>IFERROR(IF((time+time_cap)&lt;X$2, 0,IF(AND(time+1&gt;=Y$2, $E29&lt;Y$2), IF($I29= "I", $J29/($F29-$E29+1), $J29/(($F29*($F29+1)/2)-(($E29-1)*($E29-1+1)/2))*X$2), 0)+IF(IF(time+1&gt;=Y$2, $K29/time_cap/(time+1)*X$2, 0) = 0, $K29/(time_cap),0)),0)</f>
        <v/>
      </c>
      <c r="Y29" s="4395">
        <f>IFERROR(IF((time+time_cap)&lt;Y$2, 0,IF(AND(time+1&gt;=Z$2, $E29&lt;Z$2), IF($I29= "I", $J29/($F29-$E29+1), $J29/(($F29*($F29+1)/2)-(($E29-1)*($E29-1+1)/2))*Y$2), 0)+IF(IF(time+1&gt;=Z$2, $K29/time_cap/(time+1)*Y$2, 0) = 0, $K29/(time_cap),0)),0)</f>
        <v/>
      </c>
      <c r="Z29" s="4395">
        <f>IFERROR(IF((time+time_cap)&lt;Z$2, 0,IF(AND(time+1&gt;=AA$2, $E29&lt;AA$2), IF($I29= "I", $J29/($F29-$E29+1), $J29/(($F29*($F29+1)/2)-(($E29-1)*($E29-1+1)/2))*Z$2), 0)+IF(IF(time+1&gt;=AA$2, $K29/time_cap/(time+1)*Z$2, 0) = 0, $K29/(time_cap),0)),0)</f>
        <v/>
      </c>
      <c r="AA29" s="4395">
        <f>IFERROR(IF((time+time_cap)&lt;AA$2, 0,IF(AND(time+1&gt;=AB$2, $E29&lt;AB$2), IF($I29= "I", $J29/($F29-$E29+1), $J29/(($F29*($F29+1)/2)-(($E29-1)*($E29-1+1)/2))*AA$2), 0)+IF(IF(time+1&gt;=AB$2, $K29/time_cap/(time+1)*AA$2, 0) = 0, $K29/(time_cap),0)),0)</f>
        <v/>
      </c>
      <c r="AB29" s="4395">
        <f>IFERROR(IF((time+time_cap)&lt;AB$2, 0,IF(AND(time+1&gt;=AC$2, $E29&lt;AC$2), IF($I29= "I", $J29/($F29-$E29+1), $J29/(($F29*($F29+1)/2)-(($E29-1)*($E29-1+1)/2))*AB$2), 0)+IF(IF(time+1&gt;=AC$2, $K29/time_cap/(time+1)*AB$2, 0) = 0, $K29/(time_cap),0)),0)</f>
        <v/>
      </c>
      <c r="AC29" s="4395">
        <f>IFERROR(IF((time+time_cap)&lt;AC$2, 0,IF(AND(time+1&gt;=AD$2, $E29&lt;AD$2), IF($I29= "I", $J29/($F29-$E29+1), $J29/(($F29*($F29+1)/2)-(($E29-1)*($E29-1+1)/2))*AC$2), 0)+IF(IF(time+1&gt;=AD$2, $K29/time_cap/(time+1)*AC$2, 0) = 0, $K29/(time_cap),0)),0)</f>
        <v/>
      </c>
      <c r="AD29" s="4395">
        <f>IFERROR(IF((time+time_cap)&lt;AD$2, 0,IF(AND(time+1&gt;=AE$2, $E29&lt;AE$2), IF($I29= "I", $J29/($F29-$E29+1), $J29/(($F29*($F29+1)/2)-(($E29-1)*($E29-1+1)/2))*AD$2), 0)+IF(IF(time+1&gt;=AE$2, $K29/time_cap/(time+1)*AD$2, 0) = 0, $K29/(time_cap),0)),0)</f>
        <v/>
      </c>
      <c r="AE29" s="4395">
        <f>IFERROR(IF((time+time_cap)&lt;AE$2, 0,IF(AND(time+1&gt;=AF$2, $E29&lt;AF$2), IF($I29= "I", $J29/($F29-$E29+1), $J29/(($F29*($F29+1)/2)-(($E29-1)*($E29-1+1)/2))*AE$2), 0)+IF(IF(time+1&gt;=AF$2, $K29/time_cap/(time+1)*AE$2, 0) = 0, $K29/(time_cap),0)),0)</f>
        <v/>
      </c>
      <c r="AF29" s="4395">
        <f>IFERROR(IF((time+time_cap)&lt;AF$2, 0,IF(AND(time+1&gt;=AG$2, $E29&lt;AG$2), IF($I29= "I", $J29/($F29-$E29+1), $J29/(($F29*($F29+1)/2)-(($E29-1)*($E29-1+1)/2))*AF$2), 0)+IF(IF(time+1&gt;=AG$2, $K29/time_cap/(time+1)*AF$2, 0) = 0, $K29/(time_cap),0)),0)</f>
        <v/>
      </c>
      <c r="AG29" s="4395">
        <f>IFERROR(IF((time+time_cap)&lt;AG$2, 0,IF(AND(time+1&gt;=AH$2, $E29&lt;AH$2), IF($I29= "I", $J29/($F29-$E29+1), $J29/(($F29*($F29+1)/2)-(($E29-1)*($E29-1+1)/2))*AG$2), 0)+IF(IF(time+1&gt;=AH$2, $K29/time_cap/(time+1)*AG$2, 0) = 0, $K29/(time_cap),0)),0)</f>
        <v/>
      </c>
      <c r="AH29" s="4395">
        <f>IFERROR(IF((time+time_cap)&lt;AH$2, 0,IF(AND(time+1&gt;=AI$2, $E29&lt;AI$2), IF($I29= "I", $J29/($F29-$E29+1), $J29/(($F29*($F29+1)/2)-(($E29-1)*($E29-1+1)/2))*AH$2), 0)+IF(IF(time+1&gt;=AI$2, $K29/time_cap/(time+1)*AH$2, 0) = 0, $K29/(time_cap),0)),0)</f>
        <v/>
      </c>
      <c r="AI29" s="4395">
        <f>IFERROR(IF((time+time_cap)&lt;AI$2, 0,IF(AND(time+1&gt;=AJ$2, $E29&lt;AJ$2), IF($I29= "I", $J29/($F29-$E29+1), $J29/(($F29*($F29+1)/2)-(($E29-1)*($E29-1+1)/2))*AI$2), 0)+IF(IF(time+1&gt;=AJ$2, $K29/time_cap/(time+1)*AI$2, 0) = 0, $K29/(time_cap),0)),0)</f>
        <v/>
      </c>
      <c r="AJ29" s="4395">
        <f>IFERROR(IF((time+time_cap)&lt;AJ$2, 0,IF(AND(time+1&gt;=AK$2, $E29&lt;AK$2), IF($I29= "I", $J29/($F29-$E29+1), $J29/(($F29*($F29+1)/2)-(($E29-1)*($E29-1+1)/2))*AJ$2), 0)+IF(IF(time+1&gt;=AK$2, $K29/time_cap/(time+1)*AJ$2, 0) = 0, $K29/(time_cap),0)),0)</f>
        <v/>
      </c>
      <c r="AK29" s="4395">
        <f>IFERROR(IF((time+time_cap)&lt;AK$2, 0,IF(AND(time+1&gt;=AL$2, $E29&lt;AL$2), IF($I29= "I", $J29/($F29-$E29+1), $J29/(($F29*($F29+1)/2)-(($E29-1)*($E29-1+1)/2))*AK$2), 0)+IF(IF(time+1&gt;=AL$2, $K29/time_cap/(time+1)*AK$2, 0) = 0, $K29/(time_cap),0)),0)</f>
        <v/>
      </c>
      <c r="AL29" s="4395">
        <f>IFERROR(IF((time+time_cap)&lt;AL$2, 0,IF(AND(time+1&gt;=AM$2, $E29&lt;AM$2), IF($I29= "I", $J29/($F29-$E29+1), $J29/(($F29*($F29+1)/2)-(($E29-1)*($E29-1+1)/2))*AL$2), 0)+IF(IF(time+1&gt;=AM$2, $K29/time_cap/(time+1)*AL$2, 0) = 0, $K29/(time_cap),0)),0)</f>
        <v/>
      </c>
      <c r="AM29" s="4395">
        <f>IFERROR(IF((time+time_cap)&lt;AM$2, 0,IF(AND(time+1&gt;=AN$2, $E29&lt;AN$2), IF($I29= "I", $J29/($F29-$E29+1), $J29/(($F29*($F29+1)/2)-(($E29-1)*($E29-1+1)/2))*AM$2), 0)+IF(IF(time+1&gt;=AN$2, $K29/time_cap/(time+1)*AM$2, 0) = 0, $K29/(time_cap),0)),0)</f>
        <v/>
      </c>
      <c r="AN29" s="4395">
        <f>IFERROR(IF((time+time_cap)&lt;AN$2, 0,IF(AND(time+1&gt;=AO$2, $E29&lt;AO$2), IF($I29= "I", $J29/($F29-$E29+1), $J29/(($F29*($F29+1)/2)-(($E29-1)*($E29-1+1)/2))*AN$2), 0)+IF(IF(time+1&gt;=AO$2, $K29/time_cap/(time+1)*AN$2, 0) = 0, $K29/(time_cap),0)),0)</f>
        <v/>
      </c>
      <c r="AO29" s="4395">
        <f>IFERROR(IF((time+time_cap)&lt;AO$2, 0,IF(AND(time+1&gt;=AP$2, $E29&lt;AP$2), IF($I29= "I", $J29/($F29-$E29+1), $J29/(($F29*($F29+1)/2)-(($E29-1)*($E29-1+1)/2))*AO$2), 0)+IF(IF(time+1&gt;=AP$2, $K29/time_cap/(time+1)*AO$2, 0) = 0, $K29/(time_cap),0)),0)</f>
        <v/>
      </c>
      <c r="AP29" s="4395">
        <f>IFERROR(IF((time+time_cap)&lt;AP$2, 0,IF(AND(time+1&gt;=AQ$2, $E29&lt;AQ$2), IF($I29= "I", $J29/($F29-$E29+1), $J29/(($F29*($F29+1)/2)-(($E29-1)*($E29-1+1)/2))*AP$2), 0)+IF(IF(time+1&gt;=AQ$2, $K29/time_cap/(time+1)*AP$2, 0) = 0, $K29/(time_cap),0)),0)</f>
        <v/>
      </c>
      <c r="AQ29" s="4395">
        <f>IFERROR(IF((time+time_cap)&lt;AQ$2, 0,IF(AND(time+1&gt;=AR$2, $E29&lt;AR$2), IF($I29= "I", $J29/($F29-$E29+1), $J29/(($F29*($F29+1)/2)-(($E29-1)*($E29-1+1)/2))*AQ$2), 0)+IF(IF(time+1&gt;=AR$2, $K29/time_cap/(time+1)*AQ$2, 0) = 0, $K29/(time_cap),0)),0)</f>
        <v/>
      </c>
      <c r="AR29" s="4395">
        <f>IFERROR(IF((time+time_cap)&lt;AR$2, 0,IF(AND(time+1&gt;=AS$2, $E29&lt;AS$2), IF($I29= "I", $J29/($F29-$E29+1), $J29/(($F29*($F29+1)/2)-(($E29-1)*($E29-1+1)/2))*AR$2), 0)+IF(IF(time+1&gt;=AS$2, $K29/time_cap/(time+1)*AR$2, 0) = 0, $K29/(time_cap),0)),0)</f>
        <v/>
      </c>
      <c r="AS29" s="4395">
        <f>IFERROR(IF((time+time_cap)&lt;AS$2, 0,IF(AND(time+1&gt;=AT$2, $E29&lt;AT$2), IF($I29= "I", $J29/($F29-$E29+1), $J29/(($F29*($F29+1)/2)-(($E29-1)*($E29-1+1)/2))*AS$2), 0)+IF(IF(time+1&gt;=AT$2, $K29/time_cap/(time+1)*AS$2, 0) = 0, $K29/(time_cap),0)),0)</f>
        <v/>
      </c>
      <c r="AT29" s="4395">
        <f>IFERROR(IF((time+time_cap)&lt;AT$2, 0,IF(AND(time+1&gt;=AU$2, $E29&lt;AU$2), IF($I29= "I", $J29/($F29-$E29+1), $J29/(($F29*($F29+1)/2)-(($E29-1)*($E29-1+1)/2))*AT$2), 0)+IF(IF(time+1&gt;=AU$2, $K29/time_cap/(time+1)*AT$2, 0) = 0, $K29/(time_cap),0)),0)</f>
        <v/>
      </c>
      <c r="AU29" s="4395">
        <f>IFERROR(IF((time+time_cap)&lt;AU$2, 0,IF(AND(time+1&gt;=AV$2, $E29&lt;AV$2), IF($I29= "I", $J29/($F29-$E29+1), $J29/(($F29*($F29+1)/2)-(($E29-1)*($E29-1+1)/2))*AU$2), 0)+IF(IF(time+1&gt;=AV$2, $K29/time_cap/(time+1)*AU$2, 0) = 0, $K29/(time_cap),0)),0)</f>
        <v/>
      </c>
      <c r="AV29" s="4395">
        <f>IFERROR(IF((time+time_cap)&lt;AV$2, 0,IF(AND(time+1&gt;=AW$2, $E29&lt;AW$2), IF($I29= "I", $J29/($F29-$E29+1), $J29/(($F29*($F29+1)/2)-(($E29-1)*($E29-1+1)/2))*AV$2), 0)+IF(IF(time+1&gt;=AW$2, $K29/time_cap/(time+1)*AV$2, 0) = 0, $K29/(time_cap),0)),0)</f>
        <v/>
      </c>
      <c r="AW29" s="4395">
        <f>IFERROR(IF((time+time_cap)&lt;AW$2, 0,IF(AND(time+1&gt;=AX$2, $E29&lt;AX$2), IF($I29= "I", $J29/($F29-$E29+1), $J29/(($F29*($F29+1)/2)-(($E29-1)*($E29-1+1)/2))*AW$2), 0)+IF(IF(time+1&gt;=AX$2, $K29/time_cap/(time+1)*AW$2, 0) = 0, $K29/(time_cap),0)),0)</f>
        <v/>
      </c>
      <c r="AX29" s="4395">
        <f>IFERROR(IF((time+time_cap)&lt;AX$2, 0,IF(AND(time+1&gt;=AY$2, $E29&lt;AY$2), IF($I29= "I", $J29/($F29-$E29+1), $J29/(($F29*($F29+1)/2)-(($E29-1)*($E29-1+1)/2))*AX$2), 0)+IF(IF(time+1&gt;=AY$2, $K29/time_cap/(time+1)*AX$2, 0) = 0, $K29/(time_cap),0)),0)</f>
        <v/>
      </c>
      <c r="AY29" s="4395">
        <f>IFERROR(IF((time+time_cap)&lt;AY$2, 0,IF(AND(time+1&gt;=AZ$2, $E29&lt;AZ$2), IF($I29= "I", $J29/($F29-$E29+1), $J29/(($F29*($F29+1)/2)-(($E29-1)*($E29-1+1)/2))*AY$2), 0)+IF(IF(time+1&gt;=AZ$2, $K29/time_cap/(time+1)*AY$2, 0) = 0, $K29/(time_cap),0)),0)</f>
        <v/>
      </c>
      <c r="AZ29" s="4395">
        <f>IFERROR(IF((time+time_cap)&lt;AZ$2, 0,IF(AND(time+1&gt;=BA$2, $E29&lt;BA$2), IF($I29= "I", $J29/($F29-$E29+1), $J29/(($F29*($F29+1)/2)-(($E29-1)*($E29-1+1)/2))*AZ$2), 0)+IF(IF(time+1&gt;=BA$2, $K29/time_cap/(time+1)*AZ$2, 0) = 0, $K29/(time_cap),0)),0)</f>
        <v/>
      </c>
      <c r="BA29" s="4395">
        <f>IFERROR(IF((time+time_cap)&lt;BA$2, 0,IF(AND(time+1&gt;=BB$2, $E29&lt;BB$2), IF($I29= "I", $J29/($F29-$E29+1), $J29/(($F29*($F29+1)/2)-(($E29-1)*($E29-1+1)/2))*BA$2), 0)+IF(IF(time+1&gt;=BB$2, $K29/time_cap/(time+1)*BA$2, 0) = 0, $K29/(time_cap),0)),0)</f>
        <v/>
      </c>
      <c r="BB29" s="4395">
        <f>IFERROR(IF((time+time_cap)&lt;BB$2, 0,IF(AND(time+1&gt;=BC$2, $E29&lt;BC$2), IF($I29= "I", $J29/($F29-$E29+1), $J29/(($F29*($F29+1)/2)-(($E29-1)*($E29-1+1)/2))*BB$2), 0)+IF(IF(time+1&gt;=BC$2, $K29/time_cap/(time+1)*BB$2, 0) = 0, $K29/(time_cap),0)),0)</f>
        <v/>
      </c>
      <c r="BC29" s="4395">
        <f>IFERROR(IF((time+time_cap)&lt;BC$2, 0,IF(AND(time+1&gt;=BD$2, $E29&lt;BD$2), IF($I29= "I", $J29/($F29-$E29+1), $J29/(($F29*($F29+1)/2)-(($E29-1)*($E29-1+1)/2))*BC$2), 0)+IF(IF(time+1&gt;=BD$2, $K29/time_cap/(time+1)*BC$2, 0) = 0, $K29/(time_cap),0)),0)</f>
        <v/>
      </c>
      <c r="BD29" s="4395">
        <f>IFERROR(IF((time+time_cap)&lt;BD$2, 0,IF(AND(time+1&gt;=BE$2, $E29&lt;BE$2), IF($I29= "I", $J29/($F29-$E29+1), $J29/(($F29*($F29+1)/2)-(($E29-1)*($E29-1+1)/2))*BD$2), 0)+IF(IF(time+1&gt;=BE$2, $K29/time_cap/(time+1)*BD$2, 0) = 0, $K29/(time_cap),0)),0)</f>
        <v/>
      </c>
      <c r="BE29" s="4395">
        <f>IFERROR(IF((time+time_cap)&lt;BE$2, 0,IF(AND(time+1&gt;=BF$2, $E29&lt;BF$2), IF($I29= "I", $J29/($F29-$E29+1), $J29/(($F29*($F29+1)/2)-(($E29-1)*($E29-1+1)/2))*BE$2), 0)+IF(IF(time+1&gt;=BF$2, $K29/time_cap/(time+1)*BE$2, 0) = 0, $K29/(time_cap),0)),0)</f>
        <v/>
      </c>
      <c r="BF29" s="4395">
        <f>IFERROR(IF((time+time_cap)&lt;BF$2, 0,IF(AND(time+1&gt;=BG$2, $E29&lt;BG$2), IF($I29= "I", $J29/($F29-$E29+1), $J29/(($F29*($F29+1)/2)-(($E29-1)*($E29-1+1)/2))*BF$2), 0)+IF(IF(time+1&gt;=BG$2, $K29/time_cap/(time+1)*BF$2, 0) = 0, $K29/(time_cap),0)),0)</f>
        <v/>
      </c>
      <c r="BG29" s="4395">
        <f>IFERROR(IF((time+time_cap)&lt;BG$2, 0,IF(AND(time+1&gt;=BH$2, $E29&lt;BH$2), IF($I29= "I", $J29/($F29-$E29+1), $J29/(($F29*($F29+1)/2)-(($E29-1)*($E29-1+1)/2))*BG$2), 0)+IF(IF(time+1&gt;=BH$2, $K29/time_cap/(time+1)*BG$2, 0) = 0, $K29/(time_cap),0)),0)</f>
        <v/>
      </c>
      <c r="BH29" s="4395">
        <f>IFERROR(IF((time+time_cap)&lt;BH$2, 0,IF(AND(time+1&gt;=BI$2, $E29&lt;BI$2), IF($I29= "I", $J29/($F29-$E29+1), $J29/(($F29*($F29+1)/2)-(($E29-1)*($E29-1+1)/2))*BH$2), 0)+IF(IF(time+1&gt;=BI$2, $K29/time_cap/(time+1)*BH$2, 0) = 0, $K29/(time_cap),0)),0)</f>
        <v/>
      </c>
      <c r="BI29" s="4395">
        <f>IFERROR(IF((time+time_cap)&lt;BI$2, 0,IF(AND(time+1&gt;=BJ$2, $E29&lt;BJ$2), IF($I29= "I", $J29/($F29-$E29+1), $J29/(($F29*($F29+1)/2)-(($E29-1)*($E29-1+1)/2))*BI$2), 0)+IF(IF(time+1&gt;=BJ$2, $K29/time_cap/(time+1)*BI$2, 0) = 0, $K29/(time_cap),0)),0)</f>
        <v/>
      </c>
      <c r="BJ29" s="4395">
        <f>IFERROR(IF((time+time_cap)&lt;BJ$2, 0,IF(AND(time+1&gt;=BK$2, $E29&lt;BK$2), IF($I29= "I", $J29/($F29-$E29+1), $J29/(($F29*($F29+1)/2)-(($E29-1)*($E29-1+1)/2))*BJ$2), 0)+IF(IF(time+1&gt;=BK$2, $K29/time_cap/(time+1)*BJ$2, 0) = 0, $K29/(time_cap),0)),0)</f>
        <v/>
      </c>
      <c r="BK29" s="4395" t="n"/>
      <c r="BL29" s="4395" t="n"/>
      <c r="BM29" s="4395" t="n"/>
      <c r="BN29" s="4395" t="n"/>
      <c r="BO29" s="4395" t="n"/>
      <c r="BP29" s="4395" t="n"/>
      <c r="BQ29" s="4395" t="n"/>
      <c r="BR29" s="4395" t="n"/>
      <c r="BS29" s="4395" t="n"/>
      <c r="BT29" s="4395" t="n"/>
      <c r="BU29" s="4395" t="n"/>
      <c r="BV29" s="4395" t="n"/>
      <c r="BW29" s="4395" t="n"/>
      <c r="BX29" s="4395" t="n"/>
      <c r="BY29" s="4395" t="n"/>
      <c r="BZ29" s="4395" t="n"/>
      <c r="CA29" s="4395" t="n"/>
      <c r="CB29" s="4395" t="n"/>
      <c r="CC29" s="4395" t="n"/>
      <c r="CD29" s="4395" t="n"/>
      <c r="CE29" s="4395" t="n"/>
      <c r="CF29" s="4395" t="n"/>
      <c r="CG29" s="4395" t="n"/>
      <c r="CH29" s="4395" t="n"/>
      <c r="CI29" s="4395" t="n"/>
      <c r="CJ29" s="4395" t="n"/>
      <c r="CK29" s="4395" t="n"/>
      <c r="CL29" s="4395" t="n"/>
      <c r="CM29" s="4395" t="n"/>
      <c r="CN29" s="4395" t="n"/>
      <c r="CO29" s="4395" t="n"/>
      <c r="CP29" s="4395" t="n"/>
      <c r="CQ29" s="4395" t="n"/>
      <c r="CR29" s="4395" t="n"/>
      <c r="CS29" s="4395" t="n"/>
      <c r="CT29" s="4395" t="n"/>
      <c r="CU29" s="4395" t="n"/>
      <c r="CV29" s="4395" t="n"/>
      <c r="CW29" s="4395" t="n"/>
      <c r="CX29" s="4395" t="n"/>
      <c r="CY29" s="4395" t="n"/>
      <c r="CZ29" s="4395" t="n"/>
      <c r="DA29" s="4395" t="n"/>
      <c r="DB29" s="4395" t="n"/>
      <c r="DC29" s="4395" t="n"/>
      <c r="DD29" s="4395" t="n"/>
      <c r="DE29" s="4395" t="n"/>
      <c r="DF29" s="4395" t="n"/>
      <c r="DG29" s="4395" t="n"/>
      <c r="DH29" s="4395" t="n"/>
    </row>
    <row r="30" ht="16" customHeight="1">
      <c r="A30" t="inlineStr">
        <is>
          <t>OLUC</t>
        </is>
      </c>
      <c r="B30">
        <f>'2.LUC'!#REF!</f>
        <v/>
      </c>
      <c r="C30">
        <f>'2.LUC'!K64</f>
        <v/>
      </c>
      <c r="D30">
        <f>'2.LUC'!Y64</f>
        <v/>
      </c>
      <c r="E30">
        <f>IF('2.LUC'!BL64&lt;&gt;0,'2.LUC'!BL64,'2.LUC'!BK64)</f>
        <v/>
      </c>
      <c r="F30">
        <f>time</f>
        <v/>
      </c>
      <c r="G30" s="4395">
        <f>'2.LUC'!O64</f>
        <v/>
      </c>
      <c r="H30" s="4395">
        <f>'2.LUC'!Q64</f>
        <v/>
      </c>
      <c r="I30" s="4395">
        <f>IF(OR(H30="I", G30="I"), "I", IF(OR(H30="E", G30="E"), "E", "D"))</f>
        <v/>
      </c>
      <c r="J30" s="4395">
        <f>((D30/(time_cap+((F30-E30+1)*VLOOKUP(I30,list!$I$48:$K$50,3, FALSE))))*(F30-E30+1)*VLOOKUP(I30,list!$I$48:$K$50,3, FALSE))</f>
        <v/>
      </c>
      <c r="K30" s="4395">
        <f>((D30/(time_cap+((F30-E30+1)*VLOOKUP(I30,list!$I$48:$K$50,3, FALSE))))*time_cap)</f>
        <v/>
      </c>
      <c r="M30" s="4395">
        <f>IFERROR(IF((time+time_cap)&lt;M$2, 0,IF(AND(time+1&gt;=N$2, $E30&lt;N$2), IF($I30= "I", $J30/($F30-$E30+1), $J30/(($F30*($F30+1)/2)-(($E30-1)*($E30-1+1)/2))*M$2), 0)+IF(IF(time+1&gt;=N$2, $K30/time_cap/(time+1)*M$2, 0) = 0, $K30/(time_cap),0)),0)</f>
        <v/>
      </c>
      <c r="N30" s="4395">
        <f>IFERROR(IF((time+time_cap)&lt;N$2, 0,IF(AND(time+1&gt;=O$2, $E30&lt;O$2), IF($I30= "I", $J30/($F30-$E30+1), $J30/(($F30*($F30+1)/2)-(($E30-1)*($E30-1+1)/2))*N$2), 0)+IF(IF(time+1&gt;=O$2, $K30/time_cap/(time+1)*N$2, 0) = 0, $K30/(time_cap),0)),0)</f>
        <v/>
      </c>
      <c r="O30" s="4395">
        <f>IFERROR(IF((time+time_cap)&lt;O$2, 0,IF(AND(time+1&gt;=P$2, $E30&lt;P$2), IF($I30= "I", $J30/($F30-$E30+1), $J30/(($F30*($F30+1)/2)-(($E30-1)*($E30-1+1)/2))*O$2), 0)+IF(IF(time+1&gt;=P$2, $K30/time_cap/(time+1)*O$2, 0) = 0, $K30/(time_cap),0)),0)</f>
        <v/>
      </c>
      <c r="P30" s="4395">
        <f>IFERROR(IF((time+time_cap)&lt;P$2, 0,IF(AND(time+1&gt;=Q$2, $E30&lt;Q$2), IF($I30= "I", $J30/($F30-$E30+1), $J30/(($F30*($F30+1)/2)-(($E30-1)*($E30-1+1)/2))*P$2), 0)+IF(IF(time+1&gt;=Q$2, $K30/time_cap/(time+1)*P$2, 0) = 0, $K30/(time_cap),0)),0)</f>
        <v/>
      </c>
      <c r="Q30" s="4395">
        <f>IFERROR(IF((time+time_cap)&lt;Q$2, 0,IF(AND(time+1&gt;=R$2, $E30&lt;R$2), IF($I30= "I", $J30/($F30-$E30+1), $J30/(($F30*($F30+1)/2)-(($E30-1)*($E30-1+1)/2))*Q$2), 0)+IF(IF(time+1&gt;=R$2, $K30/time_cap/(time+1)*Q$2, 0) = 0, $K30/(time_cap),0)),0)</f>
        <v/>
      </c>
      <c r="R30" s="4395">
        <f>IFERROR(IF((time+time_cap)&lt;R$2, 0,IF(AND(time+1&gt;=S$2, $E30&lt;S$2), IF($I30= "I", $J30/($F30-$E30+1), $J30/(($F30*($F30+1)/2)-(($E30-1)*($E30-1+1)/2))*R$2), 0)+IF(IF(time+1&gt;=S$2, $K30/time_cap/(time+1)*R$2, 0) = 0, $K30/(time_cap),0)),0)</f>
        <v/>
      </c>
      <c r="S30" s="4395">
        <f>IFERROR(IF((time+time_cap)&lt;S$2, 0,IF(AND(time+1&gt;=T$2, $E30&lt;T$2), IF($I30= "I", $J30/($F30-$E30+1), $J30/(($F30*($F30+1)/2)-(($E30-1)*($E30-1+1)/2))*S$2), 0)+IF(IF(time+1&gt;=T$2, $K30/time_cap/(time+1)*S$2, 0) = 0, $K30/(time_cap),0)),0)</f>
        <v/>
      </c>
      <c r="T30" s="4395">
        <f>IFERROR(IF((time+time_cap)&lt;T$2, 0,IF(AND(time+1&gt;=U$2, $E30&lt;U$2), IF($I30= "I", $J30/($F30-$E30+1), $J30/(($F30*($F30+1)/2)-(($E30-1)*($E30-1+1)/2))*T$2), 0)+IF(IF(time+1&gt;=U$2, $K30/time_cap/(time+1)*T$2, 0) = 0, $K30/(time_cap),0)),0)</f>
        <v/>
      </c>
      <c r="U30" s="4395">
        <f>IFERROR(IF((time+time_cap)&lt;U$2, 0,IF(AND(time+1&gt;=V$2, $E30&lt;V$2), IF($I30= "I", $J30/($F30-$E30+1), $J30/(($F30*($F30+1)/2)-(($E30-1)*($E30-1+1)/2))*U$2), 0)+IF(IF(time+1&gt;=V$2, $K30/time_cap/(time+1)*U$2, 0) = 0, $K30/(time_cap),0)),0)</f>
        <v/>
      </c>
      <c r="V30" s="4395">
        <f>IFERROR(IF((time+time_cap)&lt;V$2, 0,IF(AND(time+1&gt;=W$2, $E30&lt;W$2), IF($I30= "I", $J30/($F30-$E30+1), $J30/(($F30*($F30+1)/2)-(($E30-1)*($E30-1+1)/2))*V$2), 0)+IF(IF(time+1&gt;=W$2, $K30/time_cap/(time+1)*V$2, 0) = 0, $K30/(time_cap),0)),0)</f>
        <v/>
      </c>
      <c r="W30" s="4395">
        <f>IFERROR(IF((time+time_cap)&lt;W$2, 0,IF(AND(time+1&gt;=X$2, $E30&lt;X$2), IF($I30= "I", $J30/($F30-$E30+1), $J30/(($F30*($F30+1)/2)-(($E30-1)*($E30-1+1)/2))*W$2), 0)+IF(IF(time+1&gt;=X$2, $K30/time_cap/(time+1)*W$2, 0) = 0, $K30/(time_cap),0)),0)</f>
        <v/>
      </c>
      <c r="X30" s="4395">
        <f>IFERROR(IF((time+time_cap)&lt;X$2, 0,IF(AND(time+1&gt;=Y$2, $E30&lt;Y$2), IF($I30= "I", $J30/($F30-$E30+1), $J30/(($F30*($F30+1)/2)-(($E30-1)*($E30-1+1)/2))*X$2), 0)+IF(IF(time+1&gt;=Y$2, $K30/time_cap/(time+1)*X$2, 0) = 0, $K30/(time_cap),0)),0)</f>
        <v/>
      </c>
      <c r="Y30" s="4395">
        <f>IFERROR(IF((time+time_cap)&lt;Y$2, 0,IF(AND(time+1&gt;=Z$2, $E30&lt;Z$2), IF($I30= "I", $J30/($F30-$E30+1), $J30/(($F30*($F30+1)/2)-(($E30-1)*($E30-1+1)/2))*Y$2), 0)+IF(IF(time+1&gt;=Z$2, $K30/time_cap/(time+1)*Y$2, 0) = 0, $K30/(time_cap),0)),0)</f>
        <v/>
      </c>
      <c r="Z30" s="4395">
        <f>IFERROR(IF((time+time_cap)&lt;Z$2, 0,IF(AND(time+1&gt;=AA$2, $E30&lt;AA$2), IF($I30= "I", $J30/($F30-$E30+1), $J30/(($F30*($F30+1)/2)-(($E30-1)*($E30-1+1)/2))*Z$2), 0)+IF(IF(time+1&gt;=AA$2, $K30/time_cap/(time+1)*Z$2, 0) = 0, $K30/(time_cap),0)),0)</f>
        <v/>
      </c>
      <c r="AA30" s="4395">
        <f>IFERROR(IF((time+time_cap)&lt;AA$2, 0,IF(AND(time+1&gt;=AB$2, $E30&lt;AB$2), IF($I30= "I", $J30/($F30-$E30+1), $J30/(($F30*($F30+1)/2)-(($E30-1)*($E30-1+1)/2))*AA$2), 0)+IF(IF(time+1&gt;=AB$2, $K30/time_cap/(time+1)*AA$2, 0) = 0, $K30/(time_cap),0)),0)</f>
        <v/>
      </c>
      <c r="AB30" s="4395">
        <f>IFERROR(IF((time+time_cap)&lt;AB$2, 0,IF(AND(time+1&gt;=AC$2, $E30&lt;AC$2), IF($I30= "I", $J30/($F30-$E30+1), $J30/(($F30*($F30+1)/2)-(($E30-1)*($E30-1+1)/2))*AB$2), 0)+IF(IF(time+1&gt;=AC$2, $K30/time_cap/(time+1)*AB$2, 0) = 0, $K30/(time_cap),0)),0)</f>
        <v/>
      </c>
      <c r="AC30" s="4395">
        <f>IFERROR(IF((time+time_cap)&lt;AC$2, 0,IF(AND(time+1&gt;=AD$2, $E30&lt;AD$2), IF($I30= "I", $J30/($F30-$E30+1), $J30/(($F30*($F30+1)/2)-(($E30-1)*($E30-1+1)/2))*AC$2), 0)+IF(IF(time+1&gt;=AD$2, $K30/time_cap/(time+1)*AC$2, 0) = 0, $K30/(time_cap),0)),0)</f>
        <v/>
      </c>
      <c r="AD30" s="4395">
        <f>IFERROR(IF((time+time_cap)&lt;AD$2, 0,IF(AND(time+1&gt;=AE$2, $E30&lt;AE$2), IF($I30= "I", $J30/($F30-$E30+1), $J30/(($F30*($F30+1)/2)-(($E30-1)*($E30-1+1)/2))*AD$2), 0)+IF(IF(time+1&gt;=AE$2, $K30/time_cap/(time+1)*AD$2, 0) = 0, $K30/(time_cap),0)),0)</f>
        <v/>
      </c>
      <c r="AE30" s="4395">
        <f>IFERROR(IF((time+time_cap)&lt;AE$2, 0,IF(AND(time+1&gt;=AF$2, $E30&lt;AF$2), IF($I30= "I", $J30/($F30-$E30+1), $J30/(($F30*($F30+1)/2)-(($E30-1)*($E30-1+1)/2))*AE$2), 0)+IF(IF(time+1&gt;=AF$2, $K30/time_cap/(time+1)*AE$2, 0) = 0, $K30/(time_cap),0)),0)</f>
        <v/>
      </c>
      <c r="AF30" s="4395">
        <f>IFERROR(IF((time+time_cap)&lt;AF$2, 0,IF(AND(time+1&gt;=AG$2, $E30&lt;AG$2), IF($I30= "I", $J30/($F30-$E30+1), $J30/(($F30*($F30+1)/2)-(($E30-1)*($E30-1+1)/2))*AF$2), 0)+IF(IF(time+1&gt;=AG$2, $K30/time_cap/(time+1)*AF$2, 0) = 0, $K30/(time_cap),0)),0)</f>
        <v/>
      </c>
      <c r="AG30" s="4395">
        <f>IFERROR(IF((time+time_cap)&lt;AG$2, 0,IF(AND(time+1&gt;=AH$2, $E30&lt;AH$2), IF($I30= "I", $J30/($F30-$E30+1), $J30/(($F30*($F30+1)/2)-(($E30-1)*($E30-1+1)/2))*AG$2), 0)+IF(IF(time+1&gt;=AH$2, $K30/time_cap/(time+1)*AG$2, 0) = 0, $K30/(time_cap),0)),0)</f>
        <v/>
      </c>
      <c r="AH30" s="4395">
        <f>IFERROR(IF((time+time_cap)&lt;AH$2, 0,IF(AND(time+1&gt;=AI$2, $E30&lt;AI$2), IF($I30= "I", $J30/($F30-$E30+1), $J30/(($F30*($F30+1)/2)-(($E30-1)*($E30-1+1)/2))*AH$2), 0)+IF(IF(time+1&gt;=AI$2, $K30/time_cap/(time+1)*AH$2, 0) = 0, $K30/(time_cap),0)),0)</f>
        <v/>
      </c>
      <c r="AI30" s="4395">
        <f>IFERROR(IF((time+time_cap)&lt;AI$2, 0,IF(AND(time+1&gt;=AJ$2, $E30&lt;AJ$2), IF($I30= "I", $J30/($F30-$E30+1), $J30/(($F30*($F30+1)/2)-(($E30-1)*($E30-1+1)/2))*AI$2), 0)+IF(IF(time+1&gt;=AJ$2, $K30/time_cap/(time+1)*AI$2, 0) = 0, $K30/(time_cap),0)),0)</f>
        <v/>
      </c>
      <c r="AJ30" s="4395">
        <f>IFERROR(IF((time+time_cap)&lt;AJ$2, 0,IF(AND(time+1&gt;=AK$2, $E30&lt;AK$2), IF($I30= "I", $J30/($F30-$E30+1), $J30/(($F30*($F30+1)/2)-(($E30-1)*($E30-1+1)/2))*AJ$2), 0)+IF(IF(time+1&gt;=AK$2, $K30/time_cap/(time+1)*AJ$2, 0) = 0, $K30/(time_cap),0)),0)</f>
        <v/>
      </c>
      <c r="AK30" s="4395">
        <f>IFERROR(IF((time+time_cap)&lt;AK$2, 0,IF(AND(time+1&gt;=AL$2, $E30&lt;AL$2), IF($I30= "I", $J30/($F30-$E30+1), $J30/(($F30*($F30+1)/2)-(($E30-1)*($E30-1+1)/2))*AK$2), 0)+IF(IF(time+1&gt;=AL$2, $K30/time_cap/(time+1)*AK$2, 0) = 0, $K30/(time_cap),0)),0)</f>
        <v/>
      </c>
      <c r="AL30" s="4395">
        <f>IFERROR(IF((time+time_cap)&lt;AL$2, 0,IF(AND(time+1&gt;=AM$2, $E30&lt;AM$2), IF($I30= "I", $J30/($F30-$E30+1), $J30/(($F30*($F30+1)/2)-(($E30-1)*($E30-1+1)/2))*AL$2), 0)+IF(IF(time+1&gt;=AM$2, $K30/time_cap/(time+1)*AL$2, 0) = 0, $K30/(time_cap),0)),0)</f>
        <v/>
      </c>
      <c r="AM30" s="4395">
        <f>IFERROR(IF((time+time_cap)&lt;AM$2, 0,IF(AND(time+1&gt;=AN$2, $E30&lt;AN$2), IF($I30= "I", $J30/($F30-$E30+1), $J30/(($F30*($F30+1)/2)-(($E30-1)*($E30-1+1)/2))*AM$2), 0)+IF(IF(time+1&gt;=AN$2, $K30/time_cap/(time+1)*AM$2, 0) = 0, $K30/(time_cap),0)),0)</f>
        <v/>
      </c>
      <c r="AN30" s="4395">
        <f>IFERROR(IF((time+time_cap)&lt;AN$2, 0,IF(AND(time+1&gt;=AO$2, $E30&lt;AO$2), IF($I30= "I", $J30/($F30-$E30+1), $J30/(($F30*($F30+1)/2)-(($E30-1)*($E30-1+1)/2))*AN$2), 0)+IF(IF(time+1&gt;=AO$2, $K30/time_cap/(time+1)*AN$2, 0) = 0, $K30/(time_cap),0)),0)</f>
        <v/>
      </c>
      <c r="AO30" s="4395">
        <f>IFERROR(IF((time+time_cap)&lt;AO$2, 0,IF(AND(time+1&gt;=AP$2, $E30&lt;AP$2), IF($I30= "I", $J30/($F30-$E30+1), $J30/(($F30*($F30+1)/2)-(($E30-1)*($E30-1+1)/2))*AO$2), 0)+IF(IF(time+1&gt;=AP$2, $K30/time_cap/(time+1)*AO$2, 0) = 0, $K30/(time_cap),0)),0)</f>
        <v/>
      </c>
      <c r="AP30" s="4395">
        <f>IFERROR(IF((time+time_cap)&lt;AP$2, 0,IF(AND(time+1&gt;=AQ$2, $E30&lt;AQ$2), IF($I30= "I", $J30/($F30-$E30+1), $J30/(($F30*($F30+1)/2)-(($E30-1)*($E30-1+1)/2))*AP$2), 0)+IF(IF(time+1&gt;=AQ$2, $K30/time_cap/(time+1)*AP$2, 0) = 0, $K30/(time_cap),0)),0)</f>
        <v/>
      </c>
      <c r="AQ30" s="4395">
        <f>IFERROR(IF((time+time_cap)&lt;AQ$2, 0,IF(AND(time+1&gt;=AR$2, $E30&lt;AR$2), IF($I30= "I", $J30/($F30-$E30+1), $J30/(($F30*($F30+1)/2)-(($E30-1)*($E30-1+1)/2))*AQ$2), 0)+IF(IF(time+1&gt;=AR$2, $K30/time_cap/(time+1)*AQ$2, 0) = 0, $K30/(time_cap),0)),0)</f>
        <v/>
      </c>
      <c r="AR30" s="4395">
        <f>IFERROR(IF((time+time_cap)&lt;AR$2, 0,IF(AND(time+1&gt;=AS$2, $E30&lt;AS$2), IF($I30= "I", $J30/($F30-$E30+1), $J30/(($F30*($F30+1)/2)-(($E30-1)*($E30-1+1)/2))*AR$2), 0)+IF(IF(time+1&gt;=AS$2, $K30/time_cap/(time+1)*AR$2, 0) = 0, $K30/(time_cap),0)),0)</f>
        <v/>
      </c>
      <c r="AS30" s="4395">
        <f>IFERROR(IF((time+time_cap)&lt;AS$2, 0,IF(AND(time+1&gt;=AT$2, $E30&lt;AT$2), IF($I30= "I", $J30/($F30-$E30+1), $J30/(($F30*($F30+1)/2)-(($E30-1)*($E30-1+1)/2))*AS$2), 0)+IF(IF(time+1&gt;=AT$2, $K30/time_cap/(time+1)*AS$2, 0) = 0, $K30/(time_cap),0)),0)</f>
        <v/>
      </c>
      <c r="AT30" s="4395">
        <f>IFERROR(IF((time+time_cap)&lt;AT$2, 0,IF(AND(time+1&gt;=AU$2, $E30&lt;AU$2), IF($I30= "I", $J30/($F30-$E30+1), $J30/(($F30*($F30+1)/2)-(($E30-1)*($E30-1+1)/2))*AT$2), 0)+IF(IF(time+1&gt;=AU$2, $K30/time_cap/(time+1)*AT$2, 0) = 0, $K30/(time_cap),0)),0)</f>
        <v/>
      </c>
      <c r="AU30" s="4395">
        <f>IFERROR(IF((time+time_cap)&lt;AU$2, 0,IF(AND(time+1&gt;=AV$2, $E30&lt;AV$2), IF($I30= "I", $J30/($F30-$E30+1), $J30/(($F30*($F30+1)/2)-(($E30-1)*($E30-1+1)/2))*AU$2), 0)+IF(IF(time+1&gt;=AV$2, $K30/time_cap/(time+1)*AU$2, 0) = 0, $K30/(time_cap),0)),0)</f>
        <v/>
      </c>
      <c r="AV30" s="4395">
        <f>IFERROR(IF((time+time_cap)&lt;AV$2, 0,IF(AND(time+1&gt;=AW$2, $E30&lt;AW$2), IF($I30= "I", $J30/($F30-$E30+1), $J30/(($F30*($F30+1)/2)-(($E30-1)*($E30-1+1)/2))*AV$2), 0)+IF(IF(time+1&gt;=AW$2, $K30/time_cap/(time+1)*AV$2, 0) = 0, $K30/(time_cap),0)),0)</f>
        <v/>
      </c>
      <c r="AW30" s="4395">
        <f>IFERROR(IF((time+time_cap)&lt;AW$2, 0,IF(AND(time+1&gt;=AX$2, $E30&lt;AX$2), IF($I30= "I", $J30/($F30-$E30+1), $J30/(($F30*($F30+1)/2)-(($E30-1)*($E30-1+1)/2))*AW$2), 0)+IF(IF(time+1&gt;=AX$2, $K30/time_cap/(time+1)*AW$2, 0) = 0, $K30/(time_cap),0)),0)</f>
        <v/>
      </c>
      <c r="AX30" s="4395">
        <f>IFERROR(IF((time+time_cap)&lt;AX$2, 0,IF(AND(time+1&gt;=AY$2, $E30&lt;AY$2), IF($I30= "I", $J30/($F30-$E30+1), $J30/(($F30*($F30+1)/2)-(($E30-1)*($E30-1+1)/2))*AX$2), 0)+IF(IF(time+1&gt;=AY$2, $K30/time_cap/(time+1)*AX$2, 0) = 0, $K30/(time_cap),0)),0)</f>
        <v/>
      </c>
      <c r="AY30" s="4395">
        <f>IFERROR(IF((time+time_cap)&lt;AY$2, 0,IF(AND(time+1&gt;=AZ$2, $E30&lt;AZ$2), IF($I30= "I", $J30/($F30-$E30+1), $J30/(($F30*($F30+1)/2)-(($E30-1)*($E30-1+1)/2))*AY$2), 0)+IF(IF(time+1&gt;=AZ$2, $K30/time_cap/(time+1)*AY$2, 0) = 0, $K30/(time_cap),0)),0)</f>
        <v/>
      </c>
      <c r="AZ30" s="4395">
        <f>IFERROR(IF((time+time_cap)&lt;AZ$2, 0,IF(AND(time+1&gt;=BA$2, $E30&lt;BA$2), IF($I30= "I", $J30/($F30-$E30+1), $J30/(($F30*($F30+1)/2)-(($E30-1)*($E30-1+1)/2))*AZ$2), 0)+IF(IF(time+1&gt;=BA$2, $K30/time_cap/(time+1)*AZ$2, 0) = 0, $K30/(time_cap),0)),0)</f>
        <v/>
      </c>
      <c r="BA30" s="4395">
        <f>IFERROR(IF((time+time_cap)&lt;BA$2, 0,IF(AND(time+1&gt;=BB$2, $E30&lt;BB$2), IF($I30= "I", $J30/($F30-$E30+1), $J30/(($F30*($F30+1)/2)-(($E30-1)*($E30-1+1)/2))*BA$2), 0)+IF(IF(time+1&gt;=BB$2, $K30/time_cap/(time+1)*BA$2, 0) = 0, $K30/(time_cap),0)),0)</f>
        <v/>
      </c>
      <c r="BB30" s="4395">
        <f>IFERROR(IF((time+time_cap)&lt;BB$2, 0,IF(AND(time+1&gt;=BC$2, $E30&lt;BC$2), IF($I30= "I", $J30/($F30-$E30+1), $J30/(($F30*($F30+1)/2)-(($E30-1)*($E30-1+1)/2))*BB$2), 0)+IF(IF(time+1&gt;=BC$2, $K30/time_cap/(time+1)*BB$2, 0) = 0, $K30/(time_cap),0)),0)</f>
        <v/>
      </c>
      <c r="BC30" s="4395">
        <f>IFERROR(IF((time+time_cap)&lt;BC$2, 0,IF(AND(time+1&gt;=BD$2, $E30&lt;BD$2), IF($I30= "I", $J30/($F30-$E30+1), $J30/(($F30*($F30+1)/2)-(($E30-1)*($E30-1+1)/2))*BC$2), 0)+IF(IF(time+1&gt;=BD$2, $K30/time_cap/(time+1)*BC$2, 0) = 0, $K30/(time_cap),0)),0)</f>
        <v/>
      </c>
      <c r="BD30" s="4395">
        <f>IFERROR(IF((time+time_cap)&lt;BD$2, 0,IF(AND(time+1&gt;=BE$2, $E30&lt;BE$2), IF($I30= "I", $J30/($F30-$E30+1), $J30/(($F30*($F30+1)/2)-(($E30-1)*($E30-1+1)/2))*BD$2), 0)+IF(IF(time+1&gt;=BE$2, $K30/time_cap/(time+1)*BD$2, 0) = 0, $K30/(time_cap),0)),0)</f>
        <v/>
      </c>
      <c r="BE30" s="4395">
        <f>IFERROR(IF((time+time_cap)&lt;BE$2, 0,IF(AND(time+1&gt;=BF$2, $E30&lt;BF$2), IF($I30= "I", $J30/($F30-$E30+1), $J30/(($F30*($F30+1)/2)-(($E30-1)*($E30-1+1)/2))*BE$2), 0)+IF(IF(time+1&gt;=BF$2, $K30/time_cap/(time+1)*BE$2, 0) = 0, $K30/(time_cap),0)),0)</f>
        <v/>
      </c>
      <c r="BF30" s="4395">
        <f>IFERROR(IF((time+time_cap)&lt;BF$2, 0,IF(AND(time+1&gt;=BG$2, $E30&lt;BG$2), IF($I30= "I", $J30/($F30-$E30+1), $J30/(($F30*($F30+1)/2)-(($E30-1)*($E30-1+1)/2))*BF$2), 0)+IF(IF(time+1&gt;=BG$2, $K30/time_cap/(time+1)*BF$2, 0) = 0, $K30/(time_cap),0)),0)</f>
        <v/>
      </c>
      <c r="BG30" s="4395">
        <f>IFERROR(IF((time+time_cap)&lt;BG$2, 0,IF(AND(time+1&gt;=BH$2, $E30&lt;BH$2), IF($I30= "I", $J30/($F30-$E30+1), $J30/(($F30*($F30+1)/2)-(($E30-1)*($E30-1+1)/2))*BG$2), 0)+IF(IF(time+1&gt;=BH$2, $K30/time_cap/(time+1)*BG$2, 0) = 0, $K30/(time_cap),0)),0)</f>
        <v/>
      </c>
      <c r="BH30" s="4395">
        <f>IFERROR(IF((time+time_cap)&lt;BH$2, 0,IF(AND(time+1&gt;=BI$2, $E30&lt;BI$2), IF($I30= "I", $J30/($F30-$E30+1), $J30/(($F30*($F30+1)/2)-(($E30-1)*($E30-1+1)/2))*BH$2), 0)+IF(IF(time+1&gt;=BI$2, $K30/time_cap/(time+1)*BH$2, 0) = 0, $K30/(time_cap),0)),0)</f>
        <v/>
      </c>
      <c r="BI30" s="4395">
        <f>IFERROR(IF((time+time_cap)&lt;BI$2, 0,IF(AND(time+1&gt;=BJ$2, $E30&lt;BJ$2), IF($I30= "I", $J30/($F30-$E30+1), $J30/(($F30*($F30+1)/2)-(($E30-1)*($E30-1+1)/2))*BI$2), 0)+IF(IF(time+1&gt;=BJ$2, $K30/time_cap/(time+1)*BI$2, 0) = 0, $K30/(time_cap),0)),0)</f>
        <v/>
      </c>
      <c r="BJ30" s="4395">
        <f>IFERROR(IF((time+time_cap)&lt;BJ$2, 0,IF(AND(time+1&gt;=BK$2, $E30&lt;BK$2), IF($I30= "I", $J30/($F30-$E30+1), $J30/(($F30*($F30+1)/2)-(($E30-1)*($E30-1+1)/2))*BJ$2), 0)+IF(IF(time+1&gt;=BK$2, $K30/time_cap/(time+1)*BJ$2, 0) = 0, $K30/(time_cap),0)),0)</f>
        <v/>
      </c>
      <c r="BK30" s="4395" t="n"/>
      <c r="BL30" s="4395" t="n"/>
      <c r="BM30" s="4395" t="n"/>
      <c r="BN30" s="4395" t="n"/>
      <c r="BO30" s="4395" t="n"/>
      <c r="BP30" s="4395" t="n"/>
      <c r="BQ30" s="4395" t="n"/>
      <c r="BR30" s="4395" t="n"/>
      <c r="BS30" s="4395" t="n"/>
      <c r="BT30" s="4395" t="n"/>
      <c r="BU30" s="4395" t="n"/>
      <c r="BV30" s="4395" t="n"/>
      <c r="BW30" s="4395" t="n"/>
      <c r="BX30" s="4395" t="n"/>
      <c r="BY30" s="4395" t="n"/>
      <c r="BZ30" s="4395" t="n"/>
      <c r="CA30" s="4395" t="n"/>
      <c r="CB30" s="4395" t="n"/>
      <c r="CC30" s="4395" t="n"/>
      <c r="CD30" s="4395" t="n"/>
      <c r="CE30" s="4395" t="n"/>
      <c r="CF30" s="4395" t="n"/>
      <c r="CG30" s="4395" t="n"/>
      <c r="CH30" s="4395" t="n"/>
      <c r="CI30" s="4395" t="n"/>
      <c r="CJ30" s="4395" t="n"/>
      <c r="CK30" s="4395" t="n"/>
      <c r="CL30" s="4395" t="n"/>
      <c r="CM30" s="4395" t="n"/>
      <c r="CN30" s="4395" t="n"/>
      <c r="CO30" s="4395" t="n"/>
      <c r="CP30" s="4395" t="n"/>
      <c r="CQ30" s="4395" t="n"/>
      <c r="CR30" s="4395" t="n"/>
      <c r="CS30" s="4395" t="n"/>
      <c r="CT30" s="4395" t="n"/>
      <c r="CU30" s="4395" t="n"/>
      <c r="CV30" s="4395" t="n"/>
      <c r="CW30" s="4395" t="n"/>
      <c r="CX30" s="4395" t="n"/>
      <c r="CY30" s="4395" t="n"/>
      <c r="CZ30" s="4395" t="n"/>
      <c r="DA30" s="4395" t="n"/>
      <c r="DB30" s="4395" t="n"/>
      <c r="DC30" s="4395" t="n"/>
      <c r="DD30" s="4395" t="n"/>
      <c r="DE30" s="4395" t="n"/>
      <c r="DF30" s="4395" t="n"/>
      <c r="DG30" s="4395" t="n"/>
      <c r="DH30" s="4395" t="n"/>
    </row>
    <row r="31" ht="16" customHeight="1">
      <c r="A31" t="inlineStr">
        <is>
          <t>OLUC</t>
        </is>
      </c>
      <c r="B31">
        <f>'2.LUC'!C64</f>
        <v/>
      </c>
      <c r="C31">
        <f>'2.LUC'!K65</f>
        <v/>
      </c>
      <c r="D31">
        <f>'2.LUC'!Y65</f>
        <v/>
      </c>
      <c r="E31">
        <f>IF('2.LUC'!BL65&lt;&gt;0,'2.LUC'!BL65,'2.LUC'!BK65)</f>
        <v/>
      </c>
      <c r="F31">
        <f>time</f>
        <v/>
      </c>
      <c r="G31" s="4395">
        <f>'2.LUC'!O65</f>
        <v/>
      </c>
      <c r="H31" s="4395">
        <f>'2.LUC'!Q65</f>
        <v/>
      </c>
      <c r="I31" s="4395">
        <f>IF(OR(H31="I", G31="I"), "I", IF(OR(H31="E", G31="E"), "E", "D"))</f>
        <v/>
      </c>
      <c r="J31" s="4395">
        <f>((D31/(time_cap+((F31-E31+1)*VLOOKUP(I31,list!$I$48:$K$50,3, FALSE))))*(F31-E31+1)*VLOOKUP(I31,list!$I$48:$K$50,3, FALSE))</f>
        <v/>
      </c>
      <c r="K31" s="4395">
        <f>((D31/(time_cap+((F31-E31+1)*VLOOKUP(I31,list!$I$48:$K$50,3, FALSE))))*time_cap)</f>
        <v/>
      </c>
      <c r="M31" s="4395">
        <f>IFERROR(IF((time+time_cap)&lt;M$2, 0,IF(AND(time+1&gt;=N$2, $E31&lt;N$2), IF($I31= "I", $J31/($F31-$E31+1), $J31/(($F31*($F31+1)/2)-(($E31-1)*($E31-1+1)/2))*M$2), 0)+IF(IF(time+1&gt;=N$2, $K31/time_cap/(time+1)*M$2, 0) = 0, $K31/(time_cap),0)),0)</f>
        <v/>
      </c>
      <c r="N31" s="4395">
        <f>IFERROR(IF((time+time_cap)&lt;N$2, 0,IF(AND(time+1&gt;=O$2, $E31&lt;O$2), IF($I31= "I", $J31/($F31-$E31+1), $J31/(($F31*($F31+1)/2)-(($E31-1)*($E31-1+1)/2))*N$2), 0)+IF(IF(time+1&gt;=O$2, $K31/time_cap/(time+1)*N$2, 0) = 0, $K31/(time_cap),0)),0)</f>
        <v/>
      </c>
      <c r="O31" s="4395">
        <f>IFERROR(IF((time+time_cap)&lt;O$2, 0,IF(AND(time+1&gt;=P$2, $E31&lt;P$2), IF($I31= "I", $J31/($F31-$E31+1), $J31/(($F31*($F31+1)/2)-(($E31-1)*($E31-1+1)/2))*O$2), 0)+IF(IF(time+1&gt;=P$2, $K31/time_cap/(time+1)*O$2, 0) = 0, $K31/(time_cap),0)),0)</f>
        <v/>
      </c>
      <c r="P31" s="4395">
        <f>IFERROR(IF((time+time_cap)&lt;P$2, 0,IF(AND(time+1&gt;=Q$2, $E31&lt;Q$2), IF($I31= "I", $J31/($F31-$E31+1), $J31/(($F31*($F31+1)/2)-(($E31-1)*($E31-1+1)/2))*P$2), 0)+IF(IF(time+1&gt;=Q$2, $K31/time_cap/(time+1)*P$2, 0) = 0, $K31/(time_cap),0)),0)</f>
        <v/>
      </c>
      <c r="Q31" s="4395">
        <f>IFERROR(IF((time+time_cap)&lt;Q$2, 0,IF(AND(time+1&gt;=R$2, $E31&lt;R$2), IF($I31= "I", $J31/($F31-$E31+1), $J31/(($F31*($F31+1)/2)-(($E31-1)*($E31-1+1)/2))*Q$2), 0)+IF(IF(time+1&gt;=R$2, $K31/time_cap/(time+1)*Q$2, 0) = 0, $K31/(time_cap),0)),0)</f>
        <v/>
      </c>
      <c r="R31" s="4395">
        <f>IFERROR(IF((time+time_cap)&lt;R$2, 0,IF(AND(time+1&gt;=S$2, $E31&lt;S$2), IF($I31= "I", $J31/($F31-$E31+1), $J31/(($F31*($F31+1)/2)-(($E31-1)*($E31-1+1)/2))*R$2), 0)+IF(IF(time+1&gt;=S$2, $K31/time_cap/(time+1)*R$2, 0) = 0, $K31/(time_cap),0)),0)</f>
        <v/>
      </c>
      <c r="S31" s="4395">
        <f>IFERROR(IF((time+time_cap)&lt;S$2, 0,IF(AND(time+1&gt;=T$2, $E31&lt;T$2), IF($I31= "I", $J31/($F31-$E31+1), $J31/(($F31*($F31+1)/2)-(($E31-1)*($E31-1+1)/2))*S$2), 0)+IF(IF(time+1&gt;=T$2, $K31/time_cap/(time+1)*S$2, 0) = 0, $K31/(time_cap),0)),0)</f>
        <v/>
      </c>
      <c r="T31" s="4395">
        <f>IFERROR(IF((time+time_cap)&lt;T$2, 0,IF(AND(time+1&gt;=U$2, $E31&lt;U$2), IF($I31= "I", $J31/($F31-$E31+1), $J31/(($F31*($F31+1)/2)-(($E31-1)*($E31-1+1)/2))*T$2), 0)+IF(IF(time+1&gt;=U$2, $K31/time_cap/(time+1)*T$2, 0) = 0, $K31/(time_cap),0)),0)</f>
        <v/>
      </c>
      <c r="U31" s="4395">
        <f>IFERROR(IF((time+time_cap)&lt;U$2, 0,IF(AND(time+1&gt;=V$2, $E31&lt;V$2), IF($I31= "I", $J31/($F31-$E31+1), $J31/(($F31*($F31+1)/2)-(($E31-1)*($E31-1+1)/2))*U$2), 0)+IF(IF(time+1&gt;=V$2, $K31/time_cap/(time+1)*U$2, 0) = 0, $K31/(time_cap),0)),0)</f>
        <v/>
      </c>
      <c r="V31" s="4395">
        <f>IFERROR(IF((time+time_cap)&lt;V$2, 0,IF(AND(time+1&gt;=W$2, $E31&lt;W$2), IF($I31= "I", $J31/($F31-$E31+1), $J31/(($F31*($F31+1)/2)-(($E31-1)*($E31-1+1)/2))*V$2), 0)+IF(IF(time+1&gt;=W$2, $K31/time_cap/(time+1)*V$2, 0) = 0, $K31/(time_cap),0)),0)</f>
        <v/>
      </c>
      <c r="W31" s="4395">
        <f>IFERROR(IF((time+time_cap)&lt;W$2, 0,IF(AND(time+1&gt;=X$2, $E31&lt;X$2), IF($I31= "I", $J31/($F31-$E31+1), $J31/(($F31*($F31+1)/2)-(($E31-1)*($E31-1+1)/2))*W$2), 0)+IF(IF(time+1&gt;=X$2, $K31/time_cap/(time+1)*W$2, 0) = 0, $K31/(time_cap),0)),0)</f>
        <v/>
      </c>
      <c r="X31" s="4395">
        <f>IFERROR(IF((time+time_cap)&lt;X$2, 0,IF(AND(time+1&gt;=Y$2, $E31&lt;Y$2), IF($I31= "I", $J31/($F31-$E31+1), $J31/(($F31*($F31+1)/2)-(($E31-1)*($E31-1+1)/2))*X$2), 0)+IF(IF(time+1&gt;=Y$2, $K31/time_cap/(time+1)*X$2, 0) = 0, $K31/(time_cap),0)),0)</f>
        <v/>
      </c>
      <c r="Y31" s="4395">
        <f>IFERROR(IF((time+time_cap)&lt;Y$2, 0,IF(AND(time+1&gt;=Z$2, $E31&lt;Z$2), IF($I31= "I", $J31/($F31-$E31+1), $J31/(($F31*($F31+1)/2)-(($E31-1)*($E31-1+1)/2))*Y$2), 0)+IF(IF(time+1&gt;=Z$2, $K31/time_cap/(time+1)*Y$2, 0) = 0, $K31/(time_cap),0)),0)</f>
        <v/>
      </c>
      <c r="Z31" s="4395">
        <f>IFERROR(IF((time+time_cap)&lt;Z$2, 0,IF(AND(time+1&gt;=AA$2, $E31&lt;AA$2), IF($I31= "I", $J31/($F31-$E31+1), $J31/(($F31*($F31+1)/2)-(($E31-1)*($E31-1+1)/2))*Z$2), 0)+IF(IF(time+1&gt;=AA$2, $K31/time_cap/(time+1)*Z$2, 0) = 0, $K31/(time_cap),0)),0)</f>
        <v/>
      </c>
      <c r="AA31" s="4395">
        <f>IFERROR(IF((time+time_cap)&lt;AA$2, 0,IF(AND(time+1&gt;=AB$2, $E31&lt;AB$2), IF($I31= "I", $J31/($F31-$E31+1), $J31/(($F31*($F31+1)/2)-(($E31-1)*($E31-1+1)/2))*AA$2), 0)+IF(IF(time+1&gt;=AB$2, $K31/time_cap/(time+1)*AA$2, 0) = 0, $K31/(time_cap),0)),0)</f>
        <v/>
      </c>
      <c r="AB31" s="4395">
        <f>IFERROR(IF((time+time_cap)&lt;AB$2, 0,IF(AND(time+1&gt;=AC$2, $E31&lt;AC$2), IF($I31= "I", $J31/($F31-$E31+1), $J31/(($F31*($F31+1)/2)-(($E31-1)*($E31-1+1)/2))*AB$2), 0)+IF(IF(time+1&gt;=AC$2, $K31/time_cap/(time+1)*AB$2, 0) = 0, $K31/(time_cap),0)),0)</f>
        <v/>
      </c>
      <c r="AC31" s="4395">
        <f>IFERROR(IF((time+time_cap)&lt;AC$2, 0,IF(AND(time+1&gt;=AD$2, $E31&lt;AD$2), IF($I31= "I", $J31/($F31-$E31+1), $J31/(($F31*($F31+1)/2)-(($E31-1)*($E31-1+1)/2))*AC$2), 0)+IF(IF(time+1&gt;=AD$2, $K31/time_cap/(time+1)*AC$2, 0) = 0, $K31/(time_cap),0)),0)</f>
        <v/>
      </c>
      <c r="AD31" s="4395">
        <f>IFERROR(IF((time+time_cap)&lt;AD$2, 0,IF(AND(time+1&gt;=AE$2, $E31&lt;AE$2), IF($I31= "I", $J31/($F31-$E31+1), $J31/(($F31*($F31+1)/2)-(($E31-1)*($E31-1+1)/2))*AD$2), 0)+IF(IF(time+1&gt;=AE$2, $K31/time_cap/(time+1)*AD$2, 0) = 0, $K31/(time_cap),0)),0)</f>
        <v/>
      </c>
      <c r="AE31" s="4395">
        <f>IFERROR(IF((time+time_cap)&lt;AE$2, 0,IF(AND(time+1&gt;=AF$2, $E31&lt;AF$2), IF($I31= "I", $J31/($F31-$E31+1), $J31/(($F31*($F31+1)/2)-(($E31-1)*($E31-1+1)/2))*AE$2), 0)+IF(IF(time+1&gt;=AF$2, $K31/time_cap/(time+1)*AE$2, 0) = 0, $K31/(time_cap),0)),0)</f>
        <v/>
      </c>
      <c r="AF31" s="4395">
        <f>IFERROR(IF((time+time_cap)&lt;AF$2, 0,IF(AND(time+1&gt;=AG$2, $E31&lt;AG$2), IF($I31= "I", $J31/($F31-$E31+1), $J31/(($F31*($F31+1)/2)-(($E31-1)*($E31-1+1)/2))*AF$2), 0)+IF(IF(time+1&gt;=AG$2, $K31/time_cap/(time+1)*AF$2, 0) = 0, $K31/(time_cap),0)),0)</f>
        <v/>
      </c>
      <c r="AG31" s="4395">
        <f>IFERROR(IF((time+time_cap)&lt;AG$2, 0,IF(AND(time+1&gt;=AH$2, $E31&lt;AH$2), IF($I31= "I", $J31/($F31-$E31+1), $J31/(($F31*($F31+1)/2)-(($E31-1)*($E31-1+1)/2))*AG$2), 0)+IF(IF(time+1&gt;=AH$2, $K31/time_cap/(time+1)*AG$2, 0) = 0, $K31/(time_cap),0)),0)</f>
        <v/>
      </c>
      <c r="AH31" s="4395">
        <f>IFERROR(IF((time+time_cap)&lt;AH$2, 0,IF(AND(time+1&gt;=AI$2, $E31&lt;AI$2), IF($I31= "I", $J31/($F31-$E31+1), $J31/(($F31*($F31+1)/2)-(($E31-1)*($E31-1+1)/2))*AH$2), 0)+IF(IF(time+1&gt;=AI$2, $K31/time_cap/(time+1)*AH$2, 0) = 0, $K31/(time_cap),0)),0)</f>
        <v/>
      </c>
      <c r="AI31" s="4395">
        <f>IFERROR(IF((time+time_cap)&lt;AI$2, 0,IF(AND(time+1&gt;=AJ$2, $E31&lt;AJ$2), IF($I31= "I", $J31/($F31-$E31+1), $J31/(($F31*($F31+1)/2)-(($E31-1)*($E31-1+1)/2))*AI$2), 0)+IF(IF(time+1&gt;=AJ$2, $K31/time_cap/(time+1)*AI$2, 0) = 0, $K31/(time_cap),0)),0)</f>
        <v/>
      </c>
      <c r="AJ31" s="4395">
        <f>IFERROR(IF((time+time_cap)&lt;AJ$2, 0,IF(AND(time+1&gt;=AK$2, $E31&lt;AK$2), IF($I31= "I", $J31/($F31-$E31+1), $J31/(($F31*($F31+1)/2)-(($E31-1)*($E31-1+1)/2))*AJ$2), 0)+IF(IF(time+1&gt;=AK$2, $K31/time_cap/(time+1)*AJ$2, 0) = 0, $K31/(time_cap),0)),0)</f>
        <v/>
      </c>
      <c r="AK31" s="4395">
        <f>IFERROR(IF((time+time_cap)&lt;AK$2, 0,IF(AND(time+1&gt;=AL$2, $E31&lt;AL$2), IF($I31= "I", $J31/($F31-$E31+1), $J31/(($F31*($F31+1)/2)-(($E31-1)*($E31-1+1)/2))*AK$2), 0)+IF(IF(time+1&gt;=AL$2, $K31/time_cap/(time+1)*AK$2, 0) = 0, $K31/(time_cap),0)),0)</f>
        <v/>
      </c>
      <c r="AL31" s="4395">
        <f>IFERROR(IF((time+time_cap)&lt;AL$2, 0,IF(AND(time+1&gt;=AM$2, $E31&lt;AM$2), IF($I31= "I", $J31/($F31-$E31+1), $J31/(($F31*($F31+1)/2)-(($E31-1)*($E31-1+1)/2))*AL$2), 0)+IF(IF(time+1&gt;=AM$2, $K31/time_cap/(time+1)*AL$2, 0) = 0, $K31/(time_cap),0)),0)</f>
        <v/>
      </c>
      <c r="AM31" s="4395">
        <f>IFERROR(IF((time+time_cap)&lt;AM$2, 0,IF(AND(time+1&gt;=AN$2, $E31&lt;AN$2), IF($I31= "I", $J31/($F31-$E31+1), $J31/(($F31*($F31+1)/2)-(($E31-1)*($E31-1+1)/2))*AM$2), 0)+IF(IF(time+1&gt;=AN$2, $K31/time_cap/(time+1)*AM$2, 0) = 0, $K31/(time_cap),0)),0)</f>
        <v/>
      </c>
      <c r="AN31" s="4395">
        <f>IFERROR(IF((time+time_cap)&lt;AN$2, 0,IF(AND(time+1&gt;=AO$2, $E31&lt;AO$2), IF($I31= "I", $J31/($F31-$E31+1), $J31/(($F31*($F31+1)/2)-(($E31-1)*($E31-1+1)/2))*AN$2), 0)+IF(IF(time+1&gt;=AO$2, $K31/time_cap/(time+1)*AN$2, 0) = 0, $K31/(time_cap),0)),0)</f>
        <v/>
      </c>
      <c r="AO31" s="4395">
        <f>IFERROR(IF((time+time_cap)&lt;AO$2, 0,IF(AND(time+1&gt;=AP$2, $E31&lt;AP$2), IF($I31= "I", $J31/($F31-$E31+1), $J31/(($F31*($F31+1)/2)-(($E31-1)*($E31-1+1)/2))*AO$2), 0)+IF(IF(time+1&gt;=AP$2, $K31/time_cap/(time+1)*AO$2, 0) = 0, $K31/(time_cap),0)),0)</f>
        <v/>
      </c>
      <c r="AP31" s="4395">
        <f>IFERROR(IF((time+time_cap)&lt;AP$2, 0,IF(AND(time+1&gt;=AQ$2, $E31&lt;AQ$2), IF($I31= "I", $J31/($F31-$E31+1), $J31/(($F31*($F31+1)/2)-(($E31-1)*($E31-1+1)/2))*AP$2), 0)+IF(IF(time+1&gt;=AQ$2, $K31/time_cap/(time+1)*AP$2, 0) = 0, $K31/(time_cap),0)),0)</f>
        <v/>
      </c>
      <c r="AQ31" s="4395">
        <f>IFERROR(IF((time+time_cap)&lt;AQ$2, 0,IF(AND(time+1&gt;=AR$2, $E31&lt;AR$2), IF($I31= "I", $J31/($F31-$E31+1), $J31/(($F31*($F31+1)/2)-(($E31-1)*($E31-1+1)/2))*AQ$2), 0)+IF(IF(time+1&gt;=AR$2, $K31/time_cap/(time+1)*AQ$2, 0) = 0, $K31/(time_cap),0)),0)</f>
        <v/>
      </c>
      <c r="AR31" s="4395">
        <f>IFERROR(IF((time+time_cap)&lt;AR$2, 0,IF(AND(time+1&gt;=AS$2, $E31&lt;AS$2), IF($I31= "I", $J31/($F31-$E31+1), $J31/(($F31*($F31+1)/2)-(($E31-1)*($E31-1+1)/2))*AR$2), 0)+IF(IF(time+1&gt;=AS$2, $K31/time_cap/(time+1)*AR$2, 0) = 0, $K31/(time_cap),0)),0)</f>
        <v/>
      </c>
      <c r="AS31" s="4395">
        <f>IFERROR(IF((time+time_cap)&lt;AS$2, 0,IF(AND(time+1&gt;=AT$2, $E31&lt;AT$2), IF($I31= "I", $J31/($F31-$E31+1), $J31/(($F31*($F31+1)/2)-(($E31-1)*($E31-1+1)/2))*AS$2), 0)+IF(IF(time+1&gt;=AT$2, $K31/time_cap/(time+1)*AS$2, 0) = 0, $K31/(time_cap),0)),0)</f>
        <v/>
      </c>
      <c r="AT31" s="4395">
        <f>IFERROR(IF((time+time_cap)&lt;AT$2, 0,IF(AND(time+1&gt;=AU$2, $E31&lt;AU$2), IF($I31= "I", $J31/($F31-$E31+1), $J31/(($F31*($F31+1)/2)-(($E31-1)*($E31-1+1)/2))*AT$2), 0)+IF(IF(time+1&gt;=AU$2, $K31/time_cap/(time+1)*AT$2, 0) = 0, $K31/(time_cap),0)),0)</f>
        <v/>
      </c>
      <c r="AU31" s="4395">
        <f>IFERROR(IF((time+time_cap)&lt;AU$2, 0,IF(AND(time+1&gt;=AV$2, $E31&lt;AV$2), IF($I31= "I", $J31/($F31-$E31+1), $J31/(($F31*($F31+1)/2)-(($E31-1)*($E31-1+1)/2))*AU$2), 0)+IF(IF(time+1&gt;=AV$2, $K31/time_cap/(time+1)*AU$2, 0) = 0, $K31/(time_cap),0)),0)</f>
        <v/>
      </c>
      <c r="AV31" s="4395">
        <f>IFERROR(IF((time+time_cap)&lt;AV$2, 0,IF(AND(time+1&gt;=AW$2, $E31&lt;AW$2), IF($I31= "I", $J31/($F31-$E31+1), $J31/(($F31*($F31+1)/2)-(($E31-1)*($E31-1+1)/2))*AV$2), 0)+IF(IF(time+1&gt;=AW$2, $K31/time_cap/(time+1)*AV$2, 0) = 0, $K31/(time_cap),0)),0)</f>
        <v/>
      </c>
      <c r="AW31" s="4395">
        <f>IFERROR(IF((time+time_cap)&lt;AW$2, 0,IF(AND(time+1&gt;=AX$2, $E31&lt;AX$2), IF($I31= "I", $J31/($F31-$E31+1), $J31/(($F31*($F31+1)/2)-(($E31-1)*($E31-1+1)/2))*AW$2), 0)+IF(IF(time+1&gt;=AX$2, $K31/time_cap/(time+1)*AW$2, 0) = 0, $K31/(time_cap),0)),0)</f>
        <v/>
      </c>
      <c r="AX31" s="4395">
        <f>IFERROR(IF((time+time_cap)&lt;AX$2, 0,IF(AND(time+1&gt;=AY$2, $E31&lt;AY$2), IF($I31= "I", $J31/($F31-$E31+1), $J31/(($F31*($F31+1)/2)-(($E31-1)*($E31-1+1)/2))*AX$2), 0)+IF(IF(time+1&gt;=AY$2, $K31/time_cap/(time+1)*AX$2, 0) = 0, $K31/(time_cap),0)),0)</f>
        <v/>
      </c>
      <c r="AY31" s="4395">
        <f>IFERROR(IF((time+time_cap)&lt;AY$2, 0,IF(AND(time+1&gt;=AZ$2, $E31&lt;AZ$2), IF($I31= "I", $J31/($F31-$E31+1), $J31/(($F31*($F31+1)/2)-(($E31-1)*($E31-1+1)/2))*AY$2), 0)+IF(IF(time+1&gt;=AZ$2, $K31/time_cap/(time+1)*AY$2, 0) = 0, $K31/(time_cap),0)),0)</f>
        <v/>
      </c>
      <c r="AZ31" s="4395">
        <f>IFERROR(IF((time+time_cap)&lt;AZ$2, 0,IF(AND(time+1&gt;=BA$2, $E31&lt;BA$2), IF($I31= "I", $J31/($F31-$E31+1), $J31/(($F31*($F31+1)/2)-(($E31-1)*($E31-1+1)/2))*AZ$2), 0)+IF(IF(time+1&gt;=BA$2, $K31/time_cap/(time+1)*AZ$2, 0) = 0, $K31/(time_cap),0)),0)</f>
        <v/>
      </c>
      <c r="BA31" s="4395">
        <f>IFERROR(IF((time+time_cap)&lt;BA$2, 0,IF(AND(time+1&gt;=BB$2, $E31&lt;BB$2), IF($I31= "I", $J31/($F31-$E31+1), $J31/(($F31*($F31+1)/2)-(($E31-1)*($E31-1+1)/2))*BA$2), 0)+IF(IF(time+1&gt;=BB$2, $K31/time_cap/(time+1)*BA$2, 0) = 0, $K31/(time_cap),0)),0)</f>
        <v/>
      </c>
      <c r="BB31" s="4395">
        <f>IFERROR(IF((time+time_cap)&lt;BB$2, 0,IF(AND(time+1&gt;=BC$2, $E31&lt;BC$2), IF($I31= "I", $J31/($F31-$E31+1), $J31/(($F31*($F31+1)/2)-(($E31-1)*($E31-1+1)/2))*BB$2), 0)+IF(IF(time+1&gt;=BC$2, $K31/time_cap/(time+1)*BB$2, 0) = 0, $K31/(time_cap),0)),0)</f>
        <v/>
      </c>
      <c r="BC31" s="4395">
        <f>IFERROR(IF((time+time_cap)&lt;BC$2, 0,IF(AND(time+1&gt;=BD$2, $E31&lt;BD$2), IF($I31= "I", $J31/($F31-$E31+1), $J31/(($F31*($F31+1)/2)-(($E31-1)*($E31-1+1)/2))*BC$2), 0)+IF(IF(time+1&gt;=BD$2, $K31/time_cap/(time+1)*BC$2, 0) = 0, $K31/(time_cap),0)),0)</f>
        <v/>
      </c>
      <c r="BD31" s="4395">
        <f>IFERROR(IF((time+time_cap)&lt;BD$2, 0,IF(AND(time+1&gt;=BE$2, $E31&lt;BE$2), IF($I31= "I", $J31/($F31-$E31+1), $J31/(($F31*($F31+1)/2)-(($E31-1)*($E31-1+1)/2))*BD$2), 0)+IF(IF(time+1&gt;=BE$2, $K31/time_cap/(time+1)*BD$2, 0) = 0, $K31/(time_cap),0)),0)</f>
        <v/>
      </c>
      <c r="BE31" s="4395">
        <f>IFERROR(IF((time+time_cap)&lt;BE$2, 0,IF(AND(time+1&gt;=BF$2, $E31&lt;BF$2), IF($I31= "I", $J31/($F31-$E31+1), $J31/(($F31*($F31+1)/2)-(($E31-1)*($E31-1+1)/2))*BE$2), 0)+IF(IF(time+1&gt;=BF$2, $K31/time_cap/(time+1)*BE$2, 0) = 0, $K31/(time_cap),0)),0)</f>
        <v/>
      </c>
      <c r="BF31" s="4395">
        <f>IFERROR(IF((time+time_cap)&lt;BF$2, 0,IF(AND(time+1&gt;=BG$2, $E31&lt;BG$2), IF($I31= "I", $J31/($F31-$E31+1), $J31/(($F31*($F31+1)/2)-(($E31-1)*($E31-1+1)/2))*BF$2), 0)+IF(IF(time+1&gt;=BG$2, $K31/time_cap/(time+1)*BF$2, 0) = 0, $K31/(time_cap),0)),0)</f>
        <v/>
      </c>
      <c r="BG31" s="4395">
        <f>IFERROR(IF((time+time_cap)&lt;BG$2, 0,IF(AND(time+1&gt;=BH$2, $E31&lt;BH$2), IF($I31= "I", $J31/($F31-$E31+1), $J31/(($F31*($F31+1)/2)-(($E31-1)*($E31-1+1)/2))*BG$2), 0)+IF(IF(time+1&gt;=BH$2, $K31/time_cap/(time+1)*BG$2, 0) = 0, $K31/(time_cap),0)),0)</f>
        <v/>
      </c>
      <c r="BH31" s="4395">
        <f>IFERROR(IF((time+time_cap)&lt;BH$2, 0,IF(AND(time+1&gt;=BI$2, $E31&lt;BI$2), IF($I31= "I", $J31/($F31-$E31+1), $J31/(($F31*($F31+1)/2)-(($E31-1)*($E31-1+1)/2))*BH$2), 0)+IF(IF(time+1&gt;=BI$2, $K31/time_cap/(time+1)*BH$2, 0) = 0, $K31/(time_cap),0)),0)</f>
        <v/>
      </c>
      <c r="BI31" s="4395">
        <f>IFERROR(IF((time+time_cap)&lt;BI$2, 0,IF(AND(time+1&gt;=BJ$2, $E31&lt;BJ$2), IF($I31= "I", $J31/($F31-$E31+1), $J31/(($F31*($F31+1)/2)-(($E31-1)*($E31-1+1)/2))*BI$2), 0)+IF(IF(time+1&gt;=BJ$2, $K31/time_cap/(time+1)*BI$2, 0) = 0, $K31/(time_cap),0)),0)</f>
        <v/>
      </c>
      <c r="BJ31" s="4395">
        <f>IFERROR(IF((time+time_cap)&lt;BJ$2, 0,IF(AND(time+1&gt;=BK$2, $E31&lt;BK$2), IF($I31= "I", $J31/($F31-$E31+1), $J31/(($F31*($F31+1)/2)-(($E31-1)*($E31-1+1)/2))*BJ$2), 0)+IF(IF(time+1&gt;=BK$2, $K31/time_cap/(time+1)*BJ$2, 0) = 0, $K31/(time_cap),0)),0)</f>
        <v/>
      </c>
      <c r="BK31" s="4395" t="n"/>
      <c r="BL31" s="4395" t="n"/>
      <c r="BM31" s="4395" t="n"/>
      <c r="BN31" s="4395" t="n"/>
      <c r="BO31" s="4395" t="n"/>
      <c r="BP31" s="4395" t="n"/>
      <c r="BQ31" s="4395" t="n"/>
      <c r="BR31" s="4395" t="n"/>
      <c r="BS31" s="4395" t="n"/>
      <c r="BT31" s="4395" t="n"/>
      <c r="BU31" s="4395" t="n"/>
      <c r="BV31" s="4395" t="n"/>
      <c r="BW31" s="4395" t="n"/>
      <c r="BX31" s="4395" t="n"/>
      <c r="BY31" s="4395" t="n"/>
      <c r="BZ31" s="4395" t="n"/>
      <c r="CA31" s="4395" t="n"/>
      <c r="CB31" s="4395" t="n"/>
      <c r="CC31" s="4395" t="n"/>
      <c r="CD31" s="4395" t="n"/>
      <c r="CE31" s="4395" t="n"/>
      <c r="CF31" s="4395" t="n"/>
      <c r="CG31" s="4395" t="n"/>
      <c r="CH31" s="4395" t="n"/>
      <c r="CI31" s="4395" t="n"/>
      <c r="CJ31" s="4395" t="n"/>
      <c r="CK31" s="4395" t="n"/>
      <c r="CL31" s="4395" t="n"/>
      <c r="CM31" s="4395" t="n"/>
      <c r="CN31" s="4395" t="n"/>
      <c r="CO31" s="4395" t="n"/>
      <c r="CP31" s="4395" t="n"/>
      <c r="CQ31" s="4395" t="n"/>
      <c r="CR31" s="4395" t="n"/>
      <c r="CS31" s="4395" t="n"/>
      <c r="CT31" s="4395" t="n"/>
      <c r="CU31" s="4395" t="n"/>
      <c r="CV31" s="4395" t="n"/>
      <c r="CW31" s="4395" t="n"/>
      <c r="CX31" s="4395" t="n"/>
      <c r="CY31" s="4395" t="n"/>
      <c r="CZ31" s="4395" t="n"/>
      <c r="DA31" s="4395" t="n"/>
      <c r="DB31" s="4395" t="n"/>
      <c r="DC31" s="4395" t="n"/>
      <c r="DD31" s="4395" t="n"/>
      <c r="DE31" s="4395" t="n"/>
      <c r="DF31" s="4395" t="n"/>
      <c r="DG31" s="4395" t="n"/>
      <c r="DH31" s="4395" t="n"/>
    </row>
    <row r="32" ht="16" customHeight="1">
      <c r="A32" t="inlineStr">
        <is>
          <t>OLUC</t>
        </is>
      </c>
      <c r="B32">
        <f>'2.LUC'!C66</f>
        <v/>
      </c>
      <c r="C32">
        <f>'2.LUC'!K66</f>
        <v/>
      </c>
      <c r="D32">
        <f>'2.LUC'!Y66</f>
        <v/>
      </c>
      <c r="E32">
        <f>IF('2.LUC'!BL66&lt;&gt;0,'2.LUC'!BL66,'2.LUC'!BK66)</f>
        <v/>
      </c>
      <c r="F32">
        <f>time</f>
        <v/>
      </c>
      <c r="G32" s="4395">
        <f>'2.LUC'!O66</f>
        <v/>
      </c>
      <c r="H32" s="4395">
        <f>'2.LUC'!Q66</f>
        <v/>
      </c>
      <c r="I32" s="4395">
        <f>IF(OR(H32="I", G32="I"), "I", IF(OR(H32="E", G32="E"), "E", "D"))</f>
        <v/>
      </c>
      <c r="J32" s="4395">
        <f>((D32/(time_cap+((F32-E32+1)*VLOOKUP(I32,list!$I$48:$K$50,3, FALSE))))*(F32-E32+1)*VLOOKUP(I32,list!$I$48:$K$50,3, FALSE))</f>
        <v/>
      </c>
      <c r="K32" s="4395">
        <f>((D32/(time_cap+((F32-E32+1)*VLOOKUP(I32,list!$I$48:$K$50,3, FALSE))))*time_cap)</f>
        <v/>
      </c>
      <c r="M32" s="4395">
        <f>IFERROR(IF((time+time_cap)&lt;M$2, 0,IF(AND(time+1&gt;=N$2, $E32&lt;N$2), IF($I32= "I", $J32/($F32-$E32+1), $J32/(($F32*($F32+1)/2)-(($E32-1)*($E32-1+1)/2))*M$2), 0)+IF(IF(time+1&gt;=N$2, $K32/time_cap/(time+1)*M$2, 0) = 0, $K32/(time_cap),0)),0)</f>
        <v/>
      </c>
      <c r="N32" s="4395">
        <f>IFERROR(IF((time+time_cap)&lt;N$2, 0,IF(AND(time+1&gt;=O$2, $E32&lt;O$2), IF($I32= "I", $J32/($F32-$E32+1), $J32/(($F32*($F32+1)/2)-(($E32-1)*($E32-1+1)/2))*N$2), 0)+IF(IF(time+1&gt;=O$2, $K32/time_cap/(time+1)*N$2, 0) = 0, $K32/(time_cap),0)),0)</f>
        <v/>
      </c>
      <c r="O32" s="4395">
        <f>IFERROR(IF((time+time_cap)&lt;O$2, 0,IF(AND(time+1&gt;=P$2, $E32&lt;P$2), IF($I32= "I", $J32/($F32-$E32+1), $J32/(($F32*($F32+1)/2)-(($E32-1)*($E32-1+1)/2))*O$2), 0)+IF(IF(time+1&gt;=P$2, $K32/time_cap/(time+1)*O$2, 0) = 0, $K32/(time_cap),0)),0)</f>
        <v/>
      </c>
      <c r="P32" s="4395">
        <f>IFERROR(IF((time+time_cap)&lt;P$2, 0,IF(AND(time+1&gt;=Q$2, $E32&lt;Q$2), IF($I32= "I", $J32/($F32-$E32+1), $J32/(($F32*($F32+1)/2)-(($E32-1)*($E32-1+1)/2))*P$2), 0)+IF(IF(time+1&gt;=Q$2, $K32/time_cap/(time+1)*P$2, 0) = 0, $K32/(time_cap),0)),0)</f>
        <v/>
      </c>
      <c r="Q32" s="4395">
        <f>IFERROR(IF((time+time_cap)&lt;Q$2, 0,IF(AND(time+1&gt;=R$2, $E32&lt;R$2), IF($I32= "I", $J32/($F32-$E32+1), $J32/(($F32*($F32+1)/2)-(($E32-1)*($E32-1+1)/2))*Q$2), 0)+IF(IF(time+1&gt;=R$2, $K32/time_cap/(time+1)*Q$2, 0) = 0, $K32/(time_cap),0)),0)</f>
        <v/>
      </c>
      <c r="R32" s="4395">
        <f>IFERROR(IF((time+time_cap)&lt;R$2, 0,IF(AND(time+1&gt;=S$2, $E32&lt;S$2), IF($I32= "I", $J32/($F32-$E32+1), $J32/(($F32*($F32+1)/2)-(($E32-1)*($E32-1+1)/2))*R$2), 0)+IF(IF(time+1&gt;=S$2, $K32/time_cap/(time+1)*R$2, 0) = 0, $K32/(time_cap),0)),0)</f>
        <v/>
      </c>
      <c r="S32" s="4395">
        <f>IFERROR(IF((time+time_cap)&lt;S$2, 0,IF(AND(time+1&gt;=T$2, $E32&lt;T$2), IF($I32= "I", $J32/($F32-$E32+1), $J32/(($F32*($F32+1)/2)-(($E32-1)*($E32-1+1)/2))*S$2), 0)+IF(IF(time+1&gt;=T$2, $K32/time_cap/(time+1)*S$2, 0) = 0, $K32/(time_cap),0)),0)</f>
        <v/>
      </c>
      <c r="T32" s="4395">
        <f>IFERROR(IF((time+time_cap)&lt;T$2, 0,IF(AND(time+1&gt;=U$2, $E32&lt;U$2), IF($I32= "I", $J32/($F32-$E32+1), $J32/(($F32*($F32+1)/2)-(($E32-1)*($E32-1+1)/2))*T$2), 0)+IF(IF(time+1&gt;=U$2, $K32/time_cap/(time+1)*T$2, 0) = 0, $K32/(time_cap),0)),0)</f>
        <v/>
      </c>
      <c r="U32" s="4395">
        <f>IFERROR(IF((time+time_cap)&lt;U$2, 0,IF(AND(time+1&gt;=V$2, $E32&lt;V$2), IF($I32= "I", $J32/($F32-$E32+1), $J32/(($F32*($F32+1)/2)-(($E32-1)*($E32-1+1)/2))*U$2), 0)+IF(IF(time+1&gt;=V$2, $K32/time_cap/(time+1)*U$2, 0) = 0, $K32/(time_cap),0)),0)</f>
        <v/>
      </c>
      <c r="V32" s="4395">
        <f>IFERROR(IF((time+time_cap)&lt;V$2, 0,IF(AND(time+1&gt;=W$2, $E32&lt;W$2), IF($I32= "I", $J32/($F32-$E32+1), $J32/(($F32*($F32+1)/2)-(($E32-1)*($E32-1+1)/2))*V$2), 0)+IF(IF(time+1&gt;=W$2, $K32/time_cap/(time+1)*V$2, 0) = 0, $K32/(time_cap),0)),0)</f>
        <v/>
      </c>
      <c r="W32" s="4395">
        <f>IFERROR(IF((time+time_cap)&lt;W$2, 0,IF(AND(time+1&gt;=X$2, $E32&lt;X$2), IF($I32= "I", $J32/($F32-$E32+1), $J32/(($F32*($F32+1)/2)-(($E32-1)*($E32-1+1)/2))*W$2), 0)+IF(IF(time+1&gt;=X$2, $K32/time_cap/(time+1)*W$2, 0) = 0, $K32/(time_cap),0)),0)</f>
        <v/>
      </c>
      <c r="X32" s="4395">
        <f>IFERROR(IF((time+time_cap)&lt;X$2, 0,IF(AND(time+1&gt;=Y$2, $E32&lt;Y$2), IF($I32= "I", $J32/($F32-$E32+1), $J32/(($F32*($F32+1)/2)-(($E32-1)*($E32-1+1)/2))*X$2), 0)+IF(IF(time+1&gt;=Y$2, $K32/time_cap/(time+1)*X$2, 0) = 0, $K32/(time_cap),0)),0)</f>
        <v/>
      </c>
      <c r="Y32" s="4395">
        <f>IFERROR(IF((time+time_cap)&lt;Y$2, 0,IF(AND(time+1&gt;=Z$2, $E32&lt;Z$2), IF($I32= "I", $J32/($F32-$E32+1), $J32/(($F32*($F32+1)/2)-(($E32-1)*($E32-1+1)/2))*Y$2), 0)+IF(IF(time+1&gt;=Z$2, $K32/time_cap/(time+1)*Y$2, 0) = 0, $K32/(time_cap),0)),0)</f>
        <v/>
      </c>
      <c r="Z32" s="4395">
        <f>IFERROR(IF((time+time_cap)&lt;Z$2, 0,IF(AND(time+1&gt;=AA$2, $E32&lt;AA$2), IF($I32= "I", $J32/($F32-$E32+1), $J32/(($F32*($F32+1)/2)-(($E32-1)*($E32-1+1)/2))*Z$2), 0)+IF(IF(time+1&gt;=AA$2, $K32/time_cap/(time+1)*Z$2, 0) = 0, $K32/(time_cap),0)),0)</f>
        <v/>
      </c>
      <c r="AA32" s="4395">
        <f>IFERROR(IF((time+time_cap)&lt;AA$2, 0,IF(AND(time+1&gt;=AB$2, $E32&lt;AB$2), IF($I32= "I", $J32/($F32-$E32+1), $J32/(($F32*($F32+1)/2)-(($E32-1)*($E32-1+1)/2))*AA$2), 0)+IF(IF(time+1&gt;=AB$2, $K32/time_cap/(time+1)*AA$2, 0) = 0, $K32/(time_cap),0)),0)</f>
        <v/>
      </c>
      <c r="AB32" s="4395">
        <f>IFERROR(IF((time+time_cap)&lt;AB$2, 0,IF(AND(time+1&gt;=AC$2, $E32&lt;AC$2), IF($I32= "I", $J32/($F32-$E32+1), $J32/(($F32*($F32+1)/2)-(($E32-1)*($E32-1+1)/2))*AB$2), 0)+IF(IF(time+1&gt;=AC$2, $K32/time_cap/(time+1)*AB$2, 0) = 0, $K32/(time_cap),0)),0)</f>
        <v/>
      </c>
      <c r="AC32" s="4395">
        <f>IFERROR(IF((time+time_cap)&lt;AC$2, 0,IF(AND(time+1&gt;=AD$2, $E32&lt;AD$2), IF($I32= "I", $J32/($F32-$E32+1), $J32/(($F32*($F32+1)/2)-(($E32-1)*($E32-1+1)/2))*AC$2), 0)+IF(IF(time+1&gt;=AD$2, $K32/time_cap/(time+1)*AC$2, 0) = 0, $K32/(time_cap),0)),0)</f>
        <v/>
      </c>
      <c r="AD32" s="4395">
        <f>IFERROR(IF((time+time_cap)&lt;AD$2, 0,IF(AND(time+1&gt;=AE$2, $E32&lt;AE$2), IF($I32= "I", $J32/($F32-$E32+1), $J32/(($F32*($F32+1)/2)-(($E32-1)*($E32-1+1)/2))*AD$2), 0)+IF(IF(time+1&gt;=AE$2, $K32/time_cap/(time+1)*AD$2, 0) = 0, $K32/(time_cap),0)),0)</f>
        <v/>
      </c>
      <c r="AE32" s="4395">
        <f>IFERROR(IF((time+time_cap)&lt;AE$2, 0,IF(AND(time+1&gt;=AF$2, $E32&lt;AF$2), IF($I32= "I", $J32/($F32-$E32+1), $J32/(($F32*($F32+1)/2)-(($E32-1)*($E32-1+1)/2))*AE$2), 0)+IF(IF(time+1&gt;=AF$2, $K32/time_cap/(time+1)*AE$2, 0) = 0, $K32/(time_cap),0)),0)</f>
        <v/>
      </c>
      <c r="AF32" s="4395">
        <f>IFERROR(IF((time+time_cap)&lt;AF$2, 0,IF(AND(time+1&gt;=AG$2, $E32&lt;AG$2), IF($I32= "I", $J32/($F32-$E32+1), $J32/(($F32*($F32+1)/2)-(($E32-1)*($E32-1+1)/2))*AF$2), 0)+IF(IF(time+1&gt;=AG$2, $K32/time_cap/(time+1)*AF$2, 0) = 0, $K32/(time_cap),0)),0)</f>
        <v/>
      </c>
      <c r="AG32" s="4395">
        <f>IFERROR(IF((time+time_cap)&lt;AG$2, 0,IF(AND(time+1&gt;=AH$2, $E32&lt;AH$2), IF($I32= "I", $J32/($F32-$E32+1), $J32/(($F32*($F32+1)/2)-(($E32-1)*($E32-1+1)/2))*AG$2), 0)+IF(IF(time+1&gt;=AH$2, $K32/time_cap/(time+1)*AG$2, 0) = 0, $K32/(time_cap),0)),0)</f>
        <v/>
      </c>
      <c r="AH32" s="4395">
        <f>IFERROR(IF((time+time_cap)&lt;AH$2, 0,IF(AND(time+1&gt;=AI$2, $E32&lt;AI$2), IF($I32= "I", $J32/($F32-$E32+1), $J32/(($F32*($F32+1)/2)-(($E32-1)*($E32-1+1)/2))*AH$2), 0)+IF(IF(time+1&gt;=AI$2, $K32/time_cap/(time+1)*AH$2, 0) = 0, $K32/(time_cap),0)),0)</f>
        <v/>
      </c>
      <c r="AI32" s="4395">
        <f>IFERROR(IF((time+time_cap)&lt;AI$2, 0,IF(AND(time+1&gt;=AJ$2, $E32&lt;AJ$2), IF($I32= "I", $J32/($F32-$E32+1), $J32/(($F32*($F32+1)/2)-(($E32-1)*($E32-1+1)/2))*AI$2), 0)+IF(IF(time+1&gt;=AJ$2, $K32/time_cap/(time+1)*AI$2, 0) = 0, $K32/(time_cap),0)),0)</f>
        <v/>
      </c>
      <c r="AJ32" s="4395">
        <f>IFERROR(IF((time+time_cap)&lt;AJ$2, 0,IF(AND(time+1&gt;=AK$2, $E32&lt;AK$2), IF($I32= "I", $J32/($F32-$E32+1), $J32/(($F32*($F32+1)/2)-(($E32-1)*($E32-1+1)/2))*AJ$2), 0)+IF(IF(time+1&gt;=AK$2, $K32/time_cap/(time+1)*AJ$2, 0) = 0, $K32/(time_cap),0)),0)</f>
        <v/>
      </c>
      <c r="AK32" s="4395">
        <f>IFERROR(IF((time+time_cap)&lt;AK$2, 0,IF(AND(time+1&gt;=AL$2, $E32&lt;AL$2), IF($I32= "I", $J32/($F32-$E32+1), $J32/(($F32*($F32+1)/2)-(($E32-1)*($E32-1+1)/2))*AK$2), 0)+IF(IF(time+1&gt;=AL$2, $K32/time_cap/(time+1)*AK$2, 0) = 0, $K32/(time_cap),0)),0)</f>
        <v/>
      </c>
      <c r="AL32" s="4395">
        <f>IFERROR(IF((time+time_cap)&lt;AL$2, 0,IF(AND(time+1&gt;=AM$2, $E32&lt;AM$2), IF($I32= "I", $J32/($F32-$E32+1), $J32/(($F32*($F32+1)/2)-(($E32-1)*($E32-1+1)/2))*AL$2), 0)+IF(IF(time+1&gt;=AM$2, $K32/time_cap/(time+1)*AL$2, 0) = 0, $K32/(time_cap),0)),0)</f>
        <v/>
      </c>
      <c r="AM32" s="4395">
        <f>IFERROR(IF((time+time_cap)&lt;AM$2, 0,IF(AND(time+1&gt;=AN$2, $E32&lt;AN$2), IF($I32= "I", $J32/($F32-$E32+1), $J32/(($F32*($F32+1)/2)-(($E32-1)*($E32-1+1)/2))*AM$2), 0)+IF(IF(time+1&gt;=AN$2, $K32/time_cap/(time+1)*AM$2, 0) = 0, $K32/(time_cap),0)),0)</f>
        <v/>
      </c>
      <c r="AN32" s="4395">
        <f>IFERROR(IF((time+time_cap)&lt;AN$2, 0,IF(AND(time+1&gt;=AO$2, $E32&lt;AO$2), IF($I32= "I", $J32/($F32-$E32+1), $J32/(($F32*($F32+1)/2)-(($E32-1)*($E32-1+1)/2))*AN$2), 0)+IF(IF(time+1&gt;=AO$2, $K32/time_cap/(time+1)*AN$2, 0) = 0, $K32/(time_cap),0)),0)</f>
        <v/>
      </c>
      <c r="AO32" s="4395">
        <f>IFERROR(IF((time+time_cap)&lt;AO$2, 0,IF(AND(time+1&gt;=AP$2, $E32&lt;AP$2), IF($I32= "I", $J32/($F32-$E32+1), $J32/(($F32*($F32+1)/2)-(($E32-1)*($E32-1+1)/2))*AO$2), 0)+IF(IF(time+1&gt;=AP$2, $K32/time_cap/(time+1)*AO$2, 0) = 0, $K32/(time_cap),0)),0)</f>
        <v/>
      </c>
      <c r="AP32" s="4395">
        <f>IFERROR(IF((time+time_cap)&lt;AP$2, 0,IF(AND(time+1&gt;=AQ$2, $E32&lt;AQ$2), IF($I32= "I", $J32/($F32-$E32+1), $J32/(($F32*($F32+1)/2)-(($E32-1)*($E32-1+1)/2))*AP$2), 0)+IF(IF(time+1&gt;=AQ$2, $K32/time_cap/(time+1)*AP$2, 0) = 0, $K32/(time_cap),0)),0)</f>
        <v/>
      </c>
      <c r="AQ32" s="4395">
        <f>IFERROR(IF((time+time_cap)&lt;AQ$2, 0,IF(AND(time+1&gt;=AR$2, $E32&lt;AR$2), IF($I32= "I", $J32/($F32-$E32+1), $J32/(($F32*($F32+1)/2)-(($E32-1)*($E32-1+1)/2))*AQ$2), 0)+IF(IF(time+1&gt;=AR$2, $K32/time_cap/(time+1)*AQ$2, 0) = 0, $K32/(time_cap),0)),0)</f>
        <v/>
      </c>
      <c r="AR32" s="4395">
        <f>IFERROR(IF((time+time_cap)&lt;AR$2, 0,IF(AND(time+1&gt;=AS$2, $E32&lt;AS$2), IF($I32= "I", $J32/($F32-$E32+1), $J32/(($F32*($F32+1)/2)-(($E32-1)*($E32-1+1)/2))*AR$2), 0)+IF(IF(time+1&gt;=AS$2, $K32/time_cap/(time+1)*AR$2, 0) = 0, $K32/(time_cap),0)),0)</f>
        <v/>
      </c>
      <c r="AS32" s="4395">
        <f>IFERROR(IF((time+time_cap)&lt;AS$2, 0,IF(AND(time+1&gt;=AT$2, $E32&lt;AT$2), IF($I32= "I", $J32/($F32-$E32+1), $J32/(($F32*($F32+1)/2)-(($E32-1)*($E32-1+1)/2))*AS$2), 0)+IF(IF(time+1&gt;=AT$2, $K32/time_cap/(time+1)*AS$2, 0) = 0, $K32/(time_cap),0)),0)</f>
        <v/>
      </c>
      <c r="AT32" s="4395">
        <f>IFERROR(IF((time+time_cap)&lt;AT$2, 0,IF(AND(time+1&gt;=AU$2, $E32&lt;AU$2), IF($I32= "I", $J32/($F32-$E32+1), $J32/(($F32*($F32+1)/2)-(($E32-1)*($E32-1+1)/2))*AT$2), 0)+IF(IF(time+1&gt;=AU$2, $K32/time_cap/(time+1)*AT$2, 0) = 0, $K32/(time_cap),0)),0)</f>
        <v/>
      </c>
      <c r="AU32" s="4395">
        <f>IFERROR(IF((time+time_cap)&lt;AU$2, 0,IF(AND(time+1&gt;=AV$2, $E32&lt;AV$2), IF($I32= "I", $J32/($F32-$E32+1), $J32/(($F32*($F32+1)/2)-(($E32-1)*($E32-1+1)/2))*AU$2), 0)+IF(IF(time+1&gt;=AV$2, $K32/time_cap/(time+1)*AU$2, 0) = 0, $K32/(time_cap),0)),0)</f>
        <v/>
      </c>
      <c r="AV32" s="4395">
        <f>IFERROR(IF((time+time_cap)&lt;AV$2, 0,IF(AND(time+1&gt;=AW$2, $E32&lt;AW$2), IF($I32= "I", $J32/($F32-$E32+1), $J32/(($F32*($F32+1)/2)-(($E32-1)*($E32-1+1)/2))*AV$2), 0)+IF(IF(time+1&gt;=AW$2, $K32/time_cap/(time+1)*AV$2, 0) = 0, $K32/(time_cap),0)),0)</f>
        <v/>
      </c>
      <c r="AW32" s="4395">
        <f>IFERROR(IF((time+time_cap)&lt;AW$2, 0,IF(AND(time+1&gt;=AX$2, $E32&lt;AX$2), IF($I32= "I", $J32/($F32-$E32+1), $J32/(($F32*($F32+1)/2)-(($E32-1)*($E32-1+1)/2))*AW$2), 0)+IF(IF(time+1&gt;=AX$2, $K32/time_cap/(time+1)*AW$2, 0) = 0, $K32/(time_cap),0)),0)</f>
        <v/>
      </c>
      <c r="AX32" s="4395">
        <f>IFERROR(IF((time+time_cap)&lt;AX$2, 0,IF(AND(time+1&gt;=AY$2, $E32&lt;AY$2), IF($I32= "I", $J32/($F32-$E32+1), $J32/(($F32*($F32+1)/2)-(($E32-1)*($E32-1+1)/2))*AX$2), 0)+IF(IF(time+1&gt;=AY$2, $K32/time_cap/(time+1)*AX$2, 0) = 0, $K32/(time_cap),0)),0)</f>
        <v/>
      </c>
      <c r="AY32" s="4395">
        <f>IFERROR(IF((time+time_cap)&lt;AY$2, 0,IF(AND(time+1&gt;=AZ$2, $E32&lt;AZ$2), IF($I32= "I", $J32/($F32-$E32+1), $J32/(($F32*($F32+1)/2)-(($E32-1)*($E32-1+1)/2))*AY$2), 0)+IF(IF(time+1&gt;=AZ$2, $K32/time_cap/(time+1)*AY$2, 0) = 0, $K32/(time_cap),0)),0)</f>
        <v/>
      </c>
      <c r="AZ32" s="4395">
        <f>IFERROR(IF((time+time_cap)&lt;AZ$2, 0,IF(AND(time+1&gt;=BA$2, $E32&lt;BA$2), IF($I32= "I", $J32/($F32-$E32+1), $J32/(($F32*($F32+1)/2)-(($E32-1)*($E32-1+1)/2))*AZ$2), 0)+IF(IF(time+1&gt;=BA$2, $K32/time_cap/(time+1)*AZ$2, 0) = 0, $K32/(time_cap),0)),0)</f>
        <v/>
      </c>
      <c r="BA32" s="4395">
        <f>IFERROR(IF((time+time_cap)&lt;BA$2, 0,IF(AND(time+1&gt;=BB$2, $E32&lt;BB$2), IF($I32= "I", $J32/($F32-$E32+1), $J32/(($F32*($F32+1)/2)-(($E32-1)*($E32-1+1)/2))*BA$2), 0)+IF(IF(time+1&gt;=BB$2, $K32/time_cap/(time+1)*BA$2, 0) = 0, $K32/(time_cap),0)),0)</f>
        <v/>
      </c>
      <c r="BB32" s="4395">
        <f>IFERROR(IF((time+time_cap)&lt;BB$2, 0,IF(AND(time+1&gt;=BC$2, $E32&lt;BC$2), IF($I32= "I", $J32/($F32-$E32+1), $J32/(($F32*($F32+1)/2)-(($E32-1)*($E32-1+1)/2))*BB$2), 0)+IF(IF(time+1&gt;=BC$2, $K32/time_cap/(time+1)*BB$2, 0) = 0, $K32/(time_cap),0)),0)</f>
        <v/>
      </c>
      <c r="BC32" s="4395">
        <f>IFERROR(IF((time+time_cap)&lt;BC$2, 0,IF(AND(time+1&gt;=BD$2, $E32&lt;BD$2), IF($I32= "I", $J32/($F32-$E32+1), $J32/(($F32*($F32+1)/2)-(($E32-1)*($E32-1+1)/2))*BC$2), 0)+IF(IF(time+1&gt;=BD$2, $K32/time_cap/(time+1)*BC$2, 0) = 0, $K32/(time_cap),0)),0)</f>
        <v/>
      </c>
      <c r="BD32" s="4395">
        <f>IFERROR(IF((time+time_cap)&lt;BD$2, 0,IF(AND(time+1&gt;=BE$2, $E32&lt;BE$2), IF($I32= "I", $J32/($F32-$E32+1), $J32/(($F32*($F32+1)/2)-(($E32-1)*($E32-1+1)/2))*BD$2), 0)+IF(IF(time+1&gt;=BE$2, $K32/time_cap/(time+1)*BD$2, 0) = 0, $K32/(time_cap),0)),0)</f>
        <v/>
      </c>
      <c r="BE32" s="4395">
        <f>IFERROR(IF((time+time_cap)&lt;BE$2, 0,IF(AND(time+1&gt;=BF$2, $E32&lt;BF$2), IF($I32= "I", $J32/($F32-$E32+1), $J32/(($F32*($F32+1)/2)-(($E32-1)*($E32-1+1)/2))*BE$2), 0)+IF(IF(time+1&gt;=BF$2, $K32/time_cap/(time+1)*BE$2, 0) = 0, $K32/(time_cap),0)),0)</f>
        <v/>
      </c>
      <c r="BF32" s="4395">
        <f>IFERROR(IF((time+time_cap)&lt;BF$2, 0,IF(AND(time+1&gt;=BG$2, $E32&lt;BG$2), IF($I32= "I", $J32/($F32-$E32+1), $J32/(($F32*($F32+1)/2)-(($E32-1)*($E32-1+1)/2))*BF$2), 0)+IF(IF(time+1&gt;=BG$2, $K32/time_cap/(time+1)*BF$2, 0) = 0, $K32/(time_cap),0)),0)</f>
        <v/>
      </c>
      <c r="BG32" s="4395">
        <f>IFERROR(IF((time+time_cap)&lt;BG$2, 0,IF(AND(time+1&gt;=BH$2, $E32&lt;BH$2), IF($I32= "I", $J32/($F32-$E32+1), $J32/(($F32*($F32+1)/2)-(($E32-1)*($E32-1+1)/2))*BG$2), 0)+IF(IF(time+1&gt;=BH$2, $K32/time_cap/(time+1)*BG$2, 0) = 0, $K32/(time_cap),0)),0)</f>
        <v/>
      </c>
      <c r="BH32" s="4395">
        <f>IFERROR(IF((time+time_cap)&lt;BH$2, 0,IF(AND(time+1&gt;=BI$2, $E32&lt;BI$2), IF($I32= "I", $J32/($F32-$E32+1), $J32/(($F32*($F32+1)/2)-(($E32-1)*($E32-1+1)/2))*BH$2), 0)+IF(IF(time+1&gt;=BI$2, $K32/time_cap/(time+1)*BH$2, 0) = 0, $K32/(time_cap),0)),0)</f>
        <v/>
      </c>
      <c r="BI32" s="4395">
        <f>IFERROR(IF((time+time_cap)&lt;BI$2, 0,IF(AND(time+1&gt;=BJ$2, $E32&lt;BJ$2), IF($I32= "I", $J32/($F32-$E32+1), $J32/(($F32*($F32+1)/2)-(($E32-1)*($E32-1+1)/2))*BI$2), 0)+IF(IF(time+1&gt;=BJ$2, $K32/time_cap/(time+1)*BI$2, 0) = 0, $K32/(time_cap),0)),0)</f>
        <v/>
      </c>
      <c r="BJ32" s="4395">
        <f>IFERROR(IF((time+time_cap)&lt;BJ$2, 0,IF(AND(time+1&gt;=BK$2, $E32&lt;BK$2), IF($I32= "I", $J32/($F32-$E32+1), $J32/(($F32*($F32+1)/2)-(($E32-1)*($E32-1+1)/2))*BJ$2), 0)+IF(IF(time+1&gt;=BK$2, $K32/time_cap/(time+1)*BJ$2, 0) = 0, $K32/(time_cap),0)),0)</f>
        <v/>
      </c>
      <c r="BK32" s="4395" t="n"/>
      <c r="BL32" s="4395" t="n"/>
      <c r="BM32" s="4395" t="n"/>
      <c r="BN32" s="4395" t="n"/>
      <c r="BO32" s="4395" t="n"/>
      <c r="BP32" s="4395" t="n"/>
      <c r="BQ32" s="4395" t="n"/>
      <c r="BR32" s="4395" t="n"/>
      <c r="BS32" s="4395" t="n"/>
      <c r="BT32" s="4395" t="n"/>
      <c r="BU32" s="4395" t="n"/>
      <c r="BV32" s="4395" t="n"/>
      <c r="BW32" s="4395" t="n"/>
      <c r="BX32" s="4395" t="n"/>
      <c r="BY32" s="4395" t="n"/>
      <c r="BZ32" s="4395" t="n"/>
      <c r="CA32" s="4395" t="n"/>
      <c r="CB32" s="4395" t="n"/>
      <c r="CC32" s="4395" t="n"/>
      <c r="CD32" s="4395" t="n"/>
      <c r="CE32" s="4395" t="n"/>
      <c r="CF32" s="4395" t="n"/>
      <c r="CG32" s="4395" t="n"/>
      <c r="CH32" s="4395" t="n"/>
      <c r="CI32" s="4395" t="n"/>
      <c r="CJ32" s="4395" t="n"/>
      <c r="CK32" s="4395" t="n"/>
      <c r="CL32" s="4395" t="n"/>
      <c r="CM32" s="4395" t="n"/>
      <c r="CN32" s="4395" t="n"/>
      <c r="CO32" s="4395" t="n"/>
      <c r="CP32" s="4395" t="n"/>
      <c r="CQ32" s="4395" t="n"/>
      <c r="CR32" s="4395" t="n"/>
      <c r="CS32" s="4395" t="n"/>
      <c r="CT32" s="4395" t="n"/>
      <c r="CU32" s="4395" t="n"/>
      <c r="CV32" s="4395" t="n"/>
      <c r="CW32" s="4395" t="n"/>
      <c r="CX32" s="4395" t="n"/>
      <c r="CY32" s="4395" t="n"/>
      <c r="CZ32" s="4395" t="n"/>
      <c r="DA32" s="4395" t="n"/>
      <c r="DB32" s="4395" t="n"/>
      <c r="DC32" s="4395" t="n"/>
      <c r="DD32" s="4395" t="n"/>
      <c r="DE32" s="4395" t="n"/>
      <c r="DF32" s="4395" t="n"/>
      <c r="DG32" s="4395" t="n"/>
      <c r="DH32" s="4395" t="n"/>
    </row>
    <row r="33" ht="16" customHeight="1">
      <c r="A33" t="inlineStr">
        <is>
          <t>OLUC</t>
        </is>
      </c>
      <c r="B33">
        <f>'2.LUC'!C67</f>
        <v/>
      </c>
      <c r="C33">
        <f>'2.LUC'!K67</f>
        <v/>
      </c>
      <c r="D33">
        <f>'2.LUC'!Y67</f>
        <v/>
      </c>
      <c r="E33">
        <f>IF('2.LUC'!BL67&lt;&gt;0,'2.LUC'!BL67,'2.LUC'!BK67)</f>
        <v/>
      </c>
      <c r="F33">
        <f>time</f>
        <v/>
      </c>
      <c r="G33" s="4395">
        <f>'2.LUC'!O67</f>
        <v/>
      </c>
      <c r="H33" s="4395">
        <f>'2.LUC'!Q67</f>
        <v/>
      </c>
      <c r="I33" s="4395">
        <f>IF(OR(H33="I", G33="I"), "I", IF(OR(H33="E", G33="E"), "E", "D"))</f>
        <v/>
      </c>
      <c r="J33" s="4395">
        <f>((D33/(time_cap+((F33-E33+1)*VLOOKUP(I33,list!$I$48:$K$50,3, FALSE))))*(F33-E33+1)*VLOOKUP(I33,list!$I$48:$K$50,3, FALSE))</f>
        <v/>
      </c>
      <c r="K33" s="4395">
        <f>((D33/(time_cap+((F33-E33+1)*VLOOKUP(I33,list!$I$48:$K$50,3, FALSE))))*time_cap)</f>
        <v/>
      </c>
      <c r="M33" s="4395">
        <f>IFERROR(IF((time+time_cap)&lt;M$2, 0,IF(AND(time+1&gt;=N$2, $E33&lt;N$2), IF($I33= "I", $J33/($F33-$E33+1), $J33/(($F33*($F33+1)/2)-(($E33-1)*($E33-1+1)/2))*M$2), 0)+IF(IF(time+1&gt;=N$2, $K33/time_cap/(time+1)*M$2, 0) = 0, $K33/(time_cap),0)),0)</f>
        <v/>
      </c>
      <c r="N33" s="4395">
        <f>IFERROR(IF((time+time_cap)&lt;N$2, 0,IF(AND(time+1&gt;=O$2, $E33&lt;O$2), IF($I33= "I", $J33/($F33-$E33+1), $J33/(($F33*($F33+1)/2)-(($E33-1)*($E33-1+1)/2))*N$2), 0)+IF(IF(time+1&gt;=O$2, $K33/time_cap/(time+1)*N$2, 0) = 0, $K33/(time_cap),0)),0)</f>
        <v/>
      </c>
      <c r="O33" s="4395">
        <f>IFERROR(IF((time+time_cap)&lt;O$2, 0,IF(AND(time+1&gt;=P$2, $E33&lt;P$2), IF($I33= "I", $J33/($F33-$E33+1), $J33/(($F33*($F33+1)/2)-(($E33-1)*($E33-1+1)/2))*O$2), 0)+IF(IF(time+1&gt;=P$2, $K33/time_cap/(time+1)*O$2, 0) = 0, $K33/(time_cap),0)),0)</f>
        <v/>
      </c>
      <c r="P33" s="4395">
        <f>IFERROR(IF((time+time_cap)&lt;P$2, 0,IF(AND(time+1&gt;=Q$2, $E33&lt;Q$2), IF($I33= "I", $J33/($F33-$E33+1), $J33/(($F33*($F33+1)/2)-(($E33-1)*($E33-1+1)/2))*P$2), 0)+IF(IF(time+1&gt;=Q$2, $K33/time_cap/(time+1)*P$2, 0) = 0, $K33/(time_cap),0)),0)</f>
        <v/>
      </c>
      <c r="Q33" s="4395">
        <f>IFERROR(IF((time+time_cap)&lt;Q$2, 0,IF(AND(time+1&gt;=R$2, $E33&lt;R$2), IF($I33= "I", $J33/($F33-$E33+1), $J33/(($F33*($F33+1)/2)-(($E33-1)*($E33-1+1)/2))*Q$2), 0)+IF(IF(time+1&gt;=R$2, $K33/time_cap/(time+1)*Q$2, 0) = 0, $K33/(time_cap),0)),0)</f>
        <v/>
      </c>
      <c r="R33" s="4395">
        <f>IFERROR(IF((time+time_cap)&lt;R$2, 0,IF(AND(time+1&gt;=S$2, $E33&lt;S$2), IF($I33= "I", $J33/($F33-$E33+1), $J33/(($F33*($F33+1)/2)-(($E33-1)*($E33-1+1)/2))*R$2), 0)+IF(IF(time+1&gt;=S$2, $K33/time_cap/(time+1)*R$2, 0) = 0, $K33/(time_cap),0)),0)</f>
        <v/>
      </c>
      <c r="S33" s="4395">
        <f>IFERROR(IF((time+time_cap)&lt;S$2, 0,IF(AND(time+1&gt;=T$2, $E33&lt;T$2), IF($I33= "I", $J33/($F33-$E33+1), $J33/(($F33*($F33+1)/2)-(($E33-1)*($E33-1+1)/2))*S$2), 0)+IF(IF(time+1&gt;=T$2, $K33/time_cap/(time+1)*S$2, 0) = 0, $K33/(time_cap),0)),0)</f>
        <v/>
      </c>
      <c r="T33" s="4395">
        <f>IFERROR(IF((time+time_cap)&lt;T$2, 0,IF(AND(time+1&gt;=U$2, $E33&lt;U$2), IF($I33= "I", $J33/($F33-$E33+1), $J33/(($F33*($F33+1)/2)-(($E33-1)*($E33-1+1)/2))*T$2), 0)+IF(IF(time+1&gt;=U$2, $K33/time_cap/(time+1)*T$2, 0) = 0, $K33/(time_cap),0)),0)</f>
        <v/>
      </c>
      <c r="U33" s="4395">
        <f>IFERROR(IF((time+time_cap)&lt;U$2, 0,IF(AND(time+1&gt;=V$2, $E33&lt;V$2), IF($I33= "I", $J33/($F33-$E33+1), $J33/(($F33*($F33+1)/2)-(($E33-1)*($E33-1+1)/2))*U$2), 0)+IF(IF(time+1&gt;=V$2, $K33/time_cap/(time+1)*U$2, 0) = 0, $K33/(time_cap),0)),0)</f>
        <v/>
      </c>
      <c r="V33" s="4395">
        <f>IFERROR(IF((time+time_cap)&lt;V$2, 0,IF(AND(time+1&gt;=W$2, $E33&lt;W$2), IF($I33= "I", $J33/($F33-$E33+1), $J33/(($F33*($F33+1)/2)-(($E33-1)*($E33-1+1)/2))*V$2), 0)+IF(IF(time+1&gt;=W$2, $K33/time_cap/(time+1)*V$2, 0) = 0, $K33/(time_cap),0)),0)</f>
        <v/>
      </c>
      <c r="W33" s="4395">
        <f>IFERROR(IF((time+time_cap)&lt;W$2, 0,IF(AND(time+1&gt;=X$2, $E33&lt;X$2), IF($I33= "I", $J33/($F33-$E33+1), $J33/(($F33*($F33+1)/2)-(($E33-1)*($E33-1+1)/2))*W$2), 0)+IF(IF(time+1&gt;=X$2, $K33/time_cap/(time+1)*W$2, 0) = 0, $K33/(time_cap),0)),0)</f>
        <v/>
      </c>
      <c r="X33" s="4395">
        <f>IFERROR(IF((time+time_cap)&lt;X$2, 0,IF(AND(time+1&gt;=Y$2, $E33&lt;Y$2), IF($I33= "I", $J33/($F33-$E33+1), $J33/(($F33*($F33+1)/2)-(($E33-1)*($E33-1+1)/2))*X$2), 0)+IF(IF(time+1&gt;=Y$2, $K33/time_cap/(time+1)*X$2, 0) = 0, $K33/(time_cap),0)),0)</f>
        <v/>
      </c>
      <c r="Y33" s="4395">
        <f>IFERROR(IF((time+time_cap)&lt;Y$2, 0,IF(AND(time+1&gt;=Z$2, $E33&lt;Z$2), IF($I33= "I", $J33/($F33-$E33+1), $J33/(($F33*($F33+1)/2)-(($E33-1)*($E33-1+1)/2))*Y$2), 0)+IF(IF(time+1&gt;=Z$2, $K33/time_cap/(time+1)*Y$2, 0) = 0, $K33/(time_cap),0)),0)</f>
        <v/>
      </c>
      <c r="Z33" s="4395">
        <f>IFERROR(IF((time+time_cap)&lt;Z$2, 0,IF(AND(time+1&gt;=AA$2, $E33&lt;AA$2), IF($I33= "I", $J33/($F33-$E33+1), $J33/(($F33*($F33+1)/2)-(($E33-1)*($E33-1+1)/2))*Z$2), 0)+IF(IF(time+1&gt;=AA$2, $K33/time_cap/(time+1)*Z$2, 0) = 0, $K33/(time_cap),0)),0)</f>
        <v/>
      </c>
      <c r="AA33" s="4395">
        <f>IFERROR(IF((time+time_cap)&lt;AA$2, 0,IF(AND(time+1&gt;=AB$2, $E33&lt;AB$2), IF($I33= "I", $J33/($F33-$E33+1), $J33/(($F33*($F33+1)/2)-(($E33-1)*($E33-1+1)/2))*AA$2), 0)+IF(IF(time+1&gt;=AB$2, $K33/time_cap/(time+1)*AA$2, 0) = 0, $K33/(time_cap),0)),0)</f>
        <v/>
      </c>
      <c r="AB33" s="4395">
        <f>IFERROR(IF((time+time_cap)&lt;AB$2, 0,IF(AND(time+1&gt;=AC$2, $E33&lt;AC$2), IF($I33= "I", $J33/($F33-$E33+1), $J33/(($F33*($F33+1)/2)-(($E33-1)*($E33-1+1)/2))*AB$2), 0)+IF(IF(time+1&gt;=AC$2, $K33/time_cap/(time+1)*AB$2, 0) = 0, $K33/(time_cap),0)),0)</f>
        <v/>
      </c>
      <c r="AC33" s="4395">
        <f>IFERROR(IF((time+time_cap)&lt;AC$2, 0,IF(AND(time+1&gt;=AD$2, $E33&lt;AD$2), IF($I33= "I", $J33/($F33-$E33+1), $J33/(($F33*($F33+1)/2)-(($E33-1)*($E33-1+1)/2))*AC$2), 0)+IF(IF(time+1&gt;=AD$2, $K33/time_cap/(time+1)*AC$2, 0) = 0, $K33/(time_cap),0)),0)</f>
        <v/>
      </c>
      <c r="AD33" s="4395">
        <f>IFERROR(IF((time+time_cap)&lt;AD$2, 0,IF(AND(time+1&gt;=AE$2, $E33&lt;AE$2), IF($I33= "I", $J33/($F33-$E33+1), $J33/(($F33*($F33+1)/2)-(($E33-1)*($E33-1+1)/2))*AD$2), 0)+IF(IF(time+1&gt;=AE$2, $K33/time_cap/(time+1)*AD$2, 0) = 0, $K33/(time_cap),0)),0)</f>
        <v/>
      </c>
      <c r="AE33" s="4395">
        <f>IFERROR(IF((time+time_cap)&lt;AE$2, 0,IF(AND(time+1&gt;=AF$2, $E33&lt;AF$2), IF($I33= "I", $J33/($F33-$E33+1), $J33/(($F33*($F33+1)/2)-(($E33-1)*($E33-1+1)/2))*AE$2), 0)+IF(IF(time+1&gt;=AF$2, $K33/time_cap/(time+1)*AE$2, 0) = 0, $K33/(time_cap),0)),0)</f>
        <v/>
      </c>
      <c r="AF33" s="4395">
        <f>IFERROR(IF((time+time_cap)&lt;AF$2, 0,IF(AND(time+1&gt;=AG$2, $E33&lt;AG$2), IF($I33= "I", $J33/($F33-$E33+1), $J33/(($F33*($F33+1)/2)-(($E33-1)*($E33-1+1)/2))*AF$2), 0)+IF(IF(time+1&gt;=AG$2, $K33/time_cap/(time+1)*AF$2, 0) = 0, $K33/(time_cap),0)),0)</f>
        <v/>
      </c>
      <c r="AG33" s="4395">
        <f>IFERROR(IF((time+time_cap)&lt;AG$2, 0,IF(AND(time+1&gt;=AH$2, $E33&lt;AH$2), IF($I33= "I", $J33/($F33-$E33+1), $J33/(($F33*($F33+1)/2)-(($E33-1)*($E33-1+1)/2))*AG$2), 0)+IF(IF(time+1&gt;=AH$2, $K33/time_cap/(time+1)*AG$2, 0) = 0, $K33/(time_cap),0)),0)</f>
        <v/>
      </c>
      <c r="AH33" s="4395">
        <f>IFERROR(IF((time+time_cap)&lt;AH$2, 0,IF(AND(time+1&gt;=AI$2, $E33&lt;AI$2), IF($I33= "I", $J33/($F33-$E33+1), $J33/(($F33*($F33+1)/2)-(($E33-1)*($E33-1+1)/2))*AH$2), 0)+IF(IF(time+1&gt;=AI$2, $K33/time_cap/(time+1)*AH$2, 0) = 0, $K33/(time_cap),0)),0)</f>
        <v/>
      </c>
      <c r="AI33" s="4395">
        <f>IFERROR(IF((time+time_cap)&lt;AI$2, 0,IF(AND(time+1&gt;=AJ$2, $E33&lt;AJ$2), IF($I33= "I", $J33/($F33-$E33+1), $J33/(($F33*($F33+1)/2)-(($E33-1)*($E33-1+1)/2))*AI$2), 0)+IF(IF(time+1&gt;=AJ$2, $K33/time_cap/(time+1)*AI$2, 0) = 0, $K33/(time_cap),0)),0)</f>
        <v/>
      </c>
      <c r="AJ33" s="4395">
        <f>IFERROR(IF((time+time_cap)&lt;AJ$2, 0,IF(AND(time+1&gt;=AK$2, $E33&lt;AK$2), IF($I33= "I", $J33/($F33-$E33+1), $J33/(($F33*($F33+1)/2)-(($E33-1)*($E33-1+1)/2))*AJ$2), 0)+IF(IF(time+1&gt;=AK$2, $K33/time_cap/(time+1)*AJ$2, 0) = 0, $K33/(time_cap),0)),0)</f>
        <v/>
      </c>
      <c r="AK33" s="4395">
        <f>IFERROR(IF((time+time_cap)&lt;AK$2, 0,IF(AND(time+1&gt;=AL$2, $E33&lt;AL$2), IF($I33= "I", $J33/($F33-$E33+1), $J33/(($F33*($F33+1)/2)-(($E33-1)*($E33-1+1)/2))*AK$2), 0)+IF(IF(time+1&gt;=AL$2, $K33/time_cap/(time+1)*AK$2, 0) = 0, $K33/(time_cap),0)),0)</f>
        <v/>
      </c>
      <c r="AL33" s="4395">
        <f>IFERROR(IF((time+time_cap)&lt;AL$2, 0,IF(AND(time+1&gt;=AM$2, $E33&lt;AM$2), IF($I33= "I", $J33/($F33-$E33+1), $J33/(($F33*($F33+1)/2)-(($E33-1)*($E33-1+1)/2))*AL$2), 0)+IF(IF(time+1&gt;=AM$2, $K33/time_cap/(time+1)*AL$2, 0) = 0, $K33/(time_cap),0)),0)</f>
        <v/>
      </c>
      <c r="AM33" s="4395">
        <f>IFERROR(IF((time+time_cap)&lt;AM$2, 0,IF(AND(time+1&gt;=AN$2, $E33&lt;AN$2), IF($I33= "I", $J33/($F33-$E33+1), $J33/(($F33*($F33+1)/2)-(($E33-1)*($E33-1+1)/2))*AM$2), 0)+IF(IF(time+1&gt;=AN$2, $K33/time_cap/(time+1)*AM$2, 0) = 0, $K33/(time_cap),0)),0)</f>
        <v/>
      </c>
      <c r="AN33" s="4395">
        <f>IFERROR(IF((time+time_cap)&lt;AN$2, 0,IF(AND(time+1&gt;=AO$2, $E33&lt;AO$2), IF($I33= "I", $J33/($F33-$E33+1), $J33/(($F33*($F33+1)/2)-(($E33-1)*($E33-1+1)/2))*AN$2), 0)+IF(IF(time+1&gt;=AO$2, $K33/time_cap/(time+1)*AN$2, 0) = 0, $K33/(time_cap),0)),0)</f>
        <v/>
      </c>
      <c r="AO33" s="4395">
        <f>IFERROR(IF((time+time_cap)&lt;AO$2, 0,IF(AND(time+1&gt;=AP$2, $E33&lt;AP$2), IF($I33= "I", $J33/($F33-$E33+1), $J33/(($F33*($F33+1)/2)-(($E33-1)*($E33-1+1)/2))*AO$2), 0)+IF(IF(time+1&gt;=AP$2, $K33/time_cap/(time+1)*AO$2, 0) = 0, $K33/(time_cap),0)),0)</f>
        <v/>
      </c>
      <c r="AP33" s="4395">
        <f>IFERROR(IF((time+time_cap)&lt;AP$2, 0,IF(AND(time+1&gt;=AQ$2, $E33&lt;AQ$2), IF($I33= "I", $J33/($F33-$E33+1), $J33/(($F33*($F33+1)/2)-(($E33-1)*($E33-1+1)/2))*AP$2), 0)+IF(IF(time+1&gt;=AQ$2, $K33/time_cap/(time+1)*AP$2, 0) = 0, $K33/(time_cap),0)),0)</f>
        <v/>
      </c>
      <c r="AQ33" s="4395">
        <f>IFERROR(IF((time+time_cap)&lt;AQ$2, 0,IF(AND(time+1&gt;=AR$2, $E33&lt;AR$2), IF($I33= "I", $J33/($F33-$E33+1), $J33/(($F33*($F33+1)/2)-(($E33-1)*($E33-1+1)/2))*AQ$2), 0)+IF(IF(time+1&gt;=AR$2, $K33/time_cap/(time+1)*AQ$2, 0) = 0, $K33/(time_cap),0)),0)</f>
        <v/>
      </c>
      <c r="AR33" s="4395">
        <f>IFERROR(IF((time+time_cap)&lt;AR$2, 0,IF(AND(time+1&gt;=AS$2, $E33&lt;AS$2), IF($I33= "I", $J33/($F33-$E33+1), $J33/(($F33*($F33+1)/2)-(($E33-1)*($E33-1+1)/2))*AR$2), 0)+IF(IF(time+1&gt;=AS$2, $K33/time_cap/(time+1)*AR$2, 0) = 0, $K33/(time_cap),0)),0)</f>
        <v/>
      </c>
      <c r="AS33" s="4395">
        <f>IFERROR(IF((time+time_cap)&lt;AS$2, 0,IF(AND(time+1&gt;=AT$2, $E33&lt;AT$2), IF($I33= "I", $J33/($F33-$E33+1), $J33/(($F33*($F33+1)/2)-(($E33-1)*($E33-1+1)/2))*AS$2), 0)+IF(IF(time+1&gt;=AT$2, $K33/time_cap/(time+1)*AS$2, 0) = 0, $K33/(time_cap),0)),0)</f>
        <v/>
      </c>
      <c r="AT33" s="4395">
        <f>IFERROR(IF((time+time_cap)&lt;AT$2, 0,IF(AND(time+1&gt;=AU$2, $E33&lt;AU$2), IF($I33= "I", $J33/($F33-$E33+1), $J33/(($F33*($F33+1)/2)-(($E33-1)*($E33-1+1)/2))*AT$2), 0)+IF(IF(time+1&gt;=AU$2, $K33/time_cap/(time+1)*AT$2, 0) = 0, $K33/(time_cap),0)),0)</f>
        <v/>
      </c>
      <c r="AU33" s="4395">
        <f>IFERROR(IF((time+time_cap)&lt;AU$2, 0,IF(AND(time+1&gt;=AV$2, $E33&lt;AV$2), IF($I33= "I", $J33/($F33-$E33+1), $J33/(($F33*($F33+1)/2)-(($E33-1)*($E33-1+1)/2))*AU$2), 0)+IF(IF(time+1&gt;=AV$2, $K33/time_cap/(time+1)*AU$2, 0) = 0, $K33/(time_cap),0)),0)</f>
        <v/>
      </c>
      <c r="AV33" s="4395">
        <f>IFERROR(IF((time+time_cap)&lt;AV$2, 0,IF(AND(time+1&gt;=AW$2, $E33&lt;AW$2), IF($I33= "I", $J33/($F33-$E33+1), $J33/(($F33*($F33+1)/2)-(($E33-1)*($E33-1+1)/2))*AV$2), 0)+IF(IF(time+1&gt;=AW$2, $K33/time_cap/(time+1)*AV$2, 0) = 0, $K33/(time_cap),0)),0)</f>
        <v/>
      </c>
      <c r="AW33" s="4395">
        <f>IFERROR(IF((time+time_cap)&lt;AW$2, 0,IF(AND(time+1&gt;=AX$2, $E33&lt;AX$2), IF($I33= "I", $J33/($F33-$E33+1), $J33/(($F33*($F33+1)/2)-(($E33-1)*($E33-1+1)/2))*AW$2), 0)+IF(IF(time+1&gt;=AX$2, $K33/time_cap/(time+1)*AW$2, 0) = 0, $K33/(time_cap),0)),0)</f>
        <v/>
      </c>
      <c r="AX33" s="4395">
        <f>IFERROR(IF((time+time_cap)&lt;AX$2, 0,IF(AND(time+1&gt;=AY$2, $E33&lt;AY$2), IF($I33= "I", $J33/($F33-$E33+1), $J33/(($F33*($F33+1)/2)-(($E33-1)*($E33-1+1)/2))*AX$2), 0)+IF(IF(time+1&gt;=AY$2, $K33/time_cap/(time+1)*AX$2, 0) = 0, $K33/(time_cap),0)),0)</f>
        <v/>
      </c>
      <c r="AY33" s="4395">
        <f>IFERROR(IF((time+time_cap)&lt;AY$2, 0,IF(AND(time+1&gt;=AZ$2, $E33&lt;AZ$2), IF($I33= "I", $J33/($F33-$E33+1), $J33/(($F33*($F33+1)/2)-(($E33-1)*($E33-1+1)/2))*AY$2), 0)+IF(IF(time+1&gt;=AZ$2, $K33/time_cap/(time+1)*AY$2, 0) = 0, $K33/(time_cap),0)),0)</f>
        <v/>
      </c>
      <c r="AZ33" s="4395">
        <f>IFERROR(IF((time+time_cap)&lt;AZ$2, 0,IF(AND(time+1&gt;=BA$2, $E33&lt;BA$2), IF($I33= "I", $J33/($F33-$E33+1), $J33/(($F33*($F33+1)/2)-(($E33-1)*($E33-1+1)/2))*AZ$2), 0)+IF(IF(time+1&gt;=BA$2, $K33/time_cap/(time+1)*AZ$2, 0) = 0, $K33/(time_cap),0)),0)</f>
        <v/>
      </c>
      <c r="BA33" s="4395">
        <f>IFERROR(IF((time+time_cap)&lt;BA$2, 0,IF(AND(time+1&gt;=BB$2, $E33&lt;BB$2), IF($I33= "I", $J33/($F33-$E33+1), $J33/(($F33*($F33+1)/2)-(($E33-1)*($E33-1+1)/2))*BA$2), 0)+IF(IF(time+1&gt;=BB$2, $K33/time_cap/(time+1)*BA$2, 0) = 0, $K33/(time_cap),0)),0)</f>
        <v/>
      </c>
      <c r="BB33" s="4395">
        <f>IFERROR(IF((time+time_cap)&lt;BB$2, 0,IF(AND(time+1&gt;=BC$2, $E33&lt;BC$2), IF($I33= "I", $J33/($F33-$E33+1), $J33/(($F33*($F33+1)/2)-(($E33-1)*($E33-1+1)/2))*BB$2), 0)+IF(IF(time+1&gt;=BC$2, $K33/time_cap/(time+1)*BB$2, 0) = 0, $K33/(time_cap),0)),0)</f>
        <v/>
      </c>
      <c r="BC33" s="4395">
        <f>IFERROR(IF((time+time_cap)&lt;BC$2, 0,IF(AND(time+1&gt;=BD$2, $E33&lt;BD$2), IF($I33= "I", $J33/($F33-$E33+1), $J33/(($F33*($F33+1)/2)-(($E33-1)*($E33-1+1)/2))*BC$2), 0)+IF(IF(time+1&gt;=BD$2, $K33/time_cap/(time+1)*BC$2, 0) = 0, $K33/(time_cap),0)),0)</f>
        <v/>
      </c>
      <c r="BD33" s="4395">
        <f>IFERROR(IF((time+time_cap)&lt;BD$2, 0,IF(AND(time+1&gt;=BE$2, $E33&lt;BE$2), IF($I33= "I", $J33/($F33-$E33+1), $J33/(($F33*($F33+1)/2)-(($E33-1)*($E33-1+1)/2))*BD$2), 0)+IF(IF(time+1&gt;=BE$2, $K33/time_cap/(time+1)*BD$2, 0) = 0, $K33/(time_cap),0)),0)</f>
        <v/>
      </c>
      <c r="BE33" s="4395">
        <f>IFERROR(IF((time+time_cap)&lt;BE$2, 0,IF(AND(time+1&gt;=BF$2, $E33&lt;BF$2), IF($I33= "I", $J33/($F33-$E33+1), $J33/(($F33*($F33+1)/2)-(($E33-1)*($E33-1+1)/2))*BE$2), 0)+IF(IF(time+1&gt;=BF$2, $K33/time_cap/(time+1)*BE$2, 0) = 0, $K33/(time_cap),0)),0)</f>
        <v/>
      </c>
      <c r="BF33" s="4395">
        <f>IFERROR(IF((time+time_cap)&lt;BF$2, 0,IF(AND(time+1&gt;=BG$2, $E33&lt;BG$2), IF($I33= "I", $J33/($F33-$E33+1), $J33/(($F33*($F33+1)/2)-(($E33-1)*($E33-1+1)/2))*BF$2), 0)+IF(IF(time+1&gt;=BG$2, $K33/time_cap/(time+1)*BF$2, 0) = 0, $K33/(time_cap),0)),0)</f>
        <v/>
      </c>
      <c r="BG33" s="4395">
        <f>IFERROR(IF((time+time_cap)&lt;BG$2, 0,IF(AND(time+1&gt;=BH$2, $E33&lt;BH$2), IF($I33= "I", $J33/($F33-$E33+1), $J33/(($F33*($F33+1)/2)-(($E33-1)*($E33-1+1)/2))*BG$2), 0)+IF(IF(time+1&gt;=BH$2, $K33/time_cap/(time+1)*BG$2, 0) = 0, $K33/(time_cap),0)),0)</f>
        <v/>
      </c>
      <c r="BH33" s="4395">
        <f>IFERROR(IF((time+time_cap)&lt;BH$2, 0,IF(AND(time+1&gt;=BI$2, $E33&lt;BI$2), IF($I33= "I", $J33/($F33-$E33+1), $J33/(($F33*($F33+1)/2)-(($E33-1)*($E33-1+1)/2))*BH$2), 0)+IF(IF(time+1&gt;=BI$2, $K33/time_cap/(time+1)*BH$2, 0) = 0, $K33/(time_cap),0)),0)</f>
        <v/>
      </c>
      <c r="BI33" s="4395">
        <f>IFERROR(IF((time+time_cap)&lt;BI$2, 0,IF(AND(time+1&gt;=BJ$2, $E33&lt;BJ$2), IF($I33= "I", $J33/($F33-$E33+1), $J33/(($F33*($F33+1)/2)-(($E33-1)*($E33-1+1)/2))*BI$2), 0)+IF(IF(time+1&gt;=BJ$2, $K33/time_cap/(time+1)*BI$2, 0) = 0, $K33/(time_cap),0)),0)</f>
        <v/>
      </c>
      <c r="BJ33" s="4395">
        <f>IFERROR(IF((time+time_cap)&lt;BJ$2, 0,IF(AND(time+1&gt;=BK$2, $E33&lt;BK$2), IF($I33= "I", $J33/($F33-$E33+1), $J33/(($F33*($F33+1)/2)-(($E33-1)*($E33-1+1)/2))*BJ$2), 0)+IF(IF(time+1&gt;=BK$2, $K33/time_cap/(time+1)*BJ$2, 0) = 0, $K33/(time_cap),0)),0)</f>
        <v/>
      </c>
      <c r="BK33" s="4395" t="n"/>
      <c r="BL33" s="4395" t="n"/>
      <c r="BM33" s="4395" t="n"/>
      <c r="BN33" s="4395" t="n"/>
      <c r="BO33" s="4395" t="n"/>
      <c r="BP33" s="4395" t="n"/>
      <c r="BQ33" s="4395" t="n"/>
      <c r="BR33" s="4395" t="n"/>
      <c r="BS33" s="4395" t="n"/>
      <c r="BT33" s="4395" t="n"/>
      <c r="BU33" s="4395" t="n"/>
      <c r="BV33" s="4395" t="n"/>
      <c r="BW33" s="4395" t="n"/>
      <c r="BX33" s="4395" t="n"/>
      <c r="BY33" s="4395" t="n"/>
      <c r="BZ33" s="4395" t="n"/>
      <c r="CA33" s="4395" t="n"/>
      <c r="CB33" s="4395" t="n"/>
      <c r="CC33" s="4395" t="n"/>
      <c r="CD33" s="4395" t="n"/>
      <c r="CE33" s="4395" t="n"/>
      <c r="CF33" s="4395" t="n"/>
      <c r="CG33" s="4395" t="n"/>
      <c r="CH33" s="4395" t="n"/>
      <c r="CI33" s="4395" t="n"/>
      <c r="CJ33" s="4395" t="n"/>
      <c r="CK33" s="4395" t="n"/>
      <c r="CL33" s="4395" t="n"/>
      <c r="CM33" s="4395" t="n"/>
      <c r="CN33" s="4395" t="n"/>
      <c r="CO33" s="4395" t="n"/>
      <c r="CP33" s="4395" t="n"/>
      <c r="CQ33" s="4395" t="n"/>
      <c r="CR33" s="4395" t="n"/>
      <c r="CS33" s="4395" t="n"/>
      <c r="CT33" s="4395" t="n"/>
      <c r="CU33" s="4395" t="n"/>
      <c r="CV33" s="4395" t="n"/>
      <c r="CW33" s="4395" t="n"/>
      <c r="CX33" s="4395" t="n"/>
      <c r="CY33" s="4395" t="n"/>
      <c r="CZ33" s="4395" t="n"/>
      <c r="DA33" s="4395" t="n"/>
      <c r="DB33" s="4395" t="n"/>
      <c r="DC33" s="4395" t="n"/>
      <c r="DD33" s="4395" t="n"/>
      <c r="DE33" s="4395" t="n"/>
      <c r="DF33" s="4395" t="n"/>
      <c r="DG33" s="4395" t="n"/>
      <c r="DH33" s="4395" t="n"/>
    </row>
    <row r="34" ht="16" customHeight="1">
      <c r="A34" t="inlineStr">
        <is>
          <t>OLUC</t>
        </is>
      </c>
      <c r="B34">
        <f>'2.LUC'!C68</f>
        <v/>
      </c>
      <c r="C34">
        <f>'2.LUC'!K68</f>
        <v/>
      </c>
      <c r="D34">
        <f>'2.LUC'!Y68</f>
        <v/>
      </c>
      <c r="E34">
        <f>IF('2.LUC'!BL68&lt;&gt;0,'2.LUC'!BL68,'2.LUC'!BK68)</f>
        <v/>
      </c>
      <c r="F34">
        <f>time</f>
        <v/>
      </c>
      <c r="G34" s="4395">
        <f>'2.LUC'!O68</f>
        <v/>
      </c>
      <c r="H34" s="4395">
        <f>'2.LUC'!Q68</f>
        <v/>
      </c>
      <c r="I34" s="4395">
        <f>IF(OR(H34="I", G34="I"), "I", IF(OR(H34="E", G34="E"), "E", "D"))</f>
        <v/>
      </c>
      <c r="J34" s="4395">
        <f>((D34/(time_cap+((F34-E34+1)*VLOOKUP(I34,list!$I$48:$K$50,3, FALSE))))*(F34-E34+1)*VLOOKUP(I34,list!$I$48:$K$50,3, FALSE))</f>
        <v/>
      </c>
      <c r="K34" s="4395">
        <f>((D34/(time_cap+((F34-E34+1)*VLOOKUP(I34,list!$I$48:$K$50,3, FALSE))))*time_cap)</f>
        <v/>
      </c>
      <c r="M34" s="4395">
        <f>IFERROR(IF((time+time_cap)&lt;M$2, 0,IF(AND(time+1&gt;=N$2, $E34&lt;N$2), IF($I34= "I", $J34/($F34-$E34+1), $J34/(($F34*($F34+1)/2)-(($E34-1)*($E34-1+1)/2))*M$2), 0)+IF(IF(time+1&gt;=N$2, $K34/time_cap/(time+1)*M$2, 0) = 0, $K34/(time_cap),0)),0)</f>
        <v/>
      </c>
      <c r="N34" s="4395">
        <f>IFERROR(IF((time+time_cap)&lt;N$2, 0,IF(AND(time+1&gt;=O$2, $E34&lt;O$2), IF($I34= "I", $J34/($F34-$E34+1), $J34/(($F34*($F34+1)/2)-(($E34-1)*($E34-1+1)/2))*N$2), 0)+IF(IF(time+1&gt;=O$2, $K34/time_cap/(time+1)*N$2, 0) = 0, $K34/(time_cap),0)),0)</f>
        <v/>
      </c>
      <c r="O34" s="4395">
        <f>IFERROR(IF((time+time_cap)&lt;O$2, 0,IF(AND(time+1&gt;=P$2, $E34&lt;P$2), IF($I34= "I", $J34/($F34-$E34+1), $J34/(($F34*($F34+1)/2)-(($E34-1)*($E34-1+1)/2))*O$2), 0)+IF(IF(time+1&gt;=P$2, $K34/time_cap/(time+1)*O$2, 0) = 0, $K34/(time_cap),0)),0)</f>
        <v/>
      </c>
      <c r="P34" s="4395">
        <f>IFERROR(IF((time+time_cap)&lt;P$2, 0,IF(AND(time+1&gt;=Q$2, $E34&lt;Q$2), IF($I34= "I", $J34/($F34-$E34+1), $J34/(($F34*($F34+1)/2)-(($E34-1)*($E34-1+1)/2))*P$2), 0)+IF(IF(time+1&gt;=Q$2, $K34/time_cap/(time+1)*P$2, 0) = 0, $K34/(time_cap),0)),0)</f>
        <v/>
      </c>
      <c r="Q34" s="4395">
        <f>IFERROR(IF((time+time_cap)&lt;Q$2, 0,IF(AND(time+1&gt;=R$2, $E34&lt;R$2), IF($I34= "I", $J34/($F34-$E34+1), $J34/(($F34*($F34+1)/2)-(($E34-1)*($E34-1+1)/2))*Q$2), 0)+IF(IF(time+1&gt;=R$2, $K34/time_cap/(time+1)*Q$2, 0) = 0, $K34/(time_cap),0)),0)</f>
        <v/>
      </c>
      <c r="R34" s="4395">
        <f>IFERROR(IF((time+time_cap)&lt;R$2, 0,IF(AND(time+1&gt;=S$2, $E34&lt;S$2), IF($I34= "I", $J34/($F34-$E34+1), $J34/(($F34*($F34+1)/2)-(($E34-1)*($E34-1+1)/2))*R$2), 0)+IF(IF(time+1&gt;=S$2, $K34/time_cap/(time+1)*R$2, 0) = 0, $K34/(time_cap),0)),0)</f>
        <v/>
      </c>
      <c r="S34" s="4395">
        <f>IFERROR(IF((time+time_cap)&lt;S$2, 0,IF(AND(time+1&gt;=T$2, $E34&lt;T$2), IF($I34= "I", $J34/($F34-$E34+1), $J34/(($F34*($F34+1)/2)-(($E34-1)*($E34-1+1)/2))*S$2), 0)+IF(IF(time+1&gt;=T$2, $K34/time_cap/(time+1)*S$2, 0) = 0, $K34/(time_cap),0)),0)</f>
        <v/>
      </c>
      <c r="T34" s="4395">
        <f>IFERROR(IF((time+time_cap)&lt;T$2, 0,IF(AND(time+1&gt;=U$2, $E34&lt;U$2), IF($I34= "I", $J34/($F34-$E34+1), $J34/(($F34*($F34+1)/2)-(($E34-1)*($E34-1+1)/2))*T$2), 0)+IF(IF(time+1&gt;=U$2, $K34/time_cap/(time+1)*T$2, 0) = 0, $K34/(time_cap),0)),0)</f>
        <v/>
      </c>
      <c r="U34" s="4395">
        <f>IFERROR(IF((time+time_cap)&lt;U$2, 0,IF(AND(time+1&gt;=V$2, $E34&lt;V$2), IF($I34= "I", $J34/($F34-$E34+1), $J34/(($F34*($F34+1)/2)-(($E34-1)*($E34-1+1)/2))*U$2), 0)+IF(IF(time+1&gt;=V$2, $K34/time_cap/(time+1)*U$2, 0) = 0, $K34/(time_cap),0)),0)</f>
        <v/>
      </c>
      <c r="V34" s="4395">
        <f>IFERROR(IF((time+time_cap)&lt;V$2, 0,IF(AND(time+1&gt;=W$2, $E34&lt;W$2), IF($I34= "I", $J34/($F34-$E34+1), $J34/(($F34*($F34+1)/2)-(($E34-1)*($E34-1+1)/2))*V$2), 0)+IF(IF(time+1&gt;=W$2, $K34/time_cap/(time+1)*V$2, 0) = 0, $K34/(time_cap),0)),0)</f>
        <v/>
      </c>
      <c r="W34" s="4395">
        <f>IFERROR(IF((time+time_cap)&lt;W$2, 0,IF(AND(time+1&gt;=X$2, $E34&lt;X$2), IF($I34= "I", $J34/($F34-$E34+1), $J34/(($F34*($F34+1)/2)-(($E34-1)*($E34-1+1)/2))*W$2), 0)+IF(IF(time+1&gt;=X$2, $K34/time_cap/(time+1)*W$2, 0) = 0, $K34/(time_cap),0)),0)</f>
        <v/>
      </c>
      <c r="X34" s="4395">
        <f>IFERROR(IF((time+time_cap)&lt;X$2, 0,IF(AND(time+1&gt;=Y$2, $E34&lt;Y$2), IF($I34= "I", $J34/($F34-$E34+1), $J34/(($F34*($F34+1)/2)-(($E34-1)*($E34-1+1)/2))*X$2), 0)+IF(IF(time+1&gt;=Y$2, $K34/time_cap/(time+1)*X$2, 0) = 0, $K34/(time_cap),0)),0)</f>
        <v/>
      </c>
      <c r="Y34" s="4395">
        <f>IFERROR(IF((time+time_cap)&lt;Y$2, 0,IF(AND(time+1&gt;=Z$2, $E34&lt;Z$2), IF($I34= "I", $J34/($F34-$E34+1), $J34/(($F34*($F34+1)/2)-(($E34-1)*($E34-1+1)/2))*Y$2), 0)+IF(IF(time+1&gt;=Z$2, $K34/time_cap/(time+1)*Y$2, 0) = 0, $K34/(time_cap),0)),0)</f>
        <v/>
      </c>
      <c r="Z34" s="4395">
        <f>IFERROR(IF((time+time_cap)&lt;Z$2, 0,IF(AND(time+1&gt;=AA$2, $E34&lt;AA$2), IF($I34= "I", $J34/($F34-$E34+1), $J34/(($F34*($F34+1)/2)-(($E34-1)*($E34-1+1)/2))*Z$2), 0)+IF(IF(time+1&gt;=AA$2, $K34/time_cap/(time+1)*Z$2, 0) = 0, $K34/(time_cap),0)),0)</f>
        <v/>
      </c>
      <c r="AA34" s="4395">
        <f>IFERROR(IF((time+time_cap)&lt;AA$2, 0,IF(AND(time+1&gt;=AB$2, $E34&lt;AB$2), IF($I34= "I", $J34/($F34-$E34+1), $J34/(($F34*($F34+1)/2)-(($E34-1)*($E34-1+1)/2))*AA$2), 0)+IF(IF(time+1&gt;=AB$2, $K34/time_cap/(time+1)*AA$2, 0) = 0, $K34/(time_cap),0)),0)</f>
        <v/>
      </c>
      <c r="AB34" s="4395">
        <f>IFERROR(IF((time+time_cap)&lt;AB$2, 0,IF(AND(time+1&gt;=AC$2, $E34&lt;AC$2), IF($I34= "I", $J34/($F34-$E34+1), $J34/(($F34*($F34+1)/2)-(($E34-1)*($E34-1+1)/2))*AB$2), 0)+IF(IF(time+1&gt;=AC$2, $K34/time_cap/(time+1)*AB$2, 0) = 0, $K34/(time_cap),0)),0)</f>
        <v/>
      </c>
      <c r="AC34" s="4395">
        <f>IFERROR(IF((time+time_cap)&lt;AC$2, 0,IF(AND(time+1&gt;=AD$2, $E34&lt;AD$2), IF($I34= "I", $J34/($F34-$E34+1), $J34/(($F34*($F34+1)/2)-(($E34-1)*($E34-1+1)/2))*AC$2), 0)+IF(IF(time+1&gt;=AD$2, $K34/time_cap/(time+1)*AC$2, 0) = 0, $K34/(time_cap),0)),0)</f>
        <v/>
      </c>
      <c r="AD34" s="4395">
        <f>IFERROR(IF((time+time_cap)&lt;AD$2, 0,IF(AND(time+1&gt;=AE$2, $E34&lt;AE$2), IF($I34= "I", $J34/($F34-$E34+1), $J34/(($F34*($F34+1)/2)-(($E34-1)*($E34-1+1)/2))*AD$2), 0)+IF(IF(time+1&gt;=AE$2, $K34/time_cap/(time+1)*AD$2, 0) = 0, $K34/(time_cap),0)),0)</f>
        <v/>
      </c>
      <c r="AE34" s="4395">
        <f>IFERROR(IF((time+time_cap)&lt;AE$2, 0,IF(AND(time+1&gt;=AF$2, $E34&lt;AF$2), IF($I34= "I", $J34/($F34-$E34+1), $J34/(($F34*($F34+1)/2)-(($E34-1)*($E34-1+1)/2))*AE$2), 0)+IF(IF(time+1&gt;=AF$2, $K34/time_cap/(time+1)*AE$2, 0) = 0, $K34/(time_cap),0)),0)</f>
        <v/>
      </c>
      <c r="AF34" s="4395">
        <f>IFERROR(IF((time+time_cap)&lt;AF$2, 0,IF(AND(time+1&gt;=AG$2, $E34&lt;AG$2), IF($I34= "I", $J34/($F34-$E34+1), $J34/(($F34*($F34+1)/2)-(($E34-1)*($E34-1+1)/2))*AF$2), 0)+IF(IF(time+1&gt;=AG$2, $K34/time_cap/(time+1)*AF$2, 0) = 0, $K34/(time_cap),0)),0)</f>
        <v/>
      </c>
      <c r="AG34" s="4395">
        <f>IFERROR(IF((time+time_cap)&lt;AG$2, 0,IF(AND(time+1&gt;=AH$2, $E34&lt;AH$2), IF($I34= "I", $J34/($F34-$E34+1), $J34/(($F34*($F34+1)/2)-(($E34-1)*($E34-1+1)/2))*AG$2), 0)+IF(IF(time+1&gt;=AH$2, $K34/time_cap/(time+1)*AG$2, 0) = 0, $K34/(time_cap),0)),0)</f>
        <v/>
      </c>
      <c r="AH34" s="4395">
        <f>IFERROR(IF((time+time_cap)&lt;AH$2, 0,IF(AND(time+1&gt;=AI$2, $E34&lt;AI$2), IF($I34= "I", $J34/($F34-$E34+1), $J34/(($F34*($F34+1)/2)-(($E34-1)*($E34-1+1)/2))*AH$2), 0)+IF(IF(time+1&gt;=AI$2, $K34/time_cap/(time+1)*AH$2, 0) = 0, $K34/(time_cap),0)),0)</f>
        <v/>
      </c>
      <c r="AI34" s="4395">
        <f>IFERROR(IF((time+time_cap)&lt;AI$2, 0,IF(AND(time+1&gt;=AJ$2, $E34&lt;AJ$2), IF($I34= "I", $J34/($F34-$E34+1), $J34/(($F34*($F34+1)/2)-(($E34-1)*($E34-1+1)/2))*AI$2), 0)+IF(IF(time+1&gt;=AJ$2, $K34/time_cap/(time+1)*AI$2, 0) = 0, $K34/(time_cap),0)),0)</f>
        <v/>
      </c>
      <c r="AJ34" s="4395">
        <f>IFERROR(IF((time+time_cap)&lt;AJ$2, 0,IF(AND(time+1&gt;=AK$2, $E34&lt;AK$2), IF($I34= "I", $J34/($F34-$E34+1), $J34/(($F34*($F34+1)/2)-(($E34-1)*($E34-1+1)/2))*AJ$2), 0)+IF(IF(time+1&gt;=AK$2, $K34/time_cap/(time+1)*AJ$2, 0) = 0, $K34/(time_cap),0)),0)</f>
        <v/>
      </c>
      <c r="AK34" s="4395">
        <f>IFERROR(IF((time+time_cap)&lt;AK$2, 0,IF(AND(time+1&gt;=AL$2, $E34&lt;AL$2), IF($I34= "I", $J34/($F34-$E34+1), $J34/(($F34*($F34+1)/2)-(($E34-1)*($E34-1+1)/2))*AK$2), 0)+IF(IF(time+1&gt;=AL$2, $K34/time_cap/(time+1)*AK$2, 0) = 0, $K34/(time_cap),0)),0)</f>
        <v/>
      </c>
      <c r="AL34" s="4395">
        <f>IFERROR(IF((time+time_cap)&lt;AL$2, 0,IF(AND(time+1&gt;=AM$2, $E34&lt;AM$2), IF($I34= "I", $J34/($F34-$E34+1), $J34/(($F34*($F34+1)/2)-(($E34-1)*($E34-1+1)/2))*AL$2), 0)+IF(IF(time+1&gt;=AM$2, $K34/time_cap/(time+1)*AL$2, 0) = 0, $K34/(time_cap),0)),0)</f>
        <v/>
      </c>
      <c r="AM34" s="4395">
        <f>IFERROR(IF((time+time_cap)&lt;AM$2, 0,IF(AND(time+1&gt;=AN$2, $E34&lt;AN$2), IF($I34= "I", $J34/($F34-$E34+1), $J34/(($F34*($F34+1)/2)-(($E34-1)*($E34-1+1)/2))*AM$2), 0)+IF(IF(time+1&gt;=AN$2, $K34/time_cap/(time+1)*AM$2, 0) = 0, $K34/(time_cap),0)),0)</f>
        <v/>
      </c>
      <c r="AN34" s="4395">
        <f>IFERROR(IF((time+time_cap)&lt;AN$2, 0,IF(AND(time+1&gt;=AO$2, $E34&lt;AO$2), IF($I34= "I", $J34/($F34-$E34+1), $J34/(($F34*($F34+1)/2)-(($E34-1)*($E34-1+1)/2))*AN$2), 0)+IF(IF(time+1&gt;=AO$2, $K34/time_cap/(time+1)*AN$2, 0) = 0, $K34/(time_cap),0)),0)</f>
        <v/>
      </c>
      <c r="AO34" s="4395">
        <f>IFERROR(IF((time+time_cap)&lt;AO$2, 0,IF(AND(time+1&gt;=AP$2, $E34&lt;AP$2), IF($I34= "I", $J34/($F34-$E34+1), $J34/(($F34*($F34+1)/2)-(($E34-1)*($E34-1+1)/2))*AO$2), 0)+IF(IF(time+1&gt;=AP$2, $K34/time_cap/(time+1)*AO$2, 0) = 0, $K34/(time_cap),0)),0)</f>
        <v/>
      </c>
      <c r="AP34" s="4395">
        <f>IFERROR(IF((time+time_cap)&lt;AP$2, 0,IF(AND(time+1&gt;=AQ$2, $E34&lt;AQ$2), IF($I34= "I", $J34/($F34-$E34+1), $J34/(($F34*($F34+1)/2)-(($E34-1)*($E34-1+1)/2))*AP$2), 0)+IF(IF(time+1&gt;=AQ$2, $K34/time_cap/(time+1)*AP$2, 0) = 0, $K34/(time_cap),0)),0)</f>
        <v/>
      </c>
      <c r="AQ34" s="4395">
        <f>IFERROR(IF((time+time_cap)&lt;AQ$2, 0,IF(AND(time+1&gt;=AR$2, $E34&lt;AR$2), IF($I34= "I", $J34/($F34-$E34+1), $J34/(($F34*($F34+1)/2)-(($E34-1)*($E34-1+1)/2))*AQ$2), 0)+IF(IF(time+1&gt;=AR$2, $K34/time_cap/(time+1)*AQ$2, 0) = 0, $K34/(time_cap),0)),0)</f>
        <v/>
      </c>
      <c r="AR34" s="4395">
        <f>IFERROR(IF((time+time_cap)&lt;AR$2, 0,IF(AND(time+1&gt;=AS$2, $E34&lt;AS$2), IF($I34= "I", $J34/($F34-$E34+1), $J34/(($F34*($F34+1)/2)-(($E34-1)*($E34-1+1)/2))*AR$2), 0)+IF(IF(time+1&gt;=AS$2, $K34/time_cap/(time+1)*AR$2, 0) = 0, $K34/(time_cap),0)),0)</f>
        <v/>
      </c>
      <c r="AS34" s="4395">
        <f>IFERROR(IF((time+time_cap)&lt;AS$2, 0,IF(AND(time+1&gt;=AT$2, $E34&lt;AT$2), IF($I34= "I", $J34/($F34-$E34+1), $J34/(($F34*($F34+1)/2)-(($E34-1)*($E34-1+1)/2))*AS$2), 0)+IF(IF(time+1&gt;=AT$2, $K34/time_cap/(time+1)*AS$2, 0) = 0, $K34/(time_cap),0)),0)</f>
        <v/>
      </c>
      <c r="AT34" s="4395">
        <f>IFERROR(IF((time+time_cap)&lt;AT$2, 0,IF(AND(time+1&gt;=AU$2, $E34&lt;AU$2), IF($I34= "I", $J34/($F34-$E34+1), $J34/(($F34*($F34+1)/2)-(($E34-1)*($E34-1+1)/2))*AT$2), 0)+IF(IF(time+1&gt;=AU$2, $K34/time_cap/(time+1)*AT$2, 0) = 0, $K34/(time_cap),0)),0)</f>
        <v/>
      </c>
      <c r="AU34" s="4395">
        <f>IFERROR(IF((time+time_cap)&lt;AU$2, 0,IF(AND(time+1&gt;=AV$2, $E34&lt;AV$2), IF($I34= "I", $J34/($F34-$E34+1), $J34/(($F34*($F34+1)/2)-(($E34-1)*($E34-1+1)/2))*AU$2), 0)+IF(IF(time+1&gt;=AV$2, $K34/time_cap/(time+1)*AU$2, 0) = 0, $K34/(time_cap),0)),0)</f>
        <v/>
      </c>
      <c r="AV34" s="4395">
        <f>IFERROR(IF((time+time_cap)&lt;AV$2, 0,IF(AND(time+1&gt;=AW$2, $E34&lt;AW$2), IF($I34= "I", $J34/($F34-$E34+1), $J34/(($F34*($F34+1)/2)-(($E34-1)*($E34-1+1)/2))*AV$2), 0)+IF(IF(time+1&gt;=AW$2, $K34/time_cap/(time+1)*AV$2, 0) = 0, $K34/(time_cap),0)),0)</f>
        <v/>
      </c>
      <c r="AW34" s="4395">
        <f>IFERROR(IF((time+time_cap)&lt;AW$2, 0,IF(AND(time+1&gt;=AX$2, $E34&lt;AX$2), IF($I34= "I", $J34/($F34-$E34+1), $J34/(($F34*($F34+1)/2)-(($E34-1)*($E34-1+1)/2))*AW$2), 0)+IF(IF(time+1&gt;=AX$2, $K34/time_cap/(time+1)*AW$2, 0) = 0, $K34/(time_cap),0)),0)</f>
        <v/>
      </c>
      <c r="AX34" s="4395">
        <f>IFERROR(IF((time+time_cap)&lt;AX$2, 0,IF(AND(time+1&gt;=AY$2, $E34&lt;AY$2), IF($I34= "I", $J34/($F34-$E34+1), $J34/(($F34*($F34+1)/2)-(($E34-1)*($E34-1+1)/2))*AX$2), 0)+IF(IF(time+1&gt;=AY$2, $K34/time_cap/(time+1)*AX$2, 0) = 0, $K34/(time_cap),0)),0)</f>
        <v/>
      </c>
      <c r="AY34" s="4395">
        <f>IFERROR(IF((time+time_cap)&lt;AY$2, 0,IF(AND(time+1&gt;=AZ$2, $E34&lt;AZ$2), IF($I34= "I", $J34/($F34-$E34+1), $J34/(($F34*($F34+1)/2)-(($E34-1)*($E34-1+1)/2))*AY$2), 0)+IF(IF(time+1&gt;=AZ$2, $K34/time_cap/(time+1)*AY$2, 0) = 0, $K34/(time_cap),0)),0)</f>
        <v/>
      </c>
      <c r="AZ34" s="4395">
        <f>IFERROR(IF((time+time_cap)&lt;AZ$2, 0,IF(AND(time+1&gt;=BA$2, $E34&lt;BA$2), IF($I34= "I", $J34/($F34-$E34+1), $J34/(($F34*($F34+1)/2)-(($E34-1)*($E34-1+1)/2))*AZ$2), 0)+IF(IF(time+1&gt;=BA$2, $K34/time_cap/(time+1)*AZ$2, 0) = 0, $K34/(time_cap),0)),0)</f>
        <v/>
      </c>
      <c r="BA34" s="4395">
        <f>IFERROR(IF((time+time_cap)&lt;BA$2, 0,IF(AND(time+1&gt;=BB$2, $E34&lt;BB$2), IF($I34= "I", $J34/($F34-$E34+1), $J34/(($F34*($F34+1)/2)-(($E34-1)*($E34-1+1)/2))*BA$2), 0)+IF(IF(time+1&gt;=BB$2, $K34/time_cap/(time+1)*BA$2, 0) = 0, $K34/(time_cap),0)),0)</f>
        <v/>
      </c>
      <c r="BB34" s="4395">
        <f>IFERROR(IF((time+time_cap)&lt;BB$2, 0,IF(AND(time+1&gt;=BC$2, $E34&lt;BC$2), IF($I34= "I", $J34/($F34-$E34+1), $J34/(($F34*($F34+1)/2)-(($E34-1)*($E34-1+1)/2))*BB$2), 0)+IF(IF(time+1&gt;=BC$2, $K34/time_cap/(time+1)*BB$2, 0) = 0, $K34/(time_cap),0)),0)</f>
        <v/>
      </c>
      <c r="BC34" s="4395">
        <f>IFERROR(IF((time+time_cap)&lt;BC$2, 0,IF(AND(time+1&gt;=BD$2, $E34&lt;BD$2), IF($I34= "I", $J34/($F34-$E34+1), $J34/(($F34*($F34+1)/2)-(($E34-1)*($E34-1+1)/2))*BC$2), 0)+IF(IF(time+1&gt;=BD$2, $K34/time_cap/(time+1)*BC$2, 0) = 0, $K34/(time_cap),0)),0)</f>
        <v/>
      </c>
      <c r="BD34" s="4395">
        <f>IFERROR(IF((time+time_cap)&lt;BD$2, 0,IF(AND(time+1&gt;=BE$2, $E34&lt;BE$2), IF($I34= "I", $J34/($F34-$E34+1), $J34/(($F34*($F34+1)/2)-(($E34-1)*($E34-1+1)/2))*BD$2), 0)+IF(IF(time+1&gt;=BE$2, $K34/time_cap/(time+1)*BD$2, 0) = 0, $K34/(time_cap),0)),0)</f>
        <v/>
      </c>
      <c r="BE34" s="4395">
        <f>IFERROR(IF((time+time_cap)&lt;BE$2, 0,IF(AND(time+1&gt;=BF$2, $E34&lt;BF$2), IF($I34= "I", $J34/($F34-$E34+1), $J34/(($F34*($F34+1)/2)-(($E34-1)*($E34-1+1)/2))*BE$2), 0)+IF(IF(time+1&gt;=BF$2, $K34/time_cap/(time+1)*BE$2, 0) = 0, $K34/(time_cap),0)),0)</f>
        <v/>
      </c>
      <c r="BF34" s="4395">
        <f>IFERROR(IF((time+time_cap)&lt;BF$2, 0,IF(AND(time+1&gt;=BG$2, $E34&lt;BG$2), IF($I34= "I", $J34/($F34-$E34+1), $J34/(($F34*($F34+1)/2)-(($E34-1)*($E34-1+1)/2))*BF$2), 0)+IF(IF(time+1&gt;=BG$2, $K34/time_cap/(time+1)*BF$2, 0) = 0, $K34/(time_cap),0)),0)</f>
        <v/>
      </c>
      <c r="BG34" s="4395">
        <f>IFERROR(IF((time+time_cap)&lt;BG$2, 0,IF(AND(time+1&gt;=BH$2, $E34&lt;BH$2), IF($I34= "I", $J34/($F34-$E34+1), $J34/(($F34*($F34+1)/2)-(($E34-1)*($E34-1+1)/2))*BG$2), 0)+IF(IF(time+1&gt;=BH$2, $K34/time_cap/(time+1)*BG$2, 0) = 0, $K34/(time_cap),0)),0)</f>
        <v/>
      </c>
      <c r="BH34" s="4395">
        <f>IFERROR(IF((time+time_cap)&lt;BH$2, 0,IF(AND(time+1&gt;=BI$2, $E34&lt;BI$2), IF($I34= "I", $J34/($F34-$E34+1), $J34/(($F34*($F34+1)/2)-(($E34-1)*($E34-1+1)/2))*BH$2), 0)+IF(IF(time+1&gt;=BI$2, $K34/time_cap/(time+1)*BH$2, 0) = 0, $K34/(time_cap),0)),0)</f>
        <v/>
      </c>
      <c r="BI34" s="4395">
        <f>IFERROR(IF((time+time_cap)&lt;BI$2, 0,IF(AND(time+1&gt;=BJ$2, $E34&lt;BJ$2), IF($I34= "I", $J34/($F34-$E34+1), $J34/(($F34*($F34+1)/2)-(($E34-1)*($E34-1+1)/2))*BI$2), 0)+IF(IF(time+1&gt;=BJ$2, $K34/time_cap/(time+1)*BI$2, 0) = 0, $K34/(time_cap),0)),0)</f>
        <v/>
      </c>
      <c r="BJ34" s="4395">
        <f>IFERROR(IF((time+time_cap)&lt;BJ$2, 0,IF(AND(time+1&gt;=BK$2, $E34&lt;BK$2), IF($I34= "I", $J34/($F34-$E34+1), $J34/(($F34*($F34+1)/2)-(($E34-1)*($E34-1+1)/2))*BJ$2), 0)+IF(IF(time+1&gt;=BK$2, $K34/time_cap/(time+1)*BJ$2, 0) = 0, $K34/(time_cap),0)),0)</f>
        <v/>
      </c>
      <c r="BK34" s="4395" t="n"/>
      <c r="BL34" s="4395" t="n"/>
      <c r="BM34" s="4395" t="n"/>
      <c r="BN34" s="4395" t="n"/>
      <c r="BO34" s="4395" t="n"/>
      <c r="BP34" s="4395" t="n"/>
      <c r="BQ34" s="4395" t="n"/>
      <c r="BR34" s="4395" t="n"/>
      <c r="BS34" s="4395" t="n"/>
      <c r="BT34" s="4395" t="n"/>
      <c r="BU34" s="4395" t="n"/>
      <c r="BV34" s="4395" t="n"/>
      <c r="BW34" s="4395" t="n"/>
      <c r="BX34" s="4395" t="n"/>
      <c r="BY34" s="4395" t="n"/>
      <c r="BZ34" s="4395" t="n"/>
      <c r="CA34" s="4395" t="n"/>
      <c r="CB34" s="4395" t="n"/>
      <c r="CC34" s="4395" t="n"/>
      <c r="CD34" s="4395" t="n"/>
      <c r="CE34" s="4395" t="n"/>
      <c r="CF34" s="4395" t="n"/>
      <c r="CG34" s="4395" t="n"/>
      <c r="CH34" s="4395" t="n"/>
      <c r="CI34" s="4395" t="n"/>
      <c r="CJ34" s="4395" t="n"/>
      <c r="CK34" s="4395" t="n"/>
      <c r="CL34" s="4395" t="n"/>
      <c r="CM34" s="4395" t="n"/>
      <c r="CN34" s="4395" t="n"/>
      <c r="CO34" s="4395" t="n"/>
      <c r="CP34" s="4395" t="n"/>
      <c r="CQ34" s="4395" t="n"/>
      <c r="CR34" s="4395" t="n"/>
      <c r="CS34" s="4395" t="n"/>
      <c r="CT34" s="4395" t="n"/>
      <c r="CU34" s="4395" t="n"/>
      <c r="CV34" s="4395" t="n"/>
      <c r="CW34" s="4395" t="n"/>
      <c r="CX34" s="4395" t="n"/>
      <c r="CY34" s="4395" t="n"/>
      <c r="CZ34" s="4395" t="n"/>
      <c r="DA34" s="4395" t="n"/>
      <c r="DB34" s="4395" t="n"/>
      <c r="DC34" s="4395" t="n"/>
      <c r="DD34" s="4395" t="n"/>
      <c r="DE34" s="4395" t="n"/>
      <c r="DF34" s="4395" t="n"/>
      <c r="DG34" s="4395" t="n"/>
      <c r="DH34" s="4395" t="n"/>
    </row>
    <row r="35" ht="16" customHeight="1">
      <c r="A35" t="inlineStr">
        <is>
          <t>OLUC</t>
        </is>
      </c>
      <c r="B35">
        <f>'2.LUC'!C69</f>
        <v/>
      </c>
      <c r="C35">
        <f>'2.LUC'!K69</f>
        <v/>
      </c>
      <c r="D35">
        <f>'2.LUC'!Y69</f>
        <v/>
      </c>
      <c r="E35">
        <f>IF('2.LUC'!BL69&lt;&gt;0,'2.LUC'!BL69,'2.LUC'!BK69)</f>
        <v/>
      </c>
      <c r="F35">
        <f>time</f>
        <v/>
      </c>
      <c r="G35" s="4395">
        <f>'2.LUC'!O69</f>
        <v/>
      </c>
      <c r="H35" s="4395">
        <f>'2.LUC'!Q69</f>
        <v/>
      </c>
      <c r="I35" s="4395">
        <f>IF(OR(H35="I", G35="I"), "I", IF(OR(H35="E", G35="E"), "E", "D"))</f>
        <v/>
      </c>
      <c r="J35" s="4395">
        <f>((D35/(time_cap+((F35-E35+1)*VLOOKUP(I35,list!$I$48:$K$50,3, FALSE))))*(F35-E35+1)*VLOOKUP(I35,list!$I$48:$K$50,3, FALSE))</f>
        <v/>
      </c>
      <c r="K35" s="4395">
        <f>((D35/(time_cap+((F35-E35+1)*VLOOKUP(I35,list!$I$48:$K$50,3, FALSE))))*time_cap)</f>
        <v/>
      </c>
      <c r="M35" s="4395">
        <f>IFERROR(IF((time+time_cap)&lt;M$2, 0,IF(AND(time+1&gt;=N$2, $E35&lt;N$2), IF($I35= "I", $J35/($F35-$E35+1), $J35/(($F35*($F35+1)/2)-(($E35-1)*($E35-1+1)/2))*M$2), 0)+IF(IF(time+1&gt;=N$2, $K35/time_cap/(time+1)*M$2, 0) = 0, $K35/(time_cap),0)),0)</f>
        <v/>
      </c>
      <c r="N35" s="4395">
        <f>IFERROR(IF((time+time_cap)&lt;N$2, 0,IF(AND(time+1&gt;=O$2, $E35&lt;O$2), IF($I35= "I", $J35/($F35-$E35+1), $J35/(($F35*($F35+1)/2)-(($E35-1)*($E35-1+1)/2))*N$2), 0)+IF(IF(time+1&gt;=O$2, $K35/time_cap/(time+1)*N$2, 0) = 0, $K35/(time_cap),0)),0)</f>
        <v/>
      </c>
      <c r="O35" s="4395">
        <f>IFERROR(IF((time+time_cap)&lt;O$2, 0,IF(AND(time+1&gt;=P$2, $E35&lt;P$2), IF($I35= "I", $J35/($F35-$E35+1), $J35/(($F35*($F35+1)/2)-(($E35-1)*($E35-1+1)/2))*O$2), 0)+IF(IF(time+1&gt;=P$2, $K35/time_cap/(time+1)*O$2, 0) = 0, $K35/(time_cap),0)),0)</f>
        <v/>
      </c>
      <c r="P35" s="4395">
        <f>IFERROR(IF((time+time_cap)&lt;P$2, 0,IF(AND(time+1&gt;=Q$2, $E35&lt;Q$2), IF($I35= "I", $J35/($F35-$E35+1), $J35/(($F35*($F35+1)/2)-(($E35-1)*($E35-1+1)/2))*P$2), 0)+IF(IF(time+1&gt;=Q$2, $K35/time_cap/(time+1)*P$2, 0) = 0, $K35/(time_cap),0)),0)</f>
        <v/>
      </c>
      <c r="Q35" s="4395">
        <f>IFERROR(IF((time+time_cap)&lt;Q$2, 0,IF(AND(time+1&gt;=R$2, $E35&lt;R$2), IF($I35= "I", $J35/($F35-$E35+1), $J35/(($F35*($F35+1)/2)-(($E35-1)*($E35-1+1)/2))*Q$2), 0)+IF(IF(time+1&gt;=R$2, $K35/time_cap/(time+1)*Q$2, 0) = 0, $K35/(time_cap),0)),0)</f>
        <v/>
      </c>
      <c r="R35" s="4395">
        <f>IFERROR(IF((time+time_cap)&lt;R$2, 0,IF(AND(time+1&gt;=S$2, $E35&lt;S$2), IF($I35= "I", $J35/($F35-$E35+1), $J35/(($F35*($F35+1)/2)-(($E35-1)*($E35-1+1)/2))*R$2), 0)+IF(IF(time+1&gt;=S$2, $K35/time_cap/(time+1)*R$2, 0) = 0, $K35/(time_cap),0)),0)</f>
        <v/>
      </c>
      <c r="S35" s="4395">
        <f>IFERROR(IF((time+time_cap)&lt;S$2, 0,IF(AND(time+1&gt;=T$2, $E35&lt;T$2), IF($I35= "I", $J35/($F35-$E35+1), $J35/(($F35*($F35+1)/2)-(($E35-1)*($E35-1+1)/2))*S$2), 0)+IF(IF(time+1&gt;=T$2, $K35/time_cap/(time+1)*S$2, 0) = 0, $K35/(time_cap),0)),0)</f>
        <v/>
      </c>
      <c r="T35" s="4395">
        <f>IFERROR(IF((time+time_cap)&lt;T$2, 0,IF(AND(time+1&gt;=U$2, $E35&lt;U$2), IF($I35= "I", $J35/($F35-$E35+1), $J35/(($F35*($F35+1)/2)-(($E35-1)*($E35-1+1)/2))*T$2), 0)+IF(IF(time+1&gt;=U$2, $K35/time_cap/(time+1)*T$2, 0) = 0, $K35/(time_cap),0)),0)</f>
        <v/>
      </c>
      <c r="U35" s="4395">
        <f>IFERROR(IF((time+time_cap)&lt;U$2, 0,IF(AND(time+1&gt;=V$2, $E35&lt;V$2), IF($I35= "I", $J35/($F35-$E35+1), $J35/(($F35*($F35+1)/2)-(($E35-1)*($E35-1+1)/2))*U$2), 0)+IF(IF(time+1&gt;=V$2, $K35/time_cap/(time+1)*U$2, 0) = 0, $K35/(time_cap),0)),0)</f>
        <v/>
      </c>
      <c r="V35" s="4395">
        <f>IFERROR(IF((time+time_cap)&lt;V$2, 0,IF(AND(time+1&gt;=W$2, $E35&lt;W$2), IF($I35= "I", $J35/($F35-$E35+1), $J35/(($F35*($F35+1)/2)-(($E35-1)*($E35-1+1)/2))*V$2), 0)+IF(IF(time+1&gt;=W$2, $K35/time_cap/(time+1)*V$2, 0) = 0, $K35/(time_cap),0)),0)</f>
        <v/>
      </c>
      <c r="W35" s="4395">
        <f>IFERROR(IF((time+time_cap)&lt;W$2, 0,IF(AND(time+1&gt;=X$2, $E35&lt;X$2), IF($I35= "I", $J35/($F35-$E35+1), $J35/(($F35*($F35+1)/2)-(($E35-1)*($E35-1+1)/2))*W$2), 0)+IF(IF(time+1&gt;=X$2, $K35/time_cap/(time+1)*W$2, 0) = 0, $K35/(time_cap),0)),0)</f>
        <v/>
      </c>
      <c r="X35" s="4395">
        <f>IFERROR(IF((time+time_cap)&lt;X$2, 0,IF(AND(time+1&gt;=Y$2, $E35&lt;Y$2), IF($I35= "I", $J35/($F35-$E35+1), $J35/(($F35*($F35+1)/2)-(($E35-1)*($E35-1+1)/2))*X$2), 0)+IF(IF(time+1&gt;=Y$2, $K35/time_cap/(time+1)*X$2, 0) = 0, $K35/(time_cap),0)),0)</f>
        <v/>
      </c>
      <c r="Y35" s="4395">
        <f>IFERROR(IF((time+time_cap)&lt;Y$2, 0,IF(AND(time+1&gt;=Z$2, $E35&lt;Z$2), IF($I35= "I", $J35/($F35-$E35+1), $J35/(($F35*($F35+1)/2)-(($E35-1)*($E35-1+1)/2))*Y$2), 0)+IF(IF(time+1&gt;=Z$2, $K35/time_cap/(time+1)*Y$2, 0) = 0, $K35/(time_cap),0)),0)</f>
        <v/>
      </c>
      <c r="Z35" s="4395">
        <f>IFERROR(IF((time+time_cap)&lt;Z$2, 0,IF(AND(time+1&gt;=AA$2, $E35&lt;AA$2), IF($I35= "I", $J35/($F35-$E35+1), $J35/(($F35*($F35+1)/2)-(($E35-1)*($E35-1+1)/2))*Z$2), 0)+IF(IF(time+1&gt;=AA$2, $K35/time_cap/(time+1)*Z$2, 0) = 0, $K35/(time_cap),0)),0)</f>
        <v/>
      </c>
      <c r="AA35" s="4395">
        <f>IFERROR(IF((time+time_cap)&lt;AA$2, 0,IF(AND(time+1&gt;=AB$2, $E35&lt;AB$2), IF($I35= "I", $J35/($F35-$E35+1), $J35/(($F35*($F35+1)/2)-(($E35-1)*($E35-1+1)/2))*AA$2), 0)+IF(IF(time+1&gt;=AB$2, $K35/time_cap/(time+1)*AA$2, 0) = 0, $K35/(time_cap),0)),0)</f>
        <v/>
      </c>
      <c r="AB35" s="4395">
        <f>IFERROR(IF((time+time_cap)&lt;AB$2, 0,IF(AND(time+1&gt;=AC$2, $E35&lt;AC$2), IF($I35= "I", $J35/($F35-$E35+1), $J35/(($F35*($F35+1)/2)-(($E35-1)*($E35-1+1)/2))*AB$2), 0)+IF(IF(time+1&gt;=AC$2, $K35/time_cap/(time+1)*AB$2, 0) = 0, $K35/(time_cap),0)),0)</f>
        <v/>
      </c>
      <c r="AC35" s="4395">
        <f>IFERROR(IF((time+time_cap)&lt;AC$2, 0,IF(AND(time+1&gt;=AD$2, $E35&lt;AD$2), IF($I35= "I", $J35/($F35-$E35+1), $J35/(($F35*($F35+1)/2)-(($E35-1)*($E35-1+1)/2))*AC$2), 0)+IF(IF(time+1&gt;=AD$2, $K35/time_cap/(time+1)*AC$2, 0) = 0, $K35/(time_cap),0)),0)</f>
        <v/>
      </c>
      <c r="AD35" s="4395">
        <f>IFERROR(IF((time+time_cap)&lt;AD$2, 0,IF(AND(time+1&gt;=AE$2, $E35&lt;AE$2), IF($I35= "I", $J35/($F35-$E35+1), $J35/(($F35*($F35+1)/2)-(($E35-1)*($E35-1+1)/2))*AD$2), 0)+IF(IF(time+1&gt;=AE$2, $K35/time_cap/(time+1)*AD$2, 0) = 0, $K35/(time_cap),0)),0)</f>
        <v/>
      </c>
      <c r="AE35" s="4395">
        <f>IFERROR(IF((time+time_cap)&lt;AE$2, 0,IF(AND(time+1&gt;=AF$2, $E35&lt;AF$2), IF($I35= "I", $J35/($F35-$E35+1), $J35/(($F35*($F35+1)/2)-(($E35-1)*($E35-1+1)/2))*AE$2), 0)+IF(IF(time+1&gt;=AF$2, $K35/time_cap/(time+1)*AE$2, 0) = 0, $K35/(time_cap),0)),0)</f>
        <v/>
      </c>
      <c r="AF35" s="4395">
        <f>IFERROR(IF((time+time_cap)&lt;AF$2, 0,IF(AND(time+1&gt;=AG$2, $E35&lt;AG$2), IF($I35= "I", $J35/($F35-$E35+1), $J35/(($F35*($F35+1)/2)-(($E35-1)*($E35-1+1)/2))*AF$2), 0)+IF(IF(time+1&gt;=AG$2, $K35/time_cap/(time+1)*AF$2, 0) = 0, $K35/(time_cap),0)),0)</f>
        <v/>
      </c>
      <c r="AG35" s="4395">
        <f>IFERROR(IF((time+time_cap)&lt;AG$2, 0,IF(AND(time+1&gt;=AH$2, $E35&lt;AH$2), IF($I35= "I", $J35/($F35-$E35+1), $J35/(($F35*($F35+1)/2)-(($E35-1)*($E35-1+1)/2))*AG$2), 0)+IF(IF(time+1&gt;=AH$2, $K35/time_cap/(time+1)*AG$2, 0) = 0, $K35/(time_cap),0)),0)</f>
        <v/>
      </c>
      <c r="AH35" s="4395">
        <f>IFERROR(IF((time+time_cap)&lt;AH$2, 0,IF(AND(time+1&gt;=AI$2, $E35&lt;AI$2), IF($I35= "I", $J35/($F35-$E35+1), $J35/(($F35*($F35+1)/2)-(($E35-1)*($E35-1+1)/2))*AH$2), 0)+IF(IF(time+1&gt;=AI$2, $K35/time_cap/(time+1)*AH$2, 0) = 0, $K35/(time_cap),0)),0)</f>
        <v/>
      </c>
      <c r="AI35" s="4395">
        <f>IFERROR(IF((time+time_cap)&lt;AI$2, 0,IF(AND(time+1&gt;=AJ$2, $E35&lt;AJ$2), IF($I35= "I", $J35/($F35-$E35+1), $J35/(($F35*($F35+1)/2)-(($E35-1)*($E35-1+1)/2))*AI$2), 0)+IF(IF(time+1&gt;=AJ$2, $K35/time_cap/(time+1)*AI$2, 0) = 0, $K35/(time_cap),0)),0)</f>
        <v/>
      </c>
      <c r="AJ35" s="4395">
        <f>IFERROR(IF((time+time_cap)&lt;AJ$2, 0,IF(AND(time+1&gt;=AK$2, $E35&lt;AK$2), IF($I35= "I", $J35/($F35-$E35+1), $J35/(($F35*($F35+1)/2)-(($E35-1)*($E35-1+1)/2))*AJ$2), 0)+IF(IF(time+1&gt;=AK$2, $K35/time_cap/(time+1)*AJ$2, 0) = 0, $K35/(time_cap),0)),0)</f>
        <v/>
      </c>
      <c r="AK35" s="4395">
        <f>IFERROR(IF((time+time_cap)&lt;AK$2, 0,IF(AND(time+1&gt;=AL$2, $E35&lt;AL$2), IF($I35= "I", $J35/($F35-$E35+1), $J35/(($F35*($F35+1)/2)-(($E35-1)*($E35-1+1)/2))*AK$2), 0)+IF(IF(time+1&gt;=AL$2, $K35/time_cap/(time+1)*AK$2, 0) = 0, $K35/(time_cap),0)),0)</f>
        <v/>
      </c>
      <c r="AL35" s="4395">
        <f>IFERROR(IF((time+time_cap)&lt;AL$2, 0,IF(AND(time+1&gt;=AM$2, $E35&lt;AM$2), IF($I35= "I", $J35/($F35-$E35+1), $J35/(($F35*($F35+1)/2)-(($E35-1)*($E35-1+1)/2))*AL$2), 0)+IF(IF(time+1&gt;=AM$2, $K35/time_cap/(time+1)*AL$2, 0) = 0, $K35/(time_cap),0)),0)</f>
        <v/>
      </c>
      <c r="AM35" s="4395">
        <f>IFERROR(IF((time+time_cap)&lt;AM$2, 0,IF(AND(time+1&gt;=AN$2, $E35&lt;AN$2), IF($I35= "I", $J35/($F35-$E35+1), $J35/(($F35*($F35+1)/2)-(($E35-1)*($E35-1+1)/2))*AM$2), 0)+IF(IF(time+1&gt;=AN$2, $K35/time_cap/(time+1)*AM$2, 0) = 0, $K35/(time_cap),0)),0)</f>
        <v/>
      </c>
      <c r="AN35" s="4395">
        <f>IFERROR(IF((time+time_cap)&lt;AN$2, 0,IF(AND(time+1&gt;=AO$2, $E35&lt;AO$2), IF($I35= "I", $J35/($F35-$E35+1), $J35/(($F35*($F35+1)/2)-(($E35-1)*($E35-1+1)/2))*AN$2), 0)+IF(IF(time+1&gt;=AO$2, $K35/time_cap/(time+1)*AN$2, 0) = 0, $K35/(time_cap),0)),0)</f>
        <v/>
      </c>
      <c r="AO35" s="4395">
        <f>IFERROR(IF((time+time_cap)&lt;AO$2, 0,IF(AND(time+1&gt;=AP$2, $E35&lt;AP$2), IF($I35= "I", $J35/($F35-$E35+1), $J35/(($F35*($F35+1)/2)-(($E35-1)*($E35-1+1)/2))*AO$2), 0)+IF(IF(time+1&gt;=AP$2, $K35/time_cap/(time+1)*AO$2, 0) = 0, $K35/(time_cap),0)),0)</f>
        <v/>
      </c>
      <c r="AP35" s="4395">
        <f>IFERROR(IF((time+time_cap)&lt;AP$2, 0,IF(AND(time+1&gt;=AQ$2, $E35&lt;AQ$2), IF($I35= "I", $J35/($F35-$E35+1), $J35/(($F35*($F35+1)/2)-(($E35-1)*($E35-1+1)/2))*AP$2), 0)+IF(IF(time+1&gt;=AQ$2, $K35/time_cap/(time+1)*AP$2, 0) = 0, $K35/(time_cap),0)),0)</f>
        <v/>
      </c>
      <c r="AQ35" s="4395">
        <f>IFERROR(IF((time+time_cap)&lt;AQ$2, 0,IF(AND(time+1&gt;=AR$2, $E35&lt;AR$2), IF($I35= "I", $J35/($F35-$E35+1), $J35/(($F35*($F35+1)/2)-(($E35-1)*($E35-1+1)/2))*AQ$2), 0)+IF(IF(time+1&gt;=AR$2, $K35/time_cap/(time+1)*AQ$2, 0) = 0, $K35/(time_cap),0)),0)</f>
        <v/>
      </c>
      <c r="AR35" s="4395">
        <f>IFERROR(IF((time+time_cap)&lt;AR$2, 0,IF(AND(time+1&gt;=AS$2, $E35&lt;AS$2), IF($I35= "I", $J35/($F35-$E35+1), $J35/(($F35*($F35+1)/2)-(($E35-1)*($E35-1+1)/2))*AR$2), 0)+IF(IF(time+1&gt;=AS$2, $K35/time_cap/(time+1)*AR$2, 0) = 0, $K35/(time_cap),0)),0)</f>
        <v/>
      </c>
      <c r="AS35" s="4395">
        <f>IFERROR(IF((time+time_cap)&lt;AS$2, 0,IF(AND(time+1&gt;=AT$2, $E35&lt;AT$2), IF($I35= "I", $J35/($F35-$E35+1), $J35/(($F35*($F35+1)/2)-(($E35-1)*($E35-1+1)/2))*AS$2), 0)+IF(IF(time+1&gt;=AT$2, $K35/time_cap/(time+1)*AS$2, 0) = 0, $K35/(time_cap),0)),0)</f>
        <v/>
      </c>
      <c r="AT35" s="4395">
        <f>IFERROR(IF((time+time_cap)&lt;AT$2, 0,IF(AND(time+1&gt;=AU$2, $E35&lt;AU$2), IF($I35= "I", $J35/($F35-$E35+1), $J35/(($F35*($F35+1)/2)-(($E35-1)*($E35-1+1)/2))*AT$2), 0)+IF(IF(time+1&gt;=AU$2, $K35/time_cap/(time+1)*AT$2, 0) = 0, $K35/(time_cap),0)),0)</f>
        <v/>
      </c>
      <c r="AU35" s="4395">
        <f>IFERROR(IF((time+time_cap)&lt;AU$2, 0,IF(AND(time+1&gt;=AV$2, $E35&lt;AV$2), IF($I35= "I", $J35/($F35-$E35+1), $J35/(($F35*($F35+1)/2)-(($E35-1)*($E35-1+1)/2))*AU$2), 0)+IF(IF(time+1&gt;=AV$2, $K35/time_cap/(time+1)*AU$2, 0) = 0, $K35/(time_cap),0)),0)</f>
        <v/>
      </c>
      <c r="AV35" s="4395">
        <f>IFERROR(IF((time+time_cap)&lt;AV$2, 0,IF(AND(time+1&gt;=AW$2, $E35&lt;AW$2), IF($I35= "I", $J35/($F35-$E35+1), $J35/(($F35*($F35+1)/2)-(($E35-1)*($E35-1+1)/2))*AV$2), 0)+IF(IF(time+1&gt;=AW$2, $K35/time_cap/(time+1)*AV$2, 0) = 0, $K35/(time_cap),0)),0)</f>
        <v/>
      </c>
      <c r="AW35" s="4395">
        <f>IFERROR(IF((time+time_cap)&lt;AW$2, 0,IF(AND(time+1&gt;=AX$2, $E35&lt;AX$2), IF($I35= "I", $J35/($F35-$E35+1), $J35/(($F35*($F35+1)/2)-(($E35-1)*($E35-1+1)/2))*AW$2), 0)+IF(IF(time+1&gt;=AX$2, $K35/time_cap/(time+1)*AW$2, 0) = 0, $K35/(time_cap),0)),0)</f>
        <v/>
      </c>
      <c r="AX35" s="4395">
        <f>IFERROR(IF((time+time_cap)&lt;AX$2, 0,IF(AND(time+1&gt;=AY$2, $E35&lt;AY$2), IF($I35= "I", $J35/($F35-$E35+1), $J35/(($F35*($F35+1)/2)-(($E35-1)*($E35-1+1)/2))*AX$2), 0)+IF(IF(time+1&gt;=AY$2, $K35/time_cap/(time+1)*AX$2, 0) = 0, $K35/(time_cap),0)),0)</f>
        <v/>
      </c>
      <c r="AY35" s="4395">
        <f>IFERROR(IF((time+time_cap)&lt;AY$2, 0,IF(AND(time+1&gt;=AZ$2, $E35&lt;AZ$2), IF($I35= "I", $J35/($F35-$E35+1), $J35/(($F35*($F35+1)/2)-(($E35-1)*($E35-1+1)/2))*AY$2), 0)+IF(IF(time+1&gt;=AZ$2, $K35/time_cap/(time+1)*AY$2, 0) = 0, $K35/(time_cap),0)),0)</f>
        <v/>
      </c>
      <c r="AZ35" s="4395">
        <f>IFERROR(IF((time+time_cap)&lt;AZ$2, 0,IF(AND(time+1&gt;=BA$2, $E35&lt;BA$2), IF($I35= "I", $J35/($F35-$E35+1), $J35/(($F35*($F35+1)/2)-(($E35-1)*($E35-1+1)/2))*AZ$2), 0)+IF(IF(time+1&gt;=BA$2, $K35/time_cap/(time+1)*AZ$2, 0) = 0, $K35/(time_cap),0)),0)</f>
        <v/>
      </c>
      <c r="BA35" s="4395">
        <f>IFERROR(IF((time+time_cap)&lt;BA$2, 0,IF(AND(time+1&gt;=BB$2, $E35&lt;BB$2), IF($I35= "I", $J35/($F35-$E35+1), $J35/(($F35*($F35+1)/2)-(($E35-1)*($E35-1+1)/2))*BA$2), 0)+IF(IF(time+1&gt;=BB$2, $K35/time_cap/(time+1)*BA$2, 0) = 0, $K35/(time_cap),0)),0)</f>
        <v/>
      </c>
      <c r="BB35" s="4395">
        <f>IFERROR(IF((time+time_cap)&lt;BB$2, 0,IF(AND(time+1&gt;=BC$2, $E35&lt;BC$2), IF($I35= "I", $J35/($F35-$E35+1), $J35/(($F35*($F35+1)/2)-(($E35-1)*($E35-1+1)/2))*BB$2), 0)+IF(IF(time+1&gt;=BC$2, $K35/time_cap/(time+1)*BB$2, 0) = 0, $K35/(time_cap),0)),0)</f>
        <v/>
      </c>
      <c r="BC35" s="4395">
        <f>IFERROR(IF((time+time_cap)&lt;BC$2, 0,IF(AND(time+1&gt;=BD$2, $E35&lt;BD$2), IF($I35= "I", $J35/($F35-$E35+1), $J35/(($F35*($F35+1)/2)-(($E35-1)*($E35-1+1)/2))*BC$2), 0)+IF(IF(time+1&gt;=BD$2, $K35/time_cap/(time+1)*BC$2, 0) = 0, $K35/(time_cap),0)),0)</f>
        <v/>
      </c>
      <c r="BD35" s="4395">
        <f>IFERROR(IF((time+time_cap)&lt;BD$2, 0,IF(AND(time+1&gt;=BE$2, $E35&lt;BE$2), IF($I35= "I", $J35/($F35-$E35+1), $J35/(($F35*($F35+1)/2)-(($E35-1)*($E35-1+1)/2))*BD$2), 0)+IF(IF(time+1&gt;=BE$2, $K35/time_cap/(time+1)*BD$2, 0) = 0, $K35/(time_cap),0)),0)</f>
        <v/>
      </c>
      <c r="BE35" s="4395">
        <f>IFERROR(IF((time+time_cap)&lt;BE$2, 0,IF(AND(time+1&gt;=BF$2, $E35&lt;BF$2), IF($I35= "I", $J35/($F35-$E35+1), $J35/(($F35*($F35+1)/2)-(($E35-1)*($E35-1+1)/2))*BE$2), 0)+IF(IF(time+1&gt;=BF$2, $K35/time_cap/(time+1)*BE$2, 0) = 0, $K35/(time_cap),0)),0)</f>
        <v/>
      </c>
      <c r="BF35" s="4395">
        <f>IFERROR(IF((time+time_cap)&lt;BF$2, 0,IF(AND(time+1&gt;=BG$2, $E35&lt;BG$2), IF($I35= "I", $J35/($F35-$E35+1), $J35/(($F35*($F35+1)/2)-(($E35-1)*($E35-1+1)/2))*BF$2), 0)+IF(IF(time+1&gt;=BG$2, $K35/time_cap/(time+1)*BF$2, 0) = 0, $K35/(time_cap),0)),0)</f>
        <v/>
      </c>
      <c r="BG35" s="4395">
        <f>IFERROR(IF((time+time_cap)&lt;BG$2, 0,IF(AND(time+1&gt;=BH$2, $E35&lt;BH$2), IF($I35= "I", $J35/($F35-$E35+1), $J35/(($F35*($F35+1)/2)-(($E35-1)*($E35-1+1)/2))*BG$2), 0)+IF(IF(time+1&gt;=BH$2, $K35/time_cap/(time+1)*BG$2, 0) = 0, $K35/(time_cap),0)),0)</f>
        <v/>
      </c>
      <c r="BH35" s="4395">
        <f>IFERROR(IF((time+time_cap)&lt;BH$2, 0,IF(AND(time+1&gt;=BI$2, $E35&lt;BI$2), IF($I35= "I", $J35/($F35-$E35+1), $J35/(($F35*($F35+1)/2)-(($E35-1)*($E35-1+1)/2))*BH$2), 0)+IF(IF(time+1&gt;=BI$2, $K35/time_cap/(time+1)*BH$2, 0) = 0, $K35/(time_cap),0)),0)</f>
        <v/>
      </c>
      <c r="BI35" s="4395">
        <f>IFERROR(IF((time+time_cap)&lt;BI$2, 0,IF(AND(time+1&gt;=BJ$2, $E35&lt;BJ$2), IF($I35= "I", $J35/($F35-$E35+1), $J35/(($F35*($F35+1)/2)-(($E35-1)*($E35-1+1)/2))*BI$2), 0)+IF(IF(time+1&gt;=BJ$2, $K35/time_cap/(time+1)*BI$2, 0) = 0, $K35/(time_cap),0)),0)</f>
        <v/>
      </c>
      <c r="BJ35" s="4395">
        <f>IFERROR(IF((time+time_cap)&lt;BJ$2, 0,IF(AND(time+1&gt;=BK$2, $E35&lt;BK$2), IF($I35= "I", $J35/($F35-$E35+1), $J35/(($F35*($F35+1)/2)-(($E35-1)*($E35-1+1)/2))*BJ$2), 0)+IF(IF(time+1&gt;=BK$2, $K35/time_cap/(time+1)*BJ$2, 0) = 0, $K35/(time_cap),0)),0)</f>
        <v/>
      </c>
      <c r="BK35" s="4395" t="n"/>
      <c r="BL35" s="4395" t="n"/>
      <c r="BM35" s="4395" t="n"/>
      <c r="BN35" s="4395" t="n"/>
      <c r="BO35" s="4395" t="n"/>
      <c r="BP35" s="4395" t="n"/>
      <c r="BQ35" s="4395" t="n"/>
      <c r="BR35" s="4395" t="n"/>
      <c r="BS35" s="4395" t="n"/>
      <c r="BT35" s="4395" t="n"/>
      <c r="BU35" s="4395" t="n"/>
      <c r="BV35" s="4395" t="n"/>
      <c r="BW35" s="4395" t="n"/>
      <c r="BX35" s="4395" t="n"/>
      <c r="BY35" s="4395" t="n"/>
      <c r="BZ35" s="4395" t="n"/>
      <c r="CA35" s="4395" t="n"/>
      <c r="CB35" s="4395" t="n"/>
      <c r="CC35" s="4395" t="n"/>
      <c r="CD35" s="4395" t="n"/>
      <c r="CE35" s="4395" t="n"/>
      <c r="CF35" s="4395" t="n"/>
      <c r="CG35" s="4395" t="n"/>
      <c r="CH35" s="4395" t="n"/>
      <c r="CI35" s="4395" t="n"/>
      <c r="CJ35" s="4395" t="n"/>
      <c r="CK35" s="4395" t="n"/>
      <c r="CL35" s="4395" t="n"/>
      <c r="CM35" s="4395" t="n"/>
      <c r="CN35" s="4395" t="n"/>
      <c r="CO35" s="4395" t="n"/>
      <c r="CP35" s="4395" t="n"/>
      <c r="CQ35" s="4395" t="n"/>
      <c r="CR35" s="4395" t="n"/>
      <c r="CS35" s="4395" t="n"/>
      <c r="CT35" s="4395" t="n"/>
      <c r="CU35" s="4395" t="n"/>
      <c r="CV35" s="4395" t="n"/>
      <c r="CW35" s="4395" t="n"/>
      <c r="CX35" s="4395" t="n"/>
      <c r="CY35" s="4395" t="n"/>
      <c r="CZ35" s="4395" t="n"/>
      <c r="DA35" s="4395" t="n"/>
      <c r="DB35" s="4395" t="n"/>
      <c r="DC35" s="4395" t="n"/>
      <c r="DD35" s="4395" t="n"/>
      <c r="DE35" s="4395" t="n"/>
      <c r="DF35" s="4395" t="n"/>
      <c r="DG35" s="4395" t="n"/>
      <c r="DH35" s="4395" t="n"/>
    </row>
    <row r="36" ht="16" customHeight="1">
      <c r="A36" t="inlineStr">
        <is>
          <t>OLUC</t>
        </is>
      </c>
      <c r="B36">
        <f>'2.LUC'!C70</f>
        <v/>
      </c>
      <c r="C36">
        <f>'2.LUC'!K70</f>
        <v/>
      </c>
      <c r="D36">
        <f>'2.LUC'!Y70</f>
        <v/>
      </c>
      <c r="E36">
        <f>IF('2.LUC'!BL70&lt;&gt;0,'2.LUC'!BL70,'2.LUC'!BK70)</f>
        <v/>
      </c>
      <c r="F36">
        <f>time</f>
        <v/>
      </c>
      <c r="G36" s="4395">
        <f>'2.LUC'!O70</f>
        <v/>
      </c>
      <c r="H36" s="4395">
        <f>'2.LUC'!Q70</f>
        <v/>
      </c>
      <c r="I36" s="4395">
        <f>IF(OR(H36="I", G36="I"), "I", IF(OR(H36="E", G36="E"), "E", "D"))</f>
        <v/>
      </c>
      <c r="J36" s="4395">
        <f>((D36/(time_cap+((F36-E36+1)*VLOOKUP(I36,list!$I$48:$K$50,3, FALSE))))*(F36-E36+1)*VLOOKUP(I36,list!$I$48:$K$50,3, FALSE))</f>
        <v/>
      </c>
      <c r="K36" s="4395">
        <f>((D36/(time_cap+((F36-E36+1)*VLOOKUP(I36,list!$I$48:$K$50,3, FALSE))))*time_cap)</f>
        <v/>
      </c>
      <c r="M36" s="4395">
        <f>IFERROR(IF((time+time_cap)&lt;M$2, 0,IF(AND(time+1&gt;=N$2, $E36&lt;N$2), IF($I36= "I", $J36/($F36-$E36+1), $J36/(($F36*($F36+1)/2)-(($E36-1)*($E36-1+1)/2))*M$2), 0)+IF(IF(time+1&gt;=N$2, $K36/time_cap/(time+1)*M$2, 0) = 0, $K36/(time_cap),0)),0)</f>
        <v/>
      </c>
      <c r="N36" s="4395">
        <f>IFERROR(IF((time+time_cap)&lt;N$2, 0,IF(AND(time+1&gt;=O$2, $E36&lt;O$2), IF($I36= "I", $J36/($F36-$E36+1), $J36/(($F36*($F36+1)/2)-(($E36-1)*($E36-1+1)/2))*N$2), 0)+IF(IF(time+1&gt;=O$2, $K36/time_cap/(time+1)*N$2, 0) = 0, $K36/(time_cap),0)),0)</f>
        <v/>
      </c>
      <c r="O36" s="4395">
        <f>IFERROR(IF((time+time_cap)&lt;O$2, 0,IF(AND(time+1&gt;=P$2, $E36&lt;P$2), IF($I36= "I", $J36/($F36-$E36+1), $J36/(($F36*($F36+1)/2)-(($E36-1)*($E36-1+1)/2))*O$2), 0)+IF(IF(time+1&gt;=P$2, $K36/time_cap/(time+1)*O$2, 0) = 0, $K36/(time_cap),0)),0)</f>
        <v/>
      </c>
      <c r="P36" s="4395">
        <f>IFERROR(IF((time+time_cap)&lt;P$2, 0,IF(AND(time+1&gt;=Q$2, $E36&lt;Q$2), IF($I36= "I", $J36/($F36-$E36+1), $J36/(($F36*($F36+1)/2)-(($E36-1)*($E36-1+1)/2))*P$2), 0)+IF(IF(time+1&gt;=Q$2, $K36/time_cap/(time+1)*P$2, 0) = 0, $K36/(time_cap),0)),0)</f>
        <v/>
      </c>
      <c r="Q36" s="4395">
        <f>IFERROR(IF((time+time_cap)&lt;Q$2, 0,IF(AND(time+1&gt;=R$2, $E36&lt;R$2), IF($I36= "I", $J36/($F36-$E36+1), $J36/(($F36*($F36+1)/2)-(($E36-1)*($E36-1+1)/2))*Q$2), 0)+IF(IF(time+1&gt;=R$2, $K36/time_cap/(time+1)*Q$2, 0) = 0, $K36/(time_cap),0)),0)</f>
        <v/>
      </c>
      <c r="R36" s="4395">
        <f>IFERROR(IF((time+time_cap)&lt;R$2, 0,IF(AND(time+1&gt;=S$2, $E36&lt;S$2), IF($I36= "I", $J36/($F36-$E36+1), $J36/(($F36*($F36+1)/2)-(($E36-1)*($E36-1+1)/2))*R$2), 0)+IF(IF(time+1&gt;=S$2, $K36/time_cap/(time+1)*R$2, 0) = 0, $K36/(time_cap),0)),0)</f>
        <v/>
      </c>
      <c r="S36" s="4395">
        <f>IFERROR(IF((time+time_cap)&lt;S$2, 0,IF(AND(time+1&gt;=T$2, $E36&lt;T$2), IF($I36= "I", $J36/($F36-$E36+1), $J36/(($F36*($F36+1)/2)-(($E36-1)*($E36-1+1)/2))*S$2), 0)+IF(IF(time+1&gt;=T$2, $K36/time_cap/(time+1)*S$2, 0) = 0, $K36/(time_cap),0)),0)</f>
        <v/>
      </c>
      <c r="T36" s="4395">
        <f>IFERROR(IF((time+time_cap)&lt;T$2, 0,IF(AND(time+1&gt;=U$2, $E36&lt;U$2), IF($I36= "I", $J36/($F36-$E36+1), $J36/(($F36*($F36+1)/2)-(($E36-1)*($E36-1+1)/2))*T$2), 0)+IF(IF(time+1&gt;=U$2, $K36/time_cap/(time+1)*T$2, 0) = 0, $K36/(time_cap),0)),0)</f>
        <v/>
      </c>
      <c r="U36" s="4395">
        <f>IFERROR(IF((time+time_cap)&lt;U$2, 0,IF(AND(time+1&gt;=V$2, $E36&lt;V$2), IF($I36= "I", $J36/($F36-$E36+1), $J36/(($F36*($F36+1)/2)-(($E36-1)*($E36-1+1)/2))*U$2), 0)+IF(IF(time+1&gt;=V$2, $K36/time_cap/(time+1)*U$2, 0) = 0, $K36/(time_cap),0)),0)</f>
        <v/>
      </c>
      <c r="V36" s="4395">
        <f>IFERROR(IF((time+time_cap)&lt;V$2, 0,IF(AND(time+1&gt;=W$2, $E36&lt;W$2), IF($I36= "I", $J36/($F36-$E36+1), $J36/(($F36*($F36+1)/2)-(($E36-1)*($E36-1+1)/2))*V$2), 0)+IF(IF(time+1&gt;=W$2, $K36/time_cap/(time+1)*V$2, 0) = 0, $K36/(time_cap),0)),0)</f>
        <v/>
      </c>
      <c r="W36" s="4395">
        <f>IFERROR(IF((time+time_cap)&lt;W$2, 0,IF(AND(time+1&gt;=X$2, $E36&lt;X$2), IF($I36= "I", $J36/($F36-$E36+1), $J36/(($F36*($F36+1)/2)-(($E36-1)*($E36-1+1)/2))*W$2), 0)+IF(IF(time+1&gt;=X$2, $K36/time_cap/(time+1)*W$2, 0) = 0, $K36/(time_cap),0)),0)</f>
        <v/>
      </c>
      <c r="X36" s="4395">
        <f>IFERROR(IF((time+time_cap)&lt;X$2, 0,IF(AND(time+1&gt;=Y$2, $E36&lt;Y$2), IF($I36= "I", $J36/($F36-$E36+1), $J36/(($F36*($F36+1)/2)-(($E36-1)*($E36-1+1)/2))*X$2), 0)+IF(IF(time+1&gt;=Y$2, $K36/time_cap/(time+1)*X$2, 0) = 0, $K36/(time_cap),0)),0)</f>
        <v/>
      </c>
      <c r="Y36" s="4395">
        <f>IFERROR(IF((time+time_cap)&lt;Y$2, 0,IF(AND(time+1&gt;=Z$2, $E36&lt;Z$2), IF($I36= "I", $J36/($F36-$E36+1), $J36/(($F36*($F36+1)/2)-(($E36-1)*($E36-1+1)/2))*Y$2), 0)+IF(IF(time+1&gt;=Z$2, $K36/time_cap/(time+1)*Y$2, 0) = 0, $K36/(time_cap),0)),0)</f>
        <v/>
      </c>
      <c r="Z36" s="4395">
        <f>IFERROR(IF((time+time_cap)&lt;Z$2, 0,IF(AND(time+1&gt;=AA$2, $E36&lt;AA$2), IF($I36= "I", $J36/($F36-$E36+1), $J36/(($F36*($F36+1)/2)-(($E36-1)*($E36-1+1)/2))*Z$2), 0)+IF(IF(time+1&gt;=AA$2, $K36/time_cap/(time+1)*Z$2, 0) = 0, $K36/(time_cap),0)),0)</f>
        <v/>
      </c>
      <c r="AA36" s="4395">
        <f>IFERROR(IF((time+time_cap)&lt;AA$2, 0,IF(AND(time+1&gt;=AB$2, $E36&lt;AB$2), IF($I36= "I", $J36/($F36-$E36+1), $J36/(($F36*($F36+1)/2)-(($E36-1)*($E36-1+1)/2))*AA$2), 0)+IF(IF(time+1&gt;=AB$2, $K36/time_cap/(time+1)*AA$2, 0) = 0, $K36/(time_cap),0)),0)</f>
        <v/>
      </c>
      <c r="AB36" s="4395">
        <f>IFERROR(IF((time+time_cap)&lt;AB$2, 0,IF(AND(time+1&gt;=AC$2, $E36&lt;AC$2), IF($I36= "I", $J36/($F36-$E36+1), $J36/(($F36*($F36+1)/2)-(($E36-1)*($E36-1+1)/2))*AB$2), 0)+IF(IF(time+1&gt;=AC$2, $K36/time_cap/(time+1)*AB$2, 0) = 0, $K36/(time_cap),0)),0)</f>
        <v/>
      </c>
      <c r="AC36" s="4395">
        <f>IFERROR(IF((time+time_cap)&lt;AC$2, 0,IF(AND(time+1&gt;=AD$2, $E36&lt;AD$2), IF($I36= "I", $J36/($F36-$E36+1), $J36/(($F36*($F36+1)/2)-(($E36-1)*($E36-1+1)/2))*AC$2), 0)+IF(IF(time+1&gt;=AD$2, $K36/time_cap/(time+1)*AC$2, 0) = 0, $K36/(time_cap),0)),0)</f>
        <v/>
      </c>
      <c r="AD36" s="4395">
        <f>IFERROR(IF((time+time_cap)&lt;AD$2, 0,IF(AND(time+1&gt;=AE$2, $E36&lt;AE$2), IF($I36= "I", $J36/($F36-$E36+1), $J36/(($F36*($F36+1)/2)-(($E36-1)*($E36-1+1)/2))*AD$2), 0)+IF(IF(time+1&gt;=AE$2, $K36/time_cap/(time+1)*AD$2, 0) = 0, $K36/(time_cap),0)),0)</f>
        <v/>
      </c>
      <c r="AE36" s="4395">
        <f>IFERROR(IF((time+time_cap)&lt;AE$2, 0,IF(AND(time+1&gt;=AF$2, $E36&lt;AF$2), IF($I36= "I", $J36/($F36-$E36+1), $J36/(($F36*($F36+1)/2)-(($E36-1)*($E36-1+1)/2))*AE$2), 0)+IF(IF(time+1&gt;=AF$2, $K36/time_cap/(time+1)*AE$2, 0) = 0, $K36/(time_cap),0)),0)</f>
        <v/>
      </c>
      <c r="AF36" s="4395">
        <f>IFERROR(IF((time+time_cap)&lt;AF$2, 0,IF(AND(time+1&gt;=AG$2, $E36&lt;AG$2), IF($I36= "I", $J36/($F36-$E36+1), $J36/(($F36*($F36+1)/2)-(($E36-1)*($E36-1+1)/2))*AF$2), 0)+IF(IF(time+1&gt;=AG$2, $K36/time_cap/(time+1)*AF$2, 0) = 0, $K36/(time_cap),0)),0)</f>
        <v/>
      </c>
      <c r="AG36" s="4395">
        <f>IFERROR(IF((time+time_cap)&lt;AG$2, 0,IF(AND(time+1&gt;=AH$2, $E36&lt;AH$2), IF($I36= "I", $J36/($F36-$E36+1), $J36/(($F36*($F36+1)/2)-(($E36-1)*($E36-1+1)/2))*AG$2), 0)+IF(IF(time+1&gt;=AH$2, $K36/time_cap/(time+1)*AG$2, 0) = 0, $K36/(time_cap),0)),0)</f>
        <v/>
      </c>
      <c r="AH36" s="4395">
        <f>IFERROR(IF((time+time_cap)&lt;AH$2, 0,IF(AND(time+1&gt;=AI$2, $E36&lt;AI$2), IF($I36= "I", $J36/($F36-$E36+1), $J36/(($F36*($F36+1)/2)-(($E36-1)*($E36-1+1)/2))*AH$2), 0)+IF(IF(time+1&gt;=AI$2, $K36/time_cap/(time+1)*AH$2, 0) = 0, $K36/(time_cap),0)),0)</f>
        <v/>
      </c>
      <c r="AI36" s="4395">
        <f>IFERROR(IF((time+time_cap)&lt;AI$2, 0,IF(AND(time+1&gt;=AJ$2, $E36&lt;AJ$2), IF($I36= "I", $J36/($F36-$E36+1), $J36/(($F36*($F36+1)/2)-(($E36-1)*($E36-1+1)/2))*AI$2), 0)+IF(IF(time+1&gt;=AJ$2, $K36/time_cap/(time+1)*AI$2, 0) = 0, $K36/(time_cap),0)),0)</f>
        <v/>
      </c>
      <c r="AJ36" s="4395">
        <f>IFERROR(IF((time+time_cap)&lt;AJ$2, 0,IF(AND(time+1&gt;=AK$2, $E36&lt;AK$2), IF($I36= "I", $J36/($F36-$E36+1), $J36/(($F36*($F36+1)/2)-(($E36-1)*($E36-1+1)/2))*AJ$2), 0)+IF(IF(time+1&gt;=AK$2, $K36/time_cap/(time+1)*AJ$2, 0) = 0, $K36/(time_cap),0)),0)</f>
        <v/>
      </c>
      <c r="AK36" s="4395">
        <f>IFERROR(IF((time+time_cap)&lt;AK$2, 0,IF(AND(time+1&gt;=AL$2, $E36&lt;AL$2), IF($I36= "I", $J36/($F36-$E36+1), $J36/(($F36*($F36+1)/2)-(($E36-1)*($E36-1+1)/2))*AK$2), 0)+IF(IF(time+1&gt;=AL$2, $K36/time_cap/(time+1)*AK$2, 0) = 0, $K36/(time_cap),0)),0)</f>
        <v/>
      </c>
      <c r="AL36" s="4395">
        <f>IFERROR(IF((time+time_cap)&lt;AL$2, 0,IF(AND(time+1&gt;=AM$2, $E36&lt;AM$2), IF($I36= "I", $J36/($F36-$E36+1), $J36/(($F36*($F36+1)/2)-(($E36-1)*($E36-1+1)/2))*AL$2), 0)+IF(IF(time+1&gt;=AM$2, $K36/time_cap/(time+1)*AL$2, 0) = 0, $K36/(time_cap),0)),0)</f>
        <v/>
      </c>
      <c r="AM36" s="4395">
        <f>IFERROR(IF((time+time_cap)&lt;AM$2, 0,IF(AND(time+1&gt;=AN$2, $E36&lt;AN$2), IF($I36= "I", $J36/($F36-$E36+1), $J36/(($F36*($F36+1)/2)-(($E36-1)*($E36-1+1)/2))*AM$2), 0)+IF(IF(time+1&gt;=AN$2, $K36/time_cap/(time+1)*AM$2, 0) = 0, $K36/(time_cap),0)),0)</f>
        <v/>
      </c>
      <c r="AN36" s="4395">
        <f>IFERROR(IF((time+time_cap)&lt;AN$2, 0,IF(AND(time+1&gt;=AO$2, $E36&lt;AO$2), IF($I36= "I", $J36/($F36-$E36+1), $J36/(($F36*($F36+1)/2)-(($E36-1)*($E36-1+1)/2))*AN$2), 0)+IF(IF(time+1&gt;=AO$2, $K36/time_cap/(time+1)*AN$2, 0) = 0, $K36/(time_cap),0)),0)</f>
        <v/>
      </c>
      <c r="AO36" s="4395">
        <f>IFERROR(IF((time+time_cap)&lt;AO$2, 0,IF(AND(time+1&gt;=AP$2, $E36&lt;AP$2), IF($I36= "I", $J36/($F36-$E36+1), $J36/(($F36*($F36+1)/2)-(($E36-1)*($E36-1+1)/2))*AO$2), 0)+IF(IF(time+1&gt;=AP$2, $K36/time_cap/(time+1)*AO$2, 0) = 0, $K36/(time_cap),0)),0)</f>
        <v/>
      </c>
      <c r="AP36" s="4395">
        <f>IFERROR(IF((time+time_cap)&lt;AP$2, 0,IF(AND(time+1&gt;=AQ$2, $E36&lt;AQ$2), IF($I36= "I", $J36/($F36-$E36+1), $J36/(($F36*($F36+1)/2)-(($E36-1)*($E36-1+1)/2))*AP$2), 0)+IF(IF(time+1&gt;=AQ$2, $K36/time_cap/(time+1)*AP$2, 0) = 0, $K36/(time_cap),0)),0)</f>
        <v/>
      </c>
      <c r="AQ36" s="4395">
        <f>IFERROR(IF((time+time_cap)&lt;AQ$2, 0,IF(AND(time+1&gt;=AR$2, $E36&lt;AR$2), IF($I36= "I", $J36/($F36-$E36+1), $J36/(($F36*($F36+1)/2)-(($E36-1)*($E36-1+1)/2))*AQ$2), 0)+IF(IF(time+1&gt;=AR$2, $K36/time_cap/(time+1)*AQ$2, 0) = 0, $K36/(time_cap),0)),0)</f>
        <v/>
      </c>
      <c r="AR36" s="4395">
        <f>IFERROR(IF((time+time_cap)&lt;AR$2, 0,IF(AND(time+1&gt;=AS$2, $E36&lt;AS$2), IF($I36= "I", $J36/($F36-$E36+1), $J36/(($F36*($F36+1)/2)-(($E36-1)*($E36-1+1)/2))*AR$2), 0)+IF(IF(time+1&gt;=AS$2, $K36/time_cap/(time+1)*AR$2, 0) = 0, $K36/(time_cap),0)),0)</f>
        <v/>
      </c>
      <c r="AS36" s="4395">
        <f>IFERROR(IF((time+time_cap)&lt;AS$2, 0,IF(AND(time+1&gt;=AT$2, $E36&lt;AT$2), IF($I36= "I", $J36/($F36-$E36+1), $J36/(($F36*($F36+1)/2)-(($E36-1)*($E36-1+1)/2))*AS$2), 0)+IF(IF(time+1&gt;=AT$2, $K36/time_cap/(time+1)*AS$2, 0) = 0, $K36/(time_cap),0)),0)</f>
        <v/>
      </c>
      <c r="AT36" s="4395">
        <f>IFERROR(IF((time+time_cap)&lt;AT$2, 0,IF(AND(time+1&gt;=AU$2, $E36&lt;AU$2), IF($I36= "I", $J36/($F36-$E36+1), $J36/(($F36*($F36+1)/2)-(($E36-1)*($E36-1+1)/2))*AT$2), 0)+IF(IF(time+1&gt;=AU$2, $K36/time_cap/(time+1)*AT$2, 0) = 0, $K36/(time_cap),0)),0)</f>
        <v/>
      </c>
      <c r="AU36" s="4395">
        <f>IFERROR(IF((time+time_cap)&lt;AU$2, 0,IF(AND(time+1&gt;=AV$2, $E36&lt;AV$2), IF($I36= "I", $J36/($F36-$E36+1), $J36/(($F36*($F36+1)/2)-(($E36-1)*($E36-1+1)/2))*AU$2), 0)+IF(IF(time+1&gt;=AV$2, $K36/time_cap/(time+1)*AU$2, 0) = 0, $K36/(time_cap),0)),0)</f>
        <v/>
      </c>
      <c r="AV36" s="4395">
        <f>IFERROR(IF((time+time_cap)&lt;AV$2, 0,IF(AND(time+1&gt;=AW$2, $E36&lt;AW$2), IF($I36= "I", $J36/($F36-$E36+1), $J36/(($F36*($F36+1)/2)-(($E36-1)*($E36-1+1)/2))*AV$2), 0)+IF(IF(time+1&gt;=AW$2, $K36/time_cap/(time+1)*AV$2, 0) = 0, $K36/(time_cap),0)),0)</f>
        <v/>
      </c>
      <c r="AW36" s="4395">
        <f>IFERROR(IF((time+time_cap)&lt;AW$2, 0,IF(AND(time+1&gt;=AX$2, $E36&lt;AX$2), IF($I36= "I", $J36/($F36-$E36+1), $J36/(($F36*($F36+1)/2)-(($E36-1)*($E36-1+1)/2))*AW$2), 0)+IF(IF(time+1&gt;=AX$2, $K36/time_cap/(time+1)*AW$2, 0) = 0, $K36/(time_cap),0)),0)</f>
        <v/>
      </c>
      <c r="AX36" s="4395">
        <f>IFERROR(IF((time+time_cap)&lt;AX$2, 0,IF(AND(time+1&gt;=AY$2, $E36&lt;AY$2), IF($I36= "I", $J36/($F36-$E36+1), $J36/(($F36*($F36+1)/2)-(($E36-1)*($E36-1+1)/2))*AX$2), 0)+IF(IF(time+1&gt;=AY$2, $K36/time_cap/(time+1)*AX$2, 0) = 0, $K36/(time_cap),0)),0)</f>
        <v/>
      </c>
      <c r="AY36" s="4395">
        <f>IFERROR(IF((time+time_cap)&lt;AY$2, 0,IF(AND(time+1&gt;=AZ$2, $E36&lt;AZ$2), IF($I36= "I", $J36/($F36-$E36+1), $J36/(($F36*($F36+1)/2)-(($E36-1)*($E36-1+1)/2))*AY$2), 0)+IF(IF(time+1&gt;=AZ$2, $K36/time_cap/(time+1)*AY$2, 0) = 0, $K36/(time_cap),0)),0)</f>
        <v/>
      </c>
      <c r="AZ36" s="4395">
        <f>IFERROR(IF((time+time_cap)&lt;AZ$2, 0,IF(AND(time+1&gt;=BA$2, $E36&lt;BA$2), IF($I36= "I", $J36/($F36-$E36+1), $J36/(($F36*($F36+1)/2)-(($E36-1)*($E36-1+1)/2))*AZ$2), 0)+IF(IF(time+1&gt;=BA$2, $K36/time_cap/(time+1)*AZ$2, 0) = 0, $K36/(time_cap),0)),0)</f>
        <v/>
      </c>
      <c r="BA36" s="4395">
        <f>IFERROR(IF((time+time_cap)&lt;BA$2, 0,IF(AND(time+1&gt;=BB$2, $E36&lt;BB$2), IF($I36= "I", $J36/($F36-$E36+1), $J36/(($F36*($F36+1)/2)-(($E36-1)*($E36-1+1)/2))*BA$2), 0)+IF(IF(time+1&gt;=BB$2, $K36/time_cap/(time+1)*BA$2, 0) = 0, $K36/(time_cap),0)),0)</f>
        <v/>
      </c>
      <c r="BB36" s="4395">
        <f>IFERROR(IF((time+time_cap)&lt;BB$2, 0,IF(AND(time+1&gt;=BC$2, $E36&lt;BC$2), IF($I36= "I", $J36/($F36-$E36+1), $J36/(($F36*($F36+1)/2)-(($E36-1)*($E36-1+1)/2))*BB$2), 0)+IF(IF(time+1&gt;=BC$2, $K36/time_cap/(time+1)*BB$2, 0) = 0, $K36/(time_cap),0)),0)</f>
        <v/>
      </c>
      <c r="BC36" s="4395">
        <f>IFERROR(IF((time+time_cap)&lt;BC$2, 0,IF(AND(time+1&gt;=BD$2, $E36&lt;BD$2), IF($I36= "I", $J36/($F36-$E36+1), $J36/(($F36*($F36+1)/2)-(($E36-1)*($E36-1+1)/2))*BC$2), 0)+IF(IF(time+1&gt;=BD$2, $K36/time_cap/(time+1)*BC$2, 0) = 0, $K36/(time_cap),0)),0)</f>
        <v/>
      </c>
      <c r="BD36" s="4395">
        <f>IFERROR(IF((time+time_cap)&lt;BD$2, 0,IF(AND(time+1&gt;=BE$2, $E36&lt;BE$2), IF($I36= "I", $J36/($F36-$E36+1), $J36/(($F36*($F36+1)/2)-(($E36-1)*($E36-1+1)/2))*BD$2), 0)+IF(IF(time+1&gt;=BE$2, $K36/time_cap/(time+1)*BD$2, 0) = 0, $K36/(time_cap),0)),0)</f>
        <v/>
      </c>
      <c r="BE36" s="4395">
        <f>IFERROR(IF((time+time_cap)&lt;BE$2, 0,IF(AND(time+1&gt;=BF$2, $E36&lt;BF$2), IF($I36= "I", $J36/($F36-$E36+1), $J36/(($F36*($F36+1)/2)-(($E36-1)*($E36-1+1)/2))*BE$2), 0)+IF(IF(time+1&gt;=BF$2, $K36/time_cap/(time+1)*BE$2, 0) = 0, $K36/(time_cap),0)),0)</f>
        <v/>
      </c>
      <c r="BF36" s="4395">
        <f>IFERROR(IF((time+time_cap)&lt;BF$2, 0,IF(AND(time+1&gt;=BG$2, $E36&lt;BG$2), IF($I36= "I", $J36/($F36-$E36+1), $J36/(($F36*($F36+1)/2)-(($E36-1)*($E36-1+1)/2))*BF$2), 0)+IF(IF(time+1&gt;=BG$2, $K36/time_cap/(time+1)*BF$2, 0) = 0, $K36/(time_cap),0)),0)</f>
        <v/>
      </c>
      <c r="BG36" s="4395">
        <f>IFERROR(IF((time+time_cap)&lt;BG$2, 0,IF(AND(time+1&gt;=BH$2, $E36&lt;BH$2), IF($I36= "I", $J36/($F36-$E36+1), $J36/(($F36*($F36+1)/2)-(($E36-1)*($E36-1+1)/2))*BG$2), 0)+IF(IF(time+1&gt;=BH$2, $K36/time_cap/(time+1)*BG$2, 0) = 0, $K36/(time_cap),0)),0)</f>
        <v/>
      </c>
      <c r="BH36" s="4395">
        <f>IFERROR(IF((time+time_cap)&lt;BH$2, 0,IF(AND(time+1&gt;=BI$2, $E36&lt;BI$2), IF($I36= "I", $J36/($F36-$E36+1), $J36/(($F36*($F36+1)/2)-(($E36-1)*($E36-1+1)/2))*BH$2), 0)+IF(IF(time+1&gt;=BI$2, $K36/time_cap/(time+1)*BH$2, 0) = 0, $K36/(time_cap),0)),0)</f>
        <v/>
      </c>
      <c r="BI36" s="4395">
        <f>IFERROR(IF((time+time_cap)&lt;BI$2, 0,IF(AND(time+1&gt;=BJ$2, $E36&lt;BJ$2), IF($I36= "I", $J36/($F36-$E36+1), $J36/(($F36*($F36+1)/2)-(($E36-1)*($E36-1+1)/2))*BI$2), 0)+IF(IF(time+1&gt;=BJ$2, $K36/time_cap/(time+1)*BI$2, 0) = 0, $K36/(time_cap),0)),0)</f>
        <v/>
      </c>
      <c r="BJ36" s="4395">
        <f>IFERROR(IF((time+time_cap)&lt;BJ$2, 0,IF(AND(time+1&gt;=BK$2, $E36&lt;BK$2), IF($I36= "I", $J36/($F36-$E36+1), $J36/(($F36*($F36+1)/2)-(($E36-1)*($E36-1+1)/2))*BJ$2), 0)+IF(IF(time+1&gt;=BK$2, $K36/time_cap/(time+1)*BJ$2, 0) = 0, $K36/(time_cap),0)),0)</f>
        <v/>
      </c>
      <c r="BK36" s="4395" t="n"/>
      <c r="BL36" s="4395" t="n"/>
      <c r="BM36" s="4395" t="n"/>
      <c r="BN36" s="4395" t="n"/>
      <c r="BO36" s="4395" t="n"/>
      <c r="BP36" s="4395" t="n"/>
      <c r="BQ36" s="4395" t="n"/>
      <c r="BR36" s="4395" t="n"/>
      <c r="BS36" s="4395" t="n"/>
      <c r="BT36" s="4395" t="n"/>
      <c r="BU36" s="4395" t="n"/>
      <c r="BV36" s="4395" t="n"/>
      <c r="BW36" s="4395" t="n"/>
      <c r="BX36" s="4395" t="n"/>
      <c r="BY36" s="4395" t="n"/>
      <c r="BZ36" s="4395" t="n"/>
      <c r="CA36" s="4395" t="n"/>
      <c r="CB36" s="4395" t="n"/>
      <c r="CC36" s="4395" t="n"/>
      <c r="CD36" s="4395" t="n"/>
      <c r="CE36" s="4395" t="n"/>
      <c r="CF36" s="4395" t="n"/>
      <c r="CG36" s="4395" t="n"/>
      <c r="CH36" s="4395" t="n"/>
      <c r="CI36" s="4395" t="n"/>
      <c r="CJ36" s="4395" t="n"/>
      <c r="CK36" s="4395" t="n"/>
      <c r="CL36" s="4395" t="n"/>
      <c r="CM36" s="4395" t="n"/>
      <c r="CN36" s="4395" t="n"/>
      <c r="CO36" s="4395" t="n"/>
      <c r="CP36" s="4395" t="n"/>
      <c r="CQ36" s="4395" t="n"/>
      <c r="CR36" s="4395" t="n"/>
      <c r="CS36" s="4395" t="n"/>
      <c r="CT36" s="4395" t="n"/>
      <c r="CU36" s="4395" t="n"/>
      <c r="CV36" s="4395" t="n"/>
      <c r="CW36" s="4395" t="n"/>
      <c r="CX36" s="4395" t="n"/>
      <c r="CY36" s="4395" t="n"/>
      <c r="CZ36" s="4395" t="n"/>
      <c r="DA36" s="4395" t="n"/>
      <c r="DB36" s="4395" t="n"/>
      <c r="DC36" s="4395" t="n"/>
      <c r="DD36" s="4395" t="n"/>
      <c r="DE36" s="4395" t="n"/>
      <c r="DF36" s="4395" t="n"/>
      <c r="DG36" s="4395" t="n"/>
      <c r="DH36" s="4395" t="n"/>
    </row>
    <row r="37" ht="16" customHeight="1">
      <c r="A37" t="inlineStr">
        <is>
          <t>Annuals</t>
        </is>
      </c>
      <c r="C37">
        <f>'3.Cropland'!E14</f>
        <v/>
      </c>
      <c r="D37" s="388">
        <f>'3.Cropland'!Z14</f>
        <v/>
      </c>
      <c r="E37">
        <f>IF('3.Cropland'!BP14&lt;&gt;0,'3.Cropland'!BP14,'3.Cropland'!BO14)</f>
        <v/>
      </c>
      <c r="F37">
        <f>time</f>
        <v/>
      </c>
      <c r="G37" s="4395" t="inlineStr">
        <is>
          <t>D</t>
        </is>
      </c>
      <c r="H37" s="4395" t="inlineStr">
        <is>
          <t>D</t>
        </is>
      </c>
      <c r="I37" s="4395">
        <f>IF(OR(H37="I", G37="I"), "I", IF(OR(H37="E", G37="E"), "E", "D"))</f>
        <v/>
      </c>
      <c r="J37" s="4395">
        <f>((D37/(time_cap+((F37-E37+1)*VLOOKUP(I37,list!$I$48:$K$50,3, FALSE))))*(F37-E37+1)*VLOOKUP(I37,list!$I$48:$K$50,3, FALSE))</f>
        <v/>
      </c>
      <c r="K37" s="4395">
        <f>((D37/(time_cap+((F37-E37+1)*VLOOKUP(I37,list!$I$48:$K$50,3, FALSE))))*time_cap)</f>
        <v/>
      </c>
      <c r="M37" s="4395">
        <f>IFERROR(IF((time+time_cap)&lt;M$2, 0,IF(AND(time+1&gt;=N$2, $E37&lt;N$2), IF($I37= "I", $J37/($F37-$E37+1), $J37/(($F37*($F37+1)/2)-(($E37-1)*($E37-1+1)/2))*M$2), 0)+IF(IF(time+1&gt;=N$2, $K37/time_cap/(time+1)*M$2, 0) = 0, $K37/(time_cap),0)),0)</f>
        <v/>
      </c>
      <c r="N37" s="4395">
        <f>IFERROR(IF((time+time_cap)&lt;N$2, 0,IF(AND(time+1&gt;=O$2, $E37&lt;O$2), IF($I37= "I", $J37/($F37-$E37+1), $J37/(($F37*($F37+1)/2)-(($E37-1)*($E37-1+1)/2))*N$2), 0)+IF(IF(time+1&gt;=O$2, $K37/time_cap/(time+1)*N$2, 0) = 0, $K37/(time_cap),0)),0)</f>
        <v/>
      </c>
      <c r="O37" s="4395">
        <f>IFERROR(IF((time+time_cap)&lt;O$2, 0,IF(AND(time+1&gt;=P$2, $E37&lt;P$2), IF($I37= "I", $J37/($F37-$E37+1), $J37/(($F37*($F37+1)/2)-(($E37-1)*($E37-1+1)/2))*O$2), 0)+IF(IF(time+1&gt;=P$2, $K37/time_cap/(time+1)*O$2, 0) = 0, $K37/(time_cap),0)),0)</f>
        <v/>
      </c>
      <c r="P37" s="4395">
        <f>IFERROR(IF((time+time_cap)&lt;P$2, 0,IF(AND(time+1&gt;=Q$2, $E37&lt;Q$2), IF($I37= "I", $J37/($F37-$E37+1), $J37/(($F37*($F37+1)/2)-(($E37-1)*($E37-1+1)/2))*P$2), 0)+IF(IF(time+1&gt;=Q$2, $K37/time_cap/(time+1)*P$2, 0) = 0, $K37/(time_cap),0)),0)</f>
        <v/>
      </c>
      <c r="Q37" s="4395">
        <f>IFERROR(IF((time+time_cap)&lt;Q$2, 0,IF(AND(time+1&gt;=R$2, $E37&lt;R$2), IF($I37= "I", $J37/($F37-$E37+1), $J37/(($F37*($F37+1)/2)-(($E37-1)*($E37-1+1)/2))*Q$2), 0)+IF(IF(time+1&gt;=R$2, $K37/time_cap/(time+1)*Q$2, 0) = 0, $K37/(time_cap),0)),0)</f>
        <v/>
      </c>
      <c r="R37" s="4395">
        <f>IFERROR(IF((time+time_cap)&lt;R$2, 0,IF(AND(time+1&gt;=S$2, $E37&lt;S$2), IF($I37= "I", $J37/($F37-$E37+1), $J37/(($F37*($F37+1)/2)-(($E37-1)*($E37-1+1)/2))*R$2), 0)+IF(IF(time+1&gt;=S$2, $K37/time_cap/(time+1)*R$2, 0) = 0, $K37/(time_cap),0)),0)</f>
        <v/>
      </c>
      <c r="S37" s="4395">
        <f>IFERROR(IF((time+time_cap)&lt;S$2, 0,IF(AND(time+1&gt;=T$2, $E37&lt;T$2), IF($I37= "I", $J37/($F37-$E37+1), $J37/(($F37*($F37+1)/2)-(($E37-1)*($E37-1+1)/2))*S$2), 0)+IF(IF(time+1&gt;=T$2, $K37/time_cap/(time+1)*S$2, 0) = 0, $K37/(time_cap),0)),0)</f>
        <v/>
      </c>
      <c r="T37" s="4395">
        <f>IFERROR(IF((time+time_cap)&lt;T$2, 0,IF(AND(time+1&gt;=U$2, $E37&lt;U$2), IF($I37= "I", $J37/($F37-$E37+1), $J37/(($F37*($F37+1)/2)-(($E37-1)*($E37-1+1)/2))*T$2), 0)+IF(IF(time+1&gt;=U$2, $K37/time_cap/(time+1)*T$2, 0) = 0, $K37/(time_cap),0)),0)</f>
        <v/>
      </c>
      <c r="U37" s="4395">
        <f>IFERROR(IF((time+time_cap)&lt;U$2, 0,IF(AND(time+1&gt;=V$2, $E37&lt;V$2), IF($I37= "I", $J37/($F37-$E37+1), $J37/(($F37*($F37+1)/2)-(($E37-1)*($E37-1+1)/2))*U$2), 0)+IF(IF(time+1&gt;=V$2, $K37/time_cap/(time+1)*U$2, 0) = 0, $K37/(time_cap),0)),0)</f>
        <v/>
      </c>
      <c r="V37" s="4395">
        <f>IFERROR(IF((time+time_cap)&lt;V$2, 0,IF(AND(time+1&gt;=W$2, $E37&lt;W$2), IF($I37= "I", $J37/($F37-$E37+1), $J37/(($F37*($F37+1)/2)-(($E37-1)*($E37-1+1)/2))*V$2), 0)+IF(IF(time+1&gt;=W$2, $K37/time_cap/(time+1)*V$2, 0) = 0, $K37/(time_cap),0)),0)</f>
        <v/>
      </c>
      <c r="W37" s="4395">
        <f>IFERROR(IF((time+time_cap)&lt;W$2, 0,IF(AND(time+1&gt;=X$2, $E37&lt;X$2), IF($I37= "I", $J37/($F37-$E37+1), $J37/(($F37*($F37+1)/2)-(($E37-1)*($E37-1+1)/2))*W$2), 0)+IF(IF(time+1&gt;=X$2, $K37/time_cap/(time+1)*W$2, 0) = 0, $K37/(time_cap),0)),0)</f>
        <v/>
      </c>
      <c r="X37" s="4395">
        <f>IFERROR(IF((time+time_cap)&lt;X$2, 0,IF(AND(time+1&gt;=Y$2, $E37&lt;Y$2), IF($I37= "I", $J37/($F37-$E37+1), $J37/(($F37*($F37+1)/2)-(($E37-1)*($E37-1+1)/2))*X$2), 0)+IF(IF(time+1&gt;=Y$2, $K37/time_cap/(time+1)*X$2, 0) = 0, $K37/(time_cap),0)),0)</f>
        <v/>
      </c>
      <c r="Y37" s="4395">
        <f>IFERROR(IF((time+time_cap)&lt;Y$2, 0,IF(AND(time+1&gt;=Z$2, $E37&lt;Z$2), IF($I37= "I", $J37/($F37-$E37+1), $J37/(($F37*($F37+1)/2)-(($E37-1)*($E37-1+1)/2))*Y$2), 0)+IF(IF(time+1&gt;=Z$2, $K37/time_cap/(time+1)*Y$2, 0) = 0, $K37/(time_cap),0)),0)</f>
        <v/>
      </c>
      <c r="Z37" s="4395">
        <f>IFERROR(IF((time+time_cap)&lt;Z$2, 0,IF(AND(time+1&gt;=AA$2, $E37&lt;AA$2), IF($I37= "I", $J37/($F37-$E37+1), $J37/(($F37*($F37+1)/2)-(($E37-1)*($E37-1+1)/2))*Z$2), 0)+IF(IF(time+1&gt;=AA$2, $K37/time_cap/(time+1)*Z$2, 0) = 0, $K37/(time_cap),0)),0)</f>
        <v/>
      </c>
      <c r="AA37" s="4395">
        <f>IFERROR(IF((time+time_cap)&lt;AA$2, 0,IF(AND(time+1&gt;=AB$2, $E37&lt;AB$2), IF($I37= "I", $J37/($F37-$E37+1), $J37/(($F37*($F37+1)/2)-(($E37-1)*($E37-1+1)/2))*AA$2), 0)+IF(IF(time+1&gt;=AB$2, $K37/time_cap/(time+1)*AA$2, 0) = 0, $K37/(time_cap),0)),0)</f>
        <v/>
      </c>
      <c r="AB37" s="4395">
        <f>IFERROR(IF((time+time_cap)&lt;AB$2, 0,IF(AND(time+1&gt;=AC$2, $E37&lt;AC$2), IF($I37= "I", $J37/($F37-$E37+1), $J37/(($F37*($F37+1)/2)-(($E37-1)*($E37-1+1)/2))*AB$2), 0)+IF(IF(time+1&gt;=AC$2, $K37/time_cap/(time+1)*AB$2, 0) = 0, $K37/(time_cap),0)),0)</f>
        <v/>
      </c>
      <c r="AC37" s="4395">
        <f>IFERROR(IF((time+time_cap)&lt;AC$2, 0,IF(AND(time+1&gt;=AD$2, $E37&lt;AD$2), IF($I37= "I", $J37/($F37-$E37+1), $J37/(($F37*($F37+1)/2)-(($E37-1)*($E37-1+1)/2))*AC$2), 0)+IF(IF(time+1&gt;=AD$2, $K37/time_cap/(time+1)*AC$2, 0) = 0, $K37/(time_cap),0)),0)</f>
        <v/>
      </c>
      <c r="AD37" s="4395">
        <f>IFERROR(IF((time+time_cap)&lt;AD$2, 0,IF(AND(time+1&gt;=AE$2, $E37&lt;AE$2), IF($I37= "I", $J37/($F37-$E37+1), $J37/(($F37*($F37+1)/2)-(($E37-1)*($E37-1+1)/2))*AD$2), 0)+IF(IF(time+1&gt;=AE$2, $K37/time_cap/(time+1)*AD$2, 0) = 0, $K37/(time_cap),0)),0)</f>
        <v/>
      </c>
      <c r="AE37" s="4395">
        <f>IFERROR(IF((time+time_cap)&lt;AE$2, 0,IF(AND(time+1&gt;=AF$2, $E37&lt;AF$2), IF($I37= "I", $J37/($F37-$E37+1), $J37/(($F37*($F37+1)/2)-(($E37-1)*($E37-1+1)/2))*AE$2), 0)+IF(IF(time+1&gt;=AF$2, $K37/time_cap/(time+1)*AE$2, 0) = 0, $K37/(time_cap),0)),0)</f>
        <v/>
      </c>
      <c r="AF37" s="4395">
        <f>IFERROR(IF((time+time_cap)&lt;AF$2, 0,IF(AND(time+1&gt;=AG$2, $E37&lt;AG$2), IF($I37= "I", $J37/($F37-$E37+1), $J37/(($F37*($F37+1)/2)-(($E37-1)*($E37-1+1)/2))*AF$2), 0)+IF(IF(time+1&gt;=AG$2, $K37/time_cap/(time+1)*AF$2, 0) = 0, $K37/(time_cap),0)),0)</f>
        <v/>
      </c>
      <c r="AG37" s="4395">
        <f>IFERROR(IF((time+time_cap)&lt;AG$2, 0,IF(AND(time+1&gt;=AH$2, $E37&lt;AH$2), IF($I37= "I", $J37/($F37-$E37+1), $J37/(($F37*($F37+1)/2)-(($E37-1)*($E37-1+1)/2))*AG$2), 0)+IF(IF(time+1&gt;=AH$2, $K37/time_cap/(time+1)*AG$2, 0) = 0, $K37/(time_cap),0)),0)</f>
        <v/>
      </c>
      <c r="AH37" s="4395">
        <f>IFERROR(IF((time+time_cap)&lt;AH$2, 0,IF(AND(time+1&gt;=AI$2, $E37&lt;AI$2), IF($I37= "I", $J37/($F37-$E37+1), $J37/(($F37*($F37+1)/2)-(($E37-1)*($E37-1+1)/2))*AH$2), 0)+IF(IF(time+1&gt;=AI$2, $K37/time_cap/(time+1)*AH$2, 0) = 0, $K37/(time_cap),0)),0)</f>
        <v/>
      </c>
      <c r="AI37" s="4395">
        <f>IFERROR(IF((time+time_cap)&lt;AI$2, 0,IF(AND(time+1&gt;=AJ$2, $E37&lt;AJ$2), IF($I37= "I", $J37/($F37-$E37+1), $J37/(($F37*($F37+1)/2)-(($E37-1)*($E37-1+1)/2))*AI$2), 0)+IF(IF(time+1&gt;=AJ$2, $K37/time_cap/(time+1)*AI$2, 0) = 0, $K37/(time_cap),0)),0)</f>
        <v/>
      </c>
      <c r="AJ37" s="4395">
        <f>IFERROR(IF((time+time_cap)&lt;AJ$2, 0,IF(AND(time+1&gt;=AK$2, $E37&lt;AK$2), IF($I37= "I", $J37/($F37-$E37+1), $J37/(($F37*($F37+1)/2)-(($E37-1)*($E37-1+1)/2))*AJ$2), 0)+IF(IF(time+1&gt;=AK$2, $K37/time_cap/(time+1)*AJ$2, 0) = 0, $K37/(time_cap),0)),0)</f>
        <v/>
      </c>
      <c r="AK37" s="4395">
        <f>IFERROR(IF((time+time_cap)&lt;AK$2, 0,IF(AND(time+1&gt;=AL$2, $E37&lt;AL$2), IF($I37= "I", $J37/($F37-$E37+1), $J37/(($F37*($F37+1)/2)-(($E37-1)*($E37-1+1)/2))*AK$2), 0)+IF(IF(time+1&gt;=AL$2, $K37/time_cap/(time+1)*AK$2, 0) = 0, $K37/(time_cap),0)),0)</f>
        <v/>
      </c>
      <c r="AL37" s="4395">
        <f>IFERROR(IF((time+time_cap)&lt;AL$2, 0,IF(AND(time+1&gt;=AM$2, $E37&lt;AM$2), IF($I37= "I", $J37/($F37-$E37+1), $J37/(($F37*($F37+1)/2)-(($E37-1)*($E37-1+1)/2))*AL$2), 0)+IF(IF(time+1&gt;=AM$2, $K37/time_cap/(time+1)*AL$2, 0) = 0, $K37/(time_cap),0)),0)</f>
        <v/>
      </c>
      <c r="AM37" s="4395">
        <f>IFERROR(IF((time+time_cap)&lt;AM$2, 0,IF(AND(time+1&gt;=AN$2, $E37&lt;AN$2), IF($I37= "I", $J37/($F37-$E37+1), $J37/(($F37*($F37+1)/2)-(($E37-1)*($E37-1+1)/2))*AM$2), 0)+IF(IF(time+1&gt;=AN$2, $K37/time_cap/(time+1)*AM$2, 0) = 0, $K37/(time_cap),0)),0)</f>
        <v/>
      </c>
      <c r="AN37" s="4395">
        <f>IFERROR(IF((time+time_cap)&lt;AN$2, 0,IF(AND(time+1&gt;=AO$2, $E37&lt;AO$2), IF($I37= "I", $J37/($F37-$E37+1), $J37/(($F37*($F37+1)/2)-(($E37-1)*($E37-1+1)/2))*AN$2), 0)+IF(IF(time+1&gt;=AO$2, $K37/time_cap/(time+1)*AN$2, 0) = 0, $K37/(time_cap),0)),0)</f>
        <v/>
      </c>
      <c r="AO37" s="4395">
        <f>IFERROR(IF((time+time_cap)&lt;AO$2, 0,IF(AND(time+1&gt;=AP$2, $E37&lt;AP$2), IF($I37= "I", $J37/($F37-$E37+1), $J37/(($F37*($F37+1)/2)-(($E37-1)*($E37-1+1)/2))*AO$2), 0)+IF(IF(time+1&gt;=AP$2, $K37/time_cap/(time+1)*AO$2, 0) = 0, $K37/(time_cap),0)),0)</f>
        <v/>
      </c>
      <c r="AP37" s="4395">
        <f>IFERROR(IF((time+time_cap)&lt;AP$2, 0,IF(AND(time+1&gt;=AQ$2, $E37&lt;AQ$2), IF($I37= "I", $J37/($F37-$E37+1), $J37/(($F37*($F37+1)/2)-(($E37-1)*($E37-1+1)/2))*AP$2), 0)+IF(IF(time+1&gt;=AQ$2, $K37/time_cap/(time+1)*AP$2, 0) = 0, $K37/(time_cap),0)),0)</f>
        <v/>
      </c>
      <c r="AQ37" s="4395">
        <f>IFERROR(IF((time+time_cap)&lt;AQ$2, 0,IF(AND(time+1&gt;=AR$2, $E37&lt;AR$2), IF($I37= "I", $J37/($F37-$E37+1), $J37/(($F37*($F37+1)/2)-(($E37-1)*($E37-1+1)/2))*AQ$2), 0)+IF(IF(time+1&gt;=AR$2, $K37/time_cap/(time+1)*AQ$2, 0) = 0, $K37/(time_cap),0)),0)</f>
        <v/>
      </c>
      <c r="AR37" s="4395">
        <f>IFERROR(IF((time+time_cap)&lt;AR$2, 0,IF(AND(time+1&gt;=AS$2, $E37&lt;AS$2), IF($I37= "I", $J37/($F37-$E37+1), $J37/(($F37*($F37+1)/2)-(($E37-1)*($E37-1+1)/2))*AR$2), 0)+IF(IF(time+1&gt;=AS$2, $K37/time_cap/(time+1)*AR$2, 0) = 0, $K37/(time_cap),0)),0)</f>
        <v/>
      </c>
      <c r="AS37" s="4395">
        <f>IFERROR(IF((time+time_cap)&lt;AS$2, 0,IF(AND(time+1&gt;=AT$2, $E37&lt;AT$2), IF($I37= "I", $J37/($F37-$E37+1), $J37/(($F37*($F37+1)/2)-(($E37-1)*($E37-1+1)/2))*AS$2), 0)+IF(IF(time+1&gt;=AT$2, $K37/time_cap/(time+1)*AS$2, 0) = 0, $K37/(time_cap),0)),0)</f>
        <v/>
      </c>
      <c r="AT37" s="4395">
        <f>IFERROR(IF((time+time_cap)&lt;AT$2, 0,IF(AND(time+1&gt;=AU$2, $E37&lt;AU$2), IF($I37= "I", $J37/($F37-$E37+1), $J37/(($F37*($F37+1)/2)-(($E37-1)*($E37-1+1)/2))*AT$2), 0)+IF(IF(time+1&gt;=AU$2, $K37/time_cap/(time+1)*AT$2, 0) = 0, $K37/(time_cap),0)),0)</f>
        <v/>
      </c>
      <c r="AU37" s="4395">
        <f>IFERROR(IF((time+time_cap)&lt;AU$2, 0,IF(AND(time+1&gt;=AV$2, $E37&lt;AV$2), IF($I37= "I", $J37/($F37-$E37+1), $J37/(($F37*($F37+1)/2)-(($E37-1)*($E37-1+1)/2))*AU$2), 0)+IF(IF(time+1&gt;=AV$2, $K37/time_cap/(time+1)*AU$2, 0) = 0, $K37/(time_cap),0)),0)</f>
        <v/>
      </c>
      <c r="AV37" s="4395">
        <f>IFERROR(IF((time+time_cap)&lt;AV$2, 0,IF(AND(time+1&gt;=AW$2, $E37&lt;AW$2), IF($I37= "I", $J37/($F37-$E37+1), $J37/(($F37*($F37+1)/2)-(($E37-1)*($E37-1+1)/2))*AV$2), 0)+IF(IF(time+1&gt;=AW$2, $K37/time_cap/(time+1)*AV$2, 0) = 0, $K37/(time_cap),0)),0)</f>
        <v/>
      </c>
      <c r="AW37" s="4395">
        <f>IFERROR(IF((time+time_cap)&lt;AW$2, 0,IF(AND(time+1&gt;=AX$2, $E37&lt;AX$2), IF($I37= "I", $J37/($F37-$E37+1), $J37/(($F37*($F37+1)/2)-(($E37-1)*($E37-1+1)/2))*AW$2), 0)+IF(IF(time+1&gt;=AX$2, $K37/time_cap/(time+1)*AW$2, 0) = 0, $K37/(time_cap),0)),0)</f>
        <v/>
      </c>
      <c r="AX37" s="4395">
        <f>IFERROR(IF((time+time_cap)&lt;AX$2, 0,IF(AND(time+1&gt;=AY$2, $E37&lt;AY$2), IF($I37= "I", $J37/($F37-$E37+1), $J37/(($F37*($F37+1)/2)-(($E37-1)*($E37-1+1)/2))*AX$2), 0)+IF(IF(time+1&gt;=AY$2, $K37/time_cap/(time+1)*AX$2, 0) = 0, $K37/(time_cap),0)),0)</f>
        <v/>
      </c>
      <c r="AY37" s="4395">
        <f>IFERROR(IF((time+time_cap)&lt;AY$2, 0,IF(AND(time+1&gt;=AZ$2, $E37&lt;AZ$2), IF($I37= "I", $J37/($F37-$E37+1), $J37/(($F37*($F37+1)/2)-(($E37-1)*($E37-1+1)/2))*AY$2), 0)+IF(IF(time+1&gt;=AZ$2, $K37/time_cap/(time+1)*AY$2, 0) = 0, $K37/(time_cap),0)),0)</f>
        <v/>
      </c>
      <c r="AZ37" s="4395">
        <f>IFERROR(IF((time+time_cap)&lt;AZ$2, 0,IF(AND(time+1&gt;=BA$2, $E37&lt;BA$2), IF($I37= "I", $J37/($F37-$E37+1), $J37/(($F37*($F37+1)/2)-(($E37-1)*($E37-1+1)/2))*AZ$2), 0)+IF(IF(time+1&gt;=BA$2, $K37/time_cap/(time+1)*AZ$2, 0) = 0, $K37/(time_cap),0)),0)</f>
        <v/>
      </c>
      <c r="BA37" s="4395">
        <f>IFERROR(IF((time+time_cap)&lt;BA$2, 0,IF(AND(time+1&gt;=BB$2, $E37&lt;BB$2), IF($I37= "I", $J37/($F37-$E37+1), $J37/(($F37*($F37+1)/2)-(($E37-1)*($E37-1+1)/2))*BA$2), 0)+IF(IF(time+1&gt;=BB$2, $K37/time_cap/(time+1)*BA$2, 0) = 0, $K37/(time_cap),0)),0)</f>
        <v/>
      </c>
      <c r="BB37" s="4395">
        <f>IFERROR(IF((time+time_cap)&lt;BB$2, 0,IF(AND(time+1&gt;=BC$2, $E37&lt;BC$2), IF($I37= "I", $J37/($F37-$E37+1), $J37/(($F37*($F37+1)/2)-(($E37-1)*($E37-1+1)/2))*BB$2), 0)+IF(IF(time+1&gt;=BC$2, $K37/time_cap/(time+1)*BB$2, 0) = 0, $K37/(time_cap),0)),0)</f>
        <v/>
      </c>
      <c r="BC37" s="4395">
        <f>IFERROR(IF((time+time_cap)&lt;BC$2, 0,IF(AND(time+1&gt;=BD$2, $E37&lt;BD$2), IF($I37= "I", $J37/($F37-$E37+1), $J37/(($F37*($F37+1)/2)-(($E37-1)*($E37-1+1)/2))*BC$2), 0)+IF(IF(time+1&gt;=BD$2, $K37/time_cap/(time+1)*BC$2, 0) = 0, $K37/(time_cap),0)),0)</f>
        <v/>
      </c>
      <c r="BD37" s="4395">
        <f>IFERROR(IF((time+time_cap)&lt;BD$2, 0,IF(AND(time+1&gt;=BE$2, $E37&lt;BE$2), IF($I37= "I", $J37/($F37-$E37+1), $J37/(($F37*($F37+1)/2)-(($E37-1)*($E37-1+1)/2))*BD$2), 0)+IF(IF(time+1&gt;=BE$2, $K37/time_cap/(time+1)*BD$2, 0) = 0, $K37/(time_cap),0)),0)</f>
        <v/>
      </c>
      <c r="BE37" s="4395">
        <f>IFERROR(IF((time+time_cap)&lt;BE$2, 0,IF(AND(time+1&gt;=BF$2, $E37&lt;BF$2), IF($I37= "I", $J37/($F37-$E37+1), $J37/(($F37*($F37+1)/2)-(($E37-1)*($E37-1+1)/2))*BE$2), 0)+IF(IF(time+1&gt;=BF$2, $K37/time_cap/(time+1)*BE$2, 0) = 0, $K37/(time_cap),0)),0)</f>
        <v/>
      </c>
      <c r="BF37" s="4395">
        <f>IFERROR(IF((time+time_cap)&lt;BF$2, 0,IF(AND(time+1&gt;=BG$2, $E37&lt;BG$2), IF($I37= "I", $J37/($F37-$E37+1), $J37/(($F37*($F37+1)/2)-(($E37-1)*($E37-1+1)/2))*BF$2), 0)+IF(IF(time+1&gt;=BG$2, $K37/time_cap/(time+1)*BF$2, 0) = 0, $K37/(time_cap),0)),0)</f>
        <v/>
      </c>
      <c r="BG37" s="4395">
        <f>IFERROR(IF((time+time_cap)&lt;BG$2, 0,IF(AND(time+1&gt;=BH$2, $E37&lt;BH$2), IF($I37= "I", $J37/($F37-$E37+1), $J37/(($F37*($F37+1)/2)-(($E37-1)*($E37-1+1)/2))*BG$2), 0)+IF(IF(time+1&gt;=BH$2, $K37/time_cap/(time+1)*BG$2, 0) = 0, $K37/(time_cap),0)),0)</f>
        <v/>
      </c>
      <c r="BH37" s="4395">
        <f>IFERROR(IF((time+time_cap)&lt;BH$2, 0,IF(AND(time+1&gt;=BI$2, $E37&lt;BI$2), IF($I37= "I", $J37/($F37-$E37+1), $J37/(($F37*($F37+1)/2)-(($E37-1)*($E37-1+1)/2))*BH$2), 0)+IF(IF(time+1&gt;=BI$2, $K37/time_cap/(time+1)*BH$2, 0) = 0, $K37/(time_cap),0)),0)</f>
        <v/>
      </c>
      <c r="BI37" s="4395">
        <f>IFERROR(IF((time+time_cap)&lt;BI$2, 0,IF(AND(time+1&gt;=BJ$2, $E37&lt;BJ$2), IF($I37= "I", $J37/($F37-$E37+1), $J37/(($F37*($F37+1)/2)-(($E37-1)*($E37-1+1)/2))*BI$2), 0)+IF(IF(time+1&gt;=BJ$2, $K37/time_cap/(time+1)*BI$2, 0) = 0, $K37/(time_cap),0)),0)</f>
        <v/>
      </c>
      <c r="BJ37" s="4395">
        <f>IFERROR(IF((time+time_cap)&lt;BJ$2, 0,IF(AND(time+1&gt;=BK$2, $E37&lt;BK$2), IF($I37= "I", $J37/($F37-$E37+1), $J37/(($F37*($F37+1)/2)-(($E37-1)*($E37-1+1)/2))*BJ$2), 0)+IF(IF(time+1&gt;=BK$2, $K37/time_cap/(time+1)*BJ$2, 0) = 0, $K37/(time_cap),0)),0)</f>
        <v/>
      </c>
      <c r="BK37" s="4395" t="n"/>
      <c r="BL37" s="4395" t="n"/>
      <c r="BM37" s="4395" t="n"/>
      <c r="BN37" s="4395" t="n"/>
      <c r="BO37" s="4395" t="n"/>
      <c r="BP37" s="4395" t="n"/>
      <c r="BQ37" s="4395" t="n"/>
      <c r="BR37" s="4395" t="n"/>
      <c r="BS37" s="4395" t="n"/>
      <c r="BT37" s="4395" t="n"/>
      <c r="BU37" s="4395" t="n"/>
      <c r="BV37" s="4395" t="n"/>
      <c r="BW37" s="4395" t="n"/>
      <c r="BX37" s="4395" t="n"/>
      <c r="BY37" s="4395" t="n"/>
      <c r="BZ37" s="4395" t="n"/>
      <c r="CA37" s="4395" t="n"/>
      <c r="CB37" s="4395" t="n"/>
      <c r="CC37" s="4395" t="n"/>
      <c r="CD37" s="4395" t="n"/>
      <c r="CE37" s="4395" t="n"/>
      <c r="CF37" s="4395" t="n"/>
      <c r="CG37" s="4395" t="n"/>
      <c r="CH37" s="4395" t="n"/>
      <c r="CI37" s="4395" t="n"/>
      <c r="CJ37" s="4395" t="n"/>
      <c r="CK37" s="4395" t="n"/>
      <c r="CL37" s="4395" t="n"/>
      <c r="CM37" s="4395" t="n"/>
      <c r="CN37" s="4395" t="n"/>
      <c r="CO37" s="4395" t="n"/>
      <c r="CP37" s="4395" t="n"/>
      <c r="CQ37" s="4395" t="n"/>
      <c r="CR37" s="4395" t="n"/>
      <c r="CS37" s="4395" t="n"/>
      <c r="CT37" s="4395" t="n"/>
      <c r="CU37" s="4395" t="n"/>
      <c r="CV37" s="4395" t="n"/>
      <c r="CW37" s="4395" t="n"/>
      <c r="CX37" s="4395" t="n"/>
      <c r="CY37" s="4395" t="n"/>
      <c r="CZ37" s="4395" t="n"/>
      <c r="DA37" s="4395" t="n"/>
      <c r="DB37" s="4395" t="n"/>
      <c r="DC37" s="4395" t="n"/>
      <c r="DD37" s="4395" t="n"/>
      <c r="DE37" s="4395" t="n"/>
      <c r="DF37" s="4395" t="n"/>
      <c r="DG37" s="4395" t="n"/>
      <c r="DH37" s="4395" t="n"/>
    </row>
    <row r="38" ht="16" customHeight="1">
      <c r="A38" t="inlineStr">
        <is>
          <t>Annuals</t>
        </is>
      </c>
      <c r="C38">
        <f>'3.Cropland'!E15</f>
        <v/>
      </c>
      <c r="D38" s="388">
        <f>'3.Cropland'!Z15</f>
        <v/>
      </c>
      <c r="E38">
        <f>IF('3.Cropland'!BP15&lt;&gt;0,'3.Cropland'!BP15,'3.Cropland'!BO15)</f>
        <v/>
      </c>
      <c r="F38">
        <f>time</f>
        <v/>
      </c>
      <c r="G38" s="4395" t="inlineStr">
        <is>
          <t>D</t>
        </is>
      </c>
      <c r="H38" s="4395" t="inlineStr">
        <is>
          <t>D</t>
        </is>
      </c>
      <c r="I38" s="4395">
        <f>IF(OR(H38="I", G38="I"), "I", IF(OR(H38="E", G38="E"), "E", "D"))</f>
        <v/>
      </c>
      <c r="J38" s="4395">
        <f>((D38/(time_cap+((F38-E38+1)*VLOOKUP(I38,list!$I$48:$K$50,3, FALSE))))*(F38-E38+1)*VLOOKUP(I38,list!$I$48:$K$50,3, FALSE))</f>
        <v/>
      </c>
      <c r="K38" s="4395">
        <f>((D38/(time_cap+((F38-E38+1)*VLOOKUP(I38,list!$I$48:$K$50,3, FALSE))))*time_cap)</f>
        <v/>
      </c>
      <c r="M38" s="4395">
        <f>IFERROR(IF((time+time_cap)&lt;M$2, 0,IF(AND(time+1&gt;=N$2, $E38&lt;N$2), IF($I38= "I", $J38/($F38-$E38+1), $J38/(($F38*($F38+1)/2)-(($E38-1)*($E38-1+1)/2))*M$2), 0)+IF(IF(time+1&gt;=N$2, $K38/time_cap/(time+1)*M$2, 0) = 0, $K38/(time_cap),0)),0)</f>
        <v/>
      </c>
      <c r="N38" s="4395">
        <f>IFERROR(IF((time+time_cap)&lt;N$2, 0,IF(AND(time+1&gt;=O$2, $E38&lt;O$2), IF($I38= "I", $J38/($F38-$E38+1), $J38/(($F38*($F38+1)/2)-(($E38-1)*($E38-1+1)/2))*N$2), 0)+IF(IF(time+1&gt;=O$2, $K38/time_cap/(time+1)*N$2, 0) = 0, $K38/(time_cap),0)),0)</f>
        <v/>
      </c>
      <c r="O38" s="4395">
        <f>IFERROR(IF((time+time_cap)&lt;O$2, 0,IF(AND(time+1&gt;=P$2, $E38&lt;P$2), IF($I38= "I", $J38/($F38-$E38+1), $J38/(($F38*($F38+1)/2)-(($E38-1)*($E38-1+1)/2))*O$2), 0)+IF(IF(time+1&gt;=P$2, $K38/time_cap/(time+1)*O$2, 0) = 0, $K38/(time_cap),0)),0)</f>
        <v/>
      </c>
      <c r="P38" s="4395">
        <f>IFERROR(IF((time+time_cap)&lt;P$2, 0,IF(AND(time+1&gt;=Q$2, $E38&lt;Q$2), IF($I38= "I", $J38/($F38-$E38+1), $J38/(($F38*($F38+1)/2)-(($E38-1)*($E38-1+1)/2))*P$2), 0)+IF(IF(time+1&gt;=Q$2, $K38/time_cap/(time+1)*P$2, 0) = 0, $K38/(time_cap),0)),0)</f>
        <v/>
      </c>
      <c r="Q38" s="4395">
        <f>IFERROR(IF((time+time_cap)&lt;Q$2, 0,IF(AND(time+1&gt;=R$2, $E38&lt;R$2), IF($I38= "I", $J38/($F38-$E38+1), $J38/(($F38*($F38+1)/2)-(($E38-1)*($E38-1+1)/2))*Q$2), 0)+IF(IF(time+1&gt;=R$2, $K38/time_cap/(time+1)*Q$2, 0) = 0, $K38/(time_cap),0)),0)</f>
        <v/>
      </c>
      <c r="R38" s="4395">
        <f>IFERROR(IF((time+time_cap)&lt;R$2, 0,IF(AND(time+1&gt;=S$2, $E38&lt;S$2), IF($I38= "I", $J38/($F38-$E38+1), $J38/(($F38*($F38+1)/2)-(($E38-1)*($E38-1+1)/2))*R$2), 0)+IF(IF(time+1&gt;=S$2, $K38/time_cap/(time+1)*R$2, 0) = 0, $K38/(time_cap),0)),0)</f>
        <v/>
      </c>
      <c r="S38" s="4395">
        <f>IFERROR(IF((time+time_cap)&lt;S$2, 0,IF(AND(time+1&gt;=T$2, $E38&lt;T$2), IF($I38= "I", $J38/($F38-$E38+1), $J38/(($F38*($F38+1)/2)-(($E38-1)*($E38-1+1)/2))*S$2), 0)+IF(IF(time+1&gt;=T$2, $K38/time_cap/(time+1)*S$2, 0) = 0, $K38/(time_cap),0)),0)</f>
        <v/>
      </c>
      <c r="T38" s="4395">
        <f>IFERROR(IF((time+time_cap)&lt;T$2, 0,IF(AND(time+1&gt;=U$2, $E38&lt;U$2), IF($I38= "I", $J38/($F38-$E38+1), $J38/(($F38*($F38+1)/2)-(($E38-1)*($E38-1+1)/2))*T$2), 0)+IF(IF(time+1&gt;=U$2, $K38/time_cap/(time+1)*T$2, 0) = 0, $K38/(time_cap),0)),0)</f>
        <v/>
      </c>
      <c r="U38" s="4395">
        <f>IFERROR(IF((time+time_cap)&lt;U$2, 0,IF(AND(time+1&gt;=V$2, $E38&lt;V$2), IF($I38= "I", $J38/($F38-$E38+1), $J38/(($F38*($F38+1)/2)-(($E38-1)*($E38-1+1)/2))*U$2), 0)+IF(IF(time+1&gt;=V$2, $K38/time_cap/(time+1)*U$2, 0) = 0, $K38/(time_cap),0)),0)</f>
        <v/>
      </c>
      <c r="V38" s="4395">
        <f>IFERROR(IF((time+time_cap)&lt;V$2, 0,IF(AND(time+1&gt;=W$2, $E38&lt;W$2), IF($I38= "I", $J38/($F38-$E38+1), $J38/(($F38*($F38+1)/2)-(($E38-1)*($E38-1+1)/2))*V$2), 0)+IF(IF(time+1&gt;=W$2, $K38/time_cap/(time+1)*V$2, 0) = 0, $K38/(time_cap),0)),0)</f>
        <v/>
      </c>
      <c r="W38" s="4395">
        <f>IFERROR(IF((time+time_cap)&lt;W$2, 0,IF(AND(time+1&gt;=X$2, $E38&lt;X$2), IF($I38= "I", $J38/($F38-$E38+1), $J38/(($F38*($F38+1)/2)-(($E38-1)*($E38-1+1)/2))*W$2), 0)+IF(IF(time+1&gt;=X$2, $K38/time_cap/(time+1)*W$2, 0) = 0, $K38/(time_cap),0)),0)</f>
        <v/>
      </c>
      <c r="X38" s="4395">
        <f>IFERROR(IF((time+time_cap)&lt;X$2, 0,IF(AND(time+1&gt;=Y$2, $E38&lt;Y$2), IF($I38= "I", $J38/($F38-$E38+1), $J38/(($F38*($F38+1)/2)-(($E38-1)*($E38-1+1)/2))*X$2), 0)+IF(IF(time+1&gt;=Y$2, $K38/time_cap/(time+1)*X$2, 0) = 0, $K38/(time_cap),0)),0)</f>
        <v/>
      </c>
      <c r="Y38" s="4395">
        <f>IFERROR(IF((time+time_cap)&lt;Y$2, 0,IF(AND(time+1&gt;=Z$2, $E38&lt;Z$2), IF($I38= "I", $J38/($F38-$E38+1), $J38/(($F38*($F38+1)/2)-(($E38-1)*($E38-1+1)/2))*Y$2), 0)+IF(IF(time+1&gt;=Z$2, $K38/time_cap/(time+1)*Y$2, 0) = 0, $K38/(time_cap),0)),0)</f>
        <v/>
      </c>
      <c r="Z38" s="4395">
        <f>IFERROR(IF((time+time_cap)&lt;Z$2, 0,IF(AND(time+1&gt;=AA$2, $E38&lt;AA$2), IF($I38= "I", $J38/($F38-$E38+1), $J38/(($F38*($F38+1)/2)-(($E38-1)*($E38-1+1)/2))*Z$2), 0)+IF(IF(time+1&gt;=AA$2, $K38/time_cap/(time+1)*Z$2, 0) = 0, $K38/(time_cap),0)),0)</f>
        <v/>
      </c>
      <c r="AA38" s="4395">
        <f>IFERROR(IF((time+time_cap)&lt;AA$2, 0,IF(AND(time+1&gt;=AB$2, $E38&lt;AB$2), IF($I38= "I", $J38/($F38-$E38+1), $J38/(($F38*($F38+1)/2)-(($E38-1)*($E38-1+1)/2))*AA$2), 0)+IF(IF(time+1&gt;=AB$2, $K38/time_cap/(time+1)*AA$2, 0) = 0, $K38/(time_cap),0)),0)</f>
        <v/>
      </c>
      <c r="AB38" s="4395">
        <f>IFERROR(IF((time+time_cap)&lt;AB$2, 0,IF(AND(time+1&gt;=AC$2, $E38&lt;AC$2), IF($I38= "I", $J38/($F38-$E38+1), $J38/(($F38*($F38+1)/2)-(($E38-1)*($E38-1+1)/2))*AB$2), 0)+IF(IF(time+1&gt;=AC$2, $K38/time_cap/(time+1)*AB$2, 0) = 0, $K38/(time_cap),0)),0)</f>
        <v/>
      </c>
      <c r="AC38" s="4395">
        <f>IFERROR(IF((time+time_cap)&lt;AC$2, 0,IF(AND(time+1&gt;=AD$2, $E38&lt;AD$2), IF($I38= "I", $J38/($F38-$E38+1), $J38/(($F38*($F38+1)/2)-(($E38-1)*($E38-1+1)/2))*AC$2), 0)+IF(IF(time+1&gt;=AD$2, $K38/time_cap/(time+1)*AC$2, 0) = 0, $K38/(time_cap),0)),0)</f>
        <v/>
      </c>
      <c r="AD38" s="4395">
        <f>IFERROR(IF((time+time_cap)&lt;AD$2, 0,IF(AND(time+1&gt;=AE$2, $E38&lt;AE$2), IF($I38= "I", $J38/($F38-$E38+1), $J38/(($F38*($F38+1)/2)-(($E38-1)*($E38-1+1)/2))*AD$2), 0)+IF(IF(time+1&gt;=AE$2, $K38/time_cap/(time+1)*AD$2, 0) = 0, $K38/(time_cap),0)),0)</f>
        <v/>
      </c>
      <c r="AE38" s="4395">
        <f>IFERROR(IF((time+time_cap)&lt;AE$2, 0,IF(AND(time+1&gt;=AF$2, $E38&lt;AF$2), IF($I38= "I", $J38/($F38-$E38+1), $J38/(($F38*($F38+1)/2)-(($E38-1)*($E38-1+1)/2))*AE$2), 0)+IF(IF(time+1&gt;=AF$2, $K38/time_cap/(time+1)*AE$2, 0) = 0, $K38/(time_cap),0)),0)</f>
        <v/>
      </c>
      <c r="AF38" s="4395">
        <f>IFERROR(IF((time+time_cap)&lt;AF$2, 0,IF(AND(time+1&gt;=AG$2, $E38&lt;AG$2), IF($I38= "I", $J38/($F38-$E38+1), $J38/(($F38*($F38+1)/2)-(($E38-1)*($E38-1+1)/2))*AF$2), 0)+IF(IF(time+1&gt;=AG$2, $K38/time_cap/(time+1)*AF$2, 0) = 0, $K38/(time_cap),0)),0)</f>
        <v/>
      </c>
      <c r="AG38" s="4395">
        <f>IFERROR(IF((time+time_cap)&lt;AG$2, 0,IF(AND(time+1&gt;=AH$2, $E38&lt;AH$2), IF($I38= "I", $J38/($F38-$E38+1), $J38/(($F38*($F38+1)/2)-(($E38-1)*($E38-1+1)/2))*AG$2), 0)+IF(IF(time+1&gt;=AH$2, $K38/time_cap/(time+1)*AG$2, 0) = 0, $K38/(time_cap),0)),0)</f>
        <v/>
      </c>
      <c r="AH38" s="4395">
        <f>IFERROR(IF((time+time_cap)&lt;AH$2, 0,IF(AND(time+1&gt;=AI$2, $E38&lt;AI$2), IF($I38= "I", $J38/($F38-$E38+1), $J38/(($F38*($F38+1)/2)-(($E38-1)*($E38-1+1)/2))*AH$2), 0)+IF(IF(time+1&gt;=AI$2, $K38/time_cap/(time+1)*AH$2, 0) = 0, $K38/(time_cap),0)),0)</f>
        <v/>
      </c>
      <c r="AI38" s="4395">
        <f>IFERROR(IF((time+time_cap)&lt;AI$2, 0,IF(AND(time+1&gt;=AJ$2, $E38&lt;AJ$2), IF($I38= "I", $J38/($F38-$E38+1), $J38/(($F38*($F38+1)/2)-(($E38-1)*($E38-1+1)/2))*AI$2), 0)+IF(IF(time+1&gt;=AJ$2, $K38/time_cap/(time+1)*AI$2, 0) = 0, $K38/(time_cap),0)),0)</f>
        <v/>
      </c>
      <c r="AJ38" s="4395">
        <f>IFERROR(IF((time+time_cap)&lt;AJ$2, 0,IF(AND(time+1&gt;=AK$2, $E38&lt;AK$2), IF($I38= "I", $J38/($F38-$E38+1), $J38/(($F38*($F38+1)/2)-(($E38-1)*($E38-1+1)/2))*AJ$2), 0)+IF(IF(time+1&gt;=AK$2, $K38/time_cap/(time+1)*AJ$2, 0) = 0, $K38/(time_cap),0)),0)</f>
        <v/>
      </c>
      <c r="AK38" s="4395">
        <f>IFERROR(IF((time+time_cap)&lt;AK$2, 0,IF(AND(time+1&gt;=AL$2, $E38&lt;AL$2), IF($I38= "I", $J38/($F38-$E38+1), $J38/(($F38*($F38+1)/2)-(($E38-1)*($E38-1+1)/2))*AK$2), 0)+IF(IF(time+1&gt;=AL$2, $K38/time_cap/(time+1)*AK$2, 0) = 0, $K38/(time_cap),0)),0)</f>
        <v/>
      </c>
      <c r="AL38" s="4395">
        <f>IFERROR(IF((time+time_cap)&lt;AL$2, 0,IF(AND(time+1&gt;=AM$2, $E38&lt;AM$2), IF($I38= "I", $J38/($F38-$E38+1), $J38/(($F38*($F38+1)/2)-(($E38-1)*($E38-1+1)/2))*AL$2), 0)+IF(IF(time+1&gt;=AM$2, $K38/time_cap/(time+1)*AL$2, 0) = 0, $K38/(time_cap),0)),0)</f>
        <v/>
      </c>
      <c r="AM38" s="4395">
        <f>IFERROR(IF((time+time_cap)&lt;AM$2, 0,IF(AND(time+1&gt;=AN$2, $E38&lt;AN$2), IF($I38= "I", $J38/($F38-$E38+1), $J38/(($F38*($F38+1)/2)-(($E38-1)*($E38-1+1)/2))*AM$2), 0)+IF(IF(time+1&gt;=AN$2, $K38/time_cap/(time+1)*AM$2, 0) = 0, $K38/(time_cap),0)),0)</f>
        <v/>
      </c>
      <c r="AN38" s="4395">
        <f>IFERROR(IF((time+time_cap)&lt;AN$2, 0,IF(AND(time+1&gt;=AO$2, $E38&lt;AO$2), IF($I38= "I", $J38/($F38-$E38+1), $J38/(($F38*($F38+1)/2)-(($E38-1)*($E38-1+1)/2))*AN$2), 0)+IF(IF(time+1&gt;=AO$2, $K38/time_cap/(time+1)*AN$2, 0) = 0, $K38/(time_cap),0)),0)</f>
        <v/>
      </c>
      <c r="AO38" s="4395">
        <f>IFERROR(IF((time+time_cap)&lt;AO$2, 0,IF(AND(time+1&gt;=AP$2, $E38&lt;AP$2), IF($I38= "I", $J38/($F38-$E38+1), $J38/(($F38*($F38+1)/2)-(($E38-1)*($E38-1+1)/2))*AO$2), 0)+IF(IF(time+1&gt;=AP$2, $K38/time_cap/(time+1)*AO$2, 0) = 0, $K38/(time_cap),0)),0)</f>
        <v/>
      </c>
      <c r="AP38" s="4395">
        <f>IFERROR(IF((time+time_cap)&lt;AP$2, 0,IF(AND(time+1&gt;=AQ$2, $E38&lt;AQ$2), IF($I38= "I", $J38/($F38-$E38+1), $J38/(($F38*($F38+1)/2)-(($E38-1)*($E38-1+1)/2))*AP$2), 0)+IF(IF(time+1&gt;=AQ$2, $K38/time_cap/(time+1)*AP$2, 0) = 0, $K38/(time_cap),0)),0)</f>
        <v/>
      </c>
      <c r="AQ38" s="4395">
        <f>IFERROR(IF((time+time_cap)&lt;AQ$2, 0,IF(AND(time+1&gt;=AR$2, $E38&lt;AR$2), IF($I38= "I", $J38/($F38-$E38+1), $J38/(($F38*($F38+1)/2)-(($E38-1)*($E38-1+1)/2))*AQ$2), 0)+IF(IF(time+1&gt;=AR$2, $K38/time_cap/(time+1)*AQ$2, 0) = 0, $K38/(time_cap),0)),0)</f>
        <v/>
      </c>
      <c r="AR38" s="4395">
        <f>IFERROR(IF((time+time_cap)&lt;AR$2, 0,IF(AND(time+1&gt;=AS$2, $E38&lt;AS$2), IF($I38= "I", $J38/($F38-$E38+1), $J38/(($F38*($F38+1)/2)-(($E38-1)*($E38-1+1)/2))*AR$2), 0)+IF(IF(time+1&gt;=AS$2, $K38/time_cap/(time+1)*AR$2, 0) = 0, $K38/(time_cap),0)),0)</f>
        <v/>
      </c>
      <c r="AS38" s="4395">
        <f>IFERROR(IF((time+time_cap)&lt;AS$2, 0,IF(AND(time+1&gt;=AT$2, $E38&lt;AT$2), IF($I38= "I", $J38/($F38-$E38+1), $J38/(($F38*($F38+1)/2)-(($E38-1)*($E38-1+1)/2))*AS$2), 0)+IF(IF(time+1&gt;=AT$2, $K38/time_cap/(time+1)*AS$2, 0) = 0, $K38/(time_cap),0)),0)</f>
        <v/>
      </c>
      <c r="AT38" s="4395">
        <f>IFERROR(IF((time+time_cap)&lt;AT$2, 0,IF(AND(time+1&gt;=AU$2, $E38&lt;AU$2), IF($I38= "I", $J38/($F38-$E38+1), $J38/(($F38*($F38+1)/2)-(($E38-1)*($E38-1+1)/2))*AT$2), 0)+IF(IF(time+1&gt;=AU$2, $K38/time_cap/(time+1)*AT$2, 0) = 0, $K38/(time_cap),0)),0)</f>
        <v/>
      </c>
      <c r="AU38" s="4395">
        <f>IFERROR(IF((time+time_cap)&lt;AU$2, 0,IF(AND(time+1&gt;=AV$2, $E38&lt;AV$2), IF($I38= "I", $J38/($F38-$E38+1), $J38/(($F38*($F38+1)/2)-(($E38-1)*($E38-1+1)/2))*AU$2), 0)+IF(IF(time+1&gt;=AV$2, $K38/time_cap/(time+1)*AU$2, 0) = 0, $K38/(time_cap),0)),0)</f>
        <v/>
      </c>
      <c r="AV38" s="4395">
        <f>IFERROR(IF((time+time_cap)&lt;AV$2, 0,IF(AND(time+1&gt;=AW$2, $E38&lt;AW$2), IF($I38= "I", $J38/($F38-$E38+1), $J38/(($F38*($F38+1)/2)-(($E38-1)*($E38-1+1)/2))*AV$2), 0)+IF(IF(time+1&gt;=AW$2, $K38/time_cap/(time+1)*AV$2, 0) = 0, $K38/(time_cap),0)),0)</f>
        <v/>
      </c>
      <c r="AW38" s="4395">
        <f>IFERROR(IF((time+time_cap)&lt;AW$2, 0,IF(AND(time+1&gt;=AX$2, $E38&lt;AX$2), IF($I38= "I", $J38/($F38-$E38+1), $J38/(($F38*($F38+1)/2)-(($E38-1)*($E38-1+1)/2))*AW$2), 0)+IF(IF(time+1&gt;=AX$2, $K38/time_cap/(time+1)*AW$2, 0) = 0, $K38/(time_cap),0)),0)</f>
        <v/>
      </c>
      <c r="AX38" s="4395">
        <f>IFERROR(IF((time+time_cap)&lt;AX$2, 0,IF(AND(time+1&gt;=AY$2, $E38&lt;AY$2), IF($I38= "I", $J38/($F38-$E38+1), $J38/(($F38*($F38+1)/2)-(($E38-1)*($E38-1+1)/2))*AX$2), 0)+IF(IF(time+1&gt;=AY$2, $K38/time_cap/(time+1)*AX$2, 0) = 0, $K38/(time_cap),0)),0)</f>
        <v/>
      </c>
      <c r="AY38" s="4395">
        <f>IFERROR(IF((time+time_cap)&lt;AY$2, 0,IF(AND(time+1&gt;=AZ$2, $E38&lt;AZ$2), IF($I38= "I", $J38/($F38-$E38+1), $J38/(($F38*($F38+1)/2)-(($E38-1)*($E38-1+1)/2))*AY$2), 0)+IF(IF(time+1&gt;=AZ$2, $K38/time_cap/(time+1)*AY$2, 0) = 0, $K38/(time_cap),0)),0)</f>
        <v/>
      </c>
      <c r="AZ38" s="4395">
        <f>IFERROR(IF((time+time_cap)&lt;AZ$2, 0,IF(AND(time+1&gt;=BA$2, $E38&lt;BA$2), IF($I38= "I", $J38/($F38-$E38+1), $J38/(($F38*($F38+1)/2)-(($E38-1)*($E38-1+1)/2))*AZ$2), 0)+IF(IF(time+1&gt;=BA$2, $K38/time_cap/(time+1)*AZ$2, 0) = 0, $K38/(time_cap),0)),0)</f>
        <v/>
      </c>
      <c r="BA38" s="4395">
        <f>IFERROR(IF((time+time_cap)&lt;BA$2, 0,IF(AND(time+1&gt;=BB$2, $E38&lt;BB$2), IF($I38= "I", $J38/($F38-$E38+1), $J38/(($F38*($F38+1)/2)-(($E38-1)*($E38-1+1)/2))*BA$2), 0)+IF(IF(time+1&gt;=BB$2, $K38/time_cap/(time+1)*BA$2, 0) = 0, $K38/(time_cap),0)),0)</f>
        <v/>
      </c>
      <c r="BB38" s="4395">
        <f>IFERROR(IF((time+time_cap)&lt;BB$2, 0,IF(AND(time+1&gt;=BC$2, $E38&lt;BC$2), IF($I38= "I", $J38/($F38-$E38+1), $J38/(($F38*($F38+1)/2)-(($E38-1)*($E38-1+1)/2))*BB$2), 0)+IF(IF(time+1&gt;=BC$2, $K38/time_cap/(time+1)*BB$2, 0) = 0, $K38/(time_cap),0)),0)</f>
        <v/>
      </c>
      <c r="BC38" s="4395">
        <f>IFERROR(IF((time+time_cap)&lt;BC$2, 0,IF(AND(time+1&gt;=BD$2, $E38&lt;BD$2), IF($I38= "I", $J38/($F38-$E38+1), $J38/(($F38*($F38+1)/2)-(($E38-1)*($E38-1+1)/2))*BC$2), 0)+IF(IF(time+1&gt;=BD$2, $K38/time_cap/(time+1)*BC$2, 0) = 0, $K38/(time_cap),0)),0)</f>
        <v/>
      </c>
      <c r="BD38" s="4395">
        <f>IFERROR(IF((time+time_cap)&lt;BD$2, 0,IF(AND(time+1&gt;=BE$2, $E38&lt;BE$2), IF($I38= "I", $J38/($F38-$E38+1), $J38/(($F38*($F38+1)/2)-(($E38-1)*($E38-1+1)/2))*BD$2), 0)+IF(IF(time+1&gt;=BE$2, $K38/time_cap/(time+1)*BD$2, 0) = 0, $K38/(time_cap),0)),0)</f>
        <v/>
      </c>
      <c r="BE38" s="4395">
        <f>IFERROR(IF((time+time_cap)&lt;BE$2, 0,IF(AND(time+1&gt;=BF$2, $E38&lt;BF$2), IF($I38= "I", $J38/($F38-$E38+1), $J38/(($F38*($F38+1)/2)-(($E38-1)*($E38-1+1)/2))*BE$2), 0)+IF(IF(time+1&gt;=BF$2, $K38/time_cap/(time+1)*BE$2, 0) = 0, $K38/(time_cap),0)),0)</f>
        <v/>
      </c>
      <c r="BF38" s="4395">
        <f>IFERROR(IF((time+time_cap)&lt;BF$2, 0,IF(AND(time+1&gt;=BG$2, $E38&lt;BG$2), IF($I38= "I", $J38/($F38-$E38+1), $J38/(($F38*($F38+1)/2)-(($E38-1)*($E38-1+1)/2))*BF$2), 0)+IF(IF(time+1&gt;=BG$2, $K38/time_cap/(time+1)*BF$2, 0) = 0, $K38/(time_cap),0)),0)</f>
        <v/>
      </c>
      <c r="BG38" s="4395">
        <f>IFERROR(IF((time+time_cap)&lt;BG$2, 0,IF(AND(time+1&gt;=BH$2, $E38&lt;BH$2), IF($I38= "I", $J38/($F38-$E38+1), $J38/(($F38*($F38+1)/2)-(($E38-1)*($E38-1+1)/2))*BG$2), 0)+IF(IF(time+1&gt;=BH$2, $K38/time_cap/(time+1)*BG$2, 0) = 0, $K38/(time_cap),0)),0)</f>
        <v/>
      </c>
      <c r="BH38" s="4395">
        <f>IFERROR(IF((time+time_cap)&lt;BH$2, 0,IF(AND(time+1&gt;=BI$2, $E38&lt;BI$2), IF($I38= "I", $J38/($F38-$E38+1), $J38/(($F38*($F38+1)/2)-(($E38-1)*($E38-1+1)/2))*BH$2), 0)+IF(IF(time+1&gt;=BI$2, $K38/time_cap/(time+1)*BH$2, 0) = 0, $K38/(time_cap),0)),0)</f>
        <v/>
      </c>
      <c r="BI38" s="4395">
        <f>IFERROR(IF((time+time_cap)&lt;BI$2, 0,IF(AND(time+1&gt;=BJ$2, $E38&lt;BJ$2), IF($I38= "I", $J38/($F38-$E38+1), $J38/(($F38*($F38+1)/2)-(($E38-1)*($E38-1+1)/2))*BI$2), 0)+IF(IF(time+1&gt;=BJ$2, $K38/time_cap/(time+1)*BI$2, 0) = 0, $K38/(time_cap),0)),0)</f>
        <v/>
      </c>
      <c r="BJ38" s="4395">
        <f>IFERROR(IF((time+time_cap)&lt;BJ$2, 0,IF(AND(time+1&gt;=BK$2, $E38&lt;BK$2), IF($I38= "I", $J38/($F38-$E38+1), $J38/(($F38*($F38+1)/2)-(($E38-1)*($E38-1+1)/2))*BJ$2), 0)+IF(IF(time+1&gt;=BK$2, $K38/time_cap/(time+1)*BJ$2, 0) = 0, $K38/(time_cap),0)),0)</f>
        <v/>
      </c>
      <c r="BK38" s="4395" t="n"/>
      <c r="BL38" s="4395" t="n"/>
      <c r="BM38" s="4395" t="n"/>
      <c r="BN38" s="4395" t="n"/>
      <c r="BO38" s="4395" t="n"/>
      <c r="BP38" s="4395" t="n"/>
      <c r="BQ38" s="4395" t="n"/>
      <c r="BR38" s="4395" t="n"/>
      <c r="BS38" s="4395" t="n"/>
      <c r="BT38" s="4395" t="n"/>
      <c r="BU38" s="4395" t="n"/>
      <c r="BV38" s="4395" t="n"/>
      <c r="BW38" s="4395" t="n"/>
      <c r="BX38" s="4395" t="n"/>
      <c r="BY38" s="4395" t="n"/>
      <c r="BZ38" s="4395" t="n"/>
      <c r="CA38" s="4395" t="n"/>
      <c r="CB38" s="4395" t="n"/>
      <c r="CC38" s="4395" t="n"/>
      <c r="CD38" s="4395" t="n"/>
      <c r="CE38" s="4395" t="n"/>
      <c r="CF38" s="4395" t="n"/>
      <c r="CG38" s="4395" t="n"/>
      <c r="CH38" s="4395" t="n"/>
      <c r="CI38" s="4395" t="n"/>
      <c r="CJ38" s="4395" t="n"/>
      <c r="CK38" s="4395" t="n"/>
      <c r="CL38" s="4395" t="n"/>
      <c r="CM38" s="4395" t="n"/>
      <c r="CN38" s="4395" t="n"/>
      <c r="CO38" s="4395" t="n"/>
      <c r="CP38" s="4395" t="n"/>
      <c r="CQ38" s="4395" t="n"/>
      <c r="CR38" s="4395" t="n"/>
      <c r="CS38" s="4395" t="n"/>
      <c r="CT38" s="4395" t="n"/>
      <c r="CU38" s="4395" t="n"/>
      <c r="CV38" s="4395" t="n"/>
      <c r="CW38" s="4395" t="n"/>
      <c r="CX38" s="4395" t="n"/>
      <c r="CY38" s="4395" t="n"/>
      <c r="CZ38" s="4395" t="n"/>
      <c r="DA38" s="4395" t="n"/>
      <c r="DB38" s="4395" t="n"/>
      <c r="DC38" s="4395" t="n"/>
      <c r="DD38" s="4395" t="n"/>
      <c r="DE38" s="4395" t="n"/>
      <c r="DF38" s="4395" t="n"/>
      <c r="DG38" s="4395" t="n"/>
      <c r="DH38" s="4395" t="n"/>
    </row>
    <row r="39" ht="16" customHeight="1">
      <c r="A39" t="inlineStr">
        <is>
          <t>Annuals</t>
        </is>
      </c>
      <c r="C39">
        <f>'3.Cropland'!E16</f>
        <v/>
      </c>
      <c r="D39" s="388">
        <f>'3.Cropland'!Z16</f>
        <v/>
      </c>
      <c r="E39">
        <f>IF('3.Cropland'!BP16&lt;&gt;0,'3.Cropland'!BP16,'3.Cropland'!BO16)</f>
        <v/>
      </c>
      <c r="F39">
        <f>time</f>
        <v/>
      </c>
      <c r="G39" s="4395" t="inlineStr">
        <is>
          <t>D</t>
        </is>
      </c>
      <c r="H39" s="4395" t="inlineStr">
        <is>
          <t>D</t>
        </is>
      </c>
      <c r="I39" s="4395">
        <f>IF(OR(H39="I", G39="I"), "I", IF(OR(H39="E", G39="E"), "E", "D"))</f>
        <v/>
      </c>
      <c r="J39" s="4395">
        <f>((D39/(time_cap+((F39-E39+1)*VLOOKUP(I39,list!$I$48:$K$50,3, FALSE))))*(F39-E39+1)*VLOOKUP(I39,list!$I$48:$K$50,3, FALSE))</f>
        <v/>
      </c>
      <c r="K39" s="4395">
        <f>((D39/(time_cap+((F39-E39+1)*VLOOKUP(I39,list!$I$48:$K$50,3, FALSE))))*time_cap)</f>
        <v/>
      </c>
      <c r="M39" s="4395">
        <f>IFERROR(IF((time+time_cap)&lt;M$2, 0,IF(AND(time+1&gt;=N$2, $E39&lt;N$2), IF($I39= "I", $J39/($F39-$E39+1), $J39/(($F39*($F39+1)/2)-(($E39-1)*($E39-1+1)/2))*M$2), 0)+IF(IF(time+1&gt;=N$2, $K39/time_cap/(time+1)*M$2, 0) = 0, $K39/(time_cap),0)),0)</f>
        <v/>
      </c>
      <c r="N39" s="4395">
        <f>IFERROR(IF((time+time_cap)&lt;N$2, 0,IF(AND(time+1&gt;=O$2, $E39&lt;O$2), IF($I39= "I", $J39/($F39-$E39+1), $J39/(($F39*($F39+1)/2)-(($E39-1)*($E39-1+1)/2))*N$2), 0)+IF(IF(time+1&gt;=O$2, $K39/time_cap/(time+1)*N$2, 0) = 0, $K39/(time_cap),0)),0)</f>
        <v/>
      </c>
      <c r="O39" s="4395">
        <f>IFERROR(IF((time+time_cap)&lt;O$2, 0,IF(AND(time+1&gt;=P$2, $E39&lt;P$2), IF($I39= "I", $J39/($F39-$E39+1), $J39/(($F39*($F39+1)/2)-(($E39-1)*($E39-1+1)/2))*O$2), 0)+IF(IF(time+1&gt;=P$2, $K39/time_cap/(time+1)*O$2, 0) = 0, $K39/(time_cap),0)),0)</f>
        <v/>
      </c>
      <c r="P39" s="4395">
        <f>IFERROR(IF((time+time_cap)&lt;P$2, 0,IF(AND(time+1&gt;=Q$2, $E39&lt;Q$2), IF($I39= "I", $J39/($F39-$E39+1), $J39/(($F39*($F39+1)/2)-(($E39-1)*($E39-1+1)/2))*P$2), 0)+IF(IF(time+1&gt;=Q$2, $K39/time_cap/(time+1)*P$2, 0) = 0, $K39/(time_cap),0)),0)</f>
        <v/>
      </c>
      <c r="Q39" s="4395">
        <f>IFERROR(IF((time+time_cap)&lt;Q$2, 0,IF(AND(time+1&gt;=R$2, $E39&lt;R$2), IF($I39= "I", $J39/($F39-$E39+1), $J39/(($F39*($F39+1)/2)-(($E39-1)*($E39-1+1)/2))*Q$2), 0)+IF(IF(time+1&gt;=R$2, $K39/time_cap/(time+1)*Q$2, 0) = 0, $K39/(time_cap),0)),0)</f>
        <v/>
      </c>
      <c r="R39" s="4395">
        <f>IFERROR(IF((time+time_cap)&lt;R$2, 0,IF(AND(time+1&gt;=S$2, $E39&lt;S$2), IF($I39= "I", $J39/($F39-$E39+1), $J39/(($F39*($F39+1)/2)-(($E39-1)*($E39-1+1)/2))*R$2), 0)+IF(IF(time+1&gt;=S$2, $K39/time_cap/(time+1)*R$2, 0) = 0, $K39/(time_cap),0)),0)</f>
        <v/>
      </c>
      <c r="S39" s="4395">
        <f>IFERROR(IF((time+time_cap)&lt;S$2, 0,IF(AND(time+1&gt;=T$2, $E39&lt;T$2), IF($I39= "I", $J39/($F39-$E39+1), $J39/(($F39*($F39+1)/2)-(($E39-1)*($E39-1+1)/2))*S$2), 0)+IF(IF(time+1&gt;=T$2, $K39/time_cap/(time+1)*S$2, 0) = 0, $K39/(time_cap),0)),0)</f>
        <v/>
      </c>
      <c r="T39" s="4395">
        <f>IFERROR(IF((time+time_cap)&lt;T$2, 0,IF(AND(time+1&gt;=U$2, $E39&lt;U$2), IF($I39= "I", $J39/($F39-$E39+1), $J39/(($F39*($F39+1)/2)-(($E39-1)*($E39-1+1)/2))*T$2), 0)+IF(IF(time+1&gt;=U$2, $K39/time_cap/(time+1)*T$2, 0) = 0, $K39/(time_cap),0)),0)</f>
        <v/>
      </c>
      <c r="U39" s="4395">
        <f>IFERROR(IF((time+time_cap)&lt;U$2, 0,IF(AND(time+1&gt;=V$2, $E39&lt;V$2), IF($I39= "I", $J39/($F39-$E39+1), $J39/(($F39*($F39+1)/2)-(($E39-1)*($E39-1+1)/2))*U$2), 0)+IF(IF(time+1&gt;=V$2, $K39/time_cap/(time+1)*U$2, 0) = 0, $K39/(time_cap),0)),0)</f>
        <v/>
      </c>
      <c r="V39" s="4395">
        <f>IFERROR(IF((time+time_cap)&lt;V$2, 0,IF(AND(time+1&gt;=W$2, $E39&lt;W$2), IF($I39= "I", $J39/($F39-$E39+1), $J39/(($F39*($F39+1)/2)-(($E39-1)*($E39-1+1)/2))*V$2), 0)+IF(IF(time+1&gt;=W$2, $K39/time_cap/(time+1)*V$2, 0) = 0, $K39/(time_cap),0)),0)</f>
        <v/>
      </c>
      <c r="W39" s="4395">
        <f>IFERROR(IF((time+time_cap)&lt;W$2, 0,IF(AND(time+1&gt;=X$2, $E39&lt;X$2), IF($I39= "I", $J39/($F39-$E39+1), $J39/(($F39*($F39+1)/2)-(($E39-1)*($E39-1+1)/2))*W$2), 0)+IF(IF(time+1&gt;=X$2, $K39/time_cap/(time+1)*W$2, 0) = 0, $K39/(time_cap),0)),0)</f>
        <v/>
      </c>
      <c r="X39" s="4395">
        <f>IFERROR(IF((time+time_cap)&lt;X$2, 0,IF(AND(time+1&gt;=Y$2, $E39&lt;Y$2), IF($I39= "I", $J39/($F39-$E39+1), $J39/(($F39*($F39+1)/2)-(($E39-1)*($E39-1+1)/2))*X$2), 0)+IF(IF(time+1&gt;=Y$2, $K39/time_cap/(time+1)*X$2, 0) = 0, $K39/(time_cap),0)),0)</f>
        <v/>
      </c>
      <c r="Y39" s="4395">
        <f>IFERROR(IF((time+time_cap)&lt;Y$2, 0,IF(AND(time+1&gt;=Z$2, $E39&lt;Z$2), IF($I39= "I", $J39/($F39-$E39+1), $J39/(($F39*($F39+1)/2)-(($E39-1)*($E39-1+1)/2))*Y$2), 0)+IF(IF(time+1&gt;=Z$2, $K39/time_cap/(time+1)*Y$2, 0) = 0, $K39/(time_cap),0)),0)</f>
        <v/>
      </c>
      <c r="Z39" s="4395">
        <f>IFERROR(IF((time+time_cap)&lt;Z$2, 0,IF(AND(time+1&gt;=AA$2, $E39&lt;AA$2), IF($I39= "I", $J39/($F39-$E39+1), $J39/(($F39*($F39+1)/2)-(($E39-1)*($E39-1+1)/2))*Z$2), 0)+IF(IF(time+1&gt;=AA$2, $K39/time_cap/(time+1)*Z$2, 0) = 0, $K39/(time_cap),0)),0)</f>
        <v/>
      </c>
      <c r="AA39" s="4395">
        <f>IFERROR(IF((time+time_cap)&lt;AA$2, 0,IF(AND(time+1&gt;=AB$2, $E39&lt;AB$2), IF($I39= "I", $J39/($F39-$E39+1), $J39/(($F39*($F39+1)/2)-(($E39-1)*($E39-1+1)/2))*AA$2), 0)+IF(IF(time+1&gt;=AB$2, $K39/time_cap/(time+1)*AA$2, 0) = 0, $K39/(time_cap),0)),0)</f>
        <v/>
      </c>
      <c r="AB39" s="4395">
        <f>IFERROR(IF((time+time_cap)&lt;AB$2, 0,IF(AND(time+1&gt;=AC$2, $E39&lt;AC$2), IF($I39= "I", $J39/($F39-$E39+1), $J39/(($F39*($F39+1)/2)-(($E39-1)*($E39-1+1)/2))*AB$2), 0)+IF(IF(time+1&gt;=AC$2, $K39/time_cap/(time+1)*AB$2, 0) = 0, $K39/(time_cap),0)),0)</f>
        <v/>
      </c>
      <c r="AC39" s="4395">
        <f>IFERROR(IF((time+time_cap)&lt;AC$2, 0,IF(AND(time+1&gt;=AD$2, $E39&lt;AD$2), IF($I39= "I", $J39/($F39-$E39+1), $J39/(($F39*($F39+1)/2)-(($E39-1)*($E39-1+1)/2))*AC$2), 0)+IF(IF(time+1&gt;=AD$2, $K39/time_cap/(time+1)*AC$2, 0) = 0, $K39/(time_cap),0)),0)</f>
        <v/>
      </c>
      <c r="AD39" s="4395">
        <f>IFERROR(IF((time+time_cap)&lt;AD$2, 0,IF(AND(time+1&gt;=AE$2, $E39&lt;AE$2), IF($I39= "I", $J39/($F39-$E39+1), $J39/(($F39*($F39+1)/2)-(($E39-1)*($E39-1+1)/2))*AD$2), 0)+IF(IF(time+1&gt;=AE$2, $K39/time_cap/(time+1)*AD$2, 0) = 0, $K39/(time_cap),0)),0)</f>
        <v/>
      </c>
      <c r="AE39" s="4395">
        <f>IFERROR(IF((time+time_cap)&lt;AE$2, 0,IF(AND(time+1&gt;=AF$2, $E39&lt;AF$2), IF($I39= "I", $J39/($F39-$E39+1), $J39/(($F39*($F39+1)/2)-(($E39-1)*($E39-1+1)/2))*AE$2), 0)+IF(IF(time+1&gt;=AF$2, $K39/time_cap/(time+1)*AE$2, 0) = 0, $K39/(time_cap),0)),0)</f>
        <v/>
      </c>
      <c r="AF39" s="4395">
        <f>IFERROR(IF((time+time_cap)&lt;AF$2, 0,IF(AND(time+1&gt;=AG$2, $E39&lt;AG$2), IF($I39= "I", $J39/($F39-$E39+1), $J39/(($F39*($F39+1)/2)-(($E39-1)*($E39-1+1)/2))*AF$2), 0)+IF(IF(time+1&gt;=AG$2, $K39/time_cap/(time+1)*AF$2, 0) = 0, $K39/(time_cap),0)),0)</f>
        <v/>
      </c>
      <c r="AG39" s="4395">
        <f>IFERROR(IF((time+time_cap)&lt;AG$2, 0,IF(AND(time+1&gt;=AH$2, $E39&lt;AH$2), IF($I39= "I", $J39/($F39-$E39+1), $J39/(($F39*($F39+1)/2)-(($E39-1)*($E39-1+1)/2))*AG$2), 0)+IF(IF(time+1&gt;=AH$2, $K39/time_cap/(time+1)*AG$2, 0) = 0, $K39/(time_cap),0)),0)</f>
        <v/>
      </c>
      <c r="AH39" s="4395">
        <f>IFERROR(IF((time+time_cap)&lt;AH$2, 0,IF(AND(time+1&gt;=AI$2, $E39&lt;AI$2), IF($I39= "I", $J39/($F39-$E39+1), $J39/(($F39*($F39+1)/2)-(($E39-1)*($E39-1+1)/2))*AH$2), 0)+IF(IF(time+1&gt;=AI$2, $K39/time_cap/(time+1)*AH$2, 0) = 0, $K39/(time_cap),0)),0)</f>
        <v/>
      </c>
      <c r="AI39" s="4395">
        <f>IFERROR(IF((time+time_cap)&lt;AI$2, 0,IF(AND(time+1&gt;=AJ$2, $E39&lt;AJ$2), IF($I39= "I", $J39/($F39-$E39+1), $J39/(($F39*($F39+1)/2)-(($E39-1)*($E39-1+1)/2))*AI$2), 0)+IF(IF(time+1&gt;=AJ$2, $K39/time_cap/(time+1)*AI$2, 0) = 0, $K39/(time_cap),0)),0)</f>
        <v/>
      </c>
      <c r="AJ39" s="4395">
        <f>IFERROR(IF((time+time_cap)&lt;AJ$2, 0,IF(AND(time+1&gt;=AK$2, $E39&lt;AK$2), IF($I39= "I", $J39/($F39-$E39+1), $J39/(($F39*($F39+1)/2)-(($E39-1)*($E39-1+1)/2))*AJ$2), 0)+IF(IF(time+1&gt;=AK$2, $K39/time_cap/(time+1)*AJ$2, 0) = 0, $K39/(time_cap),0)),0)</f>
        <v/>
      </c>
      <c r="AK39" s="4395">
        <f>IFERROR(IF((time+time_cap)&lt;AK$2, 0,IF(AND(time+1&gt;=AL$2, $E39&lt;AL$2), IF($I39= "I", $J39/($F39-$E39+1), $J39/(($F39*($F39+1)/2)-(($E39-1)*($E39-1+1)/2))*AK$2), 0)+IF(IF(time+1&gt;=AL$2, $K39/time_cap/(time+1)*AK$2, 0) = 0, $K39/(time_cap),0)),0)</f>
        <v/>
      </c>
      <c r="AL39" s="4395">
        <f>IFERROR(IF((time+time_cap)&lt;AL$2, 0,IF(AND(time+1&gt;=AM$2, $E39&lt;AM$2), IF($I39= "I", $J39/($F39-$E39+1), $J39/(($F39*($F39+1)/2)-(($E39-1)*($E39-1+1)/2))*AL$2), 0)+IF(IF(time+1&gt;=AM$2, $K39/time_cap/(time+1)*AL$2, 0) = 0, $K39/(time_cap),0)),0)</f>
        <v/>
      </c>
      <c r="AM39" s="4395">
        <f>IFERROR(IF((time+time_cap)&lt;AM$2, 0,IF(AND(time+1&gt;=AN$2, $E39&lt;AN$2), IF($I39= "I", $J39/($F39-$E39+1), $J39/(($F39*($F39+1)/2)-(($E39-1)*($E39-1+1)/2))*AM$2), 0)+IF(IF(time+1&gt;=AN$2, $K39/time_cap/(time+1)*AM$2, 0) = 0, $K39/(time_cap),0)),0)</f>
        <v/>
      </c>
      <c r="AN39" s="4395">
        <f>IFERROR(IF((time+time_cap)&lt;AN$2, 0,IF(AND(time+1&gt;=AO$2, $E39&lt;AO$2), IF($I39= "I", $J39/($F39-$E39+1), $J39/(($F39*($F39+1)/2)-(($E39-1)*($E39-1+1)/2))*AN$2), 0)+IF(IF(time+1&gt;=AO$2, $K39/time_cap/(time+1)*AN$2, 0) = 0, $K39/(time_cap),0)),0)</f>
        <v/>
      </c>
      <c r="AO39" s="4395">
        <f>IFERROR(IF((time+time_cap)&lt;AO$2, 0,IF(AND(time+1&gt;=AP$2, $E39&lt;AP$2), IF($I39= "I", $J39/($F39-$E39+1), $J39/(($F39*($F39+1)/2)-(($E39-1)*($E39-1+1)/2))*AO$2), 0)+IF(IF(time+1&gt;=AP$2, $K39/time_cap/(time+1)*AO$2, 0) = 0, $K39/(time_cap),0)),0)</f>
        <v/>
      </c>
      <c r="AP39" s="4395">
        <f>IFERROR(IF((time+time_cap)&lt;AP$2, 0,IF(AND(time+1&gt;=AQ$2, $E39&lt;AQ$2), IF($I39= "I", $J39/($F39-$E39+1), $J39/(($F39*($F39+1)/2)-(($E39-1)*($E39-1+1)/2))*AP$2), 0)+IF(IF(time+1&gt;=AQ$2, $K39/time_cap/(time+1)*AP$2, 0) = 0, $K39/(time_cap),0)),0)</f>
        <v/>
      </c>
      <c r="AQ39" s="4395">
        <f>IFERROR(IF((time+time_cap)&lt;AQ$2, 0,IF(AND(time+1&gt;=AR$2, $E39&lt;AR$2), IF($I39= "I", $J39/($F39-$E39+1), $J39/(($F39*($F39+1)/2)-(($E39-1)*($E39-1+1)/2))*AQ$2), 0)+IF(IF(time+1&gt;=AR$2, $K39/time_cap/(time+1)*AQ$2, 0) = 0, $K39/(time_cap),0)),0)</f>
        <v/>
      </c>
      <c r="AR39" s="4395">
        <f>IFERROR(IF((time+time_cap)&lt;AR$2, 0,IF(AND(time+1&gt;=AS$2, $E39&lt;AS$2), IF($I39= "I", $J39/($F39-$E39+1), $J39/(($F39*($F39+1)/2)-(($E39-1)*($E39-1+1)/2))*AR$2), 0)+IF(IF(time+1&gt;=AS$2, $K39/time_cap/(time+1)*AR$2, 0) = 0, $K39/(time_cap),0)),0)</f>
        <v/>
      </c>
      <c r="AS39" s="4395">
        <f>IFERROR(IF((time+time_cap)&lt;AS$2, 0,IF(AND(time+1&gt;=AT$2, $E39&lt;AT$2), IF($I39= "I", $J39/($F39-$E39+1), $J39/(($F39*($F39+1)/2)-(($E39-1)*($E39-1+1)/2))*AS$2), 0)+IF(IF(time+1&gt;=AT$2, $K39/time_cap/(time+1)*AS$2, 0) = 0, $K39/(time_cap),0)),0)</f>
        <v/>
      </c>
      <c r="AT39" s="4395">
        <f>IFERROR(IF((time+time_cap)&lt;AT$2, 0,IF(AND(time+1&gt;=AU$2, $E39&lt;AU$2), IF($I39= "I", $J39/($F39-$E39+1), $J39/(($F39*($F39+1)/2)-(($E39-1)*($E39-1+1)/2))*AT$2), 0)+IF(IF(time+1&gt;=AU$2, $K39/time_cap/(time+1)*AT$2, 0) = 0, $K39/(time_cap),0)),0)</f>
        <v/>
      </c>
      <c r="AU39" s="4395">
        <f>IFERROR(IF((time+time_cap)&lt;AU$2, 0,IF(AND(time+1&gt;=AV$2, $E39&lt;AV$2), IF($I39= "I", $J39/($F39-$E39+1), $J39/(($F39*($F39+1)/2)-(($E39-1)*($E39-1+1)/2))*AU$2), 0)+IF(IF(time+1&gt;=AV$2, $K39/time_cap/(time+1)*AU$2, 0) = 0, $K39/(time_cap),0)),0)</f>
        <v/>
      </c>
      <c r="AV39" s="4395">
        <f>IFERROR(IF((time+time_cap)&lt;AV$2, 0,IF(AND(time+1&gt;=AW$2, $E39&lt;AW$2), IF($I39= "I", $J39/($F39-$E39+1), $J39/(($F39*($F39+1)/2)-(($E39-1)*($E39-1+1)/2))*AV$2), 0)+IF(IF(time+1&gt;=AW$2, $K39/time_cap/(time+1)*AV$2, 0) = 0, $K39/(time_cap),0)),0)</f>
        <v/>
      </c>
      <c r="AW39" s="4395">
        <f>IFERROR(IF((time+time_cap)&lt;AW$2, 0,IF(AND(time+1&gt;=AX$2, $E39&lt;AX$2), IF($I39= "I", $J39/($F39-$E39+1), $J39/(($F39*($F39+1)/2)-(($E39-1)*($E39-1+1)/2))*AW$2), 0)+IF(IF(time+1&gt;=AX$2, $K39/time_cap/(time+1)*AW$2, 0) = 0, $K39/(time_cap),0)),0)</f>
        <v/>
      </c>
      <c r="AX39" s="4395">
        <f>IFERROR(IF((time+time_cap)&lt;AX$2, 0,IF(AND(time+1&gt;=AY$2, $E39&lt;AY$2), IF($I39= "I", $J39/($F39-$E39+1), $J39/(($F39*($F39+1)/2)-(($E39-1)*($E39-1+1)/2))*AX$2), 0)+IF(IF(time+1&gt;=AY$2, $K39/time_cap/(time+1)*AX$2, 0) = 0, $K39/(time_cap),0)),0)</f>
        <v/>
      </c>
      <c r="AY39" s="4395">
        <f>IFERROR(IF((time+time_cap)&lt;AY$2, 0,IF(AND(time+1&gt;=AZ$2, $E39&lt;AZ$2), IF($I39= "I", $J39/($F39-$E39+1), $J39/(($F39*($F39+1)/2)-(($E39-1)*($E39-1+1)/2))*AY$2), 0)+IF(IF(time+1&gt;=AZ$2, $K39/time_cap/(time+1)*AY$2, 0) = 0, $K39/(time_cap),0)),0)</f>
        <v/>
      </c>
      <c r="AZ39" s="4395">
        <f>IFERROR(IF((time+time_cap)&lt;AZ$2, 0,IF(AND(time+1&gt;=BA$2, $E39&lt;BA$2), IF($I39= "I", $J39/($F39-$E39+1), $J39/(($F39*($F39+1)/2)-(($E39-1)*($E39-1+1)/2))*AZ$2), 0)+IF(IF(time+1&gt;=BA$2, $K39/time_cap/(time+1)*AZ$2, 0) = 0, $K39/(time_cap),0)),0)</f>
        <v/>
      </c>
      <c r="BA39" s="4395">
        <f>IFERROR(IF((time+time_cap)&lt;BA$2, 0,IF(AND(time+1&gt;=BB$2, $E39&lt;BB$2), IF($I39= "I", $J39/($F39-$E39+1), $J39/(($F39*($F39+1)/2)-(($E39-1)*($E39-1+1)/2))*BA$2), 0)+IF(IF(time+1&gt;=BB$2, $K39/time_cap/(time+1)*BA$2, 0) = 0, $K39/(time_cap),0)),0)</f>
        <v/>
      </c>
      <c r="BB39" s="4395">
        <f>IFERROR(IF((time+time_cap)&lt;BB$2, 0,IF(AND(time+1&gt;=BC$2, $E39&lt;BC$2), IF($I39= "I", $J39/($F39-$E39+1), $J39/(($F39*($F39+1)/2)-(($E39-1)*($E39-1+1)/2))*BB$2), 0)+IF(IF(time+1&gt;=BC$2, $K39/time_cap/(time+1)*BB$2, 0) = 0, $K39/(time_cap),0)),0)</f>
        <v/>
      </c>
      <c r="BC39" s="4395">
        <f>IFERROR(IF((time+time_cap)&lt;BC$2, 0,IF(AND(time+1&gt;=BD$2, $E39&lt;BD$2), IF($I39= "I", $J39/($F39-$E39+1), $J39/(($F39*($F39+1)/2)-(($E39-1)*($E39-1+1)/2))*BC$2), 0)+IF(IF(time+1&gt;=BD$2, $K39/time_cap/(time+1)*BC$2, 0) = 0, $K39/(time_cap),0)),0)</f>
        <v/>
      </c>
      <c r="BD39" s="4395">
        <f>IFERROR(IF((time+time_cap)&lt;BD$2, 0,IF(AND(time+1&gt;=BE$2, $E39&lt;BE$2), IF($I39= "I", $J39/($F39-$E39+1), $J39/(($F39*($F39+1)/2)-(($E39-1)*($E39-1+1)/2))*BD$2), 0)+IF(IF(time+1&gt;=BE$2, $K39/time_cap/(time+1)*BD$2, 0) = 0, $K39/(time_cap),0)),0)</f>
        <v/>
      </c>
      <c r="BE39" s="4395">
        <f>IFERROR(IF((time+time_cap)&lt;BE$2, 0,IF(AND(time+1&gt;=BF$2, $E39&lt;BF$2), IF($I39= "I", $J39/($F39-$E39+1), $J39/(($F39*($F39+1)/2)-(($E39-1)*($E39-1+1)/2))*BE$2), 0)+IF(IF(time+1&gt;=BF$2, $K39/time_cap/(time+1)*BE$2, 0) = 0, $K39/(time_cap),0)),0)</f>
        <v/>
      </c>
      <c r="BF39" s="4395">
        <f>IFERROR(IF((time+time_cap)&lt;BF$2, 0,IF(AND(time+1&gt;=BG$2, $E39&lt;BG$2), IF($I39= "I", $J39/($F39-$E39+1), $J39/(($F39*($F39+1)/2)-(($E39-1)*($E39-1+1)/2))*BF$2), 0)+IF(IF(time+1&gt;=BG$2, $K39/time_cap/(time+1)*BF$2, 0) = 0, $K39/(time_cap),0)),0)</f>
        <v/>
      </c>
      <c r="BG39" s="4395">
        <f>IFERROR(IF((time+time_cap)&lt;BG$2, 0,IF(AND(time+1&gt;=BH$2, $E39&lt;BH$2), IF($I39= "I", $J39/($F39-$E39+1), $J39/(($F39*($F39+1)/2)-(($E39-1)*($E39-1+1)/2))*BG$2), 0)+IF(IF(time+1&gt;=BH$2, $K39/time_cap/(time+1)*BG$2, 0) = 0, $K39/(time_cap),0)),0)</f>
        <v/>
      </c>
      <c r="BH39" s="4395">
        <f>IFERROR(IF((time+time_cap)&lt;BH$2, 0,IF(AND(time+1&gt;=BI$2, $E39&lt;BI$2), IF($I39= "I", $J39/($F39-$E39+1), $J39/(($F39*($F39+1)/2)-(($E39-1)*($E39-1+1)/2))*BH$2), 0)+IF(IF(time+1&gt;=BI$2, $K39/time_cap/(time+1)*BH$2, 0) = 0, $K39/(time_cap),0)),0)</f>
        <v/>
      </c>
      <c r="BI39" s="4395">
        <f>IFERROR(IF((time+time_cap)&lt;BI$2, 0,IF(AND(time+1&gt;=BJ$2, $E39&lt;BJ$2), IF($I39= "I", $J39/($F39-$E39+1), $J39/(($F39*($F39+1)/2)-(($E39-1)*($E39-1+1)/2))*BI$2), 0)+IF(IF(time+1&gt;=BJ$2, $K39/time_cap/(time+1)*BI$2, 0) = 0, $K39/(time_cap),0)),0)</f>
        <v/>
      </c>
      <c r="BJ39" s="4395">
        <f>IFERROR(IF((time+time_cap)&lt;BJ$2, 0,IF(AND(time+1&gt;=BK$2, $E39&lt;BK$2), IF($I39= "I", $J39/($F39-$E39+1), $J39/(($F39*($F39+1)/2)-(($E39-1)*($E39-1+1)/2))*BJ$2), 0)+IF(IF(time+1&gt;=BK$2, $K39/time_cap/(time+1)*BJ$2, 0) = 0, $K39/(time_cap),0)),0)</f>
        <v/>
      </c>
      <c r="BK39" s="4395" t="n"/>
      <c r="BL39" s="4395" t="n"/>
      <c r="BM39" s="4395" t="n"/>
      <c r="BN39" s="4395" t="n"/>
      <c r="BO39" s="4395" t="n"/>
      <c r="BP39" s="4395" t="n"/>
      <c r="BQ39" s="4395" t="n"/>
      <c r="BR39" s="4395" t="n"/>
      <c r="BS39" s="4395" t="n"/>
      <c r="BT39" s="4395" t="n"/>
      <c r="BU39" s="4395" t="n"/>
      <c r="BV39" s="4395" t="n"/>
      <c r="BW39" s="4395" t="n"/>
      <c r="BX39" s="4395" t="n"/>
      <c r="BY39" s="4395" t="n"/>
      <c r="BZ39" s="4395" t="n"/>
      <c r="CA39" s="4395" t="n"/>
      <c r="CB39" s="4395" t="n"/>
      <c r="CC39" s="4395" t="n"/>
      <c r="CD39" s="4395" t="n"/>
      <c r="CE39" s="4395" t="n"/>
      <c r="CF39" s="4395" t="n"/>
      <c r="CG39" s="4395" t="n"/>
      <c r="CH39" s="4395" t="n"/>
      <c r="CI39" s="4395" t="n"/>
      <c r="CJ39" s="4395" t="n"/>
      <c r="CK39" s="4395" t="n"/>
      <c r="CL39" s="4395" t="n"/>
      <c r="CM39" s="4395" t="n"/>
      <c r="CN39" s="4395" t="n"/>
      <c r="CO39" s="4395" t="n"/>
      <c r="CP39" s="4395" t="n"/>
      <c r="CQ39" s="4395" t="n"/>
      <c r="CR39" s="4395" t="n"/>
      <c r="CS39" s="4395" t="n"/>
      <c r="CT39" s="4395" t="n"/>
      <c r="CU39" s="4395" t="n"/>
      <c r="CV39" s="4395" t="n"/>
      <c r="CW39" s="4395" t="n"/>
      <c r="CX39" s="4395" t="n"/>
      <c r="CY39" s="4395" t="n"/>
      <c r="CZ39" s="4395" t="n"/>
      <c r="DA39" s="4395" t="n"/>
      <c r="DB39" s="4395" t="n"/>
      <c r="DC39" s="4395" t="n"/>
      <c r="DD39" s="4395" t="n"/>
      <c r="DE39" s="4395" t="n"/>
      <c r="DF39" s="4395" t="n"/>
      <c r="DG39" s="4395" t="n"/>
      <c r="DH39" s="4395" t="n"/>
    </row>
    <row r="40" ht="16" customHeight="1">
      <c r="A40" t="inlineStr">
        <is>
          <t>Annuals</t>
        </is>
      </c>
      <c r="C40">
        <f>'3.Cropland'!E17</f>
        <v/>
      </c>
      <c r="D40" s="388">
        <f>'3.Cropland'!Z17</f>
        <v/>
      </c>
      <c r="E40">
        <f>IF('3.Cropland'!BP17&lt;&gt;0,'3.Cropland'!BP17,'3.Cropland'!BO17)</f>
        <v/>
      </c>
      <c r="F40">
        <f>time</f>
        <v/>
      </c>
      <c r="G40" s="4395" t="inlineStr">
        <is>
          <t>D</t>
        </is>
      </c>
      <c r="H40" s="4395" t="inlineStr">
        <is>
          <t>D</t>
        </is>
      </c>
      <c r="I40" s="4395">
        <f>IF(OR(H40="I", G40="I"), "I", IF(OR(H40="E", G40="E"), "E", "D"))</f>
        <v/>
      </c>
      <c r="J40" s="4395">
        <f>((D40/(time_cap+((F40-E40+1)*VLOOKUP(I40,list!$I$48:$K$50,3, FALSE))))*(F40-E40+1)*VLOOKUP(I40,list!$I$48:$K$50,3, FALSE))</f>
        <v/>
      </c>
      <c r="K40" s="4395">
        <f>((D40/(time_cap+((F40-E40+1)*VLOOKUP(I40,list!$I$48:$K$50,3, FALSE))))*time_cap)</f>
        <v/>
      </c>
      <c r="M40" s="4395">
        <f>IFERROR(IF((time+time_cap)&lt;M$2, 0,IF(AND(time+1&gt;=N$2, $E40&lt;N$2), IF($I40= "I", $J40/($F40-$E40+1), $J40/(($F40*($F40+1)/2)-(($E40-1)*($E40-1+1)/2))*M$2), 0)+IF(IF(time+1&gt;=N$2, $K40/time_cap/(time+1)*M$2, 0) = 0, $K40/(time_cap),0)),0)</f>
        <v/>
      </c>
      <c r="N40" s="4395">
        <f>IFERROR(IF((time+time_cap)&lt;N$2, 0,IF(AND(time+1&gt;=O$2, $E40&lt;O$2), IF($I40= "I", $J40/($F40-$E40+1), $J40/(($F40*($F40+1)/2)-(($E40-1)*($E40-1+1)/2))*N$2), 0)+IF(IF(time+1&gt;=O$2, $K40/time_cap/(time+1)*N$2, 0) = 0, $K40/(time_cap),0)),0)</f>
        <v/>
      </c>
      <c r="O40" s="4395">
        <f>IFERROR(IF((time+time_cap)&lt;O$2, 0,IF(AND(time+1&gt;=P$2, $E40&lt;P$2), IF($I40= "I", $J40/($F40-$E40+1), $J40/(($F40*($F40+1)/2)-(($E40-1)*($E40-1+1)/2))*O$2), 0)+IF(IF(time+1&gt;=P$2, $K40/time_cap/(time+1)*O$2, 0) = 0, $K40/(time_cap),0)),0)</f>
        <v/>
      </c>
      <c r="P40" s="4395">
        <f>IFERROR(IF((time+time_cap)&lt;P$2, 0,IF(AND(time+1&gt;=Q$2, $E40&lt;Q$2), IF($I40= "I", $J40/($F40-$E40+1), $J40/(($F40*($F40+1)/2)-(($E40-1)*($E40-1+1)/2))*P$2), 0)+IF(IF(time+1&gt;=Q$2, $K40/time_cap/(time+1)*P$2, 0) = 0, $K40/(time_cap),0)),0)</f>
        <v/>
      </c>
      <c r="Q40" s="4395">
        <f>IFERROR(IF((time+time_cap)&lt;Q$2, 0,IF(AND(time+1&gt;=R$2, $E40&lt;R$2), IF($I40= "I", $J40/($F40-$E40+1), $J40/(($F40*($F40+1)/2)-(($E40-1)*($E40-1+1)/2))*Q$2), 0)+IF(IF(time+1&gt;=R$2, $K40/time_cap/(time+1)*Q$2, 0) = 0, $K40/(time_cap),0)),0)</f>
        <v/>
      </c>
      <c r="R40" s="4395">
        <f>IFERROR(IF((time+time_cap)&lt;R$2, 0,IF(AND(time+1&gt;=S$2, $E40&lt;S$2), IF($I40= "I", $J40/($F40-$E40+1), $J40/(($F40*($F40+1)/2)-(($E40-1)*($E40-1+1)/2))*R$2), 0)+IF(IF(time+1&gt;=S$2, $K40/time_cap/(time+1)*R$2, 0) = 0, $K40/(time_cap),0)),0)</f>
        <v/>
      </c>
      <c r="S40" s="4395">
        <f>IFERROR(IF((time+time_cap)&lt;S$2, 0,IF(AND(time+1&gt;=T$2, $E40&lt;T$2), IF($I40= "I", $J40/($F40-$E40+1), $J40/(($F40*($F40+1)/2)-(($E40-1)*($E40-1+1)/2))*S$2), 0)+IF(IF(time+1&gt;=T$2, $K40/time_cap/(time+1)*S$2, 0) = 0, $K40/(time_cap),0)),0)</f>
        <v/>
      </c>
      <c r="T40" s="4395">
        <f>IFERROR(IF((time+time_cap)&lt;T$2, 0,IF(AND(time+1&gt;=U$2, $E40&lt;U$2), IF($I40= "I", $J40/($F40-$E40+1), $J40/(($F40*($F40+1)/2)-(($E40-1)*($E40-1+1)/2))*T$2), 0)+IF(IF(time+1&gt;=U$2, $K40/time_cap/(time+1)*T$2, 0) = 0, $K40/(time_cap),0)),0)</f>
        <v/>
      </c>
      <c r="U40" s="4395">
        <f>IFERROR(IF((time+time_cap)&lt;U$2, 0,IF(AND(time+1&gt;=V$2, $E40&lt;V$2), IF($I40= "I", $J40/($F40-$E40+1), $J40/(($F40*($F40+1)/2)-(($E40-1)*($E40-1+1)/2))*U$2), 0)+IF(IF(time+1&gt;=V$2, $K40/time_cap/(time+1)*U$2, 0) = 0, $K40/(time_cap),0)),0)</f>
        <v/>
      </c>
      <c r="V40" s="4395">
        <f>IFERROR(IF((time+time_cap)&lt;V$2, 0,IF(AND(time+1&gt;=W$2, $E40&lt;W$2), IF($I40= "I", $J40/($F40-$E40+1), $J40/(($F40*($F40+1)/2)-(($E40-1)*($E40-1+1)/2))*V$2), 0)+IF(IF(time+1&gt;=W$2, $K40/time_cap/(time+1)*V$2, 0) = 0, $K40/(time_cap),0)),0)</f>
        <v/>
      </c>
      <c r="W40" s="4395">
        <f>IFERROR(IF((time+time_cap)&lt;W$2, 0,IF(AND(time+1&gt;=X$2, $E40&lt;X$2), IF($I40= "I", $J40/($F40-$E40+1), $J40/(($F40*($F40+1)/2)-(($E40-1)*($E40-1+1)/2))*W$2), 0)+IF(IF(time+1&gt;=X$2, $K40/time_cap/(time+1)*W$2, 0) = 0, $K40/(time_cap),0)),0)</f>
        <v/>
      </c>
      <c r="X40" s="4395">
        <f>IFERROR(IF((time+time_cap)&lt;X$2, 0,IF(AND(time+1&gt;=Y$2, $E40&lt;Y$2), IF($I40= "I", $J40/($F40-$E40+1), $J40/(($F40*($F40+1)/2)-(($E40-1)*($E40-1+1)/2))*X$2), 0)+IF(IF(time+1&gt;=Y$2, $K40/time_cap/(time+1)*X$2, 0) = 0, $K40/(time_cap),0)),0)</f>
        <v/>
      </c>
      <c r="Y40" s="4395">
        <f>IFERROR(IF((time+time_cap)&lt;Y$2, 0,IF(AND(time+1&gt;=Z$2, $E40&lt;Z$2), IF($I40= "I", $J40/($F40-$E40+1), $J40/(($F40*($F40+1)/2)-(($E40-1)*($E40-1+1)/2))*Y$2), 0)+IF(IF(time+1&gt;=Z$2, $K40/time_cap/(time+1)*Y$2, 0) = 0, $K40/(time_cap),0)),0)</f>
        <v/>
      </c>
      <c r="Z40" s="4395">
        <f>IFERROR(IF((time+time_cap)&lt;Z$2, 0,IF(AND(time+1&gt;=AA$2, $E40&lt;AA$2), IF($I40= "I", $J40/($F40-$E40+1), $J40/(($F40*($F40+1)/2)-(($E40-1)*($E40-1+1)/2))*Z$2), 0)+IF(IF(time+1&gt;=AA$2, $K40/time_cap/(time+1)*Z$2, 0) = 0, $K40/(time_cap),0)),0)</f>
        <v/>
      </c>
      <c r="AA40" s="4395">
        <f>IFERROR(IF((time+time_cap)&lt;AA$2, 0,IF(AND(time+1&gt;=AB$2, $E40&lt;AB$2), IF($I40= "I", $J40/($F40-$E40+1), $J40/(($F40*($F40+1)/2)-(($E40-1)*($E40-1+1)/2))*AA$2), 0)+IF(IF(time+1&gt;=AB$2, $K40/time_cap/(time+1)*AA$2, 0) = 0, $K40/(time_cap),0)),0)</f>
        <v/>
      </c>
      <c r="AB40" s="4395">
        <f>IFERROR(IF((time+time_cap)&lt;AB$2, 0,IF(AND(time+1&gt;=AC$2, $E40&lt;AC$2), IF($I40= "I", $J40/($F40-$E40+1), $J40/(($F40*($F40+1)/2)-(($E40-1)*($E40-1+1)/2))*AB$2), 0)+IF(IF(time+1&gt;=AC$2, $K40/time_cap/(time+1)*AB$2, 0) = 0, $K40/(time_cap),0)),0)</f>
        <v/>
      </c>
      <c r="AC40" s="4395">
        <f>IFERROR(IF((time+time_cap)&lt;AC$2, 0,IF(AND(time+1&gt;=AD$2, $E40&lt;AD$2), IF($I40= "I", $J40/($F40-$E40+1), $J40/(($F40*($F40+1)/2)-(($E40-1)*($E40-1+1)/2))*AC$2), 0)+IF(IF(time+1&gt;=AD$2, $K40/time_cap/(time+1)*AC$2, 0) = 0, $K40/(time_cap),0)),0)</f>
        <v/>
      </c>
      <c r="AD40" s="4395">
        <f>IFERROR(IF((time+time_cap)&lt;AD$2, 0,IF(AND(time+1&gt;=AE$2, $E40&lt;AE$2), IF($I40= "I", $J40/($F40-$E40+1), $J40/(($F40*($F40+1)/2)-(($E40-1)*($E40-1+1)/2))*AD$2), 0)+IF(IF(time+1&gt;=AE$2, $K40/time_cap/(time+1)*AD$2, 0) = 0, $K40/(time_cap),0)),0)</f>
        <v/>
      </c>
      <c r="AE40" s="4395">
        <f>IFERROR(IF((time+time_cap)&lt;AE$2, 0,IF(AND(time+1&gt;=AF$2, $E40&lt;AF$2), IF($I40= "I", $J40/($F40-$E40+1), $J40/(($F40*($F40+1)/2)-(($E40-1)*($E40-1+1)/2))*AE$2), 0)+IF(IF(time+1&gt;=AF$2, $K40/time_cap/(time+1)*AE$2, 0) = 0, $K40/(time_cap),0)),0)</f>
        <v/>
      </c>
      <c r="AF40" s="4395">
        <f>IFERROR(IF((time+time_cap)&lt;AF$2, 0,IF(AND(time+1&gt;=AG$2, $E40&lt;AG$2), IF($I40= "I", $J40/($F40-$E40+1), $J40/(($F40*($F40+1)/2)-(($E40-1)*($E40-1+1)/2))*AF$2), 0)+IF(IF(time+1&gt;=AG$2, $K40/time_cap/(time+1)*AF$2, 0) = 0, $K40/(time_cap),0)),0)</f>
        <v/>
      </c>
      <c r="AG40" s="4395">
        <f>IFERROR(IF((time+time_cap)&lt;AG$2, 0,IF(AND(time+1&gt;=AH$2, $E40&lt;AH$2), IF($I40= "I", $J40/($F40-$E40+1), $J40/(($F40*($F40+1)/2)-(($E40-1)*($E40-1+1)/2))*AG$2), 0)+IF(IF(time+1&gt;=AH$2, $K40/time_cap/(time+1)*AG$2, 0) = 0, $K40/(time_cap),0)),0)</f>
        <v/>
      </c>
      <c r="AH40" s="4395">
        <f>IFERROR(IF((time+time_cap)&lt;AH$2, 0,IF(AND(time+1&gt;=AI$2, $E40&lt;AI$2), IF($I40= "I", $J40/($F40-$E40+1), $J40/(($F40*($F40+1)/2)-(($E40-1)*($E40-1+1)/2))*AH$2), 0)+IF(IF(time+1&gt;=AI$2, $K40/time_cap/(time+1)*AH$2, 0) = 0, $K40/(time_cap),0)),0)</f>
        <v/>
      </c>
      <c r="AI40" s="4395">
        <f>IFERROR(IF((time+time_cap)&lt;AI$2, 0,IF(AND(time+1&gt;=AJ$2, $E40&lt;AJ$2), IF($I40= "I", $J40/($F40-$E40+1), $J40/(($F40*($F40+1)/2)-(($E40-1)*($E40-1+1)/2))*AI$2), 0)+IF(IF(time+1&gt;=AJ$2, $K40/time_cap/(time+1)*AI$2, 0) = 0, $K40/(time_cap),0)),0)</f>
        <v/>
      </c>
      <c r="AJ40" s="4395">
        <f>IFERROR(IF((time+time_cap)&lt;AJ$2, 0,IF(AND(time+1&gt;=AK$2, $E40&lt;AK$2), IF($I40= "I", $J40/($F40-$E40+1), $J40/(($F40*($F40+1)/2)-(($E40-1)*($E40-1+1)/2))*AJ$2), 0)+IF(IF(time+1&gt;=AK$2, $K40/time_cap/(time+1)*AJ$2, 0) = 0, $K40/(time_cap),0)),0)</f>
        <v/>
      </c>
      <c r="AK40" s="4395">
        <f>IFERROR(IF((time+time_cap)&lt;AK$2, 0,IF(AND(time+1&gt;=AL$2, $E40&lt;AL$2), IF($I40= "I", $J40/($F40-$E40+1), $J40/(($F40*($F40+1)/2)-(($E40-1)*($E40-1+1)/2))*AK$2), 0)+IF(IF(time+1&gt;=AL$2, $K40/time_cap/(time+1)*AK$2, 0) = 0, $K40/(time_cap),0)),0)</f>
        <v/>
      </c>
      <c r="AL40" s="4395">
        <f>IFERROR(IF((time+time_cap)&lt;AL$2, 0,IF(AND(time+1&gt;=AM$2, $E40&lt;AM$2), IF($I40= "I", $J40/($F40-$E40+1), $J40/(($F40*($F40+1)/2)-(($E40-1)*($E40-1+1)/2))*AL$2), 0)+IF(IF(time+1&gt;=AM$2, $K40/time_cap/(time+1)*AL$2, 0) = 0, $K40/(time_cap),0)),0)</f>
        <v/>
      </c>
      <c r="AM40" s="4395">
        <f>IFERROR(IF((time+time_cap)&lt;AM$2, 0,IF(AND(time+1&gt;=AN$2, $E40&lt;AN$2), IF($I40= "I", $J40/($F40-$E40+1), $J40/(($F40*($F40+1)/2)-(($E40-1)*($E40-1+1)/2))*AM$2), 0)+IF(IF(time+1&gt;=AN$2, $K40/time_cap/(time+1)*AM$2, 0) = 0, $K40/(time_cap),0)),0)</f>
        <v/>
      </c>
      <c r="AN40" s="4395">
        <f>IFERROR(IF((time+time_cap)&lt;AN$2, 0,IF(AND(time+1&gt;=AO$2, $E40&lt;AO$2), IF($I40= "I", $J40/($F40-$E40+1), $J40/(($F40*($F40+1)/2)-(($E40-1)*($E40-1+1)/2))*AN$2), 0)+IF(IF(time+1&gt;=AO$2, $K40/time_cap/(time+1)*AN$2, 0) = 0, $K40/(time_cap),0)),0)</f>
        <v/>
      </c>
      <c r="AO40" s="4395">
        <f>IFERROR(IF((time+time_cap)&lt;AO$2, 0,IF(AND(time+1&gt;=AP$2, $E40&lt;AP$2), IF($I40= "I", $J40/($F40-$E40+1), $J40/(($F40*($F40+1)/2)-(($E40-1)*($E40-1+1)/2))*AO$2), 0)+IF(IF(time+1&gt;=AP$2, $K40/time_cap/(time+1)*AO$2, 0) = 0, $K40/(time_cap),0)),0)</f>
        <v/>
      </c>
      <c r="AP40" s="4395">
        <f>IFERROR(IF((time+time_cap)&lt;AP$2, 0,IF(AND(time+1&gt;=AQ$2, $E40&lt;AQ$2), IF($I40= "I", $J40/($F40-$E40+1), $J40/(($F40*($F40+1)/2)-(($E40-1)*($E40-1+1)/2))*AP$2), 0)+IF(IF(time+1&gt;=AQ$2, $K40/time_cap/(time+1)*AP$2, 0) = 0, $K40/(time_cap),0)),0)</f>
        <v/>
      </c>
      <c r="AQ40" s="4395">
        <f>IFERROR(IF((time+time_cap)&lt;AQ$2, 0,IF(AND(time+1&gt;=AR$2, $E40&lt;AR$2), IF($I40= "I", $J40/($F40-$E40+1), $J40/(($F40*($F40+1)/2)-(($E40-1)*($E40-1+1)/2))*AQ$2), 0)+IF(IF(time+1&gt;=AR$2, $K40/time_cap/(time+1)*AQ$2, 0) = 0, $K40/(time_cap),0)),0)</f>
        <v/>
      </c>
      <c r="AR40" s="4395">
        <f>IFERROR(IF((time+time_cap)&lt;AR$2, 0,IF(AND(time+1&gt;=AS$2, $E40&lt;AS$2), IF($I40= "I", $J40/($F40-$E40+1), $J40/(($F40*($F40+1)/2)-(($E40-1)*($E40-1+1)/2))*AR$2), 0)+IF(IF(time+1&gt;=AS$2, $K40/time_cap/(time+1)*AR$2, 0) = 0, $K40/(time_cap),0)),0)</f>
        <v/>
      </c>
      <c r="AS40" s="4395">
        <f>IFERROR(IF((time+time_cap)&lt;AS$2, 0,IF(AND(time+1&gt;=AT$2, $E40&lt;AT$2), IF($I40= "I", $J40/($F40-$E40+1), $J40/(($F40*($F40+1)/2)-(($E40-1)*($E40-1+1)/2))*AS$2), 0)+IF(IF(time+1&gt;=AT$2, $K40/time_cap/(time+1)*AS$2, 0) = 0, $K40/(time_cap),0)),0)</f>
        <v/>
      </c>
      <c r="AT40" s="4395">
        <f>IFERROR(IF((time+time_cap)&lt;AT$2, 0,IF(AND(time+1&gt;=AU$2, $E40&lt;AU$2), IF($I40= "I", $J40/($F40-$E40+1), $J40/(($F40*($F40+1)/2)-(($E40-1)*($E40-1+1)/2))*AT$2), 0)+IF(IF(time+1&gt;=AU$2, $K40/time_cap/(time+1)*AT$2, 0) = 0, $K40/(time_cap),0)),0)</f>
        <v/>
      </c>
      <c r="AU40" s="4395">
        <f>IFERROR(IF((time+time_cap)&lt;AU$2, 0,IF(AND(time+1&gt;=AV$2, $E40&lt;AV$2), IF($I40= "I", $J40/($F40-$E40+1), $J40/(($F40*($F40+1)/2)-(($E40-1)*($E40-1+1)/2))*AU$2), 0)+IF(IF(time+1&gt;=AV$2, $K40/time_cap/(time+1)*AU$2, 0) = 0, $K40/(time_cap),0)),0)</f>
        <v/>
      </c>
      <c r="AV40" s="4395">
        <f>IFERROR(IF((time+time_cap)&lt;AV$2, 0,IF(AND(time+1&gt;=AW$2, $E40&lt;AW$2), IF($I40= "I", $J40/($F40-$E40+1), $J40/(($F40*($F40+1)/2)-(($E40-1)*($E40-1+1)/2))*AV$2), 0)+IF(IF(time+1&gt;=AW$2, $K40/time_cap/(time+1)*AV$2, 0) = 0, $K40/(time_cap),0)),0)</f>
        <v/>
      </c>
      <c r="AW40" s="4395">
        <f>IFERROR(IF((time+time_cap)&lt;AW$2, 0,IF(AND(time+1&gt;=AX$2, $E40&lt;AX$2), IF($I40= "I", $J40/($F40-$E40+1), $J40/(($F40*($F40+1)/2)-(($E40-1)*($E40-1+1)/2))*AW$2), 0)+IF(IF(time+1&gt;=AX$2, $K40/time_cap/(time+1)*AW$2, 0) = 0, $K40/(time_cap),0)),0)</f>
        <v/>
      </c>
      <c r="AX40" s="4395">
        <f>IFERROR(IF((time+time_cap)&lt;AX$2, 0,IF(AND(time+1&gt;=AY$2, $E40&lt;AY$2), IF($I40= "I", $J40/($F40-$E40+1), $J40/(($F40*($F40+1)/2)-(($E40-1)*($E40-1+1)/2))*AX$2), 0)+IF(IF(time+1&gt;=AY$2, $K40/time_cap/(time+1)*AX$2, 0) = 0, $K40/(time_cap),0)),0)</f>
        <v/>
      </c>
      <c r="AY40" s="4395">
        <f>IFERROR(IF((time+time_cap)&lt;AY$2, 0,IF(AND(time+1&gt;=AZ$2, $E40&lt;AZ$2), IF($I40= "I", $J40/($F40-$E40+1), $J40/(($F40*($F40+1)/2)-(($E40-1)*($E40-1+1)/2))*AY$2), 0)+IF(IF(time+1&gt;=AZ$2, $K40/time_cap/(time+1)*AY$2, 0) = 0, $K40/(time_cap),0)),0)</f>
        <v/>
      </c>
      <c r="AZ40" s="4395">
        <f>IFERROR(IF((time+time_cap)&lt;AZ$2, 0,IF(AND(time+1&gt;=BA$2, $E40&lt;BA$2), IF($I40= "I", $J40/($F40-$E40+1), $J40/(($F40*($F40+1)/2)-(($E40-1)*($E40-1+1)/2))*AZ$2), 0)+IF(IF(time+1&gt;=BA$2, $K40/time_cap/(time+1)*AZ$2, 0) = 0, $K40/(time_cap),0)),0)</f>
        <v/>
      </c>
      <c r="BA40" s="4395">
        <f>IFERROR(IF((time+time_cap)&lt;BA$2, 0,IF(AND(time+1&gt;=BB$2, $E40&lt;BB$2), IF($I40= "I", $J40/($F40-$E40+1), $J40/(($F40*($F40+1)/2)-(($E40-1)*($E40-1+1)/2))*BA$2), 0)+IF(IF(time+1&gt;=BB$2, $K40/time_cap/(time+1)*BA$2, 0) = 0, $K40/(time_cap),0)),0)</f>
        <v/>
      </c>
      <c r="BB40" s="4395">
        <f>IFERROR(IF((time+time_cap)&lt;BB$2, 0,IF(AND(time+1&gt;=BC$2, $E40&lt;BC$2), IF($I40= "I", $J40/($F40-$E40+1), $J40/(($F40*($F40+1)/2)-(($E40-1)*($E40-1+1)/2))*BB$2), 0)+IF(IF(time+1&gt;=BC$2, $K40/time_cap/(time+1)*BB$2, 0) = 0, $K40/(time_cap),0)),0)</f>
        <v/>
      </c>
      <c r="BC40" s="4395">
        <f>IFERROR(IF((time+time_cap)&lt;BC$2, 0,IF(AND(time+1&gt;=BD$2, $E40&lt;BD$2), IF($I40= "I", $J40/($F40-$E40+1), $J40/(($F40*($F40+1)/2)-(($E40-1)*($E40-1+1)/2))*BC$2), 0)+IF(IF(time+1&gt;=BD$2, $K40/time_cap/(time+1)*BC$2, 0) = 0, $K40/(time_cap),0)),0)</f>
        <v/>
      </c>
      <c r="BD40" s="4395">
        <f>IFERROR(IF((time+time_cap)&lt;BD$2, 0,IF(AND(time+1&gt;=BE$2, $E40&lt;BE$2), IF($I40= "I", $J40/($F40-$E40+1), $J40/(($F40*($F40+1)/2)-(($E40-1)*($E40-1+1)/2))*BD$2), 0)+IF(IF(time+1&gt;=BE$2, $K40/time_cap/(time+1)*BD$2, 0) = 0, $K40/(time_cap),0)),0)</f>
        <v/>
      </c>
      <c r="BE40" s="4395">
        <f>IFERROR(IF((time+time_cap)&lt;BE$2, 0,IF(AND(time+1&gt;=BF$2, $E40&lt;BF$2), IF($I40= "I", $J40/($F40-$E40+1), $J40/(($F40*($F40+1)/2)-(($E40-1)*($E40-1+1)/2))*BE$2), 0)+IF(IF(time+1&gt;=BF$2, $K40/time_cap/(time+1)*BE$2, 0) = 0, $K40/(time_cap),0)),0)</f>
        <v/>
      </c>
      <c r="BF40" s="4395">
        <f>IFERROR(IF((time+time_cap)&lt;BF$2, 0,IF(AND(time+1&gt;=BG$2, $E40&lt;BG$2), IF($I40= "I", $J40/($F40-$E40+1), $J40/(($F40*($F40+1)/2)-(($E40-1)*($E40-1+1)/2))*BF$2), 0)+IF(IF(time+1&gt;=BG$2, $K40/time_cap/(time+1)*BF$2, 0) = 0, $K40/(time_cap),0)),0)</f>
        <v/>
      </c>
      <c r="BG40" s="4395">
        <f>IFERROR(IF((time+time_cap)&lt;BG$2, 0,IF(AND(time+1&gt;=BH$2, $E40&lt;BH$2), IF($I40= "I", $J40/($F40-$E40+1), $J40/(($F40*($F40+1)/2)-(($E40-1)*($E40-1+1)/2))*BG$2), 0)+IF(IF(time+1&gt;=BH$2, $K40/time_cap/(time+1)*BG$2, 0) = 0, $K40/(time_cap),0)),0)</f>
        <v/>
      </c>
      <c r="BH40" s="4395">
        <f>IFERROR(IF((time+time_cap)&lt;BH$2, 0,IF(AND(time+1&gt;=BI$2, $E40&lt;BI$2), IF($I40= "I", $J40/($F40-$E40+1), $J40/(($F40*($F40+1)/2)-(($E40-1)*($E40-1+1)/2))*BH$2), 0)+IF(IF(time+1&gt;=BI$2, $K40/time_cap/(time+1)*BH$2, 0) = 0, $K40/(time_cap),0)),0)</f>
        <v/>
      </c>
      <c r="BI40" s="4395">
        <f>IFERROR(IF((time+time_cap)&lt;BI$2, 0,IF(AND(time+1&gt;=BJ$2, $E40&lt;BJ$2), IF($I40= "I", $J40/($F40-$E40+1), $J40/(($F40*($F40+1)/2)-(($E40-1)*($E40-1+1)/2))*BI$2), 0)+IF(IF(time+1&gt;=BJ$2, $K40/time_cap/(time+1)*BI$2, 0) = 0, $K40/(time_cap),0)),0)</f>
        <v/>
      </c>
      <c r="BJ40" s="4395">
        <f>IFERROR(IF((time+time_cap)&lt;BJ$2, 0,IF(AND(time+1&gt;=BK$2, $E40&lt;BK$2), IF($I40= "I", $J40/($F40-$E40+1), $J40/(($F40*($F40+1)/2)-(($E40-1)*($E40-1+1)/2))*BJ$2), 0)+IF(IF(time+1&gt;=BK$2, $K40/time_cap/(time+1)*BJ$2, 0) = 0, $K40/(time_cap),0)),0)</f>
        <v/>
      </c>
      <c r="BK40" s="4395" t="n"/>
      <c r="BL40" s="4395" t="n"/>
      <c r="BM40" s="4395" t="n"/>
      <c r="BN40" s="4395" t="n"/>
      <c r="BO40" s="4395" t="n"/>
      <c r="BP40" s="4395" t="n"/>
      <c r="BQ40" s="4395" t="n"/>
      <c r="BR40" s="4395" t="n"/>
      <c r="BS40" s="4395" t="n"/>
      <c r="BT40" s="4395" t="n"/>
      <c r="BU40" s="4395" t="n"/>
      <c r="BV40" s="4395" t="n"/>
      <c r="BW40" s="4395" t="n"/>
      <c r="BX40" s="4395" t="n"/>
      <c r="BY40" s="4395" t="n"/>
      <c r="BZ40" s="4395" t="n"/>
      <c r="CA40" s="4395" t="n"/>
      <c r="CB40" s="4395" t="n"/>
      <c r="CC40" s="4395" t="n"/>
      <c r="CD40" s="4395" t="n"/>
      <c r="CE40" s="4395" t="n"/>
      <c r="CF40" s="4395" t="n"/>
      <c r="CG40" s="4395" t="n"/>
      <c r="CH40" s="4395" t="n"/>
      <c r="CI40" s="4395" t="n"/>
      <c r="CJ40" s="4395" t="n"/>
      <c r="CK40" s="4395" t="n"/>
      <c r="CL40" s="4395" t="n"/>
      <c r="CM40" s="4395" t="n"/>
      <c r="CN40" s="4395" t="n"/>
      <c r="CO40" s="4395" t="n"/>
      <c r="CP40" s="4395" t="n"/>
      <c r="CQ40" s="4395" t="n"/>
      <c r="CR40" s="4395" t="n"/>
      <c r="CS40" s="4395" t="n"/>
      <c r="CT40" s="4395" t="n"/>
      <c r="CU40" s="4395" t="n"/>
      <c r="CV40" s="4395" t="n"/>
      <c r="CW40" s="4395" t="n"/>
      <c r="CX40" s="4395" t="n"/>
      <c r="CY40" s="4395" t="n"/>
      <c r="CZ40" s="4395" t="n"/>
      <c r="DA40" s="4395" t="n"/>
      <c r="DB40" s="4395" t="n"/>
      <c r="DC40" s="4395" t="n"/>
      <c r="DD40" s="4395" t="n"/>
      <c r="DE40" s="4395" t="n"/>
      <c r="DF40" s="4395" t="n"/>
      <c r="DG40" s="4395" t="n"/>
      <c r="DH40" s="4395" t="n"/>
    </row>
    <row r="41" ht="16" customHeight="1">
      <c r="A41" t="inlineStr">
        <is>
          <t>Annuals</t>
        </is>
      </c>
      <c r="B41">
        <f>'3.Cropland'!C25</f>
        <v/>
      </c>
      <c r="C41">
        <f>'3.Cropland'!E25</f>
        <v/>
      </c>
      <c r="D41">
        <f>'3.Cropland'!Z25</f>
        <v/>
      </c>
      <c r="E41">
        <f>IF('3.Cropland'!BP25&lt;&gt;0,'3.Cropland'!BP25, '3.Cropland'!BO25)</f>
        <v/>
      </c>
      <c r="F41">
        <f>time</f>
        <v/>
      </c>
      <c r="G41" s="4395">
        <f>'3.Cropland'!S25</f>
        <v/>
      </c>
      <c r="H41" s="4395">
        <f>'3.Cropland'!U25</f>
        <v/>
      </c>
      <c r="I41" s="4395">
        <f>IF(OR(H41="I", G41="I"), "I", IF(OR(H41="E", G41="E"), "E", "D"))</f>
        <v/>
      </c>
      <c r="J41" s="4395">
        <f>((D41/(time_cap+((F41-E41+1)*VLOOKUP(I41,list!$I$48:$K$50,3, FALSE))))*(F41-E41+1)*VLOOKUP(I41,list!$I$48:$K$50,3, FALSE))</f>
        <v/>
      </c>
      <c r="K41" s="4395">
        <f>((D41/(time_cap+((F41-E41+1)*VLOOKUP(I41,list!$I$48:$K$50,3, FALSE))))*time_cap)</f>
        <v/>
      </c>
      <c r="M41" s="4395">
        <f>IFERROR(IF((time+time_cap)&lt;M$2, 0,IF(AND(time+1&gt;=N$2, $E41&lt;N$2), IF($I41= "I", $J41/($F41-$E41+1), $J41/(($F41*($F41+1)/2)-(($E41-1)*($E41-1+1)/2))*M$2), 0)+IF(IF(time+1&gt;=N$2, $K41/time_cap/(time+1)*M$2, 0) = 0, $K41/(time_cap),0)),0)</f>
        <v/>
      </c>
      <c r="N41" s="4395">
        <f>IFERROR(IF((time+time_cap)&lt;N$2, 0,IF(AND(time+1&gt;=O$2, $E41&lt;O$2), IF($I41= "I", $J41/($F41-$E41+1), $J41/(($F41*($F41+1)/2)-(($E41-1)*($E41-1+1)/2))*N$2), 0)+IF(IF(time+1&gt;=O$2, $K41/time_cap/(time+1)*N$2, 0) = 0, $K41/(time_cap),0)),0)</f>
        <v/>
      </c>
      <c r="O41" s="4395">
        <f>IFERROR(IF((time+time_cap)&lt;O$2, 0,IF(AND(time+1&gt;=P$2, $E41&lt;P$2), IF($I41= "I", $J41/($F41-$E41+1), $J41/(($F41*($F41+1)/2)-(($E41-1)*($E41-1+1)/2))*O$2), 0)+IF(IF(time+1&gt;=P$2, $K41/time_cap/(time+1)*O$2, 0) = 0, $K41/(time_cap),0)),0)</f>
        <v/>
      </c>
      <c r="P41" s="4395">
        <f>IFERROR(IF((time+time_cap)&lt;P$2, 0,IF(AND(time+1&gt;=Q$2, $E41&lt;Q$2), IF($I41= "I", $J41/($F41-$E41+1), $J41/(($F41*($F41+1)/2)-(($E41-1)*($E41-1+1)/2))*P$2), 0)+IF(IF(time+1&gt;=Q$2, $K41/time_cap/(time+1)*P$2, 0) = 0, $K41/(time_cap),0)),0)</f>
        <v/>
      </c>
      <c r="Q41" s="4395">
        <f>IFERROR(IF((time+time_cap)&lt;Q$2, 0,IF(AND(time+1&gt;=R$2, $E41&lt;R$2), IF($I41= "I", $J41/($F41-$E41+1), $J41/(($F41*($F41+1)/2)-(($E41-1)*($E41-1+1)/2))*Q$2), 0)+IF(IF(time+1&gt;=R$2, $K41/time_cap/(time+1)*Q$2, 0) = 0, $K41/(time_cap),0)),0)</f>
        <v/>
      </c>
      <c r="R41" s="4395">
        <f>IFERROR(IF((time+time_cap)&lt;R$2, 0,IF(AND(time+1&gt;=S$2, $E41&lt;S$2), IF($I41= "I", $J41/($F41-$E41+1), $J41/(($F41*($F41+1)/2)-(($E41-1)*($E41-1+1)/2))*R$2), 0)+IF(IF(time+1&gt;=S$2, $K41/time_cap/(time+1)*R$2, 0) = 0, $K41/(time_cap),0)),0)</f>
        <v/>
      </c>
      <c r="S41" s="4395">
        <f>IFERROR(IF((time+time_cap)&lt;S$2, 0,IF(AND(time+1&gt;=T$2, $E41&lt;T$2), IF($I41= "I", $J41/($F41-$E41+1), $J41/(($F41*($F41+1)/2)-(($E41-1)*($E41-1+1)/2))*S$2), 0)+IF(IF(time+1&gt;=T$2, $K41/time_cap/(time+1)*S$2, 0) = 0, $K41/(time_cap),0)),0)</f>
        <v/>
      </c>
      <c r="T41" s="4395">
        <f>IFERROR(IF((time+time_cap)&lt;T$2, 0,IF(AND(time+1&gt;=U$2, $E41&lt;U$2), IF($I41= "I", $J41/($F41-$E41+1), $J41/(($F41*($F41+1)/2)-(($E41-1)*($E41-1+1)/2))*T$2), 0)+IF(IF(time+1&gt;=U$2, $K41/time_cap/(time+1)*T$2, 0) = 0, $K41/(time_cap),0)),0)</f>
        <v/>
      </c>
      <c r="U41" s="4395">
        <f>IFERROR(IF((time+time_cap)&lt;U$2, 0,IF(AND(time+1&gt;=V$2, $E41&lt;V$2), IF($I41= "I", $J41/($F41-$E41+1), $J41/(($F41*($F41+1)/2)-(($E41-1)*($E41-1+1)/2))*U$2), 0)+IF(IF(time+1&gt;=V$2, $K41/time_cap/(time+1)*U$2, 0) = 0, $K41/(time_cap),0)),0)</f>
        <v/>
      </c>
      <c r="V41" s="4395">
        <f>IFERROR(IF((time+time_cap)&lt;V$2, 0,IF(AND(time+1&gt;=W$2, $E41&lt;W$2), IF($I41= "I", $J41/($F41-$E41+1), $J41/(($F41*($F41+1)/2)-(($E41-1)*($E41-1+1)/2))*V$2), 0)+IF(IF(time+1&gt;=W$2, $K41/time_cap/(time+1)*V$2, 0) = 0, $K41/(time_cap),0)),0)</f>
        <v/>
      </c>
      <c r="W41" s="4395">
        <f>IFERROR(IF((time+time_cap)&lt;W$2, 0,IF(AND(time+1&gt;=X$2, $E41&lt;X$2), IF($I41= "I", $J41/($F41-$E41+1), $J41/(($F41*($F41+1)/2)-(($E41-1)*($E41-1+1)/2))*W$2), 0)+IF(IF(time+1&gt;=X$2, $K41/time_cap/(time+1)*W$2, 0) = 0, $K41/(time_cap),0)),0)</f>
        <v/>
      </c>
      <c r="X41" s="4395">
        <f>IFERROR(IF((time+time_cap)&lt;X$2, 0,IF(AND(time+1&gt;=Y$2, $E41&lt;Y$2), IF($I41= "I", $J41/($F41-$E41+1), $J41/(($F41*($F41+1)/2)-(($E41-1)*($E41-1+1)/2))*X$2), 0)+IF(IF(time+1&gt;=Y$2, $K41/time_cap/(time+1)*X$2, 0) = 0, $K41/(time_cap),0)),0)</f>
        <v/>
      </c>
      <c r="Y41" s="4395">
        <f>IFERROR(IF((time+time_cap)&lt;Y$2, 0,IF(AND(time+1&gt;=Z$2, $E41&lt;Z$2), IF($I41= "I", $J41/($F41-$E41+1), $J41/(($F41*($F41+1)/2)-(($E41-1)*($E41-1+1)/2))*Y$2), 0)+IF(IF(time+1&gt;=Z$2, $K41/time_cap/(time+1)*Y$2, 0) = 0, $K41/(time_cap),0)),0)</f>
        <v/>
      </c>
      <c r="Z41" s="4395">
        <f>IFERROR(IF((time+time_cap)&lt;Z$2, 0,IF(AND(time+1&gt;=AA$2, $E41&lt;AA$2), IF($I41= "I", $J41/($F41-$E41+1), $J41/(($F41*($F41+1)/2)-(($E41-1)*($E41-1+1)/2))*Z$2), 0)+IF(IF(time+1&gt;=AA$2, $K41/time_cap/(time+1)*Z$2, 0) = 0, $K41/(time_cap),0)),0)</f>
        <v/>
      </c>
      <c r="AA41" s="4395">
        <f>IFERROR(IF((time+time_cap)&lt;AA$2, 0,IF(AND(time+1&gt;=AB$2, $E41&lt;AB$2), IF($I41= "I", $J41/($F41-$E41+1), $J41/(($F41*($F41+1)/2)-(($E41-1)*($E41-1+1)/2))*AA$2), 0)+IF(IF(time+1&gt;=AB$2, $K41/time_cap/(time+1)*AA$2, 0) = 0, $K41/(time_cap),0)),0)</f>
        <v/>
      </c>
      <c r="AB41" s="4395">
        <f>IFERROR(IF((time+time_cap)&lt;AB$2, 0,IF(AND(time+1&gt;=AC$2, $E41&lt;AC$2), IF($I41= "I", $J41/($F41-$E41+1), $J41/(($F41*($F41+1)/2)-(($E41-1)*($E41-1+1)/2))*AB$2), 0)+IF(IF(time+1&gt;=AC$2, $K41/time_cap/(time+1)*AB$2, 0) = 0, $K41/(time_cap),0)),0)</f>
        <v/>
      </c>
      <c r="AC41" s="4395">
        <f>IFERROR(IF((time+time_cap)&lt;AC$2, 0,IF(AND(time+1&gt;=AD$2, $E41&lt;AD$2), IF($I41= "I", $J41/($F41-$E41+1), $J41/(($F41*($F41+1)/2)-(($E41-1)*($E41-1+1)/2))*AC$2), 0)+IF(IF(time+1&gt;=AD$2, $K41/time_cap/(time+1)*AC$2, 0) = 0, $K41/(time_cap),0)),0)</f>
        <v/>
      </c>
      <c r="AD41" s="4395">
        <f>IFERROR(IF((time+time_cap)&lt;AD$2, 0,IF(AND(time+1&gt;=AE$2, $E41&lt;AE$2), IF($I41= "I", $J41/($F41-$E41+1), $J41/(($F41*($F41+1)/2)-(($E41-1)*($E41-1+1)/2))*AD$2), 0)+IF(IF(time+1&gt;=AE$2, $K41/time_cap/(time+1)*AD$2, 0) = 0, $K41/(time_cap),0)),0)</f>
        <v/>
      </c>
      <c r="AE41" s="4395">
        <f>IFERROR(IF((time+time_cap)&lt;AE$2, 0,IF(AND(time+1&gt;=AF$2, $E41&lt;AF$2), IF($I41= "I", $J41/($F41-$E41+1), $J41/(($F41*($F41+1)/2)-(($E41-1)*($E41-1+1)/2))*AE$2), 0)+IF(IF(time+1&gt;=AF$2, $K41/time_cap/(time+1)*AE$2, 0) = 0, $K41/(time_cap),0)),0)</f>
        <v/>
      </c>
      <c r="AF41" s="4395">
        <f>IFERROR(IF((time+time_cap)&lt;AF$2, 0,IF(AND(time+1&gt;=AG$2, $E41&lt;AG$2), IF($I41= "I", $J41/($F41-$E41+1), $J41/(($F41*($F41+1)/2)-(($E41-1)*($E41-1+1)/2))*AF$2), 0)+IF(IF(time+1&gt;=AG$2, $K41/time_cap/(time+1)*AF$2, 0) = 0, $K41/(time_cap),0)),0)</f>
        <v/>
      </c>
      <c r="AG41" s="4395">
        <f>IFERROR(IF((time+time_cap)&lt;AG$2, 0,IF(AND(time+1&gt;=AH$2, $E41&lt;AH$2), IF($I41= "I", $J41/($F41-$E41+1), $J41/(($F41*($F41+1)/2)-(($E41-1)*($E41-1+1)/2))*AG$2), 0)+IF(IF(time+1&gt;=AH$2, $K41/time_cap/(time+1)*AG$2, 0) = 0, $K41/(time_cap),0)),0)</f>
        <v/>
      </c>
      <c r="AH41" s="4395">
        <f>IFERROR(IF((time+time_cap)&lt;AH$2, 0,IF(AND(time+1&gt;=AI$2, $E41&lt;AI$2), IF($I41= "I", $J41/($F41-$E41+1), $J41/(($F41*($F41+1)/2)-(($E41-1)*($E41-1+1)/2))*AH$2), 0)+IF(IF(time+1&gt;=AI$2, $K41/time_cap/(time+1)*AH$2, 0) = 0, $K41/(time_cap),0)),0)</f>
        <v/>
      </c>
      <c r="AI41" s="4395">
        <f>IFERROR(IF((time+time_cap)&lt;AI$2, 0,IF(AND(time+1&gt;=AJ$2, $E41&lt;AJ$2), IF($I41= "I", $J41/($F41-$E41+1), $J41/(($F41*($F41+1)/2)-(($E41-1)*($E41-1+1)/2))*AI$2), 0)+IF(IF(time+1&gt;=AJ$2, $K41/time_cap/(time+1)*AI$2, 0) = 0, $K41/(time_cap),0)),0)</f>
        <v/>
      </c>
      <c r="AJ41" s="4395">
        <f>IFERROR(IF((time+time_cap)&lt;AJ$2, 0,IF(AND(time+1&gt;=AK$2, $E41&lt;AK$2), IF($I41= "I", $J41/($F41-$E41+1), $J41/(($F41*($F41+1)/2)-(($E41-1)*($E41-1+1)/2))*AJ$2), 0)+IF(IF(time+1&gt;=AK$2, $K41/time_cap/(time+1)*AJ$2, 0) = 0, $K41/(time_cap),0)),0)</f>
        <v/>
      </c>
      <c r="AK41" s="4395">
        <f>IFERROR(IF((time+time_cap)&lt;AK$2, 0,IF(AND(time+1&gt;=AL$2, $E41&lt;AL$2), IF($I41= "I", $J41/($F41-$E41+1), $J41/(($F41*($F41+1)/2)-(($E41-1)*($E41-1+1)/2))*AK$2), 0)+IF(IF(time+1&gt;=AL$2, $K41/time_cap/(time+1)*AK$2, 0) = 0, $K41/(time_cap),0)),0)</f>
        <v/>
      </c>
      <c r="AL41" s="4395">
        <f>IFERROR(IF((time+time_cap)&lt;AL$2, 0,IF(AND(time+1&gt;=AM$2, $E41&lt;AM$2), IF($I41= "I", $J41/($F41-$E41+1), $J41/(($F41*($F41+1)/2)-(($E41-1)*($E41-1+1)/2))*AL$2), 0)+IF(IF(time+1&gt;=AM$2, $K41/time_cap/(time+1)*AL$2, 0) = 0, $K41/(time_cap),0)),0)</f>
        <v/>
      </c>
      <c r="AM41" s="4395">
        <f>IFERROR(IF((time+time_cap)&lt;AM$2, 0,IF(AND(time+1&gt;=AN$2, $E41&lt;AN$2), IF($I41= "I", $J41/($F41-$E41+1), $J41/(($F41*($F41+1)/2)-(($E41-1)*($E41-1+1)/2))*AM$2), 0)+IF(IF(time+1&gt;=AN$2, $K41/time_cap/(time+1)*AM$2, 0) = 0, $K41/(time_cap),0)),0)</f>
        <v/>
      </c>
      <c r="AN41" s="4395">
        <f>IFERROR(IF((time+time_cap)&lt;AN$2, 0,IF(AND(time+1&gt;=AO$2, $E41&lt;AO$2), IF($I41= "I", $J41/($F41-$E41+1), $J41/(($F41*($F41+1)/2)-(($E41-1)*($E41-1+1)/2))*AN$2), 0)+IF(IF(time+1&gt;=AO$2, $K41/time_cap/(time+1)*AN$2, 0) = 0, $K41/(time_cap),0)),0)</f>
        <v/>
      </c>
      <c r="AO41" s="4395">
        <f>IFERROR(IF((time+time_cap)&lt;AO$2, 0,IF(AND(time+1&gt;=AP$2, $E41&lt;AP$2), IF($I41= "I", $J41/($F41-$E41+1), $J41/(($F41*($F41+1)/2)-(($E41-1)*($E41-1+1)/2))*AO$2), 0)+IF(IF(time+1&gt;=AP$2, $K41/time_cap/(time+1)*AO$2, 0) = 0, $K41/(time_cap),0)),0)</f>
        <v/>
      </c>
      <c r="AP41" s="4395">
        <f>IFERROR(IF((time+time_cap)&lt;AP$2, 0,IF(AND(time+1&gt;=AQ$2, $E41&lt;AQ$2), IF($I41= "I", $J41/($F41-$E41+1), $J41/(($F41*($F41+1)/2)-(($E41-1)*($E41-1+1)/2))*AP$2), 0)+IF(IF(time+1&gt;=AQ$2, $K41/time_cap/(time+1)*AP$2, 0) = 0, $K41/(time_cap),0)),0)</f>
        <v/>
      </c>
      <c r="AQ41" s="4395">
        <f>IFERROR(IF((time+time_cap)&lt;AQ$2, 0,IF(AND(time+1&gt;=AR$2, $E41&lt;AR$2), IF($I41= "I", $J41/($F41-$E41+1), $J41/(($F41*($F41+1)/2)-(($E41-1)*($E41-1+1)/2))*AQ$2), 0)+IF(IF(time+1&gt;=AR$2, $K41/time_cap/(time+1)*AQ$2, 0) = 0, $K41/(time_cap),0)),0)</f>
        <v/>
      </c>
      <c r="AR41" s="4395">
        <f>IFERROR(IF((time+time_cap)&lt;AR$2, 0,IF(AND(time+1&gt;=AS$2, $E41&lt;AS$2), IF($I41= "I", $J41/($F41-$E41+1), $J41/(($F41*($F41+1)/2)-(($E41-1)*($E41-1+1)/2))*AR$2), 0)+IF(IF(time+1&gt;=AS$2, $K41/time_cap/(time+1)*AR$2, 0) = 0, $K41/(time_cap),0)),0)</f>
        <v/>
      </c>
      <c r="AS41" s="4395">
        <f>IFERROR(IF((time+time_cap)&lt;AS$2, 0,IF(AND(time+1&gt;=AT$2, $E41&lt;AT$2), IF($I41= "I", $J41/($F41-$E41+1), $J41/(($F41*($F41+1)/2)-(($E41-1)*($E41-1+1)/2))*AS$2), 0)+IF(IF(time+1&gt;=AT$2, $K41/time_cap/(time+1)*AS$2, 0) = 0, $K41/(time_cap),0)),0)</f>
        <v/>
      </c>
      <c r="AT41" s="4395">
        <f>IFERROR(IF((time+time_cap)&lt;AT$2, 0,IF(AND(time+1&gt;=AU$2, $E41&lt;AU$2), IF($I41= "I", $J41/($F41-$E41+1), $J41/(($F41*($F41+1)/2)-(($E41-1)*($E41-1+1)/2))*AT$2), 0)+IF(IF(time+1&gt;=AU$2, $K41/time_cap/(time+1)*AT$2, 0) = 0, $K41/(time_cap),0)),0)</f>
        <v/>
      </c>
      <c r="AU41" s="4395">
        <f>IFERROR(IF((time+time_cap)&lt;AU$2, 0,IF(AND(time+1&gt;=AV$2, $E41&lt;AV$2), IF($I41= "I", $J41/($F41-$E41+1), $J41/(($F41*($F41+1)/2)-(($E41-1)*($E41-1+1)/2))*AU$2), 0)+IF(IF(time+1&gt;=AV$2, $K41/time_cap/(time+1)*AU$2, 0) = 0, $K41/(time_cap),0)),0)</f>
        <v/>
      </c>
      <c r="AV41" s="4395">
        <f>IFERROR(IF((time+time_cap)&lt;AV$2, 0,IF(AND(time+1&gt;=AW$2, $E41&lt;AW$2), IF($I41= "I", $J41/($F41-$E41+1), $J41/(($F41*($F41+1)/2)-(($E41-1)*($E41-1+1)/2))*AV$2), 0)+IF(IF(time+1&gt;=AW$2, $K41/time_cap/(time+1)*AV$2, 0) = 0, $K41/(time_cap),0)),0)</f>
        <v/>
      </c>
      <c r="AW41" s="4395">
        <f>IFERROR(IF((time+time_cap)&lt;AW$2, 0,IF(AND(time+1&gt;=AX$2, $E41&lt;AX$2), IF($I41= "I", $J41/($F41-$E41+1), $J41/(($F41*($F41+1)/2)-(($E41-1)*($E41-1+1)/2))*AW$2), 0)+IF(IF(time+1&gt;=AX$2, $K41/time_cap/(time+1)*AW$2, 0) = 0, $K41/(time_cap),0)),0)</f>
        <v/>
      </c>
      <c r="AX41" s="4395">
        <f>IFERROR(IF((time+time_cap)&lt;AX$2, 0,IF(AND(time+1&gt;=AY$2, $E41&lt;AY$2), IF($I41= "I", $J41/($F41-$E41+1), $J41/(($F41*($F41+1)/2)-(($E41-1)*($E41-1+1)/2))*AX$2), 0)+IF(IF(time+1&gt;=AY$2, $K41/time_cap/(time+1)*AX$2, 0) = 0, $K41/(time_cap),0)),0)</f>
        <v/>
      </c>
      <c r="AY41" s="4395">
        <f>IFERROR(IF((time+time_cap)&lt;AY$2, 0,IF(AND(time+1&gt;=AZ$2, $E41&lt;AZ$2), IF($I41= "I", $J41/($F41-$E41+1), $J41/(($F41*($F41+1)/2)-(($E41-1)*($E41-1+1)/2))*AY$2), 0)+IF(IF(time+1&gt;=AZ$2, $K41/time_cap/(time+1)*AY$2, 0) = 0, $K41/(time_cap),0)),0)</f>
        <v/>
      </c>
      <c r="AZ41" s="4395">
        <f>IFERROR(IF((time+time_cap)&lt;AZ$2, 0,IF(AND(time+1&gt;=BA$2, $E41&lt;BA$2), IF($I41= "I", $J41/($F41-$E41+1), $J41/(($F41*($F41+1)/2)-(($E41-1)*($E41-1+1)/2))*AZ$2), 0)+IF(IF(time+1&gt;=BA$2, $K41/time_cap/(time+1)*AZ$2, 0) = 0, $K41/(time_cap),0)),0)</f>
        <v/>
      </c>
      <c r="BA41" s="4395">
        <f>IFERROR(IF((time+time_cap)&lt;BA$2, 0,IF(AND(time+1&gt;=BB$2, $E41&lt;BB$2), IF($I41= "I", $J41/($F41-$E41+1), $J41/(($F41*($F41+1)/2)-(($E41-1)*($E41-1+1)/2))*BA$2), 0)+IF(IF(time+1&gt;=BB$2, $K41/time_cap/(time+1)*BA$2, 0) = 0, $K41/(time_cap),0)),0)</f>
        <v/>
      </c>
      <c r="BB41" s="4395">
        <f>IFERROR(IF((time+time_cap)&lt;BB$2, 0,IF(AND(time+1&gt;=BC$2, $E41&lt;BC$2), IF($I41= "I", $J41/($F41-$E41+1), $J41/(($F41*($F41+1)/2)-(($E41-1)*($E41-1+1)/2))*BB$2), 0)+IF(IF(time+1&gt;=BC$2, $K41/time_cap/(time+1)*BB$2, 0) = 0, $K41/(time_cap),0)),0)</f>
        <v/>
      </c>
      <c r="BC41" s="4395">
        <f>IFERROR(IF((time+time_cap)&lt;BC$2, 0,IF(AND(time+1&gt;=BD$2, $E41&lt;BD$2), IF($I41= "I", $J41/($F41-$E41+1), $J41/(($F41*($F41+1)/2)-(($E41-1)*($E41-1+1)/2))*BC$2), 0)+IF(IF(time+1&gt;=BD$2, $K41/time_cap/(time+1)*BC$2, 0) = 0, $K41/(time_cap),0)),0)</f>
        <v/>
      </c>
      <c r="BD41" s="4395">
        <f>IFERROR(IF((time+time_cap)&lt;BD$2, 0,IF(AND(time+1&gt;=BE$2, $E41&lt;BE$2), IF($I41= "I", $J41/($F41-$E41+1), $J41/(($F41*($F41+1)/2)-(($E41-1)*($E41-1+1)/2))*BD$2), 0)+IF(IF(time+1&gt;=BE$2, $K41/time_cap/(time+1)*BD$2, 0) = 0, $K41/(time_cap),0)),0)</f>
        <v/>
      </c>
      <c r="BE41" s="4395">
        <f>IFERROR(IF((time+time_cap)&lt;BE$2, 0,IF(AND(time+1&gt;=BF$2, $E41&lt;BF$2), IF($I41= "I", $J41/($F41-$E41+1), $J41/(($F41*($F41+1)/2)-(($E41-1)*($E41-1+1)/2))*BE$2), 0)+IF(IF(time+1&gt;=BF$2, $K41/time_cap/(time+1)*BE$2, 0) = 0, $K41/(time_cap),0)),0)</f>
        <v/>
      </c>
      <c r="BF41" s="4395">
        <f>IFERROR(IF((time+time_cap)&lt;BF$2, 0,IF(AND(time+1&gt;=BG$2, $E41&lt;BG$2), IF($I41= "I", $J41/($F41-$E41+1), $J41/(($F41*($F41+1)/2)-(($E41-1)*($E41-1+1)/2))*BF$2), 0)+IF(IF(time+1&gt;=BG$2, $K41/time_cap/(time+1)*BF$2, 0) = 0, $K41/(time_cap),0)),0)</f>
        <v/>
      </c>
      <c r="BG41" s="4395">
        <f>IFERROR(IF((time+time_cap)&lt;BG$2, 0,IF(AND(time+1&gt;=BH$2, $E41&lt;BH$2), IF($I41= "I", $J41/($F41-$E41+1), $J41/(($F41*($F41+1)/2)-(($E41-1)*($E41-1+1)/2))*BG$2), 0)+IF(IF(time+1&gt;=BH$2, $K41/time_cap/(time+1)*BG$2, 0) = 0, $K41/(time_cap),0)),0)</f>
        <v/>
      </c>
      <c r="BH41" s="4395">
        <f>IFERROR(IF((time+time_cap)&lt;BH$2, 0,IF(AND(time+1&gt;=BI$2, $E41&lt;BI$2), IF($I41= "I", $J41/($F41-$E41+1), $J41/(($F41*($F41+1)/2)-(($E41-1)*($E41-1+1)/2))*BH$2), 0)+IF(IF(time+1&gt;=BI$2, $K41/time_cap/(time+1)*BH$2, 0) = 0, $K41/(time_cap),0)),0)</f>
        <v/>
      </c>
      <c r="BI41" s="4395">
        <f>IFERROR(IF((time+time_cap)&lt;BI$2, 0,IF(AND(time+1&gt;=BJ$2, $E41&lt;BJ$2), IF($I41= "I", $J41/($F41-$E41+1), $J41/(($F41*($F41+1)/2)-(($E41-1)*($E41-1+1)/2))*BI$2), 0)+IF(IF(time+1&gt;=BJ$2, $K41/time_cap/(time+1)*BI$2, 0) = 0, $K41/(time_cap),0)),0)</f>
        <v/>
      </c>
      <c r="BJ41" s="4395">
        <f>IFERROR(IF((time+time_cap)&lt;BJ$2, 0,IF(AND(time+1&gt;=BK$2, $E41&lt;BK$2), IF($I41= "I", $J41/($F41-$E41+1), $J41/(($F41*($F41+1)/2)-(($E41-1)*($E41-1+1)/2))*BJ$2), 0)+IF(IF(time+1&gt;=BK$2, $K41/time_cap/(time+1)*BJ$2, 0) = 0, $K41/(time_cap),0)),0)</f>
        <v/>
      </c>
      <c r="BK41" s="4395" t="n"/>
      <c r="BL41" s="4395" t="n"/>
      <c r="BM41" s="4395" t="n"/>
      <c r="BN41" s="4395" t="n"/>
      <c r="BO41" s="4395" t="n"/>
      <c r="BP41" s="4395" t="n"/>
      <c r="BQ41" s="4395" t="n"/>
      <c r="BR41" s="4395" t="n"/>
      <c r="BS41" s="4395" t="n"/>
      <c r="BT41" s="4395" t="n"/>
      <c r="BU41" s="4395" t="n"/>
      <c r="BV41" s="4395" t="n"/>
      <c r="BW41" s="4395" t="n"/>
      <c r="BX41" s="4395" t="n"/>
      <c r="BY41" s="4395" t="n"/>
      <c r="BZ41" s="4395" t="n"/>
      <c r="CA41" s="4395" t="n"/>
      <c r="CB41" s="4395" t="n"/>
      <c r="CC41" s="4395" t="n"/>
      <c r="CD41" s="4395" t="n"/>
      <c r="CE41" s="4395" t="n"/>
      <c r="CF41" s="4395" t="n"/>
      <c r="CG41" s="4395" t="n"/>
      <c r="CH41" s="4395" t="n"/>
      <c r="CI41" s="4395" t="n"/>
      <c r="CJ41" s="4395" t="n"/>
      <c r="CK41" s="4395" t="n"/>
      <c r="CL41" s="4395" t="n"/>
      <c r="CM41" s="4395" t="n"/>
      <c r="CN41" s="4395" t="n"/>
      <c r="CO41" s="4395" t="n"/>
      <c r="CP41" s="4395" t="n"/>
      <c r="CQ41" s="4395" t="n"/>
      <c r="CR41" s="4395" t="n"/>
      <c r="CS41" s="4395" t="n"/>
      <c r="CT41" s="4395" t="n"/>
      <c r="CU41" s="4395" t="n"/>
      <c r="CV41" s="4395" t="n"/>
      <c r="CW41" s="4395" t="n"/>
      <c r="CX41" s="4395" t="n"/>
      <c r="CY41" s="4395" t="n"/>
      <c r="CZ41" s="4395" t="n"/>
      <c r="DA41" s="4395" t="n"/>
      <c r="DB41" s="4395" t="n"/>
      <c r="DC41" s="4395" t="n"/>
      <c r="DD41" s="4395" t="n"/>
      <c r="DE41" s="4395" t="n"/>
      <c r="DF41" s="4395" t="n"/>
      <c r="DG41" s="4395" t="n"/>
      <c r="DH41" s="4395" t="n"/>
    </row>
    <row r="42" ht="16" customHeight="1">
      <c r="A42" t="inlineStr">
        <is>
          <t>Annuals</t>
        </is>
      </c>
      <c r="B42">
        <f>'3.Cropland'!C26</f>
        <v/>
      </c>
      <c r="C42">
        <f>'3.Cropland'!E26</f>
        <v/>
      </c>
      <c r="D42">
        <f>'3.Cropland'!Z26</f>
        <v/>
      </c>
      <c r="E42">
        <f>IF('3.Cropland'!BP26&lt;&gt;0,'3.Cropland'!BP26, '3.Cropland'!BO26)</f>
        <v/>
      </c>
      <c r="F42">
        <f>time</f>
        <v/>
      </c>
      <c r="G42" s="4395">
        <f>'3.Cropland'!S26</f>
        <v/>
      </c>
      <c r="H42" s="4395">
        <f>'3.Cropland'!U26</f>
        <v/>
      </c>
      <c r="I42" s="4395">
        <f>IF(OR(H42="I", G42="I"), "I", IF(OR(H42="E", G42="E"), "E", "D"))</f>
        <v/>
      </c>
      <c r="J42" s="4395">
        <f>((D42/(time_cap+((F42-E42+1)*VLOOKUP(I42,list!$I$48:$K$50,3, FALSE))))*(F42-E42+1)*VLOOKUP(I42,list!$I$48:$K$50,3, FALSE))</f>
        <v/>
      </c>
      <c r="K42" s="4395">
        <f>((D42/(time_cap+((F42-E42+1)*VLOOKUP(I42,list!$I$48:$K$50,3, FALSE))))*time_cap)</f>
        <v/>
      </c>
      <c r="M42" s="4395">
        <f>IFERROR(IF((time+time_cap)&lt;M$2, 0,IF(AND(time+1&gt;=N$2, $E42&lt;N$2), IF($I42= "I", $J42/($F42-$E42+1), $J42/(($F42*($F42+1)/2)-(($E42-1)*($E42-1+1)/2))*M$2), 0)+IF(IF(time+1&gt;=N$2, $K42/time_cap/(time+1)*M$2, 0) = 0, $K42/(time_cap),0)),0)</f>
        <v/>
      </c>
      <c r="N42" s="4395">
        <f>IFERROR(IF((time+time_cap)&lt;N$2, 0,IF(AND(time+1&gt;=O$2, $E42&lt;O$2), IF($I42= "I", $J42/($F42-$E42+1), $J42/(($F42*($F42+1)/2)-(($E42-1)*($E42-1+1)/2))*N$2), 0)+IF(IF(time+1&gt;=O$2, $K42/time_cap/(time+1)*N$2, 0) = 0, $K42/(time_cap),0)),0)</f>
        <v/>
      </c>
      <c r="O42" s="4395">
        <f>IFERROR(IF((time+time_cap)&lt;O$2, 0,IF(AND(time+1&gt;=P$2, $E42&lt;P$2), IF($I42= "I", $J42/($F42-$E42+1), $J42/(($F42*($F42+1)/2)-(($E42-1)*($E42-1+1)/2))*O$2), 0)+IF(IF(time+1&gt;=P$2, $K42/time_cap/(time+1)*O$2, 0) = 0, $K42/(time_cap),0)),0)</f>
        <v/>
      </c>
      <c r="P42" s="4395">
        <f>IFERROR(IF((time+time_cap)&lt;P$2, 0,IF(AND(time+1&gt;=Q$2, $E42&lt;Q$2), IF($I42= "I", $J42/($F42-$E42+1), $J42/(($F42*($F42+1)/2)-(($E42-1)*($E42-1+1)/2))*P$2), 0)+IF(IF(time+1&gt;=Q$2, $K42/time_cap/(time+1)*P$2, 0) = 0, $K42/(time_cap),0)),0)</f>
        <v/>
      </c>
      <c r="Q42" s="4395">
        <f>IFERROR(IF((time+time_cap)&lt;Q$2, 0,IF(AND(time+1&gt;=R$2, $E42&lt;R$2), IF($I42= "I", $J42/($F42-$E42+1), $J42/(($F42*($F42+1)/2)-(($E42-1)*($E42-1+1)/2))*Q$2), 0)+IF(IF(time+1&gt;=R$2, $K42/time_cap/(time+1)*Q$2, 0) = 0, $K42/(time_cap),0)),0)</f>
        <v/>
      </c>
      <c r="R42" s="4395">
        <f>IFERROR(IF((time+time_cap)&lt;R$2, 0,IF(AND(time+1&gt;=S$2, $E42&lt;S$2), IF($I42= "I", $J42/($F42-$E42+1), $J42/(($F42*($F42+1)/2)-(($E42-1)*($E42-1+1)/2))*R$2), 0)+IF(IF(time+1&gt;=S$2, $K42/time_cap/(time+1)*R$2, 0) = 0, $K42/(time_cap),0)),0)</f>
        <v/>
      </c>
      <c r="S42" s="4395">
        <f>IFERROR(IF((time+time_cap)&lt;S$2, 0,IF(AND(time+1&gt;=T$2, $E42&lt;T$2), IF($I42= "I", $J42/($F42-$E42+1), $J42/(($F42*($F42+1)/2)-(($E42-1)*($E42-1+1)/2))*S$2), 0)+IF(IF(time+1&gt;=T$2, $K42/time_cap/(time+1)*S$2, 0) = 0, $K42/(time_cap),0)),0)</f>
        <v/>
      </c>
      <c r="T42" s="4395">
        <f>IFERROR(IF((time+time_cap)&lt;T$2, 0,IF(AND(time+1&gt;=U$2, $E42&lt;U$2), IF($I42= "I", $J42/($F42-$E42+1), $J42/(($F42*($F42+1)/2)-(($E42-1)*($E42-1+1)/2))*T$2), 0)+IF(IF(time+1&gt;=U$2, $K42/time_cap/(time+1)*T$2, 0) = 0, $K42/(time_cap),0)),0)</f>
        <v/>
      </c>
      <c r="U42" s="4395">
        <f>IFERROR(IF((time+time_cap)&lt;U$2, 0,IF(AND(time+1&gt;=V$2, $E42&lt;V$2), IF($I42= "I", $J42/($F42-$E42+1), $J42/(($F42*($F42+1)/2)-(($E42-1)*($E42-1+1)/2))*U$2), 0)+IF(IF(time+1&gt;=V$2, $K42/time_cap/(time+1)*U$2, 0) = 0, $K42/(time_cap),0)),0)</f>
        <v/>
      </c>
      <c r="V42" s="4395">
        <f>IFERROR(IF((time+time_cap)&lt;V$2, 0,IF(AND(time+1&gt;=W$2, $E42&lt;W$2), IF($I42= "I", $J42/($F42-$E42+1), $J42/(($F42*($F42+1)/2)-(($E42-1)*($E42-1+1)/2))*V$2), 0)+IF(IF(time+1&gt;=W$2, $K42/time_cap/(time+1)*V$2, 0) = 0, $K42/(time_cap),0)),0)</f>
        <v/>
      </c>
      <c r="W42" s="4395">
        <f>IFERROR(IF((time+time_cap)&lt;W$2, 0,IF(AND(time+1&gt;=X$2, $E42&lt;X$2), IF($I42= "I", $J42/($F42-$E42+1), $J42/(($F42*($F42+1)/2)-(($E42-1)*($E42-1+1)/2))*W$2), 0)+IF(IF(time+1&gt;=X$2, $K42/time_cap/(time+1)*W$2, 0) = 0, $K42/(time_cap),0)),0)</f>
        <v/>
      </c>
      <c r="X42" s="4395">
        <f>IFERROR(IF((time+time_cap)&lt;X$2, 0,IF(AND(time+1&gt;=Y$2, $E42&lt;Y$2), IF($I42= "I", $J42/($F42-$E42+1), $J42/(($F42*($F42+1)/2)-(($E42-1)*($E42-1+1)/2))*X$2), 0)+IF(IF(time+1&gt;=Y$2, $K42/time_cap/(time+1)*X$2, 0) = 0, $K42/(time_cap),0)),0)</f>
        <v/>
      </c>
      <c r="Y42" s="4395">
        <f>IFERROR(IF((time+time_cap)&lt;Y$2, 0,IF(AND(time+1&gt;=Z$2, $E42&lt;Z$2), IF($I42= "I", $J42/($F42-$E42+1), $J42/(($F42*($F42+1)/2)-(($E42-1)*($E42-1+1)/2))*Y$2), 0)+IF(IF(time+1&gt;=Z$2, $K42/time_cap/(time+1)*Y$2, 0) = 0, $K42/(time_cap),0)),0)</f>
        <v/>
      </c>
      <c r="Z42" s="4395">
        <f>IFERROR(IF((time+time_cap)&lt;Z$2, 0,IF(AND(time+1&gt;=AA$2, $E42&lt;AA$2), IF($I42= "I", $J42/($F42-$E42+1), $J42/(($F42*($F42+1)/2)-(($E42-1)*($E42-1+1)/2))*Z$2), 0)+IF(IF(time+1&gt;=AA$2, $K42/time_cap/(time+1)*Z$2, 0) = 0, $K42/(time_cap),0)),0)</f>
        <v/>
      </c>
      <c r="AA42" s="4395">
        <f>IFERROR(IF((time+time_cap)&lt;AA$2, 0,IF(AND(time+1&gt;=AB$2, $E42&lt;AB$2), IF($I42= "I", $J42/($F42-$E42+1), $J42/(($F42*($F42+1)/2)-(($E42-1)*($E42-1+1)/2))*AA$2), 0)+IF(IF(time+1&gt;=AB$2, $K42/time_cap/(time+1)*AA$2, 0) = 0, $K42/(time_cap),0)),0)</f>
        <v/>
      </c>
      <c r="AB42" s="4395">
        <f>IFERROR(IF((time+time_cap)&lt;AB$2, 0,IF(AND(time+1&gt;=AC$2, $E42&lt;AC$2), IF($I42= "I", $J42/($F42-$E42+1), $J42/(($F42*($F42+1)/2)-(($E42-1)*($E42-1+1)/2))*AB$2), 0)+IF(IF(time+1&gt;=AC$2, $K42/time_cap/(time+1)*AB$2, 0) = 0, $K42/(time_cap),0)),0)</f>
        <v/>
      </c>
      <c r="AC42" s="4395">
        <f>IFERROR(IF((time+time_cap)&lt;AC$2, 0,IF(AND(time+1&gt;=AD$2, $E42&lt;AD$2), IF($I42= "I", $J42/($F42-$E42+1), $J42/(($F42*($F42+1)/2)-(($E42-1)*($E42-1+1)/2))*AC$2), 0)+IF(IF(time+1&gt;=AD$2, $K42/time_cap/(time+1)*AC$2, 0) = 0, $K42/(time_cap),0)),0)</f>
        <v/>
      </c>
      <c r="AD42" s="4395">
        <f>IFERROR(IF((time+time_cap)&lt;AD$2, 0,IF(AND(time+1&gt;=AE$2, $E42&lt;AE$2), IF($I42= "I", $J42/($F42-$E42+1), $J42/(($F42*($F42+1)/2)-(($E42-1)*($E42-1+1)/2))*AD$2), 0)+IF(IF(time+1&gt;=AE$2, $K42/time_cap/(time+1)*AD$2, 0) = 0, $K42/(time_cap),0)),0)</f>
        <v/>
      </c>
      <c r="AE42" s="4395">
        <f>IFERROR(IF((time+time_cap)&lt;AE$2, 0,IF(AND(time+1&gt;=AF$2, $E42&lt;AF$2), IF($I42= "I", $J42/($F42-$E42+1), $J42/(($F42*($F42+1)/2)-(($E42-1)*($E42-1+1)/2))*AE$2), 0)+IF(IF(time+1&gt;=AF$2, $K42/time_cap/(time+1)*AE$2, 0) = 0, $K42/(time_cap),0)),0)</f>
        <v/>
      </c>
      <c r="AF42" s="4395">
        <f>IFERROR(IF((time+time_cap)&lt;AF$2, 0,IF(AND(time+1&gt;=AG$2, $E42&lt;AG$2), IF($I42= "I", $J42/($F42-$E42+1), $J42/(($F42*($F42+1)/2)-(($E42-1)*($E42-1+1)/2))*AF$2), 0)+IF(IF(time+1&gt;=AG$2, $K42/time_cap/(time+1)*AF$2, 0) = 0, $K42/(time_cap),0)),0)</f>
        <v/>
      </c>
      <c r="AG42" s="4395">
        <f>IFERROR(IF((time+time_cap)&lt;AG$2, 0,IF(AND(time+1&gt;=AH$2, $E42&lt;AH$2), IF($I42= "I", $J42/($F42-$E42+1), $J42/(($F42*($F42+1)/2)-(($E42-1)*($E42-1+1)/2))*AG$2), 0)+IF(IF(time+1&gt;=AH$2, $K42/time_cap/(time+1)*AG$2, 0) = 0, $K42/(time_cap),0)),0)</f>
        <v/>
      </c>
      <c r="AH42" s="4395">
        <f>IFERROR(IF((time+time_cap)&lt;AH$2, 0,IF(AND(time+1&gt;=AI$2, $E42&lt;AI$2), IF($I42= "I", $J42/($F42-$E42+1), $J42/(($F42*($F42+1)/2)-(($E42-1)*($E42-1+1)/2))*AH$2), 0)+IF(IF(time+1&gt;=AI$2, $K42/time_cap/(time+1)*AH$2, 0) = 0, $K42/(time_cap),0)),0)</f>
        <v/>
      </c>
      <c r="AI42" s="4395">
        <f>IFERROR(IF((time+time_cap)&lt;AI$2, 0,IF(AND(time+1&gt;=AJ$2, $E42&lt;AJ$2), IF($I42= "I", $J42/($F42-$E42+1), $J42/(($F42*($F42+1)/2)-(($E42-1)*($E42-1+1)/2))*AI$2), 0)+IF(IF(time+1&gt;=AJ$2, $K42/time_cap/(time+1)*AI$2, 0) = 0, $K42/(time_cap),0)),0)</f>
        <v/>
      </c>
      <c r="AJ42" s="4395">
        <f>IFERROR(IF((time+time_cap)&lt;AJ$2, 0,IF(AND(time+1&gt;=AK$2, $E42&lt;AK$2), IF($I42= "I", $J42/($F42-$E42+1), $J42/(($F42*($F42+1)/2)-(($E42-1)*($E42-1+1)/2))*AJ$2), 0)+IF(IF(time+1&gt;=AK$2, $K42/time_cap/(time+1)*AJ$2, 0) = 0, $K42/(time_cap),0)),0)</f>
        <v/>
      </c>
      <c r="AK42" s="4395">
        <f>IFERROR(IF((time+time_cap)&lt;AK$2, 0,IF(AND(time+1&gt;=AL$2, $E42&lt;AL$2), IF($I42= "I", $J42/($F42-$E42+1), $J42/(($F42*($F42+1)/2)-(($E42-1)*($E42-1+1)/2))*AK$2), 0)+IF(IF(time+1&gt;=AL$2, $K42/time_cap/(time+1)*AK$2, 0) = 0, $K42/(time_cap),0)),0)</f>
        <v/>
      </c>
      <c r="AL42" s="4395">
        <f>IFERROR(IF((time+time_cap)&lt;AL$2, 0,IF(AND(time+1&gt;=AM$2, $E42&lt;AM$2), IF($I42= "I", $J42/($F42-$E42+1), $J42/(($F42*($F42+1)/2)-(($E42-1)*($E42-1+1)/2))*AL$2), 0)+IF(IF(time+1&gt;=AM$2, $K42/time_cap/(time+1)*AL$2, 0) = 0, $K42/(time_cap),0)),0)</f>
        <v/>
      </c>
      <c r="AM42" s="4395">
        <f>IFERROR(IF((time+time_cap)&lt;AM$2, 0,IF(AND(time+1&gt;=AN$2, $E42&lt;AN$2), IF($I42= "I", $J42/($F42-$E42+1), $J42/(($F42*($F42+1)/2)-(($E42-1)*($E42-1+1)/2))*AM$2), 0)+IF(IF(time+1&gt;=AN$2, $K42/time_cap/(time+1)*AM$2, 0) = 0, $K42/(time_cap),0)),0)</f>
        <v/>
      </c>
      <c r="AN42" s="4395">
        <f>IFERROR(IF((time+time_cap)&lt;AN$2, 0,IF(AND(time+1&gt;=AO$2, $E42&lt;AO$2), IF($I42= "I", $J42/($F42-$E42+1), $J42/(($F42*($F42+1)/2)-(($E42-1)*($E42-1+1)/2))*AN$2), 0)+IF(IF(time+1&gt;=AO$2, $K42/time_cap/(time+1)*AN$2, 0) = 0, $K42/(time_cap),0)),0)</f>
        <v/>
      </c>
      <c r="AO42" s="4395">
        <f>IFERROR(IF((time+time_cap)&lt;AO$2, 0,IF(AND(time+1&gt;=AP$2, $E42&lt;AP$2), IF($I42= "I", $J42/($F42-$E42+1), $J42/(($F42*($F42+1)/2)-(($E42-1)*($E42-1+1)/2))*AO$2), 0)+IF(IF(time+1&gt;=AP$2, $K42/time_cap/(time+1)*AO$2, 0) = 0, $K42/(time_cap),0)),0)</f>
        <v/>
      </c>
      <c r="AP42" s="4395">
        <f>IFERROR(IF((time+time_cap)&lt;AP$2, 0,IF(AND(time+1&gt;=AQ$2, $E42&lt;AQ$2), IF($I42= "I", $J42/($F42-$E42+1), $J42/(($F42*($F42+1)/2)-(($E42-1)*($E42-1+1)/2))*AP$2), 0)+IF(IF(time+1&gt;=AQ$2, $K42/time_cap/(time+1)*AP$2, 0) = 0, $K42/(time_cap),0)),0)</f>
        <v/>
      </c>
      <c r="AQ42" s="4395">
        <f>IFERROR(IF((time+time_cap)&lt;AQ$2, 0,IF(AND(time+1&gt;=AR$2, $E42&lt;AR$2), IF($I42= "I", $J42/($F42-$E42+1), $J42/(($F42*($F42+1)/2)-(($E42-1)*($E42-1+1)/2))*AQ$2), 0)+IF(IF(time+1&gt;=AR$2, $K42/time_cap/(time+1)*AQ$2, 0) = 0, $K42/(time_cap),0)),0)</f>
        <v/>
      </c>
      <c r="AR42" s="4395">
        <f>IFERROR(IF((time+time_cap)&lt;AR$2, 0,IF(AND(time+1&gt;=AS$2, $E42&lt;AS$2), IF($I42= "I", $J42/($F42-$E42+1), $J42/(($F42*($F42+1)/2)-(($E42-1)*($E42-1+1)/2))*AR$2), 0)+IF(IF(time+1&gt;=AS$2, $K42/time_cap/(time+1)*AR$2, 0) = 0, $K42/(time_cap),0)),0)</f>
        <v/>
      </c>
      <c r="AS42" s="4395">
        <f>IFERROR(IF((time+time_cap)&lt;AS$2, 0,IF(AND(time+1&gt;=AT$2, $E42&lt;AT$2), IF($I42= "I", $J42/($F42-$E42+1), $J42/(($F42*($F42+1)/2)-(($E42-1)*($E42-1+1)/2))*AS$2), 0)+IF(IF(time+1&gt;=AT$2, $K42/time_cap/(time+1)*AS$2, 0) = 0, $K42/(time_cap),0)),0)</f>
        <v/>
      </c>
      <c r="AT42" s="4395">
        <f>IFERROR(IF((time+time_cap)&lt;AT$2, 0,IF(AND(time+1&gt;=AU$2, $E42&lt;AU$2), IF($I42= "I", $J42/($F42-$E42+1), $J42/(($F42*($F42+1)/2)-(($E42-1)*($E42-1+1)/2))*AT$2), 0)+IF(IF(time+1&gt;=AU$2, $K42/time_cap/(time+1)*AT$2, 0) = 0, $K42/(time_cap),0)),0)</f>
        <v/>
      </c>
      <c r="AU42" s="4395">
        <f>IFERROR(IF((time+time_cap)&lt;AU$2, 0,IF(AND(time+1&gt;=AV$2, $E42&lt;AV$2), IF($I42= "I", $J42/($F42-$E42+1), $J42/(($F42*($F42+1)/2)-(($E42-1)*($E42-1+1)/2))*AU$2), 0)+IF(IF(time+1&gt;=AV$2, $K42/time_cap/(time+1)*AU$2, 0) = 0, $K42/(time_cap),0)),0)</f>
        <v/>
      </c>
      <c r="AV42" s="4395">
        <f>IFERROR(IF((time+time_cap)&lt;AV$2, 0,IF(AND(time+1&gt;=AW$2, $E42&lt;AW$2), IF($I42= "I", $J42/($F42-$E42+1), $J42/(($F42*($F42+1)/2)-(($E42-1)*($E42-1+1)/2))*AV$2), 0)+IF(IF(time+1&gt;=AW$2, $K42/time_cap/(time+1)*AV$2, 0) = 0, $K42/(time_cap),0)),0)</f>
        <v/>
      </c>
      <c r="AW42" s="4395">
        <f>IFERROR(IF((time+time_cap)&lt;AW$2, 0,IF(AND(time+1&gt;=AX$2, $E42&lt;AX$2), IF($I42= "I", $J42/($F42-$E42+1), $J42/(($F42*($F42+1)/2)-(($E42-1)*($E42-1+1)/2))*AW$2), 0)+IF(IF(time+1&gt;=AX$2, $K42/time_cap/(time+1)*AW$2, 0) = 0, $K42/(time_cap),0)),0)</f>
        <v/>
      </c>
      <c r="AX42" s="4395">
        <f>IFERROR(IF((time+time_cap)&lt;AX$2, 0,IF(AND(time+1&gt;=AY$2, $E42&lt;AY$2), IF($I42= "I", $J42/($F42-$E42+1), $J42/(($F42*($F42+1)/2)-(($E42-1)*($E42-1+1)/2))*AX$2), 0)+IF(IF(time+1&gt;=AY$2, $K42/time_cap/(time+1)*AX$2, 0) = 0, $K42/(time_cap),0)),0)</f>
        <v/>
      </c>
      <c r="AY42" s="4395">
        <f>IFERROR(IF((time+time_cap)&lt;AY$2, 0,IF(AND(time+1&gt;=AZ$2, $E42&lt;AZ$2), IF($I42= "I", $J42/($F42-$E42+1), $J42/(($F42*($F42+1)/2)-(($E42-1)*($E42-1+1)/2))*AY$2), 0)+IF(IF(time+1&gt;=AZ$2, $K42/time_cap/(time+1)*AY$2, 0) = 0, $K42/(time_cap),0)),0)</f>
        <v/>
      </c>
      <c r="AZ42" s="4395">
        <f>IFERROR(IF((time+time_cap)&lt;AZ$2, 0,IF(AND(time+1&gt;=BA$2, $E42&lt;BA$2), IF($I42= "I", $J42/($F42-$E42+1), $J42/(($F42*($F42+1)/2)-(($E42-1)*($E42-1+1)/2))*AZ$2), 0)+IF(IF(time+1&gt;=BA$2, $K42/time_cap/(time+1)*AZ$2, 0) = 0, $K42/(time_cap),0)),0)</f>
        <v/>
      </c>
      <c r="BA42" s="4395">
        <f>IFERROR(IF((time+time_cap)&lt;BA$2, 0,IF(AND(time+1&gt;=BB$2, $E42&lt;BB$2), IF($I42= "I", $J42/($F42-$E42+1), $J42/(($F42*($F42+1)/2)-(($E42-1)*($E42-1+1)/2))*BA$2), 0)+IF(IF(time+1&gt;=BB$2, $K42/time_cap/(time+1)*BA$2, 0) = 0, $K42/(time_cap),0)),0)</f>
        <v/>
      </c>
      <c r="BB42" s="4395">
        <f>IFERROR(IF((time+time_cap)&lt;BB$2, 0,IF(AND(time+1&gt;=BC$2, $E42&lt;BC$2), IF($I42= "I", $J42/($F42-$E42+1), $J42/(($F42*($F42+1)/2)-(($E42-1)*($E42-1+1)/2))*BB$2), 0)+IF(IF(time+1&gt;=BC$2, $K42/time_cap/(time+1)*BB$2, 0) = 0, $K42/(time_cap),0)),0)</f>
        <v/>
      </c>
      <c r="BC42" s="4395">
        <f>IFERROR(IF((time+time_cap)&lt;BC$2, 0,IF(AND(time+1&gt;=BD$2, $E42&lt;BD$2), IF($I42= "I", $J42/($F42-$E42+1), $J42/(($F42*($F42+1)/2)-(($E42-1)*($E42-1+1)/2))*BC$2), 0)+IF(IF(time+1&gt;=BD$2, $K42/time_cap/(time+1)*BC$2, 0) = 0, $K42/(time_cap),0)),0)</f>
        <v/>
      </c>
      <c r="BD42" s="4395">
        <f>IFERROR(IF((time+time_cap)&lt;BD$2, 0,IF(AND(time+1&gt;=BE$2, $E42&lt;BE$2), IF($I42= "I", $J42/($F42-$E42+1), $J42/(($F42*($F42+1)/2)-(($E42-1)*($E42-1+1)/2))*BD$2), 0)+IF(IF(time+1&gt;=BE$2, $K42/time_cap/(time+1)*BD$2, 0) = 0, $K42/(time_cap),0)),0)</f>
        <v/>
      </c>
      <c r="BE42" s="4395">
        <f>IFERROR(IF((time+time_cap)&lt;BE$2, 0,IF(AND(time+1&gt;=BF$2, $E42&lt;BF$2), IF($I42= "I", $J42/($F42-$E42+1), $J42/(($F42*($F42+1)/2)-(($E42-1)*($E42-1+1)/2))*BE$2), 0)+IF(IF(time+1&gt;=BF$2, $K42/time_cap/(time+1)*BE$2, 0) = 0, $K42/(time_cap),0)),0)</f>
        <v/>
      </c>
      <c r="BF42" s="4395">
        <f>IFERROR(IF((time+time_cap)&lt;BF$2, 0,IF(AND(time+1&gt;=BG$2, $E42&lt;BG$2), IF($I42= "I", $J42/($F42-$E42+1), $J42/(($F42*($F42+1)/2)-(($E42-1)*($E42-1+1)/2))*BF$2), 0)+IF(IF(time+1&gt;=BG$2, $K42/time_cap/(time+1)*BF$2, 0) = 0, $K42/(time_cap),0)),0)</f>
        <v/>
      </c>
      <c r="BG42" s="4395">
        <f>IFERROR(IF((time+time_cap)&lt;BG$2, 0,IF(AND(time+1&gt;=BH$2, $E42&lt;BH$2), IF($I42= "I", $J42/($F42-$E42+1), $J42/(($F42*($F42+1)/2)-(($E42-1)*($E42-1+1)/2))*BG$2), 0)+IF(IF(time+1&gt;=BH$2, $K42/time_cap/(time+1)*BG$2, 0) = 0, $K42/(time_cap),0)),0)</f>
        <v/>
      </c>
      <c r="BH42" s="4395">
        <f>IFERROR(IF((time+time_cap)&lt;BH$2, 0,IF(AND(time+1&gt;=BI$2, $E42&lt;BI$2), IF($I42= "I", $J42/($F42-$E42+1), $J42/(($F42*($F42+1)/2)-(($E42-1)*($E42-1+1)/2))*BH$2), 0)+IF(IF(time+1&gt;=BI$2, $K42/time_cap/(time+1)*BH$2, 0) = 0, $K42/(time_cap),0)),0)</f>
        <v/>
      </c>
      <c r="BI42" s="4395">
        <f>IFERROR(IF((time+time_cap)&lt;BI$2, 0,IF(AND(time+1&gt;=BJ$2, $E42&lt;BJ$2), IF($I42= "I", $J42/($F42-$E42+1), $J42/(($F42*($F42+1)/2)-(($E42-1)*($E42-1+1)/2))*BI$2), 0)+IF(IF(time+1&gt;=BJ$2, $K42/time_cap/(time+1)*BI$2, 0) = 0, $K42/(time_cap),0)),0)</f>
        <v/>
      </c>
      <c r="BJ42" s="4395">
        <f>IFERROR(IF((time+time_cap)&lt;BJ$2, 0,IF(AND(time+1&gt;=BK$2, $E42&lt;BK$2), IF($I42= "I", $J42/($F42-$E42+1), $J42/(($F42*($F42+1)/2)-(($E42-1)*($E42-1+1)/2))*BJ$2), 0)+IF(IF(time+1&gt;=BK$2, $K42/time_cap/(time+1)*BJ$2, 0) = 0, $K42/(time_cap),0)),0)</f>
        <v/>
      </c>
      <c r="BK42" s="4395" t="n"/>
      <c r="BL42" s="4395" t="n"/>
      <c r="BM42" s="4395" t="n"/>
      <c r="BN42" s="4395" t="n"/>
      <c r="BO42" s="4395" t="n"/>
      <c r="BP42" s="4395" t="n"/>
      <c r="BQ42" s="4395" t="n"/>
      <c r="BR42" s="4395" t="n"/>
      <c r="BS42" s="4395" t="n"/>
      <c r="BT42" s="4395" t="n"/>
      <c r="BU42" s="4395" t="n"/>
      <c r="BV42" s="4395" t="n"/>
      <c r="BW42" s="4395" t="n"/>
      <c r="BX42" s="4395" t="n"/>
      <c r="BY42" s="4395" t="n"/>
      <c r="BZ42" s="4395" t="n"/>
      <c r="CA42" s="4395" t="n"/>
      <c r="CB42" s="4395" t="n"/>
      <c r="CC42" s="4395" t="n"/>
      <c r="CD42" s="4395" t="n"/>
      <c r="CE42" s="4395" t="n"/>
      <c r="CF42" s="4395" t="n"/>
      <c r="CG42" s="4395" t="n"/>
      <c r="CH42" s="4395" t="n"/>
      <c r="CI42" s="4395" t="n"/>
      <c r="CJ42" s="4395" t="n"/>
      <c r="CK42" s="4395" t="n"/>
      <c r="CL42" s="4395" t="n"/>
      <c r="CM42" s="4395" t="n"/>
      <c r="CN42" s="4395" t="n"/>
      <c r="CO42" s="4395" t="n"/>
      <c r="CP42" s="4395" t="n"/>
      <c r="CQ42" s="4395" t="n"/>
      <c r="CR42" s="4395" t="n"/>
      <c r="CS42" s="4395" t="n"/>
      <c r="CT42" s="4395" t="n"/>
      <c r="CU42" s="4395" t="n"/>
      <c r="CV42" s="4395" t="n"/>
      <c r="CW42" s="4395" t="n"/>
      <c r="CX42" s="4395" t="n"/>
      <c r="CY42" s="4395" t="n"/>
      <c r="CZ42" s="4395" t="n"/>
      <c r="DA42" s="4395" t="n"/>
      <c r="DB42" s="4395" t="n"/>
      <c r="DC42" s="4395" t="n"/>
      <c r="DD42" s="4395" t="n"/>
      <c r="DE42" s="4395" t="n"/>
      <c r="DF42" s="4395" t="n"/>
      <c r="DG42" s="4395" t="n"/>
      <c r="DH42" s="4395" t="n"/>
    </row>
    <row r="43" ht="16" customHeight="1">
      <c r="A43" t="inlineStr">
        <is>
          <t>Annuals</t>
        </is>
      </c>
      <c r="B43">
        <f>'3.Cropland'!C27</f>
        <v/>
      </c>
      <c r="C43">
        <f>'3.Cropland'!E27</f>
        <v/>
      </c>
      <c r="D43">
        <f>'3.Cropland'!Z27</f>
        <v/>
      </c>
      <c r="E43">
        <f>IF('3.Cropland'!BP27&lt;&gt;0,'3.Cropland'!BP27, '3.Cropland'!BO27)</f>
        <v/>
      </c>
      <c r="F43">
        <f>time</f>
        <v/>
      </c>
      <c r="G43" s="4395">
        <f>'3.Cropland'!S27</f>
        <v/>
      </c>
      <c r="H43" s="4395">
        <f>'3.Cropland'!U27</f>
        <v/>
      </c>
      <c r="I43" s="4395">
        <f>IF(OR(H43="I", G43="I"), "I", IF(OR(H43="E", G43="E"), "E", "D"))</f>
        <v/>
      </c>
      <c r="J43" s="4395">
        <f>((D43/(time_cap+((F43-E43+1)*VLOOKUP(I43,list!$I$48:$K$50,3, FALSE))))*(F43-E43+1)*VLOOKUP(I43,list!$I$48:$K$50,3, FALSE))</f>
        <v/>
      </c>
      <c r="K43" s="4395">
        <f>((D43/(time_cap+((F43-E43+1)*VLOOKUP(I43,list!$I$48:$K$50,3, FALSE))))*time_cap)</f>
        <v/>
      </c>
      <c r="M43" s="4395">
        <f>IFERROR(IF((time+time_cap)&lt;M$2, 0,IF(AND(time+1&gt;=N$2, $E43&lt;N$2), IF($I43= "I", $J43/($F43-$E43+1), $J43/(($F43*($F43+1)/2)-(($E43-1)*($E43-1+1)/2))*M$2), 0)+IF(IF(time+1&gt;=N$2, $K43/time_cap/(time+1)*M$2, 0) = 0, $K43/(time_cap),0)),0)</f>
        <v/>
      </c>
      <c r="N43" s="4395">
        <f>IFERROR(IF((time+time_cap)&lt;N$2, 0,IF(AND(time+1&gt;=O$2, $E43&lt;O$2), IF($I43= "I", $J43/($F43-$E43+1), $J43/(($F43*($F43+1)/2)-(($E43-1)*($E43-1+1)/2))*N$2), 0)+IF(IF(time+1&gt;=O$2, $K43/time_cap/(time+1)*N$2, 0) = 0, $K43/(time_cap),0)),0)</f>
        <v/>
      </c>
      <c r="O43" s="4395">
        <f>IFERROR(IF((time+time_cap)&lt;O$2, 0,IF(AND(time+1&gt;=P$2, $E43&lt;P$2), IF($I43= "I", $J43/($F43-$E43+1), $J43/(($F43*($F43+1)/2)-(($E43-1)*($E43-1+1)/2))*O$2), 0)+IF(IF(time+1&gt;=P$2, $K43/time_cap/(time+1)*O$2, 0) = 0, $K43/(time_cap),0)),0)</f>
        <v/>
      </c>
      <c r="P43" s="4395">
        <f>IFERROR(IF((time+time_cap)&lt;P$2, 0,IF(AND(time+1&gt;=Q$2, $E43&lt;Q$2), IF($I43= "I", $J43/($F43-$E43+1), $J43/(($F43*($F43+1)/2)-(($E43-1)*($E43-1+1)/2))*P$2), 0)+IF(IF(time+1&gt;=Q$2, $K43/time_cap/(time+1)*P$2, 0) = 0, $K43/(time_cap),0)),0)</f>
        <v/>
      </c>
      <c r="Q43" s="4395">
        <f>IFERROR(IF((time+time_cap)&lt;Q$2, 0,IF(AND(time+1&gt;=R$2, $E43&lt;R$2), IF($I43= "I", $J43/($F43-$E43+1), $J43/(($F43*($F43+1)/2)-(($E43-1)*($E43-1+1)/2))*Q$2), 0)+IF(IF(time+1&gt;=R$2, $K43/time_cap/(time+1)*Q$2, 0) = 0, $K43/(time_cap),0)),0)</f>
        <v/>
      </c>
      <c r="R43" s="4395">
        <f>IFERROR(IF((time+time_cap)&lt;R$2, 0,IF(AND(time+1&gt;=S$2, $E43&lt;S$2), IF($I43= "I", $J43/($F43-$E43+1), $J43/(($F43*($F43+1)/2)-(($E43-1)*($E43-1+1)/2))*R$2), 0)+IF(IF(time+1&gt;=S$2, $K43/time_cap/(time+1)*R$2, 0) = 0, $K43/(time_cap),0)),0)</f>
        <v/>
      </c>
      <c r="S43" s="4395">
        <f>IFERROR(IF((time+time_cap)&lt;S$2, 0,IF(AND(time+1&gt;=T$2, $E43&lt;T$2), IF($I43= "I", $J43/($F43-$E43+1), $J43/(($F43*($F43+1)/2)-(($E43-1)*($E43-1+1)/2))*S$2), 0)+IF(IF(time+1&gt;=T$2, $K43/time_cap/(time+1)*S$2, 0) = 0, $K43/(time_cap),0)),0)</f>
        <v/>
      </c>
      <c r="T43" s="4395">
        <f>IFERROR(IF((time+time_cap)&lt;T$2, 0,IF(AND(time+1&gt;=U$2, $E43&lt;U$2), IF($I43= "I", $J43/($F43-$E43+1), $J43/(($F43*($F43+1)/2)-(($E43-1)*($E43-1+1)/2))*T$2), 0)+IF(IF(time+1&gt;=U$2, $K43/time_cap/(time+1)*T$2, 0) = 0, $K43/(time_cap),0)),0)</f>
        <v/>
      </c>
      <c r="U43" s="4395">
        <f>IFERROR(IF((time+time_cap)&lt;U$2, 0,IF(AND(time+1&gt;=V$2, $E43&lt;V$2), IF($I43= "I", $J43/($F43-$E43+1), $J43/(($F43*($F43+1)/2)-(($E43-1)*($E43-1+1)/2))*U$2), 0)+IF(IF(time+1&gt;=V$2, $K43/time_cap/(time+1)*U$2, 0) = 0, $K43/(time_cap),0)),0)</f>
        <v/>
      </c>
      <c r="V43" s="4395">
        <f>IFERROR(IF((time+time_cap)&lt;V$2, 0,IF(AND(time+1&gt;=W$2, $E43&lt;W$2), IF($I43= "I", $J43/($F43-$E43+1), $J43/(($F43*($F43+1)/2)-(($E43-1)*($E43-1+1)/2))*V$2), 0)+IF(IF(time+1&gt;=W$2, $K43/time_cap/(time+1)*V$2, 0) = 0, $K43/(time_cap),0)),0)</f>
        <v/>
      </c>
      <c r="W43" s="4395">
        <f>IFERROR(IF((time+time_cap)&lt;W$2, 0,IF(AND(time+1&gt;=X$2, $E43&lt;X$2), IF($I43= "I", $J43/($F43-$E43+1), $J43/(($F43*($F43+1)/2)-(($E43-1)*($E43-1+1)/2))*W$2), 0)+IF(IF(time+1&gt;=X$2, $K43/time_cap/(time+1)*W$2, 0) = 0, $K43/(time_cap),0)),0)</f>
        <v/>
      </c>
      <c r="X43" s="4395">
        <f>IFERROR(IF((time+time_cap)&lt;X$2, 0,IF(AND(time+1&gt;=Y$2, $E43&lt;Y$2), IF($I43= "I", $J43/($F43-$E43+1), $J43/(($F43*($F43+1)/2)-(($E43-1)*($E43-1+1)/2))*X$2), 0)+IF(IF(time+1&gt;=Y$2, $K43/time_cap/(time+1)*X$2, 0) = 0, $K43/(time_cap),0)),0)</f>
        <v/>
      </c>
      <c r="Y43" s="4395">
        <f>IFERROR(IF((time+time_cap)&lt;Y$2, 0,IF(AND(time+1&gt;=Z$2, $E43&lt;Z$2), IF($I43= "I", $J43/($F43-$E43+1), $J43/(($F43*($F43+1)/2)-(($E43-1)*($E43-1+1)/2))*Y$2), 0)+IF(IF(time+1&gt;=Z$2, $K43/time_cap/(time+1)*Y$2, 0) = 0, $K43/(time_cap),0)),0)</f>
        <v/>
      </c>
      <c r="Z43" s="4395">
        <f>IFERROR(IF((time+time_cap)&lt;Z$2, 0,IF(AND(time+1&gt;=AA$2, $E43&lt;AA$2), IF($I43= "I", $J43/($F43-$E43+1), $J43/(($F43*($F43+1)/2)-(($E43-1)*($E43-1+1)/2))*Z$2), 0)+IF(IF(time+1&gt;=AA$2, $K43/time_cap/(time+1)*Z$2, 0) = 0, $K43/(time_cap),0)),0)</f>
        <v/>
      </c>
      <c r="AA43" s="4395">
        <f>IFERROR(IF((time+time_cap)&lt;AA$2, 0,IF(AND(time+1&gt;=AB$2, $E43&lt;AB$2), IF($I43= "I", $J43/($F43-$E43+1), $J43/(($F43*($F43+1)/2)-(($E43-1)*($E43-1+1)/2))*AA$2), 0)+IF(IF(time+1&gt;=AB$2, $K43/time_cap/(time+1)*AA$2, 0) = 0, $K43/(time_cap),0)),0)</f>
        <v/>
      </c>
      <c r="AB43" s="4395">
        <f>IFERROR(IF((time+time_cap)&lt;AB$2, 0,IF(AND(time+1&gt;=AC$2, $E43&lt;AC$2), IF($I43= "I", $J43/($F43-$E43+1), $J43/(($F43*($F43+1)/2)-(($E43-1)*($E43-1+1)/2))*AB$2), 0)+IF(IF(time+1&gt;=AC$2, $K43/time_cap/(time+1)*AB$2, 0) = 0, $K43/(time_cap),0)),0)</f>
        <v/>
      </c>
      <c r="AC43" s="4395">
        <f>IFERROR(IF((time+time_cap)&lt;AC$2, 0,IF(AND(time+1&gt;=AD$2, $E43&lt;AD$2), IF($I43= "I", $J43/($F43-$E43+1), $J43/(($F43*($F43+1)/2)-(($E43-1)*($E43-1+1)/2))*AC$2), 0)+IF(IF(time+1&gt;=AD$2, $K43/time_cap/(time+1)*AC$2, 0) = 0, $K43/(time_cap),0)),0)</f>
        <v/>
      </c>
      <c r="AD43" s="4395">
        <f>IFERROR(IF((time+time_cap)&lt;AD$2, 0,IF(AND(time+1&gt;=AE$2, $E43&lt;AE$2), IF($I43= "I", $J43/($F43-$E43+1), $J43/(($F43*($F43+1)/2)-(($E43-1)*($E43-1+1)/2))*AD$2), 0)+IF(IF(time+1&gt;=AE$2, $K43/time_cap/(time+1)*AD$2, 0) = 0, $K43/(time_cap),0)),0)</f>
        <v/>
      </c>
      <c r="AE43" s="4395">
        <f>IFERROR(IF((time+time_cap)&lt;AE$2, 0,IF(AND(time+1&gt;=AF$2, $E43&lt;AF$2), IF($I43= "I", $J43/($F43-$E43+1), $J43/(($F43*($F43+1)/2)-(($E43-1)*($E43-1+1)/2))*AE$2), 0)+IF(IF(time+1&gt;=AF$2, $K43/time_cap/(time+1)*AE$2, 0) = 0, $K43/(time_cap),0)),0)</f>
        <v/>
      </c>
      <c r="AF43" s="4395">
        <f>IFERROR(IF((time+time_cap)&lt;AF$2, 0,IF(AND(time+1&gt;=AG$2, $E43&lt;AG$2), IF($I43= "I", $J43/($F43-$E43+1), $J43/(($F43*($F43+1)/2)-(($E43-1)*($E43-1+1)/2))*AF$2), 0)+IF(IF(time+1&gt;=AG$2, $K43/time_cap/(time+1)*AF$2, 0) = 0, $K43/(time_cap),0)),0)</f>
        <v/>
      </c>
      <c r="AG43" s="4395">
        <f>IFERROR(IF((time+time_cap)&lt;AG$2, 0,IF(AND(time+1&gt;=AH$2, $E43&lt;AH$2), IF($I43= "I", $J43/($F43-$E43+1), $J43/(($F43*($F43+1)/2)-(($E43-1)*($E43-1+1)/2))*AG$2), 0)+IF(IF(time+1&gt;=AH$2, $K43/time_cap/(time+1)*AG$2, 0) = 0, $K43/(time_cap),0)),0)</f>
        <v/>
      </c>
      <c r="AH43" s="4395">
        <f>IFERROR(IF((time+time_cap)&lt;AH$2, 0,IF(AND(time+1&gt;=AI$2, $E43&lt;AI$2), IF($I43= "I", $J43/($F43-$E43+1), $J43/(($F43*($F43+1)/2)-(($E43-1)*($E43-1+1)/2))*AH$2), 0)+IF(IF(time+1&gt;=AI$2, $K43/time_cap/(time+1)*AH$2, 0) = 0, $K43/(time_cap),0)),0)</f>
        <v/>
      </c>
      <c r="AI43" s="4395">
        <f>IFERROR(IF((time+time_cap)&lt;AI$2, 0,IF(AND(time+1&gt;=AJ$2, $E43&lt;AJ$2), IF($I43= "I", $J43/($F43-$E43+1), $J43/(($F43*($F43+1)/2)-(($E43-1)*($E43-1+1)/2))*AI$2), 0)+IF(IF(time+1&gt;=AJ$2, $K43/time_cap/(time+1)*AI$2, 0) = 0, $K43/(time_cap),0)),0)</f>
        <v/>
      </c>
      <c r="AJ43" s="4395">
        <f>IFERROR(IF((time+time_cap)&lt;AJ$2, 0,IF(AND(time+1&gt;=AK$2, $E43&lt;AK$2), IF($I43= "I", $J43/($F43-$E43+1), $J43/(($F43*($F43+1)/2)-(($E43-1)*($E43-1+1)/2))*AJ$2), 0)+IF(IF(time+1&gt;=AK$2, $K43/time_cap/(time+1)*AJ$2, 0) = 0, $K43/(time_cap),0)),0)</f>
        <v/>
      </c>
      <c r="AK43" s="4395">
        <f>IFERROR(IF((time+time_cap)&lt;AK$2, 0,IF(AND(time+1&gt;=AL$2, $E43&lt;AL$2), IF($I43= "I", $J43/($F43-$E43+1), $J43/(($F43*($F43+1)/2)-(($E43-1)*($E43-1+1)/2))*AK$2), 0)+IF(IF(time+1&gt;=AL$2, $K43/time_cap/(time+1)*AK$2, 0) = 0, $K43/(time_cap),0)),0)</f>
        <v/>
      </c>
      <c r="AL43" s="4395">
        <f>IFERROR(IF((time+time_cap)&lt;AL$2, 0,IF(AND(time+1&gt;=AM$2, $E43&lt;AM$2), IF($I43= "I", $J43/($F43-$E43+1), $J43/(($F43*($F43+1)/2)-(($E43-1)*($E43-1+1)/2))*AL$2), 0)+IF(IF(time+1&gt;=AM$2, $K43/time_cap/(time+1)*AL$2, 0) = 0, $K43/(time_cap),0)),0)</f>
        <v/>
      </c>
      <c r="AM43" s="4395">
        <f>IFERROR(IF((time+time_cap)&lt;AM$2, 0,IF(AND(time+1&gt;=AN$2, $E43&lt;AN$2), IF($I43= "I", $J43/($F43-$E43+1), $J43/(($F43*($F43+1)/2)-(($E43-1)*($E43-1+1)/2))*AM$2), 0)+IF(IF(time+1&gt;=AN$2, $K43/time_cap/(time+1)*AM$2, 0) = 0, $K43/(time_cap),0)),0)</f>
        <v/>
      </c>
      <c r="AN43" s="4395">
        <f>IFERROR(IF((time+time_cap)&lt;AN$2, 0,IF(AND(time+1&gt;=AO$2, $E43&lt;AO$2), IF($I43= "I", $J43/($F43-$E43+1), $J43/(($F43*($F43+1)/2)-(($E43-1)*($E43-1+1)/2))*AN$2), 0)+IF(IF(time+1&gt;=AO$2, $K43/time_cap/(time+1)*AN$2, 0) = 0, $K43/(time_cap),0)),0)</f>
        <v/>
      </c>
      <c r="AO43" s="4395">
        <f>IFERROR(IF((time+time_cap)&lt;AO$2, 0,IF(AND(time+1&gt;=AP$2, $E43&lt;AP$2), IF($I43= "I", $J43/($F43-$E43+1), $J43/(($F43*($F43+1)/2)-(($E43-1)*($E43-1+1)/2))*AO$2), 0)+IF(IF(time+1&gt;=AP$2, $K43/time_cap/(time+1)*AO$2, 0) = 0, $K43/(time_cap),0)),0)</f>
        <v/>
      </c>
      <c r="AP43" s="4395">
        <f>IFERROR(IF((time+time_cap)&lt;AP$2, 0,IF(AND(time+1&gt;=AQ$2, $E43&lt;AQ$2), IF($I43= "I", $J43/($F43-$E43+1), $J43/(($F43*($F43+1)/2)-(($E43-1)*($E43-1+1)/2))*AP$2), 0)+IF(IF(time+1&gt;=AQ$2, $K43/time_cap/(time+1)*AP$2, 0) = 0, $K43/(time_cap),0)),0)</f>
        <v/>
      </c>
      <c r="AQ43" s="4395">
        <f>IFERROR(IF((time+time_cap)&lt;AQ$2, 0,IF(AND(time+1&gt;=AR$2, $E43&lt;AR$2), IF($I43= "I", $J43/($F43-$E43+1), $J43/(($F43*($F43+1)/2)-(($E43-1)*($E43-1+1)/2))*AQ$2), 0)+IF(IF(time+1&gt;=AR$2, $K43/time_cap/(time+1)*AQ$2, 0) = 0, $K43/(time_cap),0)),0)</f>
        <v/>
      </c>
      <c r="AR43" s="4395">
        <f>IFERROR(IF((time+time_cap)&lt;AR$2, 0,IF(AND(time+1&gt;=AS$2, $E43&lt;AS$2), IF($I43= "I", $J43/($F43-$E43+1), $J43/(($F43*($F43+1)/2)-(($E43-1)*($E43-1+1)/2))*AR$2), 0)+IF(IF(time+1&gt;=AS$2, $K43/time_cap/(time+1)*AR$2, 0) = 0, $K43/(time_cap),0)),0)</f>
        <v/>
      </c>
      <c r="AS43" s="4395">
        <f>IFERROR(IF((time+time_cap)&lt;AS$2, 0,IF(AND(time+1&gt;=AT$2, $E43&lt;AT$2), IF($I43= "I", $J43/($F43-$E43+1), $J43/(($F43*($F43+1)/2)-(($E43-1)*($E43-1+1)/2))*AS$2), 0)+IF(IF(time+1&gt;=AT$2, $K43/time_cap/(time+1)*AS$2, 0) = 0, $K43/(time_cap),0)),0)</f>
        <v/>
      </c>
      <c r="AT43" s="4395">
        <f>IFERROR(IF((time+time_cap)&lt;AT$2, 0,IF(AND(time+1&gt;=AU$2, $E43&lt;AU$2), IF($I43= "I", $J43/($F43-$E43+1), $J43/(($F43*($F43+1)/2)-(($E43-1)*($E43-1+1)/2))*AT$2), 0)+IF(IF(time+1&gt;=AU$2, $K43/time_cap/(time+1)*AT$2, 0) = 0, $K43/(time_cap),0)),0)</f>
        <v/>
      </c>
      <c r="AU43" s="4395">
        <f>IFERROR(IF((time+time_cap)&lt;AU$2, 0,IF(AND(time+1&gt;=AV$2, $E43&lt;AV$2), IF($I43= "I", $J43/($F43-$E43+1), $J43/(($F43*($F43+1)/2)-(($E43-1)*($E43-1+1)/2))*AU$2), 0)+IF(IF(time+1&gt;=AV$2, $K43/time_cap/(time+1)*AU$2, 0) = 0, $K43/(time_cap),0)),0)</f>
        <v/>
      </c>
      <c r="AV43" s="4395">
        <f>IFERROR(IF((time+time_cap)&lt;AV$2, 0,IF(AND(time+1&gt;=AW$2, $E43&lt;AW$2), IF($I43= "I", $J43/($F43-$E43+1), $J43/(($F43*($F43+1)/2)-(($E43-1)*($E43-1+1)/2))*AV$2), 0)+IF(IF(time+1&gt;=AW$2, $K43/time_cap/(time+1)*AV$2, 0) = 0, $K43/(time_cap),0)),0)</f>
        <v/>
      </c>
      <c r="AW43" s="4395">
        <f>IFERROR(IF((time+time_cap)&lt;AW$2, 0,IF(AND(time+1&gt;=AX$2, $E43&lt;AX$2), IF($I43= "I", $J43/($F43-$E43+1), $J43/(($F43*($F43+1)/2)-(($E43-1)*($E43-1+1)/2))*AW$2), 0)+IF(IF(time+1&gt;=AX$2, $K43/time_cap/(time+1)*AW$2, 0) = 0, $K43/(time_cap),0)),0)</f>
        <v/>
      </c>
      <c r="AX43" s="4395">
        <f>IFERROR(IF((time+time_cap)&lt;AX$2, 0,IF(AND(time+1&gt;=AY$2, $E43&lt;AY$2), IF($I43= "I", $J43/($F43-$E43+1), $J43/(($F43*($F43+1)/2)-(($E43-1)*($E43-1+1)/2))*AX$2), 0)+IF(IF(time+1&gt;=AY$2, $K43/time_cap/(time+1)*AX$2, 0) = 0, $K43/(time_cap),0)),0)</f>
        <v/>
      </c>
      <c r="AY43" s="4395">
        <f>IFERROR(IF((time+time_cap)&lt;AY$2, 0,IF(AND(time+1&gt;=AZ$2, $E43&lt;AZ$2), IF($I43= "I", $J43/($F43-$E43+1), $J43/(($F43*($F43+1)/2)-(($E43-1)*($E43-1+1)/2))*AY$2), 0)+IF(IF(time+1&gt;=AZ$2, $K43/time_cap/(time+1)*AY$2, 0) = 0, $K43/(time_cap),0)),0)</f>
        <v/>
      </c>
      <c r="AZ43" s="4395">
        <f>IFERROR(IF((time+time_cap)&lt;AZ$2, 0,IF(AND(time+1&gt;=BA$2, $E43&lt;BA$2), IF($I43= "I", $J43/($F43-$E43+1), $J43/(($F43*($F43+1)/2)-(($E43-1)*($E43-1+1)/2))*AZ$2), 0)+IF(IF(time+1&gt;=BA$2, $K43/time_cap/(time+1)*AZ$2, 0) = 0, $K43/(time_cap),0)),0)</f>
        <v/>
      </c>
      <c r="BA43" s="4395">
        <f>IFERROR(IF((time+time_cap)&lt;BA$2, 0,IF(AND(time+1&gt;=BB$2, $E43&lt;BB$2), IF($I43= "I", $J43/($F43-$E43+1), $J43/(($F43*($F43+1)/2)-(($E43-1)*($E43-1+1)/2))*BA$2), 0)+IF(IF(time+1&gt;=BB$2, $K43/time_cap/(time+1)*BA$2, 0) = 0, $K43/(time_cap),0)),0)</f>
        <v/>
      </c>
      <c r="BB43" s="4395">
        <f>IFERROR(IF((time+time_cap)&lt;BB$2, 0,IF(AND(time+1&gt;=BC$2, $E43&lt;BC$2), IF($I43= "I", $J43/($F43-$E43+1), $J43/(($F43*($F43+1)/2)-(($E43-1)*($E43-1+1)/2))*BB$2), 0)+IF(IF(time+1&gt;=BC$2, $K43/time_cap/(time+1)*BB$2, 0) = 0, $K43/(time_cap),0)),0)</f>
        <v/>
      </c>
      <c r="BC43" s="4395">
        <f>IFERROR(IF((time+time_cap)&lt;BC$2, 0,IF(AND(time+1&gt;=BD$2, $E43&lt;BD$2), IF($I43= "I", $J43/($F43-$E43+1), $J43/(($F43*($F43+1)/2)-(($E43-1)*($E43-1+1)/2))*BC$2), 0)+IF(IF(time+1&gt;=BD$2, $K43/time_cap/(time+1)*BC$2, 0) = 0, $K43/(time_cap),0)),0)</f>
        <v/>
      </c>
      <c r="BD43" s="4395">
        <f>IFERROR(IF((time+time_cap)&lt;BD$2, 0,IF(AND(time+1&gt;=BE$2, $E43&lt;BE$2), IF($I43= "I", $J43/($F43-$E43+1), $J43/(($F43*($F43+1)/2)-(($E43-1)*($E43-1+1)/2))*BD$2), 0)+IF(IF(time+1&gt;=BE$2, $K43/time_cap/(time+1)*BD$2, 0) = 0, $K43/(time_cap),0)),0)</f>
        <v/>
      </c>
      <c r="BE43" s="4395">
        <f>IFERROR(IF((time+time_cap)&lt;BE$2, 0,IF(AND(time+1&gt;=BF$2, $E43&lt;BF$2), IF($I43= "I", $J43/($F43-$E43+1), $J43/(($F43*($F43+1)/2)-(($E43-1)*($E43-1+1)/2))*BE$2), 0)+IF(IF(time+1&gt;=BF$2, $K43/time_cap/(time+1)*BE$2, 0) = 0, $K43/(time_cap),0)),0)</f>
        <v/>
      </c>
      <c r="BF43" s="4395">
        <f>IFERROR(IF((time+time_cap)&lt;BF$2, 0,IF(AND(time+1&gt;=BG$2, $E43&lt;BG$2), IF($I43= "I", $J43/($F43-$E43+1), $J43/(($F43*($F43+1)/2)-(($E43-1)*($E43-1+1)/2))*BF$2), 0)+IF(IF(time+1&gt;=BG$2, $K43/time_cap/(time+1)*BF$2, 0) = 0, $K43/(time_cap),0)),0)</f>
        <v/>
      </c>
      <c r="BG43" s="4395">
        <f>IFERROR(IF((time+time_cap)&lt;BG$2, 0,IF(AND(time+1&gt;=BH$2, $E43&lt;BH$2), IF($I43= "I", $J43/($F43-$E43+1), $J43/(($F43*($F43+1)/2)-(($E43-1)*($E43-1+1)/2))*BG$2), 0)+IF(IF(time+1&gt;=BH$2, $K43/time_cap/(time+1)*BG$2, 0) = 0, $K43/(time_cap),0)),0)</f>
        <v/>
      </c>
      <c r="BH43" s="4395">
        <f>IFERROR(IF((time+time_cap)&lt;BH$2, 0,IF(AND(time+1&gt;=BI$2, $E43&lt;BI$2), IF($I43= "I", $J43/($F43-$E43+1), $J43/(($F43*($F43+1)/2)-(($E43-1)*($E43-1+1)/2))*BH$2), 0)+IF(IF(time+1&gt;=BI$2, $K43/time_cap/(time+1)*BH$2, 0) = 0, $K43/(time_cap),0)),0)</f>
        <v/>
      </c>
      <c r="BI43" s="4395">
        <f>IFERROR(IF((time+time_cap)&lt;BI$2, 0,IF(AND(time+1&gt;=BJ$2, $E43&lt;BJ$2), IF($I43= "I", $J43/($F43-$E43+1), $J43/(($F43*($F43+1)/2)-(($E43-1)*($E43-1+1)/2))*BI$2), 0)+IF(IF(time+1&gt;=BJ$2, $K43/time_cap/(time+1)*BI$2, 0) = 0, $K43/(time_cap),0)),0)</f>
        <v/>
      </c>
      <c r="BJ43" s="4395">
        <f>IFERROR(IF((time+time_cap)&lt;BJ$2, 0,IF(AND(time+1&gt;=BK$2, $E43&lt;BK$2), IF($I43= "I", $J43/($F43-$E43+1), $J43/(($F43*($F43+1)/2)-(($E43-1)*($E43-1+1)/2))*BJ$2), 0)+IF(IF(time+1&gt;=BK$2, $K43/time_cap/(time+1)*BJ$2, 0) = 0, $K43/(time_cap),0)),0)</f>
        <v/>
      </c>
      <c r="BK43" s="4395" t="n"/>
      <c r="BL43" s="4395" t="n"/>
      <c r="BM43" s="4395" t="n"/>
      <c r="BN43" s="4395" t="n"/>
      <c r="BO43" s="4395" t="n"/>
      <c r="BP43" s="4395" t="n"/>
      <c r="BQ43" s="4395" t="n"/>
      <c r="BR43" s="4395" t="n"/>
      <c r="BS43" s="4395" t="n"/>
      <c r="BT43" s="4395" t="n"/>
      <c r="BU43" s="4395" t="n"/>
      <c r="BV43" s="4395" t="n"/>
      <c r="BW43" s="4395" t="n"/>
      <c r="BX43" s="4395" t="n"/>
      <c r="BY43" s="4395" t="n"/>
      <c r="BZ43" s="4395" t="n"/>
      <c r="CA43" s="4395" t="n"/>
      <c r="CB43" s="4395" t="n"/>
      <c r="CC43" s="4395" t="n"/>
      <c r="CD43" s="4395" t="n"/>
      <c r="CE43" s="4395" t="n"/>
      <c r="CF43" s="4395" t="n"/>
      <c r="CG43" s="4395" t="n"/>
      <c r="CH43" s="4395" t="n"/>
      <c r="CI43" s="4395" t="n"/>
      <c r="CJ43" s="4395" t="n"/>
      <c r="CK43" s="4395" t="n"/>
      <c r="CL43" s="4395" t="n"/>
      <c r="CM43" s="4395" t="n"/>
      <c r="CN43" s="4395" t="n"/>
      <c r="CO43" s="4395" t="n"/>
      <c r="CP43" s="4395" t="n"/>
      <c r="CQ43" s="4395" t="n"/>
      <c r="CR43" s="4395" t="n"/>
      <c r="CS43" s="4395" t="n"/>
      <c r="CT43" s="4395" t="n"/>
      <c r="CU43" s="4395" t="n"/>
      <c r="CV43" s="4395" t="n"/>
      <c r="CW43" s="4395" t="n"/>
      <c r="CX43" s="4395" t="n"/>
      <c r="CY43" s="4395" t="n"/>
      <c r="CZ43" s="4395" t="n"/>
      <c r="DA43" s="4395" t="n"/>
      <c r="DB43" s="4395" t="n"/>
      <c r="DC43" s="4395" t="n"/>
      <c r="DD43" s="4395" t="n"/>
      <c r="DE43" s="4395" t="n"/>
      <c r="DF43" s="4395" t="n"/>
      <c r="DG43" s="4395" t="n"/>
      <c r="DH43" s="4395" t="n"/>
    </row>
    <row r="44" ht="16" customHeight="1">
      <c r="A44" t="inlineStr">
        <is>
          <t>Annuals</t>
        </is>
      </c>
      <c r="B44">
        <f>'3.Cropland'!C28</f>
        <v/>
      </c>
      <c r="C44">
        <f>'3.Cropland'!E28</f>
        <v/>
      </c>
      <c r="D44">
        <f>'3.Cropland'!Z28</f>
        <v/>
      </c>
      <c r="E44">
        <f>IF('3.Cropland'!BP28&lt;&gt;0,'3.Cropland'!BP28, '3.Cropland'!BO28)</f>
        <v/>
      </c>
      <c r="F44">
        <f>time</f>
        <v/>
      </c>
      <c r="G44" s="4395">
        <f>'3.Cropland'!S28</f>
        <v/>
      </c>
      <c r="H44" s="4395">
        <f>'3.Cropland'!U28</f>
        <v/>
      </c>
      <c r="I44" s="4395">
        <f>IF(OR(H44="I", G44="I"), "I", IF(OR(H44="E", G44="E"), "E", "D"))</f>
        <v/>
      </c>
      <c r="J44" s="4395">
        <f>((D44/(time_cap+((F44-E44+1)*VLOOKUP(I44,list!$I$48:$K$50,3, FALSE))))*(F44-E44+1)*VLOOKUP(I44,list!$I$48:$K$50,3, FALSE))</f>
        <v/>
      </c>
      <c r="K44" s="4395">
        <f>((D44/(time_cap+((F44-E44+1)*VLOOKUP(I44,list!$I$48:$K$50,3, FALSE))))*time_cap)</f>
        <v/>
      </c>
      <c r="M44" s="4395">
        <f>IFERROR(IF((time+time_cap)&lt;M$2, 0,IF(AND(time+1&gt;=N$2, $E44&lt;N$2), IF($I44= "I", $J44/($F44-$E44+1), $J44/(($F44*($F44+1)/2)-(($E44-1)*($E44-1+1)/2))*M$2), 0)+IF(IF(time+1&gt;=N$2, $K44/time_cap/(time+1)*M$2, 0) = 0, $K44/(time_cap),0)),0)</f>
        <v/>
      </c>
      <c r="N44" s="4395">
        <f>IFERROR(IF((time+time_cap)&lt;N$2, 0,IF(AND(time+1&gt;=O$2, $E44&lt;O$2), IF($I44= "I", $J44/($F44-$E44+1), $J44/(($F44*($F44+1)/2)-(($E44-1)*($E44-1+1)/2))*N$2), 0)+IF(IF(time+1&gt;=O$2, $K44/time_cap/(time+1)*N$2, 0) = 0, $K44/(time_cap),0)),0)</f>
        <v/>
      </c>
      <c r="O44" s="4395">
        <f>IFERROR(IF((time+time_cap)&lt;O$2, 0,IF(AND(time+1&gt;=P$2, $E44&lt;P$2), IF($I44= "I", $J44/($F44-$E44+1), $J44/(($F44*($F44+1)/2)-(($E44-1)*($E44-1+1)/2))*O$2), 0)+IF(IF(time+1&gt;=P$2, $K44/time_cap/(time+1)*O$2, 0) = 0, $K44/(time_cap),0)),0)</f>
        <v/>
      </c>
      <c r="P44" s="4395">
        <f>IFERROR(IF((time+time_cap)&lt;P$2, 0,IF(AND(time+1&gt;=Q$2, $E44&lt;Q$2), IF($I44= "I", $J44/($F44-$E44+1), $J44/(($F44*($F44+1)/2)-(($E44-1)*($E44-1+1)/2))*P$2), 0)+IF(IF(time+1&gt;=Q$2, $K44/time_cap/(time+1)*P$2, 0) = 0, $K44/(time_cap),0)),0)</f>
        <v/>
      </c>
      <c r="Q44" s="4395">
        <f>IFERROR(IF((time+time_cap)&lt;Q$2, 0,IF(AND(time+1&gt;=R$2, $E44&lt;R$2), IF($I44= "I", $J44/($F44-$E44+1), $J44/(($F44*($F44+1)/2)-(($E44-1)*($E44-1+1)/2))*Q$2), 0)+IF(IF(time+1&gt;=R$2, $K44/time_cap/(time+1)*Q$2, 0) = 0, $K44/(time_cap),0)),0)</f>
        <v/>
      </c>
      <c r="R44" s="4395">
        <f>IFERROR(IF((time+time_cap)&lt;R$2, 0,IF(AND(time+1&gt;=S$2, $E44&lt;S$2), IF($I44= "I", $J44/($F44-$E44+1), $J44/(($F44*($F44+1)/2)-(($E44-1)*($E44-1+1)/2))*R$2), 0)+IF(IF(time+1&gt;=S$2, $K44/time_cap/(time+1)*R$2, 0) = 0, $K44/(time_cap),0)),0)</f>
        <v/>
      </c>
      <c r="S44" s="4395">
        <f>IFERROR(IF((time+time_cap)&lt;S$2, 0,IF(AND(time+1&gt;=T$2, $E44&lt;T$2), IF($I44= "I", $J44/($F44-$E44+1), $J44/(($F44*($F44+1)/2)-(($E44-1)*($E44-1+1)/2))*S$2), 0)+IF(IF(time+1&gt;=T$2, $K44/time_cap/(time+1)*S$2, 0) = 0, $K44/(time_cap),0)),0)</f>
        <v/>
      </c>
      <c r="T44" s="4395">
        <f>IFERROR(IF((time+time_cap)&lt;T$2, 0,IF(AND(time+1&gt;=U$2, $E44&lt;U$2), IF($I44= "I", $J44/($F44-$E44+1), $J44/(($F44*($F44+1)/2)-(($E44-1)*($E44-1+1)/2))*T$2), 0)+IF(IF(time+1&gt;=U$2, $K44/time_cap/(time+1)*T$2, 0) = 0, $K44/(time_cap),0)),0)</f>
        <v/>
      </c>
      <c r="U44" s="4395">
        <f>IFERROR(IF((time+time_cap)&lt;U$2, 0,IF(AND(time+1&gt;=V$2, $E44&lt;V$2), IF($I44= "I", $J44/($F44-$E44+1), $J44/(($F44*($F44+1)/2)-(($E44-1)*($E44-1+1)/2))*U$2), 0)+IF(IF(time+1&gt;=V$2, $K44/time_cap/(time+1)*U$2, 0) = 0, $K44/(time_cap),0)),0)</f>
        <v/>
      </c>
      <c r="V44" s="4395">
        <f>IFERROR(IF((time+time_cap)&lt;V$2, 0,IF(AND(time+1&gt;=W$2, $E44&lt;W$2), IF($I44= "I", $J44/($F44-$E44+1), $J44/(($F44*($F44+1)/2)-(($E44-1)*($E44-1+1)/2))*V$2), 0)+IF(IF(time+1&gt;=W$2, $K44/time_cap/(time+1)*V$2, 0) = 0, $K44/(time_cap),0)),0)</f>
        <v/>
      </c>
      <c r="W44" s="4395">
        <f>IFERROR(IF((time+time_cap)&lt;W$2, 0,IF(AND(time+1&gt;=X$2, $E44&lt;X$2), IF($I44= "I", $J44/($F44-$E44+1), $J44/(($F44*($F44+1)/2)-(($E44-1)*($E44-1+1)/2))*W$2), 0)+IF(IF(time+1&gt;=X$2, $K44/time_cap/(time+1)*W$2, 0) = 0, $K44/(time_cap),0)),0)</f>
        <v/>
      </c>
      <c r="X44" s="4395">
        <f>IFERROR(IF((time+time_cap)&lt;X$2, 0,IF(AND(time+1&gt;=Y$2, $E44&lt;Y$2), IF($I44= "I", $J44/($F44-$E44+1), $J44/(($F44*($F44+1)/2)-(($E44-1)*($E44-1+1)/2))*X$2), 0)+IF(IF(time+1&gt;=Y$2, $K44/time_cap/(time+1)*X$2, 0) = 0, $K44/(time_cap),0)),0)</f>
        <v/>
      </c>
      <c r="Y44" s="4395">
        <f>IFERROR(IF((time+time_cap)&lt;Y$2, 0,IF(AND(time+1&gt;=Z$2, $E44&lt;Z$2), IF($I44= "I", $J44/($F44-$E44+1), $J44/(($F44*($F44+1)/2)-(($E44-1)*($E44-1+1)/2))*Y$2), 0)+IF(IF(time+1&gt;=Z$2, $K44/time_cap/(time+1)*Y$2, 0) = 0, $K44/(time_cap),0)),0)</f>
        <v/>
      </c>
      <c r="Z44" s="4395">
        <f>IFERROR(IF((time+time_cap)&lt;Z$2, 0,IF(AND(time+1&gt;=AA$2, $E44&lt;AA$2), IF($I44= "I", $J44/($F44-$E44+1), $J44/(($F44*($F44+1)/2)-(($E44-1)*($E44-1+1)/2))*Z$2), 0)+IF(IF(time+1&gt;=AA$2, $K44/time_cap/(time+1)*Z$2, 0) = 0, $K44/(time_cap),0)),0)</f>
        <v/>
      </c>
      <c r="AA44" s="4395">
        <f>IFERROR(IF((time+time_cap)&lt;AA$2, 0,IF(AND(time+1&gt;=AB$2, $E44&lt;AB$2), IF($I44= "I", $J44/($F44-$E44+1), $J44/(($F44*($F44+1)/2)-(($E44-1)*($E44-1+1)/2))*AA$2), 0)+IF(IF(time+1&gt;=AB$2, $K44/time_cap/(time+1)*AA$2, 0) = 0, $K44/(time_cap),0)),0)</f>
        <v/>
      </c>
      <c r="AB44" s="4395">
        <f>IFERROR(IF((time+time_cap)&lt;AB$2, 0,IF(AND(time+1&gt;=AC$2, $E44&lt;AC$2), IF($I44= "I", $J44/($F44-$E44+1), $J44/(($F44*($F44+1)/2)-(($E44-1)*($E44-1+1)/2))*AB$2), 0)+IF(IF(time+1&gt;=AC$2, $K44/time_cap/(time+1)*AB$2, 0) = 0, $K44/(time_cap),0)),0)</f>
        <v/>
      </c>
      <c r="AC44" s="4395">
        <f>IFERROR(IF((time+time_cap)&lt;AC$2, 0,IF(AND(time+1&gt;=AD$2, $E44&lt;AD$2), IF($I44= "I", $J44/($F44-$E44+1), $J44/(($F44*($F44+1)/2)-(($E44-1)*($E44-1+1)/2))*AC$2), 0)+IF(IF(time+1&gt;=AD$2, $K44/time_cap/(time+1)*AC$2, 0) = 0, $K44/(time_cap),0)),0)</f>
        <v/>
      </c>
      <c r="AD44" s="4395">
        <f>IFERROR(IF((time+time_cap)&lt;AD$2, 0,IF(AND(time+1&gt;=AE$2, $E44&lt;AE$2), IF($I44= "I", $J44/($F44-$E44+1), $J44/(($F44*($F44+1)/2)-(($E44-1)*($E44-1+1)/2))*AD$2), 0)+IF(IF(time+1&gt;=AE$2, $K44/time_cap/(time+1)*AD$2, 0) = 0, $K44/(time_cap),0)),0)</f>
        <v/>
      </c>
      <c r="AE44" s="4395">
        <f>IFERROR(IF((time+time_cap)&lt;AE$2, 0,IF(AND(time+1&gt;=AF$2, $E44&lt;AF$2), IF($I44= "I", $J44/($F44-$E44+1), $J44/(($F44*($F44+1)/2)-(($E44-1)*($E44-1+1)/2))*AE$2), 0)+IF(IF(time+1&gt;=AF$2, $K44/time_cap/(time+1)*AE$2, 0) = 0, $K44/(time_cap),0)),0)</f>
        <v/>
      </c>
      <c r="AF44" s="4395">
        <f>IFERROR(IF((time+time_cap)&lt;AF$2, 0,IF(AND(time+1&gt;=AG$2, $E44&lt;AG$2), IF($I44= "I", $J44/($F44-$E44+1), $J44/(($F44*($F44+1)/2)-(($E44-1)*($E44-1+1)/2))*AF$2), 0)+IF(IF(time+1&gt;=AG$2, $K44/time_cap/(time+1)*AF$2, 0) = 0, $K44/(time_cap),0)),0)</f>
        <v/>
      </c>
      <c r="AG44" s="4395">
        <f>IFERROR(IF((time+time_cap)&lt;AG$2, 0,IF(AND(time+1&gt;=AH$2, $E44&lt;AH$2), IF($I44= "I", $J44/($F44-$E44+1), $J44/(($F44*($F44+1)/2)-(($E44-1)*($E44-1+1)/2))*AG$2), 0)+IF(IF(time+1&gt;=AH$2, $K44/time_cap/(time+1)*AG$2, 0) = 0, $K44/(time_cap),0)),0)</f>
        <v/>
      </c>
      <c r="AH44" s="4395">
        <f>IFERROR(IF((time+time_cap)&lt;AH$2, 0,IF(AND(time+1&gt;=AI$2, $E44&lt;AI$2), IF($I44= "I", $J44/($F44-$E44+1), $J44/(($F44*($F44+1)/2)-(($E44-1)*($E44-1+1)/2))*AH$2), 0)+IF(IF(time+1&gt;=AI$2, $K44/time_cap/(time+1)*AH$2, 0) = 0, $K44/(time_cap),0)),0)</f>
        <v/>
      </c>
      <c r="AI44" s="4395">
        <f>IFERROR(IF((time+time_cap)&lt;AI$2, 0,IF(AND(time+1&gt;=AJ$2, $E44&lt;AJ$2), IF($I44= "I", $J44/($F44-$E44+1), $J44/(($F44*($F44+1)/2)-(($E44-1)*($E44-1+1)/2))*AI$2), 0)+IF(IF(time+1&gt;=AJ$2, $K44/time_cap/(time+1)*AI$2, 0) = 0, $K44/(time_cap),0)),0)</f>
        <v/>
      </c>
      <c r="AJ44" s="4395">
        <f>IFERROR(IF((time+time_cap)&lt;AJ$2, 0,IF(AND(time+1&gt;=AK$2, $E44&lt;AK$2), IF($I44= "I", $J44/($F44-$E44+1), $J44/(($F44*($F44+1)/2)-(($E44-1)*($E44-1+1)/2))*AJ$2), 0)+IF(IF(time+1&gt;=AK$2, $K44/time_cap/(time+1)*AJ$2, 0) = 0, $K44/(time_cap),0)),0)</f>
        <v/>
      </c>
      <c r="AK44" s="4395">
        <f>IFERROR(IF((time+time_cap)&lt;AK$2, 0,IF(AND(time+1&gt;=AL$2, $E44&lt;AL$2), IF($I44= "I", $J44/($F44-$E44+1), $J44/(($F44*($F44+1)/2)-(($E44-1)*($E44-1+1)/2))*AK$2), 0)+IF(IF(time+1&gt;=AL$2, $K44/time_cap/(time+1)*AK$2, 0) = 0, $K44/(time_cap),0)),0)</f>
        <v/>
      </c>
      <c r="AL44" s="4395">
        <f>IFERROR(IF((time+time_cap)&lt;AL$2, 0,IF(AND(time+1&gt;=AM$2, $E44&lt;AM$2), IF($I44= "I", $J44/($F44-$E44+1), $J44/(($F44*($F44+1)/2)-(($E44-1)*($E44-1+1)/2))*AL$2), 0)+IF(IF(time+1&gt;=AM$2, $K44/time_cap/(time+1)*AL$2, 0) = 0, $K44/(time_cap),0)),0)</f>
        <v/>
      </c>
      <c r="AM44" s="4395">
        <f>IFERROR(IF((time+time_cap)&lt;AM$2, 0,IF(AND(time+1&gt;=AN$2, $E44&lt;AN$2), IF($I44= "I", $J44/($F44-$E44+1), $J44/(($F44*($F44+1)/2)-(($E44-1)*($E44-1+1)/2))*AM$2), 0)+IF(IF(time+1&gt;=AN$2, $K44/time_cap/(time+1)*AM$2, 0) = 0, $K44/(time_cap),0)),0)</f>
        <v/>
      </c>
      <c r="AN44" s="4395">
        <f>IFERROR(IF((time+time_cap)&lt;AN$2, 0,IF(AND(time+1&gt;=AO$2, $E44&lt;AO$2), IF($I44= "I", $J44/($F44-$E44+1), $J44/(($F44*($F44+1)/2)-(($E44-1)*($E44-1+1)/2))*AN$2), 0)+IF(IF(time+1&gt;=AO$2, $K44/time_cap/(time+1)*AN$2, 0) = 0, $K44/(time_cap),0)),0)</f>
        <v/>
      </c>
      <c r="AO44" s="4395">
        <f>IFERROR(IF((time+time_cap)&lt;AO$2, 0,IF(AND(time+1&gt;=AP$2, $E44&lt;AP$2), IF($I44= "I", $J44/($F44-$E44+1), $J44/(($F44*($F44+1)/2)-(($E44-1)*($E44-1+1)/2))*AO$2), 0)+IF(IF(time+1&gt;=AP$2, $K44/time_cap/(time+1)*AO$2, 0) = 0, $K44/(time_cap),0)),0)</f>
        <v/>
      </c>
      <c r="AP44" s="4395">
        <f>IFERROR(IF((time+time_cap)&lt;AP$2, 0,IF(AND(time+1&gt;=AQ$2, $E44&lt;AQ$2), IF($I44= "I", $J44/($F44-$E44+1), $J44/(($F44*($F44+1)/2)-(($E44-1)*($E44-1+1)/2))*AP$2), 0)+IF(IF(time+1&gt;=AQ$2, $K44/time_cap/(time+1)*AP$2, 0) = 0, $K44/(time_cap),0)),0)</f>
        <v/>
      </c>
      <c r="AQ44" s="4395">
        <f>IFERROR(IF((time+time_cap)&lt;AQ$2, 0,IF(AND(time+1&gt;=AR$2, $E44&lt;AR$2), IF($I44= "I", $J44/($F44-$E44+1), $J44/(($F44*($F44+1)/2)-(($E44-1)*($E44-1+1)/2))*AQ$2), 0)+IF(IF(time+1&gt;=AR$2, $K44/time_cap/(time+1)*AQ$2, 0) = 0, $K44/(time_cap),0)),0)</f>
        <v/>
      </c>
      <c r="AR44" s="4395">
        <f>IFERROR(IF((time+time_cap)&lt;AR$2, 0,IF(AND(time+1&gt;=AS$2, $E44&lt;AS$2), IF($I44= "I", $J44/($F44-$E44+1), $J44/(($F44*($F44+1)/2)-(($E44-1)*($E44-1+1)/2))*AR$2), 0)+IF(IF(time+1&gt;=AS$2, $K44/time_cap/(time+1)*AR$2, 0) = 0, $K44/(time_cap),0)),0)</f>
        <v/>
      </c>
      <c r="AS44" s="4395">
        <f>IFERROR(IF((time+time_cap)&lt;AS$2, 0,IF(AND(time+1&gt;=AT$2, $E44&lt;AT$2), IF($I44= "I", $J44/($F44-$E44+1), $J44/(($F44*($F44+1)/2)-(($E44-1)*($E44-1+1)/2))*AS$2), 0)+IF(IF(time+1&gt;=AT$2, $K44/time_cap/(time+1)*AS$2, 0) = 0, $K44/(time_cap),0)),0)</f>
        <v/>
      </c>
      <c r="AT44" s="4395">
        <f>IFERROR(IF((time+time_cap)&lt;AT$2, 0,IF(AND(time+1&gt;=AU$2, $E44&lt;AU$2), IF($I44= "I", $J44/($F44-$E44+1), $J44/(($F44*($F44+1)/2)-(($E44-1)*($E44-1+1)/2))*AT$2), 0)+IF(IF(time+1&gt;=AU$2, $K44/time_cap/(time+1)*AT$2, 0) = 0, $K44/(time_cap),0)),0)</f>
        <v/>
      </c>
      <c r="AU44" s="4395">
        <f>IFERROR(IF((time+time_cap)&lt;AU$2, 0,IF(AND(time+1&gt;=AV$2, $E44&lt;AV$2), IF($I44= "I", $J44/($F44-$E44+1), $J44/(($F44*($F44+1)/2)-(($E44-1)*($E44-1+1)/2))*AU$2), 0)+IF(IF(time+1&gt;=AV$2, $K44/time_cap/(time+1)*AU$2, 0) = 0, $K44/(time_cap),0)),0)</f>
        <v/>
      </c>
      <c r="AV44" s="4395">
        <f>IFERROR(IF((time+time_cap)&lt;AV$2, 0,IF(AND(time+1&gt;=AW$2, $E44&lt;AW$2), IF($I44= "I", $J44/($F44-$E44+1), $J44/(($F44*($F44+1)/2)-(($E44-1)*($E44-1+1)/2))*AV$2), 0)+IF(IF(time+1&gt;=AW$2, $K44/time_cap/(time+1)*AV$2, 0) = 0, $K44/(time_cap),0)),0)</f>
        <v/>
      </c>
      <c r="AW44" s="4395">
        <f>IFERROR(IF((time+time_cap)&lt;AW$2, 0,IF(AND(time+1&gt;=AX$2, $E44&lt;AX$2), IF($I44= "I", $J44/($F44-$E44+1), $J44/(($F44*($F44+1)/2)-(($E44-1)*($E44-1+1)/2))*AW$2), 0)+IF(IF(time+1&gt;=AX$2, $K44/time_cap/(time+1)*AW$2, 0) = 0, $K44/(time_cap),0)),0)</f>
        <v/>
      </c>
      <c r="AX44" s="4395">
        <f>IFERROR(IF((time+time_cap)&lt;AX$2, 0,IF(AND(time+1&gt;=AY$2, $E44&lt;AY$2), IF($I44= "I", $J44/($F44-$E44+1), $J44/(($F44*($F44+1)/2)-(($E44-1)*($E44-1+1)/2))*AX$2), 0)+IF(IF(time+1&gt;=AY$2, $K44/time_cap/(time+1)*AX$2, 0) = 0, $K44/(time_cap),0)),0)</f>
        <v/>
      </c>
      <c r="AY44" s="4395">
        <f>IFERROR(IF((time+time_cap)&lt;AY$2, 0,IF(AND(time+1&gt;=AZ$2, $E44&lt;AZ$2), IF($I44= "I", $J44/($F44-$E44+1), $J44/(($F44*($F44+1)/2)-(($E44-1)*($E44-1+1)/2))*AY$2), 0)+IF(IF(time+1&gt;=AZ$2, $K44/time_cap/(time+1)*AY$2, 0) = 0, $K44/(time_cap),0)),0)</f>
        <v/>
      </c>
      <c r="AZ44" s="4395">
        <f>IFERROR(IF((time+time_cap)&lt;AZ$2, 0,IF(AND(time+1&gt;=BA$2, $E44&lt;BA$2), IF($I44= "I", $J44/($F44-$E44+1), $J44/(($F44*($F44+1)/2)-(($E44-1)*($E44-1+1)/2))*AZ$2), 0)+IF(IF(time+1&gt;=BA$2, $K44/time_cap/(time+1)*AZ$2, 0) = 0, $K44/(time_cap),0)),0)</f>
        <v/>
      </c>
      <c r="BA44" s="4395">
        <f>IFERROR(IF((time+time_cap)&lt;BA$2, 0,IF(AND(time+1&gt;=BB$2, $E44&lt;BB$2), IF($I44= "I", $J44/($F44-$E44+1), $J44/(($F44*($F44+1)/2)-(($E44-1)*($E44-1+1)/2))*BA$2), 0)+IF(IF(time+1&gt;=BB$2, $K44/time_cap/(time+1)*BA$2, 0) = 0, $K44/(time_cap),0)),0)</f>
        <v/>
      </c>
      <c r="BB44" s="4395">
        <f>IFERROR(IF((time+time_cap)&lt;BB$2, 0,IF(AND(time+1&gt;=BC$2, $E44&lt;BC$2), IF($I44= "I", $J44/($F44-$E44+1), $J44/(($F44*($F44+1)/2)-(($E44-1)*($E44-1+1)/2))*BB$2), 0)+IF(IF(time+1&gt;=BC$2, $K44/time_cap/(time+1)*BB$2, 0) = 0, $K44/(time_cap),0)),0)</f>
        <v/>
      </c>
      <c r="BC44" s="4395">
        <f>IFERROR(IF((time+time_cap)&lt;BC$2, 0,IF(AND(time+1&gt;=BD$2, $E44&lt;BD$2), IF($I44= "I", $J44/($F44-$E44+1), $J44/(($F44*($F44+1)/2)-(($E44-1)*($E44-1+1)/2))*BC$2), 0)+IF(IF(time+1&gt;=BD$2, $K44/time_cap/(time+1)*BC$2, 0) = 0, $K44/(time_cap),0)),0)</f>
        <v/>
      </c>
      <c r="BD44" s="4395">
        <f>IFERROR(IF((time+time_cap)&lt;BD$2, 0,IF(AND(time+1&gt;=BE$2, $E44&lt;BE$2), IF($I44= "I", $J44/($F44-$E44+1), $J44/(($F44*($F44+1)/2)-(($E44-1)*($E44-1+1)/2))*BD$2), 0)+IF(IF(time+1&gt;=BE$2, $K44/time_cap/(time+1)*BD$2, 0) = 0, $K44/(time_cap),0)),0)</f>
        <v/>
      </c>
      <c r="BE44" s="4395">
        <f>IFERROR(IF((time+time_cap)&lt;BE$2, 0,IF(AND(time+1&gt;=BF$2, $E44&lt;BF$2), IF($I44= "I", $J44/($F44-$E44+1), $J44/(($F44*($F44+1)/2)-(($E44-1)*($E44-1+1)/2))*BE$2), 0)+IF(IF(time+1&gt;=BF$2, $K44/time_cap/(time+1)*BE$2, 0) = 0, $K44/(time_cap),0)),0)</f>
        <v/>
      </c>
      <c r="BF44" s="4395">
        <f>IFERROR(IF((time+time_cap)&lt;BF$2, 0,IF(AND(time+1&gt;=BG$2, $E44&lt;BG$2), IF($I44= "I", $J44/($F44-$E44+1), $J44/(($F44*($F44+1)/2)-(($E44-1)*($E44-1+1)/2))*BF$2), 0)+IF(IF(time+1&gt;=BG$2, $K44/time_cap/(time+1)*BF$2, 0) = 0, $K44/(time_cap),0)),0)</f>
        <v/>
      </c>
      <c r="BG44" s="4395">
        <f>IFERROR(IF((time+time_cap)&lt;BG$2, 0,IF(AND(time+1&gt;=BH$2, $E44&lt;BH$2), IF($I44= "I", $J44/($F44-$E44+1), $J44/(($F44*($F44+1)/2)-(($E44-1)*($E44-1+1)/2))*BG$2), 0)+IF(IF(time+1&gt;=BH$2, $K44/time_cap/(time+1)*BG$2, 0) = 0, $K44/(time_cap),0)),0)</f>
        <v/>
      </c>
      <c r="BH44" s="4395">
        <f>IFERROR(IF((time+time_cap)&lt;BH$2, 0,IF(AND(time+1&gt;=BI$2, $E44&lt;BI$2), IF($I44= "I", $J44/($F44-$E44+1), $J44/(($F44*($F44+1)/2)-(($E44-1)*($E44-1+1)/2))*BH$2), 0)+IF(IF(time+1&gt;=BI$2, $K44/time_cap/(time+1)*BH$2, 0) = 0, $K44/(time_cap),0)),0)</f>
        <v/>
      </c>
      <c r="BI44" s="4395">
        <f>IFERROR(IF((time+time_cap)&lt;BI$2, 0,IF(AND(time+1&gt;=BJ$2, $E44&lt;BJ$2), IF($I44= "I", $J44/($F44-$E44+1), $J44/(($F44*($F44+1)/2)-(($E44-1)*($E44-1+1)/2))*BI$2), 0)+IF(IF(time+1&gt;=BJ$2, $K44/time_cap/(time+1)*BI$2, 0) = 0, $K44/(time_cap),0)),0)</f>
        <v/>
      </c>
      <c r="BJ44" s="4395">
        <f>IFERROR(IF((time+time_cap)&lt;BJ$2, 0,IF(AND(time+1&gt;=BK$2, $E44&lt;BK$2), IF($I44= "I", $J44/($F44-$E44+1), $J44/(($F44*($F44+1)/2)-(($E44-1)*($E44-1+1)/2))*BJ$2), 0)+IF(IF(time+1&gt;=BK$2, $K44/time_cap/(time+1)*BJ$2, 0) = 0, $K44/(time_cap),0)),0)</f>
        <v/>
      </c>
      <c r="BK44" s="4395" t="n"/>
      <c r="BL44" s="4395" t="n"/>
      <c r="BM44" s="4395" t="n"/>
      <c r="BN44" s="4395" t="n"/>
      <c r="BO44" s="4395" t="n"/>
      <c r="BP44" s="4395" t="n"/>
      <c r="BQ44" s="4395" t="n"/>
      <c r="BR44" s="4395" t="n"/>
      <c r="BS44" s="4395" t="n"/>
      <c r="BT44" s="4395" t="n"/>
      <c r="BU44" s="4395" t="n"/>
      <c r="BV44" s="4395" t="n"/>
      <c r="BW44" s="4395" t="n"/>
      <c r="BX44" s="4395" t="n"/>
      <c r="BY44" s="4395" t="n"/>
      <c r="BZ44" s="4395" t="n"/>
      <c r="CA44" s="4395" t="n"/>
      <c r="CB44" s="4395" t="n"/>
      <c r="CC44" s="4395" t="n"/>
      <c r="CD44" s="4395" t="n"/>
      <c r="CE44" s="4395" t="n"/>
      <c r="CF44" s="4395" t="n"/>
      <c r="CG44" s="4395" t="n"/>
      <c r="CH44" s="4395" t="n"/>
      <c r="CI44" s="4395" t="n"/>
      <c r="CJ44" s="4395" t="n"/>
      <c r="CK44" s="4395" t="n"/>
      <c r="CL44" s="4395" t="n"/>
      <c r="CM44" s="4395" t="n"/>
      <c r="CN44" s="4395" t="n"/>
      <c r="CO44" s="4395" t="n"/>
      <c r="CP44" s="4395" t="n"/>
      <c r="CQ44" s="4395" t="n"/>
      <c r="CR44" s="4395" t="n"/>
      <c r="CS44" s="4395" t="n"/>
      <c r="CT44" s="4395" t="n"/>
      <c r="CU44" s="4395" t="n"/>
      <c r="CV44" s="4395" t="n"/>
      <c r="CW44" s="4395" t="n"/>
      <c r="CX44" s="4395" t="n"/>
      <c r="CY44" s="4395" t="n"/>
      <c r="CZ44" s="4395" t="n"/>
      <c r="DA44" s="4395" t="n"/>
      <c r="DB44" s="4395" t="n"/>
      <c r="DC44" s="4395" t="n"/>
      <c r="DD44" s="4395" t="n"/>
      <c r="DE44" s="4395" t="n"/>
      <c r="DF44" s="4395" t="n"/>
      <c r="DG44" s="4395" t="n"/>
      <c r="DH44" s="4395" t="n"/>
    </row>
    <row r="45" ht="16" customHeight="1">
      <c r="A45" t="inlineStr">
        <is>
          <t>Annuals</t>
        </is>
      </c>
      <c r="B45">
        <f>'3.Cropland'!C29</f>
        <v/>
      </c>
      <c r="C45">
        <f>'3.Cropland'!E29</f>
        <v/>
      </c>
      <c r="D45">
        <f>'3.Cropland'!Z29</f>
        <v/>
      </c>
      <c r="E45">
        <f>IF('3.Cropland'!BP29&lt;&gt;0,'3.Cropland'!BP29, '3.Cropland'!BO29)</f>
        <v/>
      </c>
      <c r="F45">
        <f>time</f>
        <v/>
      </c>
      <c r="G45" s="4395">
        <f>'3.Cropland'!S29</f>
        <v/>
      </c>
      <c r="H45" s="4395">
        <f>'3.Cropland'!U29</f>
        <v/>
      </c>
      <c r="I45" s="4395">
        <f>IF(OR(H45="I", G45="I"), "I", IF(OR(H45="E", G45="E"), "E", "D"))</f>
        <v/>
      </c>
      <c r="J45" s="4395">
        <f>((D45/(time_cap+((F45-E45+1)*VLOOKUP(I45,list!$I$48:$K$50,3, FALSE))))*(F45-E45+1)*VLOOKUP(I45,list!$I$48:$K$50,3, FALSE))</f>
        <v/>
      </c>
      <c r="K45" s="4395">
        <f>((D45/(time_cap+((F45-E45+1)*VLOOKUP(I45,list!$I$48:$K$50,3, FALSE))))*time_cap)</f>
        <v/>
      </c>
      <c r="M45" s="4395">
        <f>IFERROR(IF((time+time_cap)&lt;M$2, 0,IF(AND(time+1&gt;=N$2, $E45&lt;N$2), IF($I45= "I", $J45/($F45-$E45+1), $J45/(($F45*($F45+1)/2)-(($E45-1)*($E45-1+1)/2))*M$2), 0)+IF(IF(time+1&gt;=N$2, $K45/time_cap/(time+1)*M$2, 0) = 0, $K45/(time_cap),0)),0)</f>
        <v/>
      </c>
      <c r="N45" s="4395">
        <f>IFERROR(IF((time+time_cap)&lt;N$2, 0,IF(AND(time+1&gt;=O$2, $E45&lt;O$2), IF($I45= "I", $J45/($F45-$E45+1), $J45/(($F45*($F45+1)/2)-(($E45-1)*($E45-1+1)/2))*N$2), 0)+IF(IF(time+1&gt;=O$2, $K45/time_cap/(time+1)*N$2, 0) = 0, $K45/(time_cap),0)),0)</f>
        <v/>
      </c>
      <c r="O45" s="4395">
        <f>IFERROR(IF((time+time_cap)&lt;O$2, 0,IF(AND(time+1&gt;=P$2, $E45&lt;P$2), IF($I45= "I", $J45/($F45-$E45+1), $J45/(($F45*($F45+1)/2)-(($E45-1)*($E45-1+1)/2))*O$2), 0)+IF(IF(time+1&gt;=P$2, $K45/time_cap/(time+1)*O$2, 0) = 0, $K45/(time_cap),0)),0)</f>
        <v/>
      </c>
      <c r="P45" s="4395">
        <f>IFERROR(IF((time+time_cap)&lt;P$2, 0,IF(AND(time+1&gt;=Q$2, $E45&lt;Q$2), IF($I45= "I", $J45/($F45-$E45+1), $J45/(($F45*($F45+1)/2)-(($E45-1)*($E45-1+1)/2))*P$2), 0)+IF(IF(time+1&gt;=Q$2, $K45/time_cap/(time+1)*P$2, 0) = 0, $K45/(time_cap),0)),0)</f>
        <v/>
      </c>
      <c r="Q45" s="4395">
        <f>IFERROR(IF((time+time_cap)&lt;Q$2, 0,IF(AND(time+1&gt;=R$2, $E45&lt;R$2), IF($I45= "I", $J45/($F45-$E45+1), $J45/(($F45*($F45+1)/2)-(($E45-1)*($E45-1+1)/2))*Q$2), 0)+IF(IF(time+1&gt;=R$2, $K45/time_cap/(time+1)*Q$2, 0) = 0, $K45/(time_cap),0)),0)</f>
        <v/>
      </c>
      <c r="R45" s="4395">
        <f>IFERROR(IF((time+time_cap)&lt;R$2, 0,IF(AND(time+1&gt;=S$2, $E45&lt;S$2), IF($I45= "I", $J45/($F45-$E45+1), $J45/(($F45*($F45+1)/2)-(($E45-1)*($E45-1+1)/2))*R$2), 0)+IF(IF(time+1&gt;=S$2, $K45/time_cap/(time+1)*R$2, 0) = 0, $K45/(time_cap),0)),0)</f>
        <v/>
      </c>
      <c r="S45" s="4395">
        <f>IFERROR(IF((time+time_cap)&lt;S$2, 0,IF(AND(time+1&gt;=T$2, $E45&lt;T$2), IF($I45= "I", $J45/($F45-$E45+1), $J45/(($F45*($F45+1)/2)-(($E45-1)*($E45-1+1)/2))*S$2), 0)+IF(IF(time+1&gt;=T$2, $K45/time_cap/(time+1)*S$2, 0) = 0, $K45/(time_cap),0)),0)</f>
        <v/>
      </c>
      <c r="T45" s="4395">
        <f>IFERROR(IF((time+time_cap)&lt;T$2, 0,IF(AND(time+1&gt;=U$2, $E45&lt;U$2), IF($I45= "I", $J45/($F45-$E45+1), $J45/(($F45*($F45+1)/2)-(($E45-1)*($E45-1+1)/2))*T$2), 0)+IF(IF(time+1&gt;=U$2, $K45/time_cap/(time+1)*T$2, 0) = 0, $K45/(time_cap),0)),0)</f>
        <v/>
      </c>
      <c r="U45" s="4395">
        <f>IFERROR(IF((time+time_cap)&lt;U$2, 0,IF(AND(time+1&gt;=V$2, $E45&lt;V$2), IF($I45= "I", $J45/($F45-$E45+1), $J45/(($F45*($F45+1)/2)-(($E45-1)*($E45-1+1)/2))*U$2), 0)+IF(IF(time+1&gt;=V$2, $K45/time_cap/(time+1)*U$2, 0) = 0, $K45/(time_cap),0)),0)</f>
        <v/>
      </c>
      <c r="V45" s="4395">
        <f>IFERROR(IF((time+time_cap)&lt;V$2, 0,IF(AND(time+1&gt;=W$2, $E45&lt;W$2), IF($I45= "I", $J45/($F45-$E45+1), $J45/(($F45*($F45+1)/2)-(($E45-1)*($E45-1+1)/2))*V$2), 0)+IF(IF(time+1&gt;=W$2, $K45/time_cap/(time+1)*V$2, 0) = 0, $K45/(time_cap),0)),0)</f>
        <v/>
      </c>
      <c r="W45" s="4395">
        <f>IFERROR(IF((time+time_cap)&lt;W$2, 0,IF(AND(time+1&gt;=X$2, $E45&lt;X$2), IF($I45= "I", $J45/($F45-$E45+1), $J45/(($F45*($F45+1)/2)-(($E45-1)*($E45-1+1)/2))*W$2), 0)+IF(IF(time+1&gt;=X$2, $K45/time_cap/(time+1)*W$2, 0) = 0, $K45/(time_cap),0)),0)</f>
        <v/>
      </c>
      <c r="X45" s="4395">
        <f>IFERROR(IF((time+time_cap)&lt;X$2, 0,IF(AND(time+1&gt;=Y$2, $E45&lt;Y$2), IF($I45= "I", $J45/($F45-$E45+1), $J45/(($F45*($F45+1)/2)-(($E45-1)*($E45-1+1)/2))*X$2), 0)+IF(IF(time+1&gt;=Y$2, $K45/time_cap/(time+1)*X$2, 0) = 0, $K45/(time_cap),0)),0)</f>
        <v/>
      </c>
      <c r="Y45" s="4395">
        <f>IFERROR(IF((time+time_cap)&lt;Y$2, 0,IF(AND(time+1&gt;=Z$2, $E45&lt;Z$2), IF($I45= "I", $J45/($F45-$E45+1), $J45/(($F45*($F45+1)/2)-(($E45-1)*($E45-1+1)/2))*Y$2), 0)+IF(IF(time+1&gt;=Z$2, $K45/time_cap/(time+1)*Y$2, 0) = 0, $K45/(time_cap),0)),0)</f>
        <v/>
      </c>
      <c r="Z45" s="4395">
        <f>IFERROR(IF((time+time_cap)&lt;Z$2, 0,IF(AND(time+1&gt;=AA$2, $E45&lt;AA$2), IF($I45= "I", $J45/($F45-$E45+1), $J45/(($F45*($F45+1)/2)-(($E45-1)*($E45-1+1)/2))*Z$2), 0)+IF(IF(time+1&gt;=AA$2, $K45/time_cap/(time+1)*Z$2, 0) = 0, $K45/(time_cap),0)),0)</f>
        <v/>
      </c>
      <c r="AA45" s="4395">
        <f>IFERROR(IF((time+time_cap)&lt;AA$2, 0,IF(AND(time+1&gt;=AB$2, $E45&lt;AB$2), IF($I45= "I", $J45/($F45-$E45+1), $J45/(($F45*($F45+1)/2)-(($E45-1)*($E45-1+1)/2))*AA$2), 0)+IF(IF(time+1&gt;=AB$2, $K45/time_cap/(time+1)*AA$2, 0) = 0, $K45/(time_cap),0)),0)</f>
        <v/>
      </c>
      <c r="AB45" s="4395">
        <f>IFERROR(IF((time+time_cap)&lt;AB$2, 0,IF(AND(time+1&gt;=AC$2, $E45&lt;AC$2), IF($I45= "I", $J45/($F45-$E45+1), $J45/(($F45*($F45+1)/2)-(($E45-1)*($E45-1+1)/2))*AB$2), 0)+IF(IF(time+1&gt;=AC$2, $K45/time_cap/(time+1)*AB$2, 0) = 0, $K45/(time_cap),0)),0)</f>
        <v/>
      </c>
      <c r="AC45" s="4395">
        <f>IFERROR(IF((time+time_cap)&lt;AC$2, 0,IF(AND(time+1&gt;=AD$2, $E45&lt;AD$2), IF($I45= "I", $J45/($F45-$E45+1), $J45/(($F45*($F45+1)/2)-(($E45-1)*($E45-1+1)/2))*AC$2), 0)+IF(IF(time+1&gt;=AD$2, $K45/time_cap/(time+1)*AC$2, 0) = 0, $K45/(time_cap),0)),0)</f>
        <v/>
      </c>
      <c r="AD45" s="4395">
        <f>IFERROR(IF((time+time_cap)&lt;AD$2, 0,IF(AND(time+1&gt;=AE$2, $E45&lt;AE$2), IF($I45= "I", $J45/($F45-$E45+1), $J45/(($F45*($F45+1)/2)-(($E45-1)*($E45-1+1)/2))*AD$2), 0)+IF(IF(time+1&gt;=AE$2, $K45/time_cap/(time+1)*AD$2, 0) = 0, $K45/(time_cap),0)),0)</f>
        <v/>
      </c>
      <c r="AE45" s="4395">
        <f>IFERROR(IF((time+time_cap)&lt;AE$2, 0,IF(AND(time+1&gt;=AF$2, $E45&lt;AF$2), IF($I45= "I", $J45/($F45-$E45+1), $J45/(($F45*($F45+1)/2)-(($E45-1)*($E45-1+1)/2))*AE$2), 0)+IF(IF(time+1&gt;=AF$2, $K45/time_cap/(time+1)*AE$2, 0) = 0, $K45/(time_cap),0)),0)</f>
        <v/>
      </c>
      <c r="AF45" s="4395">
        <f>IFERROR(IF((time+time_cap)&lt;AF$2, 0,IF(AND(time+1&gt;=AG$2, $E45&lt;AG$2), IF($I45= "I", $J45/($F45-$E45+1), $J45/(($F45*($F45+1)/2)-(($E45-1)*($E45-1+1)/2))*AF$2), 0)+IF(IF(time+1&gt;=AG$2, $K45/time_cap/(time+1)*AF$2, 0) = 0, $K45/(time_cap),0)),0)</f>
        <v/>
      </c>
      <c r="AG45" s="4395">
        <f>IFERROR(IF((time+time_cap)&lt;AG$2, 0,IF(AND(time+1&gt;=AH$2, $E45&lt;AH$2), IF($I45= "I", $J45/($F45-$E45+1), $J45/(($F45*($F45+1)/2)-(($E45-1)*($E45-1+1)/2))*AG$2), 0)+IF(IF(time+1&gt;=AH$2, $K45/time_cap/(time+1)*AG$2, 0) = 0, $K45/(time_cap),0)),0)</f>
        <v/>
      </c>
      <c r="AH45" s="4395">
        <f>IFERROR(IF((time+time_cap)&lt;AH$2, 0,IF(AND(time+1&gt;=AI$2, $E45&lt;AI$2), IF($I45= "I", $J45/($F45-$E45+1), $J45/(($F45*($F45+1)/2)-(($E45-1)*($E45-1+1)/2))*AH$2), 0)+IF(IF(time+1&gt;=AI$2, $K45/time_cap/(time+1)*AH$2, 0) = 0, $K45/(time_cap),0)),0)</f>
        <v/>
      </c>
      <c r="AI45" s="4395">
        <f>IFERROR(IF((time+time_cap)&lt;AI$2, 0,IF(AND(time+1&gt;=AJ$2, $E45&lt;AJ$2), IF($I45= "I", $J45/($F45-$E45+1), $J45/(($F45*($F45+1)/2)-(($E45-1)*($E45-1+1)/2))*AI$2), 0)+IF(IF(time+1&gt;=AJ$2, $K45/time_cap/(time+1)*AI$2, 0) = 0, $K45/(time_cap),0)),0)</f>
        <v/>
      </c>
      <c r="AJ45" s="4395">
        <f>IFERROR(IF((time+time_cap)&lt;AJ$2, 0,IF(AND(time+1&gt;=AK$2, $E45&lt;AK$2), IF($I45= "I", $J45/($F45-$E45+1), $J45/(($F45*($F45+1)/2)-(($E45-1)*($E45-1+1)/2))*AJ$2), 0)+IF(IF(time+1&gt;=AK$2, $K45/time_cap/(time+1)*AJ$2, 0) = 0, $K45/(time_cap),0)),0)</f>
        <v/>
      </c>
      <c r="AK45" s="4395">
        <f>IFERROR(IF((time+time_cap)&lt;AK$2, 0,IF(AND(time+1&gt;=AL$2, $E45&lt;AL$2), IF($I45= "I", $J45/($F45-$E45+1), $J45/(($F45*($F45+1)/2)-(($E45-1)*($E45-1+1)/2))*AK$2), 0)+IF(IF(time+1&gt;=AL$2, $K45/time_cap/(time+1)*AK$2, 0) = 0, $K45/(time_cap),0)),0)</f>
        <v/>
      </c>
      <c r="AL45" s="4395">
        <f>IFERROR(IF((time+time_cap)&lt;AL$2, 0,IF(AND(time+1&gt;=AM$2, $E45&lt;AM$2), IF($I45= "I", $J45/($F45-$E45+1), $J45/(($F45*($F45+1)/2)-(($E45-1)*($E45-1+1)/2))*AL$2), 0)+IF(IF(time+1&gt;=AM$2, $K45/time_cap/(time+1)*AL$2, 0) = 0, $K45/(time_cap),0)),0)</f>
        <v/>
      </c>
      <c r="AM45" s="4395">
        <f>IFERROR(IF((time+time_cap)&lt;AM$2, 0,IF(AND(time+1&gt;=AN$2, $E45&lt;AN$2), IF($I45= "I", $J45/($F45-$E45+1), $J45/(($F45*($F45+1)/2)-(($E45-1)*($E45-1+1)/2))*AM$2), 0)+IF(IF(time+1&gt;=AN$2, $K45/time_cap/(time+1)*AM$2, 0) = 0, $K45/(time_cap),0)),0)</f>
        <v/>
      </c>
      <c r="AN45" s="4395">
        <f>IFERROR(IF((time+time_cap)&lt;AN$2, 0,IF(AND(time+1&gt;=AO$2, $E45&lt;AO$2), IF($I45= "I", $J45/($F45-$E45+1), $J45/(($F45*($F45+1)/2)-(($E45-1)*($E45-1+1)/2))*AN$2), 0)+IF(IF(time+1&gt;=AO$2, $K45/time_cap/(time+1)*AN$2, 0) = 0, $K45/(time_cap),0)),0)</f>
        <v/>
      </c>
      <c r="AO45" s="4395">
        <f>IFERROR(IF((time+time_cap)&lt;AO$2, 0,IF(AND(time+1&gt;=AP$2, $E45&lt;AP$2), IF($I45= "I", $J45/($F45-$E45+1), $J45/(($F45*($F45+1)/2)-(($E45-1)*($E45-1+1)/2))*AO$2), 0)+IF(IF(time+1&gt;=AP$2, $K45/time_cap/(time+1)*AO$2, 0) = 0, $K45/(time_cap),0)),0)</f>
        <v/>
      </c>
      <c r="AP45" s="4395">
        <f>IFERROR(IF((time+time_cap)&lt;AP$2, 0,IF(AND(time+1&gt;=AQ$2, $E45&lt;AQ$2), IF($I45= "I", $J45/($F45-$E45+1), $J45/(($F45*($F45+1)/2)-(($E45-1)*($E45-1+1)/2))*AP$2), 0)+IF(IF(time+1&gt;=AQ$2, $K45/time_cap/(time+1)*AP$2, 0) = 0, $K45/(time_cap),0)),0)</f>
        <v/>
      </c>
      <c r="AQ45" s="4395">
        <f>IFERROR(IF((time+time_cap)&lt;AQ$2, 0,IF(AND(time+1&gt;=AR$2, $E45&lt;AR$2), IF($I45= "I", $J45/($F45-$E45+1), $J45/(($F45*($F45+1)/2)-(($E45-1)*($E45-1+1)/2))*AQ$2), 0)+IF(IF(time+1&gt;=AR$2, $K45/time_cap/(time+1)*AQ$2, 0) = 0, $K45/(time_cap),0)),0)</f>
        <v/>
      </c>
      <c r="AR45" s="4395">
        <f>IFERROR(IF((time+time_cap)&lt;AR$2, 0,IF(AND(time+1&gt;=AS$2, $E45&lt;AS$2), IF($I45= "I", $J45/($F45-$E45+1), $J45/(($F45*($F45+1)/2)-(($E45-1)*($E45-1+1)/2))*AR$2), 0)+IF(IF(time+1&gt;=AS$2, $K45/time_cap/(time+1)*AR$2, 0) = 0, $K45/(time_cap),0)),0)</f>
        <v/>
      </c>
      <c r="AS45" s="4395">
        <f>IFERROR(IF((time+time_cap)&lt;AS$2, 0,IF(AND(time+1&gt;=AT$2, $E45&lt;AT$2), IF($I45= "I", $J45/($F45-$E45+1), $J45/(($F45*($F45+1)/2)-(($E45-1)*($E45-1+1)/2))*AS$2), 0)+IF(IF(time+1&gt;=AT$2, $K45/time_cap/(time+1)*AS$2, 0) = 0, $K45/(time_cap),0)),0)</f>
        <v/>
      </c>
      <c r="AT45" s="4395">
        <f>IFERROR(IF((time+time_cap)&lt;AT$2, 0,IF(AND(time+1&gt;=AU$2, $E45&lt;AU$2), IF($I45= "I", $J45/($F45-$E45+1), $J45/(($F45*($F45+1)/2)-(($E45-1)*($E45-1+1)/2))*AT$2), 0)+IF(IF(time+1&gt;=AU$2, $K45/time_cap/(time+1)*AT$2, 0) = 0, $K45/(time_cap),0)),0)</f>
        <v/>
      </c>
      <c r="AU45" s="4395">
        <f>IFERROR(IF((time+time_cap)&lt;AU$2, 0,IF(AND(time+1&gt;=AV$2, $E45&lt;AV$2), IF($I45= "I", $J45/($F45-$E45+1), $J45/(($F45*($F45+1)/2)-(($E45-1)*($E45-1+1)/2))*AU$2), 0)+IF(IF(time+1&gt;=AV$2, $K45/time_cap/(time+1)*AU$2, 0) = 0, $K45/(time_cap),0)),0)</f>
        <v/>
      </c>
      <c r="AV45" s="4395">
        <f>IFERROR(IF((time+time_cap)&lt;AV$2, 0,IF(AND(time+1&gt;=AW$2, $E45&lt;AW$2), IF($I45= "I", $J45/($F45-$E45+1), $J45/(($F45*($F45+1)/2)-(($E45-1)*($E45-1+1)/2))*AV$2), 0)+IF(IF(time+1&gt;=AW$2, $K45/time_cap/(time+1)*AV$2, 0) = 0, $K45/(time_cap),0)),0)</f>
        <v/>
      </c>
      <c r="AW45" s="4395">
        <f>IFERROR(IF((time+time_cap)&lt;AW$2, 0,IF(AND(time+1&gt;=AX$2, $E45&lt;AX$2), IF($I45= "I", $J45/($F45-$E45+1), $J45/(($F45*($F45+1)/2)-(($E45-1)*($E45-1+1)/2))*AW$2), 0)+IF(IF(time+1&gt;=AX$2, $K45/time_cap/(time+1)*AW$2, 0) = 0, $K45/(time_cap),0)),0)</f>
        <v/>
      </c>
      <c r="AX45" s="4395">
        <f>IFERROR(IF((time+time_cap)&lt;AX$2, 0,IF(AND(time+1&gt;=AY$2, $E45&lt;AY$2), IF($I45= "I", $J45/($F45-$E45+1), $J45/(($F45*($F45+1)/2)-(($E45-1)*($E45-1+1)/2))*AX$2), 0)+IF(IF(time+1&gt;=AY$2, $K45/time_cap/(time+1)*AX$2, 0) = 0, $K45/(time_cap),0)),0)</f>
        <v/>
      </c>
      <c r="AY45" s="4395">
        <f>IFERROR(IF((time+time_cap)&lt;AY$2, 0,IF(AND(time+1&gt;=AZ$2, $E45&lt;AZ$2), IF($I45= "I", $J45/($F45-$E45+1), $J45/(($F45*($F45+1)/2)-(($E45-1)*($E45-1+1)/2))*AY$2), 0)+IF(IF(time+1&gt;=AZ$2, $K45/time_cap/(time+1)*AY$2, 0) = 0, $K45/(time_cap),0)),0)</f>
        <v/>
      </c>
      <c r="AZ45" s="4395">
        <f>IFERROR(IF((time+time_cap)&lt;AZ$2, 0,IF(AND(time+1&gt;=BA$2, $E45&lt;BA$2), IF($I45= "I", $J45/($F45-$E45+1), $J45/(($F45*($F45+1)/2)-(($E45-1)*($E45-1+1)/2))*AZ$2), 0)+IF(IF(time+1&gt;=BA$2, $K45/time_cap/(time+1)*AZ$2, 0) = 0, $K45/(time_cap),0)),0)</f>
        <v/>
      </c>
      <c r="BA45" s="4395">
        <f>IFERROR(IF((time+time_cap)&lt;BA$2, 0,IF(AND(time+1&gt;=BB$2, $E45&lt;BB$2), IF($I45= "I", $J45/($F45-$E45+1), $J45/(($F45*($F45+1)/2)-(($E45-1)*($E45-1+1)/2))*BA$2), 0)+IF(IF(time+1&gt;=BB$2, $K45/time_cap/(time+1)*BA$2, 0) = 0, $K45/(time_cap),0)),0)</f>
        <v/>
      </c>
      <c r="BB45" s="4395">
        <f>IFERROR(IF((time+time_cap)&lt;BB$2, 0,IF(AND(time+1&gt;=BC$2, $E45&lt;BC$2), IF($I45= "I", $J45/($F45-$E45+1), $J45/(($F45*($F45+1)/2)-(($E45-1)*($E45-1+1)/2))*BB$2), 0)+IF(IF(time+1&gt;=BC$2, $K45/time_cap/(time+1)*BB$2, 0) = 0, $K45/(time_cap),0)),0)</f>
        <v/>
      </c>
      <c r="BC45" s="4395">
        <f>IFERROR(IF((time+time_cap)&lt;BC$2, 0,IF(AND(time+1&gt;=BD$2, $E45&lt;BD$2), IF($I45= "I", $J45/($F45-$E45+1), $J45/(($F45*($F45+1)/2)-(($E45-1)*($E45-1+1)/2))*BC$2), 0)+IF(IF(time+1&gt;=BD$2, $K45/time_cap/(time+1)*BC$2, 0) = 0, $K45/(time_cap),0)),0)</f>
        <v/>
      </c>
      <c r="BD45" s="4395">
        <f>IFERROR(IF((time+time_cap)&lt;BD$2, 0,IF(AND(time+1&gt;=BE$2, $E45&lt;BE$2), IF($I45= "I", $J45/($F45-$E45+1), $J45/(($F45*($F45+1)/2)-(($E45-1)*($E45-1+1)/2))*BD$2), 0)+IF(IF(time+1&gt;=BE$2, $K45/time_cap/(time+1)*BD$2, 0) = 0, $K45/(time_cap),0)),0)</f>
        <v/>
      </c>
      <c r="BE45" s="4395">
        <f>IFERROR(IF((time+time_cap)&lt;BE$2, 0,IF(AND(time+1&gt;=BF$2, $E45&lt;BF$2), IF($I45= "I", $J45/($F45-$E45+1), $J45/(($F45*($F45+1)/2)-(($E45-1)*($E45-1+1)/2))*BE$2), 0)+IF(IF(time+1&gt;=BF$2, $K45/time_cap/(time+1)*BE$2, 0) = 0, $K45/(time_cap),0)),0)</f>
        <v/>
      </c>
      <c r="BF45" s="4395">
        <f>IFERROR(IF((time+time_cap)&lt;BF$2, 0,IF(AND(time+1&gt;=BG$2, $E45&lt;BG$2), IF($I45= "I", $J45/($F45-$E45+1), $J45/(($F45*($F45+1)/2)-(($E45-1)*($E45-1+1)/2))*BF$2), 0)+IF(IF(time+1&gt;=BG$2, $K45/time_cap/(time+1)*BF$2, 0) = 0, $K45/(time_cap),0)),0)</f>
        <v/>
      </c>
      <c r="BG45" s="4395">
        <f>IFERROR(IF((time+time_cap)&lt;BG$2, 0,IF(AND(time+1&gt;=BH$2, $E45&lt;BH$2), IF($I45= "I", $J45/($F45-$E45+1), $J45/(($F45*($F45+1)/2)-(($E45-1)*($E45-1+1)/2))*BG$2), 0)+IF(IF(time+1&gt;=BH$2, $K45/time_cap/(time+1)*BG$2, 0) = 0, $K45/(time_cap),0)),0)</f>
        <v/>
      </c>
      <c r="BH45" s="4395">
        <f>IFERROR(IF((time+time_cap)&lt;BH$2, 0,IF(AND(time+1&gt;=BI$2, $E45&lt;BI$2), IF($I45= "I", $J45/($F45-$E45+1), $J45/(($F45*($F45+1)/2)-(($E45-1)*($E45-1+1)/2))*BH$2), 0)+IF(IF(time+1&gt;=BI$2, $K45/time_cap/(time+1)*BH$2, 0) = 0, $K45/(time_cap),0)),0)</f>
        <v/>
      </c>
      <c r="BI45" s="4395">
        <f>IFERROR(IF((time+time_cap)&lt;BI$2, 0,IF(AND(time+1&gt;=BJ$2, $E45&lt;BJ$2), IF($I45= "I", $J45/($F45-$E45+1), $J45/(($F45*($F45+1)/2)-(($E45-1)*($E45-1+1)/2))*BI$2), 0)+IF(IF(time+1&gt;=BJ$2, $K45/time_cap/(time+1)*BI$2, 0) = 0, $K45/(time_cap),0)),0)</f>
        <v/>
      </c>
      <c r="BJ45" s="4395">
        <f>IFERROR(IF((time+time_cap)&lt;BJ$2, 0,IF(AND(time+1&gt;=BK$2, $E45&lt;BK$2), IF($I45= "I", $J45/($F45-$E45+1), $J45/(($F45*($F45+1)/2)-(($E45-1)*($E45-1+1)/2))*BJ$2), 0)+IF(IF(time+1&gt;=BK$2, $K45/time_cap/(time+1)*BJ$2, 0) = 0, $K45/(time_cap),0)),0)</f>
        <v/>
      </c>
      <c r="BK45" s="4395" t="n"/>
      <c r="BL45" s="4395" t="n"/>
      <c r="BM45" s="4395" t="n"/>
      <c r="BN45" s="4395" t="n"/>
      <c r="BO45" s="4395" t="n"/>
      <c r="BP45" s="4395" t="n"/>
      <c r="BQ45" s="4395" t="n"/>
      <c r="BR45" s="4395" t="n"/>
      <c r="BS45" s="4395" t="n"/>
      <c r="BT45" s="4395" t="n"/>
      <c r="BU45" s="4395" t="n"/>
      <c r="BV45" s="4395" t="n"/>
      <c r="BW45" s="4395" t="n"/>
      <c r="BX45" s="4395" t="n"/>
      <c r="BY45" s="4395" t="n"/>
      <c r="BZ45" s="4395" t="n"/>
      <c r="CA45" s="4395" t="n"/>
      <c r="CB45" s="4395" t="n"/>
      <c r="CC45" s="4395" t="n"/>
      <c r="CD45" s="4395" t="n"/>
      <c r="CE45" s="4395" t="n"/>
      <c r="CF45" s="4395" t="n"/>
      <c r="CG45" s="4395" t="n"/>
      <c r="CH45" s="4395" t="n"/>
      <c r="CI45" s="4395" t="n"/>
      <c r="CJ45" s="4395" t="n"/>
      <c r="CK45" s="4395" t="n"/>
      <c r="CL45" s="4395" t="n"/>
      <c r="CM45" s="4395" t="n"/>
      <c r="CN45" s="4395" t="n"/>
      <c r="CO45" s="4395" t="n"/>
      <c r="CP45" s="4395" t="n"/>
      <c r="CQ45" s="4395" t="n"/>
      <c r="CR45" s="4395" t="n"/>
      <c r="CS45" s="4395" t="n"/>
      <c r="CT45" s="4395" t="n"/>
      <c r="CU45" s="4395" t="n"/>
      <c r="CV45" s="4395" t="n"/>
      <c r="CW45" s="4395" t="n"/>
      <c r="CX45" s="4395" t="n"/>
      <c r="CY45" s="4395" t="n"/>
      <c r="CZ45" s="4395" t="n"/>
      <c r="DA45" s="4395" t="n"/>
      <c r="DB45" s="4395" t="n"/>
      <c r="DC45" s="4395" t="n"/>
      <c r="DD45" s="4395" t="n"/>
      <c r="DE45" s="4395" t="n"/>
      <c r="DF45" s="4395" t="n"/>
      <c r="DG45" s="4395" t="n"/>
      <c r="DH45" s="4395" t="n"/>
    </row>
    <row r="46" ht="16" customHeight="1">
      <c r="A46" t="inlineStr">
        <is>
          <t>Annuals</t>
        </is>
      </c>
      <c r="B46">
        <f>'3.Cropland'!C30</f>
        <v/>
      </c>
      <c r="C46">
        <f>'3.Cropland'!E30</f>
        <v/>
      </c>
      <c r="D46">
        <f>'3.Cropland'!Z30</f>
        <v/>
      </c>
      <c r="E46">
        <f>IF('3.Cropland'!BP30&lt;&gt;0,'3.Cropland'!BP30, '3.Cropland'!BO30)</f>
        <v/>
      </c>
      <c r="F46">
        <f>time</f>
        <v/>
      </c>
      <c r="G46" s="4395">
        <f>'3.Cropland'!S30</f>
        <v/>
      </c>
      <c r="H46" s="4395">
        <f>'3.Cropland'!U30</f>
        <v/>
      </c>
      <c r="I46" s="4395">
        <f>IF(OR(H46="I", G46="I"), "I", IF(OR(H46="E", G46="E"), "E", "D"))</f>
        <v/>
      </c>
      <c r="J46" s="4395">
        <f>((D46/(time_cap+((F46-E46+1)*VLOOKUP(I46,list!$I$48:$K$50,3, FALSE))))*(F46-E46+1)*VLOOKUP(I46,list!$I$48:$K$50,3, FALSE))</f>
        <v/>
      </c>
      <c r="K46" s="4395">
        <f>((D46/(time_cap+((F46-E46+1)*VLOOKUP(I46,list!$I$48:$K$50,3, FALSE))))*time_cap)</f>
        <v/>
      </c>
      <c r="M46" s="4395">
        <f>IFERROR(IF((time+time_cap)&lt;M$2, 0,IF(AND(time+1&gt;=N$2, $E46&lt;N$2), IF($I46= "I", $J46/($F46-$E46+1), $J46/(($F46*($F46+1)/2)-(($E46-1)*($E46-1+1)/2))*M$2), 0)+IF(IF(time+1&gt;=N$2, $K46/time_cap/(time+1)*M$2, 0) = 0, $K46/(time_cap),0)),0)</f>
        <v/>
      </c>
      <c r="N46" s="4395">
        <f>IFERROR(IF((time+time_cap)&lt;N$2, 0,IF(AND(time+1&gt;=O$2, $E46&lt;O$2), IF($I46= "I", $J46/($F46-$E46+1), $J46/(($F46*($F46+1)/2)-(($E46-1)*($E46-1+1)/2))*N$2), 0)+IF(IF(time+1&gt;=O$2, $K46/time_cap/(time+1)*N$2, 0) = 0, $K46/(time_cap),0)),0)</f>
        <v/>
      </c>
      <c r="O46" s="4395">
        <f>IFERROR(IF((time+time_cap)&lt;O$2, 0,IF(AND(time+1&gt;=P$2, $E46&lt;P$2), IF($I46= "I", $J46/($F46-$E46+1), $J46/(($F46*($F46+1)/2)-(($E46-1)*($E46-1+1)/2))*O$2), 0)+IF(IF(time+1&gt;=P$2, $K46/time_cap/(time+1)*O$2, 0) = 0, $K46/(time_cap),0)),0)</f>
        <v/>
      </c>
      <c r="P46" s="4395">
        <f>IFERROR(IF((time+time_cap)&lt;P$2, 0,IF(AND(time+1&gt;=Q$2, $E46&lt;Q$2), IF($I46= "I", $J46/($F46-$E46+1), $J46/(($F46*($F46+1)/2)-(($E46-1)*($E46-1+1)/2))*P$2), 0)+IF(IF(time+1&gt;=Q$2, $K46/time_cap/(time+1)*P$2, 0) = 0, $K46/(time_cap),0)),0)</f>
        <v/>
      </c>
      <c r="Q46" s="4395">
        <f>IFERROR(IF((time+time_cap)&lt;Q$2, 0,IF(AND(time+1&gt;=R$2, $E46&lt;R$2), IF($I46= "I", $J46/($F46-$E46+1), $J46/(($F46*($F46+1)/2)-(($E46-1)*($E46-1+1)/2))*Q$2), 0)+IF(IF(time+1&gt;=R$2, $K46/time_cap/(time+1)*Q$2, 0) = 0, $K46/(time_cap),0)),0)</f>
        <v/>
      </c>
      <c r="R46" s="4395">
        <f>IFERROR(IF((time+time_cap)&lt;R$2, 0,IF(AND(time+1&gt;=S$2, $E46&lt;S$2), IF($I46= "I", $J46/($F46-$E46+1), $J46/(($F46*($F46+1)/2)-(($E46-1)*($E46-1+1)/2))*R$2), 0)+IF(IF(time+1&gt;=S$2, $K46/time_cap/(time+1)*R$2, 0) = 0, $K46/(time_cap),0)),0)</f>
        <v/>
      </c>
      <c r="S46" s="4395">
        <f>IFERROR(IF((time+time_cap)&lt;S$2, 0,IF(AND(time+1&gt;=T$2, $E46&lt;T$2), IF($I46= "I", $J46/($F46-$E46+1), $J46/(($F46*($F46+1)/2)-(($E46-1)*($E46-1+1)/2))*S$2), 0)+IF(IF(time+1&gt;=T$2, $K46/time_cap/(time+1)*S$2, 0) = 0, $K46/(time_cap),0)),0)</f>
        <v/>
      </c>
      <c r="T46" s="4395">
        <f>IFERROR(IF((time+time_cap)&lt;T$2, 0,IF(AND(time+1&gt;=U$2, $E46&lt;U$2), IF($I46= "I", $J46/($F46-$E46+1), $J46/(($F46*($F46+1)/2)-(($E46-1)*($E46-1+1)/2))*T$2), 0)+IF(IF(time+1&gt;=U$2, $K46/time_cap/(time+1)*T$2, 0) = 0, $K46/(time_cap),0)),0)</f>
        <v/>
      </c>
      <c r="U46" s="4395">
        <f>IFERROR(IF((time+time_cap)&lt;U$2, 0,IF(AND(time+1&gt;=V$2, $E46&lt;V$2), IF($I46= "I", $J46/($F46-$E46+1), $J46/(($F46*($F46+1)/2)-(($E46-1)*($E46-1+1)/2))*U$2), 0)+IF(IF(time+1&gt;=V$2, $K46/time_cap/(time+1)*U$2, 0) = 0, $K46/(time_cap),0)),0)</f>
        <v/>
      </c>
      <c r="V46" s="4395">
        <f>IFERROR(IF((time+time_cap)&lt;V$2, 0,IF(AND(time+1&gt;=W$2, $E46&lt;W$2), IF($I46= "I", $J46/($F46-$E46+1), $J46/(($F46*($F46+1)/2)-(($E46-1)*($E46-1+1)/2))*V$2), 0)+IF(IF(time+1&gt;=W$2, $K46/time_cap/(time+1)*V$2, 0) = 0, $K46/(time_cap),0)),0)</f>
        <v/>
      </c>
      <c r="W46" s="4395">
        <f>IFERROR(IF((time+time_cap)&lt;W$2, 0,IF(AND(time+1&gt;=X$2, $E46&lt;X$2), IF($I46= "I", $J46/($F46-$E46+1), $J46/(($F46*($F46+1)/2)-(($E46-1)*($E46-1+1)/2))*W$2), 0)+IF(IF(time+1&gt;=X$2, $K46/time_cap/(time+1)*W$2, 0) = 0, $K46/(time_cap),0)),0)</f>
        <v/>
      </c>
      <c r="X46" s="4395">
        <f>IFERROR(IF((time+time_cap)&lt;X$2, 0,IF(AND(time+1&gt;=Y$2, $E46&lt;Y$2), IF($I46= "I", $J46/($F46-$E46+1), $J46/(($F46*($F46+1)/2)-(($E46-1)*($E46-1+1)/2))*X$2), 0)+IF(IF(time+1&gt;=Y$2, $K46/time_cap/(time+1)*X$2, 0) = 0, $K46/(time_cap),0)),0)</f>
        <v/>
      </c>
      <c r="Y46" s="4395">
        <f>IFERROR(IF((time+time_cap)&lt;Y$2, 0,IF(AND(time+1&gt;=Z$2, $E46&lt;Z$2), IF($I46= "I", $J46/($F46-$E46+1), $J46/(($F46*($F46+1)/2)-(($E46-1)*($E46-1+1)/2))*Y$2), 0)+IF(IF(time+1&gt;=Z$2, $K46/time_cap/(time+1)*Y$2, 0) = 0, $K46/(time_cap),0)),0)</f>
        <v/>
      </c>
      <c r="Z46" s="4395">
        <f>IFERROR(IF((time+time_cap)&lt;Z$2, 0,IF(AND(time+1&gt;=AA$2, $E46&lt;AA$2), IF($I46= "I", $J46/($F46-$E46+1), $J46/(($F46*($F46+1)/2)-(($E46-1)*($E46-1+1)/2))*Z$2), 0)+IF(IF(time+1&gt;=AA$2, $K46/time_cap/(time+1)*Z$2, 0) = 0, $K46/(time_cap),0)),0)</f>
        <v/>
      </c>
      <c r="AA46" s="4395">
        <f>IFERROR(IF((time+time_cap)&lt;AA$2, 0,IF(AND(time+1&gt;=AB$2, $E46&lt;AB$2), IF($I46= "I", $J46/($F46-$E46+1), $J46/(($F46*($F46+1)/2)-(($E46-1)*($E46-1+1)/2))*AA$2), 0)+IF(IF(time+1&gt;=AB$2, $K46/time_cap/(time+1)*AA$2, 0) = 0, $K46/(time_cap),0)),0)</f>
        <v/>
      </c>
      <c r="AB46" s="4395">
        <f>IFERROR(IF((time+time_cap)&lt;AB$2, 0,IF(AND(time+1&gt;=AC$2, $E46&lt;AC$2), IF($I46= "I", $J46/($F46-$E46+1), $J46/(($F46*($F46+1)/2)-(($E46-1)*($E46-1+1)/2))*AB$2), 0)+IF(IF(time+1&gt;=AC$2, $K46/time_cap/(time+1)*AB$2, 0) = 0, $K46/(time_cap),0)),0)</f>
        <v/>
      </c>
      <c r="AC46" s="4395">
        <f>IFERROR(IF((time+time_cap)&lt;AC$2, 0,IF(AND(time+1&gt;=AD$2, $E46&lt;AD$2), IF($I46= "I", $J46/($F46-$E46+1), $J46/(($F46*($F46+1)/2)-(($E46-1)*($E46-1+1)/2))*AC$2), 0)+IF(IF(time+1&gt;=AD$2, $K46/time_cap/(time+1)*AC$2, 0) = 0, $K46/(time_cap),0)),0)</f>
        <v/>
      </c>
      <c r="AD46" s="4395">
        <f>IFERROR(IF((time+time_cap)&lt;AD$2, 0,IF(AND(time+1&gt;=AE$2, $E46&lt;AE$2), IF($I46= "I", $J46/($F46-$E46+1), $J46/(($F46*($F46+1)/2)-(($E46-1)*($E46-1+1)/2))*AD$2), 0)+IF(IF(time+1&gt;=AE$2, $K46/time_cap/(time+1)*AD$2, 0) = 0, $K46/(time_cap),0)),0)</f>
        <v/>
      </c>
      <c r="AE46" s="4395">
        <f>IFERROR(IF((time+time_cap)&lt;AE$2, 0,IF(AND(time+1&gt;=AF$2, $E46&lt;AF$2), IF($I46= "I", $J46/($F46-$E46+1), $J46/(($F46*($F46+1)/2)-(($E46-1)*($E46-1+1)/2))*AE$2), 0)+IF(IF(time+1&gt;=AF$2, $K46/time_cap/(time+1)*AE$2, 0) = 0, $K46/(time_cap),0)),0)</f>
        <v/>
      </c>
      <c r="AF46" s="4395">
        <f>IFERROR(IF((time+time_cap)&lt;AF$2, 0,IF(AND(time+1&gt;=AG$2, $E46&lt;AG$2), IF($I46= "I", $J46/($F46-$E46+1), $J46/(($F46*($F46+1)/2)-(($E46-1)*($E46-1+1)/2))*AF$2), 0)+IF(IF(time+1&gt;=AG$2, $K46/time_cap/(time+1)*AF$2, 0) = 0, $K46/(time_cap),0)),0)</f>
        <v/>
      </c>
      <c r="AG46" s="4395">
        <f>IFERROR(IF((time+time_cap)&lt;AG$2, 0,IF(AND(time+1&gt;=AH$2, $E46&lt;AH$2), IF($I46= "I", $J46/($F46-$E46+1), $J46/(($F46*($F46+1)/2)-(($E46-1)*($E46-1+1)/2))*AG$2), 0)+IF(IF(time+1&gt;=AH$2, $K46/time_cap/(time+1)*AG$2, 0) = 0, $K46/(time_cap),0)),0)</f>
        <v/>
      </c>
      <c r="AH46" s="4395">
        <f>IFERROR(IF((time+time_cap)&lt;AH$2, 0,IF(AND(time+1&gt;=AI$2, $E46&lt;AI$2), IF($I46= "I", $J46/($F46-$E46+1), $J46/(($F46*($F46+1)/2)-(($E46-1)*($E46-1+1)/2))*AH$2), 0)+IF(IF(time+1&gt;=AI$2, $K46/time_cap/(time+1)*AH$2, 0) = 0, $K46/(time_cap),0)),0)</f>
        <v/>
      </c>
      <c r="AI46" s="4395">
        <f>IFERROR(IF((time+time_cap)&lt;AI$2, 0,IF(AND(time+1&gt;=AJ$2, $E46&lt;AJ$2), IF($I46= "I", $J46/($F46-$E46+1), $J46/(($F46*($F46+1)/2)-(($E46-1)*($E46-1+1)/2))*AI$2), 0)+IF(IF(time+1&gt;=AJ$2, $K46/time_cap/(time+1)*AI$2, 0) = 0, $K46/(time_cap),0)),0)</f>
        <v/>
      </c>
      <c r="AJ46" s="4395">
        <f>IFERROR(IF((time+time_cap)&lt;AJ$2, 0,IF(AND(time+1&gt;=AK$2, $E46&lt;AK$2), IF($I46= "I", $J46/($F46-$E46+1), $J46/(($F46*($F46+1)/2)-(($E46-1)*($E46-1+1)/2))*AJ$2), 0)+IF(IF(time+1&gt;=AK$2, $K46/time_cap/(time+1)*AJ$2, 0) = 0, $K46/(time_cap),0)),0)</f>
        <v/>
      </c>
      <c r="AK46" s="4395">
        <f>IFERROR(IF((time+time_cap)&lt;AK$2, 0,IF(AND(time+1&gt;=AL$2, $E46&lt;AL$2), IF($I46= "I", $J46/($F46-$E46+1), $J46/(($F46*($F46+1)/2)-(($E46-1)*($E46-1+1)/2))*AK$2), 0)+IF(IF(time+1&gt;=AL$2, $K46/time_cap/(time+1)*AK$2, 0) = 0, $K46/(time_cap),0)),0)</f>
        <v/>
      </c>
      <c r="AL46" s="4395">
        <f>IFERROR(IF((time+time_cap)&lt;AL$2, 0,IF(AND(time+1&gt;=AM$2, $E46&lt;AM$2), IF($I46= "I", $J46/($F46-$E46+1), $J46/(($F46*($F46+1)/2)-(($E46-1)*($E46-1+1)/2))*AL$2), 0)+IF(IF(time+1&gt;=AM$2, $K46/time_cap/(time+1)*AL$2, 0) = 0, $K46/(time_cap),0)),0)</f>
        <v/>
      </c>
      <c r="AM46" s="4395">
        <f>IFERROR(IF((time+time_cap)&lt;AM$2, 0,IF(AND(time+1&gt;=AN$2, $E46&lt;AN$2), IF($I46= "I", $J46/($F46-$E46+1), $J46/(($F46*($F46+1)/2)-(($E46-1)*($E46-1+1)/2))*AM$2), 0)+IF(IF(time+1&gt;=AN$2, $K46/time_cap/(time+1)*AM$2, 0) = 0, $K46/(time_cap),0)),0)</f>
        <v/>
      </c>
      <c r="AN46" s="4395">
        <f>IFERROR(IF((time+time_cap)&lt;AN$2, 0,IF(AND(time+1&gt;=AO$2, $E46&lt;AO$2), IF($I46= "I", $J46/($F46-$E46+1), $J46/(($F46*($F46+1)/2)-(($E46-1)*($E46-1+1)/2))*AN$2), 0)+IF(IF(time+1&gt;=AO$2, $K46/time_cap/(time+1)*AN$2, 0) = 0, $K46/(time_cap),0)),0)</f>
        <v/>
      </c>
      <c r="AO46" s="4395">
        <f>IFERROR(IF((time+time_cap)&lt;AO$2, 0,IF(AND(time+1&gt;=AP$2, $E46&lt;AP$2), IF($I46= "I", $J46/($F46-$E46+1), $J46/(($F46*($F46+1)/2)-(($E46-1)*($E46-1+1)/2))*AO$2), 0)+IF(IF(time+1&gt;=AP$2, $K46/time_cap/(time+1)*AO$2, 0) = 0, $K46/(time_cap),0)),0)</f>
        <v/>
      </c>
      <c r="AP46" s="4395">
        <f>IFERROR(IF((time+time_cap)&lt;AP$2, 0,IF(AND(time+1&gt;=AQ$2, $E46&lt;AQ$2), IF($I46= "I", $J46/($F46-$E46+1), $J46/(($F46*($F46+1)/2)-(($E46-1)*($E46-1+1)/2))*AP$2), 0)+IF(IF(time+1&gt;=AQ$2, $K46/time_cap/(time+1)*AP$2, 0) = 0, $K46/(time_cap),0)),0)</f>
        <v/>
      </c>
      <c r="AQ46" s="4395">
        <f>IFERROR(IF((time+time_cap)&lt;AQ$2, 0,IF(AND(time+1&gt;=AR$2, $E46&lt;AR$2), IF($I46= "I", $J46/($F46-$E46+1), $J46/(($F46*($F46+1)/2)-(($E46-1)*($E46-1+1)/2))*AQ$2), 0)+IF(IF(time+1&gt;=AR$2, $K46/time_cap/(time+1)*AQ$2, 0) = 0, $K46/(time_cap),0)),0)</f>
        <v/>
      </c>
      <c r="AR46" s="4395">
        <f>IFERROR(IF((time+time_cap)&lt;AR$2, 0,IF(AND(time+1&gt;=AS$2, $E46&lt;AS$2), IF($I46= "I", $J46/($F46-$E46+1), $J46/(($F46*($F46+1)/2)-(($E46-1)*($E46-1+1)/2))*AR$2), 0)+IF(IF(time+1&gt;=AS$2, $K46/time_cap/(time+1)*AR$2, 0) = 0, $K46/(time_cap),0)),0)</f>
        <v/>
      </c>
      <c r="AS46" s="4395">
        <f>IFERROR(IF((time+time_cap)&lt;AS$2, 0,IF(AND(time+1&gt;=AT$2, $E46&lt;AT$2), IF($I46= "I", $J46/($F46-$E46+1), $J46/(($F46*($F46+1)/2)-(($E46-1)*($E46-1+1)/2))*AS$2), 0)+IF(IF(time+1&gt;=AT$2, $K46/time_cap/(time+1)*AS$2, 0) = 0, $K46/(time_cap),0)),0)</f>
        <v/>
      </c>
      <c r="AT46" s="4395">
        <f>IFERROR(IF((time+time_cap)&lt;AT$2, 0,IF(AND(time+1&gt;=AU$2, $E46&lt;AU$2), IF($I46= "I", $J46/($F46-$E46+1), $J46/(($F46*($F46+1)/2)-(($E46-1)*($E46-1+1)/2))*AT$2), 0)+IF(IF(time+1&gt;=AU$2, $K46/time_cap/(time+1)*AT$2, 0) = 0, $K46/(time_cap),0)),0)</f>
        <v/>
      </c>
      <c r="AU46" s="4395">
        <f>IFERROR(IF((time+time_cap)&lt;AU$2, 0,IF(AND(time+1&gt;=AV$2, $E46&lt;AV$2), IF($I46= "I", $J46/($F46-$E46+1), $J46/(($F46*($F46+1)/2)-(($E46-1)*($E46-1+1)/2))*AU$2), 0)+IF(IF(time+1&gt;=AV$2, $K46/time_cap/(time+1)*AU$2, 0) = 0, $K46/(time_cap),0)),0)</f>
        <v/>
      </c>
      <c r="AV46" s="4395">
        <f>IFERROR(IF((time+time_cap)&lt;AV$2, 0,IF(AND(time+1&gt;=AW$2, $E46&lt;AW$2), IF($I46= "I", $J46/($F46-$E46+1), $J46/(($F46*($F46+1)/2)-(($E46-1)*($E46-1+1)/2))*AV$2), 0)+IF(IF(time+1&gt;=AW$2, $K46/time_cap/(time+1)*AV$2, 0) = 0, $K46/(time_cap),0)),0)</f>
        <v/>
      </c>
      <c r="AW46" s="4395">
        <f>IFERROR(IF((time+time_cap)&lt;AW$2, 0,IF(AND(time+1&gt;=AX$2, $E46&lt;AX$2), IF($I46= "I", $J46/($F46-$E46+1), $J46/(($F46*($F46+1)/2)-(($E46-1)*($E46-1+1)/2))*AW$2), 0)+IF(IF(time+1&gt;=AX$2, $K46/time_cap/(time+1)*AW$2, 0) = 0, $K46/(time_cap),0)),0)</f>
        <v/>
      </c>
      <c r="AX46" s="4395">
        <f>IFERROR(IF((time+time_cap)&lt;AX$2, 0,IF(AND(time+1&gt;=AY$2, $E46&lt;AY$2), IF($I46= "I", $J46/($F46-$E46+1), $J46/(($F46*($F46+1)/2)-(($E46-1)*($E46-1+1)/2))*AX$2), 0)+IF(IF(time+1&gt;=AY$2, $K46/time_cap/(time+1)*AX$2, 0) = 0, $K46/(time_cap),0)),0)</f>
        <v/>
      </c>
      <c r="AY46" s="4395">
        <f>IFERROR(IF((time+time_cap)&lt;AY$2, 0,IF(AND(time+1&gt;=AZ$2, $E46&lt;AZ$2), IF($I46= "I", $J46/($F46-$E46+1), $J46/(($F46*($F46+1)/2)-(($E46-1)*($E46-1+1)/2))*AY$2), 0)+IF(IF(time+1&gt;=AZ$2, $K46/time_cap/(time+1)*AY$2, 0) = 0, $K46/(time_cap),0)),0)</f>
        <v/>
      </c>
      <c r="AZ46" s="4395">
        <f>IFERROR(IF((time+time_cap)&lt;AZ$2, 0,IF(AND(time+1&gt;=BA$2, $E46&lt;BA$2), IF($I46= "I", $J46/($F46-$E46+1), $J46/(($F46*($F46+1)/2)-(($E46-1)*($E46-1+1)/2))*AZ$2), 0)+IF(IF(time+1&gt;=BA$2, $K46/time_cap/(time+1)*AZ$2, 0) = 0, $K46/(time_cap),0)),0)</f>
        <v/>
      </c>
      <c r="BA46" s="4395">
        <f>IFERROR(IF((time+time_cap)&lt;BA$2, 0,IF(AND(time+1&gt;=BB$2, $E46&lt;BB$2), IF($I46= "I", $J46/($F46-$E46+1), $J46/(($F46*($F46+1)/2)-(($E46-1)*($E46-1+1)/2))*BA$2), 0)+IF(IF(time+1&gt;=BB$2, $K46/time_cap/(time+1)*BA$2, 0) = 0, $K46/(time_cap),0)),0)</f>
        <v/>
      </c>
      <c r="BB46" s="4395">
        <f>IFERROR(IF((time+time_cap)&lt;BB$2, 0,IF(AND(time+1&gt;=BC$2, $E46&lt;BC$2), IF($I46= "I", $J46/($F46-$E46+1), $J46/(($F46*($F46+1)/2)-(($E46-1)*($E46-1+1)/2))*BB$2), 0)+IF(IF(time+1&gt;=BC$2, $K46/time_cap/(time+1)*BB$2, 0) = 0, $K46/(time_cap),0)),0)</f>
        <v/>
      </c>
      <c r="BC46" s="4395">
        <f>IFERROR(IF((time+time_cap)&lt;BC$2, 0,IF(AND(time+1&gt;=BD$2, $E46&lt;BD$2), IF($I46= "I", $J46/($F46-$E46+1), $J46/(($F46*($F46+1)/2)-(($E46-1)*($E46-1+1)/2))*BC$2), 0)+IF(IF(time+1&gt;=BD$2, $K46/time_cap/(time+1)*BC$2, 0) = 0, $K46/(time_cap),0)),0)</f>
        <v/>
      </c>
      <c r="BD46" s="4395">
        <f>IFERROR(IF((time+time_cap)&lt;BD$2, 0,IF(AND(time+1&gt;=BE$2, $E46&lt;BE$2), IF($I46= "I", $J46/($F46-$E46+1), $J46/(($F46*($F46+1)/2)-(($E46-1)*($E46-1+1)/2))*BD$2), 0)+IF(IF(time+1&gt;=BE$2, $K46/time_cap/(time+1)*BD$2, 0) = 0, $K46/(time_cap),0)),0)</f>
        <v/>
      </c>
      <c r="BE46" s="4395">
        <f>IFERROR(IF((time+time_cap)&lt;BE$2, 0,IF(AND(time+1&gt;=BF$2, $E46&lt;BF$2), IF($I46= "I", $J46/($F46-$E46+1), $J46/(($F46*($F46+1)/2)-(($E46-1)*($E46-1+1)/2))*BE$2), 0)+IF(IF(time+1&gt;=BF$2, $K46/time_cap/(time+1)*BE$2, 0) = 0, $K46/(time_cap),0)),0)</f>
        <v/>
      </c>
      <c r="BF46" s="4395">
        <f>IFERROR(IF((time+time_cap)&lt;BF$2, 0,IF(AND(time+1&gt;=BG$2, $E46&lt;BG$2), IF($I46= "I", $J46/($F46-$E46+1), $J46/(($F46*($F46+1)/2)-(($E46-1)*($E46-1+1)/2))*BF$2), 0)+IF(IF(time+1&gt;=BG$2, $K46/time_cap/(time+1)*BF$2, 0) = 0, $K46/(time_cap),0)),0)</f>
        <v/>
      </c>
      <c r="BG46" s="4395">
        <f>IFERROR(IF((time+time_cap)&lt;BG$2, 0,IF(AND(time+1&gt;=BH$2, $E46&lt;BH$2), IF($I46= "I", $J46/($F46-$E46+1), $J46/(($F46*($F46+1)/2)-(($E46-1)*($E46-1+1)/2))*BG$2), 0)+IF(IF(time+1&gt;=BH$2, $K46/time_cap/(time+1)*BG$2, 0) = 0, $K46/(time_cap),0)),0)</f>
        <v/>
      </c>
      <c r="BH46" s="4395">
        <f>IFERROR(IF((time+time_cap)&lt;BH$2, 0,IF(AND(time+1&gt;=BI$2, $E46&lt;BI$2), IF($I46= "I", $J46/($F46-$E46+1), $J46/(($F46*($F46+1)/2)-(($E46-1)*($E46-1+1)/2))*BH$2), 0)+IF(IF(time+1&gt;=BI$2, $K46/time_cap/(time+1)*BH$2, 0) = 0, $K46/(time_cap),0)),0)</f>
        <v/>
      </c>
      <c r="BI46" s="4395">
        <f>IFERROR(IF((time+time_cap)&lt;BI$2, 0,IF(AND(time+1&gt;=BJ$2, $E46&lt;BJ$2), IF($I46= "I", $J46/($F46-$E46+1), $J46/(($F46*($F46+1)/2)-(($E46-1)*($E46-1+1)/2))*BI$2), 0)+IF(IF(time+1&gt;=BJ$2, $K46/time_cap/(time+1)*BI$2, 0) = 0, $K46/(time_cap),0)),0)</f>
        <v/>
      </c>
      <c r="BJ46" s="4395">
        <f>IFERROR(IF((time+time_cap)&lt;BJ$2, 0,IF(AND(time+1&gt;=BK$2, $E46&lt;BK$2), IF($I46= "I", $J46/($F46-$E46+1), $J46/(($F46*($F46+1)/2)-(($E46-1)*($E46-1+1)/2))*BJ$2), 0)+IF(IF(time+1&gt;=BK$2, $K46/time_cap/(time+1)*BJ$2, 0) = 0, $K46/(time_cap),0)),0)</f>
        <v/>
      </c>
      <c r="BK46" s="4395" t="n"/>
      <c r="BL46" s="4395" t="n"/>
      <c r="BM46" s="4395" t="n"/>
      <c r="BN46" s="4395" t="n"/>
      <c r="BO46" s="4395" t="n"/>
      <c r="BP46" s="4395" t="n"/>
      <c r="BQ46" s="4395" t="n"/>
      <c r="BR46" s="4395" t="n"/>
      <c r="BS46" s="4395" t="n"/>
      <c r="BT46" s="4395" t="n"/>
      <c r="BU46" s="4395" t="n"/>
      <c r="BV46" s="4395" t="n"/>
      <c r="BW46" s="4395" t="n"/>
      <c r="BX46" s="4395" t="n"/>
      <c r="BY46" s="4395" t="n"/>
      <c r="BZ46" s="4395" t="n"/>
      <c r="CA46" s="4395" t="n"/>
      <c r="CB46" s="4395" t="n"/>
      <c r="CC46" s="4395" t="n"/>
      <c r="CD46" s="4395" t="n"/>
      <c r="CE46" s="4395" t="n"/>
      <c r="CF46" s="4395" t="n"/>
      <c r="CG46" s="4395" t="n"/>
      <c r="CH46" s="4395" t="n"/>
      <c r="CI46" s="4395" t="n"/>
      <c r="CJ46" s="4395" t="n"/>
      <c r="CK46" s="4395" t="n"/>
      <c r="CL46" s="4395" t="n"/>
      <c r="CM46" s="4395" t="n"/>
      <c r="CN46" s="4395" t="n"/>
      <c r="CO46" s="4395" t="n"/>
      <c r="CP46" s="4395" t="n"/>
      <c r="CQ46" s="4395" t="n"/>
      <c r="CR46" s="4395" t="n"/>
      <c r="CS46" s="4395" t="n"/>
      <c r="CT46" s="4395" t="n"/>
      <c r="CU46" s="4395" t="n"/>
      <c r="CV46" s="4395" t="n"/>
      <c r="CW46" s="4395" t="n"/>
      <c r="CX46" s="4395" t="n"/>
      <c r="CY46" s="4395" t="n"/>
      <c r="CZ46" s="4395" t="n"/>
      <c r="DA46" s="4395" t="n"/>
      <c r="DB46" s="4395" t="n"/>
      <c r="DC46" s="4395" t="n"/>
      <c r="DD46" s="4395" t="n"/>
      <c r="DE46" s="4395" t="n"/>
      <c r="DF46" s="4395" t="n"/>
      <c r="DG46" s="4395" t="n"/>
      <c r="DH46" s="4395" t="n"/>
    </row>
    <row r="47" ht="16" customHeight="1">
      <c r="A47" t="inlineStr">
        <is>
          <t>Annuals</t>
        </is>
      </c>
      <c r="B47">
        <f>'3.Cropland'!C31</f>
        <v/>
      </c>
      <c r="C47">
        <f>'3.Cropland'!E31</f>
        <v/>
      </c>
      <c r="D47">
        <f>'3.Cropland'!Z31</f>
        <v/>
      </c>
      <c r="E47">
        <f>IF('3.Cropland'!BP31&lt;&gt;0,'3.Cropland'!BP31, '3.Cropland'!BO31)</f>
        <v/>
      </c>
      <c r="F47">
        <f>time</f>
        <v/>
      </c>
      <c r="G47" s="4395">
        <f>'3.Cropland'!S31</f>
        <v/>
      </c>
      <c r="H47" s="4395">
        <f>'3.Cropland'!U31</f>
        <v/>
      </c>
      <c r="I47" s="4395">
        <f>IF(OR(H47="I", G47="I"), "I", IF(OR(H47="E", G47="E"), "E", "D"))</f>
        <v/>
      </c>
      <c r="J47" s="4395">
        <f>((D47/(time_cap+((F47-E47+1)*VLOOKUP(I47,list!$I$48:$K$50,3, FALSE))))*(F47-E47+1)*VLOOKUP(I47,list!$I$48:$K$50,3, FALSE))</f>
        <v/>
      </c>
      <c r="K47" s="4395">
        <f>((D47/(time_cap+((F47-E47+1)*VLOOKUP(I47,list!$I$48:$K$50,3, FALSE))))*time_cap)</f>
        <v/>
      </c>
      <c r="M47" s="4395">
        <f>IFERROR(IF((time+time_cap)&lt;M$2, 0,IF(AND(time+1&gt;=N$2, $E47&lt;N$2), IF($I47= "I", $J47/($F47-$E47+1), $J47/(($F47*($F47+1)/2)-(($E47-1)*($E47-1+1)/2))*M$2), 0)+IF(IF(time+1&gt;=N$2, $K47/time_cap/(time+1)*M$2, 0) = 0, $K47/(time_cap),0)),0)</f>
        <v/>
      </c>
      <c r="N47" s="4395">
        <f>IFERROR(IF((time+time_cap)&lt;N$2, 0,IF(AND(time+1&gt;=O$2, $E47&lt;O$2), IF($I47= "I", $J47/($F47-$E47+1), $J47/(($F47*($F47+1)/2)-(($E47-1)*($E47-1+1)/2))*N$2), 0)+IF(IF(time+1&gt;=O$2, $K47/time_cap/(time+1)*N$2, 0) = 0, $K47/(time_cap),0)),0)</f>
        <v/>
      </c>
      <c r="O47" s="4395">
        <f>IFERROR(IF((time+time_cap)&lt;O$2, 0,IF(AND(time+1&gt;=P$2, $E47&lt;P$2), IF($I47= "I", $J47/($F47-$E47+1), $J47/(($F47*($F47+1)/2)-(($E47-1)*($E47-1+1)/2))*O$2), 0)+IF(IF(time+1&gt;=P$2, $K47/time_cap/(time+1)*O$2, 0) = 0, $K47/(time_cap),0)),0)</f>
        <v/>
      </c>
      <c r="P47" s="4395">
        <f>IFERROR(IF((time+time_cap)&lt;P$2, 0,IF(AND(time+1&gt;=Q$2, $E47&lt;Q$2), IF($I47= "I", $J47/($F47-$E47+1), $J47/(($F47*($F47+1)/2)-(($E47-1)*($E47-1+1)/2))*P$2), 0)+IF(IF(time+1&gt;=Q$2, $K47/time_cap/(time+1)*P$2, 0) = 0, $K47/(time_cap),0)),0)</f>
        <v/>
      </c>
      <c r="Q47" s="4395">
        <f>IFERROR(IF((time+time_cap)&lt;Q$2, 0,IF(AND(time+1&gt;=R$2, $E47&lt;R$2), IF($I47= "I", $J47/($F47-$E47+1), $J47/(($F47*($F47+1)/2)-(($E47-1)*($E47-1+1)/2))*Q$2), 0)+IF(IF(time+1&gt;=R$2, $K47/time_cap/(time+1)*Q$2, 0) = 0, $K47/(time_cap),0)),0)</f>
        <v/>
      </c>
      <c r="R47" s="4395">
        <f>IFERROR(IF((time+time_cap)&lt;R$2, 0,IF(AND(time+1&gt;=S$2, $E47&lt;S$2), IF($I47= "I", $J47/($F47-$E47+1), $J47/(($F47*($F47+1)/2)-(($E47-1)*($E47-1+1)/2))*R$2), 0)+IF(IF(time+1&gt;=S$2, $K47/time_cap/(time+1)*R$2, 0) = 0, $K47/(time_cap),0)),0)</f>
        <v/>
      </c>
      <c r="S47" s="4395">
        <f>IFERROR(IF((time+time_cap)&lt;S$2, 0,IF(AND(time+1&gt;=T$2, $E47&lt;T$2), IF($I47= "I", $J47/($F47-$E47+1), $J47/(($F47*($F47+1)/2)-(($E47-1)*($E47-1+1)/2))*S$2), 0)+IF(IF(time+1&gt;=T$2, $K47/time_cap/(time+1)*S$2, 0) = 0, $K47/(time_cap),0)),0)</f>
        <v/>
      </c>
      <c r="T47" s="4395">
        <f>IFERROR(IF((time+time_cap)&lt;T$2, 0,IF(AND(time+1&gt;=U$2, $E47&lt;U$2), IF($I47= "I", $J47/($F47-$E47+1), $J47/(($F47*($F47+1)/2)-(($E47-1)*($E47-1+1)/2))*T$2), 0)+IF(IF(time+1&gt;=U$2, $K47/time_cap/(time+1)*T$2, 0) = 0, $K47/(time_cap),0)),0)</f>
        <v/>
      </c>
      <c r="U47" s="4395">
        <f>IFERROR(IF((time+time_cap)&lt;U$2, 0,IF(AND(time+1&gt;=V$2, $E47&lt;V$2), IF($I47= "I", $J47/($F47-$E47+1), $J47/(($F47*($F47+1)/2)-(($E47-1)*($E47-1+1)/2))*U$2), 0)+IF(IF(time+1&gt;=V$2, $K47/time_cap/(time+1)*U$2, 0) = 0, $K47/(time_cap),0)),0)</f>
        <v/>
      </c>
      <c r="V47" s="4395">
        <f>IFERROR(IF((time+time_cap)&lt;V$2, 0,IF(AND(time+1&gt;=W$2, $E47&lt;W$2), IF($I47= "I", $J47/($F47-$E47+1), $J47/(($F47*($F47+1)/2)-(($E47-1)*($E47-1+1)/2))*V$2), 0)+IF(IF(time+1&gt;=W$2, $K47/time_cap/(time+1)*V$2, 0) = 0, $K47/(time_cap),0)),0)</f>
        <v/>
      </c>
      <c r="W47" s="4395">
        <f>IFERROR(IF((time+time_cap)&lt;W$2, 0,IF(AND(time+1&gt;=X$2, $E47&lt;X$2), IF($I47= "I", $J47/($F47-$E47+1), $J47/(($F47*($F47+1)/2)-(($E47-1)*($E47-1+1)/2))*W$2), 0)+IF(IF(time+1&gt;=X$2, $K47/time_cap/(time+1)*W$2, 0) = 0, $K47/(time_cap),0)),0)</f>
        <v/>
      </c>
      <c r="X47" s="4395">
        <f>IFERROR(IF((time+time_cap)&lt;X$2, 0,IF(AND(time+1&gt;=Y$2, $E47&lt;Y$2), IF($I47= "I", $J47/($F47-$E47+1), $J47/(($F47*($F47+1)/2)-(($E47-1)*($E47-1+1)/2))*X$2), 0)+IF(IF(time+1&gt;=Y$2, $K47/time_cap/(time+1)*X$2, 0) = 0, $K47/(time_cap),0)),0)</f>
        <v/>
      </c>
      <c r="Y47" s="4395">
        <f>IFERROR(IF((time+time_cap)&lt;Y$2, 0,IF(AND(time+1&gt;=Z$2, $E47&lt;Z$2), IF($I47= "I", $J47/($F47-$E47+1), $J47/(($F47*($F47+1)/2)-(($E47-1)*($E47-1+1)/2))*Y$2), 0)+IF(IF(time+1&gt;=Z$2, $K47/time_cap/(time+1)*Y$2, 0) = 0, $K47/(time_cap),0)),0)</f>
        <v/>
      </c>
      <c r="Z47" s="4395">
        <f>IFERROR(IF((time+time_cap)&lt;Z$2, 0,IF(AND(time+1&gt;=AA$2, $E47&lt;AA$2), IF($I47= "I", $J47/($F47-$E47+1), $J47/(($F47*($F47+1)/2)-(($E47-1)*($E47-1+1)/2))*Z$2), 0)+IF(IF(time+1&gt;=AA$2, $K47/time_cap/(time+1)*Z$2, 0) = 0, $K47/(time_cap),0)),0)</f>
        <v/>
      </c>
      <c r="AA47" s="4395">
        <f>IFERROR(IF((time+time_cap)&lt;AA$2, 0,IF(AND(time+1&gt;=AB$2, $E47&lt;AB$2), IF($I47= "I", $J47/($F47-$E47+1), $J47/(($F47*($F47+1)/2)-(($E47-1)*($E47-1+1)/2))*AA$2), 0)+IF(IF(time+1&gt;=AB$2, $K47/time_cap/(time+1)*AA$2, 0) = 0, $K47/(time_cap),0)),0)</f>
        <v/>
      </c>
      <c r="AB47" s="4395">
        <f>IFERROR(IF((time+time_cap)&lt;AB$2, 0,IF(AND(time+1&gt;=AC$2, $E47&lt;AC$2), IF($I47= "I", $J47/($F47-$E47+1), $J47/(($F47*($F47+1)/2)-(($E47-1)*($E47-1+1)/2))*AB$2), 0)+IF(IF(time+1&gt;=AC$2, $K47/time_cap/(time+1)*AB$2, 0) = 0, $K47/(time_cap),0)),0)</f>
        <v/>
      </c>
      <c r="AC47" s="4395">
        <f>IFERROR(IF((time+time_cap)&lt;AC$2, 0,IF(AND(time+1&gt;=AD$2, $E47&lt;AD$2), IF($I47= "I", $J47/($F47-$E47+1), $J47/(($F47*($F47+1)/2)-(($E47-1)*($E47-1+1)/2))*AC$2), 0)+IF(IF(time+1&gt;=AD$2, $K47/time_cap/(time+1)*AC$2, 0) = 0, $K47/(time_cap),0)),0)</f>
        <v/>
      </c>
      <c r="AD47" s="4395">
        <f>IFERROR(IF((time+time_cap)&lt;AD$2, 0,IF(AND(time+1&gt;=AE$2, $E47&lt;AE$2), IF($I47= "I", $J47/($F47-$E47+1), $J47/(($F47*($F47+1)/2)-(($E47-1)*($E47-1+1)/2))*AD$2), 0)+IF(IF(time+1&gt;=AE$2, $K47/time_cap/(time+1)*AD$2, 0) = 0, $K47/(time_cap),0)),0)</f>
        <v/>
      </c>
      <c r="AE47" s="4395">
        <f>IFERROR(IF((time+time_cap)&lt;AE$2, 0,IF(AND(time+1&gt;=AF$2, $E47&lt;AF$2), IF($I47= "I", $J47/($F47-$E47+1), $J47/(($F47*($F47+1)/2)-(($E47-1)*($E47-1+1)/2))*AE$2), 0)+IF(IF(time+1&gt;=AF$2, $K47/time_cap/(time+1)*AE$2, 0) = 0, $K47/(time_cap),0)),0)</f>
        <v/>
      </c>
      <c r="AF47" s="4395">
        <f>IFERROR(IF((time+time_cap)&lt;AF$2, 0,IF(AND(time+1&gt;=AG$2, $E47&lt;AG$2), IF($I47= "I", $J47/($F47-$E47+1), $J47/(($F47*($F47+1)/2)-(($E47-1)*($E47-1+1)/2))*AF$2), 0)+IF(IF(time+1&gt;=AG$2, $K47/time_cap/(time+1)*AF$2, 0) = 0, $K47/(time_cap),0)),0)</f>
        <v/>
      </c>
      <c r="AG47" s="4395">
        <f>IFERROR(IF((time+time_cap)&lt;AG$2, 0,IF(AND(time+1&gt;=AH$2, $E47&lt;AH$2), IF($I47= "I", $J47/($F47-$E47+1), $J47/(($F47*($F47+1)/2)-(($E47-1)*($E47-1+1)/2))*AG$2), 0)+IF(IF(time+1&gt;=AH$2, $K47/time_cap/(time+1)*AG$2, 0) = 0, $K47/(time_cap),0)),0)</f>
        <v/>
      </c>
      <c r="AH47" s="4395">
        <f>IFERROR(IF((time+time_cap)&lt;AH$2, 0,IF(AND(time+1&gt;=AI$2, $E47&lt;AI$2), IF($I47= "I", $J47/($F47-$E47+1), $J47/(($F47*($F47+1)/2)-(($E47-1)*($E47-1+1)/2))*AH$2), 0)+IF(IF(time+1&gt;=AI$2, $K47/time_cap/(time+1)*AH$2, 0) = 0, $K47/(time_cap),0)),0)</f>
        <v/>
      </c>
      <c r="AI47" s="4395">
        <f>IFERROR(IF((time+time_cap)&lt;AI$2, 0,IF(AND(time+1&gt;=AJ$2, $E47&lt;AJ$2), IF($I47= "I", $J47/($F47-$E47+1), $J47/(($F47*($F47+1)/2)-(($E47-1)*($E47-1+1)/2))*AI$2), 0)+IF(IF(time+1&gt;=AJ$2, $K47/time_cap/(time+1)*AI$2, 0) = 0, $K47/(time_cap),0)),0)</f>
        <v/>
      </c>
      <c r="AJ47" s="4395">
        <f>IFERROR(IF((time+time_cap)&lt;AJ$2, 0,IF(AND(time+1&gt;=AK$2, $E47&lt;AK$2), IF($I47= "I", $J47/($F47-$E47+1), $J47/(($F47*($F47+1)/2)-(($E47-1)*($E47-1+1)/2))*AJ$2), 0)+IF(IF(time+1&gt;=AK$2, $K47/time_cap/(time+1)*AJ$2, 0) = 0, $K47/(time_cap),0)),0)</f>
        <v/>
      </c>
      <c r="AK47" s="4395">
        <f>IFERROR(IF((time+time_cap)&lt;AK$2, 0,IF(AND(time+1&gt;=AL$2, $E47&lt;AL$2), IF($I47= "I", $J47/($F47-$E47+1), $J47/(($F47*($F47+1)/2)-(($E47-1)*($E47-1+1)/2))*AK$2), 0)+IF(IF(time+1&gt;=AL$2, $K47/time_cap/(time+1)*AK$2, 0) = 0, $K47/(time_cap),0)),0)</f>
        <v/>
      </c>
      <c r="AL47" s="4395">
        <f>IFERROR(IF((time+time_cap)&lt;AL$2, 0,IF(AND(time+1&gt;=AM$2, $E47&lt;AM$2), IF($I47= "I", $J47/($F47-$E47+1), $J47/(($F47*($F47+1)/2)-(($E47-1)*($E47-1+1)/2))*AL$2), 0)+IF(IF(time+1&gt;=AM$2, $K47/time_cap/(time+1)*AL$2, 0) = 0, $K47/(time_cap),0)),0)</f>
        <v/>
      </c>
      <c r="AM47" s="4395">
        <f>IFERROR(IF((time+time_cap)&lt;AM$2, 0,IF(AND(time+1&gt;=AN$2, $E47&lt;AN$2), IF($I47= "I", $J47/($F47-$E47+1), $J47/(($F47*($F47+1)/2)-(($E47-1)*($E47-1+1)/2))*AM$2), 0)+IF(IF(time+1&gt;=AN$2, $K47/time_cap/(time+1)*AM$2, 0) = 0, $K47/(time_cap),0)),0)</f>
        <v/>
      </c>
      <c r="AN47" s="4395">
        <f>IFERROR(IF((time+time_cap)&lt;AN$2, 0,IF(AND(time+1&gt;=AO$2, $E47&lt;AO$2), IF($I47= "I", $J47/($F47-$E47+1), $J47/(($F47*($F47+1)/2)-(($E47-1)*($E47-1+1)/2))*AN$2), 0)+IF(IF(time+1&gt;=AO$2, $K47/time_cap/(time+1)*AN$2, 0) = 0, $K47/(time_cap),0)),0)</f>
        <v/>
      </c>
      <c r="AO47" s="4395">
        <f>IFERROR(IF((time+time_cap)&lt;AO$2, 0,IF(AND(time+1&gt;=AP$2, $E47&lt;AP$2), IF($I47= "I", $J47/($F47-$E47+1), $J47/(($F47*($F47+1)/2)-(($E47-1)*($E47-1+1)/2))*AO$2), 0)+IF(IF(time+1&gt;=AP$2, $K47/time_cap/(time+1)*AO$2, 0) = 0, $K47/(time_cap),0)),0)</f>
        <v/>
      </c>
      <c r="AP47" s="4395">
        <f>IFERROR(IF((time+time_cap)&lt;AP$2, 0,IF(AND(time+1&gt;=AQ$2, $E47&lt;AQ$2), IF($I47= "I", $J47/($F47-$E47+1), $J47/(($F47*($F47+1)/2)-(($E47-1)*($E47-1+1)/2))*AP$2), 0)+IF(IF(time+1&gt;=AQ$2, $K47/time_cap/(time+1)*AP$2, 0) = 0, $K47/(time_cap),0)),0)</f>
        <v/>
      </c>
      <c r="AQ47" s="4395">
        <f>IFERROR(IF((time+time_cap)&lt;AQ$2, 0,IF(AND(time+1&gt;=AR$2, $E47&lt;AR$2), IF($I47= "I", $J47/($F47-$E47+1), $J47/(($F47*($F47+1)/2)-(($E47-1)*($E47-1+1)/2))*AQ$2), 0)+IF(IF(time+1&gt;=AR$2, $K47/time_cap/(time+1)*AQ$2, 0) = 0, $K47/(time_cap),0)),0)</f>
        <v/>
      </c>
      <c r="AR47" s="4395">
        <f>IFERROR(IF((time+time_cap)&lt;AR$2, 0,IF(AND(time+1&gt;=AS$2, $E47&lt;AS$2), IF($I47= "I", $J47/($F47-$E47+1), $J47/(($F47*($F47+1)/2)-(($E47-1)*($E47-1+1)/2))*AR$2), 0)+IF(IF(time+1&gt;=AS$2, $K47/time_cap/(time+1)*AR$2, 0) = 0, $K47/(time_cap),0)),0)</f>
        <v/>
      </c>
      <c r="AS47" s="4395">
        <f>IFERROR(IF((time+time_cap)&lt;AS$2, 0,IF(AND(time+1&gt;=AT$2, $E47&lt;AT$2), IF($I47= "I", $J47/($F47-$E47+1), $J47/(($F47*($F47+1)/2)-(($E47-1)*($E47-1+1)/2))*AS$2), 0)+IF(IF(time+1&gt;=AT$2, $K47/time_cap/(time+1)*AS$2, 0) = 0, $K47/(time_cap),0)),0)</f>
        <v/>
      </c>
      <c r="AT47" s="4395">
        <f>IFERROR(IF((time+time_cap)&lt;AT$2, 0,IF(AND(time+1&gt;=AU$2, $E47&lt;AU$2), IF($I47= "I", $J47/($F47-$E47+1), $J47/(($F47*($F47+1)/2)-(($E47-1)*($E47-1+1)/2))*AT$2), 0)+IF(IF(time+1&gt;=AU$2, $K47/time_cap/(time+1)*AT$2, 0) = 0, $K47/(time_cap),0)),0)</f>
        <v/>
      </c>
      <c r="AU47" s="4395">
        <f>IFERROR(IF((time+time_cap)&lt;AU$2, 0,IF(AND(time+1&gt;=AV$2, $E47&lt;AV$2), IF($I47= "I", $J47/($F47-$E47+1), $J47/(($F47*($F47+1)/2)-(($E47-1)*($E47-1+1)/2))*AU$2), 0)+IF(IF(time+1&gt;=AV$2, $K47/time_cap/(time+1)*AU$2, 0) = 0, $K47/(time_cap),0)),0)</f>
        <v/>
      </c>
      <c r="AV47" s="4395">
        <f>IFERROR(IF((time+time_cap)&lt;AV$2, 0,IF(AND(time+1&gt;=AW$2, $E47&lt;AW$2), IF($I47= "I", $J47/($F47-$E47+1), $J47/(($F47*($F47+1)/2)-(($E47-1)*($E47-1+1)/2))*AV$2), 0)+IF(IF(time+1&gt;=AW$2, $K47/time_cap/(time+1)*AV$2, 0) = 0, $K47/(time_cap),0)),0)</f>
        <v/>
      </c>
      <c r="AW47" s="4395">
        <f>IFERROR(IF((time+time_cap)&lt;AW$2, 0,IF(AND(time+1&gt;=AX$2, $E47&lt;AX$2), IF($I47= "I", $J47/($F47-$E47+1), $J47/(($F47*($F47+1)/2)-(($E47-1)*($E47-1+1)/2))*AW$2), 0)+IF(IF(time+1&gt;=AX$2, $K47/time_cap/(time+1)*AW$2, 0) = 0, $K47/(time_cap),0)),0)</f>
        <v/>
      </c>
      <c r="AX47" s="4395">
        <f>IFERROR(IF((time+time_cap)&lt;AX$2, 0,IF(AND(time+1&gt;=AY$2, $E47&lt;AY$2), IF($I47= "I", $J47/($F47-$E47+1), $J47/(($F47*($F47+1)/2)-(($E47-1)*($E47-1+1)/2))*AX$2), 0)+IF(IF(time+1&gt;=AY$2, $K47/time_cap/(time+1)*AX$2, 0) = 0, $K47/(time_cap),0)),0)</f>
        <v/>
      </c>
      <c r="AY47" s="4395">
        <f>IFERROR(IF((time+time_cap)&lt;AY$2, 0,IF(AND(time+1&gt;=AZ$2, $E47&lt;AZ$2), IF($I47= "I", $J47/($F47-$E47+1), $J47/(($F47*($F47+1)/2)-(($E47-1)*($E47-1+1)/2))*AY$2), 0)+IF(IF(time+1&gt;=AZ$2, $K47/time_cap/(time+1)*AY$2, 0) = 0, $K47/(time_cap),0)),0)</f>
        <v/>
      </c>
      <c r="AZ47" s="4395">
        <f>IFERROR(IF((time+time_cap)&lt;AZ$2, 0,IF(AND(time+1&gt;=BA$2, $E47&lt;BA$2), IF($I47= "I", $J47/($F47-$E47+1), $J47/(($F47*($F47+1)/2)-(($E47-1)*($E47-1+1)/2))*AZ$2), 0)+IF(IF(time+1&gt;=BA$2, $K47/time_cap/(time+1)*AZ$2, 0) = 0, $K47/(time_cap),0)),0)</f>
        <v/>
      </c>
      <c r="BA47" s="4395">
        <f>IFERROR(IF((time+time_cap)&lt;BA$2, 0,IF(AND(time+1&gt;=BB$2, $E47&lt;BB$2), IF($I47= "I", $J47/($F47-$E47+1), $J47/(($F47*($F47+1)/2)-(($E47-1)*($E47-1+1)/2))*BA$2), 0)+IF(IF(time+1&gt;=BB$2, $K47/time_cap/(time+1)*BA$2, 0) = 0, $K47/(time_cap),0)),0)</f>
        <v/>
      </c>
      <c r="BB47" s="4395">
        <f>IFERROR(IF((time+time_cap)&lt;BB$2, 0,IF(AND(time+1&gt;=BC$2, $E47&lt;BC$2), IF($I47= "I", $J47/($F47-$E47+1), $J47/(($F47*($F47+1)/2)-(($E47-1)*($E47-1+1)/2))*BB$2), 0)+IF(IF(time+1&gt;=BC$2, $K47/time_cap/(time+1)*BB$2, 0) = 0, $K47/(time_cap),0)),0)</f>
        <v/>
      </c>
      <c r="BC47" s="4395">
        <f>IFERROR(IF((time+time_cap)&lt;BC$2, 0,IF(AND(time+1&gt;=BD$2, $E47&lt;BD$2), IF($I47= "I", $J47/($F47-$E47+1), $J47/(($F47*($F47+1)/2)-(($E47-1)*($E47-1+1)/2))*BC$2), 0)+IF(IF(time+1&gt;=BD$2, $K47/time_cap/(time+1)*BC$2, 0) = 0, $K47/(time_cap),0)),0)</f>
        <v/>
      </c>
      <c r="BD47" s="4395">
        <f>IFERROR(IF((time+time_cap)&lt;BD$2, 0,IF(AND(time+1&gt;=BE$2, $E47&lt;BE$2), IF($I47= "I", $J47/($F47-$E47+1), $J47/(($F47*($F47+1)/2)-(($E47-1)*($E47-1+1)/2))*BD$2), 0)+IF(IF(time+1&gt;=BE$2, $K47/time_cap/(time+1)*BD$2, 0) = 0, $K47/(time_cap),0)),0)</f>
        <v/>
      </c>
      <c r="BE47" s="4395">
        <f>IFERROR(IF((time+time_cap)&lt;BE$2, 0,IF(AND(time+1&gt;=BF$2, $E47&lt;BF$2), IF($I47= "I", $J47/($F47-$E47+1), $J47/(($F47*($F47+1)/2)-(($E47-1)*($E47-1+1)/2))*BE$2), 0)+IF(IF(time+1&gt;=BF$2, $K47/time_cap/(time+1)*BE$2, 0) = 0, $K47/(time_cap),0)),0)</f>
        <v/>
      </c>
      <c r="BF47" s="4395">
        <f>IFERROR(IF((time+time_cap)&lt;BF$2, 0,IF(AND(time+1&gt;=BG$2, $E47&lt;BG$2), IF($I47= "I", $J47/($F47-$E47+1), $J47/(($F47*($F47+1)/2)-(($E47-1)*($E47-1+1)/2))*BF$2), 0)+IF(IF(time+1&gt;=BG$2, $K47/time_cap/(time+1)*BF$2, 0) = 0, $K47/(time_cap),0)),0)</f>
        <v/>
      </c>
      <c r="BG47" s="4395">
        <f>IFERROR(IF((time+time_cap)&lt;BG$2, 0,IF(AND(time+1&gt;=BH$2, $E47&lt;BH$2), IF($I47= "I", $J47/($F47-$E47+1), $J47/(($F47*($F47+1)/2)-(($E47-1)*($E47-1+1)/2))*BG$2), 0)+IF(IF(time+1&gt;=BH$2, $K47/time_cap/(time+1)*BG$2, 0) = 0, $K47/(time_cap),0)),0)</f>
        <v/>
      </c>
      <c r="BH47" s="4395">
        <f>IFERROR(IF((time+time_cap)&lt;BH$2, 0,IF(AND(time+1&gt;=BI$2, $E47&lt;BI$2), IF($I47= "I", $J47/($F47-$E47+1), $J47/(($F47*($F47+1)/2)-(($E47-1)*($E47-1+1)/2))*BH$2), 0)+IF(IF(time+1&gt;=BI$2, $K47/time_cap/(time+1)*BH$2, 0) = 0, $K47/(time_cap),0)),0)</f>
        <v/>
      </c>
      <c r="BI47" s="4395">
        <f>IFERROR(IF((time+time_cap)&lt;BI$2, 0,IF(AND(time+1&gt;=BJ$2, $E47&lt;BJ$2), IF($I47= "I", $J47/($F47-$E47+1), $J47/(($F47*($F47+1)/2)-(($E47-1)*($E47-1+1)/2))*BI$2), 0)+IF(IF(time+1&gt;=BJ$2, $K47/time_cap/(time+1)*BI$2, 0) = 0, $K47/(time_cap),0)),0)</f>
        <v/>
      </c>
      <c r="BJ47" s="4395">
        <f>IFERROR(IF((time+time_cap)&lt;BJ$2, 0,IF(AND(time+1&gt;=BK$2, $E47&lt;BK$2), IF($I47= "I", $J47/($F47-$E47+1), $J47/(($F47*($F47+1)/2)-(($E47-1)*($E47-1+1)/2))*BJ$2), 0)+IF(IF(time+1&gt;=BK$2, $K47/time_cap/(time+1)*BJ$2, 0) = 0, $K47/(time_cap),0)),0)</f>
        <v/>
      </c>
      <c r="BK47" s="4395" t="n"/>
      <c r="BL47" s="4395" t="n"/>
      <c r="BM47" s="4395" t="n"/>
      <c r="BN47" s="4395" t="n"/>
      <c r="BO47" s="4395" t="n"/>
      <c r="BP47" s="4395" t="n"/>
      <c r="BQ47" s="4395" t="n"/>
      <c r="BR47" s="4395" t="n"/>
      <c r="BS47" s="4395" t="n"/>
      <c r="BT47" s="4395" t="n"/>
      <c r="BU47" s="4395" t="n"/>
      <c r="BV47" s="4395" t="n"/>
      <c r="BW47" s="4395" t="n"/>
      <c r="BX47" s="4395" t="n"/>
      <c r="BY47" s="4395" t="n"/>
      <c r="BZ47" s="4395" t="n"/>
      <c r="CA47" s="4395" t="n"/>
      <c r="CB47" s="4395" t="n"/>
      <c r="CC47" s="4395" t="n"/>
      <c r="CD47" s="4395" t="n"/>
      <c r="CE47" s="4395" t="n"/>
      <c r="CF47" s="4395" t="n"/>
      <c r="CG47" s="4395" t="n"/>
      <c r="CH47" s="4395" t="n"/>
      <c r="CI47" s="4395" t="n"/>
      <c r="CJ47" s="4395" t="n"/>
      <c r="CK47" s="4395" t="n"/>
      <c r="CL47" s="4395" t="n"/>
      <c r="CM47" s="4395" t="n"/>
      <c r="CN47" s="4395" t="n"/>
      <c r="CO47" s="4395" t="n"/>
      <c r="CP47" s="4395" t="n"/>
      <c r="CQ47" s="4395" t="n"/>
      <c r="CR47" s="4395" t="n"/>
      <c r="CS47" s="4395" t="n"/>
      <c r="CT47" s="4395" t="n"/>
      <c r="CU47" s="4395" t="n"/>
      <c r="CV47" s="4395" t="n"/>
      <c r="CW47" s="4395" t="n"/>
      <c r="CX47" s="4395" t="n"/>
      <c r="CY47" s="4395" t="n"/>
      <c r="CZ47" s="4395" t="n"/>
      <c r="DA47" s="4395" t="n"/>
      <c r="DB47" s="4395" t="n"/>
      <c r="DC47" s="4395" t="n"/>
      <c r="DD47" s="4395" t="n"/>
      <c r="DE47" s="4395" t="n"/>
      <c r="DF47" s="4395" t="n"/>
      <c r="DG47" s="4395" t="n"/>
      <c r="DH47" s="4395" t="n"/>
    </row>
    <row r="48" ht="16" customHeight="1">
      <c r="A48" t="inlineStr">
        <is>
          <t>Annuals</t>
        </is>
      </c>
      <c r="B48">
        <f>'3.Cropland'!C32</f>
        <v/>
      </c>
      <c r="C48">
        <f>'3.Cropland'!E32</f>
        <v/>
      </c>
      <c r="D48">
        <f>'3.Cropland'!Z32</f>
        <v/>
      </c>
      <c r="E48">
        <f>IF('3.Cropland'!BP32&lt;&gt;0,'3.Cropland'!BP32, '3.Cropland'!BO32)</f>
        <v/>
      </c>
      <c r="F48">
        <f>time</f>
        <v/>
      </c>
      <c r="G48" s="4395">
        <f>'3.Cropland'!S32</f>
        <v/>
      </c>
      <c r="H48" s="4395">
        <f>'3.Cropland'!U32</f>
        <v/>
      </c>
      <c r="I48" s="4395">
        <f>IF(OR(H48="I", G48="I"), "I", IF(OR(H48="E", G48="E"), "E", "D"))</f>
        <v/>
      </c>
      <c r="J48" s="4395">
        <f>((D48/(time_cap+((F48-E48+1)*VLOOKUP(I48,list!$I$48:$K$50,3, FALSE))))*(F48-E48+1)*VLOOKUP(I48,list!$I$48:$K$50,3, FALSE))</f>
        <v/>
      </c>
      <c r="K48" s="4395">
        <f>((D48/(time_cap+((F48-E48+1)*VLOOKUP(I48,list!$I$48:$K$50,3, FALSE))))*time_cap)</f>
        <v/>
      </c>
      <c r="M48" s="4395">
        <f>IFERROR(IF((time+time_cap)&lt;M$2, 0,IF(AND(time+1&gt;=N$2, $E48&lt;N$2), IF($I48= "I", $J48/($F48-$E48+1), $J48/(($F48*($F48+1)/2)-(($E48-1)*($E48-1+1)/2))*M$2), 0)+IF(IF(time+1&gt;=N$2, $K48/time_cap/(time+1)*M$2, 0) = 0, $K48/(time_cap),0)),0)</f>
        <v/>
      </c>
      <c r="N48" s="4395">
        <f>IFERROR(IF((time+time_cap)&lt;N$2, 0,IF(AND(time+1&gt;=O$2, $E48&lt;O$2), IF($I48= "I", $J48/($F48-$E48+1), $J48/(($F48*($F48+1)/2)-(($E48-1)*($E48-1+1)/2))*N$2), 0)+IF(IF(time+1&gt;=O$2, $K48/time_cap/(time+1)*N$2, 0) = 0, $K48/(time_cap),0)),0)</f>
        <v/>
      </c>
      <c r="O48" s="4395">
        <f>IFERROR(IF((time+time_cap)&lt;O$2, 0,IF(AND(time+1&gt;=P$2, $E48&lt;P$2), IF($I48= "I", $J48/($F48-$E48+1), $J48/(($F48*($F48+1)/2)-(($E48-1)*($E48-1+1)/2))*O$2), 0)+IF(IF(time+1&gt;=P$2, $K48/time_cap/(time+1)*O$2, 0) = 0, $K48/(time_cap),0)),0)</f>
        <v/>
      </c>
      <c r="P48" s="4395">
        <f>IFERROR(IF((time+time_cap)&lt;P$2, 0,IF(AND(time+1&gt;=Q$2, $E48&lt;Q$2), IF($I48= "I", $J48/($F48-$E48+1), $J48/(($F48*($F48+1)/2)-(($E48-1)*($E48-1+1)/2))*P$2), 0)+IF(IF(time+1&gt;=Q$2, $K48/time_cap/(time+1)*P$2, 0) = 0, $K48/(time_cap),0)),0)</f>
        <v/>
      </c>
      <c r="Q48" s="4395">
        <f>IFERROR(IF((time+time_cap)&lt;Q$2, 0,IF(AND(time+1&gt;=R$2, $E48&lt;R$2), IF($I48= "I", $J48/($F48-$E48+1), $J48/(($F48*($F48+1)/2)-(($E48-1)*($E48-1+1)/2))*Q$2), 0)+IF(IF(time+1&gt;=R$2, $K48/time_cap/(time+1)*Q$2, 0) = 0, $K48/(time_cap),0)),0)</f>
        <v/>
      </c>
      <c r="R48" s="4395">
        <f>IFERROR(IF((time+time_cap)&lt;R$2, 0,IF(AND(time+1&gt;=S$2, $E48&lt;S$2), IF($I48= "I", $J48/($F48-$E48+1), $J48/(($F48*($F48+1)/2)-(($E48-1)*($E48-1+1)/2))*R$2), 0)+IF(IF(time+1&gt;=S$2, $K48/time_cap/(time+1)*R$2, 0) = 0, $K48/(time_cap),0)),0)</f>
        <v/>
      </c>
      <c r="S48" s="4395">
        <f>IFERROR(IF((time+time_cap)&lt;S$2, 0,IF(AND(time+1&gt;=T$2, $E48&lt;T$2), IF($I48= "I", $J48/($F48-$E48+1), $J48/(($F48*($F48+1)/2)-(($E48-1)*($E48-1+1)/2))*S$2), 0)+IF(IF(time+1&gt;=T$2, $K48/time_cap/(time+1)*S$2, 0) = 0, $K48/(time_cap),0)),0)</f>
        <v/>
      </c>
      <c r="T48" s="4395">
        <f>IFERROR(IF((time+time_cap)&lt;T$2, 0,IF(AND(time+1&gt;=U$2, $E48&lt;U$2), IF($I48= "I", $J48/($F48-$E48+1), $J48/(($F48*($F48+1)/2)-(($E48-1)*($E48-1+1)/2))*T$2), 0)+IF(IF(time+1&gt;=U$2, $K48/time_cap/(time+1)*T$2, 0) = 0, $K48/(time_cap),0)),0)</f>
        <v/>
      </c>
      <c r="U48" s="4395">
        <f>IFERROR(IF((time+time_cap)&lt;U$2, 0,IF(AND(time+1&gt;=V$2, $E48&lt;V$2), IF($I48= "I", $J48/($F48-$E48+1), $J48/(($F48*($F48+1)/2)-(($E48-1)*($E48-1+1)/2))*U$2), 0)+IF(IF(time+1&gt;=V$2, $K48/time_cap/(time+1)*U$2, 0) = 0, $K48/(time_cap),0)),0)</f>
        <v/>
      </c>
      <c r="V48" s="4395">
        <f>IFERROR(IF((time+time_cap)&lt;V$2, 0,IF(AND(time+1&gt;=W$2, $E48&lt;W$2), IF($I48= "I", $J48/($F48-$E48+1), $J48/(($F48*($F48+1)/2)-(($E48-1)*($E48-1+1)/2))*V$2), 0)+IF(IF(time+1&gt;=W$2, $K48/time_cap/(time+1)*V$2, 0) = 0, $K48/(time_cap),0)),0)</f>
        <v/>
      </c>
      <c r="W48" s="4395">
        <f>IFERROR(IF((time+time_cap)&lt;W$2, 0,IF(AND(time+1&gt;=X$2, $E48&lt;X$2), IF($I48= "I", $J48/($F48-$E48+1), $J48/(($F48*($F48+1)/2)-(($E48-1)*($E48-1+1)/2))*W$2), 0)+IF(IF(time+1&gt;=X$2, $K48/time_cap/(time+1)*W$2, 0) = 0, $K48/(time_cap),0)),0)</f>
        <v/>
      </c>
      <c r="X48" s="4395">
        <f>IFERROR(IF((time+time_cap)&lt;X$2, 0,IF(AND(time+1&gt;=Y$2, $E48&lt;Y$2), IF($I48= "I", $J48/($F48-$E48+1), $J48/(($F48*($F48+1)/2)-(($E48-1)*($E48-1+1)/2))*X$2), 0)+IF(IF(time+1&gt;=Y$2, $K48/time_cap/(time+1)*X$2, 0) = 0, $K48/(time_cap),0)),0)</f>
        <v/>
      </c>
      <c r="Y48" s="4395">
        <f>IFERROR(IF((time+time_cap)&lt;Y$2, 0,IF(AND(time+1&gt;=Z$2, $E48&lt;Z$2), IF($I48= "I", $J48/($F48-$E48+1), $J48/(($F48*($F48+1)/2)-(($E48-1)*($E48-1+1)/2))*Y$2), 0)+IF(IF(time+1&gt;=Z$2, $K48/time_cap/(time+1)*Y$2, 0) = 0, $K48/(time_cap),0)),0)</f>
        <v/>
      </c>
      <c r="Z48" s="4395">
        <f>IFERROR(IF((time+time_cap)&lt;Z$2, 0,IF(AND(time+1&gt;=AA$2, $E48&lt;AA$2), IF($I48= "I", $J48/($F48-$E48+1), $J48/(($F48*($F48+1)/2)-(($E48-1)*($E48-1+1)/2))*Z$2), 0)+IF(IF(time+1&gt;=AA$2, $K48/time_cap/(time+1)*Z$2, 0) = 0, $K48/(time_cap),0)),0)</f>
        <v/>
      </c>
      <c r="AA48" s="4395">
        <f>IFERROR(IF((time+time_cap)&lt;AA$2, 0,IF(AND(time+1&gt;=AB$2, $E48&lt;AB$2), IF($I48= "I", $J48/($F48-$E48+1), $J48/(($F48*($F48+1)/2)-(($E48-1)*($E48-1+1)/2))*AA$2), 0)+IF(IF(time+1&gt;=AB$2, $K48/time_cap/(time+1)*AA$2, 0) = 0, $K48/(time_cap),0)),0)</f>
        <v/>
      </c>
      <c r="AB48" s="4395">
        <f>IFERROR(IF((time+time_cap)&lt;AB$2, 0,IF(AND(time+1&gt;=AC$2, $E48&lt;AC$2), IF($I48= "I", $J48/($F48-$E48+1), $J48/(($F48*($F48+1)/2)-(($E48-1)*($E48-1+1)/2))*AB$2), 0)+IF(IF(time+1&gt;=AC$2, $K48/time_cap/(time+1)*AB$2, 0) = 0, $K48/(time_cap),0)),0)</f>
        <v/>
      </c>
      <c r="AC48" s="4395">
        <f>IFERROR(IF((time+time_cap)&lt;AC$2, 0,IF(AND(time+1&gt;=AD$2, $E48&lt;AD$2), IF($I48= "I", $J48/($F48-$E48+1), $J48/(($F48*($F48+1)/2)-(($E48-1)*($E48-1+1)/2))*AC$2), 0)+IF(IF(time+1&gt;=AD$2, $K48/time_cap/(time+1)*AC$2, 0) = 0, $K48/(time_cap),0)),0)</f>
        <v/>
      </c>
      <c r="AD48" s="4395">
        <f>IFERROR(IF((time+time_cap)&lt;AD$2, 0,IF(AND(time+1&gt;=AE$2, $E48&lt;AE$2), IF($I48= "I", $J48/($F48-$E48+1), $J48/(($F48*($F48+1)/2)-(($E48-1)*($E48-1+1)/2))*AD$2), 0)+IF(IF(time+1&gt;=AE$2, $K48/time_cap/(time+1)*AD$2, 0) = 0, $K48/(time_cap),0)),0)</f>
        <v/>
      </c>
      <c r="AE48" s="4395">
        <f>IFERROR(IF((time+time_cap)&lt;AE$2, 0,IF(AND(time+1&gt;=AF$2, $E48&lt;AF$2), IF($I48= "I", $J48/($F48-$E48+1), $J48/(($F48*($F48+1)/2)-(($E48-1)*($E48-1+1)/2))*AE$2), 0)+IF(IF(time+1&gt;=AF$2, $K48/time_cap/(time+1)*AE$2, 0) = 0, $K48/(time_cap),0)),0)</f>
        <v/>
      </c>
      <c r="AF48" s="4395">
        <f>IFERROR(IF((time+time_cap)&lt;AF$2, 0,IF(AND(time+1&gt;=AG$2, $E48&lt;AG$2), IF($I48= "I", $J48/($F48-$E48+1), $J48/(($F48*($F48+1)/2)-(($E48-1)*($E48-1+1)/2))*AF$2), 0)+IF(IF(time+1&gt;=AG$2, $K48/time_cap/(time+1)*AF$2, 0) = 0, $K48/(time_cap),0)),0)</f>
        <v/>
      </c>
      <c r="AG48" s="4395">
        <f>IFERROR(IF((time+time_cap)&lt;AG$2, 0,IF(AND(time+1&gt;=AH$2, $E48&lt;AH$2), IF($I48= "I", $J48/($F48-$E48+1), $J48/(($F48*($F48+1)/2)-(($E48-1)*($E48-1+1)/2))*AG$2), 0)+IF(IF(time+1&gt;=AH$2, $K48/time_cap/(time+1)*AG$2, 0) = 0, $K48/(time_cap),0)),0)</f>
        <v/>
      </c>
      <c r="AH48" s="4395">
        <f>IFERROR(IF((time+time_cap)&lt;AH$2, 0,IF(AND(time+1&gt;=AI$2, $E48&lt;AI$2), IF($I48= "I", $J48/($F48-$E48+1), $J48/(($F48*($F48+1)/2)-(($E48-1)*($E48-1+1)/2))*AH$2), 0)+IF(IF(time+1&gt;=AI$2, $K48/time_cap/(time+1)*AH$2, 0) = 0, $K48/(time_cap),0)),0)</f>
        <v/>
      </c>
      <c r="AI48" s="4395">
        <f>IFERROR(IF((time+time_cap)&lt;AI$2, 0,IF(AND(time+1&gt;=AJ$2, $E48&lt;AJ$2), IF($I48= "I", $J48/($F48-$E48+1), $J48/(($F48*($F48+1)/2)-(($E48-1)*($E48-1+1)/2))*AI$2), 0)+IF(IF(time+1&gt;=AJ$2, $K48/time_cap/(time+1)*AI$2, 0) = 0, $K48/(time_cap),0)),0)</f>
        <v/>
      </c>
      <c r="AJ48" s="4395">
        <f>IFERROR(IF((time+time_cap)&lt;AJ$2, 0,IF(AND(time+1&gt;=AK$2, $E48&lt;AK$2), IF($I48= "I", $J48/($F48-$E48+1), $J48/(($F48*($F48+1)/2)-(($E48-1)*($E48-1+1)/2))*AJ$2), 0)+IF(IF(time+1&gt;=AK$2, $K48/time_cap/(time+1)*AJ$2, 0) = 0, $K48/(time_cap),0)),0)</f>
        <v/>
      </c>
      <c r="AK48" s="4395">
        <f>IFERROR(IF((time+time_cap)&lt;AK$2, 0,IF(AND(time+1&gt;=AL$2, $E48&lt;AL$2), IF($I48= "I", $J48/($F48-$E48+1), $J48/(($F48*($F48+1)/2)-(($E48-1)*($E48-1+1)/2))*AK$2), 0)+IF(IF(time+1&gt;=AL$2, $K48/time_cap/(time+1)*AK$2, 0) = 0, $K48/(time_cap),0)),0)</f>
        <v/>
      </c>
      <c r="AL48" s="4395">
        <f>IFERROR(IF((time+time_cap)&lt;AL$2, 0,IF(AND(time+1&gt;=AM$2, $E48&lt;AM$2), IF($I48= "I", $J48/($F48-$E48+1), $J48/(($F48*($F48+1)/2)-(($E48-1)*($E48-1+1)/2))*AL$2), 0)+IF(IF(time+1&gt;=AM$2, $K48/time_cap/(time+1)*AL$2, 0) = 0, $K48/(time_cap),0)),0)</f>
        <v/>
      </c>
      <c r="AM48" s="4395">
        <f>IFERROR(IF((time+time_cap)&lt;AM$2, 0,IF(AND(time+1&gt;=AN$2, $E48&lt;AN$2), IF($I48= "I", $J48/($F48-$E48+1), $J48/(($F48*($F48+1)/2)-(($E48-1)*($E48-1+1)/2))*AM$2), 0)+IF(IF(time+1&gt;=AN$2, $K48/time_cap/(time+1)*AM$2, 0) = 0, $K48/(time_cap),0)),0)</f>
        <v/>
      </c>
      <c r="AN48" s="4395">
        <f>IFERROR(IF((time+time_cap)&lt;AN$2, 0,IF(AND(time+1&gt;=AO$2, $E48&lt;AO$2), IF($I48= "I", $J48/($F48-$E48+1), $J48/(($F48*($F48+1)/2)-(($E48-1)*($E48-1+1)/2))*AN$2), 0)+IF(IF(time+1&gt;=AO$2, $K48/time_cap/(time+1)*AN$2, 0) = 0, $K48/(time_cap),0)),0)</f>
        <v/>
      </c>
      <c r="AO48" s="4395">
        <f>IFERROR(IF((time+time_cap)&lt;AO$2, 0,IF(AND(time+1&gt;=AP$2, $E48&lt;AP$2), IF($I48= "I", $J48/($F48-$E48+1), $J48/(($F48*($F48+1)/2)-(($E48-1)*($E48-1+1)/2))*AO$2), 0)+IF(IF(time+1&gt;=AP$2, $K48/time_cap/(time+1)*AO$2, 0) = 0, $K48/(time_cap),0)),0)</f>
        <v/>
      </c>
      <c r="AP48" s="4395">
        <f>IFERROR(IF((time+time_cap)&lt;AP$2, 0,IF(AND(time+1&gt;=AQ$2, $E48&lt;AQ$2), IF($I48= "I", $J48/($F48-$E48+1), $J48/(($F48*($F48+1)/2)-(($E48-1)*($E48-1+1)/2))*AP$2), 0)+IF(IF(time+1&gt;=AQ$2, $K48/time_cap/(time+1)*AP$2, 0) = 0, $K48/(time_cap),0)),0)</f>
        <v/>
      </c>
      <c r="AQ48" s="4395">
        <f>IFERROR(IF((time+time_cap)&lt;AQ$2, 0,IF(AND(time+1&gt;=AR$2, $E48&lt;AR$2), IF($I48= "I", $J48/($F48-$E48+1), $J48/(($F48*($F48+1)/2)-(($E48-1)*($E48-1+1)/2))*AQ$2), 0)+IF(IF(time+1&gt;=AR$2, $K48/time_cap/(time+1)*AQ$2, 0) = 0, $K48/(time_cap),0)),0)</f>
        <v/>
      </c>
      <c r="AR48" s="4395">
        <f>IFERROR(IF((time+time_cap)&lt;AR$2, 0,IF(AND(time+1&gt;=AS$2, $E48&lt;AS$2), IF($I48= "I", $J48/($F48-$E48+1), $J48/(($F48*($F48+1)/2)-(($E48-1)*($E48-1+1)/2))*AR$2), 0)+IF(IF(time+1&gt;=AS$2, $K48/time_cap/(time+1)*AR$2, 0) = 0, $K48/(time_cap),0)),0)</f>
        <v/>
      </c>
      <c r="AS48" s="4395">
        <f>IFERROR(IF((time+time_cap)&lt;AS$2, 0,IF(AND(time+1&gt;=AT$2, $E48&lt;AT$2), IF($I48= "I", $J48/($F48-$E48+1), $J48/(($F48*($F48+1)/2)-(($E48-1)*($E48-1+1)/2))*AS$2), 0)+IF(IF(time+1&gt;=AT$2, $K48/time_cap/(time+1)*AS$2, 0) = 0, $K48/(time_cap),0)),0)</f>
        <v/>
      </c>
      <c r="AT48" s="4395">
        <f>IFERROR(IF((time+time_cap)&lt;AT$2, 0,IF(AND(time+1&gt;=AU$2, $E48&lt;AU$2), IF($I48= "I", $J48/($F48-$E48+1), $J48/(($F48*($F48+1)/2)-(($E48-1)*($E48-1+1)/2))*AT$2), 0)+IF(IF(time+1&gt;=AU$2, $K48/time_cap/(time+1)*AT$2, 0) = 0, $K48/(time_cap),0)),0)</f>
        <v/>
      </c>
      <c r="AU48" s="4395">
        <f>IFERROR(IF((time+time_cap)&lt;AU$2, 0,IF(AND(time+1&gt;=AV$2, $E48&lt;AV$2), IF($I48= "I", $J48/($F48-$E48+1), $J48/(($F48*($F48+1)/2)-(($E48-1)*($E48-1+1)/2))*AU$2), 0)+IF(IF(time+1&gt;=AV$2, $K48/time_cap/(time+1)*AU$2, 0) = 0, $K48/(time_cap),0)),0)</f>
        <v/>
      </c>
      <c r="AV48" s="4395">
        <f>IFERROR(IF((time+time_cap)&lt;AV$2, 0,IF(AND(time+1&gt;=AW$2, $E48&lt;AW$2), IF($I48= "I", $J48/($F48-$E48+1), $J48/(($F48*($F48+1)/2)-(($E48-1)*($E48-1+1)/2))*AV$2), 0)+IF(IF(time+1&gt;=AW$2, $K48/time_cap/(time+1)*AV$2, 0) = 0, $K48/(time_cap),0)),0)</f>
        <v/>
      </c>
      <c r="AW48" s="4395">
        <f>IFERROR(IF((time+time_cap)&lt;AW$2, 0,IF(AND(time+1&gt;=AX$2, $E48&lt;AX$2), IF($I48= "I", $J48/($F48-$E48+1), $J48/(($F48*($F48+1)/2)-(($E48-1)*($E48-1+1)/2))*AW$2), 0)+IF(IF(time+1&gt;=AX$2, $K48/time_cap/(time+1)*AW$2, 0) = 0, $K48/(time_cap),0)),0)</f>
        <v/>
      </c>
      <c r="AX48" s="4395">
        <f>IFERROR(IF((time+time_cap)&lt;AX$2, 0,IF(AND(time+1&gt;=AY$2, $E48&lt;AY$2), IF($I48= "I", $J48/($F48-$E48+1), $J48/(($F48*($F48+1)/2)-(($E48-1)*($E48-1+1)/2))*AX$2), 0)+IF(IF(time+1&gt;=AY$2, $K48/time_cap/(time+1)*AX$2, 0) = 0, $K48/(time_cap),0)),0)</f>
        <v/>
      </c>
      <c r="AY48" s="4395">
        <f>IFERROR(IF((time+time_cap)&lt;AY$2, 0,IF(AND(time+1&gt;=AZ$2, $E48&lt;AZ$2), IF($I48= "I", $J48/($F48-$E48+1), $J48/(($F48*($F48+1)/2)-(($E48-1)*($E48-1+1)/2))*AY$2), 0)+IF(IF(time+1&gt;=AZ$2, $K48/time_cap/(time+1)*AY$2, 0) = 0, $K48/(time_cap),0)),0)</f>
        <v/>
      </c>
      <c r="AZ48" s="4395">
        <f>IFERROR(IF((time+time_cap)&lt;AZ$2, 0,IF(AND(time+1&gt;=BA$2, $E48&lt;BA$2), IF($I48= "I", $J48/($F48-$E48+1), $J48/(($F48*($F48+1)/2)-(($E48-1)*($E48-1+1)/2))*AZ$2), 0)+IF(IF(time+1&gt;=BA$2, $K48/time_cap/(time+1)*AZ$2, 0) = 0, $K48/(time_cap),0)),0)</f>
        <v/>
      </c>
      <c r="BA48" s="4395">
        <f>IFERROR(IF((time+time_cap)&lt;BA$2, 0,IF(AND(time+1&gt;=BB$2, $E48&lt;BB$2), IF($I48= "I", $J48/($F48-$E48+1), $J48/(($F48*($F48+1)/2)-(($E48-1)*($E48-1+1)/2))*BA$2), 0)+IF(IF(time+1&gt;=BB$2, $K48/time_cap/(time+1)*BA$2, 0) = 0, $K48/(time_cap),0)),0)</f>
        <v/>
      </c>
      <c r="BB48" s="4395">
        <f>IFERROR(IF((time+time_cap)&lt;BB$2, 0,IF(AND(time+1&gt;=BC$2, $E48&lt;BC$2), IF($I48= "I", $J48/($F48-$E48+1), $J48/(($F48*($F48+1)/2)-(($E48-1)*($E48-1+1)/2))*BB$2), 0)+IF(IF(time+1&gt;=BC$2, $K48/time_cap/(time+1)*BB$2, 0) = 0, $K48/(time_cap),0)),0)</f>
        <v/>
      </c>
      <c r="BC48" s="4395">
        <f>IFERROR(IF((time+time_cap)&lt;BC$2, 0,IF(AND(time+1&gt;=BD$2, $E48&lt;BD$2), IF($I48= "I", $J48/($F48-$E48+1), $J48/(($F48*($F48+1)/2)-(($E48-1)*($E48-1+1)/2))*BC$2), 0)+IF(IF(time+1&gt;=BD$2, $K48/time_cap/(time+1)*BC$2, 0) = 0, $K48/(time_cap),0)),0)</f>
        <v/>
      </c>
      <c r="BD48" s="4395">
        <f>IFERROR(IF((time+time_cap)&lt;BD$2, 0,IF(AND(time+1&gt;=BE$2, $E48&lt;BE$2), IF($I48= "I", $J48/($F48-$E48+1), $J48/(($F48*($F48+1)/2)-(($E48-1)*($E48-1+1)/2))*BD$2), 0)+IF(IF(time+1&gt;=BE$2, $K48/time_cap/(time+1)*BD$2, 0) = 0, $K48/(time_cap),0)),0)</f>
        <v/>
      </c>
      <c r="BE48" s="4395">
        <f>IFERROR(IF((time+time_cap)&lt;BE$2, 0,IF(AND(time+1&gt;=BF$2, $E48&lt;BF$2), IF($I48= "I", $J48/($F48-$E48+1), $J48/(($F48*($F48+1)/2)-(($E48-1)*($E48-1+1)/2))*BE$2), 0)+IF(IF(time+1&gt;=BF$2, $K48/time_cap/(time+1)*BE$2, 0) = 0, $K48/(time_cap),0)),0)</f>
        <v/>
      </c>
      <c r="BF48" s="4395">
        <f>IFERROR(IF((time+time_cap)&lt;BF$2, 0,IF(AND(time+1&gt;=BG$2, $E48&lt;BG$2), IF($I48= "I", $J48/($F48-$E48+1), $J48/(($F48*($F48+1)/2)-(($E48-1)*($E48-1+1)/2))*BF$2), 0)+IF(IF(time+1&gt;=BG$2, $K48/time_cap/(time+1)*BF$2, 0) = 0, $K48/(time_cap),0)),0)</f>
        <v/>
      </c>
      <c r="BG48" s="4395">
        <f>IFERROR(IF((time+time_cap)&lt;BG$2, 0,IF(AND(time+1&gt;=BH$2, $E48&lt;BH$2), IF($I48= "I", $J48/($F48-$E48+1), $J48/(($F48*($F48+1)/2)-(($E48-1)*($E48-1+1)/2))*BG$2), 0)+IF(IF(time+1&gt;=BH$2, $K48/time_cap/(time+1)*BG$2, 0) = 0, $K48/(time_cap),0)),0)</f>
        <v/>
      </c>
      <c r="BH48" s="4395">
        <f>IFERROR(IF((time+time_cap)&lt;BH$2, 0,IF(AND(time+1&gt;=BI$2, $E48&lt;BI$2), IF($I48= "I", $J48/($F48-$E48+1), $J48/(($F48*($F48+1)/2)-(($E48-1)*($E48-1+1)/2))*BH$2), 0)+IF(IF(time+1&gt;=BI$2, $K48/time_cap/(time+1)*BH$2, 0) = 0, $K48/(time_cap),0)),0)</f>
        <v/>
      </c>
      <c r="BI48" s="4395">
        <f>IFERROR(IF((time+time_cap)&lt;BI$2, 0,IF(AND(time+1&gt;=BJ$2, $E48&lt;BJ$2), IF($I48= "I", $J48/($F48-$E48+1), $J48/(($F48*($F48+1)/2)-(($E48-1)*($E48-1+1)/2))*BI$2), 0)+IF(IF(time+1&gt;=BJ$2, $K48/time_cap/(time+1)*BI$2, 0) = 0, $K48/(time_cap),0)),0)</f>
        <v/>
      </c>
      <c r="BJ48" s="4395">
        <f>IFERROR(IF((time+time_cap)&lt;BJ$2, 0,IF(AND(time+1&gt;=BK$2, $E48&lt;BK$2), IF($I48= "I", $J48/($F48-$E48+1), $J48/(($F48*($F48+1)/2)-(($E48-1)*($E48-1+1)/2))*BJ$2), 0)+IF(IF(time+1&gt;=BK$2, $K48/time_cap/(time+1)*BJ$2, 0) = 0, $K48/(time_cap),0)),0)</f>
        <v/>
      </c>
      <c r="BK48" s="4395" t="n"/>
      <c r="BL48" s="4395" t="n"/>
      <c r="BM48" s="4395" t="n"/>
      <c r="BN48" s="4395" t="n"/>
      <c r="BO48" s="4395" t="n"/>
      <c r="BP48" s="4395" t="n"/>
      <c r="BQ48" s="4395" t="n"/>
      <c r="BR48" s="4395" t="n"/>
      <c r="BS48" s="4395" t="n"/>
      <c r="BT48" s="4395" t="n"/>
      <c r="BU48" s="4395" t="n"/>
      <c r="BV48" s="4395" t="n"/>
      <c r="BW48" s="4395" t="n"/>
      <c r="BX48" s="4395" t="n"/>
      <c r="BY48" s="4395" t="n"/>
      <c r="BZ48" s="4395" t="n"/>
      <c r="CA48" s="4395" t="n"/>
      <c r="CB48" s="4395" t="n"/>
      <c r="CC48" s="4395" t="n"/>
      <c r="CD48" s="4395" t="n"/>
      <c r="CE48" s="4395" t="n"/>
      <c r="CF48" s="4395" t="n"/>
      <c r="CG48" s="4395" t="n"/>
      <c r="CH48" s="4395" t="n"/>
      <c r="CI48" s="4395" t="n"/>
      <c r="CJ48" s="4395" t="n"/>
      <c r="CK48" s="4395" t="n"/>
      <c r="CL48" s="4395" t="n"/>
      <c r="CM48" s="4395" t="n"/>
      <c r="CN48" s="4395" t="n"/>
      <c r="CO48" s="4395" t="n"/>
      <c r="CP48" s="4395" t="n"/>
      <c r="CQ48" s="4395" t="n"/>
      <c r="CR48" s="4395" t="n"/>
      <c r="CS48" s="4395" t="n"/>
      <c r="CT48" s="4395" t="n"/>
      <c r="CU48" s="4395" t="n"/>
      <c r="CV48" s="4395" t="n"/>
      <c r="CW48" s="4395" t="n"/>
      <c r="CX48" s="4395" t="n"/>
      <c r="CY48" s="4395" t="n"/>
      <c r="CZ48" s="4395" t="n"/>
      <c r="DA48" s="4395" t="n"/>
      <c r="DB48" s="4395" t="n"/>
      <c r="DC48" s="4395" t="n"/>
      <c r="DD48" s="4395" t="n"/>
      <c r="DE48" s="4395" t="n"/>
      <c r="DF48" s="4395" t="n"/>
      <c r="DG48" s="4395" t="n"/>
      <c r="DH48" s="4395" t="n"/>
    </row>
    <row r="49" ht="16" customHeight="1">
      <c r="A49" t="inlineStr">
        <is>
          <t>Annuals</t>
        </is>
      </c>
      <c r="B49">
        <f>'3.Cropland'!C33</f>
        <v/>
      </c>
      <c r="C49">
        <f>'3.Cropland'!E33</f>
        <v/>
      </c>
      <c r="D49">
        <f>'3.Cropland'!Z33</f>
        <v/>
      </c>
      <c r="E49">
        <f>IF('3.Cropland'!BP33&lt;&gt;0,'3.Cropland'!BP33, '3.Cropland'!BO33)</f>
        <v/>
      </c>
      <c r="F49">
        <f>time</f>
        <v/>
      </c>
      <c r="G49" s="4395">
        <f>'3.Cropland'!S33</f>
        <v/>
      </c>
      <c r="H49" s="4395">
        <f>'3.Cropland'!U33</f>
        <v/>
      </c>
      <c r="I49" s="4395">
        <f>IF(OR(H49="I", G49="I"), "I", IF(OR(H49="E", G49="E"), "E", "D"))</f>
        <v/>
      </c>
      <c r="J49" s="4395">
        <f>((D49/(time_cap+((F49-E49+1)*VLOOKUP(I49,list!$I$48:$K$50,3, FALSE))))*(F49-E49+1)*VLOOKUP(I49,list!$I$48:$K$50,3, FALSE))</f>
        <v/>
      </c>
      <c r="K49" s="4395">
        <f>((D49/(time_cap+((F49-E49+1)*VLOOKUP(I49,list!$I$48:$K$50,3, FALSE))))*time_cap)</f>
        <v/>
      </c>
      <c r="M49" s="4395">
        <f>IFERROR(IF((time+time_cap)&lt;M$2, 0,IF(AND(time+1&gt;=N$2, $E49&lt;N$2), IF($I49= "I", $J49/($F49-$E49+1), $J49/(($F49*($F49+1)/2)-(($E49-1)*($E49-1+1)/2))*M$2), 0)+IF(IF(time+1&gt;=N$2, $K49/time_cap/(time+1)*M$2, 0) = 0, $K49/(time_cap),0)),0)</f>
        <v/>
      </c>
      <c r="N49" s="4395">
        <f>IFERROR(IF((time+time_cap)&lt;N$2, 0,IF(AND(time+1&gt;=O$2, $E49&lt;O$2), IF($I49= "I", $J49/($F49-$E49+1), $J49/(($F49*($F49+1)/2)-(($E49-1)*($E49-1+1)/2))*N$2), 0)+IF(IF(time+1&gt;=O$2, $K49/time_cap/(time+1)*N$2, 0) = 0, $K49/(time_cap),0)),0)</f>
        <v/>
      </c>
      <c r="O49" s="4395">
        <f>IFERROR(IF((time+time_cap)&lt;O$2, 0,IF(AND(time+1&gt;=P$2, $E49&lt;P$2), IF($I49= "I", $J49/($F49-$E49+1), $J49/(($F49*($F49+1)/2)-(($E49-1)*($E49-1+1)/2))*O$2), 0)+IF(IF(time+1&gt;=P$2, $K49/time_cap/(time+1)*O$2, 0) = 0, $K49/(time_cap),0)),0)</f>
        <v/>
      </c>
      <c r="P49" s="4395">
        <f>IFERROR(IF((time+time_cap)&lt;P$2, 0,IF(AND(time+1&gt;=Q$2, $E49&lt;Q$2), IF($I49= "I", $J49/($F49-$E49+1), $J49/(($F49*($F49+1)/2)-(($E49-1)*($E49-1+1)/2))*P$2), 0)+IF(IF(time+1&gt;=Q$2, $K49/time_cap/(time+1)*P$2, 0) = 0, $K49/(time_cap),0)),0)</f>
        <v/>
      </c>
      <c r="Q49" s="4395">
        <f>IFERROR(IF((time+time_cap)&lt;Q$2, 0,IF(AND(time+1&gt;=R$2, $E49&lt;R$2), IF($I49= "I", $J49/($F49-$E49+1), $J49/(($F49*($F49+1)/2)-(($E49-1)*($E49-1+1)/2))*Q$2), 0)+IF(IF(time+1&gt;=R$2, $K49/time_cap/(time+1)*Q$2, 0) = 0, $K49/(time_cap),0)),0)</f>
        <v/>
      </c>
      <c r="R49" s="4395">
        <f>IFERROR(IF((time+time_cap)&lt;R$2, 0,IF(AND(time+1&gt;=S$2, $E49&lt;S$2), IF($I49= "I", $J49/($F49-$E49+1), $J49/(($F49*($F49+1)/2)-(($E49-1)*($E49-1+1)/2))*R$2), 0)+IF(IF(time+1&gt;=S$2, $K49/time_cap/(time+1)*R$2, 0) = 0, $K49/(time_cap),0)),0)</f>
        <v/>
      </c>
      <c r="S49" s="4395">
        <f>IFERROR(IF((time+time_cap)&lt;S$2, 0,IF(AND(time+1&gt;=T$2, $E49&lt;T$2), IF($I49= "I", $J49/($F49-$E49+1), $J49/(($F49*($F49+1)/2)-(($E49-1)*($E49-1+1)/2))*S$2), 0)+IF(IF(time+1&gt;=T$2, $K49/time_cap/(time+1)*S$2, 0) = 0, $K49/(time_cap),0)),0)</f>
        <v/>
      </c>
      <c r="T49" s="4395">
        <f>IFERROR(IF((time+time_cap)&lt;T$2, 0,IF(AND(time+1&gt;=U$2, $E49&lt;U$2), IF($I49= "I", $J49/($F49-$E49+1), $J49/(($F49*($F49+1)/2)-(($E49-1)*($E49-1+1)/2))*T$2), 0)+IF(IF(time+1&gt;=U$2, $K49/time_cap/(time+1)*T$2, 0) = 0, $K49/(time_cap),0)),0)</f>
        <v/>
      </c>
      <c r="U49" s="4395">
        <f>IFERROR(IF((time+time_cap)&lt;U$2, 0,IF(AND(time+1&gt;=V$2, $E49&lt;V$2), IF($I49= "I", $J49/($F49-$E49+1), $J49/(($F49*($F49+1)/2)-(($E49-1)*($E49-1+1)/2))*U$2), 0)+IF(IF(time+1&gt;=V$2, $K49/time_cap/(time+1)*U$2, 0) = 0, $K49/(time_cap),0)),0)</f>
        <v/>
      </c>
      <c r="V49" s="4395">
        <f>IFERROR(IF((time+time_cap)&lt;V$2, 0,IF(AND(time+1&gt;=W$2, $E49&lt;W$2), IF($I49= "I", $J49/($F49-$E49+1), $J49/(($F49*($F49+1)/2)-(($E49-1)*($E49-1+1)/2))*V$2), 0)+IF(IF(time+1&gt;=W$2, $K49/time_cap/(time+1)*V$2, 0) = 0, $K49/(time_cap),0)),0)</f>
        <v/>
      </c>
      <c r="W49" s="4395">
        <f>IFERROR(IF((time+time_cap)&lt;W$2, 0,IF(AND(time+1&gt;=X$2, $E49&lt;X$2), IF($I49= "I", $J49/($F49-$E49+1), $J49/(($F49*($F49+1)/2)-(($E49-1)*($E49-1+1)/2))*W$2), 0)+IF(IF(time+1&gt;=X$2, $K49/time_cap/(time+1)*W$2, 0) = 0, $K49/(time_cap),0)),0)</f>
        <v/>
      </c>
      <c r="X49" s="4395">
        <f>IFERROR(IF((time+time_cap)&lt;X$2, 0,IF(AND(time+1&gt;=Y$2, $E49&lt;Y$2), IF($I49= "I", $J49/($F49-$E49+1), $J49/(($F49*($F49+1)/2)-(($E49-1)*($E49-1+1)/2))*X$2), 0)+IF(IF(time+1&gt;=Y$2, $K49/time_cap/(time+1)*X$2, 0) = 0, $K49/(time_cap),0)),0)</f>
        <v/>
      </c>
      <c r="Y49" s="4395">
        <f>IFERROR(IF((time+time_cap)&lt;Y$2, 0,IF(AND(time+1&gt;=Z$2, $E49&lt;Z$2), IF($I49= "I", $J49/($F49-$E49+1), $J49/(($F49*($F49+1)/2)-(($E49-1)*($E49-1+1)/2))*Y$2), 0)+IF(IF(time+1&gt;=Z$2, $K49/time_cap/(time+1)*Y$2, 0) = 0, $K49/(time_cap),0)),0)</f>
        <v/>
      </c>
      <c r="Z49" s="4395">
        <f>IFERROR(IF((time+time_cap)&lt;Z$2, 0,IF(AND(time+1&gt;=AA$2, $E49&lt;AA$2), IF($I49= "I", $J49/($F49-$E49+1), $J49/(($F49*($F49+1)/2)-(($E49-1)*($E49-1+1)/2))*Z$2), 0)+IF(IF(time+1&gt;=AA$2, $K49/time_cap/(time+1)*Z$2, 0) = 0, $K49/(time_cap),0)),0)</f>
        <v/>
      </c>
      <c r="AA49" s="4395">
        <f>IFERROR(IF((time+time_cap)&lt;AA$2, 0,IF(AND(time+1&gt;=AB$2, $E49&lt;AB$2), IF($I49= "I", $J49/($F49-$E49+1), $J49/(($F49*($F49+1)/2)-(($E49-1)*($E49-1+1)/2))*AA$2), 0)+IF(IF(time+1&gt;=AB$2, $K49/time_cap/(time+1)*AA$2, 0) = 0, $K49/(time_cap),0)),0)</f>
        <v/>
      </c>
      <c r="AB49" s="4395">
        <f>IFERROR(IF((time+time_cap)&lt;AB$2, 0,IF(AND(time+1&gt;=AC$2, $E49&lt;AC$2), IF($I49= "I", $J49/($F49-$E49+1), $J49/(($F49*($F49+1)/2)-(($E49-1)*($E49-1+1)/2))*AB$2), 0)+IF(IF(time+1&gt;=AC$2, $K49/time_cap/(time+1)*AB$2, 0) = 0, $K49/(time_cap),0)),0)</f>
        <v/>
      </c>
      <c r="AC49" s="4395">
        <f>IFERROR(IF((time+time_cap)&lt;AC$2, 0,IF(AND(time+1&gt;=AD$2, $E49&lt;AD$2), IF($I49= "I", $J49/($F49-$E49+1), $J49/(($F49*($F49+1)/2)-(($E49-1)*($E49-1+1)/2))*AC$2), 0)+IF(IF(time+1&gt;=AD$2, $K49/time_cap/(time+1)*AC$2, 0) = 0, $K49/(time_cap),0)),0)</f>
        <v/>
      </c>
      <c r="AD49" s="4395">
        <f>IFERROR(IF((time+time_cap)&lt;AD$2, 0,IF(AND(time+1&gt;=AE$2, $E49&lt;AE$2), IF($I49= "I", $J49/($F49-$E49+1), $J49/(($F49*($F49+1)/2)-(($E49-1)*($E49-1+1)/2))*AD$2), 0)+IF(IF(time+1&gt;=AE$2, $K49/time_cap/(time+1)*AD$2, 0) = 0, $K49/(time_cap),0)),0)</f>
        <v/>
      </c>
      <c r="AE49" s="4395">
        <f>IFERROR(IF((time+time_cap)&lt;AE$2, 0,IF(AND(time+1&gt;=AF$2, $E49&lt;AF$2), IF($I49= "I", $J49/($F49-$E49+1), $J49/(($F49*($F49+1)/2)-(($E49-1)*($E49-1+1)/2))*AE$2), 0)+IF(IF(time+1&gt;=AF$2, $K49/time_cap/(time+1)*AE$2, 0) = 0, $K49/(time_cap),0)),0)</f>
        <v/>
      </c>
      <c r="AF49" s="4395">
        <f>IFERROR(IF((time+time_cap)&lt;AF$2, 0,IF(AND(time+1&gt;=AG$2, $E49&lt;AG$2), IF($I49= "I", $J49/($F49-$E49+1), $J49/(($F49*($F49+1)/2)-(($E49-1)*($E49-1+1)/2))*AF$2), 0)+IF(IF(time+1&gt;=AG$2, $K49/time_cap/(time+1)*AF$2, 0) = 0, $K49/(time_cap),0)),0)</f>
        <v/>
      </c>
      <c r="AG49" s="4395">
        <f>IFERROR(IF((time+time_cap)&lt;AG$2, 0,IF(AND(time+1&gt;=AH$2, $E49&lt;AH$2), IF($I49= "I", $J49/($F49-$E49+1), $J49/(($F49*($F49+1)/2)-(($E49-1)*($E49-1+1)/2))*AG$2), 0)+IF(IF(time+1&gt;=AH$2, $K49/time_cap/(time+1)*AG$2, 0) = 0, $K49/(time_cap),0)),0)</f>
        <v/>
      </c>
      <c r="AH49" s="4395">
        <f>IFERROR(IF((time+time_cap)&lt;AH$2, 0,IF(AND(time+1&gt;=AI$2, $E49&lt;AI$2), IF($I49= "I", $J49/($F49-$E49+1), $J49/(($F49*($F49+1)/2)-(($E49-1)*($E49-1+1)/2))*AH$2), 0)+IF(IF(time+1&gt;=AI$2, $K49/time_cap/(time+1)*AH$2, 0) = 0, $K49/(time_cap),0)),0)</f>
        <v/>
      </c>
      <c r="AI49" s="4395">
        <f>IFERROR(IF((time+time_cap)&lt;AI$2, 0,IF(AND(time+1&gt;=AJ$2, $E49&lt;AJ$2), IF($I49= "I", $J49/($F49-$E49+1), $J49/(($F49*($F49+1)/2)-(($E49-1)*($E49-1+1)/2))*AI$2), 0)+IF(IF(time+1&gt;=AJ$2, $K49/time_cap/(time+1)*AI$2, 0) = 0, $K49/(time_cap),0)),0)</f>
        <v/>
      </c>
      <c r="AJ49" s="4395">
        <f>IFERROR(IF((time+time_cap)&lt;AJ$2, 0,IF(AND(time+1&gt;=AK$2, $E49&lt;AK$2), IF($I49= "I", $J49/($F49-$E49+1), $J49/(($F49*($F49+1)/2)-(($E49-1)*($E49-1+1)/2))*AJ$2), 0)+IF(IF(time+1&gt;=AK$2, $K49/time_cap/(time+1)*AJ$2, 0) = 0, $K49/(time_cap),0)),0)</f>
        <v/>
      </c>
      <c r="AK49" s="4395">
        <f>IFERROR(IF((time+time_cap)&lt;AK$2, 0,IF(AND(time+1&gt;=AL$2, $E49&lt;AL$2), IF($I49= "I", $J49/($F49-$E49+1), $J49/(($F49*($F49+1)/2)-(($E49-1)*($E49-1+1)/2))*AK$2), 0)+IF(IF(time+1&gt;=AL$2, $K49/time_cap/(time+1)*AK$2, 0) = 0, $K49/(time_cap),0)),0)</f>
        <v/>
      </c>
      <c r="AL49" s="4395">
        <f>IFERROR(IF((time+time_cap)&lt;AL$2, 0,IF(AND(time+1&gt;=AM$2, $E49&lt;AM$2), IF($I49= "I", $J49/($F49-$E49+1), $J49/(($F49*($F49+1)/2)-(($E49-1)*($E49-1+1)/2))*AL$2), 0)+IF(IF(time+1&gt;=AM$2, $K49/time_cap/(time+1)*AL$2, 0) = 0, $K49/(time_cap),0)),0)</f>
        <v/>
      </c>
      <c r="AM49" s="4395">
        <f>IFERROR(IF((time+time_cap)&lt;AM$2, 0,IF(AND(time+1&gt;=AN$2, $E49&lt;AN$2), IF($I49= "I", $J49/($F49-$E49+1), $J49/(($F49*($F49+1)/2)-(($E49-1)*($E49-1+1)/2))*AM$2), 0)+IF(IF(time+1&gt;=AN$2, $K49/time_cap/(time+1)*AM$2, 0) = 0, $K49/(time_cap),0)),0)</f>
        <v/>
      </c>
      <c r="AN49" s="4395">
        <f>IFERROR(IF((time+time_cap)&lt;AN$2, 0,IF(AND(time+1&gt;=AO$2, $E49&lt;AO$2), IF($I49= "I", $J49/($F49-$E49+1), $J49/(($F49*($F49+1)/2)-(($E49-1)*($E49-1+1)/2))*AN$2), 0)+IF(IF(time+1&gt;=AO$2, $K49/time_cap/(time+1)*AN$2, 0) = 0, $K49/(time_cap),0)),0)</f>
        <v/>
      </c>
      <c r="AO49" s="4395">
        <f>IFERROR(IF((time+time_cap)&lt;AO$2, 0,IF(AND(time+1&gt;=AP$2, $E49&lt;AP$2), IF($I49= "I", $J49/($F49-$E49+1), $J49/(($F49*($F49+1)/2)-(($E49-1)*($E49-1+1)/2))*AO$2), 0)+IF(IF(time+1&gt;=AP$2, $K49/time_cap/(time+1)*AO$2, 0) = 0, $K49/(time_cap),0)),0)</f>
        <v/>
      </c>
      <c r="AP49" s="4395">
        <f>IFERROR(IF((time+time_cap)&lt;AP$2, 0,IF(AND(time+1&gt;=AQ$2, $E49&lt;AQ$2), IF($I49= "I", $J49/($F49-$E49+1), $J49/(($F49*($F49+1)/2)-(($E49-1)*($E49-1+1)/2))*AP$2), 0)+IF(IF(time+1&gt;=AQ$2, $K49/time_cap/(time+1)*AP$2, 0) = 0, $K49/(time_cap),0)),0)</f>
        <v/>
      </c>
      <c r="AQ49" s="4395">
        <f>IFERROR(IF((time+time_cap)&lt;AQ$2, 0,IF(AND(time+1&gt;=AR$2, $E49&lt;AR$2), IF($I49= "I", $J49/($F49-$E49+1), $J49/(($F49*($F49+1)/2)-(($E49-1)*($E49-1+1)/2))*AQ$2), 0)+IF(IF(time+1&gt;=AR$2, $K49/time_cap/(time+1)*AQ$2, 0) = 0, $K49/(time_cap),0)),0)</f>
        <v/>
      </c>
      <c r="AR49" s="4395">
        <f>IFERROR(IF((time+time_cap)&lt;AR$2, 0,IF(AND(time+1&gt;=AS$2, $E49&lt;AS$2), IF($I49= "I", $J49/($F49-$E49+1), $J49/(($F49*($F49+1)/2)-(($E49-1)*($E49-1+1)/2))*AR$2), 0)+IF(IF(time+1&gt;=AS$2, $K49/time_cap/(time+1)*AR$2, 0) = 0, $K49/(time_cap),0)),0)</f>
        <v/>
      </c>
      <c r="AS49" s="4395">
        <f>IFERROR(IF((time+time_cap)&lt;AS$2, 0,IF(AND(time+1&gt;=AT$2, $E49&lt;AT$2), IF($I49= "I", $J49/($F49-$E49+1), $J49/(($F49*($F49+1)/2)-(($E49-1)*($E49-1+1)/2))*AS$2), 0)+IF(IF(time+1&gt;=AT$2, $K49/time_cap/(time+1)*AS$2, 0) = 0, $K49/(time_cap),0)),0)</f>
        <v/>
      </c>
      <c r="AT49" s="4395">
        <f>IFERROR(IF((time+time_cap)&lt;AT$2, 0,IF(AND(time+1&gt;=AU$2, $E49&lt;AU$2), IF($I49= "I", $J49/($F49-$E49+1), $J49/(($F49*($F49+1)/2)-(($E49-1)*($E49-1+1)/2))*AT$2), 0)+IF(IF(time+1&gt;=AU$2, $K49/time_cap/(time+1)*AT$2, 0) = 0, $K49/(time_cap),0)),0)</f>
        <v/>
      </c>
      <c r="AU49" s="4395">
        <f>IFERROR(IF((time+time_cap)&lt;AU$2, 0,IF(AND(time+1&gt;=AV$2, $E49&lt;AV$2), IF($I49= "I", $J49/($F49-$E49+1), $J49/(($F49*($F49+1)/2)-(($E49-1)*($E49-1+1)/2))*AU$2), 0)+IF(IF(time+1&gt;=AV$2, $K49/time_cap/(time+1)*AU$2, 0) = 0, $K49/(time_cap),0)),0)</f>
        <v/>
      </c>
      <c r="AV49" s="4395">
        <f>IFERROR(IF((time+time_cap)&lt;AV$2, 0,IF(AND(time+1&gt;=AW$2, $E49&lt;AW$2), IF($I49= "I", $J49/($F49-$E49+1), $J49/(($F49*($F49+1)/2)-(($E49-1)*($E49-1+1)/2))*AV$2), 0)+IF(IF(time+1&gt;=AW$2, $K49/time_cap/(time+1)*AV$2, 0) = 0, $K49/(time_cap),0)),0)</f>
        <v/>
      </c>
      <c r="AW49" s="4395">
        <f>IFERROR(IF((time+time_cap)&lt;AW$2, 0,IF(AND(time+1&gt;=AX$2, $E49&lt;AX$2), IF($I49= "I", $J49/($F49-$E49+1), $J49/(($F49*($F49+1)/2)-(($E49-1)*($E49-1+1)/2))*AW$2), 0)+IF(IF(time+1&gt;=AX$2, $K49/time_cap/(time+1)*AW$2, 0) = 0, $K49/(time_cap),0)),0)</f>
        <v/>
      </c>
      <c r="AX49" s="4395">
        <f>IFERROR(IF((time+time_cap)&lt;AX$2, 0,IF(AND(time+1&gt;=AY$2, $E49&lt;AY$2), IF($I49= "I", $J49/($F49-$E49+1), $J49/(($F49*($F49+1)/2)-(($E49-1)*($E49-1+1)/2))*AX$2), 0)+IF(IF(time+1&gt;=AY$2, $K49/time_cap/(time+1)*AX$2, 0) = 0, $K49/(time_cap),0)),0)</f>
        <v/>
      </c>
      <c r="AY49" s="4395">
        <f>IFERROR(IF((time+time_cap)&lt;AY$2, 0,IF(AND(time+1&gt;=AZ$2, $E49&lt;AZ$2), IF($I49= "I", $J49/($F49-$E49+1), $J49/(($F49*($F49+1)/2)-(($E49-1)*($E49-1+1)/2))*AY$2), 0)+IF(IF(time+1&gt;=AZ$2, $K49/time_cap/(time+1)*AY$2, 0) = 0, $K49/(time_cap),0)),0)</f>
        <v/>
      </c>
      <c r="AZ49" s="4395">
        <f>IFERROR(IF((time+time_cap)&lt;AZ$2, 0,IF(AND(time+1&gt;=BA$2, $E49&lt;BA$2), IF($I49= "I", $J49/($F49-$E49+1), $J49/(($F49*($F49+1)/2)-(($E49-1)*($E49-1+1)/2))*AZ$2), 0)+IF(IF(time+1&gt;=BA$2, $K49/time_cap/(time+1)*AZ$2, 0) = 0, $K49/(time_cap),0)),0)</f>
        <v/>
      </c>
      <c r="BA49" s="4395">
        <f>IFERROR(IF((time+time_cap)&lt;BA$2, 0,IF(AND(time+1&gt;=BB$2, $E49&lt;BB$2), IF($I49= "I", $J49/($F49-$E49+1), $J49/(($F49*($F49+1)/2)-(($E49-1)*($E49-1+1)/2))*BA$2), 0)+IF(IF(time+1&gt;=BB$2, $K49/time_cap/(time+1)*BA$2, 0) = 0, $K49/(time_cap),0)),0)</f>
        <v/>
      </c>
      <c r="BB49" s="4395">
        <f>IFERROR(IF((time+time_cap)&lt;BB$2, 0,IF(AND(time+1&gt;=BC$2, $E49&lt;BC$2), IF($I49= "I", $J49/($F49-$E49+1), $J49/(($F49*($F49+1)/2)-(($E49-1)*($E49-1+1)/2))*BB$2), 0)+IF(IF(time+1&gt;=BC$2, $K49/time_cap/(time+1)*BB$2, 0) = 0, $K49/(time_cap),0)),0)</f>
        <v/>
      </c>
      <c r="BC49" s="4395">
        <f>IFERROR(IF((time+time_cap)&lt;BC$2, 0,IF(AND(time+1&gt;=BD$2, $E49&lt;BD$2), IF($I49= "I", $J49/($F49-$E49+1), $J49/(($F49*($F49+1)/2)-(($E49-1)*($E49-1+1)/2))*BC$2), 0)+IF(IF(time+1&gt;=BD$2, $K49/time_cap/(time+1)*BC$2, 0) = 0, $K49/(time_cap),0)),0)</f>
        <v/>
      </c>
      <c r="BD49" s="4395">
        <f>IFERROR(IF((time+time_cap)&lt;BD$2, 0,IF(AND(time+1&gt;=BE$2, $E49&lt;BE$2), IF($I49= "I", $J49/($F49-$E49+1), $J49/(($F49*($F49+1)/2)-(($E49-1)*($E49-1+1)/2))*BD$2), 0)+IF(IF(time+1&gt;=BE$2, $K49/time_cap/(time+1)*BD$2, 0) = 0, $K49/(time_cap),0)),0)</f>
        <v/>
      </c>
      <c r="BE49" s="4395">
        <f>IFERROR(IF((time+time_cap)&lt;BE$2, 0,IF(AND(time+1&gt;=BF$2, $E49&lt;BF$2), IF($I49= "I", $J49/($F49-$E49+1), $J49/(($F49*($F49+1)/2)-(($E49-1)*($E49-1+1)/2))*BE$2), 0)+IF(IF(time+1&gt;=BF$2, $K49/time_cap/(time+1)*BE$2, 0) = 0, $K49/(time_cap),0)),0)</f>
        <v/>
      </c>
      <c r="BF49" s="4395">
        <f>IFERROR(IF((time+time_cap)&lt;BF$2, 0,IF(AND(time+1&gt;=BG$2, $E49&lt;BG$2), IF($I49= "I", $J49/($F49-$E49+1), $J49/(($F49*($F49+1)/2)-(($E49-1)*($E49-1+1)/2))*BF$2), 0)+IF(IF(time+1&gt;=BG$2, $K49/time_cap/(time+1)*BF$2, 0) = 0, $K49/(time_cap),0)),0)</f>
        <v/>
      </c>
      <c r="BG49" s="4395">
        <f>IFERROR(IF((time+time_cap)&lt;BG$2, 0,IF(AND(time+1&gt;=BH$2, $E49&lt;BH$2), IF($I49= "I", $J49/($F49-$E49+1), $J49/(($F49*($F49+1)/2)-(($E49-1)*($E49-1+1)/2))*BG$2), 0)+IF(IF(time+1&gt;=BH$2, $K49/time_cap/(time+1)*BG$2, 0) = 0, $K49/(time_cap),0)),0)</f>
        <v/>
      </c>
      <c r="BH49" s="4395">
        <f>IFERROR(IF((time+time_cap)&lt;BH$2, 0,IF(AND(time+1&gt;=BI$2, $E49&lt;BI$2), IF($I49= "I", $J49/($F49-$E49+1), $J49/(($F49*($F49+1)/2)-(($E49-1)*($E49-1+1)/2))*BH$2), 0)+IF(IF(time+1&gt;=BI$2, $K49/time_cap/(time+1)*BH$2, 0) = 0, $K49/(time_cap),0)),0)</f>
        <v/>
      </c>
      <c r="BI49" s="4395">
        <f>IFERROR(IF((time+time_cap)&lt;BI$2, 0,IF(AND(time+1&gt;=BJ$2, $E49&lt;BJ$2), IF($I49= "I", $J49/($F49-$E49+1), $J49/(($F49*($F49+1)/2)-(($E49-1)*($E49-1+1)/2))*BI$2), 0)+IF(IF(time+1&gt;=BJ$2, $K49/time_cap/(time+1)*BI$2, 0) = 0, $K49/(time_cap),0)),0)</f>
        <v/>
      </c>
      <c r="BJ49" s="4395">
        <f>IFERROR(IF((time+time_cap)&lt;BJ$2, 0,IF(AND(time+1&gt;=BK$2, $E49&lt;BK$2), IF($I49= "I", $J49/($F49-$E49+1), $J49/(($F49*($F49+1)/2)-(($E49-1)*($E49-1+1)/2))*BJ$2), 0)+IF(IF(time+1&gt;=BK$2, $K49/time_cap/(time+1)*BJ$2, 0) = 0, $K49/(time_cap),0)),0)</f>
        <v/>
      </c>
      <c r="BK49" s="4395" t="n"/>
      <c r="BL49" s="4395" t="n"/>
      <c r="BM49" s="4395" t="n"/>
      <c r="BN49" s="4395" t="n"/>
      <c r="BO49" s="4395" t="n"/>
      <c r="BP49" s="4395" t="n"/>
      <c r="BQ49" s="4395" t="n"/>
      <c r="BR49" s="4395" t="n"/>
      <c r="BS49" s="4395" t="n"/>
      <c r="BT49" s="4395" t="n"/>
      <c r="BU49" s="4395" t="n"/>
      <c r="BV49" s="4395" t="n"/>
      <c r="BW49" s="4395" t="n"/>
      <c r="BX49" s="4395" t="n"/>
      <c r="BY49" s="4395" t="n"/>
      <c r="BZ49" s="4395" t="n"/>
      <c r="CA49" s="4395" t="n"/>
      <c r="CB49" s="4395" t="n"/>
      <c r="CC49" s="4395" t="n"/>
      <c r="CD49" s="4395" t="n"/>
      <c r="CE49" s="4395" t="n"/>
      <c r="CF49" s="4395" t="n"/>
      <c r="CG49" s="4395" t="n"/>
      <c r="CH49" s="4395" t="n"/>
      <c r="CI49" s="4395" t="n"/>
      <c r="CJ49" s="4395" t="n"/>
      <c r="CK49" s="4395" t="n"/>
      <c r="CL49" s="4395" t="n"/>
      <c r="CM49" s="4395" t="n"/>
      <c r="CN49" s="4395" t="n"/>
      <c r="CO49" s="4395" t="n"/>
      <c r="CP49" s="4395" t="n"/>
      <c r="CQ49" s="4395" t="n"/>
      <c r="CR49" s="4395" t="n"/>
      <c r="CS49" s="4395" t="n"/>
      <c r="CT49" s="4395" t="n"/>
      <c r="CU49" s="4395" t="n"/>
      <c r="CV49" s="4395" t="n"/>
      <c r="CW49" s="4395" t="n"/>
      <c r="CX49" s="4395" t="n"/>
      <c r="CY49" s="4395" t="n"/>
      <c r="CZ49" s="4395" t="n"/>
      <c r="DA49" s="4395" t="n"/>
      <c r="DB49" s="4395" t="n"/>
      <c r="DC49" s="4395" t="n"/>
      <c r="DD49" s="4395" t="n"/>
      <c r="DE49" s="4395" t="n"/>
      <c r="DF49" s="4395" t="n"/>
      <c r="DG49" s="4395" t="n"/>
      <c r="DH49" s="4395" t="n"/>
    </row>
    <row r="50" ht="16" customHeight="1">
      <c r="A50" t="inlineStr">
        <is>
          <t>Annuals</t>
        </is>
      </c>
      <c r="B50">
        <f>'3.Cropland'!C34</f>
        <v/>
      </c>
      <c r="C50">
        <f>'3.Cropland'!E34</f>
        <v/>
      </c>
      <c r="D50">
        <f>'3.Cropland'!Z34</f>
        <v/>
      </c>
      <c r="E50">
        <f>IF('3.Cropland'!BP34&lt;&gt;0,'3.Cropland'!BP34, '3.Cropland'!BO34)</f>
        <v/>
      </c>
      <c r="F50">
        <f>time</f>
        <v/>
      </c>
      <c r="G50" s="4395">
        <f>'3.Cropland'!S34</f>
        <v/>
      </c>
      <c r="H50" s="4395">
        <f>'3.Cropland'!U34</f>
        <v/>
      </c>
      <c r="I50" s="4395">
        <f>IF(OR(H50="I", G50="I"), "I", IF(OR(H50="E", G50="E"), "E", "D"))</f>
        <v/>
      </c>
      <c r="J50" s="4395">
        <f>((D50/(time_cap+((F50-E50+1)*VLOOKUP(I50,list!$I$48:$K$50,3, FALSE))))*(F50-E50+1)*VLOOKUP(I50,list!$I$48:$K$50,3, FALSE))</f>
        <v/>
      </c>
      <c r="K50" s="4395">
        <f>((D50/(time_cap+((F50-E50+1)*VLOOKUP(I50,list!$I$48:$K$50,3, FALSE))))*time_cap)</f>
        <v/>
      </c>
      <c r="M50" s="4395">
        <f>IFERROR(IF((time+time_cap)&lt;M$2, 0,IF(AND(time+1&gt;=N$2, $E50&lt;N$2), IF($I50= "I", $J50/($F50-$E50+1), $J50/(($F50*($F50+1)/2)-(($E50-1)*($E50-1+1)/2))*M$2), 0)+IF(IF(time+1&gt;=N$2, $K50/time_cap/(time+1)*M$2, 0) = 0, $K50/(time_cap),0)),0)</f>
        <v/>
      </c>
      <c r="N50" s="4395">
        <f>IFERROR(IF((time+time_cap)&lt;N$2, 0,IF(AND(time+1&gt;=O$2, $E50&lt;O$2), IF($I50= "I", $J50/($F50-$E50+1), $J50/(($F50*($F50+1)/2)-(($E50-1)*($E50-1+1)/2))*N$2), 0)+IF(IF(time+1&gt;=O$2, $K50/time_cap/(time+1)*N$2, 0) = 0, $K50/(time_cap),0)),0)</f>
        <v/>
      </c>
      <c r="O50" s="4395">
        <f>IFERROR(IF((time+time_cap)&lt;O$2, 0,IF(AND(time+1&gt;=P$2, $E50&lt;P$2), IF($I50= "I", $J50/($F50-$E50+1), $J50/(($F50*($F50+1)/2)-(($E50-1)*($E50-1+1)/2))*O$2), 0)+IF(IF(time+1&gt;=P$2, $K50/time_cap/(time+1)*O$2, 0) = 0, $K50/(time_cap),0)),0)</f>
        <v/>
      </c>
      <c r="P50" s="4395">
        <f>IFERROR(IF((time+time_cap)&lt;P$2, 0,IF(AND(time+1&gt;=Q$2, $E50&lt;Q$2), IF($I50= "I", $J50/($F50-$E50+1), $J50/(($F50*($F50+1)/2)-(($E50-1)*($E50-1+1)/2))*P$2), 0)+IF(IF(time+1&gt;=Q$2, $K50/time_cap/(time+1)*P$2, 0) = 0, $K50/(time_cap),0)),0)</f>
        <v/>
      </c>
      <c r="Q50" s="4395">
        <f>IFERROR(IF((time+time_cap)&lt;Q$2, 0,IF(AND(time+1&gt;=R$2, $E50&lt;R$2), IF($I50= "I", $J50/($F50-$E50+1), $J50/(($F50*($F50+1)/2)-(($E50-1)*($E50-1+1)/2))*Q$2), 0)+IF(IF(time+1&gt;=R$2, $K50/time_cap/(time+1)*Q$2, 0) = 0, $K50/(time_cap),0)),0)</f>
        <v/>
      </c>
      <c r="R50" s="4395">
        <f>IFERROR(IF((time+time_cap)&lt;R$2, 0,IF(AND(time+1&gt;=S$2, $E50&lt;S$2), IF($I50= "I", $J50/($F50-$E50+1), $J50/(($F50*($F50+1)/2)-(($E50-1)*($E50-1+1)/2))*R$2), 0)+IF(IF(time+1&gt;=S$2, $K50/time_cap/(time+1)*R$2, 0) = 0, $K50/(time_cap),0)),0)</f>
        <v/>
      </c>
      <c r="S50" s="4395">
        <f>IFERROR(IF((time+time_cap)&lt;S$2, 0,IF(AND(time+1&gt;=T$2, $E50&lt;T$2), IF($I50= "I", $J50/($F50-$E50+1), $J50/(($F50*($F50+1)/2)-(($E50-1)*($E50-1+1)/2))*S$2), 0)+IF(IF(time+1&gt;=T$2, $K50/time_cap/(time+1)*S$2, 0) = 0, $K50/(time_cap),0)),0)</f>
        <v/>
      </c>
      <c r="T50" s="4395">
        <f>IFERROR(IF((time+time_cap)&lt;T$2, 0,IF(AND(time+1&gt;=U$2, $E50&lt;U$2), IF($I50= "I", $J50/($F50-$E50+1), $J50/(($F50*($F50+1)/2)-(($E50-1)*($E50-1+1)/2))*T$2), 0)+IF(IF(time+1&gt;=U$2, $K50/time_cap/(time+1)*T$2, 0) = 0, $K50/(time_cap),0)),0)</f>
        <v/>
      </c>
      <c r="U50" s="4395">
        <f>IFERROR(IF((time+time_cap)&lt;U$2, 0,IF(AND(time+1&gt;=V$2, $E50&lt;V$2), IF($I50= "I", $J50/($F50-$E50+1), $J50/(($F50*($F50+1)/2)-(($E50-1)*($E50-1+1)/2))*U$2), 0)+IF(IF(time+1&gt;=V$2, $K50/time_cap/(time+1)*U$2, 0) = 0, $K50/(time_cap),0)),0)</f>
        <v/>
      </c>
      <c r="V50" s="4395">
        <f>IFERROR(IF((time+time_cap)&lt;V$2, 0,IF(AND(time+1&gt;=W$2, $E50&lt;W$2), IF($I50= "I", $J50/($F50-$E50+1), $J50/(($F50*($F50+1)/2)-(($E50-1)*($E50-1+1)/2))*V$2), 0)+IF(IF(time+1&gt;=W$2, $K50/time_cap/(time+1)*V$2, 0) = 0, $K50/(time_cap),0)),0)</f>
        <v/>
      </c>
      <c r="W50" s="4395">
        <f>IFERROR(IF((time+time_cap)&lt;W$2, 0,IF(AND(time+1&gt;=X$2, $E50&lt;X$2), IF($I50= "I", $J50/($F50-$E50+1), $J50/(($F50*($F50+1)/2)-(($E50-1)*($E50-1+1)/2))*W$2), 0)+IF(IF(time+1&gt;=X$2, $K50/time_cap/(time+1)*W$2, 0) = 0, $K50/(time_cap),0)),0)</f>
        <v/>
      </c>
      <c r="X50" s="4395">
        <f>IFERROR(IF((time+time_cap)&lt;X$2, 0,IF(AND(time+1&gt;=Y$2, $E50&lt;Y$2), IF($I50= "I", $J50/($F50-$E50+1), $J50/(($F50*($F50+1)/2)-(($E50-1)*($E50-1+1)/2))*X$2), 0)+IF(IF(time+1&gt;=Y$2, $K50/time_cap/(time+1)*X$2, 0) = 0, $K50/(time_cap),0)),0)</f>
        <v/>
      </c>
      <c r="Y50" s="4395">
        <f>IFERROR(IF((time+time_cap)&lt;Y$2, 0,IF(AND(time+1&gt;=Z$2, $E50&lt;Z$2), IF($I50= "I", $J50/($F50-$E50+1), $J50/(($F50*($F50+1)/2)-(($E50-1)*($E50-1+1)/2))*Y$2), 0)+IF(IF(time+1&gt;=Z$2, $K50/time_cap/(time+1)*Y$2, 0) = 0, $K50/(time_cap),0)),0)</f>
        <v/>
      </c>
      <c r="Z50" s="4395">
        <f>IFERROR(IF((time+time_cap)&lt;Z$2, 0,IF(AND(time+1&gt;=AA$2, $E50&lt;AA$2), IF($I50= "I", $J50/($F50-$E50+1), $J50/(($F50*($F50+1)/2)-(($E50-1)*($E50-1+1)/2))*Z$2), 0)+IF(IF(time+1&gt;=AA$2, $K50/time_cap/(time+1)*Z$2, 0) = 0, $K50/(time_cap),0)),0)</f>
        <v/>
      </c>
      <c r="AA50" s="4395">
        <f>IFERROR(IF((time+time_cap)&lt;AA$2, 0,IF(AND(time+1&gt;=AB$2, $E50&lt;AB$2), IF($I50= "I", $J50/($F50-$E50+1), $J50/(($F50*($F50+1)/2)-(($E50-1)*($E50-1+1)/2))*AA$2), 0)+IF(IF(time+1&gt;=AB$2, $K50/time_cap/(time+1)*AA$2, 0) = 0, $K50/(time_cap),0)),0)</f>
        <v/>
      </c>
      <c r="AB50" s="4395">
        <f>IFERROR(IF((time+time_cap)&lt;AB$2, 0,IF(AND(time+1&gt;=AC$2, $E50&lt;AC$2), IF($I50= "I", $J50/($F50-$E50+1), $J50/(($F50*($F50+1)/2)-(($E50-1)*($E50-1+1)/2))*AB$2), 0)+IF(IF(time+1&gt;=AC$2, $K50/time_cap/(time+1)*AB$2, 0) = 0, $K50/(time_cap),0)),0)</f>
        <v/>
      </c>
      <c r="AC50" s="4395">
        <f>IFERROR(IF((time+time_cap)&lt;AC$2, 0,IF(AND(time+1&gt;=AD$2, $E50&lt;AD$2), IF($I50= "I", $J50/($F50-$E50+1), $J50/(($F50*($F50+1)/2)-(($E50-1)*($E50-1+1)/2))*AC$2), 0)+IF(IF(time+1&gt;=AD$2, $K50/time_cap/(time+1)*AC$2, 0) = 0, $K50/(time_cap),0)),0)</f>
        <v/>
      </c>
      <c r="AD50" s="4395">
        <f>IFERROR(IF((time+time_cap)&lt;AD$2, 0,IF(AND(time+1&gt;=AE$2, $E50&lt;AE$2), IF($I50= "I", $J50/($F50-$E50+1), $J50/(($F50*($F50+1)/2)-(($E50-1)*($E50-1+1)/2))*AD$2), 0)+IF(IF(time+1&gt;=AE$2, $K50/time_cap/(time+1)*AD$2, 0) = 0, $K50/(time_cap),0)),0)</f>
        <v/>
      </c>
      <c r="AE50" s="4395">
        <f>IFERROR(IF((time+time_cap)&lt;AE$2, 0,IF(AND(time+1&gt;=AF$2, $E50&lt;AF$2), IF($I50= "I", $J50/($F50-$E50+1), $J50/(($F50*($F50+1)/2)-(($E50-1)*($E50-1+1)/2))*AE$2), 0)+IF(IF(time+1&gt;=AF$2, $K50/time_cap/(time+1)*AE$2, 0) = 0, $K50/(time_cap),0)),0)</f>
        <v/>
      </c>
      <c r="AF50" s="4395">
        <f>IFERROR(IF((time+time_cap)&lt;AF$2, 0,IF(AND(time+1&gt;=AG$2, $E50&lt;AG$2), IF($I50= "I", $J50/($F50-$E50+1), $J50/(($F50*($F50+1)/2)-(($E50-1)*($E50-1+1)/2))*AF$2), 0)+IF(IF(time+1&gt;=AG$2, $K50/time_cap/(time+1)*AF$2, 0) = 0, $K50/(time_cap),0)),0)</f>
        <v/>
      </c>
      <c r="AG50" s="4395">
        <f>IFERROR(IF((time+time_cap)&lt;AG$2, 0,IF(AND(time+1&gt;=AH$2, $E50&lt;AH$2), IF($I50= "I", $J50/($F50-$E50+1), $J50/(($F50*($F50+1)/2)-(($E50-1)*($E50-1+1)/2))*AG$2), 0)+IF(IF(time+1&gt;=AH$2, $K50/time_cap/(time+1)*AG$2, 0) = 0, $K50/(time_cap),0)),0)</f>
        <v/>
      </c>
      <c r="AH50" s="4395">
        <f>IFERROR(IF((time+time_cap)&lt;AH$2, 0,IF(AND(time+1&gt;=AI$2, $E50&lt;AI$2), IF($I50= "I", $J50/($F50-$E50+1), $J50/(($F50*($F50+1)/2)-(($E50-1)*($E50-1+1)/2))*AH$2), 0)+IF(IF(time+1&gt;=AI$2, $K50/time_cap/(time+1)*AH$2, 0) = 0, $K50/(time_cap),0)),0)</f>
        <v/>
      </c>
      <c r="AI50" s="4395">
        <f>IFERROR(IF((time+time_cap)&lt;AI$2, 0,IF(AND(time+1&gt;=AJ$2, $E50&lt;AJ$2), IF($I50= "I", $J50/($F50-$E50+1), $J50/(($F50*($F50+1)/2)-(($E50-1)*($E50-1+1)/2))*AI$2), 0)+IF(IF(time+1&gt;=AJ$2, $K50/time_cap/(time+1)*AI$2, 0) = 0, $K50/(time_cap),0)),0)</f>
        <v/>
      </c>
      <c r="AJ50" s="4395">
        <f>IFERROR(IF((time+time_cap)&lt;AJ$2, 0,IF(AND(time+1&gt;=AK$2, $E50&lt;AK$2), IF($I50= "I", $J50/($F50-$E50+1), $J50/(($F50*($F50+1)/2)-(($E50-1)*($E50-1+1)/2))*AJ$2), 0)+IF(IF(time+1&gt;=AK$2, $K50/time_cap/(time+1)*AJ$2, 0) = 0, $K50/(time_cap),0)),0)</f>
        <v/>
      </c>
      <c r="AK50" s="4395">
        <f>IFERROR(IF((time+time_cap)&lt;AK$2, 0,IF(AND(time+1&gt;=AL$2, $E50&lt;AL$2), IF($I50= "I", $J50/($F50-$E50+1), $J50/(($F50*($F50+1)/2)-(($E50-1)*($E50-1+1)/2))*AK$2), 0)+IF(IF(time+1&gt;=AL$2, $K50/time_cap/(time+1)*AK$2, 0) = 0, $K50/(time_cap),0)),0)</f>
        <v/>
      </c>
      <c r="AL50" s="4395">
        <f>IFERROR(IF((time+time_cap)&lt;AL$2, 0,IF(AND(time+1&gt;=AM$2, $E50&lt;AM$2), IF($I50= "I", $J50/($F50-$E50+1), $J50/(($F50*($F50+1)/2)-(($E50-1)*($E50-1+1)/2))*AL$2), 0)+IF(IF(time+1&gt;=AM$2, $K50/time_cap/(time+1)*AL$2, 0) = 0, $K50/(time_cap),0)),0)</f>
        <v/>
      </c>
      <c r="AM50" s="4395">
        <f>IFERROR(IF((time+time_cap)&lt;AM$2, 0,IF(AND(time+1&gt;=AN$2, $E50&lt;AN$2), IF($I50= "I", $J50/($F50-$E50+1), $J50/(($F50*($F50+1)/2)-(($E50-1)*($E50-1+1)/2))*AM$2), 0)+IF(IF(time+1&gt;=AN$2, $K50/time_cap/(time+1)*AM$2, 0) = 0, $K50/(time_cap),0)),0)</f>
        <v/>
      </c>
      <c r="AN50" s="4395">
        <f>IFERROR(IF((time+time_cap)&lt;AN$2, 0,IF(AND(time+1&gt;=AO$2, $E50&lt;AO$2), IF($I50= "I", $J50/($F50-$E50+1), $J50/(($F50*($F50+1)/2)-(($E50-1)*($E50-1+1)/2))*AN$2), 0)+IF(IF(time+1&gt;=AO$2, $K50/time_cap/(time+1)*AN$2, 0) = 0, $K50/(time_cap),0)),0)</f>
        <v/>
      </c>
      <c r="AO50" s="4395">
        <f>IFERROR(IF((time+time_cap)&lt;AO$2, 0,IF(AND(time+1&gt;=AP$2, $E50&lt;AP$2), IF($I50= "I", $J50/($F50-$E50+1), $J50/(($F50*($F50+1)/2)-(($E50-1)*($E50-1+1)/2))*AO$2), 0)+IF(IF(time+1&gt;=AP$2, $K50/time_cap/(time+1)*AO$2, 0) = 0, $K50/(time_cap),0)),0)</f>
        <v/>
      </c>
      <c r="AP50" s="4395">
        <f>IFERROR(IF((time+time_cap)&lt;AP$2, 0,IF(AND(time+1&gt;=AQ$2, $E50&lt;AQ$2), IF($I50= "I", $J50/($F50-$E50+1), $J50/(($F50*($F50+1)/2)-(($E50-1)*($E50-1+1)/2))*AP$2), 0)+IF(IF(time+1&gt;=AQ$2, $K50/time_cap/(time+1)*AP$2, 0) = 0, $K50/(time_cap),0)),0)</f>
        <v/>
      </c>
      <c r="AQ50" s="4395">
        <f>IFERROR(IF((time+time_cap)&lt;AQ$2, 0,IF(AND(time+1&gt;=AR$2, $E50&lt;AR$2), IF($I50= "I", $J50/($F50-$E50+1), $J50/(($F50*($F50+1)/2)-(($E50-1)*($E50-1+1)/2))*AQ$2), 0)+IF(IF(time+1&gt;=AR$2, $K50/time_cap/(time+1)*AQ$2, 0) = 0, $K50/(time_cap),0)),0)</f>
        <v/>
      </c>
      <c r="AR50" s="4395">
        <f>IFERROR(IF((time+time_cap)&lt;AR$2, 0,IF(AND(time+1&gt;=AS$2, $E50&lt;AS$2), IF($I50= "I", $J50/($F50-$E50+1), $J50/(($F50*($F50+1)/2)-(($E50-1)*($E50-1+1)/2))*AR$2), 0)+IF(IF(time+1&gt;=AS$2, $K50/time_cap/(time+1)*AR$2, 0) = 0, $K50/(time_cap),0)),0)</f>
        <v/>
      </c>
      <c r="AS50" s="4395">
        <f>IFERROR(IF((time+time_cap)&lt;AS$2, 0,IF(AND(time+1&gt;=AT$2, $E50&lt;AT$2), IF($I50= "I", $J50/($F50-$E50+1), $J50/(($F50*($F50+1)/2)-(($E50-1)*($E50-1+1)/2))*AS$2), 0)+IF(IF(time+1&gt;=AT$2, $K50/time_cap/(time+1)*AS$2, 0) = 0, $K50/(time_cap),0)),0)</f>
        <v/>
      </c>
      <c r="AT50" s="4395">
        <f>IFERROR(IF((time+time_cap)&lt;AT$2, 0,IF(AND(time+1&gt;=AU$2, $E50&lt;AU$2), IF($I50= "I", $J50/($F50-$E50+1), $J50/(($F50*($F50+1)/2)-(($E50-1)*($E50-1+1)/2))*AT$2), 0)+IF(IF(time+1&gt;=AU$2, $K50/time_cap/(time+1)*AT$2, 0) = 0, $K50/(time_cap),0)),0)</f>
        <v/>
      </c>
      <c r="AU50" s="4395">
        <f>IFERROR(IF((time+time_cap)&lt;AU$2, 0,IF(AND(time+1&gt;=AV$2, $E50&lt;AV$2), IF($I50= "I", $J50/($F50-$E50+1), $J50/(($F50*($F50+1)/2)-(($E50-1)*($E50-1+1)/2))*AU$2), 0)+IF(IF(time+1&gt;=AV$2, $K50/time_cap/(time+1)*AU$2, 0) = 0, $K50/(time_cap),0)),0)</f>
        <v/>
      </c>
      <c r="AV50" s="4395">
        <f>IFERROR(IF((time+time_cap)&lt;AV$2, 0,IF(AND(time+1&gt;=AW$2, $E50&lt;AW$2), IF($I50= "I", $J50/($F50-$E50+1), $J50/(($F50*($F50+1)/2)-(($E50-1)*($E50-1+1)/2))*AV$2), 0)+IF(IF(time+1&gt;=AW$2, $K50/time_cap/(time+1)*AV$2, 0) = 0, $K50/(time_cap),0)),0)</f>
        <v/>
      </c>
      <c r="AW50" s="4395">
        <f>IFERROR(IF((time+time_cap)&lt;AW$2, 0,IF(AND(time+1&gt;=AX$2, $E50&lt;AX$2), IF($I50= "I", $J50/($F50-$E50+1), $J50/(($F50*($F50+1)/2)-(($E50-1)*($E50-1+1)/2))*AW$2), 0)+IF(IF(time+1&gt;=AX$2, $K50/time_cap/(time+1)*AW$2, 0) = 0, $K50/(time_cap),0)),0)</f>
        <v/>
      </c>
      <c r="AX50" s="4395">
        <f>IFERROR(IF((time+time_cap)&lt;AX$2, 0,IF(AND(time+1&gt;=AY$2, $E50&lt;AY$2), IF($I50= "I", $J50/($F50-$E50+1), $J50/(($F50*($F50+1)/2)-(($E50-1)*($E50-1+1)/2))*AX$2), 0)+IF(IF(time+1&gt;=AY$2, $K50/time_cap/(time+1)*AX$2, 0) = 0, $K50/(time_cap),0)),0)</f>
        <v/>
      </c>
      <c r="AY50" s="4395">
        <f>IFERROR(IF((time+time_cap)&lt;AY$2, 0,IF(AND(time+1&gt;=AZ$2, $E50&lt;AZ$2), IF($I50= "I", $J50/($F50-$E50+1), $J50/(($F50*($F50+1)/2)-(($E50-1)*($E50-1+1)/2))*AY$2), 0)+IF(IF(time+1&gt;=AZ$2, $K50/time_cap/(time+1)*AY$2, 0) = 0, $K50/(time_cap),0)),0)</f>
        <v/>
      </c>
      <c r="AZ50" s="4395">
        <f>IFERROR(IF((time+time_cap)&lt;AZ$2, 0,IF(AND(time+1&gt;=BA$2, $E50&lt;BA$2), IF($I50= "I", $J50/($F50-$E50+1), $J50/(($F50*($F50+1)/2)-(($E50-1)*($E50-1+1)/2))*AZ$2), 0)+IF(IF(time+1&gt;=BA$2, $K50/time_cap/(time+1)*AZ$2, 0) = 0, $K50/(time_cap),0)),0)</f>
        <v/>
      </c>
      <c r="BA50" s="4395">
        <f>IFERROR(IF((time+time_cap)&lt;BA$2, 0,IF(AND(time+1&gt;=BB$2, $E50&lt;BB$2), IF($I50= "I", $J50/($F50-$E50+1), $J50/(($F50*($F50+1)/2)-(($E50-1)*($E50-1+1)/2))*BA$2), 0)+IF(IF(time+1&gt;=BB$2, $K50/time_cap/(time+1)*BA$2, 0) = 0, $K50/(time_cap),0)),0)</f>
        <v/>
      </c>
      <c r="BB50" s="4395">
        <f>IFERROR(IF((time+time_cap)&lt;BB$2, 0,IF(AND(time+1&gt;=BC$2, $E50&lt;BC$2), IF($I50= "I", $J50/($F50-$E50+1), $J50/(($F50*($F50+1)/2)-(($E50-1)*($E50-1+1)/2))*BB$2), 0)+IF(IF(time+1&gt;=BC$2, $K50/time_cap/(time+1)*BB$2, 0) = 0, $K50/(time_cap),0)),0)</f>
        <v/>
      </c>
      <c r="BC50" s="4395">
        <f>IFERROR(IF((time+time_cap)&lt;BC$2, 0,IF(AND(time+1&gt;=BD$2, $E50&lt;BD$2), IF($I50= "I", $J50/($F50-$E50+1), $J50/(($F50*($F50+1)/2)-(($E50-1)*($E50-1+1)/2))*BC$2), 0)+IF(IF(time+1&gt;=BD$2, $K50/time_cap/(time+1)*BC$2, 0) = 0, $K50/(time_cap),0)),0)</f>
        <v/>
      </c>
      <c r="BD50" s="4395">
        <f>IFERROR(IF((time+time_cap)&lt;BD$2, 0,IF(AND(time+1&gt;=BE$2, $E50&lt;BE$2), IF($I50= "I", $J50/($F50-$E50+1), $J50/(($F50*($F50+1)/2)-(($E50-1)*($E50-1+1)/2))*BD$2), 0)+IF(IF(time+1&gt;=BE$2, $K50/time_cap/(time+1)*BD$2, 0) = 0, $K50/(time_cap),0)),0)</f>
        <v/>
      </c>
      <c r="BE50" s="4395">
        <f>IFERROR(IF((time+time_cap)&lt;BE$2, 0,IF(AND(time+1&gt;=BF$2, $E50&lt;BF$2), IF($I50= "I", $J50/($F50-$E50+1), $J50/(($F50*($F50+1)/2)-(($E50-1)*($E50-1+1)/2))*BE$2), 0)+IF(IF(time+1&gt;=BF$2, $K50/time_cap/(time+1)*BE$2, 0) = 0, $K50/(time_cap),0)),0)</f>
        <v/>
      </c>
      <c r="BF50" s="4395">
        <f>IFERROR(IF((time+time_cap)&lt;BF$2, 0,IF(AND(time+1&gt;=BG$2, $E50&lt;BG$2), IF($I50= "I", $J50/($F50-$E50+1), $J50/(($F50*($F50+1)/2)-(($E50-1)*($E50-1+1)/2))*BF$2), 0)+IF(IF(time+1&gt;=BG$2, $K50/time_cap/(time+1)*BF$2, 0) = 0, $K50/(time_cap),0)),0)</f>
        <v/>
      </c>
      <c r="BG50" s="4395">
        <f>IFERROR(IF((time+time_cap)&lt;BG$2, 0,IF(AND(time+1&gt;=BH$2, $E50&lt;BH$2), IF($I50= "I", $J50/($F50-$E50+1), $J50/(($F50*($F50+1)/2)-(($E50-1)*($E50-1+1)/2))*BG$2), 0)+IF(IF(time+1&gt;=BH$2, $K50/time_cap/(time+1)*BG$2, 0) = 0, $K50/(time_cap),0)),0)</f>
        <v/>
      </c>
      <c r="BH50" s="4395">
        <f>IFERROR(IF((time+time_cap)&lt;BH$2, 0,IF(AND(time+1&gt;=BI$2, $E50&lt;BI$2), IF($I50= "I", $J50/($F50-$E50+1), $J50/(($F50*($F50+1)/2)-(($E50-1)*($E50-1+1)/2))*BH$2), 0)+IF(IF(time+1&gt;=BI$2, $K50/time_cap/(time+1)*BH$2, 0) = 0, $K50/(time_cap),0)),0)</f>
        <v/>
      </c>
      <c r="BI50" s="4395">
        <f>IFERROR(IF((time+time_cap)&lt;BI$2, 0,IF(AND(time+1&gt;=BJ$2, $E50&lt;BJ$2), IF($I50= "I", $J50/($F50-$E50+1), $J50/(($F50*($F50+1)/2)-(($E50-1)*($E50-1+1)/2))*BI$2), 0)+IF(IF(time+1&gt;=BJ$2, $K50/time_cap/(time+1)*BI$2, 0) = 0, $K50/(time_cap),0)),0)</f>
        <v/>
      </c>
      <c r="BJ50" s="4395">
        <f>IFERROR(IF((time+time_cap)&lt;BJ$2, 0,IF(AND(time+1&gt;=BK$2, $E50&lt;BK$2), IF($I50= "I", $J50/($F50-$E50+1), $J50/(($F50*($F50+1)/2)-(($E50-1)*($E50-1+1)/2))*BJ$2), 0)+IF(IF(time+1&gt;=BK$2, $K50/time_cap/(time+1)*BJ$2, 0) = 0, $K50/(time_cap),0)),0)</f>
        <v/>
      </c>
      <c r="BK50" s="4395" t="n"/>
      <c r="BL50" s="4395" t="n"/>
      <c r="BM50" s="4395" t="n"/>
      <c r="BN50" s="4395" t="n"/>
      <c r="BO50" s="4395" t="n"/>
      <c r="BP50" s="4395" t="n"/>
      <c r="BQ50" s="4395" t="n"/>
      <c r="BR50" s="4395" t="n"/>
      <c r="BS50" s="4395" t="n"/>
      <c r="BT50" s="4395" t="n"/>
      <c r="BU50" s="4395" t="n"/>
      <c r="BV50" s="4395" t="n"/>
      <c r="BW50" s="4395" t="n"/>
      <c r="BX50" s="4395" t="n"/>
      <c r="BY50" s="4395" t="n"/>
      <c r="BZ50" s="4395" t="n"/>
      <c r="CA50" s="4395" t="n"/>
      <c r="CB50" s="4395" t="n"/>
      <c r="CC50" s="4395" t="n"/>
      <c r="CD50" s="4395" t="n"/>
      <c r="CE50" s="4395" t="n"/>
      <c r="CF50" s="4395" t="n"/>
      <c r="CG50" s="4395" t="n"/>
      <c r="CH50" s="4395" t="n"/>
      <c r="CI50" s="4395" t="n"/>
      <c r="CJ50" s="4395" t="n"/>
      <c r="CK50" s="4395" t="n"/>
      <c r="CL50" s="4395" t="n"/>
      <c r="CM50" s="4395" t="n"/>
      <c r="CN50" s="4395" t="n"/>
      <c r="CO50" s="4395" t="n"/>
      <c r="CP50" s="4395" t="n"/>
      <c r="CQ50" s="4395" t="n"/>
      <c r="CR50" s="4395" t="n"/>
      <c r="CS50" s="4395" t="n"/>
      <c r="CT50" s="4395" t="n"/>
      <c r="CU50" s="4395" t="n"/>
      <c r="CV50" s="4395" t="n"/>
      <c r="CW50" s="4395" t="n"/>
      <c r="CX50" s="4395" t="n"/>
      <c r="CY50" s="4395" t="n"/>
      <c r="CZ50" s="4395" t="n"/>
      <c r="DA50" s="4395" t="n"/>
      <c r="DB50" s="4395" t="n"/>
      <c r="DC50" s="4395" t="n"/>
      <c r="DD50" s="4395" t="n"/>
      <c r="DE50" s="4395" t="n"/>
      <c r="DF50" s="4395" t="n"/>
      <c r="DG50" s="4395" t="n"/>
      <c r="DH50" s="4395" t="n"/>
    </row>
    <row r="51" ht="16" customHeight="1">
      <c r="A51" t="inlineStr">
        <is>
          <t>Perennials</t>
        </is>
      </c>
      <c r="C51">
        <f>'3.Cropland'!E56</f>
        <v/>
      </c>
      <c r="D51">
        <f>'3.Cropland'!Z56</f>
        <v/>
      </c>
      <c r="E51">
        <f>IF('3.Cropland'!BL56&lt;&gt;0,'3.Cropland'!BL56, '3.Cropland'!BK56)</f>
        <v/>
      </c>
      <c r="F51">
        <f>time</f>
        <v/>
      </c>
      <c r="G51" s="4395" t="inlineStr">
        <is>
          <t>D</t>
        </is>
      </c>
      <c r="H51" s="4395" t="inlineStr">
        <is>
          <t>D</t>
        </is>
      </c>
      <c r="I51" s="4395">
        <f>IF(OR(H51="I", G51="I"), "I", IF(OR(H51="E", G51="E"), "E", "D"))</f>
        <v/>
      </c>
      <c r="J51" s="4395">
        <f>((D51/(time_cap+((F51-E51+1)*VLOOKUP(I51,list!$I$48:$K$50,3, FALSE))))*(F51-E51+1)*VLOOKUP(I51,list!$I$48:$K$50,3, FALSE))</f>
        <v/>
      </c>
      <c r="K51" s="4395">
        <f>((D51/(time_cap+((F51-E51+1)*VLOOKUP(I51,list!$I$48:$K$50,3, FALSE))))*time_cap)</f>
        <v/>
      </c>
      <c r="M51" s="4395">
        <f>IFERROR(IF((time+time_cap)&lt;M$2, 0,IF(AND(time+1&gt;=N$2, $E51&lt;N$2), IF($I51= "I", $J51/($F51-$E51+1), $J51/(($F51*($F51+1)/2)-(($E51-1)*($E51-1+1)/2))*M$2), 0)+IF(IF(time+1&gt;=N$2, $K51/time_cap/(time+1)*M$2, 0) = 0, $K51/(time_cap),0)),0)</f>
        <v/>
      </c>
      <c r="N51" s="4395">
        <f>IFERROR(IF((time+time_cap)&lt;N$2, 0,IF(AND(time+1&gt;=O$2, $E51&lt;O$2), IF($I51= "I", $J51/($F51-$E51+1), $J51/(($F51*($F51+1)/2)-(($E51-1)*($E51-1+1)/2))*N$2), 0)+IF(IF(time+1&gt;=O$2, $K51/time_cap/(time+1)*N$2, 0) = 0, $K51/(time_cap),0)),0)</f>
        <v/>
      </c>
      <c r="O51" s="4395">
        <f>IFERROR(IF((time+time_cap)&lt;O$2, 0,IF(AND(time+1&gt;=P$2, $E51&lt;P$2), IF($I51= "I", $J51/($F51-$E51+1), $J51/(($F51*($F51+1)/2)-(($E51-1)*($E51-1+1)/2))*O$2), 0)+IF(IF(time+1&gt;=P$2, $K51/time_cap/(time+1)*O$2, 0) = 0, $K51/(time_cap),0)),0)</f>
        <v/>
      </c>
      <c r="P51" s="4395">
        <f>IFERROR(IF((time+time_cap)&lt;P$2, 0,IF(AND(time+1&gt;=Q$2, $E51&lt;Q$2), IF($I51= "I", $J51/($F51-$E51+1), $J51/(($F51*($F51+1)/2)-(($E51-1)*($E51-1+1)/2))*P$2), 0)+IF(IF(time+1&gt;=Q$2, $K51/time_cap/(time+1)*P$2, 0) = 0, $K51/(time_cap),0)),0)</f>
        <v/>
      </c>
      <c r="Q51" s="4395">
        <f>IFERROR(IF((time+time_cap)&lt;Q$2, 0,IF(AND(time+1&gt;=R$2, $E51&lt;R$2), IF($I51= "I", $J51/($F51-$E51+1), $J51/(($F51*($F51+1)/2)-(($E51-1)*($E51-1+1)/2))*Q$2), 0)+IF(IF(time+1&gt;=R$2, $K51/time_cap/(time+1)*Q$2, 0) = 0, $K51/(time_cap),0)),0)</f>
        <v/>
      </c>
      <c r="R51" s="4395">
        <f>IFERROR(IF((time+time_cap)&lt;R$2, 0,IF(AND(time+1&gt;=S$2, $E51&lt;S$2), IF($I51= "I", $J51/($F51-$E51+1), $J51/(($F51*($F51+1)/2)-(($E51-1)*($E51-1+1)/2))*R$2), 0)+IF(IF(time+1&gt;=S$2, $K51/time_cap/(time+1)*R$2, 0) = 0, $K51/(time_cap),0)),0)</f>
        <v/>
      </c>
      <c r="S51" s="4395">
        <f>IFERROR(IF((time+time_cap)&lt;S$2, 0,IF(AND(time+1&gt;=T$2, $E51&lt;T$2), IF($I51= "I", $J51/($F51-$E51+1), $J51/(($F51*($F51+1)/2)-(($E51-1)*($E51-1+1)/2))*S$2), 0)+IF(IF(time+1&gt;=T$2, $K51/time_cap/(time+1)*S$2, 0) = 0, $K51/(time_cap),0)),0)</f>
        <v/>
      </c>
      <c r="T51" s="4395">
        <f>IFERROR(IF((time+time_cap)&lt;T$2, 0,IF(AND(time+1&gt;=U$2, $E51&lt;U$2), IF($I51= "I", $J51/($F51-$E51+1), $J51/(($F51*($F51+1)/2)-(($E51-1)*($E51-1+1)/2))*T$2), 0)+IF(IF(time+1&gt;=U$2, $K51/time_cap/(time+1)*T$2, 0) = 0, $K51/(time_cap),0)),0)</f>
        <v/>
      </c>
      <c r="U51" s="4395">
        <f>IFERROR(IF((time+time_cap)&lt;U$2, 0,IF(AND(time+1&gt;=V$2, $E51&lt;V$2), IF($I51= "I", $J51/($F51-$E51+1), $J51/(($F51*($F51+1)/2)-(($E51-1)*($E51-1+1)/2))*U$2), 0)+IF(IF(time+1&gt;=V$2, $K51/time_cap/(time+1)*U$2, 0) = 0, $K51/(time_cap),0)),0)</f>
        <v/>
      </c>
      <c r="V51" s="4395">
        <f>IFERROR(IF((time+time_cap)&lt;V$2, 0,IF(AND(time+1&gt;=W$2, $E51&lt;W$2), IF($I51= "I", $J51/($F51-$E51+1), $J51/(($F51*($F51+1)/2)-(($E51-1)*($E51-1+1)/2))*V$2), 0)+IF(IF(time+1&gt;=W$2, $K51/time_cap/(time+1)*V$2, 0) = 0, $K51/(time_cap),0)),0)</f>
        <v/>
      </c>
      <c r="W51" s="4395">
        <f>IFERROR(IF((time+time_cap)&lt;W$2, 0,IF(AND(time+1&gt;=X$2, $E51&lt;X$2), IF($I51= "I", $J51/($F51-$E51+1), $J51/(($F51*($F51+1)/2)-(($E51-1)*($E51-1+1)/2))*W$2), 0)+IF(IF(time+1&gt;=X$2, $K51/time_cap/(time+1)*W$2, 0) = 0, $K51/(time_cap),0)),0)</f>
        <v/>
      </c>
      <c r="X51" s="4395">
        <f>IFERROR(IF((time+time_cap)&lt;X$2, 0,IF(AND(time+1&gt;=Y$2, $E51&lt;Y$2), IF($I51= "I", $J51/($F51-$E51+1), $J51/(($F51*($F51+1)/2)-(($E51-1)*($E51-1+1)/2))*X$2), 0)+IF(IF(time+1&gt;=Y$2, $K51/time_cap/(time+1)*X$2, 0) = 0, $K51/(time_cap),0)),0)</f>
        <v/>
      </c>
      <c r="Y51" s="4395">
        <f>IFERROR(IF((time+time_cap)&lt;Y$2, 0,IF(AND(time+1&gt;=Z$2, $E51&lt;Z$2), IF($I51= "I", $J51/($F51-$E51+1), $J51/(($F51*($F51+1)/2)-(($E51-1)*($E51-1+1)/2))*Y$2), 0)+IF(IF(time+1&gt;=Z$2, $K51/time_cap/(time+1)*Y$2, 0) = 0, $K51/(time_cap),0)),0)</f>
        <v/>
      </c>
      <c r="Z51" s="4395">
        <f>IFERROR(IF((time+time_cap)&lt;Z$2, 0,IF(AND(time+1&gt;=AA$2, $E51&lt;AA$2), IF($I51= "I", $J51/($F51-$E51+1), $J51/(($F51*($F51+1)/2)-(($E51-1)*($E51-1+1)/2))*Z$2), 0)+IF(IF(time+1&gt;=AA$2, $K51/time_cap/(time+1)*Z$2, 0) = 0, $K51/(time_cap),0)),0)</f>
        <v/>
      </c>
      <c r="AA51" s="4395">
        <f>IFERROR(IF((time+time_cap)&lt;AA$2, 0,IF(AND(time+1&gt;=AB$2, $E51&lt;AB$2), IF($I51= "I", $J51/($F51-$E51+1), $J51/(($F51*($F51+1)/2)-(($E51-1)*($E51-1+1)/2))*AA$2), 0)+IF(IF(time+1&gt;=AB$2, $K51/time_cap/(time+1)*AA$2, 0) = 0, $K51/(time_cap),0)),0)</f>
        <v/>
      </c>
      <c r="AB51" s="4395">
        <f>IFERROR(IF((time+time_cap)&lt;AB$2, 0,IF(AND(time+1&gt;=AC$2, $E51&lt;AC$2), IF($I51= "I", $J51/($F51-$E51+1), $J51/(($F51*($F51+1)/2)-(($E51-1)*($E51-1+1)/2))*AB$2), 0)+IF(IF(time+1&gt;=AC$2, $K51/time_cap/(time+1)*AB$2, 0) = 0, $K51/(time_cap),0)),0)</f>
        <v/>
      </c>
      <c r="AC51" s="4395">
        <f>IFERROR(IF((time+time_cap)&lt;AC$2, 0,IF(AND(time+1&gt;=AD$2, $E51&lt;AD$2), IF($I51= "I", $J51/($F51-$E51+1), $J51/(($F51*($F51+1)/2)-(($E51-1)*($E51-1+1)/2))*AC$2), 0)+IF(IF(time+1&gt;=AD$2, $K51/time_cap/(time+1)*AC$2, 0) = 0, $K51/(time_cap),0)),0)</f>
        <v/>
      </c>
      <c r="AD51" s="4395">
        <f>IFERROR(IF((time+time_cap)&lt;AD$2, 0,IF(AND(time+1&gt;=AE$2, $E51&lt;AE$2), IF($I51= "I", $J51/($F51-$E51+1), $J51/(($F51*($F51+1)/2)-(($E51-1)*($E51-1+1)/2))*AD$2), 0)+IF(IF(time+1&gt;=AE$2, $K51/time_cap/(time+1)*AD$2, 0) = 0, $K51/(time_cap),0)),0)</f>
        <v/>
      </c>
      <c r="AE51" s="4395">
        <f>IFERROR(IF((time+time_cap)&lt;AE$2, 0,IF(AND(time+1&gt;=AF$2, $E51&lt;AF$2), IF($I51= "I", $J51/($F51-$E51+1), $J51/(($F51*($F51+1)/2)-(($E51-1)*($E51-1+1)/2))*AE$2), 0)+IF(IF(time+1&gt;=AF$2, $K51/time_cap/(time+1)*AE$2, 0) = 0, $K51/(time_cap),0)),0)</f>
        <v/>
      </c>
      <c r="AF51" s="4395">
        <f>IFERROR(IF((time+time_cap)&lt;AF$2, 0,IF(AND(time+1&gt;=AG$2, $E51&lt;AG$2), IF($I51= "I", $J51/($F51-$E51+1), $J51/(($F51*($F51+1)/2)-(($E51-1)*($E51-1+1)/2))*AF$2), 0)+IF(IF(time+1&gt;=AG$2, $K51/time_cap/(time+1)*AF$2, 0) = 0, $K51/(time_cap),0)),0)</f>
        <v/>
      </c>
      <c r="AG51" s="4395">
        <f>IFERROR(IF((time+time_cap)&lt;AG$2, 0,IF(AND(time+1&gt;=AH$2, $E51&lt;AH$2), IF($I51= "I", $J51/($F51-$E51+1), $J51/(($F51*($F51+1)/2)-(($E51-1)*($E51-1+1)/2))*AG$2), 0)+IF(IF(time+1&gt;=AH$2, $K51/time_cap/(time+1)*AG$2, 0) = 0, $K51/(time_cap),0)),0)</f>
        <v/>
      </c>
      <c r="AH51" s="4395">
        <f>IFERROR(IF((time+time_cap)&lt;AH$2, 0,IF(AND(time+1&gt;=AI$2, $E51&lt;AI$2), IF($I51= "I", $J51/($F51-$E51+1), $J51/(($F51*($F51+1)/2)-(($E51-1)*($E51-1+1)/2))*AH$2), 0)+IF(IF(time+1&gt;=AI$2, $K51/time_cap/(time+1)*AH$2, 0) = 0, $K51/(time_cap),0)),0)</f>
        <v/>
      </c>
      <c r="AI51" s="4395">
        <f>IFERROR(IF((time+time_cap)&lt;AI$2, 0,IF(AND(time+1&gt;=AJ$2, $E51&lt;AJ$2), IF($I51= "I", $J51/($F51-$E51+1), $J51/(($F51*($F51+1)/2)-(($E51-1)*($E51-1+1)/2))*AI$2), 0)+IF(IF(time+1&gt;=AJ$2, $K51/time_cap/(time+1)*AI$2, 0) = 0, $K51/(time_cap),0)),0)</f>
        <v/>
      </c>
      <c r="AJ51" s="4395">
        <f>IFERROR(IF((time+time_cap)&lt;AJ$2, 0,IF(AND(time+1&gt;=AK$2, $E51&lt;AK$2), IF($I51= "I", $J51/($F51-$E51+1), $J51/(($F51*($F51+1)/2)-(($E51-1)*($E51-1+1)/2))*AJ$2), 0)+IF(IF(time+1&gt;=AK$2, $K51/time_cap/(time+1)*AJ$2, 0) = 0, $K51/(time_cap),0)),0)</f>
        <v/>
      </c>
      <c r="AK51" s="4395">
        <f>IFERROR(IF((time+time_cap)&lt;AK$2, 0,IF(AND(time+1&gt;=AL$2, $E51&lt;AL$2), IF($I51= "I", $J51/($F51-$E51+1), $J51/(($F51*($F51+1)/2)-(($E51-1)*($E51-1+1)/2))*AK$2), 0)+IF(IF(time+1&gt;=AL$2, $K51/time_cap/(time+1)*AK$2, 0) = 0, $K51/(time_cap),0)),0)</f>
        <v/>
      </c>
      <c r="AL51" s="4395">
        <f>IFERROR(IF((time+time_cap)&lt;AL$2, 0,IF(AND(time+1&gt;=AM$2, $E51&lt;AM$2), IF($I51= "I", $J51/($F51-$E51+1), $J51/(($F51*($F51+1)/2)-(($E51-1)*($E51-1+1)/2))*AL$2), 0)+IF(IF(time+1&gt;=AM$2, $K51/time_cap/(time+1)*AL$2, 0) = 0, $K51/(time_cap),0)),0)</f>
        <v/>
      </c>
      <c r="AM51" s="4395">
        <f>IFERROR(IF((time+time_cap)&lt;AM$2, 0,IF(AND(time+1&gt;=AN$2, $E51&lt;AN$2), IF($I51= "I", $J51/($F51-$E51+1), $J51/(($F51*($F51+1)/2)-(($E51-1)*($E51-1+1)/2))*AM$2), 0)+IF(IF(time+1&gt;=AN$2, $K51/time_cap/(time+1)*AM$2, 0) = 0, $K51/(time_cap),0)),0)</f>
        <v/>
      </c>
      <c r="AN51" s="4395">
        <f>IFERROR(IF((time+time_cap)&lt;AN$2, 0,IF(AND(time+1&gt;=AO$2, $E51&lt;AO$2), IF($I51= "I", $J51/($F51-$E51+1), $J51/(($F51*($F51+1)/2)-(($E51-1)*($E51-1+1)/2))*AN$2), 0)+IF(IF(time+1&gt;=AO$2, $K51/time_cap/(time+1)*AN$2, 0) = 0, $K51/(time_cap),0)),0)</f>
        <v/>
      </c>
      <c r="AO51" s="4395">
        <f>IFERROR(IF((time+time_cap)&lt;AO$2, 0,IF(AND(time+1&gt;=AP$2, $E51&lt;AP$2), IF($I51= "I", $J51/($F51-$E51+1), $J51/(($F51*($F51+1)/2)-(($E51-1)*($E51-1+1)/2))*AO$2), 0)+IF(IF(time+1&gt;=AP$2, $K51/time_cap/(time+1)*AO$2, 0) = 0, $K51/(time_cap),0)),0)</f>
        <v/>
      </c>
      <c r="AP51" s="4395">
        <f>IFERROR(IF((time+time_cap)&lt;AP$2, 0,IF(AND(time+1&gt;=AQ$2, $E51&lt;AQ$2), IF($I51= "I", $J51/($F51-$E51+1), $J51/(($F51*($F51+1)/2)-(($E51-1)*($E51-1+1)/2))*AP$2), 0)+IF(IF(time+1&gt;=AQ$2, $K51/time_cap/(time+1)*AP$2, 0) = 0, $K51/(time_cap),0)),0)</f>
        <v/>
      </c>
      <c r="AQ51" s="4395">
        <f>IFERROR(IF((time+time_cap)&lt;AQ$2, 0,IF(AND(time+1&gt;=AR$2, $E51&lt;AR$2), IF($I51= "I", $J51/($F51-$E51+1), $J51/(($F51*($F51+1)/2)-(($E51-1)*($E51-1+1)/2))*AQ$2), 0)+IF(IF(time+1&gt;=AR$2, $K51/time_cap/(time+1)*AQ$2, 0) = 0, $K51/(time_cap),0)),0)</f>
        <v/>
      </c>
      <c r="AR51" s="4395">
        <f>IFERROR(IF((time+time_cap)&lt;AR$2, 0,IF(AND(time+1&gt;=AS$2, $E51&lt;AS$2), IF($I51= "I", $J51/($F51-$E51+1), $J51/(($F51*($F51+1)/2)-(($E51-1)*($E51-1+1)/2))*AR$2), 0)+IF(IF(time+1&gt;=AS$2, $K51/time_cap/(time+1)*AR$2, 0) = 0, $K51/(time_cap),0)),0)</f>
        <v/>
      </c>
      <c r="AS51" s="4395">
        <f>IFERROR(IF((time+time_cap)&lt;AS$2, 0,IF(AND(time+1&gt;=AT$2, $E51&lt;AT$2), IF($I51= "I", $J51/($F51-$E51+1), $J51/(($F51*($F51+1)/2)-(($E51-1)*($E51-1+1)/2))*AS$2), 0)+IF(IF(time+1&gt;=AT$2, $K51/time_cap/(time+1)*AS$2, 0) = 0, $K51/(time_cap),0)),0)</f>
        <v/>
      </c>
      <c r="AT51" s="4395">
        <f>IFERROR(IF((time+time_cap)&lt;AT$2, 0,IF(AND(time+1&gt;=AU$2, $E51&lt;AU$2), IF($I51= "I", $J51/($F51-$E51+1), $J51/(($F51*($F51+1)/2)-(($E51-1)*($E51-1+1)/2))*AT$2), 0)+IF(IF(time+1&gt;=AU$2, $K51/time_cap/(time+1)*AT$2, 0) = 0, $K51/(time_cap),0)),0)</f>
        <v/>
      </c>
      <c r="AU51" s="4395">
        <f>IFERROR(IF((time+time_cap)&lt;AU$2, 0,IF(AND(time+1&gt;=AV$2, $E51&lt;AV$2), IF($I51= "I", $J51/($F51-$E51+1), $J51/(($F51*($F51+1)/2)-(($E51-1)*($E51-1+1)/2))*AU$2), 0)+IF(IF(time+1&gt;=AV$2, $K51/time_cap/(time+1)*AU$2, 0) = 0, $K51/(time_cap),0)),0)</f>
        <v/>
      </c>
      <c r="AV51" s="4395">
        <f>IFERROR(IF((time+time_cap)&lt;AV$2, 0,IF(AND(time+1&gt;=AW$2, $E51&lt;AW$2), IF($I51= "I", $J51/($F51-$E51+1), $J51/(($F51*($F51+1)/2)-(($E51-1)*($E51-1+1)/2))*AV$2), 0)+IF(IF(time+1&gt;=AW$2, $K51/time_cap/(time+1)*AV$2, 0) = 0, $K51/(time_cap),0)),0)</f>
        <v/>
      </c>
      <c r="AW51" s="4395">
        <f>IFERROR(IF((time+time_cap)&lt;AW$2, 0,IF(AND(time+1&gt;=AX$2, $E51&lt;AX$2), IF($I51= "I", $J51/($F51-$E51+1), $J51/(($F51*($F51+1)/2)-(($E51-1)*($E51-1+1)/2))*AW$2), 0)+IF(IF(time+1&gt;=AX$2, $K51/time_cap/(time+1)*AW$2, 0) = 0, $K51/(time_cap),0)),0)</f>
        <v/>
      </c>
      <c r="AX51" s="4395">
        <f>IFERROR(IF((time+time_cap)&lt;AX$2, 0,IF(AND(time+1&gt;=AY$2, $E51&lt;AY$2), IF($I51= "I", $J51/($F51-$E51+1), $J51/(($F51*($F51+1)/2)-(($E51-1)*($E51-1+1)/2))*AX$2), 0)+IF(IF(time+1&gt;=AY$2, $K51/time_cap/(time+1)*AX$2, 0) = 0, $K51/(time_cap),0)),0)</f>
        <v/>
      </c>
      <c r="AY51" s="4395">
        <f>IFERROR(IF((time+time_cap)&lt;AY$2, 0,IF(AND(time+1&gt;=AZ$2, $E51&lt;AZ$2), IF($I51= "I", $J51/($F51-$E51+1), $J51/(($F51*($F51+1)/2)-(($E51-1)*($E51-1+1)/2))*AY$2), 0)+IF(IF(time+1&gt;=AZ$2, $K51/time_cap/(time+1)*AY$2, 0) = 0, $K51/(time_cap),0)),0)</f>
        <v/>
      </c>
      <c r="AZ51" s="4395">
        <f>IFERROR(IF((time+time_cap)&lt;AZ$2, 0,IF(AND(time+1&gt;=BA$2, $E51&lt;BA$2), IF($I51= "I", $J51/($F51-$E51+1), $J51/(($F51*($F51+1)/2)-(($E51-1)*($E51-1+1)/2))*AZ$2), 0)+IF(IF(time+1&gt;=BA$2, $K51/time_cap/(time+1)*AZ$2, 0) = 0, $K51/(time_cap),0)),0)</f>
        <v/>
      </c>
      <c r="BA51" s="4395">
        <f>IFERROR(IF((time+time_cap)&lt;BA$2, 0,IF(AND(time+1&gt;=BB$2, $E51&lt;BB$2), IF($I51= "I", $J51/($F51-$E51+1), $J51/(($F51*($F51+1)/2)-(($E51-1)*($E51-1+1)/2))*BA$2), 0)+IF(IF(time+1&gt;=BB$2, $K51/time_cap/(time+1)*BA$2, 0) = 0, $K51/(time_cap),0)),0)</f>
        <v/>
      </c>
      <c r="BB51" s="4395">
        <f>IFERROR(IF((time+time_cap)&lt;BB$2, 0,IF(AND(time+1&gt;=BC$2, $E51&lt;BC$2), IF($I51= "I", $J51/($F51-$E51+1), $J51/(($F51*($F51+1)/2)-(($E51-1)*($E51-1+1)/2))*BB$2), 0)+IF(IF(time+1&gt;=BC$2, $K51/time_cap/(time+1)*BB$2, 0) = 0, $K51/(time_cap),0)),0)</f>
        <v/>
      </c>
      <c r="BC51" s="4395">
        <f>IFERROR(IF((time+time_cap)&lt;BC$2, 0,IF(AND(time+1&gt;=BD$2, $E51&lt;BD$2), IF($I51= "I", $J51/($F51-$E51+1), $J51/(($F51*($F51+1)/2)-(($E51-1)*($E51-1+1)/2))*BC$2), 0)+IF(IF(time+1&gt;=BD$2, $K51/time_cap/(time+1)*BC$2, 0) = 0, $K51/(time_cap),0)),0)</f>
        <v/>
      </c>
      <c r="BD51" s="4395">
        <f>IFERROR(IF((time+time_cap)&lt;BD$2, 0,IF(AND(time+1&gt;=BE$2, $E51&lt;BE$2), IF($I51= "I", $J51/($F51-$E51+1), $J51/(($F51*($F51+1)/2)-(($E51-1)*($E51-1+1)/2))*BD$2), 0)+IF(IF(time+1&gt;=BE$2, $K51/time_cap/(time+1)*BD$2, 0) = 0, $K51/(time_cap),0)),0)</f>
        <v/>
      </c>
      <c r="BE51" s="4395">
        <f>IFERROR(IF((time+time_cap)&lt;BE$2, 0,IF(AND(time+1&gt;=BF$2, $E51&lt;BF$2), IF($I51= "I", $J51/($F51-$E51+1), $J51/(($F51*($F51+1)/2)-(($E51-1)*($E51-1+1)/2))*BE$2), 0)+IF(IF(time+1&gt;=BF$2, $K51/time_cap/(time+1)*BE$2, 0) = 0, $K51/(time_cap),0)),0)</f>
        <v/>
      </c>
      <c r="BF51" s="4395">
        <f>IFERROR(IF((time+time_cap)&lt;BF$2, 0,IF(AND(time+1&gt;=BG$2, $E51&lt;BG$2), IF($I51= "I", $J51/($F51-$E51+1), $J51/(($F51*($F51+1)/2)-(($E51-1)*($E51-1+1)/2))*BF$2), 0)+IF(IF(time+1&gt;=BG$2, $K51/time_cap/(time+1)*BF$2, 0) = 0, $K51/(time_cap),0)),0)</f>
        <v/>
      </c>
      <c r="BG51" s="4395">
        <f>IFERROR(IF((time+time_cap)&lt;BG$2, 0,IF(AND(time+1&gt;=BH$2, $E51&lt;BH$2), IF($I51= "I", $J51/($F51-$E51+1), $J51/(($F51*($F51+1)/2)-(($E51-1)*($E51-1+1)/2))*BG$2), 0)+IF(IF(time+1&gt;=BH$2, $K51/time_cap/(time+1)*BG$2, 0) = 0, $K51/(time_cap),0)),0)</f>
        <v/>
      </c>
      <c r="BH51" s="4395">
        <f>IFERROR(IF((time+time_cap)&lt;BH$2, 0,IF(AND(time+1&gt;=BI$2, $E51&lt;BI$2), IF($I51= "I", $J51/($F51-$E51+1), $J51/(($F51*($F51+1)/2)-(($E51-1)*($E51-1+1)/2))*BH$2), 0)+IF(IF(time+1&gt;=BI$2, $K51/time_cap/(time+1)*BH$2, 0) = 0, $K51/(time_cap),0)),0)</f>
        <v/>
      </c>
      <c r="BI51" s="4395">
        <f>IFERROR(IF((time+time_cap)&lt;BI$2, 0,IF(AND(time+1&gt;=BJ$2, $E51&lt;BJ$2), IF($I51= "I", $J51/($F51-$E51+1), $J51/(($F51*($F51+1)/2)-(($E51-1)*($E51-1+1)/2))*BI$2), 0)+IF(IF(time+1&gt;=BJ$2, $K51/time_cap/(time+1)*BI$2, 0) = 0, $K51/(time_cap),0)),0)</f>
        <v/>
      </c>
      <c r="BJ51" s="4395">
        <f>IFERROR(IF((time+time_cap)&lt;BJ$2, 0,IF(AND(time+1&gt;=BK$2, $E51&lt;BK$2), IF($I51= "I", $J51/($F51-$E51+1), $J51/(($F51*($F51+1)/2)-(($E51-1)*($E51-1+1)/2))*BJ$2), 0)+IF(IF(time+1&gt;=BK$2, $K51/time_cap/(time+1)*BJ$2, 0) = 0, $K51/(time_cap),0)),0)</f>
        <v/>
      </c>
      <c r="BK51" s="4395" t="n"/>
      <c r="BL51" s="4395" t="n"/>
      <c r="BM51" s="4395" t="n"/>
      <c r="BN51" s="4395" t="n"/>
      <c r="BO51" s="4395" t="n"/>
      <c r="BP51" s="4395" t="n"/>
      <c r="BQ51" s="4395" t="n"/>
      <c r="BR51" s="4395" t="n"/>
      <c r="BS51" s="4395" t="n"/>
      <c r="BT51" s="4395" t="n"/>
      <c r="BU51" s="4395" t="n"/>
      <c r="BV51" s="4395" t="n"/>
      <c r="BW51" s="4395" t="n"/>
      <c r="BX51" s="4395" t="n"/>
      <c r="BY51" s="4395" t="n"/>
      <c r="BZ51" s="4395" t="n"/>
      <c r="CA51" s="4395" t="n"/>
      <c r="CB51" s="4395" t="n"/>
      <c r="CC51" s="4395" t="n"/>
      <c r="CD51" s="4395" t="n"/>
      <c r="CE51" s="4395" t="n"/>
      <c r="CF51" s="4395" t="n"/>
      <c r="CG51" s="4395" t="n"/>
      <c r="CH51" s="4395" t="n"/>
      <c r="CI51" s="4395" t="n"/>
      <c r="CJ51" s="4395" t="n"/>
      <c r="CK51" s="4395" t="n"/>
      <c r="CL51" s="4395" t="n"/>
      <c r="CM51" s="4395" t="n"/>
      <c r="CN51" s="4395" t="n"/>
      <c r="CO51" s="4395" t="n"/>
      <c r="CP51" s="4395" t="n"/>
      <c r="CQ51" s="4395" t="n"/>
      <c r="CR51" s="4395" t="n"/>
      <c r="CS51" s="4395" t="n"/>
      <c r="CT51" s="4395" t="n"/>
      <c r="CU51" s="4395" t="n"/>
      <c r="CV51" s="4395" t="n"/>
      <c r="CW51" s="4395" t="n"/>
      <c r="CX51" s="4395" t="n"/>
      <c r="CY51" s="4395" t="n"/>
      <c r="CZ51" s="4395" t="n"/>
      <c r="DA51" s="4395" t="n"/>
      <c r="DB51" s="4395" t="n"/>
      <c r="DC51" s="4395" t="n"/>
      <c r="DD51" s="4395" t="n"/>
      <c r="DE51" s="4395" t="n"/>
      <c r="DF51" s="4395" t="n"/>
      <c r="DG51" s="4395" t="n"/>
      <c r="DH51" s="4395" t="n"/>
    </row>
    <row r="52" ht="16" customHeight="1">
      <c r="A52" t="inlineStr">
        <is>
          <t>Perennials</t>
        </is>
      </c>
      <c r="C52">
        <f>'3.Cropland'!E57</f>
        <v/>
      </c>
      <c r="D52">
        <f>'3.Cropland'!Z57</f>
        <v/>
      </c>
      <c r="E52">
        <f>IF('3.Cropland'!BL57&lt;&gt;0,'3.Cropland'!BL57, '3.Cropland'!BK57)</f>
        <v/>
      </c>
      <c r="F52">
        <f>time</f>
        <v/>
      </c>
      <c r="G52" s="4395" t="inlineStr">
        <is>
          <t>D</t>
        </is>
      </c>
      <c r="H52" s="4395" t="inlineStr">
        <is>
          <t>D</t>
        </is>
      </c>
      <c r="I52" s="4395">
        <f>IF(OR(H52="I", G52="I"), "I", IF(OR(H52="E", G52="E"), "E", "D"))</f>
        <v/>
      </c>
      <c r="J52" s="4395">
        <f>((D52/(time_cap+((F52-E52+1)*VLOOKUP(I52,list!$I$48:$K$50,3, FALSE))))*(F52-E52+1)*VLOOKUP(I52,list!$I$48:$K$50,3, FALSE))</f>
        <v/>
      </c>
      <c r="K52" s="4395">
        <f>((D52/(time_cap+((F52-E52+1)*VLOOKUP(I52,list!$I$48:$K$50,3, FALSE))))*time_cap)</f>
        <v/>
      </c>
      <c r="M52" s="4395">
        <f>IFERROR(IF((time+time_cap)&lt;M$2, 0,IF(AND(time+1&gt;=N$2, $E52&lt;N$2), IF($I52= "I", $J52/($F52-$E52+1), $J52/(($F52*($F52+1)/2)-(($E52-1)*($E52-1+1)/2))*M$2), 0)+IF(IF(time+1&gt;=N$2, $K52/time_cap/(time+1)*M$2, 0) = 0, $K52/(time_cap),0)),0)</f>
        <v/>
      </c>
      <c r="N52" s="4395">
        <f>IFERROR(IF((time+time_cap)&lt;N$2, 0,IF(AND(time+1&gt;=O$2, $E52&lt;O$2), IF($I52= "I", $J52/($F52-$E52+1), $J52/(($F52*($F52+1)/2)-(($E52-1)*($E52-1+1)/2))*N$2), 0)+IF(IF(time+1&gt;=O$2, $K52/time_cap/(time+1)*N$2, 0) = 0, $K52/(time_cap),0)),0)</f>
        <v/>
      </c>
      <c r="O52" s="4395">
        <f>IFERROR(IF((time+time_cap)&lt;O$2, 0,IF(AND(time+1&gt;=P$2, $E52&lt;P$2), IF($I52= "I", $J52/($F52-$E52+1), $J52/(($F52*($F52+1)/2)-(($E52-1)*($E52-1+1)/2))*O$2), 0)+IF(IF(time+1&gt;=P$2, $K52/time_cap/(time+1)*O$2, 0) = 0, $K52/(time_cap),0)),0)</f>
        <v/>
      </c>
      <c r="P52" s="4395">
        <f>IFERROR(IF((time+time_cap)&lt;P$2, 0,IF(AND(time+1&gt;=Q$2, $E52&lt;Q$2), IF($I52= "I", $J52/($F52-$E52+1), $J52/(($F52*($F52+1)/2)-(($E52-1)*($E52-1+1)/2))*P$2), 0)+IF(IF(time+1&gt;=Q$2, $K52/time_cap/(time+1)*P$2, 0) = 0, $K52/(time_cap),0)),0)</f>
        <v/>
      </c>
      <c r="Q52" s="4395">
        <f>IFERROR(IF((time+time_cap)&lt;Q$2, 0,IF(AND(time+1&gt;=R$2, $E52&lt;R$2), IF($I52= "I", $J52/($F52-$E52+1), $J52/(($F52*($F52+1)/2)-(($E52-1)*($E52-1+1)/2))*Q$2), 0)+IF(IF(time+1&gt;=R$2, $K52/time_cap/(time+1)*Q$2, 0) = 0, $K52/(time_cap),0)),0)</f>
        <v/>
      </c>
      <c r="R52" s="4395">
        <f>IFERROR(IF((time+time_cap)&lt;R$2, 0,IF(AND(time+1&gt;=S$2, $E52&lt;S$2), IF($I52= "I", $J52/($F52-$E52+1), $J52/(($F52*($F52+1)/2)-(($E52-1)*($E52-1+1)/2))*R$2), 0)+IF(IF(time+1&gt;=S$2, $K52/time_cap/(time+1)*R$2, 0) = 0, $K52/(time_cap),0)),0)</f>
        <v/>
      </c>
      <c r="S52" s="4395">
        <f>IFERROR(IF((time+time_cap)&lt;S$2, 0,IF(AND(time+1&gt;=T$2, $E52&lt;T$2), IF($I52= "I", $J52/($F52-$E52+1), $J52/(($F52*($F52+1)/2)-(($E52-1)*($E52-1+1)/2))*S$2), 0)+IF(IF(time+1&gt;=T$2, $K52/time_cap/(time+1)*S$2, 0) = 0, $K52/(time_cap),0)),0)</f>
        <v/>
      </c>
      <c r="T52" s="4395">
        <f>IFERROR(IF((time+time_cap)&lt;T$2, 0,IF(AND(time+1&gt;=U$2, $E52&lt;U$2), IF($I52= "I", $J52/($F52-$E52+1), $J52/(($F52*($F52+1)/2)-(($E52-1)*($E52-1+1)/2))*T$2), 0)+IF(IF(time+1&gt;=U$2, $K52/time_cap/(time+1)*T$2, 0) = 0, $K52/(time_cap),0)),0)</f>
        <v/>
      </c>
      <c r="U52" s="4395">
        <f>IFERROR(IF((time+time_cap)&lt;U$2, 0,IF(AND(time+1&gt;=V$2, $E52&lt;V$2), IF($I52= "I", $J52/($F52-$E52+1), $J52/(($F52*($F52+1)/2)-(($E52-1)*($E52-1+1)/2))*U$2), 0)+IF(IF(time+1&gt;=V$2, $K52/time_cap/(time+1)*U$2, 0) = 0, $K52/(time_cap),0)),0)</f>
        <v/>
      </c>
      <c r="V52" s="4395">
        <f>IFERROR(IF((time+time_cap)&lt;V$2, 0,IF(AND(time+1&gt;=W$2, $E52&lt;W$2), IF($I52= "I", $J52/($F52-$E52+1), $J52/(($F52*($F52+1)/2)-(($E52-1)*($E52-1+1)/2))*V$2), 0)+IF(IF(time+1&gt;=W$2, $K52/time_cap/(time+1)*V$2, 0) = 0, $K52/(time_cap),0)),0)</f>
        <v/>
      </c>
      <c r="W52" s="4395">
        <f>IFERROR(IF((time+time_cap)&lt;W$2, 0,IF(AND(time+1&gt;=X$2, $E52&lt;X$2), IF($I52= "I", $J52/($F52-$E52+1), $J52/(($F52*($F52+1)/2)-(($E52-1)*($E52-1+1)/2))*W$2), 0)+IF(IF(time+1&gt;=X$2, $K52/time_cap/(time+1)*W$2, 0) = 0, $K52/(time_cap),0)),0)</f>
        <v/>
      </c>
      <c r="X52" s="4395">
        <f>IFERROR(IF((time+time_cap)&lt;X$2, 0,IF(AND(time+1&gt;=Y$2, $E52&lt;Y$2), IF($I52= "I", $J52/($F52-$E52+1), $J52/(($F52*($F52+1)/2)-(($E52-1)*($E52-1+1)/2))*X$2), 0)+IF(IF(time+1&gt;=Y$2, $K52/time_cap/(time+1)*X$2, 0) = 0, $K52/(time_cap),0)),0)</f>
        <v/>
      </c>
      <c r="Y52" s="4395">
        <f>IFERROR(IF((time+time_cap)&lt;Y$2, 0,IF(AND(time+1&gt;=Z$2, $E52&lt;Z$2), IF($I52= "I", $J52/($F52-$E52+1), $J52/(($F52*($F52+1)/2)-(($E52-1)*($E52-1+1)/2))*Y$2), 0)+IF(IF(time+1&gt;=Z$2, $K52/time_cap/(time+1)*Y$2, 0) = 0, $K52/(time_cap),0)),0)</f>
        <v/>
      </c>
      <c r="Z52" s="4395">
        <f>IFERROR(IF((time+time_cap)&lt;Z$2, 0,IF(AND(time+1&gt;=AA$2, $E52&lt;AA$2), IF($I52= "I", $J52/($F52-$E52+1), $J52/(($F52*($F52+1)/2)-(($E52-1)*($E52-1+1)/2))*Z$2), 0)+IF(IF(time+1&gt;=AA$2, $K52/time_cap/(time+1)*Z$2, 0) = 0, $K52/(time_cap),0)),0)</f>
        <v/>
      </c>
      <c r="AA52" s="4395">
        <f>IFERROR(IF((time+time_cap)&lt;AA$2, 0,IF(AND(time+1&gt;=AB$2, $E52&lt;AB$2), IF($I52= "I", $J52/($F52-$E52+1), $J52/(($F52*($F52+1)/2)-(($E52-1)*($E52-1+1)/2))*AA$2), 0)+IF(IF(time+1&gt;=AB$2, $K52/time_cap/(time+1)*AA$2, 0) = 0, $K52/(time_cap),0)),0)</f>
        <v/>
      </c>
      <c r="AB52" s="4395">
        <f>IFERROR(IF((time+time_cap)&lt;AB$2, 0,IF(AND(time+1&gt;=AC$2, $E52&lt;AC$2), IF($I52= "I", $J52/($F52-$E52+1), $J52/(($F52*($F52+1)/2)-(($E52-1)*($E52-1+1)/2))*AB$2), 0)+IF(IF(time+1&gt;=AC$2, $K52/time_cap/(time+1)*AB$2, 0) = 0, $K52/(time_cap),0)),0)</f>
        <v/>
      </c>
      <c r="AC52" s="4395">
        <f>IFERROR(IF((time+time_cap)&lt;AC$2, 0,IF(AND(time+1&gt;=AD$2, $E52&lt;AD$2), IF($I52= "I", $J52/($F52-$E52+1), $J52/(($F52*($F52+1)/2)-(($E52-1)*($E52-1+1)/2))*AC$2), 0)+IF(IF(time+1&gt;=AD$2, $K52/time_cap/(time+1)*AC$2, 0) = 0, $K52/(time_cap),0)),0)</f>
        <v/>
      </c>
      <c r="AD52" s="4395">
        <f>IFERROR(IF((time+time_cap)&lt;AD$2, 0,IF(AND(time+1&gt;=AE$2, $E52&lt;AE$2), IF($I52= "I", $J52/($F52-$E52+1), $J52/(($F52*($F52+1)/2)-(($E52-1)*($E52-1+1)/2))*AD$2), 0)+IF(IF(time+1&gt;=AE$2, $K52/time_cap/(time+1)*AD$2, 0) = 0, $K52/(time_cap),0)),0)</f>
        <v/>
      </c>
      <c r="AE52" s="4395">
        <f>IFERROR(IF((time+time_cap)&lt;AE$2, 0,IF(AND(time+1&gt;=AF$2, $E52&lt;AF$2), IF($I52= "I", $J52/($F52-$E52+1), $J52/(($F52*($F52+1)/2)-(($E52-1)*($E52-1+1)/2))*AE$2), 0)+IF(IF(time+1&gt;=AF$2, $K52/time_cap/(time+1)*AE$2, 0) = 0, $K52/(time_cap),0)),0)</f>
        <v/>
      </c>
      <c r="AF52" s="4395">
        <f>IFERROR(IF((time+time_cap)&lt;AF$2, 0,IF(AND(time+1&gt;=AG$2, $E52&lt;AG$2), IF($I52= "I", $J52/($F52-$E52+1), $J52/(($F52*($F52+1)/2)-(($E52-1)*($E52-1+1)/2))*AF$2), 0)+IF(IF(time+1&gt;=AG$2, $K52/time_cap/(time+1)*AF$2, 0) = 0, $K52/(time_cap),0)),0)</f>
        <v/>
      </c>
      <c r="AG52" s="4395">
        <f>IFERROR(IF((time+time_cap)&lt;AG$2, 0,IF(AND(time+1&gt;=AH$2, $E52&lt;AH$2), IF($I52= "I", $J52/($F52-$E52+1), $J52/(($F52*($F52+1)/2)-(($E52-1)*($E52-1+1)/2))*AG$2), 0)+IF(IF(time+1&gt;=AH$2, $K52/time_cap/(time+1)*AG$2, 0) = 0, $K52/(time_cap),0)),0)</f>
        <v/>
      </c>
      <c r="AH52" s="4395">
        <f>IFERROR(IF((time+time_cap)&lt;AH$2, 0,IF(AND(time+1&gt;=AI$2, $E52&lt;AI$2), IF($I52= "I", $J52/($F52-$E52+1), $J52/(($F52*($F52+1)/2)-(($E52-1)*($E52-1+1)/2))*AH$2), 0)+IF(IF(time+1&gt;=AI$2, $K52/time_cap/(time+1)*AH$2, 0) = 0, $K52/(time_cap),0)),0)</f>
        <v/>
      </c>
      <c r="AI52" s="4395">
        <f>IFERROR(IF((time+time_cap)&lt;AI$2, 0,IF(AND(time+1&gt;=AJ$2, $E52&lt;AJ$2), IF($I52= "I", $J52/($F52-$E52+1), $J52/(($F52*($F52+1)/2)-(($E52-1)*($E52-1+1)/2))*AI$2), 0)+IF(IF(time+1&gt;=AJ$2, $K52/time_cap/(time+1)*AI$2, 0) = 0, $K52/(time_cap),0)),0)</f>
        <v/>
      </c>
      <c r="AJ52" s="4395">
        <f>IFERROR(IF((time+time_cap)&lt;AJ$2, 0,IF(AND(time+1&gt;=AK$2, $E52&lt;AK$2), IF($I52= "I", $J52/($F52-$E52+1), $J52/(($F52*($F52+1)/2)-(($E52-1)*($E52-1+1)/2))*AJ$2), 0)+IF(IF(time+1&gt;=AK$2, $K52/time_cap/(time+1)*AJ$2, 0) = 0, $K52/(time_cap),0)),0)</f>
        <v/>
      </c>
      <c r="AK52" s="4395">
        <f>IFERROR(IF((time+time_cap)&lt;AK$2, 0,IF(AND(time+1&gt;=AL$2, $E52&lt;AL$2), IF($I52= "I", $J52/($F52-$E52+1), $J52/(($F52*($F52+1)/2)-(($E52-1)*($E52-1+1)/2))*AK$2), 0)+IF(IF(time+1&gt;=AL$2, $K52/time_cap/(time+1)*AK$2, 0) = 0, $K52/(time_cap),0)),0)</f>
        <v/>
      </c>
      <c r="AL52" s="4395">
        <f>IFERROR(IF((time+time_cap)&lt;AL$2, 0,IF(AND(time+1&gt;=AM$2, $E52&lt;AM$2), IF($I52= "I", $J52/($F52-$E52+1), $J52/(($F52*($F52+1)/2)-(($E52-1)*($E52-1+1)/2))*AL$2), 0)+IF(IF(time+1&gt;=AM$2, $K52/time_cap/(time+1)*AL$2, 0) = 0, $K52/(time_cap),0)),0)</f>
        <v/>
      </c>
      <c r="AM52" s="4395">
        <f>IFERROR(IF((time+time_cap)&lt;AM$2, 0,IF(AND(time+1&gt;=AN$2, $E52&lt;AN$2), IF($I52= "I", $J52/($F52-$E52+1), $J52/(($F52*($F52+1)/2)-(($E52-1)*($E52-1+1)/2))*AM$2), 0)+IF(IF(time+1&gt;=AN$2, $K52/time_cap/(time+1)*AM$2, 0) = 0, $K52/(time_cap),0)),0)</f>
        <v/>
      </c>
      <c r="AN52" s="4395">
        <f>IFERROR(IF((time+time_cap)&lt;AN$2, 0,IF(AND(time+1&gt;=AO$2, $E52&lt;AO$2), IF($I52= "I", $J52/($F52-$E52+1), $J52/(($F52*($F52+1)/2)-(($E52-1)*($E52-1+1)/2))*AN$2), 0)+IF(IF(time+1&gt;=AO$2, $K52/time_cap/(time+1)*AN$2, 0) = 0, $K52/(time_cap),0)),0)</f>
        <v/>
      </c>
      <c r="AO52" s="4395">
        <f>IFERROR(IF((time+time_cap)&lt;AO$2, 0,IF(AND(time+1&gt;=AP$2, $E52&lt;AP$2), IF($I52= "I", $J52/($F52-$E52+1), $J52/(($F52*($F52+1)/2)-(($E52-1)*($E52-1+1)/2))*AO$2), 0)+IF(IF(time+1&gt;=AP$2, $K52/time_cap/(time+1)*AO$2, 0) = 0, $K52/(time_cap),0)),0)</f>
        <v/>
      </c>
      <c r="AP52" s="4395">
        <f>IFERROR(IF((time+time_cap)&lt;AP$2, 0,IF(AND(time+1&gt;=AQ$2, $E52&lt;AQ$2), IF($I52= "I", $J52/($F52-$E52+1), $J52/(($F52*($F52+1)/2)-(($E52-1)*($E52-1+1)/2))*AP$2), 0)+IF(IF(time+1&gt;=AQ$2, $K52/time_cap/(time+1)*AP$2, 0) = 0, $K52/(time_cap),0)),0)</f>
        <v/>
      </c>
      <c r="AQ52" s="4395">
        <f>IFERROR(IF((time+time_cap)&lt;AQ$2, 0,IF(AND(time+1&gt;=AR$2, $E52&lt;AR$2), IF($I52= "I", $J52/($F52-$E52+1), $J52/(($F52*($F52+1)/2)-(($E52-1)*($E52-1+1)/2))*AQ$2), 0)+IF(IF(time+1&gt;=AR$2, $K52/time_cap/(time+1)*AQ$2, 0) = 0, $K52/(time_cap),0)),0)</f>
        <v/>
      </c>
      <c r="AR52" s="4395">
        <f>IFERROR(IF((time+time_cap)&lt;AR$2, 0,IF(AND(time+1&gt;=AS$2, $E52&lt;AS$2), IF($I52= "I", $J52/($F52-$E52+1), $J52/(($F52*($F52+1)/2)-(($E52-1)*($E52-1+1)/2))*AR$2), 0)+IF(IF(time+1&gt;=AS$2, $K52/time_cap/(time+1)*AR$2, 0) = 0, $K52/(time_cap),0)),0)</f>
        <v/>
      </c>
      <c r="AS52" s="4395">
        <f>IFERROR(IF((time+time_cap)&lt;AS$2, 0,IF(AND(time+1&gt;=AT$2, $E52&lt;AT$2), IF($I52= "I", $J52/($F52-$E52+1), $J52/(($F52*($F52+1)/2)-(($E52-1)*($E52-1+1)/2))*AS$2), 0)+IF(IF(time+1&gt;=AT$2, $K52/time_cap/(time+1)*AS$2, 0) = 0, $K52/(time_cap),0)),0)</f>
        <v/>
      </c>
      <c r="AT52" s="4395">
        <f>IFERROR(IF((time+time_cap)&lt;AT$2, 0,IF(AND(time+1&gt;=AU$2, $E52&lt;AU$2), IF($I52= "I", $J52/($F52-$E52+1), $J52/(($F52*($F52+1)/2)-(($E52-1)*($E52-1+1)/2))*AT$2), 0)+IF(IF(time+1&gt;=AU$2, $K52/time_cap/(time+1)*AT$2, 0) = 0, $K52/(time_cap),0)),0)</f>
        <v/>
      </c>
      <c r="AU52" s="4395">
        <f>IFERROR(IF((time+time_cap)&lt;AU$2, 0,IF(AND(time+1&gt;=AV$2, $E52&lt;AV$2), IF($I52= "I", $J52/($F52-$E52+1), $J52/(($F52*($F52+1)/2)-(($E52-1)*($E52-1+1)/2))*AU$2), 0)+IF(IF(time+1&gt;=AV$2, $K52/time_cap/(time+1)*AU$2, 0) = 0, $K52/(time_cap),0)),0)</f>
        <v/>
      </c>
      <c r="AV52" s="4395">
        <f>IFERROR(IF((time+time_cap)&lt;AV$2, 0,IF(AND(time+1&gt;=AW$2, $E52&lt;AW$2), IF($I52= "I", $J52/($F52-$E52+1), $J52/(($F52*($F52+1)/2)-(($E52-1)*($E52-1+1)/2))*AV$2), 0)+IF(IF(time+1&gt;=AW$2, $K52/time_cap/(time+1)*AV$2, 0) = 0, $K52/(time_cap),0)),0)</f>
        <v/>
      </c>
      <c r="AW52" s="4395">
        <f>IFERROR(IF((time+time_cap)&lt;AW$2, 0,IF(AND(time+1&gt;=AX$2, $E52&lt;AX$2), IF($I52= "I", $J52/($F52-$E52+1), $J52/(($F52*($F52+1)/2)-(($E52-1)*($E52-1+1)/2))*AW$2), 0)+IF(IF(time+1&gt;=AX$2, $K52/time_cap/(time+1)*AW$2, 0) = 0, $K52/(time_cap),0)),0)</f>
        <v/>
      </c>
      <c r="AX52" s="4395">
        <f>IFERROR(IF((time+time_cap)&lt;AX$2, 0,IF(AND(time+1&gt;=AY$2, $E52&lt;AY$2), IF($I52= "I", $J52/($F52-$E52+1), $J52/(($F52*($F52+1)/2)-(($E52-1)*($E52-1+1)/2))*AX$2), 0)+IF(IF(time+1&gt;=AY$2, $K52/time_cap/(time+1)*AX$2, 0) = 0, $K52/(time_cap),0)),0)</f>
        <v/>
      </c>
      <c r="AY52" s="4395">
        <f>IFERROR(IF((time+time_cap)&lt;AY$2, 0,IF(AND(time+1&gt;=AZ$2, $E52&lt;AZ$2), IF($I52= "I", $J52/($F52-$E52+1), $J52/(($F52*($F52+1)/2)-(($E52-1)*($E52-1+1)/2))*AY$2), 0)+IF(IF(time+1&gt;=AZ$2, $K52/time_cap/(time+1)*AY$2, 0) = 0, $K52/(time_cap),0)),0)</f>
        <v/>
      </c>
      <c r="AZ52" s="4395">
        <f>IFERROR(IF((time+time_cap)&lt;AZ$2, 0,IF(AND(time+1&gt;=BA$2, $E52&lt;BA$2), IF($I52= "I", $J52/($F52-$E52+1), $J52/(($F52*($F52+1)/2)-(($E52-1)*($E52-1+1)/2))*AZ$2), 0)+IF(IF(time+1&gt;=BA$2, $K52/time_cap/(time+1)*AZ$2, 0) = 0, $K52/(time_cap),0)),0)</f>
        <v/>
      </c>
      <c r="BA52" s="4395">
        <f>IFERROR(IF((time+time_cap)&lt;BA$2, 0,IF(AND(time+1&gt;=BB$2, $E52&lt;BB$2), IF($I52= "I", $J52/($F52-$E52+1), $J52/(($F52*($F52+1)/2)-(($E52-1)*($E52-1+1)/2))*BA$2), 0)+IF(IF(time+1&gt;=BB$2, $K52/time_cap/(time+1)*BA$2, 0) = 0, $K52/(time_cap),0)),0)</f>
        <v/>
      </c>
      <c r="BB52" s="4395">
        <f>IFERROR(IF((time+time_cap)&lt;BB$2, 0,IF(AND(time+1&gt;=BC$2, $E52&lt;BC$2), IF($I52= "I", $J52/($F52-$E52+1), $J52/(($F52*($F52+1)/2)-(($E52-1)*($E52-1+1)/2))*BB$2), 0)+IF(IF(time+1&gt;=BC$2, $K52/time_cap/(time+1)*BB$2, 0) = 0, $K52/(time_cap),0)),0)</f>
        <v/>
      </c>
      <c r="BC52" s="4395">
        <f>IFERROR(IF((time+time_cap)&lt;BC$2, 0,IF(AND(time+1&gt;=BD$2, $E52&lt;BD$2), IF($I52= "I", $J52/($F52-$E52+1), $J52/(($F52*($F52+1)/2)-(($E52-1)*($E52-1+1)/2))*BC$2), 0)+IF(IF(time+1&gt;=BD$2, $K52/time_cap/(time+1)*BC$2, 0) = 0, $K52/(time_cap),0)),0)</f>
        <v/>
      </c>
      <c r="BD52" s="4395">
        <f>IFERROR(IF((time+time_cap)&lt;BD$2, 0,IF(AND(time+1&gt;=BE$2, $E52&lt;BE$2), IF($I52= "I", $J52/($F52-$E52+1), $J52/(($F52*($F52+1)/2)-(($E52-1)*($E52-1+1)/2))*BD$2), 0)+IF(IF(time+1&gt;=BE$2, $K52/time_cap/(time+1)*BD$2, 0) = 0, $K52/(time_cap),0)),0)</f>
        <v/>
      </c>
      <c r="BE52" s="4395">
        <f>IFERROR(IF((time+time_cap)&lt;BE$2, 0,IF(AND(time+1&gt;=BF$2, $E52&lt;BF$2), IF($I52= "I", $J52/($F52-$E52+1), $J52/(($F52*($F52+1)/2)-(($E52-1)*($E52-1+1)/2))*BE$2), 0)+IF(IF(time+1&gt;=BF$2, $K52/time_cap/(time+1)*BE$2, 0) = 0, $K52/(time_cap),0)),0)</f>
        <v/>
      </c>
      <c r="BF52" s="4395">
        <f>IFERROR(IF((time+time_cap)&lt;BF$2, 0,IF(AND(time+1&gt;=BG$2, $E52&lt;BG$2), IF($I52= "I", $J52/($F52-$E52+1), $J52/(($F52*($F52+1)/2)-(($E52-1)*($E52-1+1)/2))*BF$2), 0)+IF(IF(time+1&gt;=BG$2, $K52/time_cap/(time+1)*BF$2, 0) = 0, $K52/(time_cap),0)),0)</f>
        <v/>
      </c>
      <c r="BG52" s="4395">
        <f>IFERROR(IF((time+time_cap)&lt;BG$2, 0,IF(AND(time+1&gt;=BH$2, $E52&lt;BH$2), IF($I52= "I", $J52/($F52-$E52+1), $J52/(($F52*($F52+1)/2)-(($E52-1)*($E52-1+1)/2))*BG$2), 0)+IF(IF(time+1&gt;=BH$2, $K52/time_cap/(time+1)*BG$2, 0) = 0, $K52/(time_cap),0)),0)</f>
        <v/>
      </c>
      <c r="BH52" s="4395">
        <f>IFERROR(IF((time+time_cap)&lt;BH$2, 0,IF(AND(time+1&gt;=BI$2, $E52&lt;BI$2), IF($I52= "I", $J52/($F52-$E52+1), $J52/(($F52*($F52+1)/2)-(($E52-1)*($E52-1+1)/2))*BH$2), 0)+IF(IF(time+1&gt;=BI$2, $K52/time_cap/(time+1)*BH$2, 0) = 0, $K52/(time_cap),0)),0)</f>
        <v/>
      </c>
      <c r="BI52" s="4395">
        <f>IFERROR(IF((time+time_cap)&lt;BI$2, 0,IF(AND(time+1&gt;=BJ$2, $E52&lt;BJ$2), IF($I52= "I", $J52/($F52-$E52+1), $J52/(($F52*($F52+1)/2)-(($E52-1)*($E52-1+1)/2))*BI$2), 0)+IF(IF(time+1&gt;=BJ$2, $K52/time_cap/(time+1)*BI$2, 0) = 0, $K52/(time_cap),0)),0)</f>
        <v/>
      </c>
      <c r="BJ52" s="4395">
        <f>IFERROR(IF((time+time_cap)&lt;BJ$2, 0,IF(AND(time+1&gt;=BK$2, $E52&lt;BK$2), IF($I52= "I", $J52/($F52-$E52+1), $J52/(($F52*($F52+1)/2)-(($E52-1)*($E52-1+1)/2))*BJ$2), 0)+IF(IF(time+1&gt;=BK$2, $K52/time_cap/(time+1)*BJ$2, 0) = 0, $K52/(time_cap),0)),0)</f>
        <v/>
      </c>
      <c r="BK52" s="4395" t="n"/>
      <c r="BL52" s="4395" t="n"/>
      <c r="BM52" s="4395" t="n"/>
      <c r="BN52" s="4395" t="n"/>
      <c r="BO52" s="4395" t="n"/>
      <c r="BP52" s="4395" t="n"/>
      <c r="BQ52" s="4395" t="n"/>
      <c r="BR52" s="4395" t="n"/>
      <c r="BS52" s="4395" t="n"/>
      <c r="BT52" s="4395" t="n"/>
      <c r="BU52" s="4395" t="n"/>
      <c r="BV52" s="4395" t="n"/>
      <c r="BW52" s="4395" t="n"/>
      <c r="BX52" s="4395" t="n"/>
      <c r="BY52" s="4395" t="n"/>
      <c r="BZ52" s="4395" t="n"/>
      <c r="CA52" s="4395" t="n"/>
      <c r="CB52" s="4395" t="n"/>
      <c r="CC52" s="4395" t="n"/>
      <c r="CD52" s="4395" t="n"/>
      <c r="CE52" s="4395" t="n"/>
      <c r="CF52" s="4395" t="n"/>
      <c r="CG52" s="4395" t="n"/>
      <c r="CH52" s="4395" t="n"/>
      <c r="CI52" s="4395" t="n"/>
      <c r="CJ52" s="4395" t="n"/>
      <c r="CK52" s="4395" t="n"/>
      <c r="CL52" s="4395" t="n"/>
      <c r="CM52" s="4395" t="n"/>
      <c r="CN52" s="4395" t="n"/>
      <c r="CO52" s="4395" t="n"/>
      <c r="CP52" s="4395" t="n"/>
      <c r="CQ52" s="4395" t="n"/>
      <c r="CR52" s="4395" t="n"/>
      <c r="CS52" s="4395" t="n"/>
      <c r="CT52" s="4395" t="n"/>
      <c r="CU52" s="4395" t="n"/>
      <c r="CV52" s="4395" t="n"/>
      <c r="CW52" s="4395" t="n"/>
      <c r="CX52" s="4395" t="n"/>
      <c r="CY52" s="4395" t="n"/>
      <c r="CZ52" s="4395" t="n"/>
      <c r="DA52" s="4395" t="n"/>
      <c r="DB52" s="4395" t="n"/>
      <c r="DC52" s="4395" t="n"/>
      <c r="DD52" s="4395" t="n"/>
      <c r="DE52" s="4395" t="n"/>
      <c r="DF52" s="4395" t="n"/>
      <c r="DG52" s="4395" t="n"/>
      <c r="DH52" s="4395" t="n"/>
    </row>
    <row r="53" ht="16" customHeight="1">
      <c r="A53" t="inlineStr">
        <is>
          <t>Perennials</t>
        </is>
      </c>
      <c r="C53">
        <f>'3.Cropland'!E58</f>
        <v/>
      </c>
      <c r="D53">
        <f>'3.Cropland'!Z58</f>
        <v/>
      </c>
      <c r="E53">
        <f>IF('3.Cropland'!BL58&lt;&gt;0,'3.Cropland'!BL58, '3.Cropland'!BK58)</f>
        <v/>
      </c>
      <c r="F53">
        <f>time</f>
        <v/>
      </c>
      <c r="G53" s="4395" t="inlineStr">
        <is>
          <t>D</t>
        </is>
      </c>
      <c r="H53" s="4395" t="inlineStr">
        <is>
          <t>D</t>
        </is>
      </c>
      <c r="I53" s="4395">
        <f>IF(OR(H53="I", G53="I"), "I", IF(OR(H53="E", G53="E"), "E", "D"))</f>
        <v/>
      </c>
      <c r="J53" s="4395">
        <f>((D53/(time_cap+((F53-E53+1)*VLOOKUP(I53,list!$I$48:$K$50,3, FALSE))))*(F53-E53+1)*VLOOKUP(I53,list!$I$48:$K$50,3, FALSE))</f>
        <v/>
      </c>
      <c r="K53" s="4395">
        <f>((D53/(time_cap+((F53-E53+1)*VLOOKUP(I53,list!$I$48:$K$50,3, FALSE))))*time_cap)</f>
        <v/>
      </c>
      <c r="M53" s="4395">
        <f>IFERROR(IF((time+time_cap)&lt;M$2, 0,IF(AND(time+1&gt;=N$2, $E53&lt;N$2), IF($I53= "I", $J53/($F53-$E53+1), $J53/(($F53*($F53+1)/2)-(($E53-1)*($E53-1+1)/2))*M$2), 0)+IF(IF(time+1&gt;=N$2, $K53/time_cap/(time+1)*M$2, 0) = 0, $K53/(time_cap),0)),0)</f>
        <v/>
      </c>
      <c r="N53" s="4395">
        <f>IFERROR(IF((time+time_cap)&lt;N$2, 0,IF(AND(time+1&gt;=O$2, $E53&lt;O$2), IF($I53= "I", $J53/($F53-$E53+1), $J53/(($F53*($F53+1)/2)-(($E53-1)*($E53-1+1)/2))*N$2), 0)+IF(IF(time+1&gt;=O$2, $K53/time_cap/(time+1)*N$2, 0) = 0, $K53/(time_cap),0)),0)</f>
        <v/>
      </c>
      <c r="O53" s="4395">
        <f>IFERROR(IF((time+time_cap)&lt;O$2, 0,IF(AND(time+1&gt;=P$2, $E53&lt;P$2), IF($I53= "I", $J53/($F53-$E53+1), $J53/(($F53*($F53+1)/2)-(($E53-1)*($E53-1+1)/2))*O$2), 0)+IF(IF(time+1&gt;=P$2, $K53/time_cap/(time+1)*O$2, 0) = 0, $K53/(time_cap),0)),0)</f>
        <v/>
      </c>
      <c r="P53" s="4395">
        <f>IFERROR(IF((time+time_cap)&lt;P$2, 0,IF(AND(time+1&gt;=Q$2, $E53&lt;Q$2), IF($I53= "I", $J53/($F53-$E53+1), $J53/(($F53*($F53+1)/2)-(($E53-1)*($E53-1+1)/2))*P$2), 0)+IF(IF(time+1&gt;=Q$2, $K53/time_cap/(time+1)*P$2, 0) = 0, $K53/(time_cap),0)),0)</f>
        <v/>
      </c>
      <c r="Q53" s="4395">
        <f>IFERROR(IF((time+time_cap)&lt;Q$2, 0,IF(AND(time+1&gt;=R$2, $E53&lt;R$2), IF($I53= "I", $J53/($F53-$E53+1), $J53/(($F53*($F53+1)/2)-(($E53-1)*($E53-1+1)/2))*Q$2), 0)+IF(IF(time+1&gt;=R$2, $K53/time_cap/(time+1)*Q$2, 0) = 0, $K53/(time_cap),0)),0)</f>
        <v/>
      </c>
      <c r="R53" s="4395">
        <f>IFERROR(IF((time+time_cap)&lt;R$2, 0,IF(AND(time+1&gt;=S$2, $E53&lt;S$2), IF($I53= "I", $J53/($F53-$E53+1), $J53/(($F53*($F53+1)/2)-(($E53-1)*($E53-1+1)/2))*R$2), 0)+IF(IF(time+1&gt;=S$2, $K53/time_cap/(time+1)*R$2, 0) = 0, $K53/(time_cap),0)),0)</f>
        <v/>
      </c>
      <c r="S53" s="4395">
        <f>IFERROR(IF((time+time_cap)&lt;S$2, 0,IF(AND(time+1&gt;=T$2, $E53&lt;T$2), IF($I53= "I", $J53/($F53-$E53+1), $J53/(($F53*($F53+1)/2)-(($E53-1)*($E53-1+1)/2))*S$2), 0)+IF(IF(time+1&gt;=T$2, $K53/time_cap/(time+1)*S$2, 0) = 0, $K53/(time_cap),0)),0)</f>
        <v/>
      </c>
      <c r="T53" s="4395">
        <f>IFERROR(IF((time+time_cap)&lt;T$2, 0,IF(AND(time+1&gt;=U$2, $E53&lt;U$2), IF($I53= "I", $J53/($F53-$E53+1), $J53/(($F53*($F53+1)/2)-(($E53-1)*($E53-1+1)/2))*T$2), 0)+IF(IF(time+1&gt;=U$2, $K53/time_cap/(time+1)*T$2, 0) = 0, $K53/(time_cap),0)),0)</f>
        <v/>
      </c>
      <c r="U53" s="4395">
        <f>IFERROR(IF((time+time_cap)&lt;U$2, 0,IF(AND(time+1&gt;=V$2, $E53&lt;V$2), IF($I53= "I", $J53/($F53-$E53+1), $J53/(($F53*($F53+1)/2)-(($E53-1)*($E53-1+1)/2))*U$2), 0)+IF(IF(time+1&gt;=V$2, $K53/time_cap/(time+1)*U$2, 0) = 0, $K53/(time_cap),0)),0)</f>
        <v/>
      </c>
      <c r="V53" s="4395">
        <f>IFERROR(IF((time+time_cap)&lt;V$2, 0,IF(AND(time+1&gt;=W$2, $E53&lt;W$2), IF($I53= "I", $J53/($F53-$E53+1), $J53/(($F53*($F53+1)/2)-(($E53-1)*($E53-1+1)/2))*V$2), 0)+IF(IF(time+1&gt;=W$2, $K53/time_cap/(time+1)*V$2, 0) = 0, $K53/(time_cap),0)),0)</f>
        <v/>
      </c>
      <c r="W53" s="4395">
        <f>IFERROR(IF((time+time_cap)&lt;W$2, 0,IF(AND(time+1&gt;=X$2, $E53&lt;X$2), IF($I53= "I", $J53/($F53-$E53+1), $J53/(($F53*($F53+1)/2)-(($E53-1)*($E53-1+1)/2))*W$2), 0)+IF(IF(time+1&gt;=X$2, $K53/time_cap/(time+1)*W$2, 0) = 0, $K53/(time_cap),0)),0)</f>
        <v/>
      </c>
      <c r="X53" s="4395">
        <f>IFERROR(IF((time+time_cap)&lt;X$2, 0,IF(AND(time+1&gt;=Y$2, $E53&lt;Y$2), IF($I53= "I", $J53/($F53-$E53+1), $J53/(($F53*($F53+1)/2)-(($E53-1)*($E53-1+1)/2))*X$2), 0)+IF(IF(time+1&gt;=Y$2, $K53/time_cap/(time+1)*X$2, 0) = 0, $K53/(time_cap),0)),0)</f>
        <v/>
      </c>
      <c r="Y53" s="4395">
        <f>IFERROR(IF((time+time_cap)&lt;Y$2, 0,IF(AND(time+1&gt;=Z$2, $E53&lt;Z$2), IF($I53= "I", $J53/($F53-$E53+1), $J53/(($F53*($F53+1)/2)-(($E53-1)*($E53-1+1)/2))*Y$2), 0)+IF(IF(time+1&gt;=Z$2, $K53/time_cap/(time+1)*Y$2, 0) = 0, $K53/(time_cap),0)),0)</f>
        <v/>
      </c>
      <c r="Z53" s="4395">
        <f>IFERROR(IF((time+time_cap)&lt;Z$2, 0,IF(AND(time+1&gt;=AA$2, $E53&lt;AA$2), IF($I53= "I", $J53/($F53-$E53+1), $J53/(($F53*($F53+1)/2)-(($E53-1)*($E53-1+1)/2))*Z$2), 0)+IF(IF(time+1&gt;=AA$2, $K53/time_cap/(time+1)*Z$2, 0) = 0, $K53/(time_cap),0)),0)</f>
        <v/>
      </c>
      <c r="AA53" s="4395">
        <f>IFERROR(IF((time+time_cap)&lt;AA$2, 0,IF(AND(time+1&gt;=AB$2, $E53&lt;AB$2), IF($I53= "I", $J53/($F53-$E53+1), $J53/(($F53*($F53+1)/2)-(($E53-1)*($E53-1+1)/2))*AA$2), 0)+IF(IF(time+1&gt;=AB$2, $K53/time_cap/(time+1)*AA$2, 0) = 0, $K53/(time_cap),0)),0)</f>
        <v/>
      </c>
      <c r="AB53" s="4395">
        <f>IFERROR(IF((time+time_cap)&lt;AB$2, 0,IF(AND(time+1&gt;=AC$2, $E53&lt;AC$2), IF($I53= "I", $J53/($F53-$E53+1), $J53/(($F53*($F53+1)/2)-(($E53-1)*($E53-1+1)/2))*AB$2), 0)+IF(IF(time+1&gt;=AC$2, $K53/time_cap/(time+1)*AB$2, 0) = 0, $K53/(time_cap),0)),0)</f>
        <v/>
      </c>
      <c r="AC53" s="4395">
        <f>IFERROR(IF((time+time_cap)&lt;AC$2, 0,IF(AND(time+1&gt;=AD$2, $E53&lt;AD$2), IF($I53= "I", $J53/($F53-$E53+1), $J53/(($F53*($F53+1)/2)-(($E53-1)*($E53-1+1)/2))*AC$2), 0)+IF(IF(time+1&gt;=AD$2, $K53/time_cap/(time+1)*AC$2, 0) = 0, $K53/(time_cap),0)),0)</f>
        <v/>
      </c>
      <c r="AD53" s="4395">
        <f>IFERROR(IF((time+time_cap)&lt;AD$2, 0,IF(AND(time+1&gt;=AE$2, $E53&lt;AE$2), IF($I53= "I", $J53/($F53-$E53+1), $J53/(($F53*($F53+1)/2)-(($E53-1)*($E53-1+1)/2))*AD$2), 0)+IF(IF(time+1&gt;=AE$2, $K53/time_cap/(time+1)*AD$2, 0) = 0, $K53/(time_cap),0)),0)</f>
        <v/>
      </c>
      <c r="AE53" s="4395">
        <f>IFERROR(IF((time+time_cap)&lt;AE$2, 0,IF(AND(time+1&gt;=AF$2, $E53&lt;AF$2), IF($I53= "I", $J53/($F53-$E53+1), $J53/(($F53*($F53+1)/2)-(($E53-1)*($E53-1+1)/2))*AE$2), 0)+IF(IF(time+1&gt;=AF$2, $K53/time_cap/(time+1)*AE$2, 0) = 0, $K53/(time_cap),0)),0)</f>
        <v/>
      </c>
      <c r="AF53" s="4395">
        <f>IFERROR(IF((time+time_cap)&lt;AF$2, 0,IF(AND(time+1&gt;=AG$2, $E53&lt;AG$2), IF($I53= "I", $J53/($F53-$E53+1), $J53/(($F53*($F53+1)/2)-(($E53-1)*($E53-1+1)/2))*AF$2), 0)+IF(IF(time+1&gt;=AG$2, $K53/time_cap/(time+1)*AF$2, 0) = 0, $K53/(time_cap),0)),0)</f>
        <v/>
      </c>
      <c r="AG53" s="4395">
        <f>IFERROR(IF((time+time_cap)&lt;AG$2, 0,IF(AND(time+1&gt;=AH$2, $E53&lt;AH$2), IF($I53= "I", $J53/($F53-$E53+1), $J53/(($F53*($F53+1)/2)-(($E53-1)*($E53-1+1)/2))*AG$2), 0)+IF(IF(time+1&gt;=AH$2, $K53/time_cap/(time+1)*AG$2, 0) = 0, $K53/(time_cap),0)),0)</f>
        <v/>
      </c>
      <c r="AH53" s="4395">
        <f>IFERROR(IF((time+time_cap)&lt;AH$2, 0,IF(AND(time+1&gt;=AI$2, $E53&lt;AI$2), IF($I53= "I", $J53/($F53-$E53+1), $J53/(($F53*($F53+1)/2)-(($E53-1)*($E53-1+1)/2))*AH$2), 0)+IF(IF(time+1&gt;=AI$2, $K53/time_cap/(time+1)*AH$2, 0) = 0, $K53/(time_cap),0)),0)</f>
        <v/>
      </c>
      <c r="AI53" s="4395">
        <f>IFERROR(IF((time+time_cap)&lt;AI$2, 0,IF(AND(time+1&gt;=AJ$2, $E53&lt;AJ$2), IF($I53= "I", $J53/($F53-$E53+1), $J53/(($F53*($F53+1)/2)-(($E53-1)*($E53-1+1)/2))*AI$2), 0)+IF(IF(time+1&gt;=AJ$2, $K53/time_cap/(time+1)*AI$2, 0) = 0, $K53/(time_cap),0)),0)</f>
        <v/>
      </c>
      <c r="AJ53" s="4395">
        <f>IFERROR(IF((time+time_cap)&lt;AJ$2, 0,IF(AND(time+1&gt;=AK$2, $E53&lt;AK$2), IF($I53= "I", $J53/($F53-$E53+1), $J53/(($F53*($F53+1)/2)-(($E53-1)*($E53-1+1)/2))*AJ$2), 0)+IF(IF(time+1&gt;=AK$2, $K53/time_cap/(time+1)*AJ$2, 0) = 0, $K53/(time_cap),0)),0)</f>
        <v/>
      </c>
      <c r="AK53" s="4395">
        <f>IFERROR(IF((time+time_cap)&lt;AK$2, 0,IF(AND(time+1&gt;=AL$2, $E53&lt;AL$2), IF($I53= "I", $J53/($F53-$E53+1), $J53/(($F53*($F53+1)/2)-(($E53-1)*($E53-1+1)/2))*AK$2), 0)+IF(IF(time+1&gt;=AL$2, $K53/time_cap/(time+1)*AK$2, 0) = 0, $K53/(time_cap),0)),0)</f>
        <v/>
      </c>
      <c r="AL53" s="4395">
        <f>IFERROR(IF((time+time_cap)&lt;AL$2, 0,IF(AND(time+1&gt;=AM$2, $E53&lt;AM$2), IF($I53= "I", $J53/($F53-$E53+1), $J53/(($F53*($F53+1)/2)-(($E53-1)*($E53-1+1)/2))*AL$2), 0)+IF(IF(time+1&gt;=AM$2, $K53/time_cap/(time+1)*AL$2, 0) = 0, $K53/(time_cap),0)),0)</f>
        <v/>
      </c>
      <c r="AM53" s="4395">
        <f>IFERROR(IF((time+time_cap)&lt;AM$2, 0,IF(AND(time+1&gt;=AN$2, $E53&lt;AN$2), IF($I53= "I", $J53/($F53-$E53+1), $J53/(($F53*($F53+1)/2)-(($E53-1)*($E53-1+1)/2))*AM$2), 0)+IF(IF(time+1&gt;=AN$2, $K53/time_cap/(time+1)*AM$2, 0) = 0, $K53/(time_cap),0)),0)</f>
        <v/>
      </c>
      <c r="AN53" s="4395">
        <f>IFERROR(IF((time+time_cap)&lt;AN$2, 0,IF(AND(time+1&gt;=AO$2, $E53&lt;AO$2), IF($I53= "I", $J53/($F53-$E53+1), $J53/(($F53*($F53+1)/2)-(($E53-1)*($E53-1+1)/2))*AN$2), 0)+IF(IF(time+1&gt;=AO$2, $K53/time_cap/(time+1)*AN$2, 0) = 0, $K53/(time_cap),0)),0)</f>
        <v/>
      </c>
      <c r="AO53" s="4395">
        <f>IFERROR(IF((time+time_cap)&lt;AO$2, 0,IF(AND(time+1&gt;=AP$2, $E53&lt;AP$2), IF($I53= "I", $J53/($F53-$E53+1), $J53/(($F53*($F53+1)/2)-(($E53-1)*($E53-1+1)/2))*AO$2), 0)+IF(IF(time+1&gt;=AP$2, $K53/time_cap/(time+1)*AO$2, 0) = 0, $K53/(time_cap),0)),0)</f>
        <v/>
      </c>
      <c r="AP53" s="4395">
        <f>IFERROR(IF((time+time_cap)&lt;AP$2, 0,IF(AND(time+1&gt;=AQ$2, $E53&lt;AQ$2), IF($I53= "I", $J53/($F53-$E53+1), $J53/(($F53*($F53+1)/2)-(($E53-1)*($E53-1+1)/2))*AP$2), 0)+IF(IF(time+1&gt;=AQ$2, $K53/time_cap/(time+1)*AP$2, 0) = 0, $K53/(time_cap),0)),0)</f>
        <v/>
      </c>
      <c r="AQ53" s="4395">
        <f>IFERROR(IF((time+time_cap)&lt;AQ$2, 0,IF(AND(time+1&gt;=AR$2, $E53&lt;AR$2), IF($I53= "I", $J53/($F53-$E53+1), $J53/(($F53*($F53+1)/2)-(($E53-1)*($E53-1+1)/2))*AQ$2), 0)+IF(IF(time+1&gt;=AR$2, $K53/time_cap/(time+1)*AQ$2, 0) = 0, $K53/(time_cap),0)),0)</f>
        <v/>
      </c>
      <c r="AR53" s="4395">
        <f>IFERROR(IF((time+time_cap)&lt;AR$2, 0,IF(AND(time+1&gt;=AS$2, $E53&lt;AS$2), IF($I53= "I", $J53/($F53-$E53+1), $J53/(($F53*($F53+1)/2)-(($E53-1)*($E53-1+1)/2))*AR$2), 0)+IF(IF(time+1&gt;=AS$2, $K53/time_cap/(time+1)*AR$2, 0) = 0, $K53/(time_cap),0)),0)</f>
        <v/>
      </c>
      <c r="AS53" s="4395">
        <f>IFERROR(IF((time+time_cap)&lt;AS$2, 0,IF(AND(time+1&gt;=AT$2, $E53&lt;AT$2), IF($I53= "I", $J53/($F53-$E53+1), $J53/(($F53*($F53+1)/2)-(($E53-1)*($E53-1+1)/2))*AS$2), 0)+IF(IF(time+1&gt;=AT$2, $K53/time_cap/(time+1)*AS$2, 0) = 0, $K53/(time_cap),0)),0)</f>
        <v/>
      </c>
      <c r="AT53" s="4395">
        <f>IFERROR(IF((time+time_cap)&lt;AT$2, 0,IF(AND(time+1&gt;=AU$2, $E53&lt;AU$2), IF($I53= "I", $J53/($F53-$E53+1), $J53/(($F53*($F53+1)/2)-(($E53-1)*($E53-1+1)/2))*AT$2), 0)+IF(IF(time+1&gt;=AU$2, $K53/time_cap/(time+1)*AT$2, 0) = 0, $K53/(time_cap),0)),0)</f>
        <v/>
      </c>
      <c r="AU53" s="4395">
        <f>IFERROR(IF((time+time_cap)&lt;AU$2, 0,IF(AND(time+1&gt;=AV$2, $E53&lt;AV$2), IF($I53= "I", $J53/($F53-$E53+1), $J53/(($F53*($F53+1)/2)-(($E53-1)*($E53-1+1)/2))*AU$2), 0)+IF(IF(time+1&gt;=AV$2, $K53/time_cap/(time+1)*AU$2, 0) = 0, $K53/(time_cap),0)),0)</f>
        <v/>
      </c>
      <c r="AV53" s="4395">
        <f>IFERROR(IF((time+time_cap)&lt;AV$2, 0,IF(AND(time+1&gt;=AW$2, $E53&lt;AW$2), IF($I53= "I", $J53/($F53-$E53+1), $J53/(($F53*($F53+1)/2)-(($E53-1)*($E53-1+1)/2))*AV$2), 0)+IF(IF(time+1&gt;=AW$2, $K53/time_cap/(time+1)*AV$2, 0) = 0, $K53/(time_cap),0)),0)</f>
        <v/>
      </c>
      <c r="AW53" s="4395">
        <f>IFERROR(IF((time+time_cap)&lt;AW$2, 0,IF(AND(time+1&gt;=AX$2, $E53&lt;AX$2), IF($I53= "I", $J53/($F53-$E53+1), $J53/(($F53*($F53+1)/2)-(($E53-1)*($E53-1+1)/2))*AW$2), 0)+IF(IF(time+1&gt;=AX$2, $K53/time_cap/(time+1)*AW$2, 0) = 0, $K53/(time_cap),0)),0)</f>
        <v/>
      </c>
      <c r="AX53" s="4395">
        <f>IFERROR(IF((time+time_cap)&lt;AX$2, 0,IF(AND(time+1&gt;=AY$2, $E53&lt;AY$2), IF($I53= "I", $J53/($F53-$E53+1), $J53/(($F53*($F53+1)/2)-(($E53-1)*($E53-1+1)/2))*AX$2), 0)+IF(IF(time+1&gt;=AY$2, $K53/time_cap/(time+1)*AX$2, 0) = 0, $K53/(time_cap),0)),0)</f>
        <v/>
      </c>
      <c r="AY53" s="4395">
        <f>IFERROR(IF((time+time_cap)&lt;AY$2, 0,IF(AND(time+1&gt;=AZ$2, $E53&lt;AZ$2), IF($I53= "I", $J53/($F53-$E53+1), $J53/(($F53*($F53+1)/2)-(($E53-1)*($E53-1+1)/2))*AY$2), 0)+IF(IF(time+1&gt;=AZ$2, $K53/time_cap/(time+1)*AY$2, 0) = 0, $K53/(time_cap),0)),0)</f>
        <v/>
      </c>
      <c r="AZ53" s="4395">
        <f>IFERROR(IF((time+time_cap)&lt;AZ$2, 0,IF(AND(time+1&gt;=BA$2, $E53&lt;BA$2), IF($I53= "I", $J53/($F53-$E53+1), $J53/(($F53*($F53+1)/2)-(($E53-1)*($E53-1+1)/2))*AZ$2), 0)+IF(IF(time+1&gt;=BA$2, $K53/time_cap/(time+1)*AZ$2, 0) = 0, $K53/(time_cap),0)),0)</f>
        <v/>
      </c>
      <c r="BA53" s="4395">
        <f>IFERROR(IF((time+time_cap)&lt;BA$2, 0,IF(AND(time+1&gt;=BB$2, $E53&lt;BB$2), IF($I53= "I", $J53/($F53-$E53+1), $J53/(($F53*($F53+1)/2)-(($E53-1)*($E53-1+1)/2))*BA$2), 0)+IF(IF(time+1&gt;=BB$2, $K53/time_cap/(time+1)*BA$2, 0) = 0, $K53/(time_cap),0)),0)</f>
        <v/>
      </c>
      <c r="BB53" s="4395">
        <f>IFERROR(IF((time+time_cap)&lt;BB$2, 0,IF(AND(time+1&gt;=BC$2, $E53&lt;BC$2), IF($I53= "I", $J53/($F53-$E53+1), $J53/(($F53*($F53+1)/2)-(($E53-1)*($E53-1+1)/2))*BB$2), 0)+IF(IF(time+1&gt;=BC$2, $K53/time_cap/(time+1)*BB$2, 0) = 0, $K53/(time_cap),0)),0)</f>
        <v/>
      </c>
      <c r="BC53" s="4395">
        <f>IFERROR(IF((time+time_cap)&lt;BC$2, 0,IF(AND(time+1&gt;=BD$2, $E53&lt;BD$2), IF($I53= "I", $J53/($F53-$E53+1), $J53/(($F53*($F53+1)/2)-(($E53-1)*($E53-1+1)/2))*BC$2), 0)+IF(IF(time+1&gt;=BD$2, $K53/time_cap/(time+1)*BC$2, 0) = 0, $K53/(time_cap),0)),0)</f>
        <v/>
      </c>
      <c r="BD53" s="4395">
        <f>IFERROR(IF((time+time_cap)&lt;BD$2, 0,IF(AND(time+1&gt;=BE$2, $E53&lt;BE$2), IF($I53= "I", $J53/($F53-$E53+1), $J53/(($F53*($F53+1)/2)-(($E53-1)*($E53-1+1)/2))*BD$2), 0)+IF(IF(time+1&gt;=BE$2, $K53/time_cap/(time+1)*BD$2, 0) = 0, $K53/(time_cap),0)),0)</f>
        <v/>
      </c>
      <c r="BE53" s="4395">
        <f>IFERROR(IF((time+time_cap)&lt;BE$2, 0,IF(AND(time+1&gt;=BF$2, $E53&lt;BF$2), IF($I53= "I", $J53/($F53-$E53+1), $J53/(($F53*($F53+1)/2)-(($E53-1)*($E53-1+1)/2))*BE$2), 0)+IF(IF(time+1&gt;=BF$2, $K53/time_cap/(time+1)*BE$2, 0) = 0, $K53/(time_cap),0)),0)</f>
        <v/>
      </c>
      <c r="BF53" s="4395">
        <f>IFERROR(IF((time+time_cap)&lt;BF$2, 0,IF(AND(time+1&gt;=BG$2, $E53&lt;BG$2), IF($I53= "I", $J53/($F53-$E53+1), $J53/(($F53*($F53+1)/2)-(($E53-1)*($E53-1+1)/2))*BF$2), 0)+IF(IF(time+1&gt;=BG$2, $K53/time_cap/(time+1)*BF$2, 0) = 0, $K53/(time_cap),0)),0)</f>
        <v/>
      </c>
      <c r="BG53" s="4395">
        <f>IFERROR(IF((time+time_cap)&lt;BG$2, 0,IF(AND(time+1&gt;=BH$2, $E53&lt;BH$2), IF($I53= "I", $J53/($F53-$E53+1), $J53/(($F53*($F53+1)/2)-(($E53-1)*($E53-1+1)/2))*BG$2), 0)+IF(IF(time+1&gt;=BH$2, $K53/time_cap/(time+1)*BG$2, 0) = 0, $K53/(time_cap),0)),0)</f>
        <v/>
      </c>
      <c r="BH53" s="4395">
        <f>IFERROR(IF((time+time_cap)&lt;BH$2, 0,IF(AND(time+1&gt;=BI$2, $E53&lt;BI$2), IF($I53= "I", $J53/($F53-$E53+1), $J53/(($F53*($F53+1)/2)-(($E53-1)*($E53-1+1)/2))*BH$2), 0)+IF(IF(time+1&gt;=BI$2, $K53/time_cap/(time+1)*BH$2, 0) = 0, $K53/(time_cap),0)),0)</f>
        <v/>
      </c>
      <c r="BI53" s="4395">
        <f>IFERROR(IF((time+time_cap)&lt;BI$2, 0,IF(AND(time+1&gt;=BJ$2, $E53&lt;BJ$2), IF($I53= "I", $J53/($F53-$E53+1), $J53/(($F53*($F53+1)/2)-(($E53-1)*($E53-1+1)/2))*BI$2), 0)+IF(IF(time+1&gt;=BJ$2, $K53/time_cap/(time+1)*BI$2, 0) = 0, $K53/(time_cap),0)),0)</f>
        <v/>
      </c>
      <c r="BJ53" s="4395">
        <f>IFERROR(IF((time+time_cap)&lt;BJ$2, 0,IF(AND(time+1&gt;=BK$2, $E53&lt;BK$2), IF($I53= "I", $J53/($F53-$E53+1), $J53/(($F53*($F53+1)/2)-(($E53-1)*($E53-1+1)/2))*BJ$2), 0)+IF(IF(time+1&gt;=BK$2, $K53/time_cap/(time+1)*BJ$2, 0) = 0, $K53/(time_cap),0)),0)</f>
        <v/>
      </c>
      <c r="BK53" s="4395" t="n"/>
      <c r="BL53" s="4395" t="n"/>
      <c r="BM53" s="4395" t="n"/>
      <c r="BN53" s="4395" t="n"/>
      <c r="BO53" s="4395" t="n"/>
      <c r="BP53" s="4395" t="n"/>
      <c r="BQ53" s="4395" t="n"/>
      <c r="BR53" s="4395" t="n"/>
      <c r="BS53" s="4395" t="n"/>
      <c r="BT53" s="4395" t="n"/>
      <c r="BU53" s="4395" t="n"/>
      <c r="BV53" s="4395" t="n"/>
      <c r="BW53" s="4395" t="n"/>
      <c r="BX53" s="4395" t="n"/>
      <c r="BY53" s="4395" t="n"/>
      <c r="BZ53" s="4395" t="n"/>
      <c r="CA53" s="4395" t="n"/>
      <c r="CB53" s="4395" t="n"/>
      <c r="CC53" s="4395" t="n"/>
      <c r="CD53" s="4395" t="n"/>
      <c r="CE53" s="4395" t="n"/>
      <c r="CF53" s="4395" t="n"/>
      <c r="CG53" s="4395" t="n"/>
      <c r="CH53" s="4395" t="n"/>
      <c r="CI53" s="4395" t="n"/>
      <c r="CJ53" s="4395" t="n"/>
      <c r="CK53" s="4395" t="n"/>
      <c r="CL53" s="4395" t="n"/>
      <c r="CM53" s="4395" t="n"/>
      <c r="CN53" s="4395" t="n"/>
      <c r="CO53" s="4395" t="n"/>
      <c r="CP53" s="4395" t="n"/>
      <c r="CQ53" s="4395" t="n"/>
      <c r="CR53" s="4395" t="n"/>
      <c r="CS53" s="4395" t="n"/>
      <c r="CT53" s="4395" t="n"/>
      <c r="CU53" s="4395" t="n"/>
      <c r="CV53" s="4395" t="n"/>
      <c r="CW53" s="4395" t="n"/>
      <c r="CX53" s="4395" t="n"/>
      <c r="CY53" s="4395" t="n"/>
      <c r="CZ53" s="4395" t="n"/>
      <c r="DA53" s="4395" t="n"/>
      <c r="DB53" s="4395" t="n"/>
      <c r="DC53" s="4395" t="n"/>
      <c r="DD53" s="4395" t="n"/>
      <c r="DE53" s="4395" t="n"/>
      <c r="DF53" s="4395" t="n"/>
      <c r="DG53" s="4395" t="n"/>
      <c r="DH53" s="4395" t="n"/>
    </row>
    <row r="54" ht="16" customHeight="1">
      <c r="A54" t="inlineStr">
        <is>
          <t>Perennials</t>
        </is>
      </c>
      <c r="C54">
        <f>'3.Cropland'!E59</f>
        <v/>
      </c>
      <c r="D54">
        <f>'3.Cropland'!Z59</f>
        <v/>
      </c>
      <c r="E54">
        <f>IF('3.Cropland'!BL59&lt;&gt;0,'3.Cropland'!BL59, '3.Cropland'!BK59)</f>
        <v/>
      </c>
      <c r="F54">
        <f>time</f>
        <v/>
      </c>
      <c r="G54" s="4395" t="inlineStr">
        <is>
          <t>D</t>
        </is>
      </c>
      <c r="H54" s="4395" t="inlineStr">
        <is>
          <t>D</t>
        </is>
      </c>
      <c r="I54" s="4395">
        <f>IF(OR(H54="I", G54="I"), "I", IF(OR(H54="E", G54="E"), "E", "D"))</f>
        <v/>
      </c>
      <c r="J54" s="4395">
        <f>((D54/(time_cap+((F54-E54+1)*VLOOKUP(I54,list!$I$48:$K$50,3, FALSE))))*(F54-E54+1)*VLOOKUP(I54,list!$I$48:$K$50,3, FALSE))</f>
        <v/>
      </c>
      <c r="K54" s="4395">
        <f>((D54/(time_cap+((F54-E54+1)*VLOOKUP(I54,list!$I$48:$K$50,3, FALSE))))*time_cap)</f>
        <v/>
      </c>
      <c r="M54" s="4395">
        <f>IFERROR(IF((time+time_cap)&lt;M$2, 0,IF(AND(time+1&gt;=N$2, $E54&lt;N$2), IF($I54= "I", $J54/($F54-$E54+1), $J54/(($F54*($F54+1)/2)-(($E54-1)*($E54-1+1)/2))*M$2), 0)+IF(IF(time+1&gt;=N$2, $K54/time_cap/(time+1)*M$2, 0) = 0, $K54/(time_cap),0)),0)</f>
        <v/>
      </c>
      <c r="N54" s="4395">
        <f>IFERROR(IF((time+time_cap)&lt;N$2, 0,IF(AND(time+1&gt;=O$2, $E54&lt;O$2), IF($I54= "I", $J54/($F54-$E54+1), $J54/(($F54*($F54+1)/2)-(($E54-1)*($E54-1+1)/2))*N$2), 0)+IF(IF(time+1&gt;=O$2, $K54/time_cap/(time+1)*N$2, 0) = 0, $K54/(time_cap),0)),0)</f>
        <v/>
      </c>
      <c r="O54" s="4395">
        <f>IFERROR(IF((time+time_cap)&lt;O$2, 0,IF(AND(time+1&gt;=P$2, $E54&lt;P$2), IF($I54= "I", $J54/($F54-$E54+1), $J54/(($F54*($F54+1)/2)-(($E54-1)*($E54-1+1)/2))*O$2), 0)+IF(IF(time+1&gt;=P$2, $K54/time_cap/(time+1)*O$2, 0) = 0, $K54/(time_cap),0)),0)</f>
        <v/>
      </c>
      <c r="P54" s="4395">
        <f>IFERROR(IF((time+time_cap)&lt;P$2, 0,IF(AND(time+1&gt;=Q$2, $E54&lt;Q$2), IF($I54= "I", $J54/($F54-$E54+1), $J54/(($F54*($F54+1)/2)-(($E54-1)*($E54-1+1)/2))*P$2), 0)+IF(IF(time+1&gt;=Q$2, $K54/time_cap/(time+1)*P$2, 0) = 0, $K54/(time_cap),0)),0)</f>
        <v/>
      </c>
      <c r="Q54" s="4395">
        <f>IFERROR(IF((time+time_cap)&lt;Q$2, 0,IF(AND(time+1&gt;=R$2, $E54&lt;R$2), IF($I54= "I", $J54/($F54-$E54+1), $J54/(($F54*($F54+1)/2)-(($E54-1)*($E54-1+1)/2))*Q$2), 0)+IF(IF(time+1&gt;=R$2, $K54/time_cap/(time+1)*Q$2, 0) = 0, $K54/(time_cap),0)),0)</f>
        <v/>
      </c>
      <c r="R54" s="4395">
        <f>IFERROR(IF((time+time_cap)&lt;R$2, 0,IF(AND(time+1&gt;=S$2, $E54&lt;S$2), IF($I54= "I", $J54/($F54-$E54+1), $J54/(($F54*($F54+1)/2)-(($E54-1)*($E54-1+1)/2))*R$2), 0)+IF(IF(time+1&gt;=S$2, $K54/time_cap/(time+1)*R$2, 0) = 0, $K54/(time_cap),0)),0)</f>
        <v/>
      </c>
      <c r="S54" s="4395">
        <f>IFERROR(IF((time+time_cap)&lt;S$2, 0,IF(AND(time+1&gt;=T$2, $E54&lt;T$2), IF($I54= "I", $J54/($F54-$E54+1), $J54/(($F54*($F54+1)/2)-(($E54-1)*($E54-1+1)/2))*S$2), 0)+IF(IF(time+1&gt;=T$2, $K54/time_cap/(time+1)*S$2, 0) = 0, $K54/(time_cap),0)),0)</f>
        <v/>
      </c>
      <c r="T54" s="4395">
        <f>IFERROR(IF((time+time_cap)&lt;T$2, 0,IF(AND(time+1&gt;=U$2, $E54&lt;U$2), IF($I54= "I", $J54/($F54-$E54+1), $J54/(($F54*($F54+1)/2)-(($E54-1)*($E54-1+1)/2))*T$2), 0)+IF(IF(time+1&gt;=U$2, $K54/time_cap/(time+1)*T$2, 0) = 0, $K54/(time_cap),0)),0)</f>
        <v/>
      </c>
      <c r="U54" s="4395">
        <f>IFERROR(IF((time+time_cap)&lt;U$2, 0,IF(AND(time+1&gt;=V$2, $E54&lt;V$2), IF($I54= "I", $J54/($F54-$E54+1), $J54/(($F54*($F54+1)/2)-(($E54-1)*($E54-1+1)/2))*U$2), 0)+IF(IF(time+1&gt;=V$2, $K54/time_cap/(time+1)*U$2, 0) = 0, $K54/(time_cap),0)),0)</f>
        <v/>
      </c>
      <c r="V54" s="4395">
        <f>IFERROR(IF((time+time_cap)&lt;V$2, 0,IF(AND(time+1&gt;=W$2, $E54&lt;W$2), IF($I54= "I", $J54/($F54-$E54+1), $J54/(($F54*($F54+1)/2)-(($E54-1)*($E54-1+1)/2))*V$2), 0)+IF(IF(time+1&gt;=W$2, $K54/time_cap/(time+1)*V$2, 0) = 0, $K54/(time_cap),0)),0)</f>
        <v/>
      </c>
      <c r="W54" s="4395">
        <f>IFERROR(IF((time+time_cap)&lt;W$2, 0,IF(AND(time+1&gt;=X$2, $E54&lt;X$2), IF($I54= "I", $J54/($F54-$E54+1), $J54/(($F54*($F54+1)/2)-(($E54-1)*($E54-1+1)/2))*W$2), 0)+IF(IF(time+1&gt;=X$2, $K54/time_cap/(time+1)*W$2, 0) = 0, $K54/(time_cap),0)),0)</f>
        <v/>
      </c>
      <c r="X54" s="4395">
        <f>IFERROR(IF((time+time_cap)&lt;X$2, 0,IF(AND(time+1&gt;=Y$2, $E54&lt;Y$2), IF($I54= "I", $J54/($F54-$E54+1), $J54/(($F54*($F54+1)/2)-(($E54-1)*($E54-1+1)/2))*X$2), 0)+IF(IF(time+1&gt;=Y$2, $K54/time_cap/(time+1)*X$2, 0) = 0, $K54/(time_cap),0)),0)</f>
        <v/>
      </c>
      <c r="Y54" s="4395">
        <f>IFERROR(IF((time+time_cap)&lt;Y$2, 0,IF(AND(time+1&gt;=Z$2, $E54&lt;Z$2), IF($I54= "I", $J54/($F54-$E54+1), $J54/(($F54*($F54+1)/2)-(($E54-1)*($E54-1+1)/2))*Y$2), 0)+IF(IF(time+1&gt;=Z$2, $K54/time_cap/(time+1)*Y$2, 0) = 0, $K54/(time_cap),0)),0)</f>
        <v/>
      </c>
      <c r="Z54" s="4395">
        <f>IFERROR(IF((time+time_cap)&lt;Z$2, 0,IF(AND(time+1&gt;=AA$2, $E54&lt;AA$2), IF($I54= "I", $J54/($F54-$E54+1), $J54/(($F54*($F54+1)/2)-(($E54-1)*($E54-1+1)/2))*Z$2), 0)+IF(IF(time+1&gt;=AA$2, $K54/time_cap/(time+1)*Z$2, 0) = 0, $K54/(time_cap),0)),0)</f>
        <v/>
      </c>
      <c r="AA54" s="4395">
        <f>IFERROR(IF((time+time_cap)&lt;AA$2, 0,IF(AND(time+1&gt;=AB$2, $E54&lt;AB$2), IF($I54= "I", $J54/($F54-$E54+1), $J54/(($F54*($F54+1)/2)-(($E54-1)*($E54-1+1)/2))*AA$2), 0)+IF(IF(time+1&gt;=AB$2, $K54/time_cap/(time+1)*AA$2, 0) = 0, $K54/(time_cap),0)),0)</f>
        <v/>
      </c>
      <c r="AB54" s="4395">
        <f>IFERROR(IF((time+time_cap)&lt;AB$2, 0,IF(AND(time+1&gt;=AC$2, $E54&lt;AC$2), IF($I54= "I", $J54/($F54-$E54+1), $J54/(($F54*($F54+1)/2)-(($E54-1)*($E54-1+1)/2))*AB$2), 0)+IF(IF(time+1&gt;=AC$2, $K54/time_cap/(time+1)*AB$2, 0) = 0, $K54/(time_cap),0)),0)</f>
        <v/>
      </c>
      <c r="AC54" s="4395">
        <f>IFERROR(IF((time+time_cap)&lt;AC$2, 0,IF(AND(time+1&gt;=AD$2, $E54&lt;AD$2), IF($I54= "I", $J54/($F54-$E54+1), $J54/(($F54*($F54+1)/2)-(($E54-1)*($E54-1+1)/2))*AC$2), 0)+IF(IF(time+1&gt;=AD$2, $K54/time_cap/(time+1)*AC$2, 0) = 0, $K54/(time_cap),0)),0)</f>
        <v/>
      </c>
      <c r="AD54" s="4395">
        <f>IFERROR(IF((time+time_cap)&lt;AD$2, 0,IF(AND(time+1&gt;=AE$2, $E54&lt;AE$2), IF($I54= "I", $J54/($F54-$E54+1), $J54/(($F54*($F54+1)/2)-(($E54-1)*($E54-1+1)/2))*AD$2), 0)+IF(IF(time+1&gt;=AE$2, $K54/time_cap/(time+1)*AD$2, 0) = 0, $K54/(time_cap),0)),0)</f>
        <v/>
      </c>
      <c r="AE54" s="4395">
        <f>IFERROR(IF((time+time_cap)&lt;AE$2, 0,IF(AND(time+1&gt;=AF$2, $E54&lt;AF$2), IF($I54= "I", $J54/($F54-$E54+1), $J54/(($F54*($F54+1)/2)-(($E54-1)*($E54-1+1)/2))*AE$2), 0)+IF(IF(time+1&gt;=AF$2, $K54/time_cap/(time+1)*AE$2, 0) = 0, $K54/(time_cap),0)),0)</f>
        <v/>
      </c>
      <c r="AF54" s="4395">
        <f>IFERROR(IF((time+time_cap)&lt;AF$2, 0,IF(AND(time+1&gt;=AG$2, $E54&lt;AG$2), IF($I54= "I", $J54/($F54-$E54+1), $J54/(($F54*($F54+1)/2)-(($E54-1)*($E54-1+1)/2))*AF$2), 0)+IF(IF(time+1&gt;=AG$2, $K54/time_cap/(time+1)*AF$2, 0) = 0, $K54/(time_cap),0)),0)</f>
        <v/>
      </c>
      <c r="AG54" s="4395">
        <f>IFERROR(IF((time+time_cap)&lt;AG$2, 0,IF(AND(time+1&gt;=AH$2, $E54&lt;AH$2), IF($I54= "I", $J54/($F54-$E54+1), $J54/(($F54*($F54+1)/2)-(($E54-1)*($E54-1+1)/2))*AG$2), 0)+IF(IF(time+1&gt;=AH$2, $K54/time_cap/(time+1)*AG$2, 0) = 0, $K54/(time_cap),0)),0)</f>
        <v/>
      </c>
      <c r="AH54" s="4395">
        <f>IFERROR(IF((time+time_cap)&lt;AH$2, 0,IF(AND(time+1&gt;=AI$2, $E54&lt;AI$2), IF($I54= "I", $J54/($F54-$E54+1), $J54/(($F54*($F54+1)/2)-(($E54-1)*($E54-1+1)/2))*AH$2), 0)+IF(IF(time+1&gt;=AI$2, $K54/time_cap/(time+1)*AH$2, 0) = 0, $K54/(time_cap),0)),0)</f>
        <v/>
      </c>
      <c r="AI54" s="4395">
        <f>IFERROR(IF((time+time_cap)&lt;AI$2, 0,IF(AND(time+1&gt;=AJ$2, $E54&lt;AJ$2), IF($I54= "I", $J54/($F54-$E54+1), $J54/(($F54*($F54+1)/2)-(($E54-1)*($E54-1+1)/2))*AI$2), 0)+IF(IF(time+1&gt;=AJ$2, $K54/time_cap/(time+1)*AI$2, 0) = 0, $K54/(time_cap),0)),0)</f>
        <v/>
      </c>
      <c r="AJ54" s="4395">
        <f>IFERROR(IF((time+time_cap)&lt;AJ$2, 0,IF(AND(time+1&gt;=AK$2, $E54&lt;AK$2), IF($I54= "I", $J54/($F54-$E54+1), $J54/(($F54*($F54+1)/2)-(($E54-1)*($E54-1+1)/2))*AJ$2), 0)+IF(IF(time+1&gt;=AK$2, $K54/time_cap/(time+1)*AJ$2, 0) = 0, $K54/(time_cap),0)),0)</f>
        <v/>
      </c>
      <c r="AK54" s="4395">
        <f>IFERROR(IF((time+time_cap)&lt;AK$2, 0,IF(AND(time+1&gt;=AL$2, $E54&lt;AL$2), IF($I54= "I", $J54/($F54-$E54+1), $J54/(($F54*($F54+1)/2)-(($E54-1)*($E54-1+1)/2))*AK$2), 0)+IF(IF(time+1&gt;=AL$2, $K54/time_cap/(time+1)*AK$2, 0) = 0, $K54/(time_cap),0)),0)</f>
        <v/>
      </c>
      <c r="AL54" s="4395">
        <f>IFERROR(IF((time+time_cap)&lt;AL$2, 0,IF(AND(time+1&gt;=AM$2, $E54&lt;AM$2), IF($I54= "I", $J54/($F54-$E54+1), $J54/(($F54*($F54+1)/2)-(($E54-1)*($E54-1+1)/2))*AL$2), 0)+IF(IF(time+1&gt;=AM$2, $K54/time_cap/(time+1)*AL$2, 0) = 0, $K54/(time_cap),0)),0)</f>
        <v/>
      </c>
      <c r="AM54" s="4395">
        <f>IFERROR(IF((time+time_cap)&lt;AM$2, 0,IF(AND(time+1&gt;=AN$2, $E54&lt;AN$2), IF($I54= "I", $J54/($F54-$E54+1), $J54/(($F54*($F54+1)/2)-(($E54-1)*($E54-1+1)/2))*AM$2), 0)+IF(IF(time+1&gt;=AN$2, $K54/time_cap/(time+1)*AM$2, 0) = 0, $K54/(time_cap),0)),0)</f>
        <v/>
      </c>
      <c r="AN54" s="4395">
        <f>IFERROR(IF((time+time_cap)&lt;AN$2, 0,IF(AND(time+1&gt;=AO$2, $E54&lt;AO$2), IF($I54= "I", $J54/($F54-$E54+1), $J54/(($F54*($F54+1)/2)-(($E54-1)*($E54-1+1)/2))*AN$2), 0)+IF(IF(time+1&gt;=AO$2, $K54/time_cap/(time+1)*AN$2, 0) = 0, $K54/(time_cap),0)),0)</f>
        <v/>
      </c>
      <c r="AO54" s="4395">
        <f>IFERROR(IF((time+time_cap)&lt;AO$2, 0,IF(AND(time+1&gt;=AP$2, $E54&lt;AP$2), IF($I54= "I", $J54/($F54-$E54+1), $J54/(($F54*($F54+1)/2)-(($E54-1)*($E54-1+1)/2))*AO$2), 0)+IF(IF(time+1&gt;=AP$2, $K54/time_cap/(time+1)*AO$2, 0) = 0, $K54/(time_cap),0)),0)</f>
        <v/>
      </c>
      <c r="AP54" s="4395">
        <f>IFERROR(IF((time+time_cap)&lt;AP$2, 0,IF(AND(time+1&gt;=AQ$2, $E54&lt;AQ$2), IF($I54= "I", $J54/($F54-$E54+1), $J54/(($F54*($F54+1)/2)-(($E54-1)*($E54-1+1)/2))*AP$2), 0)+IF(IF(time+1&gt;=AQ$2, $K54/time_cap/(time+1)*AP$2, 0) = 0, $K54/(time_cap),0)),0)</f>
        <v/>
      </c>
      <c r="AQ54" s="4395">
        <f>IFERROR(IF((time+time_cap)&lt;AQ$2, 0,IF(AND(time+1&gt;=AR$2, $E54&lt;AR$2), IF($I54= "I", $J54/($F54-$E54+1), $J54/(($F54*($F54+1)/2)-(($E54-1)*($E54-1+1)/2))*AQ$2), 0)+IF(IF(time+1&gt;=AR$2, $K54/time_cap/(time+1)*AQ$2, 0) = 0, $K54/(time_cap),0)),0)</f>
        <v/>
      </c>
      <c r="AR54" s="4395">
        <f>IFERROR(IF((time+time_cap)&lt;AR$2, 0,IF(AND(time+1&gt;=AS$2, $E54&lt;AS$2), IF($I54= "I", $J54/($F54-$E54+1), $J54/(($F54*($F54+1)/2)-(($E54-1)*($E54-1+1)/2))*AR$2), 0)+IF(IF(time+1&gt;=AS$2, $K54/time_cap/(time+1)*AR$2, 0) = 0, $K54/(time_cap),0)),0)</f>
        <v/>
      </c>
      <c r="AS54" s="4395">
        <f>IFERROR(IF((time+time_cap)&lt;AS$2, 0,IF(AND(time+1&gt;=AT$2, $E54&lt;AT$2), IF($I54= "I", $J54/($F54-$E54+1), $J54/(($F54*($F54+1)/2)-(($E54-1)*($E54-1+1)/2))*AS$2), 0)+IF(IF(time+1&gt;=AT$2, $K54/time_cap/(time+1)*AS$2, 0) = 0, $K54/(time_cap),0)),0)</f>
        <v/>
      </c>
      <c r="AT54" s="4395">
        <f>IFERROR(IF((time+time_cap)&lt;AT$2, 0,IF(AND(time+1&gt;=AU$2, $E54&lt;AU$2), IF($I54= "I", $J54/($F54-$E54+1), $J54/(($F54*($F54+1)/2)-(($E54-1)*($E54-1+1)/2))*AT$2), 0)+IF(IF(time+1&gt;=AU$2, $K54/time_cap/(time+1)*AT$2, 0) = 0, $K54/(time_cap),0)),0)</f>
        <v/>
      </c>
      <c r="AU54" s="4395">
        <f>IFERROR(IF((time+time_cap)&lt;AU$2, 0,IF(AND(time+1&gt;=AV$2, $E54&lt;AV$2), IF($I54= "I", $J54/($F54-$E54+1), $J54/(($F54*($F54+1)/2)-(($E54-1)*($E54-1+1)/2))*AU$2), 0)+IF(IF(time+1&gt;=AV$2, $K54/time_cap/(time+1)*AU$2, 0) = 0, $K54/(time_cap),0)),0)</f>
        <v/>
      </c>
      <c r="AV54" s="4395">
        <f>IFERROR(IF((time+time_cap)&lt;AV$2, 0,IF(AND(time+1&gt;=AW$2, $E54&lt;AW$2), IF($I54= "I", $J54/($F54-$E54+1), $J54/(($F54*($F54+1)/2)-(($E54-1)*($E54-1+1)/2))*AV$2), 0)+IF(IF(time+1&gt;=AW$2, $K54/time_cap/(time+1)*AV$2, 0) = 0, $K54/(time_cap),0)),0)</f>
        <v/>
      </c>
      <c r="AW54" s="4395">
        <f>IFERROR(IF((time+time_cap)&lt;AW$2, 0,IF(AND(time+1&gt;=AX$2, $E54&lt;AX$2), IF($I54= "I", $J54/($F54-$E54+1), $J54/(($F54*($F54+1)/2)-(($E54-1)*($E54-1+1)/2))*AW$2), 0)+IF(IF(time+1&gt;=AX$2, $K54/time_cap/(time+1)*AW$2, 0) = 0, $K54/(time_cap),0)),0)</f>
        <v/>
      </c>
      <c r="AX54" s="4395">
        <f>IFERROR(IF((time+time_cap)&lt;AX$2, 0,IF(AND(time+1&gt;=AY$2, $E54&lt;AY$2), IF($I54= "I", $J54/($F54-$E54+1), $J54/(($F54*($F54+1)/2)-(($E54-1)*($E54-1+1)/2))*AX$2), 0)+IF(IF(time+1&gt;=AY$2, $K54/time_cap/(time+1)*AX$2, 0) = 0, $K54/(time_cap),0)),0)</f>
        <v/>
      </c>
      <c r="AY54" s="4395">
        <f>IFERROR(IF((time+time_cap)&lt;AY$2, 0,IF(AND(time+1&gt;=AZ$2, $E54&lt;AZ$2), IF($I54= "I", $J54/($F54-$E54+1), $J54/(($F54*($F54+1)/2)-(($E54-1)*($E54-1+1)/2))*AY$2), 0)+IF(IF(time+1&gt;=AZ$2, $K54/time_cap/(time+1)*AY$2, 0) = 0, $K54/(time_cap),0)),0)</f>
        <v/>
      </c>
      <c r="AZ54" s="4395">
        <f>IFERROR(IF((time+time_cap)&lt;AZ$2, 0,IF(AND(time+1&gt;=BA$2, $E54&lt;BA$2), IF($I54= "I", $J54/($F54-$E54+1), $J54/(($F54*($F54+1)/2)-(($E54-1)*($E54-1+1)/2))*AZ$2), 0)+IF(IF(time+1&gt;=BA$2, $K54/time_cap/(time+1)*AZ$2, 0) = 0, $K54/(time_cap),0)),0)</f>
        <v/>
      </c>
      <c r="BA54" s="4395">
        <f>IFERROR(IF((time+time_cap)&lt;BA$2, 0,IF(AND(time+1&gt;=BB$2, $E54&lt;BB$2), IF($I54= "I", $J54/($F54-$E54+1), $J54/(($F54*($F54+1)/2)-(($E54-1)*($E54-1+1)/2))*BA$2), 0)+IF(IF(time+1&gt;=BB$2, $K54/time_cap/(time+1)*BA$2, 0) = 0, $K54/(time_cap),0)),0)</f>
        <v/>
      </c>
      <c r="BB54" s="4395">
        <f>IFERROR(IF((time+time_cap)&lt;BB$2, 0,IF(AND(time+1&gt;=BC$2, $E54&lt;BC$2), IF($I54= "I", $J54/($F54-$E54+1), $J54/(($F54*($F54+1)/2)-(($E54-1)*($E54-1+1)/2))*BB$2), 0)+IF(IF(time+1&gt;=BC$2, $K54/time_cap/(time+1)*BB$2, 0) = 0, $K54/(time_cap),0)),0)</f>
        <v/>
      </c>
      <c r="BC54" s="4395">
        <f>IFERROR(IF((time+time_cap)&lt;BC$2, 0,IF(AND(time+1&gt;=BD$2, $E54&lt;BD$2), IF($I54= "I", $J54/($F54-$E54+1), $J54/(($F54*($F54+1)/2)-(($E54-1)*($E54-1+1)/2))*BC$2), 0)+IF(IF(time+1&gt;=BD$2, $K54/time_cap/(time+1)*BC$2, 0) = 0, $K54/(time_cap),0)),0)</f>
        <v/>
      </c>
      <c r="BD54" s="4395">
        <f>IFERROR(IF((time+time_cap)&lt;BD$2, 0,IF(AND(time+1&gt;=BE$2, $E54&lt;BE$2), IF($I54= "I", $J54/($F54-$E54+1), $J54/(($F54*($F54+1)/2)-(($E54-1)*($E54-1+1)/2))*BD$2), 0)+IF(IF(time+1&gt;=BE$2, $K54/time_cap/(time+1)*BD$2, 0) = 0, $K54/(time_cap),0)),0)</f>
        <v/>
      </c>
      <c r="BE54" s="4395">
        <f>IFERROR(IF((time+time_cap)&lt;BE$2, 0,IF(AND(time+1&gt;=BF$2, $E54&lt;BF$2), IF($I54= "I", $J54/($F54-$E54+1), $J54/(($F54*($F54+1)/2)-(($E54-1)*($E54-1+1)/2))*BE$2), 0)+IF(IF(time+1&gt;=BF$2, $K54/time_cap/(time+1)*BE$2, 0) = 0, $K54/(time_cap),0)),0)</f>
        <v/>
      </c>
      <c r="BF54" s="4395">
        <f>IFERROR(IF((time+time_cap)&lt;BF$2, 0,IF(AND(time+1&gt;=BG$2, $E54&lt;BG$2), IF($I54= "I", $J54/($F54-$E54+1), $J54/(($F54*($F54+1)/2)-(($E54-1)*($E54-1+1)/2))*BF$2), 0)+IF(IF(time+1&gt;=BG$2, $K54/time_cap/(time+1)*BF$2, 0) = 0, $K54/(time_cap),0)),0)</f>
        <v/>
      </c>
      <c r="BG54" s="4395">
        <f>IFERROR(IF((time+time_cap)&lt;BG$2, 0,IF(AND(time+1&gt;=BH$2, $E54&lt;BH$2), IF($I54= "I", $J54/($F54-$E54+1), $J54/(($F54*($F54+1)/2)-(($E54-1)*($E54-1+1)/2))*BG$2), 0)+IF(IF(time+1&gt;=BH$2, $K54/time_cap/(time+1)*BG$2, 0) = 0, $K54/(time_cap),0)),0)</f>
        <v/>
      </c>
      <c r="BH54" s="4395">
        <f>IFERROR(IF((time+time_cap)&lt;BH$2, 0,IF(AND(time+1&gt;=BI$2, $E54&lt;BI$2), IF($I54= "I", $J54/($F54-$E54+1), $J54/(($F54*($F54+1)/2)-(($E54-1)*($E54-1+1)/2))*BH$2), 0)+IF(IF(time+1&gt;=BI$2, $K54/time_cap/(time+1)*BH$2, 0) = 0, $K54/(time_cap),0)),0)</f>
        <v/>
      </c>
      <c r="BI54" s="4395">
        <f>IFERROR(IF((time+time_cap)&lt;BI$2, 0,IF(AND(time+1&gt;=BJ$2, $E54&lt;BJ$2), IF($I54= "I", $J54/($F54-$E54+1), $J54/(($F54*($F54+1)/2)-(($E54-1)*($E54-1+1)/2))*BI$2), 0)+IF(IF(time+1&gt;=BJ$2, $K54/time_cap/(time+1)*BI$2, 0) = 0, $K54/(time_cap),0)),0)</f>
        <v/>
      </c>
      <c r="BJ54" s="4395">
        <f>IFERROR(IF((time+time_cap)&lt;BJ$2, 0,IF(AND(time+1&gt;=BK$2, $E54&lt;BK$2), IF($I54= "I", $J54/($F54-$E54+1), $J54/(($F54*($F54+1)/2)-(($E54-1)*($E54-1+1)/2))*BJ$2), 0)+IF(IF(time+1&gt;=BK$2, $K54/time_cap/(time+1)*BJ$2, 0) = 0, $K54/(time_cap),0)),0)</f>
        <v/>
      </c>
      <c r="BK54" s="4395" t="n"/>
      <c r="BL54" s="4395" t="n"/>
      <c r="BM54" s="4395" t="n"/>
      <c r="BN54" s="4395" t="n"/>
      <c r="BO54" s="4395" t="n"/>
      <c r="BP54" s="4395" t="n"/>
      <c r="BQ54" s="4395" t="n"/>
      <c r="BR54" s="4395" t="n"/>
      <c r="BS54" s="4395" t="n"/>
      <c r="BT54" s="4395" t="n"/>
      <c r="BU54" s="4395" t="n"/>
      <c r="BV54" s="4395" t="n"/>
      <c r="BW54" s="4395" t="n"/>
      <c r="BX54" s="4395" t="n"/>
      <c r="BY54" s="4395" t="n"/>
      <c r="BZ54" s="4395" t="n"/>
      <c r="CA54" s="4395" t="n"/>
      <c r="CB54" s="4395" t="n"/>
      <c r="CC54" s="4395" t="n"/>
      <c r="CD54" s="4395" t="n"/>
      <c r="CE54" s="4395" t="n"/>
      <c r="CF54" s="4395" t="n"/>
      <c r="CG54" s="4395" t="n"/>
      <c r="CH54" s="4395" t="n"/>
      <c r="CI54" s="4395" t="n"/>
      <c r="CJ54" s="4395" t="n"/>
      <c r="CK54" s="4395" t="n"/>
      <c r="CL54" s="4395" t="n"/>
      <c r="CM54" s="4395" t="n"/>
      <c r="CN54" s="4395" t="n"/>
      <c r="CO54" s="4395" t="n"/>
      <c r="CP54" s="4395" t="n"/>
      <c r="CQ54" s="4395" t="n"/>
      <c r="CR54" s="4395" t="n"/>
      <c r="CS54" s="4395" t="n"/>
      <c r="CT54" s="4395" t="n"/>
      <c r="CU54" s="4395" t="n"/>
      <c r="CV54" s="4395" t="n"/>
      <c r="CW54" s="4395" t="n"/>
      <c r="CX54" s="4395" t="n"/>
      <c r="CY54" s="4395" t="n"/>
      <c r="CZ54" s="4395" t="n"/>
      <c r="DA54" s="4395" t="n"/>
      <c r="DB54" s="4395" t="n"/>
      <c r="DC54" s="4395" t="n"/>
      <c r="DD54" s="4395" t="n"/>
      <c r="DE54" s="4395" t="n"/>
      <c r="DF54" s="4395" t="n"/>
      <c r="DG54" s="4395" t="n"/>
      <c r="DH54" s="4395" t="n"/>
    </row>
    <row r="55" ht="16" customHeight="1">
      <c r="A55" t="inlineStr">
        <is>
          <t>Perennials</t>
        </is>
      </c>
      <c r="B55">
        <f>'3.Cropland'!C66</f>
        <v/>
      </c>
      <c r="C55">
        <f>'3.Cropland'!E66</f>
        <v/>
      </c>
      <c r="D55">
        <f>'3.Cropland'!Z66</f>
        <v/>
      </c>
      <c r="E55">
        <f>IF('3.Cropland'!BL66&lt;&gt;0,'3.Cropland'!BL66, '3.Cropland'!BK66)</f>
        <v/>
      </c>
      <c r="F55">
        <f>time</f>
        <v/>
      </c>
      <c r="G55" s="4395">
        <f>'3.Cropland'!S66</f>
        <v/>
      </c>
      <c r="H55" s="4395">
        <f>'3.Cropland'!U66</f>
        <v/>
      </c>
      <c r="I55" s="4395">
        <f>IF(OR(H55="I", G55="I"), "I", IF(OR(H55="E", G55="E"), "E", "D"))</f>
        <v/>
      </c>
      <c r="J55" s="4395">
        <f>((D55/(time_cap+((F55-E55+1)*VLOOKUP(I55,list!$I$48:$K$50,3, FALSE))))*(F55-E55+1)*VLOOKUP(I55,list!$I$48:$K$50,3, FALSE))</f>
        <v/>
      </c>
      <c r="K55" s="4395">
        <f>((D55/(time_cap+((F55-E55+1)*VLOOKUP(I55,list!$I$48:$K$50,3, FALSE))))*time_cap)</f>
        <v/>
      </c>
      <c r="M55" s="4395">
        <f>IFERROR(IF((time+time_cap)&lt;M$2, 0,IF(AND(time+1&gt;=N$2, $E55&lt;N$2), IF($I55= "I", $J55/($F55-$E55+1), $J55/(($F55*($F55+1)/2)-(($E55-1)*($E55-1+1)/2))*M$2), 0)+IF(IF(time+1&gt;=N$2, $K55/time_cap/(time+1)*M$2, 0) = 0, $K55/(time_cap),0)),0)</f>
        <v/>
      </c>
      <c r="N55" s="4395">
        <f>IFERROR(IF((time+time_cap)&lt;N$2, 0,IF(AND(time+1&gt;=O$2, $E55&lt;O$2), IF($I55= "I", $J55/($F55-$E55+1), $J55/(($F55*($F55+1)/2)-(($E55-1)*($E55-1+1)/2))*N$2), 0)+IF(IF(time+1&gt;=O$2, $K55/time_cap/(time+1)*N$2, 0) = 0, $K55/(time_cap),0)),0)</f>
        <v/>
      </c>
      <c r="O55" s="4395">
        <f>IFERROR(IF((time+time_cap)&lt;O$2, 0,IF(AND(time+1&gt;=P$2, $E55&lt;P$2), IF($I55= "I", $J55/($F55-$E55+1), $J55/(($F55*($F55+1)/2)-(($E55-1)*($E55-1+1)/2))*O$2), 0)+IF(IF(time+1&gt;=P$2, $K55/time_cap/(time+1)*O$2, 0) = 0, $K55/(time_cap),0)),0)</f>
        <v/>
      </c>
      <c r="P55" s="4395">
        <f>IFERROR(IF((time+time_cap)&lt;P$2, 0,IF(AND(time+1&gt;=Q$2, $E55&lt;Q$2), IF($I55= "I", $J55/($F55-$E55+1), $J55/(($F55*($F55+1)/2)-(($E55-1)*($E55-1+1)/2))*P$2), 0)+IF(IF(time+1&gt;=Q$2, $K55/time_cap/(time+1)*P$2, 0) = 0, $K55/(time_cap),0)),0)</f>
        <v/>
      </c>
      <c r="Q55" s="4395">
        <f>IFERROR(IF((time+time_cap)&lt;Q$2, 0,IF(AND(time+1&gt;=R$2, $E55&lt;R$2), IF($I55= "I", $J55/($F55-$E55+1), $J55/(($F55*($F55+1)/2)-(($E55-1)*($E55-1+1)/2))*Q$2), 0)+IF(IF(time+1&gt;=R$2, $K55/time_cap/(time+1)*Q$2, 0) = 0, $K55/(time_cap),0)),0)</f>
        <v/>
      </c>
      <c r="R55" s="4395">
        <f>IFERROR(IF((time+time_cap)&lt;R$2, 0,IF(AND(time+1&gt;=S$2, $E55&lt;S$2), IF($I55= "I", $J55/($F55-$E55+1), $J55/(($F55*($F55+1)/2)-(($E55-1)*($E55-1+1)/2))*R$2), 0)+IF(IF(time+1&gt;=S$2, $K55/time_cap/(time+1)*R$2, 0) = 0, $K55/(time_cap),0)),0)</f>
        <v/>
      </c>
      <c r="S55" s="4395">
        <f>IFERROR(IF((time+time_cap)&lt;S$2, 0,IF(AND(time+1&gt;=T$2, $E55&lt;T$2), IF($I55= "I", $J55/($F55-$E55+1), $J55/(($F55*($F55+1)/2)-(($E55-1)*($E55-1+1)/2))*S$2), 0)+IF(IF(time+1&gt;=T$2, $K55/time_cap/(time+1)*S$2, 0) = 0, $K55/(time_cap),0)),0)</f>
        <v/>
      </c>
      <c r="T55" s="4395">
        <f>IFERROR(IF((time+time_cap)&lt;T$2, 0,IF(AND(time+1&gt;=U$2, $E55&lt;U$2), IF($I55= "I", $J55/($F55-$E55+1), $J55/(($F55*($F55+1)/2)-(($E55-1)*($E55-1+1)/2))*T$2), 0)+IF(IF(time+1&gt;=U$2, $K55/time_cap/(time+1)*T$2, 0) = 0, $K55/(time_cap),0)),0)</f>
        <v/>
      </c>
      <c r="U55" s="4395">
        <f>IFERROR(IF((time+time_cap)&lt;U$2, 0,IF(AND(time+1&gt;=V$2, $E55&lt;V$2), IF($I55= "I", $J55/($F55-$E55+1), $J55/(($F55*($F55+1)/2)-(($E55-1)*($E55-1+1)/2))*U$2), 0)+IF(IF(time+1&gt;=V$2, $K55/time_cap/(time+1)*U$2, 0) = 0, $K55/(time_cap),0)),0)</f>
        <v/>
      </c>
      <c r="V55" s="4395">
        <f>IFERROR(IF((time+time_cap)&lt;V$2, 0,IF(AND(time+1&gt;=W$2, $E55&lt;W$2), IF($I55= "I", $J55/($F55-$E55+1), $J55/(($F55*($F55+1)/2)-(($E55-1)*($E55-1+1)/2))*V$2), 0)+IF(IF(time+1&gt;=W$2, $K55/time_cap/(time+1)*V$2, 0) = 0, $K55/(time_cap),0)),0)</f>
        <v/>
      </c>
      <c r="W55" s="4395">
        <f>IFERROR(IF((time+time_cap)&lt;W$2, 0,IF(AND(time+1&gt;=X$2, $E55&lt;X$2), IF($I55= "I", $J55/($F55-$E55+1), $J55/(($F55*($F55+1)/2)-(($E55-1)*($E55-1+1)/2))*W$2), 0)+IF(IF(time+1&gt;=X$2, $K55/time_cap/(time+1)*W$2, 0) = 0, $K55/(time_cap),0)),0)</f>
        <v/>
      </c>
      <c r="X55" s="4395">
        <f>IFERROR(IF((time+time_cap)&lt;X$2, 0,IF(AND(time+1&gt;=Y$2, $E55&lt;Y$2), IF($I55= "I", $J55/($F55-$E55+1), $J55/(($F55*($F55+1)/2)-(($E55-1)*($E55-1+1)/2))*X$2), 0)+IF(IF(time+1&gt;=Y$2, $K55/time_cap/(time+1)*X$2, 0) = 0, $K55/(time_cap),0)),0)</f>
        <v/>
      </c>
      <c r="Y55" s="4395">
        <f>IFERROR(IF((time+time_cap)&lt;Y$2, 0,IF(AND(time+1&gt;=Z$2, $E55&lt;Z$2), IF($I55= "I", $J55/($F55-$E55+1), $J55/(($F55*($F55+1)/2)-(($E55-1)*($E55-1+1)/2))*Y$2), 0)+IF(IF(time+1&gt;=Z$2, $K55/time_cap/(time+1)*Y$2, 0) = 0, $K55/(time_cap),0)),0)</f>
        <v/>
      </c>
      <c r="Z55" s="4395">
        <f>IFERROR(IF((time+time_cap)&lt;Z$2, 0,IF(AND(time+1&gt;=AA$2, $E55&lt;AA$2), IF($I55= "I", $J55/($F55-$E55+1), $J55/(($F55*($F55+1)/2)-(($E55-1)*($E55-1+1)/2))*Z$2), 0)+IF(IF(time+1&gt;=AA$2, $K55/time_cap/(time+1)*Z$2, 0) = 0, $K55/(time_cap),0)),0)</f>
        <v/>
      </c>
      <c r="AA55" s="4395">
        <f>IFERROR(IF((time+time_cap)&lt;AA$2, 0,IF(AND(time+1&gt;=AB$2, $E55&lt;AB$2), IF($I55= "I", $J55/($F55-$E55+1), $J55/(($F55*($F55+1)/2)-(($E55-1)*($E55-1+1)/2))*AA$2), 0)+IF(IF(time+1&gt;=AB$2, $K55/time_cap/(time+1)*AA$2, 0) = 0, $K55/(time_cap),0)),0)</f>
        <v/>
      </c>
      <c r="AB55" s="4395">
        <f>IFERROR(IF((time+time_cap)&lt;AB$2, 0,IF(AND(time+1&gt;=AC$2, $E55&lt;AC$2), IF($I55= "I", $J55/($F55-$E55+1), $J55/(($F55*($F55+1)/2)-(($E55-1)*($E55-1+1)/2))*AB$2), 0)+IF(IF(time+1&gt;=AC$2, $K55/time_cap/(time+1)*AB$2, 0) = 0, $K55/(time_cap),0)),0)</f>
        <v/>
      </c>
      <c r="AC55" s="4395">
        <f>IFERROR(IF((time+time_cap)&lt;AC$2, 0,IF(AND(time+1&gt;=AD$2, $E55&lt;AD$2), IF($I55= "I", $J55/($F55-$E55+1), $J55/(($F55*($F55+1)/2)-(($E55-1)*($E55-1+1)/2))*AC$2), 0)+IF(IF(time+1&gt;=AD$2, $K55/time_cap/(time+1)*AC$2, 0) = 0, $K55/(time_cap),0)),0)</f>
        <v/>
      </c>
      <c r="AD55" s="4395">
        <f>IFERROR(IF((time+time_cap)&lt;AD$2, 0,IF(AND(time+1&gt;=AE$2, $E55&lt;AE$2), IF($I55= "I", $J55/($F55-$E55+1), $J55/(($F55*($F55+1)/2)-(($E55-1)*($E55-1+1)/2))*AD$2), 0)+IF(IF(time+1&gt;=AE$2, $K55/time_cap/(time+1)*AD$2, 0) = 0, $K55/(time_cap),0)),0)</f>
        <v/>
      </c>
      <c r="AE55" s="4395">
        <f>IFERROR(IF((time+time_cap)&lt;AE$2, 0,IF(AND(time+1&gt;=AF$2, $E55&lt;AF$2), IF($I55= "I", $J55/($F55-$E55+1), $J55/(($F55*($F55+1)/2)-(($E55-1)*($E55-1+1)/2))*AE$2), 0)+IF(IF(time+1&gt;=AF$2, $K55/time_cap/(time+1)*AE$2, 0) = 0, $K55/(time_cap),0)),0)</f>
        <v/>
      </c>
      <c r="AF55" s="4395">
        <f>IFERROR(IF((time+time_cap)&lt;AF$2, 0,IF(AND(time+1&gt;=AG$2, $E55&lt;AG$2), IF($I55= "I", $J55/($F55-$E55+1), $J55/(($F55*($F55+1)/2)-(($E55-1)*($E55-1+1)/2))*AF$2), 0)+IF(IF(time+1&gt;=AG$2, $K55/time_cap/(time+1)*AF$2, 0) = 0, $K55/(time_cap),0)),0)</f>
        <v/>
      </c>
      <c r="AG55" s="4395">
        <f>IFERROR(IF((time+time_cap)&lt;AG$2, 0,IF(AND(time+1&gt;=AH$2, $E55&lt;AH$2), IF($I55= "I", $J55/($F55-$E55+1), $J55/(($F55*($F55+1)/2)-(($E55-1)*($E55-1+1)/2))*AG$2), 0)+IF(IF(time+1&gt;=AH$2, $K55/time_cap/(time+1)*AG$2, 0) = 0, $K55/(time_cap),0)),0)</f>
        <v/>
      </c>
      <c r="AH55" s="4395">
        <f>IFERROR(IF((time+time_cap)&lt;AH$2, 0,IF(AND(time+1&gt;=AI$2, $E55&lt;AI$2), IF($I55= "I", $J55/($F55-$E55+1), $J55/(($F55*($F55+1)/2)-(($E55-1)*($E55-1+1)/2))*AH$2), 0)+IF(IF(time+1&gt;=AI$2, $K55/time_cap/(time+1)*AH$2, 0) = 0, $K55/(time_cap),0)),0)</f>
        <v/>
      </c>
      <c r="AI55" s="4395">
        <f>IFERROR(IF((time+time_cap)&lt;AI$2, 0,IF(AND(time+1&gt;=AJ$2, $E55&lt;AJ$2), IF($I55= "I", $J55/($F55-$E55+1), $J55/(($F55*($F55+1)/2)-(($E55-1)*($E55-1+1)/2))*AI$2), 0)+IF(IF(time+1&gt;=AJ$2, $K55/time_cap/(time+1)*AI$2, 0) = 0, $K55/(time_cap),0)),0)</f>
        <v/>
      </c>
      <c r="AJ55" s="4395">
        <f>IFERROR(IF((time+time_cap)&lt;AJ$2, 0,IF(AND(time+1&gt;=AK$2, $E55&lt;AK$2), IF($I55= "I", $J55/($F55-$E55+1), $J55/(($F55*($F55+1)/2)-(($E55-1)*($E55-1+1)/2))*AJ$2), 0)+IF(IF(time+1&gt;=AK$2, $K55/time_cap/(time+1)*AJ$2, 0) = 0, $K55/(time_cap),0)),0)</f>
        <v/>
      </c>
      <c r="AK55" s="4395">
        <f>IFERROR(IF((time+time_cap)&lt;AK$2, 0,IF(AND(time+1&gt;=AL$2, $E55&lt;AL$2), IF($I55= "I", $J55/($F55-$E55+1), $J55/(($F55*($F55+1)/2)-(($E55-1)*($E55-1+1)/2))*AK$2), 0)+IF(IF(time+1&gt;=AL$2, $K55/time_cap/(time+1)*AK$2, 0) = 0, $K55/(time_cap),0)),0)</f>
        <v/>
      </c>
      <c r="AL55" s="4395">
        <f>IFERROR(IF((time+time_cap)&lt;AL$2, 0,IF(AND(time+1&gt;=AM$2, $E55&lt;AM$2), IF($I55= "I", $J55/($F55-$E55+1), $J55/(($F55*($F55+1)/2)-(($E55-1)*($E55-1+1)/2))*AL$2), 0)+IF(IF(time+1&gt;=AM$2, $K55/time_cap/(time+1)*AL$2, 0) = 0, $K55/(time_cap),0)),0)</f>
        <v/>
      </c>
      <c r="AM55" s="4395">
        <f>IFERROR(IF((time+time_cap)&lt;AM$2, 0,IF(AND(time+1&gt;=AN$2, $E55&lt;AN$2), IF($I55= "I", $J55/($F55-$E55+1), $J55/(($F55*($F55+1)/2)-(($E55-1)*($E55-1+1)/2))*AM$2), 0)+IF(IF(time+1&gt;=AN$2, $K55/time_cap/(time+1)*AM$2, 0) = 0, $K55/(time_cap),0)),0)</f>
        <v/>
      </c>
      <c r="AN55" s="4395">
        <f>IFERROR(IF((time+time_cap)&lt;AN$2, 0,IF(AND(time+1&gt;=AO$2, $E55&lt;AO$2), IF($I55= "I", $J55/($F55-$E55+1), $J55/(($F55*($F55+1)/2)-(($E55-1)*($E55-1+1)/2))*AN$2), 0)+IF(IF(time+1&gt;=AO$2, $K55/time_cap/(time+1)*AN$2, 0) = 0, $K55/(time_cap),0)),0)</f>
        <v/>
      </c>
      <c r="AO55" s="4395">
        <f>IFERROR(IF((time+time_cap)&lt;AO$2, 0,IF(AND(time+1&gt;=AP$2, $E55&lt;AP$2), IF($I55= "I", $J55/($F55-$E55+1), $J55/(($F55*($F55+1)/2)-(($E55-1)*($E55-1+1)/2))*AO$2), 0)+IF(IF(time+1&gt;=AP$2, $K55/time_cap/(time+1)*AO$2, 0) = 0, $K55/(time_cap),0)),0)</f>
        <v/>
      </c>
      <c r="AP55" s="4395">
        <f>IFERROR(IF((time+time_cap)&lt;AP$2, 0,IF(AND(time+1&gt;=AQ$2, $E55&lt;AQ$2), IF($I55= "I", $J55/($F55-$E55+1), $J55/(($F55*($F55+1)/2)-(($E55-1)*($E55-1+1)/2))*AP$2), 0)+IF(IF(time+1&gt;=AQ$2, $K55/time_cap/(time+1)*AP$2, 0) = 0, $K55/(time_cap),0)),0)</f>
        <v/>
      </c>
      <c r="AQ55" s="4395">
        <f>IFERROR(IF((time+time_cap)&lt;AQ$2, 0,IF(AND(time+1&gt;=AR$2, $E55&lt;AR$2), IF($I55= "I", $J55/($F55-$E55+1), $J55/(($F55*($F55+1)/2)-(($E55-1)*($E55-1+1)/2))*AQ$2), 0)+IF(IF(time+1&gt;=AR$2, $K55/time_cap/(time+1)*AQ$2, 0) = 0, $K55/(time_cap),0)),0)</f>
        <v/>
      </c>
      <c r="AR55" s="4395">
        <f>IFERROR(IF((time+time_cap)&lt;AR$2, 0,IF(AND(time+1&gt;=AS$2, $E55&lt;AS$2), IF($I55= "I", $J55/($F55-$E55+1), $J55/(($F55*($F55+1)/2)-(($E55-1)*($E55-1+1)/2))*AR$2), 0)+IF(IF(time+1&gt;=AS$2, $K55/time_cap/(time+1)*AR$2, 0) = 0, $K55/(time_cap),0)),0)</f>
        <v/>
      </c>
      <c r="AS55" s="4395">
        <f>IFERROR(IF((time+time_cap)&lt;AS$2, 0,IF(AND(time+1&gt;=AT$2, $E55&lt;AT$2), IF($I55= "I", $J55/($F55-$E55+1), $J55/(($F55*($F55+1)/2)-(($E55-1)*($E55-1+1)/2))*AS$2), 0)+IF(IF(time+1&gt;=AT$2, $K55/time_cap/(time+1)*AS$2, 0) = 0, $K55/(time_cap),0)),0)</f>
        <v/>
      </c>
      <c r="AT55" s="4395">
        <f>IFERROR(IF((time+time_cap)&lt;AT$2, 0,IF(AND(time+1&gt;=AU$2, $E55&lt;AU$2), IF($I55= "I", $J55/($F55-$E55+1), $J55/(($F55*($F55+1)/2)-(($E55-1)*($E55-1+1)/2))*AT$2), 0)+IF(IF(time+1&gt;=AU$2, $K55/time_cap/(time+1)*AT$2, 0) = 0, $K55/(time_cap),0)),0)</f>
        <v/>
      </c>
      <c r="AU55" s="4395">
        <f>IFERROR(IF((time+time_cap)&lt;AU$2, 0,IF(AND(time+1&gt;=AV$2, $E55&lt;AV$2), IF($I55= "I", $J55/($F55-$E55+1), $J55/(($F55*($F55+1)/2)-(($E55-1)*($E55-1+1)/2))*AU$2), 0)+IF(IF(time+1&gt;=AV$2, $K55/time_cap/(time+1)*AU$2, 0) = 0, $K55/(time_cap),0)),0)</f>
        <v/>
      </c>
      <c r="AV55" s="4395">
        <f>IFERROR(IF((time+time_cap)&lt;AV$2, 0,IF(AND(time+1&gt;=AW$2, $E55&lt;AW$2), IF($I55= "I", $J55/($F55-$E55+1), $J55/(($F55*($F55+1)/2)-(($E55-1)*($E55-1+1)/2))*AV$2), 0)+IF(IF(time+1&gt;=AW$2, $K55/time_cap/(time+1)*AV$2, 0) = 0, $K55/(time_cap),0)),0)</f>
        <v/>
      </c>
      <c r="AW55" s="4395">
        <f>IFERROR(IF((time+time_cap)&lt;AW$2, 0,IF(AND(time+1&gt;=AX$2, $E55&lt;AX$2), IF($I55= "I", $J55/($F55-$E55+1), $J55/(($F55*($F55+1)/2)-(($E55-1)*($E55-1+1)/2))*AW$2), 0)+IF(IF(time+1&gt;=AX$2, $K55/time_cap/(time+1)*AW$2, 0) = 0, $K55/(time_cap),0)),0)</f>
        <v/>
      </c>
      <c r="AX55" s="4395">
        <f>IFERROR(IF((time+time_cap)&lt;AX$2, 0,IF(AND(time+1&gt;=AY$2, $E55&lt;AY$2), IF($I55= "I", $J55/($F55-$E55+1), $J55/(($F55*($F55+1)/2)-(($E55-1)*($E55-1+1)/2))*AX$2), 0)+IF(IF(time+1&gt;=AY$2, $K55/time_cap/(time+1)*AX$2, 0) = 0, $K55/(time_cap),0)),0)</f>
        <v/>
      </c>
      <c r="AY55" s="4395">
        <f>IFERROR(IF((time+time_cap)&lt;AY$2, 0,IF(AND(time+1&gt;=AZ$2, $E55&lt;AZ$2), IF($I55= "I", $J55/($F55-$E55+1), $J55/(($F55*($F55+1)/2)-(($E55-1)*($E55-1+1)/2))*AY$2), 0)+IF(IF(time+1&gt;=AZ$2, $K55/time_cap/(time+1)*AY$2, 0) = 0, $K55/(time_cap),0)),0)</f>
        <v/>
      </c>
      <c r="AZ55" s="4395">
        <f>IFERROR(IF((time+time_cap)&lt;AZ$2, 0,IF(AND(time+1&gt;=BA$2, $E55&lt;BA$2), IF($I55= "I", $J55/($F55-$E55+1), $J55/(($F55*($F55+1)/2)-(($E55-1)*($E55-1+1)/2))*AZ$2), 0)+IF(IF(time+1&gt;=BA$2, $K55/time_cap/(time+1)*AZ$2, 0) = 0, $K55/(time_cap),0)),0)</f>
        <v/>
      </c>
      <c r="BA55" s="4395">
        <f>IFERROR(IF((time+time_cap)&lt;BA$2, 0,IF(AND(time+1&gt;=BB$2, $E55&lt;BB$2), IF($I55= "I", $J55/($F55-$E55+1), $J55/(($F55*($F55+1)/2)-(($E55-1)*($E55-1+1)/2))*BA$2), 0)+IF(IF(time+1&gt;=BB$2, $K55/time_cap/(time+1)*BA$2, 0) = 0, $K55/(time_cap),0)),0)</f>
        <v/>
      </c>
      <c r="BB55" s="4395">
        <f>IFERROR(IF((time+time_cap)&lt;BB$2, 0,IF(AND(time+1&gt;=BC$2, $E55&lt;BC$2), IF($I55= "I", $J55/($F55-$E55+1), $J55/(($F55*($F55+1)/2)-(($E55-1)*($E55-1+1)/2))*BB$2), 0)+IF(IF(time+1&gt;=BC$2, $K55/time_cap/(time+1)*BB$2, 0) = 0, $K55/(time_cap),0)),0)</f>
        <v/>
      </c>
      <c r="BC55" s="4395">
        <f>IFERROR(IF((time+time_cap)&lt;BC$2, 0,IF(AND(time+1&gt;=BD$2, $E55&lt;BD$2), IF($I55= "I", $J55/($F55-$E55+1), $J55/(($F55*($F55+1)/2)-(($E55-1)*($E55-1+1)/2))*BC$2), 0)+IF(IF(time+1&gt;=BD$2, $K55/time_cap/(time+1)*BC$2, 0) = 0, $K55/(time_cap),0)),0)</f>
        <v/>
      </c>
      <c r="BD55" s="4395">
        <f>IFERROR(IF((time+time_cap)&lt;BD$2, 0,IF(AND(time+1&gt;=BE$2, $E55&lt;BE$2), IF($I55= "I", $J55/($F55-$E55+1), $J55/(($F55*($F55+1)/2)-(($E55-1)*($E55-1+1)/2))*BD$2), 0)+IF(IF(time+1&gt;=BE$2, $K55/time_cap/(time+1)*BD$2, 0) = 0, $K55/(time_cap),0)),0)</f>
        <v/>
      </c>
      <c r="BE55" s="4395">
        <f>IFERROR(IF((time+time_cap)&lt;BE$2, 0,IF(AND(time+1&gt;=BF$2, $E55&lt;BF$2), IF($I55= "I", $J55/($F55-$E55+1), $J55/(($F55*($F55+1)/2)-(($E55-1)*($E55-1+1)/2))*BE$2), 0)+IF(IF(time+1&gt;=BF$2, $K55/time_cap/(time+1)*BE$2, 0) = 0, $K55/(time_cap),0)),0)</f>
        <v/>
      </c>
      <c r="BF55" s="4395">
        <f>IFERROR(IF((time+time_cap)&lt;BF$2, 0,IF(AND(time+1&gt;=BG$2, $E55&lt;BG$2), IF($I55= "I", $J55/($F55-$E55+1), $J55/(($F55*($F55+1)/2)-(($E55-1)*($E55-1+1)/2))*BF$2), 0)+IF(IF(time+1&gt;=BG$2, $K55/time_cap/(time+1)*BF$2, 0) = 0, $K55/(time_cap),0)),0)</f>
        <v/>
      </c>
      <c r="BG55" s="4395">
        <f>IFERROR(IF((time+time_cap)&lt;BG$2, 0,IF(AND(time+1&gt;=BH$2, $E55&lt;BH$2), IF($I55= "I", $J55/($F55-$E55+1), $J55/(($F55*($F55+1)/2)-(($E55-1)*($E55-1+1)/2))*BG$2), 0)+IF(IF(time+1&gt;=BH$2, $K55/time_cap/(time+1)*BG$2, 0) = 0, $K55/(time_cap),0)),0)</f>
        <v/>
      </c>
      <c r="BH55" s="4395">
        <f>IFERROR(IF((time+time_cap)&lt;BH$2, 0,IF(AND(time+1&gt;=BI$2, $E55&lt;BI$2), IF($I55= "I", $J55/($F55-$E55+1), $J55/(($F55*($F55+1)/2)-(($E55-1)*($E55-1+1)/2))*BH$2), 0)+IF(IF(time+1&gt;=BI$2, $K55/time_cap/(time+1)*BH$2, 0) = 0, $K55/(time_cap),0)),0)</f>
        <v/>
      </c>
      <c r="BI55" s="4395">
        <f>IFERROR(IF((time+time_cap)&lt;BI$2, 0,IF(AND(time+1&gt;=BJ$2, $E55&lt;BJ$2), IF($I55= "I", $J55/($F55-$E55+1), $J55/(($F55*($F55+1)/2)-(($E55-1)*($E55-1+1)/2))*BI$2), 0)+IF(IF(time+1&gt;=BJ$2, $K55/time_cap/(time+1)*BI$2, 0) = 0, $K55/(time_cap),0)),0)</f>
        <v/>
      </c>
      <c r="BJ55" s="4395">
        <f>IFERROR(IF((time+time_cap)&lt;BJ$2, 0,IF(AND(time+1&gt;=BK$2, $E55&lt;BK$2), IF($I55= "I", $J55/($F55-$E55+1), $J55/(($F55*($F55+1)/2)-(($E55-1)*($E55-1+1)/2))*BJ$2), 0)+IF(IF(time+1&gt;=BK$2, $K55/time_cap/(time+1)*BJ$2, 0) = 0, $K55/(time_cap),0)),0)</f>
        <v/>
      </c>
      <c r="BK55" s="4395" t="n"/>
      <c r="BL55" s="4395" t="n"/>
      <c r="BM55" s="4395" t="n"/>
      <c r="BN55" s="4395" t="n"/>
      <c r="BO55" s="4395" t="n"/>
      <c r="BP55" s="4395" t="n"/>
      <c r="BQ55" s="4395" t="n"/>
      <c r="BR55" s="4395" t="n"/>
      <c r="BS55" s="4395" t="n"/>
      <c r="BT55" s="4395" t="n"/>
      <c r="BU55" s="4395" t="n"/>
      <c r="BV55" s="4395" t="n"/>
      <c r="BW55" s="4395" t="n"/>
      <c r="BX55" s="4395" t="n"/>
      <c r="BY55" s="4395" t="n"/>
      <c r="BZ55" s="4395" t="n"/>
      <c r="CA55" s="4395" t="n"/>
      <c r="CB55" s="4395" t="n"/>
      <c r="CC55" s="4395" t="n"/>
      <c r="CD55" s="4395" t="n"/>
      <c r="CE55" s="4395" t="n"/>
      <c r="CF55" s="4395" t="n"/>
      <c r="CG55" s="4395" t="n"/>
      <c r="CH55" s="4395" t="n"/>
      <c r="CI55" s="4395" t="n"/>
      <c r="CJ55" s="4395" t="n"/>
      <c r="CK55" s="4395" t="n"/>
      <c r="CL55" s="4395" t="n"/>
      <c r="CM55" s="4395" t="n"/>
      <c r="CN55" s="4395" t="n"/>
      <c r="CO55" s="4395" t="n"/>
      <c r="CP55" s="4395" t="n"/>
      <c r="CQ55" s="4395" t="n"/>
      <c r="CR55" s="4395" t="n"/>
      <c r="CS55" s="4395" t="n"/>
      <c r="CT55" s="4395" t="n"/>
      <c r="CU55" s="4395" t="n"/>
      <c r="CV55" s="4395" t="n"/>
      <c r="CW55" s="4395" t="n"/>
      <c r="CX55" s="4395" t="n"/>
      <c r="CY55" s="4395" t="n"/>
      <c r="CZ55" s="4395" t="n"/>
      <c r="DA55" s="4395" t="n"/>
      <c r="DB55" s="4395" t="n"/>
      <c r="DC55" s="4395" t="n"/>
      <c r="DD55" s="4395" t="n"/>
      <c r="DE55" s="4395" t="n"/>
      <c r="DF55" s="4395" t="n"/>
      <c r="DG55" s="4395" t="n"/>
      <c r="DH55" s="4395" t="n"/>
    </row>
    <row r="56" ht="16" customHeight="1">
      <c r="A56" t="inlineStr">
        <is>
          <t>Perennials</t>
        </is>
      </c>
      <c r="B56">
        <f>'3.Cropland'!C67</f>
        <v/>
      </c>
      <c r="C56">
        <f>'3.Cropland'!E67</f>
        <v/>
      </c>
      <c r="D56">
        <f>'3.Cropland'!Z67</f>
        <v/>
      </c>
      <c r="E56">
        <f>IF('3.Cropland'!BL67&lt;&gt;0,'3.Cropland'!BL67, '3.Cropland'!BK67)</f>
        <v/>
      </c>
      <c r="F56">
        <f>time</f>
        <v/>
      </c>
      <c r="G56" s="4395">
        <f>'3.Cropland'!S67</f>
        <v/>
      </c>
      <c r="H56" s="4395">
        <f>'3.Cropland'!U67</f>
        <v/>
      </c>
      <c r="I56" s="4395">
        <f>IF(OR(H56="I", G56="I"), "I", IF(OR(H56="E", G56="E"), "E", "D"))</f>
        <v/>
      </c>
      <c r="J56" s="4395">
        <f>((D56/(time_cap+((F56-E56+1)*VLOOKUP(I56,list!$I$48:$K$50,3, FALSE))))*(F56-E56+1)*VLOOKUP(I56,list!$I$48:$K$50,3, FALSE))</f>
        <v/>
      </c>
      <c r="K56" s="4395">
        <f>((D56/(time_cap+((F56-E56+1)*VLOOKUP(I56,list!$I$48:$K$50,3, FALSE))))*time_cap)</f>
        <v/>
      </c>
      <c r="M56" s="4395">
        <f>IFERROR(IF((time+time_cap)&lt;M$2, 0,IF(AND(time+1&gt;=N$2, $E56&lt;N$2), IF($I56= "I", $J56/($F56-$E56+1), $J56/(($F56*($F56+1)/2)-(($E56-1)*($E56-1+1)/2))*M$2), 0)+IF(IF(time+1&gt;=N$2, $K56/time_cap/(time+1)*M$2, 0) = 0, $K56/(time_cap),0)),0)</f>
        <v/>
      </c>
      <c r="N56" s="4395">
        <f>IFERROR(IF((time+time_cap)&lt;N$2, 0,IF(AND(time+1&gt;=O$2, $E56&lt;O$2), IF($I56= "I", $J56/($F56-$E56+1), $J56/(($F56*($F56+1)/2)-(($E56-1)*($E56-1+1)/2))*N$2), 0)+IF(IF(time+1&gt;=O$2, $K56/time_cap/(time+1)*N$2, 0) = 0, $K56/(time_cap),0)),0)</f>
        <v/>
      </c>
      <c r="O56" s="4395">
        <f>IFERROR(IF((time+time_cap)&lt;O$2, 0,IF(AND(time+1&gt;=P$2, $E56&lt;P$2), IF($I56= "I", $J56/($F56-$E56+1), $J56/(($F56*($F56+1)/2)-(($E56-1)*($E56-1+1)/2))*O$2), 0)+IF(IF(time+1&gt;=P$2, $K56/time_cap/(time+1)*O$2, 0) = 0, $K56/(time_cap),0)),0)</f>
        <v/>
      </c>
      <c r="P56" s="4395">
        <f>IFERROR(IF((time+time_cap)&lt;P$2, 0,IF(AND(time+1&gt;=Q$2, $E56&lt;Q$2), IF($I56= "I", $J56/($F56-$E56+1), $J56/(($F56*($F56+1)/2)-(($E56-1)*($E56-1+1)/2))*P$2), 0)+IF(IF(time+1&gt;=Q$2, $K56/time_cap/(time+1)*P$2, 0) = 0, $K56/(time_cap),0)),0)</f>
        <v/>
      </c>
      <c r="Q56" s="4395">
        <f>IFERROR(IF((time+time_cap)&lt;Q$2, 0,IF(AND(time+1&gt;=R$2, $E56&lt;R$2), IF($I56= "I", $J56/($F56-$E56+1), $J56/(($F56*($F56+1)/2)-(($E56-1)*($E56-1+1)/2))*Q$2), 0)+IF(IF(time+1&gt;=R$2, $K56/time_cap/(time+1)*Q$2, 0) = 0, $K56/(time_cap),0)),0)</f>
        <v/>
      </c>
      <c r="R56" s="4395">
        <f>IFERROR(IF((time+time_cap)&lt;R$2, 0,IF(AND(time+1&gt;=S$2, $E56&lt;S$2), IF($I56= "I", $J56/($F56-$E56+1), $J56/(($F56*($F56+1)/2)-(($E56-1)*($E56-1+1)/2))*R$2), 0)+IF(IF(time+1&gt;=S$2, $K56/time_cap/(time+1)*R$2, 0) = 0, $K56/(time_cap),0)),0)</f>
        <v/>
      </c>
      <c r="S56" s="4395">
        <f>IFERROR(IF((time+time_cap)&lt;S$2, 0,IF(AND(time+1&gt;=T$2, $E56&lt;T$2), IF($I56= "I", $J56/($F56-$E56+1), $J56/(($F56*($F56+1)/2)-(($E56-1)*($E56-1+1)/2))*S$2), 0)+IF(IF(time+1&gt;=T$2, $K56/time_cap/(time+1)*S$2, 0) = 0, $K56/(time_cap),0)),0)</f>
        <v/>
      </c>
      <c r="T56" s="4395">
        <f>IFERROR(IF((time+time_cap)&lt;T$2, 0,IF(AND(time+1&gt;=U$2, $E56&lt;U$2), IF($I56= "I", $J56/($F56-$E56+1), $J56/(($F56*($F56+1)/2)-(($E56-1)*($E56-1+1)/2))*T$2), 0)+IF(IF(time+1&gt;=U$2, $K56/time_cap/(time+1)*T$2, 0) = 0, $K56/(time_cap),0)),0)</f>
        <v/>
      </c>
      <c r="U56" s="4395">
        <f>IFERROR(IF((time+time_cap)&lt;U$2, 0,IF(AND(time+1&gt;=V$2, $E56&lt;V$2), IF($I56= "I", $J56/($F56-$E56+1), $J56/(($F56*($F56+1)/2)-(($E56-1)*($E56-1+1)/2))*U$2), 0)+IF(IF(time+1&gt;=V$2, $K56/time_cap/(time+1)*U$2, 0) = 0, $K56/(time_cap),0)),0)</f>
        <v/>
      </c>
      <c r="V56" s="4395">
        <f>IFERROR(IF((time+time_cap)&lt;V$2, 0,IF(AND(time+1&gt;=W$2, $E56&lt;W$2), IF($I56= "I", $J56/($F56-$E56+1), $J56/(($F56*($F56+1)/2)-(($E56-1)*($E56-1+1)/2))*V$2), 0)+IF(IF(time+1&gt;=W$2, $K56/time_cap/(time+1)*V$2, 0) = 0, $K56/(time_cap),0)),0)</f>
        <v/>
      </c>
      <c r="W56" s="4395">
        <f>IFERROR(IF((time+time_cap)&lt;W$2, 0,IF(AND(time+1&gt;=X$2, $E56&lt;X$2), IF($I56= "I", $J56/($F56-$E56+1), $J56/(($F56*($F56+1)/2)-(($E56-1)*($E56-1+1)/2))*W$2), 0)+IF(IF(time+1&gt;=X$2, $K56/time_cap/(time+1)*W$2, 0) = 0, $K56/(time_cap),0)),0)</f>
        <v/>
      </c>
      <c r="X56" s="4395">
        <f>IFERROR(IF((time+time_cap)&lt;X$2, 0,IF(AND(time+1&gt;=Y$2, $E56&lt;Y$2), IF($I56= "I", $J56/($F56-$E56+1), $J56/(($F56*($F56+1)/2)-(($E56-1)*($E56-1+1)/2))*X$2), 0)+IF(IF(time+1&gt;=Y$2, $K56/time_cap/(time+1)*X$2, 0) = 0, $K56/(time_cap),0)),0)</f>
        <v/>
      </c>
      <c r="Y56" s="4395">
        <f>IFERROR(IF((time+time_cap)&lt;Y$2, 0,IF(AND(time+1&gt;=Z$2, $E56&lt;Z$2), IF($I56= "I", $J56/($F56-$E56+1), $J56/(($F56*($F56+1)/2)-(($E56-1)*($E56-1+1)/2))*Y$2), 0)+IF(IF(time+1&gt;=Z$2, $K56/time_cap/(time+1)*Y$2, 0) = 0, $K56/(time_cap),0)),0)</f>
        <v/>
      </c>
      <c r="Z56" s="4395">
        <f>IFERROR(IF((time+time_cap)&lt;Z$2, 0,IF(AND(time+1&gt;=AA$2, $E56&lt;AA$2), IF($I56= "I", $J56/($F56-$E56+1), $J56/(($F56*($F56+1)/2)-(($E56-1)*($E56-1+1)/2))*Z$2), 0)+IF(IF(time+1&gt;=AA$2, $K56/time_cap/(time+1)*Z$2, 0) = 0, $K56/(time_cap),0)),0)</f>
        <v/>
      </c>
      <c r="AA56" s="4395">
        <f>IFERROR(IF((time+time_cap)&lt;AA$2, 0,IF(AND(time+1&gt;=AB$2, $E56&lt;AB$2), IF($I56= "I", $J56/($F56-$E56+1), $J56/(($F56*($F56+1)/2)-(($E56-1)*($E56-1+1)/2))*AA$2), 0)+IF(IF(time+1&gt;=AB$2, $K56/time_cap/(time+1)*AA$2, 0) = 0, $K56/(time_cap),0)),0)</f>
        <v/>
      </c>
      <c r="AB56" s="4395">
        <f>IFERROR(IF((time+time_cap)&lt;AB$2, 0,IF(AND(time+1&gt;=AC$2, $E56&lt;AC$2), IF($I56= "I", $J56/($F56-$E56+1), $J56/(($F56*($F56+1)/2)-(($E56-1)*($E56-1+1)/2))*AB$2), 0)+IF(IF(time+1&gt;=AC$2, $K56/time_cap/(time+1)*AB$2, 0) = 0, $K56/(time_cap),0)),0)</f>
        <v/>
      </c>
      <c r="AC56" s="4395">
        <f>IFERROR(IF((time+time_cap)&lt;AC$2, 0,IF(AND(time+1&gt;=AD$2, $E56&lt;AD$2), IF($I56= "I", $J56/($F56-$E56+1), $J56/(($F56*($F56+1)/2)-(($E56-1)*($E56-1+1)/2))*AC$2), 0)+IF(IF(time+1&gt;=AD$2, $K56/time_cap/(time+1)*AC$2, 0) = 0, $K56/(time_cap),0)),0)</f>
        <v/>
      </c>
      <c r="AD56" s="4395">
        <f>IFERROR(IF((time+time_cap)&lt;AD$2, 0,IF(AND(time+1&gt;=AE$2, $E56&lt;AE$2), IF($I56= "I", $J56/($F56-$E56+1), $J56/(($F56*($F56+1)/2)-(($E56-1)*($E56-1+1)/2))*AD$2), 0)+IF(IF(time+1&gt;=AE$2, $K56/time_cap/(time+1)*AD$2, 0) = 0, $K56/(time_cap),0)),0)</f>
        <v/>
      </c>
      <c r="AE56" s="4395">
        <f>IFERROR(IF((time+time_cap)&lt;AE$2, 0,IF(AND(time+1&gt;=AF$2, $E56&lt;AF$2), IF($I56= "I", $J56/($F56-$E56+1), $J56/(($F56*($F56+1)/2)-(($E56-1)*($E56-1+1)/2))*AE$2), 0)+IF(IF(time+1&gt;=AF$2, $K56/time_cap/(time+1)*AE$2, 0) = 0, $K56/(time_cap),0)),0)</f>
        <v/>
      </c>
      <c r="AF56" s="4395">
        <f>IFERROR(IF((time+time_cap)&lt;AF$2, 0,IF(AND(time+1&gt;=AG$2, $E56&lt;AG$2), IF($I56= "I", $J56/($F56-$E56+1), $J56/(($F56*($F56+1)/2)-(($E56-1)*($E56-1+1)/2))*AF$2), 0)+IF(IF(time+1&gt;=AG$2, $K56/time_cap/(time+1)*AF$2, 0) = 0, $K56/(time_cap),0)),0)</f>
        <v/>
      </c>
      <c r="AG56" s="4395">
        <f>IFERROR(IF((time+time_cap)&lt;AG$2, 0,IF(AND(time+1&gt;=AH$2, $E56&lt;AH$2), IF($I56= "I", $J56/($F56-$E56+1), $J56/(($F56*($F56+1)/2)-(($E56-1)*($E56-1+1)/2))*AG$2), 0)+IF(IF(time+1&gt;=AH$2, $K56/time_cap/(time+1)*AG$2, 0) = 0, $K56/(time_cap),0)),0)</f>
        <v/>
      </c>
      <c r="AH56" s="4395">
        <f>IFERROR(IF((time+time_cap)&lt;AH$2, 0,IF(AND(time+1&gt;=AI$2, $E56&lt;AI$2), IF($I56= "I", $J56/($F56-$E56+1), $J56/(($F56*($F56+1)/2)-(($E56-1)*($E56-1+1)/2))*AH$2), 0)+IF(IF(time+1&gt;=AI$2, $K56/time_cap/(time+1)*AH$2, 0) = 0, $K56/(time_cap),0)),0)</f>
        <v/>
      </c>
      <c r="AI56" s="4395">
        <f>IFERROR(IF((time+time_cap)&lt;AI$2, 0,IF(AND(time+1&gt;=AJ$2, $E56&lt;AJ$2), IF($I56= "I", $J56/($F56-$E56+1), $J56/(($F56*($F56+1)/2)-(($E56-1)*($E56-1+1)/2))*AI$2), 0)+IF(IF(time+1&gt;=AJ$2, $K56/time_cap/(time+1)*AI$2, 0) = 0, $K56/(time_cap),0)),0)</f>
        <v/>
      </c>
      <c r="AJ56" s="4395">
        <f>IFERROR(IF((time+time_cap)&lt;AJ$2, 0,IF(AND(time+1&gt;=AK$2, $E56&lt;AK$2), IF($I56= "I", $J56/($F56-$E56+1), $J56/(($F56*($F56+1)/2)-(($E56-1)*($E56-1+1)/2))*AJ$2), 0)+IF(IF(time+1&gt;=AK$2, $K56/time_cap/(time+1)*AJ$2, 0) = 0, $K56/(time_cap),0)),0)</f>
        <v/>
      </c>
      <c r="AK56" s="4395">
        <f>IFERROR(IF((time+time_cap)&lt;AK$2, 0,IF(AND(time+1&gt;=AL$2, $E56&lt;AL$2), IF($I56= "I", $J56/($F56-$E56+1), $J56/(($F56*($F56+1)/2)-(($E56-1)*($E56-1+1)/2))*AK$2), 0)+IF(IF(time+1&gt;=AL$2, $K56/time_cap/(time+1)*AK$2, 0) = 0, $K56/(time_cap),0)),0)</f>
        <v/>
      </c>
      <c r="AL56" s="4395">
        <f>IFERROR(IF((time+time_cap)&lt;AL$2, 0,IF(AND(time+1&gt;=AM$2, $E56&lt;AM$2), IF($I56= "I", $J56/($F56-$E56+1), $J56/(($F56*($F56+1)/2)-(($E56-1)*($E56-1+1)/2))*AL$2), 0)+IF(IF(time+1&gt;=AM$2, $K56/time_cap/(time+1)*AL$2, 0) = 0, $K56/(time_cap),0)),0)</f>
        <v/>
      </c>
      <c r="AM56" s="4395">
        <f>IFERROR(IF((time+time_cap)&lt;AM$2, 0,IF(AND(time+1&gt;=AN$2, $E56&lt;AN$2), IF($I56= "I", $J56/($F56-$E56+1), $J56/(($F56*($F56+1)/2)-(($E56-1)*($E56-1+1)/2))*AM$2), 0)+IF(IF(time+1&gt;=AN$2, $K56/time_cap/(time+1)*AM$2, 0) = 0, $K56/(time_cap),0)),0)</f>
        <v/>
      </c>
      <c r="AN56" s="4395">
        <f>IFERROR(IF((time+time_cap)&lt;AN$2, 0,IF(AND(time+1&gt;=AO$2, $E56&lt;AO$2), IF($I56= "I", $J56/($F56-$E56+1), $J56/(($F56*($F56+1)/2)-(($E56-1)*($E56-1+1)/2))*AN$2), 0)+IF(IF(time+1&gt;=AO$2, $K56/time_cap/(time+1)*AN$2, 0) = 0, $K56/(time_cap),0)),0)</f>
        <v/>
      </c>
      <c r="AO56" s="4395">
        <f>IFERROR(IF((time+time_cap)&lt;AO$2, 0,IF(AND(time+1&gt;=AP$2, $E56&lt;AP$2), IF($I56= "I", $J56/($F56-$E56+1), $J56/(($F56*($F56+1)/2)-(($E56-1)*($E56-1+1)/2))*AO$2), 0)+IF(IF(time+1&gt;=AP$2, $K56/time_cap/(time+1)*AO$2, 0) = 0, $K56/(time_cap),0)),0)</f>
        <v/>
      </c>
      <c r="AP56" s="4395">
        <f>IFERROR(IF((time+time_cap)&lt;AP$2, 0,IF(AND(time+1&gt;=AQ$2, $E56&lt;AQ$2), IF($I56= "I", $J56/($F56-$E56+1), $J56/(($F56*($F56+1)/2)-(($E56-1)*($E56-1+1)/2))*AP$2), 0)+IF(IF(time+1&gt;=AQ$2, $K56/time_cap/(time+1)*AP$2, 0) = 0, $K56/(time_cap),0)),0)</f>
        <v/>
      </c>
      <c r="AQ56" s="4395">
        <f>IFERROR(IF((time+time_cap)&lt;AQ$2, 0,IF(AND(time+1&gt;=AR$2, $E56&lt;AR$2), IF($I56= "I", $J56/($F56-$E56+1), $J56/(($F56*($F56+1)/2)-(($E56-1)*($E56-1+1)/2))*AQ$2), 0)+IF(IF(time+1&gt;=AR$2, $K56/time_cap/(time+1)*AQ$2, 0) = 0, $K56/(time_cap),0)),0)</f>
        <v/>
      </c>
      <c r="AR56" s="4395">
        <f>IFERROR(IF((time+time_cap)&lt;AR$2, 0,IF(AND(time+1&gt;=AS$2, $E56&lt;AS$2), IF($I56= "I", $J56/($F56-$E56+1), $J56/(($F56*($F56+1)/2)-(($E56-1)*($E56-1+1)/2))*AR$2), 0)+IF(IF(time+1&gt;=AS$2, $K56/time_cap/(time+1)*AR$2, 0) = 0, $K56/(time_cap),0)),0)</f>
        <v/>
      </c>
      <c r="AS56" s="4395">
        <f>IFERROR(IF((time+time_cap)&lt;AS$2, 0,IF(AND(time+1&gt;=AT$2, $E56&lt;AT$2), IF($I56= "I", $J56/($F56-$E56+1), $J56/(($F56*($F56+1)/2)-(($E56-1)*($E56-1+1)/2))*AS$2), 0)+IF(IF(time+1&gt;=AT$2, $K56/time_cap/(time+1)*AS$2, 0) = 0, $K56/(time_cap),0)),0)</f>
        <v/>
      </c>
      <c r="AT56" s="4395">
        <f>IFERROR(IF((time+time_cap)&lt;AT$2, 0,IF(AND(time+1&gt;=AU$2, $E56&lt;AU$2), IF($I56= "I", $J56/($F56-$E56+1), $J56/(($F56*($F56+1)/2)-(($E56-1)*($E56-1+1)/2))*AT$2), 0)+IF(IF(time+1&gt;=AU$2, $K56/time_cap/(time+1)*AT$2, 0) = 0, $K56/(time_cap),0)),0)</f>
        <v/>
      </c>
      <c r="AU56" s="4395">
        <f>IFERROR(IF((time+time_cap)&lt;AU$2, 0,IF(AND(time+1&gt;=AV$2, $E56&lt;AV$2), IF($I56= "I", $J56/($F56-$E56+1), $J56/(($F56*($F56+1)/2)-(($E56-1)*($E56-1+1)/2))*AU$2), 0)+IF(IF(time+1&gt;=AV$2, $K56/time_cap/(time+1)*AU$2, 0) = 0, $K56/(time_cap),0)),0)</f>
        <v/>
      </c>
      <c r="AV56" s="4395">
        <f>IFERROR(IF((time+time_cap)&lt;AV$2, 0,IF(AND(time+1&gt;=AW$2, $E56&lt;AW$2), IF($I56= "I", $J56/($F56-$E56+1), $J56/(($F56*($F56+1)/2)-(($E56-1)*($E56-1+1)/2))*AV$2), 0)+IF(IF(time+1&gt;=AW$2, $K56/time_cap/(time+1)*AV$2, 0) = 0, $K56/(time_cap),0)),0)</f>
        <v/>
      </c>
      <c r="AW56" s="4395">
        <f>IFERROR(IF((time+time_cap)&lt;AW$2, 0,IF(AND(time+1&gt;=AX$2, $E56&lt;AX$2), IF($I56= "I", $J56/($F56-$E56+1), $J56/(($F56*($F56+1)/2)-(($E56-1)*($E56-1+1)/2))*AW$2), 0)+IF(IF(time+1&gt;=AX$2, $K56/time_cap/(time+1)*AW$2, 0) = 0, $K56/(time_cap),0)),0)</f>
        <v/>
      </c>
      <c r="AX56" s="4395">
        <f>IFERROR(IF((time+time_cap)&lt;AX$2, 0,IF(AND(time+1&gt;=AY$2, $E56&lt;AY$2), IF($I56= "I", $J56/($F56-$E56+1), $J56/(($F56*($F56+1)/2)-(($E56-1)*($E56-1+1)/2))*AX$2), 0)+IF(IF(time+1&gt;=AY$2, $K56/time_cap/(time+1)*AX$2, 0) = 0, $K56/(time_cap),0)),0)</f>
        <v/>
      </c>
      <c r="AY56" s="4395">
        <f>IFERROR(IF((time+time_cap)&lt;AY$2, 0,IF(AND(time+1&gt;=AZ$2, $E56&lt;AZ$2), IF($I56= "I", $J56/($F56-$E56+1), $J56/(($F56*($F56+1)/2)-(($E56-1)*($E56-1+1)/2))*AY$2), 0)+IF(IF(time+1&gt;=AZ$2, $K56/time_cap/(time+1)*AY$2, 0) = 0, $K56/(time_cap),0)),0)</f>
        <v/>
      </c>
      <c r="AZ56" s="4395">
        <f>IFERROR(IF((time+time_cap)&lt;AZ$2, 0,IF(AND(time+1&gt;=BA$2, $E56&lt;BA$2), IF($I56= "I", $J56/($F56-$E56+1), $J56/(($F56*($F56+1)/2)-(($E56-1)*($E56-1+1)/2))*AZ$2), 0)+IF(IF(time+1&gt;=BA$2, $K56/time_cap/(time+1)*AZ$2, 0) = 0, $K56/(time_cap),0)),0)</f>
        <v/>
      </c>
      <c r="BA56" s="4395">
        <f>IFERROR(IF((time+time_cap)&lt;BA$2, 0,IF(AND(time+1&gt;=BB$2, $E56&lt;BB$2), IF($I56= "I", $J56/($F56-$E56+1), $J56/(($F56*($F56+1)/2)-(($E56-1)*($E56-1+1)/2))*BA$2), 0)+IF(IF(time+1&gt;=BB$2, $K56/time_cap/(time+1)*BA$2, 0) = 0, $K56/(time_cap),0)),0)</f>
        <v/>
      </c>
      <c r="BB56" s="4395">
        <f>IFERROR(IF((time+time_cap)&lt;BB$2, 0,IF(AND(time+1&gt;=BC$2, $E56&lt;BC$2), IF($I56= "I", $J56/($F56-$E56+1), $J56/(($F56*($F56+1)/2)-(($E56-1)*($E56-1+1)/2))*BB$2), 0)+IF(IF(time+1&gt;=BC$2, $K56/time_cap/(time+1)*BB$2, 0) = 0, $K56/(time_cap),0)),0)</f>
        <v/>
      </c>
      <c r="BC56" s="4395">
        <f>IFERROR(IF((time+time_cap)&lt;BC$2, 0,IF(AND(time+1&gt;=BD$2, $E56&lt;BD$2), IF($I56= "I", $J56/($F56-$E56+1), $J56/(($F56*($F56+1)/2)-(($E56-1)*($E56-1+1)/2))*BC$2), 0)+IF(IF(time+1&gt;=BD$2, $K56/time_cap/(time+1)*BC$2, 0) = 0, $K56/(time_cap),0)),0)</f>
        <v/>
      </c>
      <c r="BD56" s="4395">
        <f>IFERROR(IF((time+time_cap)&lt;BD$2, 0,IF(AND(time+1&gt;=BE$2, $E56&lt;BE$2), IF($I56= "I", $J56/($F56-$E56+1), $J56/(($F56*($F56+1)/2)-(($E56-1)*($E56-1+1)/2))*BD$2), 0)+IF(IF(time+1&gt;=BE$2, $K56/time_cap/(time+1)*BD$2, 0) = 0, $K56/(time_cap),0)),0)</f>
        <v/>
      </c>
      <c r="BE56" s="4395">
        <f>IFERROR(IF((time+time_cap)&lt;BE$2, 0,IF(AND(time+1&gt;=BF$2, $E56&lt;BF$2), IF($I56= "I", $J56/($F56-$E56+1), $J56/(($F56*($F56+1)/2)-(($E56-1)*($E56-1+1)/2))*BE$2), 0)+IF(IF(time+1&gt;=BF$2, $K56/time_cap/(time+1)*BE$2, 0) = 0, $K56/(time_cap),0)),0)</f>
        <v/>
      </c>
      <c r="BF56" s="4395">
        <f>IFERROR(IF((time+time_cap)&lt;BF$2, 0,IF(AND(time+1&gt;=BG$2, $E56&lt;BG$2), IF($I56= "I", $J56/($F56-$E56+1), $J56/(($F56*($F56+1)/2)-(($E56-1)*($E56-1+1)/2))*BF$2), 0)+IF(IF(time+1&gt;=BG$2, $K56/time_cap/(time+1)*BF$2, 0) = 0, $K56/(time_cap),0)),0)</f>
        <v/>
      </c>
      <c r="BG56" s="4395">
        <f>IFERROR(IF((time+time_cap)&lt;BG$2, 0,IF(AND(time+1&gt;=BH$2, $E56&lt;BH$2), IF($I56= "I", $J56/($F56-$E56+1), $J56/(($F56*($F56+1)/2)-(($E56-1)*($E56-1+1)/2))*BG$2), 0)+IF(IF(time+1&gt;=BH$2, $K56/time_cap/(time+1)*BG$2, 0) = 0, $K56/(time_cap),0)),0)</f>
        <v/>
      </c>
      <c r="BH56" s="4395">
        <f>IFERROR(IF((time+time_cap)&lt;BH$2, 0,IF(AND(time+1&gt;=BI$2, $E56&lt;BI$2), IF($I56= "I", $J56/($F56-$E56+1), $J56/(($F56*($F56+1)/2)-(($E56-1)*($E56-1+1)/2))*BH$2), 0)+IF(IF(time+1&gt;=BI$2, $K56/time_cap/(time+1)*BH$2, 0) = 0, $K56/(time_cap),0)),0)</f>
        <v/>
      </c>
      <c r="BI56" s="4395">
        <f>IFERROR(IF((time+time_cap)&lt;BI$2, 0,IF(AND(time+1&gt;=BJ$2, $E56&lt;BJ$2), IF($I56= "I", $J56/($F56-$E56+1), $J56/(($F56*($F56+1)/2)-(($E56-1)*($E56-1+1)/2))*BI$2), 0)+IF(IF(time+1&gt;=BJ$2, $K56/time_cap/(time+1)*BI$2, 0) = 0, $K56/(time_cap),0)),0)</f>
        <v/>
      </c>
      <c r="BJ56" s="4395">
        <f>IFERROR(IF((time+time_cap)&lt;BJ$2, 0,IF(AND(time+1&gt;=BK$2, $E56&lt;BK$2), IF($I56= "I", $J56/($F56-$E56+1), $J56/(($F56*($F56+1)/2)-(($E56-1)*($E56-1+1)/2))*BJ$2), 0)+IF(IF(time+1&gt;=BK$2, $K56/time_cap/(time+1)*BJ$2, 0) = 0, $K56/(time_cap),0)),0)</f>
        <v/>
      </c>
      <c r="BK56" s="4395" t="n"/>
      <c r="BL56" s="4395" t="n"/>
      <c r="BM56" s="4395" t="n"/>
      <c r="BN56" s="4395" t="n"/>
      <c r="BO56" s="4395" t="n"/>
      <c r="BP56" s="4395" t="n"/>
      <c r="BQ56" s="4395" t="n"/>
      <c r="BR56" s="4395" t="n"/>
      <c r="BS56" s="4395" t="n"/>
      <c r="BT56" s="4395" t="n"/>
      <c r="BU56" s="4395" t="n"/>
      <c r="BV56" s="4395" t="n"/>
      <c r="BW56" s="4395" t="n"/>
      <c r="BX56" s="4395" t="n"/>
      <c r="BY56" s="4395" t="n"/>
      <c r="BZ56" s="4395" t="n"/>
      <c r="CA56" s="4395" t="n"/>
      <c r="CB56" s="4395" t="n"/>
      <c r="CC56" s="4395" t="n"/>
      <c r="CD56" s="4395" t="n"/>
      <c r="CE56" s="4395" t="n"/>
      <c r="CF56" s="4395" t="n"/>
      <c r="CG56" s="4395" t="n"/>
      <c r="CH56" s="4395" t="n"/>
      <c r="CI56" s="4395" t="n"/>
      <c r="CJ56" s="4395" t="n"/>
      <c r="CK56" s="4395" t="n"/>
      <c r="CL56" s="4395" t="n"/>
      <c r="CM56" s="4395" t="n"/>
      <c r="CN56" s="4395" t="n"/>
      <c r="CO56" s="4395" t="n"/>
      <c r="CP56" s="4395" t="n"/>
      <c r="CQ56" s="4395" t="n"/>
      <c r="CR56" s="4395" t="n"/>
      <c r="CS56" s="4395" t="n"/>
      <c r="CT56" s="4395" t="n"/>
      <c r="CU56" s="4395" t="n"/>
      <c r="CV56" s="4395" t="n"/>
      <c r="CW56" s="4395" t="n"/>
      <c r="CX56" s="4395" t="n"/>
      <c r="CY56" s="4395" t="n"/>
      <c r="CZ56" s="4395" t="n"/>
      <c r="DA56" s="4395" t="n"/>
      <c r="DB56" s="4395" t="n"/>
      <c r="DC56" s="4395" t="n"/>
      <c r="DD56" s="4395" t="n"/>
      <c r="DE56" s="4395" t="n"/>
      <c r="DF56" s="4395" t="n"/>
      <c r="DG56" s="4395" t="n"/>
      <c r="DH56" s="4395" t="n"/>
    </row>
    <row r="57" ht="16" customHeight="1">
      <c r="A57" t="inlineStr">
        <is>
          <t>Perennials</t>
        </is>
      </c>
      <c r="B57">
        <f>'3.Cropland'!C68</f>
        <v/>
      </c>
      <c r="C57">
        <f>'3.Cropland'!E68</f>
        <v/>
      </c>
      <c r="D57">
        <f>'3.Cropland'!Z68</f>
        <v/>
      </c>
      <c r="E57">
        <f>IF('3.Cropland'!BL68&lt;&gt;0,'3.Cropland'!BL68, '3.Cropland'!BK68)</f>
        <v/>
      </c>
      <c r="F57">
        <f>time</f>
        <v/>
      </c>
      <c r="G57" s="4395">
        <f>'3.Cropland'!S68</f>
        <v/>
      </c>
      <c r="H57" s="4395">
        <f>'3.Cropland'!U68</f>
        <v/>
      </c>
      <c r="I57" s="4395">
        <f>IF(OR(H57="I", G57="I"), "I", IF(OR(H57="E", G57="E"), "E", "D"))</f>
        <v/>
      </c>
      <c r="J57" s="4395">
        <f>((D57/(time_cap+((F57-E57+1)*VLOOKUP(I57,list!$I$48:$K$50,3, FALSE))))*(F57-E57+1)*VLOOKUP(I57,list!$I$48:$K$50,3, FALSE))</f>
        <v/>
      </c>
      <c r="K57" s="4395">
        <f>((D57/(time_cap+((F57-E57+1)*VLOOKUP(I57,list!$I$48:$K$50,3, FALSE))))*time_cap)</f>
        <v/>
      </c>
      <c r="M57" s="4395">
        <f>IFERROR(IF((time+time_cap)&lt;M$2, 0,IF(AND(time+1&gt;=N$2, $E57&lt;N$2), IF($I57= "I", $J57/($F57-$E57+1), $J57/(($F57*($F57+1)/2)-(($E57-1)*($E57-1+1)/2))*M$2), 0)+IF(IF(time+1&gt;=N$2, $K57/time_cap/(time+1)*M$2, 0) = 0, $K57/(time_cap),0)),0)</f>
        <v/>
      </c>
      <c r="N57" s="4395">
        <f>IFERROR(IF((time+time_cap)&lt;N$2, 0,IF(AND(time+1&gt;=O$2, $E57&lt;O$2), IF($I57= "I", $J57/($F57-$E57+1), $J57/(($F57*($F57+1)/2)-(($E57-1)*($E57-1+1)/2))*N$2), 0)+IF(IF(time+1&gt;=O$2, $K57/time_cap/(time+1)*N$2, 0) = 0, $K57/(time_cap),0)),0)</f>
        <v/>
      </c>
      <c r="O57" s="4395">
        <f>IFERROR(IF((time+time_cap)&lt;O$2, 0,IF(AND(time+1&gt;=P$2, $E57&lt;P$2), IF($I57= "I", $J57/($F57-$E57+1), $J57/(($F57*($F57+1)/2)-(($E57-1)*($E57-1+1)/2))*O$2), 0)+IF(IF(time+1&gt;=P$2, $K57/time_cap/(time+1)*O$2, 0) = 0, $K57/(time_cap),0)),0)</f>
        <v/>
      </c>
      <c r="P57" s="4395">
        <f>IFERROR(IF((time+time_cap)&lt;P$2, 0,IF(AND(time+1&gt;=Q$2, $E57&lt;Q$2), IF($I57= "I", $J57/($F57-$E57+1), $J57/(($F57*($F57+1)/2)-(($E57-1)*($E57-1+1)/2))*P$2), 0)+IF(IF(time+1&gt;=Q$2, $K57/time_cap/(time+1)*P$2, 0) = 0, $K57/(time_cap),0)),0)</f>
        <v/>
      </c>
      <c r="Q57" s="4395">
        <f>IFERROR(IF((time+time_cap)&lt;Q$2, 0,IF(AND(time+1&gt;=R$2, $E57&lt;R$2), IF($I57= "I", $J57/($F57-$E57+1), $J57/(($F57*($F57+1)/2)-(($E57-1)*($E57-1+1)/2))*Q$2), 0)+IF(IF(time+1&gt;=R$2, $K57/time_cap/(time+1)*Q$2, 0) = 0, $K57/(time_cap),0)),0)</f>
        <v/>
      </c>
      <c r="R57" s="4395">
        <f>IFERROR(IF((time+time_cap)&lt;R$2, 0,IF(AND(time+1&gt;=S$2, $E57&lt;S$2), IF($I57= "I", $J57/($F57-$E57+1), $J57/(($F57*($F57+1)/2)-(($E57-1)*($E57-1+1)/2))*R$2), 0)+IF(IF(time+1&gt;=S$2, $K57/time_cap/(time+1)*R$2, 0) = 0, $K57/(time_cap),0)),0)</f>
        <v/>
      </c>
      <c r="S57" s="4395">
        <f>IFERROR(IF((time+time_cap)&lt;S$2, 0,IF(AND(time+1&gt;=T$2, $E57&lt;T$2), IF($I57= "I", $J57/($F57-$E57+1), $J57/(($F57*($F57+1)/2)-(($E57-1)*($E57-1+1)/2))*S$2), 0)+IF(IF(time+1&gt;=T$2, $K57/time_cap/(time+1)*S$2, 0) = 0, $K57/(time_cap),0)),0)</f>
        <v/>
      </c>
      <c r="T57" s="4395">
        <f>IFERROR(IF((time+time_cap)&lt;T$2, 0,IF(AND(time+1&gt;=U$2, $E57&lt;U$2), IF($I57= "I", $J57/($F57-$E57+1), $J57/(($F57*($F57+1)/2)-(($E57-1)*($E57-1+1)/2))*T$2), 0)+IF(IF(time+1&gt;=U$2, $K57/time_cap/(time+1)*T$2, 0) = 0, $K57/(time_cap),0)),0)</f>
        <v/>
      </c>
      <c r="U57" s="4395">
        <f>IFERROR(IF((time+time_cap)&lt;U$2, 0,IF(AND(time+1&gt;=V$2, $E57&lt;V$2), IF($I57= "I", $J57/($F57-$E57+1), $J57/(($F57*($F57+1)/2)-(($E57-1)*($E57-1+1)/2))*U$2), 0)+IF(IF(time+1&gt;=V$2, $K57/time_cap/(time+1)*U$2, 0) = 0, $K57/(time_cap),0)),0)</f>
        <v/>
      </c>
      <c r="V57" s="4395">
        <f>IFERROR(IF((time+time_cap)&lt;V$2, 0,IF(AND(time+1&gt;=W$2, $E57&lt;W$2), IF($I57= "I", $J57/($F57-$E57+1), $J57/(($F57*($F57+1)/2)-(($E57-1)*($E57-1+1)/2))*V$2), 0)+IF(IF(time+1&gt;=W$2, $K57/time_cap/(time+1)*V$2, 0) = 0, $K57/(time_cap),0)),0)</f>
        <v/>
      </c>
      <c r="W57" s="4395">
        <f>IFERROR(IF((time+time_cap)&lt;W$2, 0,IF(AND(time+1&gt;=X$2, $E57&lt;X$2), IF($I57= "I", $J57/($F57-$E57+1), $J57/(($F57*($F57+1)/2)-(($E57-1)*($E57-1+1)/2))*W$2), 0)+IF(IF(time+1&gt;=X$2, $K57/time_cap/(time+1)*W$2, 0) = 0, $K57/(time_cap),0)),0)</f>
        <v/>
      </c>
      <c r="X57" s="4395">
        <f>IFERROR(IF((time+time_cap)&lt;X$2, 0,IF(AND(time+1&gt;=Y$2, $E57&lt;Y$2), IF($I57= "I", $J57/($F57-$E57+1), $J57/(($F57*($F57+1)/2)-(($E57-1)*($E57-1+1)/2))*X$2), 0)+IF(IF(time+1&gt;=Y$2, $K57/time_cap/(time+1)*X$2, 0) = 0, $K57/(time_cap),0)),0)</f>
        <v/>
      </c>
      <c r="Y57" s="4395">
        <f>IFERROR(IF((time+time_cap)&lt;Y$2, 0,IF(AND(time+1&gt;=Z$2, $E57&lt;Z$2), IF($I57= "I", $J57/($F57-$E57+1), $J57/(($F57*($F57+1)/2)-(($E57-1)*($E57-1+1)/2))*Y$2), 0)+IF(IF(time+1&gt;=Z$2, $K57/time_cap/(time+1)*Y$2, 0) = 0, $K57/(time_cap),0)),0)</f>
        <v/>
      </c>
      <c r="Z57" s="4395">
        <f>IFERROR(IF((time+time_cap)&lt;Z$2, 0,IF(AND(time+1&gt;=AA$2, $E57&lt;AA$2), IF($I57= "I", $J57/($F57-$E57+1), $J57/(($F57*($F57+1)/2)-(($E57-1)*($E57-1+1)/2))*Z$2), 0)+IF(IF(time+1&gt;=AA$2, $K57/time_cap/(time+1)*Z$2, 0) = 0, $K57/(time_cap),0)),0)</f>
        <v/>
      </c>
      <c r="AA57" s="4395">
        <f>IFERROR(IF((time+time_cap)&lt;AA$2, 0,IF(AND(time+1&gt;=AB$2, $E57&lt;AB$2), IF($I57= "I", $J57/($F57-$E57+1), $J57/(($F57*($F57+1)/2)-(($E57-1)*($E57-1+1)/2))*AA$2), 0)+IF(IF(time+1&gt;=AB$2, $K57/time_cap/(time+1)*AA$2, 0) = 0, $K57/(time_cap),0)),0)</f>
        <v/>
      </c>
      <c r="AB57" s="4395">
        <f>IFERROR(IF((time+time_cap)&lt;AB$2, 0,IF(AND(time+1&gt;=AC$2, $E57&lt;AC$2), IF($I57= "I", $J57/($F57-$E57+1), $J57/(($F57*($F57+1)/2)-(($E57-1)*($E57-1+1)/2))*AB$2), 0)+IF(IF(time+1&gt;=AC$2, $K57/time_cap/(time+1)*AB$2, 0) = 0, $K57/(time_cap),0)),0)</f>
        <v/>
      </c>
      <c r="AC57" s="4395">
        <f>IFERROR(IF((time+time_cap)&lt;AC$2, 0,IF(AND(time+1&gt;=AD$2, $E57&lt;AD$2), IF($I57= "I", $J57/($F57-$E57+1), $J57/(($F57*($F57+1)/2)-(($E57-1)*($E57-1+1)/2))*AC$2), 0)+IF(IF(time+1&gt;=AD$2, $K57/time_cap/(time+1)*AC$2, 0) = 0, $K57/(time_cap),0)),0)</f>
        <v/>
      </c>
      <c r="AD57" s="4395">
        <f>IFERROR(IF((time+time_cap)&lt;AD$2, 0,IF(AND(time+1&gt;=AE$2, $E57&lt;AE$2), IF($I57= "I", $J57/($F57-$E57+1), $J57/(($F57*($F57+1)/2)-(($E57-1)*($E57-1+1)/2))*AD$2), 0)+IF(IF(time+1&gt;=AE$2, $K57/time_cap/(time+1)*AD$2, 0) = 0, $K57/(time_cap),0)),0)</f>
        <v/>
      </c>
      <c r="AE57" s="4395">
        <f>IFERROR(IF((time+time_cap)&lt;AE$2, 0,IF(AND(time+1&gt;=AF$2, $E57&lt;AF$2), IF($I57= "I", $J57/($F57-$E57+1), $J57/(($F57*($F57+1)/2)-(($E57-1)*($E57-1+1)/2))*AE$2), 0)+IF(IF(time+1&gt;=AF$2, $K57/time_cap/(time+1)*AE$2, 0) = 0, $K57/(time_cap),0)),0)</f>
        <v/>
      </c>
      <c r="AF57" s="4395">
        <f>IFERROR(IF((time+time_cap)&lt;AF$2, 0,IF(AND(time+1&gt;=AG$2, $E57&lt;AG$2), IF($I57= "I", $J57/($F57-$E57+1), $J57/(($F57*($F57+1)/2)-(($E57-1)*($E57-1+1)/2))*AF$2), 0)+IF(IF(time+1&gt;=AG$2, $K57/time_cap/(time+1)*AF$2, 0) = 0, $K57/(time_cap),0)),0)</f>
        <v/>
      </c>
      <c r="AG57" s="4395">
        <f>IFERROR(IF((time+time_cap)&lt;AG$2, 0,IF(AND(time+1&gt;=AH$2, $E57&lt;AH$2), IF($I57= "I", $J57/($F57-$E57+1), $J57/(($F57*($F57+1)/2)-(($E57-1)*($E57-1+1)/2))*AG$2), 0)+IF(IF(time+1&gt;=AH$2, $K57/time_cap/(time+1)*AG$2, 0) = 0, $K57/(time_cap),0)),0)</f>
        <v/>
      </c>
      <c r="AH57" s="4395">
        <f>IFERROR(IF((time+time_cap)&lt;AH$2, 0,IF(AND(time+1&gt;=AI$2, $E57&lt;AI$2), IF($I57= "I", $J57/($F57-$E57+1), $J57/(($F57*($F57+1)/2)-(($E57-1)*($E57-1+1)/2))*AH$2), 0)+IF(IF(time+1&gt;=AI$2, $K57/time_cap/(time+1)*AH$2, 0) = 0, $K57/(time_cap),0)),0)</f>
        <v/>
      </c>
      <c r="AI57" s="4395">
        <f>IFERROR(IF((time+time_cap)&lt;AI$2, 0,IF(AND(time+1&gt;=AJ$2, $E57&lt;AJ$2), IF($I57= "I", $J57/($F57-$E57+1), $J57/(($F57*($F57+1)/2)-(($E57-1)*($E57-1+1)/2))*AI$2), 0)+IF(IF(time+1&gt;=AJ$2, $K57/time_cap/(time+1)*AI$2, 0) = 0, $K57/(time_cap),0)),0)</f>
        <v/>
      </c>
      <c r="AJ57" s="4395">
        <f>IFERROR(IF((time+time_cap)&lt;AJ$2, 0,IF(AND(time+1&gt;=AK$2, $E57&lt;AK$2), IF($I57= "I", $J57/($F57-$E57+1), $J57/(($F57*($F57+1)/2)-(($E57-1)*($E57-1+1)/2))*AJ$2), 0)+IF(IF(time+1&gt;=AK$2, $K57/time_cap/(time+1)*AJ$2, 0) = 0, $K57/(time_cap),0)),0)</f>
        <v/>
      </c>
      <c r="AK57" s="4395">
        <f>IFERROR(IF((time+time_cap)&lt;AK$2, 0,IF(AND(time+1&gt;=AL$2, $E57&lt;AL$2), IF($I57= "I", $J57/($F57-$E57+1), $J57/(($F57*($F57+1)/2)-(($E57-1)*($E57-1+1)/2))*AK$2), 0)+IF(IF(time+1&gt;=AL$2, $K57/time_cap/(time+1)*AK$2, 0) = 0, $K57/(time_cap),0)),0)</f>
        <v/>
      </c>
      <c r="AL57" s="4395">
        <f>IFERROR(IF((time+time_cap)&lt;AL$2, 0,IF(AND(time+1&gt;=AM$2, $E57&lt;AM$2), IF($I57= "I", $J57/($F57-$E57+1), $J57/(($F57*($F57+1)/2)-(($E57-1)*($E57-1+1)/2))*AL$2), 0)+IF(IF(time+1&gt;=AM$2, $K57/time_cap/(time+1)*AL$2, 0) = 0, $K57/(time_cap),0)),0)</f>
        <v/>
      </c>
      <c r="AM57" s="4395">
        <f>IFERROR(IF((time+time_cap)&lt;AM$2, 0,IF(AND(time+1&gt;=AN$2, $E57&lt;AN$2), IF($I57= "I", $J57/($F57-$E57+1), $J57/(($F57*($F57+1)/2)-(($E57-1)*($E57-1+1)/2))*AM$2), 0)+IF(IF(time+1&gt;=AN$2, $K57/time_cap/(time+1)*AM$2, 0) = 0, $K57/(time_cap),0)),0)</f>
        <v/>
      </c>
      <c r="AN57" s="4395">
        <f>IFERROR(IF((time+time_cap)&lt;AN$2, 0,IF(AND(time+1&gt;=AO$2, $E57&lt;AO$2), IF($I57= "I", $J57/($F57-$E57+1), $J57/(($F57*($F57+1)/2)-(($E57-1)*($E57-1+1)/2))*AN$2), 0)+IF(IF(time+1&gt;=AO$2, $K57/time_cap/(time+1)*AN$2, 0) = 0, $K57/(time_cap),0)),0)</f>
        <v/>
      </c>
      <c r="AO57" s="4395">
        <f>IFERROR(IF((time+time_cap)&lt;AO$2, 0,IF(AND(time+1&gt;=AP$2, $E57&lt;AP$2), IF($I57= "I", $J57/($F57-$E57+1), $J57/(($F57*($F57+1)/2)-(($E57-1)*($E57-1+1)/2))*AO$2), 0)+IF(IF(time+1&gt;=AP$2, $K57/time_cap/(time+1)*AO$2, 0) = 0, $K57/(time_cap),0)),0)</f>
        <v/>
      </c>
      <c r="AP57" s="4395">
        <f>IFERROR(IF((time+time_cap)&lt;AP$2, 0,IF(AND(time+1&gt;=AQ$2, $E57&lt;AQ$2), IF($I57= "I", $J57/($F57-$E57+1), $J57/(($F57*($F57+1)/2)-(($E57-1)*($E57-1+1)/2))*AP$2), 0)+IF(IF(time+1&gt;=AQ$2, $K57/time_cap/(time+1)*AP$2, 0) = 0, $K57/(time_cap),0)),0)</f>
        <v/>
      </c>
      <c r="AQ57" s="4395">
        <f>IFERROR(IF((time+time_cap)&lt;AQ$2, 0,IF(AND(time+1&gt;=AR$2, $E57&lt;AR$2), IF($I57= "I", $J57/($F57-$E57+1), $J57/(($F57*($F57+1)/2)-(($E57-1)*($E57-1+1)/2))*AQ$2), 0)+IF(IF(time+1&gt;=AR$2, $K57/time_cap/(time+1)*AQ$2, 0) = 0, $K57/(time_cap),0)),0)</f>
        <v/>
      </c>
      <c r="AR57" s="4395">
        <f>IFERROR(IF((time+time_cap)&lt;AR$2, 0,IF(AND(time+1&gt;=AS$2, $E57&lt;AS$2), IF($I57= "I", $J57/($F57-$E57+1), $J57/(($F57*($F57+1)/2)-(($E57-1)*($E57-1+1)/2))*AR$2), 0)+IF(IF(time+1&gt;=AS$2, $K57/time_cap/(time+1)*AR$2, 0) = 0, $K57/(time_cap),0)),0)</f>
        <v/>
      </c>
      <c r="AS57" s="4395">
        <f>IFERROR(IF((time+time_cap)&lt;AS$2, 0,IF(AND(time+1&gt;=AT$2, $E57&lt;AT$2), IF($I57= "I", $J57/($F57-$E57+1), $J57/(($F57*($F57+1)/2)-(($E57-1)*($E57-1+1)/2))*AS$2), 0)+IF(IF(time+1&gt;=AT$2, $K57/time_cap/(time+1)*AS$2, 0) = 0, $K57/(time_cap),0)),0)</f>
        <v/>
      </c>
      <c r="AT57" s="4395">
        <f>IFERROR(IF((time+time_cap)&lt;AT$2, 0,IF(AND(time+1&gt;=AU$2, $E57&lt;AU$2), IF($I57= "I", $J57/($F57-$E57+1), $J57/(($F57*($F57+1)/2)-(($E57-1)*($E57-1+1)/2))*AT$2), 0)+IF(IF(time+1&gt;=AU$2, $K57/time_cap/(time+1)*AT$2, 0) = 0, $K57/(time_cap),0)),0)</f>
        <v/>
      </c>
      <c r="AU57" s="4395">
        <f>IFERROR(IF((time+time_cap)&lt;AU$2, 0,IF(AND(time+1&gt;=AV$2, $E57&lt;AV$2), IF($I57= "I", $J57/($F57-$E57+1), $J57/(($F57*($F57+1)/2)-(($E57-1)*($E57-1+1)/2))*AU$2), 0)+IF(IF(time+1&gt;=AV$2, $K57/time_cap/(time+1)*AU$2, 0) = 0, $K57/(time_cap),0)),0)</f>
        <v/>
      </c>
      <c r="AV57" s="4395">
        <f>IFERROR(IF((time+time_cap)&lt;AV$2, 0,IF(AND(time+1&gt;=AW$2, $E57&lt;AW$2), IF($I57= "I", $J57/($F57-$E57+1), $J57/(($F57*($F57+1)/2)-(($E57-1)*($E57-1+1)/2))*AV$2), 0)+IF(IF(time+1&gt;=AW$2, $K57/time_cap/(time+1)*AV$2, 0) = 0, $K57/(time_cap),0)),0)</f>
        <v/>
      </c>
      <c r="AW57" s="4395">
        <f>IFERROR(IF((time+time_cap)&lt;AW$2, 0,IF(AND(time+1&gt;=AX$2, $E57&lt;AX$2), IF($I57= "I", $J57/($F57-$E57+1), $J57/(($F57*($F57+1)/2)-(($E57-1)*($E57-1+1)/2))*AW$2), 0)+IF(IF(time+1&gt;=AX$2, $K57/time_cap/(time+1)*AW$2, 0) = 0, $K57/(time_cap),0)),0)</f>
        <v/>
      </c>
      <c r="AX57" s="4395">
        <f>IFERROR(IF((time+time_cap)&lt;AX$2, 0,IF(AND(time+1&gt;=AY$2, $E57&lt;AY$2), IF($I57= "I", $J57/($F57-$E57+1), $J57/(($F57*($F57+1)/2)-(($E57-1)*($E57-1+1)/2))*AX$2), 0)+IF(IF(time+1&gt;=AY$2, $K57/time_cap/(time+1)*AX$2, 0) = 0, $K57/(time_cap),0)),0)</f>
        <v/>
      </c>
      <c r="AY57" s="4395">
        <f>IFERROR(IF((time+time_cap)&lt;AY$2, 0,IF(AND(time+1&gt;=AZ$2, $E57&lt;AZ$2), IF($I57= "I", $J57/($F57-$E57+1), $J57/(($F57*($F57+1)/2)-(($E57-1)*($E57-1+1)/2))*AY$2), 0)+IF(IF(time+1&gt;=AZ$2, $K57/time_cap/(time+1)*AY$2, 0) = 0, $K57/(time_cap),0)),0)</f>
        <v/>
      </c>
      <c r="AZ57" s="4395">
        <f>IFERROR(IF((time+time_cap)&lt;AZ$2, 0,IF(AND(time+1&gt;=BA$2, $E57&lt;BA$2), IF($I57= "I", $J57/($F57-$E57+1), $J57/(($F57*($F57+1)/2)-(($E57-1)*($E57-1+1)/2))*AZ$2), 0)+IF(IF(time+1&gt;=BA$2, $K57/time_cap/(time+1)*AZ$2, 0) = 0, $K57/(time_cap),0)),0)</f>
        <v/>
      </c>
      <c r="BA57" s="4395">
        <f>IFERROR(IF((time+time_cap)&lt;BA$2, 0,IF(AND(time+1&gt;=BB$2, $E57&lt;BB$2), IF($I57= "I", $J57/($F57-$E57+1), $J57/(($F57*($F57+1)/2)-(($E57-1)*($E57-1+1)/2))*BA$2), 0)+IF(IF(time+1&gt;=BB$2, $K57/time_cap/(time+1)*BA$2, 0) = 0, $K57/(time_cap),0)),0)</f>
        <v/>
      </c>
      <c r="BB57" s="4395">
        <f>IFERROR(IF((time+time_cap)&lt;BB$2, 0,IF(AND(time+1&gt;=BC$2, $E57&lt;BC$2), IF($I57= "I", $J57/($F57-$E57+1), $J57/(($F57*($F57+1)/2)-(($E57-1)*($E57-1+1)/2))*BB$2), 0)+IF(IF(time+1&gt;=BC$2, $K57/time_cap/(time+1)*BB$2, 0) = 0, $K57/(time_cap),0)),0)</f>
        <v/>
      </c>
      <c r="BC57" s="4395">
        <f>IFERROR(IF((time+time_cap)&lt;BC$2, 0,IF(AND(time+1&gt;=BD$2, $E57&lt;BD$2), IF($I57= "I", $J57/($F57-$E57+1), $J57/(($F57*($F57+1)/2)-(($E57-1)*($E57-1+1)/2))*BC$2), 0)+IF(IF(time+1&gt;=BD$2, $K57/time_cap/(time+1)*BC$2, 0) = 0, $K57/(time_cap),0)),0)</f>
        <v/>
      </c>
      <c r="BD57" s="4395">
        <f>IFERROR(IF((time+time_cap)&lt;BD$2, 0,IF(AND(time+1&gt;=BE$2, $E57&lt;BE$2), IF($I57= "I", $J57/($F57-$E57+1), $J57/(($F57*($F57+1)/2)-(($E57-1)*($E57-1+1)/2))*BD$2), 0)+IF(IF(time+1&gt;=BE$2, $K57/time_cap/(time+1)*BD$2, 0) = 0, $K57/(time_cap),0)),0)</f>
        <v/>
      </c>
      <c r="BE57" s="4395">
        <f>IFERROR(IF((time+time_cap)&lt;BE$2, 0,IF(AND(time+1&gt;=BF$2, $E57&lt;BF$2), IF($I57= "I", $J57/($F57-$E57+1), $J57/(($F57*($F57+1)/2)-(($E57-1)*($E57-1+1)/2))*BE$2), 0)+IF(IF(time+1&gt;=BF$2, $K57/time_cap/(time+1)*BE$2, 0) = 0, $K57/(time_cap),0)),0)</f>
        <v/>
      </c>
      <c r="BF57" s="4395">
        <f>IFERROR(IF((time+time_cap)&lt;BF$2, 0,IF(AND(time+1&gt;=BG$2, $E57&lt;BG$2), IF($I57= "I", $J57/($F57-$E57+1), $J57/(($F57*($F57+1)/2)-(($E57-1)*($E57-1+1)/2))*BF$2), 0)+IF(IF(time+1&gt;=BG$2, $K57/time_cap/(time+1)*BF$2, 0) = 0, $K57/(time_cap),0)),0)</f>
        <v/>
      </c>
      <c r="BG57" s="4395">
        <f>IFERROR(IF((time+time_cap)&lt;BG$2, 0,IF(AND(time+1&gt;=BH$2, $E57&lt;BH$2), IF($I57= "I", $J57/($F57-$E57+1), $J57/(($F57*($F57+1)/2)-(($E57-1)*($E57-1+1)/2))*BG$2), 0)+IF(IF(time+1&gt;=BH$2, $K57/time_cap/(time+1)*BG$2, 0) = 0, $K57/(time_cap),0)),0)</f>
        <v/>
      </c>
      <c r="BH57" s="4395">
        <f>IFERROR(IF((time+time_cap)&lt;BH$2, 0,IF(AND(time+1&gt;=BI$2, $E57&lt;BI$2), IF($I57= "I", $J57/($F57-$E57+1), $J57/(($F57*($F57+1)/2)-(($E57-1)*($E57-1+1)/2))*BH$2), 0)+IF(IF(time+1&gt;=BI$2, $K57/time_cap/(time+1)*BH$2, 0) = 0, $K57/(time_cap),0)),0)</f>
        <v/>
      </c>
      <c r="BI57" s="4395">
        <f>IFERROR(IF((time+time_cap)&lt;BI$2, 0,IF(AND(time+1&gt;=BJ$2, $E57&lt;BJ$2), IF($I57= "I", $J57/($F57-$E57+1), $J57/(($F57*($F57+1)/2)-(($E57-1)*($E57-1+1)/2))*BI$2), 0)+IF(IF(time+1&gt;=BJ$2, $K57/time_cap/(time+1)*BI$2, 0) = 0, $K57/(time_cap),0)),0)</f>
        <v/>
      </c>
      <c r="BJ57" s="4395">
        <f>IFERROR(IF((time+time_cap)&lt;BJ$2, 0,IF(AND(time+1&gt;=BK$2, $E57&lt;BK$2), IF($I57= "I", $J57/($F57-$E57+1), $J57/(($F57*($F57+1)/2)-(($E57-1)*($E57-1+1)/2))*BJ$2), 0)+IF(IF(time+1&gt;=BK$2, $K57/time_cap/(time+1)*BJ$2, 0) = 0, $K57/(time_cap),0)),0)</f>
        <v/>
      </c>
      <c r="BK57" s="4395" t="n"/>
      <c r="BL57" s="4395" t="n"/>
      <c r="BM57" s="4395" t="n"/>
      <c r="BN57" s="4395" t="n"/>
      <c r="BO57" s="4395" t="n"/>
      <c r="BP57" s="4395" t="n"/>
      <c r="BQ57" s="4395" t="n"/>
      <c r="BR57" s="4395" t="n"/>
      <c r="BS57" s="4395" t="n"/>
      <c r="BT57" s="4395" t="n"/>
      <c r="BU57" s="4395" t="n"/>
      <c r="BV57" s="4395" t="n"/>
      <c r="BW57" s="4395" t="n"/>
      <c r="BX57" s="4395" t="n"/>
      <c r="BY57" s="4395" t="n"/>
      <c r="BZ57" s="4395" t="n"/>
      <c r="CA57" s="4395" t="n"/>
      <c r="CB57" s="4395" t="n"/>
      <c r="CC57" s="4395" t="n"/>
      <c r="CD57" s="4395" t="n"/>
      <c r="CE57" s="4395" t="n"/>
      <c r="CF57" s="4395" t="n"/>
      <c r="CG57" s="4395" t="n"/>
      <c r="CH57" s="4395" t="n"/>
      <c r="CI57" s="4395" t="n"/>
      <c r="CJ57" s="4395" t="n"/>
      <c r="CK57" s="4395" t="n"/>
      <c r="CL57" s="4395" t="n"/>
      <c r="CM57" s="4395" t="n"/>
      <c r="CN57" s="4395" t="n"/>
      <c r="CO57" s="4395" t="n"/>
      <c r="CP57" s="4395" t="n"/>
      <c r="CQ57" s="4395" t="n"/>
      <c r="CR57" s="4395" t="n"/>
      <c r="CS57" s="4395" t="n"/>
      <c r="CT57" s="4395" t="n"/>
      <c r="CU57" s="4395" t="n"/>
      <c r="CV57" s="4395" t="n"/>
      <c r="CW57" s="4395" t="n"/>
      <c r="CX57" s="4395" t="n"/>
      <c r="CY57" s="4395" t="n"/>
      <c r="CZ57" s="4395" t="n"/>
      <c r="DA57" s="4395" t="n"/>
      <c r="DB57" s="4395" t="n"/>
      <c r="DC57" s="4395" t="n"/>
      <c r="DD57" s="4395" t="n"/>
      <c r="DE57" s="4395" t="n"/>
      <c r="DF57" s="4395" t="n"/>
      <c r="DG57" s="4395" t="n"/>
      <c r="DH57" s="4395" t="n"/>
    </row>
    <row r="58" ht="16" customHeight="1">
      <c r="A58" t="inlineStr">
        <is>
          <t>Perennials</t>
        </is>
      </c>
      <c r="B58">
        <f>'3.Cropland'!C69</f>
        <v/>
      </c>
      <c r="C58">
        <f>'3.Cropland'!E69</f>
        <v/>
      </c>
      <c r="D58">
        <f>'3.Cropland'!Z69</f>
        <v/>
      </c>
      <c r="E58">
        <f>IF('3.Cropland'!BL69&lt;&gt;0,'3.Cropland'!BL69, '3.Cropland'!BK69)</f>
        <v/>
      </c>
      <c r="F58">
        <f>time</f>
        <v/>
      </c>
      <c r="G58" s="4395">
        <f>'3.Cropland'!S69</f>
        <v/>
      </c>
      <c r="H58" s="4395">
        <f>'3.Cropland'!U69</f>
        <v/>
      </c>
      <c r="I58" s="4395">
        <f>IF(OR(H58="I", G58="I"), "I", IF(OR(H58="E", G58="E"), "E", "D"))</f>
        <v/>
      </c>
      <c r="J58" s="4395">
        <f>((D58/(time_cap+((F58-E58+1)*VLOOKUP(I58,list!$I$48:$K$50,3, FALSE))))*(F58-E58+1)*VLOOKUP(I58,list!$I$48:$K$50,3, FALSE))</f>
        <v/>
      </c>
      <c r="K58" s="4395">
        <f>((D58/(time_cap+((F58-E58+1)*VLOOKUP(I58,list!$I$48:$K$50,3, FALSE))))*time_cap)</f>
        <v/>
      </c>
      <c r="M58" s="4395">
        <f>IFERROR(IF((time+time_cap)&lt;M$2, 0,IF(AND(time+1&gt;=N$2, $E58&lt;N$2), IF($I58= "I", $J58/($F58-$E58+1), $J58/(($F58*($F58+1)/2)-(($E58-1)*($E58-1+1)/2))*M$2), 0)+IF(IF(time+1&gt;=N$2, $K58/time_cap/(time+1)*M$2, 0) = 0, $K58/(time_cap),0)),0)</f>
        <v/>
      </c>
      <c r="N58" s="4395">
        <f>IFERROR(IF((time+time_cap)&lt;N$2, 0,IF(AND(time+1&gt;=O$2, $E58&lt;O$2), IF($I58= "I", $J58/($F58-$E58+1), $J58/(($F58*($F58+1)/2)-(($E58-1)*($E58-1+1)/2))*N$2), 0)+IF(IF(time+1&gt;=O$2, $K58/time_cap/(time+1)*N$2, 0) = 0, $K58/(time_cap),0)),0)</f>
        <v/>
      </c>
      <c r="O58" s="4395">
        <f>IFERROR(IF((time+time_cap)&lt;O$2, 0,IF(AND(time+1&gt;=P$2, $E58&lt;P$2), IF($I58= "I", $J58/($F58-$E58+1), $J58/(($F58*($F58+1)/2)-(($E58-1)*($E58-1+1)/2))*O$2), 0)+IF(IF(time+1&gt;=P$2, $K58/time_cap/(time+1)*O$2, 0) = 0, $K58/(time_cap),0)),0)</f>
        <v/>
      </c>
      <c r="P58" s="4395">
        <f>IFERROR(IF((time+time_cap)&lt;P$2, 0,IF(AND(time+1&gt;=Q$2, $E58&lt;Q$2), IF($I58= "I", $J58/($F58-$E58+1), $J58/(($F58*($F58+1)/2)-(($E58-1)*($E58-1+1)/2))*P$2), 0)+IF(IF(time+1&gt;=Q$2, $K58/time_cap/(time+1)*P$2, 0) = 0, $K58/(time_cap),0)),0)</f>
        <v/>
      </c>
      <c r="Q58" s="4395">
        <f>IFERROR(IF((time+time_cap)&lt;Q$2, 0,IF(AND(time+1&gt;=R$2, $E58&lt;R$2), IF($I58= "I", $J58/($F58-$E58+1), $J58/(($F58*($F58+1)/2)-(($E58-1)*($E58-1+1)/2))*Q$2), 0)+IF(IF(time+1&gt;=R$2, $K58/time_cap/(time+1)*Q$2, 0) = 0, $K58/(time_cap),0)),0)</f>
        <v/>
      </c>
      <c r="R58" s="4395">
        <f>IFERROR(IF((time+time_cap)&lt;R$2, 0,IF(AND(time+1&gt;=S$2, $E58&lt;S$2), IF($I58= "I", $J58/($F58-$E58+1), $J58/(($F58*($F58+1)/2)-(($E58-1)*($E58-1+1)/2))*R$2), 0)+IF(IF(time+1&gt;=S$2, $K58/time_cap/(time+1)*R$2, 0) = 0, $K58/(time_cap),0)),0)</f>
        <v/>
      </c>
      <c r="S58" s="4395">
        <f>IFERROR(IF((time+time_cap)&lt;S$2, 0,IF(AND(time+1&gt;=T$2, $E58&lt;T$2), IF($I58= "I", $J58/($F58-$E58+1), $J58/(($F58*($F58+1)/2)-(($E58-1)*($E58-1+1)/2))*S$2), 0)+IF(IF(time+1&gt;=T$2, $K58/time_cap/(time+1)*S$2, 0) = 0, $K58/(time_cap),0)),0)</f>
        <v/>
      </c>
      <c r="T58" s="4395">
        <f>IFERROR(IF((time+time_cap)&lt;T$2, 0,IF(AND(time+1&gt;=U$2, $E58&lt;U$2), IF($I58= "I", $J58/($F58-$E58+1), $J58/(($F58*($F58+1)/2)-(($E58-1)*($E58-1+1)/2))*T$2), 0)+IF(IF(time+1&gt;=U$2, $K58/time_cap/(time+1)*T$2, 0) = 0, $K58/(time_cap),0)),0)</f>
        <v/>
      </c>
      <c r="U58" s="4395">
        <f>IFERROR(IF((time+time_cap)&lt;U$2, 0,IF(AND(time+1&gt;=V$2, $E58&lt;V$2), IF($I58= "I", $J58/($F58-$E58+1), $J58/(($F58*($F58+1)/2)-(($E58-1)*($E58-1+1)/2))*U$2), 0)+IF(IF(time+1&gt;=V$2, $K58/time_cap/(time+1)*U$2, 0) = 0, $K58/(time_cap),0)),0)</f>
        <v/>
      </c>
      <c r="V58" s="4395">
        <f>IFERROR(IF((time+time_cap)&lt;V$2, 0,IF(AND(time+1&gt;=W$2, $E58&lt;W$2), IF($I58= "I", $J58/($F58-$E58+1), $J58/(($F58*($F58+1)/2)-(($E58-1)*($E58-1+1)/2))*V$2), 0)+IF(IF(time+1&gt;=W$2, $K58/time_cap/(time+1)*V$2, 0) = 0, $K58/(time_cap),0)),0)</f>
        <v/>
      </c>
      <c r="W58" s="4395">
        <f>IFERROR(IF((time+time_cap)&lt;W$2, 0,IF(AND(time+1&gt;=X$2, $E58&lt;X$2), IF($I58= "I", $J58/($F58-$E58+1), $J58/(($F58*($F58+1)/2)-(($E58-1)*($E58-1+1)/2))*W$2), 0)+IF(IF(time+1&gt;=X$2, $K58/time_cap/(time+1)*W$2, 0) = 0, $K58/(time_cap),0)),0)</f>
        <v/>
      </c>
      <c r="X58" s="4395">
        <f>IFERROR(IF((time+time_cap)&lt;X$2, 0,IF(AND(time+1&gt;=Y$2, $E58&lt;Y$2), IF($I58= "I", $J58/($F58-$E58+1), $J58/(($F58*($F58+1)/2)-(($E58-1)*($E58-1+1)/2))*X$2), 0)+IF(IF(time+1&gt;=Y$2, $K58/time_cap/(time+1)*X$2, 0) = 0, $K58/(time_cap),0)),0)</f>
        <v/>
      </c>
      <c r="Y58" s="4395">
        <f>IFERROR(IF((time+time_cap)&lt;Y$2, 0,IF(AND(time+1&gt;=Z$2, $E58&lt;Z$2), IF($I58= "I", $J58/($F58-$E58+1), $J58/(($F58*($F58+1)/2)-(($E58-1)*($E58-1+1)/2))*Y$2), 0)+IF(IF(time+1&gt;=Z$2, $K58/time_cap/(time+1)*Y$2, 0) = 0, $K58/(time_cap),0)),0)</f>
        <v/>
      </c>
      <c r="Z58" s="4395">
        <f>IFERROR(IF((time+time_cap)&lt;Z$2, 0,IF(AND(time+1&gt;=AA$2, $E58&lt;AA$2), IF($I58= "I", $J58/($F58-$E58+1), $J58/(($F58*($F58+1)/2)-(($E58-1)*($E58-1+1)/2))*Z$2), 0)+IF(IF(time+1&gt;=AA$2, $K58/time_cap/(time+1)*Z$2, 0) = 0, $K58/(time_cap),0)),0)</f>
        <v/>
      </c>
      <c r="AA58" s="4395">
        <f>IFERROR(IF((time+time_cap)&lt;AA$2, 0,IF(AND(time+1&gt;=AB$2, $E58&lt;AB$2), IF($I58= "I", $J58/($F58-$E58+1), $J58/(($F58*($F58+1)/2)-(($E58-1)*($E58-1+1)/2))*AA$2), 0)+IF(IF(time+1&gt;=AB$2, $K58/time_cap/(time+1)*AA$2, 0) = 0, $K58/(time_cap),0)),0)</f>
        <v/>
      </c>
      <c r="AB58" s="4395">
        <f>IFERROR(IF((time+time_cap)&lt;AB$2, 0,IF(AND(time+1&gt;=AC$2, $E58&lt;AC$2), IF($I58= "I", $J58/($F58-$E58+1), $J58/(($F58*($F58+1)/2)-(($E58-1)*($E58-1+1)/2))*AB$2), 0)+IF(IF(time+1&gt;=AC$2, $K58/time_cap/(time+1)*AB$2, 0) = 0, $K58/(time_cap),0)),0)</f>
        <v/>
      </c>
      <c r="AC58" s="4395">
        <f>IFERROR(IF((time+time_cap)&lt;AC$2, 0,IF(AND(time+1&gt;=AD$2, $E58&lt;AD$2), IF($I58= "I", $J58/($F58-$E58+1), $J58/(($F58*($F58+1)/2)-(($E58-1)*($E58-1+1)/2))*AC$2), 0)+IF(IF(time+1&gt;=AD$2, $K58/time_cap/(time+1)*AC$2, 0) = 0, $K58/(time_cap),0)),0)</f>
        <v/>
      </c>
      <c r="AD58" s="4395">
        <f>IFERROR(IF((time+time_cap)&lt;AD$2, 0,IF(AND(time+1&gt;=AE$2, $E58&lt;AE$2), IF($I58= "I", $J58/($F58-$E58+1), $J58/(($F58*($F58+1)/2)-(($E58-1)*($E58-1+1)/2))*AD$2), 0)+IF(IF(time+1&gt;=AE$2, $K58/time_cap/(time+1)*AD$2, 0) = 0, $K58/(time_cap),0)),0)</f>
        <v/>
      </c>
      <c r="AE58" s="4395">
        <f>IFERROR(IF((time+time_cap)&lt;AE$2, 0,IF(AND(time+1&gt;=AF$2, $E58&lt;AF$2), IF($I58= "I", $J58/($F58-$E58+1), $J58/(($F58*($F58+1)/2)-(($E58-1)*($E58-1+1)/2))*AE$2), 0)+IF(IF(time+1&gt;=AF$2, $K58/time_cap/(time+1)*AE$2, 0) = 0, $K58/(time_cap),0)),0)</f>
        <v/>
      </c>
      <c r="AF58" s="4395">
        <f>IFERROR(IF((time+time_cap)&lt;AF$2, 0,IF(AND(time+1&gt;=AG$2, $E58&lt;AG$2), IF($I58= "I", $J58/($F58-$E58+1), $J58/(($F58*($F58+1)/2)-(($E58-1)*($E58-1+1)/2))*AF$2), 0)+IF(IF(time+1&gt;=AG$2, $K58/time_cap/(time+1)*AF$2, 0) = 0, $K58/(time_cap),0)),0)</f>
        <v/>
      </c>
      <c r="AG58" s="4395">
        <f>IFERROR(IF((time+time_cap)&lt;AG$2, 0,IF(AND(time+1&gt;=AH$2, $E58&lt;AH$2), IF($I58= "I", $J58/($F58-$E58+1), $J58/(($F58*($F58+1)/2)-(($E58-1)*($E58-1+1)/2))*AG$2), 0)+IF(IF(time+1&gt;=AH$2, $K58/time_cap/(time+1)*AG$2, 0) = 0, $K58/(time_cap),0)),0)</f>
        <v/>
      </c>
      <c r="AH58" s="4395">
        <f>IFERROR(IF((time+time_cap)&lt;AH$2, 0,IF(AND(time+1&gt;=AI$2, $E58&lt;AI$2), IF($I58= "I", $J58/($F58-$E58+1), $J58/(($F58*($F58+1)/2)-(($E58-1)*($E58-1+1)/2))*AH$2), 0)+IF(IF(time+1&gt;=AI$2, $K58/time_cap/(time+1)*AH$2, 0) = 0, $K58/(time_cap),0)),0)</f>
        <v/>
      </c>
      <c r="AI58" s="4395">
        <f>IFERROR(IF((time+time_cap)&lt;AI$2, 0,IF(AND(time+1&gt;=AJ$2, $E58&lt;AJ$2), IF($I58= "I", $J58/($F58-$E58+1), $J58/(($F58*($F58+1)/2)-(($E58-1)*($E58-1+1)/2))*AI$2), 0)+IF(IF(time+1&gt;=AJ$2, $K58/time_cap/(time+1)*AI$2, 0) = 0, $K58/(time_cap),0)),0)</f>
        <v/>
      </c>
      <c r="AJ58" s="4395">
        <f>IFERROR(IF((time+time_cap)&lt;AJ$2, 0,IF(AND(time+1&gt;=AK$2, $E58&lt;AK$2), IF($I58= "I", $J58/($F58-$E58+1), $J58/(($F58*($F58+1)/2)-(($E58-1)*($E58-1+1)/2))*AJ$2), 0)+IF(IF(time+1&gt;=AK$2, $K58/time_cap/(time+1)*AJ$2, 0) = 0, $K58/(time_cap),0)),0)</f>
        <v/>
      </c>
      <c r="AK58" s="4395">
        <f>IFERROR(IF((time+time_cap)&lt;AK$2, 0,IF(AND(time+1&gt;=AL$2, $E58&lt;AL$2), IF($I58= "I", $J58/($F58-$E58+1), $J58/(($F58*($F58+1)/2)-(($E58-1)*($E58-1+1)/2))*AK$2), 0)+IF(IF(time+1&gt;=AL$2, $K58/time_cap/(time+1)*AK$2, 0) = 0, $K58/(time_cap),0)),0)</f>
        <v/>
      </c>
      <c r="AL58" s="4395">
        <f>IFERROR(IF((time+time_cap)&lt;AL$2, 0,IF(AND(time+1&gt;=AM$2, $E58&lt;AM$2), IF($I58= "I", $J58/($F58-$E58+1), $J58/(($F58*($F58+1)/2)-(($E58-1)*($E58-1+1)/2))*AL$2), 0)+IF(IF(time+1&gt;=AM$2, $K58/time_cap/(time+1)*AL$2, 0) = 0, $K58/(time_cap),0)),0)</f>
        <v/>
      </c>
      <c r="AM58" s="4395">
        <f>IFERROR(IF((time+time_cap)&lt;AM$2, 0,IF(AND(time+1&gt;=AN$2, $E58&lt;AN$2), IF($I58= "I", $J58/($F58-$E58+1), $J58/(($F58*($F58+1)/2)-(($E58-1)*($E58-1+1)/2))*AM$2), 0)+IF(IF(time+1&gt;=AN$2, $K58/time_cap/(time+1)*AM$2, 0) = 0, $K58/(time_cap),0)),0)</f>
        <v/>
      </c>
      <c r="AN58" s="4395">
        <f>IFERROR(IF((time+time_cap)&lt;AN$2, 0,IF(AND(time+1&gt;=AO$2, $E58&lt;AO$2), IF($I58= "I", $J58/($F58-$E58+1), $J58/(($F58*($F58+1)/2)-(($E58-1)*($E58-1+1)/2))*AN$2), 0)+IF(IF(time+1&gt;=AO$2, $K58/time_cap/(time+1)*AN$2, 0) = 0, $K58/(time_cap),0)),0)</f>
        <v/>
      </c>
      <c r="AO58" s="4395">
        <f>IFERROR(IF((time+time_cap)&lt;AO$2, 0,IF(AND(time+1&gt;=AP$2, $E58&lt;AP$2), IF($I58= "I", $J58/($F58-$E58+1), $J58/(($F58*($F58+1)/2)-(($E58-1)*($E58-1+1)/2))*AO$2), 0)+IF(IF(time+1&gt;=AP$2, $K58/time_cap/(time+1)*AO$2, 0) = 0, $K58/(time_cap),0)),0)</f>
        <v/>
      </c>
      <c r="AP58" s="4395">
        <f>IFERROR(IF((time+time_cap)&lt;AP$2, 0,IF(AND(time+1&gt;=AQ$2, $E58&lt;AQ$2), IF($I58= "I", $J58/($F58-$E58+1), $J58/(($F58*($F58+1)/2)-(($E58-1)*($E58-1+1)/2))*AP$2), 0)+IF(IF(time+1&gt;=AQ$2, $K58/time_cap/(time+1)*AP$2, 0) = 0, $K58/(time_cap),0)),0)</f>
        <v/>
      </c>
      <c r="AQ58" s="4395">
        <f>IFERROR(IF((time+time_cap)&lt;AQ$2, 0,IF(AND(time+1&gt;=AR$2, $E58&lt;AR$2), IF($I58= "I", $J58/($F58-$E58+1), $J58/(($F58*($F58+1)/2)-(($E58-1)*($E58-1+1)/2))*AQ$2), 0)+IF(IF(time+1&gt;=AR$2, $K58/time_cap/(time+1)*AQ$2, 0) = 0, $K58/(time_cap),0)),0)</f>
        <v/>
      </c>
      <c r="AR58" s="4395">
        <f>IFERROR(IF((time+time_cap)&lt;AR$2, 0,IF(AND(time+1&gt;=AS$2, $E58&lt;AS$2), IF($I58= "I", $J58/($F58-$E58+1), $J58/(($F58*($F58+1)/2)-(($E58-1)*($E58-1+1)/2))*AR$2), 0)+IF(IF(time+1&gt;=AS$2, $K58/time_cap/(time+1)*AR$2, 0) = 0, $K58/(time_cap),0)),0)</f>
        <v/>
      </c>
      <c r="AS58" s="4395">
        <f>IFERROR(IF((time+time_cap)&lt;AS$2, 0,IF(AND(time+1&gt;=AT$2, $E58&lt;AT$2), IF($I58= "I", $J58/($F58-$E58+1), $J58/(($F58*($F58+1)/2)-(($E58-1)*($E58-1+1)/2))*AS$2), 0)+IF(IF(time+1&gt;=AT$2, $K58/time_cap/(time+1)*AS$2, 0) = 0, $K58/(time_cap),0)),0)</f>
        <v/>
      </c>
      <c r="AT58" s="4395">
        <f>IFERROR(IF((time+time_cap)&lt;AT$2, 0,IF(AND(time+1&gt;=AU$2, $E58&lt;AU$2), IF($I58= "I", $J58/($F58-$E58+1), $J58/(($F58*($F58+1)/2)-(($E58-1)*($E58-1+1)/2))*AT$2), 0)+IF(IF(time+1&gt;=AU$2, $K58/time_cap/(time+1)*AT$2, 0) = 0, $K58/(time_cap),0)),0)</f>
        <v/>
      </c>
      <c r="AU58" s="4395">
        <f>IFERROR(IF((time+time_cap)&lt;AU$2, 0,IF(AND(time+1&gt;=AV$2, $E58&lt;AV$2), IF($I58= "I", $J58/($F58-$E58+1), $J58/(($F58*($F58+1)/2)-(($E58-1)*($E58-1+1)/2))*AU$2), 0)+IF(IF(time+1&gt;=AV$2, $K58/time_cap/(time+1)*AU$2, 0) = 0, $K58/(time_cap),0)),0)</f>
        <v/>
      </c>
      <c r="AV58" s="4395">
        <f>IFERROR(IF((time+time_cap)&lt;AV$2, 0,IF(AND(time+1&gt;=AW$2, $E58&lt;AW$2), IF($I58= "I", $J58/($F58-$E58+1), $J58/(($F58*($F58+1)/2)-(($E58-1)*($E58-1+1)/2))*AV$2), 0)+IF(IF(time+1&gt;=AW$2, $K58/time_cap/(time+1)*AV$2, 0) = 0, $K58/(time_cap),0)),0)</f>
        <v/>
      </c>
      <c r="AW58" s="4395">
        <f>IFERROR(IF((time+time_cap)&lt;AW$2, 0,IF(AND(time+1&gt;=AX$2, $E58&lt;AX$2), IF($I58= "I", $J58/($F58-$E58+1), $J58/(($F58*($F58+1)/2)-(($E58-1)*($E58-1+1)/2))*AW$2), 0)+IF(IF(time+1&gt;=AX$2, $K58/time_cap/(time+1)*AW$2, 0) = 0, $K58/(time_cap),0)),0)</f>
        <v/>
      </c>
      <c r="AX58" s="4395">
        <f>IFERROR(IF((time+time_cap)&lt;AX$2, 0,IF(AND(time+1&gt;=AY$2, $E58&lt;AY$2), IF($I58= "I", $J58/($F58-$E58+1), $J58/(($F58*($F58+1)/2)-(($E58-1)*($E58-1+1)/2))*AX$2), 0)+IF(IF(time+1&gt;=AY$2, $K58/time_cap/(time+1)*AX$2, 0) = 0, $K58/(time_cap),0)),0)</f>
        <v/>
      </c>
      <c r="AY58" s="4395">
        <f>IFERROR(IF((time+time_cap)&lt;AY$2, 0,IF(AND(time+1&gt;=AZ$2, $E58&lt;AZ$2), IF($I58= "I", $J58/($F58-$E58+1), $J58/(($F58*($F58+1)/2)-(($E58-1)*($E58-1+1)/2))*AY$2), 0)+IF(IF(time+1&gt;=AZ$2, $K58/time_cap/(time+1)*AY$2, 0) = 0, $K58/(time_cap),0)),0)</f>
        <v/>
      </c>
      <c r="AZ58" s="4395">
        <f>IFERROR(IF((time+time_cap)&lt;AZ$2, 0,IF(AND(time+1&gt;=BA$2, $E58&lt;BA$2), IF($I58= "I", $J58/($F58-$E58+1), $J58/(($F58*($F58+1)/2)-(($E58-1)*($E58-1+1)/2))*AZ$2), 0)+IF(IF(time+1&gt;=BA$2, $K58/time_cap/(time+1)*AZ$2, 0) = 0, $K58/(time_cap),0)),0)</f>
        <v/>
      </c>
      <c r="BA58" s="4395">
        <f>IFERROR(IF((time+time_cap)&lt;BA$2, 0,IF(AND(time+1&gt;=BB$2, $E58&lt;BB$2), IF($I58= "I", $J58/($F58-$E58+1), $J58/(($F58*($F58+1)/2)-(($E58-1)*($E58-1+1)/2))*BA$2), 0)+IF(IF(time+1&gt;=BB$2, $K58/time_cap/(time+1)*BA$2, 0) = 0, $K58/(time_cap),0)),0)</f>
        <v/>
      </c>
      <c r="BB58" s="4395">
        <f>IFERROR(IF((time+time_cap)&lt;BB$2, 0,IF(AND(time+1&gt;=BC$2, $E58&lt;BC$2), IF($I58= "I", $J58/($F58-$E58+1), $J58/(($F58*($F58+1)/2)-(($E58-1)*($E58-1+1)/2))*BB$2), 0)+IF(IF(time+1&gt;=BC$2, $K58/time_cap/(time+1)*BB$2, 0) = 0, $K58/(time_cap),0)),0)</f>
        <v/>
      </c>
      <c r="BC58" s="4395">
        <f>IFERROR(IF((time+time_cap)&lt;BC$2, 0,IF(AND(time+1&gt;=BD$2, $E58&lt;BD$2), IF($I58= "I", $J58/($F58-$E58+1), $J58/(($F58*($F58+1)/2)-(($E58-1)*($E58-1+1)/2))*BC$2), 0)+IF(IF(time+1&gt;=BD$2, $K58/time_cap/(time+1)*BC$2, 0) = 0, $K58/(time_cap),0)),0)</f>
        <v/>
      </c>
      <c r="BD58" s="4395">
        <f>IFERROR(IF((time+time_cap)&lt;BD$2, 0,IF(AND(time+1&gt;=BE$2, $E58&lt;BE$2), IF($I58= "I", $J58/($F58-$E58+1), $J58/(($F58*($F58+1)/2)-(($E58-1)*($E58-1+1)/2))*BD$2), 0)+IF(IF(time+1&gt;=BE$2, $K58/time_cap/(time+1)*BD$2, 0) = 0, $K58/(time_cap),0)),0)</f>
        <v/>
      </c>
      <c r="BE58" s="4395">
        <f>IFERROR(IF((time+time_cap)&lt;BE$2, 0,IF(AND(time+1&gt;=BF$2, $E58&lt;BF$2), IF($I58= "I", $J58/($F58-$E58+1), $J58/(($F58*($F58+1)/2)-(($E58-1)*($E58-1+1)/2))*BE$2), 0)+IF(IF(time+1&gt;=BF$2, $K58/time_cap/(time+1)*BE$2, 0) = 0, $K58/(time_cap),0)),0)</f>
        <v/>
      </c>
      <c r="BF58" s="4395">
        <f>IFERROR(IF((time+time_cap)&lt;BF$2, 0,IF(AND(time+1&gt;=BG$2, $E58&lt;BG$2), IF($I58= "I", $J58/($F58-$E58+1), $J58/(($F58*($F58+1)/2)-(($E58-1)*($E58-1+1)/2))*BF$2), 0)+IF(IF(time+1&gt;=BG$2, $K58/time_cap/(time+1)*BF$2, 0) = 0, $K58/(time_cap),0)),0)</f>
        <v/>
      </c>
      <c r="BG58" s="4395">
        <f>IFERROR(IF((time+time_cap)&lt;BG$2, 0,IF(AND(time+1&gt;=BH$2, $E58&lt;BH$2), IF($I58= "I", $J58/($F58-$E58+1), $J58/(($F58*($F58+1)/2)-(($E58-1)*($E58-1+1)/2))*BG$2), 0)+IF(IF(time+1&gt;=BH$2, $K58/time_cap/(time+1)*BG$2, 0) = 0, $K58/(time_cap),0)),0)</f>
        <v/>
      </c>
      <c r="BH58" s="4395">
        <f>IFERROR(IF((time+time_cap)&lt;BH$2, 0,IF(AND(time+1&gt;=BI$2, $E58&lt;BI$2), IF($I58= "I", $J58/($F58-$E58+1), $J58/(($F58*($F58+1)/2)-(($E58-1)*($E58-1+1)/2))*BH$2), 0)+IF(IF(time+1&gt;=BI$2, $K58/time_cap/(time+1)*BH$2, 0) = 0, $K58/(time_cap),0)),0)</f>
        <v/>
      </c>
      <c r="BI58" s="4395">
        <f>IFERROR(IF((time+time_cap)&lt;BI$2, 0,IF(AND(time+1&gt;=BJ$2, $E58&lt;BJ$2), IF($I58= "I", $J58/($F58-$E58+1), $J58/(($F58*($F58+1)/2)-(($E58-1)*($E58-1+1)/2))*BI$2), 0)+IF(IF(time+1&gt;=BJ$2, $K58/time_cap/(time+1)*BI$2, 0) = 0, $K58/(time_cap),0)),0)</f>
        <v/>
      </c>
      <c r="BJ58" s="4395">
        <f>IFERROR(IF((time+time_cap)&lt;BJ$2, 0,IF(AND(time+1&gt;=BK$2, $E58&lt;BK$2), IF($I58= "I", $J58/($F58-$E58+1), $J58/(($F58*($F58+1)/2)-(($E58-1)*($E58-1+1)/2))*BJ$2), 0)+IF(IF(time+1&gt;=BK$2, $K58/time_cap/(time+1)*BJ$2, 0) = 0, $K58/(time_cap),0)),0)</f>
        <v/>
      </c>
      <c r="BK58" s="4395" t="n"/>
      <c r="BL58" s="4395" t="n"/>
      <c r="BM58" s="4395" t="n"/>
      <c r="BN58" s="4395" t="n"/>
      <c r="BO58" s="4395" t="n"/>
      <c r="BP58" s="4395" t="n"/>
      <c r="BQ58" s="4395" t="n"/>
      <c r="BR58" s="4395" t="n"/>
      <c r="BS58" s="4395" t="n"/>
      <c r="BT58" s="4395" t="n"/>
      <c r="BU58" s="4395" t="n"/>
      <c r="BV58" s="4395" t="n"/>
      <c r="BW58" s="4395" t="n"/>
      <c r="BX58" s="4395" t="n"/>
      <c r="BY58" s="4395" t="n"/>
      <c r="BZ58" s="4395" t="n"/>
      <c r="CA58" s="4395" t="n"/>
      <c r="CB58" s="4395" t="n"/>
      <c r="CC58" s="4395" t="n"/>
      <c r="CD58" s="4395" t="n"/>
      <c r="CE58" s="4395" t="n"/>
      <c r="CF58" s="4395" t="n"/>
      <c r="CG58" s="4395" t="n"/>
      <c r="CH58" s="4395" t="n"/>
      <c r="CI58" s="4395" t="n"/>
      <c r="CJ58" s="4395" t="n"/>
      <c r="CK58" s="4395" t="n"/>
      <c r="CL58" s="4395" t="n"/>
      <c r="CM58" s="4395" t="n"/>
      <c r="CN58" s="4395" t="n"/>
      <c r="CO58" s="4395" t="n"/>
      <c r="CP58" s="4395" t="n"/>
      <c r="CQ58" s="4395" t="n"/>
      <c r="CR58" s="4395" t="n"/>
      <c r="CS58" s="4395" t="n"/>
      <c r="CT58" s="4395" t="n"/>
      <c r="CU58" s="4395" t="n"/>
      <c r="CV58" s="4395" t="n"/>
      <c r="CW58" s="4395" t="n"/>
      <c r="CX58" s="4395" t="n"/>
      <c r="CY58" s="4395" t="n"/>
      <c r="CZ58" s="4395" t="n"/>
      <c r="DA58" s="4395" t="n"/>
      <c r="DB58" s="4395" t="n"/>
      <c r="DC58" s="4395" t="n"/>
      <c r="DD58" s="4395" t="n"/>
      <c r="DE58" s="4395" t="n"/>
      <c r="DF58" s="4395" t="n"/>
      <c r="DG58" s="4395" t="n"/>
      <c r="DH58" s="4395" t="n"/>
    </row>
    <row r="59" ht="16" customHeight="1">
      <c r="A59" t="inlineStr">
        <is>
          <t>Perennials</t>
        </is>
      </c>
      <c r="B59">
        <f>'3.Cropland'!C70</f>
        <v/>
      </c>
      <c r="C59">
        <f>'3.Cropland'!E70</f>
        <v/>
      </c>
      <c r="D59">
        <f>'3.Cropland'!Z70</f>
        <v/>
      </c>
      <c r="E59">
        <f>IF('3.Cropland'!BL70&lt;&gt;0,'3.Cropland'!BL70, '3.Cropland'!BK70)</f>
        <v/>
      </c>
      <c r="F59">
        <f>time</f>
        <v/>
      </c>
      <c r="G59" s="4395">
        <f>'3.Cropland'!S70</f>
        <v/>
      </c>
      <c r="H59" s="4395">
        <f>'3.Cropland'!U70</f>
        <v/>
      </c>
      <c r="I59" s="4395">
        <f>IF(OR(H59="I", G59="I"), "I", IF(OR(H59="E", G59="E"), "E", "D"))</f>
        <v/>
      </c>
      <c r="J59" s="4395">
        <f>((D59/(time_cap+((F59-E59+1)*VLOOKUP(I59,list!$I$48:$K$50,3, FALSE))))*(F59-E59+1)*VLOOKUP(I59,list!$I$48:$K$50,3, FALSE))</f>
        <v/>
      </c>
      <c r="K59" s="4395">
        <f>((D59/(time_cap+((F59-E59+1)*VLOOKUP(I59,list!$I$48:$K$50,3, FALSE))))*time_cap)</f>
        <v/>
      </c>
      <c r="M59" s="4395">
        <f>IFERROR(IF((time+time_cap)&lt;M$2, 0,IF(AND(time+1&gt;=N$2, $E59&lt;N$2), IF($I59= "I", $J59/($F59-$E59+1), $J59/(($F59*($F59+1)/2)-(($E59-1)*($E59-1+1)/2))*M$2), 0)+IF(IF(time+1&gt;=N$2, $K59/time_cap/(time+1)*M$2, 0) = 0, $K59/(time_cap),0)),0)</f>
        <v/>
      </c>
      <c r="N59" s="4395">
        <f>IFERROR(IF((time+time_cap)&lt;N$2, 0,IF(AND(time+1&gt;=O$2, $E59&lt;O$2), IF($I59= "I", $J59/($F59-$E59+1), $J59/(($F59*($F59+1)/2)-(($E59-1)*($E59-1+1)/2))*N$2), 0)+IF(IF(time+1&gt;=O$2, $K59/time_cap/(time+1)*N$2, 0) = 0, $K59/(time_cap),0)),0)</f>
        <v/>
      </c>
      <c r="O59" s="4395">
        <f>IFERROR(IF((time+time_cap)&lt;O$2, 0,IF(AND(time+1&gt;=P$2, $E59&lt;P$2), IF($I59= "I", $J59/($F59-$E59+1), $J59/(($F59*($F59+1)/2)-(($E59-1)*($E59-1+1)/2))*O$2), 0)+IF(IF(time+1&gt;=P$2, $K59/time_cap/(time+1)*O$2, 0) = 0, $K59/(time_cap),0)),0)</f>
        <v/>
      </c>
      <c r="P59" s="4395">
        <f>IFERROR(IF((time+time_cap)&lt;P$2, 0,IF(AND(time+1&gt;=Q$2, $E59&lt;Q$2), IF($I59= "I", $J59/($F59-$E59+1), $J59/(($F59*($F59+1)/2)-(($E59-1)*($E59-1+1)/2))*P$2), 0)+IF(IF(time+1&gt;=Q$2, $K59/time_cap/(time+1)*P$2, 0) = 0, $K59/(time_cap),0)),0)</f>
        <v/>
      </c>
      <c r="Q59" s="4395">
        <f>IFERROR(IF((time+time_cap)&lt;Q$2, 0,IF(AND(time+1&gt;=R$2, $E59&lt;R$2), IF($I59= "I", $J59/($F59-$E59+1), $J59/(($F59*($F59+1)/2)-(($E59-1)*($E59-1+1)/2))*Q$2), 0)+IF(IF(time+1&gt;=R$2, $K59/time_cap/(time+1)*Q$2, 0) = 0, $K59/(time_cap),0)),0)</f>
        <v/>
      </c>
      <c r="R59" s="4395">
        <f>IFERROR(IF((time+time_cap)&lt;R$2, 0,IF(AND(time+1&gt;=S$2, $E59&lt;S$2), IF($I59= "I", $J59/($F59-$E59+1), $J59/(($F59*($F59+1)/2)-(($E59-1)*($E59-1+1)/2))*R$2), 0)+IF(IF(time+1&gt;=S$2, $K59/time_cap/(time+1)*R$2, 0) = 0, $K59/(time_cap),0)),0)</f>
        <v/>
      </c>
      <c r="S59" s="4395">
        <f>IFERROR(IF((time+time_cap)&lt;S$2, 0,IF(AND(time+1&gt;=T$2, $E59&lt;T$2), IF($I59= "I", $J59/($F59-$E59+1), $J59/(($F59*($F59+1)/2)-(($E59-1)*($E59-1+1)/2))*S$2), 0)+IF(IF(time+1&gt;=T$2, $K59/time_cap/(time+1)*S$2, 0) = 0, $K59/(time_cap),0)),0)</f>
        <v/>
      </c>
      <c r="T59" s="4395">
        <f>IFERROR(IF((time+time_cap)&lt;T$2, 0,IF(AND(time+1&gt;=U$2, $E59&lt;U$2), IF($I59= "I", $J59/($F59-$E59+1), $J59/(($F59*($F59+1)/2)-(($E59-1)*($E59-1+1)/2))*T$2), 0)+IF(IF(time+1&gt;=U$2, $K59/time_cap/(time+1)*T$2, 0) = 0, $K59/(time_cap),0)),0)</f>
        <v/>
      </c>
      <c r="U59" s="4395">
        <f>IFERROR(IF((time+time_cap)&lt;U$2, 0,IF(AND(time+1&gt;=V$2, $E59&lt;V$2), IF($I59= "I", $J59/($F59-$E59+1), $J59/(($F59*($F59+1)/2)-(($E59-1)*($E59-1+1)/2))*U$2), 0)+IF(IF(time+1&gt;=V$2, $K59/time_cap/(time+1)*U$2, 0) = 0, $K59/(time_cap),0)),0)</f>
        <v/>
      </c>
      <c r="V59" s="4395">
        <f>IFERROR(IF((time+time_cap)&lt;V$2, 0,IF(AND(time+1&gt;=W$2, $E59&lt;W$2), IF($I59= "I", $J59/($F59-$E59+1), $J59/(($F59*($F59+1)/2)-(($E59-1)*($E59-1+1)/2))*V$2), 0)+IF(IF(time+1&gt;=W$2, $K59/time_cap/(time+1)*V$2, 0) = 0, $K59/(time_cap),0)),0)</f>
        <v/>
      </c>
      <c r="W59" s="4395">
        <f>IFERROR(IF((time+time_cap)&lt;W$2, 0,IF(AND(time+1&gt;=X$2, $E59&lt;X$2), IF($I59= "I", $J59/($F59-$E59+1), $J59/(($F59*($F59+1)/2)-(($E59-1)*($E59-1+1)/2))*W$2), 0)+IF(IF(time+1&gt;=X$2, $K59/time_cap/(time+1)*W$2, 0) = 0, $K59/(time_cap),0)),0)</f>
        <v/>
      </c>
      <c r="X59" s="4395">
        <f>IFERROR(IF((time+time_cap)&lt;X$2, 0,IF(AND(time+1&gt;=Y$2, $E59&lt;Y$2), IF($I59= "I", $J59/($F59-$E59+1), $J59/(($F59*($F59+1)/2)-(($E59-1)*($E59-1+1)/2))*X$2), 0)+IF(IF(time+1&gt;=Y$2, $K59/time_cap/(time+1)*X$2, 0) = 0, $K59/(time_cap),0)),0)</f>
        <v/>
      </c>
      <c r="Y59" s="4395">
        <f>IFERROR(IF((time+time_cap)&lt;Y$2, 0,IF(AND(time+1&gt;=Z$2, $E59&lt;Z$2), IF($I59= "I", $J59/($F59-$E59+1), $J59/(($F59*($F59+1)/2)-(($E59-1)*($E59-1+1)/2))*Y$2), 0)+IF(IF(time+1&gt;=Z$2, $K59/time_cap/(time+1)*Y$2, 0) = 0, $K59/(time_cap),0)),0)</f>
        <v/>
      </c>
      <c r="Z59" s="4395">
        <f>IFERROR(IF((time+time_cap)&lt;Z$2, 0,IF(AND(time+1&gt;=AA$2, $E59&lt;AA$2), IF($I59= "I", $J59/($F59-$E59+1), $J59/(($F59*($F59+1)/2)-(($E59-1)*($E59-1+1)/2))*Z$2), 0)+IF(IF(time+1&gt;=AA$2, $K59/time_cap/(time+1)*Z$2, 0) = 0, $K59/(time_cap),0)),0)</f>
        <v/>
      </c>
      <c r="AA59" s="4395">
        <f>IFERROR(IF((time+time_cap)&lt;AA$2, 0,IF(AND(time+1&gt;=AB$2, $E59&lt;AB$2), IF($I59= "I", $J59/($F59-$E59+1), $J59/(($F59*($F59+1)/2)-(($E59-1)*($E59-1+1)/2))*AA$2), 0)+IF(IF(time+1&gt;=AB$2, $K59/time_cap/(time+1)*AA$2, 0) = 0, $K59/(time_cap),0)),0)</f>
        <v/>
      </c>
      <c r="AB59" s="4395">
        <f>IFERROR(IF((time+time_cap)&lt;AB$2, 0,IF(AND(time+1&gt;=AC$2, $E59&lt;AC$2), IF($I59= "I", $J59/($F59-$E59+1), $J59/(($F59*($F59+1)/2)-(($E59-1)*($E59-1+1)/2))*AB$2), 0)+IF(IF(time+1&gt;=AC$2, $K59/time_cap/(time+1)*AB$2, 0) = 0, $K59/(time_cap),0)),0)</f>
        <v/>
      </c>
      <c r="AC59" s="4395">
        <f>IFERROR(IF((time+time_cap)&lt;AC$2, 0,IF(AND(time+1&gt;=AD$2, $E59&lt;AD$2), IF($I59= "I", $J59/($F59-$E59+1), $J59/(($F59*($F59+1)/2)-(($E59-1)*($E59-1+1)/2))*AC$2), 0)+IF(IF(time+1&gt;=AD$2, $K59/time_cap/(time+1)*AC$2, 0) = 0, $K59/(time_cap),0)),0)</f>
        <v/>
      </c>
      <c r="AD59" s="4395">
        <f>IFERROR(IF((time+time_cap)&lt;AD$2, 0,IF(AND(time+1&gt;=AE$2, $E59&lt;AE$2), IF($I59= "I", $J59/($F59-$E59+1), $J59/(($F59*($F59+1)/2)-(($E59-1)*($E59-1+1)/2))*AD$2), 0)+IF(IF(time+1&gt;=AE$2, $K59/time_cap/(time+1)*AD$2, 0) = 0, $K59/(time_cap),0)),0)</f>
        <v/>
      </c>
      <c r="AE59" s="4395">
        <f>IFERROR(IF((time+time_cap)&lt;AE$2, 0,IF(AND(time+1&gt;=AF$2, $E59&lt;AF$2), IF($I59= "I", $J59/($F59-$E59+1), $J59/(($F59*($F59+1)/2)-(($E59-1)*($E59-1+1)/2))*AE$2), 0)+IF(IF(time+1&gt;=AF$2, $K59/time_cap/(time+1)*AE$2, 0) = 0, $K59/(time_cap),0)),0)</f>
        <v/>
      </c>
      <c r="AF59" s="4395">
        <f>IFERROR(IF((time+time_cap)&lt;AF$2, 0,IF(AND(time+1&gt;=AG$2, $E59&lt;AG$2), IF($I59= "I", $J59/($F59-$E59+1), $J59/(($F59*($F59+1)/2)-(($E59-1)*($E59-1+1)/2))*AF$2), 0)+IF(IF(time+1&gt;=AG$2, $K59/time_cap/(time+1)*AF$2, 0) = 0, $K59/(time_cap),0)),0)</f>
        <v/>
      </c>
      <c r="AG59" s="4395">
        <f>IFERROR(IF((time+time_cap)&lt;AG$2, 0,IF(AND(time+1&gt;=AH$2, $E59&lt;AH$2), IF($I59= "I", $J59/($F59-$E59+1), $J59/(($F59*($F59+1)/2)-(($E59-1)*($E59-1+1)/2))*AG$2), 0)+IF(IF(time+1&gt;=AH$2, $K59/time_cap/(time+1)*AG$2, 0) = 0, $K59/(time_cap),0)),0)</f>
        <v/>
      </c>
      <c r="AH59" s="4395">
        <f>IFERROR(IF((time+time_cap)&lt;AH$2, 0,IF(AND(time+1&gt;=AI$2, $E59&lt;AI$2), IF($I59= "I", $J59/($F59-$E59+1), $J59/(($F59*($F59+1)/2)-(($E59-1)*($E59-1+1)/2))*AH$2), 0)+IF(IF(time+1&gt;=AI$2, $K59/time_cap/(time+1)*AH$2, 0) = 0, $K59/(time_cap),0)),0)</f>
        <v/>
      </c>
      <c r="AI59" s="4395">
        <f>IFERROR(IF((time+time_cap)&lt;AI$2, 0,IF(AND(time+1&gt;=AJ$2, $E59&lt;AJ$2), IF($I59= "I", $J59/($F59-$E59+1), $J59/(($F59*($F59+1)/2)-(($E59-1)*($E59-1+1)/2))*AI$2), 0)+IF(IF(time+1&gt;=AJ$2, $K59/time_cap/(time+1)*AI$2, 0) = 0, $K59/(time_cap),0)),0)</f>
        <v/>
      </c>
      <c r="AJ59" s="4395">
        <f>IFERROR(IF((time+time_cap)&lt;AJ$2, 0,IF(AND(time+1&gt;=AK$2, $E59&lt;AK$2), IF($I59= "I", $J59/($F59-$E59+1), $J59/(($F59*($F59+1)/2)-(($E59-1)*($E59-1+1)/2))*AJ$2), 0)+IF(IF(time+1&gt;=AK$2, $K59/time_cap/(time+1)*AJ$2, 0) = 0, $K59/(time_cap),0)),0)</f>
        <v/>
      </c>
      <c r="AK59" s="4395">
        <f>IFERROR(IF((time+time_cap)&lt;AK$2, 0,IF(AND(time+1&gt;=AL$2, $E59&lt;AL$2), IF($I59= "I", $J59/($F59-$E59+1), $J59/(($F59*($F59+1)/2)-(($E59-1)*($E59-1+1)/2))*AK$2), 0)+IF(IF(time+1&gt;=AL$2, $K59/time_cap/(time+1)*AK$2, 0) = 0, $K59/(time_cap),0)),0)</f>
        <v/>
      </c>
      <c r="AL59" s="4395">
        <f>IFERROR(IF((time+time_cap)&lt;AL$2, 0,IF(AND(time+1&gt;=AM$2, $E59&lt;AM$2), IF($I59= "I", $J59/($F59-$E59+1), $J59/(($F59*($F59+1)/2)-(($E59-1)*($E59-1+1)/2))*AL$2), 0)+IF(IF(time+1&gt;=AM$2, $K59/time_cap/(time+1)*AL$2, 0) = 0, $K59/(time_cap),0)),0)</f>
        <v/>
      </c>
      <c r="AM59" s="4395">
        <f>IFERROR(IF((time+time_cap)&lt;AM$2, 0,IF(AND(time+1&gt;=AN$2, $E59&lt;AN$2), IF($I59= "I", $J59/($F59-$E59+1), $J59/(($F59*($F59+1)/2)-(($E59-1)*($E59-1+1)/2))*AM$2), 0)+IF(IF(time+1&gt;=AN$2, $K59/time_cap/(time+1)*AM$2, 0) = 0, $K59/(time_cap),0)),0)</f>
        <v/>
      </c>
      <c r="AN59" s="4395">
        <f>IFERROR(IF((time+time_cap)&lt;AN$2, 0,IF(AND(time+1&gt;=AO$2, $E59&lt;AO$2), IF($I59= "I", $J59/($F59-$E59+1), $J59/(($F59*($F59+1)/2)-(($E59-1)*($E59-1+1)/2))*AN$2), 0)+IF(IF(time+1&gt;=AO$2, $K59/time_cap/(time+1)*AN$2, 0) = 0, $K59/(time_cap),0)),0)</f>
        <v/>
      </c>
      <c r="AO59" s="4395">
        <f>IFERROR(IF((time+time_cap)&lt;AO$2, 0,IF(AND(time+1&gt;=AP$2, $E59&lt;AP$2), IF($I59= "I", $J59/($F59-$E59+1), $J59/(($F59*($F59+1)/2)-(($E59-1)*($E59-1+1)/2))*AO$2), 0)+IF(IF(time+1&gt;=AP$2, $K59/time_cap/(time+1)*AO$2, 0) = 0, $K59/(time_cap),0)),0)</f>
        <v/>
      </c>
      <c r="AP59" s="4395">
        <f>IFERROR(IF((time+time_cap)&lt;AP$2, 0,IF(AND(time+1&gt;=AQ$2, $E59&lt;AQ$2), IF($I59= "I", $J59/($F59-$E59+1), $J59/(($F59*($F59+1)/2)-(($E59-1)*($E59-1+1)/2))*AP$2), 0)+IF(IF(time+1&gt;=AQ$2, $K59/time_cap/(time+1)*AP$2, 0) = 0, $K59/(time_cap),0)),0)</f>
        <v/>
      </c>
      <c r="AQ59" s="4395">
        <f>IFERROR(IF((time+time_cap)&lt;AQ$2, 0,IF(AND(time+1&gt;=AR$2, $E59&lt;AR$2), IF($I59= "I", $J59/($F59-$E59+1), $J59/(($F59*($F59+1)/2)-(($E59-1)*($E59-1+1)/2))*AQ$2), 0)+IF(IF(time+1&gt;=AR$2, $K59/time_cap/(time+1)*AQ$2, 0) = 0, $K59/(time_cap),0)),0)</f>
        <v/>
      </c>
      <c r="AR59" s="4395">
        <f>IFERROR(IF((time+time_cap)&lt;AR$2, 0,IF(AND(time+1&gt;=AS$2, $E59&lt;AS$2), IF($I59= "I", $J59/($F59-$E59+1), $J59/(($F59*($F59+1)/2)-(($E59-1)*($E59-1+1)/2))*AR$2), 0)+IF(IF(time+1&gt;=AS$2, $K59/time_cap/(time+1)*AR$2, 0) = 0, $K59/(time_cap),0)),0)</f>
        <v/>
      </c>
      <c r="AS59" s="4395">
        <f>IFERROR(IF((time+time_cap)&lt;AS$2, 0,IF(AND(time+1&gt;=AT$2, $E59&lt;AT$2), IF($I59= "I", $J59/($F59-$E59+1), $J59/(($F59*($F59+1)/2)-(($E59-1)*($E59-1+1)/2))*AS$2), 0)+IF(IF(time+1&gt;=AT$2, $K59/time_cap/(time+1)*AS$2, 0) = 0, $K59/(time_cap),0)),0)</f>
        <v/>
      </c>
      <c r="AT59" s="4395">
        <f>IFERROR(IF((time+time_cap)&lt;AT$2, 0,IF(AND(time+1&gt;=AU$2, $E59&lt;AU$2), IF($I59= "I", $J59/($F59-$E59+1), $J59/(($F59*($F59+1)/2)-(($E59-1)*($E59-1+1)/2))*AT$2), 0)+IF(IF(time+1&gt;=AU$2, $K59/time_cap/(time+1)*AT$2, 0) = 0, $K59/(time_cap),0)),0)</f>
        <v/>
      </c>
      <c r="AU59" s="4395">
        <f>IFERROR(IF((time+time_cap)&lt;AU$2, 0,IF(AND(time+1&gt;=AV$2, $E59&lt;AV$2), IF($I59= "I", $J59/($F59-$E59+1), $J59/(($F59*($F59+1)/2)-(($E59-1)*($E59-1+1)/2))*AU$2), 0)+IF(IF(time+1&gt;=AV$2, $K59/time_cap/(time+1)*AU$2, 0) = 0, $K59/(time_cap),0)),0)</f>
        <v/>
      </c>
      <c r="AV59" s="4395">
        <f>IFERROR(IF((time+time_cap)&lt;AV$2, 0,IF(AND(time+1&gt;=AW$2, $E59&lt;AW$2), IF($I59= "I", $J59/($F59-$E59+1), $J59/(($F59*($F59+1)/2)-(($E59-1)*($E59-1+1)/2))*AV$2), 0)+IF(IF(time+1&gt;=AW$2, $K59/time_cap/(time+1)*AV$2, 0) = 0, $K59/(time_cap),0)),0)</f>
        <v/>
      </c>
      <c r="AW59" s="4395">
        <f>IFERROR(IF((time+time_cap)&lt;AW$2, 0,IF(AND(time+1&gt;=AX$2, $E59&lt;AX$2), IF($I59= "I", $J59/($F59-$E59+1), $J59/(($F59*($F59+1)/2)-(($E59-1)*($E59-1+1)/2))*AW$2), 0)+IF(IF(time+1&gt;=AX$2, $K59/time_cap/(time+1)*AW$2, 0) = 0, $K59/(time_cap),0)),0)</f>
        <v/>
      </c>
      <c r="AX59" s="4395">
        <f>IFERROR(IF((time+time_cap)&lt;AX$2, 0,IF(AND(time+1&gt;=AY$2, $E59&lt;AY$2), IF($I59= "I", $J59/($F59-$E59+1), $J59/(($F59*($F59+1)/2)-(($E59-1)*($E59-1+1)/2))*AX$2), 0)+IF(IF(time+1&gt;=AY$2, $K59/time_cap/(time+1)*AX$2, 0) = 0, $K59/(time_cap),0)),0)</f>
        <v/>
      </c>
      <c r="AY59" s="4395">
        <f>IFERROR(IF((time+time_cap)&lt;AY$2, 0,IF(AND(time+1&gt;=AZ$2, $E59&lt;AZ$2), IF($I59= "I", $J59/($F59-$E59+1), $J59/(($F59*($F59+1)/2)-(($E59-1)*($E59-1+1)/2))*AY$2), 0)+IF(IF(time+1&gt;=AZ$2, $K59/time_cap/(time+1)*AY$2, 0) = 0, $K59/(time_cap),0)),0)</f>
        <v/>
      </c>
      <c r="AZ59" s="4395">
        <f>IFERROR(IF((time+time_cap)&lt;AZ$2, 0,IF(AND(time+1&gt;=BA$2, $E59&lt;BA$2), IF($I59= "I", $J59/($F59-$E59+1), $J59/(($F59*($F59+1)/2)-(($E59-1)*($E59-1+1)/2))*AZ$2), 0)+IF(IF(time+1&gt;=BA$2, $K59/time_cap/(time+1)*AZ$2, 0) = 0, $K59/(time_cap),0)),0)</f>
        <v/>
      </c>
      <c r="BA59" s="4395">
        <f>IFERROR(IF((time+time_cap)&lt;BA$2, 0,IF(AND(time+1&gt;=BB$2, $E59&lt;BB$2), IF($I59= "I", $J59/($F59-$E59+1), $J59/(($F59*($F59+1)/2)-(($E59-1)*($E59-1+1)/2))*BA$2), 0)+IF(IF(time+1&gt;=BB$2, $K59/time_cap/(time+1)*BA$2, 0) = 0, $K59/(time_cap),0)),0)</f>
        <v/>
      </c>
      <c r="BB59" s="4395">
        <f>IFERROR(IF((time+time_cap)&lt;BB$2, 0,IF(AND(time+1&gt;=BC$2, $E59&lt;BC$2), IF($I59= "I", $J59/($F59-$E59+1), $J59/(($F59*($F59+1)/2)-(($E59-1)*($E59-1+1)/2))*BB$2), 0)+IF(IF(time+1&gt;=BC$2, $K59/time_cap/(time+1)*BB$2, 0) = 0, $K59/(time_cap),0)),0)</f>
        <v/>
      </c>
      <c r="BC59" s="4395">
        <f>IFERROR(IF((time+time_cap)&lt;BC$2, 0,IF(AND(time+1&gt;=BD$2, $E59&lt;BD$2), IF($I59= "I", $J59/($F59-$E59+1), $J59/(($F59*($F59+1)/2)-(($E59-1)*($E59-1+1)/2))*BC$2), 0)+IF(IF(time+1&gt;=BD$2, $K59/time_cap/(time+1)*BC$2, 0) = 0, $K59/(time_cap),0)),0)</f>
        <v/>
      </c>
      <c r="BD59" s="4395">
        <f>IFERROR(IF((time+time_cap)&lt;BD$2, 0,IF(AND(time+1&gt;=BE$2, $E59&lt;BE$2), IF($I59= "I", $J59/($F59-$E59+1), $J59/(($F59*($F59+1)/2)-(($E59-1)*($E59-1+1)/2))*BD$2), 0)+IF(IF(time+1&gt;=BE$2, $K59/time_cap/(time+1)*BD$2, 0) = 0, $K59/(time_cap),0)),0)</f>
        <v/>
      </c>
      <c r="BE59" s="4395">
        <f>IFERROR(IF((time+time_cap)&lt;BE$2, 0,IF(AND(time+1&gt;=BF$2, $E59&lt;BF$2), IF($I59= "I", $J59/($F59-$E59+1), $J59/(($F59*($F59+1)/2)-(($E59-1)*($E59-1+1)/2))*BE$2), 0)+IF(IF(time+1&gt;=BF$2, $K59/time_cap/(time+1)*BE$2, 0) = 0, $K59/(time_cap),0)),0)</f>
        <v/>
      </c>
      <c r="BF59" s="4395">
        <f>IFERROR(IF((time+time_cap)&lt;BF$2, 0,IF(AND(time+1&gt;=BG$2, $E59&lt;BG$2), IF($I59= "I", $J59/($F59-$E59+1), $J59/(($F59*($F59+1)/2)-(($E59-1)*($E59-1+1)/2))*BF$2), 0)+IF(IF(time+1&gt;=BG$2, $K59/time_cap/(time+1)*BF$2, 0) = 0, $K59/(time_cap),0)),0)</f>
        <v/>
      </c>
      <c r="BG59" s="4395">
        <f>IFERROR(IF((time+time_cap)&lt;BG$2, 0,IF(AND(time+1&gt;=BH$2, $E59&lt;BH$2), IF($I59= "I", $J59/($F59-$E59+1), $J59/(($F59*($F59+1)/2)-(($E59-1)*($E59-1+1)/2))*BG$2), 0)+IF(IF(time+1&gt;=BH$2, $K59/time_cap/(time+1)*BG$2, 0) = 0, $K59/(time_cap),0)),0)</f>
        <v/>
      </c>
      <c r="BH59" s="4395">
        <f>IFERROR(IF((time+time_cap)&lt;BH$2, 0,IF(AND(time+1&gt;=BI$2, $E59&lt;BI$2), IF($I59= "I", $J59/($F59-$E59+1), $J59/(($F59*($F59+1)/2)-(($E59-1)*($E59-1+1)/2))*BH$2), 0)+IF(IF(time+1&gt;=BI$2, $K59/time_cap/(time+1)*BH$2, 0) = 0, $K59/(time_cap),0)),0)</f>
        <v/>
      </c>
      <c r="BI59" s="4395">
        <f>IFERROR(IF((time+time_cap)&lt;BI$2, 0,IF(AND(time+1&gt;=BJ$2, $E59&lt;BJ$2), IF($I59= "I", $J59/($F59-$E59+1), $J59/(($F59*($F59+1)/2)-(($E59-1)*($E59-1+1)/2))*BI$2), 0)+IF(IF(time+1&gt;=BJ$2, $K59/time_cap/(time+1)*BI$2, 0) = 0, $K59/(time_cap),0)),0)</f>
        <v/>
      </c>
      <c r="BJ59" s="4395">
        <f>IFERROR(IF((time+time_cap)&lt;BJ$2, 0,IF(AND(time+1&gt;=BK$2, $E59&lt;BK$2), IF($I59= "I", $J59/($F59-$E59+1), $J59/(($F59*($F59+1)/2)-(($E59-1)*($E59-1+1)/2))*BJ$2), 0)+IF(IF(time+1&gt;=BK$2, $K59/time_cap/(time+1)*BJ$2, 0) = 0, $K59/(time_cap),0)),0)</f>
        <v/>
      </c>
      <c r="BK59" s="4395" t="n"/>
      <c r="BL59" s="4395" t="n"/>
      <c r="BM59" s="4395" t="n"/>
      <c r="BN59" s="4395" t="n"/>
      <c r="BO59" s="4395" t="n"/>
      <c r="BP59" s="4395" t="n"/>
      <c r="BQ59" s="4395" t="n"/>
      <c r="BR59" s="4395" t="n"/>
      <c r="BS59" s="4395" t="n"/>
      <c r="BT59" s="4395" t="n"/>
      <c r="BU59" s="4395" t="n"/>
      <c r="BV59" s="4395" t="n"/>
      <c r="BW59" s="4395" t="n"/>
      <c r="BX59" s="4395" t="n"/>
      <c r="BY59" s="4395" t="n"/>
      <c r="BZ59" s="4395" t="n"/>
      <c r="CA59" s="4395" t="n"/>
      <c r="CB59" s="4395" t="n"/>
      <c r="CC59" s="4395" t="n"/>
      <c r="CD59" s="4395" t="n"/>
      <c r="CE59" s="4395" t="n"/>
      <c r="CF59" s="4395" t="n"/>
      <c r="CG59" s="4395" t="n"/>
      <c r="CH59" s="4395" t="n"/>
      <c r="CI59" s="4395" t="n"/>
      <c r="CJ59" s="4395" t="n"/>
      <c r="CK59" s="4395" t="n"/>
      <c r="CL59" s="4395" t="n"/>
      <c r="CM59" s="4395" t="n"/>
      <c r="CN59" s="4395" t="n"/>
      <c r="CO59" s="4395" t="n"/>
      <c r="CP59" s="4395" t="n"/>
      <c r="CQ59" s="4395" t="n"/>
      <c r="CR59" s="4395" t="n"/>
      <c r="CS59" s="4395" t="n"/>
      <c r="CT59" s="4395" t="n"/>
      <c r="CU59" s="4395" t="n"/>
      <c r="CV59" s="4395" t="n"/>
      <c r="CW59" s="4395" t="n"/>
      <c r="CX59" s="4395" t="n"/>
      <c r="CY59" s="4395" t="n"/>
      <c r="CZ59" s="4395" t="n"/>
      <c r="DA59" s="4395" t="n"/>
      <c r="DB59" s="4395" t="n"/>
      <c r="DC59" s="4395" t="n"/>
      <c r="DD59" s="4395" t="n"/>
      <c r="DE59" s="4395" t="n"/>
      <c r="DF59" s="4395" t="n"/>
      <c r="DG59" s="4395" t="n"/>
      <c r="DH59" s="4395" t="n"/>
    </row>
    <row r="60" ht="16" customHeight="1">
      <c r="A60" t="inlineStr">
        <is>
          <t>Perennials</t>
        </is>
      </c>
      <c r="B60">
        <f>'3.Cropland'!C71</f>
        <v/>
      </c>
      <c r="C60">
        <f>'3.Cropland'!E71</f>
        <v/>
      </c>
      <c r="D60">
        <f>'3.Cropland'!Z71</f>
        <v/>
      </c>
      <c r="E60">
        <f>IF('3.Cropland'!BL71&lt;&gt;0,'3.Cropland'!BL71, '3.Cropland'!BK71)</f>
        <v/>
      </c>
      <c r="F60">
        <f>time</f>
        <v/>
      </c>
      <c r="G60" s="4395">
        <f>'3.Cropland'!S71</f>
        <v/>
      </c>
      <c r="H60" s="4395">
        <f>'3.Cropland'!U71</f>
        <v/>
      </c>
      <c r="I60" s="4395">
        <f>IF(OR(H60="I", G60="I"), "I", IF(OR(H60="E", G60="E"), "E", "D"))</f>
        <v/>
      </c>
      <c r="J60" s="4395">
        <f>((D60/(time_cap+((F60-E60+1)*VLOOKUP(I60,list!$I$48:$K$50,3, FALSE))))*(F60-E60+1)*VLOOKUP(I60,list!$I$48:$K$50,3, FALSE))</f>
        <v/>
      </c>
      <c r="K60" s="4395">
        <f>((D60/(time_cap+((F60-E60+1)*VLOOKUP(I60,list!$I$48:$K$50,3, FALSE))))*time_cap)</f>
        <v/>
      </c>
      <c r="M60" s="4395">
        <f>IFERROR(IF((time+time_cap)&lt;M$2, 0,IF(AND(time+1&gt;=N$2, $E60&lt;N$2), IF($I60= "I", $J60/($F60-$E60+1), $J60/(($F60*($F60+1)/2)-(($E60-1)*($E60-1+1)/2))*M$2), 0)+IF(IF(time+1&gt;=N$2, $K60/time_cap/(time+1)*M$2, 0) = 0, $K60/(time_cap),0)),0)</f>
        <v/>
      </c>
      <c r="N60" s="4395">
        <f>IFERROR(IF((time+time_cap)&lt;N$2, 0,IF(AND(time+1&gt;=O$2, $E60&lt;O$2), IF($I60= "I", $J60/($F60-$E60+1), $J60/(($F60*($F60+1)/2)-(($E60-1)*($E60-1+1)/2))*N$2), 0)+IF(IF(time+1&gt;=O$2, $K60/time_cap/(time+1)*N$2, 0) = 0, $K60/(time_cap),0)),0)</f>
        <v/>
      </c>
      <c r="O60" s="4395">
        <f>IFERROR(IF((time+time_cap)&lt;O$2, 0,IF(AND(time+1&gt;=P$2, $E60&lt;P$2), IF($I60= "I", $J60/($F60-$E60+1), $J60/(($F60*($F60+1)/2)-(($E60-1)*($E60-1+1)/2))*O$2), 0)+IF(IF(time+1&gt;=P$2, $K60/time_cap/(time+1)*O$2, 0) = 0, $K60/(time_cap),0)),0)</f>
        <v/>
      </c>
      <c r="P60" s="4395">
        <f>IFERROR(IF((time+time_cap)&lt;P$2, 0,IF(AND(time+1&gt;=Q$2, $E60&lt;Q$2), IF($I60= "I", $J60/($F60-$E60+1), $J60/(($F60*($F60+1)/2)-(($E60-1)*($E60-1+1)/2))*P$2), 0)+IF(IF(time+1&gt;=Q$2, $K60/time_cap/(time+1)*P$2, 0) = 0, $K60/(time_cap),0)),0)</f>
        <v/>
      </c>
      <c r="Q60" s="4395">
        <f>IFERROR(IF((time+time_cap)&lt;Q$2, 0,IF(AND(time+1&gt;=R$2, $E60&lt;R$2), IF($I60= "I", $J60/($F60-$E60+1), $J60/(($F60*($F60+1)/2)-(($E60-1)*($E60-1+1)/2))*Q$2), 0)+IF(IF(time+1&gt;=R$2, $K60/time_cap/(time+1)*Q$2, 0) = 0, $K60/(time_cap),0)),0)</f>
        <v/>
      </c>
      <c r="R60" s="4395">
        <f>IFERROR(IF((time+time_cap)&lt;R$2, 0,IF(AND(time+1&gt;=S$2, $E60&lt;S$2), IF($I60= "I", $J60/($F60-$E60+1), $J60/(($F60*($F60+1)/2)-(($E60-1)*($E60-1+1)/2))*R$2), 0)+IF(IF(time+1&gt;=S$2, $K60/time_cap/(time+1)*R$2, 0) = 0, $K60/(time_cap),0)),0)</f>
        <v/>
      </c>
      <c r="S60" s="4395">
        <f>IFERROR(IF((time+time_cap)&lt;S$2, 0,IF(AND(time+1&gt;=T$2, $E60&lt;T$2), IF($I60= "I", $J60/($F60-$E60+1), $J60/(($F60*($F60+1)/2)-(($E60-1)*($E60-1+1)/2))*S$2), 0)+IF(IF(time+1&gt;=T$2, $K60/time_cap/(time+1)*S$2, 0) = 0, $K60/(time_cap),0)),0)</f>
        <v/>
      </c>
      <c r="T60" s="4395">
        <f>IFERROR(IF((time+time_cap)&lt;T$2, 0,IF(AND(time+1&gt;=U$2, $E60&lt;U$2), IF($I60= "I", $J60/($F60-$E60+1), $J60/(($F60*($F60+1)/2)-(($E60-1)*($E60-1+1)/2))*T$2), 0)+IF(IF(time+1&gt;=U$2, $K60/time_cap/(time+1)*T$2, 0) = 0, $K60/(time_cap),0)),0)</f>
        <v/>
      </c>
      <c r="U60" s="4395">
        <f>IFERROR(IF((time+time_cap)&lt;U$2, 0,IF(AND(time+1&gt;=V$2, $E60&lt;V$2), IF($I60= "I", $J60/($F60-$E60+1), $J60/(($F60*($F60+1)/2)-(($E60-1)*($E60-1+1)/2))*U$2), 0)+IF(IF(time+1&gt;=V$2, $K60/time_cap/(time+1)*U$2, 0) = 0, $K60/(time_cap),0)),0)</f>
        <v/>
      </c>
      <c r="V60" s="4395">
        <f>IFERROR(IF((time+time_cap)&lt;V$2, 0,IF(AND(time+1&gt;=W$2, $E60&lt;W$2), IF($I60= "I", $J60/($F60-$E60+1), $J60/(($F60*($F60+1)/2)-(($E60-1)*($E60-1+1)/2))*V$2), 0)+IF(IF(time+1&gt;=W$2, $K60/time_cap/(time+1)*V$2, 0) = 0, $K60/(time_cap),0)),0)</f>
        <v/>
      </c>
      <c r="W60" s="4395">
        <f>IFERROR(IF((time+time_cap)&lt;W$2, 0,IF(AND(time+1&gt;=X$2, $E60&lt;X$2), IF($I60= "I", $J60/($F60-$E60+1), $J60/(($F60*($F60+1)/2)-(($E60-1)*($E60-1+1)/2))*W$2), 0)+IF(IF(time+1&gt;=X$2, $K60/time_cap/(time+1)*W$2, 0) = 0, $K60/(time_cap),0)),0)</f>
        <v/>
      </c>
      <c r="X60" s="4395">
        <f>IFERROR(IF((time+time_cap)&lt;X$2, 0,IF(AND(time+1&gt;=Y$2, $E60&lt;Y$2), IF($I60= "I", $J60/($F60-$E60+1), $J60/(($F60*($F60+1)/2)-(($E60-1)*($E60-1+1)/2))*X$2), 0)+IF(IF(time+1&gt;=Y$2, $K60/time_cap/(time+1)*X$2, 0) = 0, $K60/(time_cap),0)),0)</f>
        <v/>
      </c>
      <c r="Y60" s="4395">
        <f>IFERROR(IF((time+time_cap)&lt;Y$2, 0,IF(AND(time+1&gt;=Z$2, $E60&lt;Z$2), IF($I60= "I", $J60/($F60-$E60+1), $J60/(($F60*($F60+1)/2)-(($E60-1)*($E60-1+1)/2))*Y$2), 0)+IF(IF(time+1&gt;=Z$2, $K60/time_cap/(time+1)*Y$2, 0) = 0, $K60/(time_cap),0)),0)</f>
        <v/>
      </c>
      <c r="Z60" s="4395">
        <f>IFERROR(IF((time+time_cap)&lt;Z$2, 0,IF(AND(time+1&gt;=AA$2, $E60&lt;AA$2), IF($I60= "I", $J60/($F60-$E60+1), $J60/(($F60*($F60+1)/2)-(($E60-1)*($E60-1+1)/2))*Z$2), 0)+IF(IF(time+1&gt;=AA$2, $K60/time_cap/(time+1)*Z$2, 0) = 0, $K60/(time_cap),0)),0)</f>
        <v/>
      </c>
      <c r="AA60" s="4395">
        <f>IFERROR(IF((time+time_cap)&lt;AA$2, 0,IF(AND(time+1&gt;=AB$2, $E60&lt;AB$2), IF($I60= "I", $J60/($F60-$E60+1), $J60/(($F60*($F60+1)/2)-(($E60-1)*($E60-1+1)/2))*AA$2), 0)+IF(IF(time+1&gt;=AB$2, $K60/time_cap/(time+1)*AA$2, 0) = 0, $K60/(time_cap),0)),0)</f>
        <v/>
      </c>
      <c r="AB60" s="4395">
        <f>IFERROR(IF((time+time_cap)&lt;AB$2, 0,IF(AND(time+1&gt;=AC$2, $E60&lt;AC$2), IF($I60= "I", $J60/($F60-$E60+1), $J60/(($F60*($F60+1)/2)-(($E60-1)*($E60-1+1)/2))*AB$2), 0)+IF(IF(time+1&gt;=AC$2, $K60/time_cap/(time+1)*AB$2, 0) = 0, $K60/(time_cap),0)),0)</f>
        <v/>
      </c>
      <c r="AC60" s="4395">
        <f>IFERROR(IF((time+time_cap)&lt;AC$2, 0,IF(AND(time+1&gt;=AD$2, $E60&lt;AD$2), IF($I60= "I", $J60/($F60-$E60+1), $J60/(($F60*($F60+1)/2)-(($E60-1)*($E60-1+1)/2))*AC$2), 0)+IF(IF(time+1&gt;=AD$2, $K60/time_cap/(time+1)*AC$2, 0) = 0, $K60/(time_cap),0)),0)</f>
        <v/>
      </c>
      <c r="AD60" s="4395">
        <f>IFERROR(IF((time+time_cap)&lt;AD$2, 0,IF(AND(time+1&gt;=AE$2, $E60&lt;AE$2), IF($I60= "I", $J60/($F60-$E60+1), $J60/(($F60*($F60+1)/2)-(($E60-1)*($E60-1+1)/2))*AD$2), 0)+IF(IF(time+1&gt;=AE$2, $K60/time_cap/(time+1)*AD$2, 0) = 0, $K60/(time_cap),0)),0)</f>
        <v/>
      </c>
      <c r="AE60" s="4395">
        <f>IFERROR(IF((time+time_cap)&lt;AE$2, 0,IF(AND(time+1&gt;=AF$2, $E60&lt;AF$2), IF($I60= "I", $J60/($F60-$E60+1), $J60/(($F60*($F60+1)/2)-(($E60-1)*($E60-1+1)/2))*AE$2), 0)+IF(IF(time+1&gt;=AF$2, $K60/time_cap/(time+1)*AE$2, 0) = 0, $K60/(time_cap),0)),0)</f>
        <v/>
      </c>
      <c r="AF60" s="4395">
        <f>IFERROR(IF((time+time_cap)&lt;AF$2, 0,IF(AND(time+1&gt;=AG$2, $E60&lt;AG$2), IF($I60= "I", $J60/($F60-$E60+1), $J60/(($F60*($F60+1)/2)-(($E60-1)*($E60-1+1)/2))*AF$2), 0)+IF(IF(time+1&gt;=AG$2, $K60/time_cap/(time+1)*AF$2, 0) = 0, $K60/(time_cap),0)),0)</f>
        <v/>
      </c>
      <c r="AG60" s="4395">
        <f>IFERROR(IF((time+time_cap)&lt;AG$2, 0,IF(AND(time+1&gt;=AH$2, $E60&lt;AH$2), IF($I60= "I", $J60/($F60-$E60+1), $J60/(($F60*($F60+1)/2)-(($E60-1)*($E60-1+1)/2))*AG$2), 0)+IF(IF(time+1&gt;=AH$2, $K60/time_cap/(time+1)*AG$2, 0) = 0, $K60/(time_cap),0)),0)</f>
        <v/>
      </c>
      <c r="AH60" s="4395">
        <f>IFERROR(IF((time+time_cap)&lt;AH$2, 0,IF(AND(time+1&gt;=AI$2, $E60&lt;AI$2), IF($I60= "I", $J60/($F60-$E60+1), $J60/(($F60*($F60+1)/2)-(($E60-1)*($E60-1+1)/2))*AH$2), 0)+IF(IF(time+1&gt;=AI$2, $K60/time_cap/(time+1)*AH$2, 0) = 0, $K60/(time_cap),0)),0)</f>
        <v/>
      </c>
      <c r="AI60" s="4395">
        <f>IFERROR(IF((time+time_cap)&lt;AI$2, 0,IF(AND(time+1&gt;=AJ$2, $E60&lt;AJ$2), IF($I60= "I", $J60/($F60-$E60+1), $J60/(($F60*($F60+1)/2)-(($E60-1)*($E60-1+1)/2))*AI$2), 0)+IF(IF(time+1&gt;=AJ$2, $K60/time_cap/(time+1)*AI$2, 0) = 0, $K60/(time_cap),0)),0)</f>
        <v/>
      </c>
      <c r="AJ60" s="4395">
        <f>IFERROR(IF((time+time_cap)&lt;AJ$2, 0,IF(AND(time+1&gt;=AK$2, $E60&lt;AK$2), IF($I60= "I", $J60/($F60-$E60+1), $J60/(($F60*($F60+1)/2)-(($E60-1)*($E60-1+1)/2))*AJ$2), 0)+IF(IF(time+1&gt;=AK$2, $K60/time_cap/(time+1)*AJ$2, 0) = 0, $K60/(time_cap),0)),0)</f>
        <v/>
      </c>
      <c r="AK60" s="4395">
        <f>IFERROR(IF((time+time_cap)&lt;AK$2, 0,IF(AND(time+1&gt;=AL$2, $E60&lt;AL$2), IF($I60= "I", $J60/($F60-$E60+1), $J60/(($F60*($F60+1)/2)-(($E60-1)*($E60-1+1)/2))*AK$2), 0)+IF(IF(time+1&gt;=AL$2, $K60/time_cap/(time+1)*AK$2, 0) = 0, $K60/(time_cap),0)),0)</f>
        <v/>
      </c>
      <c r="AL60" s="4395">
        <f>IFERROR(IF((time+time_cap)&lt;AL$2, 0,IF(AND(time+1&gt;=AM$2, $E60&lt;AM$2), IF($I60= "I", $J60/($F60-$E60+1), $J60/(($F60*($F60+1)/2)-(($E60-1)*($E60-1+1)/2))*AL$2), 0)+IF(IF(time+1&gt;=AM$2, $K60/time_cap/(time+1)*AL$2, 0) = 0, $K60/(time_cap),0)),0)</f>
        <v/>
      </c>
      <c r="AM60" s="4395">
        <f>IFERROR(IF((time+time_cap)&lt;AM$2, 0,IF(AND(time+1&gt;=AN$2, $E60&lt;AN$2), IF($I60= "I", $J60/($F60-$E60+1), $J60/(($F60*($F60+1)/2)-(($E60-1)*($E60-1+1)/2))*AM$2), 0)+IF(IF(time+1&gt;=AN$2, $K60/time_cap/(time+1)*AM$2, 0) = 0, $K60/(time_cap),0)),0)</f>
        <v/>
      </c>
      <c r="AN60" s="4395">
        <f>IFERROR(IF((time+time_cap)&lt;AN$2, 0,IF(AND(time+1&gt;=AO$2, $E60&lt;AO$2), IF($I60= "I", $J60/($F60-$E60+1), $J60/(($F60*($F60+1)/2)-(($E60-1)*($E60-1+1)/2))*AN$2), 0)+IF(IF(time+1&gt;=AO$2, $K60/time_cap/(time+1)*AN$2, 0) = 0, $K60/(time_cap),0)),0)</f>
        <v/>
      </c>
      <c r="AO60" s="4395">
        <f>IFERROR(IF((time+time_cap)&lt;AO$2, 0,IF(AND(time+1&gt;=AP$2, $E60&lt;AP$2), IF($I60= "I", $J60/($F60-$E60+1), $J60/(($F60*($F60+1)/2)-(($E60-1)*($E60-1+1)/2))*AO$2), 0)+IF(IF(time+1&gt;=AP$2, $K60/time_cap/(time+1)*AO$2, 0) = 0, $K60/(time_cap),0)),0)</f>
        <v/>
      </c>
      <c r="AP60" s="4395">
        <f>IFERROR(IF((time+time_cap)&lt;AP$2, 0,IF(AND(time+1&gt;=AQ$2, $E60&lt;AQ$2), IF($I60= "I", $J60/($F60-$E60+1), $J60/(($F60*($F60+1)/2)-(($E60-1)*($E60-1+1)/2))*AP$2), 0)+IF(IF(time+1&gt;=AQ$2, $K60/time_cap/(time+1)*AP$2, 0) = 0, $K60/(time_cap),0)),0)</f>
        <v/>
      </c>
      <c r="AQ60" s="4395">
        <f>IFERROR(IF((time+time_cap)&lt;AQ$2, 0,IF(AND(time+1&gt;=AR$2, $E60&lt;AR$2), IF($I60= "I", $J60/($F60-$E60+1), $J60/(($F60*($F60+1)/2)-(($E60-1)*($E60-1+1)/2))*AQ$2), 0)+IF(IF(time+1&gt;=AR$2, $K60/time_cap/(time+1)*AQ$2, 0) = 0, $K60/(time_cap),0)),0)</f>
        <v/>
      </c>
      <c r="AR60" s="4395">
        <f>IFERROR(IF((time+time_cap)&lt;AR$2, 0,IF(AND(time+1&gt;=AS$2, $E60&lt;AS$2), IF($I60= "I", $J60/($F60-$E60+1), $J60/(($F60*($F60+1)/2)-(($E60-1)*($E60-1+1)/2))*AR$2), 0)+IF(IF(time+1&gt;=AS$2, $K60/time_cap/(time+1)*AR$2, 0) = 0, $K60/(time_cap),0)),0)</f>
        <v/>
      </c>
      <c r="AS60" s="4395">
        <f>IFERROR(IF((time+time_cap)&lt;AS$2, 0,IF(AND(time+1&gt;=AT$2, $E60&lt;AT$2), IF($I60= "I", $J60/($F60-$E60+1), $J60/(($F60*($F60+1)/2)-(($E60-1)*($E60-1+1)/2))*AS$2), 0)+IF(IF(time+1&gt;=AT$2, $K60/time_cap/(time+1)*AS$2, 0) = 0, $K60/(time_cap),0)),0)</f>
        <v/>
      </c>
      <c r="AT60" s="4395">
        <f>IFERROR(IF((time+time_cap)&lt;AT$2, 0,IF(AND(time+1&gt;=AU$2, $E60&lt;AU$2), IF($I60= "I", $J60/($F60-$E60+1), $J60/(($F60*($F60+1)/2)-(($E60-1)*($E60-1+1)/2))*AT$2), 0)+IF(IF(time+1&gt;=AU$2, $K60/time_cap/(time+1)*AT$2, 0) = 0, $K60/(time_cap),0)),0)</f>
        <v/>
      </c>
      <c r="AU60" s="4395">
        <f>IFERROR(IF((time+time_cap)&lt;AU$2, 0,IF(AND(time+1&gt;=AV$2, $E60&lt;AV$2), IF($I60= "I", $J60/($F60-$E60+1), $J60/(($F60*($F60+1)/2)-(($E60-1)*($E60-1+1)/2))*AU$2), 0)+IF(IF(time+1&gt;=AV$2, $K60/time_cap/(time+1)*AU$2, 0) = 0, $K60/(time_cap),0)),0)</f>
        <v/>
      </c>
      <c r="AV60" s="4395">
        <f>IFERROR(IF((time+time_cap)&lt;AV$2, 0,IF(AND(time+1&gt;=AW$2, $E60&lt;AW$2), IF($I60= "I", $J60/($F60-$E60+1), $J60/(($F60*($F60+1)/2)-(($E60-1)*($E60-1+1)/2))*AV$2), 0)+IF(IF(time+1&gt;=AW$2, $K60/time_cap/(time+1)*AV$2, 0) = 0, $K60/(time_cap),0)),0)</f>
        <v/>
      </c>
      <c r="AW60" s="4395">
        <f>IFERROR(IF((time+time_cap)&lt;AW$2, 0,IF(AND(time+1&gt;=AX$2, $E60&lt;AX$2), IF($I60= "I", $J60/($F60-$E60+1), $J60/(($F60*($F60+1)/2)-(($E60-1)*($E60-1+1)/2))*AW$2), 0)+IF(IF(time+1&gt;=AX$2, $K60/time_cap/(time+1)*AW$2, 0) = 0, $K60/(time_cap),0)),0)</f>
        <v/>
      </c>
      <c r="AX60" s="4395">
        <f>IFERROR(IF((time+time_cap)&lt;AX$2, 0,IF(AND(time+1&gt;=AY$2, $E60&lt;AY$2), IF($I60= "I", $J60/($F60-$E60+1), $J60/(($F60*($F60+1)/2)-(($E60-1)*($E60-1+1)/2))*AX$2), 0)+IF(IF(time+1&gt;=AY$2, $K60/time_cap/(time+1)*AX$2, 0) = 0, $K60/(time_cap),0)),0)</f>
        <v/>
      </c>
      <c r="AY60" s="4395">
        <f>IFERROR(IF((time+time_cap)&lt;AY$2, 0,IF(AND(time+1&gt;=AZ$2, $E60&lt;AZ$2), IF($I60= "I", $J60/($F60-$E60+1), $J60/(($F60*($F60+1)/2)-(($E60-1)*($E60-1+1)/2))*AY$2), 0)+IF(IF(time+1&gt;=AZ$2, $K60/time_cap/(time+1)*AY$2, 0) = 0, $K60/(time_cap),0)),0)</f>
        <v/>
      </c>
      <c r="AZ60" s="4395">
        <f>IFERROR(IF((time+time_cap)&lt;AZ$2, 0,IF(AND(time+1&gt;=BA$2, $E60&lt;BA$2), IF($I60= "I", $J60/($F60-$E60+1), $J60/(($F60*($F60+1)/2)-(($E60-1)*($E60-1+1)/2))*AZ$2), 0)+IF(IF(time+1&gt;=BA$2, $K60/time_cap/(time+1)*AZ$2, 0) = 0, $K60/(time_cap),0)),0)</f>
        <v/>
      </c>
      <c r="BA60" s="4395">
        <f>IFERROR(IF((time+time_cap)&lt;BA$2, 0,IF(AND(time+1&gt;=BB$2, $E60&lt;BB$2), IF($I60= "I", $J60/($F60-$E60+1), $J60/(($F60*($F60+1)/2)-(($E60-1)*($E60-1+1)/2))*BA$2), 0)+IF(IF(time+1&gt;=BB$2, $K60/time_cap/(time+1)*BA$2, 0) = 0, $K60/(time_cap),0)),0)</f>
        <v/>
      </c>
      <c r="BB60" s="4395">
        <f>IFERROR(IF((time+time_cap)&lt;BB$2, 0,IF(AND(time+1&gt;=BC$2, $E60&lt;BC$2), IF($I60= "I", $J60/($F60-$E60+1), $J60/(($F60*($F60+1)/2)-(($E60-1)*($E60-1+1)/2))*BB$2), 0)+IF(IF(time+1&gt;=BC$2, $K60/time_cap/(time+1)*BB$2, 0) = 0, $K60/(time_cap),0)),0)</f>
        <v/>
      </c>
      <c r="BC60" s="4395">
        <f>IFERROR(IF((time+time_cap)&lt;BC$2, 0,IF(AND(time+1&gt;=BD$2, $E60&lt;BD$2), IF($I60= "I", $J60/($F60-$E60+1), $J60/(($F60*($F60+1)/2)-(($E60-1)*($E60-1+1)/2))*BC$2), 0)+IF(IF(time+1&gt;=BD$2, $K60/time_cap/(time+1)*BC$2, 0) = 0, $K60/(time_cap),0)),0)</f>
        <v/>
      </c>
      <c r="BD60" s="4395">
        <f>IFERROR(IF((time+time_cap)&lt;BD$2, 0,IF(AND(time+1&gt;=BE$2, $E60&lt;BE$2), IF($I60= "I", $J60/($F60-$E60+1), $J60/(($F60*($F60+1)/2)-(($E60-1)*($E60-1+1)/2))*BD$2), 0)+IF(IF(time+1&gt;=BE$2, $K60/time_cap/(time+1)*BD$2, 0) = 0, $K60/(time_cap),0)),0)</f>
        <v/>
      </c>
      <c r="BE60" s="4395">
        <f>IFERROR(IF((time+time_cap)&lt;BE$2, 0,IF(AND(time+1&gt;=BF$2, $E60&lt;BF$2), IF($I60= "I", $J60/($F60-$E60+1), $J60/(($F60*($F60+1)/2)-(($E60-1)*($E60-1+1)/2))*BE$2), 0)+IF(IF(time+1&gt;=BF$2, $K60/time_cap/(time+1)*BE$2, 0) = 0, $K60/(time_cap),0)),0)</f>
        <v/>
      </c>
      <c r="BF60" s="4395">
        <f>IFERROR(IF((time+time_cap)&lt;BF$2, 0,IF(AND(time+1&gt;=BG$2, $E60&lt;BG$2), IF($I60= "I", $J60/($F60-$E60+1), $J60/(($F60*($F60+1)/2)-(($E60-1)*($E60-1+1)/2))*BF$2), 0)+IF(IF(time+1&gt;=BG$2, $K60/time_cap/(time+1)*BF$2, 0) = 0, $K60/(time_cap),0)),0)</f>
        <v/>
      </c>
      <c r="BG60" s="4395">
        <f>IFERROR(IF((time+time_cap)&lt;BG$2, 0,IF(AND(time+1&gt;=BH$2, $E60&lt;BH$2), IF($I60= "I", $J60/($F60-$E60+1), $J60/(($F60*($F60+1)/2)-(($E60-1)*($E60-1+1)/2))*BG$2), 0)+IF(IF(time+1&gt;=BH$2, $K60/time_cap/(time+1)*BG$2, 0) = 0, $K60/(time_cap),0)),0)</f>
        <v/>
      </c>
      <c r="BH60" s="4395">
        <f>IFERROR(IF((time+time_cap)&lt;BH$2, 0,IF(AND(time+1&gt;=BI$2, $E60&lt;BI$2), IF($I60= "I", $J60/($F60-$E60+1), $J60/(($F60*($F60+1)/2)-(($E60-1)*($E60-1+1)/2))*BH$2), 0)+IF(IF(time+1&gt;=BI$2, $K60/time_cap/(time+1)*BH$2, 0) = 0, $K60/(time_cap),0)),0)</f>
        <v/>
      </c>
      <c r="BI60" s="4395">
        <f>IFERROR(IF((time+time_cap)&lt;BI$2, 0,IF(AND(time+1&gt;=BJ$2, $E60&lt;BJ$2), IF($I60= "I", $J60/($F60-$E60+1), $J60/(($F60*($F60+1)/2)-(($E60-1)*($E60-1+1)/2))*BI$2), 0)+IF(IF(time+1&gt;=BJ$2, $K60/time_cap/(time+1)*BI$2, 0) = 0, $K60/(time_cap),0)),0)</f>
        <v/>
      </c>
      <c r="BJ60" s="4395">
        <f>IFERROR(IF((time+time_cap)&lt;BJ$2, 0,IF(AND(time+1&gt;=BK$2, $E60&lt;BK$2), IF($I60= "I", $J60/($F60-$E60+1), $J60/(($F60*($F60+1)/2)-(($E60-1)*($E60-1+1)/2))*BJ$2), 0)+IF(IF(time+1&gt;=BK$2, $K60/time_cap/(time+1)*BJ$2, 0) = 0, $K60/(time_cap),0)),0)</f>
        <v/>
      </c>
      <c r="BK60" s="4395" t="n"/>
      <c r="BL60" s="4395" t="n"/>
      <c r="BM60" s="4395" t="n"/>
      <c r="BN60" s="4395" t="n"/>
      <c r="BO60" s="4395" t="n"/>
      <c r="BP60" s="4395" t="n"/>
      <c r="BQ60" s="4395" t="n"/>
      <c r="BR60" s="4395" t="n"/>
      <c r="BS60" s="4395" t="n"/>
      <c r="BT60" s="4395" t="n"/>
      <c r="BU60" s="4395" t="n"/>
      <c r="BV60" s="4395" t="n"/>
      <c r="BW60" s="4395" t="n"/>
      <c r="BX60" s="4395" t="n"/>
      <c r="BY60" s="4395" t="n"/>
      <c r="BZ60" s="4395" t="n"/>
      <c r="CA60" s="4395" t="n"/>
      <c r="CB60" s="4395" t="n"/>
      <c r="CC60" s="4395" t="n"/>
      <c r="CD60" s="4395" t="n"/>
      <c r="CE60" s="4395" t="n"/>
      <c r="CF60" s="4395" t="n"/>
      <c r="CG60" s="4395" t="n"/>
      <c r="CH60" s="4395" t="n"/>
      <c r="CI60" s="4395" t="n"/>
      <c r="CJ60" s="4395" t="n"/>
      <c r="CK60" s="4395" t="n"/>
      <c r="CL60" s="4395" t="n"/>
      <c r="CM60" s="4395" t="n"/>
      <c r="CN60" s="4395" t="n"/>
      <c r="CO60" s="4395" t="n"/>
      <c r="CP60" s="4395" t="n"/>
      <c r="CQ60" s="4395" t="n"/>
      <c r="CR60" s="4395" t="n"/>
      <c r="CS60" s="4395" t="n"/>
      <c r="CT60" s="4395" t="n"/>
      <c r="CU60" s="4395" t="n"/>
      <c r="CV60" s="4395" t="n"/>
      <c r="CW60" s="4395" t="n"/>
      <c r="CX60" s="4395" t="n"/>
      <c r="CY60" s="4395" t="n"/>
      <c r="CZ60" s="4395" t="n"/>
      <c r="DA60" s="4395" t="n"/>
      <c r="DB60" s="4395" t="n"/>
      <c r="DC60" s="4395" t="n"/>
      <c r="DD60" s="4395" t="n"/>
      <c r="DE60" s="4395" t="n"/>
      <c r="DF60" s="4395" t="n"/>
      <c r="DG60" s="4395" t="n"/>
      <c r="DH60" s="4395" t="n"/>
    </row>
    <row r="61" ht="16" customHeight="1">
      <c r="A61" t="inlineStr">
        <is>
          <t>Perennials</t>
        </is>
      </c>
      <c r="B61">
        <f>'3.Cropland'!C72</f>
        <v/>
      </c>
      <c r="C61">
        <f>'3.Cropland'!E72</f>
        <v/>
      </c>
      <c r="D61">
        <f>'3.Cropland'!Z72</f>
        <v/>
      </c>
      <c r="E61">
        <f>IF('3.Cropland'!BL72&lt;&gt;0,'3.Cropland'!BL72, '3.Cropland'!BK72)</f>
        <v/>
      </c>
      <c r="F61">
        <f>time</f>
        <v/>
      </c>
      <c r="G61" s="4395">
        <f>'3.Cropland'!S72</f>
        <v/>
      </c>
      <c r="H61" s="4395">
        <f>'3.Cropland'!U72</f>
        <v/>
      </c>
      <c r="I61" s="4395">
        <f>IF(OR(H61="I", G61="I"), "I", IF(OR(H61="E", G61="E"), "E", "D"))</f>
        <v/>
      </c>
      <c r="J61" s="4395">
        <f>((D61/(time_cap+((F61-E61+1)*VLOOKUP(I61,list!$I$48:$K$50,3, FALSE))))*(F61-E61+1)*VLOOKUP(I61,list!$I$48:$K$50,3, FALSE))</f>
        <v/>
      </c>
      <c r="K61" s="4395">
        <f>((D61/(time_cap+((F61-E61+1)*VLOOKUP(I61,list!$I$48:$K$50,3, FALSE))))*time_cap)</f>
        <v/>
      </c>
      <c r="M61" s="4395">
        <f>IFERROR(IF((time+time_cap)&lt;M$2, 0,IF(AND(time+1&gt;=N$2, $E61&lt;N$2), IF($I61= "I", $J61/($F61-$E61+1), $J61/(($F61*($F61+1)/2)-(($E61-1)*($E61-1+1)/2))*M$2), 0)+IF(IF(time+1&gt;=N$2, $K61/time_cap/(time+1)*M$2, 0) = 0, $K61/(time_cap),0)),0)</f>
        <v/>
      </c>
      <c r="N61" s="4395">
        <f>IFERROR(IF((time+time_cap)&lt;N$2, 0,IF(AND(time+1&gt;=O$2, $E61&lt;O$2), IF($I61= "I", $J61/($F61-$E61+1), $J61/(($F61*($F61+1)/2)-(($E61-1)*($E61-1+1)/2))*N$2), 0)+IF(IF(time+1&gt;=O$2, $K61/time_cap/(time+1)*N$2, 0) = 0, $K61/(time_cap),0)),0)</f>
        <v/>
      </c>
      <c r="O61" s="4395">
        <f>IFERROR(IF((time+time_cap)&lt;O$2, 0,IF(AND(time+1&gt;=P$2, $E61&lt;P$2), IF($I61= "I", $J61/($F61-$E61+1), $J61/(($F61*($F61+1)/2)-(($E61-1)*($E61-1+1)/2))*O$2), 0)+IF(IF(time+1&gt;=P$2, $K61/time_cap/(time+1)*O$2, 0) = 0, $K61/(time_cap),0)),0)</f>
        <v/>
      </c>
      <c r="P61" s="4395">
        <f>IFERROR(IF((time+time_cap)&lt;P$2, 0,IF(AND(time+1&gt;=Q$2, $E61&lt;Q$2), IF($I61= "I", $J61/($F61-$E61+1), $J61/(($F61*($F61+1)/2)-(($E61-1)*($E61-1+1)/2))*P$2), 0)+IF(IF(time+1&gt;=Q$2, $K61/time_cap/(time+1)*P$2, 0) = 0, $K61/(time_cap),0)),0)</f>
        <v/>
      </c>
      <c r="Q61" s="4395">
        <f>IFERROR(IF((time+time_cap)&lt;Q$2, 0,IF(AND(time+1&gt;=R$2, $E61&lt;R$2), IF($I61= "I", $J61/($F61-$E61+1), $J61/(($F61*($F61+1)/2)-(($E61-1)*($E61-1+1)/2))*Q$2), 0)+IF(IF(time+1&gt;=R$2, $K61/time_cap/(time+1)*Q$2, 0) = 0, $K61/(time_cap),0)),0)</f>
        <v/>
      </c>
      <c r="R61" s="4395">
        <f>IFERROR(IF((time+time_cap)&lt;R$2, 0,IF(AND(time+1&gt;=S$2, $E61&lt;S$2), IF($I61= "I", $J61/($F61-$E61+1), $J61/(($F61*($F61+1)/2)-(($E61-1)*($E61-1+1)/2))*R$2), 0)+IF(IF(time+1&gt;=S$2, $K61/time_cap/(time+1)*R$2, 0) = 0, $K61/(time_cap),0)),0)</f>
        <v/>
      </c>
      <c r="S61" s="4395">
        <f>IFERROR(IF((time+time_cap)&lt;S$2, 0,IF(AND(time+1&gt;=T$2, $E61&lt;T$2), IF($I61= "I", $J61/($F61-$E61+1), $J61/(($F61*($F61+1)/2)-(($E61-1)*($E61-1+1)/2))*S$2), 0)+IF(IF(time+1&gt;=T$2, $K61/time_cap/(time+1)*S$2, 0) = 0, $K61/(time_cap),0)),0)</f>
        <v/>
      </c>
      <c r="T61" s="4395">
        <f>IFERROR(IF((time+time_cap)&lt;T$2, 0,IF(AND(time+1&gt;=U$2, $E61&lt;U$2), IF($I61= "I", $J61/($F61-$E61+1), $J61/(($F61*($F61+1)/2)-(($E61-1)*($E61-1+1)/2))*T$2), 0)+IF(IF(time+1&gt;=U$2, $K61/time_cap/(time+1)*T$2, 0) = 0, $K61/(time_cap),0)),0)</f>
        <v/>
      </c>
      <c r="U61" s="4395">
        <f>IFERROR(IF((time+time_cap)&lt;U$2, 0,IF(AND(time+1&gt;=V$2, $E61&lt;V$2), IF($I61= "I", $J61/($F61-$E61+1), $J61/(($F61*($F61+1)/2)-(($E61-1)*($E61-1+1)/2))*U$2), 0)+IF(IF(time+1&gt;=V$2, $K61/time_cap/(time+1)*U$2, 0) = 0, $K61/(time_cap),0)),0)</f>
        <v/>
      </c>
      <c r="V61" s="4395">
        <f>IFERROR(IF((time+time_cap)&lt;V$2, 0,IF(AND(time+1&gt;=W$2, $E61&lt;W$2), IF($I61= "I", $J61/($F61-$E61+1), $J61/(($F61*($F61+1)/2)-(($E61-1)*($E61-1+1)/2))*V$2), 0)+IF(IF(time+1&gt;=W$2, $K61/time_cap/(time+1)*V$2, 0) = 0, $K61/(time_cap),0)),0)</f>
        <v/>
      </c>
      <c r="W61" s="4395">
        <f>IFERROR(IF((time+time_cap)&lt;W$2, 0,IF(AND(time+1&gt;=X$2, $E61&lt;X$2), IF($I61= "I", $J61/($F61-$E61+1), $J61/(($F61*($F61+1)/2)-(($E61-1)*($E61-1+1)/2))*W$2), 0)+IF(IF(time+1&gt;=X$2, $K61/time_cap/(time+1)*W$2, 0) = 0, $K61/(time_cap),0)),0)</f>
        <v/>
      </c>
      <c r="X61" s="4395">
        <f>IFERROR(IF((time+time_cap)&lt;X$2, 0,IF(AND(time+1&gt;=Y$2, $E61&lt;Y$2), IF($I61= "I", $J61/($F61-$E61+1), $J61/(($F61*($F61+1)/2)-(($E61-1)*($E61-1+1)/2))*X$2), 0)+IF(IF(time+1&gt;=Y$2, $K61/time_cap/(time+1)*X$2, 0) = 0, $K61/(time_cap),0)),0)</f>
        <v/>
      </c>
      <c r="Y61" s="4395">
        <f>IFERROR(IF((time+time_cap)&lt;Y$2, 0,IF(AND(time+1&gt;=Z$2, $E61&lt;Z$2), IF($I61= "I", $J61/($F61-$E61+1), $J61/(($F61*($F61+1)/2)-(($E61-1)*($E61-1+1)/2))*Y$2), 0)+IF(IF(time+1&gt;=Z$2, $K61/time_cap/(time+1)*Y$2, 0) = 0, $K61/(time_cap),0)),0)</f>
        <v/>
      </c>
      <c r="Z61" s="4395">
        <f>IFERROR(IF((time+time_cap)&lt;Z$2, 0,IF(AND(time+1&gt;=AA$2, $E61&lt;AA$2), IF($I61= "I", $J61/($F61-$E61+1), $J61/(($F61*($F61+1)/2)-(($E61-1)*($E61-1+1)/2))*Z$2), 0)+IF(IF(time+1&gt;=AA$2, $K61/time_cap/(time+1)*Z$2, 0) = 0, $K61/(time_cap),0)),0)</f>
        <v/>
      </c>
      <c r="AA61" s="4395">
        <f>IFERROR(IF((time+time_cap)&lt;AA$2, 0,IF(AND(time+1&gt;=AB$2, $E61&lt;AB$2), IF($I61= "I", $J61/($F61-$E61+1), $J61/(($F61*($F61+1)/2)-(($E61-1)*($E61-1+1)/2))*AA$2), 0)+IF(IF(time+1&gt;=AB$2, $K61/time_cap/(time+1)*AA$2, 0) = 0, $K61/(time_cap),0)),0)</f>
        <v/>
      </c>
      <c r="AB61" s="4395">
        <f>IFERROR(IF((time+time_cap)&lt;AB$2, 0,IF(AND(time+1&gt;=AC$2, $E61&lt;AC$2), IF($I61= "I", $J61/($F61-$E61+1), $J61/(($F61*($F61+1)/2)-(($E61-1)*($E61-1+1)/2))*AB$2), 0)+IF(IF(time+1&gt;=AC$2, $K61/time_cap/(time+1)*AB$2, 0) = 0, $K61/(time_cap),0)),0)</f>
        <v/>
      </c>
      <c r="AC61" s="4395">
        <f>IFERROR(IF((time+time_cap)&lt;AC$2, 0,IF(AND(time+1&gt;=AD$2, $E61&lt;AD$2), IF($I61= "I", $J61/($F61-$E61+1), $J61/(($F61*($F61+1)/2)-(($E61-1)*($E61-1+1)/2))*AC$2), 0)+IF(IF(time+1&gt;=AD$2, $K61/time_cap/(time+1)*AC$2, 0) = 0, $K61/(time_cap),0)),0)</f>
        <v/>
      </c>
      <c r="AD61" s="4395">
        <f>IFERROR(IF((time+time_cap)&lt;AD$2, 0,IF(AND(time+1&gt;=AE$2, $E61&lt;AE$2), IF($I61= "I", $J61/($F61-$E61+1), $J61/(($F61*($F61+1)/2)-(($E61-1)*($E61-1+1)/2))*AD$2), 0)+IF(IF(time+1&gt;=AE$2, $K61/time_cap/(time+1)*AD$2, 0) = 0, $K61/(time_cap),0)),0)</f>
        <v/>
      </c>
      <c r="AE61" s="4395">
        <f>IFERROR(IF((time+time_cap)&lt;AE$2, 0,IF(AND(time+1&gt;=AF$2, $E61&lt;AF$2), IF($I61= "I", $J61/($F61-$E61+1), $J61/(($F61*($F61+1)/2)-(($E61-1)*($E61-1+1)/2))*AE$2), 0)+IF(IF(time+1&gt;=AF$2, $K61/time_cap/(time+1)*AE$2, 0) = 0, $K61/(time_cap),0)),0)</f>
        <v/>
      </c>
      <c r="AF61" s="4395">
        <f>IFERROR(IF((time+time_cap)&lt;AF$2, 0,IF(AND(time+1&gt;=AG$2, $E61&lt;AG$2), IF($I61= "I", $J61/($F61-$E61+1), $J61/(($F61*($F61+1)/2)-(($E61-1)*($E61-1+1)/2))*AF$2), 0)+IF(IF(time+1&gt;=AG$2, $K61/time_cap/(time+1)*AF$2, 0) = 0, $K61/(time_cap),0)),0)</f>
        <v/>
      </c>
      <c r="AG61" s="4395">
        <f>IFERROR(IF((time+time_cap)&lt;AG$2, 0,IF(AND(time+1&gt;=AH$2, $E61&lt;AH$2), IF($I61= "I", $J61/($F61-$E61+1), $J61/(($F61*($F61+1)/2)-(($E61-1)*($E61-1+1)/2))*AG$2), 0)+IF(IF(time+1&gt;=AH$2, $K61/time_cap/(time+1)*AG$2, 0) = 0, $K61/(time_cap),0)),0)</f>
        <v/>
      </c>
      <c r="AH61" s="4395">
        <f>IFERROR(IF((time+time_cap)&lt;AH$2, 0,IF(AND(time+1&gt;=AI$2, $E61&lt;AI$2), IF($I61= "I", $J61/($F61-$E61+1), $J61/(($F61*($F61+1)/2)-(($E61-1)*($E61-1+1)/2))*AH$2), 0)+IF(IF(time+1&gt;=AI$2, $K61/time_cap/(time+1)*AH$2, 0) = 0, $K61/(time_cap),0)),0)</f>
        <v/>
      </c>
      <c r="AI61" s="4395">
        <f>IFERROR(IF((time+time_cap)&lt;AI$2, 0,IF(AND(time+1&gt;=AJ$2, $E61&lt;AJ$2), IF($I61= "I", $J61/($F61-$E61+1), $J61/(($F61*($F61+1)/2)-(($E61-1)*($E61-1+1)/2))*AI$2), 0)+IF(IF(time+1&gt;=AJ$2, $K61/time_cap/(time+1)*AI$2, 0) = 0, $K61/(time_cap),0)),0)</f>
        <v/>
      </c>
      <c r="AJ61" s="4395">
        <f>IFERROR(IF((time+time_cap)&lt;AJ$2, 0,IF(AND(time+1&gt;=AK$2, $E61&lt;AK$2), IF($I61= "I", $J61/($F61-$E61+1), $J61/(($F61*($F61+1)/2)-(($E61-1)*($E61-1+1)/2))*AJ$2), 0)+IF(IF(time+1&gt;=AK$2, $K61/time_cap/(time+1)*AJ$2, 0) = 0, $K61/(time_cap),0)),0)</f>
        <v/>
      </c>
      <c r="AK61" s="4395">
        <f>IFERROR(IF((time+time_cap)&lt;AK$2, 0,IF(AND(time+1&gt;=AL$2, $E61&lt;AL$2), IF($I61= "I", $J61/($F61-$E61+1), $J61/(($F61*($F61+1)/2)-(($E61-1)*($E61-1+1)/2))*AK$2), 0)+IF(IF(time+1&gt;=AL$2, $K61/time_cap/(time+1)*AK$2, 0) = 0, $K61/(time_cap),0)),0)</f>
        <v/>
      </c>
      <c r="AL61" s="4395">
        <f>IFERROR(IF((time+time_cap)&lt;AL$2, 0,IF(AND(time+1&gt;=AM$2, $E61&lt;AM$2), IF($I61= "I", $J61/($F61-$E61+1), $J61/(($F61*($F61+1)/2)-(($E61-1)*($E61-1+1)/2))*AL$2), 0)+IF(IF(time+1&gt;=AM$2, $K61/time_cap/(time+1)*AL$2, 0) = 0, $K61/(time_cap),0)),0)</f>
        <v/>
      </c>
      <c r="AM61" s="4395">
        <f>IFERROR(IF((time+time_cap)&lt;AM$2, 0,IF(AND(time+1&gt;=AN$2, $E61&lt;AN$2), IF($I61= "I", $J61/($F61-$E61+1), $J61/(($F61*($F61+1)/2)-(($E61-1)*($E61-1+1)/2))*AM$2), 0)+IF(IF(time+1&gt;=AN$2, $K61/time_cap/(time+1)*AM$2, 0) = 0, $K61/(time_cap),0)),0)</f>
        <v/>
      </c>
      <c r="AN61" s="4395">
        <f>IFERROR(IF((time+time_cap)&lt;AN$2, 0,IF(AND(time+1&gt;=AO$2, $E61&lt;AO$2), IF($I61= "I", $J61/($F61-$E61+1), $J61/(($F61*($F61+1)/2)-(($E61-1)*($E61-1+1)/2))*AN$2), 0)+IF(IF(time+1&gt;=AO$2, $K61/time_cap/(time+1)*AN$2, 0) = 0, $K61/(time_cap),0)),0)</f>
        <v/>
      </c>
      <c r="AO61" s="4395">
        <f>IFERROR(IF((time+time_cap)&lt;AO$2, 0,IF(AND(time+1&gt;=AP$2, $E61&lt;AP$2), IF($I61= "I", $J61/($F61-$E61+1), $J61/(($F61*($F61+1)/2)-(($E61-1)*($E61-1+1)/2))*AO$2), 0)+IF(IF(time+1&gt;=AP$2, $K61/time_cap/(time+1)*AO$2, 0) = 0, $K61/(time_cap),0)),0)</f>
        <v/>
      </c>
      <c r="AP61" s="4395">
        <f>IFERROR(IF((time+time_cap)&lt;AP$2, 0,IF(AND(time+1&gt;=AQ$2, $E61&lt;AQ$2), IF($I61= "I", $J61/($F61-$E61+1), $J61/(($F61*($F61+1)/2)-(($E61-1)*($E61-1+1)/2))*AP$2), 0)+IF(IF(time+1&gt;=AQ$2, $K61/time_cap/(time+1)*AP$2, 0) = 0, $K61/(time_cap),0)),0)</f>
        <v/>
      </c>
      <c r="AQ61" s="4395">
        <f>IFERROR(IF((time+time_cap)&lt;AQ$2, 0,IF(AND(time+1&gt;=AR$2, $E61&lt;AR$2), IF($I61= "I", $J61/($F61-$E61+1), $J61/(($F61*($F61+1)/2)-(($E61-1)*($E61-1+1)/2))*AQ$2), 0)+IF(IF(time+1&gt;=AR$2, $K61/time_cap/(time+1)*AQ$2, 0) = 0, $K61/(time_cap),0)),0)</f>
        <v/>
      </c>
      <c r="AR61" s="4395">
        <f>IFERROR(IF((time+time_cap)&lt;AR$2, 0,IF(AND(time+1&gt;=AS$2, $E61&lt;AS$2), IF($I61= "I", $J61/($F61-$E61+1), $J61/(($F61*($F61+1)/2)-(($E61-1)*($E61-1+1)/2))*AR$2), 0)+IF(IF(time+1&gt;=AS$2, $K61/time_cap/(time+1)*AR$2, 0) = 0, $K61/(time_cap),0)),0)</f>
        <v/>
      </c>
      <c r="AS61" s="4395">
        <f>IFERROR(IF((time+time_cap)&lt;AS$2, 0,IF(AND(time+1&gt;=AT$2, $E61&lt;AT$2), IF($I61= "I", $J61/($F61-$E61+1), $J61/(($F61*($F61+1)/2)-(($E61-1)*($E61-1+1)/2))*AS$2), 0)+IF(IF(time+1&gt;=AT$2, $K61/time_cap/(time+1)*AS$2, 0) = 0, $K61/(time_cap),0)),0)</f>
        <v/>
      </c>
      <c r="AT61" s="4395">
        <f>IFERROR(IF((time+time_cap)&lt;AT$2, 0,IF(AND(time+1&gt;=AU$2, $E61&lt;AU$2), IF($I61= "I", $J61/($F61-$E61+1), $J61/(($F61*($F61+1)/2)-(($E61-1)*($E61-1+1)/2))*AT$2), 0)+IF(IF(time+1&gt;=AU$2, $K61/time_cap/(time+1)*AT$2, 0) = 0, $K61/(time_cap),0)),0)</f>
        <v/>
      </c>
      <c r="AU61" s="4395">
        <f>IFERROR(IF((time+time_cap)&lt;AU$2, 0,IF(AND(time+1&gt;=AV$2, $E61&lt;AV$2), IF($I61= "I", $J61/($F61-$E61+1), $J61/(($F61*($F61+1)/2)-(($E61-1)*($E61-1+1)/2))*AU$2), 0)+IF(IF(time+1&gt;=AV$2, $K61/time_cap/(time+1)*AU$2, 0) = 0, $K61/(time_cap),0)),0)</f>
        <v/>
      </c>
      <c r="AV61" s="4395">
        <f>IFERROR(IF((time+time_cap)&lt;AV$2, 0,IF(AND(time+1&gt;=AW$2, $E61&lt;AW$2), IF($I61= "I", $J61/($F61-$E61+1), $J61/(($F61*($F61+1)/2)-(($E61-1)*($E61-1+1)/2))*AV$2), 0)+IF(IF(time+1&gt;=AW$2, $K61/time_cap/(time+1)*AV$2, 0) = 0, $K61/(time_cap),0)),0)</f>
        <v/>
      </c>
      <c r="AW61" s="4395">
        <f>IFERROR(IF((time+time_cap)&lt;AW$2, 0,IF(AND(time+1&gt;=AX$2, $E61&lt;AX$2), IF($I61= "I", $J61/($F61-$E61+1), $J61/(($F61*($F61+1)/2)-(($E61-1)*($E61-1+1)/2))*AW$2), 0)+IF(IF(time+1&gt;=AX$2, $K61/time_cap/(time+1)*AW$2, 0) = 0, $K61/(time_cap),0)),0)</f>
        <v/>
      </c>
      <c r="AX61" s="4395">
        <f>IFERROR(IF((time+time_cap)&lt;AX$2, 0,IF(AND(time+1&gt;=AY$2, $E61&lt;AY$2), IF($I61= "I", $J61/($F61-$E61+1), $J61/(($F61*($F61+1)/2)-(($E61-1)*($E61-1+1)/2))*AX$2), 0)+IF(IF(time+1&gt;=AY$2, $K61/time_cap/(time+1)*AX$2, 0) = 0, $K61/(time_cap),0)),0)</f>
        <v/>
      </c>
      <c r="AY61" s="4395">
        <f>IFERROR(IF((time+time_cap)&lt;AY$2, 0,IF(AND(time+1&gt;=AZ$2, $E61&lt;AZ$2), IF($I61= "I", $J61/($F61-$E61+1), $J61/(($F61*($F61+1)/2)-(($E61-1)*($E61-1+1)/2))*AY$2), 0)+IF(IF(time+1&gt;=AZ$2, $K61/time_cap/(time+1)*AY$2, 0) = 0, $K61/(time_cap),0)),0)</f>
        <v/>
      </c>
      <c r="AZ61" s="4395">
        <f>IFERROR(IF((time+time_cap)&lt;AZ$2, 0,IF(AND(time+1&gt;=BA$2, $E61&lt;BA$2), IF($I61= "I", $J61/($F61-$E61+1), $J61/(($F61*($F61+1)/2)-(($E61-1)*($E61-1+1)/2))*AZ$2), 0)+IF(IF(time+1&gt;=BA$2, $K61/time_cap/(time+1)*AZ$2, 0) = 0, $K61/(time_cap),0)),0)</f>
        <v/>
      </c>
      <c r="BA61" s="4395">
        <f>IFERROR(IF((time+time_cap)&lt;BA$2, 0,IF(AND(time+1&gt;=BB$2, $E61&lt;BB$2), IF($I61= "I", $J61/($F61-$E61+1), $J61/(($F61*($F61+1)/2)-(($E61-1)*($E61-1+1)/2))*BA$2), 0)+IF(IF(time+1&gt;=BB$2, $K61/time_cap/(time+1)*BA$2, 0) = 0, $K61/(time_cap),0)),0)</f>
        <v/>
      </c>
      <c r="BB61" s="4395">
        <f>IFERROR(IF((time+time_cap)&lt;BB$2, 0,IF(AND(time+1&gt;=BC$2, $E61&lt;BC$2), IF($I61= "I", $J61/($F61-$E61+1), $J61/(($F61*($F61+1)/2)-(($E61-1)*($E61-1+1)/2))*BB$2), 0)+IF(IF(time+1&gt;=BC$2, $K61/time_cap/(time+1)*BB$2, 0) = 0, $K61/(time_cap),0)),0)</f>
        <v/>
      </c>
      <c r="BC61" s="4395">
        <f>IFERROR(IF((time+time_cap)&lt;BC$2, 0,IF(AND(time+1&gt;=BD$2, $E61&lt;BD$2), IF($I61= "I", $J61/($F61-$E61+1), $J61/(($F61*($F61+1)/2)-(($E61-1)*($E61-1+1)/2))*BC$2), 0)+IF(IF(time+1&gt;=BD$2, $K61/time_cap/(time+1)*BC$2, 0) = 0, $K61/(time_cap),0)),0)</f>
        <v/>
      </c>
      <c r="BD61" s="4395">
        <f>IFERROR(IF((time+time_cap)&lt;BD$2, 0,IF(AND(time+1&gt;=BE$2, $E61&lt;BE$2), IF($I61= "I", $J61/($F61-$E61+1), $J61/(($F61*($F61+1)/2)-(($E61-1)*($E61-1+1)/2))*BD$2), 0)+IF(IF(time+1&gt;=BE$2, $K61/time_cap/(time+1)*BD$2, 0) = 0, $K61/(time_cap),0)),0)</f>
        <v/>
      </c>
      <c r="BE61" s="4395">
        <f>IFERROR(IF((time+time_cap)&lt;BE$2, 0,IF(AND(time+1&gt;=BF$2, $E61&lt;BF$2), IF($I61= "I", $J61/($F61-$E61+1), $J61/(($F61*($F61+1)/2)-(($E61-1)*($E61-1+1)/2))*BE$2), 0)+IF(IF(time+1&gt;=BF$2, $K61/time_cap/(time+1)*BE$2, 0) = 0, $K61/(time_cap),0)),0)</f>
        <v/>
      </c>
      <c r="BF61" s="4395">
        <f>IFERROR(IF((time+time_cap)&lt;BF$2, 0,IF(AND(time+1&gt;=BG$2, $E61&lt;BG$2), IF($I61= "I", $J61/($F61-$E61+1), $J61/(($F61*($F61+1)/2)-(($E61-1)*($E61-1+1)/2))*BF$2), 0)+IF(IF(time+1&gt;=BG$2, $K61/time_cap/(time+1)*BF$2, 0) = 0, $K61/(time_cap),0)),0)</f>
        <v/>
      </c>
      <c r="BG61" s="4395">
        <f>IFERROR(IF((time+time_cap)&lt;BG$2, 0,IF(AND(time+1&gt;=BH$2, $E61&lt;BH$2), IF($I61= "I", $J61/($F61-$E61+1), $J61/(($F61*($F61+1)/2)-(($E61-1)*($E61-1+1)/2))*BG$2), 0)+IF(IF(time+1&gt;=BH$2, $K61/time_cap/(time+1)*BG$2, 0) = 0, $K61/(time_cap),0)),0)</f>
        <v/>
      </c>
      <c r="BH61" s="4395">
        <f>IFERROR(IF((time+time_cap)&lt;BH$2, 0,IF(AND(time+1&gt;=BI$2, $E61&lt;BI$2), IF($I61= "I", $J61/($F61-$E61+1), $J61/(($F61*($F61+1)/2)-(($E61-1)*($E61-1+1)/2))*BH$2), 0)+IF(IF(time+1&gt;=BI$2, $K61/time_cap/(time+1)*BH$2, 0) = 0, $K61/(time_cap),0)),0)</f>
        <v/>
      </c>
      <c r="BI61" s="4395">
        <f>IFERROR(IF((time+time_cap)&lt;BI$2, 0,IF(AND(time+1&gt;=BJ$2, $E61&lt;BJ$2), IF($I61= "I", $J61/($F61-$E61+1), $J61/(($F61*($F61+1)/2)-(($E61-1)*($E61-1+1)/2))*BI$2), 0)+IF(IF(time+1&gt;=BJ$2, $K61/time_cap/(time+1)*BI$2, 0) = 0, $K61/(time_cap),0)),0)</f>
        <v/>
      </c>
      <c r="BJ61" s="4395">
        <f>IFERROR(IF((time+time_cap)&lt;BJ$2, 0,IF(AND(time+1&gt;=BK$2, $E61&lt;BK$2), IF($I61= "I", $J61/($F61-$E61+1), $J61/(($F61*($F61+1)/2)-(($E61-1)*($E61-1+1)/2))*BJ$2), 0)+IF(IF(time+1&gt;=BK$2, $K61/time_cap/(time+1)*BJ$2, 0) = 0, $K61/(time_cap),0)),0)</f>
        <v/>
      </c>
      <c r="BK61" s="4395" t="n"/>
      <c r="BL61" s="4395" t="n"/>
      <c r="BM61" s="4395" t="n"/>
      <c r="BN61" s="4395" t="n"/>
      <c r="BO61" s="4395" t="n"/>
      <c r="BP61" s="4395" t="n"/>
      <c r="BQ61" s="4395" t="n"/>
      <c r="BR61" s="4395" t="n"/>
      <c r="BS61" s="4395" t="n"/>
      <c r="BT61" s="4395" t="n"/>
      <c r="BU61" s="4395" t="n"/>
      <c r="BV61" s="4395" t="n"/>
      <c r="BW61" s="4395" t="n"/>
      <c r="BX61" s="4395" t="n"/>
      <c r="BY61" s="4395" t="n"/>
      <c r="BZ61" s="4395" t="n"/>
      <c r="CA61" s="4395" t="n"/>
      <c r="CB61" s="4395" t="n"/>
      <c r="CC61" s="4395" t="n"/>
      <c r="CD61" s="4395" t="n"/>
      <c r="CE61" s="4395" t="n"/>
      <c r="CF61" s="4395" t="n"/>
      <c r="CG61" s="4395" t="n"/>
      <c r="CH61" s="4395" t="n"/>
      <c r="CI61" s="4395" t="n"/>
      <c r="CJ61" s="4395" t="n"/>
      <c r="CK61" s="4395" t="n"/>
      <c r="CL61" s="4395" t="n"/>
      <c r="CM61" s="4395" t="n"/>
      <c r="CN61" s="4395" t="n"/>
      <c r="CO61" s="4395" t="n"/>
      <c r="CP61" s="4395" t="n"/>
      <c r="CQ61" s="4395" t="n"/>
      <c r="CR61" s="4395" t="n"/>
      <c r="CS61" s="4395" t="n"/>
      <c r="CT61" s="4395" t="n"/>
      <c r="CU61" s="4395" t="n"/>
      <c r="CV61" s="4395" t="n"/>
      <c r="CW61" s="4395" t="n"/>
      <c r="CX61" s="4395" t="n"/>
      <c r="CY61" s="4395" t="n"/>
      <c r="CZ61" s="4395" t="n"/>
      <c r="DA61" s="4395" t="n"/>
      <c r="DB61" s="4395" t="n"/>
      <c r="DC61" s="4395" t="n"/>
      <c r="DD61" s="4395" t="n"/>
      <c r="DE61" s="4395" t="n"/>
      <c r="DF61" s="4395" t="n"/>
      <c r="DG61" s="4395" t="n"/>
      <c r="DH61" s="4395" t="n"/>
    </row>
    <row r="62" ht="16" customHeight="1">
      <c r="A62" t="inlineStr">
        <is>
          <t>Perennials</t>
        </is>
      </c>
      <c r="B62">
        <f>'3.Cropland'!C73</f>
        <v/>
      </c>
      <c r="C62">
        <f>'3.Cropland'!E73</f>
        <v/>
      </c>
      <c r="D62">
        <f>'3.Cropland'!Z73</f>
        <v/>
      </c>
      <c r="E62">
        <f>IF('3.Cropland'!BL73&lt;&gt;0,'3.Cropland'!BL73, '3.Cropland'!BK73)</f>
        <v/>
      </c>
      <c r="F62">
        <f>time</f>
        <v/>
      </c>
      <c r="G62" s="4395">
        <f>'3.Cropland'!S73</f>
        <v/>
      </c>
      <c r="H62" s="4395">
        <f>'3.Cropland'!U73</f>
        <v/>
      </c>
      <c r="I62" s="4395">
        <f>IF(OR(H62="I", G62="I"), "I", IF(OR(H62="E", G62="E"), "E", "D"))</f>
        <v/>
      </c>
      <c r="J62" s="4395">
        <f>((D62/(time_cap+((F62-E62+1)*VLOOKUP(I62,list!$I$48:$K$50,3, FALSE))))*(F62-E62+1)*VLOOKUP(I62,list!$I$48:$K$50,3, FALSE))</f>
        <v/>
      </c>
      <c r="K62" s="4395">
        <f>((D62/(time_cap+((F62-E62+1)*VLOOKUP(I62,list!$I$48:$K$50,3, FALSE))))*time_cap)</f>
        <v/>
      </c>
      <c r="M62" s="4395">
        <f>IFERROR(IF((time+time_cap)&lt;M$2, 0,IF(AND(time+1&gt;=N$2, $E62&lt;N$2), IF($I62= "I", $J62/($F62-$E62+1), $J62/(($F62*($F62+1)/2)-(($E62-1)*($E62-1+1)/2))*M$2), 0)+IF(IF(time+1&gt;=N$2, $K62/time_cap/(time+1)*M$2, 0) = 0, $K62/(time_cap),0)),0)</f>
        <v/>
      </c>
      <c r="N62" s="4395">
        <f>IFERROR(IF((time+time_cap)&lt;N$2, 0,IF(AND(time+1&gt;=O$2, $E62&lt;O$2), IF($I62= "I", $J62/($F62-$E62+1), $J62/(($F62*($F62+1)/2)-(($E62-1)*($E62-1+1)/2))*N$2), 0)+IF(IF(time+1&gt;=O$2, $K62/time_cap/(time+1)*N$2, 0) = 0, $K62/(time_cap),0)),0)</f>
        <v/>
      </c>
      <c r="O62" s="4395">
        <f>IFERROR(IF((time+time_cap)&lt;O$2, 0,IF(AND(time+1&gt;=P$2, $E62&lt;P$2), IF($I62= "I", $J62/($F62-$E62+1), $J62/(($F62*($F62+1)/2)-(($E62-1)*($E62-1+1)/2))*O$2), 0)+IF(IF(time+1&gt;=P$2, $K62/time_cap/(time+1)*O$2, 0) = 0, $K62/(time_cap),0)),0)</f>
        <v/>
      </c>
      <c r="P62" s="4395">
        <f>IFERROR(IF((time+time_cap)&lt;P$2, 0,IF(AND(time+1&gt;=Q$2, $E62&lt;Q$2), IF($I62= "I", $J62/($F62-$E62+1), $J62/(($F62*($F62+1)/2)-(($E62-1)*($E62-1+1)/2))*P$2), 0)+IF(IF(time+1&gt;=Q$2, $K62/time_cap/(time+1)*P$2, 0) = 0, $K62/(time_cap),0)),0)</f>
        <v/>
      </c>
      <c r="Q62" s="4395">
        <f>IFERROR(IF((time+time_cap)&lt;Q$2, 0,IF(AND(time+1&gt;=R$2, $E62&lt;R$2), IF($I62= "I", $J62/($F62-$E62+1), $J62/(($F62*($F62+1)/2)-(($E62-1)*($E62-1+1)/2))*Q$2), 0)+IF(IF(time+1&gt;=R$2, $K62/time_cap/(time+1)*Q$2, 0) = 0, $K62/(time_cap),0)),0)</f>
        <v/>
      </c>
      <c r="R62" s="4395">
        <f>IFERROR(IF((time+time_cap)&lt;R$2, 0,IF(AND(time+1&gt;=S$2, $E62&lt;S$2), IF($I62= "I", $J62/($F62-$E62+1), $J62/(($F62*($F62+1)/2)-(($E62-1)*($E62-1+1)/2))*R$2), 0)+IF(IF(time+1&gt;=S$2, $K62/time_cap/(time+1)*R$2, 0) = 0, $K62/(time_cap),0)),0)</f>
        <v/>
      </c>
      <c r="S62" s="4395">
        <f>IFERROR(IF((time+time_cap)&lt;S$2, 0,IF(AND(time+1&gt;=T$2, $E62&lt;T$2), IF($I62= "I", $J62/($F62-$E62+1), $J62/(($F62*($F62+1)/2)-(($E62-1)*($E62-1+1)/2))*S$2), 0)+IF(IF(time+1&gt;=T$2, $K62/time_cap/(time+1)*S$2, 0) = 0, $K62/(time_cap),0)),0)</f>
        <v/>
      </c>
      <c r="T62" s="4395">
        <f>IFERROR(IF((time+time_cap)&lt;T$2, 0,IF(AND(time+1&gt;=U$2, $E62&lt;U$2), IF($I62= "I", $J62/($F62-$E62+1), $J62/(($F62*($F62+1)/2)-(($E62-1)*($E62-1+1)/2))*T$2), 0)+IF(IF(time+1&gt;=U$2, $K62/time_cap/(time+1)*T$2, 0) = 0, $K62/(time_cap),0)),0)</f>
        <v/>
      </c>
      <c r="U62" s="4395">
        <f>IFERROR(IF((time+time_cap)&lt;U$2, 0,IF(AND(time+1&gt;=V$2, $E62&lt;V$2), IF($I62= "I", $J62/($F62-$E62+1), $J62/(($F62*($F62+1)/2)-(($E62-1)*($E62-1+1)/2))*U$2), 0)+IF(IF(time+1&gt;=V$2, $K62/time_cap/(time+1)*U$2, 0) = 0, $K62/(time_cap),0)),0)</f>
        <v/>
      </c>
      <c r="V62" s="4395">
        <f>IFERROR(IF((time+time_cap)&lt;V$2, 0,IF(AND(time+1&gt;=W$2, $E62&lt;W$2), IF($I62= "I", $J62/($F62-$E62+1), $J62/(($F62*($F62+1)/2)-(($E62-1)*($E62-1+1)/2))*V$2), 0)+IF(IF(time+1&gt;=W$2, $K62/time_cap/(time+1)*V$2, 0) = 0, $K62/(time_cap),0)),0)</f>
        <v/>
      </c>
      <c r="W62" s="4395">
        <f>IFERROR(IF((time+time_cap)&lt;W$2, 0,IF(AND(time+1&gt;=X$2, $E62&lt;X$2), IF($I62= "I", $J62/($F62-$E62+1), $J62/(($F62*($F62+1)/2)-(($E62-1)*($E62-1+1)/2))*W$2), 0)+IF(IF(time+1&gt;=X$2, $K62/time_cap/(time+1)*W$2, 0) = 0, $K62/(time_cap),0)),0)</f>
        <v/>
      </c>
      <c r="X62" s="4395">
        <f>IFERROR(IF((time+time_cap)&lt;X$2, 0,IF(AND(time+1&gt;=Y$2, $E62&lt;Y$2), IF($I62= "I", $J62/($F62-$E62+1), $J62/(($F62*($F62+1)/2)-(($E62-1)*($E62-1+1)/2))*X$2), 0)+IF(IF(time+1&gt;=Y$2, $K62/time_cap/(time+1)*X$2, 0) = 0, $K62/(time_cap),0)),0)</f>
        <v/>
      </c>
      <c r="Y62" s="4395">
        <f>IFERROR(IF((time+time_cap)&lt;Y$2, 0,IF(AND(time+1&gt;=Z$2, $E62&lt;Z$2), IF($I62= "I", $J62/($F62-$E62+1), $J62/(($F62*($F62+1)/2)-(($E62-1)*($E62-1+1)/2))*Y$2), 0)+IF(IF(time+1&gt;=Z$2, $K62/time_cap/(time+1)*Y$2, 0) = 0, $K62/(time_cap),0)),0)</f>
        <v/>
      </c>
      <c r="Z62" s="4395">
        <f>IFERROR(IF((time+time_cap)&lt;Z$2, 0,IF(AND(time+1&gt;=AA$2, $E62&lt;AA$2), IF($I62= "I", $J62/($F62-$E62+1), $J62/(($F62*($F62+1)/2)-(($E62-1)*($E62-1+1)/2))*Z$2), 0)+IF(IF(time+1&gt;=AA$2, $K62/time_cap/(time+1)*Z$2, 0) = 0, $K62/(time_cap),0)),0)</f>
        <v/>
      </c>
      <c r="AA62" s="4395">
        <f>IFERROR(IF((time+time_cap)&lt;AA$2, 0,IF(AND(time+1&gt;=AB$2, $E62&lt;AB$2), IF($I62= "I", $J62/($F62-$E62+1), $J62/(($F62*($F62+1)/2)-(($E62-1)*($E62-1+1)/2))*AA$2), 0)+IF(IF(time+1&gt;=AB$2, $K62/time_cap/(time+1)*AA$2, 0) = 0, $K62/(time_cap),0)),0)</f>
        <v/>
      </c>
      <c r="AB62" s="4395">
        <f>IFERROR(IF((time+time_cap)&lt;AB$2, 0,IF(AND(time+1&gt;=AC$2, $E62&lt;AC$2), IF($I62= "I", $J62/($F62-$E62+1), $J62/(($F62*($F62+1)/2)-(($E62-1)*($E62-1+1)/2))*AB$2), 0)+IF(IF(time+1&gt;=AC$2, $K62/time_cap/(time+1)*AB$2, 0) = 0, $K62/(time_cap),0)),0)</f>
        <v/>
      </c>
      <c r="AC62" s="4395">
        <f>IFERROR(IF((time+time_cap)&lt;AC$2, 0,IF(AND(time+1&gt;=AD$2, $E62&lt;AD$2), IF($I62= "I", $J62/($F62-$E62+1), $J62/(($F62*($F62+1)/2)-(($E62-1)*($E62-1+1)/2))*AC$2), 0)+IF(IF(time+1&gt;=AD$2, $K62/time_cap/(time+1)*AC$2, 0) = 0, $K62/(time_cap),0)),0)</f>
        <v/>
      </c>
      <c r="AD62" s="4395">
        <f>IFERROR(IF((time+time_cap)&lt;AD$2, 0,IF(AND(time+1&gt;=AE$2, $E62&lt;AE$2), IF($I62= "I", $J62/($F62-$E62+1), $J62/(($F62*($F62+1)/2)-(($E62-1)*($E62-1+1)/2))*AD$2), 0)+IF(IF(time+1&gt;=AE$2, $K62/time_cap/(time+1)*AD$2, 0) = 0, $K62/(time_cap),0)),0)</f>
        <v/>
      </c>
      <c r="AE62" s="4395">
        <f>IFERROR(IF((time+time_cap)&lt;AE$2, 0,IF(AND(time+1&gt;=AF$2, $E62&lt;AF$2), IF($I62= "I", $J62/($F62-$E62+1), $J62/(($F62*($F62+1)/2)-(($E62-1)*($E62-1+1)/2))*AE$2), 0)+IF(IF(time+1&gt;=AF$2, $K62/time_cap/(time+1)*AE$2, 0) = 0, $K62/(time_cap),0)),0)</f>
        <v/>
      </c>
      <c r="AF62" s="4395">
        <f>IFERROR(IF((time+time_cap)&lt;AF$2, 0,IF(AND(time+1&gt;=AG$2, $E62&lt;AG$2), IF($I62= "I", $J62/($F62-$E62+1), $J62/(($F62*($F62+1)/2)-(($E62-1)*($E62-1+1)/2))*AF$2), 0)+IF(IF(time+1&gt;=AG$2, $K62/time_cap/(time+1)*AF$2, 0) = 0, $K62/(time_cap),0)),0)</f>
        <v/>
      </c>
      <c r="AG62" s="4395">
        <f>IFERROR(IF((time+time_cap)&lt;AG$2, 0,IF(AND(time+1&gt;=AH$2, $E62&lt;AH$2), IF($I62= "I", $J62/($F62-$E62+1), $J62/(($F62*($F62+1)/2)-(($E62-1)*($E62-1+1)/2))*AG$2), 0)+IF(IF(time+1&gt;=AH$2, $K62/time_cap/(time+1)*AG$2, 0) = 0, $K62/(time_cap),0)),0)</f>
        <v/>
      </c>
      <c r="AH62" s="4395">
        <f>IFERROR(IF((time+time_cap)&lt;AH$2, 0,IF(AND(time+1&gt;=AI$2, $E62&lt;AI$2), IF($I62= "I", $J62/($F62-$E62+1), $J62/(($F62*($F62+1)/2)-(($E62-1)*($E62-1+1)/2))*AH$2), 0)+IF(IF(time+1&gt;=AI$2, $K62/time_cap/(time+1)*AH$2, 0) = 0, $K62/(time_cap),0)),0)</f>
        <v/>
      </c>
      <c r="AI62" s="4395">
        <f>IFERROR(IF((time+time_cap)&lt;AI$2, 0,IF(AND(time+1&gt;=AJ$2, $E62&lt;AJ$2), IF($I62= "I", $J62/($F62-$E62+1), $J62/(($F62*($F62+1)/2)-(($E62-1)*($E62-1+1)/2))*AI$2), 0)+IF(IF(time+1&gt;=AJ$2, $K62/time_cap/(time+1)*AI$2, 0) = 0, $K62/(time_cap),0)),0)</f>
        <v/>
      </c>
      <c r="AJ62" s="4395">
        <f>IFERROR(IF((time+time_cap)&lt;AJ$2, 0,IF(AND(time+1&gt;=AK$2, $E62&lt;AK$2), IF($I62= "I", $J62/($F62-$E62+1), $J62/(($F62*($F62+1)/2)-(($E62-1)*($E62-1+1)/2))*AJ$2), 0)+IF(IF(time+1&gt;=AK$2, $K62/time_cap/(time+1)*AJ$2, 0) = 0, $K62/(time_cap),0)),0)</f>
        <v/>
      </c>
      <c r="AK62" s="4395">
        <f>IFERROR(IF((time+time_cap)&lt;AK$2, 0,IF(AND(time+1&gt;=AL$2, $E62&lt;AL$2), IF($I62= "I", $J62/($F62-$E62+1), $J62/(($F62*($F62+1)/2)-(($E62-1)*($E62-1+1)/2))*AK$2), 0)+IF(IF(time+1&gt;=AL$2, $K62/time_cap/(time+1)*AK$2, 0) = 0, $K62/(time_cap),0)),0)</f>
        <v/>
      </c>
      <c r="AL62" s="4395">
        <f>IFERROR(IF((time+time_cap)&lt;AL$2, 0,IF(AND(time+1&gt;=AM$2, $E62&lt;AM$2), IF($I62= "I", $J62/($F62-$E62+1), $J62/(($F62*($F62+1)/2)-(($E62-1)*($E62-1+1)/2))*AL$2), 0)+IF(IF(time+1&gt;=AM$2, $K62/time_cap/(time+1)*AL$2, 0) = 0, $K62/(time_cap),0)),0)</f>
        <v/>
      </c>
      <c r="AM62" s="4395">
        <f>IFERROR(IF((time+time_cap)&lt;AM$2, 0,IF(AND(time+1&gt;=AN$2, $E62&lt;AN$2), IF($I62= "I", $J62/($F62-$E62+1), $J62/(($F62*($F62+1)/2)-(($E62-1)*($E62-1+1)/2))*AM$2), 0)+IF(IF(time+1&gt;=AN$2, $K62/time_cap/(time+1)*AM$2, 0) = 0, $K62/(time_cap),0)),0)</f>
        <v/>
      </c>
      <c r="AN62" s="4395">
        <f>IFERROR(IF((time+time_cap)&lt;AN$2, 0,IF(AND(time+1&gt;=AO$2, $E62&lt;AO$2), IF($I62= "I", $J62/($F62-$E62+1), $J62/(($F62*($F62+1)/2)-(($E62-1)*($E62-1+1)/2))*AN$2), 0)+IF(IF(time+1&gt;=AO$2, $K62/time_cap/(time+1)*AN$2, 0) = 0, $K62/(time_cap),0)),0)</f>
        <v/>
      </c>
      <c r="AO62" s="4395">
        <f>IFERROR(IF((time+time_cap)&lt;AO$2, 0,IF(AND(time+1&gt;=AP$2, $E62&lt;AP$2), IF($I62= "I", $J62/($F62-$E62+1), $J62/(($F62*($F62+1)/2)-(($E62-1)*($E62-1+1)/2))*AO$2), 0)+IF(IF(time+1&gt;=AP$2, $K62/time_cap/(time+1)*AO$2, 0) = 0, $K62/(time_cap),0)),0)</f>
        <v/>
      </c>
      <c r="AP62" s="4395">
        <f>IFERROR(IF((time+time_cap)&lt;AP$2, 0,IF(AND(time+1&gt;=AQ$2, $E62&lt;AQ$2), IF($I62= "I", $J62/($F62-$E62+1), $J62/(($F62*($F62+1)/2)-(($E62-1)*($E62-1+1)/2))*AP$2), 0)+IF(IF(time+1&gt;=AQ$2, $K62/time_cap/(time+1)*AP$2, 0) = 0, $K62/(time_cap),0)),0)</f>
        <v/>
      </c>
      <c r="AQ62" s="4395">
        <f>IFERROR(IF((time+time_cap)&lt;AQ$2, 0,IF(AND(time+1&gt;=AR$2, $E62&lt;AR$2), IF($I62= "I", $J62/($F62-$E62+1), $J62/(($F62*($F62+1)/2)-(($E62-1)*($E62-1+1)/2))*AQ$2), 0)+IF(IF(time+1&gt;=AR$2, $K62/time_cap/(time+1)*AQ$2, 0) = 0, $K62/(time_cap),0)),0)</f>
        <v/>
      </c>
      <c r="AR62" s="4395">
        <f>IFERROR(IF((time+time_cap)&lt;AR$2, 0,IF(AND(time+1&gt;=AS$2, $E62&lt;AS$2), IF($I62= "I", $J62/($F62-$E62+1), $J62/(($F62*($F62+1)/2)-(($E62-1)*($E62-1+1)/2))*AR$2), 0)+IF(IF(time+1&gt;=AS$2, $K62/time_cap/(time+1)*AR$2, 0) = 0, $K62/(time_cap),0)),0)</f>
        <v/>
      </c>
      <c r="AS62" s="4395">
        <f>IFERROR(IF((time+time_cap)&lt;AS$2, 0,IF(AND(time+1&gt;=AT$2, $E62&lt;AT$2), IF($I62= "I", $J62/($F62-$E62+1), $J62/(($F62*($F62+1)/2)-(($E62-1)*($E62-1+1)/2))*AS$2), 0)+IF(IF(time+1&gt;=AT$2, $K62/time_cap/(time+1)*AS$2, 0) = 0, $K62/(time_cap),0)),0)</f>
        <v/>
      </c>
      <c r="AT62" s="4395">
        <f>IFERROR(IF((time+time_cap)&lt;AT$2, 0,IF(AND(time+1&gt;=AU$2, $E62&lt;AU$2), IF($I62= "I", $J62/($F62-$E62+1), $J62/(($F62*($F62+1)/2)-(($E62-1)*($E62-1+1)/2))*AT$2), 0)+IF(IF(time+1&gt;=AU$2, $K62/time_cap/(time+1)*AT$2, 0) = 0, $K62/(time_cap),0)),0)</f>
        <v/>
      </c>
      <c r="AU62" s="4395">
        <f>IFERROR(IF((time+time_cap)&lt;AU$2, 0,IF(AND(time+1&gt;=AV$2, $E62&lt;AV$2), IF($I62= "I", $J62/($F62-$E62+1), $J62/(($F62*($F62+1)/2)-(($E62-1)*($E62-1+1)/2))*AU$2), 0)+IF(IF(time+1&gt;=AV$2, $K62/time_cap/(time+1)*AU$2, 0) = 0, $K62/(time_cap),0)),0)</f>
        <v/>
      </c>
      <c r="AV62" s="4395">
        <f>IFERROR(IF((time+time_cap)&lt;AV$2, 0,IF(AND(time+1&gt;=AW$2, $E62&lt;AW$2), IF($I62= "I", $J62/($F62-$E62+1), $J62/(($F62*($F62+1)/2)-(($E62-1)*($E62-1+1)/2))*AV$2), 0)+IF(IF(time+1&gt;=AW$2, $K62/time_cap/(time+1)*AV$2, 0) = 0, $K62/(time_cap),0)),0)</f>
        <v/>
      </c>
      <c r="AW62" s="4395">
        <f>IFERROR(IF((time+time_cap)&lt;AW$2, 0,IF(AND(time+1&gt;=AX$2, $E62&lt;AX$2), IF($I62= "I", $J62/($F62-$E62+1), $J62/(($F62*($F62+1)/2)-(($E62-1)*($E62-1+1)/2))*AW$2), 0)+IF(IF(time+1&gt;=AX$2, $K62/time_cap/(time+1)*AW$2, 0) = 0, $K62/(time_cap),0)),0)</f>
        <v/>
      </c>
      <c r="AX62" s="4395">
        <f>IFERROR(IF((time+time_cap)&lt;AX$2, 0,IF(AND(time+1&gt;=AY$2, $E62&lt;AY$2), IF($I62= "I", $J62/($F62-$E62+1), $J62/(($F62*($F62+1)/2)-(($E62-1)*($E62-1+1)/2))*AX$2), 0)+IF(IF(time+1&gt;=AY$2, $K62/time_cap/(time+1)*AX$2, 0) = 0, $K62/(time_cap),0)),0)</f>
        <v/>
      </c>
      <c r="AY62" s="4395">
        <f>IFERROR(IF((time+time_cap)&lt;AY$2, 0,IF(AND(time+1&gt;=AZ$2, $E62&lt;AZ$2), IF($I62= "I", $J62/($F62-$E62+1), $J62/(($F62*($F62+1)/2)-(($E62-1)*($E62-1+1)/2))*AY$2), 0)+IF(IF(time+1&gt;=AZ$2, $K62/time_cap/(time+1)*AY$2, 0) = 0, $K62/(time_cap),0)),0)</f>
        <v/>
      </c>
      <c r="AZ62" s="4395">
        <f>IFERROR(IF((time+time_cap)&lt;AZ$2, 0,IF(AND(time+1&gt;=BA$2, $E62&lt;BA$2), IF($I62= "I", $J62/($F62-$E62+1), $J62/(($F62*($F62+1)/2)-(($E62-1)*($E62-1+1)/2))*AZ$2), 0)+IF(IF(time+1&gt;=BA$2, $K62/time_cap/(time+1)*AZ$2, 0) = 0, $K62/(time_cap),0)),0)</f>
        <v/>
      </c>
      <c r="BA62" s="4395">
        <f>IFERROR(IF((time+time_cap)&lt;BA$2, 0,IF(AND(time+1&gt;=BB$2, $E62&lt;BB$2), IF($I62= "I", $J62/($F62-$E62+1), $J62/(($F62*($F62+1)/2)-(($E62-1)*($E62-1+1)/2))*BA$2), 0)+IF(IF(time+1&gt;=BB$2, $K62/time_cap/(time+1)*BA$2, 0) = 0, $K62/(time_cap),0)),0)</f>
        <v/>
      </c>
      <c r="BB62" s="4395">
        <f>IFERROR(IF((time+time_cap)&lt;BB$2, 0,IF(AND(time+1&gt;=BC$2, $E62&lt;BC$2), IF($I62= "I", $J62/($F62-$E62+1), $J62/(($F62*($F62+1)/2)-(($E62-1)*($E62-1+1)/2))*BB$2), 0)+IF(IF(time+1&gt;=BC$2, $K62/time_cap/(time+1)*BB$2, 0) = 0, $K62/(time_cap),0)),0)</f>
        <v/>
      </c>
      <c r="BC62" s="4395">
        <f>IFERROR(IF((time+time_cap)&lt;BC$2, 0,IF(AND(time+1&gt;=BD$2, $E62&lt;BD$2), IF($I62= "I", $J62/($F62-$E62+1), $J62/(($F62*($F62+1)/2)-(($E62-1)*($E62-1+1)/2))*BC$2), 0)+IF(IF(time+1&gt;=BD$2, $K62/time_cap/(time+1)*BC$2, 0) = 0, $K62/(time_cap),0)),0)</f>
        <v/>
      </c>
      <c r="BD62" s="4395">
        <f>IFERROR(IF((time+time_cap)&lt;BD$2, 0,IF(AND(time+1&gt;=BE$2, $E62&lt;BE$2), IF($I62= "I", $J62/($F62-$E62+1), $J62/(($F62*($F62+1)/2)-(($E62-1)*($E62-1+1)/2))*BD$2), 0)+IF(IF(time+1&gt;=BE$2, $K62/time_cap/(time+1)*BD$2, 0) = 0, $K62/(time_cap),0)),0)</f>
        <v/>
      </c>
      <c r="BE62" s="4395">
        <f>IFERROR(IF((time+time_cap)&lt;BE$2, 0,IF(AND(time+1&gt;=BF$2, $E62&lt;BF$2), IF($I62= "I", $J62/($F62-$E62+1), $J62/(($F62*($F62+1)/2)-(($E62-1)*($E62-1+1)/2))*BE$2), 0)+IF(IF(time+1&gt;=BF$2, $K62/time_cap/(time+1)*BE$2, 0) = 0, $K62/(time_cap),0)),0)</f>
        <v/>
      </c>
      <c r="BF62" s="4395">
        <f>IFERROR(IF((time+time_cap)&lt;BF$2, 0,IF(AND(time+1&gt;=BG$2, $E62&lt;BG$2), IF($I62= "I", $J62/($F62-$E62+1), $J62/(($F62*($F62+1)/2)-(($E62-1)*($E62-1+1)/2))*BF$2), 0)+IF(IF(time+1&gt;=BG$2, $K62/time_cap/(time+1)*BF$2, 0) = 0, $K62/(time_cap),0)),0)</f>
        <v/>
      </c>
      <c r="BG62" s="4395">
        <f>IFERROR(IF((time+time_cap)&lt;BG$2, 0,IF(AND(time+1&gt;=BH$2, $E62&lt;BH$2), IF($I62= "I", $J62/($F62-$E62+1), $J62/(($F62*($F62+1)/2)-(($E62-1)*($E62-1+1)/2))*BG$2), 0)+IF(IF(time+1&gt;=BH$2, $K62/time_cap/(time+1)*BG$2, 0) = 0, $K62/(time_cap),0)),0)</f>
        <v/>
      </c>
      <c r="BH62" s="4395">
        <f>IFERROR(IF((time+time_cap)&lt;BH$2, 0,IF(AND(time+1&gt;=BI$2, $E62&lt;BI$2), IF($I62= "I", $J62/($F62-$E62+1), $J62/(($F62*($F62+1)/2)-(($E62-1)*($E62-1+1)/2))*BH$2), 0)+IF(IF(time+1&gt;=BI$2, $K62/time_cap/(time+1)*BH$2, 0) = 0, $K62/(time_cap),0)),0)</f>
        <v/>
      </c>
      <c r="BI62" s="4395">
        <f>IFERROR(IF((time+time_cap)&lt;BI$2, 0,IF(AND(time+1&gt;=BJ$2, $E62&lt;BJ$2), IF($I62= "I", $J62/($F62-$E62+1), $J62/(($F62*($F62+1)/2)-(($E62-1)*($E62-1+1)/2))*BI$2), 0)+IF(IF(time+1&gt;=BJ$2, $K62/time_cap/(time+1)*BI$2, 0) = 0, $K62/(time_cap),0)),0)</f>
        <v/>
      </c>
      <c r="BJ62" s="4395">
        <f>IFERROR(IF((time+time_cap)&lt;BJ$2, 0,IF(AND(time+1&gt;=BK$2, $E62&lt;BK$2), IF($I62= "I", $J62/($F62-$E62+1), $J62/(($F62*($F62+1)/2)-(($E62-1)*($E62-1+1)/2))*BJ$2), 0)+IF(IF(time+1&gt;=BK$2, $K62/time_cap/(time+1)*BJ$2, 0) = 0, $K62/(time_cap),0)),0)</f>
        <v/>
      </c>
      <c r="BK62" s="4395" t="n"/>
      <c r="BL62" s="4395" t="n"/>
      <c r="BM62" s="4395" t="n"/>
      <c r="BN62" s="4395" t="n"/>
      <c r="BO62" s="4395" t="n"/>
      <c r="BP62" s="4395" t="n"/>
      <c r="BQ62" s="4395" t="n"/>
      <c r="BR62" s="4395" t="n"/>
      <c r="BS62" s="4395" t="n"/>
      <c r="BT62" s="4395" t="n"/>
      <c r="BU62" s="4395" t="n"/>
      <c r="BV62" s="4395" t="n"/>
      <c r="BW62" s="4395" t="n"/>
      <c r="BX62" s="4395" t="n"/>
      <c r="BY62" s="4395" t="n"/>
      <c r="BZ62" s="4395" t="n"/>
      <c r="CA62" s="4395" t="n"/>
      <c r="CB62" s="4395" t="n"/>
      <c r="CC62" s="4395" t="n"/>
      <c r="CD62" s="4395" t="n"/>
      <c r="CE62" s="4395" t="n"/>
      <c r="CF62" s="4395" t="n"/>
      <c r="CG62" s="4395" t="n"/>
      <c r="CH62" s="4395" t="n"/>
      <c r="CI62" s="4395" t="n"/>
      <c r="CJ62" s="4395" t="n"/>
      <c r="CK62" s="4395" t="n"/>
      <c r="CL62" s="4395" t="n"/>
      <c r="CM62" s="4395" t="n"/>
      <c r="CN62" s="4395" t="n"/>
      <c r="CO62" s="4395" t="n"/>
      <c r="CP62" s="4395" t="n"/>
      <c r="CQ62" s="4395" t="n"/>
      <c r="CR62" s="4395" t="n"/>
      <c r="CS62" s="4395" t="n"/>
      <c r="CT62" s="4395" t="n"/>
      <c r="CU62" s="4395" t="n"/>
      <c r="CV62" s="4395" t="n"/>
      <c r="CW62" s="4395" t="n"/>
      <c r="CX62" s="4395" t="n"/>
      <c r="CY62" s="4395" t="n"/>
      <c r="CZ62" s="4395" t="n"/>
      <c r="DA62" s="4395" t="n"/>
      <c r="DB62" s="4395" t="n"/>
      <c r="DC62" s="4395" t="n"/>
      <c r="DD62" s="4395" t="n"/>
      <c r="DE62" s="4395" t="n"/>
      <c r="DF62" s="4395" t="n"/>
      <c r="DG62" s="4395" t="n"/>
      <c r="DH62" s="4395" t="n"/>
    </row>
    <row r="63" ht="16" customHeight="1">
      <c r="A63" t="inlineStr">
        <is>
          <t>Perennials</t>
        </is>
      </c>
      <c r="B63">
        <f>'3.Cropland'!C74</f>
        <v/>
      </c>
      <c r="C63">
        <f>'3.Cropland'!E74</f>
        <v/>
      </c>
      <c r="D63">
        <f>'3.Cropland'!Z74</f>
        <v/>
      </c>
      <c r="E63">
        <f>IF('3.Cropland'!BL74&lt;&gt;0,'3.Cropland'!BL74, '3.Cropland'!BK74)</f>
        <v/>
      </c>
      <c r="F63">
        <f>time</f>
        <v/>
      </c>
      <c r="G63" s="4395">
        <f>'3.Cropland'!S74</f>
        <v/>
      </c>
      <c r="H63" s="4395">
        <f>'3.Cropland'!U74</f>
        <v/>
      </c>
      <c r="I63" s="4395">
        <f>IF(OR(H63="I", G63="I"), "I", IF(OR(H63="E", G63="E"), "E", "D"))</f>
        <v/>
      </c>
      <c r="J63" s="4395">
        <f>((D63/(time_cap+((F63-E63+1)*VLOOKUP(I63,list!$I$48:$K$50,3, FALSE))))*(F63-E63+1)*VLOOKUP(I63,list!$I$48:$K$50,3, FALSE))</f>
        <v/>
      </c>
      <c r="K63" s="4395">
        <f>((D63/(time_cap+((F63-E63+1)*VLOOKUP(I63,list!$I$48:$K$50,3, FALSE))))*time_cap)</f>
        <v/>
      </c>
      <c r="M63" s="4395">
        <f>IFERROR(IF((time+time_cap)&lt;M$2, 0,IF(AND(time+1&gt;=N$2, $E63&lt;N$2), IF($I63= "I", $J63/($F63-$E63+1), $J63/(($F63*($F63+1)/2)-(($E63-1)*($E63-1+1)/2))*M$2), 0)+IF(IF(time+1&gt;=N$2, $K63/time_cap/(time+1)*M$2, 0) = 0, $K63/(time_cap),0)),0)</f>
        <v/>
      </c>
      <c r="N63" s="4395">
        <f>IFERROR(IF((time+time_cap)&lt;N$2, 0,IF(AND(time+1&gt;=O$2, $E63&lt;O$2), IF($I63= "I", $J63/($F63-$E63+1), $J63/(($F63*($F63+1)/2)-(($E63-1)*($E63-1+1)/2))*N$2), 0)+IF(IF(time+1&gt;=O$2, $K63/time_cap/(time+1)*N$2, 0) = 0, $K63/(time_cap),0)),0)</f>
        <v/>
      </c>
      <c r="O63" s="4395">
        <f>IFERROR(IF((time+time_cap)&lt;O$2, 0,IF(AND(time+1&gt;=P$2, $E63&lt;P$2), IF($I63= "I", $J63/($F63-$E63+1), $J63/(($F63*($F63+1)/2)-(($E63-1)*($E63-1+1)/2))*O$2), 0)+IF(IF(time+1&gt;=P$2, $K63/time_cap/(time+1)*O$2, 0) = 0, $K63/(time_cap),0)),0)</f>
        <v/>
      </c>
      <c r="P63" s="4395">
        <f>IFERROR(IF((time+time_cap)&lt;P$2, 0,IF(AND(time+1&gt;=Q$2, $E63&lt;Q$2), IF($I63= "I", $J63/($F63-$E63+1), $J63/(($F63*($F63+1)/2)-(($E63-1)*($E63-1+1)/2))*P$2), 0)+IF(IF(time+1&gt;=Q$2, $K63/time_cap/(time+1)*P$2, 0) = 0, $K63/(time_cap),0)),0)</f>
        <v/>
      </c>
      <c r="Q63" s="4395">
        <f>IFERROR(IF((time+time_cap)&lt;Q$2, 0,IF(AND(time+1&gt;=R$2, $E63&lt;R$2), IF($I63= "I", $J63/($F63-$E63+1), $J63/(($F63*($F63+1)/2)-(($E63-1)*($E63-1+1)/2))*Q$2), 0)+IF(IF(time+1&gt;=R$2, $K63/time_cap/(time+1)*Q$2, 0) = 0, $K63/(time_cap),0)),0)</f>
        <v/>
      </c>
      <c r="R63" s="4395">
        <f>IFERROR(IF((time+time_cap)&lt;R$2, 0,IF(AND(time+1&gt;=S$2, $E63&lt;S$2), IF($I63= "I", $J63/($F63-$E63+1), $J63/(($F63*($F63+1)/2)-(($E63-1)*($E63-1+1)/2))*R$2), 0)+IF(IF(time+1&gt;=S$2, $K63/time_cap/(time+1)*R$2, 0) = 0, $K63/(time_cap),0)),0)</f>
        <v/>
      </c>
      <c r="S63" s="4395">
        <f>IFERROR(IF((time+time_cap)&lt;S$2, 0,IF(AND(time+1&gt;=T$2, $E63&lt;T$2), IF($I63= "I", $J63/($F63-$E63+1), $J63/(($F63*($F63+1)/2)-(($E63-1)*($E63-1+1)/2))*S$2), 0)+IF(IF(time+1&gt;=T$2, $K63/time_cap/(time+1)*S$2, 0) = 0, $K63/(time_cap),0)),0)</f>
        <v/>
      </c>
      <c r="T63" s="4395">
        <f>IFERROR(IF((time+time_cap)&lt;T$2, 0,IF(AND(time+1&gt;=U$2, $E63&lt;U$2), IF($I63= "I", $J63/($F63-$E63+1), $J63/(($F63*($F63+1)/2)-(($E63-1)*($E63-1+1)/2))*T$2), 0)+IF(IF(time+1&gt;=U$2, $K63/time_cap/(time+1)*T$2, 0) = 0, $K63/(time_cap),0)),0)</f>
        <v/>
      </c>
      <c r="U63" s="4395">
        <f>IFERROR(IF((time+time_cap)&lt;U$2, 0,IF(AND(time+1&gt;=V$2, $E63&lt;V$2), IF($I63= "I", $J63/($F63-$E63+1), $J63/(($F63*($F63+1)/2)-(($E63-1)*($E63-1+1)/2))*U$2), 0)+IF(IF(time+1&gt;=V$2, $K63/time_cap/(time+1)*U$2, 0) = 0, $K63/(time_cap),0)),0)</f>
        <v/>
      </c>
      <c r="V63" s="4395">
        <f>IFERROR(IF((time+time_cap)&lt;V$2, 0,IF(AND(time+1&gt;=W$2, $E63&lt;W$2), IF($I63= "I", $J63/($F63-$E63+1), $J63/(($F63*($F63+1)/2)-(($E63-1)*($E63-1+1)/2))*V$2), 0)+IF(IF(time+1&gt;=W$2, $K63/time_cap/(time+1)*V$2, 0) = 0, $K63/(time_cap),0)),0)</f>
        <v/>
      </c>
      <c r="W63" s="4395">
        <f>IFERROR(IF((time+time_cap)&lt;W$2, 0,IF(AND(time+1&gt;=X$2, $E63&lt;X$2), IF($I63= "I", $J63/($F63-$E63+1), $J63/(($F63*($F63+1)/2)-(($E63-1)*($E63-1+1)/2))*W$2), 0)+IF(IF(time+1&gt;=X$2, $K63/time_cap/(time+1)*W$2, 0) = 0, $K63/(time_cap),0)),0)</f>
        <v/>
      </c>
      <c r="X63" s="4395">
        <f>IFERROR(IF((time+time_cap)&lt;X$2, 0,IF(AND(time+1&gt;=Y$2, $E63&lt;Y$2), IF($I63= "I", $J63/($F63-$E63+1), $J63/(($F63*($F63+1)/2)-(($E63-1)*($E63-1+1)/2))*X$2), 0)+IF(IF(time+1&gt;=Y$2, $K63/time_cap/(time+1)*X$2, 0) = 0, $K63/(time_cap),0)),0)</f>
        <v/>
      </c>
      <c r="Y63" s="4395">
        <f>IFERROR(IF((time+time_cap)&lt;Y$2, 0,IF(AND(time+1&gt;=Z$2, $E63&lt;Z$2), IF($I63= "I", $J63/($F63-$E63+1), $J63/(($F63*($F63+1)/2)-(($E63-1)*($E63-1+1)/2))*Y$2), 0)+IF(IF(time+1&gt;=Z$2, $K63/time_cap/(time+1)*Y$2, 0) = 0, $K63/(time_cap),0)),0)</f>
        <v/>
      </c>
      <c r="Z63" s="4395">
        <f>IFERROR(IF((time+time_cap)&lt;Z$2, 0,IF(AND(time+1&gt;=AA$2, $E63&lt;AA$2), IF($I63= "I", $J63/($F63-$E63+1), $J63/(($F63*($F63+1)/2)-(($E63-1)*($E63-1+1)/2))*Z$2), 0)+IF(IF(time+1&gt;=AA$2, $K63/time_cap/(time+1)*Z$2, 0) = 0, $K63/(time_cap),0)),0)</f>
        <v/>
      </c>
      <c r="AA63" s="4395">
        <f>IFERROR(IF((time+time_cap)&lt;AA$2, 0,IF(AND(time+1&gt;=AB$2, $E63&lt;AB$2), IF($I63= "I", $J63/($F63-$E63+1), $J63/(($F63*($F63+1)/2)-(($E63-1)*($E63-1+1)/2))*AA$2), 0)+IF(IF(time+1&gt;=AB$2, $K63/time_cap/(time+1)*AA$2, 0) = 0, $K63/(time_cap),0)),0)</f>
        <v/>
      </c>
      <c r="AB63" s="4395">
        <f>IFERROR(IF((time+time_cap)&lt;AB$2, 0,IF(AND(time+1&gt;=AC$2, $E63&lt;AC$2), IF($I63= "I", $J63/($F63-$E63+1), $J63/(($F63*($F63+1)/2)-(($E63-1)*($E63-1+1)/2))*AB$2), 0)+IF(IF(time+1&gt;=AC$2, $K63/time_cap/(time+1)*AB$2, 0) = 0, $K63/(time_cap),0)),0)</f>
        <v/>
      </c>
      <c r="AC63" s="4395">
        <f>IFERROR(IF((time+time_cap)&lt;AC$2, 0,IF(AND(time+1&gt;=AD$2, $E63&lt;AD$2), IF($I63= "I", $J63/($F63-$E63+1), $J63/(($F63*($F63+1)/2)-(($E63-1)*($E63-1+1)/2))*AC$2), 0)+IF(IF(time+1&gt;=AD$2, $K63/time_cap/(time+1)*AC$2, 0) = 0, $K63/(time_cap),0)),0)</f>
        <v/>
      </c>
      <c r="AD63" s="4395">
        <f>IFERROR(IF((time+time_cap)&lt;AD$2, 0,IF(AND(time+1&gt;=AE$2, $E63&lt;AE$2), IF($I63= "I", $J63/($F63-$E63+1), $J63/(($F63*($F63+1)/2)-(($E63-1)*($E63-1+1)/2))*AD$2), 0)+IF(IF(time+1&gt;=AE$2, $K63/time_cap/(time+1)*AD$2, 0) = 0, $K63/(time_cap),0)),0)</f>
        <v/>
      </c>
      <c r="AE63" s="4395">
        <f>IFERROR(IF((time+time_cap)&lt;AE$2, 0,IF(AND(time+1&gt;=AF$2, $E63&lt;AF$2), IF($I63= "I", $J63/($F63-$E63+1), $J63/(($F63*($F63+1)/2)-(($E63-1)*($E63-1+1)/2))*AE$2), 0)+IF(IF(time+1&gt;=AF$2, $K63/time_cap/(time+1)*AE$2, 0) = 0, $K63/(time_cap),0)),0)</f>
        <v/>
      </c>
      <c r="AF63" s="4395">
        <f>IFERROR(IF((time+time_cap)&lt;AF$2, 0,IF(AND(time+1&gt;=AG$2, $E63&lt;AG$2), IF($I63= "I", $J63/($F63-$E63+1), $J63/(($F63*($F63+1)/2)-(($E63-1)*($E63-1+1)/2))*AF$2), 0)+IF(IF(time+1&gt;=AG$2, $K63/time_cap/(time+1)*AF$2, 0) = 0, $K63/(time_cap),0)),0)</f>
        <v/>
      </c>
      <c r="AG63" s="4395">
        <f>IFERROR(IF((time+time_cap)&lt;AG$2, 0,IF(AND(time+1&gt;=AH$2, $E63&lt;AH$2), IF($I63= "I", $J63/($F63-$E63+1), $J63/(($F63*($F63+1)/2)-(($E63-1)*($E63-1+1)/2))*AG$2), 0)+IF(IF(time+1&gt;=AH$2, $K63/time_cap/(time+1)*AG$2, 0) = 0, $K63/(time_cap),0)),0)</f>
        <v/>
      </c>
      <c r="AH63" s="4395">
        <f>IFERROR(IF((time+time_cap)&lt;AH$2, 0,IF(AND(time+1&gt;=AI$2, $E63&lt;AI$2), IF($I63= "I", $J63/($F63-$E63+1), $J63/(($F63*($F63+1)/2)-(($E63-1)*($E63-1+1)/2))*AH$2), 0)+IF(IF(time+1&gt;=AI$2, $K63/time_cap/(time+1)*AH$2, 0) = 0, $K63/(time_cap),0)),0)</f>
        <v/>
      </c>
      <c r="AI63" s="4395">
        <f>IFERROR(IF((time+time_cap)&lt;AI$2, 0,IF(AND(time+1&gt;=AJ$2, $E63&lt;AJ$2), IF($I63= "I", $J63/($F63-$E63+1), $J63/(($F63*($F63+1)/2)-(($E63-1)*($E63-1+1)/2))*AI$2), 0)+IF(IF(time+1&gt;=AJ$2, $K63/time_cap/(time+1)*AI$2, 0) = 0, $K63/(time_cap),0)),0)</f>
        <v/>
      </c>
      <c r="AJ63" s="4395">
        <f>IFERROR(IF((time+time_cap)&lt;AJ$2, 0,IF(AND(time+1&gt;=AK$2, $E63&lt;AK$2), IF($I63= "I", $J63/($F63-$E63+1), $J63/(($F63*($F63+1)/2)-(($E63-1)*($E63-1+1)/2))*AJ$2), 0)+IF(IF(time+1&gt;=AK$2, $K63/time_cap/(time+1)*AJ$2, 0) = 0, $K63/(time_cap),0)),0)</f>
        <v/>
      </c>
      <c r="AK63" s="4395">
        <f>IFERROR(IF((time+time_cap)&lt;AK$2, 0,IF(AND(time+1&gt;=AL$2, $E63&lt;AL$2), IF($I63= "I", $J63/($F63-$E63+1), $J63/(($F63*($F63+1)/2)-(($E63-1)*($E63-1+1)/2))*AK$2), 0)+IF(IF(time+1&gt;=AL$2, $K63/time_cap/(time+1)*AK$2, 0) = 0, $K63/(time_cap),0)),0)</f>
        <v/>
      </c>
      <c r="AL63" s="4395">
        <f>IFERROR(IF((time+time_cap)&lt;AL$2, 0,IF(AND(time+1&gt;=AM$2, $E63&lt;AM$2), IF($I63= "I", $J63/($F63-$E63+1), $J63/(($F63*($F63+1)/2)-(($E63-1)*($E63-1+1)/2))*AL$2), 0)+IF(IF(time+1&gt;=AM$2, $K63/time_cap/(time+1)*AL$2, 0) = 0, $K63/(time_cap),0)),0)</f>
        <v/>
      </c>
      <c r="AM63" s="4395">
        <f>IFERROR(IF((time+time_cap)&lt;AM$2, 0,IF(AND(time+1&gt;=AN$2, $E63&lt;AN$2), IF($I63= "I", $J63/($F63-$E63+1), $J63/(($F63*($F63+1)/2)-(($E63-1)*($E63-1+1)/2))*AM$2), 0)+IF(IF(time+1&gt;=AN$2, $K63/time_cap/(time+1)*AM$2, 0) = 0, $K63/(time_cap),0)),0)</f>
        <v/>
      </c>
      <c r="AN63" s="4395">
        <f>IFERROR(IF((time+time_cap)&lt;AN$2, 0,IF(AND(time+1&gt;=AO$2, $E63&lt;AO$2), IF($I63= "I", $J63/($F63-$E63+1), $J63/(($F63*($F63+1)/2)-(($E63-1)*($E63-1+1)/2))*AN$2), 0)+IF(IF(time+1&gt;=AO$2, $K63/time_cap/(time+1)*AN$2, 0) = 0, $K63/(time_cap),0)),0)</f>
        <v/>
      </c>
      <c r="AO63" s="4395">
        <f>IFERROR(IF((time+time_cap)&lt;AO$2, 0,IF(AND(time+1&gt;=AP$2, $E63&lt;AP$2), IF($I63= "I", $J63/($F63-$E63+1), $J63/(($F63*($F63+1)/2)-(($E63-1)*($E63-1+1)/2))*AO$2), 0)+IF(IF(time+1&gt;=AP$2, $K63/time_cap/(time+1)*AO$2, 0) = 0, $K63/(time_cap),0)),0)</f>
        <v/>
      </c>
      <c r="AP63" s="4395">
        <f>IFERROR(IF((time+time_cap)&lt;AP$2, 0,IF(AND(time+1&gt;=AQ$2, $E63&lt;AQ$2), IF($I63= "I", $J63/($F63-$E63+1), $J63/(($F63*($F63+1)/2)-(($E63-1)*($E63-1+1)/2))*AP$2), 0)+IF(IF(time+1&gt;=AQ$2, $K63/time_cap/(time+1)*AP$2, 0) = 0, $K63/(time_cap),0)),0)</f>
        <v/>
      </c>
      <c r="AQ63" s="4395">
        <f>IFERROR(IF((time+time_cap)&lt;AQ$2, 0,IF(AND(time+1&gt;=AR$2, $E63&lt;AR$2), IF($I63= "I", $J63/($F63-$E63+1), $J63/(($F63*($F63+1)/2)-(($E63-1)*($E63-1+1)/2))*AQ$2), 0)+IF(IF(time+1&gt;=AR$2, $K63/time_cap/(time+1)*AQ$2, 0) = 0, $K63/(time_cap),0)),0)</f>
        <v/>
      </c>
      <c r="AR63" s="4395">
        <f>IFERROR(IF((time+time_cap)&lt;AR$2, 0,IF(AND(time+1&gt;=AS$2, $E63&lt;AS$2), IF($I63= "I", $J63/($F63-$E63+1), $J63/(($F63*($F63+1)/2)-(($E63-1)*($E63-1+1)/2))*AR$2), 0)+IF(IF(time+1&gt;=AS$2, $K63/time_cap/(time+1)*AR$2, 0) = 0, $K63/(time_cap),0)),0)</f>
        <v/>
      </c>
      <c r="AS63" s="4395">
        <f>IFERROR(IF((time+time_cap)&lt;AS$2, 0,IF(AND(time+1&gt;=AT$2, $E63&lt;AT$2), IF($I63= "I", $J63/($F63-$E63+1), $J63/(($F63*($F63+1)/2)-(($E63-1)*($E63-1+1)/2))*AS$2), 0)+IF(IF(time+1&gt;=AT$2, $K63/time_cap/(time+1)*AS$2, 0) = 0, $K63/(time_cap),0)),0)</f>
        <v/>
      </c>
      <c r="AT63" s="4395">
        <f>IFERROR(IF((time+time_cap)&lt;AT$2, 0,IF(AND(time+1&gt;=AU$2, $E63&lt;AU$2), IF($I63= "I", $J63/($F63-$E63+1), $J63/(($F63*($F63+1)/2)-(($E63-1)*($E63-1+1)/2))*AT$2), 0)+IF(IF(time+1&gt;=AU$2, $K63/time_cap/(time+1)*AT$2, 0) = 0, $K63/(time_cap),0)),0)</f>
        <v/>
      </c>
      <c r="AU63" s="4395">
        <f>IFERROR(IF((time+time_cap)&lt;AU$2, 0,IF(AND(time+1&gt;=AV$2, $E63&lt;AV$2), IF($I63= "I", $J63/($F63-$E63+1), $J63/(($F63*($F63+1)/2)-(($E63-1)*($E63-1+1)/2))*AU$2), 0)+IF(IF(time+1&gt;=AV$2, $K63/time_cap/(time+1)*AU$2, 0) = 0, $K63/(time_cap),0)),0)</f>
        <v/>
      </c>
      <c r="AV63" s="4395">
        <f>IFERROR(IF((time+time_cap)&lt;AV$2, 0,IF(AND(time+1&gt;=AW$2, $E63&lt;AW$2), IF($I63= "I", $J63/($F63-$E63+1), $J63/(($F63*($F63+1)/2)-(($E63-1)*($E63-1+1)/2))*AV$2), 0)+IF(IF(time+1&gt;=AW$2, $K63/time_cap/(time+1)*AV$2, 0) = 0, $K63/(time_cap),0)),0)</f>
        <v/>
      </c>
      <c r="AW63" s="4395">
        <f>IFERROR(IF((time+time_cap)&lt;AW$2, 0,IF(AND(time+1&gt;=AX$2, $E63&lt;AX$2), IF($I63= "I", $J63/($F63-$E63+1), $J63/(($F63*($F63+1)/2)-(($E63-1)*($E63-1+1)/2))*AW$2), 0)+IF(IF(time+1&gt;=AX$2, $K63/time_cap/(time+1)*AW$2, 0) = 0, $K63/(time_cap),0)),0)</f>
        <v/>
      </c>
      <c r="AX63" s="4395">
        <f>IFERROR(IF((time+time_cap)&lt;AX$2, 0,IF(AND(time+1&gt;=AY$2, $E63&lt;AY$2), IF($I63= "I", $J63/($F63-$E63+1), $J63/(($F63*($F63+1)/2)-(($E63-1)*($E63-1+1)/2))*AX$2), 0)+IF(IF(time+1&gt;=AY$2, $K63/time_cap/(time+1)*AX$2, 0) = 0, $K63/(time_cap),0)),0)</f>
        <v/>
      </c>
      <c r="AY63" s="4395">
        <f>IFERROR(IF((time+time_cap)&lt;AY$2, 0,IF(AND(time+1&gt;=AZ$2, $E63&lt;AZ$2), IF($I63= "I", $J63/($F63-$E63+1), $J63/(($F63*($F63+1)/2)-(($E63-1)*($E63-1+1)/2))*AY$2), 0)+IF(IF(time+1&gt;=AZ$2, $K63/time_cap/(time+1)*AY$2, 0) = 0, $K63/(time_cap),0)),0)</f>
        <v/>
      </c>
      <c r="AZ63" s="4395">
        <f>IFERROR(IF((time+time_cap)&lt;AZ$2, 0,IF(AND(time+1&gt;=BA$2, $E63&lt;BA$2), IF($I63= "I", $J63/($F63-$E63+1), $J63/(($F63*($F63+1)/2)-(($E63-1)*($E63-1+1)/2))*AZ$2), 0)+IF(IF(time+1&gt;=BA$2, $K63/time_cap/(time+1)*AZ$2, 0) = 0, $K63/(time_cap),0)),0)</f>
        <v/>
      </c>
      <c r="BA63" s="4395">
        <f>IFERROR(IF((time+time_cap)&lt;BA$2, 0,IF(AND(time+1&gt;=BB$2, $E63&lt;BB$2), IF($I63= "I", $J63/($F63-$E63+1), $J63/(($F63*($F63+1)/2)-(($E63-1)*($E63-1+1)/2))*BA$2), 0)+IF(IF(time+1&gt;=BB$2, $K63/time_cap/(time+1)*BA$2, 0) = 0, $K63/(time_cap),0)),0)</f>
        <v/>
      </c>
      <c r="BB63" s="4395">
        <f>IFERROR(IF((time+time_cap)&lt;BB$2, 0,IF(AND(time+1&gt;=BC$2, $E63&lt;BC$2), IF($I63= "I", $J63/($F63-$E63+1), $J63/(($F63*($F63+1)/2)-(($E63-1)*($E63-1+1)/2))*BB$2), 0)+IF(IF(time+1&gt;=BC$2, $K63/time_cap/(time+1)*BB$2, 0) = 0, $K63/(time_cap),0)),0)</f>
        <v/>
      </c>
      <c r="BC63" s="4395">
        <f>IFERROR(IF((time+time_cap)&lt;BC$2, 0,IF(AND(time+1&gt;=BD$2, $E63&lt;BD$2), IF($I63= "I", $J63/($F63-$E63+1), $J63/(($F63*($F63+1)/2)-(($E63-1)*($E63-1+1)/2))*BC$2), 0)+IF(IF(time+1&gt;=BD$2, $K63/time_cap/(time+1)*BC$2, 0) = 0, $K63/(time_cap),0)),0)</f>
        <v/>
      </c>
      <c r="BD63" s="4395">
        <f>IFERROR(IF((time+time_cap)&lt;BD$2, 0,IF(AND(time+1&gt;=BE$2, $E63&lt;BE$2), IF($I63= "I", $J63/($F63-$E63+1), $J63/(($F63*($F63+1)/2)-(($E63-1)*($E63-1+1)/2))*BD$2), 0)+IF(IF(time+1&gt;=BE$2, $K63/time_cap/(time+1)*BD$2, 0) = 0, $K63/(time_cap),0)),0)</f>
        <v/>
      </c>
      <c r="BE63" s="4395">
        <f>IFERROR(IF((time+time_cap)&lt;BE$2, 0,IF(AND(time+1&gt;=BF$2, $E63&lt;BF$2), IF($I63= "I", $J63/($F63-$E63+1), $J63/(($F63*($F63+1)/2)-(($E63-1)*($E63-1+1)/2))*BE$2), 0)+IF(IF(time+1&gt;=BF$2, $K63/time_cap/(time+1)*BE$2, 0) = 0, $K63/(time_cap),0)),0)</f>
        <v/>
      </c>
      <c r="BF63" s="4395">
        <f>IFERROR(IF((time+time_cap)&lt;BF$2, 0,IF(AND(time+1&gt;=BG$2, $E63&lt;BG$2), IF($I63= "I", $J63/($F63-$E63+1), $J63/(($F63*($F63+1)/2)-(($E63-1)*($E63-1+1)/2))*BF$2), 0)+IF(IF(time+1&gt;=BG$2, $K63/time_cap/(time+1)*BF$2, 0) = 0, $K63/(time_cap),0)),0)</f>
        <v/>
      </c>
      <c r="BG63" s="4395">
        <f>IFERROR(IF((time+time_cap)&lt;BG$2, 0,IF(AND(time+1&gt;=BH$2, $E63&lt;BH$2), IF($I63= "I", $J63/($F63-$E63+1), $J63/(($F63*($F63+1)/2)-(($E63-1)*($E63-1+1)/2))*BG$2), 0)+IF(IF(time+1&gt;=BH$2, $K63/time_cap/(time+1)*BG$2, 0) = 0, $K63/(time_cap),0)),0)</f>
        <v/>
      </c>
      <c r="BH63" s="4395">
        <f>IFERROR(IF((time+time_cap)&lt;BH$2, 0,IF(AND(time+1&gt;=BI$2, $E63&lt;BI$2), IF($I63= "I", $J63/($F63-$E63+1), $J63/(($F63*($F63+1)/2)-(($E63-1)*($E63-1+1)/2))*BH$2), 0)+IF(IF(time+1&gt;=BI$2, $K63/time_cap/(time+1)*BH$2, 0) = 0, $K63/(time_cap),0)),0)</f>
        <v/>
      </c>
      <c r="BI63" s="4395">
        <f>IFERROR(IF((time+time_cap)&lt;BI$2, 0,IF(AND(time+1&gt;=BJ$2, $E63&lt;BJ$2), IF($I63= "I", $J63/($F63-$E63+1), $J63/(($F63*($F63+1)/2)-(($E63-1)*($E63-1+1)/2))*BI$2), 0)+IF(IF(time+1&gt;=BJ$2, $K63/time_cap/(time+1)*BI$2, 0) = 0, $K63/(time_cap),0)),0)</f>
        <v/>
      </c>
      <c r="BJ63" s="4395">
        <f>IFERROR(IF((time+time_cap)&lt;BJ$2, 0,IF(AND(time+1&gt;=BK$2, $E63&lt;BK$2), IF($I63= "I", $J63/($F63-$E63+1), $J63/(($F63*($F63+1)/2)-(($E63-1)*($E63-1+1)/2))*BJ$2), 0)+IF(IF(time+1&gt;=BK$2, $K63/time_cap/(time+1)*BJ$2, 0) = 0, $K63/(time_cap),0)),0)</f>
        <v/>
      </c>
      <c r="BK63" s="4395" t="n"/>
      <c r="BL63" s="4395" t="n"/>
      <c r="BM63" s="4395" t="n"/>
      <c r="BN63" s="4395" t="n"/>
      <c r="BO63" s="4395" t="n"/>
      <c r="BP63" s="4395" t="n"/>
      <c r="BQ63" s="4395" t="n"/>
      <c r="BR63" s="4395" t="n"/>
      <c r="BS63" s="4395" t="n"/>
      <c r="BT63" s="4395" t="n"/>
      <c r="BU63" s="4395" t="n"/>
      <c r="BV63" s="4395" t="n"/>
      <c r="BW63" s="4395" t="n"/>
      <c r="BX63" s="4395" t="n"/>
      <c r="BY63" s="4395" t="n"/>
      <c r="BZ63" s="4395" t="n"/>
      <c r="CA63" s="4395" t="n"/>
      <c r="CB63" s="4395" t="n"/>
      <c r="CC63" s="4395" t="n"/>
      <c r="CD63" s="4395" t="n"/>
      <c r="CE63" s="4395" t="n"/>
      <c r="CF63" s="4395" t="n"/>
      <c r="CG63" s="4395" t="n"/>
      <c r="CH63" s="4395" t="n"/>
      <c r="CI63" s="4395" t="n"/>
      <c r="CJ63" s="4395" t="n"/>
      <c r="CK63" s="4395" t="n"/>
      <c r="CL63" s="4395" t="n"/>
      <c r="CM63" s="4395" t="n"/>
      <c r="CN63" s="4395" t="n"/>
      <c r="CO63" s="4395" t="n"/>
      <c r="CP63" s="4395" t="n"/>
      <c r="CQ63" s="4395" t="n"/>
      <c r="CR63" s="4395" t="n"/>
      <c r="CS63" s="4395" t="n"/>
      <c r="CT63" s="4395" t="n"/>
      <c r="CU63" s="4395" t="n"/>
      <c r="CV63" s="4395" t="n"/>
      <c r="CW63" s="4395" t="n"/>
      <c r="CX63" s="4395" t="n"/>
      <c r="CY63" s="4395" t="n"/>
      <c r="CZ63" s="4395" t="n"/>
      <c r="DA63" s="4395" t="n"/>
      <c r="DB63" s="4395" t="n"/>
      <c r="DC63" s="4395" t="n"/>
      <c r="DD63" s="4395" t="n"/>
      <c r="DE63" s="4395" t="n"/>
      <c r="DF63" s="4395" t="n"/>
      <c r="DG63" s="4395" t="n"/>
      <c r="DH63" s="4395" t="n"/>
    </row>
    <row r="64" ht="16" customHeight="1">
      <c r="A64" t="inlineStr">
        <is>
          <t>Perennials</t>
        </is>
      </c>
      <c r="B64">
        <f>'3.Cropland'!C75</f>
        <v/>
      </c>
      <c r="C64">
        <f>'3.Cropland'!E75</f>
        <v/>
      </c>
      <c r="D64">
        <f>'3.Cropland'!Z75</f>
        <v/>
      </c>
      <c r="E64">
        <f>IF('3.Cropland'!BL75&lt;&gt;0,'3.Cropland'!BL75, '3.Cropland'!BK75)</f>
        <v/>
      </c>
      <c r="F64">
        <f>time</f>
        <v/>
      </c>
      <c r="G64" s="4395">
        <f>'3.Cropland'!S75</f>
        <v/>
      </c>
      <c r="H64" s="4395">
        <f>'3.Cropland'!U75</f>
        <v/>
      </c>
      <c r="I64" s="4395">
        <f>IF(OR(H64="I", G64="I"), "I", IF(OR(H64="E", G64="E"), "E", "D"))</f>
        <v/>
      </c>
      <c r="J64" s="4395">
        <f>((D64/(time_cap+((F64-E64+1)*VLOOKUP(I64,list!$I$48:$K$50,3, FALSE))))*(F64-E64+1)*VLOOKUP(I64,list!$I$48:$K$50,3, FALSE))</f>
        <v/>
      </c>
      <c r="K64" s="4395">
        <f>((D64/(time_cap+((F64-E64+1)*VLOOKUP(I64,list!$I$48:$K$50,3, FALSE))))*time_cap)</f>
        <v/>
      </c>
      <c r="M64" s="4395">
        <f>IFERROR(IF((time+time_cap)&lt;M$2, 0,IF(AND(time+1&gt;=N$2, $E64&lt;N$2), IF($I64= "I", $J64/($F64-$E64+1), $J64/(($F64*($F64+1)/2)-(($E64-1)*($E64-1+1)/2))*M$2), 0)+IF(IF(time+1&gt;=N$2, $K64/time_cap/(time+1)*M$2, 0) = 0, $K64/(time_cap),0)),0)</f>
        <v/>
      </c>
      <c r="N64" s="4395">
        <f>IFERROR(IF((time+time_cap)&lt;N$2, 0,IF(AND(time+1&gt;=O$2, $E64&lt;O$2), IF($I64= "I", $J64/($F64-$E64+1), $J64/(($F64*($F64+1)/2)-(($E64-1)*($E64-1+1)/2))*N$2), 0)+IF(IF(time+1&gt;=O$2, $K64/time_cap/(time+1)*N$2, 0) = 0, $K64/(time_cap),0)),0)</f>
        <v/>
      </c>
      <c r="O64" s="4395">
        <f>IFERROR(IF((time+time_cap)&lt;O$2, 0,IF(AND(time+1&gt;=P$2, $E64&lt;P$2), IF($I64= "I", $J64/($F64-$E64+1), $J64/(($F64*($F64+1)/2)-(($E64-1)*($E64-1+1)/2))*O$2), 0)+IF(IF(time+1&gt;=P$2, $K64/time_cap/(time+1)*O$2, 0) = 0, $K64/(time_cap),0)),0)</f>
        <v/>
      </c>
      <c r="P64" s="4395">
        <f>IFERROR(IF((time+time_cap)&lt;P$2, 0,IF(AND(time+1&gt;=Q$2, $E64&lt;Q$2), IF($I64= "I", $J64/($F64-$E64+1), $J64/(($F64*($F64+1)/2)-(($E64-1)*($E64-1+1)/2))*P$2), 0)+IF(IF(time+1&gt;=Q$2, $K64/time_cap/(time+1)*P$2, 0) = 0, $K64/(time_cap),0)),0)</f>
        <v/>
      </c>
      <c r="Q64" s="4395">
        <f>IFERROR(IF((time+time_cap)&lt;Q$2, 0,IF(AND(time+1&gt;=R$2, $E64&lt;R$2), IF($I64= "I", $J64/($F64-$E64+1), $J64/(($F64*($F64+1)/2)-(($E64-1)*($E64-1+1)/2))*Q$2), 0)+IF(IF(time+1&gt;=R$2, $K64/time_cap/(time+1)*Q$2, 0) = 0, $K64/(time_cap),0)),0)</f>
        <v/>
      </c>
      <c r="R64" s="4395">
        <f>IFERROR(IF((time+time_cap)&lt;R$2, 0,IF(AND(time+1&gt;=S$2, $E64&lt;S$2), IF($I64= "I", $J64/($F64-$E64+1), $J64/(($F64*($F64+1)/2)-(($E64-1)*($E64-1+1)/2))*R$2), 0)+IF(IF(time+1&gt;=S$2, $K64/time_cap/(time+1)*R$2, 0) = 0, $K64/(time_cap),0)),0)</f>
        <v/>
      </c>
      <c r="S64" s="4395">
        <f>IFERROR(IF((time+time_cap)&lt;S$2, 0,IF(AND(time+1&gt;=T$2, $E64&lt;T$2), IF($I64= "I", $J64/($F64-$E64+1), $J64/(($F64*($F64+1)/2)-(($E64-1)*($E64-1+1)/2))*S$2), 0)+IF(IF(time+1&gt;=T$2, $K64/time_cap/(time+1)*S$2, 0) = 0, $K64/(time_cap),0)),0)</f>
        <v/>
      </c>
      <c r="T64" s="4395">
        <f>IFERROR(IF((time+time_cap)&lt;T$2, 0,IF(AND(time+1&gt;=U$2, $E64&lt;U$2), IF($I64= "I", $J64/($F64-$E64+1), $J64/(($F64*($F64+1)/2)-(($E64-1)*($E64-1+1)/2))*T$2), 0)+IF(IF(time+1&gt;=U$2, $K64/time_cap/(time+1)*T$2, 0) = 0, $K64/(time_cap),0)),0)</f>
        <v/>
      </c>
      <c r="U64" s="4395">
        <f>IFERROR(IF((time+time_cap)&lt;U$2, 0,IF(AND(time+1&gt;=V$2, $E64&lt;V$2), IF($I64= "I", $J64/($F64-$E64+1), $J64/(($F64*($F64+1)/2)-(($E64-1)*($E64-1+1)/2))*U$2), 0)+IF(IF(time+1&gt;=V$2, $K64/time_cap/(time+1)*U$2, 0) = 0, $K64/(time_cap),0)),0)</f>
        <v/>
      </c>
      <c r="V64" s="4395">
        <f>IFERROR(IF((time+time_cap)&lt;V$2, 0,IF(AND(time+1&gt;=W$2, $E64&lt;W$2), IF($I64= "I", $J64/($F64-$E64+1), $J64/(($F64*($F64+1)/2)-(($E64-1)*($E64-1+1)/2))*V$2), 0)+IF(IF(time+1&gt;=W$2, $K64/time_cap/(time+1)*V$2, 0) = 0, $K64/(time_cap),0)),0)</f>
        <v/>
      </c>
      <c r="W64" s="4395">
        <f>IFERROR(IF((time+time_cap)&lt;W$2, 0,IF(AND(time+1&gt;=X$2, $E64&lt;X$2), IF($I64= "I", $J64/($F64-$E64+1), $J64/(($F64*($F64+1)/2)-(($E64-1)*($E64-1+1)/2))*W$2), 0)+IF(IF(time+1&gt;=X$2, $K64/time_cap/(time+1)*W$2, 0) = 0, $K64/(time_cap),0)),0)</f>
        <v/>
      </c>
      <c r="X64" s="4395">
        <f>IFERROR(IF((time+time_cap)&lt;X$2, 0,IF(AND(time+1&gt;=Y$2, $E64&lt;Y$2), IF($I64= "I", $J64/($F64-$E64+1), $J64/(($F64*($F64+1)/2)-(($E64-1)*($E64-1+1)/2))*X$2), 0)+IF(IF(time+1&gt;=Y$2, $K64/time_cap/(time+1)*X$2, 0) = 0, $K64/(time_cap),0)),0)</f>
        <v/>
      </c>
      <c r="Y64" s="4395">
        <f>IFERROR(IF((time+time_cap)&lt;Y$2, 0,IF(AND(time+1&gt;=Z$2, $E64&lt;Z$2), IF($I64= "I", $J64/($F64-$E64+1), $J64/(($F64*($F64+1)/2)-(($E64-1)*($E64-1+1)/2))*Y$2), 0)+IF(IF(time+1&gt;=Z$2, $K64/time_cap/(time+1)*Y$2, 0) = 0, $K64/(time_cap),0)),0)</f>
        <v/>
      </c>
      <c r="Z64" s="4395">
        <f>IFERROR(IF((time+time_cap)&lt;Z$2, 0,IF(AND(time+1&gt;=AA$2, $E64&lt;AA$2), IF($I64= "I", $J64/($F64-$E64+1), $J64/(($F64*($F64+1)/2)-(($E64-1)*($E64-1+1)/2))*Z$2), 0)+IF(IF(time+1&gt;=AA$2, $K64/time_cap/(time+1)*Z$2, 0) = 0, $K64/(time_cap),0)),0)</f>
        <v/>
      </c>
      <c r="AA64" s="4395">
        <f>IFERROR(IF((time+time_cap)&lt;AA$2, 0,IF(AND(time+1&gt;=AB$2, $E64&lt;AB$2), IF($I64= "I", $J64/($F64-$E64+1), $J64/(($F64*($F64+1)/2)-(($E64-1)*($E64-1+1)/2))*AA$2), 0)+IF(IF(time+1&gt;=AB$2, $K64/time_cap/(time+1)*AA$2, 0) = 0, $K64/(time_cap),0)),0)</f>
        <v/>
      </c>
      <c r="AB64" s="4395">
        <f>IFERROR(IF((time+time_cap)&lt;AB$2, 0,IF(AND(time+1&gt;=AC$2, $E64&lt;AC$2), IF($I64= "I", $J64/($F64-$E64+1), $J64/(($F64*($F64+1)/2)-(($E64-1)*($E64-1+1)/2))*AB$2), 0)+IF(IF(time+1&gt;=AC$2, $K64/time_cap/(time+1)*AB$2, 0) = 0, $K64/(time_cap),0)),0)</f>
        <v/>
      </c>
      <c r="AC64" s="4395">
        <f>IFERROR(IF((time+time_cap)&lt;AC$2, 0,IF(AND(time+1&gt;=AD$2, $E64&lt;AD$2), IF($I64= "I", $J64/($F64-$E64+1), $J64/(($F64*($F64+1)/2)-(($E64-1)*($E64-1+1)/2))*AC$2), 0)+IF(IF(time+1&gt;=AD$2, $K64/time_cap/(time+1)*AC$2, 0) = 0, $K64/(time_cap),0)),0)</f>
        <v/>
      </c>
      <c r="AD64" s="4395">
        <f>IFERROR(IF((time+time_cap)&lt;AD$2, 0,IF(AND(time+1&gt;=AE$2, $E64&lt;AE$2), IF($I64= "I", $J64/($F64-$E64+1), $J64/(($F64*($F64+1)/2)-(($E64-1)*($E64-1+1)/2))*AD$2), 0)+IF(IF(time+1&gt;=AE$2, $K64/time_cap/(time+1)*AD$2, 0) = 0, $K64/(time_cap),0)),0)</f>
        <v/>
      </c>
      <c r="AE64" s="4395">
        <f>IFERROR(IF((time+time_cap)&lt;AE$2, 0,IF(AND(time+1&gt;=AF$2, $E64&lt;AF$2), IF($I64= "I", $J64/($F64-$E64+1), $J64/(($F64*($F64+1)/2)-(($E64-1)*($E64-1+1)/2))*AE$2), 0)+IF(IF(time+1&gt;=AF$2, $K64/time_cap/(time+1)*AE$2, 0) = 0, $K64/(time_cap),0)),0)</f>
        <v/>
      </c>
      <c r="AF64" s="4395">
        <f>IFERROR(IF((time+time_cap)&lt;AF$2, 0,IF(AND(time+1&gt;=AG$2, $E64&lt;AG$2), IF($I64= "I", $J64/($F64-$E64+1), $J64/(($F64*($F64+1)/2)-(($E64-1)*($E64-1+1)/2))*AF$2), 0)+IF(IF(time+1&gt;=AG$2, $K64/time_cap/(time+1)*AF$2, 0) = 0, $K64/(time_cap),0)),0)</f>
        <v/>
      </c>
      <c r="AG64" s="4395">
        <f>IFERROR(IF((time+time_cap)&lt;AG$2, 0,IF(AND(time+1&gt;=AH$2, $E64&lt;AH$2), IF($I64= "I", $J64/($F64-$E64+1), $J64/(($F64*($F64+1)/2)-(($E64-1)*($E64-1+1)/2))*AG$2), 0)+IF(IF(time+1&gt;=AH$2, $K64/time_cap/(time+1)*AG$2, 0) = 0, $K64/(time_cap),0)),0)</f>
        <v/>
      </c>
      <c r="AH64" s="4395">
        <f>IFERROR(IF((time+time_cap)&lt;AH$2, 0,IF(AND(time+1&gt;=AI$2, $E64&lt;AI$2), IF($I64= "I", $J64/($F64-$E64+1), $J64/(($F64*($F64+1)/2)-(($E64-1)*($E64-1+1)/2))*AH$2), 0)+IF(IF(time+1&gt;=AI$2, $K64/time_cap/(time+1)*AH$2, 0) = 0, $K64/(time_cap),0)),0)</f>
        <v/>
      </c>
      <c r="AI64" s="4395">
        <f>IFERROR(IF((time+time_cap)&lt;AI$2, 0,IF(AND(time+1&gt;=AJ$2, $E64&lt;AJ$2), IF($I64= "I", $J64/($F64-$E64+1), $J64/(($F64*($F64+1)/2)-(($E64-1)*($E64-1+1)/2))*AI$2), 0)+IF(IF(time+1&gt;=AJ$2, $K64/time_cap/(time+1)*AI$2, 0) = 0, $K64/(time_cap),0)),0)</f>
        <v/>
      </c>
      <c r="AJ64" s="4395">
        <f>IFERROR(IF((time+time_cap)&lt;AJ$2, 0,IF(AND(time+1&gt;=AK$2, $E64&lt;AK$2), IF($I64= "I", $J64/($F64-$E64+1), $J64/(($F64*($F64+1)/2)-(($E64-1)*($E64-1+1)/2))*AJ$2), 0)+IF(IF(time+1&gt;=AK$2, $K64/time_cap/(time+1)*AJ$2, 0) = 0, $K64/(time_cap),0)),0)</f>
        <v/>
      </c>
      <c r="AK64" s="4395">
        <f>IFERROR(IF((time+time_cap)&lt;AK$2, 0,IF(AND(time+1&gt;=AL$2, $E64&lt;AL$2), IF($I64= "I", $J64/($F64-$E64+1), $J64/(($F64*($F64+1)/2)-(($E64-1)*($E64-1+1)/2))*AK$2), 0)+IF(IF(time+1&gt;=AL$2, $K64/time_cap/(time+1)*AK$2, 0) = 0, $K64/(time_cap),0)),0)</f>
        <v/>
      </c>
      <c r="AL64" s="4395">
        <f>IFERROR(IF((time+time_cap)&lt;AL$2, 0,IF(AND(time+1&gt;=AM$2, $E64&lt;AM$2), IF($I64= "I", $J64/($F64-$E64+1), $J64/(($F64*($F64+1)/2)-(($E64-1)*($E64-1+1)/2))*AL$2), 0)+IF(IF(time+1&gt;=AM$2, $K64/time_cap/(time+1)*AL$2, 0) = 0, $K64/(time_cap),0)),0)</f>
        <v/>
      </c>
      <c r="AM64" s="4395">
        <f>IFERROR(IF((time+time_cap)&lt;AM$2, 0,IF(AND(time+1&gt;=AN$2, $E64&lt;AN$2), IF($I64= "I", $J64/($F64-$E64+1), $J64/(($F64*($F64+1)/2)-(($E64-1)*($E64-1+1)/2))*AM$2), 0)+IF(IF(time+1&gt;=AN$2, $K64/time_cap/(time+1)*AM$2, 0) = 0, $K64/(time_cap),0)),0)</f>
        <v/>
      </c>
      <c r="AN64" s="4395">
        <f>IFERROR(IF((time+time_cap)&lt;AN$2, 0,IF(AND(time+1&gt;=AO$2, $E64&lt;AO$2), IF($I64= "I", $J64/($F64-$E64+1), $J64/(($F64*($F64+1)/2)-(($E64-1)*($E64-1+1)/2))*AN$2), 0)+IF(IF(time+1&gt;=AO$2, $K64/time_cap/(time+1)*AN$2, 0) = 0, $K64/(time_cap),0)),0)</f>
        <v/>
      </c>
      <c r="AO64" s="4395">
        <f>IFERROR(IF((time+time_cap)&lt;AO$2, 0,IF(AND(time+1&gt;=AP$2, $E64&lt;AP$2), IF($I64= "I", $J64/($F64-$E64+1), $J64/(($F64*($F64+1)/2)-(($E64-1)*($E64-1+1)/2))*AO$2), 0)+IF(IF(time+1&gt;=AP$2, $K64/time_cap/(time+1)*AO$2, 0) = 0, $K64/(time_cap),0)),0)</f>
        <v/>
      </c>
      <c r="AP64" s="4395">
        <f>IFERROR(IF((time+time_cap)&lt;AP$2, 0,IF(AND(time+1&gt;=AQ$2, $E64&lt;AQ$2), IF($I64= "I", $J64/($F64-$E64+1), $J64/(($F64*($F64+1)/2)-(($E64-1)*($E64-1+1)/2))*AP$2), 0)+IF(IF(time+1&gt;=AQ$2, $K64/time_cap/(time+1)*AP$2, 0) = 0, $K64/(time_cap),0)),0)</f>
        <v/>
      </c>
      <c r="AQ64" s="4395">
        <f>IFERROR(IF((time+time_cap)&lt;AQ$2, 0,IF(AND(time+1&gt;=AR$2, $E64&lt;AR$2), IF($I64= "I", $J64/($F64-$E64+1), $J64/(($F64*($F64+1)/2)-(($E64-1)*($E64-1+1)/2))*AQ$2), 0)+IF(IF(time+1&gt;=AR$2, $K64/time_cap/(time+1)*AQ$2, 0) = 0, $K64/(time_cap),0)),0)</f>
        <v/>
      </c>
      <c r="AR64" s="4395">
        <f>IFERROR(IF((time+time_cap)&lt;AR$2, 0,IF(AND(time+1&gt;=AS$2, $E64&lt;AS$2), IF($I64= "I", $J64/($F64-$E64+1), $J64/(($F64*($F64+1)/2)-(($E64-1)*($E64-1+1)/2))*AR$2), 0)+IF(IF(time+1&gt;=AS$2, $K64/time_cap/(time+1)*AR$2, 0) = 0, $K64/(time_cap),0)),0)</f>
        <v/>
      </c>
      <c r="AS64" s="4395">
        <f>IFERROR(IF((time+time_cap)&lt;AS$2, 0,IF(AND(time+1&gt;=AT$2, $E64&lt;AT$2), IF($I64= "I", $J64/($F64-$E64+1), $J64/(($F64*($F64+1)/2)-(($E64-1)*($E64-1+1)/2))*AS$2), 0)+IF(IF(time+1&gt;=AT$2, $K64/time_cap/(time+1)*AS$2, 0) = 0, $K64/(time_cap),0)),0)</f>
        <v/>
      </c>
      <c r="AT64" s="4395">
        <f>IFERROR(IF((time+time_cap)&lt;AT$2, 0,IF(AND(time+1&gt;=AU$2, $E64&lt;AU$2), IF($I64= "I", $J64/($F64-$E64+1), $J64/(($F64*($F64+1)/2)-(($E64-1)*($E64-1+1)/2))*AT$2), 0)+IF(IF(time+1&gt;=AU$2, $K64/time_cap/(time+1)*AT$2, 0) = 0, $K64/(time_cap),0)),0)</f>
        <v/>
      </c>
      <c r="AU64" s="4395">
        <f>IFERROR(IF((time+time_cap)&lt;AU$2, 0,IF(AND(time+1&gt;=AV$2, $E64&lt;AV$2), IF($I64= "I", $J64/($F64-$E64+1), $J64/(($F64*($F64+1)/2)-(($E64-1)*($E64-1+1)/2))*AU$2), 0)+IF(IF(time+1&gt;=AV$2, $K64/time_cap/(time+1)*AU$2, 0) = 0, $K64/(time_cap),0)),0)</f>
        <v/>
      </c>
      <c r="AV64" s="4395">
        <f>IFERROR(IF((time+time_cap)&lt;AV$2, 0,IF(AND(time+1&gt;=AW$2, $E64&lt;AW$2), IF($I64= "I", $J64/($F64-$E64+1), $J64/(($F64*($F64+1)/2)-(($E64-1)*($E64-1+1)/2))*AV$2), 0)+IF(IF(time+1&gt;=AW$2, $K64/time_cap/(time+1)*AV$2, 0) = 0, $K64/(time_cap),0)),0)</f>
        <v/>
      </c>
      <c r="AW64" s="4395">
        <f>IFERROR(IF((time+time_cap)&lt;AW$2, 0,IF(AND(time+1&gt;=AX$2, $E64&lt;AX$2), IF($I64= "I", $J64/($F64-$E64+1), $J64/(($F64*($F64+1)/2)-(($E64-1)*($E64-1+1)/2))*AW$2), 0)+IF(IF(time+1&gt;=AX$2, $K64/time_cap/(time+1)*AW$2, 0) = 0, $K64/(time_cap),0)),0)</f>
        <v/>
      </c>
      <c r="AX64" s="4395">
        <f>IFERROR(IF((time+time_cap)&lt;AX$2, 0,IF(AND(time+1&gt;=AY$2, $E64&lt;AY$2), IF($I64= "I", $J64/($F64-$E64+1), $J64/(($F64*($F64+1)/2)-(($E64-1)*($E64-1+1)/2))*AX$2), 0)+IF(IF(time+1&gt;=AY$2, $K64/time_cap/(time+1)*AX$2, 0) = 0, $K64/(time_cap),0)),0)</f>
        <v/>
      </c>
      <c r="AY64" s="4395">
        <f>IFERROR(IF((time+time_cap)&lt;AY$2, 0,IF(AND(time+1&gt;=AZ$2, $E64&lt;AZ$2), IF($I64= "I", $J64/($F64-$E64+1), $J64/(($F64*($F64+1)/2)-(($E64-1)*($E64-1+1)/2))*AY$2), 0)+IF(IF(time+1&gt;=AZ$2, $K64/time_cap/(time+1)*AY$2, 0) = 0, $K64/(time_cap),0)),0)</f>
        <v/>
      </c>
      <c r="AZ64" s="4395">
        <f>IFERROR(IF((time+time_cap)&lt;AZ$2, 0,IF(AND(time+1&gt;=BA$2, $E64&lt;BA$2), IF($I64= "I", $J64/($F64-$E64+1), $J64/(($F64*($F64+1)/2)-(($E64-1)*($E64-1+1)/2))*AZ$2), 0)+IF(IF(time+1&gt;=BA$2, $K64/time_cap/(time+1)*AZ$2, 0) = 0, $K64/(time_cap),0)),0)</f>
        <v/>
      </c>
      <c r="BA64" s="4395">
        <f>IFERROR(IF((time+time_cap)&lt;BA$2, 0,IF(AND(time+1&gt;=BB$2, $E64&lt;BB$2), IF($I64= "I", $J64/($F64-$E64+1), $J64/(($F64*($F64+1)/2)-(($E64-1)*($E64-1+1)/2))*BA$2), 0)+IF(IF(time+1&gt;=BB$2, $K64/time_cap/(time+1)*BA$2, 0) = 0, $K64/(time_cap),0)),0)</f>
        <v/>
      </c>
      <c r="BB64" s="4395">
        <f>IFERROR(IF((time+time_cap)&lt;BB$2, 0,IF(AND(time+1&gt;=BC$2, $E64&lt;BC$2), IF($I64= "I", $J64/($F64-$E64+1), $J64/(($F64*($F64+1)/2)-(($E64-1)*($E64-1+1)/2))*BB$2), 0)+IF(IF(time+1&gt;=BC$2, $K64/time_cap/(time+1)*BB$2, 0) = 0, $K64/(time_cap),0)),0)</f>
        <v/>
      </c>
      <c r="BC64" s="4395">
        <f>IFERROR(IF((time+time_cap)&lt;BC$2, 0,IF(AND(time+1&gt;=BD$2, $E64&lt;BD$2), IF($I64= "I", $J64/($F64-$E64+1), $J64/(($F64*($F64+1)/2)-(($E64-1)*($E64-1+1)/2))*BC$2), 0)+IF(IF(time+1&gt;=BD$2, $K64/time_cap/(time+1)*BC$2, 0) = 0, $K64/(time_cap),0)),0)</f>
        <v/>
      </c>
      <c r="BD64" s="4395">
        <f>IFERROR(IF((time+time_cap)&lt;BD$2, 0,IF(AND(time+1&gt;=BE$2, $E64&lt;BE$2), IF($I64= "I", $J64/($F64-$E64+1), $J64/(($F64*($F64+1)/2)-(($E64-1)*($E64-1+1)/2))*BD$2), 0)+IF(IF(time+1&gt;=BE$2, $K64/time_cap/(time+1)*BD$2, 0) = 0, $K64/(time_cap),0)),0)</f>
        <v/>
      </c>
      <c r="BE64" s="4395">
        <f>IFERROR(IF((time+time_cap)&lt;BE$2, 0,IF(AND(time+1&gt;=BF$2, $E64&lt;BF$2), IF($I64= "I", $J64/($F64-$E64+1), $J64/(($F64*($F64+1)/2)-(($E64-1)*($E64-1+1)/2))*BE$2), 0)+IF(IF(time+1&gt;=BF$2, $K64/time_cap/(time+1)*BE$2, 0) = 0, $K64/(time_cap),0)),0)</f>
        <v/>
      </c>
      <c r="BF64" s="4395">
        <f>IFERROR(IF((time+time_cap)&lt;BF$2, 0,IF(AND(time+1&gt;=BG$2, $E64&lt;BG$2), IF($I64= "I", $J64/($F64-$E64+1), $J64/(($F64*($F64+1)/2)-(($E64-1)*($E64-1+1)/2))*BF$2), 0)+IF(IF(time+1&gt;=BG$2, $K64/time_cap/(time+1)*BF$2, 0) = 0, $K64/(time_cap),0)),0)</f>
        <v/>
      </c>
      <c r="BG64" s="4395">
        <f>IFERROR(IF((time+time_cap)&lt;BG$2, 0,IF(AND(time+1&gt;=BH$2, $E64&lt;BH$2), IF($I64= "I", $J64/($F64-$E64+1), $J64/(($F64*($F64+1)/2)-(($E64-1)*($E64-1+1)/2))*BG$2), 0)+IF(IF(time+1&gt;=BH$2, $K64/time_cap/(time+1)*BG$2, 0) = 0, $K64/(time_cap),0)),0)</f>
        <v/>
      </c>
      <c r="BH64" s="4395">
        <f>IFERROR(IF((time+time_cap)&lt;BH$2, 0,IF(AND(time+1&gt;=BI$2, $E64&lt;BI$2), IF($I64= "I", $J64/($F64-$E64+1), $J64/(($F64*($F64+1)/2)-(($E64-1)*($E64-1+1)/2))*BH$2), 0)+IF(IF(time+1&gt;=BI$2, $K64/time_cap/(time+1)*BH$2, 0) = 0, $K64/(time_cap),0)),0)</f>
        <v/>
      </c>
      <c r="BI64" s="4395">
        <f>IFERROR(IF((time+time_cap)&lt;BI$2, 0,IF(AND(time+1&gt;=BJ$2, $E64&lt;BJ$2), IF($I64= "I", $J64/($F64-$E64+1), $J64/(($F64*($F64+1)/2)-(($E64-1)*($E64-1+1)/2))*BI$2), 0)+IF(IF(time+1&gt;=BJ$2, $K64/time_cap/(time+1)*BI$2, 0) = 0, $K64/(time_cap),0)),0)</f>
        <v/>
      </c>
      <c r="BJ64" s="4395">
        <f>IFERROR(IF((time+time_cap)&lt;BJ$2, 0,IF(AND(time+1&gt;=BK$2, $E64&lt;BK$2), IF($I64= "I", $J64/($F64-$E64+1), $J64/(($F64*($F64+1)/2)-(($E64-1)*($E64-1+1)/2))*BJ$2), 0)+IF(IF(time+1&gt;=BK$2, $K64/time_cap/(time+1)*BJ$2, 0) = 0, $K64/(time_cap),0)),0)</f>
        <v/>
      </c>
      <c r="BK64" s="4395" t="n"/>
      <c r="BL64" s="4395" t="n"/>
      <c r="BM64" s="4395" t="n"/>
      <c r="BN64" s="4395" t="n"/>
      <c r="BO64" s="4395" t="n"/>
      <c r="BP64" s="4395" t="n"/>
      <c r="BQ64" s="4395" t="n"/>
      <c r="BR64" s="4395" t="n"/>
      <c r="BS64" s="4395" t="n"/>
      <c r="BT64" s="4395" t="n"/>
      <c r="BU64" s="4395" t="n"/>
      <c r="BV64" s="4395" t="n"/>
      <c r="BW64" s="4395" t="n"/>
      <c r="BX64" s="4395" t="n"/>
      <c r="BY64" s="4395" t="n"/>
      <c r="BZ64" s="4395" t="n"/>
      <c r="CA64" s="4395" t="n"/>
      <c r="CB64" s="4395" t="n"/>
      <c r="CC64" s="4395" t="n"/>
      <c r="CD64" s="4395" t="n"/>
      <c r="CE64" s="4395" t="n"/>
      <c r="CF64" s="4395" t="n"/>
      <c r="CG64" s="4395" t="n"/>
      <c r="CH64" s="4395" t="n"/>
      <c r="CI64" s="4395" t="n"/>
      <c r="CJ64" s="4395" t="n"/>
      <c r="CK64" s="4395" t="n"/>
      <c r="CL64" s="4395" t="n"/>
      <c r="CM64" s="4395" t="n"/>
      <c r="CN64" s="4395" t="n"/>
      <c r="CO64" s="4395" t="n"/>
      <c r="CP64" s="4395" t="n"/>
      <c r="CQ64" s="4395" t="n"/>
      <c r="CR64" s="4395" t="n"/>
      <c r="CS64" s="4395" t="n"/>
      <c r="CT64" s="4395" t="n"/>
      <c r="CU64" s="4395" t="n"/>
      <c r="CV64" s="4395" t="n"/>
      <c r="CW64" s="4395" t="n"/>
      <c r="CX64" s="4395" t="n"/>
      <c r="CY64" s="4395" t="n"/>
      <c r="CZ64" s="4395" t="n"/>
      <c r="DA64" s="4395" t="n"/>
      <c r="DB64" s="4395" t="n"/>
      <c r="DC64" s="4395" t="n"/>
      <c r="DD64" s="4395" t="n"/>
      <c r="DE64" s="4395" t="n"/>
      <c r="DF64" s="4395" t="n"/>
      <c r="DG64" s="4395" t="n"/>
      <c r="DH64" s="4395" t="n"/>
    </row>
    <row r="65" ht="16" customHeight="1">
      <c r="A65" t="inlineStr">
        <is>
          <t>Flooded rice</t>
        </is>
      </c>
      <c r="C65">
        <f>'3.Cropland'!G97</f>
        <v/>
      </c>
      <c r="D65">
        <f>'3.Cropland'!Z97</f>
        <v/>
      </c>
      <c r="E65">
        <f>IF('3.Cropland'!BM97&lt;&gt;0,'3.Cropland'!BM97, '3.Cropland'!BL97)</f>
        <v/>
      </c>
      <c r="F65">
        <f>time</f>
        <v/>
      </c>
      <c r="G65" s="4395" t="inlineStr">
        <is>
          <t>D</t>
        </is>
      </c>
      <c r="H65" s="4395" t="inlineStr">
        <is>
          <t>D</t>
        </is>
      </c>
      <c r="I65" s="4395">
        <f>IF(OR(H65="I", G65="I"), "I", IF(OR(H65="E", G65="E"), "E", "D"))</f>
        <v/>
      </c>
      <c r="J65" s="4395">
        <f>((D65/(time_cap+((F65-E65+1)*VLOOKUP(I65,list!$I$48:$K$50,3, FALSE))))*(F65-E65+1)*VLOOKUP(I65,list!$I$48:$K$50,3, FALSE))</f>
        <v/>
      </c>
      <c r="K65" s="4395">
        <f>((D65/(time_cap+((F65-E65+1)*VLOOKUP(I65,list!$I$48:$K$50,3, FALSE))))*time_cap)</f>
        <v/>
      </c>
      <c r="M65" s="4395">
        <f>IFERROR(IF((time+time_cap)&lt;M$2, 0,IF(AND(time+1&gt;=N$2, $E65&lt;N$2), IF($I65= "I", $J65/($F65-$E65+1), $J65/(($F65*($F65+1)/2)-(($E65-1)*($E65-1+1)/2))*M$2), 0)+IF(IF(time+1&gt;=N$2, $K65/time_cap/(time+1)*M$2, 0) = 0, $K65/(time_cap),0)),0)</f>
        <v/>
      </c>
      <c r="N65" s="4395">
        <f>IFERROR(IF((time+time_cap)&lt;N$2, 0,IF(AND(time+1&gt;=O$2, $E65&lt;O$2), IF($I65= "I", $J65/($F65-$E65+1), $J65/(($F65*($F65+1)/2)-(($E65-1)*($E65-1+1)/2))*N$2), 0)+IF(IF(time+1&gt;=O$2, $K65/time_cap/(time+1)*N$2, 0) = 0, $K65/(time_cap),0)),0)</f>
        <v/>
      </c>
      <c r="O65" s="4395">
        <f>IFERROR(IF((time+time_cap)&lt;O$2, 0,IF(AND(time+1&gt;=P$2, $E65&lt;P$2), IF($I65= "I", $J65/($F65-$E65+1), $J65/(($F65*($F65+1)/2)-(($E65-1)*($E65-1+1)/2))*O$2), 0)+IF(IF(time+1&gt;=P$2, $K65/time_cap/(time+1)*O$2, 0) = 0, $K65/(time_cap),0)),0)</f>
        <v/>
      </c>
      <c r="P65" s="4395">
        <f>IFERROR(IF((time+time_cap)&lt;P$2, 0,IF(AND(time+1&gt;=Q$2, $E65&lt;Q$2), IF($I65= "I", $J65/($F65-$E65+1), $J65/(($F65*($F65+1)/2)-(($E65-1)*($E65-1+1)/2))*P$2), 0)+IF(IF(time+1&gt;=Q$2, $K65/time_cap/(time+1)*P$2, 0) = 0, $K65/(time_cap),0)),0)</f>
        <v/>
      </c>
      <c r="Q65" s="4395">
        <f>IFERROR(IF((time+time_cap)&lt;Q$2, 0,IF(AND(time+1&gt;=R$2, $E65&lt;R$2), IF($I65= "I", $J65/($F65-$E65+1), $J65/(($F65*($F65+1)/2)-(($E65-1)*($E65-1+1)/2))*Q$2), 0)+IF(IF(time+1&gt;=R$2, $K65/time_cap/(time+1)*Q$2, 0) = 0, $K65/(time_cap),0)),0)</f>
        <v/>
      </c>
      <c r="R65" s="4395">
        <f>IFERROR(IF((time+time_cap)&lt;R$2, 0,IF(AND(time+1&gt;=S$2, $E65&lt;S$2), IF($I65= "I", $J65/($F65-$E65+1), $J65/(($F65*($F65+1)/2)-(($E65-1)*($E65-1+1)/2))*R$2), 0)+IF(IF(time+1&gt;=S$2, $K65/time_cap/(time+1)*R$2, 0) = 0, $K65/(time_cap),0)),0)</f>
        <v/>
      </c>
      <c r="S65" s="4395">
        <f>IFERROR(IF((time+time_cap)&lt;S$2, 0,IF(AND(time+1&gt;=T$2, $E65&lt;T$2), IF($I65= "I", $J65/($F65-$E65+1), $J65/(($F65*($F65+1)/2)-(($E65-1)*($E65-1+1)/2))*S$2), 0)+IF(IF(time+1&gt;=T$2, $K65/time_cap/(time+1)*S$2, 0) = 0, $K65/(time_cap),0)),0)</f>
        <v/>
      </c>
      <c r="T65" s="4395">
        <f>IFERROR(IF((time+time_cap)&lt;T$2, 0,IF(AND(time+1&gt;=U$2, $E65&lt;U$2), IF($I65= "I", $J65/($F65-$E65+1), $J65/(($F65*($F65+1)/2)-(($E65-1)*($E65-1+1)/2))*T$2), 0)+IF(IF(time+1&gt;=U$2, $K65/time_cap/(time+1)*T$2, 0) = 0, $K65/(time_cap),0)),0)</f>
        <v/>
      </c>
      <c r="U65" s="4395">
        <f>IFERROR(IF((time+time_cap)&lt;U$2, 0,IF(AND(time+1&gt;=V$2, $E65&lt;V$2), IF($I65= "I", $J65/($F65-$E65+1), $J65/(($F65*($F65+1)/2)-(($E65-1)*($E65-1+1)/2))*U$2), 0)+IF(IF(time+1&gt;=V$2, $K65/time_cap/(time+1)*U$2, 0) = 0, $K65/(time_cap),0)),0)</f>
        <v/>
      </c>
      <c r="V65" s="4395">
        <f>IFERROR(IF((time+time_cap)&lt;V$2, 0,IF(AND(time+1&gt;=W$2, $E65&lt;W$2), IF($I65= "I", $J65/($F65-$E65+1), $J65/(($F65*($F65+1)/2)-(($E65-1)*($E65-1+1)/2))*V$2), 0)+IF(IF(time+1&gt;=W$2, $K65/time_cap/(time+1)*V$2, 0) = 0, $K65/(time_cap),0)),0)</f>
        <v/>
      </c>
      <c r="W65" s="4395">
        <f>IFERROR(IF((time+time_cap)&lt;W$2, 0,IF(AND(time+1&gt;=X$2, $E65&lt;X$2), IF($I65= "I", $J65/($F65-$E65+1), $J65/(($F65*($F65+1)/2)-(($E65-1)*($E65-1+1)/2))*W$2), 0)+IF(IF(time+1&gt;=X$2, $K65/time_cap/(time+1)*W$2, 0) = 0, $K65/(time_cap),0)),0)</f>
        <v/>
      </c>
      <c r="X65" s="4395">
        <f>IFERROR(IF((time+time_cap)&lt;X$2, 0,IF(AND(time+1&gt;=Y$2, $E65&lt;Y$2), IF($I65= "I", $J65/($F65-$E65+1), $J65/(($F65*($F65+1)/2)-(($E65-1)*($E65-1+1)/2))*X$2), 0)+IF(IF(time+1&gt;=Y$2, $K65/time_cap/(time+1)*X$2, 0) = 0, $K65/(time_cap),0)),0)</f>
        <v/>
      </c>
      <c r="Y65" s="4395">
        <f>IFERROR(IF((time+time_cap)&lt;Y$2, 0,IF(AND(time+1&gt;=Z$2, $E65&lt;Z$2), IF($I65= "I", $J65/($F65-$E65+1), $J65/(($F65*($F65+1)/2)-(($E65-1)*($E65-1+1)/2))*Y$2), 0)+IF(IF(time+1&gt;=Z$2, $K65/time_cap/(time+1)*Y$2, 0) = 0, $K65/(time_cap),0)),0)</f>
        <v/>
      </c>
      <c r="Z65" s="4395">
        <f>IFERROR(IF((time+time_cap)&lt;Z$2, 0,IF(AND(time+1&gt;=AA$2, $E65&lt;AA$2), IF($I65= "I", $J65/($F65-$E65+1), $J65/(($F65*($F65+1)/2)-(($E65-1)*($E65-1+1)/2))*Z$2), 0)+IF(IF(time+1&gt;=AA$2, $K65/time_cap/(time+1)*Z$2, 0) = 0, $K65/(time_cap),0)),0)</f>
        <v/>
      </c>
      <c r="AA65" s="4395">
        <f>IFERROR(IF((time+time_cap)&lt;AA$2, 0,IF(AND(time+1&gt;=AB$2, $E65&lt;AB$2), IF($I65= "I", $J65/($F65-$E65+1), $J65/(($F65*($F65+1)/2)-(($E65-1)*($E65-1+1)/2))*AA$2), 0)+IF(IF(time+1&gt;=AB$2, $K65/time_cap/(time+1)*AA$2, 0) = 0, $K65/(time_cap),0)),0)</f>
        <v/>
      </c>
      <c r="AB65" s="4395">
        <f>IFERROR(IF((time+time_cap)&lt;AB$2, 0,IF(AND(time+1&gt;=AC$2, $E65&lt;AC$2), IF($I65= "I", $J65/($F65-$E65+1), $J65/(($F65*($F65+1)/2)-(($E65-1)*($E65-1+1)/2))*AB$2), 0)+IF(IF(time+1&gt;=AC$2, $K65/time_cap/(time+1)*AB$2, 0) = 0, $K65/(time_cap),0)),0)</f>
        <v/>
      </c>
      <c r="AC65" s="4395">
        <f>IFERROR(IF((time+time_cap)&lt;AC$2, 0,IF(AND(time+1&gt;=AD$2, $E65&lt;AD$2), IF($I65= "I", $J65/($F65-$E65+1), $J65/(($F65*($F65+1)/2)-(($E65-1)*($E65-1+1)/2))*AC$2), 0)+IF(IF(time+1&gt;=AD$2, $K65/time_cap/(time+1)*AC$2, 0) = 0, $K65/(time_cap),0)),0)</f>
        <v/>
      </c>
      <c r="AD65" s="4395">
        <f>IFERROR(IF((time+time_cap)&lt;AD$2, 0,IF(AND(time+1&gt;=AE$2, $E65&lt;AE$2), IF($I65= "I", $J65/($F65-$E65+1), $J65/(($F65*($F65+1)/2)-(($E65-1)*($E65-1+1)/2))*AD$2), 0)+IF(IF(time+1&gt;=AE$2, $K65/time_cap/(time+1)*AD$2, 0) = 0, $K65/(time_cap),0)),0)</f>
        <v/>
      </c>
      <c r="AE65" s="4395">
        <f>IFERROR(IF((time+time_cap)&lt;AE$2, 0,IF(AND(time+1&gt;=AF$2, $E65&lt;AF$2), IF($I65= "I", $J65/($F65-$E65+1), $J65/(($F65*($F65+1)/2)-(($E65-1)*($E65-1+1)/2))*AE$2), 0)+IF(IF(time+1&gt;=AF$2, $K65/time_cap/(time+1)*AE$2, 0) = 0, $K65/(time_cap),0)),0)</f>
        <v/>
      </c>
      <c r="AF65" s="4395">
        <f>IFERROR(IF((time+time_cap)&lt;AF$2, 0,IF(AND(time+1&gt;=AG$2, $E65&lt;AG$2), IF($I65= "I", $J65/($F65-$E65+1), $J65/(($F65*($F65+1)/2)-(($E65-1)*($E65-1+1)/2))*AF$2), 0)+IF(IF(time+1&gt;=AG$2, $K65/time_cap/(time+1)*AF$2, 0) = 0, $K65/(time_cap),0)),0)</f>
        <v/>
      </c>
      <c r="AG65" s="4395">
        <f>IFERROR(IF((time+time_cap)&lt;AG$2, 0,IF(AND(time+1&gt;=AH$2, $E65&lt;AH$2), IF($I65= "I", $J65/($F65-$E65+1), $J65/(($F65*($F65+1)/2)-(($E65-1)*($E65-1+1)/2))*AG$2), 0)+IF(IF(time+1&gt;=AH$2, $K65/time_cap/(time+1)*AG$2, 0) = 0, $K65/(time_cap),0)),0)</f>
        <v/>
      </c>
      <c r="AH65" s="4395">
        <f>IFERROR(IF((time+time_cap)&lt;AH$2, 0,IF(AND(time+1&gt;=AI$2, $E65&lt;AI$2), IF($I65= "I", $J65/($F65-$E65+1), $J65/(($F65*($F65+1)/2)-(($E65-1)*($E65-1+1)/2))*AH$2), 0)+IF(IF(time+1&gt;=AI$2, $K65/time_cap/(time+1)*AH$2, 0) = 0, $K65/(time_cap),0)),0)</f>
        <v/>
      </c>
      <c r="AI65" s="4395">
        <f>IFERROR(IF((time+time_cap)&lt;AI$2, 0,IF(AND(time+1&gt;=AJ$2, $E65&lt;AJ$2), IF($I65= "I", $J65/($F65-$E65+1), $J65/(($F65*($F65+1)/2)-(($E65-1)*($E65-1+1)/2))*AI$2), 0)+IF(IF(time+1&gt;=AJ$2, $K65/time_cap/(time+1)*AI$2, 0) = 0, $K65/(time_cap),0)),0)</f>
        <v/>
      </c>
      <c r="AJ65" s="4395">
        <f>IFERROR(IF((time+time_cap)&lt;AJ$2, 0,IF(AND(time+1&gt;=AK$2, $E65&lt;AK$2), IF($I65= "I", $J65/($F65-$E65+1), $J65/(($F65*($F65+1)/2)-(($E65-1)*($E65-1+1)/2))*AJ$2), 0)+IF(IF(time+1&gt;=AK$2, $K65/time_cap/(time+1)*AJ$2, 0) = 0, $K65/(time_cap),0)),0)</f>
        <v/>
      </c>
      <c r="AK65" s="4395">
        <f>IFERROR(IF((time+time_cap)&lt;AK$2, 0,IF(AND(time+1&gt;=AL$2, $E65&lt;AL$2), IF($I65= "I", $J65/($F65-$E65+1), $J65/(($F65*($F65+1)/2)-(($E65-1)*($E65-1+1)/2))*AK$2), 0)+IF(IF(time+1&gt;=AL$2, $K65/time_cap/(time+1)*AK$2, 0) = 0, $K65/(time_cap),0)),0)</f>
        <v/>
      </c>
      <c r="AL65" s="4395">
        <f>IFERROR(IF((time+time_cap)&lt;AL$2, 0,IF(AND(time+1&gt;=AM$2, $E65&lt;AM$2), IF($I65= "I", $J65/($F65-$E65+1), $J65/(($F65*($F65+1)/2)-(($E65-1)*($E65-1+1)/2))*AL$2), 0)+IF(IF(time+1&gt;=AM$2, $K65/time_cap/(time+1)*AL$2, 0) = 0, $K65/(time_cap),0)),0)</f>
        <v/>
      </c>
      <c r="AM65" s="4395">
        <f>IFERROR(IF((time+time_cap)&lt;AM$2, 0,IF(AND(time+1&gt;=AN$2, $E65&lt;AN$2), IF($I65= "I", $J65/($F65-$E65+1), $J65/(($F65*($F65+1)/2)-(($E65-1)*($E65-1+1)/2))*AM$2), 0)+IF(IF(time+1&gt;=AN$2, $K65/time_cap/(time+1)*AM$2, 0) = 0, $K65/(time_cap),0)),0)</f>
        <v/>
      </c>
      <c r="AN65" s="4395">
        <f>IFERROR(IF((time+time_cap)&lt;AN$2, 0,IF(AND(time+1&gt;=AO$2, $E65&lt;AO$2), IF($I65= "I", $J65/($F65-$E65+1), $J65/(($F65*($F65+1)/2)-(($E65-1)*($E65-1+1)/2))*AN$2), 0)+IF(IF(time+1&gt;=AO$2, $K65/time_cap/(time+1)*AN$2, 0) = 0, $K65/(time_cap),0)),0)</f>
        <v/>
      </c>
      <c r="AO65" s="4395">
        <f>IFERROR(IF((time+time_cap)&lt;AO$2, 0,IF(AND(time+1&gt;=AP$2, $E65&lt;AP$2), IF($I65= "I", $J65/($F65-$E65+1), $J65/(($F65*($F65+1)/2)-(($E65-1)*($E65-1+1)/2))*AO$2), 0)+IF(IF(time+1&gt;=AP$2, $K65/time_cap/(time+1)*AO$2, 0) = 0, $K65/(time_cap),0)),0)</f>
        <v/>
      </c>
      <c r="AP65" s="4395">
        <f>IFERROR(IF((time+time_cap)&lt;AP$2, 0,IF(AND(time+1&gt;=AQ$2, $E65&lt;AQ$2), IF($I65= "I", $J65/($F65-$E65+1), $J65/(($F65*($F65+1)/2)-(($E65-1)*($E65-1+1)/2))*AP$2), 0)+IF(IF(time+1&gt;=AQ$2, $K65/time_cap/(time+1)*AP$2, 0) = 0, $K65/(time_cap),0)),0)</f>
        <v/>
      </c>
      <c r="AQ65" s="4395">
        <f>IFERROR(IF((time+time_cap)&lt;AQ$2, 0,IF(AND(time+1&gt;=AR$2, $E65&lt;AR$2), IF($I65= "I", $J65/($F65-$E65+1), $J65/(($F65*($F65+1)/2)-(($E65-1)*($E65-1+1)/2))*AQ$2), 0)+IF(IF(time+1&gt;=AR$2, $K65/time_cap/(time+1)*AQ$2, 0) = 0, $K65/(time_cap),0)),0)</f>
        <v/>
      </c>
      <c r="AR65" s="4395">
        <f>IFERROR(IF((time+time_cap)&lt;AR$2, 0,IF(AND(time+1&gt;=AS$2, $E65&lt;AS$2), IF($I65= "I", $J65/($F65-$E65+1), $J65/(($F65*($F65+1)/2)-(($E65-1)*($E65-1+1)/2))*AR$2), 0)+IF(IF(time+1&gt;=AS$2, $K65/time_cap/(time+1)*AR$2, 0) = 0, $K65/(time_cap),0)),0)</f>
        <v/>
      </c>
      <c r="AS65" s="4395">
        <f>IFERROR(IF((time+time_cap)&lt;AS$2, 0,IF(AND(time+1&gt;=AT$2, $E65&lt;AT$2), IF($I65= "I", $J65/($F65-$E65+1), $J65/(($F65*($F65+1)/2)-(($E65-1)*($E65-1+1)/2))*AS$2), 0)+IF(IF(time+1&gt;=AT$2, $K65/time_cap/(time+1)*AS$2, 0) = 0, $K65/(time_cap),0)),0)</f>
        <v/>
      </c>
      <c r="AT65" s="4395">
        <f>IFERROR(IF((time+time_cap)&lt;AT$2, 0,IF(AND(time+1&gt;=AU$2, $E65&lt;AU$2), IF($I65= "I", $J65/($F65-$E65+1), $J65/(($F65*($F65+1)/2)-(($E65-1)*($E65-1+1)/2))*AT$2), 0)+IF(IF(time+1&gt;=AU$2, $K65/time_cap/(time+1)*AT$2, 0) = 0, $K65/(time_cap),0)),0)</f>
        <v/>
      </c>
      <c r="AU65" s="4395">
        <f>IFERROR(IF((time+time_cap)&lt;AU$2, 0,IF(AND(time+1&gt;=AV$2, $E65&lt;AV$2), IF($I65= "I", $J65/($F65-$E65+1), $J65/(($F65*($F65+1)/2)-(($E65-1)*($E65-1+1)/2))*AU$2), 0)+IF(IF(time+1&gt;=AV$2, $K65/time_cap/(time+1)*AU$2, 0) = 0, $K65/(time_cap),0)),0)</f>
        <v/>
      </c>
      <c r="AV65" s="4395">
        <f>IFERROR(IF((time+time_cap)&lt;AV$2, 0,IF(AND(time+1&gt;=AW$2, $E65&lt;AW$2), IF($I65= "I", $J65/($F65-$E65+1), $J65/(($F65*($F65+1)/2)-(($E65-1)*($E65-1+1)/2))*AV$2), 0)+IF(IF(time+1&gt;=AW$2, $K65/time_cap/(time+1)*AV$2, 0) = 0, $K65/(time_cap),0)),0)</f>
        <v/>
      </c>
      <c r="AW65" s="4395">
        <f>IFERROR(IF((time+time_cap)&lt;AW$2, 0,IF(AND(time+1&gt;=AX$2, $E65&lt;AX$2), IF($I65= "I", $J65/($F65-$E65+1), $J65/(($F65*($F65+1)/2)-(($E65-1)*($E65-1+1)/2))*AW$2), 0)+IF(IF(time+1&gt;=AX$2, $K65/time_cap/(time+1)*AW$2, 0) = 0, $K65/(time_cap),0)),0)</f>
        <v/>
      </c>
      <c r="AX65" s="4395">
        <f>IFERROR(IF((time+time_cap)&lt;AX$2, 0,IF(AND(time+1&gt;=AY$2, $E65&lt;AY$2), IF($I65= "I", $J65/($F65-$E65+1), $J65/(($F65*($F65+1)/2)-(($E65-1)*($E65-1+1)/2))*AX$2), 0)+IF(IF(time+1&gt;=AY$2, $K65/time_cap/(time+1)*AX$2, 0) = 0, $K65/(time_cap),0)),0)</f>
        <v/>
      </c>
      <c r="AY65" s="4395">
        <f>IFERROR(IF((time+time_cap)&lt;AY$2, 0,IF(AND(time+1&gt;=AZ$2, $E65&lt;AZ$2), IF($I65= "I", $J65/($F65-$E65+1), $J65/(($F65*($F65+1)/2)-(($E65-1)*($E65-1+1)/2))*AY$2), 0)+IF(IF(time+1&gt;=AZ$2, $K65/time_cap/(time+1)*AY$2, 0) = 0, $K65/(time_cap),0)),0)</f>
        <v/>
      </c>
      <c r="AZ65" s="4395">
        <f>IFERROR(IF((time+time_cap)&lt;AZ$2, 0,IF(AND(time+1&gt;=BA$2, $E65&lt;BA$2), IF($I65= "I", $J65/($F65-$E65+1), $J65/(($F65*($F65+1)/2)-(($E65-1)*($E65-1+1)/2))*AZ$2), 0)+IF(IF(time+1&gt;=BA$2, $K65/time_cap/(time+1)*AZ$2, 0) = 0, $K65/(time_cap),0)),0)</f>
        <v/>
      </c>
      <c r="BA65" s="4395">
        <f>IFERROR(IF((time+time_cap)&lt;BA$2, 0,IF(AND(time+1&gt;=BB$2, $E65&lt;BB$2), IF($I65= "I", $J65/($F65-$E65+1), $J65/(($F65*($F65+1)/2)-(($E65-1)*($E65-1+1)/2))*BA$2), 0)+IF(IF(time+1&gt;=BB$2, $K65/time_cap/(time+1)*BA$2, 0) = 0, $K65/(time_cap),0)),0)</f>
        <v/>
      </c>
      <c r="BB65" s="4395">
        <f>IFERROR(IF((time+time_cap)&lt;BB$2, 0,IF(AND(time+1&gt;=BC$2, $E65&lt;BC$2), IF($I65= "I", $J65/($F65-$E65+1), $J65/(($F65*($F65+1)/2)-(($E65-1)*($E65-1+1)/2))*BB$2), 0)+IF(IF(time+1&gt;=BC$2, $K65/time_cap/(time+1)*BB$2, 0) = 0, $K65/(time_cap),0)),0)</f>
        <v/>
      </c>
      <c r="BC65" s="4395">
        <f>IFERROR(IF((time+time_cap)&lt;BC$2, 0,IF(AND(time+1&gt;=BD$2, $E65&lt;BD$2), IF($I65= "I", $J65/($F65-$E65+1), $J65/(($F65*($F65+1)/2)-(($E65-1)*($E65-1+1)/2))*BC$2), 0)+IF(IF(time+1&gt;=BD$2, $K65/time_cap/(time+1)*BC$2, 0) = 0, $K65/(time_cap),0)),0)</f>
        <v/>
      </c>
      <c r="BD65" s="4395">
        <f>IFERROR(IF((time+time_cap)&lt;BD$2, 0,IF(AND(time+1&gt;=BE$2, $E65&lt;BE$2), IF($I65= "I", $J65/($F65-$E65+1), $J65/(($F65*($F65+1)/2)-(($E65-1)*($E65-1+1)/2))*BD$2), 0)+IF(IF(time+1&gt;=BE$2, $K65/time_cap/(time+1)*BD$2, 0) = 0, $K65/(time_cap),0)),0)</f>
        <v/>
      </c>
      <c r="BE65" s="4395">
        <f>IFERROR(IF((time+time_cap)&lt;BE$2, 0,IF(AND(time+1&gt;=BF$2, $E65&lt;BF$2), IF($I65= "I", $J65/($F65-$E65+1), $J65/(($F65*($F65+1)/2)-(($E65-1)*($E65-1+1)/2))*BE$2), 0)+IF(IF(time+1&gt;=BF$2, $K65/time_cap/(time+1)*BE$2, 0) = 0, $K65/(time_cap),0)),0)</f>
        <v/>
      </c>
      <c r="BF65" s="4395">
        <f>IFERROR(IF((time+time_cap)&lt;BF$2, 0,IF(AND(time+1&gt;=BG$2, $E65&lt;BG$2), IF($I65= "I", $J65/($F65-$E65+1), $J65/(($F65*($F65+1)/2)-(($E65-1)*($E65-1+1)/2))*BF$2), 0)+IF(IF(time+1&gt;=BG$2, $K65/time_cap/(time+1)*BF$2, 0) = 0, $K65/(time_cap),0)),0)</f>
        <v/>
      </c>
      <c r="BG65" s="4395">
        <f>IFERROR(IF((time+time_cap)&lt;BG$2, 0,IF(AND(time+1&gt;=BH$2, $E65&lt;BH$2), IF($I65= "I", $J65/($F65-$E65+1), $J65/(($F65*($F65+1)/2)-(($E65-1)*($E65-1+1)/2))*BG$2), 0)+IF(IF(time+1&gt;=BH$2, $K65/time_cap/(time+1)*BG$2, 0) = 0, $K65/(time_cap),0)),0)</f>
        <v/>
      </c>
      <c r="BH65" s="4395">
        <f>IFERROR(IF((time+time_cap)&lt;BH$2, 0,IF(AND(time+1&gt;=BI$2, $E65&lt;BI$2), IF($I65= "I", $J65/($F65-$E65+1), $J65/(($F65*($F65+1)/2)-(($E65-1)*($E65-1+1)/2))*BH$2), 0)+IF(IF(time+1&gt;=BI$2, $K65/time_cap/(time+1)*BH$2, 0) = 0, $K65/(time_cap),0)),0)</f>
        <v/>
      </c>
      <c r="BI65" s="4395">
        <f>IFERROR(IF((time+time_cap)&lt;BI$2, 0,IF(AND(time+1&gt;=BJ$2, $E65&lt;BJ$2), IF($I65= "I", $J65/($F65-$E65+1), $J65/(($F65*($F65+1)/2)-(($E65-1)*($E65-1+1)/2))*BI$2), 0)+IF(IF(time+1&gt;=BJ$2, $K65/time_cap/(time+1)*BI$2, 0) = 0, $K65/(time_cap),0)),0)</f>
        <v/>
      </c>
      <c r="BJ65" s="4395">
        <f>IFERROR(IF((time+time_cap)&lt;BJ$2, 0,IF(AND(time+1&gt;=BK$2, $E65&lt;BK$2), IF($I65= "I", $J65/($F65-$E65+1), $J65/(($F65*($F65+1)/2)-(($E65-1)*($E65-1+1)/2))*BJ$2), 0)+IF(IF(time+1&gt;=BK$2, $K65/time_cap/(time+1)*BJ$2, 0) = 0, $K65/(time_cap),0)),0)</f>
        <v/>
      </c>
      <c r="BK65" s="4395" t="n"/>
      <c r="BL65" s="4395" t="n"/>
      <c r="BM65" s="4395" t="n"/>
      <c r="BN65" s="4395" t="n"/>
      <c r="BO65" s="4395" t="n"/>
      <c r="BP65" s="4395" t="n"/>
      <c r="BQ65" s="4395" t="n"/>
      <c r="BR65" s="4395" t="n"/>
      <c r="BS65" s="4395" t="n"/>
      <c r="BT65" s="4395" t="n"/>
      <c r="BU65" s="4395" t="n"/>
      <c r="BV65" s="4395" t="n"/>
      <c r="BW65" s="4395" t="n"/>
      <c r="BX65" s="4395" t="n"/>
      <c r="BY65" s="4395" t="n"/>
      <c r="BZ65" s="4395" t="n"/>
      <c r="CA65" s="4395" t="n"/>
      <c r="CB65" s="4395" t="n"/>
      <c r="CC65" s="4395" t="n"/>
      <c r="CD65" s="4395" t="n"/>
      <c r="CE65" s="4395" t="n"/>
      <c r="CF65" s="4395" t="n"/>
      <c r="CG65" s="4395" t="n"/>
      <c r="CH65" s="4395" t="n"/>
      <c r="CI65" s="4395" t="n"/>
      <c r="CJ65" s="4395" t="n"/>
      <c r="CK65" s="4395" t="n"/>
      <c r="CL65" s="4395" t="n"/>
      <c r="CM65" s="4395" t="n"/>
      <c r="CN65" s="4395" t="n"/>
      <c r="CO65" s="4395" t="n"/>
      <c r="CP65" s="4395" t="n"/>
      <c r="CQ65" s="4395" t="n"/>
      <c r="CR65" s="4395" t="n"/>
      <c r="CS65" s="4395" t="n"/>
      <c r="CT65" s="4395" t="n"/>
      <c r="CU65" s="4395" t="n"/>
      <c r="CV65" s="4395" t="n"/>
      <c r="CW65" s="4395" t="n"/>
      <c r="CX65" s="4395" t="n"/>
      <c r="CY65" s="4395" t="n"/>
      <c r="CZ65" s="4395" t="n"/>
      <c r="DA65" s="4395" t="n"/>
      <c r="DB65" s="4395" t="n"/>
      <c r="DC65" s="4395" t="n"/>
      <c r="DD65" s="4395" t="n"/>
      <c r="DE65" s="4395" t="n"/>
      <c r="DF65" s="4395" t="n"/>
      <c r="DG65" s="4395" t="n"/>
      <c r="DH65" s="4395" t="n"/>
    </row>
    <row r="66" ht="16" customHeight="1">
      <c r="A66" t="inlineStr">
        <is>
          <t>Flooded rice</t>
        </is>
      </c>
      <c r="C66">
        <f>'3.Cropland'!G98</f>
        <v/>
      </c>
      <c r="D66">
        <f>'3.Cropland'!Z98</f>
        <v/>
      </c>
      <c r="E66">
        <f>IF('3.Cropland'!BM98&lt;&gt;0,'3.Cropland'!BM98, '3.Cropland'!BL98)</f>
        <v/>
      </c>
      <c r="F66">
        <f>time</f>
        <v/>
      </c>
      <c r="G66" s="4395" t="inlineStr">
        <is>
          <t>D</t>
        </is>
      </c>
      <c r="H66" s="4395" t="inlineStr">
        <is>
          <t>D</t>
        </is>
      </c>
      <c r="I66" s="4395">
        <f>IF(OR(H66="I", G66="I"), "I", IF(OR(H66="E", G66="E"), "E", "D"))</f>
        <v/>
      </c>
      <c r="J66" s="4395">
        <f>((D66/(time_cap+((F66-E66+1)*VLOOKUP(I66,list!$I$48:$K$50,3, FALSE))))*(F66-E66+1)*VLOOKUP(I66,list!$I$48:$K$50,3, FALSE))</f>
        <v/>
      </c>
      <c r="K66" s="4395">
        <f>((D66/(time_cap+((F66-E66+1)*VLOOKUP(I66,list!$I$48:$K$50,3, FALSE))))*time_cap)</f>
        <v/>
      </c>
      <c r="M66" s="4395">
        <f>IFERROR(IF((time+time_cap)&lt;M$2, 0,IF(AND(time+1&gt;=N$2, $E66&lt;N$2), IF($I66= "I", $J66/($F66-$E66+1), $J66/(($F66*($F66+1)/2)-(($E66-1)*($E66-1+1)/2))*M$2), 0)+IF(IF(time+1&gt;=N$2, $K66/time_cap/(time+1)*M$2, 0) = 0, $K66/(time_cap),0)),0)</f>
        <v/>
      </c>
      <c r="N66" s="4395">
        <f>IFERROR(IF((time+time_cap)&lt;N$2, 0,IF(AND(time+1&gt;=O$2, $E66&lt;O$2), IF($I66= "I", $J66/($F66-$E66+1), $J66/(($F66*($F66+1)/2)-(($E66-1)*($E66-1+1)/2))*N$2), 0)+IF(IF(time+1&gt;=O$2, $K66/time_cap/(time+1)*N$2, 0) = 0, $K66/(time_cap),0)),0)</f>
        <v/>
      </c>
      <c r="O66" s="4395">
        <f>IFERROR(IF((time+time_cap)&lt;O$2, 0,IF(AND(time+1&gt;=P$2, $E66&lt;P$2), IF($I66= "I", $J66/($F66-$E66+1), $J66/(($F66*($F66+1)/2)-(($E66-1)*($E66-1+1)/2))*O$2), 0)+IF(IF(time+1&gt;=P$2, $K66/time_cap/(time+1)*O$2, 0) = 0, $K66/(time_cap),0)),0)</f>
        <v/>
      </c>
      <c r="P66" s="4395">
        <f>IFERROR(IF((time+time_cap)&lt;P$2, 0,IF(AND(time+1&gt;=Q$2, $E66&lt;Q$2), IF($I66= "I", $J66/($F66-$E66+1), $J66/(($F66*($F66+1)/2)-(($E66-1)*($E66-1+1)/2))*P$2), 0)+IF(IF(time+1&gt;=Q$2, $K66/time_cap/(time+1)*P$2, 0) = 0, $K66/(time_cap),0)),0)</f>
        <v/>
      </c>
      <c r="Q66" s="4395">
        <f>IFERROR(IF((time+time_cap)&lt;Q$2, 0,IF(AND(time+1&gt;=R$2, $E66&lt;R$2), IF($I66= "I", $J66/($F66-$E66+1), $J66/(($F66*($F66+1)/2)-(($E66-1)*($E66-1+1)/2))*Q$2), 0)+IF(IF(time+1&gt;=R$2, $K66/time_cap/(time+1)*Q$2, 0) = 0, $K66/(time_cap),0)),0)</f>
        <v/>
      </c>
      <c r="R66" s="4395">
        <f>IFERROR(IF((time+time_cap)&lt;R$2, 0,IF(AND(time+1&gt;=S$2, $E66&lt;S$2), IF($I66= "I", $J66/($F66-$E66+1), $J66/(($F66*($F66+1)/2)-(($E66-1)*($E66-1+1)/2))*R$2), 0)+IF(IF(time+1&gt;=S$2, $K66/time_cap/(time+1)*R$2, 0) = 0, $K66/(time_cap),0)),0)</f>
        <v/>
      </c>
      <c r="S66" s="4395">
        <f>IFERROR(IF((time+time_cap)&lt;S$2, 0,IF(AND(time+1&gt;=T$2, $E66&lt;T$2), IF($I66= "I", $J66/($F66-$E66+1), $J66/(($F66*($F66+1)/2)-(($E66-1)*($E66-1+1)/2))*S$2), 0)+IF(IF(time+1&gt;=T$2, $K66/time_cap/(time+1)*S$2, 0) = 0, $K66/(time_cap),0)),0)</f>
        <v/>
      </c>
      <c r="T66" s="4395">
        <f>IFERROR(IF((time+time_cap)&lt;T$2, 0,IF(AND(time+1&gt;=U$2, $E66&lt;U$2), IF($I66= "I", $J66/($F66-$E66+1), $J66/(($F66*($F66+1)/2)-(($E66-1)*($E66-1+1)/2))*T$2), 0)+IF(IF(time+1&gt;=U$2, $K66/time_cap/(time+1)*T$2, 0) = 0, $K66/(time_cap),0)),0)</f>
        <v/>
      </c>
      <c r="U66" s="4395">
        <f>IFERROR(IF((time+time_cap)&lt;U$2, 0,IF(AND(time+1&gt;=V$2, $E66&lt;V$2), IF($I66= "I", $J66/($F66-$E66+1), $J66/(($F66*($F66+1)/2)-(($E66-1)*($E66-1+1)/2))*U$2), 0)+IF(IF(time+1&gt;=V$2, $K66/time_cap/(time+1)*U$2, 0) = 0, $K66/(time_cap),0)),0)</f>
        <v/>
      </c>
      <c r="V66" s="4395">
        <f>IFERROR(IF((time+time_cap)&lt;V$2, 0,IF(AND(time+1&gt;=W$2, $E66&lt;W$2), IF($I66= "I", $J66/($F66-$E66+1), $J66/(($F66*($F66+1)/2)-(($E66-1)*($E66-1+1)/2))*V$2), 0)+IF(IF(time+1&gt;=W$2, $K66/time_cap/(time+1)*V$2, 0) = 0, $K66/(time_cap),0)),0)</f>
        <v/>
      </c>
      <c r="W66" s="4395">
        <f>IFERROR(IF((time+time_cap)&lt;W$2, 0,IF(AND(time+1&gt;=X$2, $E66&lt;X$2), IF($I66= "I", $J66/($F66-$E66+1), $J66/(($F66*($F66+1)/2)-(($E66-1)*($E66-1+1)/2))*W$2), 0)+IF(IF(time+1&gt;=X$2, $K66/time_cap/(time+1)*W$2, 0) = 0, $K66/(time_cap),0)),0)</f>
        <v/>
      </c>
      <c r="X66" s="4395">
        <f>IFERROR(IF((time+time_cap)&lt;X$2, 0,IF(AND(time+1&gt;=Y$2, $E66&lt;Y$2), IF($I66= "I", $J66/($F66-$E66+1), $J66/(($F66*($F66+1)/2)-(($E66-1)*($E66-1+1)/2))*X$2), 0)+IF(IF(time+1&gt;=Y$2, $K66/time_cap/(time+1)*X$2, 0) = 0, $K66/(time_cap),0)),0)</f>
        <v/>
      </c>
      <c r="Y66" s="4395">
        <f>IFERROR(IF((time+time_cap)&lt;Y$2, 0,IF(AND(time+1&gt;=Z$2, $E66&lt;Z$2), IF($I66= "I", $J66/($F66-$E66+1), $J66/(($F66*($F66+1)/2)-(($E66-1)*($E66-1+1)/2))*Y$2), 0)+IF(IF(time+1&gt;=Z$2, $K66/time_cap/(time+1)*Y$2, 0) = 0, $K66/(time_cap),0)),0)</f>
        <v/>
      </c>
      <c r="Z66" s="4395">
        <f>IFERROR(IF((time+time_cap)&lt;Z$2, 0,IF(AND(time+1&gt;=AA$2, $E66&lt;AA$2), IF($I66= "I", $J66/($F66-$E66+1), $J66/(($F66*($F66+1)/2)-(($E66-1)*($E66-1+1)/2))*Z$2), 0)+IF(IF(time+1&gt;=AA$2, $K66/time_cap/(time+1)*Z$2, 0) = 0, $K66/(time_cap),0)),0)</f>
        <v/>
      </c>
      <c r="AA66" s="4395">
        <f>IFERROR(IF((time+time_cap)&lt;AA$2, 0,IF(AND(time+1&gt;=AB$2, $E66&lt;AB$2), IF($I66= "I", $J66/($F66-$E66+1), $J66/(($F66*($F66+1)/2)-(($E66-1)*($E66-1+1)/2))*AA$2), 0)+IF(IF(time+1&gt;=AB$2, $K66/time_cap/(time+1)*AA$2, 0) = 0, $K66/(time_cap),0)),0)</f>
        <v/>
      </c>
      <c r="AB66" s="4395">
        <f>IFERROR(IF((time+time_cap)&lt;AB$2, 0,IF(AND(time+1&gt;=AC$2, $E66&lt;AC$2), IF($I66= "I", $J66/($F66-$E66+1), $J66/(($F66*($F66+1)/2)-(($E66-1)*($E66-1+1)/2))*AB$2), 0)+IF(IF(time+1&gt;=AC$2, $K66/time_cap/(time+1)*AB$2, 0) = 0, $K66/(time_cap),0)),0)</f>
        <v/>
      </c>
      <c r="AC66" s="4395">
        <f>IFERROR(IF((time+time_cap)&lt;AC$2, 0,IF(AND(time+1&gt;=AD$2, $E66&lt;AD$2), IF($I66= "I", $J66/($F66-$E66+1), $J66/(($F66*($F66+1)/2)-(($E66-1)*($E66-1+1)/2))*AC$2), 0)+IF(IF(time+1&gt;=AD$2, $K66/time_cap/(time+1)*AC$2, 0) = 0, $K66/(time_cap),0)),0)</f>
        <v/>
      </c>
      <c r="AD66" s="4395">
        <f>IFERROR(IF((time+time_cap)&lt;AD$2, 0,IF(AND(time+1&gt;=AE$2, $E66&lt;AE$2), IF($I66= "I", $J66/($F66-$E66+1), $J66/(($F66*($F66+1)/2)-(($E66-1)*($E66-1+1)/2))*AD$2), 0)+IF(IF(time+1&gt;=AE$2, $K66/time_cap/(time+1)*AD$2, 0) = 0, $K66/(time_cap),0)),0)</f>
        <v/>
      </c>
      <c r="AE66" s="4395">
        <f>IFERROR(IF((time+time_cap)&lt;AE$2, 0,IF(AND(time+1&gt;=AF$2, $E66&lt;AF$2), IF($I66= "I", $J66/($F66-$E66+1), $J66/(($F66*($F66+1)/2)-(($E66-1)*($E66-1+1)/2))*AE$2), 0)+IF(IF(time+1&gt;=AF$2, $K66/time_cap/(time+1)*AE$2, 0) = 0, $K66/(time_cap),0)),0)</f>
        <v/>
      </c>
      <c r="AF66" s="4395">
        <f>IFERROR(IF((time+time_cap)&lt;AF$2, 0,IF(AND(time+1&gt;=AG$2, $E66&lt;AG$2), IF($I66= "I", $J66/($F66-$E66+1), $J66/(($F66*($F66+1)/2)-(($E66-1)*($E66-1+1)/2))*AF$2), 0)+IF(IF(time+1&gt;=AG$2, $K66/time_cap/(time+1)*AF$2, 0) = 0, $K66/(time_cap),0)),0)</f>
        <v/>
      </c>
      <c r="AG66" s="4395">
        <f>IFERROR(IF((time+time_cap)&lt;AG$2, 0,IF(AND(time+1&gt;=AH$2, $E66&lt;AH$2), IF($I66= "I", $J66/($F66-$E66+1), $J66/(($F66*($F66+1)/2)-(($E66-1)*($E66-1+1)/2))*AG$2), 0)+IF(IF(time+1&gt;=AH$2, $K66/time_cap/(time+1)*AG$2, 0) = 0, $K66/(time_cap),0)),0)</f>
        <v/>
      </c>
      <c r="AH66" s="4395">
        <f>IFERROR(IF((time+time_cap)&lt;AH$2, 0,IF(AND(time+1&gt;=AI$2, $E66&lt;AI$2), IF($I66= "I", $J66/($F66-$E66+1), $J66/(($F66*($F66+1)/2)-(($E66-1)*($E66-1+1)/2))*AH$2), 0)+IF(IF(time+1&gt;=AI$2, $K66/time_cap/(time+1)*AH$2, 0) = 0, $K66/(time_cap),0)),0)</f>
        <v/>
      </c>
      <c r="AI66" s="4395">
        <f>IFERROR(IF((time+time_cap)&lt;AI$2, 0,IF(AND(time+1&gt;=AJ$2, $E66&lt;AJ$2), IF($I66= "I", $J66/($F66-$E66+1), $J66/(($F66*($F66+1)/2)-(($E66-1)*($E66-1+1)/2))*AI$2), 0)+IF(IF(time+1&gt;=AJ$2, $K66/time_cap/(time+1)*AI$2, 0) = 0, $K66/(time_cap),0)),0)</f>
        <v/>
      </c>
      <c r="AJ66" s="4395">
        <f>IFERROR(IF((time+time_cap)&lt;AJ$2, 0,IF(AND(time+1&gt;=AK$2, $E66&lt;AK$2), IF($I66= "I", $J66/($F66-$E66+1), $J66/(($F66*($F66+1)/2)-(($E66-1)*($E66-1+1)/2))*AJ$2), 0)+IF(IF(time+1&gt;=AK$2, $K66/time_cap/(time+1)*AJ$2, 0) = 0, $K66/(time_cap),0)),0)</f>
        <v/>
      </c>
      <c r="AK66" s="4395">
        <f>IFERROR(IF((time+time_cap)&lt;AK$2, 0,IF(AND(time+1&gt;=AL$2, $E66&lt;AL$2), IF($I66= "I", $J66/($F66-$E66+1), $J66/(($F66*($F66+1)/2)-(($E66-1)*($E66-1+1)/2))*AK$2), 0)+IF(IF(time+1&gt;=AL$2, $K66/time_cap/(time+1)*AK$2, 0) = 0, $K66/(time_cap),0)),0)</f>
        <v/>
      </c>
      <c r="AL66" s="4395">
        <f>IFERROR(IF((time+time_cap)&lt;AL$2, 0,IF(AND(time+1&gt;=AM$2, $E66&lt;AM$2), IF($I66= "I", $J66/($F66-$E66+1), $J66/(($F66*($F66+1)/2)-(($E66-1)*($E66-1+1)/2))*AL$2), 0)+IF(IF(time+1&gt;=AM$2, $K66/time_cap/(time+1)*AL$2, 0) = 0, $K66/(time_cap),0)),0)</f>
        <v/>
      </c>
      <c r="AM66" s="4395">
        <f>IFERROR(IF((time+time_cap)&lt;AM$2, 0,IF(AND(time+1&gt;=AN$2, $E66&lt;AN$2), IF($I66= "I", $J66/($F66-$E66+1), $J66/(($F66*($F66+1)/2)-(($E66-1)*($E66-1+1)/2))*AM$2), 0)+IF(IF(time+1&gt;=AN$2, $K66/time_cap/(time+1)*AM$2, 0) = 0, $K66/(time_cap),0)),0)</f>
        <v/>
      </c>
      <c r="AN66" s="4395">
        <f>IFERROR(IF((time+time_cap)&lt;AN$2, 0,IF(AND(time+1&gt;=AO$2, $E66&lt;AO$2), IF($I66= "I", $J66/($F66-$E66+1), $J66/(($F66*($F66+1)/2)-(($E66-1)*($E66-1+1)/2))*AN$2), 0)+IF(IF(time+1&gt;=AO$2, $K66/time_cap/(time+1)*AN$2, 0) = 0, $K66/(time_cap),0)),0)</f>
        <v/>
      </c>
      <c r="AO66" s="4395">
        <f>IFERROR(IF((time+time_cap)&lt;AO$2, 0,IF(AND(time+1&gt;=AP$2, $E66&lt;AP$2), IF($I66= "I", $J66/($F66-$E66+1), $J66/(($F66*($F66+1)/2)-(($E66-1)*($E66-1+1)/2))*AO$2), 0)+IF(IF(time+1&gt;=AP$2, $K66/time_cap/(time+1)*AO$2, 0) = 0, $K66/(time_cap),0)),0)</f>
        <v/>
      </c>
      <c r="AP66" s="4395">
        <f>IFERROR(IF((time+time_cap)&lt;AP$2, 0,IF(AND(time+1&gt;=AQ$2, $E66&lt;AQ$2), IF($I66= "I", $J66/($F66-$E66+1), $J66/(($F66*($F66+1)/2)-(($E66-1)*($E66-1+1)/2))*AP$2), 0)+IF(IF(time+1&gt;=AQ$2, $K66/time_cap/(time+1)*AP$2, 0) = 0, $K66/(time_cap),0)),0)</f>
        <v/>
      </c>
      <c r="AQ66" s="4395">
        <f>IFERROR(IF((time+time_cap)&lt;AQ$2, 0,IF(AND(time+1&gt;=AR$2, $E66&lt;AR$2), IF($I66= "I", $J66/($F66-$E66+1), $J66/(($F66*($F66+1)/2)-(($E66-1)*($E66-1+1)/2))*AQ$2), 0)+IF(IF(time+1&gt;=AR$2, $K66/time_cap/(time+1)*AQ$2, 0) = 0, $K66/(time_cap),0)),0)</f>
        <v/>
      </c>
      <c r="AR66" s="4395">
        <f>IFERROR(IF((time+time_cap)&lt;AR$2, 0,IF(AND(time+1&gt;=AS$2, $E66&lt;AS$2), IF($I66= "I", $J66/($F66-$E66+1), $J66/(($F66*($F66+1)/2)-(($E66-1)*($E66-1+1)/2))*AR$2), 0)+IF(IF(time+1&gt;=AS$2, $K66/time_cap/(time+1)*AR$2, 0) = 0, $K66/(time_cap),0)),0)</f>
        <v/>
      </c>
      <c r="AS66" s="4395">
        <f>IFERROR(IF((time+time_cap)&lt;AS$2, 0,IF(AND(time+1&gt;=AT$2, $E66&lt;AT$2), IF($I66= "I", $J66/($F66-$E66+1), $J66/(($F66*($F66+1)/2)-(($E66-1)*($E66-1+1)/2))*AS$2), 0)+IF(IF(time+1&gt;=AT$2, $K66/time_cap/(time+1)*AS$2, 0) = 0, $K66/(time_cap),0)),0)</f>
        <v/>
      </c>
      <c r="AT66" s="4395">
        <f>IFERROR(IF((time+time_cap)&lt;AT$2, 0,IF(AND(time+1&gt;=AU$2, $E66&lt;AU$2), IF($I66= "I", $J66/($F66-$E66+1), $J66/(($F66*($F66+1)/2)-(($E66-1)*($E66-1+1)/2))*AT$2), 0)+IF(IF(time+1&gt;=AU$2, $K66/time_cap/(time+1)*AT$2, 0) = 0, $K66/(time_cap),0)),0)</f>
        <v/>
      </c>
      <c r="AU66" s="4395">
        <f>IFERROR(IF((time+time_cap)&lt;AU$2, 0,IF(AND(time+1&gt;=AV$2, $E66&lt;AV$2), IF($I66= "I", $J66/($F66-$E66+1), $J66/(($F66*($F66+1)/2)-(($E66-1)*($E66-1+1)/2))*AU$2), 0)+IF(IF(time+1&gt;=AV$2, $K66/time_cap/(time+1)*AU$2, 0) = 0, $K66/(time_cap),0)),0)</f>
        <v/>
      </c>
      <c r="AV66" s="4395">
        <f>IFERROR(IF((time+time_cap)&lt;AV$2, 0,IF(AND(time+1&gt;=AW$2, $E66&lt;AW$2), IF($I66= "I", $J66/($F66-$E66+1), $J66/(($F66*($F66+1)/2)-(($E66-1)*($E66-1+1)/2))*AV$2), 0)+IF(IF(time+1&gt;=AW$2, $K66/time_cap/(time+1)*AV$2, 0) = 0, $K66/(time_cap),0)),0)</f>
        <v/>
      </c>
      <c r="AW66" s="4395">
        <f>IFERROR(IF((time+time_cap)&lt;AW$2, 0,IF(AND(time+1&gt;=AX$2, $E66&lt;AX$2), IF($I66= "I", $J66/($F66-$E66+1), $J66/(($F66*($F66+1)/2)-(($E66-1)*($E66-1+1)/2))*AW$2), 0)+IF(IF(time+1&gt;=AX$2, $K66/time_cap/(time+1)*AW$2, 0) = 0, $K66/(time_cap),0)),0)</f>
        <v/>
      </c>
      <c r="AX66" s="4395">
        <f>IFERROR(IF((time+time_cap)&lt;AX$2, 0,IF(AND(time+1&gt;=AY$2, $E66&lt;AY$2), IF($I66= "I", $J66/($F66-$E66+1), $J66/(($F66*($F66+1)/2)-(($E66-1)*($E66-1+1)/2))*AX$2), 0)+IF(IF(time+1&gt;=AY$2, $K66/time_cap/(time+1)*AX$2, 0) = 0, $K66/(time_cap),0)),0)</f>
        <v/>
      </c>
      <c r="AY66" s="4395">
        <f>IFERROR(IF((time+time_cap)&lt;AY$2, 0,IF(AND(time+1&gt;=AZ$2, $E66&lt;AZ$2), IF($I66= "I", $J66/($F66-$E66+1), $J66/(($F66*($F66+1)/2)-(($E66-1)*($E66-1+1)/2))*AY$2), 0)+IF(IF(time+1&gt;=AZ$2, $K66/time_cap/(time+1)*AY$2, 0) = 0, $K66/(time_cap),0)),0)</f>
        <v/>
      </c>
      <c r="AZ66" s="4395">
        <f>IFERROR(IF((time+time_cap)&lt;AZ$2, 0,IF(AND(time+1&gt;=BA$2, $E66&lt;BA$2), IF($I66= "I", $J66/($F66-$E66+1), $J66/(($F66*($F66+1)/2)-(($E66-1)*($E66-1+1)/2))*AZ$2), 0)+IF(IF(time+1&gt;=BA$2, $K66/time_cap/(time+1)*AZ$2, 0) = 0, $K66/(time_cap),0)),0)</f>
        <v/>
      </c>
      <c r="BA66" s="4395">
        <f>IFERROR(IF((time+time_cap)&lt;BA$2, 0,IF(AND(time+1&gt;=BB$2, $E66&lt;BB$2), IF($I66= "I", $J66/($F66-$E66+1), $J66/(($F66*($F66+1)/2)-(($E66-1)*($E66-1+1)/2))*BA$2), 0)+IF(IF(time+1&gt;=BB$2, $K66/time_cap/(time+1)*BA$2, 0) = 0, $K66/(time_cap),0)),0)</f>
        <v/>
      </c>
      <c r="BB66" s="4395">
        <f>IFERROR(IF((time+time_cap)&lt;BB$2, 0,IF(AND(time+1&gt;=BC$2, $E66&lt;BC$2), IF($I66= "I", $J66/($F66-$E66+1), $J66/(($F66*($F66+1)/2)-(($E66-1)*($E66-1+1)/2))*BB$2), 0)+IF(IF(time+1&gt;=BC$2, $K66/time_cap/(time+1)*BB$2, 0) = 0, $K66/(time_cap),0)),0)</f>
        <v/>
      </c>
      <c r="BC66" s="4395">
        <f>IFERROR(IF((time+time_cap)&lt;BC$2, 0,IF(AND(time+1&gt;=BD$2, $E66&lt;BD$2), IF($I66= "I", $J66/($F66-$E66+1), $J66/(($F66*($F66+1)/2)-(($E66-1)*($E66-1+1)/2))*BC$2), 0)+IF(IF(time+1&gt;=BD$2, $K66/time_cap/(time+1)*BC$2, 0) = 0, $K66/(time_cap),0)),0)</f>
        <v/>
      </c>
      <c r="BD66" s="4395">
        <f>IFERROR(IF((time+time_cap)&lt;BD$2, 0,IF(AND(time+1&gt;=BE$2, $E66&lt;BE$2), IF($I66= "I", $J66/($F66-$E66+1), $J66/(($F66*($F66+1)/2)-(($E66-1)*($E66-1+1)/2))*BD$2), 0)+IF(IF(time+1&gt;=BE$2, $K66/time_cap/(time+1)*BD$2, 0) = 0, $K66/(time_cap),0)),0)</f>
        <v/>
      </c>
      <c r="BE66" s="4395">
        <f>IFERROR(IF((time+time_cap)&lt;BE$2, 0,IF(AND(time+1&gt;=BF$2, $E66&lt;BF$2), IF($I66= "I", $J66/($F66-$E66+1), $J66/(($F66*($F66+1)/2)-(($E66-1)*($E66-1+1)/2))*BE$2), 0)+IF(IF(time+1&gt;=BF$2, $K66/time_cap/(time+1)*BE$2, 0) = 0, $K66/(time_cap),0)),0)</f>
        <v/>
      </c>
      <c r="BF66" s="4395">
        <f>IFERROR(IF((time+time_cap)&lt;BF$2, 0,IF(AND(time+1&gt;=BG$2, $E66&lt;BG$2), IF($I66= "I", $J66/($F66-$E66+1), $J66/(($F66*($F66+1)/2)-(($E66-1)*($E66-1+1)/2))*BF$2), 0)+IF(IF(time+1&gt;=BG$2, $K66/time_cap/(time+1)*BF$2, 0) = 0, $K66/(time_cap),0)),0)</f>
        <v/>
      </c>
      <c r="BG66" s="4395">
        <f>IFERROR(IF((time+time_cap)&lt;BG$2, 0,IF(AND(time+1&gt;=BH$2, $E66&lt;BH$2), IF($I66= "I", $J66/($F66-$E66+1), $J66/(($F66*($F66+1)/2)-(($E66-1)*($E66-1+1)/2))*BG$2), 0)+IF(IF(time+1&gt;=BH$2, $K66/time_cap/(time+1)*BG$2, 0) = 0, $K66/(time_cap),0)),0)</f>
        <v/>
      </c>
      <c r="BH66" s="4395">
        <f>IFERROR(IF((time+time_cap)&lt;BH$2, 0,IF(AND(time+1&gt;=BI$2, $E66&lt;BI$2), IF($I66= "I", $J66/($F66-$E66+1), $J66/(($F66*($F66+1)/2)-(($E66-1)*($E66-1+1)/2))*BH$2), 0)+IF(IF(time+1&gt;=BI$2, $K66/time_cap/(time+1)*BH$2, 0) = 0, $K66/(time_cap),0)),0)</f>
        <v/>
      </c>
      <c r="BI66" s="4395">
        <f>IFERROR(IF((time+time_cap)&lt;BI$2, 0,IF(AND(time+1&gt;=BJ$2, $E66&lt;BJ$2), IF($I66= "I", $J66/($F66-$E66+1), $J66/(($F66*($F66+1)/2)-(($E66-1)*($E66-1+1)/2))*BI$2), 0)+IF(IF(time+1&gt;=BJ$2, $K66/time_cap/(time+1)*BI$2, 0) = 0, $K66/(time_cap),0)),0)</f>
        <v/>
      </c>
      <c r="BJ66" s="4395">
        <f>IFERROR(IF((time+time_cap)&lt;BJ$2, 0,IF(AND(time+1&gt;=BK$2, $E66&lt;BK$2), IF($I66= "I", $J66/($F66-$E66+1), $J66/(($F66*($F66+1)/2)-(($E66-1)*($E66-1+1)/2))*BJ$2), 0)+IF(IF(time+1&gt;=BK$2, $K66/time_cap/(time+1)*BJ$2, 0) = 0, $K66/(time_cap),0)),0)</f>
        <v/>
      </c>
      <c r="BK66" s="4395" t="n"/>
      <c r="BL66" s="4395" t="n"/>
      <c r="BM66" s="4395" t="n"/>
      <c r="BN66" s="4395" t="n"/>
      <c r="BO66" s="4395" t="n"/>
      <c r="BP66" s="4395" t="n"/>
      <c r="BQ66" s="4395" t="n"/>
      <c r="BR66" s="4395" t="n"/>
      <c r="BS66" s="4395" t="n"/>
      <c r="BT66" s="4395" t="n"/>
      <c r="BU66" s="4395" t="n"/>
      <c r="BV66" s="4395" t="n"/>
      <c r="BW66" s="4395" t="n"/>
      <c r="BX66" s="4395" t="n"/>
      <c r="BY66" s="4395" t="n"/>
      <c r="BZ66" s="4395" t="n"/>
      <c r="CA66" s="4395" t="n"/>
      <c r="CB66" s="4395" t="n"/>
      <c r="CC66" s="4395" t="n"/>
      <c r="CD66" s="4395" t="n"/>
      <c r="CE66" s="4395" t="n"/>
      <c r="CF66" s="4395" t="n"/>
      <c r="CG66" s="4395" t="n"/>
      <c r="CH66" s="4395" t="n"/>
      <c r="CI66" s="4395" t="n"/>
      <c r="CJ66" s="4395" t="n"/>
      <c r="CK66" s="4395" t="n"/>
      <c r="CL66" s="4395" t="n"/>
      <c r="CM66" s="4395" t="n"/>
      <c r="CN66" s="4395" t="n"/>
      <c r="CO66" s="4395" t="n"/>
      <c r="CP66" s="4395" t="n"/>
      <c r="CQ66" s="4395" t="n"/>
      <c r="CR66" s="4395" t="n"/>
      <c r="CS66" s="4395" t="n"/>
      <c r="CT66" s="4395" t="n"/>
      <c r="CU66" s="4395" t="n"/>
      <c r="CV66" s="4395" t="n"/>
      <c r="CW66" s="4395" t="n"/>
      <c r="CX66" s="4395" t="n"/>
      <c r="CY66" s="4395" t="n"/>
      <c r="CZ66" s="4395" t="n"/>
      <c r="DA66" s="4395" t="n"/>
      <c r="DB66" s="4395" t="n"/>
      <c r="DC66" s="4395" t="n"/>
      <c r="DD66" s="4395" t="n"/>
      <c r="DE66" s="4395" t="n"/>
      <c r="DF66" s="4395" t="n"/>
      <c r="DG66" s="4395" t="n"/>
      <c r="DH66" s="4395" t="n"/>
    </row>
    <row r="67" ht="16" customHeight="1">
      <c r="A67" t="inlineStr">
        <is>
          <t>Flooded rice</t>
        </is>
      </c>
      <c r="C67">
        <f>'3.Cropland'!G99</f>
        <v/>
      </c>
      <c r="D67">
        <f>'3.Cropland'!Z99</f>
        <v/>
      </c>
      <c r="E67">
        <f>IF('3.Cropland'!BM99&lt;&gt;0,'3.Cropland'!BM99, '3.Cropland'!BL99)</f>
        <v/>
      </c>
      <c r="F67">
        <f>time</f>
        <v/>
      </c>
      <c r="G67" s="4395" t="inlineStr">
        <is>
          <t>D</t>
        </is>
      </c>
      <c r="H67" s="4395" t="inlineStr">
        <is>
          <t>D</t>
        </is>
      </c>
      <c r="I67" s="4395">
        <f>IF(OR(H67="I", G67="I"), "I", IF(OR(H67="E", G67="E"), "E", "D"))</f>
        <v/>
      </c>
      <c r="J67" s="4395">
        <f>((D67/(time_cap+((F67-E67+1)*VLOOKUP(I67,list!$I$48:$K$50,3, FALSE))))*(F67-E67+1)*VLOOKUP(I67,list!$I$48:$K$50,3, FALSE))</f>
        <v/>
      </c>
      <c r="K67" s="4395">
        <f>((D67/(time_cap+((F67-E67+1)*VLOOKUP(I67,list!$I$48:$K$50,3, FALSE))))*time_cap)</f>
        <v/>
      </c>
      <c r="M67" s="4395">
        <f>IFERROR(IF((time+time_cap)&lt;M$2, 0,IF(AND(time+1&gt;=N$2, $E67&lt;N$2), IF($I67= "I", $J67/($F67-$E67+1), $J67/(($F67*($F67+1)/2)-(($E67-1)*($E67-1+1)/2))*M$2), 0)+IF(IF(time+1&gt;=N$2, $K67/time_cap/(time+1)*M$2, 0) = 0, $K67/(time_cap),0)),0)</f>
        <v/>
      </c>
      <c r="N67" s="4395">
        <f>IFERROR(IF((time+time_cap)&lt;N$2, 0,IF(AND(time+1&gt;=O$2, $E67&lt;O$2), IF($I67= "I", $J67/($F67-$E67+1), $J67/(($F67*($F67+1)/2)-(($E67-1)*($E67-1+1)/2))*N$2), 0)+IF(IF(time+1&gt;=O$2, $K67/time_cap/(time+1)*N$2, 0) = 0, $K67/(time_cap),0)),0)</f>
        <v/>
      </c>
      <c r="O67" s="4395">
        <f>IFERROR(IF((time+time_cap)&lt;O$2, 0,IF(AND(time+1&gt;=P$2, $E67&lt;P$2), IF($I67= "I", $J67/($F67-$E67+1), $J67/(($F67*($F67+1)/2)-(($E67-1)*($E67-1+1)/2))*O$2), 0)+IF(IF(time+1&gt;=P$2, $K67/time_cap/(time+1)*O$2, 0) = 0, $K67/(time_cap),0)),0)</f>
        <v/>
      </c>
      <c r="P67" s="4395">
        <f>IFERROR(IF((time+time_cap)&lt;P$2, 0,IF(AND(time+1&gt;=Q$2, $E67&lt;Q$2), IF($I67= "I", $J67/($F67-$E67+1), $J67/(($F67*($F67+1)/2)-(($E67-1)*($E67-1+1)/2))*P$2), 0)+IF(IF(time+1&gt;=Q$2, $K67/time_cap/(time+1)*P$2, 0) = 0, $K67/(time_cap),0)),0)</f>
        <v/>
      </c>
      <c r="Q67" s="4395">
        <f>IFERROR(IF((time+time_cap)&lt;Q$2, 0,IF(AND(time+1&gt;=R$2, $E67&lt;R$2), IF($I67= "I", $J67/($F67-$E67+1), $J67/(($F67*($F67+1)/2)-(($E67-1)*($E67-1+1)/2))*Q$2), 0)+IF(IF(time+1&gt;=R$2, $K67/time_cap/(time+1)*Q$2, 0) = 0, $K67/(time_cap),0)),0)</f>
        <v/>
      </c>
      <c r="R67" s="4395">
        <f>IFERROR(IF((time+time_cap)&lt;R$2, 0,IF(AND(time+1&gt;=S$2, $E67&lt;S$2), IF($I67= "I", $J67/($F67-$E67+1), $J67/(($F67*($F67+1)/2)-(($E67-1)*($E67-1+1)/2))*R$2), 0)+IF(IF(time+1&gt;=S$2, $K67/time_cap/(time+1)*R$2, 0) = 0, $K67/(time_cap),0)),0)</f>
        <v/>
      </c>
      <c r="S67" s="4395">
        <f>IFERROR(IF((time+time_cap)&lt;S$2, 0,IF(AND(time+1&gt;=T$2, $E67&lt;T$2), IF($I67= "I", $J67/($F67-$E67+1), $J67/(($F67*($F67+1)/2)-(($E67-1)*($E67-1+1)/2))*S$2), 0)+IF(IF(time+1&gt;=T$2, $K67/time_cap/(time+1)*S$2, 0) = 0, $K67/(time_cap),0)),0)</f>
        <v/>
      </c>
      <c r="T67" s="4395">
        <f>IFERROR(IF((time+time_cap)&lt;T$2, 0,IF(AND(time+1&gt;=U$2, $E67&lt;U$2), IF($I67= "I", $J67/($F67-$E67+1), $J67/(($F67*($F67+1)/2)-(($E67-1)*($E67-1+1)/2))*T$2), 0)+IF(IF(time+1&gt;=U$2, $K67/time_cap/(time+1)*T$2, 0) = 0, $K67/(time_cap),0)),0)</f>
        <v/>
      </c>
      <c r="U67" s="4395">
        <f>IFERROR(IF((time+time_cap)&lt;U$2, 0,IF(AND(time+1&gt;=V$2, $E67&lt;V$2), IF($I67= "I", $J67/($F67-$E67+1), $J67/(($F67*($F67+1)/2)-(($E67-1)*($E67-1+1)/2))*U$2), 0)+IF(IF(time+1&gt;=V$2, $K67/time_cap/(time+1)*U$2, 0) = 0, $K67/(time_cap),0)),0)</f>
        <v/>
      </c>
      <c r="V67" s="4395">
        <f>IFERROR(IF((time+time_cap)&lt;V$2, 0,IF(AND(time+1&gt;=W$2, $E67&lt;W$2), IF($I67= "I", $J67/($F67-$E67+1), $J67/(($F67*($F67+1)/2)-(($E67-1)*($E67-1+1)/2))*V$2), 0)+IF(IF(time+1&gt;=W$2, $K67/time_cap/(time+1)*V$2, 0) = 0, $K67/(time_cap),0)),0)</f>
        <v/>
      </c>
      <c r="W67" s="4395">
        <f>IFERROR(IF((time+time_cap)&lt;W$2, 0,IF(AND(time+1&gt;=X$2, $E67&lt;X$2), IF($I67= "I", $J67/($F67-$E67+1), $J67/(($F67*($F67+1)/2)-(($E67-1)*($E67-1+1)/2))*W$2), 0)+IF(IF(time+1&gt;=X$2, $K67/time_cap/(time+1)*W$2, 0) = 0, $K67/(time_cap),0)),0)</f>
        <v/>
      </c>
      <c r="X67" s="4395">
        <f>IFERROR(IF((time+time_cap)&lt;X$2, 0,IF(AND(time+1&gt;=Y$2, $E67&lt;Y$2), IF($I67= "I", $J67/($F67-$E67+1), $J67/(($F67*($F67+1)/2)-(($E67-1)*($E67-1+1)/2))*X$2), 0)+IF(IF(time+1&gt;=Y$2, $K67/time_cap/(time+1)*X$2, 0) = 0, $K67/(time_cap),0)),0)</f>
        <v/>
      </c>
      <c r="Y67" s="4395">
        <f>IFERROR(IF((time+time_cap)&lt;Y$2, 0,IF(AND(time+1&gt;=Z$2, $E67&lt;Z$2), IF($I67= "I", $J67/($F67-$E67+1), $J67/(($F67*($F67+1)/2)-(($E67-1)*($E67-1+1)/2))*Y$2), 0)+IF(IF(time+1&gt;=Z$2, $K67/time_cap/(time+1)*Y$2, 0) = 0, $K67/(time_cap),0)),0)</f>
        <v/>
      </c>
      <c r="Z67" s="4395">
        <f>IFERROR(IF((time+time_cap)&lt;Z$2, 0,IF(AND(time+1&gt;=AA$2, $E67&lt;AA$2), IF($I67= "I", $J67/($F67-$E67+1), $J67/(($F67*($F67+1)/2)-(($E67-1)*($E67-1+1)/2))*Z$2), 0)+IF(IF(time+1&gt;=AA$2, $K67/time_cap/(time+1)*Z$2, 0) = 0, $K67/(time_cap),0)),0)</f>
        <v/>
      </c>
      <c r="AA67" s="4395">
        <f>IFERROR(IF((time+time_cap)&lt;AA$2, 0,IF(AND(time+1&gt;=AB$2, $E67&lt;AB$2), IF($I67= "I", $J67/($F67-$E67+1), $J67/(($F67*($F67+1)/2)-(($E67-1)*($E67-1+1)/2))*AA$2), 0)+IF(IF(time+1&gt;=AB$2, $K67/time_cap/(time+1)*AA$2, 0) = 0, $K67/(time_cap),0)),0)</f>
        <v/>
      </c>
      <c r="AB67" s="4395">
        <f>IFERROR(IF((time+time_cap)&lt;AB$2, 0,IF(AND(time+1&gt;=AC$2, $E67&lt;AC$2), IF($I67= "I", $J67/($F67-$E67+1), $J67/(($F67*($F67+1)/2)-(($E67-1)*($E67-1+1)/2))*AB$2), 0)+IF(IF(time+1&gt;=AC$2, $K67/time_cap/(time+1)*AB$2, 0) = 0, $K67/(time_cap),0)),0)</f>
        <v/>
      </c>
      <c r="AC67" s="4395">
        <f>IFERROR(IF((time+time_cap)&lt;AC$2, 0,IF(AND(time+1&gt;=AD$2, $E67&lt;AD$2), IF($I67= "I", $J67/($F67-$E67+1), $J67/(($F67*($F67+1)/2)-(($E67-1)*($E67-1+1)/2))*AC$2), 0)+IF(IF(time+1&gt;=AD$2, $K67/time_cap/(time+1)*AC$2, 0) = 0, $K67/(time_cap),0)),0)</f>
        <v/>
      </c>
      <c r="AD67" s="4395">
        <f>IFERROR(IF((time+time_cap)&lt;AD$2, 0,IF(AND(time+1&gt;=AE$2, $E67&lt;AE$2), IF($I67= "I", $J67/($F67-$E67+1), $J67/(($F67*($F67+1)/2)-(($E67-1)*($E67-1+1)/2))*AD$2), 0)+IF(IF(time+1&gt;=AE$2, $K67/time_cap/(time+1)*AD$2, 0) = 0, $K67/(time_cap),0)),0)</f>
        <v/>
      </c>
      <c r="AE67" s="4395">
        <f>IFERROR(IF((time+time_cap)&lt;AE$2, 0,IF(AND(time+1&gt;=AF$2, $E67&lt;AF$2), IF($I67= "I", $J67/($F67-$E67+1), $J67/(($F67*($F67+1)/2)-(($E67-1)*($E67-1+1)/2))*AE$2), 0)+IF(IF(time+1&gt;=AF$2, $K67/time_cap/(time+1)*AE$2, 0) = 0, $K67/(time_cap),0)),0)</f>
        <v/>
      </c>
      <c r="AF67" s="4395">
        <f>IFERROR(IF((time+time_cap)&lt;AF$2, 0,IF(AND(time+1&gt;=AG$2, $E67&lt;AG$2), IF($I67= "I", $J67/($F67-$E67+1), $J67/(($F67*($F67+1)/2)-(($E67-1)*($E67-1+1)/2))*AF$2), 0)+IF(IF(time+1&gt;=AG$2, $K67/time_cap/(time+1)*AF$2, 0) = 0, $K67/(time_cap),0)),0)</f>
        <v/>
      </c>
      <c r="AG67" s="4395">
        <f>IFERROR(IF((time+time_cap)&lt;AG$2, 0,IF(AND(time+1&gt;=AH$2, $E67&lt;AH$2), IF($I67= "I", $J67/($F67-$E67+1), $J67/(($F67*($F67+1)/2)-(($E67-1)*($E67-1+1)/2))*AG$2), 0)+IF(IF(time+1&gt;=AH$2, $K67/time_cap/(time+1)*AG$2, 0) = 0, $K67/(time_cap),0)),0)</f>
        <v/>
      </c>
      <c r="AH67" s="4395">
        <f>IFERROR(IF((time+time_cap)&lt;AH$2, 0,IF(AND(time+1&gt;=AI$2, $E67&lt;AI$2), IF($I67= "I", $J67/($F67-$E67+1), $J67/(($F67*($F67+1)/2)-(($E67-1)*($E67-1+1)/2))*AH$2), 0)+IF(IF(time+1&gt;=AI$2, $K67/time_cap/(time+1)*AH$2, 0) = 0, $K67/(time_cap),0)),0)</f>
        <v/>
      </c>
      <c r="AI67" s="4395">
        <f>IFERROR(IF((time+time_cap)&lt;AI$2, 0,IF(AND(time+1&gt;=AJ$2, $E67&lt;AJ$2), IF($I67= "I", $J67/($F67-$E67+1), $J67/(($F67*($F67+1)/2)-(($E67-1)*($E67-1+1)/2))*AI$2), 0)+IF(IF(time+1&gt;=AJ$2, $K67/time_cap/(time+1)*AI$2, 0) = 0, $K67/(time_cap),0)),0)</f>
        <v/>
      </c>
      <c r="AJ67" s="4395">
        <f>IFERROR(IF((time+time_cap)&lt;AJ$2, 0,IF(AND(time+1&gt;=AK$2, $E67&lt;AK$2), IF($I67= "I", $J67/($F67-$E67+1), $J67/(($F67*($F67+1)/2)-(($E67-1)*($E67-1+1)/2))*AJ$2), 0)+IF(IF(time+1&gt;=AK$2, $K67/time_cap/(time+1)*AJ$2, 0) = 0, $K67/(time_cap),0)),0)</f>
        <v/>
      </c>
      <c r="AK67" s="4395">
        <f>IFERROR(IF((time+time_cap)&lt;AK$2, 0,IF(AND(time+1&gt;=AL$2, $E67&lt;AL$2), IF($I67= "I", $J67/($F67-$E67+1), $J67/(($F67*($F67+1)/2)-(($E67-1)*($E67-1+1)/2))*AK$2), 0)+IF(IF(time+1&gt;=AL$2, $K67/time_cap/(time+1)*AK$2, 0) = 0, $K67/(time_cap),0)),0)</f>
        <v/>
      </c>
      <c r="AL67" s="4395">
        <f>IFERROR(IF((time+time_cap)&lt;AL$2, 0,IF(AND(time+1&gt;=AM$2, $E67&lt;AM$2), IF($I67= "I", $J67/($F67-$E67+1), $J67/(($F67*($F67+1)/2)-(($E67-1)*($E67-1+1)/2))*AL$2), 0)+IF(IF(time+1&gt;=AM$2, $K67/time_cap/(time+1)*AL$2, 0) = 0, $K67/(time_cap),0)),0)</f>
        <v/>
      </c>
      <c r="AM67" s="4395">
        <f>IFERROR(IF((time+time_cap)&lt;AM$2, 0,IF(AND(time+1&gt;=AN$2, $E67&lt;AN$2), IF($I67= "I", $J67/($F67-$E67+1), $J67/(($F67*($F67+1)/2)-(($E67-1)*($E67-1+1)/2))*AM$2), 0)+IF(IF(time+1&gt;=AN$2, $K67/time_cap/(time+1)*AM$2, 0) = 0, $K67/(time_cap),0)),0)</f>
        <v/>
      </c>
      <c r="AN67" s="4395">
        <f>IFERROR(IF((time+time_cap)&lt;AN$2, 0,IF(AND(time+1&gt;=AO$2, $E67&lt;AO$2), IF($I67= "I", $J67/($F67-$E67+1), $J67/(($F67*($F67+1)/2)-(($E67-1)*($E67-1+1)/2))*AN$2), 0)+IF(IF(time+1&gt;=AO$2, $K67/time_cap/(time+1)*AN$2, 0) = 0, $K67/(time_cap),0)),0)</f>
        <v/>
      </c>
      <c r="AO67" s="4395">
        <f>IFERROR(IF((time+time_cap)&lt;AO$2, 0,IF(AND(time+1&gt;=AP$2, $E67&lt;AP$2), IF($I67= "I", $J67/($F67-$E67+1), $J67/(($F67*($F67+1)/2)-(($E67-1)*($E67-1+1)/2))*AO$2), 0)+IF(IF(time+1&gt;=AP$2, $K67/time_cap/(time+1)*AO$2, 0) = 0, $K67/(time_cap),0)),0)</f>
        <v/>
      </c>
      <c r="AP67" s="4395">
        <f>IFERROR(IF((time+time_cap)&lt;AP$2, 0,IF(AND(time+1&gt;=AQ$2, $E67&lt;AQ$2), IF($I67= "I", $J67/($F67-$E67+1), $J67/(($F67*($F67+1)/2)-(($E67-1)*($E67-1+1)/2))*AP$2), 0)+IF(IF(time+1&gt;=AQ$2, $K67/time_cap/(time+1)*AP$2, 0) = 0, $K67/(time_cap),0)),0)</f>
        <v/>
      </c>
      <c r="AQ67" s="4395">
        <f>IFERROR(IF((time+time_cap)&lt;AQ$2, 0,IF(AND(time+1&gt;=AR$2, $E67&lt;AR$2), IF($I67= "I", $J67/($F67-$E67+1), $J67/(($F67*($F67+1)/2)-(($E67-1)*($E67-1+1)/2))*AQ$2), 0)+IF(IF(time+1&gt;=AR$2, $K67/time_cap/(time+1)*AQ$2, 0) = 0, $K67/(time_cap),0)),0)</f>
        <v/>
      </c>
      <c r="AR67" s="4395">
        <f>IFERROR(IF((time+time_cap)&lt;AR$2, 0,IF(AND(time+1&gt;=AS$2, $E67&lt;AS$2), IF($I67= "I", $J67/($F67-$E67+1), $J67/(($F67*($F67+1)/2)-(($E67-1)*($E67-1+1)/2))*AR$2), 0)+IF(IF(time+1&gt;=AS$2, $K67/time_cap/(time+1)*AR$2, 0) = 0, $K67/(time_cap),0)),0)</f>
        <v/>
      </c>
      <c r="AS67" s="4395">
        <f>IFERROR(IF((time+time_cap)&lt;AS$2, 0,IF(AND(time+1&gt;=AT$2, $E67&lt;AT$2), IF($I67= "I", $J67/($F67-$E67+1), $J67/(($F67*($F67+1)/2)-(($E67-1)*($E67-1+1)/2))*AS$2), 0)+IF(IF(time+1&gt;=AT$2, $K67/time_cap/(time+1)*AS$2, 0) = 0, $K67/(time_cap),0)),0)</f>
        <v/>
      </c>
      <c r="AT67" s="4395">
        <f>IFERROR(IF((time+time_cap)&lt;AT$2, 0,IF(AND(time+1&gt;=AU$2, $E67&lt;AU$2), IF($I67= "I", $J67/($F67-$E67+1), $J67/(($F67*($F67+1)/2)-(($E67-1)*($E67-1+1)/2))*AT$2), 0)+IF(IF(time+1&gt;=AU$2, $K67/time_cap/(time+1)*AT$2, 0) = 0, $K67/(time_cap),0)),0)</f>
        <v/>
      </c>
      <c r="AU67" s="4395">
        <f>IFERROR(IF((time+time_cap)&lt;AU$2, 0,IF(AND(time+1&gt;=AV$2, $E67&lt;AV$2), IF($I67= "I", $J67/($F67-$E67+1), $J67/(($F67*($F67+1)/2)-(($E67-1)*($E67-1+1)/2))*AU$2), 0)+IF(IF(time+1&gt;=AV$2, $K67/time_cap/(time+1)*AU$2, 0) = 0, $K67/(time_cap),0)),0)</f>
        <v/>
      </c>
      <c r="AV67" s="4395">
        <f>IFERROR(IF((time+time_cap)&lt;AV$2, 0,IF(AND(time+1&gt;=AW$2, $E67&lt;AW$2), IF($I67= "I", $J67/($F67-$E67+1), $J67/(($F67*($F67+1)/2)-(($E67-1)*($E67-1+1)/2))*AV$2), 0)+IF(IF(time+1&gt;=AW$2, $K67/time_cap/(time+1)*AV$2, 0) = 0, $K67/(time_cap),0)),0)</f>
        <v/>
      </c>
      <c r="AW67" s="4395">
        <f>IFERROR(IF((time+time_cap)&lt;AW$2, 0,IF(AND(time+1&gt;=AX$2, $E67&lt;AX$2), IF($I67= "I", $J67/($F67-$E67+1), $J67/(($F67*($F67+1)/2)-(($E67-1)*($E67-1+1)/2))*AW$2), 0)+IF(IF(time+1&gt;=AX$2, $K67/time_cap/(time+1)*AW$2, 0) = 0, $K67/(time_cap),0)),0)</f>
        <v/>
      </c>
      <c r="AX67" s="4395">
        <f>IFERROR(IF((time+time_cap)&lt;AX$2, 0,IF(AND(time+1&gt;=AY$2, $E67&lt;AY$2), IF($I67= "I", $J67/($F67-$E67+1), $J67/(($F67*($F67+1)/2)-(($E67-1)*($E67-1+1)/2))*AX$2), 0)+IF(IF(time+1&gt;=AY$2, $K67/time_cap/(time+1)*AX$2, 0) = 0, $K67/(time_cap),0)),0)</f>
        <v/>
      </c>
      <c r="AY67" s="4395">
        <f>IFERROR(IF((time+time_cap)&lt;AY$2, 0,IF(AND(time+1&gt;=AZ$2, $E67&lt;AZ$2), IF($I67= "I", $J67/($F67-$E67+1), $J67/(($F67*($F67+1)/2)-(($E67-1)*($E67-1+1)/2))*AY$2), 0)+IF(IF(time+1&gt;=AZ$2, $K67/time_cap/(time+1)*AY$2, 0) = 0, $K67/(time_cap),0)),0)</f>
        <v/>
      </c>
      <c r="AZ67" s="4395">
        <f>IFERROR(IF((time+time_cap)&lt;AZ$2, 0,IF(AND(time+1&gt;=BA$2, $E67&lt;BA$2), IF($I67= "I", $J67/($F67-$E67+1), $J67/(($F67*($F67+1)/2)-(($E67-1)*($E67-1+1)/2))*AZ$2), 0)+IF(IF(time+1&gt;=BA$2, $K67/time_cap/(time+1)*AZ$2, 0) = 0, $K67/(time_cap),0)),0)</f>
        <v/>
      </c>
      <c r="BA67" s="4395">
        <f>IFERROR(IF((time+time_cap)&lt;BA$2, 0,IF(AND(time+1&gt;=BB$2, $E67&lt;BB$2), IF($I67= "I", $J67/($F67-$E67+1), $J67/(($F67*($F67+1)/2)-(($E67-1)*($E67-1+1)/2))*BA$2), 0)+IF(IF(time+1&gt;=BB$2, $K67/time_cap/(time+1)*BA$2, 0) = 0, $K67/(time_cap),0)),0)</f>
        <v/>
      </c>
      <c r="BB67" s="4395">
        <f>IFERROR(IF((time+time_cap)&lt;BB$2, 0,IF(AND(time+1&gt;=BC$2, $E67&lt;BC$2), IF($I67= "I", $J67/($F67-$E67+1), $J67/(($F67*($F67+1)/2)-(($E67-1)*($E67-1+1)/2))*BB$2), 0)+IF(IF(time+1&gt;=BC$2, $K67/time_cap/(time+1)*BB$2, 0) = 0, $K67/(time_cap),0)),0)</f>
        <v/>
      </c>
      <c r="BC67" s="4395">
        <f>IFERROR(IF((time+time_cap)&lt;BC$2, 0,IF(AND(time+1&gt;=BD$2, $E67&lt;BD$2), IF($I67= "I", $J67/($F67-$E67+1), $J67/(($F67*($F67+1)/2)-(($E67-1)*($E67-1+1)/2))*BC$2), 0)+IF(IF(time+1&gt;=BD$2, $K67/time_cap/(time+1)*BC$2, 0) = 0, $K67/(time_cap),0)),0)</f>
        <v/>
      </c>
      <c r="BD67" s="4395">
        <f>IFERROR(IF((time+time_cap)&lt;BD$2, 0,IF(AND(time+1&gt;=BE$2, $E67&lt;BE$2), IF($I67= "I", $J67/($F67-$E67+1), $J67/(($F67*($F67+1)/2)-(($E67-1)*($E67-1+1)/2))*BD$2), 0)+IF(IF(time+1&gt;=BE$2, $K67/time_cap/(time+1)*BD$2, 0) = 0, $K67/(time_cap),0)),0)</f>
        <v/>
      </c>
      <c r="BE67" s="4395">
        <f>IFERROR(IF((time+time_cap)&lt;BE$2, 0,IF(AND(time+1&gt;=BF$2, $E67&lt;BF$2), IF($I67= "I", $J67/($F67-$E67+1), $J67/(($F67*($F67+1)/2)-(($E67-1)*($E67-1+1)/2))*BE$2), 0)+IF(IF(time+1&gt;=BF$2, $K67/time_cap/(time+1)*BE$2, 0) = 0, $K67/(time_cap),0)),0)</f>
        <v/>
      </c>
      <c r="BF67" s="4395">
        <f>IFERROR(IF((time+time_cap)&lt;BF$2, 0,IF(AND(time+1&gt;=BG$2, $E67&lt;BG$2), IF($I67= "I", $J67/($F67-$E67+1), $J67/(($F67*($F67+1)/2)-(($E67-1)*($E67-1+1)/2))*BF$2), 0)+IF(IF(time+1&gt;=BG$2, $K67/time_cap/(time+1)*BF$2, 0) = 0, $K67/(time_cap),0)),0)</f>
        <v/>
      </c>
      <c r="BG67" s="4395">
        <f>IFERROR(IF((time+time_cap)&lt;BG$2, 0,IF(AND(time+1&gt;=BH$2, $E67&lt;BH$2), IF($I67= "I", $J67/($F67-$E67+1), $J67/(($F67*($F67+1)/2)-(($E67-1)*($E67-1+1)/2))*BG$2), 0)+IF(IF(time+1&gt;=BH$2, $K67/time_cap/(time+1)*BG$2, 0) = 0, $K67/(time_cap),0)),0)</f>
        <v/>
      </c>
      <c r="BH67" s="4395">
        <f>IFERROR(IF((time+time_cap)&lt;BH$2, 0,IF(AND(time+1&gt;=BI$2, $E67&lt;BI$2), IF($I67= "I", $J67/($F67-$E67+1), $J67/(($F67*($F67+1)/2)-(($E67-1)*($E67-1+1)/2))*BH$2), 0)+IF(IF(time+1&gt;=BI$2, $K67/time_cap/(time+1)*BH$2, 0) = 0, $K67/(time_cap),0)),0)</f>
        <v/>
      </c>
      <c r="BI67" s="4395">
        <f>IFERROR(IF((time+time_cap)&lt;BI$2, 0,IF(AND(time+1&gt;=BJ$2, $E67&lt;BJ$2), IF($I67= "I", $J67/($F67-$E67+1), $J67/(($F67*($F67+1)/2)-(($E67-1)*($E67-1+1)/2))*BI$2), 0)+IF(IF(time+1&gt;=BJ$2, $K67/time_cap/(time+1)*BI$2, 0) = 0, $K67/(time_cap),0)),0)</f>
        <v/>
      </c>
      <c r="BJ67" s="4395">
        <f>IFERROR(IF((time+time_cap)&lt;BJ$2, 0,IF(AND(time+1&gt;=BK$2, $E67&lt;BK$2), IF($I67= "I", $J67/($F67-$E67+1), $J67/(($F67*($F67+1)/2)-(($E67-1)*($E67-1+1)/2))*BJ$2), 0)+IF(IF(time+1&gt;=BK$2, $K67/time_cap/(time+1)*BJ$2, 0) = 0, $K67/(time_cap),0)),0)</f>
        <v/>
      </c>
      <c r="BK67" s="4395" t="n"/>
      <c r="BL67" s="4395" t="n"/>
      <c r="BM67" s="4395" t="n"/>
      <c r="BN67" s="4395" t="n"/>
      <c r="BO67" s="4395" t="n"/>
      <c r="BP67" s="4395" t="n"/>
      <c r="BQ67" s="4395" t="n"/>
      <c r="BR67" s="4395" t="n"/>
      <c r="BS67" s="4395" t="n"/>
      <c r="BT67" s="4395" t="n"/>
      <c r="BU67" s="4395" t="n"/>
      <c r="BV67" s="4395" t="n"/>
      <c r="BW67" s="4395" t="n"/>
      <c r="BX67" s="4395" t="n"/>
      <c r="BY67" s="4395" t="n"/>
      <c r="BZ67" s="4395" t="n"/>
      <c r="CA67" s="4395" t="n"/>
      <c r="CB67" s="4395" t="n"/>
      <c r="CC67" s="4395" t="n"/>
      <c r="CD67" s="4395" t="n"/>
      <c r="CE67" s="4395" t="n"/>
      <c r="CF67" s="4395" t="n"/>
      <c r="CG67" s="4395" t="n"/>
      <c r="CH67" s="4395" t="n"/>
      <c r="CI67" s="4395" t="n"/>
      <c r="CJ67" s="4395" t="n"/>
      <c r="CK67" s="4395" t="n"/>
      <c r="CL67" s="4395" t="n"/>
      <c r="CM67" s="4395" t="n"/>
      <c r="CN67" s="4395" t="n"/>
      <c r="CO67" s="4395" t="n"/>
      <c r="CP67" s="4395" t="n"/>
      <c r="CQ67" s="4395" t="n"/>
      <c r="CR67" s="4395" t="n"/>
      <c r="CS67" s="4395" t="n"/>
      <c r="CT67" s="4395" t="n"/>
      <c r="CU67" s="4395" t="n"/>
      <c r="CV67" s="4395" t="n"/>
      <c r="CW67" s="4395" t="n"/>
      <c r="CX67" s="4395" t="n"/>
      <c r="CY67" s="4395" t="n"/>
      <c r="CZ67" s="4395" t="n"/>
      <c r="DA67" s="4395" t="n"/>
      <c r="DB67" s="4395" t="n"/>
      <c r="DC67" s="4395" t="n"/>
      <c r="DD67" s="4395" t="n"/>
      <c r="DE67" s="4395" t="n"/>
      <c r="DF67" s="4395" t="n"/>
      <c r="DG67" s="4395" t="n"/>
      <c r="DH67" s="4395" t="n"/>
    </row>
    <row r="68" ht="16" customHeight="1">
      <c r="A68" t="inlineStr">
        <is>
          <t>Flooded rice</t>
        </is>
      </c>
      <c r="C68">
        <f>'3.Cropland'!G100</f>
        <v/>
      </c>
      <c r="D68">
        <f>'3.Cropland'!Z100</f>
        <v/>
      </c>
      <c r="E68">
        <f>IF('3.Cropland'!BM100&lt;&gt;0,'3.Cropland'!BM100, '3.Cropland'!BL100)</f>
        <v/>
      </c>
      <c r="F68">
        <f>time</f>
        <v/>
      </c>
      <c r="G68" s="4395" t="inlineStr">
        <is>
          <t>D</t>
        </is>
      </c>
      <c r="H68" s="4395" t="inlineStr">
        <is>
          <t>D</t>
        </is>
      </c>
      <c r="I68" s="4395">
        <f>IF(OR(H68="I", G68="I"), "I", IF(OR(H68="E", G68="E"), "E", "D"))</f>
        <v/>
      </c>
      <c r="J68" s="4395">
        <f>((D68/(time_cap+((F68-E68+1)*VLOOKUP(I68,list!$I$48:$K$50,3, FALSE))))*(F68-E68+1)*VLOOKUP(I68,list!$I$48:$K$50,3, FALSE))</f>
        <v/>
      </c>
      <c r="K68" s="4395">
        <f>((D68/(time_cap+((F68-E68+1)*VLOOKUP(I68,list!$I$48:$K$50,3, FALSE))))*time_cap)</f>
        <v/>
      </c>
      <c r="M68" s="4395">
        <f>IFERROR(IF((time+time_cap)&lt;M$2, 0,IF(AND(time+1&gt;=N$2, $E68&lt;N$2), IF($I68= "I", $J68/($F68-$E68+1), $J68/(($F68*($F68+1)/2)-(($E68-1)*($E68-1+1)/2))*M$2), 0)+IF(IF(time+1&gt;=N$2, $K68/time_cap/(time+1)*M$2, 0) = 0, $K68/(time_cap),0)),0)</f>
        <v/>
      </c>
      <c r="N68" s="4395">
        <f>IFERROR(IF((time+time_cap)&lt;N$2, 0,IF(AND(time+1&gt;=O$2, $E68&lt;O$2), IF($I68= "I", $J68/($F68-$E68+1), $J68/(($F68*($F68+1)/2)-(($E68-1)*($E68-1+1)/2))*N$2), 0)+IF(IF(time+1&gt;=O$2, $K68/time_cap/(time+1)*N$2, 0) = 0, $K68/(time_cap),0)),0)</f>
        <v/>
      </c>
      <c r="O68" s="4395">
        <f>IFERROR(IF((time+time_cap)&lt;O$2, 0,IF(AND(time+1&gt;=P$2, $E68&lt;P$2), IF($I68= "I", $J68/($F68-$E68+1), $J68/(($F68*($F68+1)/2)-(($E68-1)*($E68-1+1)/2))*O$2), 0)+IF(IF(time+1&gt;=P$2, $K68/time_cap/(time+1)*O$2, 0) = 0, $K68/(time_cap),0)),0)</f>
        <v/>
      </c>
      <c r="P68" s="4395">
        <f>IFERROR(IF((time+time_cap)&lt;P$2, 0,IF(AND(time+1&gt;=Q$2, $E68&lt;Q$2), IF($I68= "I", $J68/($F68-$E68+1), $J68/(($F68*($F68+1)/2)-(($E68-1)*($E68-1+1)/2))*P$2), 0)+IF(IF(time+1&gt;=Q$2, $K68/time_cap/(time+1)*P$2, 0) = 0, $K68/(time_cap),0)),0)</f>
        <v/>
      </c>
      <c r="Q68" s="4395">
        <f>IFERROR(IF((time+time_cap)&lt;Q$2, 0,IF(AND(time+1&gt;=R$2, $E68&lt;R$2), IF($I68= "I", $J68/($F68-$E68+1), $J68/(($F68*($F68+1)/2)-(($E68-1)*($E68-1+1)/2))*Q$2), 0)+IF(IF(time+1&gt;=R$2, $K68/time_cap/(time+1)*Q$2, 0) = 0, $K68/(time_cap),0)),0)</f>
        <v/>
      </c>
      <c r="R68" s="4395">
        <f>IFERROR(IF((time+time_cap)&lt;R$2, 0,IF(AND(time+1&gt;=S$2, $E68&lt;S$2), IF($I68= "I", $J68/($F68-$E68+1), $J68/(($F68*($F68+1)/2)-(($E68-1)*($E68-1+1)/2))*R$2), 0)+IF(IF(time+1&gt;=S$2, $K68/time_cap/(time+1)*R$2, 0) = 0, $K68/(time_cap),0)),0)</f>
        <v/>
      </c>
      <c r="S68" s="4395">
        <f>IFERROR(IF((time+time_cap)&lt;S$2, 0,IF(AND(time+1&gt;=T$2, $E68&lt;T$2), IF($I68= "I", $J68/($F68-$E68+1), $J68/(($F68*($F68+1)/2)-(($E68-1)*($E68-1+1)/2))*S$2), 0)+IF(IF(time+1&gt;=T$2, $K68/time_cap/(time+1)*S$2, 0) = 0, $K68/(time_cap),0)),0)</f>
        <v/>
      </c>
      <c r="T68" s="4395">
        <f>IFERROR(IF((time+time_cap)&lt;T$2, 0,IF(AND(time+1&gt;=U$2, $E68&lt;U$2), IF($I68= "I", $J68/($F68-$E68+1), $J68/(($F68*($F68+1)/2)-(($E68-1)*($E68-1+1)/2))*T$2), 0)+IF(IF(time+1&gt;=U$2, $K68/time_cap/(time+1)*T$2, 0) = 0, $K68/(time_cap),0)),0)</f>
        <v/>
      </c>
      <c r="U68" s="4395">
        <f>IFERROR(IF((time+time_cap)&lt;U$2, 0,IF(AND(time+1&gt;=V$2, $E68&lt;V$2), IF($I68= "I", $J68/($F68-$E68+1), $J68/(($F68*($F68+1)/2)-(($E68-1)*($E68-1+1)/2))*U$2), 0)+IF(IF(time+1&gt;=V$2, $K68/time_cap/(time+1)*U$2, 0) = 0, $K68/(time_cap),0)),0)</f>
        <v/>
      </c>
      <c r="V68" s="4395">
        <f>IFERROR(IF((time+time_cap)&lt;V$2, 0,IF(AND(time+1&gt;=W$2, $E68&lt;W$2), IF($I68= "I", $J68/($F68-$E68+1), $J68/(($F68*($F68+1)/2)-(($E68-1)*($E68-1+1)/2))*V$2), 0)+IF(IF(time+1&gt;=W$2, $K68/time_cap/(time+1)*V$2, 0) = 0, $K68/(time_cap),0)),0)</f>
        <v/>
      </c>
      <c r="W68" s="4395">
        <f>IFERROR(IF((time+time_cap)&lt;W$2, 0,IF(AND(time+1&gt;=X$2, $E68&lt;X$2), IF($I68= "I", $J68/($F68-$E68+1), $J68/(($F68*($F68+1)/2)-(($E68-1)*($E68-1+1)/2))*W$2), 0)+IF(IF(time+1&gt;=X$2, $K68/time_cap/(time+1)*W$2, 0) = 0, $K68/(time_cap),0)),0)</f>
        <v/>
      </c>
      <c r="X68" s="4395">
        <f>IFERROR(IF((time+time_cap)&lt;X$2, 0,IF(AND(time+1&gt;=Y$2, $E68&lt;Y$2), IF($I68= "I", $J68/($F68-$E68+1), $J68/(($F68*($F68+1)/2)-(($E68-1)*($E68-1+1)/2))*X$2), 0)+IF(IF(time+1&gt;=Y$2, $K68/time_cap/(time+1)*X$2, 0) = 0, $K68/(time_cap),0)),0)</f>
        <v/>
      </c>
      <c r="Y68" s="4395">
        <f>IFERROR(IF((time+time_cap)&lt;Y$2, 0,IF(AND(time+1&gt;=Z$2, $E68&lt;Z$2), IF($I68= "I", $J68/($F68-$E68+1), $J68/(($F68*($F68+1)/2)-(($E68-1)*($E68-1+1)/2))*Y$2), 0)+IF(IF(time+1&gt;=Z$2, $K68/time_cap/(time+1)*Y$2, 0) = 0, $K68/(time_cap),0)),0)</f>
        <v/>
      </c>
      <c r="Z68" s="4395">
        <f>IFERROR(IF((time+time_cap)&lt;Z$2, 0,IF(AND(time+1&gt;=AA$2, $E68&lt;AA$2), IF($I68= "I", $J68/($F68-$E68+1), $J68/(($F68*($F68+1)/2)-(($E68-1)*($E68-1+1)/2))*Z$2), 0)+IF(IF(time+1&gt;=AA$2, $K68/time_cap/(time+1)*Z$2, 0) = 0, $K68/(time_cap),0)),0)</f>
        <v/>
      </c>
      <c r="AA68" s="4395">
        <f>IFERROR(IF((time+time_cap)&lt;AA$2, 0,IF(AND(time+1&gt;=AB$2, $E68&lt;AB$2), IF($I68= "I", $J68/($F68-$E68+1), $J68/(($F68*($F68+1)/2)-(($E68-1)*($E68-1+1)/2))*AA$2), 0)+IF(IF(time+1&gt;=AB$2, $K68/time_cap/(time+1)*AA$2, 0) = 0, $K68/(time_cap),0)),0)</f>
        <v/>
      </c>
      <c r="AB68" s="4395">
        <f>IFERROR(IF((time+time_cap)&lt;AB$2, 0,IF(AND(time+1&gt;=AC$2, $E68&lt;AC$2), IF($I68= "I", $J68/($F68-$E68+1), $J68/(($F68*($F68+1)/2)-(($E68-1)*($E68-1+1)/2))*AB$2), 0)+IF(IF(time+1&gt;=AC$2, $K68/time_cap/(time+1)*AB$2, 0) = 0, $K68/(time_cap),0)),0)</f>
        <v/>
      </c>
      <c r="AC68" s="4395">
        <f>IFERROR(IF((time+time_cap)&lt;AC$2, 0,IF(AND(time+1&gt;=AD$2, $E68&lt;AD$2), IF($I68= "I", $J68/($F68-$E68+1), $J68/(($F68*($F68+1)/2)-(($E68-1)*($E68-1+1)/2))*AC$2), 0)+IF(IF(time+1&gt;=AD$2, $K68/time_cap/(time+1)*AC$2, 0) = 0, $K68/(time_cap),0)),0)</f>
        <v/>
      </c>
      <c r="AD68" s="4395">
        <f>IFERROR(IF((time+time_cap)&lt;AD$2, 0,IF(AND(time+1&gt;=AE$2, $E68&lt;AE$2), IF($I68= "I", $J68/($F68-$E68+1), $J68/(($F68*($F68+1)/2)-(($E68-1)*($E68-1+1)/2))*AD$2), 0)+IF(IF(time+1&gt;=AE$2, $K68/time_cap/(time+1)*AD$2, 0) = 0, $K68/(time_cap),0)),0)</f>
        <v/>
      </c>
      <c r="AE68" s="4395">
        <f>IFERROR(IF((time+time_cap)&lt;AE$2, 0,IF(AND(time+1&gt;=AF$2, $E68&lt;AF$2), IF($I68= "I", $J68/($F68-$E68+1), $J68/(($F68*($F68+1)/2)-(($E68-1)*($E68-1+1)/2))*AE$2), 0)+IF(IF(time+1&gt;=AF$2, $K68/time_cap/(time+1)*AE$2, 0) = 0, $K68/(time_cap),0)),0)</f>
        <v/>
      </c>
      <c r="AF68" s="4395">
        <f>IFERROR(IF((time+time_cap)&lt;AF$2, 0,IF(AND(time+1&gt;=AG$2, $E68&lt;AG$2), IF($I68= "I", $J68/($F68-$E68+1), $J68/(($F68*($F68+1)/2)-(($E68-1)*($E68-1+1)/2))*AF$2), 0)+IF(IF(time+1&gt;=AG$2, $K68/time_cap/(time+1)*AF$2, 0) = 0, $K68/(time_cap),0)),0)</f>
        <v/>
      </c>
      <c r="AG68" s="4395">
        <f>IFERROR(IF((time+time_cap)&lt;AG$2, 0,IF(AND(time+1&gt;=AH$2, $E68&lt;AH$2), IF($I68= "I", $J68/($F68-$E68+1), $J68/(($F68*($F68+1)/2)-(($E68-1)*($E68-1+1)/2))*AG$2), 0)+IF(IF(time+1&gt;=AH$2, $K68/time_cap/(time+1)*AG$2, 0) = 0, $K68/(time_cap),0)),0)</f>
        <v/>
      </c>
      <c r="AH68" s="4395">
        <f>IFERROR(IF((time+time_cap)&lt;AH$2, 0,IF(AND(time+1&gt;=AI$2, $E68&lt;AI$2), IF($I68= "I", $J68/($F68-$E68+1), $J68/(($F68*($F68+1)/2)-(($E68-1)*($E68-1+1)/2))*AH$2), 0)+IF(IF(time+1&gt;=AI$2, $K68/time_cap/(time+1)*AH$2, 0) = 0, $K68/(time_cap),0)),0)</f>
        <v/>
      </c>
      <c r="AI68" s="4395">
        <f>IFERROR(IF((time+time_cap)&lt;AI$2, 0,IF(AND(time+1&gt;=AJ$2, $E68&lt;AJ$2), IF($I68= "I", $J68/($F68-$E68+1), $J68/(($F68*($F68+1)/2)-(($E68-1)*($E68-1+1)/2))*AI$2), 0)+IF(IF(time+1&gt;=AJ$2, $K68/time_cap/(time+1)*AI$2, 0) = 0, $K68/(time_cap),0)),0)</f>
        <v/>
      </c>
      <c r="AJ68" s="4395">
        <f>IFERROR(IF((time+time_cap)&lt;AJ$2, 0,IF(AND(time+1&gt;=AK$2, $E68&lt;AK$2), IF($I68= "I", $J68/($F68-$E68+1), $J68/(($F68*($F68+1)/2)-(($E68-1)*($E68-1+1)/2))*AJ$2), 0)+IF(IF(time+1&gt;=AK$2, $K68/time_cap/(time+1)*AJ$2, 0) = 0, $K68/(time_cap),0)),0)</f>
        <v/>
      </c>
      <c r="AK68" s="4395">
        <f>IFERROR(IF((time+time_cap)&lt;AK$2, 0,IF(AND(time+1&gt;=AL$2, $E68&lt;AL$2), IF($I68= "I", $J68/($F68-$E68+1), $J68/(($F68*($F68+1)/2)-(($E68-1)*($E68-1+1)/2))*AK$2), 0)+IF(IF(time+1&gt;=AL$2, $K68/time_cap/(time+1)*AK$2, 0) = 0, $K68/(time_cap),0)),0)</f>
        <v/>
      </c>
      <c r="AL68" s="4395">
        <f>IFERROR(IF((time+time_cap)&lt;AL$2, 0,IF(AND(time+1&gt;=AM$2, $E68&lt;AM$2), IF($I68= "I", $J68/($F68-$E68+1), $J68/(($F68*($F68+1)/2)-(($E68-1)*($E68-1+1)/2))*AL$2), 0)+IF(IF(time+1&gt;=AM$2, $K68/time_cap/(time+1)*AL$2, 0) = 0, $K68/(time_cap),0)),0)</f>
        <v/>
      </c>
      <c r="AM68" s="4395">
        <f>IFERROR(IF((time+time_cap)&lt;AM$2, 0,IF(AND(time+1&gt;=AN$2, $E68&lt;AN$2), IF($I68= "I", $J68/($F68-$E68+1), $J68/(($F68*($F68+1)/2)-(($E68-1)*($E68-1+1)/2))*AM$2), 0)+IF(IF(time+1&gt;=AN$2, $K68/time_cap/(time+1)*AM$2, 0) = 0, $K68/(time_cap),0)),0)</f>
        <v/>
      </c>
      <c r="AN68" s="4395">
        <f>IFERROR(IF((time+time_cap)&lt;AN$2, 0,IF(AND(time+1&gt;=AO$2, $E68&lt;AO$2), IF($I68= "I", $J68/($F68-$E68+1), $J68/(($F68*($F68+1)/2)-(($E68-1)*($E68-1+1)/2))*AN$2), 0)+IF(IF(time+1&gt;=AO$2, $K68/time_cap/(time+1)*AN$2, 0) = 0, $K68/(time_cap),0)),0)</f>
        <v/>
      </c>
      <c r="AO68" s="4395">
        <f>IFERROR(IF((time+time_cap)&lt;AO$2, 0,IF(AND(time+1&gt;=AP$2, $E68&lt;AP$2), IF($I68= "I", $J68/($F68-$E68+1), $J68/(($F68*($F68+1)/2)-(($E68-1)*($E68-1+1)/2))*AO$2), 0)+IF(IF(time+1&gt;=AP$2, $K68/time_cap/(time+1)*AO$2, 0) = 0, $K68/(time_cap),0)),0)</f>
        <v/>
      </c>
      <c r="AP68" s="4395">
        <f>IFERROR(IF((time+time_cap)&lt;AP$2, 0,IF(AND(time+1&gt;=AQ$2, $E68&lt;AQ$2), IF($I68= "I", $J68/($F68-$E68+1), $J68/(($F68*($F68+1)/2)-(($E68-1)*($E68-1+1)/2))*AP$2), 0)+IF(IF(time+1&gt;=AQ$2, $K68/time_cap/(time+1)*AP$2, 0) = 0, $K68/(time_cap),0)),0)</f>
        <v/>
      </c>
      <c r="AQ68" s="4395">
        <f>IFERROR(IF((time+time_cap)&lt;AQ$2, 0,IF(AND(time+1&gt;=AR$2, $E68&lt;AR$2), IF($I68= "I", $J68/($F68-$E68+1), $J68/(($F68*($F68+1)/2)-(($E68-1)*($E68-1+1)/2))*AQ$2), 0)+IF(IF(time+1&gt;=AR$2, $K68/time_cap/(time+1)*AQ$2, 0) = 0, $K68/(time_cap),0)),0)</f>
        <v/>
      </c>
      <c r="AR68" s="4395">
        <f>IFERROR(IF((time+time_cap)&lt;AR$2, 0,IF(AND(time+1&gt;=AS$2, $E68&lt;AS$2), IF($I68= "I", $J68/($F68-$E68+1), $J68/(($F68*($F68+1)/2)-(($E68-1)*($E68-1+1)/2))*AR$2), 0)+IF(IF(time+1&gt;=AS$2, $K68/time_cap/(time+1)*AR$2, 0) = 0, $K68/(time_cap),0)),0)</f>
        <v/>
      </c>
      <c r="AS68" s="4395">
        <f>IFERROR(IF((time+time_cap)&lt;AS$2, 0,IF(AND(time+1&gt;=AT$2, $E68&lt;AT$2), IF($I68= "I", $J68/($F68-$E68+1), $J68/(($F68*($F68+1)/2)-(($E68-1)*($E68-1+1)/2))*AS$2), 0)+IF(IF(time+1&gt;=AT$2, $K68/time_cap/(time+1)*AS$2, 0) = 0, $K68/(time_cap),0)),0)</f>
        <v/>
      </c>
      <c r="AT68" s="4395">
        <f>IFERROR(IF((time+time_cap)&lt;AT$2, 0,IF(AND(time+1&gt;=AU$2, $E68&lt;AU$2), IF($I68= "I", $J68/($F68-$E68+1), $J68/(($F68*($F68+1)/2)-(($E68-1)*($E68-1+1)/2))*AT$2), 0)+IF(IF(time+1&gt;=AU$2, $K68/time_cap/(time+1)*AT$2, 0) = 0, $K68/(time_cap),0)),0)</f>
        <v/>
      </c>
      <c r="AU68" s="4395">
        <f>IFERROR(IF((time+time_cap)&lt;AU$2, 0,IF(AND(time+1&gt;=AV$2, $E68&lt;AV$2), IF($I68= "I", $J68/($F68-$E68+1), $J68/(($F68*($F68+1)/2)-(($E68-1)*($E68-1+1)/2))*AU$2), 0)+IF(IF(time+1&gt;=AV$2, $K68/time_cap/(time+1)*AU$2, 0) = 0, $K68/(time_cap),0)),0)</f>
        <v/>
      </c>
      <c r="AV68" s="4395">
        <f>IFERROR(IF((time+time_cap)&lt;AV$2, 0,IF(AND(time+1&gt;=AW$2, $E68&lt;AW$2), IF($I68= "I", $J68/($F68-$E68+1), $J68/(($F68*($F68+1)/2)-(($E68-1)*($E68-1+1)/2))*AV$2), 0)+IF(IF(time+1&gt;=AW$2, $K68/time_cap/(time+1)*AV$2, 0) = 0, $K68/(time_cap),0)),0)</f>
        <v/>
      </c>
      <c r="AW68" s="4395">
        <f>IFERROR(IF((time+time_cap)&lt;AW$2, 0,IF(AND(time+1&gt;=AX$2, $E68&lt;AX$2), IF($I68= "I", $J68/($F68-$E68+1), $J68/(($F68*($F68+1)/2)-(($E68-1)*($E68-1+1)/2))*AW$2), 0)+IF(IF(time+1&gt;=AX$2, $K68/time_cap/(time+1)*AW$2, 0) = 0, $K68/(time_cap),0)),0)</f>
        <v/>
      </c>
      <c r="AX68" s="4395">
        <f>IFERROR(IF((time+time_cap)&lt;AX$2, 0,IF(AND(time+1&gt;=AY$2, $E68&lt;AY$2), IF($I68= "I", $J68/($F68-$E68+1), $J68/(($F68*($F68+1)/2)-(($E68-1)*($E68-1+1)/2))*AX$2), 0)+IF(IF(time+1&gt;=AY$2, $K68/time_cap/(time+1)*AX$2, 0) = 0, $K68/(time_cap),0)),0)</f>
        <v/>
      </c>
      <c r="AY68" s="4395">
        <f>IFERROR(IF((time+time_cap)&lt;AY$2, 0,IF(AND(time+1&gt;=AZ$2, $E68&lt;AZ$2), IF($I68= "I", $J68/($F68-$E68+1), $J68/(($F68*($F68+1)/2)-(($E68-1)*($E68-1+1)/2))*AY$2), 0)+IF(IF(time+1&gt;=AZ$2, $K68/time_cap/(time+1)*AY$2, 0) = 0, $K68/(time_cap),0)),0)</f>
        <v/>
      </c>
      <c r="AZ68" s="4395">
        <f>IFERROR(IF((time+time_cap)&lt;AZ$2, 0,IF(AND(time+1&gt;=BA$2, $E68&lt;BA$2), IF($I68= "I", $J68/($F68-$E68+1), $J68/(($F68*($F68+1)/2)-(($E68-1)*($E68-1+1)/2))*AZ$2), 0)+IF(IF(time+1&gt;=BA$2, $K68/time_cap/(time+1)*AZ$2, 0) = 0, $K68/(time_cap),0)),0)</f>
        <v/>
      </c>
      <c r="BA68" s="4395">
        <f>IFERROR(IF((time+time_cap)&lt;BA$2, 0,IF(AND(time+1&gt;=BB$2, $E68&lt;BB$2), IF($I68= "I", $J68/($F68-$E68+1), $J68/(($F68*($F68+1)/2)-(($E68-1)*($E68-1+1)/2))*BA$2), 0)+IF(IF(time+1&gt;=BB$2, $K68/time_cap/(time+1)*BA$2, 0) = 0, $K68/(time_cap),0)),0)</f>
        <v/>
      </c>
      <c r="BB68" s="4395">
        <f>IFERROR(IF((time+time_cap)&lt;BB$2, 0,IF(AND(time+1&gt;=BC$2, $E68&lt;BC$2), IF($I68= "I", $J68/($F68-$E68+1), $J68/(($F68*($F68+1)/2)-(($E68-1)*($E68-1+1)/2))*BB$2), 0)+IF(IF(time+1&gt;=BC$2, $K68/time_cap/(time+1)*BB$2, 0) = 0, $K68/(time_cap),0)),0)</f>
        <v/>
      </c>
      <c r="BC68" s="4395">
        <f>IFERROR(IF((time+time_cap)&lt;BC$2, 0,IF(AND(time+1&gt;=BD$2, $E68&lt;BD$2), IF($I68= "I", $J68/($F68-$E68+1), $J68/(($F68*($F68+1)/2)-(($E68-1)*($E68-1+1)/2))*BC$2), 0)+IF(IF(time+1&gt;=BD$2, $K68/time_cap/(time+1)*BC$2, 0) = 0, $K68/(time_cap),0)),0)</f>
        <v/>
      </c>
      <c r="BD68" s="4395">
        <f>IFERROR(IF((time+time_cap)&lt;BD$2, 0,IF(AND(time+1&gt;=BE$2, $E68&lt;BE$2), IF($I68= "I", $J68/($F68-$E68+1), $J68/(($F68*($F68+1)/2)-(($E68-1)*($E68-1+1)/2))*BD$2), 0)+IF(IF(time+1&gt;=BE$2, $K68/time_cap/(time+1)*BD$2, 0) = 0, $K68/(time_cap),0)),0)</f>
        <v/>
      </c>
      <c r="BE68" s="4395">
        <f>IFERROR(IF((time+time_cap)&lt;BE$2, 0,IF(AND(time+1&gt;=BF$2, $E68&lt;BF$2), IF($I68= "I", $J68/($F68-$E68+1), $J68/(($F68*($F68+1)/2)-(($E68-1)*($E68-1+1)/2))*BE$2), 0)+IF(IF(time+1&gt;=BF$2, $K68/time_cap/(time+1)*BE$2, 0) = 0, $K68/(time_cap),0)),0)</f>
        <v/>
      </c>
      <c r="BF68" s="4395">
        <f>IFERROR(IF((time+time_cap)&lt;BF$2, 0,IF(AND(time+1&gt;=BG$2, $E68&lt;BG$2), IF($I68= "I", $J68/($F68-$E68+1), $J68/(($F68*($F68+1)/2)-(($E68-1)*($E68-1+1)/2))*BF$2), 0)+IF(IF(time+1&gt;=BG$2, $K68/time_cap/(time+1)*BF$2, 0) = 0, $K68/(time_cap),0)),0)</f>
        <v/>
      </c>
      <c r="BG68" s="4395">
        <f>IFERROR(IF((time+time_cap)&lt;BG$2, 0,IF(AND(time+1&gt;=BH$2, $E68&lt;BH$2), IF($I68= "I", $J68/($F68-$E68+1), $J68/(($F68*($F68+1)/2)-(($E68-1)*($E68-1+1)/2))*BG$2), 0)+IF(IF(time+1&gt;=BH$2, $K68/time_cap/(time+1)*BG$2, 0) = 0, $K68/(time_cap),0)),0)</f>
        <v/>
      </c>
      <c r="BH68" s="4395">
        <f>IFERROR(IF((time+time_cap)&lt;BH$2, 0,IF(AND(time+1&gt;=BI$2, $E68&lt;BI$2), IF($I68= "I", $J68/($F68-$E68+1), $J68/(($F68*($F68+1)/2)-(($E68-1)*($E68-1+1)/2))*BH$2), 0)+IF(IF(time+1&gt;=BI$2, $K68/time_cap/(time+1)*BH$2, 0) = 0, $K68/(time_cap),0)),0)</f>
        <v/>
      </c>
      <c r="BI68" s="4395">
        <f>IFERROR(IF((time+time_cap)&lt;BI$2, 0,IF(AND(time+1&gt;=BJ$2, $E68&lt;BJ$2), IF($I68= "I", $J68/($F68-$E68+1), $J68/(($F68*($F68+1)/2)-(($E68-1)*($E68-1+1)/2))*BI$2), 0)+IF(IF(time+1&gt;=BJ$2, $K68/time_cap/(time+1)*BI$2, 0) = 0, $K68/(time_cap),0)),0)</f>
        <v/>
      </c>
      <c r="BJ68" s="4395">
        <f>IFERROR(IF((time+time_cap)&lt;BJ$2, 0,IF(AND(time+1&gt;=BK$2, $E68&lt;BK$2), IF($I68= "I", $J68/($F68-$E68+1), $J68/(($F68*($F68+1)/2)-(($E68-1)*($E68-1+1)/2))*BJ$2), 0)+IF(IF(time+1&gt;=BK$2, $K68/time_cap/(time+1)*BJ$2, 0) = 0, $K68/(time_cap),0)),0)</f>
        <v/>
      </c>
      <c r="BK68" s="4395" t="n"/>
      <c r="BL68" s="4395" t="n"/>
      <c r="BM68" s="4395" t="n"/>
      <c r="BN68" s="4395" t="n"/>
      <c r="BO68" s="4395" t="n"/>
      <c r="BP68" s="4395" t="n"/>
      <c r="BQ68" s="4395" t="n"/>
      <c r="BR68" s="4395" t="n"/>
      <c r="BS68" s="4395" t="n"/>
      <c r="BT68" s="4395" t="n"/>
      <c r="BU68" s="4395" t="n"/>
      <c r="BV68" s="4395" t="n"/>
      <c r="BW68" s="4395" t="n"/>
      <c r="BX68" s="4395" t="n"/>
      <c r="BY68" s="4395" t="n"/>
      <c r="BZ68" s="4395" t="n"/>
      <c r="CA68" s="4395" t="n"/>
      <c r="CB68" s="4395" t="n"/>
      <c r="CC68" s="4395" t="n"/>
      <c r="CD68" s="4395" t="n"/>
      <c r="CE68" s="4395" t="n"/>
      <c r="CF68" s="4395" t="n"/>
      <c r="CG68" s="4395" t="n"/>
      <c r="CH68" s="4395" t="n"/>
      <c r="CI68" s="4395" t="n"/>
      <c r="CJ68" s="4395" t="n"/>
      <c r="CK68" s="4395" t="n"/>
      <c r="CL68" s="4395" t="n"/>
      <c r="CM68" s="4395" t="n"/>
      <c r="CN68" s="4395" t="n"/>
      <c r="CO68" s="4395" t="n"/>
      <c r="CP68" s="4395" t="n"/>
      <c r="CQ68" s="4395" t="n"/>
      <c r="CR68" s="4395" t="n"/>
      <c r="CS68" s="4395" t="n"/>
      <c r="CT68" s="4395" t="n"/>
      <c r="CU68" s="4395" t="n"/>
      <c r="CV68" s="4395" t="n"/>
      <c r="CW68" s="4395" t="n"/>
      <c r="CX68" s="4395" t="n"/>
      <c r="CY68" s="4395" t="n"/>
      <c r="CZ68" s="4395" t="n"/>
      <c r="DA68" s="4395" t="n"/>
      <c r="DB68" s="4395" t="n"/>
      <c r="DC68" s="4395" t="n"/>
      <c r="DD68" s="4395" t="n"/>
      <c r="DE68" s="4395" t="n"/>
      <c r="DF68" s="4395" t="n"/>
      <c r="DG68" s="4395" t="n"/>
      <c r="DH68" s="4395" t="n"/>
    </row>
    <row r="69" ht="16" customHeight="1">
      <c r="A69" t="inlineStr">
        <is>
          <t>Flooded rice</t>
        </is>
      </c>
      <c r="B69">
        <f>'3.Cropland'!C108</f>
        <v/>
      </c>
      <c r="C69">
        <f>'3.Cropland'!G108</f>
        <v/>
      </c>
      <c r="D69">
        <f>'3.Cropland'!Z108</f>
        <v/>
      </c>
      <c r="E69">
        <f>IF('3.Cropland'!BM108&lt;&gt;0,'3.Cropland'!BM108, '3.Cropland'!BL108)</f>
        <v/>
      </c>
      <c r="F69">
        <f>time</f>
        <v/>
      </c>
      <c r="G69" s="4395">
        <f>'3.Cropland'!S108</f>
        <v/>
      </c>
      <c r="H69" s="4395">
        <f>'3.Cropland'!U108</f>
        <v/>
      </c>
      <c r="I69" s="4395">
        <f>IF(OR(H69="I", G69="I"), "I", IF(OR(H69="E", G69="E"), "E", "D"))</f>
        <v/>
      </c>
      <c r="J69" s="4395">
        <f>((D69/(time_cap+((F69-E69+1)*VLOOKUP(I69,list!$I$48:$K$50,3, FALSE))))*(F69-E69+1)*VLOOKUP(I69,list!$I$48:$K$50,3, FALSE))</f>
        <v/>
      </c>
      <c r="K69" s="4395">
        <f>((D69/(time_cap+((F69-E69+1)*VLOOKUP(I69,list!$I$48:$K$50,3, FALSE))))*time_cap)</f>
        <v/>
      </c>
      <c r="M69" s="4395">
        <f>IFERROR(IF((time+time_cap)&lt;M$2, 0,IF(AND(time+1&gt;=N$2, $E69&lt;N$2), IF($I69= "I", $J69/($F69-$E69+1), $J69/(($F69*($F69+1)/2)-(($E69-1)*($E69-1+1)/2))*M$2), 0)+IF(IF(time+1&gt;=N$2, $K69/time_cap/(time+1)*M$2, 0) = 0, $K69/(time_cap),0)),0)</f>
        <v/>
      </c>
      <c r="N69" s="4395">
        <f>IFERROR(IF((time+time_cap)&lt;N$2, 0,IF(AND(time+1&gt;=O$2, $E69&lt;O$2), IF($I69= "I", $J69/($F69-$E69+1), $J69/(($F69*($F69+1)/2)-(($E69-1)*($E69-1+1)/2))*N$2), 0)+IF(IF(time+1&gt;=O$2, $K69/time_cap/(time+1)*N$2, 0) = 0, $K69/(time_cap),0)),0)</f>
        <v/>
      </c>
      <c r="O69" s="4395">
        <f>IFERROR(IF((time+time_cap)&lt;O$2, 0,IF(AND(time+1&gt;=P$2, $E69&lt;P$2), IF($I69= "I", $J69/($F69-$E69+1), $J69/(($F69*($F69+1)/2)-(($E69-1)*($E69-1+1)/2))*O$2), 0)+IF(IF(time+1&gt;=P$2, $K69/time_cap/(time+1)*O$2, 0) = 0, $K69/(time_cap),0)),0)</f>
        <v/>
      </c>
      <c r="P69" s="4395">
        <f>IFERROR(IF((time+time_cap)&lt;P$2, 0,IF(AND(time+1&gt;=Q$2, $E69&lt;Q$2), IF($I69= "I", $J69/($F69-$E69+1), $J69/(($F69*($F69+1)/2)-(($E69-1)*($E69-1+1)/2))*P$2), 0)+IF(IF(time+1&gt;=Q$2, $K69/time_cap/(time+1)*P$2, 0) = 0, $K69/(time_cap),0)),0)</f>
        <v/>
      </c>
      <c r="Q69" s="4395">
        <f>IFERROR(IF((time+time_cap)&lt;Q$2, 0,IF(AND(time+1&gt;=R$2, $E69&lt;R$2), IF($I69= "I", $J69/($F69-$E69+1), $J69/(($F69*($F69+1)/2)-(($E69-1)*($E69-1+1)/2))*Q$2), 0)+IF(IF(time+1&gt;=R$2, $K69/time_cap/(time+1)*Q$2, 0) = 0, $K69/(time_cap),0)),0)</f>
        <v/>
      </c>
      <c r="R69" s="4395">
        <f>IFERROR(IF((time+time_cap)&lt;R$2, 0,IF(AND(time+1&gt;=S$2, $E69&lt;S$2), IF($I69= "I", $J69/($F69-$E69+1), $J69/(($F69*($F69+1)/2)-(($E69-1)*($E69-1+1)/2))*R$2), 0)+IF(IF(time+1&gt;=S$2, $K69/time_cap/(time+1)*R$2, 0) = 0, $K69/(time_cap),0)),0)</f>
        <v/>
      </c>
      <c r="S69" s="4395">
        <f>IFERROR(IF((time+time_cap)&lt;S$2, 0,IF(AND(time+1&gt;=T$2, $E69&lt;T$2), IF($I69= "I", $J69/($F69-$E69+1), $J69/(($F69*($F69+1)/2)-(($E69-1)*($E69-1+1)/2))*S$2), 0)+IF(IF(time+1&gt;=T$2, $K69/time_cap/(time+1)*S$2, 0) = 0, $K69/(time_cap),0)),0)</f>
        <v/>
      </c>
      <c r="T69" s="4395">
        <f>IFERROR(IF((time+time_cap)&lt;T$2, 0,IF(AND(time+1&gt;=U$2, $E69&lt;U$2), IF($I69= "I", $J69/($F69-$E69+1), $J69/(($F69*($F69+1)/2)-(($E69-1)*($E69-1+1)/2))*T$2), 0)+IF(IF(time+1&gt;=U$2, $K69/time_cap/(time+1)*T$2, 0) = 0, $K69/(time_cap),0)),0)</f>
        <v/>
      </c>
      <c r="U69" s="4395">
        <f>IFERROR(IF((time+time_cap)&lt;U$2, 0,IF(AND(time+1&gt;=V$2, $E69&lt;V$2), IF($I69= "I", $J69/($F69-$E69+1), $J69/(($F69*($F69+1)/2)-(($E69-1)*($E69-1+1)/2))*U$2), 0)+IF(IF(time+1&gt;=V$2, $K69/time_cap/(time+1)*U$2, 0) = 0, $K69/(time_cap),0)),0)</f>
        <v/>
      </c>
      <c r="V69" s="4395">
        <f>IFERROR(IF((time+time_cap)&lt;V$2, 0,IF(AND(time+1&gt;=W$2, $E69&lt;W$2), IF($I69= "I", $J69/($F69-$E69+1), $J69/(($F69*($F69+1)/2)-(($E69-1)*($E69-1+1)/2))*V$2), 0)+IF(IF(time+1&gt;=W$2, $K69/time_cap/(time+1)*V$2, 0) = 0, $K69/(time_cap),0)),0)</f>
        <v/>
      </c>
      <c r="W69" s="4395">
        <f>IFERROR(IF((time+time_cap)&lt;W$2, 0,IF(AND(time+1&gt;=X$2, $E69&lt;X$2), IF($I69= "I", $J69/($F69-$E69+1), $J69/(($F69*($F69+1)/2)-(($E69-1)*($E69-1+1)/2))*W$2), 0)+IF(IF(time+1&gt;=X$2, $K69/time_cap/(time+1)*W$2, 0) = 0, $K69/(time_cap),0)),0)</f>
        <v/>
      </c>
      <c r="X69" s="4395">
        <f>IFERROR(IF((time+time_cap)&lt;X$2, 0,IF(AND(time+1&gt;=Y$2, $E69&lt;Y$2), IF($I69= "I", $J69/($F69-$E69+1), $J69/(($F69*($F69+1)/2)-(($E69-1)*($E69-1+1)/2))*X$2), 0)+IF(IF(time+1&gt;=Y$2, $K69/time_cap/(time+1)*X$2, 0) = 0, $K69/(time_cap),0)),0)</f>
        <v/>
      </c>
      <c r="Y69" s="4395">
        <f>IFERROR(IF((time+time_cap)&lt;Y$2, 0,IF(AND(time+1&gt;=Z$2, $E69&lt;Z$2), IF($I69= "I", $J69/($F69-$E69+1), $J69/(($F69*($F69+1)/2)-(($E69-1)*($E69-1+1)/2))*Y$2), 0)+IF(IF(time+1&gt;=Z$2, $K69/time_cap/(time+1)*Y$2, 0) = 0, $K69/(time_cap),0)),0)</f>
        <v/>
      </c>
      <c r="Z69" s="4395">
        <f>IFERROR(IF((time+time_cap)&lt;Z$2, 0,IF(AND(time+1&gt;=AA$2, $E69&lt;AA$2), IF($I69= "I", $J69/($F69-$E69+1), $J69/(($F69*($F69+1)/2)-(($E69-1)*($E69-1+1)/2))*Z$2), 0)+IF(IF(time+1&gt;=AA$2, $K69/time_cap/(time+1)*Z$2, 0) = 0, $K69/(time_cap),0)),0)</f>
        <v/>
      </c>
      <c r="AA69" s="4395">
        <f>IFERROR(IF((time+time_cap)&lt;AA$2, 0,IF(AND(time+1&gt;=AB$2, $E69&lt;AB$2), IF($I69= "I", $J69/($F69-$E69+1), $J69/(($F69*($F69+1)/2)-(($E69-1)*($E69-1+1)/2))*AA$2), 0)+IF(IF(time+1&gt;=AB$2, $K69/time_cap/(time+1)*AA$2, 0) = 0, $K69/(time_cap),0)),0)</f>
        <v/>
      </c>
      <c r="AB69" s="4395">
        <f>IFERROR(IF((time+time_cap)&lt;AB$2, 0,IF(AND(time+1&gt;=AC$2, $E69&lt;AC$2), IF($I69= "I", $J69/($F69-$E69+1), $J69/(($F69*($F69+1)/2)-(($E69-1)*($E69-1+1)/2))*AB$2), 0)+IF(IF(time+1&gt;=AC$2, $K69/time_cap/(time+1)*AB$2, 0) = 0, $K69/(time_cap),0)),0)</f>
        <v/>
      </c>
      <c r="AC69" s="4395">
        <f>IFERROR(IF((time+time_cap)&lt;AC$2, 0,IF(AND(time+1&gt;=AD$2, $E69&lt;AD$2), IF($I69= "I", $J69/($F69-$E69+1), $J69/(($F69*($F69+1)/2)-(($E69-1)*($E69-1+1)/2))*AC$2), 0)+IF(IF(time+1&gt;=AD$2, $K69/time_cap/(time+1)*AC$2, 0) = 0, $K69/(time_cap),0)),0)</f>
        <v/>
      </c>
      <c r="AD69" s="4395">
        <f>IFERROR(IF((time+time_cap)&lt;AD$2, 0,IF(AND(time+1&gt;=AE$2, $E69&lt;AE$2), IF($I69= "I", $J69/($F69-$E69+1), $J69/(($F69*($F69+1)/2)-(($E69-1)*($E69-1+1)/2))*AD$2), 0)+IF(IF(time+1&gt;=AE$2, $K69/time_cap/(time+1)*AD$2, 0) = 0, $K69/(time_cap),0)),0)</f>
        <v/>
      </c>
      <c r="AE69" s="4395">
        <f>IFERROR(IF((time+time_cap)&lt;AE$2, 0,IF(AND(time+1&gt;=AF$2, $E69&lt;AF$2), IF($I69= "I", $J69/($F69-$E69+1), $J69/(($F69*($F69+1)/2)-(($E69-1)*($E69-1+1)/2))*AE$2), 0)+IF(IF(time+1&gt;=AF$2, $K69/time_cap/(time+1)*AE$2, 0) = 0, $K69/(time_cap),0)),0)</f>
        <v/>
      </c>
      <c r="AF69" s="4395">
        <f>IFERROR(IF((time+time_cap)&lt;AF$2, 0,IF(AND(time+1&gt;=AG$2, $E69&lt;AG$2), IF($I69= "I", $J69/($F69-$E69+1), $J69/(($F69*($F69+1)/2)-(($E69-1)*($E69-1+1)/2))*AF$2), 0)+IF(IF(time+1&gt;=AG$2, $K69/time_cap/(time+1)*AF$2, 0) = 0, $K69/(time_cap),0)),0)</f>
        <v/>
      </c>
      <c r="AG69" s="4395">
        <f>IFERROR(IF((time+time_cap)&lt;AG$2, 0,IF(AND(time+1&gt;=AH$2, $E69&lt;AH$2), IF($I69= "I", $J69/($F69-$E69+1), $J69/(($F69*($F69+1)/2)-(($E69-1)*($E69-1+1)/2))*AG$2), 0)+IF(IF(time+1&gt;=AH$2, $K69/time_cap/(time+1)*AG$2, 0) = 0, $K69/(time_cap),0)),0)</f>
        <v/>
      </c>
      <c r="AH69" s="4395">
        <f>IFERROR(IF((time+time_cap)&lt;AH$2, 0,IF(AND(time+1&gt;=AI$2, $E69&lt;AI$2), IF($I69= "I", $J69/($F69-$E69+1), $J69/(($F69*($F69+1)/2)-(($E69-1)*($E69-1+1)/2))*AH$2), 0)+IF(IF(time+1&gt;=AI$2, $K69/time_cap/(time+1)*AH$2, 0) = 0, $K69/(time_cap),0)),0)</f>
        <v/>
      </c>
      <c r="AI69" s="4395">
        <f>IFERROR(IF((time+time_cap)&lt;AI$2, 0,IF(AND(time+1&gt;=AJ$2, $E69&lt;AJ$2), IF($I69= "I", $J69/($F69-$E69+1), $J69/(($F69*($F69+1)/2)-(($E69-1)*($E69-1+1)/2))*AI$2), 0)+IF(IF(time+1&gt;=AJ$2, $K69/time_cap/(time+1)*AI$2, 0) = 0, $K69/(time_cap),0)),0)</f>
        <v/>
      </c>
      <c r="AJ69" s="4395">
        <f>IFERROR(IF((time+time_cap)&lt;AJ$2, 0,IF(AND(time+1&gt;=AK$2, $E69&lt;AK$2), IF($I69= "I", $J69/($F69-$E69+1), $J69/(($F69*($F69+1)/2)-(($E69-1)*($E69-1+1)/2))*AJ$2), 0)+IF(IF(time+1&gt;=AK$2, $K69/time_cap/(time+1)*AJ$2, 0) = 0, $K69/(time_cap),0)),0)</f>
        <v/>
      </c>
      <c r="AK69" s="4395">
        <f>IFERROR(IF((time+time_cap)&lt;AK$2, 0,IF(AND(time+1&gt;=AL$2, $E69&lt;AL$2), IF($I69= "I", $J69/($F69-$E69+1), $J69/(($F69*($F69+1)/2)-(($E69-1)*($E69-1+1)/2))*AK$2), 0)+IF(IF(time+1&gt;=AL$2, $K69/time_cap/(time+1)*AK$2, 0) = 0, $K69/(time_cap),0)),0)</f>
        <v/>
      </c>
      <c r="AL69" s="4395">
        <f>IFERROR(IF((time+time_cap)&lt;AL$2, 0,IF(AND(time+1&gt;=AM$2, $E69&lt;AM$2), IF($I69= "I", $J69/($F69-$E69+1), $J69/(($F69*($F69+1)/2)-(($E69-1)*($E69-1+1)/2))*AL$2), 0)+IF(IF(time+1&gt;=AM$2, $K69/time_cap/(time+1)*AL$2, 0) = 0, $K69/(time_cap),0)),0)</f>
        <v/>
      </c>
      <c r="AM69" s="4395">
        <f>IFERROR(IF((time+time_cap)&lt;AM$2, 0,IF(AND(time+1&gt;=AN$2, $E69&lt;AN$2), IF($I69= "I", $J69/($F69-$E69+1), $J69/(($F69*($F69+1)/2)-(($E69-1)*($E69-1+1)/2))*AM$2), 0)+IF(IF(time+1&gt;=AN$2, $K69/time_cap/(time+1)*AM$2, 0) = 0, $K69/(time_cap),0)),0)</f>
        <v/>
      </c>
      <c r="AN69" s="4395">
        <f>IFERROR(IF((time+time_cap)&lt;AN$2, 0,IF(AND(time+1&gt;=AO$2, $E69&lt;AO$2), IF($I69= "I", $J69/($F69-$E69+1), $J69/(($F69*($F69+1)/2)-(($E69-1)*($E69-1+1)/2))*AN$2), 0)+IF(IF(time+1&gt;=AO$2, $K69/time_cap/(time+1)*AN$2, 0) = 0, $K69/(time_cap),0)),0)</f>
        <v/>
      </c>
      <c r="AO69" s="4395">
        <f>IFERROR(IF((time+time_cap)&lt;AO$2, 0,IF(AND(time+1&gt;=AP$2, $E69&lt;AP$2), IF($I69= "I", $J69/($F69-$E69+1), $J69/(($F69*($F69+1)/2)-(($E69-1)*($E69-1+1)/2))*AO$2), 0)+IF(IF(time+1&gt;=AP$2, $K69/time_cap/(time+1)*AO$2, 0) = 0, $K69/(time_cap),0)),0)</f>
        <v/>
      </c>
      <c r="AP69" s="4395">
        <f>IFERROR(IF((time+time_cap)&lt;AP$2, 0,IF(AND(time+1&gt;=AQ$2, $E69&lt;AQ$2), IF($I69= "I", $J69/($F69-$E69+1), $J69/(($F69*($F69+1)/2)-(($E69-1)*($E69-1+1)/2))*AP$2), 0)+IF(IF(time+1&gt;=AQ$2, $K69/time_cap/(time+1)*AP$2, 0) = 0, $K69/(time_cap),0)),0)</f>
        <v/>
      </c>
      <c r="AQ69" s="4395">
        <f>IFERROR(IF((time+time_cap)&lt;AQ$2, 0,IF(AND(time+1&gt;=AR$2, $E69&lt;AR$2), IF($I69= "I", $J69/($F69-$E69+1), $J69/(($F69*($F69+1)/2)-(($E69-1)*($E69-1+1)/2))*AQ$2), 0)+IF(IF(time+1&gt;=AR$2, $K69/time_cap/(time+1)*AQ$2, 0) = 0, $K69/(time_cap),0)),0)</f>
        <v/>
      </c>
      <c r="AR69" s="4395">
        <f>IFERROR(IF((time+time_cap)&lt;AR$2, 0,IF(AND(time+1&gt;=AS$2, $E69&lt;AS$2), IF($I69= "I", $J69/($F69-$E69+1), $J69/(($F69*($F69+1)/2)-(($E69-1)*($E69-1+1)/2))*AR$2), 0)+IF(IF(time+1&gt;=AS$2, $K69/time_cap/(time+1)*AR$2, 0) = 0, $K69/(time_cap),0)),0)</f>
        <v/>
      </c>
      <c r="AS69" s="4395">
        <f>IFERROR(IF((time+time_cap)&lt;AS$2, 0,IF(AND(time+1&gt;=AT$2, $E69&lt;AT$2), IF($I69= "I", $J69/($F69-$E69+1), $J69/(($F69*($F69+1)/2)-(($E69-1)*($E69-1+1)/2))*AS$2), 0)+IF(IF(time+1&gt;=AT$2, $K69/time_cap/(time+1)*AS$2, 0) = 0, $K69/(time_cap),0)),0)</f>
        <v/>
      </c>
      <c r="AT69" s="4395">
        <f>IFERROR(IF((time+time_cap)&lt;AT$2, 0,IF(AND(time+1&gt;=AU$2, $E69&lt;AU$2), IF($I69= "I", $J69/($F69-$E69+1), $J69/(($F69*($F69+1)/2)-(($E69-1)*($E69-1+1)/2))*AT$2), 0)+IF(IF(time+1&gt;=AU$2, $K69/time_cap/(time+1)*AT$2, 0) = 0, $K69/(time_cap),0)),0)</f>
        <v/>
      </c>
      <c r="AU69" s="4395">
        <f>IFERROR(IF((time+time_cap)&lt;AU$2, 0,IF(AND(time+1&gt;=AV$2, $E69&lt;AV$2), IF($I69= "I", $J69/($F69-$E69+1), $J69/(($F69*($F69+1)/2)-(($E69-1)*($E69-1+1)/2))*AU$2), 0)+IF(IF(time+1&gt;=AV$2, $K69/time_cap/(time+1)*AU$2, 0) = 0, $K69/(time_cap),0)),0)</f>
        <v/>
      </c>
      <c r="AV69" s="4395">
        <f>IFERROR(IF((time+time_cap)&lt;AV$2, 0,IF(AND(time+1&gt;=AW$2, $E69&lt;AW$2), IF($I69= "I", $J69/($F69-$E69+1), $J69/(($F69*($F69+1)/2)-(($E69-1)*($E69-1+1)/2))*AV$2), 0)+IF(IF(time+1&gt;=AW$2, $K69/time_cap/(time+1)*AV$2, 0) = 0, $K69/(time_cap),0)),0)</f>
        <v/>
      </c>
      <c r="AW69" s="4395">
        <f>IFERROR(IF((time+time_cap)&lt;AW$2, 0,IF(AND(time+1&gt;=AX$2, $E69&lt;AX$2), IF($I69= "I", $J69/($F69-$E69+1), $J69/(($F69*($F69+1)/2)-(($E69-1)*($E69-1+1)/2))*AW$2), 0)+IF(IF(time+1&gt;=AX$2, $K69/time_cap/(time+1)*AW$2, 0) = 0, $K69/(time_cap),0)),0)</f>
        <v/>
      </c>
      <c r="AX69" s="4395">
        <f>IFERROR(IF((time+time_cap)&lt;AX$2, 0,IF(AND(time+1&gt;=AY$2, $E69&lt;AY$2), IF($I69= "I", $J69/($F69-$E69+1), $J69/(($F69*($F69+1)/2)-(($E69-1)*($E69-1+1)/2))*AX$2), 0)+IF(IF(time+1&gt;=AY$2, $K69/time_cap/(time+1)*AX$2, 0) = 0, $K69/(time_cap),0)),0)</f>
        <v/>
      </c>
      <c r="AY69" s="4395">
        <f>IFERROR(IF((time+time_cap)&lt;AY$2, 0,IF(AND(time+1&gt;=AZ$2, $E69&lt;AZ$2), IF($I69= "I", $J69/($F69-$E69+1), $J69/(($F69*($F69+1)/2)-(($E69-1)*($E69-1+1)/2))*AY$2), 0)+IF(IF(time+1&gt;=AZ$2, $K69/time_cap/(time+1)*AY$2, 0) = 0, $K69/(time_cap),0)),0)</f>
        <v/>
      </c>
      <c r="AZ69" s="4395">
        <f>IFERROR(IF((time+time_cap)&lt;AZ$2, 0,IF(AND(time+1&gt;=BA$2, $E69&lt;BA$2), IF($I69= "I", $J69/($F69-$E69+1), $J69/(($F69*($F69+1)/2)-(($E69-1)*($E69-1+1)/2))*AZ$2), 0)+IF(IF(time+1&gt;=BA$2, $K69/time_cap/(time+1)*AZ$2, 0) = 0, $K69/(time_cap),0)),0)</f>
        <v/>
      </c>
      <c r="BA69" s="4395">
        <f>IFERROR(IF((time+time_cap)&lt;BA$2, 0,IF(AND(time+1&gt;=BB$2, $E69&lt;BB$2), IF($I69= "I", $J69/($F69-$E69+1), $J69/(($F69*($F69+1)/2)-(($E69-1)*($E69-1+1)/2))*BA$2), 0)+IF(IF(time+1&gt;=BB$2, $K69/time_cap/(time+1)*BA$2, 0) = 0, $K69/(time_cap),0)),0)</f>
        <v/>
      </c>
      <c r="BB69" s="4395">
        <f>IFERROR(IF((time+time_cap)&lt;BB$2, 0,IF(AND(time+1&gt;=BC$2, $E69&lt;BC$2), IF($I69= "I", $J69/($F69-$E69+1), $J69/(($F69*($F69+1)/2)-(($E69-1)*($E69-1+1)/2))*BB$2), 0)+IF(IF(time+1&gt;=BC$2, $K69/time_cap/(time+1)*BB$2, 0) = 0, $K69/(time_cap),0)),0)</f>
        <v/>
      </c>
      <c r="BC69" s="4395">
        <f>IFERROR(IF((time+time_cap)&lt;BC$2, 0,IF(AND(time+1&gt;=BD$2, $E69&lt;BD$2), IF($I69= "I", $J69/($F69-$E69+1), $J69/(($F69*($F69+1)/2)-(($E69-1)*($E69-1+1)/2))*BC$2), 0)+IF(IF(time+1&gt;=BD$2, $K69/time_cap/(time+1)*BC$2, 0) = 0, $K69/(time_cap),0)),0)</f>
        <v/>
      </c>
      <c r="BD69" s="4395">
        <f>IFERROR(IF((time+time_cap)&lt;BD$2, 0,IF(AND(time+1&gt;=BE$2, $E69&lt;BE$2), IF($I69= "I", $J69/($F69-$E69+1), $J69/(($F69*($F69+1)/2)-(($E69-1)*($E69-1+1)/2))*BD$2), 0)+IF(IF(time+1&gt;=BE$2, $K69/time_cap/(time+1)*BD$2, 0) = 0, $K69/(time_cap),0)),0)</f>
        <v/>
      </c>
      <c r="BE69" s="4395">
        <f>IFERROR(IF((time+time_cap)&lt;BE$2, 0,IF(AND(time+1&gt;=BF$2, $E69&lt;BF$2), IF($I69= "I", $J69/($F69-$E69+1), $J69/(($F69*($F69+1)/2)-(($E69-1)*($E69-1+1)/2))*BE$2), 0)+IF(IF(time+1&gt;=BF$2, $K69/time_cap/(time+1)*BE$2, 0) = 0, $K69/(time_cap),0)),0)</f>
        <v/>
      </c>
      <c r="BF69" s="4395">
        <f>IFERROR(IF((time+time_cap)&lt;BF$2, 0,IF(AND(time+1&gt;=BG$2, $E69&lt;BG$2), IF($I69= "I", $J69/($F69-$E69+1), $J69/(($F69*($F69+1)/2)-(($E69-1)*($E69-1+1)/2))*BF$2), 0)+IF(IF(time+1&gt;=BG$2, $K69/time_cap/(time+1)*BF$2, 0) = 0, $K69/(time_cap),0)),0)</f>
        <v/>
      </c>
      <c r="BG69" s="4395">
        <f>IFERROR(IF((time+time_cap)&lt;BG$2, 0,IF(AND(time+1&gt;=BH$2, $E69&lt;BH$2), IF($I69= "I", $J69/($F69-$E69+1), $J69/(($F69*($F69+1)/2)-(($E69-1)*($E69-1+1)/2))*BG$2), 0)+IF(IF(time+1&gt;=BH$2, $K69/time_cap/(time+1)*BG$2, 0) = 0, $K69/(time_cap),0)),0)</f>
        <v/>
      </c>
      <c r="BH69" s="4395">
        <f>IFERROR(IF((time+time_cap)&lt;BH$2, 0,IF(AND(time+1&gt;=BI$2, $E69&lt;BI$2), IF($I69= "I", $J69/($F69-$E69+1), $J69/(($F69*($F69+1)/2)-(($E69-1)*($E69-1+1)/2))*BH$2), 0)+IF(IF(time+1&gt;=BI$2, $K69/time_cap/(time+1)*BH$2, 0) = 0, $K69/(time_cap),0)),0)</f>
        <v/>
      </c>
      <c r="BI69" s="4395">
        <f>IFERROR(IF((time+time_cap)&lt;BI$2, 0,IF(AND(time+1&gt;=BJ$2, $E69&lt;BJ$2), IF($I69= "I", $J69/($F69-$E69+1), $J69/(($F69*($F69+1)/2)-(($E69-1)*($E69-1+1)/2))*BI$2), 0)+IF(IF(time+1&gt;=BJ$2, $K69/time_cap/(time+1)*BI$2, 0) = 0, $K69/(time_cap),0)),0)</f>
        <v/>
      </c>
      <c r="BJ69" s="4395">
        <f>IFERROR(IF((time+time_cap)&lt;BJ$2, 0,IF(AND(time+1&gt;=BK$2, $E69&lt;BK$2), IF($I69= "I", $J69/($F69-$E69+1), $J69/(($F69*($F69+1)/2)-(($E69-1)*($E69-1+1)/2))*BJ$2), 0)+IF(IF(time+1&gt;=BK$2, $K69/time_cap/(time+1)*BJ$2, 0) = 0, $K69/(time_cap),0)),0)</f>
        <v/>
      </c>
      <c r="BK69" s="4395" t="n"/>
      <c r="BL69" s="4395" t="n"/>
      <c r="BM69" s="4395" t="n"/>
      <c r="BN69" s="4395" t="n"/>
      <c r="BO69" s="4395" t="n"/>
      <c r="BP69" s="4395" t="n"/>
      <c r="BQ69" s="4395" t="n"/>
      <c r="BR69" s="4395" t="n"/>
      <c r="BS69" s="4395" t="n"/>
      <c r="BT69" s="4395" t="n"/>
      <c r="BU69" s="4395" t="n"/>
      <c r="BV69" s="4395" t="n"/>
      <c r="BW69" s="4395" t="n"/>
      <c r="BX69" s="4395" t="n"/>
      <c r="BY69" s="4395" t="n"/>
      <c r="BZ69" s="4395" t="n"/>
      <c r="CA69" s="4395" t="n"/>
      <c r="CB69" s="4395" t="n"/>
      <c r="CC69" s="4395" t="n"/>
      <c r="CD69" s="4395" t="n"/>
      <c r="CE69" s="4395" t="n"/>
      <c r="CF69" s="4395" t="n"/>
      <c r="CG69" s="4395" t="n"/>
      <c r="CH69" s="4395" t="n"/>
      <c r="CI69" s="4395" t="n"/>
      <c r="CJ69" s="4395" t="n"/>
      <c r="CK69" s="4395" t="n"/>
      <c r="CL69" s="4395" t="n"/>
      <c r="CM69" s="4395" t="n"/>
      <c r="CN69" s="4395" t="n"/>
      <c r="CO69" s="4395" t="n"/>
      <c r="CP69" s="4395" t="n"/>
      <c r="CQ69" s="4395" t="n"/>
      <c r="CR69" s="4395" t="n"/>
      <c r="CS69" s="4395" t="n"/>
      <c r="CT69" s="4395" t="n"/>
      <c r="CU69" s="4395" t="n"/>
      <c r="CV69" s="4395" t="n"/>
      <c r="CW69" s="4395" t="n"/>
      <c r="CX69" s="4395" t="n"/>
      <c r="CY69" s="4395" t="n"/>
      <c r="CZ69" s="4395" t="n"/>
      <c r="DA69" s="4395" t="n"/>
      <c r="DB69" s="4395" t="n"/>
      <c r="DC69" s="4395" t="n"/>
      <c r="DD69" s="4395" t="n"/>
      <c r="DE69" s="4395" t="n"/>
      <c r="DF69" s="4395" t="n"/>
      <c r="DG69" s="4395" t="n"/>
      <c r="DH69" s="4395" t="n"/>
    </row>
    <row r="70" ht="16" customHeight="1">
      <c r="A70" t="inlineStr">
        <is>
          <t>Flooded rice</t>
        </is>
      </c>
      <c r="B70">
        <f>'3.Cropland'!C109</f>
        <v/>
      </c>
      <c r="C70">
        <f>'3.Cropland'!G109</f>
        <v/>
      </c>
      <c r="D70">
        <f>'3.Cropland'!Z109</f>
        <v/>
      </c>
      <c r="E70">
        <f>IF('3.Cropland'!BM109&lt;&gt;0,'3.Cropland'!BM109, '3.Cropland'!BL109)</f>
        <v/>
      </c>
      <c r="F70">
        <f>time</f>
        <v/>
      </c>
      <c r="G70" s="4395">
        <f>'3.Cropland'!S109</f>
        <v/>
      </c>
      <c r="H70" s="4395">
        <f>'3.Cropland'!U109</f>
        <v/>
      </c>
      <c r="I70" s="4395">
        <f>IF(OR(H70="I", G70="I"), "I", IF(OR(H70="E", G70="E"), "E", "D"))</f>
        <v/>
      </c>
      <c r="J70" s="4395">
        <f>((D70/(time_cap+((F70-E70+1)*VLOOKUP(I70,list!$I$48:$K$50,3, FALSE))))*(F70-E70+1)*VLOOKUP(I70,list!$I$48:$K$50,3, FALSE))</f>
        <v/>
      </c>
      <c r="K70" s="4395">
        <f>((D70/(time_cap+((F70-E70+1)*VLOOKUP(I70,list!$I$48:$K$50,3, FALSE))))*time_cap)</f>
        <v/>
      </c>
      <c r="M70" s="4395">
        <f>IFERROR(IF((time+time_cap)&lt;M$2, 0,IF(AND(time+1&gt;=N$2, $E70&lt;N$2), IF($I70= "I", $J70/($F70-$E70+1), $J70/(($F70*($F70+1)/2)-(($E70-1)*($E70-1+1)/2))*M$2), 0)+IF(IF(time+1&gt;=N$2, $K70/time_cap/(time+1)*M$2, 0) = 0, $K70/(time_cap),0)),0)</f>
        <v/>
      </c>
      <c r="N70" s="4395">
        <f>IFERROR(IF((time+time_cap)&lt;N$2, 0,IF(AND(time+1&gt;=O$2, $E70&lt;O$2), IF($I70= "I", $J70/($F70-$E70+1), $J70/(($F70*($F70+1)/2)-(($E70-1)*($E70-1+1)/2))*N$2), 0)+IF(IF(time+1&gt;=O$2, $K70/time_cap/(time+1)*N$2, 0) = 0, $K70/(time_cap),0)),0)</f>
        <v/>
      </c>
      <c r="O70" s="4395">
        <f>IFERROR(IF((time+time_cap)&lt;O$2, 0,IF(AND(time+1&gt;=P$2, $E70&lt;P$2), IF($I70= "I", $J70/($F70-$E70+1), $J70/(($F70*($F70+1)/2)-(($E70-1)*($E70-1+1)/2))*O$2), 0)+IF(IF(time+1&gt;=P$2, $K70/time_cap/(time+1)*O$2, 0) = 0, $K70/(time_cap),0)),0)</f>
        <v/>
      </c>
      <c r="P70" s="4395">
        <f>IFERROR(IF((time+time_cap)&lt;P$2, 0,IF(AND(time+1&gt;=Q$2, $E70&lt;Q$2), IF($I70= "I", $J70/($F70-$E70+1), $J70/(($F70*($F70+1)/2)-(($E70-1)*($E70-1+1)/2))*P$2), 0)+IF(IF(time+1&gt;=Q$2, $K70/time_cap/(time+1)*P$2, 0) = 0, $K70/(time_cap),0)),0)</f>
        <v/>
      </c>
      <c r="Q70" s="4395">
        <f>IFERROR(IF((time+time_cap)&lt;Q$2, 0,IF(AND(time+1&gt;=R$2, $E70&lt;R$2), IF($I70= "I", $J70/($F70-$E70+1), $J70/(($F70*($F70+1)/2)-(($E70-1)*($E70-1+1)/2))*Q$2), 0)+IF(IF(time+1&gt;=R$2, $K70/time_cap/(time+1)*Q$2, 0) = 0, $K70/(time_cap),0)),0)</f>
        <v/>
      </c>
      <c r="R70" s="4395">
        <f>IFERROR(IF((time+time_cap)&lt;R$2, 0,IF(AND(time+1&gt;=S$2, $E70&lt;S$2), IF($I70= "I", $J70/($F70-$E70+1), $J70/(($F70*($F70+1)/2)-(($E70-1)*($E70-1+1)/2))*R$2), 0)+IF(IF(time+1&gt;=S$2, $K70/time_cap/(time+1)*R$2, 0) = 0, $K70/(time_cap),0)),0)</f>
        <v/>
      </c>
      <c r="S70" s="4395">
        <f>IFERROR(IF((time+time_cap)&lt;S$2, 0,IF(AND(time+1&gt;=T$2, $E70&lt;T$2), IF($I70= "I", $J70/($F70-$E70+1), $J70/(($F70*($F70+1)/2)-(($E70-1)*($E70-1+1)/2))*S$2), 0)+IF(IF(time+1&gt;=T$2, $K70/time_cap/(time+1)*S$2, 0) = 0, $K70/(time_cap),0)),0)</f>
        <v/>
      </c>
      <c r="T70" s="4395">
        <f>IFERROR(IF((time+time_cap)&lt;T$2, 0,IF(AND(time+1&gt;=U$2, $E70&lt;U$2), IF($I70= "I", $J70/($F70-$E70+1), $J70/(($F70*($F70+1)/2)-(($E70-1)*($E70-1+1)/2))*T$2), 0)+IF(IF(time+1&gt;=U$2, $K70/time_cap/(time+1)*T$2, 0) = 0, $K70/(time_cap),0)),0)</f>
        <v/>
      </c>
      <c r="U70" s="4395">
        <f>IFERROR(IF((time+time_cap)&lt;U$2, 0,IF(AND(time+1&gt;=V$2, $E70&lt;V$2), IF($I70= "I", $J70/($F70-$E70+1), $J70/(($F70*($F70+1)/2)-(($E70-1)*($E70-1+1)/2))*U$2), 0)+IF(IF(time+1&gt;=V$2, $K70/time_cap/(time+1)*U$2, 0) = 0, $K70/(time_cap),0)),0)</f>
        <v/>
      </c>
      <c r="V70" s="4395">
        <f>IFERROR(IF((time+time_cap)&lt;V$2, 0,IF(AND(time+1&gt;=W$2, $E70&lt;W$2), IF($I70= "I", $J70/($F70-$E70+1), $J70/(($F70*($F70+1)/2)-(($E70-1)*($E70-1+1)/2))*V$2), 0)+IF(IF(time+1&gt;=W$2, $K70/time_cap/(time+1)*V$2, 0) = 0, $K70/(time_cap),0)),0)</f>
        <v/>
      </c>
      <c r="W70" s="4395">
        <f>IFERROR(IF((time+time_cap)&lt;W$2, 0,IF(AND(time+1&gt;=X$2, $E70&lt;X$2), IF($I70= "I", $J70/($F70-$E70+1), $J70/(($F70*($F70+1)/2)-(($E70-1)*($E70-1+1)/2))*W$2), 0)+IF(IF(time+1&gt;=X$2, $K70/time_cap/(time+1)*W$2, 0) = 0, $K70/(time_cap),0)),0)</f>
        <v/>
      </c>
      <c r="X70" s="4395">
        <f>IFERROR(IF((time+time_cap)&lt;X$2, 0,IF(AND(time+1&gt;=Y$2, $E70&lt;Y$2), IF($I70= "I", $J70/($F70-$E70+1), $J70/(($F70*($F70+1)/2)-(($E70-1)*($E70-1+1)/2))*X$2), 0)+IF(IF(time+1&gt;=Y$2, $K70/time_cap/(time+1)*X$2, 0) = 0, $K70/(time_cap),0)),0)</f>
        <v/>
      </c>
      <c r="Y70" s="4395">
        <f>IFERROR(IF((time+time_cap)&lt;Y$2, 0,IF(AND(time+1&gt;=Z$2, $E70&lt;Z$2), IF($I70= "I", $J70/($F70-$E70+1), $J70/(($F70*($F70+1)/2)-(($E70-1)*($E70-1+1)/2))*Y$2), 0)+IF(IF(time+1&gt;=Z$2, $K70/time_cap/(time+1)*Y$2, 0) = 0, $K70/(time_cap),0)),0)</f>
        <v/>
      </c>
      <c r="Z70" s="4395">
        <f>IFERROR(IF((time+time_cap)&lt;Z$2, 0,IF(AND(time+1&gt;=AA$2, $E70&lt;AA$2), IF($I70= "I", $J70/($F70-$E70+1), $J70/(($F70*($F70+1)/2)-(($E70-1)*($E70-1+1)/2))*Z$2), 0)+IF(IF(time+1&gt;=AA$2, $K70/time_cap/(time+1)*Z$2, 0) = 0, $K70/(time_cap),0)),0)</f>
        <v/>
      </c>
      <c r="AA70" s="4395">
        <f>IFERROR(IF((time+time_cap)&lt;AA$2, 0,IF(AND(time+1&gt;=AB$2, $E70&lt;AB$2), IF($I70= "I", $J70/($F70-$E70+1), $J70/(($F70*($F70+1)/2)-(($E70-1)*($E70-1+1)/2))*AA$2), 0)+IF(IF(time+1&gt;=AB$2, $K70/time_cap/(time+1)*AA$2, 0) = 0, $K70/(time_cap),0)),0)</f>
        <v/>
      </c>
      <c r="AB70" s="4395">
        <f>IFERROR(IF((time+time_cap)&lt;AB$2, 0,IF(AND(time+1&gt;=AC$2, $E70&lt;AC$2), IF($I70= "I", $J70/($F70-$E70+1), $J70/(($F70*($F70+1)/2)-(($E70-1)*($E70-1+1)/2))*AB$2), 0)+IF(IF(time+1&gt;=AC$2, $K70/time_cap/(time+1)*AB$2, 0) = 0, $K70/(time_cap),0)),0)</f>
        <v/>
      </c>
      <c r="AC70" s="4395">
        <f>IFERROR(IF((time+time_cap)&lt;AC$2, 0,IF(AND(time+1&gt;=AD$2, $E70&lt;AD$2), IF($I70= "I", $J70/($F70-$E70+1), $J70/(($F70*($F70+1)/2)-(($E70-1)*($E70-1+1)/2))*AC$2), 0)+IF(IF(time+1&gt;=AD$2, $K70/time_cap/(time+1)*AC$2, 0) = 0, $K70/(time_cap),0)),0)</f>
        <v/>
      </c>
      <c r="AD70" s="4395">
        <f>IFERROR(IF((time+time_cap)&lt;AD$2, 0,IF(AND(time+1&gt;=AE$2, $E70&lt;AE$2), IF($I70= "I", $J70/($F70-$E70+1), $J70/(($F70*($F70+1)/2)-(($E70-1)*($E70-1+1)/2))*AD$2), 0)+IF(IF(time+1&gt;=AE$2, $K70/time_cap/(time+1)*AD$2, 0) = 0, $K70/(time_cap),0)),0)</f>
        <v/>
      </c>
      <c r="AE70" s="4395">
        <f>IFERROR(IF((time+time_cap)&lt;AE$2, 0,IF(AND(time+1&gt;=AF$2, $E70&lt;AF$2), IF($I70= "I", $J70/($F70-$E70+1), $J70/(($F70*($F70+1)/2)-(($E70-1)*($E70-1+1)/2))*AE$2), 0)+IF(IF(time+1&gt;=AF$2, $K70/time_cap/(time+1)*AE$2, 0) = 0, $K70/(time_cap),0)),0)</f>
        <v/>
      </c>
      <c r="AF70" s="4395">
        <f>IFERROR(IF((time+time_cap)&lt;AF$2, 0,IF(AND(time+1&gt;=AG$2, $E70&lt;AG$2), IF($I70= "I", $J70/($F70-$E70+1), $J70/(($F70*($F70+1)/2)-(($E70-1)*($E70-1+1)/2))*AF$2), 0)+IF(IF(time+1&gt;=AG$2, $K70/time_cap/(time+1)*AF$2, 0) = 0, $K70/(time_cap),0)),0)</f>
        <v/>
      </c>
      <c r="AG70" s="4395">
        <f>IFERROR(IF((time+time_cap)&lt;AG$2, 0,IF(AND(time+1&gt;=AH$2, $E70&lt;AH$2), IF($I70= "I", $J70/($F70-$E70+1), $J70/(($F70*($F70+1)/2)-(($E70-1)*($E70-1+1)/2))*AG$2), 0)+IF(IF(time+1&gt;=AH$2, $K70/time_cap/(time+1)*AG$2, 0) = 0, $K70/(time_cap),0)),0)</f>
        <v/>
      </c>
      <c r="AH70" s="4395">
        <f>IFERROR(IF((time+time_cap)&lt;AH$2, 0,IF(AND(time+1&gt;=AI$2, $E70&lt;AI$2), IF($I70= "I", $J70/($F70-$E70+1), $J70/(($F70*($F70+1)/2)-(($E70-1)*($E70-1+1)/2))*AH$2), 0)+IF(IF(time+1&gt;=AI$2, $K70/time_cap/(time+1)*AH$2, 0) = 0, $K70/(time_cap),0)),0)</f>
        <v/>
      </c>
      <c r="AI70" s="4395">
        <f>IFERROR(IF((time+time_cap)&lt;AI$2, 0,IF(AND(time+1&gt;=AJ$2, $E70&lt;AJ$2), IF($I70= "I", $J70/($F70-$E70+1), $J70/(($F70*($F70+1)/2)-(($E70-1)*($E70-1+1)/2))*AI$2), 0)+IF(IF(time+1&gt;=AJ$2, $K70/time_cap/(time+1)*AI$2, 0) = 0, $K70/(time_cap),0)),0)</f>
        <v/>
      </c>
      <c r="AJ70" s="4395">
        <f>IFERROR(IF((time+time_cap)&lt;AJ$2, 0,IF(AND(time+1&gt;=AK$2, $E70&lt;AK$2), IF($I70= "I", $J70/($F70-$E70+1), $J70/(($F70*($F70+1)/2)-(($E70-1)*($E70-1+1)/2))*AJ$2), 0)+IF(IF(time+1&gt;=AK$2, $K70/time_cap/(time+1)*AJ$2, 0) = 0, $K70/(time_cap),0)),0)</f>
        <v/>
      </c>
      <c r="AK70" s="4395">
        <f>IFERROR(IF((time+time_cap)&lt;AK$2, 0,IF(AND(time+1&gt;=AL$2, $E70&lt;AL$2), IF($I70= "I", $J70/($F70-$E70+1), $J70/(($F70*($F70+1)/2)-(($E70-1)*($E70-1+1)/2))*AK$2), 0)+IF(IF(time+1&gt;=AL$2, $K70/time_cap/(time+1)*AK$2, 0) = 0, $K70/(time_cap),0)),0)</f>
        <v/>
      </c>
      <c r="AL70" s="4395">
        <f>IFERROR(IF((time+time_cap)&lt;AL$2, 0,IF(AND(time+1&gt;=AM$2, $E70&lt;AM$2), IF($I70= "I", $J70/($F70-$E70+1), $J70/(($F70*($F70+1)/2)-(($E70-1)*($E70-1+1)/2))*AL$2), 0)+IF(IF(time+1&gt;=AM$2, $K70/time_cap/(time+1)*AL$2, 0) = 0, $K70/(time_cap),0)),0)</f>
        <v/>
      </c>
      <c r="AM70" s="4395">
        <f>IFERROR(IF((time+time_cap)&lt;AM$2, 0,IF(AND(time+1&gt;=AN$2, $E70&lt;AN$2), IF($I70= "I", $J70/($F70-$E70+1), $J70/(($F70*($F70+1)/2)-(($E70-1)*($E70-1+1)/2))*AM$2), 0)+IF(IF(time+1&gt;=AN$2, $K70/time_cap/(time+1)*AM$2, 0) = 0, $K70/(time_cap),0)),0)</f>
        <v/>
      </c>
      <c r="AN70" s="4395">
        <f>IFERROR(IF((time+time_cap)&lt;AN$2, 0,IF(AND(time+1&gt;=AO$2, $E70&lt;AO$2), IF($I70= "I", $J70/($F70-$E70+1), $J70/(($F70*($F70+1)/2)-(($E70-1)*($E70-1+1)/2))*AN$2), 0)+IF(IF(time+1&gt;=AO$2, $K70/time_cap/(time+1)*AN$2, 0) = 0, $K70/(time_cap),0)),0)</f>
        <v/>
      </c>
      <c r="AO70" s="4395">
        <f>IFERROR(IF((time+time_cap)&lt;AO$2, 0,IF(AND(time+1&gt;=AP$2, $E70&lt;AP$2), IF($I70= "I", $J70/($F70-$E70+1), $J70/(($F70*($F70+1)/2)-(($E70-1)*($E70-1+1)/2))*AO$2), 0)+IF(IF(time+1&gt;=AP$2, $K70/time_cap/(time+1)*AO$2, 0) = 0, $K70/(time_cap),0)),0)</f>
        <v/>
      </c>
      <c r="AP70" s="4395">
        <f>IFERROR(IF((time+time_cap)&lt;AP$2, 0,IF(AND(time+1&gt;=AQ$2, $E70&lt;AQ$2), IF($I70= "I", $J70/($F70-$E70+1), $J70/(($F70*($F70+1)/2)-(($E70-1)*($E70-1+1)/2))*AP$2), 0)+IF(IF(time+1&gt;=AQ$2, $K70/time_cap/(time+1)*AP$2, 0) = 0, $K70/(time_cap),0)),0)</f>
        <v/>
      </c>
      <c r="AQ70" s="4395">
        <f>IFERROR(IF((time+time_cap)&lt;AQ$2, 0,IF(AND(time+1&gt;=AR$2, $E70&lt;AR$2), IF($I70= "I", $J70/($F70-$E70+1), $J70/(($F70*($F70+1)/2)-(($E70-1)*($E70-1+1)/2))*AQ$2), 0)+IF(IF(time+1&gt;=AR$2, $K70/time_cap/(time+1)*AQ$2, 0) = 0, $K70/(time_cap),0)),0)</f>
        <v/>
      </c>
      <c r="AR70" s="4395">
        <f>IFERROR(IF((time+time_cap)&lt;AR$2, 0,IF(AND(time+1&gt;=AS$2, $E70&lt;AS$2), IF($I70= "I", $J70/($F70-$E70+1), $J70/(($F70*($F70+1)/2)-(($E70-1)*($E70-1+1)/2))*AR$2), 0)+IF(IF(time+1&gt;=AS$2, $K70/time_cap/(time+1)*AR$2, 0) = 0, $K70/(time_cap),0)),0)</f>
        <v/>
      </c>
      <c r="AS70" s="4395">
        <f>IFERROR(IF((time+time_cap)&lt;AS$2, 0,IF(AND(time+1&gt;=AT$2, $E70&lt;AT$2), IF($I70= "I", $J70/($F70-$E70+1), $J70/(($F70*($F70+1)/2)-(($E70-1)*($E70-1+1)/2))*AS$2), 0)+IF(IF(time+1&gt;=AT$2, $K70/time_cap/(time+1)*AS$2, 0) = 0, $K70/(time_cap),0)),0)</f>
        <v/>
      </c>
      <c r="AT70" s="4395">
        <f>IFERROR(IF((time+time_cap)&lt;AT$2, 0,IF(AND(time+1&gt;=AU$2, $E70&lt;AU$2), IF($I70= "I", $J70/($F70-$E70+1), $J70/(($F70*($F70+1)/2)-(($E70-1)*($E70-1+1)/2))*AT$2), 0)+IF(IF(time+1&gt;=AU$2, $K70/time_cap/(time+1)*AT$2, 0) = 0, $K70/(time_cap),0)),0)</f>
        <v/>
      </c>
      <c r="AU70" s="4395">
        <f>IFERROR(IF((time+time_cap)&lt;AU$2, 0,IF(AND(time+1&gt;=AV$2, $E70&lt;AV$2), IF($I70= "I", $J70/($F70-$E70+1), $J70/(($F70*($F70+1)/2)-(($E70-1)*($E70-1+1)/2))*AU$2), 0)+IF(IF(time+1&gt;=AV$2, $K70/time_cap/(time+1)*AU$2, 0) = 0, $K70/(time_cap),0)),0)</f>
        <v/>
      </c>
      <c r="AV70" s="4395">
        <f>IFERROR(IF((time+time_cap)&lt;AV$2, 0,IF(AND(time+1&gt;=AW$2, $E70&lt;AW$2), IF($I70= "I", $J70/($F70-$E70+1), $J70/(($F70*($F70+1)/2)-(($E70-1)*($E70-1+1)/2))*AV$2), 0)+IF(IF(time+1&gt;=AW$2, $K70/time_cap/(time+1)*AV$2, 0) = 0, $K70/(time_cap),0)),0)</f>
        <v/>
      </c>
      <c r="AW70" s="4395">
        <f>IFERROR(IF((time+time_cap)&lt;AW$2, 0,IF(AND(time+1&gt;=AX$2, $E70&lt;AX$2), IF($I70= "I", $J70/($F70-$E70+1), $J70/(($F70*($F70+1)/2)-(($E70-1)*($E70-1+1)/2))*AW$2), 0)+IF(IF(time+1&gt;=AX$2, $K70/time_cap/(time+1)*AW$2, 0) = 0, $K70/(time_cap),0)),0)</f>
        <v/>
      </c>
      <c r="AX70" s="4395">
        <f>IFERROR(IF((time+time_cap)&lt;AX$2, 0,IF(AND(time+1&gt;=AY$2, $E70&lt;AY$2), IF($I70= "I", $J70/($F70-$E70+1), $J70/(($F70*($F70+1)/2)-(($E70-1)*($E70-1+1)/2))*AX$2), 0)+IF(IF(time+1&gt;=AY$2, $K70/time_cap/(time+1)*AX$2, 0) = 0, $K70/(time_cap),0)),0)</f>
        <v/>
      </c>
      <c r="AY70" s="4395">
        <f>IFERROR(IF((time+time_cap)&lt;AY$2, 0,IF(AND(time+1&gt;=AZ$2, $E70&lt;AZ$2), IF($I70= "I", $J70/($F70-$E70+1), $J70/(($F70*($F70+1)/2)-(($E70-1)*($E70-1+1)/2))*AY$2), 0)+IF(IF(time+1&gt;=AZ$2, $K70/time_cap/(time+1)*AY$2, 0) = 0, $K70/(time_cap),0)),0)</f>
        <v/>
      </c>
      <c r="AZ70" s="4395">
        <f>IFERROR(IF((time+time_cap)&lt;AZ$2, 0,IF(AND(time+1&gt;=BA$2, $E70&lt;BA$2), IF($I70= "I", $J70/($F70-$E70+1), $J70/(($F70*($F70+1)/2)-(($E70-1)*($E70-1+1)/2))*AZ$2), 0)+IF(IF(time+1&gt;=BA$2, $K70/time_cap/(time+1)*AZ$2, 0) = 0, $K70/(time_cap),0)),0)</f>
        <v/>
      </c>
      <c r="BA70" s="4395">
        <f>IFERROR(IF((time+time_cap)&lt;BA$2, 0,IF(AND(time+1&gt;=BB$2, $E70&lt;BB$2), IF($I70= "I", $J70/($F70-$E70+1), $J70/(($F70*($F70+1)/2)-(($E70-1)*($E70-1+1)/2))*BA$2), 0)+IF(IF(time+1&gt;=BB$2, $K70/time_cap/(time+1)*BA$2, 0) = 0, $K70/(time_cap),0)),0)</f>
        <v/>
      </c>
      <c r="BB70" s="4395">
        <f>IFERROR(IF((time+time_cap)&lt;BB$2, 0,IF(AND(time+1&gt;=BC$2, $E70&lt;BC$2), IF($I70= "I", $J70/($F70-$E70+1), $J70/(($F70*($F70+1)/2)-(($E70-1)*($E70-1+1)/2))*BB$2), 0)+IF(IF(time+1&gt;=BC$2, $K70/time_cap/(time+1)*BB$2, 0) = 0, $K70/(time_cap),0)),0)</f>
        <v/>
      </c>
      <c r="BC70" s="4395">
        <f>IFERROR(IF((time+time_cap)&lt;BC$2, 0,IF(AND(time+1&gt;=BD$2, $E70&lt;BD$2), IF($I70= "I", $J70/($F70-$E70+1), $J70/(($F70*($F70+1)/2)-(($E70-1)*($E70-1+1)/2))*BC$2), 0)+IF(IF(time+1&gt;=BD$2, $K70/time_cap/(time+1)*BC$2, 0) = 0, $K70/(time_cap),0)),0)</f>
        <v/>
      </c>
      <c r="BD70" s="4395">
        <f>IFERROR(IF((time+time_cap)&lt;BD$2, 0,IF(AND(time+1&gt;=BE$2, $E70&lt;BE$2), IF($I70= "I", $J70/($F70-$E70+1), $J70/(($F70*($F70+1)/2)-(($E70-1)*($E70-1+1)/2))*BD$2), 0)+IF(IF(time+1&gt;=BE$2, $K70/time_cap/(time+1)*BD$2, 0) = 0, $K70/(time_cap),0)),0)</f>
        <v/>
      </c>
      <c r="BE70" s="4395">
        <f>IFERROR(IF((time+time_cap)&lt;BE$2, 0,IF(AND(time+1&gt;=BF$2, $E70&lt;BF$2), IF($I70= "I", $J70/($F70-$E70+1), $J70/(($F70*($F70+1)/2)-(($E70-1)*($E70-1+1)/2))*BE$2), 0)+IF(IF(time+1&gt;=BF$2, $K70/time_cap/(time+1)*BE$2, 0) = 0, $K70/(time_cap),0)),0)</f>
        <v/>
      </c>
      <c r="BF70" s="4395">
        <f>IFERROR(IF((time+time_cap)&lt;BF$2, 0,IF(AND(time+1&gt;=BG$2, $E70&lt;BG$2), IF($I70= "I", $J70/($F70-$E70+1), $J70/(($F70*($F70+1)/2)-(($E70-1)*($E70-1+1)/2))*BF$2), 0)+IF(IF(time+1&gt;=BG$2, $K70/time_cap/(time+1)*BF$2, 0) = 0, $K70/(time_cap),0)),0)</f>
        <v/>
      </c>
      <c r="BG70" s="4395">
        <f>IFERROR(IF((time+time_cap)&lt;BG$2, 0,IF(AND(time+1&gt;=BH$2, $E70&lt;BH$2), IF($I70= "I", $J70/($F70-$E70+1), $J70/(($F70*($F70+1)/2)-(($E70-1)*($E70-1+1)/2))*BG$2), 0)+IF(IF(time+1&gt;=BH$2, $K70/time_cap/(time+1)*BG$2, 0) = 0, $K70/(time_cap),0)),0)</f>
        <v/>
      </c>
      <c r="BH70" s="4395">
        <f>IFERROR(IF((time+time_cap)&lt;BH$2, 0,IF(AND(time+1&gt;=BI$2, $E70&lt;BI$2), IF($I70= "I", $J70/($F70-$E70+1), $J70/(($F70*($F70+1)/2)-(($E70-1)*($E70-1+1)/2))*BH$2), 0)+IF(IF(time+1&gt;=BI$2, $K70/time_cap/(time+1)*BH$2, 0) = 0, $K70/(time_cap),0)),0)</f>
        <v/>
      </c>
      <c r="BI70" s="4395">
        <f>IFERROR(IF((time+time_cap)&lt;BI$2, 0,IF(AND(time+1&gt;=BJ$2, $E70&lt;BJ$2), IF($I70= "I", $J70/($F70-$E70+1), $J70/(($F70*($F70+1)/2)-(($E70-1)*($E70-1+1)/2))*BI$2), 0)+IF(IF(time+1&gt;=BJ$2, $K70/time_cap/(time+1)*BI$2, 0) = 0, $K70/(time_cap),0)),0)</f>
        <v/>
      </c>
      <c r="BJ70" s="4395">
        <f>IFERROR(IF((time+time_cap)&lt;BJ$2, 0,IF(AND(time+1&gt;=BK$2, $E70&lt;BK$2), IF($I70= "I", $J70/($F70-$E70+1), $J70/(($F70*($F70+1)/2)-(($E70-1)*($E70-1+1)/2))*BJ$2), 0)+IF(IF(time+1&gt;=BK$2, $K70/time_cap/(time+1)*BJ$2, 0) = 0, $K70/(time_cap),0)),0)</f>
        <v/>
      </c>
      <c r="BK70" s="4395" t="n"/>
      <c r="BL70" s="4395" t="n"/>
      <c r="BM70" s="4395" t="n"/>
      <c r="BN70" s="4395" t="n"/>
      <c r="BO70" s="4395" t="n"/>
      <c r="BP70" s="4395" t="n"/>
      <c r="BQ70" s="4395" t="n"/>
      <c r="BR70" s="4395" t="n"/>
      <c r="BS70" s="4395" t="n"/>
      <c r="BT70" s="4395" t="n"/>
      <c r="BU70" s="4395" t="n"/>
      <c r="BV70" s="4395" t="n"/>
      <c r="BW70" s="4395" t="n"/>
      <c r="BX70" s="4395" t="n"/>
      <c r="BY70" s="4395" t="n"/>
      <c r="BZ70" s="4395" t="n"/>
      <c r="CA70" s="4395" t="n"/>
      <c r="CB70" s="4395" t="n"/>
      <c r="CC70" s="4395" t="n"/>
      <c r="CD70" s="4395" t="n"/>
      <c r="CE70" s="4395" t="n"/>
      <c r="CF70" s="4395" t="n"/>
      <c r="CG70" s="4395" t="n"/>
      <c r="CH70" s="4395" t="n"/>
      <c r="CI70" s="4395" t="n"/>
      <c r="CJ70" s="4395" t="n"/>
      <c r="CK70" s="4395" t="n"/>
      <c r="CL70" s="4395" t="n"/>
      <c r="CM70" s="4395" t="n"/>
      <c r="CN70" s="4395" t="n"/>
      <c r="CO70" s="4395" t="n"/>
      <c r="CP70" s="4395" t="n"/>
      <c r="CQ70" s="4395" t="n"/>
      <c r="CR70" s="4395" t="n"/>
      <c r="CS70" s="4395" t="n"/>
      <c r="CT70" s="4395" t="n"/>
      <c r="CU70" s="4395" t="n"/>
      <c r="CV70" s="4395" t="n"/>
      <c r="CW70" s="4395" t="n"/>
      <c r="CX70" s="4395" t="n"/>
      <c r="CY70" s="4395" t="n"/>
      <c r="CZ70" s="4395" t="n"/>
      <c r="DA70" s="4395" t="n"/>
      <c r="DB70" s="4395" t="n"/>
      <c r="DC70" s="4395" t="n"/>
      <c r="DD70" s="4395" t="n"/>
      <c r="DE70" s="4395" t="n"/>
      <c r="DF70" s="4395" t="n"/>
      <c r="DG70" s="4395" t="n"/>
      <c r="DH70" s="4395" t="n"/>
    </row>
    <row r="71" ht="16" customHeight="1">
      <c r="A71" t="inlineStr">
        <is>
          <t>Flooded rice</t>
        </is>
      </c>
      <c r="B71">
        <f>'3.Cropland'!C110</f>
        <v/>
      </c>
      <c r="C71">
        <f>'3.Cropland'!G110</f>
        <v/>
      </c>
      <c r="D71">
        <f>'3.Cropland'!Z110</f>
        <v/>
      </c>
      <c r="E71">
        <f>IF('3.Cropland'!BM110&lt;&gt;0,'3.Cropland'!BM110, '3.Cropland'!BL110)</f>
        <v/>
      </c>
      <c r="F71">
        <f>time</f>
        <v/>
      </c>
      <c r="G71" s="4395">
        <f>'3.Cropland'!S110</f>
        <v/>
      </c>
      <c r="H71" s="4395">
        <f>'3.Cropland'!U110</f>
        <v/>
      </c>
      <c r="I71" s="4395">
        <f>IF(OR(H71="I", G71="I"), "I", IF(OR(H71="E", G71="E"), "E", "D"))</f>
        <v/>
      </c>
      <c r="J71" s="4395">
        <f>((D71/(time_cap+((F71-E71+1)*VLOOKUP(I71,list!$I$48:$K$50,3, FALSE))))*(F71-E71+1)*VLOOKUP(I71,list!$I$48:$K$50,3, FALSE))</f>
        <v/>
      </c>
      <c r="K71" s="4395">
        <f>((D71/(time_cap+((F71-E71+1)*VLOOKUP(I71,list!$I$48:$K$50,3, FALSE))))*time_cap)</f>
        <v/>
      </c>
      <c r="M71" s="4395">
        <f>IFERROR(IF((time+time_cap)&lt;M$2, 0,IF(AND(time+1&gt;=N$2, $E71&lt;N$2), IF($I71= "I", $J71/($F71-$E71+1), $J71/(($F71*($F71+1)/2)-(($E71-1)*($E71-1+1)/2))*M$2), 0)+IF(IF(time+1&gt;=N$2, $K71/time_cap/(time+1)*M$2, 0) = 0, $K71/(time_cap),0)),0)</f>
        <v/>
      </c>
      <c r="N71" s="4395">
        <f>IFERROR(IF((time+time_cap)&lt;N$2, 0,IF(AND(time+1&gt;=O$2, $E71&lt;O$2), IF($I71= "I", $J71/($F71-$E71+1), $J71/(($F71*($F71+1)/2)-(($E71-1)*($E71-1+1)/2))*N$2), 0)+IF(IF(time+1&gt;=O$2, $K71/time_cap/(time+1)*N$2, 0) = 0, $K71/(time_cap),0)),0)</f>
        <v/>
      </c>
      <c r="O71" s="4395">
        <f>IFERROR(IF((time+time_cap)&lt;O$2, 0,IF(AND(time+1&gt;=P$2, $E71&lt;P$2), IF($I71= "I", $J71/($F71-$E71+1), $J71/(($F71*($F71+1)/2)-(($E71-1)*($E71-1+1)/2))*O$2), 0)+IF(IF(time+1&gt;=P$2, $K71/time_cap/(time+1)*O$2, 0) = 0, $K71/(time_cap),0)),0)</f>
        <v/>
      </c>
      <c r="P71" s="4395">
        <f>IFERROR(IF((time+time_cap)&lt;P$2, 0,IF(AND(time+1&gt;=Q$2, $E71&lt;Q$2), IF($I71= "I", $J71/($F71-$E71+1), $J71/(($F71*($F71+1)/2)-(($E71-1)*($E71-1+1)/2))*P$2), 0)+IF(IF(time+1&gt;=Q$2, $K71/time_cap/(time+1)*P$2, 0) = 0, $K71/(time_cap),0)),0)</f>
        <v/>
      </c>
      <c r="Q71" s="4395">
        <f>IFERROR(IF((time+time_cap)&lt;Q$2, 0,IF(AND(time+1&gt;=R$2, $E71&lt;R$2), IF($I71= "I", $J71/($F71-$E71+1), $J71/(($F71*($F71+1)/2)-(($E71-1)*($E71-1+1)/2))*Q$2), 0)+IF(IF(time+1&gt;=R$2, $K71/time_cap/(time+1)*Q$2, 0) = 0, $K71/(time_cap),0)),0)</f>
        <v/>
      </c>
      <c r="R71" s="4395">
        <f>IFERROR(IF((time+time_cap)&lt;R$2, 0,IF(AND(time+1&gt;=S$2, $E71&lt;S$2), IF($I71= "I", $J71/($F71-$E71+1), $J71/(($F71*($F71+1)/2)-(($E71-1)*($E71-1+1)/2))*R$2), 0)+IF(IF(time+1&gt;=S$2, $K71/time_cap/(time+1)*R$2, 0) = 0, $K71/(time_cap),0)),0)</f>
        <v/>
      </c>
      <c r="S71" s="4395">
        <f>IFERROR(IF((time+time_cap)&lt;S$2, 0,IF(AND(time+1&gt;=T$2, $E71&lt;T$2), IF($I71= "I", $J71/($F71-$E71+1), $J71/(($F71*($F71+1)/2)-(($E71-1)*($E71-1+1)/2))*S$2), 0)+IF(IF(time+1&gt;=T$2, $K71/time_cap/(time+1)*S$2, 0) = 0, $K71/(time_cap),0)),0)</f>
        <v/>
      </c>
      <c r="T71" s="4395">
        <f>IFERROR(IF((time+time_cap)&lt;T$2, 0,IF(AND(time+1&gt;=U$2, $E71&lt;U$2), IF($I71= "I", $J71/($F71-$E71+1), $J71/(($F71*($F71+1)/2)-(($E71-1)*($E71-1+1)/2))*T$2), 0)+IF(IF(time+1&gt;=U$2, $K71/time_cap/(time+1)*T$2, 0) = 0, $K71/(time_cap),0)),0)</f>
        <v/>
      </c>
      <c r="U71" s="4395">
        <f>IFERROR(IF((time+time_cap)&lt;U$2, 0,IF(AND(time+1&gt;=V$2, $E71&lt;V$2), IF($I71= "I", $J71/($F71-$E71+1), $J71/(($F71*($F71+1)/2)-(($E71-1)*($E71-1+1)/2))*U$2), 0)+IF(IF(time+1&gt;=V$2, $K71/time_cap/(time+1)*U$2, 0) = 0, $K71/(time_cap),0)),0)</f>
        <v/>
      </c>
      <c r="V71" s="4395">
        <f>IFERROR(IF((time+time_cap)&lt;V$2, 0,IF(AND(time+1&gt;=W$2, $E71&lt;W$2), IF($I71= "I", $J71/($F71-$E71+1), $J71/(($F71*($F71+1)/2)-(($E71-1)*($E71-1+1)/2))*V$2), 0)+IF(IF(time+1&gt;=W$2, $K71/time_cap/(time+1)*V$2, 0) = 0, $K71/(time_cap),0)),0)</f>
        <v/>
      </c>
      <c r="W71" s="4395">
        <f>IFERROR(IF((time+time_cap)&lt;W$2, 0,IF(AND(time+1&gt;=X$2, $E71&lt;X$2), IF($I71= "I", $J71/($F71-$E71+1), $J71/(($F71*($F71+1)/2)-(($E71-1)*($E71-1+1)/2))*W$2), 0)+IF(IF(time+1&gt;=X$2, $K71/time_cap/(time+1)*W$2, 0) = 0, $K71/(time_cap),0)),0)</f>
        <v/>
      </c>
      <c r="X71" s="4395">
        <f>IFERROR(IF((time+time_cap)&lt;X$2, 0,IF(AND(time+1&gt;=Y$2, $E71&lt;Y$2), IF($I71= "I", $J71/($F71-$E71+1), $J71/(($F71*($F71+1)/2)-(($E71-1)*($E71-1+1)/2))*X$2), 0)+IF(IF(time+1&gt;=Y$2, $K71/time_cap/(time+1)*X$2, 0) = 0, $K71/(time_cap),0)),0)</f>
        <v/>
      </c>
      <c r="Y71" s="4395">
        <f>IFERROR(IF((time+time_cap)&lt;Y$2, 0,IF(AND(time+1&gt;=Z$2, $E71&lt;Z$2), IF($I71= "I", $J71/($F71-$E71+1), $J71/(($F71*($F71+1)/2)-(($E71-1)*($E71-1+1)/2))*Y$2), 0)+IF(IF(time+1&gt;=Z$2, $K71/time_cap/(time+1)*Y$2, 0) = 0, $K71/(time_cap),0)),0)</f>
        <v/>
      </c>
      <c r="Z71" s="4395">
        <f>IFERROR(IF((time+time_cap)&lt;Z$2, 0,IF(AND(time+1&gt;=AA$2, $E71&lt;AA$2), IF($I71= "I", $J71/($F71-$E71+1), $J71/(($F71*($F71+1)/2)-(($E71-1)*($E71-1+1)/2))*Z$2), 0)+IF(IF(time+1&gt;=AA$2, $K71/time_cap/(time+1)*Z$2, 0) = 0, $K71/(time_cap),0)),0)</f>
        <v/>
      </c>
      <c r="AA71" s="4395">
        <f>IFERROR(IF((time+time_cap)&lt;AA$2, 0,IF(AND(time+1&gt;=AB$2, $E71&lt;AB$2), IF($I71= "I", $J71/($F71-$E71+1), $J71/(($F71*($F71+1)/2)-(($E71-1)*($E71-1+1)/2))*AA$2), 0)+IF(IF(time+1&gt;=AB$2, $K71/time_cap/(time+1)*AA$2, 0) = 0, $K71/(time_cap),0)),0)</f>
        <v/>
      </c>
      <c r="AB71" s="4395">
        <f>IFERROR(IF((time+time_cap)&lt;AB$2, 0,IF(AND(time+1&gt;=AC$2, $E71&lt;AC$2), IF($I71= "I", $J71/($F71-$E71+1), $J71/(($F71*($F71+1)/2)-(($E71-1)*($E71-1+1)/2))*AB$2), 0)+IF(IF(time+1&gt;=AC$2, $K71/time_cap/(time+1)*AB$2, 0) = 0, $K71/(time_cap),0)),0)</f>
        <v/>
      </c>
      <c r="AC71" s="4395">
        <f>IFERROR(IF((time+time_cap)&lt;AC$2, 0,IF(AND(time+1&gt;=AD$2, $E71&lt;AD$2), IF($I71= "I", $J71/($F71-$E71+1), $J71/(($F71*($F71+1)/2)-(($E71-1)*($E71-1+1)/2))*AC$2), 0)+IF(IF(time+1&gt;=AD$2, $K71/time_cap/(time+1)*AC$2, 0) = 0, $K71/(time_cap),0)),0)</f>
        <v/>
      </c>
      <c r="AD71" s="4395">
        <f>IFERROR(IF((time+time_cap)&lt;AD$2, 0,IF(AND(time+1&gt;=AE$2, $E71&lt;AE$2), IF($I71= "I", $J71/($F71-$E71+1), $J71/(($F71*($F71+1)/2)-(($E71-1)*($E71-1+1)/2))*AD$2), 0)+IF(IF(time+1&gt;=AE$2, $K71/time_cap/(time+1)*AD$2, 0) = 0, $K71/(time_cap),0)),0)</f>
        <v/>
      </c>
      <c r="AE71" s="4395">
        <f>IFERROR(IF((time+time_cap)&lt;AE$2, 0,IF(AND(time+1&gt;=AF$2, $E71&lt;AF$2), IF($I71= "I", $J71/($F71-$E71+1), $J71/(($F71*($F71+1)/2)-(($E71-1)*($E71-1+1)/2))*AE$2), 0)+IF(IF(time+1&gt;=AF$2, $K71/time_cap/(time+1)*AE$2, 0) = 0, $K71/(time_cap),0)),0)</f>
        <v/>
      </c>
      <c r="AF71" s="4395">
        <f>IFERROR(IF((time+time_cap)&lt;AF$2, 0,IF(AND(time+1&gt;=AG$2, $E71&lt;AG$2), IF($I71= "I", $J71/($F71-$E71+1), $J71/(($F71*($F71+1)/2)-(($E71-1)*($E71-1+1)/2))*AF$2), 0)+IF(IF(time+1&gt;=AG$2, $K71/time_cap/(time+1)*AF$2, 0) = 0, $K71/(time_cap),0)),0)</f>
        <v/>
      </c>
      <c r="AG71" s="4395">
        <f>IFERROR(IF((time+time_cap)&lt;AG$2, 0,IF(AND(time+1&gt;=AH$2, $E71&lt;AH$2), IF($I71= "I", $J71/($F71-$E71+1), $J71/(($F71*($F71+1)/2)-(($E71-1)*($E71-1+1)/2))*AG$2), 0)+IF(IF(time+1&gt;=AH$2, $K71/time_cap/(time+1)*AG$2, 0) = 0, $K71/(time_cap),0)),0)</f>
        <v/>
      </c>
      <c r="AH71" s="4395">
        <f>IFERROR(IF((time+time_cap)&lt;AH$2, 0,IF(AND(time+1&gt;=AI$2, $E71&lt;AI$2), IF($I71= "I", $J71/($F71-$E71+1), $J71/(($F71*($F71+1)/2)-(($E71-1)*($E71-1+1)/2))*AH$2), 0)+IF(IF(time+1&gt;=AI$2, $K71/time_cap/(time+1)*AH$2, 0) = 0, $K71/(time_cap),0)),0)</f>
        <v/>
      </c>
      <c r="AI71" s="4395">
        <f>IFERROR(IF((time+time_cap)&lt;AI$2, 0,IF(AND(time+1&gt;=AJ$2, $E71&lt;AJ$2), IF($I71= "I", $J71/($F71-$E71+1), $J71/(($F71*($F71+1)/2)-(($E71-1)*($E71-1+1)/2))*AI$2), 0)+IF(IF(time+1&gt;=AJ$2, $K71/time_cap/(time+1)*AI$2, 0) = 0, $K71/(time_cap),0)),0)</f>
        <v/>
      </c>
      <c r="AJ71" s="4395">
        <f>IFERROR(IF((time+time_cap)&lt;AJ$2, 0,IF(AND(time+1&gt;=AK$2, $E71&lt;AK$2), IF($I71= "I", $J71/($F71-$E71+1), $J71/(($F71*($F71+1)/2)-(($E71-1)*($E71-1+1)/2))*AJ$2), 0)+IF(IF(time+1&gt;=AK$2, $K71/time_cap/(time+1)*AJ$2, 0) = 0, $K71/(time_cap),0)),0)</f>
        <v/>
      </c>
      <c r="AK71" s="4395">
        <f>IFERROR(IF((time+time_cap)&lt;AK$2, 0,IF(AND(time+1&gt;=AL$2, $E71&lt;AL$2), IF($I71= "I", $J71/($F71-$E71+1), $J71/(($F71*($F71+1)/2)-(($E71-1)*($E71-1+1)/2))*AK$2), 0)+IF(IF(time+1&gt;=AL$2, $K71/time_cap/(time+1)*AK$2, 0) = 0, $K71/(time_cap),0)),0)</f>
        <v/>
      </c>
      <c r="AL71" s="4395">
        <f>IFERROR(IF((time+time_cap)&lt;AL$2, 0,IF(AND(time+1&gt;=AM$2, $E71&lt;AM$2), IF($I71= "I", $J71/($F71-$E71+1), $J71/(($F71*($F71+1)/2)-(($E71-1)*($E71-1+1)/2))*AL$2), 0)+IF(IF(time+1&gt;=AM$2, $K71/time_cap/(time+1)*AL$2, 0) = 0, $K71/(time_cap),0)),0)</f>
        <v/>
      </c>
      <c r="AM71" s="4395">
        <f>IFERROR(IF((time+time_cap)&lt;AM$2, 0,IF(AND(time+1&gt;=AN$2, $E71&lt;AN$2), IF($I71= "I", $J71/($F71-$E71+1), $J71/(($F71*($F71+1)/2)-(($E71-1)*($E71-1+1)/2))*AM$2), 0)+IF(IF(time+1&gt;=AN$2, $K71/time_cap/(time+1)*AM$2, 0) = 0, $K71/(time_cap),0)),0)</f>
        <v/>
      </c>
      <c r="AN71" s="4395">
        <f>IFERROR(IF((time+time_cap)&lt;AN$2, 0,IF(AND(time+1&gt;=AO$2, $E71&lt;AO$2), IF($I71= "I", $J71/($F71-$E71+1), $J71/(($F71*($F71+1)/2)-(($E71-1)*($E71-1+1)/2))*AN$2), 0)+IF(IF(time+1&gt;=AO$2, $K71/time_cap/(time+1)*AN$2, 0) = 0, $K71/(time_cap),0)),0)</f>
        <v/>
      </c>
      <c r="AO71" s="4395">
        <f>IFERROR(IF((time+time_cap)&lt;AO$2, 0,IF(AND(time+1&gt;=AP$2, $E71&lt;AP$2), IF($I71= "I", $J71/($F71-$E71+1), $J71/(($F71*($F71+1)/2)-(($E71-1)*($E71-1+1)/2))*AO$2), 0)+IF(IF(time+1&gt;=AP$2, $K71/time_cap/(time+1)*AO$2, 0) = 0, $K71/(time_cap),0)),0)</f>
        <v/>
      </c>
      <c r="AP71" s="4395">
        <f>IFERROR(IF((time+time_cap)&lt;AP$2, 0,IF(AND(time+1&gt;=AQ$2, $E71&lt;AQ$2), IF($I71= "I", $J71/($F71-$E71+1), $J71/(($F71*($F71+1)/2)-(($E71-1)*($E71-1+1)/2))*AP$2), 0)+IF(IF(time+1&gt;=AQ$2, $K71/time_cap/(time+1)*AP$2, 0) = 0, $K71/(time_cap),0)),0)</f>
        <v/>
      </c>
      <c r="AQ71" s="4395">
        <f>IFERROR(IF((time+time_cap)&lt;AQ$2, 0,IF(AND(time+1&gt;=AR$2, $E71&lt;AR$2), IF($I71= "I", $J71/($F71-$E71+1), $J71/(($F71*($F71+1)/2)-(($E71-1)*($E71-1+1)/2))*AQ$2), 0)+IF(IF(time+1&gt;=AR$2, $K71/time_cap/(time+1)*AQ$2, 0) = 0, $K71/(time_cap),0)),0)</f>
        <v/>
      </c>
      <c r="AR71" s="4395">
        <f>IFERROR(IF((time+time_cap)&lt;AR$2, 0,IF(AND(time+1&gt;=AS$2, $E71&lt;AS$2), IF($I71= "I", $J71/($F71-$E71+1), $J71/(($F71*($F71+1)/2)-(($E71-1)*($E71-1+1)/2))*AR$2), 0)+IF(IF(time+1&gt;=AS$2, $K71/time_cap/(time+1)*AR$2, 0) = 0, $K71/(time_cap),0)),0)</f>
        <v/>
      </c>
      <c r="AS71" s="4395">
        <f>IFERROR(IF((time+time_cap)&lt;AS$2, 0,IF(AND(time+1&gt;=AT$2, $E71&lt;AT$2), IF($I71= "I", $J71/($F71-$E71+1), $J71/(($F71*($F71+1)/2)-(($E71-1)*($E71-1+1)/2))*AS$2), 0)+IF(IF(time+1&gt;=AT$2, $K71/time_cap/(time+1)*AS$2, 0) = 0, $K71/(time_cap),0)),0)</f>
        <v/>
      </c>
      <c r="AT71" s="4395">
        <f>IFERROR(IF((time+time_cap)&lt;AT$2, 0,IF(AND(time+1&gt;=AU$2, $E71&lt;AU$2), IF($I71= "I", $J71/($F71-$E71+1), $J71/(($F71*($F71+1)/2)-(($E71-1)*($E71-1+1)/2))*AT$2), 0)+IF(IF(time+1&gt;=AU$2, $K71/time_cap/(time+1)*AT$2, 0) = 0, $K71/(time_cap),0)),0)</f>
        <v/>
      </c>
      <c r="AU71" s="4395">
        <f>IFERROR(IF((time+time_cap)&lt;AU$2, 0,IF(AND(time+1&gt;=AV$2, $E71&lt;AV$2), IF($I71= "I", $J71/($F71-$E71+1), $J71/(($F71*($F71+1)/2)-(($E71-1)*($E71-1+1)/2))*AU$2), 0)+IF(IF(time+1&gt;=AV$2, $K71/time_cap/(time+1)*AU$2, 0) = 0, $K71/(time_cap),0)),0)</f>
        <v/>
      </c>
      <c r="AV71" s="4395">
        <f>IFERROR(IF((time+time_cap)&lt;AV$2, 0,IF(AND(time+1&gt;=AW$2, $E71&lt;AW$2), IF($I71= "I", $J71/($F71-$E71+1), $J71/(($F71*($F71+1)/2)-(($E71-1)*($E71-1+1)/2))*AV$2), 0)+IF(IF(time+1&gt;=AW$2, $K71/time_cap/(time+1)*AV$2, 0) = 0, $K71/(time_cap),0)),0)</f>
        <v/>
      </c>
      <c r="AW71" s="4395">
        <f>IFERROR(IF((time+time_cap)&lt;AW$2, 0,IF(AND(time+1&gt;=AX$2, $E71&lt;AX$2), IF($I71= "I", $J71/($F71-$E71+1), $J71/(($F71*($F71+1)/2)-(($E71-1)*($E71-1+1)/2))*AW$2), 0)+IF(IF(time+1&gt;=AX$2, $K71/time_cap/(time+1)*AW$2, 0) = 0, $K71/(time_cap),0)),0)</f>
        <v/>
      </c>
      <c r="AX71" s="4395">
        <f>IFERROR(IF((time+time_cap)&lt;AX$2, 0,IF(AND(time+1&gt;=AY$2, $E71&lt;AY$2), IF($I71= "I", $J71/($F71-$E71+1), $J71/(($F71*($F71+1)/2)-(($E71-1)*($E71-1+1)/2))*AX$2), 0)+IF(IF(time+1&gt;=AY$2, $K71/time_cap/(time+1)*AX$2, 0) = 0, $K71/(time_cap),0)),0)</f>
        <v/>
      </c>
      <c r="AY71" s="4395">
        <f>IFERROR(IF((time+time_cap)&lt;AY$2, 0,IF(AND(time+1&gt;=AZ$2, $E71&lt;AZ$2), IF($I71= "I", $J71/($F71-$E71+1), $J71/(($F71*($F71+1)/2)-(($E71-1)*($E71-1+1)/2))*AY$2), 0)+IF(IF(time+1&gt;=AZ$2, $K71/time_cap/(time+1)*AY$2, 0) = 0, $K71/(time_cap),0)),0)</f>
        <v/>
      </c>
      <c r="AZ71" s="4395">
        <f>IFERROR(IF((time+time_cap)&lt;AZ$2, 0,IF(AND(time+1&gt;=BA$2, $E71&lt;BA$2), IF($I71= "I", $J71/($F71-$E71+1), $J71/(($F71*($F71+1)/2)-(($E71-1)*($E71-1+1)/2))*AZ$2), 0)+IF(IF(time+1&gt;=BA$2, $K71/time_cap/(time+1)*AZ$2, 0) = 0, $K71/(time_cap),0)),0)</f>
        <v/>
      </c>
      <c r="BA71" s="4395">
        <f>IFERROR(IF((time+time_cap)&lt;BA$2, 0,IF(AND(time+1&gt;=BB$2, $E71&lt;BB$2), IF($I71= "I", $J71/($F71-$E71+1), $J71/(($F71*($F71+1)/2)-(($E71-1)*($E71-1+1)/2))*BA$2), 0)+IF(IF(time+1&gt;=BB$2, $K71/time_cap/(time+1)*BA$2, 0) = 0, $K71/(time_cap),0)),0)</f>
        <v/>
      </c>
      <c r="BB71" s="4395">
        <f>IFERROR(IF((time+time_cap)&lt;BB$2, 0,IF(AND(time+1&gt;=BC$2, $E71&lt;BC$2), IF($I71= "I", $J71/($F71-$E71+1), $J71/(($F71*($F71+1)/2)-(($E71-1)*($E71-1+1)/2))*BB$2), 0)+IF(IF(time+1&gt;=BC$2, $K71/time_cap/(time+1)*BB$2, 0) = 0, $K71/(time_cap),0)),0)</f>
        <v/>
      </c>
      <c r="BC71" s="4395">
        <f>IFERROR(IF((time+time_cap)&lt;BC$2, 0,IF(AND(time+1&gt;=BD$2, $E71&lt;BD$2), IF($I71= "I", $J71/($F71-$E71+1), $J71/(($F71*($F71+1)/2)-(($E71-1)*($E71-1+1)/2))*BC$2), 0)+IF(IF(time+1&gt;=BD$2, $K71/time_cap/(time+1)*BC$2, 0) = 0, $K71/(time_cap),0)),0)</f>
        <v/>
      </c>
      <c r="BD71" s="4395">
        <f>IFERROR(IF((time+time_cap)&lt;BD$2, 0,IF(AND(time+1&gt;=BE$2, $E71&lt;BE$2), IF($I71= "I", $J71/($F71-$E71+1), $J71/(($F71*($F71+1)/2)-(($E71-1)*($E71-1+1)/2))*BD$2), 0)+IF(IF(time+1&gt;=BE$2, $K71/time_cap/(time+1)*BD$2, 0) = 0, $K71/(time_cap),0)),0)</f>
        <v/>
      </c>
      <c r="BE71" s="4395">
        <f>IFERROR(IF((time+time_cap)&lt;BE$2, 0,IF(AND(time+1&gt;=BF$2, $E71&lt;BF$2), IF($I71= "I", $J71/($F71-$E71+1), $J71/(($F71*($F71+1)/2)-(($E71-1)*($E71-1+1)/2))*BE$2), 0)+IF(IF(time+1&gt;=BF$2, $K71/time_cap/(time+1)*BE$2, 0) = 0, $K71/(time_cap),0)),0)</f>
        <v/>
      </c>
      <c r="BF71" s="4395">
        <f>IFERROR(IF((time+time_cap)&lt;BF$2, 0,IF(AND(time+1&gt;=BG$2, $E71&lt;BG$2), IF($I71= "I", $J71/($F71-$E71+1), $J71/(($F71*($F71+1)/2)-(($E71-1)*($E71-1+1)/2))*BF$2), 0)+IF(IF(time+1&gt;=BG$2, $K71/time_cap/(time+1)*BF$2, 0) = 0, $K71/(time_cap),0)),0)</f>
        <v/>
      </c>
      <c r="BG71" s="4395">
        <f>IFERROR(IF((time+time_cap)&lt;BG$2, 0,IF(AND(time+1&gt;=BH$2, $E71&lt;BH$2), IF($I71= "I", $J71/($F71-$E71+1), $J71/(($F71*($F71+1)/2)-(($E71-1)*($E71-1+1)/2))*BG$2), 0)+IF(IF(time+1&gt;=BH$2, $K71/time_cap/(time+1)*BG$2, 0) = 0, $K71/(time_cap),0)),0)</f>
        <v/>
      </c>
      <c r="BH71" s="4395">
        <f>IFERROR(IF((time+time_cap)&lt;BH$2, 0,IF(AND(time+1&gt;=BI$2, $E71&lt;BI$2), IF($I71= "I", $J71/($F71-$E71+1), $J71/(($F71*($F71+1)/2)-(($E71-1)*($E71-1+1)/2))*BH$2), 0)+IF(IF(time+1&gt;=BI$2, $K71/time_cap/(time+1)*BH$2, 0) = 0, $K71/(time_cap),0)),0)</f>
        <v/>
      </c>
      <c r="BI71" s="4395">
        <f>IFERROR(IF((time+time_cap)&lt;BI$2, 0,IF(AND(time+1&gt;=BJ$2, $E71&lt;BJ$2), IF($I71= "I", $J71/($F71-$E71+1), $J71/(($F71*($F71+1)/2)-(($E71-1)*($E71-1+1)/2))*BI$2), 0)+IF(IF(time+1&gt;=BJ$2, $K71/time_cap/(time+1)*BI$2, 0) = 0, $K71/(time_cap),0)),0)</f>
        <v/>
      </c>
      <c r="BJ71" s="4395">
        <f>IFERROR(IF((time+time_cap)&lt;BJ$2, 0,IF(AND(time+1&gt;=BK$2, $E71&lt;BK$2), IF($I71= "I", $J71/($F71-$E71+1), $J71/(($F71*($F71+1)/2)-(($E71-1)*($E71-1+1)/2))*BJ$2), 0)+IF(IF(time+1&gt;=BK$2, $K71/time_cap/(time+1)*BJ$2, 0) = 0, $K71/(time_cap),0)),0)</f>
        <v/>
      </c>
      <c r="BK71" s="4395" t="n"/>
      <c r="BL71" s="4395" t="n"/>
      <c r="BM71" s="4395" t="n"/>
      <c r="BN71" s="4395" t="n"/>
      <c r="BO71" s="4395" t="n"/>
      <c r="BP71" s="4395" t="n"/>
      <c r="BQ71" s="4395" t="n"/>
      <c r="BR71" s="4395" t="n"/>
      <c r="BS71" s="4395" t="n"/>
      <c r="BT71" s="4395" t="n"/>
      <c r="BU71" s="4395" t="n"/>
      <c r="BV71" s="4395" t="n"/>
      <c r="BW71" s="4395" t="n"/>
      <c r="BX71" s="4395" t="n"/>
      <c r="BY71" s="4395" t="n"/>
      <c r="BZ71" s="4395" t="n"/>
      <c r="CA71" s="4395" t="n"/>
      <c r="CB71" s="4395" t="n"/>
      <c r="CC71" s="4395" t="n"/>
      <c r="CD71" s="4395" t="n"/>
      <c r="CE71" s="4395" t="n"/>
      <c r="CF71" s="4395" t="n"/>
      <c r="CG71" s="4395" t="n"/>
      <c r="CH71" s="4395" t="n"/>
      <c r="CI71" s="4395" t="n"/>
      <c r="CJ71" s="4395" t="n"/>
      <c r="CK71" s="4395" t="n"/>
      <c r="CL71" s="4395" t="n"/>
      <c r="CM71" s="4395" t="n"/>
      <c r="CN71" s="4395" t="n"/>
      <c r="CO71" s="4395" t="n"/>
      <c r="CP71" s="4395" t="n"/>
      <c r="CQ71" s="4395" t="n"/>
      <c r="CR71" s="4395" t="n"/>
      <c r="CS71" s="4395" t="n"/>
      <c r="CT71" s="4395" t="n"/>
      <c r="CU71" s="4395" t="n"/>
      <c r="CV71" s="4395" t="n"/>
      <c r="CW71" s="4395" t="n"/>
      <c r="CX71" s="4395" t="n"/>
      <c r="CY71" s="4395" t="n"/>
      <c r="CZ71" s="4395" t="n"/>
      <c r="DA71" s="4395" t="n"/>
      <c r="DB71" s="4395" t="n"/>
      <c r="DC71" s="4395" t="n"/>
      <c r="DD71" s="4395" t="n"/>
      <c r="DE71" s="4395" t="n"/>
      <c r="DF71" s="4395" t="n"/>
      <c r="DG71" s="4395" t="n"/>
      <c r="DH71" s="4395" t="n"/>
    </row>
    <row r="72" ht="16" customHeight="1">
      <c r="A72" t="inlineStr">
        <is>
          <t>Flooded rice</t>
        </is>
      </c>
      <c r="B72">
        <f>'3.Cropland'!C111</f>
        <v/>
      </c>
      <c r="C72">
        <f>'3.Cropland'!G111</f>
        <v/>
      </c>
      <c r="D72">
        <f>'3.Cropland'!Z111</f>
        <v/>
      </c>
      <c r="E72">
        <f>IF('3.Cropland'!BM111&lt;&gt;0,'3.Cropland'!BM111, '3.Cropland'!BL111)</f>
        <v/>
      </c>
      <c r="F72">
        <f>time</f>
        <v/>
      </c>
      <c r="G72" s="4395">
        <f>'3.Cropland'!S111</f>
        <v/>
      </c>
      <c r="H72" s="4395">
        <f>'3.Cropland'!U111</f>
        <v/>
      </c>
      <c r="I72" s="4395">
        <f>IF(OR(H72="I", G72="I"), "I", IF(OR(H72="E", G72="E"), "E", "D"))</f>
        <v/>
      </c>
      <c r="J72" s="4395">
        <f>((D72/(time_cap+((F72-E72+1)*VLOOKUP(I72,list!$I$48:$K$50,3, FALSE))))*(F72-E72+1)*VLOOKUP(I72,list!$I$48:$K$50,3, FALSE))</f>
        <v/>
      </c>
      <c r="K72" s="4395">
        <f>((D72/(time_cap+((F72-E72+1)*VLOOKUP(I72,list!$I$48:$K$50,3, FALSE))))*time_cap)</f>
        <v/>
      </c>
      <c r="M72" s="4395">
        <f>IFERROR(IF((time+time_cap)&lt;M$2, 0,IF(AND(time+1&gt;=N$2, $E72&lt;N$2), IF($I72= "I", $J72/($F72-$E72+1), $J72/(($F72*($F72+1)/2)-(($E72-1)*($E72-1+1)/2))*M$2), 0)+IF(IF(time+1&gt;=N$2, $K72/time_cap/(time+1)*M$2, 0) = 0, $K72/(time_cap),0)),0)</f>
        <v/>
      </c>
      <c r="N72" s="4395">
        <f>IFERROR(IF((time+time_cap)&lt;N$2, 0,IF(AND(time+1&gt;=O$2, $E72&lt;O$2), IF($I72= "I", $J72/($F72-$E72+1), $J72/(($F72*($F72+1)/2)-(($E72-1)*($E72-1+1)/2))*N$2), 0)+IF(IF(time+1&gt;=O$2, $K72/time_cap/(time+1)*N$2, 0) = 0, $K72/(time_cap),0)),0)</f>
        <v/>
      </c>
      <c r="O72" s="4395">
        <f>IFERROR(IF((time+time_cap)&lt;O$2, 0,IF(AND(time+1&gt;=P$2, $E72&lt;P$2), IF($I72= "I", $J72/($F72-$E72+1), $J72/(($F72*($F72+1)/2)-(($E72-1)*($E72-1+1)/2))*O$2), 0)+IF(IF(time+1&gt;=P$2, $K72/time_cap/(time+1)*O$2, 0) = 0, $K72/(time_cap),0)),0)</f>
        <v/>
      </c>
      <c r="P72" s="4395">
        <f>IFERROR(IF((time+time_cap)&lt;P$2, 0,IF(AND(time+1&gt;=Q$2, $E72&lt;Q$2), IF($I72= "I", $J72/($F72-$E72+1), $J72/(($F72*($F72+1)/2)-(($E72-1)*($E72-1+1)/2))*P$2), 0)+IF(IF(time+1&gt;=Q$2, $K72/time_cap/(time+1)*P$2, 0) = 0, $K72/(time_cap),0)),0)</f>
        <v/>
      </c>
      <c r="Q72" s="4395">
        <f>IFERROR(IF((time+time_cap)&lt;Q$2, 0,IF(AND(time+1&gt;=R$2, $E72&lt;R$2), IF($I72= "I", $J72/($F72-$E72+1), $J72/(($F72*($F72+1)/2)-(($E72-1)*($E72-1+1)/2))*Q$2), 0)+IF(IF(time+1&gt;=R$2, $K72/time_cap/(time+1)*Q$2, 0) = 0, $K72/(time_cap),0)),0)</f>
        <v/>
      </c>
      <c r="R72" s="4395">
        <f>IFERROR(IF((time+time_cap)&lt;R$2, 0,IF(AND(time+1&gt;=S$2, $E72&lt;S$2), IF($I72= "I", $J72/($F72-$E72+1), $J72/(($F72*($F72+1)/2)-(($E72-1)*($E72-1+1)/2))*R$2), 0)+IF(IF(time+1&gt;=S$2, $K72/time_cap/(time+1)*R$2, 0) = 0, $K72/(time_cap),0)),0)</f>
        <v/>
      </c>
      <c r="S72" s="4395">
        <f>IFERROR(IF((time+time_cap)&lt;S$2, 0,IF(AND(time+1&gt;=T$2, $E72&lt;T$2), IF($I72= "I", $J72/($F72-$E72+1), $J72/(($F72*($F72+1)/2)-(($E72-1)*($E72-1+1)/2))*S$2), 0)+IF(IF(time+1&gt;=T$2, $K72/time_cap/(time+1)*S$2, 0) = 0, $K72/(time_cap),0)),0)</f>
        <v/>
      </c>
      <c r="T72" s="4395">
        <f>IFERROR(IF((time+time_cap)&lt;T$2, 0,IF(AND(time+1&gt;=U$2, $E72&lt;U$2), IF($I72= "I", $J72/($F72-$E72+1), $J72/(($F72*($F72+1)/2)-(($E72-1)*($E72-1+1)/2))*T$2), 0)+IF(IF(time+1&gt;=U$2, $K72/time_cap/(time+1)*T$2, 0) = 0, $K72/(time_cap),0)),0)</f>
        <v/>
      </c>
      <c r="U72" s="4395">
        <f>IFERROR(IF((time+time_cap)&lt;U$2, 0,IF(AND(time+1&gt;=V$2, $E72&lt;V$2), IF($I72= "I", $J72/($F72-$E72+1), $J72/(($F72*($F72+1)/2)-(($E72-1)*($E72-1+1)/2))*U$2), 0)+IF(IF(time+1&gt;=V$2, $K72/time_cap/(time+1)*U$2, 0) = 0, $K72/(time_cap),0)),0)</f>
        <v/>
      </c>
      <c r="V72" s="4395">
        <f>IFERROR(IF((time+time_cap)&lt;V$2, 0,IF(AND(time+1&gt;=W$2, $E72&lt;W$2), IF($I72= "I", $J72/($F72-$E72+1), $J72/(($F72*($F72+1)/2)-(($E72-1)*($E72-1+1)/2))*V$2), 0)+IF(IF(time+1&gt;=W$2, $K72/time_cap/(time+1)*V$2, 0) = 0, $K72/(time_cap),0)),0)</f>
        <v/>
      </c>
      <c r="W72" s="4395">
        <f>IFERROR(IF((time+time_cap)&lt;W$2, 0,IF(AND(time+1&gt;=X$2, $E72&lt;X$2), IF($I72= "I", $J72/($F72-$E72+1), $J72/(($F72*($F72+1)/2)-(($E72-1)*($E72-1+1)/2))*W$2), 0)+IF(IF(time+1&gt;=X$2, $K72/time_cap/(time+1)*W$2, 0) = 0, $K72/(time_cap),0)),0)</f>
        <v/>
      </c>
      <c r="X72" s="4395">
        <f>IFERROR(IF((time+time_cap)&lt;X$2, 0,IF(AND(time+1&gt;=Y$2, $E72&lt;Y$2), IF($I72= "I", $J72/($F72-$E72+1), $J72/(($F72*($F72+1)/2)-(($E72-1)*($E72-1+1)/2))*X$2), 0)+IF(IF(time+1&gt;=Y$2, $K72/time_cap/(time+1)*X$2, 0) = 0, $K72/(time_cap),0)),0)</f>
        <v/>
      </c>
      <c r="Y72" s="4395">
        <f>IFERROR(IF((time+time_cap)&lt;Y$2, 0,IF(AND(time+1&gt;=Z$2, $E72&lt;Z$2), IF($I72= "I", $J72/($F72-$E72+1), $J72/(($F72*($F72+1)/2)-(($E72-1)*($E72-1+1)/2))*Y$2), 0)+IF(IF(time+1&gt;=Z$2, $K72/time_cap/(time+1)*Y$2, 0) = 0, $K72/(time_cap),0)),0)</f>
        <v/>
      </c>
      <c r="Z72" s="4395">
        <f>IFERROR(IF((time+time_cap)&lt;Z$2, 0,IF(AND(time+1&gt;=AA$2, $E72&lt;AA$2), IF($I72= "I", $J72/($F72-$E72+1), $J72/(($F72*($F72+1)/2)-(($E72-1)*($E72-1+1)/2))*Z$2), 0)+IF(IF(time+1&gt;=AA$2, $K72/time_cap/(time+1)*Z$2, 0) = 0, $K72/(time_cap),0)),0)</f>
        <v/>
      </c>
      <c r="AA72" s="4395">
        <f>IFERROR(IF((time+time_cap)&lt;AA$2, 0,IF(AND(time+1&gt;=AB$2, $E72&lt;AB$2), IF($I72= "I", $J72/($F72-$E72+1), $J72/(($F72*($F72+1)/2)-(($E72-1)*($E72-1+1)/2))*AA$2), 0)+IF(IF(time+1&gt;=AB$2, $K72/time_cap/(time+1)*AA$2, 0) = 0, $K72/(time_cap),0)),0)</f>
        <v/>
      </c>
      <c r="AB72" s="4395">
        <f>IFERROR(IF((time+time_cap)&lt;AB$2, 0,IF(AND(time+1&gt;=AC$2, $E72&lt;AC$2), IF($I72= "I", $J72/($F72-$E72+1), $J72/(($F72*($F72+1)/2)-(($E72-1)*($E72-1+1)/2))*AB$2), 0)+IF(IF(time+1&gt;=AC$2, $K72/time_cap/(time+1)*AB$2, 0) = 0, $K72/(time_cap),0)),0)</f>
        <v/>
      </c>
      <c r="AC72" s="4395">
        <f>IFERROR(IF((time+time_cap)&lt;AC$2, 0,IF(AND(time+1&gt;=AD$2, $E72&lt;AD$2), IF($I72= "I", $J72/($F72-$E72+1), $J72/(($F72*($F72+1)/2)-(($E72-1)*($E72-1+1)/2))*AC$2), 0)+IF(IF(time+1&gt;=AD$2, $K72/time_cap/(time+1)*AC$2, 0) = 0, $K72/(time_cap),0)),0)</f>
        <v/>
      </c>
      <c r="AD72" s="4395">
        <f>IFERROR(IF((time+time_cap)&lt;AD$2, 0,IF(AND(time+1&gt;=AE$2, $E72&lt;AE$2), IF($I72= "I", $J72/($F72-$E72+1), $J72/(($F72*($F72+1)/2)-(($E72-1)*($E72-1+1)/2))*AD$2), 0)+IF(IF(time+1&gt;=AE$2, $K72/time_cap/(time+1)*AD$2, 0) = 0, $K72/(time_cap),0)),0)</f>
        <v/>
      </c>
      <c r="AE72" s="4395">
        <f>IFERROR(IF((time+time_cap)&lt;AE$2, 0,IF(AND(time+1&gt;=AF$2, $E72&lt;AF$2), IF($I72= "I", $J72/($F72-$E72+1), $J72/(($F72*($F72+1)/2)-(($E72-1)*($E72-1+1)/2))*AE$2), 0)+IF(IF(time+1&gt;=AF$2, $K72/time_cap/(time+1)*AE$2, 0) = 0, $K72/(time_cap),0)),0)</f>
        <v/>
      </c>
      <c r="AF72" s="4395">
        <f>IFERROR(IF((time+time_cap)&lt;AF$2, 0,IF(AND(time+1&gt;=AG$2, $E72&lt;AG$2), IF($I72= "I", $J72/($F72-$E72+1), $J72/(($F72*($F72+1)/2)-(($E72-1)*($E72-1+1)/2))*AF$2), 0)+IF(IF(time+1&gt;=AG$2, $K72/time_cap/(time+1)*AF$2, 0) = 0, $K72/(time_cap),0)),0)</f>
        <v/>
      </c>
      <c r="AG72" s="4395">
        <f>IFERROR(IF((time+time_cap)&lt;AG$2, 0,IF(AND(time+1&gt;=AH$2, $E72&lt;AH$2), IF($I72= "I", $J72/($F72-$E72+1), $J72/(($F72*($F72+1)/2)-(($E72-1)*($E72-1+1)/2))*AG$2), 0)+IF(IF(time+1&gt;=AH$2, $K72/time_cap/(time+1)*AG$2, 0) = 0, $K72/(time_cap),0)),0)</f>
        <v/>
      </c>
      <c r="AH72" s="4395">
        <f>IFERROR(IF((time+time_cap)&lt;AH$2, 0,IF(AND(time+1&gt;=AI$2, $E72&lt;AI$2), IF($I72= "I", $J72/($F72-$E72+1), $J72/(($F72*($F72+1)/2)-(($E72-1)*($E72-1+1)/2))*AH$2), 0)+IF(IF(time+1&gt;=AI$2, $K72/time_cap/(time+1)*AH$2, 0) = 0, $K72/(time_cap),0)),0)</f>
        <v/>
      </c>
      <c r="AI72" s="4395">
        <f>IFERROR(IF((time+time_cap)&lt;AI$2, 0,IF(AND(time+1&gt;=AJ$2, $E72&lt;AJ$2), IF($I72= "I", $J72/($F72-$E72+1), $J72/(($F72*($F72+1)/2)-(($E72-1)*($E72-1+1)/2))*AI$2), 0)+IF(IF(time+1&gt;=AJ$2, $K72/time_cap/(time+1)*AI$2, 0) = 0, $K72/(time_cap),0)),0)</f>
        <v/>
      </c>
      <c r="AJ72" s="4395">
        <f>IFERROR(IF((time+time_cap)&lt;AJ$2, 0,IF(AND(time+1&gt;=AK$2, $E72&lt;AK$2), IF($I72= "I", $J72/($F72-$E72+1), $J72/(($F72*($F72+1)/2)-(($E72-1)*($E72-1+1)/2))*AJ$2), 0)+IF(IF(time+1&gt;=AK$2, $K72/time_cap/(time+1)*AJ$2, 0) = 0, $K72/(time_cap),0)),0)</f>
        <v/>
      </c>
      <c r="AK72" s="4395">
        <f>IFERROR(IF((time+time_cap)&lt;AK$2, 0,IF(AND(time+1&gt;=AL$2, $E72&lt;AL$2), IF($I72= "I", $J72/($F72-$E72+1), $J72/(($F72*($F72+1)/2)-(($E72-1)*($E72-1+1)/2))*AK$2), 0)+IF(IF(time+1&gt;=AL$2, $K72/time_cap/(time+1)*AK$2, 0) = 0, $K72/(time_cap),0)),0)</f>
        <v/>
      </c>
      <c r="AL72" s="4395">
        <f>IFERROR(IF((time+time_cap)&lt;AL$2, 0,IF(AND(time+1&gt;=AM$2, $E72&lt;AM$2), IF($I72= "I", $J72/($F72-$E72+1), $J72/(($F72*($F72+1)/2)-(($E72-1)*($E72-1+1)/2))*AL$2), 0)+IF(IF(time+1&gt;=AM$2, $K72/time_cap/(time+1)*AL$2, 0) = 0, $K72/(time_cap),0)),0)</f>
        <v/>
      </c>
      <c r="AM72" s="4395">
        <f>IFERROR(IF((time+time_cap)&lt;AM$2, 0,IF(AND(time+1&gt;=AN$2, $E72&lt;AN$2), IF($I72= "I", $J72/($F72-$E72+1), $J72/(($F72*($F72+1)/2)-(($E72-1)*($E72-1+1)/2))*AM$2), 0)+IF(IF(time+1&gt;=AN$2, $K72/time_cap/(time+1)*AM$2, 0) = 0, $K72/(time_cap),0)),0)</f>
        <v/>
      </c>
      <c r="AN72" s="4395">
        <f>IFERROR(IF((time+time_cap)&lt;AN$2, 0,IF(AND(time+1&gt;=AO$2, $E72&lt;AO$2), IF($I72= "I", $J72/($F72-$E72+1), $J72/(($F72*($F72+1)/2)-(($E72-1)*($E72-1+1)/2))*AN$2), 0)+IF(IF(time+1&gt;=AO$2, $K72/time_cap/(time+1)*AN$2, 0) = 0, $K72/(time_cap),0)),0)</f>
        <v/>
      </c>
      <c r="AO72" s="4395">
        <f>IFERROR(IF((time+time_cap)&lt;AO$2, 0,IF(AND(time+1&gt;=AP$2, $E72&lt;AP$2), IF($I72= "I", $J72/($F72-$E72+1), $J72/(($F72*($F72+1)/2)-(($E72-1)*($E72-1+1)/2))*AO$2), 0)+IF(IF(time+1&gt;=AP$2, $K72/time_cap/(time+1)*AO$2, 0) = 0, $K72/(time_cap),0)),0)</f>
        <v/>
      </c>
      <c r="AP72" s="4395">
        <f>IFERROR(IF((time+time_cap)&lt;AP$2, 0,IF(AND(time+1&gt;=AQ$2, $E72&lt;AQ$2), IF($I72= "I", $J72/($F72-$E72+1), $J72/(($F72*($F72+1)/2)-(($E72-1)*($E72-1+1)/2))*AP$2), 0)+IF(IF(time+1&gt;=AQ$2, $K72/time_cap/(time+1)*AP$2, 0) = 0, $K72/(time_cap),0)),0)</f>
        <v/>
      </c>
      <c r="AQ72" s="4395">
        <f>IFERROR(IF((time+time_cap)&lt;AQ$2, 0,IF(AND(time+1&gt;=AR$2, $E72&lt;AR$2), IF($I72= "I", $J72/($F72-$E72+1), $J72/(($F72*($F72+1)/2)-(($E72-1)*($E72-1+1)/2))*AQ$2), 0)+IF(IF(time+1&gt;=AR$2, $K72/time_cap/(time+1)*AQ$2, 0) = 0, $K72/(time_cap),0)),0)</f>
        <v/>
      </c>
      <c r="AR72" s="4395">
        <f>IFERROR(IF((time+time_cap)&lt;AR$2, 0,IF(AND(time+1&gt;=AS$2, $E72&lt;AS$2), IF($I72= "I", $J72/($F72-$E72+1), $J72/(($F72*($F72+1)/2)-(($E72-1)*($E72-1+1)/2))*AR$2), 0)+IF(IF(time+1&gt;=AS$2, $K72/time_cap/(time+1)*AR$2, 0) = 0, $K72/(time_cap),0)),0)</f>
        <v/>
      </c>
      <c r="AS72" s="4395">
        <f>IFERROR(IF((time+time_cap)&lt;AS$2, 0,IF(AND(time+1&gt;=AT$2, $E72&lt;AT$2), IF($I72= "I", $J72/($F72-$E72+1), $J72/(($F72*($F72+1)/2)-(($E72-1)*($E72-1+1)/2))*AS$2), 0)+IF(IF(time+1&gt;=AT$2, $K72/time_cap/(time+1)*AS$2, 0) = 0, $K72/(time_cap),0)),0)</f>
        <v/>
      </c>
      <c r="AT72" s="4395">
        <f>IFERROR(IF((time+time_cap)&lt;AT$2, 0,IF(AND(time+1&gt;=AU$2, $E72&lt;AU$2), IF($I72= "I", $J72/($F72-$E72+1), $J72/(($F72*($F72+1)/2)-(($E72-1)*($E72-1+1)/2))*AT$2), 0)+IF(IF(time+1&gt;=AU$2, $K72/time_cap/(time+1)*AT$2, 0) = 0, $K72/(time_cap),0)),0)</f>
        <v/>
      </c>
      <c r="AU72" s="4395">
        <f>IFERROR(IF((time+time_cap)&lt;AU$2, 0,IF(AND(time+1&gt;=AV$2, $E72&lt;AV$2), IF($I72= "I", $J72/($F72-$E72+1), $J72/(($F72*($F72+1)/2)-(($E72-1)*($E72-1+1)/2))*AU$2), 0)+IF(IF(time+1&gt;=AV$2, $K72/time_cap/(time+1)*AU$2, 0) = 0, $K72/(time_cap),0)),0)</f>
        <v/>
      </c>
      <c r="AV72" s="4395">
        <f>IFERROR(IF((time+time_cap)&lt;AV$2, 0,IF(AND(time+1&gt;=AW$2, $E72&lt;AW$2), IF($I72= "I", $J72/($F72-$E72+1), $J72/(($F72*($F72+1)/2)-(($E72-1)*($E72-1+1)/2))*AV$2), 0)+IF(IF(time+1&gt;=AW$2, $K72/time_cap/(time+1)*AV$2, 0) = 0, $K72/(time_cap),0)),0)</f>
        <v/>
      </c>
      <c r="AW72" s="4395">
        <f>IFERROR(IF((time+time_cap)&lt;AW$2, 0,IF(AND(time+1&gt;=AX$2, $E72&lt;AX$2), IF($I72= "I", $J72/($F72-$E72+1), $J72/(($F72*($F72+1)/2)-(($E72-1)*($E72-1+1)/2))*AW$2), 0)+IF(IF(time+1&gt;=AX$2, $K72/time_cap/(time+1)*AW$2, 0) = 0, $K72/(time_cap),0)),0)</f>
        <v/>
      </c>
      <c r="AX72" s="4395">
        <f>IFERROR(IF((time+time_cap)&lt;AX$2, 0,IF(AND(time+1&gt;=AY$2, $E72&lt;AY$2), IF($I72= "I", $J72/($F72-$E72+1), $J72/(($F72*($F72+1)/2)-(($E72-1)*($E72-1+1)/2))*AX$2), 0)+IF(IF(time+1&gt;=AY$2, $K72/time_cap/(time+1)*AX$2, 0) = 0, $K72/(time_cap),0)),0)</f>
        <v/>
      </c>
      <c r="AY72" s="4395">
        <f>IFERROR(IF((time+time_cap)&lt;AY$2, 0,IF(AND(time+1&gt;=AZ$2, $E72&lt;AZ$2), IF($I72= "I", $J72/($F72-$E72+1), $J72/(($F72*($F72+1)/2)-(($E72-1)*($E72-1+1)/2))*AY$2), 0)+IF(IF(time+1&gt;=AZ$2, $K72/time_cap/(time+1)*AY$2, 0) = 0, $K72/(time_cap),0)),0)</f>
        <v/>
      </c>
      <c r="AZ72" s="4395">
        <f>IFERROR(IF((time+time_cap)&lt;AZ$2, 0,IF(AND(time+1&gt;=BA$2, $E72&lt;BA$2), IF($I72= "I", $J72/($F72-$E72+1), $J72/(($F72*($F72+1)/2)-(($E72-1)*($E72-1+1)/2))*AZ$2), 0)+IF(IF(time+1&gt;=BA$2, $K72/time_cap/(time+1)*AZ$2, 0) = 0, $K72/(time_cap),0)),0)</f>
        <v/>
      </c>
      <c r="BA72" s="4395">
        <f>IFERROR(IF((time+time_cap)&lt;BA$2, 0,IF(AND(time+1&gt;=BB$2, $E72&lt;BB$2), IF($I72= "I", $J72/($F72-$E72+1), $J72/(($F72*($F72+1)/2)-(($E72-1)*($E72-1+1)/2))*BA$2), 0)+IF(IF(time+1&gt;=BB$2, $K72/time_cap/(time+1)*BA$2, 0) = 0, $K72/(time_cap),0)),0)</f>
        <v/>
      </c>
      <c r="BB72" s="4395">
        <f>IFERROR(IF((time+time_cap)&lt;BB$2, 0,IF(AND(time+1&gt;=BC$2, $E72&lt;BC$2), IF($I72= "I", $J72/($F72-$E72+1), $J72/(($F72*($F72+1)/2)-(($E72-1)*($E72-1+1)/2))*BB$2), 0)+IF(IF(time+1&gt;=BC$2, $K72/time_cap/(time+1)*BB$2, 0) = 0, $K72/(time_cap),0)),0)</f>
        <v/>
      </c>
      <c r="BC72" s="4395">
        <f>IFERROR(IF((time+time_cap)&lt;BC$2, 0,IF(AND(time+1&gt;=BD$2, $E72&lt;BD$2), IF($I72= "I", $J72/($F72-$E72+1), $J72/(($F72*($F72+1)/2)-(($E72-1)*($E72-1+1)/2))*BC$2), 0)+IF(IF(time+1&gt;=BD$2, $K72/time_cap/(time+1)*BC$2, 0) = 0, $K72/(time_cap),0)),0)</f>
        <v/>
      </c>
      <c r="BD72" s="4395">
        <f>IFERROR(IF((time+time_cap)&lt;BD$2, 0,IF(AND(time+1&gt;=BE$2, $E72&lt;BE$2), IF($I72= "I", $J72/($F72-$E72+1), $J72/(($F72*($F72+1)/2)-(($E72-1)*($E72-1+1)/2))*BD$2), 0)+IF(IF(time+1&gt;=BE$2, $K72/time_cap/(time+1)*BD$2, 0) = 0, $K72/(time_cap),0)),0)</f>
        <v/>
      </c>
      <c r="BE72" s="4395">
        <f>IFERROR(IF((time+time_cap)&lt;BE$2, 0,IF(AND(time+1&gt;=BF$2, $E72&lt;BF$2), IF($I72= "I", $J72/($F72-$E72+1), $J72/(($F72*($F72+1)/2)-(($E72-1)*($E72-1+1)/2))*BE$2), 0)+IF(IF(time+1&gt;=BF$2, $K72/time_cap/(time+1)*BE$2, 0) = 0, $K72/(time_cap),0)),0)</f>
        <v/>
      </c>
      <c r="BF72" s="4395">
        <f>IFERROR(IF((time+time_cap)&lt;BF$2, 0,IF(AND(time+1&gt;=BG$2, $E72&lt;BG$2), IF($I72= "I", $J72/($F72-$E72+1), $J72/(($F72*($F72+1)/2)-(($E72-1)*($E72-1+1)/2))*BF$2), 0)+IF(IF(time+1&gt;=BG$2, $K72/time_cap/(time+1)*BF$2, 0) = 0, $K72/(time_cap),0)),0)</f>
        <v/>
      </c>
      <c r="BG72" s="4395">
        <f>IFERROR(IF((time+time_cap)&lt;BG$2, 0,IF(AND(time+1&gt;=BH$2, $E72&lt;BH$2), IF($I72= "I", $J72/($F72-$E72+1), $J72/(($F72*($F72+1)/2)-(($E72-1)*($E72-1+1)/2))*BG$2), 0)+IF(IF(time+1&gt;=BH$2, $K72/time_cap/(time+1)*BG$2, 0) = 0, $K72/(time_cap),0)),0)</f>
        <v/>
      </c>
      <c r="BH72" s="4395">
        <f>IFERROR(IF((time+time_cap)&lt;BH$2, 0,IF(AND(time+1&gt;=BI$2, $E72&lt;BI$2), IF($I72= "I", $J72/($F72-$E72+1), $J72/(($F72*($F72+1)/2)-(($E72-1)*($E72-1+1)/2))*BH$2), 0)+IF(IF(time+1&gt;=BI$2, $K72/time_cap/(time+1)*BH$2, 0) = 0, $K72/(time_cap),0)),0)</f>
        <v/>
      </c>
      <c r="BI72" s="4395">
        <f>IFERROR(IF((time+time_cap)&lt;BI$2, 0,IF(AND(time+1&gt;=BJ$2, $E72&lt;BJ$2), IF($I72= "I", $J72/($F72-$E72+1), $J72/(($F72*($F72+1)/2)-(($E72-1)*($E72-1+1)/2))*BI$2), 0)+IF(IF(time+1&gt;=BJ$2, $K72/time_cap/(time+1)*BI$2, 0) = 0, $K72/(time_cap),0)),0)</f>
        <v/>
      </c>
      <c r="BJ72" s="4395">
        <f>IFERROR(IF((time+time_cap)&lt;BJ$2, 0,IF(AND(time+1&gt;=BK$2, $E72&lt;BK$2), IF($I72= "I", $J72/($F72-$E72+1), $J72/(($F72*($F72+1)/2)-(($E72-1)*($E72-1+1)/2))*BJ$2), 0)+IF(IF(time+1&gt;=BK$2, $K72/time_cap/(time+1)*BJ$2, 0) = 0, $K72/(time_cap),0)),0)</f>
        <v/>
      </c>
      <c r="BK72" s="4395" t="n"/>
      <c r="BL72" s="4395" t="n"/>
      <c r="BM72" s="4395" t="n"/>
      <c r="BN72" s="4395" t="n"/>
      <c r="BO72" s="4395" t="n"/>
      <c r="BP72" s="4395" t="n"/>
      <c r="BQ72" s="4395" t="n"/>
      <c r="BR72" s="4395" t="n"/>
      <c r="BS72" s="4395" t="n"/>
      <c r="BT72" s="4395" t="n"/>
      <c r="BU72" s="4395" t="n"/>
      <c r="BV72" s="4395" t="n"/>
      <c r="BW72" s="4395" t="n"/>
      <c r="BX72" s="4395" t="n"/>
      <c r="BY72" s="4395" t="n"/>
      <c r="BZ72" s="4395" t="n"/>
      <c r="CA72" s="4395" t="n"/>
      <c r="CB72" s="4395" t="n"/>
      <c r="CC72" s="4395" t="n"/>
      <c r="CD72" s="4395" t="n"/>
      <c r="CE72" s="4395" t="n"/>
      <c r="CF72" s="4395" t="n"/>
      <c r="CG72" s="4395" t="n"/>
      <c r="CH72" s="4395" t="n"/>
      <c r="CI72" s="4395" t="n"/>
      <c r="CJ72" s="4395" t="n"/>
      <c r="CK72" s="4395" t="n"/>
      <c r="CL72" s="4395" t="n"/>
      <c r="CM72" s="4395" t="n"/>
      <c r="CN72" s="4395" t="n"/>
      <c r="CO72" s="4395" t="n"/>
      <c r="CP72" s="4395" t="n"/>
      <c r="CQ72" s="4395" t="n"/>
      <c r="CR72" s="4395" t="n"/>
      <c r="CS72" s="4395" t="n"/>
      <c r="CT72" s="4395" t="n"/>
      <c r="CU72" s="4395" t="n"/>
      <c r="CV72" s="4395" t="n"/>
      <c r="CW72" s="4395" t="n"/>
      <c r="CX72" s="4395" t="n"/>
      <c r="CY72" s="4395" t="n"/>
      <c r="CZ72" s="4395" t="n"/>
      <c r="DA72" s="4395" t="n"/>
      <c r="DB72" s="4395" t="n"/>
      <c r="DC72" s="4395" t="n"/>
      <c r="DD72" s="4395" t="n"/>
      <c r="DE72" s="4395" t="n"/>
      <c r="DF72" s="4395" t="n"/>
      <c r="DG72" s="4395" t="n"/>
      <c r="DH72" s="4395" t="n"/>
    </row>
    <row r="73" ht="16" customHeight="1">
      <c r="A73" t="inlineStr">
        <is>
          <t>Flooded rice</t>
        </is>
      </c>
      <c r="B73">
        <f>'3.Cropland'!C112</f>
        <v/>
      </c>
      <c r="C73">
        <f>'3.Cropland'!G112</f>
        <v/>
      </c>
      <c r="D73">
        <f>'3.Cropland'!Z112</f>
        <v/>
      </c>
      <c r="E73">
        <f>IF('3.Cropland'!BM112&lt;&gt;0,'3.Cropland'!BM112, '3.Cropland'!BL112)</f>
        <v/>
      </c>
      <c r="F73">
        <f>time</f>
        <v/>
      </c>
      <c r="G73" s="4395">
        <f>'3.Cropland'!S112</f>
        <v/>
      </c>
      <c r="H73" s="4395">
        <f>'3.Cropland'!U112</f>
        <v/>
      </c>
      <c r="I73" s="4395">
        <f>IF(OR(H73="I", G73="I"), "I", IF(OR(H73="E", G73="E"), "E", "D"))</f>
        <v/>
      </c>
      <c r="J73" s="4395">
        <f>((D73/(time_cap+((F73-E73+1)*VLOOKUP(I73,list!$I$48:$K$50,3, FALSE))))*(F73-E73+1)*VLOOKUP(I73,list!$I$48:$K$50,3, FALSE))</f>
        <v/>
      </c>
      <c r="K73" s="4395">
        <f>((D73/(time_cap+((F73-E73+1)*VLOOKUP(I73,list!$I$48:$K$50,3, FALSE))))*time_cap)</f>
        <v/>
      </c>
      <c r="M73" s="4395">
        <f>IFERROR(IF((time+time_cap)&lt;M$2, 0,IF(AND(time+1&gt;=N$2, $E73&lt;N$2), IF($I73= "I", $J73/($F73-$E73+1), $J73/(($F73*($F73+1)/2)-(($E73-1)*($E73-1+1)/2))*M$2), 0)+IF(IF(time+1&gt;=N$2, $K73/time_cap/(time+1)*M$2, 0) = 0, $K73/(time_cap),0)),0)</f>
        <v/>
      </c>
      <c r="N73" s="4395">
        <f>IFERROR(IF((time+time_cap)&lt;N$2, 0,IF(AND(time+1&gt;=O$2, $E73&lt;O$2), IF($I73= "I", $J73/($F73-$E73+1), $J73/(($F73*($F73+1)/2)-(($E73-1)*($E73-1+1)/2))*N$2), 0)+IF(IF(time+1&gt;=O$2, $K73/time_cap/(time+1)*N$2, 0) = 0, $K73/(time_cap),0)),0)</f>
        <v/>
      </c>
      <c r="O73" s="4395">
        <f>IFERROR(IF((time+time_cap)&lt;O$2, 0,IF(AND(time+1&gt;=P$2, $E73&lt;P$2), IF($I73= "I", $J73/($F73-$E73+1), $J73/(($F73*($F73+1)/2)-(($E73-1)*($E73-1+1)/2))*O$2), 0)+IF(IF(time+1&gt;=P$2, $K73/time_cap/(time+1)*O$2, 0) = 0, $K73/(time_cap),0)),0)</f>
        <v/>
      </c>
      <c r="P73" s="4395">
        <f>IFERROR(IF((time+time_cap)&lt;P$2, 0,IF(AND(time+1&gt;=Q$2, $E73&lt;Q$2), IF($I73= "I", $J73/($F73-$E73+1), $J73/(($F73*($F73+1)/2)-(($E73-1)*($E73-1+1)/2))*P$2), 0)+IF(IF(time+1&gt;=Q$2, $K73/time_cap/(time+1)*P$2, 0) = 0, $K73/(time_cap),0)),0)</f>
        <v/>
      </c>
      <c r="Q73" s="4395">
        <f>IFERROR(IF((time+time_cap)&lt;Q$2, 0,IF(AND(time+1&gt;=R$2, $E73&lt;R$2), IF($I73= "I", $J73/($F73-$E73+1), $J73/(($F73*($F73+1)/2)-(($E73-1)*($E73-1+1)/2))*Q$2), 0)+IF(IF(time+1&gt;=R$2, $K73/time_cap/(time+1)*Q$2, 0) = 0, $K73/(time_cap),0)),0)</f>
        <v/>
      </c>
      <c r="R73" s="4395">
        <f>IFERROR(IF((time+time_cap)&lt;R$2, 0,IF(AND(time+1&gt;=S$2, $E73&lt;S$2), IF($I73= "I", $J73/($F73-$E73+1), $J73/(($F73*($F73+1)/2)-(($E73-1)*($E73-1+1)/2))*R$2), 0)+IF(IF(time+1&gt;=S$2, $K73/time_cap/(time+1)*R$2, 0) = 0, $K73/(time_cap),0)),0)</f>
        <v/>
      </c>
      <c r="S73" s="4395">
        <f>IFERROR(IF((time+time_cap)&lt;S$2, 0,IF(AND(time+1&gt;=T$2, $E73&lt;T$2), IF($I73= "I", $J73/($F73-$E73+1), $J73/(($F73*($F73+1)/2)-(($E73-1)*($E73-1+1)/2))*S$2), 0)+IF(IF(time+1&gt;=T$2, $K73/time_cap/(time+1)*S$2, 0) = 0, $K73/(time_cap),0)),0)</f>
        <v/>
      </c>
      <c r="T73" s="4395">
        <f>IFERROR(IF((time+time_cap)&lt;T$2, 0,IF(AND(time+1&gt;=U$2, $E73&lt;U$2), IF($I73= "I", $J73/($F73-$E73+1), $J73/(($F73*($F73+1)/2)-(($E73-1)*($E73-1+1)/2))*T$2), 0)+IF(IF(time+1&gt;=U$2, $K73/time_cap/(time+1)*T$2, 0) = 0, $K73/(time_cap),0)),0)</f>
        <v/>
      </c>
      <c r="U73" s="4395">
        <f>IFERROR(IF((time+time_cap)&lt;U$2, 0,IF(AND(time+1&gt;=V$2, $E73&lt;V$2), IF($I73= "I", $J73/($F73-$E73+1), $J73/(($F73*($F73+1)/2)-(($E73-1)*($E73-1+1)/2))*U$2), 0)+IF(IF(time+1&gt;=V$2, $K73/time_cap/(time+1)*U$2, 0) = 0, $K73/(time_cap),0)),0)</f>
        <v/>
      </c>
      <c r="V73" s="4395">
        <f>IFERROR(IF((time+time_cap)&lt;V$2, 0,IF(AND(time+1&gt;=W$2, $E73&lt;W$2), IF($I73= "I", $J73/($F73-$E73+1), $J73/(($F73*($F73+1)/2)-(($E73-1)*($E73-1+1)/2))*V$2), 0)+IF(IF(time+1&gt;=W$2, $K73/time_cap/(time+1)*V$2, 0) = 0, $K73/(time_cap),0)),0)</f>
        <v/>
      </c>
      <c r="W73" s="4395">
        <f>IFERROR(IF((time+time_cap)&lt;W$2, 0,IF(AND(time+1&gt;=X$2, $E73&lt;X$2), IF($I73= "I", $J73/($F73-$E73+1), $J73/(($F73*($F73+1)/2)-(($E73-1)*($E73-1+1)/2))*W$2), 0)+IF(IF(time+1&gt;=X$2, $K73/time_cap/(time+1)*W$2, 0) = 0, $K73/(time_cap),0)),0)</f>
        <v/>
      </c>
      <c r="X73" s="4395">
        <f>IFERROR(IF((time+time_cap)&lt;X$2, 0,IF(AND(time+1&gt;=Y$2, $E73&lt;Y$2), IF($I73= "I", $J73/($F73-$E73+1), $J73/(($F73*($F73+1)/2)-(($E73-1)*($E73-1+1)/2))*X$2), 0)+IF(IF(time+1&gt;=Y$2, $K73/time_cap/(time+1)*X$2, 0) = 0, $K73/(time_cap),0)),0)</f>
        <v/>
      </c>
      <c r="Y73" s="4395">
        <f>IFERROR(IF((time+time_cap)&lt;Y$2, 0,IF(AND(time+1&gt;=Z$2, $E73&lt;Z$2), IF($I73= "I", $J73/($F73-$E73+1), $J73/(($F73*($F73+1)/2)-(($E73-1)*($E73-1+1)/2))*Y$2), 0)+IF(IF(time+1&gt;=Z$2, $K73/time_cap/(time+1)*Y$2, 0) = 0, $K73/(time_cap),0)),0)</f>
        <v/>
      </c>
      <c r="Z73" s="4395">
        <f>IFERROR(IF((time+time_cap)&lt;Z$2, 0,IF(AND(time+1&gt;=AA$2, $E73&lt;AA$2), IF($I73= "I", $J73/($F73-$E73+1), $J73/(($F73*($F73+1)/2)-(($E73-1)*($E73-1+1)/2))*Z$2), 0)+IF(IF(time+1&gt;=AA$2, $K73/time_cap/(time+1)*Z$2, 0) = 0, $K73/(time_cap),0)),0)</f>
        <v/>
      </c>
      <c r="AA73" s="4395">
        <f>IFERROR(IF((time+time_cap)&lt;AA$2, 0,IF(AND(time+1&gt;=AB$2, $E73&lt;AB$2), IF($I73= "I", $J73/($F73-$E73+1), $J73/(($F73*($F73+1)/2)-(($E73-1)*($E73-1+1)/2))*AA$2), 0)+IF(IF(time+1&gt;=AB$2, $K73/time_cap/(time+1)*AA$2, 0) = 0, $K73/(time_cap),0)),0)</f>
        <v/>
      </c>
      <c r="AB73" s="4395">
        <f>IFERROR(IF((time+time_cap)&lt;AB$2, 0,IF(AND(time+1&gt;=AC$2, $E73&lt;AC$2), IF($I73= "I", $J73/($F73-$E73+1), $J73/(($F73*($F73+1)/2)-(($E73-1)*($E73-1+1)/2))*AB$2), 0)+IF(IF(time+1&gt;=AC$2, $K73/time_cap/(time+1)*AB$2, 0) = 0, $K73/(time_cap),0)),0)</f>
        <v/>
      </c>
      <c r="AC73" s="4395">
        <f>IFERROR(IF((time+time_cap)&lt;AC$2, 0,IF(AND(time+1&gt;=AD$2, $E73&lt;AD$2), IF($I73= "I", $J73/($F73-$E73+1), $J73/(($F73*($F73+1)/2)-(($E73-1)*($E73-1+1)/2))*AC$2), 0)+IF(IF(time+1&gt;=AD$2, $K73/time_cap/(time+1)*AC$2, 0) = 0, $K73/(time_cap),0)),0)</f>
        <v/>
      </c>
      <c r="AD73" s="4395">
        <f>IFERROR(IF((time+time_cap)&lt;AD$2, 0,IF(AND(time+1&gt;=AE$2, $E73&lt;AE$2), IF($I73= "I", $J73/($F73-$E73+1), $J73/(($F73*($F73+1)/2)-(($E73-1)*($E73-1+1)/2))*AD$2), 0)+IF(IF(time+1&gt;=AE$2, $K73/time_cap/(time+1)*AD$2, 0) = 0, $K73/(time_cap),0)),0)</f>
        <v/>
      </c>
      <c r="AE73" s="4395">
        <f>IFERROR(IF((time+time_cap)&lt;AE$2, 0,IF(AND(time+1&gt;=AF$2, $E73&lt;AF$2), IF($I73= "I", $J73/($F73-$E73+1), $J73/(($F73*($F73+1)/2)-(($E73-1)*($E73-1+1)/2))*AE$2), 0)+IF(IF(time+1&gt;=AF$2, $K73/time_cap/(time+1)*AE$2, 0) = 0, $K73/(time_cap),0)),0)</f>
        <v/>
      </c>
      <c r="AF73" s="4395">
        <f>IFERROR(IF((time+time_cap)&lt;AF$2, 0,IF(AND(time+1&gt;=AG$2, $E73&lt;AG$2), IF($I73= "I", $J73/($F73-$E73+1), $J73/(($F73*($F73+1)/2)-(($E73-1)*($E73-1+1)/2))*AF$2), 0)+IF(IF(time+1&gt;=AG$2, $K73/time_cap/(time+1)*AF$2, 0) = 0, $K73/(time_cap),0)),0)</f>
        <v/>
      </c>
      <c r="AG73" s="4395">
        <f>IFERROR(IF((time+time_cap)&lt;AG$2, 0,IF(AND(time+1&gt;=AH$2, $E73&lt;AH$2), IF($I73= "I", $J73/($F73-$E73+1), $J73/(($F73*($F73+1)/2)-(($E73-1)*($E73-1+1)/2))*AG$2), 0)+IF(IF(time+1&gt;=AH$2, $K73/time_cap/(time+1)*AG$2, 0) = 0, $K73/(time_cap),0)),0)</f>
        <v/>
      </c>
      <c r="AH73" s="4395">
        <f>IFERROR(IF((time+time_cap)&lt;AH$2, 0,IF(AND(time+1&gt;=AI$2, $E73&lt;AI$2), IF($I73= "I", $J73/($F73-$E73+1), $J73/(($F73*($F73+1)/2)-(($E73-1)*($E73-1+1)/2))*AH$2), 0)+IF(IF(time+1&gt;=AI$2, $K73/time_cap/(time+1)*AH$2, 0) = 0, $K73/(time_cap),0)),0)</f>
        <v/>
      </c>
      <c r="AI73" s="4395">
        <f>IFERROR(IF((time+time_cap)&lt;AI$2, 0,IF(AND(time+1&gt;=AJ$2, $E73&lt;AJ$2), IF($I73= "I", $J73/($F73-$E73+1), $J73/(($F73*($F73+1)/2)-(($E73-1)*($E73-1+1)/2))*AI$2), 0)+IF(IF(time+1&gt;=AJ$2, $K73/time_cap/(time+1)*AI$2, 0) = 0, $K73/(time_cap),0)),0)</f>
        <v/>
      </c>
      <c r="AJ73" s="4395">
        <f>IFERROR(IF((time+time_cap)&lt;AJ$2, 0,IF(AND(time+1&gt;=AK$2, $E73&lt;AK$2), IF($I73= "I", $J73/($F73-$E73+1), $J73/(($F73*($F73+1)/2)-(($E73-1)*($E73-1+1)/2))*AJ$2), 0)+IF(IF(time+1&gt;=AK$2, $K73/time_cap/(time+1)*AJ$2, 0) = 0, $K73/(time_cap),0)),0)</f>
        <v/>
      </c>
      <c r="AK73" s="4395">
        <f>IFERROR(IF((time+time_cap)&lt;AK$2, 0,IF(AND(time+1&gt;=AL$2, $E73&lt;AL$2), IF($I73= "I", $J73/($F73-$E73+1), $J73/(($F73*($F73+1)/2)-(($E73-1)*($E73-1+1)/2))*AK$2), 0)+IF(IF(time+1&gt;=AL$2, $K73/time_cap/(time+1)*AK$2, 0) = 0, $K73/(time_cap),0)),0)</f>
        <v/>
      </c>
      <c r="AL73" s="4395">
        <f>IFERROR(IF((time+time_cap)&lt;AL$2, 0,IF(AND(time+1&gt;=AM$2, $E73&lt;AM$2), IF($I73= "I", $J73/($F73-$E73+1), $J73/(($F73*($F73+1)/2)-(($E73-1)*($E73-1+1)/2))*AL$2), 0)+IF(IF(time+1&gt;=AM$2, $K73/time_cap/(time+1)*AL$2, 0) = 0, $K73/(time_cap),0)),0)</f>
        <v/>
      </c>
      <c r="AM73" s="4395">
        <f>IFERROR(IF((time+time_cap)&lt;AM$2, 0,IF(AND(time+1&gt;=AN$2, $E73&lt;AN$2), IF($I73= "I", $J73/($F73-$E73+1), $J73/(($F73*($F73+1)/2)-(($E73-1)*($E73-1+1)/2))*AM$2), 0)+IF(IF(time+1&gt;=AN$2, $K73/time_cap/(time+1)*AM$2, 0) = 0, $K73/(time_cap),0)),0)</f>
        <v/>
      </c>
      <c r="AN73" s="4395">
        <f>IFERROR(IF((time+time_cap)&lt;AN$2, 0,IF(AND(time+1&gt;=AO$2, $E73&lt;AO$2), IF($I73= "I", $J73/($F73-$E73+1), $J73/(($F73*($F73+1)/2)-(($E73-1)*($E73-1+1)/2))*AN$2), 0)+IF(IF(time+1&gt;=AO$2, $K73/time_cap/(time+1)*AN$2, 0) = 0, $K73/(time_cap),0)),0)</f>
        <v/>
      </c>
      <c r="AO73" s="4395">
        <f>IFERROR(IF((time+time_cap)&lt;AO$2, 0,IF(AND(time+1&gt;=AP$2, $E73&lt;AP$2), IF($I73= "I", $J73/($F73-$E73+1), $J73/(($F73*($F73+1)/2)-(($E73-1)*($E73-1+1)/2))*AO$2), 0)+IF(IF(time+1&gt;=AP$2, $K73/time_cap/(time+1)*AO$2, 0) = 0, $K73/(time_cap),0)),0)</f>
        <v/>
      </c>
      <c r="AP73" s="4395">
        <f>IFERROR(IF((time+time_cap)&lt;AP$2, 0,IF(AND(time+1&gt;=AQ$2, $E73&lt;AQ$2), IF($I73= "I", $J73/($F73-$E73+1), $J73/(($F73*($F73+1)/2)-(($E73-1)*($E73-1+1)/2))*AP$2), 0)+IF(IF(time+1&gt;=AQ$2, $K73/time_cap/(time+1)*AP$2, 0) = 0, $K73/(time_cap),0)),0)</f>
        <v/>
      </c>
      <c r="AQ73" s="4395">
        <f>IFERROR(IF((time+time_cap)&lt;AQ$2, 0,IF(AND(time+1&gt;=AR$2, $E73&lt;AR$2), IF($I73= "I", $J73/($F73-$E73+1), $J73/(($F73*($F73+1)/2)-(($E73-1)*($E73-1+1)/2))*AQ$2), 0)+IF(IF(time+1&gt;=AR$2, $K73/time_cap/(time+1)*AQ$2, 0) = 0, $K73/(time_cap),0)),0)</f>
        <v/>
      </c>
      <c r="AR73" s="4395">
        <f>IFERROR(IF((time+time_cap)&lt;AR$2, 0,IF(AND(time+1&gt;=AS$2, $E73&lt;AS$2), IF($I73= "I", $J73/($F73-$E73+1), $J73/(($F73*($F73+1)/2)-(($E73-1)*($E73-1+1)/2))*AR$2), 0)+IF(IF(time+1&gt;=AS$2, $K73/time_cap/(time+1)*AR$2, 0) = 0, $K73/(time_cap),0)),0)</f>
        <v/>
      </c>
      <c r="AS73" s="4395">
        <f>IFERROR(IF((time+time_cap)&lt;AS$2, 0,IF(AND(time+1&gt;=AT$2, $E73&lt;AT$2), IF($I73= "I", $J73/($F73-$E73+1), $J73/(($F73*($F73+1)/2)-(($E73-1)*($E73-1+1)/2))*AS$2), 0)+IF(IF(time+1&gt;=AT$2, $K73/time_cap/(time+1)*AS$2, 0) = 0, $K73/(time_cap),0)),0)</f>
        <v/>
      </c>
      <c r="AT73" s="4395">
        <f>IFERROR(IF((time+time_cap)&lt;AT$2, 0,IF(AND(time+1&gt;=AU$2, $E73&lt;AU$2), IF($I73= "I", $J73/($F73-$E73+1), $J73/(($F73*($F73+1)/2)-(($E73-1)*($E73-1+1)/2))*AT$2), 0)+IF(IF(time+1&gt;=AU$2, $K73/time_cap/(time+1)*AT$2, 0) = 0, $K73/(time_cap),0)),0)</f>
        <v/>
      </c>
      <c r="AU73" s="4395">
        <f>IFERROR(IF((time+time_cap)&lt;AU$2, 0,IF(AND(time+1&gt;=AV$2, $E73&lt;AV$2), IF($I73= "I", $J73/($F73-$E73+1), $J73/(($F73*($F73+1)/2)-(($E73-1)*($E73-1+1)/2))*AU$2), 0)+IF(IF(time+1&gt;=AV$2, $K73/time_cap/(time+1)*AU$2, 0) = 0, $K73/(time_cap),0)),0)</f>
        <v/>
      </c>
      <c r="AV73" s="4395">
        <f>IFERROR(IF((time+time_cap)&lt;AV$2, 0,IF(AND(time+1&gt;=AW$2, $E73&lt;AW$2), IF($I73= "I", $J73/($F73-$E73+1), $J73/(($F73*($F73+1)/2)-(($E73-1)*($E73-1+1)/2))*AV$2), 0)+IF(IF(time+1&gt;=AW$2, $K73/time_cap/(time+1)*AV$2, 0) = 0, $K73/(time_cap),0)),0)</f>
        <v/>
      </c>
      <c r="AW73" s="4395">
        <f>IFERROR(IF((time+time_cap)&lt;AW$2, 0,IF(AND(time+1&gt;=AX$2, $E73&lt;AX$2), IF($I73= "I", $J73/($F73-$E73+1), $J73/(($F73*($F73+1)/2)-(($E73-1)*($E73-1+1)/2))*AW$2), 0)+IF(IF(time+1&gt;=AX$2, $K73/time_cap/(time+1)*AW$2, 0) = 0, $K73/(time_cap),0)),0)</f>
        <v/>
      </c>
      <c r="AX73" s="4395">
        <f>IFERROR(IF((time+time_cap)&lt;AX$2, 0,IF(AND(time+1&gt;=AY$2, $E73&lt;AY$2), IF($I73= "I", $J73/($F73-$E73+1), $J73/(($F73*($F73+1)/2)-(($E73-1)*($E73-1+1)/2))*AX$2), 0)+IF(IF(time+1&gt;=AY$2, $K73/time_cap/(time+1)*AX$2, 0) = 0, $K73/(time_cap),0)),0)</f>
        <v/>
      </c>
      <c r="AY73" s="4395">
        <f>IFERROR(IF((time+time_cap)&lt;AY$2, 0,IF(AND(time+1&gt;=AZ$2, $E73&lt;AZ$2), IF($I73= "I", $J73/($F73-$E73+1), $J73/(($F73*($F73+1)/2)-(($E73-1)*($E73-1+1)/2))*AY$2), 0)+IF(IF(time+1&gt;=AZ$2, $K73/time_cap/(time+1)*AY$2, 0) = 0, $K73/(time_cap),0)),0)</f>
        <v/>
      </c>
      <c r="AZ73" s="4395">
        <f>IFERROR(IF((time+time_cap)&lt;AZ$2, 0,IF(AND(time+1&gt;=BA$2, $E73&lt;BA$2), IF($I73= "I", $J73/($F73-$E73+1), $J73/(($F73*($F73+1)/2)-(($E73-1)*($E73-1+1)/2))*AZ$2), 0)+IF(IF(time+1&gt;=BA$2, $K73/time_cap/(time+1)*AZ$2, 0) = 0, $K73/(time_cap),0)),0)</f>
        <v/>
      </c>
      <c r="BA73" s="4395">
        <f>IFERROR(IF((time+time_cap)&lt;BA$2, 0,IF(AND(time+1&gt;=BB$2, $E73&lt;BB$2), IF($I73= "I", $J73/($F73-$E73+1), $J73/(($F73*($F73+1)/2)-(($E73-1)*($E73-1+1)/2))*BA$2), 0)+IF(IF(time+1&gt;=BB$2, $K73/time_cap/(time+1)*BA$2, 0) = 0, $K73/(time_cap),0)),0)</f>
        <v/>
      </c>
      <c r="BB73" s="4395">
        <f>IFERROR(IF((time+time_cap)&lt;BB$2, 0,IF(AND(time+1&gt;=BC$2, $E73&lt;BC$2), IF($I73= "I", $J73/($F73-$E73+1), $J73/(($F73*($F73+1)/2)-(($E73-1)*($E73-1+1)/2))*BB$2), 0)+IF(IF(time+1&gt;=BC$2, $K73/time_cap/(time+1)*BB$2, 0) = 0, $K73/(time_cap),0)),0)</f>
        <v/>
      </c>
      <c r="BC73" s="4395">
        <f>IFERROR(IF((time+time_cap)&lt;BC$2, 0,IF(AND(time+1&gt;=BD$2, $E73&lt;BD$2), IF($I73= "I", $J73/($F73-$E73+1), $J73/(($F73*($F73+1)/2)-(($E73-1)*($E73-1+1)/2))*BC$2), 0)+IF(IF(time+1&gt;=BD$2, $K73/time_cap/(time+1)*BC$2, 0) = 0, $K73/(time_cap),0)),0)</f>
        <v/>
      </c>
      <c r="BD73" s="4395">
        <f>IFERROR(IF((time+time_cap)&lt;BD$2, 0,IF(AND(time+1&gt;=BE$2, $E73&lt;BE$2), IF($I73= "I", $J73/($F73-$E73+1), $J73/(($F73*($F73+1)/2)-(($E73-1)*($E73-1+1)/2))*BD$2), 0)+IF(IF(time+1&gt;=BE$2, $K73/time_cap/(time+1)*BD$2, 0) = 0, $K73/(time_cap),0)),0)</f>
        <v/>
      </c>
      <c r="BE73" s="4395">
        <f>IFERROR(IF((time+time_cap)&lt;BE$2, 0,IF(AND(time+1&gt;=BF$2, $E73&lt;BF$2), IF($I73= "I", $J73/($F73-$E73+1), $J73/(($F73*($F73+1)/2)-(($E73-1)*($E73-1+1)/2))*BE$2), 0)+IF(IF(time+1&gt;=BF$2, $K73/time_cap/(time+1)*BE$2, 0) = 0, $K73/(time_cap),0)),0)</f>
        <v/>
      </c>
      <c r="BF73" s="4395">
        <f>IFERROR(IF((time+time_cap)&lt;BF$2, 0,IF(AND(time+1&gt;=BG$2, $E73&lt;BG$2), IF($I73= "I", $J73/($F73-$E73+1), $J73/(($F73*($F73+1)/2)-(($E73-1)*($E73-1+1)/2))*BF$2), 0)+IF(IF(time+1&gt;=BG$2, $K73/time_cap/(time+1)*BF$2, 0) = 0, $K73/(time_cap),0)),0)</f>
        <v/>
      </c>
      <c r="BG73" s="4395">
        <f>IFERROR(IF((time+time_cap)&lt;BG$2, 0,IF(AND(time+1&gt;=BH$2, $E73&lt;BH$2), IF($I73= "I", $J73/($F73-$E73+1), $J73/(($F73*($F73+1)/2)-(($E73-1)*($E73-1+1)/2))*BG$2), 0)+IF(IF(time+1&gt;=BH$2, $K73/time_cap/(time+1)*BG$2, 0) = 0, $K73/(time_cap),0)),0)</f>
        <v/>
      </c>
      <c r="BH73" s="4395">
        <f>IFERROR(IF((time+time_cap)&lt;BH$2, 0,IF(AND(time+1&gt;=BI$2, $E73&lt;BI$2), IF($I73= "I", $J73/($F73-$E73+1), $J73/(($F73*($F73+1)/2)-(($E73-1)*($E73-1+1)/2))*BH$2), 0)+IF(IF(time+1&gt;=BI$2, $K73/time_cap/(time+1)*BH$2, 0) = 0, $K73/(time_cap),0)),0)</f>
        <v/>
      </c>
      <c r="BI73" s="4395">
        <f>IFERROR(IF((time+time_cap)&lt;BI$2, 0,IF(AND(time+1&gt;=BJ$2, $E73&lt;BJ$2), IF($I73= "I", $J73/($F73-$E73+1), $J73/(($F73*($F73+1)/2)-(($E73-1)*($E73-1+1)/2))*BI$2), 0)+IF(IF(time+1&gt;=BJ$2, $K73/time_cap/(time+1)*BI$2, 0) = 0, $K73/(time_cap),0)),0)</f>
        <v/>
      </c>
      <c r="BJ73" s="4395">
        <f>IFERROR(IF((time+time_cap)&lt;BJ$2, 0,IF(AND(time+1&gt;=BK$2, $E73&lt;BK$2), IF($I73= "I", $J73/($F73-$E73+1), $J73/(($F73*($F73+1)/2)-(($E73-1)*($E73-1+1)/2))*BJ$2), 0)+IF(IF(time+1&gt;=BK$2, $K73/time_cap/(time+1)*BJ$2, 0) = 0, $K73/(time_cap),0)),0)</f>
        <v/>
      </c>
      <c r="BK73" s="4395" t="n"/>
      <c r="BL73" s="4395" t="n"/>
      <c r="BM73" s="4395" t="n"/>
      <c r="BN73" s="4395" t="n"/>
      <c r="BO73" s="4395" t="n"/>
      <c r="BP73" s="4395" t="n"/>
      <c r="BQ73" s="4395" t="n"/>
      <c r="BR73" s="4395" t="n"/>
      <c r="BS73" s="4395" t="n"/>
      <c r="BT73" s="4395" t="n"/>
      <c r="BU73" s="4395" t="n"/>
      <c r="BV73" s="4395" t="n"/>
      <c r="BW73" s="4395" t="n"/>
      <c r="BX73" s="4395" t="n"/>
      <c r="BY73" s="4395" t="n"/>
      <c r="BZ73" s="4395" t="n"/>
      <c r="CA73" s="4395" t="n"/>
      <c r="CB73" s="4395" t="n"/>
      <c r="CC73" s="4395" t="n"/>
      <c r="CD73" s="4395" t="n"/>
      <c r="CE73" s="4395" t="n"/>
      <c r="CF73" s="4395" t="n"/>
      <c r="CG73" s="4395" t="n"/>
      <c r="CH73" s="4395" t="n"/>
      <c r="CI73" s="4395" t="n"/>
      <c r="CJ73" s="4395" t="n"/>
      <c r="CK73" s="4395" t="n"/>
      <c r="CL73" s="4395" t="n"/>
      <c r="CM73" s="4395" t="n"/>
      <c r="CN73" s="4395" t="n"/>
      <c r="CO73" s="4395" t="n"/>
      <c r="CP73" s="4395" t="n"/>
      <c r="CQ73" s="4395" t="n"/>
      <c r="CR73" s="4395" t="n"/>
      <c r="CS73" s="4395" t="n"/>
      <c r="CT73" s="4395" t="n"/>
      <c r="CU73" s="4395" t="n"/>
      <c r="CV73" s="4395" t="n"/>
      <c r="CW73" s="4395" t="n"/>
      <c r="CX73" s="4395" t="n"/>
      <c r="CY73" s="4395" t="n"/>
      <c r="CZ73" s="4395" t="n"/>
      <c r="DA73" s="4395" t="n"/>
      <c r="DB73" s="4395" t="n"/>
      <c r="DC73" s="4395" t="n"/>
      <c r="DD73" s="4395" t="n"/>
      <c r="DE73" s="4395" t="n"/>
      <c r="DF73" s="4395" t="n"/>
      <c r="DG73" s="4395" t="n"/>
      <c r="DH73" s="4395" t="n"/>
    </row>
    <row r="74" ht="16" customHeight="1">
      <c r="A74" t="inlineStr">
        <is>
          <t>Flooded rice</t>
        </is>
      </c>
      <c r="B74">
        <f>'3.Cropland'!C113</f>
        <v/>
      </c>
      <c r="C74">
        <f>'3.Cropland'!G113</f>
        <v/>
      </c>
      <c r="D74">
        <f>'3.Cropland'!Z113</f>
        <v/>
      </c>
      <c r="E74">
        <f>IF('3.Cropland'!BM113&lt;&gt;0,'3.Cropland'!BM113, '3.Cropland'!BL113)</f>
        <v/>
      </c>
      <c r="F74">
        <f>time</f>
        <v/>
      </c>
      <c r="G74" s="4395">
        <f>'3.Cropland'!S113</f>
        <v/>
      </c>
      <c r="H74" s="4395">
        <f>'3.Cropland'!U113</f>
        <v/>
      </c>
      <c r="I74" s="4395">
        <f>IF(OR(H74="I", G74="I"), "I", IF(OR(H74="E", G74="E"), "E", "D"))</f>
        <v/>
      </c>
      <c r="J74" s="4395">
        <f>((D74/(time_cap+((F74-E74+1)*VLOOKUP(I74,list!$I$48:$K$50,3, FALSE))))*(F74-E74+1)*VLOOKUP(I74,list!$I$48:$K$50,3, FALSE))</f>
        <v/>
      </c>
      <c r="K74" s="4395">
        <f>((D74/(time_cap+((F74-E74+1)*VLOOKUP(I74,list!$I$48:$K$50,3, FALSE))))*time_cap)</f>
        <v/>
      </c>
      <c r="M74" s="4395">
        <f>IFERROR(IF((time+time_cap)&lt;M$2, 0,IF(AND(time+1&gt;=N$2, $E74&lt;N$2), IF($I74= "I", $J74/($F74-$E74+1), $J74/(($F74*($F74+1)/2)-(($E74-1)*($E74-1+1)/2))*M$2), 0)+IF(IF(time+1&gt;=N$2, $K74/time_cap/(time+1)*M$2, 0) = 0, $K74/(time_cap),0)),0)</f>
        <v/>
      </c>
      <c r="N74" s="4395">
        <f>IFERROR(IF((time+time_cap)&lt;N$2, 0,IF(AND(time+1&gt;=O$2, $E74&lt;O$2), IF($I74= "I", $J74/($F74-$E74+1), $J74/(($F74*($F74+1)/2)-(($E74-1)*($E74-1+1)/2))*N$2), 0)+IF(IF(time+1&gt;=O$2, $K74/time_cap/(time+1)*N$2, 0) = 0, $K74/(time_cap),0)),0)</f>
        <v/>
      </c>
      <c r="O74" s="4395">
        <f>IFERROR(IF((time+time_cap)&lt;O$2, 0,IF(AND(time+1&gt;=P$2, $E74&lt;P$2), IF($I74= "I", $J74/($F74-$E74+1), $J74/(($F74*($F74+1)/2)-(($E74-1)*($E74-1+1)/2))*O$2), 0)+IF(IF(time+1&gt;=P$2, $K74/time_cap/(time+1)*O$2, 0) = 0, $K74/(time_cap),0)),0)</f>
        <v/>
      </c>
      <c r="P74" s="4395">
        <f>IFERROR(IF((time+time_cap)&lt;P$2, 0,IF(AND(time+1&gt;=Q$2, $E74&lt;Q$2), IF($I74= "I", $J74/($F74-$E74+1), $J74/(($F74*($F74+1)/2)-(($E74-1)*($E74-1+1)/2))*P$2), 0)+IF(IF(time+1&gt;=Q$2, $K74/time_cap/(time+1)*P$2, 0) = 0, $K74/(time_cap),0)),0)</f>
        <v/>
      </c>
      <c r="Q74" s="4395">
        <f>IFERROR(IF((time+time_cap)&lt;Q$2, 0,IF(AND(time+1&gt;=R$2, $E74&lt;R$2), IF($I74= "I", $J74/($F74-$E74+1), $J74/(($F74*($F74+1)/2)-(($E74-1)*($E74-1+1)/2))*Q$2), 0)+IF(IF(time+1&gt;=R$2, $K74/time_cap/(time+1)*Q$2, 0) = 0, $K74/(time_cap),0)),0)</f>
        <v/>
      </c>
      <c r="R74" s="4395">
        <f>IFERROR(IF((time+time_cap)&lt;R$2, 0,IF(AND(time+1&gt;=S$2, $E74&lt;S$2), IF($I74= "I", $J74/($F74-$E74+1), $J74/(($F74*($F74+1)/2)-(($E74-1)*($E74-1+1)/2))*R$2), 0)+IF(IF(time+1&gt;=S$2, $K74/time_cap/(time+1)*R$2, 0) = 0, $K74/(time_cap),0)),0)</f>
        <v/>
      </c>
      <c r="S74" s="4395">
        <f>IFERROR(IF((time+time_cap)&lt;S$2, 0,IF(AND(time+1&gt;=T$2, $E74&lt;T$2), IF($I74= "I", $J74/($F74-$E74+1), $J74/(($F74*($F74+1)/2)-(($E74-1)*($E74-1+1)/2))*S$2), 0)+IF(IF(time+1&gt;=T$2, $K74/time_cap/(time+1)*S$2, 0) = 0, $K74/(time_cap),0)),0)</f>
        <v/>
      </c>
      <c r="T74" s="4395">
        <f>IFERROR(IF((time+time_cap)&lt;T$2, 0,IF(AND(time+1&gt;=U$2, $E74&lt;U$2), IF($I74= "I", $J74/($F74-$E74+1), $J74/(($F74*($F74+1)/2)-(($E74-1)*($E74-1+1)/2))*T$2), 0)+IF(IF(time+1&gt;=U$2, $K74/time_cap/(time+1)*T$2, 0) = 0, $K74/(time_cap),0)),0)</f>
        <v/>
      </c>
      <c r="U74" s="4395">
        <f>IFERROR(IF((time+time_cap)&lt;U$2, 0,IF(AND(time+1&gt;=V$2, $E74&lt;V$2), IF($I74= "I", $J74/($F74-$E74+1), $J74/(($F74*($F74+1)/2)-(($E74-1)*($E74-1+1)/2))*U$2), 0)+IF(IF(time+1&gt;=V$2, $K74/time_cap/(time+1)*U$2, 0) = 0, $K74/(time_cap),0)),0)</f>
        <v/>
      </c>
      <c r="V74" s="4395">
        <f>IFERROR(IF((time+time_cap)&lt;V$2, 0,IF(AND(time+1&gt;=W$2, $E74&lt;W$2), IF($I74= "I", $J74/($F74-$E74+1), $J74/(($F74*($F74+1)/2)-(($E74-1)*($E74-1+1)/2))*V$2), 0)+IF(IF(time+1&gt;=W$2, $K74/time_cap/(time+1)*V$2, 0) = 0, $K74/(time_cap),0)),0)</f>
        <v/>
      </c>
      <c r="W74" s="4395">
        <f>IFERROR(IF((time+time_cap)&lt;W$2, 0,IF(AND(time+1&gt;=X$2, $E74&lt;X$2), IF($I74= "I", $J74/($F74-$E74+1), $J74/(($F74*($F74+1)/2)-(($E74-1)*($E74-1+1)/2))*W$2), 0)+IF(IF(time+1&gt;=X$2, $K74/time_cap/(time+1)*W$2, 0) = 0, $K74/(time_cap),0)),0)</f>
        <v/>
      </c>
      <c r="X74" s="4395">
        <f>IFERROR(IF((time+time_cap)&lt;X$2, 0,IF(AND(time+1&gt;=Y$2, $E74&lt;Y$2), IF($I74= "I", $J74/($F74-$E74+1), $J74/(($F74*($F74+1)/2)-(($E74-1)*($E74-1+1)/2))*X$2), 0)+IF(IF(time+1&gt;=Y$2, $K74/time_cap/(time+1)*X$2, 0) = 0, $K74/(time_cap),0)),0)</f>
        <v/>
      </c>
      <c r="Y74" s="4395">
        <f>IFERROR(IF((time+time_cap)&lt;Y$2, 0,IF(AND(time+1&gt;=Z$2, $E74&lt;Z$2), IF($I74= "I", $J74/($F74-$E74+1), $J74/(($F74*($F74+1)/2)-(($E74-1)*($E74-1+1)/2))*Y$2), 0)+IF(IF(time+1&gt;=Z$2, $K74/time_cap/(time+1)*Y$2, 0) = 0, $K74/(time_cap),0)),0)</f>
        <v/>
      </c>
      <c r="Z74" s="4395">
        <f>IFERROR(IF((time+time_cap)&lt;Z$2, 0,IF(AND(time+1&gt;=AA$2, $E74&lt;AA$2), IF($I74= "I", $J74/($F74-$E74+1), $J74/(($F74*($F74+1)/2)-(($E74-1)*($E74-1+1)/2))*Z$2), 0)+IF(IF(time+1&gt;=AA$2, $K74/time_cap/(time+1)*Z$2, 0) = 0, $K74/(time_cap),0)),0)</f>
        <v/>
      </c>
      <c r="AA74" s="4395">
        <f>IFERROR(IF((time+time_cap)&lt;AA$2, 0,IF(AND(time+1&gt;=AB$2, $E74&lt;AB$2), IF($I74= "I", $J74/($F74-$E74+1), $J74/(($F74*($F74+1)/2)-(($E74-1)*($E74-1+1)/2))*AA$2), 0)+IF(IF(time+1&gt;=AB$2, $K74/time_cap/(time+1)*AA$2, 0) = 0, $K74/(time_cap),0)),0)</f>
        <v/>
      </c>
      <c r="AB74" s="4395">
        <f>IFERROR(IF((time+time_cap)&lt;AB$2, 0,IF(AND(time+1&gt;=AC$2, $E74&lt;AC$2), IF($I74= "I", $J74/($F74-$E74+1), $J74/(($F74*($F74+1)/2)-(($E74-1)*($E74-1+1)/2))*AB$2), 0)+IF(IF(time+1&gt;=AC$2, $K74/time_cap/(time+1)*AB$2, 0) = 0, $K74/(time_cap),0)),0)</f>
        <v/>
      </c>
      <c r="AC74" s="4395">
        <f>IFERROR(IF((time+time_cap)&lt;AC$2, 0,IF(AND(time+1&gt;=AD$2, $E74&lt;AD$2), IF($I74= "I", $J74/($F74-$E74+1), $J74/(($F74*($F74+1)/2)-(($E74-1)*($E74-1+1)/2))*AC$2), 0)+IF(IF(time+1&gt;=AD$2, $K74/time_cap/(time+1)*AC$2, 0) = 0, $K74/(time_cap),0)),0)</f>
        <v/>
      </c>
      <c r="AD74" s="4395">
        <f>IFERROR(IF((time+time_cap)&lt;AD$2, 0,IF(AND(time+1&gt;=AE$2, $E74&lt;AE$2), IF($I74= "I", $J74/($F74-$E74+1), $J74/(($F74*($F74+1)/2)-(($E74-1)*($E74-1+1)/2))*AD$2), 0)+IF(IF(time+1&gt;=AE$2, $K74/time_cap/(time+1)*AD$2, 0) = 0, $K74/(time_cap),0)),0)</f>
        <v/>
      </c>
      <c r="AE74" s="4395">
        <f>IFERROR(IF((time+time_cap)&lt;AE$2, 0,IF(AND(time+1&gt;=AF$2, $E74&lt;AF$2), IF($I74= "I", $J74/($F74-$E74+1), $J74/(($F74*($F74+1)/2)-(($E74-1)*($E74-1+1)/2))*AE$2), 0)+IF(IF(time+1&gt;=AF$2, $K74/time_cap/(time+1)*AE$2, 0) = 0, $K74/(time_cap),0)),0)</f>
        <v/>
      </c>
      <c r="AF74" s="4395">
        <f>IFERROR(IF((time+time_cap)&lt;AF$2, 0,IF(AND(time+1&gt;=AG$2, $E74&lt;AG$2), IF($I74= "I", $J74/($F74-$E74+1), $J74/(($F74*($F74+1)/2)-(($E74-1)*($E74-1+1)/2))*AF$2), 0)+IF(IF(time+1&gt;=AG$2, $K74/time_cap/(time+1)*AF$2, 0) = 0, $K74/(time_cap),0)),0)</f>
        <v/>
      </c>
      <c r="AG74" s="4395">
        <f>IFERROR(IF((time+time_cap)&lt;AG$2, 0,IF(AND(time+1&gt;=AH$2, $E74&lt;AH$2), IF($I74= "I", $J74/($F74-$E74+1), $J74/(($F74*($F74+1)/2)-(($E74-1)*($E74-1+1)/2))*AG$2), 0)+IF(IF(time+1&gt;=AH$2, $K74/time_cap/(time+1)*AG$2, 0) = 0, $K74/(time_cap),0)),0)</f>
        <v/>
      </c>
      <c r="AH74" s="4395">
        <f>IFERROR(IF((time+time_cap)&lt;AH$2, 0,IF(AND(time+1&gt;=AI$2, $E74&lt;AI$2), IF($I74= "I", $J74/($F74-$E74+1), $J74/(($F74*($F74+1)/2)-(($E74-1)*($E74-1+1)/2))*AH$2), 0)+IF(IF(time+1&gt;=AI$2, $K74/time_cap/(time+1)*AH$2, 0) = 0, $K74/(time_cap),0)),0)</f>
        <v/>
      </c>
      <c r="AI74" s="4395">
        <f>IFERROR(IF((time+time_cap)&lt;AI$2, 0,IF(AND(time+1&gt;=AJ$2, $E74&lt;AJ$2), IF($I74= "I", $J74/($F74-$E74+1), $J74/(($F74*($F74+1)/2)-(($E74-1)*($E74-1+1)/2))*AI$2), 0)+IF(IF(time+1&gt;=AJ$2, $K74/time_cap/(time+1)*AI$2, 0) = 0, $K74/(time_cap),0)),0)</f>
        <v/>
      </c>
      <c r="AJ74" s="4395">
        <f>IFERROR(IF((time+time_cap)&lt;AJ$2, 0,IF(AND(time+1&gt;=AK$2, $E74&lt;AK$2), IF($I74= "I", $J74/($F74-$E74+1), $J74/(($F74*($F74+1)/2)-(($E74-1)*($E74-1+1)/2))*AJ$2), 0)+IF(IF(time+1&gt;=AK$2, $K74/time_cap/(time+1)*AJ$2, 0) = 0, $K74/(time_cap),0)),0)</f>
        <v/>
      </c>
      <c r="AK74" s="4395">
        <f>IFERROR(IF((time+time_cap)&lt;AK$2, 0,IF(AND(time+1&gt;=AL$2, $E74&lt;AL$2), IF($I74= "I", $J74/($F74-$E74+1), $J74/(($F74*($F74+1)/2)-(($E74-1)*($E74-1+1)/2))*AK$2), 0)+IF(IF(time+1&gt;=AL$2, $K74/time_cap/(time+1)*AK$2, 0) = 0, $K74/(time_cap),0)),0)</f>
        <v/>
      </c>
      <c r="AL74" s="4395">
        <f>IFERROR(IF((time+time_cap)&lt;AL$2, 0,IF(AND(time+1&gt;=AM$2, $E74&lt;AM$2), IF($I74= "I", $J74/($F74-$E74+1), $J74/(($F74*($F74+1)/2)-(($E74-1)*($E74-1+1)/2))*AL$2), 0)+IF(IF(time+1&gt;=AM$2, $K74/time_cap/(time+1)*AL$2, 0) = 0, $K74/(time_cap),0)),0)</f>
        <v/>
      </c>
      <c r="AM74" s="4395">
        <f>IFERROR(IF((time+time_cap)&lt;AM$2, 0,IF(AND(time+1&gt;=AN$2, $E74&lt;AN$2), IF($I74= "I", $J74/($F74-$E74+1), $J74/(($F74*($F74+1)/2)-(($E74-1)*($E74-1+1)/2))*AM$2), 0)+IF(IF(time+1&gt;=AN$2, $K74/time_cap/(time+1)*AM$2, 0) = 0, $K74/(time_cap),0)),0)</f>
        <v/>
      </c>
      <c r="AN74" s="4395">
        <f>IFERROR(IF((time+time_cap)&lt;AN$2, 0,IF(AND(time+1&gt;=AO$2, $E74&lt;AO$2), IF($I74= "I", $J74/($F74-$E74+1), $J74/(($F74*($F74+1)/2)-(($E74-1)*($E74-1+1)/2))*AN$2), 0)+IF(IF(time+1&gt;=AO$2, $K74/time_cap/(time+1)*AN$2, 0) = 0, $K74/(time_cap),0)),0)</f>
        <v/>
      </c>
      <c r="AO74" s="4395">
        <f>IFERROR(IF((time+time_cap)&lt;AO$2, 0,IF(AND(time+1&gt;=AP$2, $E74&lt;AP$2), IF($I74= "I", $J74/($F74-$E74+1), $J74/(($F74*($F74+1)/2)-(($E74-1)*($E74-1+1)/2))*AO$2), 0)+IF(IF(time+1&gt;=AP$2, $K74/time_cap/(time+1)*AO$2, 0) = 0, $K74/(time_cap),0)),0)</f>
        <v/>
      </c>
      <c r="AP74" s="4395">
        <f>IFERROR(IF((time+time_cap)&lt;AP$2, 0,IF(AND(time+1&gt;=AQ$2, $E74&lt;AQ$2), IF($I74= "I", $J74/($F74-$E74+1), $J74/(($F74*($F74+1)/2)-(($E74-1)*($E74-1+1)/2))*AP$2), 0)+IF(IF(time+1&gt;=AQ$2, $K74/time_cap/(time+1)*AP$2, 0) = 0, $K74/(time_cap),0)),0)</f>
        <v/>
      </c>
      <c r="AQ74" s="4395">
        <f>IFERROR(IF((time+time_cap)&lt;AQ$2, 0,IF(AND(time+1&gt;=AR$2, $E74&lt;AR$2), IF($I74= "I", $J74/($F74-$E74+1), $J74/(($F74*($F74+1)/2)-(($E74-1)*($E74-1+1)/2))*AQ$2), 0)+IF(IF(time+1&gt;=AR$2, $K74/time_cap/(time+1)*AQ$2, 0) = 0, $K74/(time_cap),0)),0)</f>
        <v/>
      </c>
      <c r="AR74" s="4395">
        <f>IFERROR(IF((time+time_cap)&lt;AR$2, 0,IF(AND(time+1&gt;=AS$2, $E74&lt;AS$2), IF($I74= "I", $J74/($F74-$E74+1), $J74/(($F74*($F74+1)/2)-(($E74-1)*($E74-1+1)/2))*AR$2), 0)+IF(IF(time+1&gt;=AS$2, $K74/time_cap/(time+1)*AR$2, 0) = 0, $K74/(time_cap),0)),0)</f>
        <v/>
      </c>
      <c r="AS74" s="4395">
        <f>IFERROR(IF((time+time_cap)&lt;AS$2, 0,IF(AND(time+1&gt;=AT$2, $E74&lt;AT$2), IF($I74= "I", $J74/($F74-$E74+1), $J74/(($F74*($F74+1)/2)-(($E74-1)*($E74-1+1)/2))*AS$2), 0)+IF(IF(time+1&gt;=AT$2, $K74/time_cap/(time+1)*AS$2, 0) = 0, $K74/(time_cap),0)),0)</f>
        <v/>
      </c>
      <c r="AT74" s="4395">
        <f>IFERROR(IF((time+time_cap)&lt;AT$2, 0,IF(AND(time+1&gt;=AU$2, $E74&lt;AU$2), IF($I74= "I", $J74/($F74-$E74+1), $J74/(($F74*($F74+1)/2)-(($E74-1)*($E74-1+1)/2))*AT$2), 0)+IF(IF(time+1&gt;=AU$2, $K74/time_cap/(time+1)*AT$2, 0) = 0, $K74/(time_cap),0)),0)</f>
        <v/>
      </c>
      <c r="AU74" s="4395">
        <f>IFERROR(IF((time+time_cap)&lt;AU$2, 0,IF(AND(time+1&gt;=AV$2, $E74&lt;AV$2), IF($I74= "I", $J74/($F74-$E74+1), $J74/(($F74*($F74+1)/2)-(($E74-1)*($E74-1+1)/2))*AU$2), 0)+IF(IF(time+1&gt;=AV$2, $K74/time_cap/(time+1)*AU$2, 0) = 0, $K74/(time_cap),0)),0)</f>
        <v/>
      </c>
      <c r="AV74" s="4395">
        <f>IFERROR(IF((time+time_cap)&lt;AV$2, 0,IF(AND(time+1&gt;=AW$2, $E74&lt;AW$2), IF($I74= "I", $J74/($F74-$E74+1), $J74/(($F74*($F74+1)/2)-(($E74-1)*($E74-1+1)/2))*AV$2), 0)+IF(IF(time+1&gt;=AW$2, $K74/time_cap/(time+1)*AV$2, 0) = 0, $K74/(time_cap),0)),0)</f>
        <v/>
      </c>
      <c r="AW74" s="4395">
        <f>IFERROR(IF((time+time_cap)&lt;AW$2, 0,IF(AND(time+1&gt;=AX$2, $E74&lt;AX$2), IF($I74= "I", $J74/($F74-$E74+1), $J74/(($F74*($F74+1)/2)-(($E74-1)*($E74-1+1)/2))*AW$2), 0)+IF(IF(time+1&gt;=AX$2, $K74/time_cap/(time+1)*AW$2, 0) = 0, $K74/(time_cap),0)),0)</f>
        <v/>
      </c>
      <c r="AX74" s="4395">
        <f>IFERROR(IF((time+time_cap)&lt;AX$2, 0,IF(AND(time+1&gt;=AY$2, $E74&lt;AY$2), IF($I74= "I", $J74/($F74-$E74+1), $J74/(($F74*($F74+1)/2)-(($E74-1)*($E74-1+1)/2))*AX$2), 0)+IF(IF(time+1&gt;=AY$2, $K74/time_cap/(time+1)*AX$2, 0) = 0, $K74/(time_cap),0)),0)</f>
        <v/>
      </c>
      <c r="AY74" s="4395">
        <f>IFERROR(IF((time+time_cap)&lt;AY$2, 0,IF(AND(time+1&gt;=AZ$2, $E74&lt;AZ$2), IF($I74= "I", $J74/($F74-$E74+1), $J74/(($F74*($F74+1)/2)-(($E74-1)*($E74-1+1)/2))*AY$2), 0)+IF(IF(time+1&gt;=AZ$2, $K74/time_cap/(time+1)*AY$2, 0) = 0, $K74/(time_cap),0)),0)</f>
        <v/>
      </c>
      <c r="AZ74" s="4395">
        <f>IFERROR(IF((time+time_cap)&lt;AZ$2, 0,IF(AND(time+1&gt;=BA$2, $E74&lt;BA$2), IF($I74= "I", $J74/($F74-$E74+1), $J74/(($F74*($F74+1)/2)-(($E74-1)*($E74-1+1)/2))*AZ$2), 0)+IF(IF(time+1&gt;=BA$2, $K74/time_cap/(time+1)*AZ$2, 0) = 0, $K74/(time_cap),0)),0)</f>
        <v/>
      </c>
      <c r="BA74" s="4395">
        <f>IFERROR(IF((time+time_cap)&lt;BA$2, 0,IF(AND(time+1&gt;=BB$2, $E74&lt;BB$2), IF($I74= "I", $J74/($F74-$E74+1), $J74/(($F74*($F74+1)/2)-(($E74-1)*($E74-1+1)/2))*BA$2), 0)+IF(IF(time+1&gt;=BB$2, $K74/time_cap/(time+1)*BA$2, 0) = 0, $K74/(time_cap),0)),0)</f>
        <v/>
      </c>
      <c r="BB74" s="4395">
        <f>IFERROR(IF((time+time_cap)&lt;BB$2, 0,IF(AND(time+1&gt;=BC$2, $E74&lt;BC$2), IF($I74= "I", $J74/($F74-$E74+1), $J74/(($F74*($F74+1)/2)-(($E74-1)*($E74-1+1)/2))*BB$2), 0)+IF(IF(time+1&gt;=BC$2, $K74/time_cap/(time+1)*BB$2, 0) = 0, $K74/(time_cap),0)),0)</f>
        <v/>
      </c>
      <c r="BC74" s="4395">
        <f>IFERROR(IF((time+time_cap)&lt;BC$2, 0,IF(AND(time+1&gt;=BD$2, $E74&lt;BD$2), IF($I74= "I", $J74/($F74-$E74+1), $J74/(($F74*($F74+1)/2)-(($E74-1)*($E74-1+1)/2))*BC$2), 0)+IF(IF(time+1&gt;=BD$2, $K74/time_cap/(time+1)*BC$2, 0) = 0, $K74/(time_cap),0)),0)</f>
        <v/>
      </c>
      <c r="BD74" s="4395">
        <f>IFERROR(IF((time+time_cap)&lt;BD$2, 0,IF(AND(time+1&gt;=BE$2, $E74&lt;BE$2), IF($I74= "I", $J74/($F74-$E74+1), $J74/(($F74*($F74+1)/2)-(($E74-1)*($E74-1+1)/2))*BD$2), 0)+IF(IF(time+1&gt;=BE$2, $K74/time_cap/(time+1)*BD$2, 0) = 0, $K74/(time_cap),0)),0)</f>
        <v/>
      </c>
      <c r="BE74" s="4395">
        <f>IFERROR(IF((time+time_cap)&lt;BE$2, 0,IF(AND(time+1&gt;=BF$2, $E74&lt;BF$2), IF($I74= "I", $J74/($F74-$E74+1), $J74/(($F74*($F74+1)/2)-(($E74-1)*($E74-1+1)/2))*BE$2), 0)+IF(IF(time+1&gt;=BF$2, $K74/time_cap/(time+1)*BE$2, 0) = 0, $K74/(time_cap),0)),0)</f>
        <v/>
      </c>
      <c r="BF74" s="4395">
        <f>IFERROR(IF((time+time_cap)&lt;BF$2, 0,IF(AND(time+1&gt;=BG$2, $E74&lt;BG$2), IF($I74= "I", $J74/($F74-$E74+1), $J74/(($F74*($F74+1)/2)-(($E74-1)*($E74-1+1)/2))*BF$2), 0)+IF(IF(time+1&gt;=BG$2, $K74/time_cap/(time+1)*BF$2, 0) = 0, $K74/(time_cap),0)),0)</f>
        <v/>
      </c>
      <c r="BG74" s="4395">
        <f>IFERROR(IF((time+time_cap)&lt;BG$2, 0,IF(AND(time+1&gt;=BH$2, $E74&lt;BH$2), IF($I74= "I", $J74/($F74-$E74+1), $J74/(($F74*($F74+1)/2)-(($E74-1)*($E74-1+1)/2))*BG$2), 0)+IF(IF(time+1&gt;=BH$2, $K74/time_cap/(time+1)*BG$2, 0) = 0, $K74/(time_cap),0)),0)</f>
        <v/>
      </c>
      <c r="BH74" s="4395">
        <f>IFERROR(IF((time+time_cap)&lt;BH$2, 0,IF(AND(time+1&gt;=BI$2, $E74&lt;BI$2), IF($I74= "I", $J74/($F74-$E74+1), $J74/(($F74*($F74+1)/2)-(($E74-1)*($E74-1+1)/2))*BH$2), 0)+IF(IF(time+1&gt;=BI$2, $K74/time_cap/(time+1)*BH$2, 0) = 0, $K74/(time_cap),0)),0)</f>
        <v/>
      </c>
      <c r="BI74" s="4395">
        <f>IFERROR(IF((time+time_cap)&lt;BI$2, 0,IF(AND(time+1&gt;=BJ$2, $E74&lt;BJ$2), IF($I74= "I", $J74/($F74-$E74+1), $J74/(($F74*($F74+1)/2)-(($E74-1)*($E74-1+1)/2))*BI$2), 0)+IF(IF(time+1&gt;=BJ$2, $K74/time_cap/(time+1)*BI$2, 0) = 0, $K74/(time_cap),0)),0)</f>
        <v/>
      </c>
      <c r="BJ74" s="4395">
        <f>IFERROR(IF((time+time_cap)&lt;BJ$2, 0,IF(AND(time+1&gt;=BK$2, $E74&lt;BK$2), IF($I74= "I", $J74/($F74-$E74+1), $J74/(($F74*($F74+1)/2)-(($E74-1)*($E74-1+1)/2))*BJ$2), 0)+IF(IF(time+1&gt;=BK$2, $K74/time_cap/(time+1)*BJ$2, 0) = 0, $K74/(time_cap),0)),0)</f>
        <v/>
      </c>
      <c r="BK74" s="4395" t="n"/>
      <c r="BL74" s="4395" t="n"/>
      <c r="BM74" s="4395" t="n"/>
      <c r="BN74" s="4395" t="n"/>
      <c r="BO74" s="4395" t="n"/>
      <c r="BP74" s="4395" t="n"/>
      <c r="BQ74" s="4395" t="n"/>
      <c r="BR74" s="4395" t="n"/>
      <c r="BS74" s="4395" t="n"/>
      <c r="BT74" s="4395" t="n"/>
      <c r="BU74" s="4395" t="n"/>
      <c r="BV74" s="4395" t="n"/>
      <c r="BW74" s="4395" t="n"/>
      <c r="BX74" s="4395" t="n"/>
      <c r="BY74" s="4395" t="n"/>
      <c r="BZ74" s="4395" t="n"/>
      <c r="CA74" s="4395" t="n"/>
      <c r="CB74" s="4395" t="n"/>
      <c r="CC74" s="4395" t="n"/>
      <c r="CD74" s="4395" t="n"/>
      <c r="CE74" s="4395" t="n"/>
      <c r="CF74" s="4395" t="n"/>
      <c r="CG74" s="4395" t="n"/>
      <c r="CH74" s="4395" t="n"/>
      <c r="CI74" s="4395" t="n"/>
      <c r="CJ74" s="4395" t="n"/>
      <c r="CK74" s="4395" t="n"/>
      <c r="CL74" s="4395" t="n"/>
      <c r="CM74" s="4395" t="n"/>
      <c r="CN74" s="4395" t="n"/>
      <c r="CO74" s="4395" t="n"/>
      <c r="CP74" s="4395" t="n"/>
      <c r="CQ74" s="4395" t="n"/>
      <c r="CR74" s="4395" t="n"/>
      <c r="CS74" s="4395" t="n"/>
      <c r="CT74" s="4395" t="n"/>
      <c r="CU74" s="4395" t="n"/>
      <c r="CV74" s="4395" t="n"/>
      <c r="CW74" s="4395" t="n"/>
      <c r="CX74" s="4395" t="n"/>
      <c r="CY74" s="4395" t="n"/>
      <c r="CZ74" s="4395" t="n"/>
      <c r="DA74" s="4395" t="n"/>
      <c r="DB74" s="4395" t="n"/>
      <c r="DC74" s="4395" t="n"/>
      <c r="DD74" s="4395" t="n"/>
      <c r="DE74" s="4395" t="n"/>
      <c r="DF74" s="4395" t="n"/>
      <c r="DG74" s="4395" t="n"/>
      <c r="DH74" s="4395" t="n"/>
    </row>
    <row r="75" ht="16" customHeight="1">
      <c r="A75" t="inlineStr">
        <is>
          <t>Flooded rice</t>
        </is>
      </c>
      <c r="B75">
        <f>'3.Cropland'!C114</f>
        <v/>
      </c>
      <c r="C75">
        <f>'3.Cropland'!G114</f>
        <v/>
      </c>
      <c r="D75">
        <f>'3.Cropland'!Z114</f>
        <v/>
      </c>
      <c r="E75">
        <f>IF('3.Cropland'!BM114&lt;&gt;0,'3.Cropland'!BM114, '3.Cropland'!BL114)</f>
        <v/>
      </c>
      <c r="F75">
        <f>time</f>
        <v/>
      </c>
      <c r="G75" s="4395">
        <f>'3.Cropland'!S114</f>
        <v/>
      </c>
      <c r="H75" s="4395">
        <f>'3.Cropland'!U114</f>
        <v/>
      </c>
      <c r="I75" s="4395">
        <f>IF(OR(H75="I", G75="I"), "I", IF(OR(H75="E", G75="E"), "E", "D"))</f>
        <v/>
      </c>
      <c r="J75" s="4395">
        <f>((D75/(time_cap+((F75-E75+1)*VLOOKUP(I75,list!$I$48:$K$50,3, FALSE))))*(F75-E75+1)*VLOOKUP(I75,list!$I$48:$K$50,3, FALSE))</f>
        <v/>
      </c>
      <c r="K75" s="4395">
        <f>((D75/(time_cap+((F75-E75+1)*VLOOKUP(I75,list!$I$48:$K$50,3, FALSE))))*time_cap)</f>
        <v/>
      </c>
      <c r="M75" s="4395">
        <f>IFERROR(IF((time+time_cap)&lt;M$2, 0,IF(AND(time+1&gt;=N$2, $E75&lt;N$2), IF($I75= "I", $J75/($F75-$E75+1), $J75/(($F75*($F75+1)/2)-(($E75-1)*($E75-1+1)/2))*M$2), 0)+IF(IF(time+1&gt;=N$2, $K75/time_cap/(time+1)*M$2, 0) = 0, $K75/(time_cap),0)),0)</f>
        <v/>
      </c>
      <c r="N75" s="4395">
        <f>IFERROR(IF((time+time_cap)&lt;N$2, 0,IF(AND(time+1&gt;=O$2, $E75&lt;O$2), IF($I75= "I", $J75/($F75-$E75+1), $J75/(($F75*($F75+1)/2)-(($E75-1)*($E75-1+1)/2))*N$2), 0)+IF(IF(time+1&gt;=O$2, $K75/time_cap/(time+1)*N$2, 0) = 0, $K75/(time_cap),0)),0)</f>
        <v/>
      </c>
      <c r="O75" s="4395">
        <f>IFERROR(IF((time+time_cap)&lt;O$2, 0,IF(AND(time+1&gt;=P$2, $E75&lt;P$2), IF($I75= "I", $J75/($F75-$E75+1), $J75/(($F75*($F75+1)/2)-(($E75-1)*($E75-1+1)/2))*O$2), 0)+IF(IF(time+1&gt;=P$2, $K75/time_cap/(time+1)*O$2, 0) = 0, $K75/(time_cap),0)),0)</f>
        <v/>
      </c>
      <c r="P75" s="4395">
        <f>IFERROR(IF((time+time_cap)&lt;P$2, 0,IF(AND(time+1&gt;=Q$2, $E75&lt;Q$2), IF($I75= "I", $J75/($F75-$E75+1), $J75/(($F75*($F75+1)/2)-(($E75-1)*($E75-1+1)/2))*P$2), 0)+IF(IF(time+1&gt;=Q$2, $K75/time_cap/(time+1)*P$2, 0) = 0, $K75/(time_cap),0)),0)</f>
        <v/>
      </c>
      <c r="Q75" s="4395">
        <f>IFERROR(IF((time+time_cap)&lt;Q$2, 0,IF(AND(time+1&gt;=R$2, $E75&lt;R$2), IF($I75= "I", $J75/($F75-$E75+1), $J75/(($F75*($F75+1)/2)-(($E75-1)*($E75-1+1)/2))*Q$2), 0)+IF(IF(time+1&gt;=R$2, $K75/time_cap/(time+1)*Q$2, 0) = 0, $K75/(time_cap),0)),0)</f>
        <v/>
      </c>
      <c r="R75" s="4395">
        <f>IFERROR(IF((time+time_cap)&lt;R$2, 0,IF(AND(time+1&gt;=S$2, $E75&lt;S$2), IF($I75= "I", $J75/($F75-$E75+1), $J75/(($F75*($F75+1)/2)-(($E75-1)*($E75-1+1)/2))*R$2), 0)+IF(IF(time+1&gt;=S$2, $K75/time_cap/(time+1)*R$2, 0) = 0, $K75/(time_cap),0)),0)</f>
        <v/>
      </c>
      <c r="S75" s="4395">
        <f>IFERROR(IF((time+time_cap)&lt;S$2, 0,IF(AND(time+1&gt;=T$2, $E75&lt;T$2), IF($I75= "I", $J75/($F75-$E75+1), $J75/(($F75*($F75+1)/2)-(($E75-1)*($E75-1+1)/2))*S$2), 0)+IF(IF(time+1&gt;=T$2, $K75/time_cap/(time+1)*S$2, 0) = 0, $K75/(time_cap),0)),0)</f>
        <v/>
      </c>
      <c r="T75" s="4395">
        <f>IFERROR(IF((time+time_cap)&lt;T$2, 0,IF(AND(time+1&gt;=U$2, $E75&lt;U$2), IF($I75= "I", $J75/($F75-$E75+1), $J75/(($F75*($F75+1)/2)-(($E75-1)*($E75-1+1)/2))*T$2), 0)+IF(IF(time+1&gt;=U$2, $K75/time_cap/(time+1)*T$2, 0) = 0, $K75/(time_cap),0)),0)</f>
        <v/>
      </c>
      <c r="U75" s="4395">
        <f>IFERROR(IF((time+time_cap)&lt;U$2, 0,IF(AND(time+1&gt;=V$2, $E75&lt;V$2), IF($I75= "I", $J75/($F75-$E75+1), $J75/(($F75*($F75+1)/2)-(($E75-1)*($E75-1+1)/2))*U$2), 0)+IF(IF(time+1&gt;=V$2, $K75/time_cap/(time+1)*U$2, 0) = 0, $K75/(time_cap),0)),0)</f>
        <v/>
      </c>
      <c r="V75" s="4395">
        <f>IFERROR(IF((time+time_cap)&lt;V$2, 0,IF(AND(time+1&gt;=W$2, $E75&lt;W$2), IF($I75= "I", $J75/($F75-$E75+1), $J75/(($F75*($F75+1)/2)-(($E75-1)*($E75-1+1)/2))*V$2), 0)+IF(IF(time+1&gt;=W$2, $K75/time_cap/(time+1)*V$2, 0) = 0, $K75/(time_cap),0)),0)</f>
        <v/>
      </c>
      <c r="W75" s="4395">
        <f>IFERROR(IF((time+time_cap)&lt;W$2, 0,IF(AND(time+1&gt;=X$2, $E75&lt;X$2), IF($I75= "I", $J75/($F75-$E75+1), $J75/(($F75*($F75+1)/2)-(($E75-1)*($E75-1+1)/2))*W$2), 0)+IF(IF(time+1&gt;=X$2, $K75/time_cap/(time+1)*W$2, 0) = 0, $K75/(time_cap),0)),0)</f>
        <v/>
      </c>
      <c r="X75" s="4395">
        <f>IFERROR(IF((time+time_cap)&lt;X$2, 0,IF(AND(time+1&gt;=Y$2, $E75&lt;Y$2), IF($I75= "I", $J75/($F75-$E75+1), $J75/(($F75*($F75+1)/2)-(($E75-1)*($E75-1+1)/2))*X$2), 0)+IF(IF(time+1&gt;=Y$2, $K75/time_cap/(time+1)*X$2, 0) = 0, $K75/(time_cap),0)),0)</f>
        <v/>
      </c>
      <c r="Y75" s="4395">
        <f>IFERROR(IF((time+time_cap)&lt;Y$2, 0,IF(AND(time+1&gt;=Z$2, $E75&lt;Z$2), IF($I75= "I", $J75/($F75-$E75+1), $J75/(($F75*($F75+1)/2)-(($E75-1)*($E75-1+1)/2))*Y$2), 0)+IF(IF(time+1&gt;=Z$2, $K75/time_cap/(time+1)*Y$2, 0) = 0, $K75/(time_cap),0)),0)</f>
        <v/>
      </c>
      <c r="Z75" s="4395">
        <f>IFERROR(IF((time+time_cap)&lt;Z$2, 0,IF(AND(time+1&gt;=AA$2, $E75&lt;AA$2), IF($I75= "I", $J75/($F75-$E75+1), $J75/(($F75*($F75+1)/2)-(($E75-1)*($E75-1+1)/2))*Z$2), 0)+IF(IF(time+1&gt;=AA$2, $K75/time_cap/(time+1)*Z$2, 0) = 0, $K75/(time_cap),0)),0)</f>
        <v/>
      </c>
      <c r="AA75" s="4395">
        <f>IFERROR(IF((time+time_cap)&lt;AA$2, 0,IF(AND(time+1&gt;=AB$2, $E75&lt;AB$2), IF($I75= "I", $J75/($F75-$E75+1), $J75/(($F75*($F75+1)/2)-(($E75-1)*($E75-1+1)/2))*AA$2), 0)+IF(IF(time+1&gt;=AB$2, $K75/time_cap/(time+1)*AA$2, 0) = 0, $K75/(time_cap),0)),0)</f>
        <v/>
      </c>
      <c r="AB75" s="4395">
        <f>IFERROR(IF((time+time_cap)&lt;AB$2, 0,IF(AND(time+1&gt;=AC$2, $E75&lt;AC$2), IF($I75= "I", $J75/($F75-$E75+1), $J75/(($F75*($F75+1)/2)-(($E75-1)*($E75-1+1)/2))*AB$2), 0)+IF(IF(time+1&gt;=AC$2, $K75/time_cap/(time+1)*AB$2, 0) = 0, $K75/(time_cap),0)),0)</f>
        <v/>
      </c>
      <c r="AC75" s="4395">
        <f>IFERROR(IF((time+time_cap)&lt;AC$2, 0,IF(AND(time+1&gt;=AD$2, $E75&lt;AD$2), IF($I75= "I", $J75/($F75-$E75+1), $J75/(($F75*($F75+1)/2)-(($E75-1)*($E75-1+1)/2))*AC$2), 0)+IF(IF(time+1&gt;=AD$2, $K75/time_cap/(time+1)*AC$2, 0) = 0, $K75/(time_cap),0)),0)</f>
        <v/>
      </c>
      <c r="AD75" s="4395">
        <f>IFERROR(IF((time+time_cap)&lt;AD$2, 0,IF(AND(time+1&gt;=AE$2, $E75&lt;AE$2), IF($I75= "I", $J75/($F75-$E75+1), $J75/(($F75*($F75+1)/2)-(($E75-1)*($E75-1+1)/2))*AD$2), 0)+IF(IF(time+1&gt;=AE$2, $K75/time_cap/(time+1)*AD$2, 0) = 0, $K75/(time_cap),0)),0)</f>
        <v/>
      </c>
      <c r="AE75" s="4395">
        <f>IFERROR(IF((time+time_cap)&lt;AE$2, 0,IF(AND(time+1&gt;=AF$2, $E75&lt;AF$2), IF($I75= "I", $J75/($F75-$E75+1), $J75/(($F75*($F75+1)/2)-(($E75-1)*($E75-1+1)/2))*AE$2), 0)+IF(IF(time+1&gt;=AF$2, $K75/time_cap/(time+1)*AE$2, 0) = 0, $K75/(time_cap),0)),0)</f>
        <v/>
      </c>
      <c r="AF75" s="4395">
        <f>IFERROR(IF((time+time_cap)&lt;AF$2, 0,IF(AND(time+1&gt;=AG$2, $E75&lt;AG$2), IF($I75= "I", $J75/($F75-$E75+1), $J75/(($F75*($F75+1)/2)-(($E75-1)*($E75-1+1)/2))*AF$2), 0)+IF(IF(time+1&gt;=AG$2, $K75/time_cap/(time+1)*AF$2, 0) = 0, $K75/(time_cap),0)),0)</f>
        <v/>
      </c>
      <c r="AG75" s="4395">
        <f>IFERROR(IF((time+time_cap)&lt;AG$2, 0,IF(AND(time+1&gt;=AH$2, $E75&lt;AH$2), IF($I75= "I", $J75/($F75-$E75+1), $J75/(($F75*($F75+1)/2)-(($E75-1)*($E75-1+1)/2))*AG$2), 0)+IF(IF(time+1&gt;=AH$2, $K75/time_cap/(time+1)*AG$2, 0) = 0, $K75/(time_cap),0)),0)</f>
        <v/>
      </c>
      <c r="AH75" s="4395">
        <f>IFERROR(IF((time+time_cap)&lt;AH$2, 0,IF(AND(time+1&gt;=AI$2, $E75&lt;AI$2), IF($I75= "I", $J75/($F75-$E75+1), $J75/(($F75*($F75+1)/2)-(($E75-1)*($E75-1+1)/2))*AH$2), 0)+IF(IF(time+1&gt;=AI$2, $K75/time_cap/(time+1)*AH$2, 0) = 0, $K75/(time_cap),0)),0)</f>
        <v/>
      </c>
      <c r="AI75" s="4395">
        <f>IFERROR(IF((time+time_cap)&lt;AI$2, 0,IF(AND(time+1&gt;=AJ$2, $E75&lt;AJ$2), IF($I75= "I", $J75/($F75-$E75+1), $J75/(($F75*($F75+1)/2)-(($E75-1)*($E75-1+1)/2))*AI$2), 0)+IF(IF(time+1&gt;=AJ$2, $K75/time_cap/(time+1)*AI$2, 0) = 0, $K75/(time_cap),0)),0)</f>
        <v/>
      </c>
      <c r="AJ75" s="4395">
        <f>IFERROR(IF((time+time_cap)&lt;AJ$2, 0,IF(AND(time+1&gt;=AK$2, $E75&lt;AK$2), IF($I75= "I", $J75/($F75-$E75+1), $J75/(($F75*($F75+1)/2)-(($E75-1)*($E75-1+1)/2))*AJ$2), 0)+IF(IF(time+1&gt;=AK$2, $K75/time_cap/(time+1)*AJ$2, 0) = 0, $K75/(time_cap),0)),0)</f>
        <v/>
      </c>
      <c r="AK75" s="4395">
        <f>IFERROR(IF((time+time_cap)&lt;AK$2, 0,IF(AND(time+1&gt;=AL$2, $E75&lt;AL$2), IF($I75= "I", $J75/($F75-$E75+1), $J75/(($F75*($F75+1)/2)-(($E75-1)*($E75-1+1)/2))*AK$2), 0)+IF(IF(time+1&gt;=AL$2, $K75/time_cap/(time+1)*AK$2, 0) = 0, $K75/(time_cap),0)),0)</f>
        <v/>
      </c>
      <c r="AL75" s="4395">
        <f>IFERROR(IF((time+time_cap)&lt;AL$2, 0,IF(AND(time+1&gt;=AM$2, $E75&lt;AM$2), IF($I75= "I", $J75/($F75-$E75+1), $J75/(($F75*($F75+1)/2)-(($E75-1)*($E75-1+1)/2))*AL$2), 0)+IF(IF(time+1&gt;=AM$2, $K75/time_cap/(time+1)*AL$2, 0) = 0, $K75/(time_cap),0)),0)</f>
        <v/>
      </c>
      <c r="AM75" s="4395">
        <f>IFERROR(IF((time+time_cap)&lt;AM$2, 0,IF(AND(time+1&gt;=AN$2, $E75&lt;AN$2), IF($I75= "I", $J75/($F75-$E75+1), $J75/(($F75*($F75+1)/2)-(($E75-1)*($E75-1+1)/2))*AM$2), 0)+IF(IF(time+1&gt;=AN$2, $K75/time_cap/(time+1)*AM$2, 0) = 0, $K75/(time_cap),0)),0)</f>
        <v/>
      </c>
      <c r="AN75" s="4395">
        <f>IFERROR(IF((time+time_cap)&lt;AN$2, 0,IF(AND(time+1&gt;=AO$2, $E75&lt;AO$2), IF($I75= "I", $J75/($F75-$E75+1), $J75/(($F75*($F75+1)/2)-(($E75-1)*($E75-1+1)/2))*AN$2), 0)+IF(IF(time+1&gt;=AO$2, $K75/time_cap/(time+1)*AN$2, 0) = 0, $K75/(time_cap),0)),0)</f>
        <v/>
      </c>
      <c r="AO75" s="4395">
        <f>IFERROR(IF((time+time_cap)&lt;AO$2, 0,IF(AND(time+1&gt;=AP$2, $E75&lt;AP$2), IF($I75= "I", $J75/($F75-$E75+1), $J75/(($F75*($F75+1)/2)-(($E75-1)*($E75-1+1)/2))*AO$2), 0)+IF(IF(time+1&gt;=AP$2, $K75/time_cap/(time+1)*AO$2, 0) = 0, $K75/(time_cap),0)),0)</f>
        <v/>
      </c>
      <c r="AP75" s="4395">
        <f>IFERROR(IF((time+time_cap)&lt;AP$2, 0,IF(AND(time+1&gt;=AQ$2, $E75&lt;AQ$2), IF($I75= "I", $J75/($F75-$E75+1), $J75/(($F75*($F75+1)/2)-(($E75-1)*($E75-1+1)/2))*AP$2), 0)+IF(IF(time+1&gt;=AQ$2, $K75/time_cap/(time+1)*AP$2, 0) = 0, $K75/(time_cap),0)),0)</f>
        <v/>
      </c>
      <c r="AQ75" s="4395">
        <f>IFERROR(IF((time+time_cap)&lt;AQ$2, 0,IF(AND(time+1&gt;=AR$2, $E75&lt;AR$2), IF($I75= "I", $J75/($F75-$E75+1), $J75/(($F75*($F75+1)/2)-(($E75-1)*($E75-1+1)/2))*AQ$2), 0)+IF(IF(time+1&gt;=AR$2, $K75/time_cap/(time+1)*AQ$2, 0) = 0, $K75/(time_cap),0)),0)</f>
        <v/>
      </c>
      <c r="AR75" s="4395">
        <f>IFERROR(IF((time+time_cap)&lt;AR$2, 0,IF(AND(time+1&gt;=AS$2, $E75&lt;AS$2), IF($I75= "I", $J75/($F75-$E75+1), $J75/(($F75*($F75+1)/2)-(($E75-1)*($E75-1+1)/2))*AR$2), 0)+IF(IF(time+1&gt;=AS$2, $K75/time_cap/(time+1)*AR$2, 0) = 0, $K75/(time_cap),0)),0)</f>
        <v/>
      </c>
      <c r="AS75" s="4395">
        <f>IFERROR(IF((time+time_cap)&lt;AS$2, 0,IF(AND(time+1&gt;=AT$2, $E75&lt;AT$2), IF($I75= "I", $J75/($F75-$E75+1), $J75/(($F75*($F75+1)/2)-(($E75-1)*($E75-1+1)/2))*AS$2), 0)+IF(IF(time+1&gt;=AT$2, $K75/time_cap/(time+1)*AS$2, 0) = 0, $K75/(time_cap),0)),0)</f>
        <v/>
      </c>
      <c r="AT75" s="4395">
        <f>IFERROR(IF((time+time_cap)&lt;AT$2, 0,IF(AND(time+1&gt;=AU$2, $E75&lt;AU$2), IF($I75= "I", $J75/($F75-$E75+1), $J75/(($F75*($F75+1)/2)-(($E75-1)*($E75-1+1)/2))*AT$2), 0)+IF(IF(time+1&gt;=AU$2, $K75/time_cap/(time+1)*AT$2, 0) = 0, $K75/(time_cap),0)),0)</f>
        <v/>
      </c>
      <c r="AU75" s="4395">
        <f>IFERROR(IF((time+time_cap)&lt;AU$2, 0,IF(AND(time+1&gt;=AV$2, $E75&lt;AV$2), IF($I75= "I", $J75/($F75-$E75+1), $J75/(($F75*($F75+1)/2)-(($E75-1)*($E75-1+1)/2))*AU$2), 0)+IF(IF(time+1&gt;=AV$2, $K75/time_cap/(time+1)*AU$2, 0) = 0, $K75/(time_cap),0)),0)</f>
        <v/>
      </c>
      <c r="AV75" s="4395">
        <f>IFERROR(IF((time+time_cap)&lt;AV$2, 0,IF(AND(time+1&gt;=AW$2, $E75&lt;AW$2), IF($I75= "I", $J75/($F75-$E75+1), $J75/(($F75*($F75+1)/2)-(($E75-1)*($E75-1+1)/2))*AV$2), 0)+IF(IF(time+1&gt;=AW$2, $K75/time_cap/(time+1)*AV$2, 0) = 0, $K75/(time_cap),0)),0)</f>
        <v/>
      </c>
      <c r="AW75" s="4395">
        <f>IFERROR(IF((time+time_cap)&lt;AW$2, 0,IF(AND(time+1&gt;=AX$2, $E75&lt;AX$2), IF($I75= "I", $J75/($F75-$E75+1), $J75/(($F75*($F75+1)/2)-(($E75-1)*($E75-1+1)/2))*AW$2), 0)+IF(IF(time+1&gt;=AX$2, $K75/time_cap/(time+1)*AW$2, 0) = 0, $K75/(time_cap),0)),0)</f>
        <v/>
      </c>
      <c r="AX75" s="4395">
        <f>IFERROR(IF((time+time_cap)&lt;AX$2, 0,IF(AND(time+1&gt;=AY$2, $E75&lt;AY$2), IF($I75= "I", $J75/($F75-$E75+1), $J75/(($F75*($F75+1)/2)-(($E75-1)*($E75-1+1)/2))*AX$2), 0)+IF(IF(time+1&gt;=AY$2, $K75/time_cap/(time+1)*AX$2, 0) = 0, $K75/(time_cap),0)),0)</f>
        <v/>
      </c>
      <c r="AY75" s="4395">
        <f>IFERROR(IF((time+time_cap)&lt;AY$2, 0,IF(AND(time+1&gt;=AZ$2, $E75&lt;AZ$2), IF($I75= "I", $J75/($F75-$E75+1), $J75/(($F75*($F75+1)/2)-(($E75-1)*($E75-1+1)/2))*AY$2), 0)+IF(IF(time+1&gt;=AZ$2, $K75/time_cap/(time+1)*AY$2, 0) = 0, $K75/(time_cap),0)),0)</f>
        <v/>
      </c>
      <c r="AZ75" s="4395">
        <f>IFERROR(IF((time+time_cap)&lt;AZ$2, 0,IF(AND(time+1&gt;=BA$2, $E75&lt;BA$2), IF($I75= "I", $J75/($F75-$E75+1), $J75/(($F75*($F75+1)/2)-(($E75-1)*($E75-1+1)/2))*AZ$2), 0)+IF(IF(time+1&gt;=BA$2, $K75/time_cap/(time+1)*AZ$2, 0) = 0, $K75/(time_cap),0)),0)</f>
        <v/>
      </c>
      <c r="BA75" s="4395">
        <f>IFERROR(IF((time+time_cap)&lt;BA$2, 0,IF(AND(time+1&gt;=BB$2, $E75&lt;BB$2), IF($I75= "I", $J75/($F75-$E75+1), $J75/(($F75*($F75+1)/2)-(($E75-1)*($E75-1+1)/2))*BA$2), 0)+IF(IF(time+1&gt;=BB$2, $K75/time_cap/(time+1)*BA$2, 0) = 0, $K75/(time_cap),0)),0)</f>
        <v/>
      </c>
      <c r="BB75" s="4395">
        <f>IFERROR(IF((time+time_cap)&lt;BB$2, 0,IF(AND(time+1&gt;=BC$2, $E75&lt;BC$2), IF($I75= "I", $J75/($F75-$E75+1), $J75/(($F75*($F75+1)/2)-(($E75-1)*($E75-1+1)/2))*BB$2), 0)+IF(IF(time+1&gt;=BC$2, $K75/time_cap/(time+1)*BB$2, 0) = 0, $K75/(time_cap),0)),0)</f>
        <v/>
      </c>
      <c r="BC75" s="4395">
        <f>IFERROR(IF((time+time_cap)&lt;BC$2, 0,IF(AND(time+1&gt;=BD$2, $E75&lt;BD$2), IF($I75= "I", $J75/($F75-$E75+1), $J75/(($F75*($F75+1)/2)-(($E75-1)*($E75-1+1)/2))*BC$2), 0)+IF(IF(time+1&gt;=BD$2, $K75/time_cap/(time+1)*BC$2, 0) = 0, $K75/(time_cap),0)),0)</f>
        <v/>
      </c>
      <c r="BD75" s="4395">
        <f>IFERROR(IF((time+time_cap)&lt;BD$2, 0,IF(AND(time+1&gt;=BE$2, $E75&lt;BE$2), IF($I75= "I", $J75/($F75-$E75+1), $J75/(($F75*($F75+1)/2)-(($E75-1)*($E75-1+1)/2))*BD$2), 0)+IF(IF(time+1&gt;=BE$2, $K75/time_cap/(time+1)*BD$2, 0) = 0, $K75/(time_cap),0)),0)</f>
        <v/>
      </c>
      <c r="BE75" s="4395">
        <f>IFERROR(IF((time+time_cap)&lt;BE$2, 0,IF(AND(time+1&gt;=BF$2, $E75&lt;BF$2), IF($I75= "I", $J75/($F75-$E75+1), $J75/(($F75*($F75+1)/2)-(($E75-1)*($E75-1+1)/2))*BE$2), 0)+IF(IF(time+1&gt;=BF$2, $K75/time_cap/(time+1)*BE$2, 0) = 0, $K75/(time_cap),0)),0)</f>
        <v/>
      </c>
      <c r="BF75" s="4395">
        <f>IFERROR(IF((time+time_cap)&lt;BF$2, 0,IF(AND(time+1&gt;=BG$2, $E75&lt;BG$2), IF($I75= "I", $J75/($F75-$E75+1), $J75/(($F75*($F75+1)/2)-(($E75-1)*($E75-1+1)/2))*BF$2), 0)+IF(IF(time+1&gt;=BG$2, $K75/time_cap/(time+1)*BF$2, 0) = 0, $K75/(time_cap),0)),0)</f>
        <v/>
      </c>
      <c r="BG75" s="4395">
        <f>IFERROR(IF((time+time_cap)&lt;BG$2, 0,IF(AND(time+1&gt;=BH$2, $E75&lt;BH$2), IF($I75= "I", $J75/($F75-$E75+1), $J75/(($F75*($F75+1)/2)-(($E75-1)*($E75-1+1)/2))*BG$2), 0)+IF(IF(time+1&gt;=BH$2, $K75/time_cap/(time+1)*BG$2, 0) = 0, $K75/(time_cap),0)),0)</f>
        <v/>
      </c>
      <c r="BH75" s="4395">
        <f>IFERROR(IF((time+time_cap)&lt;BH$2, 0,IF(AND(time+1&gt;=BI$2, $E75&lt;BI$2), IF($I75= "I", $J75/($F75-$E75+1), $J75/(($F75*($F75+1)/2)-(($E75-1)*($E75-1+1)/2))*BH$2), 0)+IF(IF(time+1&gt;=BI$2, $K75/time_cap/(time+1)*BH$2, 0) = 0, $K75/(time_cap),0)),0)</f>
        <v/>
      </c>
      <c r="BI75" s="4395">
        <f>IFERROR(IF((time+time_cap)&lt;BI$2, 0,IF(AND(time+1&gt;=BJ$2, $E75&lt;BJ$2), IF($I75= "I", $J75/($F75-$E75+1), $J75/(($F75*($F75+1)/2)-(($E75-1)*($E75-1+1)/2))*BI$2), 0)+IF(IF(time+1&gt;=BJ$2, $K75/time_cap/(time+1)*BI$2, 0) = 0, $K75/(time_cap),0)),0)</f>
        <v/>
      </c>
      <c r="BJ75" s="4395">
        <f>IFERROR(IF((time+time_cap)&lt;BJ$2, 0,IF(AND(time+1&gt;=BK$2, $E75&lt;BK$2), IF($I75= "I", $J75/($F75-$E75+1), $J75/(($F75*($F75+1)/2)-(($E75-1)*($E75-1+1)/2))*BJ$2), 0)+IF(IF(time+1&gt;=BK$2, $K75/time_cap/(time+1)*BJ$2, 0) = 0, $K75/(time_cap),0)),0)</f>
        <v/>
      </c>
      <c r="BK75" s="4395" t="n"/>
      <c r="BL75" s="4395" t="n"/>
      <c r="BM75" s="4395" t="n"/>
      <c r="BN75" s="4395" t="n"/>
      <c r="BO75" s="4395" t="n"/>
      <c r="BP75" s="4395" t="n"/>
      <c r="BQ75" s="4395" t="n"/>
      <c r="BR75" s="4395" t="n"/>
      <c r="BS75" s="4395" t="n"/>
      <c r="BT75" s="4395" t="n"/>
      <c r="BU75" s="4395" t="n"/>
      <c r="BV75" s="4395" t="n"/>
      <c r="BW75" s="4395" t="n"/>
      <c r="BX75" s="4395" t="n"/>
      <c r="BY75" s="4395" t="n"/>
      <c r="BZ75" s="4395" t="n"/>
      <c r="CA75" s="4395" t="n"/>
      <c r="CB75" s="4395" t="n"/>
      <c r="CC75" s="4395" t="n"/>
      <c r="CD75" s="4395" t="n"/>
      <c r="CE75" s="4395" t="n"/>
      <c r="CF75" s="4395" t="n"/>
      <c r="CG75" s="4395" t="n"/>
      <c r="CH75" s="4395" t="n"/>
      <c r="CI75" s="4395" t="n"/>
      <c r="CJ75" s="4395" t="n"/>
      <c r="CK75" s="4395" t="n"/>
      <c r="CL75" s="4395" t="n"/>
      <c r="CM75" s="4395" t="n"/>
      <c r="CN75" s="4395" t="n"/>
      <c r="CO75" s="4395" t="n"/>
      <c r="CP75" s="4395" t="n"/>
      <c r="CQ75" s="4395" t="n"/>
      <c r="CR75" s="4395" t="n"/>
      <c r="CS75" s="4395" t="n"/>
      <c r="CT75" s="4395" t="n"/>
      <c r="CU75" s="4395" t="n"/>
      <c r="CV75" s="4395" t="n"/>
      <c r="CW75" s="4395" t="n"/>
      <c r="CX75" s="4395" t="n"/>
      <c r="CY75" s="4395" t="n"/>
      <c r="CZ75" s="4395" t="n"/>
      <c r="DA75" s="4395" t="n"/>
      <c r="DB75" s="4395" t="n"/>
      <c r="DC75" s="4395" t="n"/>
      <c r="DD75" s="4395" t="n"/>
      <c r="DE75" s="4395" t="n"/>
      <c r="DF75" s="4395" t="n"/>
      <c r="DG75" s="4395" t="n"/>
      <c r="DH75" s="4395" t="n"/>
    </row>
    <row r="76" ht="16" customHeight="1">
      <c r="A76" t="inlineStr">
        <is>
          <t>Flooded rice</t>
        </is>
      </c>
      <c r="B76">
        <f>'3.Cropland'!C115</f>
        <v/>
      </c>
      <c r="C76">
        <f>'3.Cropland'!G115</f>
        <v/>
      </c>
      <c r="D76">
        <f>'3.Cropland'!Z115</f>
        <v/>
      </c>
      <c r="E76">
        <f>IF('3.Cropland'!BM115&lt;&gt;0,'3.Cropland'!BM115, '3.Cropland'!BL115)</f>
        <v/>
      </c>
      <c r="F76">
        <f>time</f>
        <v/>
      </c>
      <c r="G76" s="4395">
        <f>'3.Cropland'!S115</f>
        <v/>
      </c>
      <c r="H76" s="4395">
        <f>'3.Cropland'!U115</f>
        <v/>
      </c>
      <c r="I76" s="4395">
        <f>IF(OR(H76="I", G76="I"), "I", IF(OR(H76="E", G76="E"), "E", "D"))</f>
        <v/>
      </c>
      <c r="J76" s="4395">
        <f>((D76/(time_cap+((F76-E76+1)*VLOOKUP(I76,list!$I$48:$K$50,3, FALSE))))*(F76-E76+1)*VLOOKUP(I76,list!$I$48:$K$50,3, FALSE))</f>
        <v/>
      </c>
      <c r="K76" s="4395">
        <f>((D76/(time_cap+((F76-E76+1)*VLOOKUP(I76,list!$I$48:$K$50,3, FALSE))))*time_cap)</f>
        <v/>
      </c>
      <c r="M76" s="4395">
        <f>IFERROR(IF((time+time_cap)&lt;M$2, 0,IF(AND(time+1&gt;=N$2, $E76&lt;N$2), IF($I76= "I", $J76/($F76-$E76+1), $J76/(($F76*($F76+1)/2)-(($E76-1)*($E76-1+1)/2))*M$2), 0)+IF(IF(time+1&gt;=N$2, $K76/time_cap/(time+1)*M$2, 0) = 0, $K76/(time_cap),0)),0)</f>
        <v/>
      </c>
      <c r="N76" s="4395">
        <f>IFERROR(IF((time+time_cap)&lt;N$2, 0,IF(AND(time+1&gt;=O$2, $E76&lt;O$2), IF($I76= "I", $J76/($F76-$E76+1), $J76/(($F76*($F76+1)/2)-(($E76-1)*($E76-1+1)/2))*N$2), 0)+IF(IF(time+1&gt;=O$2, $K76/time_cap/(time+1)*N$2, 0) = 0, $K76/(time_cap),0)),0)</f>
        <v/>
      </c>
      <c r="O76" s="4395">
        <f>IFERROR(IF((time+time_cap)&lt;O$2, 0,IF(AND(time+1&gt;=P$2, $E76&lt;P$2), IF($I76= "I", $J76/($F76-$E76+1), $J76/(($F76*($F76+1)/2)-(($E76-1)*($E76-1+1)/2))*O$2), 0)+IF(IF(time+1&gt;=P$2, $K76/time_cap/(time+1)*O$2, 0) = 0, $K76/(time_cap),0)),0)</f>
        <v/>
      </c>
      <c r="P76" s="4395">
        <f>IFERROR(IF((time+time_cap)&lt;P$2, 0,IF(AND(time+1&gt;=Q$2, $E76&lt;Q$2), IF($I76= "I", $J76/($F76-$E76+1), $J76/(($F76*($F76+1)/2)-(($E76-1)*($E76-1+1)/2))*P$2), 0)+IF(IF(time+1&gt;=Q$2, $K76/time_cap/(time+1)*P$2, 0) = 0, $K76/(time_cap),0)),0)</f>
        <v/>
      </c>
      <c r="Q76" s="4395">
        <f>IFERROR(IF((time+time_cap)&lt;Q$2, 0,IF(AND(time+1&gt;=R$2, $E76&lt;R$2), IF($I76= "I", $J76/($F76-$E76+1), $J76/(($F76*($F76+1)/2)-(($E76-1)*($E76-1+1)/2))*Q$2), 0)+IF(IF(time+1&gt;=R$2, $K76/time_cap/(time+1)*Q$2, 0) = 0, $K76/(time_cap),0)),0)</f>
        <v/>
      </c>
      <c r="R76" s="4395">
        <f>IFERROR(IF((time+time_cap)&lt;R$2, 0,IF(AND(time+1&gt;=S$2, $E76&lt;S$2), IF($I76= "I", $J76/($F76-$E76+1), $J76/(($F76*($F76+1)/2)-(($E76-1)*($E76-1+1)/2))*R$2), 0)+IF(IF(time+1&gt;=S$2, $K76/time_cap/(time+1)*R$2, 0) = 0, $K76/(time_cap),0)),0)</f>
        <v/>
      </c>
      <c r="S76" s="4395">
        <f>IFERROR(IF((time+time_cap)&lt;S$2, 0,IF(AND(time+1&gt;=T$2, $E76&lt;T$2), IF($I76= "I", $J76/($F76-$E76+1), $J76/(($F76*($F76+1)/2)-(($E76-1)*($E76-1+1)/2))*S$2), 0)+IF(IF(time+1&gt;=T$2, $K76/time_cap/(time+1)*S$2, 0) = 0, $K76/(time_cap),0)),0)</f>
        <v/>
      </c>
      <c r="T76" s="4395">
        <f>IFERROR(IF((time+time_cap)&lt;T$2, 0,IF(AND(time+1&gt;=U$2, $E76&lt;U$2), IF($I76= "I", $J76/($F76-$E76+1), $J76/(($F76*($F76+1)/2)-(($E76-1)*($E76-1+1)/2))*T$2), 0)+IF(IF(time+1&gt;=U$2, $K76/time_cap/(time+1)*T$2, 0) = 0, $K76/(time_cap),0)),0)</f>
        <v/>
      </c>
      <c r="U76" s="4395">
        <f>IFERROR(IF((time+time_cap)&lt;U$2, 0,IF(AND(time+1&gt;=V$2, $E76&lt;V$2), IF($I76= "I", $J76/($F76-$E76+1), $J76/(($F76*($F76+1)/2)-(($E76-1)*($E76-1+1)/2))*U$2), 0)+IF(IF(time+1&gt;=V$2, $K76/time_cap/(time+1)*U$2, 0) = 0, $K76/(time_cap),0)),0)</f>
        <v/>
      </c>
      <c r="V76" s="4395">
        <f>IFERROR(IF((time+time_cap)&lt;V$2, 0,IF(AND(time+1&gt;=W$2, $E76&lt;W$2), IF($I76= "I", $J76/($F76-$E76+1), $J76/(($F76*($F76+1)/2)-(($E76-1)*($E76-1+1)/2))*V$2), 0)+IF(IF(time+1&gt;=W$2, $K76/time_cap/(time+1)*V$2, 0) = 0, $K76/(time_cap),0)),0)</f>
        <v/>
      </c>
      <c r="W76" s="4395">
        <f>IFERROR(IF((time+time_cap)&lt;W$2, 0,IF(AND(time+1&gt;=X$2, $E76&lt;X$2), IF($I76= "I", $J76/($F76-$E76+1), $J76/(($F76*($F76+1)/2)-(($E76-1)*($E76-1+1)/2))*W$2), 0)+IF(IF(time+1&gt;=X$2, $K76/time_cap/(time+1)*W$2, 0) = 0, $K76/(time_cap),0)),0)</f>
        <v/>
      </c>
      <c r="X76" s="4395">
        <f>IFERROR(IF((time+time_cap)&lt;X$2, 0,IF(AND(time+1&gt;=Y$2, $E76&lt;Y$2), IF($I76= "I", $J76/($F76-$E76+1), $J76/(($F76*($F76+1)/2)-(($E76-1)*($E76-1+1)/2))*X$2), 0)+IF(IF(time+1&gt;=Y$2, $K76/time_cap/(time+1)*X$2, 0) = 0, $K76/(time_cap),0)),0)</f>
        <v/>
      </c>
      <c r="Y76" s="4395">
        <f>IFERROR(IF((time+time_cap)&lt;Y$2, 0,IF(AND(time+1&gt;=Z$2, $E76&lt;Z$2), IF($I76= "I", $J76/($F76-$E76+1), $J76/(($F76*($F76+1)/2)-(($E76-1)*($E76-1+1)/2))*Y$2), 0)+IF(IF(time+1&gt;=Z$2, $K76/time_cap/(time+1)*Y$2, 0) = 0, $K76/(time_cap),0)),0)</f>
        <v/>
      </c>
      <c r="Z76" s="4395">
        <f>IFERROR(IF((time+time_cap)&lt;Z$2, 0,IF(AND(time+1&gt;=AA$2, $E76&lt;AA$2), IF($I76= "I", $J76/($F76-$E76+1), $J76/(($F76*($F76+1)/2)-(($E76-1)*($E76-1+1)/2))*Z$2), 0)+IF(IF(time+1&gt;=AA$2, $K76/time_cap/(time+1)*Z$2, 0) = 0, $K76/(time_cap),0)),0)</f>
        <v/>
      </c>
      <c r="AA76" s="4395">
        <f>IFERROR(IF((time+time_cap)&lt;AA$2, 0,IF(AND(time+1&gt;=AB$2, $E76&lt;AB$2), IF($I76= "I", $J76/($F76-$E76+1), $J76/(($F76*($F76+1)/2)-(($E76-1)*($E76-1+1)/2))*AA$2), 0)+IF(IF(time+1&gt;=AB$2, $K76/time_cap/(time+1)*AA$2, 0) = 0, $K76/(time_cap),0)),0)</f>
        <v/>
      </c>
      <c r="AB76" s="4395">
        <f>IFERROR(IF((time+time_cap)&lt;AB$2, 0,IF(AND(time+1&gt;=AC$2, $E76&lt;AC$2), IF($I76= "I", $J76/($F76-$E76+1), $J76/(($F76*($F76+1)/2)-(($E76-1)*($E76-1+1)/2))*AB$2), 0)+IF(IF(time+1&gt;=AC$2, $K76/time_cap/(time+1)*AB$2, 0) = 0, $K76/(time_cap),0)),0)</f>
        <v/>
      </c>
      <c r="AC76" s="4395">
        <f>IFERROR(IF((time+time_cap)&lt;AC$2, 0,IF(AND(time+1&gt;=AD$2, $E76&lt;AD$2), IF($I76= "I", $J76/($F76-$E76+1), $J76/(($F76*($F76+1)/2)-(($E76-1)*($E76-1+1)/2))*AC$2), 0)+IF(IF(time+1&gt;=AD$2, $K76/time_cap/(time+1)*AC$2, 0) = 0, $K76/(time_cap),0)),0)</f>
        <v/>
      </c>
      <c r="AD76" s="4395">
        <f>IFERROR(IF((time+time_cap)&lt;AD$2, 0,IF(AND(time+1&gt;=AE$2, $E76&lt;AE$2), IF($I76= "I", $J76/($F76-$E76+1), $J76/(($F76*($F76+1)/2)-(($E76-1)*($E76-1+1)/2))*AD$2), 0)+IF(IF(time+1&gt;=AE$2, $K76/time_cap/(time+1)*AD$2, 0) = 0, $K76/(time_cap),0)),0)</f>
        <v/>
      </c>
      <c r="AE76" s="4395">
        <f>IFERROR(IF((time+time_cap)&lt;AE$2, 0,IF(AND(time+1&gt;=AF$2, $E76&lt;AF$2), IF($I76= "I", $J76/($F76-$E76+1), $J76/(($F76*($F76+1)/2)-(($E76-1)*($E76-1+1)/2))*AE$2), 0)+IF(IF(time+1&gt;=AF$2, $K76/time_cap/(time+1)*AE$2, 0) = 0, $K76/(time_cap),0)),0)</f>
        <v/>
      </c>
      <c r="AF76" s="4395">
        <f>IFERROR(IF((time+time_cap)&lt;AF$2, 0,IF(AND(time+1&gt;=AG$2, $E76&lt;AG$2), IF($I76= "I", $J76/($F76-$E76+1), $J76/(($F76*($F76+1)/2)-(($E76-1)*($E76-1+1)/2))*AF$2), 0)+IF(IF(time+1&gt;=AG$2, $K76/time_cap/(time+1)*AF$2, 0) = 0, $K76/(time_cap),0)),0)</f>
        <v/>
      </c>
      <c r="AG76" s="4395">
        <f>IFERROR(IF((time+time_cap)&lt;AG$2, 0,IF(AND(time+1&gt;=AH$2, $E76&lt;AH$2), IF($I76= "I", $J76/($F76-$E76+1), $J76/(($F76*($F76+1)/2)-(($E76-1)*($E76-1+1)/2))*AG$2), 0)+IF(IF(time+1&gt;=AH$2, $K76/time_cap/(time+1)*AG$2, 0) = 0, $K76/(time_cap),0)),0)</f>
        <v/>
      </c>
      <c r="AH76" s="4395">
        <f>IFERROR(IF((time+time_cap)&lt;AH$2, 0,IF(AND(time+1&gt;=AI$2, $E76&lt;AI$2), IF($I76= "I", $J76/($F76-$E76+1), $J76/(($F76*($F76+1)/2)-(($E76-1)*($E76-1+1)/2))*AH$2), 0)+IF(IF(time+1&gt;=AI$2, $K76/time_cap/(time+1)*AH$2, 0) = 0, $K76/(time_cap),0)),0)</f>
        <v/>
      </c>
      <c r="AI76" s="4395">
        <f>IFERROR(IF((time+time_cap)&lt;AI$2, 0,IF(AND(time+1&gt;=AJ$2, $E76&lt;AJ$2), IF($I76= "I", $J76/($F76-$E76+1), $J76/(($F76*($F76+1)/2)-(($E76-1)*($E76-1+1)/2))*AI$2), 0)+IF(IF(time+1&gt;=AJ$2, $K76/time_cap/(time+1)*AI$2, 0) = 0, $K76/(time_cap),0)),0)</f>
        <v/>
      </c>
      <c r="AJ76" s="4395">
        <f>IFERROR(IF((time+time_cap)&lt;AJ$2, 0,IF(AND(time+1&gt;=AK$2, $E76&lt;AK$2), IF($I76= "I", $J76/($F76-$E76+1), $J76/(($F76*($F76+1)/2)-(($E76-1)*($E76-1+1)/2))*AJ$2), 0)+IF(IF(time+1&gt;=AK$2, $K76/time_cap/(time+1)*AJ$2, 0) = 0, $K76/(time_cap),0)),0)</f>
        <v/>
      </c>
      <c r="AK76" s="4395">
        <f>IFERROR(IF((time+time_cap)&lt;AK$2, 0,IF(AND(time+1&gt;=AL$2, $E76&lt;AL$2), IF($I76= "I", $J76/($F76-$E76+1), $J76/(($F76*($F76+1)/2)-(($E76-1)*($E76-1+1)/2))*AK$2), 0)+IF(IF(time+1&gt;=AL$2, $K76/time_cap/(time+1)*AK$2, 0) = 0, $K76/(time_cap),0)),0)</f>
        <v/>
      </c>
      <c r="AL76" s="4395">
        <f>IFERROR(IF((time+time_cap)&lt;AL$2, 0,IF(AND(time+1&gt;=AM$2, $E76&lt;AM$2), IF($I76= "I", $J76/($F76-$E76+1), $J76/(($F76*($F76+1)/2)-(($E76-1)*($E76-1+1)/2))*AL$2), 0)+IF(IF(time+1&gt;=AM$2, $K76/time_cap/(time+1)*AL$2, 0) = 0, $K76/(time_cap),0)),0)</f>
        <v/>
      </c>
      <c r="AM76" s="4395">
        <f>IFERROR(IF((time+time_cap)&lt;AM$2, 0,IF(AND(time+1&gt;=AN$2, $E76&lt;AN$2), IF($I76= "I", $J76/($F76-$E76+1), $J76/(($F76*($F76+1)/2)-(($E76-1)*($E76-1+1)/2))*AM$2), 0)+IF(IF(time+1&gt;=AN$2, $K76/time_cap/(time+1)*AM$2, 0) = 0, $K76/(time_cap),0)),0)</f>
        <v/>
      </c>
      <c r="AN76" s="4395">
        <f>IFERROR(IF((time+time_cap)&lt;AN$2, 0,IF(AND(time+1&gt;=AO$2, $E76&lt;AO$2), IF($I76= "I", $J76/($F76-$E76+1), $J76/(($F76*($F76+1)/2)-(($E76-1)*($E76-1+1)/2))*AN$2), 0)+IF(IF(time+1&gt;=AO$2, $K76/time_cap/(time+1)*AN$2, 0) = 0, $K76/(time_cap),0)),0)</f>
        <v/>
      </c>
      <c r="AO76" s="4395">
        <f>IFERROR(IF((time+time_cap)&lt;AO$2, 0,IF(AND(time+1&gt;=AP$2, $E76&lt;AP$2), IF($I76= "I", $J76/($F76-$E76+1), $J76/(($F76*($F76+1)/2)-(($E76-1)*($E76-1+1)/2))*AO$2), 0)+IF(IF(time+1&gt;=AP$2, $K76/time_cap/(time+1)*AO$2, 0) = 0, $K76/(time_cap),0)),0)</f>
        <v/>
      </c>
      <c r="AP76" s="4395">
        <f>IFERROR(IF((time+time_cap)&lt;AP$2, 0,IF(AND(time+1&gt;=AQ$2, $E76&lt;AQ$2), IF($I76= "I", $J76/($F76-$E76+1), $J76/(($F76*($F76+1)/2)-(($E76-1)*($E76-1+1)/2))*AP$2), 0)+IF(IF(time+1&gt;=AQ$2, $K76/time_cap/(time+1)*AP$2, 0) = 0, $K76/(time_cap),0)),0)</f>
        <v/>
      </c>
      <c r="AQ76" s="4395">
        <f>IFERROR(IF((time+time_cap)&lt;AQ$2, 0,IF(AND(time+1&gt;=AR$2, $E76&lt;AR$2), IF($I76= "I", $J76/($F76-$E76+1), $J76/(($F76*($F76+1)/2)-(($E76-1)*($E76-1+1)/2))*AQ$2), 0)+IF(IF(time+1&gt;=AR$2, $K76/time_cap/(time+1)*AQ$2, 0) = 0, $K76/(time_cap),0)),0)</f>
        <v/>
      </c>
      <c r="AR76" s="4395">
        <f>IFERROR(IF((time+time_cap)&lt;AR$2, 0,IF(AND(time+1&gt;=AS$2, $E76&lt;AS$2), IF($I76= "I", $J76/($F76-$E76+1), $J76/(($F76*($F76+1)/2)-(($E76-1)*($E76-1+1)/2))*AR$2), 0)+IF(IF(time+1&gt;=AS$2, $K76/time_cap/(time+1)*AR$2, 0) = 0, $K76/(time_cap),0)),0)</f>
        <v/>
      </c>
      <c r="AS76" s="4395">
        <f>IFERROR(IF((time+time_cap)&lt;AS$2, 0,IF(AND(time+1&gt;=AT$2, $E76&lt;AT$2), IF($I76= "I", $J76/($F76-$E76+1), $J76/(($F76*($F76+1)/2)-(($E76-1)*($E76-1+1)/2))*AS$2), 0)+IF(IF(time+1&gt;=AT$2, $K76/time_cap/(time+1)*AS$2, 0) = 0, $K76/(time_cap),0)),0)</f>
        <v/>
      </c>
      <c r="AT76" s="4395">
        <f>IFERROR(IF((time+time_cap)&lt;AT$2, 0,IF(AND(time+1&gt;=AU$2, $E76&lt;AU$2), IF($I76= "I", $J76/($F76-$E76+1), $J76/(($F76*($F76+1)/2)-(($E76-1)*($E76-1+1)/2))*AT$2), 0)+IF(IF(time+1&gt;=AU$2, $K76/time_cap/(time+1)*AT$2, 0) = 0, $K76/(time_cap),0)),0)</f>
        <v/>
      </c>
      <c r="AU76" s="4395">
        <f>IFERROR(IF((time+time_cap)&lt;AU$2, 0,IF(AND(time+1&gt;=AV$2, $E76&lt;AV$2), IF($I76= "I", $J76/($F76-$E76+1), $J76/(($F76*($F76+1)/2)-(($E76-1)*($E76-1+1)/2))*AU$2), 0)+IF(IF(time+1&gt;=AV$2, $K76/time_cap/(time+1)*AU$2, 0) = 0, $K76/(time_cap),0)),0)</f>
        <v/>
      </c>
      <c r="AV76" s="4395">
        <f>IFERROR(IF((time+time_cap)&lt;AV$2, 0,IF(AND(time+1&gt;=AW$2, $E76&lt;AW$2), IF($I76= "I", $J76/($F76-$E76+1), $J76/(($F76*($F76+1)/2)-(($E76-1)*($E76-1+1)/2))*AV$2), 0)+IF(IF(time+1&gt;=AW$2, $K76/time_cap/(time+1)*AV$2, 0) = 0, $K76/(time_cap),0)),0)</f>
        <v/>
      </c>
      <c r="AW76" s="4395">
        <f>IFERROR(IF((time+time_cap)&lt;AW$2, 0,IF(AND(time+1&gt;=AX$2, $E76&lt;AX$2), IF($I76= "I", $J76/($F76-$E76+1), $J76/(($F76*($F76+1)/2)-(($E76-1)*($E76-1+1)/2))*AW$2), 0)+IF(IF(time+1&gt;=AX$2, $K76/time_cap/(time+1)*AW$2, 0) = 0, $K76/(time_cap),0)),0)</f>
        <v/>
      </c>
      <c r="AX76" s="4395">
        <f>IFERROR(IF((time+time_cap)&lt;AX$2, 0,IF(AND(time+1&gt;=AY$2, $E76&lt;AY$2), IF($I76= "I", $J76/($F76-$E76+1), $J76/(($F76*($F76+1)/2)-(($E76-1)*($E76-1+1)/2))*AX$2), 0)+IF(IF(time+1&gt;=AY$2, $K76/time_cap/(time+1)*AX$2, 0) = 0, $K76/(time_cap),0)),0)</f>
        <v/>
      </c>
      <c r="AY76" s="4395">
        <f>IFERROR(IF((time+time_cap)&lt;AY$2, 0,IF(AND(time+1&gt;=AZ$2, $E76&lt;AZ$2), IF($I76= "I", $J76/($F76-$E76+1), $J76/(($F76*($F76+1)/2)-(($E76-1)*($E76-1+1)/2))*AY$2), 0)+IF(IF(time+1&gt;=AZ$2, $K76/time_cap/(time+1)*AY$2, 0) = 0, $K76/(time_cap),0)),0)</f>
        <v/>
      </c>
      <c r="AZ76" s="4395">
        <f>IFERROR(IF((time+time_cap)&lt;AZ$2, 0,IF(AND(time+1&gt;=BA$2, $E76&lt;BA$2), IF($I76= "I", $J76/($F76-$E76+1), $J76/(($F76*($F76+1)/2)-(($E76-1)*($E76-1+1)/2))*AZ$2), 0)+IF(IF(time+1&gt;=BA$2, $K76/time_cap/(time+1)*AZ$2, 0) = 0, $K76/(time_cap),0)),0)</f>
        <v/>
      </c>
      <c r="BA76" s="4395">
        <f>IFERROR(IF((time+time_cap)&lt;BA$2, 0,IF(AND(time+1&gt;=BB$2, $E76&lt;BB$2), IF($I76= "I", $J76/($F76-$E76+1), $J76/(($F76*($F76+1)/2)-(($E76-1)*($E76-1+1)/2))*BA$2), 0)+IF(IF(time+1&gt;=BB$2, $K76/time_cap/(time+1)*BA$2, 0) = 0, $K76/(time_cap),0)),0)</f>
        <v/>
      </c>
      <c r="BB76" s="4395">
        <f>IFERROR(IF((time+time_cap)&lt;BB$2, 0,IF(AND(time+1&gt;=BC$2, $E76&lt;BC$2), IF($I76= "I", $J76/($F76-$E76+1), $J76/(($F76*($F76+1)/2)-(($E76-1)*($E76-1+1)/2))*BB$2), 0)+IF(IF(time+1&gt;=BC$2, $K76/time_cap/(time+1)*BB$2, 0) = 0, $K76/(time_cap),0)),0)</f>
        <v/>
      </c>
      <c r="BC76" s="4395">
        <f>IFERROR(IF((time+time_cap)&lt;BC$2, 0,IF(AND(time+1&gt;=BD$2, $E76&lt;BD$2), IF($I76= "I", $J76/($F76-$E76+1), $J76/(($F76*($F76+1)/2)-(($E76-1)*($E76-1+1)/2))*BC$2), 0)+IF(IF(time+1&gt;=BD$2, $K76/time_cap/(time+1)*BC$2, 0) = 0, $K76/(time_cap),0)),0)</f>
        <v/>
      </c>
      <c r="BD76" s="4395">
        <f>IFERROR(IF((time+time_cap)&lt;BD$2, 0,IF(AND(time+1&gt;=BE$2, $E76&lt;BE$2), IF($I76= "I", $J76/($F76-$E76+1), $J76/(($F76*($F76+1)/2)-(($E76-1)*($E76-1+1)/2))*BD$2), 0)+IF(IF(time+1&gt;=BE$2, $K76/time_cap/(time+1)*BD$2, 0) = 0, $K76/(time_cap),0)),0)</f>
        <v/>
      </c>
      <c r="BE76" s="4395">
        <f>IFERROR(IF((time+time_cap)&lt;BE$2, 0,IF(AND(time+1&gt;=BF$2, $E76&lt;BF$2), IF($I76= "I", $J76/($F76-$E76+1), $J76/(($F76*($F76+1)/2)-(($E76-1)*($E76-1+1)/2))*BE$2), 0)+IF(IF(time+1&gt;=BF$2, $K76/time_cap/(time+1)*BE$2, 0) = 0, $K76/(time_cap),0)),0)</f>
        <v/>
      </c>
      <c r="BF76" s="4395">
        <f>IFERROR(IF((time+time_cap)&lt;BF$2, 0,IF(AND(time+1&gt;=BG$2, $E76&lt;BG$2), IF($I76= "I", $J76/($F76-$E76+1), $J76/(($F76*($F76+1)/2)-(($E76-1)*($E76-1+1)/2))*BF$2), 0)+IF(IF(time+1&gt;=BG$2, $K76/time_cap/(time+1)*BF$2, 0) = 0, $K76/(time_cap),0)),0)</f>
        <v/>
      </c>
      <c r="BG76" s="4395">
        <f>IFERROR(IF((time+time_cap)&lt;BG$2, 0,IF(AND(time+1&gt;=BH$2, $E76&lt;BH$2), IF($I76= "I", $J76/($F76-$E76+1), $J76/(($F76*($F76+1)/2)-(($E76-1)*($E76-1+1)/2))*BG$2), 0)+IF(IF(time+1&gt;=BH$2, $K76/time_cap/(time+1)*BG$2, 0) = 0, $K76/(time_cap),0)),0)</f>
        <v/>
      </c>
      <c r="BH76" s="4395">
        <f>IFERROR(IF((time+time_cap)&lt;BH$2, 0,IF(AND(time+1&gt;=BI$2, $E76&lt;BI$2), IF($I76= "I", $J76/($F76-$E76+1), $J76/(($F76*($F76+1)/2)-(($E76-1)*($E76-1+1)/2))*BH$2), 0)+IF(IF(time+1&gt;=BI$2, $K76/time_cap/(time+1)*BH$2, 0) = 0, $K76/(time_cap),0)),0)</f>
        <v/>
      </c>
      <c r="BI76" s="4395">
        <f>IFERROR(IF((time+time_cap)&lt;BI$2, 0,IF(AND(time+1&gt;=BJ$2, $E76&lt;BJ$2), IF($I76= "I", $J76/($F76-$E76+1), $J76/(($F76*($F76+1)/2)-(($E76-1)*($E76-1+1)/2))*BI$2), 0)+IF(IF(time+1&gt;=BJ$2, $K76/time_cap/(time+1)*BI$2, 0) = 0, $K76/(time_cap),0)),0)</f>
        <v/>
      </c>
      <c r="BJ76" s="4395">
        <f>IFERROR(IF((time+time_cap)&lt;BJ$2, 0,IF(AND(time+1&gt;=BK$2, $E76&lt;BK$2), IF($I76= "I", $J76/($F76-$E76+1), $J76/(($F76*($F76+1)/2)-(($E76-1)*($E76-1+1)/2))*BJ$2), 0)+IF(IF(time+1&gt;=BK$2, $K76/time_cap/(time+1)*BJ$2, 0) = 0, $K76/(time_cap),0)),0)</f>
        <v/>
      </c>
      <c r="BK76" s="4395" t="n"/>
      <c r="BL76" s="4395" t="n"/>
      <c r="BM76" s="4395" t="n"/>
      <c r="BN76" s="4395" t="n"/>
      <c r="BO76" s="4395" t="n"/>
      <c r="BP76" s="4395" t="n"/>
      <c r="BQ76" s="4395" t="n"/>
      <c r="BR76" s="4395" t="n"/>
      <c r="BS76" s="4395" t="n"/>
      <c r="BT76" s="4395" t="n"/>
      <c r="BU76" s="4395" t="n"/>
      <c r="BV76" s="4395" t="n"/>
      <c r="BW76" s="4395" t="n"/>
      <c r="BX76" s="4395" t="n"/>
      <c r="BY76" s="4395" t="n"/>
      <c r="BZ76" s="4395" t="n"/>
      <c r="CA76" s="4395" t="n"/>
      <c r="CB76" s="4395" t="n"/>
      <c r="CC76" s="4395" t="n"/>
      <c r="CD76" s="4395" t="n"/>
      <c r="CE76" s="4395" t="n"/>
      <c r="CF76" s="4395" t="n"/>
      <c r="CG76" s="4395" t="n"/>
      <c r="CH76" s="4395" t="n"/>
      <c r="CI76" s="4395" t="n"/>
      <c r="CJ76" s="4395" t="n"/>
      <c r="CK76" s="4395" t="n"/>
      <c r="CL76" s="4395" t="n"/>
      <c r="CM76" s="4395" t="n"/>
      <c r="CN76" s="4395" t="n"/>
      <c r="CO76" s="4395" t="n"/>
      <c r="CP76" s="4395" t="n"/>
      <c r="CQ76" s="4395" t="n"/>
      <c r="CR76" s="4395" t="n"/>
      <c r="CS76" s="4395" t="n"/>
      <c r="CT76" s="4395" t="n"/>
      <c r="CU76" s="4395" t="n"/>
      <c r="CV76" s="4395" t="n"/>
      <c r="CW76" s="4395" t="n"/>
      <c r="CX76" s="4395" t="n"/>
      <c r="CY76" s="4395" t="n"/>
      <c r="CZ76" s="4395" t="n"/>
      <c r="DA76" s="4395" t="n"/>
      <c r="DB76" s="4395" t="n"/>
      <c r="DC76" s="4395" t="n"/>
      <c r="DD76" s="4395" t="n"/>
      <c r="DE76" s="4395" t="n"/>
      <c r="DF76" s="4395" t="n"/>
      <c r="DG76" s="4395" t="n"/>
      <c r="DH76" s="4395" t="n"/>
    </row>
    <row r="77" ht="16" customHeight="1">
      <c r="A77" t="inlineStr">
        <is>
          <t>Flooded rice</t>
        </is>
      </c>
      <c r="B77">
        <f>'3.Cropland'!C116</f>
        <v/>
      </c>
      <c r="C77">
        <f>'3.Cropland'!G116</f>
        <v/>
      </c>
      <c r="D77">
        <f>'3.Cropland'!Z116</f>
        <v/>
      </c>
      <c r="E77">
        <f>IF('3.Cropland'!BM116&lt;&gt;0,'3.Cropland'!BM116, '3.Cropland'!BL116)</f>
        <v/>
      </c>
      <c r="F77">
        <f>time</f>
        <v/>
      </c>
      <c r="G77" s="4395">
        <f>'3.Cropland'!S116</f>
        <v/>
      </c>
      <c r="H77" s="4395">
        <f>'3.Cropland'!U116</f>
        <v/>
      </c>
      <c r="I77" s="4395">
        <f>IF(OR(H77="I", G77="I"), "I", IF(OR(H77="E", G77="E"), "E", "D"))</f>
        <v/>
      </c>
      <c r="J77" s="4395">
        <f>((D77/(time_cap+((F77-E77+1)*VLOOKUP(I77,list!$I$48:$K$50,3, FALSE))))*(F77-E77+1)*VLOOKUP(I77,list!$I$48:$K$50,3, FALSE))</f>
        <v/>
      </c>
      <c r="K77" s="4395">
        <f>((D77/(time_cap+((F77-E77+1)*VLOOKUP(I77,list!$I$48:$K$50,3, FALSE))))*time_cap)</f>
        <v/>
      </c>
      <c r="M77" s="4395">
        <f>IFERROR(IF((time+time_cap)&lt;M$2, 0,IF(AND(time+1&gt;=N$2, $E77&lt;N$2), IF($I77= "I", $J77/($F77-$E77+1), $J77/(($F77*($F77+1)/2)-(($E77-1)*($E77-1+1)/2))*M$2), 0)+IF(IF(time+1&gt;=N$2, $K77/time_cap/(time+1)*M$2, 0) = 0, $K77/(time_cap),0)),0)</f>
        <v/>
      </c>
      <c r="N77" s="4395">
        <f>IFERROR(IF((time+time_cap)&lt;N$2, 0,IF(AND(time+1&gt;=O$2, $E77&lt;O$2), IF($I77= "I", $J77/($F77-$E77+1), $J77/(($F77*($F77+1)/2)-(($E77-1)*($E77-1+1)/2))*N$2), 0)+IF(IF(time+1&gt;=O$2, $K77/time_cap/(time+1)*N$2, 0) = 0, $K77/(time_cap),0)),0)</f>
        <v/>
      </c>
      <c r="O77" s="4395">
        <f>IFERROR(IF((time+time_cap)&lt;O$2, 0,IF(AND(time+1&gt;=P$2, $E77&lt;P$2), IF($I77= "I", $J77/($F77-$E77+1), $J77/(($F77*($F77+1)/2)-(($E77-1)*($E77-1+1)/2))*O$2), 0)+IF(IF(time+1&gt;=P$2, $K77/time_cap/(time+1)*O$2, 0) = 0, $K77/(time_cap),0)),0)</f>
        <v/>
      </c>
      <c r="P77" s="4395">
        <f>IFERROR(IF((time+time_cap)&lt;P$2, 0,IF(AND(time+1&gt;=Q$2, $E77&lt;Q$2), IF($I77= "I", $J77/($F77-$E77+1), $J77/(($F77*($F77+1)/2)-(($E77-1)*($E77-1+1)/2))*P$2), 0)+IF(IF(time+1&gt;=Q$2, $K77/time_cap/(time+1)*P$2, 0) = 0, $K77/(time_cap),0)),0)</f>
        <v/>
      </c>
      <c r="Q77" s="4395">
        <f>IFERROR(IF((time+time_cap)&lt;Q$2, 0,IF(AND(time+1&gt;=R$2, $E77&lt;R$2), IF($I77= "I", $J77/($F77-$E77+1), $J77/(($F77*($F77+1)/2)-(($E77-1)*($E77-1+1)/2))*Q$2), 0)+IF(IF(time+1&gt;=R$2, $K77/time_cap/(time+1)*Q$2, 0) = 0, $K77/(time_cap),0)),0)</f>
        <v/>
      </c>
      <c r="R77" s="4395">
        <f>IFERROR(IF((time+time_cap)&lt;R$2, 0,IF(AND(time+1&gt;=S$2, $E77&lt;S$2), IF($I77= "I", $J77/($F77-$E77+1), $J77/(($F77*($F77+1)/2)-(($E77-1)*($E77-1+1)/2))*R$2), 0)+IF(IF(time+1&gt;=S$2, $K77/time_cap/(time+1)*R$2, 0) = 0, $K77/(time_cap),0)),0)</f>
        <v/>
      </c>
      <c r="S77" s="4395">
        <f>IFERROR(IF((time+time_cap)&lt;S$2, 0,IF(AND(time+1&gt;=T$2, $E77&lt;T$2), IF($I77= "I", $J77/($F77-$E77+1), $J77/(($F77*($F77+1)/2)-(($E77-1)*($E77-1+1)/2))*S$2), 0)+IF(IF(time+1&gt;=T$2, $K77/time_cap/(time+1)*S$2, 0) = 0, $K77/(time_cap),0)),0)</f>
        <v/>
      </c>
      <c r="T77" s="4395">
        <f>IFERROR(IF((time+time_cap)&lt;T$2, 0,IF(AND(time+1&gt;=U$2, $E77&lt;U$2), IF($I77= "I", $J77/($F77-$E77+1), $J77/(($F77*($F77+1)/2)-(($E77-1)*($E77-1+1)/2))*T$2), 0)+IF(IF(time+1&gt;=U$2, $K77/time_cap/(time+1)*T$2, 0) = 0, $K77/(time_cap),0)),0)</f>
        <v/>
      </c>
      <c r="U77" s="4395">
        <f>IFERROR(IF((time+time_cap)&lt;U$2, 0,IF(AND(time+1&gt;=V$2, $E77&lt;V$2), IF($I77= "I", $J77/($F77-$E77+1), $J77/(($F77*($F77+1)/2)-(($E77-1)*($E77-1+1)/2))*U$2), 0)+IF(IF(time+1&gt;=V$2, $K77/time_cap/(time+1)*U$2, 0) = 0, $K77/(time_cap),0)),0)</f>
        <v/>
      </c>
      <c r="V77" s="4395">
        <f>IFERROR(IF((time+time_cap)&lt;V$2, 0,IF(AND(time+1&gt;=W$2, $E77&lt;W$2), IF($I77= "I", $J77/($F77-$E77+1), $J77/(($F77*($F77+1)/2)-(($E77-1)*($E77-1+1)/2))*V$2), 0)+IF(IF(time+1&gt;=W$2, $K77/time_cap/(time+1)*V$2, 0) = 0, $K77/(time_cap),0)),0)</f>
        <v/>
      </c>
      <c r="W77" s="4395">
        <f>IFERROR(IF((time+time_cap)&lt;W$2, 0,IF(AND(time+1&gt;=X$2, $E77&lt;X$2), IF($I77= "I", $J77/($F77-$E77+1), $J77/(($F77*($F77+1)/2)-(($E77-1)*($E77-1+1)/2))*W$2), 0)+IF(IF(time+1&gt;=X$2, $K77/time_cap/(time+1)*W$2, 0) = 0, $K77/(time_cap),0)),0)</f>
        <v/>
      </c>
      <c r="X77" s="4395">
        <f>IFERROR(IF((time+time_cap)&lt;X$2, 0,IF(AND(time+1&gt;=Y$2, $E77&lt;Y$2), IF($I77= "I", $J77/($F77-$E77+1), $J77/(($F77*($F77+1)/2)-(($E77-1)*($E77-1+1)/2))*X$2), 0)+IF(IF(time+1&gt;=Y$2, $K77/time_cap/(time+1)*X$2, 0) = 0, $K77/(time_cap),0)),0)</f>
        <v/>
      </c>
      <c r="Y77" s="4395">
        <f>IFERROR(IF((time+time_cap)&lt;Y$2, 0,IF(AND(time+1&gt;=Z$2, $E77&lt;Z$2), IF($I77= "I", $J77/($F77-$E77+1), $J77/(($F77*($F77+1)/2)-(($E77-1)*($E77-1+1)/2))*Y$2), 0)+IF(IF(time+1&gt;=Z$2, $K77/time_cap/(time+1)*Y$2, 0) = 0, $K77/(time_cap),0)),0)</f>
        <v/>
      </c>
      <c r="Z77" s="4395">
        <f>IFERROR(IF((time+time_cap)&lt;Z$2, 0,IF(AND(time+1&gt;=AA$2, $E77&lt;AA$2), IF($I77= "I", $J77/($F77-$E77+1), $J77/(($F77*($F77+1)/2)-(($E77-1)*($E77-1+1)/2))*Z$2), 0)+IF(IF(time+1&gt;=AA$2, $K77/time_cap/(time+1)*Z$2, 0) = 0, $K77/(time_cap),0)),0)</f>
        <v/>
      </c>
      <c r="AA77" s="4395">
        <f>IFERROR(IF((time+time_cap)&lt;AA$2, 0,IF(AND(time+1&gt;=AB$2, $E77&lt;AB$2), IF($I77= "I", $J77/($F77-$E77+1), $J77/(($F77*($F77+1)/2)-(($E77-1)*($E77-1+1)/2))*AA$2), 0)+IF(IF(time+1&gt;=AB$2, $K77/time_cap/(time+1)*AA$2, 0) = 0, $K77/(time_cap),0)),0)</f>
        <v/>
      </c>
      <c r="AB77" s="4395">
        <f>IFERROR(IF((time+time_cap)&lt;AB$2, 0,IF(AND(time+1&gt;=AC$2, $E77&lt;AC$2), IF($I77= "I", $J77/($F77-$E77+1), $J77/(($F77*($F77+1)/2)-(($E77-1)*($E77-1+1)/2))*AB$2), 0)+IF(IF(time+1&gt;=AC$2, $K77/time_cap/(time+1)*AB$2, 0) = 0, $K77/(time_cap),0)),0)</f>
        <v/>
      </c>
      <c r="AC77" s="4395">
        <f>IFERROR(IF((time+time_cap)&lt;AC$2, 0,IF(AND(time+1&gt;=AD$2, $E77&lt;AD$2), IF($I77= "I", $J77/($F77-$E77+1), $J77/(($F77*($F77+1)/2)-(($E77-1)*($E77-1+1)/2))*AC$2), 0)+IF(IF(time+1&gt;=AD$2, $K77/time_cap/(time+1)*AC$2, 0) = 0, $K77/(time_cap),0)),0)</f>
        <v/>
      </c>
      <c r="AD77" s="4395">
        <f>IFERROR(IF((time+time_cap)&lt;AD$2, 0,IF(AND(time+1&gt;=AE$2, $E77&lt;AE$2), IF($I77= "I", $J77/($F77-$E77+1), $J77/(($F77*($F77+1)/2)-(($E77-1)*($E77-1+1)/2))*AD$2), 0)+IF(IF(time+1&gt;=AE$2, $K77/time_cap/(time+1)*AD$2, 0) = 0, $K77/(time_cap),0)),0)</f>
        <v/>
      </c>
      <c r="AE77" s="4395">
        <f>IFERROR(IF((time+time_cap)&lt;AE$2, 0,IF(AND(time+1&gt;=AF$2, $E77&lt;AF$2), IF($I77= "I", $J77/($F77-$E77+1), $J77/(($F77*($F77+1)/2)-(($E77-1)*($E77-1+1)/2))*AE$2), 0)+IF(IF(time+1&gt;=AF$2, $K77/time_cap/(time+1)*AE$2, 0) = 0, $K77/(time_cap),0)),0)</f>
        <v/>
      </c>
      <c r="AF77" s="4395">
        <f>IFERROR(IF((time+time_cap)&lt;AF$2, 0,IF(AND(time+1&gt;=AG$2, $E77&lt;AG$2), IF($I77= "I", $J77/($F77-$E77+1), $J77/(($F77*($F77+1)/2)-(($E77-1)*($E77-1+1)/2))*AF$2), 0)+IF(IF(time+1&gt;=AG$2, $K77/time_cap/(time+1)*AF$2, 0) = 0, $K77/(time_cap),0)),0)</f>
        <v/>
      </c>
      <c r="AG77" s="4395">
        <f>IFERROR(IF((time+time_cap)&lt;AG$2, 0,IF(AND(time+1&gt;=AH$2, $E77&lt;AH$2), IF($I77= "I", $J77/($F77-$E77+1), $J77/(($F77*($F77+1)/2)-(($E77-1)*($E77-1+1)/2))*AG$2), 0)+IF(IF(time+1&gt;=AH$2, $K77/time_cap/(time+1)*AG$2, 0) = 0, $K77/(time_cap),0)),0)</f>
        <v/>
      </c>
      <c r="AH77" s="4395">
        <f>IFERROR(IF((time+time_cap)&lt;AH$2, 0,IF(AND(time+1&gt;=AI$2, $E77&lt;AI$2), IF($I77= "I", $J77/($F77-$E77+1), $J77/(($F77*($F77+1)/2)-(($E77-1)*($E77-1+1)/2))*AH$2), 0)+IF(IF(time+1&gt;=AI$2, $K77/time_cap/(time+1)*AH$2, 0) = 0, $K77/(time_cap),0)),0)</f>
        <v/>
      </c>
      <c r="AI77" s="4395">
        <f>IFERROR(IF((time+time_cap)&lt;AI$2, 0,IF(AND(time+1&gt;=AJ$2, $E77&lt;AJ$2), IF($I77= "I", $J77/($F77-$E77+1), $J77/(($F77*($F77+1)/2)-(($E77-1)*($E77-1+1)/2))*AI$2), 0)+IF(IF(time+1&gt;=AJ$2, $K77/time_cap/(time+1)*AI$2, 0) = 0, $K77/(time_cap),0)),0)</f>
        <v/>
      </c>
      <c r="AJ77" s="4395">
        <f>IFERROR(IF((time+time_cap)&lt;AJ$2, 0,IF(AND(time+1&gt;=AK$2, $E77&lt;AK$2), IF($I77= "I", $J77/($F77-$E77+1), $J77/(($F77*($F77+1)/2)-(($E77-1)*($E77-1+1)/2))*AJ$2), 0)+IF(IF(time+1&gt;=AK$2, $K77/time_cap/(time+1)*AJ$2, 0) = 0, $K77/(time_cap),0)),0)</f>
        <v/>
      </c>
      <c r="AK77" s="4395">
        <f>IFERROR(IF((time+time_cap)&lt;AK$2, 0,IF(AND(time+1&gt;=AL$2, $E77&lt;AL$2), IF($I77= "I", $J77/($F77-$E77+1), $J77/(($F77*($F77+1)/2)-(($E77-1)*($E77-1+1)/2))*AK$2), 0)+IF(IF(time+1&gt;=AL$2, $K77/time_cap/(time+1)*AK$2, 0) = 0, $K77/(time_cap),0)),0)</f>
        <v/>
      </c>
      <c r="AL77" s="4395">
        <f>IFERROR(IF((time+time_cap)&lt;AL$2, 0,IF(AND(time+1&gt;=AM$2, $E77&lt;AM$2), IF($I77= "I", $J77/($F77-$E77+1), $J77/(($F77*($F77+1)/2)-(($E77-1)*($E77-1+1)/2))*AL$2), 0)+IF(IF(time+1&gt;=AM$2, $K77/time_cap/(time+1)*AL$2, 0) = 0, $K77/(time_cap),0)),0)</f>
        <v/>
      </c>
      <c r="AM77" s="4395">
        <f>IFERROR(IF((time+time_cap)&lt;AM$2, 0,IF(AND(time+1&gt;=AN$2, $E77&lt;AN$2), IF($I77= "I", $J77/($F77-$E77+1), $J77/(($F77*($F77+1)/2)-(($E77-1)*($E77-1+1)/2))*AM$2), 0)+IF(IF(time+1&gt;=AN$2, $K77/time_cap/(time+1)*AM$2, 0) = 0, $K77/(time_cap),0)),0)</f>
        <v/>
      </c>
      <c r="AN77" s="4395">
        <f>IFERROR(IF((time+time_cap)&lt;AN$2, 0,IF(AND(time+1&gt;=AO$2, $E77&lt;AO$2), IF($I77= "I", $J77/($F77-$E77+1), $J77/(($F77*($F77+1)/2)-(($E77-1)*($E77-1+1)/2))*AN$2), 0)+IF(IF(time+1&gt;=AO$2, $K77/time_cap/(time+1)*AN$2, 0) = 0, $K77/(time_cap),0)),0)</f>
        <v/>
      </c>
      <c r="AO77" s="4395">
        <f>IFERROR(IF((time+time_cap)&lt;AO$2, 0,IF(AND(time+1&gt;=AP$2, $E77&lt;AP$2), IF($I77= "I", $J77/($F77-$E77+1), $J77/(($F77*($F77+1)/2)-(($E77-1)*($E77-1+1)/2))*AO$2), 0)+IF(IF(time+1&gt;=AP$2, $K77/time_cap/(time+1)*AO$2, 0) = 0, $K77/(time_cap),0)),0)</f>
        <v/>
      </c>
      <c r="AP77" s="4395">
        <f>IFERROR(IF((time+time_cap)&lt;AP$2, 0,IF(AND(time+1&gt;=AQ$2, $E77&lt;AQ$2), IF($I77= "I", $J77/($F77-$E77+1), $J77/(($F77*($F77+1)/2)-(($E77-1)*($E77-1+1)/2))*AP$2), 0)+IF(IF(time+1&gt;=AQ$2, $K77/time_cap/(time+1)*AP$2, 0) = 0, $K77/(time_cap),0)),0)</f>
        <v/>
      </c>
      <c r="AQ77" s="4395">
        <f>IFERROR(IF((time+time_cap)&lt;AQ$2, 0,IF(AND(time+1&gt;=AR$2, $E77&lt;AR$2), IF($I77= "I", $J77/($F77-$E77+1), $J77/(($F77*($F77+1)/2)-(($E77-1)*($E77-1+1)/2))*AQ$2), 0)+IF(IF(time+1&gt;=AR$2, $K77/time_cap/(time+1)*AQ$2, 0) = 0, $K77/(time_cap),0)),0)</f>
        <v/>
      </c>
      <c r="AR77" s="4395">
        <f>IFERROR(IF((time+time_cap)&lt;AR$2, 0,IF(AND(time+1&gt;=AS$2, $E77&lt;AS$2), IF($I77= "I", $J77/($F77-$E77+1), $J77/(($F77*($F77+1)/2)-(($E77-1)*($E77-1+1)/2))*AR$2), 0)+IF(IF(time+1&gt;=AS$2, $K77/time_cap/(time+1)*AR$2, 0) = 0, $K77/(time_cap),0)),0)</f>
        <v/>
      </c>
      <c r="AS77" s="4395">
        <f>IFERROR(IF((time+time_cap)&lt;AS$2, 0,IF(AND(time+1&gt;=AT$2, $E77&lt;AT$2), IF($I77= "I", $J77/($F77-$E77+1), $J77/(($F77*($F77+1)/2)-(($E77-1)*($E77-1+1)/2))*AS$2), 0)+IF(IF(time+1&gt;=AT$2, $K77/time_cap/(time+1)*AS$2, 0) = 0, $K77/(time_cap),0)),0)</f>
        <v/>
      </c>
      <c r="AT77" s="4395">
        <f>IFERROR(IF((time+time_cap)&lt;AT$2, 0,IF(AND(time+1&gt;=AU$2, $E77&lt;AU$2), IF($I77= "I", $J77/($F77-$E77+1), $J77/(($F77*($F77+1)/2)-(($E77-1)*($E77-1+1)/2))*AT$2), 0)+IF(IF(time+1&gt;=AU$2, $K77/time_cap/(time+1)*AT$2, 0) = 0, $K77/(time_cap),0)),0)</f>
        <v/>
      </c>
      <c r="AU77" s="4395">
        <f>IFERROR(IF((time+time_cap)&lt;AU$2, 0,IF(AND(time+1&gt;=AV$2, $E77&lt;AV$2), IF($I77= "I", $J77/($F77-$E77+1), $J77/(($F77*($F77+1)/2)-(($E77-1)*($E77-1+1)/2))*AU$2), 0)+IF(IF(time+1&gt;=AV$2, $K77/time_cap/(time+1)*AU$2, 0) = 0, $K77/(time_cap),0)),0)</f>
        <v/>
      </c>
      <c r="AV77" s="4395">
        <f>IFERROR(IF((time+time_cap)&lt;AV$2, 0,IF(AND(time+1&gt;=AW$2, $E77&lt;AW$2), IF($I77= "I", $J77/($F77-$E77+1), $J77/(($F77*($F77+1)/2)-(($E77-1)*($E77-1+1)/2))*AV$2), 0)+IF(IF(time+1&gt;=AW$2, $K77/time_cap/(time+1)*AV$2, 0) = 0, $K77/(time_cap),0)),0)</f>
        <v/>
      </c>
      <c r="AW77" s="4395">
        <f>IFERROR(IF((time+time_cap)&lt;AW$2, 0,IF(AND(time+1&gt;=AX$2, $E77&lt;AX$2), IF($I77= "I", $J77/($F77-$E77+1), $J77/(($F77*($F77+1)/2)-(($E77-1)*($E77-1+1)/2))*AW$2), 0)+IF(IF(time+1&gt;=AX$2, $K77/time_cap/(time+1)*AW$2, 0) = 0, $K77/(time_cap),0)),0)</f>
        <v/>
      </c>
      <c r="AX77" s="4395">
        <f>IFERROR(IF((time+time_cap)&lt;AX$2, 0,IF(AND(time+1&gt;=AY$2, $E77&lt;AY$2), IF($I77= "I", $J77/($F77-$E77+1), $J77/(($F77*($F77+1)/2)-(($E77-1)*($E77-1+1)/2))*AX$2), 0)+IF(IF(time+1&gt;=AY$2, $K77/time_cap/(time+1)*AX$2, 0) = 0, $K77/(time_cap),0)),0)</f>
        <v/>
      </c>
      <c r="AY77" s="4395">
        <f>IFERROR(IF((time+time_cap)&lt;AY$2, 0,IF(AND(time+1&gt;=AZ$2, $E77&lt;AZ$2), IF($I77= "I", $J77/($F77-$E77+1), $J77/(($F77*($F77+1)/2)-(($E77-1)*($E77-1+1)/2))*AY$2), 0)+IF(IF(time+1&gt;=AZ$2, $K77/time_cap/(time+1)*AY$2, 0) = 0, $K77/(time_cap),0)),0)</f>
        <v/>
      </c>
      <c r="AZ77" s="4395">
        <f>IFERROR(IF((time+time_cap)&lt;AZ$2, 0,IF(AND(time+1&gt;=BA$2, $E77&lt;BA$2), IF($I77= "I", $J77/($F77-$E77+1), $J77/(($F77*($F77+1)/2)-(($E77-1)*($E77-1+1)/2))*AZ$2), 0)+IF(IF(time+1&gt;=BA$2, $K77/time_cap/(time+1)*AZ$2, 0) = 0, $K77/(time_cap),0)),0)</f>
        <v/>
      </c>
      <c r="BA77" s="4395">
        <f>IFERROR(IF((time+time_cap)&lt;BA$2, 0,IF(AND(time+1&gt;=BB$2, $E77&lt;BB$2), IF($I77= "I", $J77/($F77-$E77+1), $J77/(($F77*($F77+1)/2)-(($E77-1)*($E77-1+1)/2))*BA$2), 0)+IF(IF(time+1&gt;=BB$2, $K77/time_cap/(time+1)*BA$2, 0) = 0, $K77/(time_cap),0)),0)</f>
        <v/>
      </c>
      <c r="BB77" s="4395">
        <f>IFERROR(IF((time+time_cap)&lt;BB$2, 0,IF(AND(time+1&gt;=BC$2, $E77&lt;BC$2), IF($I77= "I", $J77/($F77-$E77+1), $J77/(($F77*($F77+1)/2)-(($E77-1)*($E77-1+1)/2))*BB$2), 0)+IF(IF(time+1&gt;=BC$2, $K77/time_cap/(time+1)*BB$2, 0) = 0, $K77/(time_cap),0)),0)</f>
        <v/>
      </c>
      <c r="BC77" s="4395">
        <f>IFERROR(IF((time+time_cap)&lt;BC$2, 0,IF(AND(time+1&gt;=BD$2, $E77&lt;BD$2), IF($I77= "I", $J77/($F77-$E77+1), $J77/(($F77*($F77+1)/2)-(($E77-1)*($E77-1+1)/2))*BC$2), 0)+IF(IF(time+1&gt;=BD$2, $K77/time_cap/(time+1)*BC$2, 0) = 0, $K77/(time_cap),0)),0)</f>
        <v/>
      </c>
      <c r="BD77" s="4395">
        <f>IFERROR(IF((time+time_cap)&lt;BD$2, 0,IF(AND(time+1&gt;=BE$2, $E77&lt;BE$2), IF($I77= "I", $J77/($F77-$E77+1), $J77/(($F77*($F77+1)/2)-(($E77-1)*($E77-1+1)/2))*BD$2), 0)+IF(IF(time+1&gt;=BE$2, $K77/time_cap/(time+1)*BD$2, 0) = 0, $K77/(time_cap),0)),0)</f>
        <v/>
      </c>
      <c r="BE77" s="4395">
        <f>IFERROR(IF((time+time_cap)&lt;BE$2, 0,IF(AND(time+1&gt;=BF$2, $E77&lt;BF$2), IF($I77= "I", $J77/($F77-$E77+1), $J77/(($F77*($F77+1)/2)-(($E77-1)*($E77-1+1)/2))*BE$2), 0)+IF(IF(time+1&gt;=BF$2, $K77/time_cap/(time+1)*BE$2, 0) = 0, $K77/(time_cap),0)),0)</f>
        <v/>
      </c>
      <c r="BF77" s="4395">
        <f>IFERROR(IF((time+time_cap)&lt;BF$2, 0,IF(AND(time+1&gt;=BG$2, $E77&lt;BG$2), IF($I77= "I", $J77/($F77-$E77+1), $J77/(($F77*($F77+1)/2)-(($E77-1)*($E77-1+1)/2))*BF$2), 0)+IF(IF(time+1&gt;=BG$2, $K77/time_cap/(time+1)*BF$2, 0) = 0, $K77/(time_cap),0)),0)</f>
        <v/>
      </c>
      <c r="BG77" s="4395">
        <f>IFERROR(IF((time+time_cap)&lt;BG$2, 0,IF(AND(time+1&gt;=BH$2, $E77&lt;BH$2), IF($I77= "I", $J77/($F77-$E77+1), $J77/(($F77*($F77+1)/2)-(($E77-1)*($E77-1+1)/2))*BG$2), 0)+IF(IF(time+1&gt;=BH$2, $K77/time_cap/(time+1)*BG$2, 0) = 0, $K77/(time_cap),0)),0)</f>
        <v/>
      </c>
      <c r="BH77" s="4395">
        <f>IFERROR(IF((time+time_cap)&lt;BH$2, 0,IF(AND(time+1&gt;=BI$2, $E77&lt;BI$2), IF($I77= "I", $J77/($F77-$E77+1), $J77/(($F77*($F77+1)/2)-(($E77-1)*($E77-1+1)/2))*BH$2), 0)+IF(IF(time+1&gt;=BI$2, $K77/time_cap/(time+1)*BH$2, 0) = 0, $K77/(time_cap),0)),0)</f>
        <v/>
      </c>
      <c r="BI77" s="4395">
        <f>IFERROR(IF((time+time_cap)&lt;BI$2, 0,IF(AND(time+1&gt;=BJ$2, $E77&lt;BJ$2), IF($I77= "I", $J77/($F77-$E77+1), $J77/(($F77*($F77+1)/2)-(($E77-1)*($E77-1+1)/2))*BI$2), 0)+IF(IF(time+1&gt;=BJ$2, $K77/time_cap/(time+1)*BI$2, 0) = 0, $K77/(time_cap),0)),0)</f>
        <v/>
      </c>
      <c r="BJ77" s="4395">
        <f>IFERROR(IF((time+time_cap)&lt;BJ$2, 0,IF(AND(time+1&gt;=BK$2, $E77&lt;BK$2), IF($I77= "I", $J77/($F77-$E77+1), $J77/(($F77*($F77+1)/2)-(($E77-1)*($E77-1+1)/2))*BJ$2), 0)+IF(IF(time+1&gt;=BK$2, $K77/time_cap/(time+1)*BJ$2, 0) = 0, $K77/(time_cap),0)),0)</f>
        <v/>
      </c>
      <c r="BK77" s="4395" t="n"/>
      <c r="BL77" s="4395" t="n"/>
      <c r="BM77" s="4395" t="n"/>
      <c r="BN77" s="4395" t="n"/>
      <c r="BO77" s="4395" t="n"/>
      <c r="BP77" s="4395" t="n"/>
      <c r="BQ77" s="4395" t="n"/>
      <c r="BR77" s="4395" t="n"/>
      <c r="BS77" s="4395" t="n"/>
      <c r="BT77" s="4395" t="n"/>
      <c r="BU77" s="4395" t="n"/>
      <c r="BV77" s="4395" t="n"/>
      <c r="BW77" s="4395" t="n"/>
      <c r="BX77" s="4395" t="n"/>
      <c r="BY77" s="4395" t="n"/>
      <c r="BZ77" s="4395" t="n"/>
      <c r="CA77" s="4395" t="n"/>
      <c r="CB77" s="4395" t="n"/>
      <c r="CC77" s="4395" t="n"/>
      <c r="CD77" s="4395" t="n"/>
      <c r="CE77" s="4395" t="n"/>
      <c r="CF77" s="4395" t="n"/>
      <c r="CG77" s="4395" t="n"/>
      <c r="CH77" s="4395" t="n"/>
      <c r="CI77" s="4395" t="n"/>
      <c r="CJ77" s="4395" t="n"/>
      <c r="CK77" s="4395" t="n"/>
      <c r="CL77" s="4395" t="n"/>
      <c r="CM77" s="4395" t="n"/>
      <c r="CN77" s="4395" t="n"/>
      <c r="CO77" s="4395" t="n"/>
      <c r="CP77" s="4395" t="n"/>
      <c r="CQ77" s="4395" t="n"/>
      <c r="CR77" s="4395" t="n"/>
      <c r="CS77" s="4395" t="n"/>
      <c r="CT77" s="4395" t="n"/>
      <c r="CU77" s="4395" t="n"/>
      <c r="CV77" s="4395" t="n"/>
      <c r="CW77" s="4395" t="n"/>
      <c r="CX77" s="4395" t="n"/>
      <c r="CY77" s="4395" t="n"/>
      <c r="CZ77" s="4395" t="n"/>
      <c r="DA77" s="4395" t="n"/>
      <c r="DB77" s="4395" t="n"/>
      <c r="DC77" s="4395" t="n"/>
      <c r="DD77" s="4395" t="n"/>
      <c r="DE77" s="4395" t="n"/>
      <c r="DF77" s="4395" t="n"/>
      <c r="DG77" s="4395" t="n"/>
      <c r="DH77" s="4395" t="n"/>
    </row>
    <row r="78" ht="16" customHeight="1">
      <c r="A78" t="inlineStr">
        <is>
          <t>Flooded rice</t>
        </is>
      </c>
      <c r="B78">
        <f>'3.Cropland'!C117</f>
        <v/>
      </c>
      <c r="C78">
        <f>'3.Cropland'!G117</f>
        <v/>
      </c>
      <c r="D78">
        <f>'3.Cropland'!Z117</f>
        <v/>
      </c>
      <c r="E78">
        <f>IF('3.Cropland'!BM117&lt;&gt;0,'3.Cropland'!BM117, '3.Cropland'!BL117)</f>
        <v/>
      </c>
      <c r="F78">
        <f>time</f>
        <v/>
      </c>
      <c r="G78" s="4395">
        <f>'3.Cropland'!S117</f>
        <v/>
      </c>
      <c r="H78" s="4395">
        <f>'3.Cropland'!U117</f>
        <v/>
      </c>
      <c r="I78" s="4395">
        <f>IF(OR(H78="I", G78="I"), "I", IF(OR(H78="E", G78="E"), "E", "D"))</f>
        <v/>
      </c>
      <c r="J78" s="4395">
        <f>((D78/(time_cap+((F78-E78+1)*VLOOKUP(I78,list!$I$48:$K$50,3, FALSE))))*(F78-E78+1)*VLOOKUP(I78,list!$I$48:$K$50,3, FALSE))</f>
        <v/>
      </c>
      <c r="K78" s="4395">
        <f>((D78/(time_cap+((F78-E78+1)*VLOOKUP(I78,list!$I$48:$K$50,3, FALSE))))*time_cap)</f>
        <v/>
      </c>
      <c r="M78" s="4395">
        <f>IFERROR(IF((time+time_cap)&lt;M$2, 0,IF(AND(time+1&gt;=N$2, $E78&lt;N$2), IF($I78= "I", $J78/($F78-$E78+1), $J78/(($F78*($F78+1)/2)-(($E78-1)*($E78-1+1)/2))*M$2), 0)+IF(IF(time+1&gt;=N$2, $K78/time_cap/(time+1)*M$2, 0) = 0, $K78/(time_cap),0)),0)</f>
        <v/>
      </c>
      <c r="N78" s="4395">
        <f>IFERROR(IF((time+time_cap)&lt;N$2, 0,IF(AND(time+1&gt;=O$2, $E78&lt;O$2), IF($I78= "I", $J78/($F78-$E78+1), $J78/(($F78*($F78+1)/2)-(($E78-1)*($E78-1+1)/2))*N$2), 0)+IF(IF(time+1&gt;=O$2, $K78/time_cap/(time+1)*N$2, 0) = 0, $K78/(time_cap),0)),0)</f>
        <v/>
      </c>
      <c r="O78" s="4395">
        <f>IFERROR(IF((time+time_cap)&lt;O$2, 0,IF(AND(time+1&gt;=P$2, $E78&lt;P$2), IF($I78= "I", $J78/($F78-$E78+1), $J78/(($F78*($F78+1)/2)-(($E78-1)*($E78-1+1)/2))*O$2), 0)+IF(IF(time+1&gt;=P$2, $K78/time_cap/(time+1)*O$2, 0) = 0, $K78/(time_cap),0)),0)</f>
        <v/>
      </c>
      <c r="P78" s="4395">
        <f>IFERROR(IF((time+time_cap)&lt;P$2, 0,IF(AND(time+1&gt;=Q$2, $E78&lt;Q$2), IF($I78= "I", $J78/($F78-$E78+1), $J78/(($F78*($F78+1)/2)-(($E78-1)*($E78-1+1)/2))*P$2), 0)+IF(IF(time+1&gt;=Q$2, $K78/time_cap/(time+1)*P$2, 0) = 0, $K78/(time_cap),0)),0)</f>
        <v/>
      </c>
      <c r="Q78" s="4395">
        <f>IFERROR(IF((time+time_cap)&lt;Q$2, 0,IF(AND(time+1&gt;=R$2, $E78&lt;R$2), IF($I78= "I", $J78/($F78-$E78+1), $J78/(($F78*($F78+1)/2)-(($E78-1)*($E78-1+1)/2))*Q$2), 0)+IF(IF(time+1&gt;=R$2, $K78/time_cap/(time+1)*Q$2, 0) = 0, $K78/(time_cap),0)),0)</f>
        <v/>
      </c>
      <c r="R78" s="4395">
        <f>IFERROR(IF((time+time_cap)&lt;R$2, 0,IF(AND(time+1&gt;=S$2, $E78&lt;S$2), IF($I78= "I", $J78/($F78-$E78+1), $J78/(($F78*($F78+1)/2)-(($E78-1)*($E78-1+1)/2))*R$2), 0)+IF(IF(time+1&gt;=S$2, $K78/time_cap/(time+1)*R$2, 0) = 0, $K78/(time_cap),0)),0)</f>
        <v/>
      </c>
      <c r="S78" s="4395">
        <f>IFERROR(IF((time+time_cap)&lt;S$2, 0,IF(AND(time+1&gt;=T$2, $E78&lt;T$2), IF($I78= "I", $J78/($F78-$E78+1), $J78/(($F78*($F78+1)/2)-(($E78-1)*($E78-1+1)/2))*S$2), 0)+IF(IF(time+1&gt;=T$2, $K78/time_cap/(time+1)*S$2, 0) = 0, $K78/(time_cap),0)),0)</f>
        <v/>
      </c>
      <c r="T78" s="4395">
        <f>IFERROR(IF((time+time_cap)&lt;T$2, 0,IF(AND(time+1&gt;=U$2, $E78&lt;U$2), IF($I78= "I", $J78/($F78-$E78+1), $J78/(($F78*($F78+1)/2)-(($E78-1)*($E78-1+1)/2))*T$2), 0)+IF(IF(time+1&gt;=U$2, $K78/time_cap/(time+1)*T$2, 0) = 0, $K78/(time_cap),0)),0)</f>
        <v/>
      </c>
      <c r="U78" s="4395">
        <f>IFERROR(IF((time+time_cap)&lt;U$2, 0,IF(AND(time+1&gt;=V$2, $E78&lt;V$2), IF($I78= "I", $J78/($F78-$E78+1), $J78/(($F78*($F78+1)/2)-(($E78-1)*($E78-1+1)/2))*U$2), 0)+IF(IF(time+1&gt;=V$2, $K78/time_cap/(time+1)*U$2, 0) = 0, $K78/(time_cap),0)),0)</f>
        <v/>
      </c>
      <c r="V78" s="4395">
        <f>IFERROR(IF((time+time_cap)&lt;V$2, 0,IF(AND(time+1&gt;=W$2, $E78&lt;W$2), IF($I78= "I", $J78/($F78-$E78+1), $J78/(($F78*($F78+1)/2)-(($E78-1)*($E78-1+1)/2))*V$2), 0)+IF(IF(time+1&gt;=W$2, $K78/time_cap/(time+1)*V$2, 0) = 0, $K78/(time_cap),0)),0)</f>
        <v/>
      </c>
      <c r="W78" s="4395">
        <f>IFERROR(IF((time+time_cap)&lt;W$2, 0,IF(AND(time+1&gt;=X$2, $E78&lt;X$2), IF($I78= "I", $J78/($F78-$E78+1), $J78/(($F78*($F78+1)/2)-(($E78-1)*($E78-1+1)/2))*W$2), 0)+IF(IF(time+1&gt;=X$2, $K78/time_cap/(time+1)*W$2, 0) = 0, $K78/(time_cap),0)),0)</f>
        <v/>
      </c>
      <c r="X78" s="4395">
        <f>IFERROR(IF((time+time_cap)&lt;X$2, 0,IF(AND(time+1&gt;=Y$2, $E78&lt;Y$2), IF($I78= "I", $J78/($F78-$E78+1), $J78/(($F78*($F78+1)/2)-(($E78-1)*($E78-1+1)/2))*X$2), 0)+IF(IF(time+1&gt;=Y$2, $K78/time_cap/(time+1)*X$2, 0) = 0, $K78/(time_cap),0)),0)</f>
        <v/>
      </c>
      <c r="Y78" s="4395">
        <f>IFERROR(IF((time+time_cap)&lt;Y$2, 0,IF(AND(time+1&gt;=Z$2, $E78&lt;Z$2), IF($I78= "I", $J78/($F78-$E78+1), $J78/(($F78*($F78+1)/2)-(($E78-1)*($E78-1+1)/2))*Y$2), 0)+IF(IF(time+1&gt;=Z$2, $K78/time_cap/(time+1)*Y$2, 0) = 0, $K78/(time_cap),0)),0)</f>
        <v/>
      </c>
      <c r="Z78" s="4395">
        <f>IFERROR(IF((time+time_cap)&lt;Z$2, 0,IF(AND(time+1&gt;=AA$2, $E78&lt;AA$2), IF($I78= "I", $J78/($F78-$E78+1), $J78/(($F78*($F78+1)/2)-(($E78-1)*($E78-1+1)/2))*Z$2), 0)+IF(IF(time+1&gt;=AA$2, $K78/time_cap/(time+1)*Z$2, 0) = 0, $K78/(time_cap),0)),0)</f>
        <v/>
      </c>
      <c r="AA78" s="4395">
        <f>IFERROR(IF((time+time_cap)&lt;AA$2, 0,IF(AND(time+1&gt;=AB$2, $E78&lt;AB$2), IF($I78= "I", $J78/($F78-$E78+1), $J78/(($F78*($F78+1)/2)-(($E78-1)*($E78-1+1)/2))*AA$2), 0)+IF(IF(time+1&gt;=AB$2, $K78/time_cap/(time+1)*AA$2, 0) = 0, $K78/(time_cap),0)),0)</f>
        <v/>
      </c>
      <c r="AB78" s="4395">
        <f>IFERROR(IF((time+time_cap)&lt;AB$2, 0,IF(AND(time+1&gt;=AC$2, $E78&lt;AC$2), IF($I78= "I", $J78/($F78-$E78+1), $J78/(($F78*($F78+1)/2)-(($E78-1)*($E78-1+1)/2))*AB$2), 0)+IF(IF(time+1&gt;=AC$2, $K78/time_cap/(time+1)*AB$2, 0) = 0, $K78/(time_cap),0)),0)</f>
        <v/>
      </c>
      <c r="AC78" s="4395">
        <f>IFERROR(IF((time+time_cap)&lt;AC$2, 0,IF(AND(time+1&gt;=AD$2, $E78&lt;AD$2), IF($I78= "I", $J78/($F78-$E78+1), $J78/(($F78*($F78+1)/2)-(($E78-1)*($E78-1+1)/2))*AC$2), 0)+IF(IF(time+1&gt;=AD$2, $K78/time_cap/(time+1)*AC$2, 0) = 0, $K78/(time_cap),0)),0)</f>
        <v/>
      </c>
      <c r="AD78" s="4395">
        <f>IFERROR(IF((time+time_cap)&lt;AD$2, 0,IF(AND(time+1&gt;=AE$2, $E78&lt;AE$2), IF($I78= "I", $J78/($F78-$E78+1), $J78/(($F78*($F78+1)/2)-(($E78-1)*($E78-1+1)/2))*AD$2), 0)+IF(IF(time+1&gt;=AE$2, $K78/time_cap/(time+1)*AD$2, 0) = 0, $K78/(time_cap),0)),0)</f>
        <v/>
      </c>
      <c r="AE78" s="4395">
        <f>IFERROR(IF((time+time_cap)&lt;AE$2, 0,IF(AND(time+1&gt;=AF$2, $E78&lt;AF$2), IF($I78= "I", $J78/($F78-$E78+1), $J78/(($F78*($F78+1)/2)-(($E78-1)*($E78-1+1)/2))*AE$2), 0)+IF(IF(time+1&gt;=AF$2, $K78/time_cap/(time+1)*AE$2, 0) = 0, $K78/(time_cap),0)),0)</f>
        <v/>
      </c>
      <c r="AF78" s="4395">
        <f>IFERROR(IF((time+time_cap)&lt;AF$2, 0,IF(AND(time+1&gt;=AG$2, $E78&lt;AG$2), IF($I78= "I", $J78/($F78-$E78+1), $J78/(($F78*($F78+1)/2)-(($E78-1)*($E78-1+1)/2))*AF$2), 0)+IF(IF(time+1&gt;=AG$2, $K78/time_cap/(time+1)*AF$2, 0) = 0, $K78/(time_cap),0)),0)</f>
        <v/>
      </c>
      <c r="AG78" s="4395">
        <f>IFERROR(IF((time+time_cap)&lt;AG$2, 0,IF(AND(time+1&gt;=AH$2, $E78&lt;AH$2), IF($I78= "I", $J78/($F78-$E78+1), $J78/(($F78*($F78+1)/2)-(($E78-1)*($E78-1+1)/2))*AG$2), 0)+IF(IF(time+1&gt;=AH$2, $K78/time_cap/(time+1)*AG$2, 0) = 0, $K78/(time_cap),0)),0)</f>
        <v/>
      </c>
      <c r="AH78" s="4395">
        <f>IFERROR(IF((time+time_cap)&lt;AH$2, 0,IF(AND(time+1&gt;=AI$2, $E78&lt;AI$2), IF($I78= "I", $J78/($F78-$E78+1), $J78/(($F78*($F78+1)/2)-(($E78-1)*($E78-1+1)/2))*AH$2), 0)+IF(IF(time+1&gt;=AI$2, $K78/time_cap/(time+1)*AH$2, 0) = 0, $K78/(time_cap),0)),0)</f>
        <v/>
      </c>
      <c r="AI78" s="4395">
        <f>IFERROR(IF((time+time_cap)&lt;AI$2, 0,IF(AND(time+1&gt;=AJ$2, $E78&lt;AJ$2), IF($I78= "I", $J78/($F78-$E78+1), $J78/(($F78*($F78+1)/2)-(($E78-1)*($E78-1+1)/2))*AI$2), 0)+IF(IF(time+1&gt;=AJ$2, $K78/time_cap/(time+1)*AI$2, 0) = 0, $K78/(time_cap),0)),0)</f>
        <v/>
      </c>
      <c r="AJ78" s="4395">
        <f>IFERROR(IF((time+time_cap)&lt;AJ$2, 0,IF(AND(time+1&gt;=AK$2, $E78&lt;AK$2), IF($I78= "I", $J78/($F78-$E78+1), $J78/(($F78*($F78+1)/2)-(($E78-1)*($E78-1+1)/2))*AJ$2), 0)+IF(IF(time+1&gt;=AK$2, $K78/time_cap/(time+1)*AJ$2, 0) = 0, $K78/(time_cap),0)),0)</f>
        <v/>
      </c>
      <c r="AK78" s="4395">
        <f>IFERROR(IF((time+time_cap)&lt;AK$2, 0,IF(AND(time+1&gt;=AL$2, $E78&lt;AL$2), IF($I78= "I", $J78/($F78-$E78+1), $J78/(($F78*($F78+1)/2)-(($E78-1)*($E78-1+1)/2))*AK$2), 0)+IF(IF(time+1&gt;=AL$2, $K78/time_cap/(time+1)*AK$2, 0) = 0, $K78/(time_cap),0)),0)</f>
        <v/>
      </c>
      <c r="AL78" s="4395">
        <f>IFERROR(IF((time+time_cap)&lt;AL$2, 0,IF(AND(time+1&gt;=AM$2, $E78&lt;AM$2), IF($I78= "I", $J78/($F78-$E78+1), $J78/(($F78*($F78+1)/2)-(($E78-1)*($E78-1+1)/2))*AL$2), 0)+IF(IF(time+1&gt;=AM$2, $K78/time_cap/(time+1)*AL$2, 0) = 0, $K78/(time_cap),0)),0)</f>
        <v/>
      </c>
      <c r="AM78" s="4395">
        <f>IFERROR(IF((time+time_cap)&lt;AM$2, 0,IF(AND(time+1&gt;=AN$2, $E78&lt;AN$2), IF($I78= "I", $J78/($F78-$E78+1), $J78/(($F78*($F78+1)/2)-(($E78-1)*($E78-1+1)/2))*AM$2), 0)+IF(IF(time+1&gt;=AN$2, $K78/time_cap/(time+1)*AM$2, 0) = 0, $K78/(time_cap),0)),0)</f>
        <v/>
      </c>
      <c r="AN78" s="4395">
        <f>IFERROR(IF((time+time_cap)&lt;AN$2, 0,IF(AND(time+1&gt;=AO$2, $E78&lt;AO$2), IF($I78= "I", $J78/($F78-$E78+1), $J78/(($F78*($F78+1)/2)-(($E78-1)*($E78-1+1)/2))*AN$2), 0)+IF(IF(time+1&gt;=AO$2, $K78/time_cap/(time+1)*AN$2, 0) = 0, $K78/(time_cap),0)),0)</f>
        <v/>
      </c>
      <c r="AO78" s="4395">
        <f>IFERROR(IF((time+time_cap)&lt;AO$2, 0,IF(AND(time+1&gt;=AP$2, $E78&lt;AP$2), IF($I78= "I", $J78/($F78-$E78+1), $J78/(($F78*($F78+1)/2)-(($E78-1)*($E78-1+1)/2))*AO$2), 0)+IF(IF(time+1&gt;=AP$2, $K78/time_cap/(time+1)*AO$2, 0) = 0, $K78/(time_cap),0)),0)</f>
        <v/>
      </c>
      <c r="AP78" s="4395">
        <f>IFERROR(IF((time+time_cap)&lt;AP$2, 0,IF(AND(time+1&gt;=AQ$2, $E78&lt;AQ$2), IF($I78= "I", $J78/($F78-$E78+1), $J78/(($F78*($F78+1)/2)-(($E78-1)*($E78-1+1)/2))*AP$2), 0)+IF(IF(time+1&gt;=AQ$2, $K78/time_cap/(time+1)*AP$2, 0) = 0, $K78/(time_cap),0)),0)</f>
        <v/>
      </c>
      <c r="AQ78" s="4395">
        <f>IFERROR(IF((time+time_cap)&lt;AQ$2, 0,IF(AND(time+1&gt;=AR$2, $E78&lt;AR$2), IF($I78= "I", $J78/($F78-$E78+1), $J78/(($F78*($F78+1)/2)-(($E78-1)*($E78-1+1)/2))*AQ$2), 0)+IF(IF(time+1&gt;=AR$2, $K78/time_cap/(time+1)*AQ$2, 0) = 0, $K78/(time_cap),0)),0)</f>
        <v/>
      </c>
      <c r="AR78" s="4395">
        <f>IFERROR(IF((time+time_cap)&lt;AR$2, 0,IF(AND(time+1&gt;=AS$2, $E78&lt;AS$2), IF($I78= "I", $J78/($F78-$E78+1), $J78/(($F78*($F78+1)/2)-(($E78-1)*($E78-1+1)/2))*AR$2), 0)+IF(IF(time+1&gt;=AS$2, $K78/time_cap/(time+1)*AR$2, 0) = 0, $K78/(time_cap),0)),0)</f>
        <v/>
      </c>
      <c r="AS78" s="4395">
        <f>IFERROR(IF((time+time_cap)&lt;AS$2, 0,IF(AND(time+1&gt;=AT$2, $E78&lt;AT$2), IF($I78= "I", $J78/($F78-$E78+1), $J78/(($F78*($F78+1)/2)-(($E78-1)*($E78-1+1)/2))*AS$2), 0)+IF(IF(time+1&gt;=AT$2, $K78/time_cap/(time+1)*AS$2, 0) = 0, $K78/(time_cap),0)),0)</f>
        <v/>
      </c>
      <c r="AT78" s="4395">
        <f>IFERROR(IF((time+time_cap)&lt;AT$2, 0,IF(AND(time+1&gt;=AU$2, $E78&lt;AU$2), IF($I78= "I", $J78/($F78-$E78+1), $J78/(($F78*($F78+1)/2)-(($E78-1)*($E78-1+1)/2))*AT$2), 0)+IF(IF(time+1&gt;=AU$2, $K78/time_cap/(time+1)*AT$2, 0) = 0, $K78/(time_cap),0)),0)</f>
        <v/>
      </c>
      <c r="AU78" s="4395">
        <f>IFERROR(IF((time+time_cap)&lt;AU$2, 0,IF(AND(time+1&gt;=AV$2, $E78&lt;AV$2), IF($I78= "I", $J78/($F78-$E78+1), $J78/(($F78*($F78+1)/2)-(($E78-1)*($E78-1+1)/2))*AU$2), 0)+IF(IF(time+1&gt;=AV$2, $K78/time_cap/(time+1)*AU$2, 0) = 0, $K78/(time_cap),0)),0)</f>
        <v/>
      </c>
      <c r="AV78" s="4395">
        <f>IFERROR(IF((time+time_cap)&lt;AV$2, 0,IF(AND(time+1&gt;=AW$2, $E78&lt;AW$2), IF($I78= "I", $J78/($F78-$E78+1), $J78/(($F78*($F78+1)/2)-(($E78-1)*($E78-1+1)/2))*AV$2), 0)+IF(IF(time+1&gt;=AW$2, $K78/time_cap/(time+1)*AV$2, 0) = 0, $K78/(time_cap),0)),0)</f>
        <v/>
      </c>
      <c r="AW78" s="4395">
        <f>IFERROR(IF((time+time_cap)&lt;AW$2, 0,IF(AND(time+1&gt;=AX$2, $E78&lt;AX$2), IF($I78= "I", $J78/($F78-$E78+1), $J78/(($F78*($F78+1)/2)-(($E78-1)*($E78-1+1)/2))*AW$2), 0)+IF(IF(time+1&gt;=AX$2, $K78/time_cap/(time+1)*AW$2, 0) = 0, $K78/(time_cap),0)),0)</f>
        <v/>
      </c>
      <c r="AX78" s="4395">
        <f>IFERROR(IF((time+time_cap)&lt;AX$2, 0,IF(AND(time+1&gt;=AY$2, $E78&lt;AY$2), IF($I78= "I", $J78/($F78-$E78+1), $J78/(($F78*($F78+1)/2)-(($E78-1)*($E78-1+1)/2))*AX$2), 0)+IF(IF(time+1&gt;=AY$2, $K78/time_cap/(time+1)*AX$2, 0) = 0, $K78/(time_cap),0)),0)</f>
        <v/>
      </c>
      <c r="AY78" s="4395">
        <f>IFERROR(IF((time+time_cap)&lt;AY$2, 0,IF(AND(time+1&gt;=AZ$2, $E78&lt;AZ$2), IF($I78= "I", $J78/($F78-$E78+1), $J78/(($F78*($F78+1)/2)-(($E78-1)*($E78-1+1)/2))*AY$2), 0)+IF(IF(time+1&gt;=AZ$2, $K78/time_cap/(time+1)*AY$2, 0) = 0, $K78/(time_cap),0)),0)</f>
        <v/>
      </c>
      <c r="AZ78" s="4395">
        <f>IFERROR(IF((time+time_cap)&lt;AZ$2, 0,IF(AND(time+1&gt;=BA$2, $E78&lt;BA$2), IF($I78= "I", $J78/($F78-$E78+1), $J78/(($F78*($F78+1)/2)-(($E78-1)*($E78-1+1)/2))*AZ$2), 0)+IF(IF(time+1&gt;=BA$2, $K78/time_cap/(time+1)*AZ$2, 0) = 0, $K78/(time_cap),0)),0)</f>
        <v/>
      </c>
      <c r="BA78" s="4395">
        <f>IFERROR(IF((time+time_cap)&lt;BA$2, 0,IF(AND(time+1&gt;=BB$2, $E78&lt;BB$2), IF($I78= "I", $J78/($F78-$E78+1), $J78/(($F78*($F78+1)/2)-(($E78-1)*($E78-1+1)/2))*BA$2), 0)+IF(IF(time+1&gt;=BB$2, $K78/time_cap/(time+1)*BA$2, 0) = 0, $K78/(time_cap),0)),0)</f>
        <v/>
      </c>
      <c r="BB78" s="4395">
        <f>IFERROR(IF((time+time_cap)&lt;BB$2, 0,IF(AND(time+1&gt;=BC$2, $E78&lt;BC$2), IF($I78= "I", $J78/($F78-$E78+1), $J78/(($F78*($F78+1)/2)-(($E78-1)*($E78-1+1)/2))*BB$2), 0)+IF(IF(time+1&gt;=BC$2, $K78/time_cap/(time+1)*BB$2, 0) = 0, $K78/(time_cap),0)),0)</f>
        <v/>
      </c>
      <c r="BC78" s="4395">
        <f>IFERROR(IF((time+time_cap)&lt;BC$2, 0,IF(AND(time+1&gt;=BD$2, $E78&lt;BD$2), IF($I78= "I", $J78/($F78-$E78+1), $J78/(($F78*($F78+1)/2)-(($E78-1)*($E78-1+1)/2))*BC$2), 0)+IF(IF(time+1&gt;=BD$2, $K78/time_cap/(time+1)*BC$2, 0) = 0, $K78/(time_cap),0)),0)</f>
        <v/>
      </c>
      <c r="BD78" s="4395">
        <f>IFERROR(IF((time+time_cap)&lt;BD$2, 0,IF(AND(time+1&gt;=BE$2, $E78&lt;BE$2), IF($I78= "I", $J78/($F78-$E78+1), $J78/(($F78*($F78+1)/2)-(($E78-1)*($E78-1+1)/2))*BD$2), 0)+IF(IF(time+1&gt;=BE$2, $K78/time_cap/(time+1)*BD$2, 0) = 0, $K78/(time_cap),0)),0)</f>
        <v/>
      </c>
      <c r="BE78" s="4395">
        <f>IFERROR(IF((time+time_cap)&lt;BE$2, 0,IF(AND(time+1&gt;=BF$2, $E78&lt;BF$2), IF($I78= "I", $J78/($F78-$E78+1), $J78/(($F78*($F78+1)/2)-(($E78-1)*($E78-1+1)/2))*BE$2), 0)+IF(IF(time+1&gt;=BF$2, $K78/time_cap/(time+1)*BE$2, 0) = 0, $K78/(time_cap),0)),0)</f>
        <v/>
      </c>
      <c r="BF78" s="4395">
        <f>IFERROR(IF((time+time_cap)&lt;BF$2, 0,IF(AND(time+1&gt;=BG$2, $E78&lt;BG$2), IF($I78= "I", $J78/($F78-$E78+1), $J78/(($F78*($F78+1)/2)-(($E78-1)*($E78-1+1)/2))*BF$2), 0)+IF(IF(time+1&gt;=BG$2, $K78/time_cap/(time+1)*BF$2, 0) = 0, $K78/(time_cap),0)),0)</f>
        <v/>
      </c>
      <c r="BG78" s="4395">
        <f>IFERROR(IF((time+time_cap)&lt;BG$2, 0,IF(AND(time+1&gt;=BH$2, $E78&lt;BH$2), IF($I78= "I", $J78/($F78-$E78+1), $J78/(($F78*($F78+1)/2)-(($E78-1)*($E78-1+1)/2))*BG$2), 0)+IF(IF(time+1&gt;=BH$2, $K78/time_cap/(time+1)*BG$2, 0) = 0, $K78/(time_cap),0)),0)</f>
        <v/>
      </c>
      <c r="BH78" s="4395">
        <f>IFERROR(IF((time+time_cap)&lt;BH$2, 0,IF(AND(time+1&gt;=BI$2, $E78&lt;BI$2), IF($I78= "I", $J78/($F78-$E78+1), $J78/(($F78*($F78+1)/2)-(($E78-1)*($E78-1+1)/2))*BH$2), 0)+IF(IF(time+1&gt;=BI$2, $K78/time_cap/(time+1)*BH$2, 0) = 0, $K78/(time_cap),0)),0)</f>
        <v/>
      </c>
      <c r="BI78" s="4395">
        <f>IFERROR(IF((time+time_cap)&lt;BI$2, 0,IF(AND(time+1&gt;=BJ$2, $E78&lt;BJ$2), IF($I78= "I", $J78/($F78-$E78+1), $J78/(($F78*($F78+1)/2)-(($E78-1)*($E78-1+1)/2))*BI$2), 0)+IF(IF(time+1&gt;=BJ$2, $K78/time_cap/(time+1)*BI$2, 0) = 0, $K78/(time_cap),0)),0)</f>
        <v/>
      </c>
      <c r="BJ78" s="4395">
        <f>IFERROR(IF((time+time_cap)&lt;BJ$2, 0,IF(AND(time+1&gt;=BK$2, $E78&lt;BK$2), IF($I78= "I", $J78/($F78-$E78+1), $J78/(($F78*($F78+1)/2)-(($E78-1)*($E78-1+1)/2))*BJ$2), 0)+IF(IF(time+1&gt;=BK$2, $K78/time_cap/(time+1)*BJ$2, 0) = 0, $K78/(time_cap),0)),0)</f>
        <v/>
      </c>
      <c r="BK78" s="4395" t="n"/>
      <c r="BL78" s="4395" t="n"/>
      <c r="BM78" s="4395" t="n"/>
      <c r="BN78" s="4395" t="n"/>
      <c r="BO78" s="4395" t="n"/>
      <c r="BP78" s="4395" t="n"/>
      <c r="BQ78" s="4395" t="n"/>
      <c r="BR78" s="4395" t="n"/>
      <c r="BS78" s="4395" t="n"/>
      <c r="BT78" s="4395" t="n"/>
      <c r="BU78" s="4395" t="n"/>
      <c r="BV78" s="4395" t="n"/>
      <c r="BW78" s="4395" t="n"/>
      <c r="BX78" s="4395" t="n"/>
      <c r="BY78" s="4395" t="n"/>
      <c r="BZ78" s="4395" t="n"/>
      <c r="CA78" s="4395" t="n"/>
      <c r="CB78" s="4395" t="n"/>
      <c r="CC78" s="4395" t="n"/>
      <c r="CD78" s="4395" t="n"/>
      <c r="CE78" s="4395" t="n"/>
      <c r="CF78" s="4395" t="n"/>
      <c r="CG78" s="4395" t="n"/>
      <c r="CH78" s="4395" t="n"/>
      <c r="CI78" s="4395" t="n"/>
      <c r="CJ78" s="4395" t="n"/>
      <c r="CK78" s="4395" t="n"/>
      <c r="CL78" s="4395" t="n"/>
      <c r="CM78" s="4395" t="n"/>
      <c r="CN78" s="4395" t="n"/>
      <c r="CO78" s="4395" t="n"/>
      <c r="CP78" s="4395" t="n"/>
      <c r="CQ78" s="4395" t="n"/>
      <c r="CR78" s="4395" t="n"/>
      <c r="CS78" s="4395" t="n"/>
      <c r="CT78" s="4395" t="n"/>
      <c r="CU78" s="4395" t="n"/>
      <c r="CV78" s="4395" t="n"/>
      <c r="CW78" s="4395" t="n"/>
      <c r="CX78" s="4395" t="n"/>
      <c r="CY78" s="4395" t="n"/>
      <c r="CZ78" s="4395" t="n"/>
      <c r="DA78" s="4395" t="n"/>
      <c r="DB78" s="4395" t="n"/>
      <c r="DC78" s="4395" t="n"/>
      <c r="DD78" s="4395" t="n"/>
      <c r="DE78" s="4395" t="n"/>
      <c r="DF78" s="4395" t="n"/>
      <c r="DG78" s="4395" t="n"/>
      <c r="DH78" s="4395" t="n"/>
    </row>
    <row r="79" ht="16" customHeight="1">
      <c r="A79" t="inlineStr">
        <is>
          <t>Grassland</t>
        </is>
      </c>
      <c r="C79">
        <f>'4.Grassland'!G13</f>
        <v/>
      </c>
      <c r="D79">
        <f>'4.Grassland'!AG13</f>
        <v/>
      </c>
      <c r="E79">
        <f>IF('4.Grassland'!BR13&lt;&gt;0,'4.Grassland'!BR13, '4.Grassland'!BQ13)</f>
        <v/>
      </c>
      <c r="F79">
        <f>time</f>
        <v/>
      </c>
      <c r="G79" s="4395" t="inlineStr">
        <is>
          <t>D</t>
        </is>
      </c>
      <c r="H79" s="4395" t="inlineStr">
        <is>
          <t>D</t>
        </is>
      </c>
      <c r="I79" s="4395">
        <f>IF(OR(H79="I", G79="I"), "I", IF(OR(H79="E", G79="E"), "E", "D"))</f>
        <v/>
      </c>
      <c r="J79" s="4395">
        <f>((D79/(time_cap+((F79-E79+1)*VLOOKUP(I79,list!$I$48:$K$50,3, FALSE))))*(F79-E79+1)*VLOOKUP(I79,list!$I$48:$K$50,3, FALSE))</f>
        <v/>
      </c>
      <c r="K79" s="4395">
        <f>((D79/(time_cap+((F79-E79+1)*VLOOKUP(I79,list!$I$48:$K$50,3, FALSE))))*time_cap)</f>
        <v/>
      </c>
      <c r="M79" s="4395">
        <f>IFERROR(IF((time+time_cap)&lt;M$2, 0,IF(AND(time+1&gt;=N$2, $E79&lt;N$2), IF($I79= "I", $J79/($F79-$E79+1), $J79/(($F79*($F79+1)/2)-(($E79-1)*($E79-1+1)/2))*M$2), 0)+IF(IF(time+1&gt;=N$2, $K79/time_cap/(time+1)*M$2, 0) = 0, $K79/(time_cap),0)),0)</f>
        <v/>
      </c>
      <c r="N79" s="4395">
        <f>IFERROR(IF((time+time_cap)&lt;N$2, 0,IF(AND(time+1&gt;=O$2, $E79&lt;O$2), IF($I79= "I", $J79/($F79-$E79+1), $J79/(($F79*($F79+1)/2)-(($E79-1)*($E79-1+1)/2))*N$2), 0)+IF(IF(time+1&gt;=O$2, $K79/time_cap/(time+1)*N$2, 0) = 0, $K79/(time_cap),0)),0)</f>
        <v/>
      </c>
      <c r="O79" s="4395">
        <f>IFERROR(IF((time+time_cap)&lt;O$2, 0,IF(AND(time+1&gt;=P$2, $E79&lt;P$2), IF($I79= "I", $J79/($F79-$E79+1), $J79/(($F79*($F79+1)/2)-(($E79-1)*($E79-1+1)/2))*O$2), 0)+IF(IF(time+1&gt;=P$2, $K79/time_cap/(time+1)*O$2, 0) = 0, $K79/(time_cap),0)),0)</f>
        <v/>
      </c>
      <c r="P79" s="4395">
        <f>IFERROR(IF((time+time_cap)&lt;P$2, 0,IF(AND(time+1&gt;=Q$2, $E79&lt;Q$2), IF($I79= "I", $J79/($F79-$E79+1), $J79/(($F79*($F79+1)/2)-(($E79-1)*($E79-1+1)/2))*P$2), 0)+IF(IF(time+1&gt;=Q$2, $K79/time_cap/(time+1)*P$2, 0) = 0, $K79/(time_cap),0)),0)</f>
        <v/>
      </c>
      <c r="Q79" s="4395">
        <f>IFERROR(IF((time+time_cap)&lt;Q$2, 0,IF(AND(time+1&gt;=R$2, $E79&lt;R$2), IF($I79= "I", $J79/($F79-$E79+1), $J79/(($F79*($F79+1)/2)-(($E79-1)*($E79-1+1)/2))*Q$2), 0)+IF(IF(time+1&gt;=R$2, $K79/time_cap/(time+1)*Q$2, 0) = 0, $K79/(time_cap),0)),0)</f>
        <v/>
      </c>
      <c r="R79" s="4395">
        <f>IFERROR(IF((time+time_cap)&lt;R$2, 0,IF(AND(time+1&gt;=S$2, $E79&lt;S$2), IF($I79= "I", $J79/($F79-$E79+1), $J79/(($F79*($F79+1)/2)-(($E79-1)*($E79-1+1)/2))*R$2), 0)+IF(IF(time+1&gt;=S$2, $K79/time_cap/(time+1)*R$2, 0) = 0, $K79/(time_cap),0)),0)</f>
        <v/>
      </c>
      <c r="S79" s="4395">
        <f>IFERROR(IF((time+time_cap)&lt;S$2, 0,IF(AND(time+1&gt;=T$2, $E79&lt;T$2), IF($I79= "I", $J79/($F79-$E79+1), $J79/(($F79*($F79+1)/2)-(($E79-1)*($E79-1+1)/2))*S$2), 0)+IF(IF(time+1&gt;=T$2, $K79/time_cap/(time+1)*S$2, 0) = 0, $K79/(time_cap),0)),0)</f>
        <v/>
      </c>
      <c r="T79" s="4395">
        <f>IFERROR(IF((time+time_cap)&lt;T$2, 0,IF(AND(time+1&gt;=U$2, $E79&lt;U$2), IF($I79= "I", $J79/($F79-$E79+1), $J79/(($F79*($F79+1)/2)-(($E79-1)*($E79-1+1)/2))*T$2), 0)+IF(IF(time+1&gt;=U$2, $K79/time_cap/(time+1)*T$2, 0) = 0, $K79/(time_cap),0)),0)</f>
        <v/>
      </c>
      <c r="U79" s="4395">
        <f>IFERROR(IF((time+time_cap)&lt;U$2, 0,IF(AND(time+1&gt;=V$2, $E79&lt;V$2), IF($I79= "I", $J79/($F79-$E79+1), $J79/(($F79*($F79+1)/2)-(($E79-1)*($E79-1+1)/2))*U$2), 0)+IF(IF(time+1&gt;=V$2, $K79/time_cap/(time+1)*U$2, 0) = 0, $K79/(time_cap),0)),0)</f>
        <v/>
      </c>
      <c r="V79" s="4395">
        <f>IFERROR(IF((time+time_cap)&lt;V$2, 0,IF(AND(time+1&gt;=W$2, $E79&lt;W$2), IF($I79= "I", $J79/($F79-$E79+1), $J79/(($F79*($F79+1)/2)-(($E79-1)*($E79-1+1)/2))*V$2), 0)+IF(IF(time+1&gt;=W$2, $K79/time_cap/(time+1)*V$2, 0) = 0, $K79/(time_cap),0)),0)</f>
        <v/>
      </c>
      <c r="W79" s="4395">
        <f>IFERROR(IF((time+time_cap)&lt;W$2, 0,IF(AND(time+1&gt;=X$2, $E79&lt;X$2), IF($I79= "I", $J79/($F79-$E79+1), $J79/(($F79*($F79+1)/2)-(($E79-1)*($E79-1+1)/2))*W$2), 0)+IF(IF(time+1&gt;=X$2, $K79/time_cap/(time+1)*W$2, 0) = 0, $K79/(time_cap),0)),0)</f>
        <v/>
      </c>
      <c r="X79" s="4395">
        <f>IFERROR(IF((time+time_cap)&lt;X$2, 0,IF(AND(time+1&gt;=Y$2, $E79&lt;Y$2), IF($I79= "I", $J79/($F79-$E79+1), $J79/(($F79*($F79+1)/2)-(($E79-1)*($E79-1+1)/2))*X$2), 0)+IF(IF(time+1&gt;=Y$2, $K79/time_cap/(time+1)*X$2, 0) = 0, $K79/(time_cap),0)),0)</f>
        <v/>
      </c>
      <c r="Y79" s="4395">
        <f>IFERROR(IF((time+time_cap)&lt;Y$2, 0,IF(AND(time+1&gt;=Z$2, $E79&lt;Z$2), IF($I79= "I", $J79/($F79-$E79+1), $J79/(($F79*($F79+1)/2)-(($E79-1)*($E79-1+1)/2))*Y$2), 0)+IF(IF(time+1&gt;=Z$2, $K79/time_cap/(time+1)*Y$2, 0) = 0, $K79/(time_cap),0)),0)</f>
        <v/>
      </c>
      <c r="Z79" s="4395">
        <f>IFERROR(IF((time+time_cap)&lt;Z$2, 0,IF(AND(time+1&gt;=AA$2, $E79&lt;AA$2), IF($I79= "I", $J79/($F79-$E79+1), $J79/(($F79*($F79+1)/2)-(($E79-1)*($E79-1+1)/2))*Z$2), 0)+IF(IF(time+1&gt;=AA$2, $K79/time_cap/(time+1)*Z$2, 0) = 0, $K79/(time_cap),0)),0)</f>
        <v/>
      </c>
      <c r="AA79" s="4395">
        <f>IFERROR(IF((time+time_cap)&lt;AA$2, 0,IF(AND(time+1&gt;=AB$2, $E79&lt;AB$2), IF($I79= "I", $J79/($F79-$E79+1), $J79/(($F79*($F79+1)/2)-(($E79-1)*($E79-1+1)/2))*AA$2), 0)+IF(IF(time+1&gt;=AB$2, $K79/time_cap/(time+1)*AA$2, 0) = 0, $K79/(time_cap),0)),0)</f>
        <v/>
      </c>
      <c r="AB79" s="4395">
        <f>IFERROR(IF((time+time_cap)&lt;AB$2, 0,IF(AND(time+1&gt;=AC$2, $E79&lt;AC$2), IF($I79= "I", $J79/($F79-$E79+1), $J79/(($F79*($F79+1)/2)-(($E79-1)*($E79-1+1)/2))*AB$2), 0)+IF(IF(time+1&gt;=AC$2, $K79/time_cap/(time+1)*AB$2, 0) = 0, $K79/(time_cap),0)),0)</f>
        <v/>
      </c>
      <c r="AC79" s="4395">
        <f>IFERROR(IF((time+time_cap)&lt;AC$2, 0,IF(AND(time+1&gt;=AD$2, $E79&lt;AD$2), IF($I79= "I", $J79/($F79-$E79+1), $J79/(($F79*($F79+1)/2)-(($E79-1)*($E79-1+1)/2))*AC$2), 0)+IF(IF(time+1&gt;=AD$2, $K79/time_cap/(time+1)*AC$2, 0) = 0, $K79/(time_cap),0)),0)</f>
        <v/>
      </c>
      <c r="AD79" s="4395">
        <f>IFERROR(IF((time+time_cap)&lt;AD$2, 0,IF(AND(time+1&gt;=AE$2, $E79&lt;AE$2), IF($I79= "I", $J79/($F79-$E79+1), $J79/(($F79*($F79+1)/2)-(($E79-1)*($E79-1+1)/2))*AD$2), 0)+IF(IF(time+1&gt;=AE$2, $K79/time_cap/(time+1)*AD$2, 0) = 0, $K79/(time_cap),0)),0)</f>
        <v/>
      </c>
      <c r="AE79" s="4395">
        <f>IFERROR(IF((time+time_cap)&lt;AE$2, 0,IF(AND(time+1&gt;=AF$2, $E79&lt;AF$2), IF($I79= "I", $J79/($F79-$E79+1), $J79/(($F79*($F79+1)/2)-(($E79-1)*($E79-1+1)/2))*AE$2), 0)+IF(IF(time+1&gt;=AF$2, $K79/time_cap/(time+1)*AE$2, 0) = 0, $K79/(time_cap),0)),0)</f>
        <v/>
      </c>
      <c r="AF79" s="4395">
        <f>IFERROR(IF((time+time_cap)&lt;AF$2, 0,IF(AND(time+1&gt;=AG$2, $E79&lt;AG$2), IF($I79= "I", $J79/($F79-$E79+1), $J79/(($F79*($F79+1)/2)-(($E79-1)*($E79-1+1)/2))*AF$2), 0)+IF(IF(time+1&gt;=AG$2, $K79/time_cap/(time+1)*AF$2, 0) = 0, $K79/(time_cap),0)),0)</f>
        <v/>
      </c>
      <c r="AG79" s="4395">
        <f>IFERROR(IF((time+time_cap)&lt;AG$2, 0,IF(AND(time+1&gt;=AH$2, $E79&lt;AH$2), IF($I79= "I", $J79/($F79-$E79+1), $J79/(($F79*($F79+1)/2)-(($E79-1)*($E79-1+1)/2))*AG$2), 0)+IF(IF(time+1&gt;=AH$2, $K79/time_cap/(time+1)*AG$2, 0) = 0, $K79/(time_cap),0)),0)</f>
        <v/>
      </c>
      <c r="AH79" s="4395">
        <f>IFERROR(IF((time+time_cap)&lt;AH$2, 0,IF(AND(time+1&gt;=AI$2, $E79&lt;AI$2), IF($I79= "I", $J79/($F79-$E79+1), $J79/(($F79*($F79+1)/2)-(($E79-1)*($E79-1+1)/2))*AH$2), 0)+IF(IF(time+1&gt;=AI$2, $K79/time_cap/(time+1)*AH$2, 0) = 0, $K79/(time_cap),0)),0)</f>
        <v/>
      </c>
      <c r="AI79" s="4395">
        <f>IFERROR(IF((time+time_cap)&lt;AI$2, 0,IF(AND(time+1&gt;=AJ$2, $E79&lt;AJ$2), IF($I79= "I", $J79/($F79-$E79+1), $J79/(($F79*($F79+1)/2)-(($E79-1)*($E79-1+1)/2))*AI$2), 0)+IF(IF(time+1&gt;=AJ$2, $K79/time_cap/(time+1)*AI$2, 0) = 0, $K79/(time_cap),0)),0)</f>
        <v/>
      </c>
      <c r="AJ79" s="4395">
        <f>IFERROR(IF((time+time_cap)&lt;AJ$2, 0,IF(AND(time+1&gt;=AK$2, $E79&lt;AK$2), IF($I79= "I", $J79/($F79-$E79+1), $J79/(($F79*($F79+1)/2)-(($E79-1)*($E79-1+1)/2))*AJ$2), 0)+IF(IF(time+1&gt;=AK$2, $K79/time_cap/(time+1)*AJ$2, 0) = 0, $K79/(time_cap),0)),0)</f>
        <v/>
      </c>
      <c r="AK79" s="4395">
        <f>IFERROR(IF((time+time_cap)&lt;AK$2, 0,IF(AND(time+1&gt;=AL$2, $E79&lt;AL$2), IF($I79= "I", $J79/($F79-$E79+1), $J79/(($F79*($F79+1)/2)-(($E79-1)*($E79-1+1)/2))*AK$2), 0)+IF(IF(time+1&gt;=AL$2, $K79/time_cap/(time+1)*AK$2, 0) = 0, $K79/(time_cap),0)),0)</f>
        <v/>
      </c>
      <c r="AL79" s="4395">
        <f>IFERROR(IF((time+time_cap)&lt;AL$2, 0,IF(AND(time+1&gt;=AM$2, $E79&lt;AM$2), IF($I79= "I", $J79/($F79-$E79+1), $J79/(($F79*($F79+1)/2)-(($E79-1)*($E79-1+1)/2))*AL$2), 0)+IF(IF(time+1&gt;=AM$2, $K79/time_cap/(time+1)*AL$2, 0) = 0, $K79/(time_cap),0)),0)</f>
        <v/>
      </c>
      <c r="AM79" s="4395">
        <f>IFERROR(IF((time+time_cap)&lt;AM$2, 0,IF(AND(time+1&gt;=AN$2, $E79&lt;AN$2), IF($I79= "I", $J79/($F79-$E79+1), $J79/(($F79*($F79+1)/2)-(($E79-1)*($E79-1+1)/2))*AM$2), 0)+IF(IF(time+1&gt;=AN$2, $K79/time_cap/(time+1)*AM$2, 0) = 0, $K79/(time_cap),0)),0)</f>
        <v/>
      </c>
      <c r="AN79" s="4395">
        <f>IFERROR(IF((time+time_cap)&lt;AN$2, 0,IF(AND(time+1&gt;=AO$2, $E79&lt;AO$2), IF($I79= "I", $J79/($F79-$E79+1), $J79/(($F79*($F79+1)/2)-(($E79-1)*($E79-1+1)/2))*AN$2), 0)+IF(IF(time+1&gt;=AO$2, $K79/time_cap/(time+1)*AN$2, 0) = 0, $K79/(time_cap),0)),0)</f>
        <v/>
      </c>
      <c r="AO79" s="4395">
        <f>IFERROR(IF((time+time_cap)&lt;AO$2, 0,IF(AND(time+1&gt;=AP$2, $E79&lt;AP$2), IF($I79= "I", $J79/($F79-$E79+1), $J79/(($F79*($F79+1)/2)-(($E79-1)*($E79-1+1)/2))*AO$2), 0)+IF(IF(time+1&gt;=AP$2, $K79/time_cap/(time+1)*AO$2, 0) = 0, $K79/(time_cap),0)),0)</f>
        <v/>
      </c>
      <c r="AP79" s="4395">
        <f>IFERROR(IF((time+time_cap)&lt;AP$2, 0,IF(AND(time+1&gt;=AQ$2, $E79&lt;AQ$2), IF($I79= "I", $J79/($F79-$E79+1), $J79/(($F79*($F79+1)/2)-(($E79-1)*($E79-1+1)/2))*AP$2), 0)+IF(IF(time+1&gt;=AQ$2, $K79/time_cap/(time+1)*AP$2, 0) = 0, $K79/(time_cap),0)),0)</f>
        <v/>
      </c>
      <c r="AQ79" s="4395">
        <f>IFERROR(IF((time+time_cap)&lt;AQ$2, 0,IF(AND(time+1&gt;=AR$2, $E79&lt;AR$2), IF($I79= "I", $J79/($F79-$E79+1), $J79/(($F79*($F79+1)/2)-(($E79-1)*($E79-1+1)/2))*AQ$2), 0)+IF(IF(time+1&gt;=AR$2, $K79/time_cap/(time+1)*AQ$2, 0) = 0, $K79/(time_cap),0)),0)</f>
        <v/>
      </c>
      <c r="AR79" s="4395">
        <f>IFERROR(IF((time+time_cap)&lt;AR$2, 0,IF(AND(time+1&gt;=AS$2, $E79&lt;AS$2), IF($I79= "I", $J79/($F79-$E79+1), $J79/(($F79*($F79+1)/2)-(($E79-1)*($E79-1+1)/2))*AR$2), 0)+IF(IF(time+1&gt;=AS$2, $K79/time_cap/(time+1)*AR$2, 0) = 0, $K79/(time_cap),0)),0)</f>
        <v/>
      </c>
      <c r="AS79" s="4395">
        <f>IFERROR(IF((time+time_cap)&lt;AS$2, 0,IF(AND(time+1&gt;=AT$2, $E79&lt;AT$2), IF($I79= "I", $J79/($F79-$E79+1), $J79/(($F79*($F79+1)/2)-(($E79-1)*($E79-1+1)/2))*AS$2), 0)+IF(IF(time+1&gt;=AT$2, $K79/time_cap/(time+1)*AS$2, 0) = 0, $K79/(time_cap),0)),0)</f>
        <v/>
      </c>
      <c r="AT79" s="4395">
        <f>IFERROR(IF((time+time_cap)&lt;AT$2, 0,IF(AND(time+1&gt;=AU$2, $E79&lt;AU$2), IF($I79= "I", $J79/($F79-$E79+1), $J79/(($F79*($F79+1)/2)-(($E79-1)*($E79-1+1)/2))*AT$2), 0)+IF(IF(time+1&gt;=AU$2, $K79/time_cap/(time+1)*AT$2, 0) = 0, $K79/(time_cap),0)),0)</f>
        <v/>
      </c>
      <c r="AU79" s="4395">
        <f>IFERROR(IF((time+time_cap)&lt;AU$2, 0,IF(AND(time+1&gt;=AV$2, $E79&lt;AV$2), IF($I79= "I", $J79/($F79-$E79+1), $J79/(($F79*($F79+1)/2)-(($E79-1)*($E79-1+1)/2))*AU$2), 0)+IF(IF(time+1&gt;=AV$2, $K79/time_cap/(time+1)*AU$2, 0) = 0, $K79/(time_cap),0)),0)</f>
        <v/>
      </c>
      <c r="AV79" s="4395">
        <f>IFERROR(IF((time+time_cap)&lt;AV$2, 0,IF(AND(time+1&gt;=AW$2, $E79&lt;AW$2), IF($I79= "I", $J79/($F79-$E79+1), $J79/(($F79*($F79+1)/2)-(($E79-1)*($E79-1+1)/2))*AV$2), 0)+IF(IF(time+1&gt;=AW$2, $K79/time_cap/(time+1)*AV$2, 0) = 0, $K79/(time_cap),0)),0)</f>
        <v/>
      </c>
      <c r="AW79" s="4395">
        <f>IFERROR(IF((time+time_cap)&lt;AW$2, 0,IF(AND(time+1&gt;=AX$2, $E79&lt;AX$2), IF($I79= "I", $J79/($F79-$E79+1), $J79/(($F79*($F79+1)/2)-(($E79-1)*($E79-1+1)/2))*AW$2), 0)+IF(IF(time+1&gt;=AX$2, $K79/time_cap/(time+1)*AW$2, 0) = 0, $K79/(time_cap),0)),0)</f>
        <v/>
      </c>
      <c r="AX79" s="4395">
        <f>IFERROR(IF((time+time_cap)&lt;AX$2, 0,IF(AND(time+1&gt;=AY$2, $E79&lt;AY$2), IF($I79= "I", $J79/($F79-$E79+1), $J79/(($F79*($F79+1)/2)-(($E79-1)*($E79-1+1)/2))*AX$2), 0)+IF(IF(time+1&gt;=AY$2, $K79/time_cap/(time+1)*AX$2, 0) = 0, $K79/(time_cap),0)),0)</f>
        <v/>
      </c>
      <c r="AY79" s="4395">
        <f>IFERROR(IF((time+time_cap)&lt;AY$2, 0,IF(AND(time+1&gt;=AZ$2, $E79&lt;AZ$2), IF($I79= "I", $J79/($F79-$E79+1), $J79/(($F79*($F79+1)/2)-(($E79-1)*($E79-1+1)/2))*AY$2), 0)+IF(IF(time+1&gt;=AZ$2, $K79/time_cap/(time+1)*AY$2, 0) = 0, $K79/(time_cap),0)),0)</f>
        <v/>
      </c>
      <c r="AZ79" s="4395">
        <f>IFERROR(IF((time+time_cap)&lt;AZ$2, 0,IF(AND(time+1&gt;=BA$2, $E79&lt;BA$2), IF($I79= "I", $J79/($F79-$E79+1), $J79/(($F79*($F79+1)/2)-(($E79-1)*($E79-1+1)/2))*AZ$2), 0)+IF(IF(time+1&gt;=BA$2, $K79/time_cap/(time+1)*AZ$2, 0) = 0, $K79/(time_cap),0)),0)</f>
        <v/>
      </c>
      <c r="BA79" s="4395">
        <f>IFERROR(IF((time+time_cap)&lt;BA$2, 0,IF(AND(time+1&gt;=BB$2, $E79&lt;BB$2), IF($I79= "I", $J79/($F79-$E79+1), $J79/(($F79*($F79+1)/2)-(($E79-1)*($E79-1+1)/2))*BA$2), 0)+IF(IF(time+1&gt;=BB$2, $K79/time_cap/(time+1)*BA$2, 0) = 0, $K79/(time_cap),0)),0)</f>
        <v/>
      </c>
      <c r="BB79" s="4395">
        <f>IFERROR(IF((time+time_cap)&lt;BB$2, 0,IF(AND(time+1&gt;=BC$2, $E79&lt;BC$2), IF($I79= "I", $J79/($F79-$E79+1), $J79/(($F79*($F79+1)/2)-(($E79-1)*($E79-1+1)/2))*BB$2), 0)+IF(IF(time+1&gt;=BC$2, $K79/time_cap/(time+1)*BB$2, 0) = 0, $K79/(time_cap),0)),0)</f>
        <v/>
      </c>
      <c r="BC79" s="4395">
        <f>IFERROR(IF((time+time_cap)&lt;BC$2, 0,IF(AND(time+1&gt;=BD$2, $E79&lt;BD$2), IF($I79= "I", $J79/($F79-$E79+1), $J79/(($F79*($F79+1)/2)-(($E79-1)*($E79-1+1)/2))*BC$2), 0)+IF(IF(time+1&gt;=BD$2, $K79/time_cap/(time+1)*BC$2, 0) = 0, $K79/(time_cap),0)),0)</f>
        <v/>
      </c>
      <c r="BD79" s="4395">
        <f>IFERROR(IF((time+time_cap)&lt;BD$2, 0,IF(AND(time+1&gt;=BE$2, $E79&lt;BE$2), IF($I79= "I", $J79/($F79-$E79+1), $J79/(($F79*($F79+1)/2)-(($E79-1)*($E79-1+1)/2))*BD$2), 0)+IF(IF(time+1&gt;=BE$2, $K79/time_cap/(time+1)*BD$2, 0) = 0, $K79/(time_cap),0)),0)</f>
        <v/>
      </c>
      <c r="BE79" s="4395">
        <f>IFERROR(IF((time+time_cap)&lt;BE$2, 0,IF(AND(time+1&gt;=BF$2, $E79&lt;BF$2), IF($I79= "I", $J79/($F79-$E79+1), $J79/(($F79*($F79+1)/2)-(($E79-1)*($E79-1+1)/2))*BE$2), 0)+IF(IF(time+1&gt;=BF$2, $K79/time_cap/(time+1)*BE$2, 0) = 0, $K79/(time_cap),0)),0)</f>
        <v/>
      </c>
      <c r="BF79" s="4395">
        <f>IFERROR(IF((time+time_cap)&lt;BF$2, 0,IF(AND(time+1&gt;=BG$2, $E79&lt;BG$2), IF($I79= "I", $J79/($F79-$E79+1), $J79/(($F79*($F79+1)/2)-(($E79-1)*($E79-1+1)/2))*BF$2), 0)+IF(IF(time+1&gt;=BG$2, $K79/time_cap/(time+1)*BF$2, 0) = 0, $K79/(time_cap),0)),0)</f>
        <v/>
      </c>
      <c r="BG79" s="4395">
        <f>IFERROR(IF((time+time_cap)&lt;BG$2, 0,IF(AND(time+1&gt;=BH$2, $E79&lt;BH$2), IF($I79= "I", $J79/($F79-$E79+1), $J79/(($F79*($F79+1)/2)-(($E79-1)*($E79-1+1)/2))*BG$2), 0)+IF(IF(time+1&gt;=BH$2, $K79/time_cap/(time+1)*BG$2, 0) = 0, $K79/(time_cap),0)),0)</f>
        <v/>
      </c>
      <c r="BH79" s="4395">
        <f>IFERROR(IF((time+time_cap)&lt;BH$2, 0,IF(AND(time+1&gt;=BI$2, $E79&lt;BI$2), IF($I79= "I", $J79/($F79-$E79+1), $J79/(($F79*($F79+1)/2)-(($E79-1)*($E79-1+1)/2))*BH$2), 0)+IF(IF(time+1&gt;=BI$2, $K79/time_cap/(time+1)*BH$2, 0) = 0, $K79/(time_cap),0)),0)</f>
        <v/>
      </c>
      <c r="BI79" s="4395">
        <f>IFERROR(IF((time+time_cap)&lt;BI$2, 0,IF(AND(time+1&gt;=BJ$2, $E79&lt;BJ$2), IF($I79= "I", $J79/($F79-$E79+1), $J79/(($F79*($F79+1)/2)-(($E79-1)*($E79-1+1)/2))*BI$2), 0)+IF(IF(time+1&gt;=BJ$2, $K79/time_cap/(time+1)*BI$2, 0) = 0, $K79/(time_cap),0)),0)</f>
        <v/>
      </c>
      <c r="BJ79" s="4395">
        <f>IFERROR(IF((time+time_cap)&lt;BJ$2, 0,IF(AND(time+1&gt;=BK$2, $E79&lt;BK$2), IF($I79= "I", $J79/($F79-$E79+1), $J79/(($F79*($F79+1)/2)-(($E79-1)*($E79-1+1)/2))*BJ$2), 0)+IF(IF(time+1&gt;=BK$2, $K79/time_cap/(time+1)*BJ$2, 0) = 0, $K79/(time_cap),0)),0)</f>
        <v/>
      </c>
      <c r="BK79" s="4395" t="n"/>
      <c r="BL79" s="4395" t="n"/>
      <c r="BM79" s="4395" t="n"/>
      <c r="BN79" s="4395" t="n"/>
      <c r="BO79" s="4395" t="n"/>
      <c r="BP79" s="4395" t="n"/>
      <c r="BQ79" s="4395" t="n"/>
      <c r="BR79" s="4395" t="n"/>
      <c r="BS79" s="4395" t="n"/>
      <c r="BT79" s="4395" t="n"/>
      <c r="BU79" s="4395" t="n"/>
      <c r="BV79" s="4395" t="n"/>
      <c r="BW79" s="4395" t="n"/>
      <c r="BX79" s="4395" t="n"/>
      <c r="BY79" s="4395" t="n"/>
      <c r="BZ79" s="4395" t="n"/>
      <c r="CA79" s="4395" t="n"/>
      <c r="CB79" s="4395" t="n"/>
      <c r="CC79" s="4395" t="n"/>
      <c r="CD79" s="4395" t="n"/>
      <c r="CE79" s="4395" t="n"/>
      <c r="CF79" s="4395" t="n"/>
      <c r="CG79" s="4395" t="n"/>
      <c r="CH79" s="4395" t="n"/>
      <c r="CI79" s="4395" t="n"/>
      <c r="CJ79" s="4395" t="n"/>
      <c r="CK79" s="4395" t="n"/>
      <c r="CL79" s="4395" t="n"/>
      <c r="CM79" s="4395" t="n"/>
      <c r="CN79" s="4395" t="n"/>
      <c r="CO79" s="4395" t="n"/>
      <c r="CP79" s="4395" t="n"/>
      <c r="CQ79" s="4395" t="n"/>
      <c r="CR79" s="4395" t="n"/>
      <c r="CS79" s="4395" t="n"/>
      <c r="CT79" s="4395" t="n"/>
      <c r="CU79" s="4395" t="n"/>
      <c r="CV79" s="4395" t="n"/>
      <c r="CW79" s="4395" t="n"/>
      <c r="CX79" s="4395" t="n"/>
      <c r="CY79" s="4395" t="n"/>
      <c r="CZ79" s="4395" t="n"/>
      <c r="DA79" s="4395" t="n"/>
      <c r="DB79" s="4395" t="n"/>
      <c r="DC79" s="4395" t="n"/>
      <c r="DD79" s="4395" t="n"/>
      <c r="DE79" s="4395" t="n"/>
      <c r="DF79" s="4395" t="n"/>
      <c r="DG79" s="4395" t="n"/>
      <c r="DH79" s="4395" t="n"/>
    </row>
    <row r="80" ht="16" customHeight="1">
      <c r="A80" t="inlineStr">
        <is>
          <t>Grassland</t>
        </is>
      </c>
      <c r="C80">
        <f>'4.Grassland'!G14</f>
        <v/>
      </c>
      <c r="D80">
        <f>'4.Grassland'!AG14</f>
        <v/>
      </c>
      <c r="E80">
        <f>IF('4.Grassland'!BR14&lt;&gt;0,'4.Grassland'!BR14, '4.Grassland'!BQ14)</f>
        <v/>
      </c>
      <c r="F80">
        <f>time</f>
        <v/>
      </c>
      <c r="G80" s="4395" t="inlineStr">
        <is>
          <t>D</t>
        </is>
      </c>
      <c r="H80" s="4395" t="inlineStr">
        <is>
          <t>D</t>
        </is>
      </c>
      <c r="I80" s="4395">
        <f>IF(OR(H80="I", G80="I"), "I", IF(OR(H80="E", G80="E"), "E", "D"))</f>
        <v/>
      </c>
      <c r="J80" s="4395">
        <f>((D80/(time_cap+((F80-E80+1)*VLOOKUP(I80,list!$I$48:$K$50,3, FALSE))))*(F80-E80+1)*VLOOKUP(I80,list!$I$48:$K$50,3, FALSE))</f>
        <v/>
      </c>
      <c r="K80" s="4395">
        <f>((D80/(time_cap+((F80-E80+1)*VLOOKUP(I80,list!$I$48:$K$50,3, FALSE))))*time_cap)</f>
        <v/>
      </c>
      <c r="M80" s="4395">
        <f>IFERROR(IF((time+time_cap)&lt;M$2, 0,IF(AND(time+1&gt;=N$2, $E80&lt;N$2), IF($I80= "I", $J80/($F80-$E80+1), $J80/(($F80*($F80+1)/2)-(($E80-1)*($E80-1+1)/2))*M$2), 0)+IF(IF(time+1&gt;=N$2, $K80/time_cap/(time+1)*M$2, 0) = 0, $K80/(time_cap),0)),0)</f>
        <v/>
      </c>
      <c r="N80" s="4395">
        <f>IFERROR(IF((time+time_cap)&lt;N$2, 0,IF(AND(time+1&gt;=O$2, $E80&lt;O$2), IF($I80= "I", $J80/($F80-$E80+1), $J80/(($F80*($F80+1)/2)-(($E80-1)*($E80-1+1)/2))*N$2), 0)+IF(IF(time+1&gt;=O$2, $K80/time_cap/(time+1)*N$2, 0) = 0, $K80/(time_cap),0)),0)</f>
        <v/>
      </c>
      <c r="O80" s="4395">
        <f>IFERROR(IF((time+time_cap)&lt;O$2, 0,IF(AND(time+1&gt;=P$2, $E80&lt;P$2), IF($I80= "I", $J80/($F80-$E80+1), $J80/(($F80*($F80+1)/2)-(($E80-1)*($E80-1+1)/2))*O$2), 0)+IF(IF(time+1&gt;=P$2, $K80/time_cap/(time+1)*O$2, 0) = 0, $K80/(time_cap),0)),0)</f>
        <v/>
      </c>
      <c r="P80" s="4395">
        <f>IFERROR(IF((time+time_cap)&lt;P$2, 0,IF(AND(time+1&gt;=Q$2, $E80&lt;Q$2), IF($I80= "I", $J80/($F80-$E80+1), $J80/(($F80*($F80+1)/2)-(($E80-1)*($E80-1+1)/2))*P$2), 0)+IF(IF(time+1&gt;=Q$2, $K80/time_cap/(time+1)*P$2, 0) = 0, $K80/(time_cap),0)),0)</f>
        <v/>
      </c>
      <c r="Q80" s="4395">
        <f>IFERROR(IF((time+time_cap)&lt;Q$2, 0,IF(AND(time+1&gt;=R$2, $E80&lt;R$2), IF($I80= "I", $J80/($F80-$E80+1), $J80/(($F80*($F80+1)/2)-(($E80-1)*($E80-1+1)/2))*Q$2), 0)+IF(IF(time+1&gt;=R$2, $K80/time_cap/(time+1)*Q$2, 0) = 0, $K80/(time_cap),0)),0)</f>
        <v/>
      </c>
      <c r="R80" s="4395">
        <f>IFERROR(IF((time+time_cap)&lt;R$2, 0,IF(AND(time+1&gt;=S$2, $E80&lt;S$2), IF($I80= "I", $J80/($F80-$E80+1), $J80/(($F80*($F80+1)/2)-(($E80-1)*($E80-1+1)/2))*R$2), 0)+IF(IF(time+1&gt;=S$2, $K80/time_cap/(time+1)*R$2, 0) = 0, $K80/(time_cap),0)),0)</f>
        <v/>
      </c>
      <c r="S80" s="4395">
        <f>IFERROR(IF((time+time_cap)&lt;S$2, 0,IF(AND(time+1&gt;=T$2, $E80&lt;T$2), IF($I80= "I", $J80/($F80-$E80+1), $J80/(($F80*($F80+1)/2)-(($E80-1)*($E80-1+1)/2))*S$2), 0)+IF(IF(time+1&gt;=T$2, $K80/time_cap/(time+1)*S$2, 0) = 0, $K80/(time_cap),0)),0)</f>
        <v/>
      </c>
      <c r="T80" s="4395">
        <f>IFERROR(IF((time+time_cap)&lt;T$2, 0,IF(AND(time+1&gt;=U$2, $E80&lt;U$2), IF($I80= "I", $J80/($F80-$E80+1), $J80/(($F80*($F80+1)/2)-(($E80-1)*($E80-1+1)/2))*T$2), 0)+IF(IF(time+1&gt;=U$2, $K80/time_cap/(time+1)*T$2, 0) = 0, $K80/(time_cap),0)),0)</f>
        <v/>
      </c>
      <c r="U80" s="4395">
        <f>IFERROR(IF((time+time_cap)&lt;U$2, 0,IF(AND(time+1&gt;=V$2, $E80&lt;V$2), IF($I80= "I", $J80/($F80-$E80+1), $J80/(($F80*($F80+1)/2)-(($E80-1)*($E80-1+1)/2))*U$2), 0)+IF(IF(time+1&gt;=V$2, $K80/time_cap/(time+1)*U$2, 0) = 0, $K80/(time_cap),0)),0)</f>
        <v/>
      </c>
      <c r="V80" s="4395">
        <f>IFERROR(IF((time+time_cap)&lt;V$2, 0,IF(AND(time+1&gt;=W$2, $E80&lt;W$2), IF($I80= "I", $J80/($F80-$E80+1), $J80/(($F80*($F80+1)/2)-(($E80-1)*($E80-1+1)/2))*V$2), 0)+IF(IF(time+1&gt;=W$2, $K80/time_cap/(time+1)*V$2, 0) = 0, $K80/(time_cap),0)),0)</f>
        <v/>
      </c>
      <c r="W80" s="4395">
        <f>IFERROR(IF((time+time_cap)&lt;W$2, 0,IF(AND(time+1&gt;=X$2, $E80&lt;X$2), IF($I80= "I", $J80/($F80-$E80+1), $J80/(($F80*($F80+1)/2)-(($E80-1)*($E80-1+1)/2))*W$2), 0)+IF(IF(time+1&gt;=X$2, $K80/time_cap/(time+1)*W$2, 0) = 0, $K80/(time_cap),0)),0)</f>
        <v/>
      </c>
      <c r="X80" s="4395">
        <f>IFERROR(IF((time+time_cap)&lt;X$2, 0,IF(AND(time+1&gt;=Y$2, $E80&lt;Y$2), IF($I80= "I", $J80/($F80-$E80+1), $J80/(($F80*($F80+1)/2)-(($E80-1)*($E80-1+1)/2))*X$2), 0)+IF(IF(time+1&gt;=Y$2, $K80/time_cap/(time+1)*X$2, 0) = 0, $K80/(time_cap),0)),0)</f>
        <v/>
      </c>
      <c r="Y80" s="4395">
        <f>IFERROR(IF((time+time_cap)&lt;Y$2, 0,IF(AND(time+1&gt;=Z$2, $E80&lt;Z$2), IF($I80= "I", $J80/($F80-$E80+1), $J80/(($F80*($F80+1)/2)-(($E80-1)*($E80-1+1)/2))*Y$2), 0)+IF(IF(time+1&gt;=Z$2, $K80/time_cap/(time+1)*Y$2, 0) = 0, $K80/(time_cap),0)),0)</f>
        <v/>
      </c>
      <c r="Z80" s="4395">
        <f>IFERROR(IF((time+time_cap)&lt;Z$2, 0,IF(AND(time+1&gt;=AA$2, $E80&lt;AA$2), IF($I80= "I", $J80/($F80-$E80+1), $J80/(($F80*($F80+1)/2)-(($E80-1)*($E80-1+1)/2))*Z$2), 0)+IF(IF(time+1&gt;=AA$2, $K80/time_cap/(time+1)*Z$2, 0) = 0, $K80/(time_cap),0)),0)</f>
        <v/>
      </c>
      <c r="AA80" s="4395">
        <f>IFERROR(IF((time+time_cap)&lt;AA$2, 0,IF(AND(time+1&gt;=AB$2, $E80&lt;AB$2), IF($I80= "I", $J80/($F80-$E80+1), $J80/(($F80*($F80+1)/2)-(($E80-1)*($E80-1+1)/2))*AA$2), 0)+IF(IF(time+1&gt;=AB$2, $K80/time_cap/(time+1)*AA$2, 0) = 0, $K80/(time_cap),0)),0)</f>
        <v/>
      </c>
      <c r="AB80" s="4395">
        <f>IFERROR(IF((time+time_cap)&lt;AB$2, 0,IF(AND(time+1&gt;=AC$2, $E80&lt;AC$2), IF($I80= "I", $J80/($F80-$E80+1), $J80/(($F80*($F80+1)/2)-(($E80-1)*($E80-1+1)/2))*AB$2), 0)+IF(IF(time+1&gt;=AC$2, $K80/time_cap/(time+1)*AB$2, 0) = 0, $K80/(time_cap),0)),0)</f>
        <v/>
      </c>
      <c r="AC80" s="4395">
        <f>IFERROR(IF((time+time_cap)&lt;AC$2, 0,IF(AND(time+1&gt;=AD$2, $E80&lt;AD$2), IF($I80= "I", $J80/($F80-$E80+1), $J80/(($F80*($F80+1)/2)-(($E80-1)*($E80-1+1)/2))*AC$2), 0)+IF(IF(time+1&gt;=AD$2, $K80/time_cap/(time+1)*AC$2, 0) = 0, $K80/(time_cap),0)),0)</f>
        <v/>
      </c>
      <c r="AD80" s="4395">
        <f>IFERROR(IF((time+time_cap)&lt;AD$2, 0,IF(AND(time+1&gt;=AE$2, $E80&lt;AE$2), IF($I80= "I", $J80/($F80-$E80+1), $J80/(($F80*($F80+1)/2)-(($E80-1)*($E80-1+1)/2))*AD$2), 0)+IF(IF(time+1&gt;=AE$2, $K80/time_cap/(time+1)*AD$2, 0) = 0, $K80/(time_cap),0)),0)</f>
        <v/>
      </c>
      <c r="AE80" s="4395">
        <f>IFERROR(IF((time+time_cap)&lt;AE$2, 0,IF(AND(time+1&gt;=AF$2, $E80&lt;AF$2), IF($I80= "I", $J80/($F80-$E80+1), $J80/(($F80*($F80+1)/2)-(($E80-1)*($E80-1+1)/2))*AE$2), 0)+IF(IF(time+1&gt;=AF$2, $K80/time_cap/(time+1)*AE$2, 0) = 0, $K80/(time_cap),0)),0)</f>
        <v/>
      </c>
      <c r="AF80" s="4395">
        <f>IFERROR(IF((time+time_cap)&lt;AF$2, 0,IF(AND(time+1&gt;=AG$2, $E80&lt;AG$2), IF($I80= "I", $J80/($F80-$E80+1), $J80/(($F80*($F80+1)/2)-(($E80-1)*($E80-1+1)/2))*AF$2), 0)+IF(IF(time+1&gt;=AG$2, $K80/time_cap/(time+1)*AF$2, 0) = 0, $K80/(time_cap),0)),0)</f>
        <v/>
      </c>
      <c r="AG80" s="4395">
        <f>IFERROR(IF((time+time_cap)&lt;AG$2, 0,IF(AND(time+1&gt;=AH$2, $E80&lt;AH$2), IF($I80= "I", $J80/($F80-$E80+1), $J80/(($F80*($F80+1)/2)-(($E80-1)*($E80-1+1)/2))*AG$2), 0)+IF(IF(time+1&gt;=AH$2, $K80/time_cap/(time+1)*AG$2, 0) = 0, $K80/(time_cap),0)),0)</f>
        <v/>
      </c>
      <c r="AH80" s="4395">
        <f>IFERROR(IF((time+time_cap)&lt;AH$2, 0,IF(AND(time+1&gt;=AI$2, $E80&lt;AI$2), IF($I80= "I", $J80/($F80-$E80+1), $J80/(($F80*($F80+1)/2)-(($E80-1)*($E80-1+1)/2))*AH$2), 0)+IF(IF(time+1&gt;=AI$2, $K80/time_cap/(time+1)*AH$2, 0) = 0, $K80/(time_cap),0)),0)</f>
        <v/>
      </c>
      <c r="AI80" s="4395">
        <f>IFERROR(IF((time+time_cap)&lt;AI$2, 0,IF(AND(time+1&gt;=AJ$2, $E80&lt;AJ$2), IF($I80= "I", $J80/($F80-$E80+1), $J80/(($F80*($F80+1)/2)-(($E80-1)*($E80-1+1)/2))*AI$2), 0)+IF(IF(time+1&gt;=AJ$2, $K80/time_cap/(time+1)*AI$2, 0) = 0, $K80/(time_cap),0)),0)</f>
        <v/>
      </c>
      <c r="AJ80" s="4395">
        <f>IFERROR(IF((time+time_cap)&lt;AJ$2, 0,IF(AND(time+1&gt;=AK$2, $E80&lt;AK$2), IF($I80= "I", $J80/($F80-$E80+1), $J80/(($F80*($F80+1)/2)-(($E80-1)*($E80-1+1)/2))*AJ$2), 0)+IF(IF(time+1&gt;=AK$2, $K80/time_cap/(time+1)*AJ$2, 0) = 0, $K80/(time_cap),0)),0)</f>
        <v/>
      </c>
      <c r="AK80" s="4395">
        <f>IFERROR(IF((time+time_cap)&lt;AK$2, 0,IF(AND(time+1&gt;=AL$2, $E80&lt;AL$2), IF($I80= "I", $J80/($F80-$E80+1), $J80/(($F80*($F80+1)/2)-(($E80-1)*($E80-1+1)/2))*AK$2), 0)+IF(IF(time+1&gt;=AL$2, $K80/time_cap/(time+1)*AK$2, 0) = 0, $K80/(time_cap),0)),0)</f>
        <v/>
      </c>
      <c r="AL80" s="4395">
        <f>IFERROR(IF((time+time_cap)&lt;AL$2, 0,IF(AND(time+1&gt;=AM$2, $E80&lt;AM$2), IF($I80= "I", $J80/($F80-$E80+1), $J80/(($F80*($F80+1)/2)-(($E80-1)*($E80-1+1)/2))*AL$2), 0)+IF(IF(time+1&gt;=AM$2, $K80/time_cap/(time+1)*AL$2, 0) = 0, $K80/(time_cap),0)),0)</f>
        <v/>
      </c>
      <c r="AM80" s="4395">
        <f>IFERROR(IF((time+time_cap)&lt;AM$2, 0,IF(AND(time+1&gt;=AN$2, $E80&lt;AN$2), IF($I80= "I", $J80/($F80-$E80+1), $J80/(($F80*($F80+1)/2)-(($E80-1)*($E80-1+1)/2))*AM$2), 0)+IF(IF(time+1&gt;=AN$2, $K80/time_cap/(time+1)*AM$2, 0) = 0, $K80/(time_cap),0)),0)</f>
        <v/>
      </c>
      <c r="AN80" s="4395">
        <f>IFERROR(IF((time+time_cap)&lt;AN$2, 0,IF(AND(time+1&gt;=AO$2, $E80&lt;AO$2), IF($I80= "I", $J80/($F80-$E80+1), $J80/(($F80*($F80+1)/2)-(($E80-1)*($E80-1+1)/2))*AN$2), 0)+IF(IF(time+1&gt;=AO$2, $K80/time_cap/(time+1)*AN$2, 0) = 0, $K80/(time_cap),0)),0)</f>
        <v/>
      </c>
      <c r="AO80" s="4395">
        <f>IFERROR(IF((time+time_cap)&lt;AO$2, 0,IF(AND(time+1&gt;=AP$2, $E80&lt;AP$2), IF($I80= "I", $J80/($F80-$E80+1), $J80/(($F80*($F80+1)/2)-(($E80-1)*($E80-1+1)/2))*AO$2), 0)+IF(IF(time+1&gt;=AP$2, $K80/time_cap/(time+1)*AO$2, 0) = 0, $K80/(time_cap),0)),0)</f>
        <v/>
      </c>
      <c r="AP80" s="4395">
        <f>IFERROR(IF((time+time_cap)&lt;AP$2, 0,IF(AND(time+1&gt;=AQ$2, $E80&lt;AQ$2), IF($I80= "I", $J80/($F80-$E80+1), $J80/(($F80*($F80+1)/2)-(($E80-1)*($E80-1+1)/2))*AP$2), 0)+IF(IF(time+1&gt;=AQ$2, $K80/time_cap/(time+1)*AP$2, 0) = 0, $K80/(time_cap),0)),0)</f>
        <v/>
      </c>
      <c r="AQ80" s="4395">
        <f>IFERROR(IF((time+time_cap)&lt;AQ$2, 0,IF(AND(time+1&gt;=AR$2, $E80&lt;AR$2), IF($I80= "I", $J80/($F80-$E80+1), $J80/(($F80*($F80+1)/2)-(($E80-1)*($E80-1+1)/2))*AQ$2), 0)+IF(IF(time+1&gt;=AR$2, $K80/time_cap/(time+1)*AQ$2, 0) = 0, $K80/(time_cap),0)),0)</f>
        <v/>
      </c>
      <c r="AR80" s="4395">
        <f>IFERROR(IF((time+time_cap)&lt;AR$2, 0,IF(AND(time+1&gt;=AS$2, $E80&lt;AS$2), IF($I80= "I", $J80/($F80-$E80+1), $J80/(($F80*($F80+1)/2)-(($E80-1)*($E80-1+1)/2))*AR$2), 0)+IF(IF(time+1&gt;=AS$2, $K80/time_cap/(time+1)*AR$2, 0) = 0, $K80/(time_cap),0)),0)</f>
        <v/>
      </c>
      <c r="AS80" s="4395">
        <f>IFERROR(IF((time+time_cap)&lt;AS$2, 0,IF(AND(time+1&gt;=AT$2, $E80&lt;AT$2), IF($I80= "I", $J80/($F80-$E80+1), $J80/(($F80*($F80+1)/2)-(($E80-1)*($E80-1+1)/2))*AS$2), 0)+IF(IF(time+1&gt;=AT$2, $K80/time_cap/(time+1)*AS$2, 0) = 0, $K80/(time_cap),0)),0)</f>
        <v/>
      </c>
      <c r="AT80" s="4395">
        <f>IFERROR(IF((time+time_cap)&lt;AT$2, 0,IF(AND(time+1&gt;=AU$2, $E80&lt;AU$2), IF($I80= "I", $J80/($F80-$E80+1), $J80/(($F80*($F80+1)/2)-(($E80-1)*($E80-1+1)/2))*AT$2), 0)+IF(IF(time+1&gt;=AU$2, $K80/time_cap/(time+1)*AT$2, 0) = 0, $K80/(time_cap),0)),0)</f>
        <v/>
      </c>
      <c r="AU80" s="4395">
        <f>IFERROR(IF((time+time_cap)&lt;AU$2, 0,IF(AND(time+1&gt;=AV$2, $E80&lt;AV$2), IF($I80= "I", $J80/($F80-$E80+1), $J80/(($F80*($F80+1)/2)-(($E80-1)*($E80-1+1)/2))*AU$2), 0)+IF(IF(time+1&gt;=AV$2, $K80/time_cap/(time+1)*AU$2, 0) = 0, $K80/(time_cap),0)),0)</f>
        <v/>
      </c>
      <c r="AV80" s="4395">
        <f>IFERROR(IF((time+time_cap)&lt;AV$2, 0,IF(AND(time+1&gt;=AW$2, $E80&lt;AW$2), IF($I80= "I", $J80/($F80-$E80+1), $J80/(($F80*($F80+1)/2)-(($E80-1)*($E80-1+1)/2))*AV$2), 0)+IF(IF(time+1&gt;=AW$2, $K80/time_cap/(time+1)*AV$2, 0) = 0, $K80/(time_cap),0)),0)</f>
        <v/>
      </c>
      <c r="AW80" s="4395">
        <f>IFERROR(IF((time+time_cap)&lt;AW$2, 0,IF(AND(time+1&gt;=AX$2, $E80&lt;AX$2), IF($I80= "I", $J80/($F80-$E80+1), $J80/(($F80*($F80+1)/2)-(($E80-1)*($E80-1+1)/2))*AW$2), 0)+IF(IF(time+1&gt;=AX$2, $K80/time_cap/(time+1)*AW$2, 0) = 0, $K80/(time_cap),0)),0)</f>
        <v/>
      </c>
      <c r="AX80" s="4395">
        <f>IFERROR(IF((time+time_cap)&lt;AX$2, 0,IF(AND(time+1&gt;=AY$2, $E80&lt;AY$2), IF($I80= "I", $J80/($F80-$E80+1), $J80/(($F80*($F80+1)/2)-(($E80-1)*($E80-1+1)/2))*AX$2), 0)+IF(IF(time+1&gt;=AY$2, $K80/time_cap/(time+1)*AX$2, 0) = 0, $K80/(time_cap),0)),0)</f>
        <v/>
      </c>
      <c r="AY80" s="4395">
        <f>IFERROR(IF((time+time_cap)&lt;AY$2, 0,IF(AND(time+1&gt;=AZ$2, $E80&lt;AZ$2), IF($I80= "I", $J80/($F80-$E80+1), $J80/(($F80*($F80+1)/2)-(($E80-1)*($E80-1+1)/2))*AY$2), 0)+IF(IF(time+1&gt;=AZ$2, $K80/time_cap/(time+1)*AY$2, 0) = 0, $K80/(time_cap),0)),0)</f>
        <v/>
      </c>
      <c r="AZ80" s="4395">
        <f>IFERROR(IF((time+time_cap)&lt;AZ$2, 0,IF(AND(time+1&gt;=BA$2, $E80&lt;BA$2), IF($I80= "I", $J80/($F80-$E80+1), $J80/(($F80*($F80+1)/2)-(($E80-1)*($E80-1+1)/2))*AZ$2), 0)+IF(IF(time+1&gt;=BA$2, $K80/time_cap/(time+1)*AZ$2, 0) = 0, $K80/(time_cap),0)),0)</f>
        <v/>
      </c>
      <c r="BA80" s="4395">
        <f>IFERROR(IF((time+time_cap)&lt;BA$2, 0,IF(AND(time+1&gt;=BB$2, $E80&lt;BB$2), IF($I80= "I", $J80/($F80-$E80+1), $J80/(($F80*($F80+1)/2)-(($E80-1)*($E80-1+1)/2))*BA$2), 0)+IF(IF(time+1&gt;=BB$2, $K80/time_cap/(time+1)*BA$2, 0) = 0, $K80/(time_cap),0)),0)</f>
        <v/>
      </c>
      <c r="BB80" s="4395">
        <f>IFERROR(IF((time+time_cap)&lt;BB$2, 0,IF(AND(time+1&gt;=BC$2, $E80&lt;BC$2), IF($I80= "I", $J80/($F80-$E80+1), $J80/(($F80*($F80+1)/2)-(($E80-1)*($E80-1+1)/2))*BB$2), 0)+IF(IF(time+1&gt;=BC$2, $K80/time_cap/(time+1)*BB$2, 0) = 0, $K80/(time_cap),0)),0)</f>
        <v/>
      </c>
      <c r="BC80" s="4395">
        <f>IFERROR(IF((time+time_cap)&lt;BC$2, 0,IF(AND(time+1&gt;=BD$2, $E80&lt;BD$2), IF($I80= "I", $J80/($F80-$E80+1), $J80/(($F80*($F80+1)/2)-(($E80-1)*($E80-1+1)/2))*BC$2), 0)+IF(IF(time+1&gt;=BD$2, $K80/time_cap/(time+1)*BC$2, 0) = 0, $K80/(time_cap),0)),0)</f>
        <v/>
      </c>
      <c r="BD80" s="4395">
        <f>IFERROR(IF((time+time_cap)&lt;BD$2, 0,IF(AND(time+1&gt;=BE$2, $E80&lt;BE$2), IF($I80= "I", $J80/($F80-$E80+1), $J80/(($F80*($F80+1)/2)-(($E80-1)*($E80-1+1)/2))*BD$2), 0)+IF(IF(time+1&gt;=BE$2, $K80/time_cap/(time+1)*BD$2, 0) = 0, $K80/(time_cap),0)),0)</f>
        <v/>
      </c>
      <c r="BE80" s="4395">
        <f>IFERROR(IF((time+time_cap)&lt;BE$2, 0,IF(AND(time+1&gt;=BF$2, $E80&lt;BF$2), IF($I80= "I", $J80/($F80-$E80+1), $J80/(($F80*($F80+1)/2)-(($E80-1)*($E80-1+1)/2))*BE$2), 0)+IF(IF(time+1&gt;=BF$2, $K80/time_cap/(time+1)*BE$2, 0) = 0, $K80/(time_cap),0)),0)</f>
        <v/>
      </c>
      <c r="BF80" s="4395">
        <f>IFERROR(IF((time+time_cap)&lt;BF$2, 0,IF(AND(time+1&gt;=BG$2, $E80&lt;BG$2), IF($I80= "I", $J80/($F80-$E80+1), $J80/(($F80*($F80+1)/2)-(($E80-1)*($E80-1+1)/2))*BF$2), 0)+IF(IF(time+1&gt;=BG$2, $K80/time_cap/(time+1)*BF$2, 0) = 0, $K80/(time_cap),0)),0)</f>
        <v/>
      </c>
      <c r="BG80" s="4395">
        <f>IFERROR(IF((time+time_cap)&lt;BG$2, 0,IF(AND(time+1&gt;=BH$2, $E80&lt;BH$2), IF($I80= "I", $J80/($F80-$E80+1), $J80/(($F80*($F80+1)/2)-(($E80-1)*($E80-1+1)/2))*BG$2), 0)+IF(IF(time+1&gt;=BH$2, $K80/time_cap/(time+1)*BG$2, 0) = 0, $K80/(time_cap),0)),0)</f>
        <v/>
      </c>
      <c r="BH80" s="4395">
        <f>IFERROR(IF((time+time_cap)&lt;BH$2, 0,IF(AND(time+1&gt;=BI$2, $E80&lt;BI$2), IF($I80= "I", $J80/($F80-$E80+1), $J80/(($F80*($F80+1)/2)-(($E80-1)*($E80-1+1)/2))*BH$2), 0)+IF(IF(time+1&gt;=BI$2, $K80/time_cap/(time+1)*BH$2, 0) = 0, $K80/(time_cap),0)),0)</f>
        <v/>
      </c>
      <c r="BI80" s="4395">
        <f>IFERROR(IF((time+time_cap)&lt;BI$2, 0,IF(AND(time+1&gt;=BJ$2, $E80&lt;BJ$2), IF($I80= "I", $J80/($F80-$E80+1), $J80/(($F80*($F80+1)/2)-(($E80-1)*($E80-1+1)/2))*BI$2), 0)+IF(IF(time+1&gt;=BJ$2, $K80/time_cap/(time+1)*BI$2, 0) = 0, $K80/(time_cap),0)),0)</f>
        <v/>
      </c>
      <c r="BJ80" s="4395">
        <f>IFERROR(IF((time+time_cap)&lt;BJ$2, 0,IF(AND(time+1&gt;=BK$2, $E80&lt;BK$2), IF($I80= "I", $J80/($F80-$E80+1), $J80/(($F80*($F80+1)/2)-(($E80-1)*($E80-1+1)/2))*BJ$2), 0)+IF(IF(time+1&gt;=BK$2, $K80/time_cap/(time+1)*BJ$2, 0) = 0, $K80/(time_cap),0)),0)</f>
        <v/>
      </c>
      <c r="BK80" s="4395" t="n"/>
      <c r="BL80" s="4395" t="n"/>
      <c r="BM80" s="4395" t="n"/>
      <c r="BN80" s="4395" t="n"/>
      <c r="BO80" s="4395" t="n"/>
      <c r="BP80" s="4395" t="n"/>
      <c r="BQ80" s="4395" t="n"/>
      <c r="BR80" s="4395" t="n"/>
      <c r="BS80" s="4395" t="n"/>
      <c r="BT80" s="4395" t="n"/>
      <c r="BU80" s="4395" t="n"/>
      <c r="BV80" s="4395" t="n"/>
      <c r="BW80" s="4395" t="n"/>
      <c r="BX80" s="4395" t="n"/>
      <c r="BY80" s="4395" t="n"/>
      <c r="BZ80" s="4395" t="n"/>
      <c r="CA80" s="4395" t="n"/>
      <c r="CB80" s="4395" t="n"/>
      <c r="CC80" s="4395" t="n"/>
      <c r="CD80" s="4395" t="n"/>
      <c r="CE80" s="4395" t="n"/>
      <c r="CF80" s="4395" t="n"/>
      <c r="CG80" s="4395" t="n"/>
      <c r="CH80" s="4395" t="n"/>
      <c r="CI80" s="4395" t="n"/>
      <c r="CJ80" s="4395" t="n"/>
      <c r="CK80" s="4395" t="n"/>
      <c r="CL80" s="4395" t="n"/>
      <c r="CM80" s="4395" t="n"/>
      <c r="CN80" s="4395" t="n"/>
      <c r="CO80" s="4395" t="n"/>
      <c r="CP80" s="4395" t="n"/>
      <c r="CQ80" s="4395" t="n"/>
      <c r="CR80" s="4395" t="n"/>
      <c r="CS80" s="4395" t="n"/>
      <c r="CT80" s="4395" t="n"/>
      <c r="CU80" s="4395" t="n"/>
      <c r="CV80" s="4395" t="n"/>
      <c r="CW80" s="4395" t="n"/>
      <c r="CX80" s="4395" t="n"/>
      <c r="CY80" s="4395" t="n"/>
      <c r="CZ80" s="4395" t="n"/>
      <c r="DA80" s="4395" t="n"/>
      <c r="DB80" s="4395" t="n"/>
      <c r="DC80" s="4395" t="n"/>
      <c r="DD80" s="4395" t="n"/>
      <c r="DE80" s="4395" t="n"/>
      <c r="DF80" s="4395" t="n"/>
      <c r="DG80" s="4395" t="n"/>
      <c r="DH80" s="4395" t="n"/>
    </row>
    <row r="81" ht="16" customHeight="1">
      <c r="A81" t="inlineStr">
        <is>
          <t>Grassland</t>
        </is>
      </c>
      <c r="C81">
        <f>'4.Grassland'!G15</f>
        <v/>
      </c>
      <c r="D81">
        <f>'4.Grassland'!AG15</f>
        <v/>
      </c>
      <c r="E81">
        <f>IF('4.Grassland'!BR15&lt;&gt;0,'4.Grassland'!BR15, '4.Grassland'!BQ15)</f>
        <v/>
      </c>
      <c r="F81">
        <f>time</f>
        <v/>
      </c>
      <c r="G81" s="4395" t="inlineStr">
        <is>
          <t>D</t>
        </is>
      </c>
      <c r="H81" s="4395" t="inlineStr">
        <is>
          <t>D</t>
        </is>
      </c>
      <c r="I81" s="4395">
        <f>IF(OR(H81="I", G81="I"), "I", IF(OR(H81="E", G81="E"), "E", "D"))</f>
        <v/>
      </c>
      <c r="J81" s="4395">
        <f>((D81/(time_cap+((F81-E81+1)*VLOOKUP(I81,list!$I$48:$K$50,3, FALSE))))*(F81-E81+1)*VLOOKUP(I81,list!$I$48:$K$50,3, FALSE))</f>
        <v/>
      </c>
      <c r="K81" s="4395">
        <f>((D81/(time_cap+((F81-E81+1)*VLOOKUP(I81,list!$I$48:$K$50,3, FALSE))))*time_cap)</f>
        <v/>
      </c>
      <c r="M81" s="4395">
        <f>IFERROR(IF((time+time_cap)&lt;M$2, 0,IF(AND(time+1&gt;=N$2, $E81&lt;N$2), IF($I81= "I", $J81/($F81-$E81+1), $J81/(($F81*($F81+1)/2)-(($E81-1)*($E81-1+1)/2))*M$2), 0)+IF(IF(time+1&gt;=N$2, $K81/time_cap/(time+1)*M$2, 0) = 0, $K81/(time_cap),0)),0)</f>
        <v/>
      </c>
      <c r="N81" s="4395">
        <f>IFERROR(IF((time+time_cap)&lt;N$2, 0,IF(AND(time+1&gt;=O$2, $E81&lt;O$2), IF($I81= "I", $J81/($F81-$E81+1), $J81/(($F81*($F81+1)/2)-(($E81-1)*($E81-1+1)/2))*N$2), 0)+IF(IF(time+1&gt;=O$2, $K81/time_cap/(time+1)*N$2, 0) = 0, $K81/(time_cap),0)),0)</f>
        <v/>
      </c>
      <c r="O81" s="4395">
        <f>IFERROR(IF((time+time_cap)&lt;O$2, 0,IF(AND(time+1&gt;=P$2, $E81&lt;P$2), IF($I81= "I", $J81/($F81-$E81+1), $J81/(($F81*($F81+1)/2)-(($E81-1)*($E81-1+1)/2))*O$2), 0)+IF(IF(time+1&gt;=P$2, $K81/time_cap/(time+1)*O$2, 0) = 0, $K81/(time_cap),0)),0)</f>
        <v/>
      </c>
      <c r="P81" s="4395">
        <f>IFERROR(IF((time+time_cap)&lt;P$2, 0,IF(AND(time+1&gt;=Q$2, $E81&lt;Q$2), IF($I81= "I", $J81/($F81-$E81+1), $J81/(($F81*($F81+1)/2)-(($E81-1)*($E81-1+1)/2))*P$2), 0)+IF(IF(time+1&gt;=Q$2, $K81/time_cap/(time+1)*P$2, 0) = 0, $K81/(time_cap),0)),0)</f>
        <v/>
      </c>
      <c r="Q81" s="4395">
        <f>IFERROR(IF((time+time_cap)&lt;Q$2, 0,IF(AND(time+1&gt;=R$2, $E81&lt;R$2), IF($I81= "I", $J81/($F81-$E81+1), $J81/(($F81*($F81+1)/2)-(($E81-1)*($E81-1+1)/2))*Q$2), 0)+IF(IF(time+1&gt;=R$2, $K81/time_cap/(time+1)*Q$2, 0) = 0, $K81/(time_cap),0)),0)</f>
        <v/>
      </c>
      <c r="R81" s="4395">
        <f>IFERROR(IF((time+time_cap)&lt;R$2, 0,IF(AND(time+1&gt;=S$2, $E81&lt;S$2), IF($I81= "I", $J81/($F81-$E81+1), $J81/(($F81*($F81+1)/2)-(($E81-1)*($E81-1+1)/2))*R$2), 0)+IF(IF(time+1&gt;=S$2, $K81/time_cap/(time+1)*R$2, 0) = 0, $K81/(time_cap),0)),0)</f>
        <v/>
      </c>
      <c r="S81" s="4395">
        <f>IFERROR(IF((time+time_cap)&lt;S$2, 0,IF(AND(time+1&gt;=T$2, $E81&lt;T$2), IF($I81= "I", $J81/($F81-$E81+1), $J81/(($F81*($F81+1)/2)-(($E81-1)*($E81-1+1)/2))*S$2), 0)+IF(IF(time+1&gt;=T$2, $K81/time_cap/(time+1)*S$2, 0) = 0, $K81/(time_cap),0)),0)</f>
        <v/>
      </c>
      <c r="T81" s="4395">
        <f>IFERROR(IF((time+time_cap)&lt;T$2, 0,IF(AND(time+1&gt;=U$2, $E81&lt;U$2), IF($I81= "I", $J81/($F81-$E81+1), $J81/(($F81*($F81+1)/2)-(($E81-1)*($E81-1+1)/2))*T$2), 0)+IF(IF(time+1&gt;=U$2, $K81/time_cap/(time+1)*T$2, 0) = 0, $K81/(time_cap),0)),0)</f>
        <v/>
      </c>
      <c r="U81" s="4395">
        <f>IFERROR(IF((time+time_cap)&lt;U$2, 0,IF(AND(time+1&gt;=V$2, $E81&lt;V$2), IF($I81= "I", $J81/($F81-$E81+1), $J81/(($F81*($F81+1)/2)-(($E81-1)*($E81-1+1)/2))*U$2), 0)+IF(IF(time+1&gt;=V$2, $K81/time_cap/(time+1)*U$2, 0) = 0, $K81/(time_cap),0)),0)</f>
        <v/>
      </c>
      <c r="V81" s="4395">
        <f>IFERROR(IF((time+time_cap)&lt;V$2, 0,IF(AND(time+1&gt;=W$2, $E81&lt;W$2), IF($I81= "I", $J81/($F81-$E81+1), $J81/(($F81*($F81+1)/2)-(($E81-1)*($E81-1+1)/2))*V$2), 0)+IF(IF(time+1&gt;=W$2, $K81/time_cap/(time+1)*V$2, 0) = 0, $K81/(time_cap),0)),0)</f>
        <v/>
      </c>
      <c r="W81" s="4395">
        <f>IFERROR(IF((time+time_cap)&lt;W$2, 0,IF(AND(time+1&gt;=X$2, $E81&lt;X$2), IF($I81= "I", $J81/($F81-$E81+1), $J81/(($F81*($F81+1)/2)-(($E81-1)*($E81-1+1)/2))*W$2), 0)+IF(IF(time+1&gt;=X$2, $K81/time_cap/(time+1)*W$2, 0) = 0, $K81/(time_cap),0)),0)</f>
        <v/>
      </c>
      <c r="X81" s="4395">
        <f>IFERROR(IF((time+time_cap)&lt;X$2, 0,IF(AND(time+1&gt;=Y$2, $E81&lt;Y$2), IF($I81= "I", $J81/($F81-$E81+1), $J81/(($F81*($F81+1)/2)-(($E81-1)*($E81-1+1)/2))*X$2), 0)+IF(IF(time+1&gt;=Y$2, $K81/time_cap/(time+1)*X$2, 0) = 0, $K81/(time_cap),0)),0)</f>
        <v/>
      </c>
      <c r="Y81" s="4395">
        <f>IFERROR(IF((time+time_cap)&lt;Y$2, 0,IF(AND(time+1&gt;=Z$2, $E81&lt;Z$2), IF($I81= "I", $J81/($F81-$E81+1), $J81/(($F81*($F81+1)/2)-(($E81-1)*($E81-1+1)/2))*Y$2), 0)+IF(IF(time+1&gt;=Z$2, $K81/time_cap/(time+1)*Y$2, 0) = 0, $K81/(time_cap),0)),0)</f>
        <v/>
      </c>
      <c r="Z81" s="4395">
        <f>IFERROR(IF((time+time_cap)&lt;Z$2, 0,IF(AND(time+1&gt;=AA$2, $E81&lt;AA$2), IF($I81= "I", $J81/($F81-$E81+1), $J81/(($F81*($F81+1)/2)-(($E81-1)*($E81-1+1)/2))*Z$2), 0)+IF(IF(time+1&gt;=AA$2, $K81/time_cap/(time+1)*Z$2, 0) = 0, $K81/(time_cap),0)),0)</f>
        <v/>
      </c>
      <c r="AA81" s="4395">
        <f>IFERROR(IF((time+time_cap)&lt;AA$2, 0,IF(AND(time+1&gt;=AB$2, $E81&lt;AB$2), IF($I81= "I", $J81/($F81-$E81+1), $J81/(($F81*($F81+1)/2)-(($E81-1)*($E81-1+1)/2))*AA$2), 0)+IF(IF(time+1&gt;=AB$2, $K81/time_cap/(time+1)*AA$2, 0) = 0, $K81/(time_cap),0)),0)</f>
        <v/>
      </c>
      <c r="AB81" s="4395">
        <f>IFERROR(IF((time+time_cap)&lt;AB$2, 0,IF(AND(time+1&gt;=AC$2, $E81&lt;AC$2), IF($I81= "I", $J81/($F81-$E81+1), $J81/(($F81*($F81+1)/2)-(($E81-1)*($E81-1+1)/2))*AB$2), 0)+IF(IF(time+1&gt;=AC$2, $K81/time_cap/(time+1)*AB$2, 0) = 0, $K81/(time_cap),0)),0)</f>
        <v/>
      </c>
      <c r="AC81" s="4395">
        <f>IFERROR(IF((time+time_cap)&lt;AC$2, 0,IF(AND(time+1&gt;=AD$2, $E81&lt;AD$2), IF($I81= "I", $J81/($F81-$E81+1), $J81/(($F81*($F81+1)/2)-(($E81-1)*($E81-1+1)/2))*AC$2), 0)+IF(IF(time+1&gt;=AD$2, $K81/time_cap/(time+1)*AC$2, 0) = 0, $K81/(time_cap),0)),0)</f>
        <v/>
      </c>
      <c r="AD81" s="4395">
        <f>IFERROR(IF((time+time_cap)&lt;AD$2, 0,IF(AND(time+1&gt;=AE$2, $E81&lt;AE$2), IF($I81= "I", $J81/($F81-$E81+1), $J81/(($F81*($F81+1)/2)-(($E81-1)*($E81-1+1)/2))*AD$2), 0)+IF(IF(time+1&gt;=AE$2, $K81/time_cap/(time+1)*AD$2, 0) = 0, $K81/(time_cap),0)),0)</f>
        <v/>
      </c>
      <c r="AE81" s="4395">
        <f>IFERROR(IF((time+time_cap)&lt;AE$2, 0,IF(AND(time+1&gt;=AF$2, $E81&lt;AF$2), IF($I81= "I", $J81/($F81-$E81+1), $J81/(($F81*($F81+1)/2)-(($E81-1)*($E81-1+1)/2))*AE$2), 0)+IF(IF(time+1&gt;=AF$2, $K81/time_cap/(time+1)*AE$2, 0) = 0, $K81/(time_cap),0)),0)</f>
        <v/>
      </c>
      <c r="AF81" s="4395">
        <f>IFERROR(IF((time+time_cap)&lt;AF$2, 0,IF(AND(time+1&gt;=AG$2, $E81&lt;AG$2), IF($I81= "I", $J81/($F81-$E81+1), $J81/(($F81*($F81+1)/2)-(($E81-1)*($E81-1+1)/2))*AF$2), 0)+IF(IF(time+1&gt;=AG$2, $K81/time_cap/(time+1)*AF$2, 0) = 0, $K81/(time_cap),0)),0)</f>
        <v/>
      </c>
      <c r="AG81" s="4395">
        <f>IFERROR(IF((time+time_cap)&lt;AG$2, 0,IF(AND(time+1&gt;=AH$2, $E81&lt;AH$2), IF($I81= "I", $J81/($F81-$E81+1), $J81/(($F81*($F81+1)/2)-(($E81-1)*($E81-1+1)/2))*AG$2), 0)+IF(IF(time+1&gt;=AH$2, $K81/time_cap/(time+1)*AG$2, 0) = 0, $K81/(time_cap),0)),0)</f>
        <v/>
      </c>
      <c r="AH81" s="4395">
        <f>IFERROR(IF((time+time_cap)&lt;AH$2, 0,IF(AND(time+1&gt;=AI$2, $E81&lt;AI$2), IF($I81= "I", $J81/($F81-$E81+1), $J81/(($F81*($F81+1)/2)-(($E81-1)*($E81-1+1)/2))*AH$2), 0)+IF(IF(time+1&gt;=AI$2, $K81/time_cap/(time+1)*AH$2, 0) = 0, $K81/(time_cap),0)),0)</f>
        <v/>
      </c>
      <c r="AI81" s="4395">
        <f>IFERROR(IF((time+time_cap)&lt;AI$2, 0,IF(AND(time+1&gt;=AJ$2, $E81&lt;AJ$2), IF($I81= "I", $J81/($F81-$E81+1), $J81/(($F81*($F81+1)/2)-(($E81-1)*($E81-1+1)/2))*AI$2), 0)+IF(IF(time+1&gt;=AJ$2, $K81/time_cap/(time+1)*AI$2, 0) = 0, $K81/(time_cap),0)),0)</f>
        <v/>
      </c>
      <c r="AJ81" s="4395">
        <f>IFERROR(IF((time+time_cap)&lt;AJ$2, 0,IF(AND(time+1&gt;=AK$2, $E81&lt;AK$2), IF($I81= "I", $J81/($F81-$E81+1), $J81/(($F81*($F81+1)/2)-(($E81-1)*($E81-1+1)/2))*AJ$2), 0)+IF(IF(time+1&gt;=AK$2, $K81/time_cap/(time+1)*AJ$2, 0) = 0, $K81/(time_cap),0)),0)</f>
        <v/>
      </c>
      <c r="AK81" s="4395">
        <f>IFERROR(IF((time+time_cap)&lt;AK$2, 0,IF(AND(time+1&gt;=AL$2, $E81&lt;AL$2), IF($I81= "I", $J81/($F81-$E81+1), $J81/(($F81*($F81+1)/2)-(($E81-1)*($E81-1+1)/2))*AK$2), 0)+IF(IF(time+1&gt;=AL$2, $K81/time_cap/(time+1)*AK$2, 0) = 0, $K81/(time_cap),0)),0)</f>
        <v/>
      </c>
      <c r="AL81" s="4395">
        <f>IFERROR(IF((time+time_cap)&lt;AL$2, 0,IF(AND(time+1&gt;=AM$2, $E81&lt;AM$2), IF($I81= "I", $J81/($F81-$E81+1), $J81/(($F81*($F81+1)/2)-(($E81-1)*($E81-1+1)/2))*AL$2), 0)+IF(IF(time+1&gt;=AM$2, $K81/time_cap/(time+1)*AL$2, 0) = 0, $K81/(time_cap),0)),0)</f>
        <v/>
      </c>
      <c r="AM81" s="4395">
        <f>IFERROR(IF((time+time_cap)&lt;AM$2, 0,IF(AND(time+1&gt;=AN$2, $E81&lt;AN$2), IF($I81= "I", $J81/($F81-$E81+1), $J81/(($F81*($F81+1)/2)-(($E81-1)*($E81-1+1)/2))*AM$2), 0)+IF(IF(time+1&gt;=AN$2, $K81/time_cap/(time+1)*AM$2, 0) = 0, $K81/(time_cap),0)),0)</f>
        <v/>
      </c>
      <c r="AN81" s="4395">
        <f>IFERROR(IF((time+time_cap)&lt;AN$2, 0,IF(AND(time+1&gt;=AO$2, $E81&lt;AO$2), IF($I81= "I", $J81/($F81-$E81+1), $J81/(($F81*($F81+1)/2)-(($E81-1)*($E81-1+1)/2))*AN$2), 0)+IF(IF(time+1&gt;=AO$2, $K81/time_cap/(time+1)*AN$2, 0) = 0, $K81/(time_cap),0)),0)</f>
        <v/>
      </c>
      <c r="AO81" s="4395">
        <f>IFERROR(IF((time+time_cap)&lt;AO$2, 0,IF(AND(time+1&gt;=AP$2, $E81&lt;AP$2), IF($I81= "I", $J81/($F81-$E81+1), $J81/(($F81*($F81+1)/2)-(($E81-1)*($E81-1+1)/2))*AO$2), 0)+IF(IF(time+1&gt;=AP$2, $K81/time_cap/(time+1)*AO$2, 0) = 0, $K81/(time_cap),0)),0)</f>
        <v/>
      </c>
      <c r="AP81" s="4395">
        <f>IFERROR(IF((time+time_cap)&lt;AP$2, 0,IF(AND(time+1&gt;=AQ$2, $E81&lt;AQ$2), IF($I81= "I", $J81/($F81-$E81+1), $J81/(($F81*($F81+1)/2)-(($E81-1)*($E81-1+1)/2))*AP$2), 0)+IF(IF(time+1&gt;=AQ$2, $K81/time_cap/(time+1)*AP$2, 0) = 0, $K81/(time_cap),0)),0)</f>
        <v/>
      </c>
      <c r="AQ81" s="4395">
        <f>IFERROR(IF((time+time_cap)&lt;AQ$2, 0,IF(AND(time+1&gt;=AR$2, $E81&lt;AR$2), IF($I81= "I", $J81/($F81-$E81+1), $J81/(($F81*($F81+1)/2)-(($E81-1)*($E81-1+1)/2))*AQ$2), 0)+IF(IF(time+1&gt;=AR$2, $K81/time_cap/(time+1)*AQ$2, 0) = 0, $K81/(time_cap),0)),0)</f>
        <v/>
      </c>
      <c r="AR81" s="4395">
        <f>IFERROR(IF((time+time_cap)&lt;AR$2, 0,IF(AND(time+1&gt;=AS$2, $E81&lt;AS$2), IF($I81= "I", $J81/($F81-$E81+1), $J81/(($F81*($F81+1)/2)-(($E81-1)*($E81-1+1)/2))*AR$2), 0)+IF(IF(time+1&gt;=AS$2, $K81/time_cap/(time+1)*AR$2, 0) = 0, $K81/(time_cap),0)),0)</f>
        <v/>
      </c>
      <c r="AS81" s="4395">
        <f>IFERROR(IF((time+time_cap)&lt;AS$2, 0,IF(AND(time+1&gt;=AT$2, $E81&lt;AT$2), IF($I81= "I", $J81/($F81-$E81+1), $J81/(($F81*($F81+1)/2)-(($E81-1)*($E81-1+1)/2))*AS$2), 0)+IF(IF(time+1&gt;=AT$2, $K81/time_cap/(time+1)*AS$2, 0) = 0, $K81/(time_cap),0)),0)</f>
        <v/>
      </c>
      <c r="AT81" s="4395">
        <f>IFERROR(IF((time+time_cap)&lt;AT$2, 0,IF(AND(time+1&gt;=AU$2, $E81&lt;AU$2), IF($I81= "I", $J81/($F81-$E81+1), $J81/(($F81*($F81+1)/2)-(($E81-1)*($E81-1+1)/2))*AT$2), 0)+IF(IF(time+1&gt;=AU$2, $K81/time_cap/(time+1)*AT$2, 0) = 0, $K81/(time_cap),0)),0)</f>
        <v/>
      </c>
      <c r="AU81" s="4395">
        <f>IFERROR(IF((time+time_cap)&lt;AU$2, 0,IF(AND(time+1&gt;=AV$2, $E81&lt;AV$2), IF($I81= "I", $J81/($F81-$E81+1), $J81/(($F81*($F81+1)/2)-(($E81-1)*($E81-1+1)/2))*AU$2), 0)+IF(IF(time+1&gt;=AV$2, $K81/time_cap/(time+1)*AU$2, 0) = 0, $K81/(time_cap),0)),0)</f>
        <v/>
      </c>
      <c r="AV81" s="4395">
        <f>IFERROR(IF((time+time_cap)&lt;AV$2, 0,IF(AND(time+1&gt;=AW$2, $E81&lt;AW$2), IF($I81= "I", $J81/($F81-$E81+1), $J81/(($F81*($F81+1)/2)-(($E81-1)*($E81-1+1)/2))*AV$2), 0)+IF(IF(time+1&gt;=AW$2, $K81/time_cap/(time+1)*AV$2, 0) = 0, $K81/(time_cap),0)),0)</f>
        <v/>
      </c>
      <c r="AW81" s="4395">
        <f>IFERROR(IF((time+time_cap)&lt;AW$2, 0,IF(AND(time+1&gt;=AX$2, $E81&lt;AX$2), IF($I81= "I", $J81/($F81-$E81+1), $J81/(($F81*($F81+1)/2)-(($E81-1)*($E81-1+1)/2))*AW$2), 0)+IF(IF(time+1&gt;=AX$2, $K81/time_cap/(time+1)*AW$2, 0) = 0, $K81/(time_cap),0)),0)</f>
        <v/>
      </c>
      <c r="AX81" s="4395">
        <f>IFERROR(IF((time+time_cap)&lt;AX$2, 0,IF(AND(time+1&gt;=AY$2, $E81&lt;AY$2), IF($I81= "I", $J81/($F81-$E81+1), $J81/(($F81*($F81+1)/2)-(($E81-1)*($E81-1+1)/2))*AX$2), 0)+IF(IF(time+1&gt;=AY$2, $K81/time_cap/(time+1)*AX$2, 0) = 0, $K81/(time_cap),0)),0)</f>
        <v/>
      </c>
      <c r="AY81" s="4395">
        <f>IFERROR(IF((time+time_cap)&lt;AY$2, 0,IF(AND(time+1&gt;=AZ$2, $E81&lt;AZ$2), IF($I81= "I", $J81/($F81-$E81+1), $J81/(($F81*($F81+1)/2)-(($E81-1)*($E81-1+1)/2))*AY$2), 0)+IF(IF(time+1&gt;=AZ$2, $K81/time_cap/(time+1)*AY$2, 0) = 0, $K81/(time_cap),0)),0)</f>
        <v/>
      </c>
      <c r="AZ81" s="4395">
        <f>IFERROR(IF((time+time_cap)&lt;AZ$2, 0,IF(AND(time+1&gt;=BA$2, $E81&lt;BA$2), IF($I81= "I", $J81/($F81-$E81+1), $J81/(($F81*($F81+1)/2)-(($E81-1)*($E81-1+1)/2))*AZ$2), 0)+IF(IF(time+1&gt;=BA$2, $K81/time_cap/(time+1)*AZ$2, 0) = 0, $K81/(time_cap),0)),0)</f>
        <v/>
      </c>
      <c r="BA81" s="4395">
        <f>IFERROR(IF((time+time_cap)&lt;BA$2, 0,IF(AND(time+1&gt;=BB$2, $E81&lt;BB$2), IF($I81= "I", $J81/($F81-$E81+1), $J81/(($F81*($F81+1)/2)-(($E81-1)*($E81-1+1)/2))*BA$2), 0)+IF(IF(time+1&gt;=BB$2, $K81/time_cap/(time+1)*BA$2, 0) = 0, $K81/(time_cap),0)),0)</f>
        <v/>
      </c>
      <c r="BB81" s="4395">
        <f>IFERROR(IF((time+time_cap)&lt;BB$2, 0,IF(AND(time+1&gt;=BC$2, $E81&lt;BC$2), IF($I81= "I", $J81/($F81-$E81+1), $J81/(($F81*($F81+1)/2)-(($E81-1)*($E81-1+1)/2))*BB$2), 0)+IF(IF(time+1&gt;=BC$2, $K81/time_cap/(time+1)*BB$2, 0) = 0, $K81/(time_cap),0)),0)</f>
        <v/>
      </c>
      <c r="BC81" s="4395">
        <f>IFERROR(IF((time+time_cap)&lt;BC$2, 0,IF(AND(time+1&gt;=BD$2, $E81&lt;BD$2), IF($I81= "I", $J81/($F81-$E81+1), $J81/(($F81*($F81+1)/2)-(($E81-1)*($E81-1+1)/2))*BC$2), 0)+IF(IF(time+1&gt;=BD$2, $K81/time_cap/(time+1)*BC$2, 0) = 0, $K81/(time_cap),0)),0)</f>
        <v/>
      </c>
      <c r="BD81" s="4395">
        <f>IFERROR(IF((time+time_cap)&lt;BD$2, 0,IF(AND(time+1&gt;=BE$2, $E81&lt;BE$2), IF($I81= "I", $J81/($F81-$E81+1), $J81/(($F81*($F81+1)/2)-(($E81-1)*($E81-1+1)/2))*BD$2), 0)+IF(IF(time+1&gt;=BE$2, $K81/time_cap/(time+1)*BD$2, 0) = 0, $K81/(time_cap),0)),0)</f>
        <v/>
      </c>
      <c r="BE81" s="4395">
        <f>IFERROR(IF((time+time_cap)&lt;BE$2, 0,IF(AND(time+1&gt;=BF$2, $E81&lt;BF$2), IF($I81= "I", $J81/($F81-$E81+1), $J81/(($F81*($F81+1)/2)-(($E81-1)*($E81-1+1)/2))*BE$2), 0)+IF(IF(time+1&gt;=BF$2, $K81/time_cap/(time+1)*BE$2, 0) = 0, $K81/(time_cap),0)),0)</f>
        <v/>
      </c>
      <c r="BF81" s="4395">
        <f>IFERROR(IF((time+time_cap)&lt;BF$2, 0,IF(AND(time+1&gt;=BG$2, $E81&lt;BG$2), IF($I81= "I", $J81/($F81-$E81+1), $J81/(($F81*($F81+1)/2)-(($E81-1)*($E81-1+1)/2))*BF$2), 0)+IF(IF(time+1&gt;=BG$2, $K81/time_cap/(time+1)*BF$2, 0) = 0, $K81/(time_cap),0)),0)</f>
        <v/>
      </c>
      <c r="BG81" s="4395">
        <f>IFERROR(IF((time+time_cap)&lt;BG$2, 0,IF(AND(time+1&gt;=BH$2, $E81&lt;BH$2), IF($I81= "I", $J81/($F81-$E81+1), $J81/(($F81*($F81+1)/2)-(($E81-1)*($E81-1+1)/2))*BG$2), 0)+IF(IF(time+1&gt;=BH$2, $K81/time_cap/(time+1)*BG$2, 0) = 0, $K81/(time_cap),0)),0)</f>
        <v/>
      </c>
      <c r="BH81" s="4395">
        <f>IFERROR(IF((time+time_cap)&lt;BH$2, 0,IF(AND(time+1&gt;=BI$2, $E81&lt;BI$2), IF($I81= "I", $J81/($F81-$E81+1), $J81/(($F81*($F81+1)/2)-(($E81-1)*($E81-1+1)/2))*BH$2), 0)+IF(IF(time+1&gt;=BI$2, $K81/time_cap/(time+1)*BH$2, 0) = 0, $K81/(time_cap),0)),0)</f>
        <v/>
      </c>
      <c r="BI81" s="4395">
        <f>IFERROR(IF((time+time_cap)&lt;BI$2, 0,IF(AND(time+1&gt;=BJ$2, $E81&lt;BJ$2), IF($I81= "I", $J81/($F81-$E81+1), $J81/(($F81*($F81+1)/2)-(($E81-1)*($E81-1+1)/2))*BI$2), 0)+IF(IF(time+1&gt;=BJ$2, $K81/time_cap/(time+1)*BI$2, 0) = 0, $K81/(time_cap),0)),0)</f>
        <v/>
      </c>
      <c r="BJ81" s="4395">
        <f>IFERROR(IF((time+time_cap)&lt;BJ$2, 0,IF(AND(time+1&gt;=BK$2, $E81&lt;BK$2), IF($I81= "I", $J81/($F81-$E81+1), $J81/(($F81*($F81+1)/2)-(($E81-1)*($E81-1+1)/2))*BJ$2), 0)+IF(IF(time+1&gt;=BK$2, $K81/time_cap/(time+1)*BJ$2, 0) = 0, $K81/(time_cap),0)),0)</f>
        <v/>
      </c>
      <c r="BK81" s="4395" t="n"/>
      <c r="BL81" s="4395" t="n"/>
      <c r="BM81" s="4395" t="n"/>
      <c r="BN81" s="4395" t="n"/>
      <c r="BO81" s="4395" t="n"/>
      <c r="BP81" s="4395" t="n"/>
      <c r="BQ81" s="4395" t="n"/>
      <c r="BR81" s="4395" t="n"/>
      <c r="BS81" s="4395" t="n"/>
      <c r="BT81" s="4395" t="n"/>
      <c r="BU81" s="4395" t="n"/>
      <c r="BV81" s="4395" t="n"/>
      <c r="BW81" s="4395" t="n"/>
      <c r="BX81" s="4395" t="n"/>
      <c r="BY81" s="4395" t="n"/>
      <c r="BZ81" s="4395" t="n"/>
      <c r="CA81" s="4395" t="n"/>
      <c r="CB81" s="4395" t="n"/>
      <c r="CC81" s="4395" t="n"/>
      <c r="CD81" s="4395" t="n"/>
      <c r="CE81" s="4395" t="n"/>
      <c r="CF81" s="4395" t="n"/>
      <c r="CG81" s="4395" t="n"/>
      <c r="CH81" s="4395" t="n"/>
      <c r="CI81" s="4395" t="n"/>
      <c r="CJ81" s="4395" t="n"/>
      <c r="CK81" s="4395" t="n"/>
      <c r="CL81" s="4395" t="n"/>
      <c r="CM81" s="4395" t="n"/>
      <c r="CN81" s="4395" t="n"/>
      <c r="CO81" s="4395" t="n"/>
      <c r="CP81" s="4395" t="n"/>
      <c r="CQ81" s="4395" t="n"/>
      <c r="CR81" s="4395" t="n"/>
      <c r="CS81" s="4395" t="n"/>
      <c r="CT81" s="4395" t="n"/>
      <c r="CU81" s="4395" t="n"/>
      <c r="CV81" s="4395" t="n"/>
      <c r="CW81" s="4395" t="n"/>
      <c r="CX81" s="4395" t="n"/>
      <c r="CY81" s="4395" t="n"/>
      <c r="CZ81" s="4395" t="n"/>
      <c r="DA81" s="4395" t="n"/>
      <c r="DB81" s="4395" t="n"/>
      <c r="DC81" s="4395" t="n"/>
      <c r="DD81" s="4395" t="n"/>
      <c r="DE81" s="4395" t="n"/>
      <c r="DF81" s="4395" t="n"/>
      <c r="DG81" s="4395" t="n"/>
      <c r="DH81" s="4395" t="n"/>
    </row>
    <row r="82" ht="16" customHeight="1">
      <c r="A82" t="inlineStr">
        <is>
          <t>Grassland</t>
        </is>
      </c>
      <c r="C82">
        <f>'4.Grassland'!G16</f>
        <v/>
      </c>
      <c r="D82">
        <f>'4.Grassland'!AG16</f>
        <v/>
      </c>
      <c r="E82">
        <f>IF('4.Grassland'!BR16&lt;&gt;0,'4.Grassland'!BR16, '4.Grassland'!BQ16)</f>
        <v/>
      </c>
      <c r="F82">
        <f>time</f>
        <v/>
      </c>
      <c r="G82" s="4395" t="inlineStr">
        <is>
          <t>D</t>
        </is>
      </c>
      <c r="H82" s="4395" t="inlineStr">
        <is>
          <t>D</t>
        </is>
      </c>
      <c r="I82" s="4395">
        <f>IF(OR(H82="I", G82="I"), "I", IF(OR(H82="E", G82="E"), "E", "D"))</f>
        <v/>
      </c>
      <c r="J82" s="4395">
        <f>((D82/(time_cap+((F82-E82+1)*VLOOKUP(I82,list!$I$48:$K$50,3, FALSE))))*(F82-E82+1)*VLOOKUP(I82,list!$I$48:$K$50,3, FALSE))</f>
        <v/>
      </c>
      <c r="K82" s="4395">
        <f>((D82/(time_cap+((F82-E82+1)*VLOOKUP(I82,list!$I$48:$K$50,3, FALSE))))*time_cap)</f>
        <v/>
      </c>
      <c r="M82" s="4395">
        <f>IFERROR(IF((time+time_cap)&lt;M$2, 0,IF(AND(time+1&gt;=N$2, $E82&lt;N$2), IF($I82= "I", $J82/($F82-$E82+1), $J82/(($F82*($F82+1)/2)-(($E82-1)*($E82-1+1)/2))*M$2), 0)+IF(IF(time+1&gt;=N$2, $K82/time_cap/(time+1)*M$2, 0) = 0, $K82/(time_cap),0)),0)</f>
        <v/>
      </c>
      <c r="N82" s="4395">
        <f>IFERROR(IF((time+time_cap)&lt;N$2, 0,IF(AND(time+1&gt;=O$2, $E82&lt;O$2), IF($I82= "I", $J82/($F82-$E82+1), $J82/(($F82*($F82+1)/2)-(($E82-1)*($E82-1+1)/2))*N$2), 0)+IF(IF(time+1&gt;=O$2, $K82/time_cap/(time+1)*N$2, 0) = 0, $K82/(time_cap),0)),0)</f>
        <v/>
      </c>
      <c r="O82" s="4395">
        <f>IFERROR(IF((time+time_cap)&lt;O$2, 0,IF(AND(time+1&gt;=P$2, $E82&lt;P$2), IF($I82= "I", $J82/($F82-$E82+1), $J82/(($F82*($F82+1)/2)-(($E82-1)*($E82-1+1)/2))*O$2), 0)+IF(IF(time+1&gt;=P$2, $K82/time_cap/(time+1)*O$2, 0) = 0, $K82/(time_cap),0)),0)</f>
        <v/>
      </c>
      <c r="P82" s="4395">
        <f>IFERROR(IF((time+time_cap)&lt;P$2, 0,IF(AND(time+1&gt;=Q$2, $E82&lt;Q$2), IF($I82= "I", $J82/($F82-$E82+1), $J82/(($F82*($F82+1)/2)-(($E82-1)*($E82-1+1)/2))*P$2), 0)+IF(IF(time+1&gt;=Q$2, $K82/time_cap/(time+1)*P$2, 0) = 0, $K82/(time_cap),0)),0)</f>
        <v/>
      </c>
      <c r="Q82" s="4395">
        <f>IFERROR(IF((time+time_cap)&lt;Q$2, 0,IF(AND(time+1&gt;=R$2, $E82&lt;R$2), IF($I82= "I", $J82/($F82-$E82+1), $J82/(($F82*($F82+1)/2)-(($E82-1)*($E82-1+1)/2))*Q$2), 0)+IF(IF(time+1&gt;=R$2, $K82/time_cap/(time+1)*Q$2, 0) = 0, $K82/(time_cap),0)),0)</f>
        <v/>
      </c>
      <c r="R82" s="4395">
        <f>IFERROR(IF((time+time_cap)&lt;R$2, 0,IF(AND(time+1&gt;=S$2, $E82&lt;S$2), IF($I82= "I", $J82/($F82-$E82+1), $J82/(($F82*($F82+1)/2)-(($E82-1)*($E82-1+1)/2))*R$2), 0)+IF(IF(time+1&gt;=S$2, $K82/time_cap/(time+1)*R$2, 0) = 0, $K82/(time_cap),0)),0)</f>
        <v/>
      </c>
      <c r="S82" s="4395">
        <f>IFERROR(IF((time+time_cap)&lt;S$2, 0,IF(AND(time+1&gt;=T$2, $E82&lt;T$2), IF($I82= "I", $J82/($F82-$E82+1), $J82/(($F82*($F82+1)/2)-(($E82-1)*($E82-1+1)/2))*S$2), 0)+IF(IF(time+1&gt;=T$2, $K82/time_cap/(time+1)*S$2, 0) = 0, $K82/(time_cap),0)),0)</f>
        <v/>
      </c>
      <c r="T82" s="4395">
        <f>IFERROR(IF((time+time_cap)&lt;T$2, 0,IF(AND(time+1&gt;=U$2, $E82&lt;U$2), IF($I82= "I", $J82/($F82-$E82+1), $J82/(($F82*($F82+1)/2)-(($E82-1)*($E82-1+1)/2))*T$2), 0)+IF(IF(time+1&gt;=U$2, $K82/time_cap/(time+1)*T$2, 0) = 0, $K82/(time_cap),0)),0)</f>
        <v/>
      </c>
      <c r="U82" s="4395">
        <f>IFERROR(IF((time+time_cap)&lt;U$2, 0,IF(AND(time+1&gt;=V$2, $E82&lt;V$2), IF($I82= "I", $J82/($F82-$E82+1), $J82/(($F82*($F82+1)/2)-(($E82-1)*($E82-1+1)/2))*U$2), 0)+IF(IF(time+1&gt;=V$2, $K82/time_cap/(time+1)*U$2, 0) = 0, $K82/(time_cap),0)),0)</f>
        <v/>
      </c>
      <c r="V82" s="4395">
        <f>IFERROR(IF((time+time_cap)&lt;V$2, 0,IF(AND(time+1&gt;=W$2, $E82&lt;W$2), IF($I82= "I", $J82/($F82-$E82+1), $J82/(($F82*($F82+1)/2)-(($E82-1)*($E82-1+1)/2))*V$2), 0)+IF(IF(time+1&gt;=W$2, $K82/time_cap/(time+1)*V$2, 0) = 0, $K82/(time_cap),0)),0)</f>
        <v/>
      </c>
      <c r="W82" s="4395">
        <f>IFERROR(IF((time+time_cap)&lt;W$2, 0,IF(AND(time+1&gt;=X$2, $E82&lt;X$2), IF($I82= "I", $J82/($F82-$E82+1), $J82/(($F82*($F82+1)/2)-(($E82-1)*($E82-1+1)/2))*W$2), 0)+IF(IF(time+1&gt;=X$2, $K82/time_cap/(time+1)*W$2, 0) = 0, $K82/(time_cap),0)),0)</f>
        <v/>
      </c>
      <c r="X82" s="4395">
        <f>IFERROR(IF((time+time_cap)&lt;X$2, 0,IF(AND(time+1&gt;=Y$2, $E82&lt;Y$2), IF($I82= "I", $J82/($F82-$E82+1), $J82/(($F82*($F82+1)/2)-(($E82-1)*($E82-1+1)/2))*X$2), 0)+IF(IF(time+1&gt;=Y$2, $K82/time_cap/(time+1)*X$2, 0) = 0, $K82/(time_cap),0)),0)</f>
        <v/>
      </c>
      <c r="Y82" s="4395">
        <f>IFERROR(IF((time+time_cap)&lt;Y$2, 0,IF(AND(time+1&gt;=Z$2, $E82&lt;Z$2), IF($I82= "I", $J82/($F82-$E82+1), $J82/(($F82*($F82+1)/2)-(($E82-1)*($E82-1+1)/2))*Y$2), 0)+IF(IF(time+1&gt;=Z$2, $K82/time_cap/(time+1)*Y$2, 0) = 0, $K82/(time_cap),0)),0)</f>
        <v/>
      </c>
      <c r="Z82" s="4395">
        <f>IFERROR(IF((time+time_cap)&lt;Z$2, 0,IF(AND(time+1&gt;=AA$2, $E82&lt;AA$2), IF($I82= "I", $J82/($F82-$E82+1), $J82/(($F82*($F82+1)/2)-(($E82-1)*($E82-1+1)/2))*Z$2), 0)+IF(IF(time+1&gt;=AA$2, $K82/time_cap/(time+1)*Z$2, 0) = 0, $K82/(time_cap),0)),0)</f>
        <v/>
      </c>
      <c r="AA82" s="4395">
        <f>IFERROR(IF((time+time_cap)&lt;AA$2, 0,IF(AND(time+1&gt;=AB$2, $E82&lt;AB$2), IF($I82= "I", $J82/($F82-$E82+1), $J82/(($F82*($F82+1)/2)-(($E82-1)*($E82-1+1)/2))*AA$2), 0)+IF(IF(time+1&gt;=AB$2, $K82/time_cap/(time+1)*AA$2, 0) = 0, $K82/(time_cap),0)),0)</f>
        <v/>
      </c>
      <c r="AB82" s="4395">
        <f>IFERROR(IF((time+time_cap)&lt;AB$2, 0,IF(AND(time+1&gt;=AC$2, $E82&lt;AC$2), IF($I82= "I", $J82/($F82-$E82+1), $J82/(($F82*($F82+1)/2)-(($E82-1)*($E82-1+1)/2))*AB$2), 0)+IF(IF(time+1&gt;=AC$2, $K82/time_cap/(time+1)*AB$2, 0) = 0, $K82/(time_cap),0)),0)</f>
        <v/>
      </c>
      <c r="AC82" s="4395">
        <f>IFERROR(IF((time+time_cap)&lt;AC$2, 0,IF(AND(time+1&gt;=AD$2, $E82&lt;AD$2), IF($I82= "I", $J82/($F82-$E82+1), $J82/(($F82*($F82+1)/2)-(($E82-1)*($E82-1+1)/2))*AC$2), 0)+IF(IF(time+1&gt;=AD$2, $K82/time_cap/(time+1)*AC$2, 0) = 0, $K82/(time_cap),0)),0)</f>
        <v/>
      </c>
      <c r="AD82" s="4395">
        <f>IFERROR(IF((time+time_cap)&lt;AD$2, 0,IF(AND(time+1&gt;=AE$2, $E82&lt;AE$2), IF($I82= "I", $J82/($F82-$E82+1), $J82/(($F82*($F82+1)/2)-(($E82-1)*($E82-1+1)/2))*AD$2), 0)+IF(IF(time+1&gt;=AE$2, $K82/time_cap/(time+1)*AD$2, 0) = 0, $K82/(time_cap),0)),0)</f>
        <v/>
      </c>
      <c r="AE82" s="4395">
        <f>IFERROR(IF((time+time_cap)&lt;AE$2, 0,IF(AND(time+1&gt;=AF$2, $E82&lt;AF$2), IF($I82= "I", $J82/($F82-$E82+1), $J82/(($F82*($F82+1)/2)-(($E82-1)*($E82-1+1)/2))*AE$2), 0)+IF(IF(time+1&gt;=AF$2, $K82/time_cap/(time+1)*AE$2, 0) = 0, $K82/(time_cap),0)),0)</f>
        <v/>
      </c>
      <c r="AF82" s="4395">
        <f>IFERROR(IF((time+time_cap)&lt;AF$2, 0,IF(AND(time+1&gt;=AG$2, $E82&lt;AG$2), IF($I82= "I", $J82/($F82-$E82+1), $J82/(($F82*($F82+1)/2)-(($E82-1)*($E82-1+1)/2))*AF$2), 0)+IF(IF(time+1&gt;=AG$2, $K82/time_cap/(time+1)*AF$2, 0) = 0, $K82/(time_cap),0)),0)</f>
        <v/>
      </c>
      <c r="AG82" s="4395">
        <f>IFERROR(IF((time+time_cap)&lt;AG$2, 0,IF(AND(time+1&gt;=AH$2, $E82&lt;AH$2), IF($I82= "I", $J82/($F82-$E82+1), $J82/(($F82*($F82+1)/2)-(($E82-1)*($E82-1+1)/2))*AG$2), 0)+IF(IF(time+1&gt;=AH$2, $K82/time_cap/(time+1)*AG$2, 0) = 0, $K82/(time_cap),0)),0)</f>
        <v/>
      </c>
      <c r="AH82" s="4395">
        <f>IFERROR(IF((time+time_cap)&lt;AH$2, 0,IF(AND(time+1&gt;=AI$2, $E82&lt;AI$2), IF($I82= "I", $J82/($F82-$E82+1), $J82/(($F82*($F82+1)/2)-(($E82-1)*($E82-1+1)/2))*AH$2), 0)+IF(IF(time+1&gt;=AI$2, $K82/time_cap/(time+1)*AH$2, 0) = 0, $K82/(time_cap),0)),0)</f>
        <v/>
      </c>
      <c r="AI82" s="4395">
        <f>IFERROR(IF((time+time_cap)&lt;AI$2, 0,IF(AND(time+1&gt;=AJ$2, $E82&lt;AJ$2), IF($I82= "I", $J82/($F82-$E82+1), $J82/(($F82*($F82+1)/2)-(($E82-1)*($E82-1+1)/2))*AI$2), 0)+IF(IF(time+1&gt;=AJ$2, $K82/time_cap/(time+1)*AI$2, 0) = 0, $K82/(time_cap),0)),0)</f>
        <v/>
      </c>
      <c r="AJ82" s="4395">
        <f>IFERROR(IF((time+time_cap)&lt;AJ$2, 0,IF(AND(time+1&gt;=AK$2, $E82&lt;AK$2), IF($I82= "I", $J82/($F82-$E82+1), $J82/(($F82*($F82+1)/2)-(($E82-1)*($E82-1+1)/2))*AJ$2), 0)+IF(IF(time+1&gt;=AK$2, $K82/time_cap/(time+1)*AJ$2, 0) = 0, $K82/(time_cap),0)),0)</f>
        <v/>
      </c>
      <c r="AK82" s="4395">
        <f>IFERROR(IF((time+time_cap)&lt;AK$2, 0,IF(AND(time+1&gt;=AL$2, $E82&lt;AL$2), IF($I82= "I", $J82/($F82-$E82+1), $J82/(($F82*($F82+1)/2)-(($E82-1)*($E82-1+1)/2))*AK$2), 0)+IF(IF(time+1&gt;=AL$2, $K82/time_cap/(time+1)*AK$2, 0) = 0, $K82/(time_cap),0)),0)</f>
        <v/>
      </c>
      <c r="AL82" s="4395">
        <f>IFERROR(IF((time+time_cap)&lt;AL$2, 0,IF(AND(time+1&gt;=AM$2, $E82&lt;AM$2), IF($I82= "I", $J82/($F82-$E82+1), $J82/(($F82*($F82+1)/2)-(($E82-1)*($E82-1+1)/2))*AL$2), 0)+IF(IF(time+1&gt;=AM$2, $K82/time_cap/(time+1)*AL$2, 0) = 0, $K82/(time_cap),0)),0)</f>
        <v/>
      </c>
      <c r="AM82" s="4395">
        <f>IFERROR(IF((time+time_cap)&lt;AM$2, 0,IF(AND(time+1&gt;=AN$2, $E82&lt;AN$2), IF($I82= "I", $J82/($F82-$E82+1), $J82/(($F82*($F82+1)/2)-(($E82-1)*($E82-1+1)/2))*AM$2), 0)+IF(IF(time+1&gt;=AN$2, $K82/time_cap/(time+1)*AM$2, 0) = 0, $K82/(time_cap),0)),0)</f>
        <v/>
      </c>
      <c r="AN82" s="4395">
        <f>IFERROR(IF((time+time_cap)&lt;AN$2, 0,IF(AND(time+1&gt;=AO$2, $E82&lt;AO$2), IF($I82= "I", $J82/($F82-$E82+1), $J82/(($F82*($F82+1)/2)-(($E82-1)*($E82-1+1)/2))*AN$2), 0)+IF(IF(time+1&gt;=AO$2, $K82/time_cap/(time+1)*AN$2, 0) = 0, $K82/(time_cap),0)),0)</f>
        <v/>
      </c>
      <c r="AO82" s="4395">
        <f>IFERROR(IF((time+time_cap)&lt;AO$2, 0,IF(AND(time+1&gt;=AP$2, $E82&lt;AP$2), IF($I82= "I", $J82/($F82-$E82+1), $J82/(($F82*($F82+1)/2)-(($E82-1)*($E82-1+1)/2))*AO$2), 0)+IF(IF(time+1&gt;=AP$2, $K82/time_cap/(time+1)*AO$2, 0) = 0, $K82/(time_cap),0)),0)</f>
        <v/>
      </c>
      <c r="AP82" s="4395">
        <f>IFERROR(IF((time+time_cap)&lt;AP$2, 0,IF(AND(time+1&gt;=AQ$2, $E82&lt;AQ$2), IF($I82= "I", $J82/($F82-$E82+1), $J82/(($F82*($F82+1)/2)-(($E82-1)*($E82-1+1)/2))*AP$2), 0)+IF(IF(time+1&gt;=AQ$2, $K82/time_cap/(time+1)*AP$2, 0) = 0, $K82/(time_cap),0)),0)</f>
        <v/>
      </c>
      <c r="AQ82" s="4395">
        <f>IFERROR(IF((time+time_cap)&lt;AQ$2, 0,IF(AND(time+1&gt;=AR$2, $E82&lt;AR$2), IF($I82= "I", $J82/($F82-$E82+1), $J82/(($F82*($F82+1)/2)-(($E82-1)*($E82-1+1)/2))*AQ$2), 0)+IF(IF(time+1&gt;=AR$2, $K82/time_cap/(time+1)*AQ$2, 0) = 0, $K82/(time_cap),0)),0)</f>
        <v/>
      </c>
      <c r="AR82" s="4395">
        <f>IFERROR(IF((time+time_cap)&lt;AR$2, 0,IF(AND(time+1&gt;=AS$2, $E82&lt;AS$2), IF($I82= "I", $J82/($F82-$E82+1), $J82/(($F82*($F82+1)/2)-(($E82-1)*($E82-1+1)/2))*AR$2), 0)+IF(IF(time+1&gt;=AS$2, $K82/time_cap/(time+1)*AR$2, 0) = 0, $K82/(time_cap),0)),0)</f>
        <v/>
      </c>
      <c r="AS82" s="4395">
        <f>IFERROR(IF((time+time_cap)&lt;AS$2, 0,IF(AND(time+1&gt;=AT$2, $E82&lt;AT$2), IF($I82= "I", $J82/($F82-$E82+1), $J82/(($F82*($F82+1)/2)-(($E82-1)*($E82-1+1)/2))*AS$2), 0)+IF(IF(time+1&gt;=AT$2, $K82/time_cap/(time+1)*AS$2, 0) = 0, $K82/(time_cap),0)),0)</f>
        <v/>
      </c>
      <c r="AT82" s="4395">
        <f>IFERROR(IF((time+time_cap)&lt;AT$2, 0,IF(AND(time+1&gt;=AU$2, $E82&lt;AU$2), IF($I82= "I", $J82/($F82-$E82+1), $J82/(($F82*($F82+1)/2)-(($E82-1)*($E82-1+1)/2))*AT$2), 0)+IF(IF(time+1&gt;=AU$2, $K82/time_cap/(time+1)*AT$2, 0) = 0, $K82/(time_cap),0)),0)</f>
        <v/>
      </c>
      <c r="AU82" s="4395">
        <f>IFERROR(IF((time+time_cap)&lt;AU$2, 0,IF(AND(time+1&gt;=AV$2, $E82&lt;AV$2), IF($I82= "I", $J82/($F82-$E82+1), $J82/(($F82*($F82+1)/2)-(($E82-1)*($E82-1+1)/2))*AU$2), 0)+IF(IF(time+1&gt;=AV$2, $K82/time_cap/(time+1)*AU$2, 0) = 0, $K82/(time_cap),0)),0)</f>
        <v/>
      </c>
      <c r="AV82" s="4395">
        <f>IFERROR(IF((time+time_cap)&lt;AV$2, 0,IF(AND(time+1&gt;=AW$2, $E82&lt;AW$2), IF($I82= "I", $J82/($F82-$E82+1), $J82/(($F82*($F82+1)/2)-(($E82-1)*($E82-1+1)/2))*AV$2), 0)+IF(IF(time+1&gt;=AW$2, $K82/time_cap/(time+1)*AV$2, 0) = 0, $K82/(time_cap),0)),0)</f>
        <v/>
      </c>
      <c r="AW82" s="4395">
        <f>IFERROR(IF((time+time_cap)&lt;AW$2, 0,IF(AND(time+1&gt;=AX$2, $E82&lt;AX$2), IF($I82= "I", $J82/($F82-$E82+1), $J82/(($F82*($F82+1)/2)-(($E82-1)*($E82-1+1)/2))*AW$2), 0)+IF(IF(time+1&gt;=AX$2, $K82/time_cap/(time+1)*AW$2, 0) = 0, $K82/(time_cap),0)),0)</f>
        <v/>
      </c>
      <c r="AX82" s="4395">
        <f>IFERROR(IF((time+time_cap)&lt;AX$2, 0,IF(AND(time+1&gt;=AY$2, $E82&lt;AY$2), IF($I82= "I", $J82/($F82-$E82+1), $J82/(($F82*($F82+1)/2)-(($E82-1)*($E82-1+1)/2))*AX$2), 0)+IF(IF(time+1&gt;=AY$2, $K82/time_cap/(time+1)*AX$2, 0) = 0, $K82/(time_cap),0)),0)</f>
        <v/>
      </c>
      <c r="AY82" s="4395">
        <f>IFERROR(IF((time+time_cap)&lt;AY$2, 0,IF(AND(time+1&gt;=AZ$2, $E82&lt;AZ$2), IF($I82= "I", $J82/($F82-$E82+1), $J82/(($F82*($F82+1)/2)-(($E82-1)*($E82-1+1)/2))*AY$2), 0)+IF(IF(time+1&gt;=AZ$2, $K82/time_cap/(time+1)*AY$2, 0) = 0, $K82/(time_cap),0)),0)</f>
        <v/>
      </c>
      <c r="AZ82" s="4395">
        <f>IFERROR(IF((time+time_cap)&lt;AZ$2, 0,IF(AND(time+1&gt;=BA$2, $E82&lt;BA$2), IF($I82= "I", $J82/($F82-$E82+1), $J82/(($F82*($F82+1)/2)-(($E82-1)*($E82-1+1)/2))*AZ$2), 0)+IF(IF(time+1&gt;=BA$2, $K82/time_cap/(time+1)*AZ$2, 0) = 0, $K82/(time_cap),0)),0)</f>
        <v/>
      </c>
      <c r="BA82" s="4395">
        <f>IFERROR(IF((time+time_cap)&lt;BA$2, 0,IF(AND(time+1&gt;=BB$2, $E82&lt;BB$2), IF($I82= "I", $J82/($F82-$E82+1), $J82/(($F82*($F82+1)/2)-(($E82-1)*($E82-1+1)/2))*BA$2), 0)+IF(IF(time+1&gt;=BB$2, $K82/time_cap/(time+1)*BA$2, 0) = 0, $K82/(time_cap),0)),0)</f>
        <v/>
      </c>
      <c r="BB82" s="4395">
        <f>IFERROR(IF((time+time_cap)&lt;BB$2, 0,IF(AND(time+1&gt;=BC$2, $E82&lt;BC$2), IF($I82= "I", $J82/($F82-$E82+1), $J82/(($F82*($F82+1)/2)-(($E82-1)*($E82-1+1)/2))*BB$2), 0)+IF(IF(time+1&gt;=BC$2, $K82/time_cap/(time+1)*BB$2, 0) = 0, $K82/(time_cap),0)),0)</f>
        <v/>
      </c>
      <c r="BC82" s="4395">
        <f>IFERROR(IF((time+time_cap)&lt;BC$2, 0,IF(AND(time+1&gt;=BD$2, $E82&lt;BD$2), IF($I82= "I", $J82/($F82-$E82+1), $J82/(($F82*($F82+1)/2)-(($E82-1)*($E82-1+1)/2))*BC$2), 0)+IF(IF(time+1&gt;=BD$2, $K82/time_cap/(time+1)*BC$2, 0) = 0, $K82/(time_cap),0)),0)</f>
        <v/>
      </c>
      <c r="BD82" s="4395">
        <f>IFERROR(IF((time+time_cap)&lt;BD$2, 0,IF(AND(time+1&gt;=BE$2, $E82&lt;BE$2), IF($I82= "I", $J82/($F82-$E82+1), $J82/(($F82*($F82+1)/2)-(($E82-1)*($E82-1+1)/2))*BD$2), 0)+IF(IF(time+1&gt;=BE$2, $K82/time_cap/(time+1)*BD$2, 0) = 0, $K82/(time_cap),0)),0)</f>
        <v/>
      </c>
      <c r="BE82" s="4395">
        <f>IFERROR(IF((time+time_cap)&lt;BE$2, 0,IF(AND(time+1&gt;=BF$2, $E82&lt;BF$2), IF($I82= "I", $J82/($F82-$E82+1), $J82/(($F82*($F82+1)/2)-(($E82-1)*($E82-1+1)/2))*BE$2), 0)+IF(IF(time+1&gt;=BF$2, $K82/time_cap/(time+1)*BE$2, 0) = 0, $K82/(time_cap),0)),0)</f>
        <v/>
      </c>
      <c r="BF82" s="4395">
        <f>IFERROR(IF((time+time_cap)&lt;BF$2, 0,IF(AND(time+1&gt;=BG$2, $E82&lt;BG$2), IF($I82= "I", $J82/($F82-$E82+1), $J82/(($F82*($F82+1)/2)-(($E82-1)*($E82-1+1)/2))*BF$2), 0)+IF(IF(time+1&gt;=BG$2, $K82/time_cap/(time+1)*BF$2, 0) = 0, $K82/(time_cap),0)),0)</f>
        <v/>
      </c>
      <c r="BG82" s="4395">
        <f>IFERROR(IF((time+time_cap)&lt;BG$2, 0,IF(AND(time+1&gt;=BH$2, $E82&lt;BH$2), IF($I82= "I", $J82/($F82-$E82+1), $J82/(($F82*($F82+1)/2)-(($E82-1)*($E82-1+1)/2))*BG$2), 0)+IF(IF(time+1&gt;=BH$2, $K82/time_cap/(time+1)*BG$2, 0) = 0, $K82/(time_cap),0)),0)</f>
        <v/>
      </c>
      <c r="BH82" s="4395">
        <f>IFERROR(IF((time+time_cap)&lt;BH$2, 0,IF(AND(time+1&gt;=BI$2, $E82&lt;BI$2), IF($I82= "I", $J82/($F82-$E82+1), $J82/(($F82*($F82+1)/2)-(($E82-1)*($E82-1+1)/2))*BH$2), 0)+IF(IF(time+1&gt;=BI$2, $K82/time_cap/(time+1)*BH$2, 0) = 0, $K82/(time_cap),0)),0)</f>
        <v/>
      </c>
      <c r="BI82" s="4395">
        <f>IFERROR(IF((time+time_cap)&lt;BI$2, 0,IF(AND(time+1&gt;=BJ$2, $E82&lt;BJ$2), IF($I82= "I", $J82/($F82-$E82+1), $J82/(($F82*($F82+1)/2)-(($E82-1)*($E82-1+1)/2))*BI$2), 0)+IF(IF(time+1&gt;=BJ$2, $K82/time_cap/(time+1)*BI$2, 0) = 0, $K82/(time_cap),0)),0)</f>
        <v/>
      </c>
      <c r="BJ82" s="4395">
        <f>IFERROR(IF((time+time_cap)&lt;BJ$2, 0,IF(AND(time+1&gt;=BK$2, $E82&lt;BK$2), IF($I82= "I", $J82/($F82-$E82+1), $J82/(($F82*($F82+1)/2)-(($E82-1)*($E82-1+1)/2))*BJ$2), 0)+IF(IF(time+1&gt;=BK$2, $K82/time_cap/(time+1)*BJ$2, 0) = 0, $K82/(time_cap),0)),0)</f>
        <v/>
      </c>
      <c r="BK82" s="4395" t="n"/>
      <c r="BL82" s="4395" t="n"/>
      <c r="BM82" s="4395" t="n"/>
      <c r="BN82" s="4395" t="n"/>
      <c r="BO82" s="4395" t="n"/>
      <c r="BP82" s="4395" t="n"/>
      <c r="BQ82" s="4395" t="n"/>
      <c r="BR82" s="4395" t="n"/>
      <c r="BS82" s="4395" t="n"/>
      <c r="BT82" s="4395" t="n"/>
      <c r="BU82" s="4395" t="n"/>
      <c r="BV82" s="4395" t="n"/>
      <c r="BW82" s="4395" t="n"/>
      <c r="BX82" s="4395" t="n"/>
      <c r="BY82" s="4395" t="n"/>
      <c r="BZ82" s="4395" t="n"/>
      <c r="CA82" s="4395" t="n"/>
      <c r="CB82" s="4395" t="n"/>
      <c r="CC82" s="4395" t="n"/>
      <c r="CD82" s="4395" t="n"/>
      <c r="CE82" s="4395" t="n"/>
      <c r="CF82" s="4395" t="n"/>
      <c r="CG82" s="4395" t="n"/>
      <c r="CH82" s="4395" t="n"/>
      <c r="CI82" s="4395" t="n"/>
      <c r="CJ82" s="4395" t="n"/>
      <c r="CK82" s="4395" t="n"/>
      <c r="CL82" s="4395" t="n"/>
      <c r="CM82" s="4395" t="n"/>
      <c r="CN82" s="4395" t="n"/>
      <c r="CO82" s="4395" t="n"/>
      <c r="CP82" s="4395" t="n"/>
      <c r="CQ82" s="4395" t="n"/>
      <c r="CR82" s="4395" t="n"/>
      <c r="CS82" s="4395" t="n"/>
      <c r="CT82" s="4395" t="n"/>
      <c r="CU82" s="4395" t="n"/>
      <c r="CV82" s="4395" t="n"/>
      <c r="CW82" s="4395" t="n"/>
      <c r="CX82" s="4395" t="n"/>
      <c r="CY82" s="4395" t="n"/>
      <c r="CZ82" s="4395" t="n"/>
      <c r="DA82" s="4395" t="n"/>
      <c r="DB82" s="4395" t="n"/>
      <c r="DC82" s="4395" t="n"/>
      <c r="DD82" s="4395" t="n"/>
      <c r="DE82" s="4395" t="n"/>
      <c r="DF82" s="4395" t="n"/>
      <c r="DG82" s="4395" t="n"/>
      <c r="DH82" s="4395" t="n"/>
    </row>
    <row r="83" ht="16" customHeight="1">
      <c r="A83" t="inlineStr">
        <is>
          <t>Grassland</t>
        </is>
      </c>
      <c r="B83">
        <f>'4.Grassland'!D26</f>
        <v/>
      </c>
      <c r="C83">
        <f>'4.Grassland'!G26</f>
        <v/>
      </c>
      <c r="D83">
        <f>'4.Grassland'!AG26</f>
        <v/>
      </c>
      <c r="E83">
        <f>IF('4.Grassland'!BR26&lt;&gt;0,'4.Grassland'!BR26, '4.Grassland'!BQ26)</f>
        <v/>
      </c>
      <c r="F83">
        <f>time</f>
        <v/>
      </c>
      <c r="G83" s="4395">
        <f>'4.Grassland'!Y26</f>
        <v/>
      </c>
      <c r="H83" s="4395">
        <f>'4.Grassland'!AA26</f>
        <v/>
      </c>
      <c r="I83" s="4395">
        <f>IF(OR(H83="I", G83="I"), "I", IF(OR(H83="E", G83="E"), "E", "D"))</f>
        <v/>
      </c>
      <c r="J83" s="4395">
        <f>((D83/(time_cap+((F83-E83+1)*VLOOKUP(I83,list!$I$48:$K$50,3, FALSE))))*(F83-E83+1)*VLOOKUP(I83,list!$I$48:$K$50,3, FALSE))</f>
        <v/>
      </c>
      <c r="K83" s="4395">
        <f>((D83/(time_cap+((F83-E83+1)*VLOOKUP(I83,list!$I$48:$K$50,3, FALSE))))*time_cap)</f>
        <v/>
      </c>
      <c r="M83" s="4395">
        <f>IFERROR(IF((time+time_cap)&lt;M$2, 0,IF(AND(time+1&gt;=N$2, $E83&lt;N$2), IF($I83= "I", $J83/($F83-$E83+1), $J83/(($F83*($F83+1)/2)-(($E83-1)*($E83-1+1)/2))*M$2), 0)+IF(IF(time+1&gt;=N$2, $K83/time_cap/(time+1)*M$2, 0) = 0, $K83/(time_cap),0)),0)</f>
        <v/>
      </c>
      <c r="N83" s="4395">
        <f>IFERROR(IF((time+time_cap)&lt;N$2, 0,IF(AND(time+1&gt;=O$2, $E83&lt;O$2), IF($I83= "I", $J83/($F83-$E83+1), $J83/(($F83*($F83+1)/2)-(($E83-1)*($E83-1+1)/2))*N$2), 0)+IF(IF(time+1&gt;=O$2, $K83/time_cap/(time+1)*N$2, 0) = 0, $K83/(time_cap),0)),0)</f>
        <v/>
      </c>
      <c r="O83" s="4395">
        <f>IFERROR(IF((time+time_cap)&lt;O$2, 0,IF(AND(time+1&gt;=P$2, $E83&lt;P$2), IF($I83= "I", $J83/($F83-$E83+1), $J83/(($F83*($F83+1)/2)-(($E83-1)*($E83-1+1)/2))*O$2), 0)+IF(IF(time+1&gt;=P$2, $K83/time_cap/(time+1)*O$2, 0) = 0, $K83/(time_cap),0)),0)</f>
        <v/>
      </c>
      <c r="P83" s="4395">
        <f>IFERROR(IF((time+time_cap)&lt;P$2, 0,IF(AND(time+1&gt;=Q$2, $E83&lt;Q$2), IF($I83= "I", $J83/($F83-$E83+1), $J83/(($F83*($F83+1)/2)-(($E83-1)*($E83-1+1)/2))*P$2), 0)+IF(IF(time+1&gt;=Q$2, $K83/time_cap/(time+1)*P$2, 0) = 0, $K83/(time_cap),0)),0)</f>
        <v/>
      </c>
      <c r="Q83" s="4395">
        <f>IFERROR(IF((time+time_cap)&lt;Q$2, 0,IF(AND(time+1&gt;=R$2, $E83&lt;R$2), IF($I83= "I", $J83/($F83-$E83+1), $J83/(($F83*($F83+1)/2)-(($E83-1)*($E83-1+1)/2))*Q$2), 0)+IF(IF(time+1&gt;=R$2, $K83/time_cap/(time+1)*Q$2, 0) = 0, $K83/(time_cap),0)),0)</f>
        <v/>
      </c>
      <c r="R83" s="4395">
        <f>IFERROR(IF((time+time_cap)&lt;R$2, 0,IF(AND(time+1&gt;=S$2, $E83&lt;S$2), IF($I83= "I", $J83/($F83-$E83+1), $J83/(($F83*($F83+1)/2)-(($E83-1)*($E83-1+1)/2))*R$2), 0)+IF(IF(time+1&gt;=S$2, $K83/time_cap/(time+1)*R$2, 0) = 0, $K83/(time_cap),0)),0)</f>
        <v/>
      </c>
      <c r="S83" s="4395">
        <f>IFERROR(IF((time+time_cap)&lt;S$2, 0,IF(AND(time+1&gt;=T$2, $E83&lt;T$2), IF($I83= "I", $J83/($F83-$E83+1), $J83/(($F83*($F83+1)/2)-(($E83-1)*($E83-1+1)/2))*S$2), 0)+IF(IF(time+1&gt;=T$2, $K83/time_cap/(time+1)*S$2, 0) = 0, $K83/(time_cap),0)),0)</f>
        <v/>
      </c>
      <c r="T83" s="4395">
        <f>IFERROR(IF((time+time_cap)&lt;T$2, 0,IF(AND(time+1&gt;=U$2, $E83&lt;U$2), IF($I83= "I", $J83/($F83-$E83+1), $J83/(($F83*($F83+1)/2)-(($E83-1)*($E83-1+1)/2))*T$2), 0)+IF(IF(time+1&gt;=U$2, $K83/time_cap/(time+1)*T$2, 0) = 0, $K83/(time_cap),0)),0)</f>
        <v/>
      </c>
      <c r="U83" s="4395">
        <f>IFERROR(IF((time+time_cap)&lt;U$2, 0,IF(AND(time+1&gt;=V$2, $E83&lt;V$2), IF($I83= "I", $J83/($F83-$E83+1), $J83/(($F83*($F83+1)/2)-(($E83-1)*($E83-1+1)/2))*U$2), 0)+IF(IF(time+1&gt;=V$2, $K83/time_cap/(time+1)*U$2, 0) = 0, $K83/(time_cap),0)),0)</f>
        <v/>
      </c>
      <c r="V83" s="4395">
        <f>IFERROR(IF((time+time_cap)&lt;V$2, 0,IF(AND(time+1&gt;=W$2, $E83&lt;W$2), IF($I83= "I", $J83/($F83-$E83+1), $J83/(($F83*($F83+1)/2)-(($E83-1)*($E83-1+1)/2))*V$2), 0)+IF(IF(time+1&gt;=W$2, $K83/time_cap/(time+1)*V$2, 0) = 0, $K83/(time_cap),0)),0)</f>
        <v/>
      </c>
      <c r="W83" s="4395">
        <f>IFERROR(IF((time+time_cap)&lt;W$2, 0,IF(AND(time+1&gt;=X$2, $E83&lt;X$2), IF($I83= "I", $J83/($F83-$E83+1), $J83/(($F83*($F83+1)/2)-(($E83-1)*($E83-1+1)/2))*W$2), 0)+IF(IF(time+1&gt;=X$2, $K83/time_cap/(time+1)*W$2, 0) = 0, $K83/(time_cap),0)),0)</f>
        <v/>
      </c>
      <c r="X83" s="4395">
        <f>IFERROR(IF((time+time_cap)&lt;X$2, 0,IF(AND(time+1&gt;=Y$2, $E83&lt;Y$2), IF($I83= "I", $J83/($F83-$E83+1), $J83/(($F83*($F83+1)/2)-(($E83-1)*($E83-1+1)/2))*X$2), 0)+IF(IF(time+1&gt;=Y$2, $K83/time_cap/(time+1)*X$2, 0) = 0, $K83/(time_cap),0)),0)</f>
        <v/>
      </c>
      <c r="Y83" s="4395">
        <f>IFERROR(IF((time+time_cap)&lt;Y$2, 0,IF(AND(time+1&gt;=Z$2, $E83&lt;Z$2), IF($I83= "I", $J83/($F83-$E83+1), $J83/(($F83*($F83+1)/2)-(($E83-1)*($E83-1+1)/2))*Y$2), 0)+IF(IF(time+1&gt;=Z$2, $K83/time_cap/(time+1)*Y$2, 0) = 0, $K83/(time_cap),0)),0)</f>
        <v/>
      </c>
      <c r="Z83" s="4395">
        <f>IFERROR(IF((time+time_cap)&lt;Z$2, 0,IF(AND(time+1&gt;=AA$2, $E83&lt;AA$2), IF($I83= "I", $J83/($F83-$E83+1), $J83/(($F83*($F83+1)/2)-(($E83-1)*($E83-1+1)/2))*Z$2), 0)+IF(IF(time+1&gt;=AA$2, $K83/time_cap/(time+1)*Z$2, 0) = 0, $K83/(time_cap),0)),0)</f>
        <v/>
      </c>
      <c r="AA83" s="4395">
        <f>IFERROR(IF((time+time_cap)&lt;AA$2, 0,IF(AND(time+1&gt;=AB$2, $E83&lt;AB$2), IF($I83= "I", $J83/($F83-$E83+1), $J83/(($F83*($F83+1)/2)-(($E83-1)*($E83-1+1)/2))*AA$2), 0)+IF(IF(time+1&gt;=AB$2, $K83/time_cap/(time+1)*AA$2, 0) = 0, $K83/(time_cap),0)),0)</f>
        <v/>
      </c>
      <c r="AB83" s="4395">
        <f>IFERROR(IF((time+time_cap)&lt;AB$2, 0,IF(AND(time+1&gt;=AC$2, $E83&lt;AC$2), IF($I83= "I", $J83/($F83-$E83+1), $J83/(($F83*($F83+1)/2)-(($E83-1)*($E83-1+1)/2))*AB$2), 0)+IF(IF(time+1&gt;=AC$2, $K83/time_cap/(time+1)*AB$2, 0) = 0, $K83/(time_cap),0)),0)</f>
        <v/>
      </c>
      <c r="AC83" s="4395">
        <f>IFERROR(IF((time+time_cap)&lt;AC$2, 0,IF(AND(time+1&gt;=AD$2, $E83&lt;AD$2), IF($I83= "I", $J83/($F83-$E83+1), $J83/(($F83*($F83+1)/2)-(($E83-1)*($E83-1+1)/2))*AC$2), 0)+IF(IF(time+1&gt;=AD$2, $K83/time_cap/(time+1)*AC$2, 0) = 0, $K83/(time_cap),0)),0)</f>
        <v/>
      </c>
      <c r="AD83" s="4395">
        <f>IFERROR(IF((time+time_cap)&lt;AD$2, 0,IF(AND(time+1&gt;=AE$2, $E83&lt;AE$2), IF($I83= "I", $J83/($F83-$E83+1), $J83/(($F83*($F83+1)/2)-(($E83-1)*($E83-1+1)/2))*AD$2), 0)+IF(IF(time+1&gt;=AE$2, $K83/time_cap/(time+1)*AD$2, 0) = 0, $K83/(time_cap),0)),0)</f>
        <v/>
      </c>
      <c r="AE83" s="4395">
        <f>IFERROR(IF((time+time_cap)&lt;AE$2, 0,IF(AND(time+1&gt;=AF$2, $E83&lt;AF$2), IF($I83= "I", $J83/($F83-$E83+1), $J83/(($F83*($F83+1)/2)-(($E83-1)*($E83-1+1)/2))*AE$2), 0)+IF(IF(time+1&gt;=AF$2, $K83/time_cap/(time+1)*AE$2, 0) = 0, $K83/(time_cap),0)),0)</f>
        <v/>
      </c>
      <c r="AF83" s="4395">
        <f>IFERROR(IF((time+time_cap)&lt;AF$2, 0,IF(AND(time+1&gt;=AG$2, $E83&lt;AG$2), IF($I83= "I", $J83/($F83-$E83+1), $J83/(($F83*($F83+1)/2)-(($E83-1)*($E83-1+1)/2))*AF$2), 0)+IF(IF(time+1&gt;=AG$2, $K83/time_cap/(time+1)*AF$2, 0) = 0, $K83/(time_cap),0)),0)</f>
        <v/>
      </c>
      <c r="AG83" s="4395">
        <f>IFERROR(IF((time+time_cap)&lt;AG$2, 0,IF(AND(time+1&gt;=AH$2, $E83&lt;AH$2), IF($I83= "I", $J83/($F83-$E83+1), $J83/(($F83*($F83+1)/2)-(($E83-1)*($E83-1+1)/2))*AG$2), 0)+IF(IF(time+1&gt;=AH$2, $K83/time_cap/(time+1)*AG$2, 0) = 0, $K83/(time_cap),0)),0)</f>
        <v/>
      </c>
      <c r="AH83" s="4395">
        <f>IFERROR(IF((time+time_cap)&lt;AH$2, 0,IF(AND(time+1&gt;=AI$2, $E83&lt;AI$2), IF($I83= "I", $J83/($F83-$E83+1), $J83/(($F83*($F83+1)/2)-(($E83-1)*($E83-1+1)/2))*AH$2), 0)+IF(IF(time+1&gt;=AI$2, $K83/time_cap/(time+1)*AH$2, 0) = 0, $K83/(time_cap),0)),0)</f>
        <v/>
      </c>
      <c r="AI83" s="4395">
        <f>IFERROR(IF((time+time_cap)&lt;AI$2, 0,IF(AND(time+1&gt;=AJ$2, $E83&lt;AJ$2), IF($I83= "I", $J83/($F83-$E83+1), $J83/(($F83*($F83+1)/2)-(($E83-1)*($E83-1+1)/2))*AI$2), 0)+IF(IF(time+1&gt;=AJ$2, $K83/time_cap/(time+1)*AI$2, 0) = 0, $K83/(time_cap),0)),0)</f>
        <v/>
      </c>
      <c r="AJ83" s="4395">
        <f>IFERROR(IF((time+time_cap)&lt;AJ$2, 0,IF(AND(time+1&gt;=AK$2, $E83&lt;AK$2), IF($I83= "I", $J83/($F83-$E83+1), $J83/(($F83*($F83+1)/2)-(($E83-1)*($E83-1+1)/2))*AJ$2), 0)+IF(IF(time+1&gt;=AK$2, $K83/time_cap/(time+1)*AJ$2, 0) = 0, $K83/(time_cap),0)),0)</f>
        <v/>
      </c>
      <c r="AK83" s="4395">
        <f>IFERROR(IF((time+time_cap)&lt;AK$2, 0,IF(AND(time+1&gt;=AL$2, $E83&lt;AL$2), IF($I83= "I", $J83/($F83-$E83+1), $J83/(($F83*($F83+1)/2)-(($E83-1)*($E83-1+1)/2))*AK$2), 0)+IF(IF(time+1&gt;=AL$2, $K83/time_cap/(time+1)*AK$2, 0) = 0, $K83/(time_cap),0)),0)</f>
        <v/>
      </c>
      <c r="AL83" s="4395">
        <f>IFERROR(IF((time+time_cap)&lt;AL$2, 0,IF(AND(time+1&gt;=AM$2, $E83&lt;AM$2), IF($I83= "I", $J83/($F83-$E83+1), $J83/(($F83*($F83+1)/2)-(($E83-1)*($E83-1+1)/2))*AL$2), 0)+IF(IF(time+1&gt;=AM$2, $K83/time_cap/(time+1)*AL$2, 0) = 0, $K83/(time_cap),0)),0)</f>
        <v/>
      </c>
      <c r="AM83" s="4395">
        <f>IFERROR(IF((time+time_cap)&lt;AM$2, 0,IF(AND(time+1&gt;=AN$2, $E83&lt;AN$2), IF($I83= "I", $J83/($F83-$E83+1), $J83/(($F83*($F83+1)/2)-(($E83-1)*($E83-1+1)/2))*AM$2), 0)+IF(IF(time+1&gt;=AN$2, $K83/time_cap/(time+1)*AM$2, 0) = 0, $K83/(time_cap),0)),0)</f>
        <v/>
      </c>
      <c r="AN83" s="4395">
        <f>IFERROR(IF((time+time_cap)&lt;AN$2, 0,IF(AND(time+1&gt;=AO$2, $E83&lt;AO$2), IF($I83= "I", $J83/($F83-$E83+1), $J83/(($F83*($F83+1)/2)-(($E83-1)*($E83-1+1)/2))*AN$2), 0)+IF(IF(time+1&gt;=AO$2, $K83/time_cap/(time+1)*AN$2, 0) = 0, $K83/(time_cap),0)),0)</f>
        <v/>
      </c>
      <c r="AO83" s="4395">
        <f>IFERROR(IF((time+time_cap)&lt;AO$2, 0,IF(AND(time+1&gt;=AP$2, $E83&lt;AP$2), IF($I83= "I", $J83/($F83-$E83+1), $J83/(($F83*($F83+1)/2)-(($E83-1)*($E83-1+1)/2))*AO$2), 0)+IF(IF(time+1&gt;=AP$2, $K83/time_cap/(time+1)*AO$2, 0) = 0, $K83/(time_cap),0)),0)</f>
        <v/>
      </c>
      <c r="AP83" s="4395">
        <f>IFERROR(IF((time+time_cap)&lt;AP$2, 0,IF(AND(time+1&gt;=AQ$2, $E83&lt;AQ$2), IF($I83= "I", $J83/($F83-$E83+1), $J83/(($F83*($F83+1)/2)-(($E83-1)*($E83-1+1)/2))*AP$2), 0)+IF(IF(time+1&gt;=AQ$2, $K83/time_cap/(time+1)*AP$2, 0) = 0, $K83/(time_cap),0)),0)</f>
        <v/>
      </c>
      <c r="AQ83" s="4395">
        <f>IFERROR(IF((time+time_cap)&lt;AQ$2, 0,IF(AND(time+1&gt;=AR$2, $E83&lt;AR$2), IF($I83= "I", $J83/($F83-$E83+1), $J83/(($F83*($F83+1)/2)-(($E83-1)*($E83-1+1)/2))*AQ$2), 0)+IF(IF(time+1&gt;=AR$2, $K83/time_cap/(time+1)*AQ$2, 0) = 0, $K83/(time_cap),0)),0)</f>
        <v/>
      </c>
      <c r="AR83" s="4395">
        <f>IFERROR(IF((time+time_cap)&lt;AR$2, 0,IF(AND(time+1&gt;=AS$2, $E83&lt;AS$2), IF($I83= "I", $J83/($F83-$E83+1), $J83/(($F83*($F83+1)/2)-(($E83-1)*($E83-1+1)/2))*AR$2), 0)+IF(IF(time+1&gt;=AS$2, $K83/time_cap/(time+1)*AR$2, 0) = 0, $K83/(time_cap),0)),0)</f>
        <v/>
      </c>
      <c r="AS83" s="4395">
        <f>IFERROR(IF((time+time_cap)&lt;AS$2, 0,IF(AND(time+1&gt;=AT$2, $E83&lt;AT$2), IF($I83= "I", $J83/($F83-$E83+1), $J83/(($F83*($F83+1)/2)-(($E83-1)*($E83-1+1)/2))*AS$2), 0)+IF(IF(time+1&gt;=AT$2, $K83/time_cap/(time+1)*AS$2, 0) = 0, $K83/(time_cap),0)),0)</f>
        <v/>
      </c>
      <c r="AT83" s="4395">
        <f>IFERROR(IF((time+time_cap)&lt;AT$2, 0,IF(AND(time+1&gt;=AU$2, $E83&lt;AU$2), IF($I83= "I", $J83/($F83-$E83+1), $J83/(($F83*($F83+1)/2)-(($E83-1)*($E83-1+1)/2))*AT$2), 0)+IF(IF(time+1&gt;=AU$2, $K83/time_cap/(time+1)*AT$2, 0) = 0, $K83/(time_cap),0)),0)</f>
        <v/>
      </c>
      <c r="AU83" s="4395">
        <f>IFERROR(IF((time+time_cap)&lt;AU$2, 0,IF(AND(time+1&gt;=AV$2, $E83&lt;AV$2), IF($I83= "I", $J83/($F83-$E83+1), $J83/(($F83*($F83+1)/2)-(($E83-1)*($E83-1+1)/2))*AU$2), 0)+IF(IF(time+1&gt;=AV$2, $K83/time_cap/(time+1)*AU$2, 0) = 0, $K83/(time_cap),0)),0)</f>
        <v/>
      </c>
      <c r="AV83" s="4395">
        <f>IFERROR(IF((time+time_cap)&lt;AV$2, 0,IF(AND(time+1&gt;=AW$2, $E83&lt;AW$2), IF($I83= "I", $J83/($F83-$E83+1), $J83/(($F83*($F83+1)/2)-(($E83-1)*($E83-1+1)/2))*AV$2), 0)+IF(IF(time+1&gt;=AW$2, $K83/time_cap/(time+1)*AV$2, 0) = 0, $K83/(time_cap),0)),0)</f>
        <v/>
      </c>
      <c r="AW83" s="4395">
        <f>IFERROR(IF((time+time_cap)&lt;AW$2, 0,IF(AND(time+1&gt;=AX$2, $E83&lt;AX$2), IF($I83= "I", $J83/($F83-$E83+1), $J83/(($F83*($F83+1)/2)-(($E83-1)*($E83-1+1)/2))*AW$2), 0)+IF(IF(time+1&gt;=AX$2, $K83/time_cap/(time+1)*AW$2, 0) = 0, $K83/(time_cap),0)),0)</f>
        <v/>
      </c>
      <c r="AX83" s="4395">
        <f>IFERROR(IF((time+time_cap)&lt;AX$2, 0,IF(AND(time+1&gt;=AY$2, $E83&lt;AY$2), IF($I83= "I", $J83/($F83-$E83+1), $J83/(($F83*($F83+1)/2)-(($E83-1)*($E83-1+1)/2))*AX$2), 0)+IF(IF(time+1&gt;=AY$2, $K83/time_cap/(time+1)*AX$2, 0) = 0, $K83/(time_cap),0)),0)</f>
        <v/>
      </c>
      <c r="AY83" s="4395">
        <f>IFERROR(IF((time+time_cap)&lt;AY$2, 0,IF(AND(time+1&gt;=AZ$2, $E83&lt;AZ$2), IF($I83= "I", $J83/($F83-$E83+1), $J83/(($F83*($F83+1)/2)-(($E83-1)*($E83-1+1)/2))*AY$2), 0)+IF(IF(time+1&gt;=AZ$2, $K83/time_cap/(time+1)*AY$2, 0) = 0, $K83/(time_cap),0)),0)</f>
        <v/>
      </c>
      <c r="AZ83" s="4395">
        <f>IFERROR(IF((time+time_cap)&lt;AZ$2, 0,IF(AND(time+1&gt;=BA$2, $E83&lt;BA$2), IF($I83= "I", $J83/($F83-$E83+1), $J83/(($F83*($F83+1)/2)-(($E83-1)*($E83-1+1)/2))*AZ$2), 0)+IF(IF(time+1&gt;=BA$2, $K83/time_cap/(time+1)*AZ$2, 0) = 0, $K83/(time_cap),0)),0)</f>
        <v/>
      </c>
      <c r="BA83" s="4395">
        <f>IFERROR(IF((time+time_cap)&lt;BA$2, 0,IF(AND(time+1&gt;=BB$2, $E83&lt;BB$2), IF($I83= "I", $J83/($F83-$E83+1), $J83/(($F83*($F83+1)/2)-(($E83-1)*($E83-1+1)/2))*BA$2), 0)+IF(IF(time+1&gt;=BB$2, $K83/time_cap/(time+1)*BA$2, 0) = 0, $K83/(time_cap),0)),0)</f>
        <v/>
      </c>
      <c r="BB83" s="4395">
        <f>IFERROR(IF((time+time_cap)&lt;BB$2, 0,IF(AND(time+1&gt;=BC$2, $E83&lt;BC$2), IF($I83= "I", $J83/($F83-$E83+1), $J83/(($F83*($F83+1)/2)-(($E83-1)*($E83-1+1)/2))*BB$2), 0)+IF(IF(time+1&gt;=BC$2, $K83/time_cap/(time+1)*BB$2, 0) = 0, $K83/(time_cap),0)),0)</f>
        <v/>
      </c>
      <c r="BC83" s="4395">
        <f>IFERROR(IF((time+time_cap)&lt;BC$2, 0,IF(AND(time+1&gt;=BD$2, $E83&lt;BD$2), IF($I83= "I", $J83/($F83-$E83+1), $J83/(($F83*($F83+1)/2)-(($E83-1)*($E83-1+1)/2))*BC$2), 0)+IF(IF(time+1&gt;=BD$2, $K83/time_cap/(time+1)*BC$2, 0) = 0, $K83/(time_cap),0)),0)</f>
        <v/>
      </c>
      <c r="BD83" s="4395">
        <f>IFERROR(IF((time+time_cap)&lt;BD$2, 0,IF(AND(time+1&gt;=BE$2, $E83&lt;BE$2), IF($I83= "I", $J83/($F83-$E83+1), $J83/(($F83*($F83+1)/2)-(($E83-1)*($E83-1+1)/2))*BD$2), 0)+IF(IF(time+1&gt;=BE$2, $K83/time_cap/(time+1)*BD$2, 0) = 0, $K83/(time_cap),0)),0)</f>
        <v/>
      </c>
      <c r="BE83" s="4395">
        <f>IFERROR(IF((time+time_cap)&lt;BE$2, 0,IF(AND(time+1&gt;=BF$2, $E83&lt;BF$2), IF($I83= "I", $J83/($F83-$E83+1), $J83/(($F83*($F83+1)/2)-(($E83-1)*($E83-1+1)/2))*BE$2), 0)+IF(IF(time+1&gt;=BF$2, $K83/time_cap/(time+1)*BE$2, 0) = 0, $K83/(time_cap),0)),0)</f>
        <v/>
      </c>
      <c r="BF83" s="4395">
        <f>IFERROR(IF((time+time_cap)&lt;BF$2, 0,IF(AND(time+1&gt;=BG$2, $E83&lt;BG$2), IF($I83= "I", $J83/($F83-$E83+1), $J83/(($F83*($F83+1)/2)-(($E83-1)*($E83-1+1)/2))*BF$2), 0)+IF(IF(time+1&gt;=BG$2, $K83/time_cap/(time+1)*BF$2, 0) = 0, $K83/(time_cap),0)),0)</f>
        <v/>
      </c>
      <c r="BG83" s="4395">
        <f>IFERROR(IF((time+time_cap)&lt;BG$2, 0,IF(AND(time+1&gt;=BH$2, $E83&lt;BH$2), IF($I83= "I", $J83/($F83-$E83+1), $J83/(($F83*($F83+1)/2)-(($E83-1)*($E83-1+1)/2))*BG$2), 0)+IF(IF(time+1&gt;=BH$2, $K83/time_cap/(time+1)*BG$2, 0) = 0, $K83/(time_cap),0)),0)</f>
        <v/>
      </c>
      <c r="BH83" s="4395">
        <f>IFERROR(IF((time+time_cap)&lt;BH$2, 0,IF(AND(time+1&gt;=BI$2, $E83&lt;BI$2), IF($I83= "I", $J83/($F83-$E83+1), $J83/(($F83*($F83+1)/2)-(($E83-1)*($E83-1+1)/2))*BH$2), 0)+IF(IF(time+1&gt;=BI$2, $K83/time_cap/(time+1)*BH$2, 0) = 0, $K83/(time_cap),0)),0)</f>
        <v/>
      </c>
      <c r="BI83" s="4395">
        <f>IFERROR(IF((time+time_cap)&lt;BI$2, 0,IF(AND(time+1&gt;=BJ$2, $E83&lt;BJ$2), IF($I83= "I", $J83/($F83-$E83+1), $J83/(($F83*($F83+1)/2)-(($E83-1)*($E83-1+1)/2))*BI$2), 0)+IF(IF(time+1&gt;=BJ$2, $K83/time_cap/(time+1)*BI$2, 0) = 0, $K83/(time_cap),0)),0)</f>
        <v/>
      </c>
      <c r="BJ83" s="4395">
        <f>IFERROR(IF((time+time_cap)&lt;BJ$2, 0,IF(AND(time+1&gt;=BK$2, $E83&lt;BK$2), IF($I83= "I", $J83/($F83-$E83+1), $J83/(($F83*($F83+1)/2)-(($E83-1)*($E83-1+1)/2))*BJ$2), 0)+IF(IF(time+1&gt;=BK$2, $K83/time_cap/(time+1)*BJ$2, 0) = 0, $K83/(time_cap),0)),0)</f>
        <v/>
      </c>
      <c r="BK83" s="4395" t="n"/>
      <c r="BL83" s="4395" t="n"/>
      <c r="BM83" s="4395" t="n"/>
      <c r="BN83" s="4395" t="n"/>
      <c r="BO83" s="4395" t="n"/>
      <c r="BP83" s="4395" t="n"/>
      <c r="BQ83" s="4395" t="n"/>
      <c r="BR83" s="4395" t="n"/>
      <c r="BS83" s="4395" t="n"/>
      <c r="BT83" s="4395" t="n"/>
      <c r="BU83" s="4395" t="n"/>
      <c r="BV83" s="4395" t="n"/>
      <c r="BW83" s="4395" t="n"/>
      <c r="BX83" s="4395" t="n"/>
      <c r="BY83" s="4395" t="n"/>
      <c r="BZ83" s="4395" t="n"/>
      <c r="CA83" s="4395" t="n"/>
      <c r="CB83" s="4395" t="n"/>
      <c r="CC83" s="4395" t="n"/>
      <c r="CD83" s="4395" t="n"/>
      <c r="CE83" s="4395" t="n"/>
      <c r="CF83" s="4395" t="n"/>
      <c r="CG83" s="4395" t="n"/>
      <c r="CH83" s="4395" t="n"/>
      <c r="CI83" s="4395" t="n"/>
      <c r="CJ83" s="4395" t="n"/>
      <c r="CK83" s="4395" t="n"/>
      <c r="CL83" s="4395" t="n"/>
      <c r="CM83" s="4395" t="n"/>
      <c r="CN83" s="4395" t="n"/>
      <c r="CO83" s="4395" t="n"/>
      <c r="CP83" s="4395" t="n"/>
      <c r="CQ83" s="4395" t="n"/>
      <c r="CR83" s="4395" t="n"/>
      <c r="CS83" s="4395" t="n"/>
      <c r="CT83" s="4395" t="n"/>
      <c r="CU83" s="4395" t="n"/>
      <c r="CV83" s="4395" t="n"/>
      <c r="CW83" s="4395" t="n"/>
      <c r="CX83" s="4395" t="n"/>
      <c r="CY83" s="4395" t="n"/>
      <c r="CZ83" s="4395" t="n"/>
      <c r="DA83" s="4395" t="n"/>
      <c r="DB83" s="4395" t="n"/>
      <c r="DC83" s="4395" t="n"/>
      <c r="DD83" s="4395" t="n"/>
      <c r="DE83" s="4395" t="n"/>
      <c r="DF83" s="4395" t="n"/>
      <c r="DG83" s="4395" t="n"/>
      <c r="DH83" s="4395" t="n"/>
    </row>
    <row r="84" ht="16" customHeight="1">
      <c r="A84" t="inlineStr">
        <is>
          <t>Grassland</t>
        </is>
      </c>
      <c r="B84">
        <f>'4.Grassland'!D27</f>
        <v/>
      </c>
      <c r="C84">
        <f>'4.Grassland'!G27</f>
        <v/>
      </c>
      <c r="D84">
        <f>'4.Grassland'!AG27</f>
        <v/>
      </c>
      <c r="E84">
        <f>IF('4.Grassland'!BR27&lt;&gt;0,'4.Grassland'!BR27, '4.Grassland'!BQ27)</f>
        <v/>
      </c>
      <c r="F84">
        <f>time</f>
        <v/>
      </c>
      <c r="G84" s="4395">
        <f>'4.Grassland'!Y27</f>
        <v/>
      </c>
      <c r="H84" s="4395">
        <f>'4.Grassland'!AA27</f>
        <v/>
      </c>
      <c r="I84" s="4395">
        <f>IF(OR(H84="I", G84="I"), "I", IF(OR(H84="E", G84="E"), "E", "D"))</f>
        <v/>
      </c>
      <c r="J84" s="4395">
        <f>((D84/(time_cap+((F84-E84+1)*VLOOKUP(I84,list!$I$48:$K$50,3, FALSE))))*(F84-E84+1)*VLOOKUP(I84,list!$I$48:$K$50,3, FALSE))</f>
        <v/>
      </c>
      <c r="K84" s="4395">
        <f>((D84/(time_cap+((F84-E84+1)*VLOOKUP(I84,list!$I$48:$K$50,3, FALSE))))*time_cap)</f>
        <v/>
      </c>
      <c r="M84" s="4395">
        <f>IFERROR(IF((time+time_cap)&lt;M$2, 0,IF(AND(time+1&gt;=N$2, $E84&lt;N$2), IF($I84= "I", $J84/($F84-$E84+1), $J84/(($F84*($F84+1)/2)-(($E84-1)*($E84-1+1)/2))*M$2), 0)+IF(IF(time+1&gt;=N$2, $K84/time_cap/(time+1)*M$2, 0) = 0, $K84/(time_cap),0)),0)</f>
        <v/>
      </c>
      <c r="N84" s="4395">
        <f>IFERROR(IF((time+time_cap)&lt;N$2, 0,IF(AND(time+1&gt;=O$2, $E84&lt;O$2), IF($I84= "I", $J84/($F84-$E84+1), $J84/(($F84*($F84+1)/2)-(($E84-1)*($E84-1+1)/2))*N$2), 0)+IF(IF(time+1&gt;=O$2, $K84/time_cap/(time+1)*N$2, 0) = 0, $K84/(time_cap),0)),0)</f>
        <v/>
      </c>
      <c r="O84" s="4395">
        <f>IFERROR(IF((time+time_cap)&lt;O$2, 0,IF(AND(time+1&gt;=P$2, $E84&lt;P$2), IF($I84= "I", $J84/($F84-$E84+1), $J84/(($F84*($F84+1)/2)-(($E84-1)*($E84-1+1)/2))*O$2), 0)+IF(IF(time+1&gt;=P$2, $K84/time_cap/(time+1)*O$2, 0) = 0, $K84/(time_cap),0)),0)</f>
        <v/>
      </c>
      <c r="P84" s="4395">
        <f>IFERROR(IF((time+time_cap)&lt;P$2, 0,IF(AND(time+1&gt;=Q$2, $E84&lt;Q$2), IF($I84= "I", $J84/($F84-$E84+1), $J84/(($F84*($F84+1)/2)-(($E84-1)*($E84-1+1)/2))*P$2), 0)+IF(IF(time+1&gt;=Q$2, $K84/time_cap/(time+1)*P$2, 0) = 0, $K84/(time_cap),0)),0)</f>
        <v/>
      </c>
      <c r="Q84" s="4395">
        <f>IFERROR(IF((time+time_cap)&lt;Q$2, 0,IF(AND(time+1&gt;=R$2, $E84&lt;R$2), IF($I84= "I", $J84/($F84-$E84+1), $J84/(($F84*($F84+1)/2)-(($E84-1)*($E84-1+1)/2))*Q$2), 0)+IF(IF(time+1&gt;=R$2, $K84/time_cap/(time+1)*Q$2, 0) = 0, $K84/(time_cap),0)),0)</f>
        <v/>
      </c>
      <c r="R84" s="4395">
        <f>IFERROR(IF((time+time_cap)&lt;R$2, 0,IF(AND(time+1&gt;=S$2, $E84&lt;S$2), IF($I84= "I", $J84/($F84-$E84+1), $J84/(($F84*($F84+1)/2)-(($E84-1)*($E84-1+1)/2))*R$2), 0)+IF(IF(time+1&gt;=S$2, $K84/time_cap/(time+1)*R$2, 0) = 0, $K84/(time_cap),0)),0)</f>
        <v/>
      </c>
      <c r="S84" s="4395">
        <f>IFERROR(IF((time+time_cap)&lt;S$2, 0,IF(AND(time+1&gt;=T$2, $E84&lt;T$2), IF($I84= "I", $J84/($F84-$E84+1), $J84/(($F84*($F84+1)/2)-(($E84-1)*($E84-1+1)/2))*S$2), 0)+IF(IF(time+1&gt;=T$2, $K84/time_cap/(time+1)*S$2, 0) = 0, $K84/(time_cap),0)),0)</f>
        <v/>
      </c>
      <c r="T84" s="4395">
        <f>IFERROR(IF((time+time_cap)&lt;T$2, 0,IF(AND(time+1&gt;=U$2, $E84&lt;U$2), IF($I84= "I", $J84/($F84-$E84+1), $J84/(($F84*($F84+1)/2)-(($E84-1)*($E84-1+1)/2))*T$2), 0)+IF(IF(time+1&gt;=U$2, $K84/time_cap/(time+1)*T$2, 0) = 0, $K84/(time_cap),0)),0)</f>
        <v/>
      </c>
      <c r="U84" s="4395">
        <f>IFERROR(IF((time+time_cap)&lt;U$2, 0,IF(AND(time+1&gt;=V$2, $E84&lt;V$2), IF($I84= "I", $J84/($F84-$E84+1), $J84/(($F84*($F84+1)/2)-(($E84-1)*($E84-1+1)/2))*U$2), 0)+IF(IF(time+1&gt;=V$2, $K84/time_cap/(time+1)*U$2, 0) = 0, $K84/(time_cap),0)),0)</f>
        <v/>
      </c>
      <c r="V84" s="4395">
        <f>IFERROR(IF((time+time_cap)&lt;V$2, 0,IF(AND(time+1&gt;=W$2, $E84&lt;W$2), IF($I84= "I", $J84/($F84-$E84+1), $J84/(($F84*($F84+1)/2)-(($E84-1)*($E84-1+1)/2))*V$2), 0)+IF(IF(time+1&gt;=W$2, $K84/time_cap/(time+1)*V$2, 0) = 0, $K84/(time_cap),0)),0)</f>
        <v/>
      </c>
      <c r="W84" s="4395">
        <f>IFERROR(IF((time+time_cap)&lt;W$2, 0,IF(AND(time+1&gt;=X$2, $E84&lt;X$2), IF($I84= "I", $J84/($F84-$E84+1), $J84/(($F84*($F84+1)/2)-(($E84-1)*($E84-1+1)/2))*W$2), 0)+IF(IF(time+1&gt;=X$2, $K84/time_cap/(time+1)*W$2, 0) = 0, $K84/(time_cap),0)),0)</f>
        <v/>
      </c>
      <c r="X84" s="4395">
        <f>IFERROR(IF((time+time_cap)&lt;X$2, 0,IF(AND(time+1&gt;=Y$2, $E84&lt;Y$2), IF($I84= "I", $J84/($F84-$E84+1), $J84/(($F84*($F84+1)/2)-(($E84-1)*($E84-1+1)/2))*X$2), 0)+IF(IF(time+1&gt;=Y$2, $K84/time_cap/(time+1)*X$2, 0) = 0, $K84/(time_cap),0)),0)</f>
        <v/>
      </c>
      <c r="Y84" s="4395">
        <f>IFERROR(IF((time+time_cap)&lt;Y$2, 0,IF(AND(time+1&gt;=Z$2, $E84&lt;Z$2), IF($I84= "I", $J84/($F84-$E84+1), $J84/(($F84*($F84+1)/2)-(($E84-1)*($E84-1+1)/2))*Y$2), 0)+IF(IF(time+1&gt;=Z$2, $K84/time_cap/(time+1)*Y$2, 0) = 0, $K84/(time_cap),0)),0)</f>
        <v/>
      </c>
      <c r="Z84" s="4395">
        <f>IFERROR(IF((time+time_cap)&lt;Z$2, 0,IF(AND(time+1&gt;=AA$2, $E84&lt;AA$2), IF($I84= "I", $J84/($F84-$E84+1), $J84/(($F84*($F84+1)/2)-(($E84-1)*($E84-1+1)/2))*Z$2), 0)+IF(IF(time+1&gt;=AA$2, $K84/time_cap/(time+1)*Z$2, 0) = 0, $K84/(time_cap),0)),0)</f>
        <v/>
      </c>
      <c r="AA84" s="4395">
        <f>IFERROR(IF((time+time_cap)&lt;AA$2, 0,IF(AND(time+1&gt;=AB$2, $E84&lt;AB$2), IF($I84= "I", $J84/($F84-$E84+1), $J84/(($F84*($F84+1)/2)-(($E84-1)*($E84-1+1)/2))*AA$2), 0)+IF(IF(time+1&gt;=AB$2, $K84/time_cap/(time+1)*AA$2, 0) = 0, $K84/(time_cap),0)),0)</f>
        <v/>
      </c>
      <c r="AB84" s="4395">
        <f>IFERROR(IF((time+time_cap)&lt;AB$2, 0,IF(AND(time+1&gt;=AC$2, $E84&lt;AC$2), IF($I84= "I", $J84/($F84-$E84+1), $J84/(($F84*($F84+1)/2)-(($E84-1)*($E84-1+1)/2))*AB$2), 0)+IF(IF(time+1&gt;=AC$2, $K84/time_cap/(time+1)*AB$2, 0) = 0, $K84/(time_cap),0)),0)</f>
        <v/>
      </c>
      <c r="AC84" s="4395">
        <f>IFERROR(IF((time+time_cap)&lt;AC$2, 0,IF(AND(time+1&gt;=AD$2, $E84&lt;AD$2), IF($I84= "I", $J84/($F84-$E84+1), $J84/(($F84*($F84+1)/2)-(($E84-1)*($E84-1+1)/2))*AC$2), 0)+IF(IF(time+1&gt;=AD$2, $K84/time_cap/(time+1)*AC$2, 0) = 0, $K84/(time_cap),0)),0)</f>
        <v/>
      </c>
      <c r="AD84" s="4395">
        <f>IFERROR(IF((time+time_cap)&lt;AD$2, 0,IF(AND(time+1&gt;=AE$2, $E84&lt;AE$2), IF($I84= "I", $J84/($F84-$E84+1), $J84/(($F84*($F84+1)/2)-(($E84-1)*($E84-1+1)/2))*AD$2), 0)+IF(IF(time+1&gt;=AE$2, $K84/time_cap/(time+1)*AD$2, 0) = 0, $K84/(time_cap),0)),0)</f>
        <v/>
      </c>
      <c r="AE84" s="4395">
        <f>IFERROR(IF((time+time_cap)&lt;AE$2, 0,IF(AND(time+1&gt;=AF$2, $E84&lt;AF$2), IF($I84= "I", $J84/($F84-$E84+1), $J84/(($F84*($F84+1)/2)-(($E84-1)*($E84-1+1)/2))*AE$2), 0)+IF(IF(time+1&gt;=AF$2, $K84/time_cap/(time+1)*AE$2, 0) = 0, $K84/(time_cap),0)),0)</f>
        <v/>
      </c>
      <c r="AF84" s="4395">
        <f>IFERROR(IF((time+time_cap)&lt;AF$2, 0,IF(AND(time+1&gt;=AG$2, $E84&lt;AG$2), IF($I84= "I", $J84/($F84-$E84+1), $J84/(($F84*($F84+1)/2)-(($E84-1)*($E84-1+1)/2))*AF$2), 0)+IF(IF(time+1&gt;=AG$2, $K84/time_cap/(time+1)*AF$2, 0) = 0, $K84/(time_cap),0)),0)</f>
        <v/>
      </c>
      <c r="AG84" s="4395">
        <f>IFERROR(IF((time+time_cap)&lt;AG$2, 0,IF(AND(time+1&gt;=AH$2, $E84&lt;AH$2), IF($I84= "I", $J84/($F84-$E84+1), $J84/(($F84*($F84+1)/2)-(($E84-1)*($E84-1+1)/2))*AG$2), 0)+IF(IF(time+1&gt;=AH$2, $K84/time_cap/(time+1)*AG$2, 0) = 0, $K84/(time_cap),0)),0)</f>
        <v/>
      </c>
      <c r="AH84" s="4395">
        <f>IFERROR(IF((time+time_cap)&lt;AH$2, 0,IF(AND(time+1&gt;=AI$2, $E84&lt;AI$2), IF($I84= "I", $J84/($F84-$E84+1), $J84/(($F84*($F84+1)/2)-(($E84-1)*($E84-1+1)/2))*AH$2), 0)+IF(IF(time+1&gt;=AI$2, $K84/time_cap/(time+1)*AH$2, 0) = 0, $K84/(time_cap),0)),0)</f>
        <v/>
      </c>
      <c r="AI84" s="4395">
        <f>IFERROR(IF((time+time_cap)&lt;AI$2, 0,IF(AND(time+1&gt;=AJ$2, $E84&lt;AJ$2), IF($I84= "I", $J84/($F84-$E84+1), $J84/(($F84*($F84+1)/2)-(($E84-1)*($E84-1+1)/2))*AI$2), 0)+IF(IF(time+1&gt;=AJ$2, $K84/time_cap/(time+1)*AI$2, 0) = 0, $K84/(time_cap),0)),0)</f>
        <v/>
      </c>
      <c r="AJ84" s="4395">
        <f>IFERROR(IF((time+time_cap)&lt;AJ$2, 0,IF(AND(time+1&gt;=AK$2, $E84&lt;AK$2), IF($I84= "I", $J84/($F84-$E84+1), $J84/(($F84*($F84+1)/2)-(($E84-1)*($E84-1+1)/2))*AJ$2), 0)+IF(IF(time+1&gt;=AK$2, $K84/time_cap/(time+1)*AJ$2, 0) = 0, $K84/(time_cap),0)),0)</f>
        <v/>
      </c>
      <c r="AK84" s="4395">
        <f>IFERROR(IF((time+time_cap)&lt;AK$2, 0,IF(AND(time+1&gt;=AL$2, $E84&lt;AL$2), IF($I84= "I", $J84/($F84-$E84+1), $J84/(($F84*($F84+1)/2)-(($E84-1)*($E84-1+1)/2))*AK$2), 0)+IF(IF(time+1&gt;=AL$2, $K84/time_cap/(time+1)*AK$2, 0) = 0, $K84/(time_cap),0)),0)</f>
        <v/>
      </c>
      <c r="AL84" s="4395">
        <f>IFERROR(IF((time+time_cap)&lt;AL$2, 0,IF(AND(time+1&gt;=AM$2, $E84&lt;AM$2), IF($I84= "I", $J84/($F84-$E84+1), $J84/(($F84*($F84+1)/2)-(($E84-1)*($E84-1+1)/2))*AL$2), 0)+IF(IF(time+1&gt;=AM$2, $K84/time_cap/(time+1)*AL$2, 0) = 0, $K84/(time_cap),0)),0)</f>
        <v/>
      </c>
      <c r="AM84" s="4395">
        <f>IFERROR(IF((time+time_cap)&lt;AM$2, 0,IF(AND(time+1&gt;=AN$2, $E84&lt;AN$2), IF($I84= "I", $J84/($F84-$E84+1), $J84/(($F84*($F84+1)/2)-(($E84-1)*($E84-1+1)/2))*AM$2), 0)+IF(IF(time+1&gt;=AN$2, $K84/time_cap/(time+1)*AM$2, 0) = 0, $K84/(time_cap),0)),0)</f>
        <v/>
      </c>
      <c r="AN84" s="4395">
        <f>IFERROR(IF((time+time_cap)&lt;AN$2, 0,IF(AND(time+1&gt;=AO$2, $E84&lt;AO$2), IF($I84= "I", $J84/($F84-$E84+1), $J84/(($F84*($F84+1)/2)-(($E84-1)*($E84-1+1)/2))*AN$2), 0)+IF(IF(time+1&gt;=AO$2, $K84/time_cap/(time+1)*AN$2, 0) = 0, $K84/(time_cap),0)),0)</f>
        <v/>
      </c>
      <c r="AO84" s="4395">
        <f>IFERROR(IF((time+time_cap)&lt;AO$2, 0,IF(AND(time+1&gt;=AP$2, $E84&lt;AP$2), IF($I84= "I", $J84/($F84-$E84+1), $J84/(($F84*($F84+1)/2)-(($E84-1)*($E84-1+1)/2))*AO$2), 0)+IF(IF(time+1&gt;=AP$2, $K84/time_cap/(time+1)*AO$2, 0) = 0, $K84/(time_cap),0)),0)</f>
        <v/>
      </c>
      <c r="AP84" s="4395">
        <f>IFERROR(IF((time+time_cap)&lt;AP$2, 0,IF(AND(time+1&gt;=AQ$2, $E84&lt;AQ$2), IF($I84= "I", $J84/($F84-$E84+1), $J84/(($F84*($F84+1)/2)-(($E84-1)*($E84-1+1)/2))*AP$2), 0)+IF(IF(time+1&gt;=AQ$2, $K84/time_cap/(time+1)*AP$2, 0) = 0, $K84/(time_cap),0)),0)</f>
        <v/>
      </c>
      <c r="AQ84" s="4395">
        <f>IFERROR(IF((time+time_cap)&lt;AQ$2, 0,IF(AND(time+1&gt;=AR$2, $E84&lt;AR$2), IF($I84= "I", $J84/($F84-$E84+1), $J84/(($F84*($F84+1)/2)-(($E84-1)*($E84-1+1)/2))*AQ$2), 0)+IF(IF(time+1&gt;=AR$2, $K84/time_cap/(time+1)*AQ$2, 0) = 0, $K84/(time_cap),0)),0)</f>
        <v/>
      </c>
      <c r="AR84" s="4395">
        <f>IFERROR(IF((time+time_cap)&lt;AR$2, 0,IF(AND(time+1&gt;=AS$2, $E84&lt;AS$2), IF($I84= "I", $J84/($F84-$E84+1), $J84/(($F84*($F84+1)/2)-(($E84-1)*($E84-1+1)/2))*AR$2), 0)+IF(IF(time+1&gt;=AS$2, $K84/time_cap/(time+1)*AR$2, 0) = 0, $K84/(time_cap),0)),0)</f>
        <v/>
      </c>
      <c r="AS84" s="4395">
        <f>IFERROR(IF((time+time_cap)&lt;AS$2, 0,IF(AND(time+1&gt;=AT$2, $E84&lt;AT$2), IF($I84= "I", $J84/($F84-$E84+1), $J84/(($F84*($F84+1)/2)-(($E84-1)*($E84-1+1)/2))*AS$2), 0)+IF(IF(time+1&gt;=AT$2, $K84/time_cap/(time+1)*AS$2, 0) = 0, $K84/(time_cap),0)),0)</f>
        <v/>
      </c>
      <c r="AT84" s="4395">
        <f>IFERROR(IF((time+time_cap)&lt;AT$2, 0,IF(AND(time+1&gt;=AU$2, $E84&lt;AU$2), IF($I84= "I", $J84/($F84-$E84+1), $J84/(($F84*($F84+1)/2)-(($E84-1)*($E84-1+1)/2))*AT$2), 0)+IF(IF(time+1&gt;=AU$2, $K84/time_cap/(time+1)*AT$2, 0) = 0, $K84/(time_cap),0)),0)</f>
        <v/>
      </c>
      <c r="AU84" s="4395">
        <f>IFERROR(IF((time+time_cap)&lt;AU$2, 0,IF(AND(time+1&gt;=AV$2, $E84&lt;AV$2), IF($I84= "I", $J84/($F84-$E84+1), $J84/(($F84*($F84+1)/2)-(($E84-1)*($E84-1+1)/2))*AU$2), 0)+IF(IF(time+1&gt;=AV$2, $K84/time_cap/(time+1)*AU$2, 0) = 0, $K84/(time_cap),0)),0)</f>
        <v/>
      </c>
      <c r="AV84" s="4395">
        <f>IFERROR(IF((time+time_cap)&lt;AV$2, 0,IF(AND(time+1&gt;=AW$2, $E84&lt;AW$2), IF($I84= "I", $J84/($F84-$E84+1), $J84/(($F84*($F84+1)/2)-(($E84-1)*($E84-1+1)/2))*AV$2), 0)+IF(IF(time+1&gt;=AW$2, $K84/time_cap/(time+1)*AV$2, 0) = 0, $K84/(time_cap),0)),0)</f>
        <v/>
      </c>
      <c r="AW84" s="4395">
        <f>IFERROR(IF((time+time_cap)&lt;AW$2, 0,IF(AND(time+1&gt;=AX$2, $E84&lt;AX$2), IF($I84= "I", $J84/($F84-$E84+1), $J84/(($F84*($F84+1)/2)-(($E84-1)*($E84-1+1)/2))*AW$2), 0)+IF(IF(time+1&gt;=AX$2, $K84/time_cap/(time+1)*AW$2, 0) = 0, $K84/(time_cap),0)),0)</f>
        <v/>
      </c>
      <c r="AX84" s="4395">
        <f>IFERROR(IF((time+time_cap)&lt;AX$2, 0,IF(AND(time+1&gt;=AY$2, $E84&lt;AY$2), IF($I84= "I", $J84/($F84-$E84+1), $J84/(($F84*($F84+1)/2)-(($E84-1)*($E84-1+1)/2))*AX$2), 0)+IF(IF(time+1&gt;=AY$2, $K84/time_cap/(time+1)*AX$2, 0) = 0, $K84/(time_cap),0)),0)</f>
        <v/>
      </c>
      <c r="AY84" s="4395">
        <f>IFERROR(IF((time+time_cap)&lt;AY$2, 0,IF(AND(time+1&gt;=AZ$2, $E84&lt;AZ$2), IF($I84= "I", $J84/($F84-$E84+1), $J84/(($F84*($F84+1)/2)-(($E84-1)*($E84-1+1)/2))*AY$2), 0)+IF(IF(time+1&gt;=AZ$2, $K84/time_cap/(time+1)*AY$2, 0) = 0, $K84/(time_cap),0)),0)</f>
        <v/>
      </c>
      <c r="AZ84" s="4395">
        <f>IFERROR(IF((time+time_cap)&lt;AZ$2, 0,IF(AND(time+1&gt;=BA$2, $E84&lt;BA$2), IF($I84= "I", $J84/($F84-$E84+1), $J84/(($F84*($F84+1)/2)-(($E84-1)*($E84-1+1)/2))*AZ$2), 0)+IF(IF(time+1&gt;=BA$2, $K84/time_cap/(time+1)*AZ$2, 0) = 0, $K84/(time_cap),0)),0)</f>
        <v/>
      </c>
      <c r="BA84" s="4395">
        <f>IFERROR(IF((time+time_cap)&lt;BA$2, 0,IF(AND(time+1&gt;=BB$2, $E84&lt;BB$2), IF($I84= "I", $J84/($F84-$E84+1), $J84/(($F84*($F84+1)/2)-(($E84-1)*($E84-1+1)/2))*BA$2), 0)+IF(IF(time+1&gt;=BB$2, $K84/time_cap/(time+1)*BA$2, 0) = 0, $K84/(time_cap),0)),0)</f>
        <v/>
      </c>
      <c r="BB84" s="4395">
        <f>IFERROR(IF((time+time_cap)&lt;BB$2, 0,IF(AND(time+1&gt;=BC$2, $E84&lt;BC$2), IF($I84= "I", $J84/($F84-$E84+1), $J84/(($F84*($F84+1)/2)-(($E84-1)*($E84-1+1)/2))*BB$2), 0)+IF(IF(time+1&gt;=BC$2, $K84/time_cap/(time+1)*BB$2, 0) = 0, $K84/(time_cap),0)),0)</f>
        <v/>
      </c>
      <c r="BC84" s="4395">
        <f>IFERROR(IF((time+time_cap)&lt;BC$2, 0,IF(AND(time+1&gt;=BD$2, $E84&lt;BD$2), IF($I84= "I", $J84/($F84-$E84+1), $J84/(($F84*($F84+1)/2)-(($E84-1)*($E84-1+1)/2))*BC$2), 0)+IF(IF(time+1&gt;=BD$2, $K84/time_cap/(time+1)*BC$2, 0) = 0, $K84/(time_cap),0)),0)</f>
        <v/>
      </c>
      <c r="BD84" s="4395">
        <f>IFERROR(IF((time+time_cap)&lt;BD$2, 0,IF(AND(time+1&gt;=BE$2, $E84&lt;BE$2), IF($I84= "I", $J84/($F84-$E84+1), $J84/(($F84*($F84+1)/2)-(($E84-1)*($E84-1+1)/2))*BD$2), 0)+IF(IF(time+1&gt;=BE$2, $K84/time_cap/(time+1)*BD$2, 0) = 0, $K84/(time_cap),0)),0)</f>
        <v/>
      </c>
      <c r="BE84" s="4395">
        <f>IFERROR(IF((time+time_cap)&lt;BE$2, 0,IF(AND(time+1&gt;=BF$2, $E84&lt;BF$2), IF($I84= "I", $J84/($F84-$E84+1), $J84/(($F84*($F84+1)/2)-(($E84-1)*($E84-1+1)/2))*BE$2), 0)+IF(IF(time+1&gt;=BF$2, $K84/time_cap/(time+1)*BE$2, 0) = 0, $K84/(time_cap),0)),0)</f>
        <v/>
      </c>
      <c r="BF84" s="4395">
        <f>IFERROR(IF((time+time_cap)&lt;BF$2, 0,IF(AND(time+1&gt;=BG$2, $E84&lt;BG$2), IF($I84= "I", $J84/($F84-$E84+1), $J84/(($F84*($F84+1)/2)-(($E84-1)*($E84-1+1)/2))*BF$2), 0)+IF(IF(time+1&gt;=BG$2, $K84/time_cap/(time+1)*BF$2, 0) = 0, $K84/(time_cap),0)),0)</f>
        <v/>
      </c>
      <c r="BG84" s="4395">
        <f>IFERROR(IF((time+time_cap)&lt;BG$2, 0,IF(AND(time+1&gt;=BH$2, $E84&lt;BH$2), IF($I84= "I", $J84/($F84-$E84+1), $J84/(($F84*($F84+1)/2)-(($E84-1)*($E84-1+1)/2))*BG$2), 0)+IF(IF(time+1&gt;=BH$2, $K84/time_cap/(time+1)*BG$2, 0) = 0, $K84/(time_cap),0)),0)</f>
        <v/>
      </c>
      <c r="BH84" s="4395">
        <f>IFERROR(IF((time+time_cap)&lt;BH$2, 0,IF(AND(time+1&gt;=BI$2, $E84&lt;BI$2), IF($I84= "I", $J84/($F84-$E84+1), $J84/(($F84*($F84+1)/2)-(($E84-1)*($E84-1+1)/2))*BH$2), 0)+IF(IF(time+1&gt;=BI$2, $K84/time_cap/(time+1)*BH$2, 0) = 0, $K84/(time_cap),0)),0)</f>
        <v/>
      </c>
      <c r="BI84" s="4395">
        <f>IFERROR(IF((time+time_cap)&lt;BI$2, 0,IF(AND(time+1&gt;=BJ$2, $E84&lt;BJ$2), IF($I84= "I", $J84/($F84-$E84+1), $J84/(($F84*($F84+1)/2)-(($E84-1)*($E84-1+1)/2))*BI$2), 0)+IF(IF(time+1&gt;=BJ$2, $K84/time_cap/(time+1)*BI$2, 0) = 0, $K84/(time_cap),0)),0)</f>
        <v/>
      </c>
      <c r="BJ84" s="4395">
        <f>IFERROR(IF((time+time_cap)&lt;BJ$2, 0,IF(AND(time+1&gt;=BK$2, $E84&lt;BK$2), IF($I84= "I", $J84/($F84-$E84+1), $J84/(($F84*($F84+1)/2)-(($E84-1)*($E84-1+1)/2))*BJ$2), 0)+IF(IF(time+1&gt;=BK$2, $K84/time_cap/(time+1)*BJ$2, 0) = 0, $K84/(time_cap),0)),0)</f>
        <v/>
      </c>
      <c r="BK84" s="4395" t="n"/>
      <c r="BL84" s="4395" t="n"/>
      <c r="BM84" s="4395" t="n"/>
      <c r="BN84" s="4395" t="n"/>
      <c r="BO84" s="4395" t="n"/>
      <c r="BP84" s="4395" t="n"/>
      <c r="BQ84" s="4395" t="n"/>
      <c r="BR84" s="4395" t="n"/>
      <c r="BS84" s="4395" t="n"/>
      <c r="BT84" s="4395" t="n"/>
      <c r="BU84" s="4395" t="n"/>
      <c r="BV84" s="4395" t="n"/>
      <c r="BW84" s="4395" t="n"/>
      <c r="BX84" s="4395" t="n"/>
      <c r="BY84" s="4395" t="n"/>
      <c r="BZ84" s="4395" t="n"/>
      <c r="CA84" s="4395" t="n"/>
      <c r="CB84" s="4395" t="n"/>
      <c r="CC84" s="4395" t="n"/>
      <c r="CD84" s="4395" t="n"/>
      <c r="CE84" s="4395" t="n"/>
      <c r="CF84" s="4395" t="n"/>
      <c r="CG84" s="4395" t="n"/>
      <c r="CH84" s="4395" t="n"/>
      <c r="CI84" s="4395" t="n"/>
      <c r="CJ84" s="4395" t="n"/>
      <c r="CK84" s="4395" t="n"/>
      <c r="CL84" s="4395" t="n"/>
      <c r="CM84" s="4395" t="n"/>
      <c r="CN84" s="4395" t="n"/>
      <c r="CO84" s="4395" t="n"/>
      <c r="CP84" s="4395" t="n"/>
      <c r="CQ84" s="4395" t="n"/>
      <c r="CR84" s="4395" t="n"/>
      <c r="CS84" s="4395" t="n"/>
      <c r="CT84" s="4395" t="n"/>
      <c r="CU84" s="4395" t="n"/>
      <c r="CV84" s="4395" t="n"/>
      <c r="CW84" s="4395" t="n"/>
      <c r="CX84" s="4395" t="n"/>
      <c r="CY84" s="4395" t="n"/>
      <c r="CZ84" s="4395" t="n"/>
      <c r="DA84" s="4395" t="n"/>
      <c r="DB84" s="4395" t="n"/>
      <c r="DC84" s="4395" t="n"/>
      <c r="DD84" s="4395" t="n"/>
      <c r="DE84" s="4395" t="n"/>
      <c r="DF84" s="4395" t="n"/>
      <c r="DG84" s="4395" t="n"/>
      <c r="DH84" s="4395" t="n"/>
    </row>
    <row r="85" ht="16" customHeight="1">
      <c r="A85" t="inlineStr">
        <is>
          <t>Grassland</t>
        </is>
      </c>
      <c r="B85">
        <f>'4.Grassland'!D28</f>
        <v/>
      </c>
      <c r="C85">
        <f>'4.Grassland'!G28</f>
        <v/>
      </c>
      <c r="D85">
        <f>'4.Grassland'!AG28</f>
        <v/>
      </c>
      <c r="E85">
        <f>IF('4.Grassland'!BR28&lt;&gt;0,'4.Grassland'!BR28, '4.Grassland'!BQ28)</f>
        <v/>
      </c>
      <c r="F85">
        <f>time</f>
        <v/>
      </c>
      <c r="G85" s="4395">
        <f>'4.Grassland'!Y28</f>
        <v/>
      </c>
      <c r="H85" s="4395">
        <f>'4.Grassland'!AA28</f>
        <v/>
      </c>
      <c r="I85" s="4395">
        <f>IF(OR(H85="I", G85="I"), "I", IF(OR(H85="E", G85="E"), "E", "D"))</f>
        <v/>
      </c>
      <c r="J85" s="4395">
        <f>((D85/(time_cap+((F85-E85+1)*VLOOKUP(I85,list!$I$48:$K$50,3, FALSE))))*(F85-E85+1)*VLOOKUP(I85,list!$I$48:$K$50,3, FALSE))</f>
        <v/>
      </c>
      <c r="K85" s="4395">
        <f>((D85/(time_cap+((F85-E85+1)*VLOOKUP(I85,list!$I$48:$K$50,3, FALSE))))*time_cap)</f>
        <v/>
      </c>
      <c r="M85" s="4395">
        <f>IFERROR(IF((time+time_cap)&lt;M$2, 0,IF(AND(time+1&gt;=N$2, $E85&lt;N$2), IF($I85= "I", $J85/($F85-$E85+1), $J85/(($F85*($F85+1)/2)-(($E85-1)*($E85-1+1)/2))*M$2), 0)+IF(IF(time+1&gt;=N$2, $K85/time_cap/(time+1)*M$2, 0) = 0, $K85/(time_cap),0)),0)</f>
        <v/>
      </c>
      <c r="N85" s="4395">
        <f>IFERROR(IF((time+time_cap)&lt;N$2, 0,IF(AND(time+1&gt;=O$2, $E85&lt;O$2), IF($I85= "I", $J85/($F85-$E85+1), $J85/(($F85*($F85+1)/2)-(($E85-1)*($E85-1+1)/2))*N$2), 0)+IF(IF(time+1&gt;=O$2, $K85/time_cap/(time+1)*N$2, 0) = 0, $K85/(time_cap),0)),0)</f>
        <v/>
      </c>
      <c r="O85" s="4395">
        <f>IFERROR(IF((time+time_cap)&lt;O$2, 0,IF(AND(time+1&gt;=P$2, $E85&lt;P$2), IF($I85= "I", $J85/($F85-$E85+1), $J85/(($F85*($F85+1)/2)-(($E85-1)*($E85-1+1)/2))*O$2), 0)+IF(IF(time+1&gt;=P$2, $K85/time_cap/(time+1)*O$2, 0) = 0, $K85/(time_cap),0)),0)</f>
        <v/>
      </c>
      <c r="P85" s="4395">
        <f>IFERROR(IF((time+time_cap)&lt;P$2, 0,IF(AND(time+1&gt;=Q$2, $E85&lt;Q$2), IF($I85= "I", $J85/($F85-$E85+1), $J85/(($F85*($F85+1)/2)-(($E85-1)*($E85-1+1)/2))*P$2), 0)+IF(IF(time+1&gt;=Q$2, $K85/time_cap/(time+1)*P$2, 0) = 0, $K85/(time_cap),0)),0)</f>
        <v/>
      </c>
      <c r="Q85" s="4395">
        <f>IFERROR(IF((time+time_cap)&lt;Q$2, 0,IF(AND(time+1&gt;=R$2, $E85&lt;R$2), IF($I85= "I", $J85/($F85-$E85+1), $J85/(($F85*($F85+1)/2)-(($E85-1)*($E85-1+1)/2))*Q$2), 0)+IF(IF(time+1&gt;=R$2, $K85/time_cap/(time+1)*Q$2, 0) = 0, $K85/(time_cap),0)),0)</f>
        <v/>
      </c>
      <c r="R85" s="4395">
        <f>IFERROR(IF((time+time_cap)&lt;R$2, 0,IF(AND(time+1&gt;=S$2, $E85&lt;S$2), IF($I85= "I", $J85/($F85-$E85+1), $J85/(($F85*($F85+1)/2)-(($E85-1)*($E85-1+1)/2))*R$2), 0)+IF(IF(time+1&gt;=S$2, $K85/time_cap/(time+1)*R$2, 0) = 0, $K85/(time_cap),0)),0)</f>
        <v/>
      </c>
      <c r="S85" s="4395">
        <f>IFERROR(IF((time+time_cap)&lt;S$2, 0,IF(AND(time+1&gt;=T$2, $E85&lt;T$2), IF($I85= "I", $J85/($F85-$E85+1), $J85/(($F85*($F85+1)/2)-(($E85-1)*($E85-1+1)/2))*S$2), 0)+IF(IF(time+1&gt;=T$2, $K85/time_cap/(time+1)*S$2, 0) = 0, $K85/(time_cap),0)),0)</f>
        <v/>
      </c>
      <c r="T85" s="4395">
        <f>IFERROR(IF((time+time_cap)&lt;T$2, 0,IF(AND(time+1&gt;=U$2, $E85&lt;U$2), IF($I85= "I", $J85/($F85-$E85+1), $J85/(($F85*($F85+1)/2)-(($E85-1)*($E85-1+1)/2))*T$2), 0)+IF(IF(time+1&gt;=U$2, $K85/time_cap/(time+1)*T$2, 0) = 0, $K85/(time_cap),0)),0)</f>
        <v/>
      </c>
      <c r="U85" s="4395">
        <f>IFERROR(IF((time+time_cap)&lt;U$2, 0,IF(AND(time+1&gt;=V$2, $E85&lt;V$2), IF($I85= "I", $J85/($F85-$E85+1), $J85/(($F85*($F85+1)/2)-(($E85-1)*($E85-1+1)/2))*U$2), 0)+IF(IF(time+1&gt;=V$2, $K85/time_cap/(time+1)*U$2, 0) = 0, $K85/(time_cap),0)),0)</f>
        <v/>
      </c>
      <c r="V85" s="4395">
        <f>IFERROR(IF((time+time_cap)&lt;V$2, 0,IF(AND(time+1&gt;=W$2, $E85&lt;W$2), IF($I85= "I", $J85/($F85-$E85+1), $J85/(($F85*($F85+1)/2)-(($E85-1)*($E85-1+1)/2))*V$2), 0)+IF(IF(time+1&gt;=W$2, $K85/time_cap/(time+1)*V$2, 0) = 0, $K85/(time_cap),0)),0)</f>
        <v/>
      </c>
      <c r="W85" s="4395">
        <f>IFERROR(IF((time+time_cap)&lt;W$2, 0,IF(AND(time+1&gt;=X$2, $E85&lt;X$2), IF($I85= "I", $J85/($F85-$E85+1), $J85/(($F85*($F85+1)/2)-(($E85-1)*($E85-1+1)/2))*W$2), 0)+IF(IF(time+1&gt;=X$2, $K85/time_cap/(time+1)*W$2, 0) = 0, $K85/(time_cap),0)),0)</f>
        <v/>
      </c>
      <c r="X85" s="4395">
        <f>IFERROR(IF((time+time_cap)&lt;X$2, 0,IF(AND(time+1&gt;=Y$2, $E85&lt;Y$2), IF($I85= "I", $J85/($F85-$E85+1), $J85/(($F85*($F85+1)/2)-(($E85-1)*($E85-1+1)/2))*X$2), 0)+IF(IF(time+1&gt;=Y$2, $K85/time_cap/(time+1)*X$2, 0) = 0, $K85/(time_cap),0)),0)</f>
        <v/>
      </c>
      <c r="Y85" s="4395">
        <f>IFERROR(IF((time+time_cap)&lt;Y$2, 0,IF(AND(time+1&gt;=Z$2, $E85&lt;Z$2), IF($I85= "I", $J85/($F85-$E85+1), $J85/(($F85*($F85+1)/2)-(($E85-1)*($E85-1+1)/2))*Y$2), 0)+IF(IF(time+1&gt;=Z$2, $K85/time_cap/(time+1)*Y$2, 0) = 0, $K85/(time_cap),0)),0)</f>
        <v/>
      </c>
      <c r="Z85" s="4395">
        <f>IFERROR(IF((time+time_cap)&lt;Z$2, 0,IF(AND(time+1&gt;=AA$2, $E85&lt;AA$2), IF($I85= "I", $J85/($F85-$E85+1), $J85/(($F85*($F85+1)/2)-(($E85-1)*($E85-1+1)/2))*Z$2), 0)+IF(IF(time+1&gt;=AA$2, $K85/time_cap/(time+1)*Z$2, 0) = 0, $K85/(time_cap),0)),0)</f>
        <v/>
      </c>
      <c r="AA85" s="4395">
        <f>IFERROR(IF((time+time_cap)&lt;AA$2, 0,IF(AND(time+1&gt;=AB$2, $E85&lt;AB$2), IF($I85= "I", $J85/($F85-$E85+1), $J85/(($F85*($F85+1)/2)-(($E85-1)*($E85-1+1)/2))*AA$2), 0)+IF(IF(time+1&gt;=AB$2, $K85/time_cap/(time+1)*AA$2, 0) = 0, $K85/(time_cap),0)),0)</f>
        <v/>
      </c>
      <c r="AB85" s="4395">
        <f>IFERROR(IF((time+time_cap)&lt;AB$2, 0,IF(AND(time+1&gt;=AC$2, $E85&lt;AC$2), IF($I85= "I", $J85/($F85-$E85+1), $J85/(($F85*($F85+1)/2)-(($E85-1)*($E85-1+1)/2))*AB$2), 0)+IF(IF(time+1&gt;=AC$2, $K85/time_cap/(time+1)*AB$2, 0) = 0, $K85/(time_cap),0)),0)</f>
        <v/>
      </c>
      <c r="AC85" s="4395">
        <f>IFERROR(IF((time+time_cap)&lt;AC$2, 0,IF(AND(time+1&gt;=AD$2, $E85&lt;AD$2), IF($I85= "I", $J85/($F85-$E85+1), $J85/(($F85*($F85+1)/2)-(($E85-1)*($E85-1+1)/2))*AC$2), 0)+IF(IF(time+1&gt;=AD$2, $K85/time_cap/(time+1)*AC$2, 0) = 0, $K85/(time_cap),0)),0)</f>
        <v/>
      </c>
      <c r="AD85" s="4395">
        <f>IFERROR(IF((time+time_cap)&lt;AD$2, 0,IF(AND(time+1&gt;=AE$2, $E85&lt;AE$2), IF($I85= "I", $J85/($F85-$E85+1), $J85/(($F85*($F85+1)/2)-(($E85-1)*($E85-1+1)/2))*AD$2), 0)+IF(IF(time+1&gt;=AE$2, $K85/time_cap/(time+1)*AD$2, 0) = 0, $K85/(time_cap),0)),0)</f>
        <v/>
      </c>
      <c r="AE85" s="4395">
        <f>IFERROR(IF((time+time_cap)&lt;AE$2, 0,IF(AND(time+1&gt;=AF$2, $E85&lt;AF$2), IF($I85= "I", $J85/($F85-$E85+1), $J85/(($F85*($F85+1)/2)-(($E85-1)*($E85-1+1)/2))*AE$2), 0)+IF(IF(time+1&gt;=AF$2, $K85/time_cap/(time+1)*AE$2, 0) = 0, $K85/(time_cap),0)),0)</f>
        <v/>
      </c>
      <c r="AF85" s="4395">
        <f>IFERROR(IF((time+time_cap)&lt;AF$2, 0,IF(AND(time+1&gt;=AG$2, $E85&lt;AG$2), IF($I85= "I", $J85/($F85-$E85+1), $J85/(($F85*($F85+1)/2)-(($E85-1)*($E85-1+1)/2))*AF$2), 0)+IF(IF(time+1&gt;=AG$2, $K85/time_cap/(time+1)*AF$2, 0) = 0, $K85/(time_cap),0)),0)</f>
        <v/>
      </c>
      <c r="AG85" s="4395">
        <f>IFERROR(IF((time+time_cap)&lt;AG$2, 0,IF(AND(time+1&gt;=AH$2, $E85&lt;AH$2), IF($I85= "I", $J85/($F85-$E85+1), $J85/(($F85*($F85+1)/2)-(($E85-1)*($E85-1+1)/2))*AG$2), 0)+IF(IF(time+1&gt;=AH$2, $K85/time_cap/(time+1)*AG$2, 0) = 0, $K85/(time_cap),0)),0)</f>
        <v/>
      </c>
      <c r="AH85" s="4395">
        <f>IFERROR(IF((time+time_cap)&lt;AH$2, 0,IF(AND(time+1&gt;=AI$2, $E85&lt;AI$2), IF($I85= "I", $J85/($F85-$E85+1), $J85/(($F85*($F85+1)/2)-(($E85-1)*($E85-1+1)/2))*AH$2), 0)+IF(IF(time+1&gt;=AI$2, $K85/time_cap/(time+1)*AH$2, 0) = 0, $K85/(time_cap),0)),0)</f>
        <v/>
      </c>
      <c r="AI85" s="4395">
        <f>IFERROR(IF((time+time_cap)&lt;AI$2, 0,IF(AND(time+1&gt;=AJ$2, $E85&lt;AJ$2), IF($I85= "I", $J85/($F85-$E85+1), $J85/(($F85*($F85+1)/2)-(($E85-1)*($E85-1+1)/2))*AI$2), 0)+IF(IF(time+1&gt;=AJ$2, $K85/time_cap/(time+1)*AI$2, 0) = 0, $K85/(time_cap),0)),0)</f>
        <v/>
      </c>
      <c r="AJ85" s="4395">
        <f>IFERROR(IF((time+time_cap)&lt;AJ$2, 0,IF(AND(time+1&gt;=AK$2, $E85&lt;AK$2), IF($I85= "I", $J85/($F85-$E85+1), $J85/(($F85*($F85+1)/2)-(($E85-1)*($E85-1+1)/2))*AJ$2), 0)+IF(IF(time+1&gt;=AK$2, $K85/time_cap/(time+1)*AJ$2, 0) = 0, $K85/(time_cap),0)),0)</f>
        <v/>
      </c>
      <c r="AK85" s="4395">
        <f>IFERROR(IF((time+time_cap)&lt;AK$2, 0,IF(AND(time+1&gt;=AL$2, $E85&lt;AL$2), IF($I85= "I", $J85/($F85-$E85+1), $J85/(($F85*($F85+1)/2)-(($E85-1)*($E85-1+1)/2))*AK$2), 0)+IF(IF(time+1&gt;=AL$2, $K85/time_cap/(time+1)*AK$2, 0) = 0, $K85/(time_cap),0)),0)</f>
        <v/>
      </c>
      <c r="AL85" s="4395">
        <f>IFERROR(IF((time+time_cap)&lt;AL$2, 0,IF(AND(time+1&gt;=AM$2, $E85&lt;AM$2), IF($I85= "I", $J85/($F85-$E85+1), $J85/(($F85*($F85+1)/2)-(($E85-1)*($E85-1+1)/2))*AL$2), 0)+IF(IF(time+1&gt;=AM$2, $K85/time_cap/(time+1)*AL$2, 0) = 0, $K85/(time_cap),0)),0)</f>
        <v/>
      </c>
      <c r="AM85" s="4395">
        <f>IFERROR(IF((time+time_cap)&lt;AM$2, 0,IF(AND(time+1&gt;=AN$2, $E85&lt;AN$2), IF($I85= "I", $J85/($F85-$E85+1), $J85/(($F85*($F85+1)/2)-(($E85-1)*($E85-1+1)/2))*AM$2), 0)+IF(IF(time+1&gt;=AN$2, $K85/time_cap/(time+1)*AM$2, 0) = 0, $K85/(time_cap),0)),0)</f>
        <v/>
      </c>
      <c r="AN85" s="4395">
        <f>IFERROR(IF((time+time_cap)&lt;AN$2, 0,IF(AND(time+1&gt;=AO$2, $E85&lt;AO$2), IF($I85= "I", $J85/($F85-$E85+1), $J85/(($F85*($F85+1)/2)-(($E85-1)*($E85-1+1)/2))*AN$2), 0)+IF(IF(time+1&gt;=AO$2, $K85/time_cap/(time+1)*AN$2, 0) = 0, $K85/(time_cap),0)),0)</f>
        <v/>
      </c>
      <c r="AO85" s="4395">
        <f>IFERROR(IF((time+time_cap)&lt;AO$2, 0,IF(AND(time+1&gt;=AP$2, $E85&lt;AP$2), IF($I85= "I", $J85/($F85-$E85+1), $J85/(($F85*($F85+1)/2)-(($E85-1)*($E85-1+1)/2))*AO$2), 0)+IF(IF(time+1&gt;=AP$2, $K85/time_cap/(time+1)*AO$2, 0) = 0, $K85/(time_cap),0)),0)</f>
        <v/>
      </c>
      <c r="AP85" s="4395">
        <f>IFERROR(IF((time+time_cap)&lt;AP$2, 0,IF(AND(time+1&gt;=AQ$2, $E85&lt;AQ$2), IF($I85= "I", $J85/($F85-$E85+1), $J85/(($F85*($F85+1)/2)-(($E85-1)*($E85-1+1)/2))*AP$2), 0)+IF(IF(time+1&gt;=AQ$2, $K85/time_cap/(time+1)*AP$2, 0) = 0, $K85/(time_cap),0)),0)</f>
        <v/>
      </c>
      <c r="AQ85" s="4395">
        <f>IFERROR(IF((time+time_cap)&lt;AQ$2, 0,IF(AND(time+1&gt;=AR$2, $E85&lt;AR$2), IF($I85= "I", $J85/($F85-$E85+1), $J85/(($F85*($F85+1)/2)-(($E85-1)*($E85-1+1)/2))*AQ$2), 0)+IF(IF(time+1&gt;=AR$2, $K85/time_cap/(time+1)*AQ$2, 0) = 0, $K85/(time_cap),0)),0)</f>
        <v/>
      </c>
      <c r="AR85" s="4395">
        <f>IFERROR(IF((time+time_cap)&lt;AR$2, 0,IF(AND(time+1&gt;=AS$2, $E85&lt;AS$2), IF($I85= "I", $J85/($F85-$E85+1), $J85/(($F85*($F85+1)/2)-(($E85-1)*($E85-1+1)/2))*AR$2), 0)+IF(IF(time+1&gt;=AS$2, $K85/time_cap/(time+1)*AR$2, 0) = 0, $K85/(time_cap),0)),0)</f>
        <v/>
      </c>
      <c r="AS85" s="4395">
        <f>IFERROR(IF((time+time_cap)&lt;AS$2, 0,IF(AND(time+1&gt;=AT$2, $E85&lt;AT$2), IF($I85= "I", $J85/($F85-$E85+1), $J85/(($F85*($F85+1)/2)-(($E85-1)*($E85-1+1)/2))*AS$2), 0)+IF(IF(time+1&gt;=AT$2, $K85/time_cap/(time+1)*AS$2, 0) = 0, $K85/(time_cap),0)),0)</f>
        <v/>
      </c>
      <c r="AT85" s="4395">
        <f>IFERROR(IF((time+time_cap)&lt;AT$2, 0,IF(AND(time+1&gt;=AU$2, $E85&lt;AU$2), IF($I85= "I", $J85/($F85-$E85+1), $J85/(($F85*($F85+1)/2)-(($E85-1)*($E85-1+1)/2))*AT$2), 0)+IF(IF(time+1&gt;=AU$2, $K85/time_cap/(time+1)*AT$2, 0) = 0, $K85/(time_cap),0)),0)</f>
        <v/>
      </c>
      <c r="AU85" s="4395">
        <f>IFERROR(IF((time+time_cap)&lt;AU$2, 0,IF(AND(time+1&gt;=AV$2, $E85&lt;AV$2), IF($I85= "I", $J85/($F85-$E85+1), $J85/(($F85*($F85+1)/2)-(($E85-1)*($E85-1+1)/2))*AU$2), 0)+IF(IF(time+1&gt;=AV$2, $K85/time_cap/(time+1)*AU$2, 0) = 0, $K85/(time_cap),0)),0)</f>
        <v/>
      </c>
      <c r="AV85" s="4395">
        <f>IFERROR(IF((time+time_cap)&lt;AV$2, 0,IF(AND(time+1&gt;=AW$2, $E85&lt;AW$2), IF($I85= "I", $J85/($F85-$E85+1), $J85/(($F85*($F85+1)/2)-(($E85-1)*($E85-1+1)/2))*AV$2), 0)+IF(IF(time+1&gt;=AW$2, $K85/time_cap/(time+1)*AV$2, 0) = 0, $K85/(time_cap),0)),0)</f>
        <v/>
      </c>
      <c r="AW85" s="4395">
        <f>IFERROR(IF((time+time_cap)&lt;AW$2, 0,IF(AND(time+1&gt;=AX$2, $E85&lt;AX$2), IF($I85= "I", $J85/($F85-$E85+1), $J85/(($F85*($F85+1)/2)-(($E85-1)*($E85-1+1)/2))*AW$2), 0)+IF(IF(time+1&gt;=AX$2, $K85/time_cap/(time+1)*AW$2, 0) = 0, $K85/(time_cap),0)),0)</f>
        <v/>
      </c>
      <c r="AX85" s="4395">
        <f>IFERROR(IF((time+time_cap)&lt;AX$2, 0,IF(AND(time+1&gt;=AY$2, $E85&lt;AY$2), IF($I85= "I", $J85/($F85-$E85+1), $J85/(($F85*($F85+1)/2)-(($E85-1)*($E85-1+1)/2))*AX$2), 0)+IF(IF(time+1&gt;=AY$2, $K85/time_cap/(time+1)*AX$2, 0) = 0, $K85/(time_cap),0)),0)</f>
        <v/>
      </c>
      <c r="AY85" s="4395">
        <f>IFERROR(IF((time+time_cap)&lt;AY$2, 0,IF(AND(time+1&gt;=AZ$2, $E85&lt;AZ$2), IF($I85= "I", $J85/($F85-$E85+1), $J85/(($F85*($F85+1)/2)-(($E85-1)*($E85-1+1)/2))*AY$2), 0)+IF(IF(time+1&gt;=AZ$2, $K85/time_cap/(time+1)*AY$2, 0) = 0, $K85/(time_cap),0)),0)</f>
        <v/>
      </c>
      <c r="AZ85" s="4395">
        <f>IFERROR(IF((time+time_cap)&lt;AZ$2, 0,IF(AND(time+1&gt;=BA$2, $E85&lt;BA$2), IF($I85= "I", $J85/($F85-$E85+1), $J85/(($F85*($F85+1)/2)-(($E85-1)*($E85-1+1)/2))*AZ$2), 0)+IF(IF(time+1&gt;=BA$2, $K85/time_cap/(time+1)*AZ$2, 0) = 0, $K85/(time_cap),0)),0)</f>
        <v/>
      </c>
      <c r="BA85" s="4395">
        <f>IFERROR(IF((time+time_cap)&lt;BA$2, 0,IF(AND(time+1&gt;=BB$2, $E85&lt;BB$2), IF($I85= "I", $J85/($F85-$E85+1), $J85/(($F85*($F85+1)/2)-(($E85-1)*($E85-1+1)/2))*BA$2), 0)+IF(IF(time+1&gt;=BB$2, $K85/time_cap/(time+1)*BA$2, 0) = 0, $K85/(time_cap),0)),0)</f>
        <v/>
      </c>
      <c r="BB85" s="4395">
        <f>IFERROR(IF((time+time_cap)&lt;BB$2, 0,IF(AND(time+1&gt;=BC$2, $E85&lt;BC$2), IF($I85= "I", $J85/($F85-$E85+1), $J85/(($F85*($F85+1)/2)-(($E85-1)*($E85-1+1)/2))*BB$2), 0)+IF(IF(time+1&gt;=BC$2, $K85/time_cap/(time+1)*BB$2, 0) = 0, $K85/(time_cap),0)),0)</f>
        <v/>
      </c>
      <c r="BC85" s="4395">
        <f>IFERROR(IF((time+time_cap)&lt;BC$2, 0,IF(AND(time+1&gt;=BD$2, $E85&lt;BD$2), IF($I85= "I", $J85/($F85-$E85+1), $J85/(($F85*($F85+1)/2)-(($E85-1)*($E85-1+1)/2))*BC$2), 0)+IF(IF(time+1&gt;=BD$2, $K85/time_cap/(time+1)*BC$2, 0) = 0, $K85/(time_cap),0)),0)</f>
        <v/>
      </c>
      <c r="BD85" s="4395">
        <f>IFERROR(IF((time+time_cap)&lt;BD$2, 0,IF(AND(time+1&gt;=BE$2, $E85&lt;BE$2), IF($I85= "I", $J85/($F85-$E85+1), $J85/(($F85*($F85+1)/2)-(($E85-1)*($E85-1+1)/2))*BD$2), 0)+IF(IF(time+1&gt;=BE$2, $K85/time_cap/(time+1)*BD$2, 0) = 0, $K85/(time_cap),0)),0)</f>
        <v/>
      </c>
      <c r="BE85" s="4395">
        <f>IFERROR(IF((time+time_cap)&lt;BE$2, 0,IF(AND(time+1&gt;=BF$2, $E85&lt;BF$2), IF($I85= "I", $J85/($F85-$E85+1), $J85/(($F85*($F85+1)/2)-(($E85-1)*($E85-1+1)/2))*BE$2), 0)+IF(IF(time+1&gt;=BF$2, $K85/time_cap/(time+1)*BE$2, 0) = 0, $K85/(time_cap),0)),0)</f>
        <v/>
      </c>
      <c r="BF85" s="4395">
        <f>IFERROR(IF((time+time_cap)&lt;BF$2, 0,IF(AND(time+1&gt;=BG$2, $E85&lt;BG$2), IF($I85= "I", $J85/($F85-$E85+1), $J85/(($F85*($F85+1)/2)-(($E85-1)*($E85-1+1)/2))*BF$2), 0)+IF(IF(time+1&gt;=BG$2, $K85/time_cap/(time+1)*BF$2, 0) = 0, $K85/(time_cap),0)),0)</f>
        <v/>
      </c>
      <c r="BG85" s="4395">
        <f>IFERROR(IF((time+time_cap)&lt;BG$2, 0,IF(AND(time+1&gt;=BH$2, $E85&lt;BH$2), IF($I85= "I", $J85/($F85-$E85+1), $J85/(($F85*($F85+1)/2)-(($E85-1)*($E85-1+1)/2))*BG$2), 0)+IF(IF(time+1&gt;=BH$2, $K85/time_cap/(time+1)*BG$2, 0) = 0, $K85/(time_cap),0)),0)</f>
        <v/>
      </c>
      <c r="BH85" s="4395">
        <f>IFERROR(IF((time+time_cap)&lt;BH$2, 0,IF(AND(time+1&gt;=BI$2, $E85&lt;BI$2), IF($I85= "I", $J85/($F85-$E85+1), $J85/(($F85*($F85+1)/2)-(($E85-1)*($E85-1+1)/2))*BH$2), 0)+IF(IF(time+1&gt;=BI$2, $K85/time_cap/(time+1)*BH$2, 0) = 0, $K85/(time_cap),0)),0)</f>
        <v/>
      </c>
      <c r="BI85" s="4395">
        <f>IFERROR(IF((time+time_cap)&lt;BI$2, 0,IF(AND(time+1&gt;=BJ$2, $E85&lt;BJ$2), IF($I85= "I", $J85/($F85-$E85+1), $J85/(($F85*($F85+1)/2)-(($E85-1)*($E85-1+1)/2))*BI$2), 0)+IF(IF(time+1&gt;=BJ$2, $K85/time_cap/(time+1)*BI$2, 0) = 0, $K85/(time_cap),0)),0)</f>
        <v/>
      </c>
      <c r="BJ85" s="4395">
        <f>IFERROR(IF((time+time_cap)&lt;BJ$2, 0,IF(AND(time+1&gt;=BK$2, $E85&lt;BK$2), IF($I85= "I", $J85/($F85-$E85+1), $J85/(($F85*($F85+1)/2)-(($E85-1)*($E85-1+1)/2))*BJ$2), 0)+IF(IF(time+1&gt;=BK$2, $K85/time_cap/(time+1)*BJ$2, 0) = 0, $K85/(time_cap),0)),0)</f>
        <v/>
      </c>
      <c r="BK85" s="4395" t="n"/>
      <c r="BL85" s="4395" t="n"/>
      <c r="BM85" s="4395" t="n"/>
      <c r="BN85" s="4395" t="n"/>
      <c r="BO85" s="4395" t="n"/>
      <c r="BP85" s="4395" t="n"/>
      <c r="BQ85" s="4395" t="n"/>
      <c r="BR85" s="4395" t="n"/>
      <c r="BS85" s="4395" t="n"/>
      <c r="BT85" s="4395" t="n"/>
      <c r="BU85" s="4395" t="n"/>
      <c r="BV85" s="4395" t="n"/>
      <c r="BW85" s="4395" t="n"/>
      <c r="BX85" s="4395" t="n"/>
      <c r="BY85" s="4395" t="n"/>
      <c r="BZ85" s="4395" t="n"/>
      <c r="CA85" s="4395" t="n"/>
      <c r="CB85" s="4395" t="n"/>
      <c r="CC85" s="4395" t="n"/>
      <c r="CD85" s="4395" t="n"/>
      <c r="CE85" s="4395" t="n"/>
      <c r="CF85" s="4395" t="n"/>
      <c r="CG85" s="4395" t="n"/>
      <c r="CH85" s="4395" t="n"/>
      <c r="CI85" s="4395" t="n"/>
      <c r="CJ85" s="4395" t="n"/>
      <c r="CK85" s="4395" t="n"/>
      <c r="CL85" s="4395" t="n"/>
      <c r="CM85" s="4395" t="n"/>
      <c r="CN85" s="4395" t="n"/>
      <c r="CO85" s="4395" t="n"/>
      <c r="CP85" s="4395" t="n"/>
      <c r="CQ85" s="4395" t="n"/>
      <c r="CR85" s="4395" t="n"/>
      <c r="CS85" s="4395" t="n"/>
      <c r="CT85" s="4395" t="n"/>
      <c r="CU85" s="4395" t="n"/>
      <c r="CV85" s="4395" t="n"/>
      <c r="CW85" s="4395" t="n"/>
      <c r="CX85" s="4395" t="n"/>
      <c r="CY85" s="4395" t="n"/>
      <c r="CZ85" s="4395" t="n"/>
      <c r="DA85" s="4395" t="n"/>
      <c r="DB85" s="4395" t="n"/>
      <c r="DC85" s="4395" t="n"/>
      <c r="DD85" s="4395" t="n"/>
      <c r="DE85" s="4395" t="n"/>
      <c r="DF85" s="4395" t="n"/>
      <c r="DG85" s="4395" t="n"/>
      <c r="DH85" s="4395" t="n"/>
    </row>
    <row r="86" ht="16" customHeight="1">
      <c r="A86" t="inlineStr">
        <is>
          <t>Grassland</t>
        </is>
      </c>
      <c r="B86">
        <f>'4.Grassland'!D29</f>
        <v/>
      </c>
      <c r="C86">
        <f>'4.Grassland'!G29</f>
        <v/>
      </c>
      <c r="D86">
        <f>'4.Grassland'!AG29</f>
        <v/>
      </c>
      <c r="E86">
        <f>IF('4.Grassland'!BR29&lt;&gt;0,'4.Grassland'!BR29, '4.Grassland'!BQ29)</f>
        <v/>
      </c>
      <c r="F86">
        <f>time</f>
        <v/>
      </c>
      <c r="G86" s="4395">
        <f>'4.Grassland'!Y29</f>
        <v/>
      </c>
      <c r="H86" s="4395">
        <f>'4.Grassland'!AA29</f>
        <v/>
      </c>
      <c r="I86" s="4395">
        <f>IF(OR(H86="I", G86="I"), "I", IF(OR(H86="E", G86="E"), "E", "D"))</f>
        <v/>
      </c>
      <c r="J86" s="4395">
        <f>((D86/(time_cap+((F86-E86+1)*VLOOKUP(I86,list!$I$48:$K$50,3, FALSE))))*(F86-E86+1)*VLOOKUP(I86,list!$I$48:$K$50,3, FALSE))</f>
        <v/>
      </c>
      <c r="K86" s="4395">
        <f>((D86/(time_cap+((F86-E86+1)*VLOOKUP(I86,list!$I$48:$K$50,3, FALSE))))*time_cap)</f>
        <v/>
      </c>
      <c r="M86" s="4395">
        <f>IFERROR(IF((time+time_cap)&lt;M$2, 0,IF(AND(time+1&gt;=N$2, $E86&lt;N$2), IF($I86= "I", $J86/($F86-$E86+1), $J86/(($F86*($F86+1)/2)-(($E86-1)*($E86-1+1)/2))*M$2), 0)+IF(IF(time+1&gt;=N$2, $K86/time_cap/(time+1)*M$2, 0) = 0, $K86/(time_cap),0)),0)</f>
        <v/>
      </c>
      <c r="N86" s="4395">
        <f>IFERROR(IF((time+time_cap)&lt;N$2, 0,IF(AND(time+1&gt;=O$2, $E86&lt;O$2), IF($I86= "I", $J86/($F86-$E86+1), $J86/(($F86*($F86+1)/2)-(($E86-1)*($E86-1+1)/2))*N$2), 0)+IF(IF(time+1&gt;=O$2, $K86/time_cap/(time+1)*N$2, 0) = 0, $K86/(time_cap),0)),0)</f>
        <v/>
      </c>
      <c r="O86" s="4395">
        <f>IFERROR(IF((time+time_cap)&lt;O$2, 0,IF(AND(time+1&gt;=P$2, $E86&lt;P$2), IF($I86= "I", $J86/($F86-$E86+1), $J86/(($F86*($F86+1)/2)-(($E86-1)*($E86-1+1)/2))*O$2), 0)+IF(IF(time+1&gt;=P$2, $K86/time_cap/(time+1)*O$2, 0) = 0, $K86/(time_cap),0)),0)</f>
        <v/>
      </c>
      <c r="P86" s="4395">
        <f>IFERROR(IF((time+time_cap)&lt;P$2, 0,IF(AND(time+1&gt;=Q$2, $E86&lt;Q$2), IF($I86= "I", $J86/($F86-$E86+1), $J86/(($F86*($F86+1)/2)-(($E86-1)*($E86-1+1)/2))*P$2), 0)+IF(IF(time+1&gt;=Q$2, $K86/time_cap/(time+1)*P$2, 0) = 0, $K86/(time_cap),0)),0)</f>
        <v/>
      </c>
      <c r="Q86" s="4395">
        <f>IFERROR(IF((time+time_cap)&lt;Q$2, 0,IF(AND(time+1&gt;=R$2, $E86&lt;R$2), IF($I86= "I", $J86/($F86-$E86+1), $J86/(($F86*($F86+1)/2)-(($E86-1)*($E86-1+1)/2))*Q$2), 0)+IF(IF(time+1&gt;=R$2, $K86/time_cap/(time+1)*Q$2, 0) = 0, $K86/(time_cap),0)),0)</f>
        <v/>
      </c>
      <c r="R86" s="4395">
        <f>IFERROR(IF((time+time_cap)&lt;R$2, 0,IF(AND(time+1&gt;=S$2, $E86&lt;S$2), IF($I86= "I", $J86/($F86-$E86+1), $J86/(($F86*($F86+1)/2)-(($E86-1)*($E86-1+1)/2))*R$2), 0)+IF(IF(time+1&gt;=S$2, $K86/time_cap/(time+1)*R$2, 0) = 0, $K86/(time_cap),0)),0)</f>
        <v/>
      </c>
      <c r="S86" s="4395">
        <f>IFERROR(IF((time+time_cap)&lt;S$2, 0,IF(AND(time+1&gt;=T$2, $E86&lt;T$2), IF($I86= "I", $J86/($F86-$E86+1), $J86/(($F86*($F86+1)/2)-(($E86-1)*($E86-1+1)/2))*S$2), 0)+IF(IF(time+1&gt;=T$2, $K86/time_cap/(time+1)*S$2, 0) = 0, $K86/(time_cap),0)),0)</f>
        <v/>
      </c>
      <c r="T86" s="4395">
        <f>IFERROR(IF((time+time_cap)&lt;T$2, 0,IF(AND(time+1&gt;=U$2, $E86&lt;U$2), IF($I86= "I", $J86/($F86-$E86+1), $J86/(($F86*($F86+1)/2)-(($E86-1)*($E86-1+1)/2))*T$2), 0)+IF(IF(time+1&gt;=U$2, $K86/time_cap/(time+1)*T$2, 0) = 0, $K86/(time_cap),0)),0)</f>
        <v/>
      </c>
      <c r="U86" s="4395">
        <f>IFERROR(IF((time+time_cap)&lt;U$2, 0,IF(AND(time+1&gt;=V$2, $E86&lt;V$2), IF($I86= "I", $J86/($F86-$E86+1), $J86/(($F86*($F86+1)/2)-(($E86-1)*($E86-1+1)/2))*U$2), 0)+IF(IF(time+1&gt;=V$2, $K86/time_cap/(time+1)*U$2, 0) = 0, $K86/(time_cap),0)),0)</f>
        <v/>
      </c>
      <c r="V86" s="4395">
        <f>IFERROR(IF((time+time_cap)&lt;V$2, 0,IF(AND(time+1&gt;=W$2, $E86&lt;W$2), IF($I86= "I", $J86/($F86-$E86+1), $J86/(($F86*($F86+1)/2)-(($E86-1)*($E86-1+1)/2))*V$2), 0)+IF(IF(time+1&gt;=W$2, $K86/time_cap/(time+1)*V$2, 0) = 0, $K86/(time_cap),0)),0)</f>
        <v/>
      </c>
      <c r="W86" s="4395">
        <f>IFERROR(IF((time+time_cap)&lt;W$2, 0,IF(AND(time+1&gt;=X$2, $E86&lt;X$2), IF($I86= "I", $J86/($F86-$E86+1), $J86/(($F86*($F86+1)/2)-(($E86-1)*($E86-1+1)/2))*W$2), 0)+IF(IF(time+1&gt;=X$2, $K86/time_cap/(time+1)*W$2, 0) = 0, $K86/(time_cap),0)),0)</f>
        <v/>
      </c>
      <c r="X86" s="4395">
        <f>IFERROR(IF((time+time_cap)&lt;X$2, 0,IF(AND(time+1&gt;=Y$2, $E86&lt;Y$2), IF($I86= "I", $J86/($F86-$E86+1), $J86/(($F86*($F86+1)/2)-(($E86-1)*($E86-1+1)/2))*X$2), 0)+IF(IF(time+1&gt;=Y$2, $K86/time_cap/(time+1)*X$2, 0) = 0, $K86/(time_cap),0)),0)</f>
        <v/>
      </c>
      <c r="Y86" s="4395">
        <f>IFERROR(IF((time+time_cap)&lt;Y$2, 0,IF(AND(time+1&gt;=Z$2, $E86&lt;Z$2), IF($I86= "I", $J86/($F86-$E86+1), $J86/(($F86*($F86+1)/2)-(($E86-1)*($E86-1+1)/2))*Y$2), 0)+IF(IF(time+1&gt;=Z$2, $K86/time_cap/(time+1)*Y$2, 0) = 0, $K86/(time_cap),0)),0)</f>
        <v/>
      </c>
      <c r="Z86" s="4395">
        <f>IFERROR(IF((time+time_cap)&lt;Z$2, 0,IF(AND(time+1&gt;=AA$2, $E86&lt;AA$2), IF($I86= "I", $J86/($F86-$E86+1), $J86/(($F86*($F86+1)/2)-(($E86-1)*($E86-1+1)/2))*Z$2), 0)+IF(IF(time+1&gt;=AA$2, $K86/time_cap/(time+1)*Z$2, 0) = 0, $K86/(time_cap),0)),0)</f>
        <v/>
      </c>
      <c r="AA86" s="4395">
        <f>IFERROR(IF((time+time_cap)&lt;AA$2, 0,IF(AND(time+1&gt;=AB$2, $E86&lt;AB$2), IF($I86= "I", $J86/($F86-$E86+1), $J86/(($F86*($F86+1)/2)-(($E86-1)*($E86-1+1)/2))*AA$2), 0)+IF(IF(time+1&gt;=AB$2, $K86/time_cap/(time+1)*AA$2, 0) = 0, $K86/(time_cap),0)),0)</f>
        <v/>
      </c>
      <c r="AB86" s="4395">
        <f>IFERROR(IF((time+time_cap)&lt;AB$2, 0,IF(AND(time+1&gt;=AC$2, $E86&lt;AC$2), IF($I86= "I", $J86/($F86-$E86+1), $J86/(($F86*($F86+1)/2)-(($E86-1)*($E86-1+1)/2))*AB$2), 0)+IF(IF(time+1&gt;=AC$2, $K86/time_cap/(time+1)*AB$2, 0) = 0, $K86/(time_cap),0)),0)</f>
        <v/>
      </c>
      <c r="AC86" s="4395">
        <f>IFERROR(IF((time+time_cap)&lt;AC$2, 0,IF(AND(time+1&gt;=AD$2, $E86&lt;AD$2), IF($I86= "I", $J86/($F86-$E86+1), $J86/(($F86*($F86+1)/2)-(($E86-1)*($E86-1+1)/2))*AC$2), 0)+IF(IF(time+1&gt;=AD$2, $K86/time_cap/(time+1)*AC$2, 0) = 0, $K86/(time_cap),0)),0)</f>
        <v/>
      </c>
      <c r="AD86" s="4395">
        <f>IFERROR(IF((time+time_cap)&lt;AD$2, 0,IF(AND(time+1&gt;=AE$2, $E86&lt;AE$2), IF($I86= "I", $J86/($F86-$E86+1), $J86/(($F86*($F86+1)/2)-(($E86-1)*($E86-1+1)/2))*AD$2), 0)+IF(IF(time+1&gt;=AE$2, $K86/time_cap/(time+1)*AD$2, 0) = 0, $K86/(time_cap),0)),0)</f>
        <v/>
      </c>
      <c r="AE86" s="4395">
        <f>IFERROR(IF((time+time_cap)&lt;AE$2, 0,IF(AND(time+1&gt;=AF$2, $E86&lt;AF$2), IF($I86= "I", $J86/($F86-$E86+1), $J86/(($F86*($F86+1)/2)-(($E86-1)*($E86-1+1)/2))*AE$2), 0)+IF(IF(time+1&gt;=AF$2, $K86/time_cap/(time+1)*AE$2, 0) = 0, $K86/(time_cap),0)),0)</f>
        <v/>
      </c>
      <c r="AF86" s="4395">
        <f>IFERROR(IF((time+time_cap)&lt;AF$2, 0,IF(AND(time+1&gt;=AG$2, $E86&lt;AG$2), IF($I86= "I", $J86/($F86-$E86+1), $J86/(($F86*($F86+1)/2)-(($E86-1)*($E86-1+1)/2))*AF$2), 0)+IF(IF(time+1&gt;=AG$2, $K86/time_cap/(time+1)*AF$2, 0) = 0, $K86/(time_cap),0)),0)</f>
        <v/>
      </c>
      <c r="AG86" s="4395">
        <f>IFERROR(IF((time+time_cap)&lt;AG$2, 0,IF(AND(time+1&gt;=AH$2, $E86&lt;AH$2), IF($I86= "I", $J86/($F86-$E86+1), $J86/(($F86*($F86+1)/2)-(($E86-1)*($E86-1+1)/2))*AG$2), 0)+IF(IF(time+1&gt;=AH$2, $K86/time_cap/(time+1)*AG$2, 0) = 0, $K86/(time_cap),0)),0)</f>
        <v/>
      </c>
      <c r="AH86" s="4395">
        <f>IFERROR(IF((time+time_cap)&lt;AH$2, 0,IF(AND(time+1&gt;=AI$2, $E86&lt;AI$2), IF($I86= "I", $J86/($F86-$E86+1), $J86/(($F86*($F86+1)/2)-(($E86-1)*($E86-1+1)/2))*AH$2), 0)+IF(IF(time+1&gt;=AI$2, $K86/time_cap/(time+1)*AH$2, 0) = 0, $K86/(time_cap),0)),0)</f>
        <v/>
      </c>
      <c r="AI86" s="4395">
        <f>IFERROR(IF((time+time_cap)&lt;AI$2, 0,IF(AND(time+1&gt;=AJ$2, $E86&lt;AJ$2), IF($I86= "I", $J86/($F86-$E86+1), $J86/(($F86*($F86+1)/2)-(($E86-1)*($E86-1+1)/2))*AI$2), 0)+IF(IF(time+1&gt;=AJ$2, $K86/time_cap/(time+1)*AI$2, 0) = 0, $K86/(time_cap),0)),0)</f>
        <v/>
      </c>
      <c r="AJ86" s="4395">
        <f>IFERROR(IF((time+time_cap)&lt;AJ$2, 0,IF(AND(time+1&gt;=AK$2, $E86&lt;AK$2), IF($I86= "I", $J86/($F86-$E86+1), $J86/(($F86*($F86+1)/2)-(($E86-1)*($E86-1+1)/2))*AJ$2), 0)+IF(IF(time+1&gt;=AK$2, $K86/time_cap/(time+1)*AJ$2, 0) = 0, $K86/(time_cap),0)),0)</f>
        <v/>
      </c>
      <c r="AK86" s="4395">
        <f>IFERROR(IF((time+time_cap)&lt;AK$2, 0,IF(AND(time+1&gt;=AL$2, $E86&lt;AL$2), IF($I86= "I", $J86/($F86-$E86+1), $J86/(($F86*($F86+1)/2)-(($E86-1)*($E86-1+1)/2))*AK$2), 0)+IF(IF(time+1&gt;=AL$2, $K86/time_cap/(time+1)*AK$2, 0) = 0, $K86/(time_cap),0)),0)</f>
        <v/>
      </c>
      <c r="AL86" s="4395">
        <f>IFERROR(IF((time+time_cap)&lt;AL$2, 0,IF(AND(time+1&gt;=AM$2, $E86&lt;AM$2), IF($I86= "I", $J86/($F86-$E86+1), $J86/(($F86*($F86+1)/2)-(($E86-1)*($E86-1+1)/2))*AL$2), 0)+IF(IF(time+1&gt;=AM$2, $K86/time_cap/(time+1)*AL$2, 0) = 0, $K86/(time_cap),0)),0)</f>
        <v/>
      </c>
      <c r="AM86" s="4395">
        <f>IFERROR(IF((time+time_cap)&lt;AM$2, 0,IF(AND(time+1&gt;=AN$2, $E86&lt;AN$2), IF($I86= "I", $J86/($F86-$E86+1), $J86/(($F86*($F86+1)/2)-(($E86-1)*($E86-1+1)/2))*AM$2), 0)+IF(IF(time+1&gt;=AN$2, $K86/time_cap/(time+1)*AM$2, 0) = 0, $K86/(time_cap),0)),0)</f>
        <v/>
      </c>
      <c r="AN86" s="4395">
        <f>IFERROR(IF((time+time_cap)&lt;AN$2, 0,IF(AND(time+1&gt;=AO$2, $E86&lt;AO$2), IF($I86= "I", $J86/($F86-$E86+1), $J86/(($F86*($F86+1)/2)-(($E86-1)*($E86-1+1)/2))*AN$2), 0)+IF(IF(time+1&gt;=AO$2, $K86/time_cap/(time+1)*AN$2, 0) = 0, $K86/(time_cap),0)),0)</f>
        <v/>
      </c>
      <c r="AO86" s="4395">
        <f>IFERROR(IF((time+time_cap)&lt;AO$2, 0,IF(AND(time+1&gt;=AP$2, $E86&lt;AP$2), IF($I86= "I", $J86/($F86-$E86+1), $J86/(($F86*($F86+1)/2)-(($E86-1)*($E86-1+1)/2))*AO$2), 0)+IF(IF(time+1&gt;=AP$2, $K86/time_cap/(time+1)*AO$2, 0) = 0, $K86/(time_cap),0)),0)</f>
        <v/>
      </c>
      <c r="AP86" s="4395">
        <f>IFERROR(IF((time+time_cap)&lt;AP$2, 0,IF(AND(time+1&gt;=AQ$2, $E86&lt;AQ$2), IF($I86= "I", $J86/($F86-$E86+1), $J86/(($F86*($F86+1)/2)-(($E86-1)*($E86-1+1)/2))*AP$2), 0)+IF(IF(time+1&gt;=AQ$2, $K86/time_cap/(time+1)*AP$2, 0) = 0, $K86/(time_cap),0)),0)</f>
        <v/>
      </c>
      <c r="AQ86" s="4395">
        <f>IFERROR(IF((time+time_cap)&lt;AQ$2, 0,IF(AND(time+1&gt;=AR$2, $E86&lt;AR$2), IF($I86= "I", $J86/($F86-$E86+1), $J86/(($F86*($F86+1)/2)-(($E86-1)*($E86-1+1)/2))*AQ$2), 0)+IF(IF(time+1&gt;=AR$2, $K86/time_cap/(time+1)*AQ$2, 0) = 0, $K86/(time_cap),0)),0)</f>
        <v/>
      </c>
      <c r="AR86" s="4395">
        <f>IFERROR(IF((time+time_cap)&lt;AR$2, 0,IF(AND(time+1&gt;=AS$2, $E86&lt;AS$2), IF($I86= "I", $J86/($F86-$E86+1), $J86/(($F86*($F86+1)/2)-(($E86-1)*($E86-1+1)/2))*AR$2), 0)+IF(IF(time+1&gt;=AS$2, $K86/time_cap/(time+1)*AR$2, 0) = 0, $K86/(time_cap),0)),0)</f>
        <v/>
      </c>
      <c r="AS86" s="4395">
        <f>IFERROR(IF((time+time_cap)&lt;AS$2, 0,IF(AND(time+1&gt;=AT$2, $E86&lt;AT$2), IF($I86= "I", $J86/($F86-$E86+1), $J86/(($F86*($F86+1)/2)-(($E86-1)*($E86-1+1)/2))*AS$2), 0)+IF(IF(time+1&gt;=AT$2, $K86/time_cap/(time+1)*AS$2, 0) = 0, $K86/(time_cap),0)),0)</f>
        <v/>
      </c>
      <c r="AT86" s="4395">
        <f>IFERROR(IF((time+time_cap)&lt;AT$2, 0,IF(AND(time+1&gt;=AU$2, $E86&lt;AU$2), IF($I86= "I", $J86/($F86-$E86+1), $J86/(($F86*($F86+1)/2)-(($E86-1)*($E86-1+1)/2))*AT$2), 0)+IF(IF(time+1&gt;=AU$2, $K86/time_cap/(time+1)*AT$2, 0) = 0, $K86/(time_cap),0)),0)</f>
        <v/>
      </c>
      <c r="AU86" s="4395">
        <f>IFERROR(IF((time+time_cap)&lt;AU$2, 0,IF(AND(time+1&gt;=AV$2, $E86&lt;AV$2), IF($I86= "I", $J86/($F86-$E86+1), $J86/(($F86*($F86+1)/2)-(($E86-1)*($E86-1+1)/2))*AU$2), 0)+IF(IF(time+1&gt;=AV$2, $K86/time_cap/(time+1)*AU$2, 0) = 0, $K86/(time_cap),0)),0)</f>
        <v/>
      </c>
      <c r="AV86" s="4395">
        <f>IFERROR(IF((time+time_cap)&lt;AV$2, 0,IF(AND(time+1&gt;=AW$2, $E86&lt;AW$2), IF($I86= "I", $J86/($F86-$E86+1), $J86/(($F86*($F86+1)/2)-(($E86-1)*($E86-1+1)/2))*AV$2), 0)+IF(IF(time+1&gt;=AW$2, $K86/time_cap/(time+1)*AV$2, 0) = 0, $K86/(time_cap),0)),0)</f>
        <v/>
      </c>
      <c r="AW86" s="4395">
        <f>IFERROR(IF((time+time_cap)&lt;AW$2, 0,IF(AND(time+1&gt;=AX$2, $E86&lt;AX$2), IF($I86= "I", $J86/($F86-$E86+1), $J86/(($F86*($F86+1)/2)-(($E86-1)*($E86-1+1)/2))*AW$2), 0)+IF(IF(time+1&gt;=AX$2, $K86/time_cap/(time+1)*AW$2, 0) = 0, $K86/(time_cap),0)),0)</f>
        <v/>
      </c>
      <c r="AX86" s="4395">
        <f>IFERROR(IF((time+time_cap)&lt;AX$2, 0,IF(AND(time+1&gt;=AY$2, $E86&lt;AY$2), IF($I86= "I", $J86/($F86-$E86+1), $J86/(($F86*($F86+1)/2)-(($E86-1)*($E86-1+1)/2))*AX$2), 0)+IF(IF(time+1&gt;=AY$2, $K86/time_cap/(time+1)*AX$2, 0) = 0, $K86/(time_cap),0)),0)</f>
        <v/>
      </c>
      <c r="AY86" s="4395">
        <f>IFERROR(IF((time+time_cap)&lt;AY$2, 0,IF(AND(time+1&gt;=AZ$2, $E86&lt;AZ$2), IF($I86= "I", $J86/($F86-$E86+1), $J86/(($F86*($F86+1)/2)-(($E86-1)*($E86-1+1)/2))*AY$2), 0)+IF(IF(time+1&gt;=AZ$2, $K86/time_cap/(time+1)*AY$2, 0) = 0, $K86/(time_cap),0)),0)</f>
        <v/>
      </c>
      <c r="AZ86" s="4395">
        <f>IFERROR(IF((time+time_cap)&lt;AZ$2, 0,IF(AND(time+1&gt;=BA$2, $E86&lt;BA$2), IF($I86= "I", $J86/($F86-$E86+1), $J86/(($F86*($F86+1)/2)-(($E86-1)*($E86-1+1)/2))*AZ$2), 0)+IF(IF(time+1&gt;=BA$2, $K86/time_cap/(time+1)*AZ$2, 0) = 0, $K86/(time_cap),0)),0)</f>
        <v/>
      </c>
      <c r="BA86" s="4395">
        <f>IFERROR(IF((time+time_cap)&lt;BA$2, 0,IF(AND(time+1&gt;=BB$2, $E86&lt;BB$2), IF($I86= "I", $J86/($F86-$E86+1), $J86/(($F86*($F86+1)/2)-(($E86-1)*($E86-1+1)/2))*BA$2), 0)+IF(IF(time+1&gt;=BB$2, $K86/time_cap/(time+1)*BA$2, 0) = 0, $K86/(time_cap),0)),0)</f>
        <v/>
      </c>
      <c r="BB86" s="4395">
        <f>IFERROR(IF((time+time_cap)&lt;BB$2, 0,IF(AND(time+1&gt;=BC$2, $E86&lt;BC$2), IF($I86= "I", $J86/($F86-$E86+1), $J86/(($F86*($F86+1)/2)-(($E86-1)*($E86-1+1)/2))*BB$2), 0)+IF(IF(time+1&gt;=BC$2, $K86/time_cap/(time+1)*BB$2, 0) = 0, $K86/(time_cap),0)),0)</f>
        <v/>
      </c>
      <c r="BC86" s="4395">
        <f>IFERROR(IF((time+time_cap)&lt;BC$2, 0,IF(AND(time+1&gt;=BD$2, $E86&lt;BD$2), IF($I86= "I", $J86/($F86-$E86+1), $J86/(($F86*($F86+1)/2)-(($E86-1)*($E86-1+1)/2))*BC$2), 0)+IF(IF(time+1&gt;=BD$2, $K86/time_cap/(time+1)*BC$2, 0) = 0, $K86/(time_cap),0)),0)</f>
        <v/>
      </c>
      <c r="BD86" s="4395">
        <f>IFERROR(IF((time+time_cap)&lt;BD$2, 0,IF(AND(time+1&gt;=BE$2, $E86&lt;BE$2), IF($I86= "I", $J86/($F86-$E86+1), $J86/(($F86*($F86+1)/2)-(($E86-1)*($E86-1+1)/2))*BD$2), 0)+IF(IF(time+1&gt;=BE$2, $K86/time_cap/(time+1)*BD$2, 0) = 0, $K86/(time_cap),0)),0)</f>
        <v/>
      </c>
      <c r="BE86" s="4395">
        <f>IFERROR(IF((time+time_cap)&lt;BE$2, 0,IF(AND(time+1&gt;=BF$2, $E86&lt;BF$2), IF($I86= "I", $J86/($F86-$E86+1), $J86/(($F86*($F86+1)/2)-(($E86-1)*($E86-1+1)/2))*BE$2), 0)+IF(IF(time+1&gt;=BF$2, $K86/time_cap/(time+1)*BE$2, 0) = 0, $K86/(time_cap),0)),0)</f>
        <v/>
      </c>
      <c r="BF86" s="4395">
        <f>IFERROR(IF((time+time_cap)&lt;BF$2, 0,IF(AND(time+1&gt;=BG$2, $E86&lt;BG$2), IF($I86= "I", $J86/($F86-$E86+1), $J86/(($F86*($F86+1)/2)-(($E86-1)*($E86-1+1)/2))*BF$2), 0)+IF(IF(time+1&gt;=BG$2, $K86/time_cap/(time+1)*BF$2, 0) = 0, $K86/(time_cap),0)),0)</f>
        <v/>
      </c>
      <c r="BG86" s="4395">
        <f>IFERROR(IF((time+time_cap)&lt;BG$2, 0,IF(AND(time+1&gt;=BH$2, $E86&lt;BH$2), IF($I86= "I", $J86/($F86-$E86+1), $J86/(($F86*($F86+1)/2)-(($E86-1)*($E86-1+1)/2))*BG$2), 0)+IF(IF(time+1&gt;=BH$2, $K86/time_cap/(time+1)*BG$2, 0) = 0, $K86/(time_cap),0)),0)</f>
        <v/>
      </c>
      <c r="BH86" s="4395">
        <f>IFERROR(IF((time+time_cap)&lt;BH$2, 0,IF(AND(time+1&gt;=BI$2, $E86&lt;BI$2), IF($I86= "I", $J86/($F86-$E86+1), $J86/(($F86*($F86+1)/2)-(($E86-1)*($E86-1+1)/2))*BH$2), 0)+IF(IF(time+1&gt;=BI$2, $K86/time_cap/(time+1)*BH$2, 0) = 0, $K86/(time_cap),0)),0)</f>
        <v/>
      </c>
      <c r="BI86" s="4395">
        <f>IFERROR(IF((time+time_cap)&lt;BI$2, 0,IF(AND(time+1&gt;=BJ$2, $E86&lt;BJ$2), IF($I86= "I", $J86/($F86-$E86+1), $J86/(($F86*($F86+1)/2)-(($E86-1)*($E86-1+1)/2))*BI$2), 0)+IF(IF(time+1&gt;=BJ$2, $K86/time_cap/(time+1)*BI$2, 0) = 0, $K86/(time_cap),0)),0)</f>
        <v/>
      </c>
      <c r="BJ86" s="4395">
        <f>IFERROR(IF((time+time_cap)&lt;BJ$2, 0,IF(AND(time+1&gt;=BK$2, $E86&lt;BK$2), IF($I86= "I", $J86/($F86-$E86+1), $J86/(($F86*($F86+1)/2)-(($E86-1)*($E86-1+1)/2))*BJ$2), 0)+IF(IF(time+1&gt;=BK$2, $K86/time_cap/(time+1)*BJ$2, 0) = 0, $K86/(time_cap),0)),0)</f>
        <v/>
      </c>
      <c r="BK86" s="4395" t="n"/>
      <c r="BL86" s="4395" t="n"/>
      <c r="BM86" s="4395" t="n"/>
      <c r="BN86" s="4395" t="n"/>
      <c r="BO86" s="4395" t="n"/>
      <c r="BP86" s="4395" t="n"/>
      <c r="BQ86" s="4395" t="n"/>
      <c r="BR86" s="4395" t="n"/>
      <c r="BS86" s="4395" t="n"/>
      <c r="BT86" s="4395" t="n"/>
      <c r="BU86" s="4395" t="n"/>
      <c r="BV86" s="4395" t="n"/>
      <c r="BW86" s="4395" t="n"/>
      <c r="BX86" s="4395" t="n"/>
      <c r="BY86" s="4395" t="n"/>
      <c r="BZ86" s="4395" t="n"/>
      <c r="CA86" s="4395" t="n"/>
      <c r="CB86" s="4395" t="n"/>
      <c r="CC86" s="4395" t="n"/>
      <c r="CD86" s="4395" t="n"/>
      <c r="CE86" s="4395" t="n"/>
      <c r="CF86" s="4395" t="n"/>
      <c r="CG86" s="4395" t="n"/>
      <c r="CH86" s="4395" t="n"/>
      <c r="CI86" s="4395" t="n"/>
      <c r="CJ86" s="4395" t="n"/>
      <c r="CK86" s="4395" t="n"/>
      <c r="CL86" s="4395" t="n"/>
      <c r="CM86" s="4395" t="n"/>
      <c r="CN86" s="4395" t="n"/>
      <c r="CO86" s="4395" t="n"/>
      <c r="CP86" s="4395" t="n"/>
      <c r="CQ86" s="4395" t="n"/>
      <c r="CR86" s="4395" t="n"/>
      <c r="CS86" s="4395" t="n"/>
      <c r="CT86" s="4395" t="n"/>
      <c r="CU86" s="4395" t="n"/>
      <c r="CV86" s="4395" t="n"/>
      <c r="CW86" s="4395" t="n"/>
      <c r="CX86" s="4395" t="n"/>
      <c r="CY86" s="4395" t="n"/>
      <c r="CZ86" s="4395" t="n"/>
      <c r="DA86" s="4395" t="n"/>
      <c r="DB86" s="4395" t="n"/>
      <c r="DC86" s="4395" t="n"/>
      <c r="DD86" s="4395" t="n"/>
      <c r="DE86" s="4395" t="n"/>
      <c r="DF86" s="4395" t="n"/>
      <c r="DG86" s="4395" t="n"/>
      <c r="DH86" s="4395" t="n"/>
    </row>
    <row r="87" ht="16" customHeight="1">
      <c r="A87" t="inlineStr">
        <is>
          <t>Grassland</t>
        </is>
      </c>
      <c r="B87">
        <f>'4.Grassland'!D30</f>
        <v/>
      </c>
      <c r="C87">
        <f>'4.Grassland'!G30</f>
        <v/>
      </c>
      <c r="D87">
        <f>'4.Grassland'!AG30</f>
        <v/>
      </c>
      <c r="E87">
        <f>IF('4.Grassland'!BR30&lt;&gt;0,'4.Grassland'!BR30, '4.Grassland'!BQ30)</f>
        <v/>
      </c>
      <c r="F87">
        <f>time</f>
        <v/>
      </c>
      <c r="G87" s="4395">
        <f>'4.Grassland'!Y30</f>
        <v/>
      </c>
      <c r="H87" s="4395">
        <f>'4.Grassland'!AA30</f>
        <v/>
      </c>
      <c r="I87" s="4395">
        <f>IF(OR(H87="I", G87="I"), "I", IF(OR(H87="E", G87="E"), "E", "D"))</f>
        <v/>
      </c>
      <c r="J87" s="4395">
        <f>((D87/(time_cap+((F87-E87+1)*VLOOKUP(I87,list!$I$48:$K$50,3, FALSE))))*(F87-E87+1)*VLOOKUP(I87,list!$I$48:$K$50,3, FALSE))</f>
        <v/>
      </c>
      <c r="K87" s="4395">
        <f>((D87/(time_cap+((F87-E87+1)*VLOOKUP(I87,list!$I$48:$K$50,3, FALSE))))*time_cap)</f>
        <v/>
      </c>
      <c r="M87" s="4395">
        <f>IFERROR(IF((time+time_cap)&lt;M$2, 0,IF(AND(time+1&gt;=N$2, $E87&lt;N$2), IF($I87= "I", $J87/($F87-$E87+1), $J87/(($F87*($F87+1)/2)-(($E87-1)*($E87-1+1)/2))*M$2), 0)+IF(IF(time+1&gt;=N$2, $K87/time_cap/(time+1)*M$2, 0) = 0, $K87/(time_cap),0)),0)</f>
        <v/>
      </c>
      <c r="N87" s="4395">
        <f>IFERROR(IF((time+time_cap)&lt;N$2, 0,IF(AND(time+1&gt;=O$2, $E87&lt;O$2), IF($I87= "I", $J87/($F87-$E87+1), $J87/(($F87*($F87+1)/2)-(($E87-1)*($E87-1+1)/2))*N$2), 0)+IF(IF(time+1&gt;=O$2, $K87/time_cap/(time+1)*N$2, 0) = 0, $K87/(time_cap),0)),0)</f>
        <v/>
      </c>
      <c r="O87" s="4395">
        <f>IFERROR(IF((time+time_cap)&lt;O$2, 0,IF(AND(time+1&gt;=P$2, $E87&lt;P$2), IF($I87= "I", $J87/($F87-$E87+1), $J87/(($F87*($F87+1)/2)-(($E87-1)*($E87-1+1)/2))*O$2), 0)+IF(IF(time+1&gt;=P$2, $K87/time_cap/(time+1)*O$2, 0) = 0, $K87/(time_cap),0)),0)</f>
        <v/>
      </c>
      <c r="P87" s="4395">
        <f>IFERROR(IF((time+time_cap)&lt;P$2, 0,IF(AND(time+1&gt;=Q$2, $E87&lt;Q$2), IF($I87= "I", $J87/($F87-$E87+1), $J87/(($F87*($F87+1)/2)-(($E87-1)*($E87-1+1)/2))*P$2), 0)+IF(IF(time+1&gt;=Q$2, $K87/time_cap/(time+1)*P$2, 0) = 0, $K87/(time_cap),0)),0)</f>
        <v/>
      </c>
      <c r="Q87" s="4395">
        <f>IFERROR(IF((time+time_cap)&lt;Q$2, 0,IF(AND(time+1&gt;=R$2, $E87&lt;R$2), IF($I87= "I", $J87/($F87-$E87+1), $J87/(($F87*($F87+1)/2)-(($E87-1)*($E87-1+1)/2))*Q$2), 0)+IF(IF(time+1&gt;=R$2, $K87/time_cap/(time+1)*Q$2, 0) = 0, $K87/(time_cap),0)),0)</f>
        <v/>
      </c>
      <c r="R87" s="4395">
        <f>IFERROR(IF((time+time_cap)&lt;R$2, 0,IF(AND(time+1&gt;=S$2, $E87&lt;S$2), IF($I87= "I", $J87/($F87-$E87+1), $J87/(($F87*($F87+1)/2)-(($E87-1)*($E87-1+1)/2))*R$2), 0)+IF(IF(time+1&gt;=S$2, $K87/time_cap/(time+1)*R$2, 0) = 0, $K87/(time_cap),0)),0)</f>
        <v/>
      </c>
      <c r="S87" s="4395">
        <f>IFERROR(IF((time+time_cap)&lt;S$2, 0,IF(AND(time+1&gt;=T$2, $E87&lt;T$2), IF($I87= "I", $J87/($F87-$E87+1), $J87/(($F87*($F87+1)/2)-(($E87-1)*($E87-1+1)/2))*S$2), 0)+IF(IF(time+1&gt;=T$2, $K87/time_cap/(time+1)*S$2, 0) = 0, $K87/(time_cap),0)),0)</f>
        <v/>
      </c>
      <c r="T87" s="4395">
        <f>IFERROR(IF((time+time_cap)&lt;T$2, 0,IF(AND(time+1&gt;=U$2, $E87&lt;U$2), IF($I87= "I", $J87/($F87-$E87+1), $J87/(($F87*($F87+1)/2)-(($E87-1)*($E87-1+1)/2))*T$2), 0)+IF(IF(time+1&gt;=U$2, $K87/time_cap/(time+1)*T$2, 0) = 0, $K87/(time_cap),0)),0)</f>
        <v/>
      </c>
      <c r="U87" s="4395">
        <f>IFERROR(IF((time+time_cap)&lt;U$2, 0,IF(AND(time+1&gt;=V$2, $E87&lt;V$2), IF($I87= "I", $J87/($F87-$E87+1), $J87/(($F87*($F87+1)/2)-(($E87-1)*($E87-1+1)/2))*U$2), 0)+IF(IF(time+1&gt;=V$2, $K87/time_cap/(time+1)*U$2, 0) = 0, $K87/(time_cap),0)),0)</f>
        <v/>
      </c>
      <c r="V87" s="4395">
        <f>IFERROR(IF((time+time_cap)&lt;V$2, 0,IF(AND(time+1&gt;=W$2, $E87&lt;W$2), IF($I87= "I", $J87/($F87-$E87+1), $J87/(($F87*($F87+1)/2)-(($E87-1)*($E87-1+1)/2))*V$2), 0)+IF(IF(time+1&gt;=W$2, $K87/time_cap/(time+1)*V$2, 0) = 0, $K87/(time_cap),0)),0)</f>
        <v/>
      </c>
      <c r="W87" s="4395">
        <f>IFERROR(IF((time+time_cap)&lt;W$2, 0,IF(AND(time+1&gt;=X$2, $E87&lt;X$2), IF($I87= "I", $J87/($F87-$E87+1), $J87/(($F87*($F87+1)/2)-(($E87-1)*($E87-1+1)/2))*W$2), 0)+IF(IF(time+1&gt;=X$2, $K87/time_cap/(time+1)*W$2, 0) = 0, $K87/(time_cap),0)),0)</f>
        <v/>
      </c>
      <c r="X87" s="4395">
        <f>IFERROR(IF((time+time_cap)&lt;X$2, 0,IF(AND(time+1&gt;=Y$2, $E87&lt;Y$2), IF($I87= "I", $J87/($F87-$E87+1), $J87/(($F87*($F87+1)/2)-(($E87-1)*($E87-1+1)/2))*X$2), 0)+IF(IF(time+1&gt;=Y$2, $K87/time_cap/(time+1)*X$2, 0) = 0, $K87/(time_cap),0)),0)</f>
        <v/>
      </c>
      <c r="Y87" s="4395">
        <f>IFERROR(IF((time+time_cap)&lt;Y$2, 0,IF(AND(time+1&gt;=Z$2, $E87&lt;Z$2), IF($I87= "I", $J87/($F87-$E87+1), $J87/(($F87*($F87+1)/2)-(($E87-1)*($E87-1+1)/2))*Y$2), 0)+IF(IF(time+1&gt;=Z$2, $K87/time_cap/(time+1)*Y$2, 0) = 0, $K87/(time_cap),0)),0)</f>
        <v/>
      </c>
      <c r="Z87" s="4395">
        <f>IFERROR(IF((time+time_cap)&lt;Z$2, 0,IF(AND(time+1&gt;=AA$2, $E87&lt;AA$2), IF($I87= "I", $J87/($F87-$E87+1), $J87/(($F87*($F87+1)/2)-(($E87-1)*($E87-1+1)/2))*Z$2), 0)+IF(IF(time+1&gt;=AA$2, $K87/time_cap/(time+1)*Z$2, 0) = 0, $K87/(time_cap),0)),0)</f>
        <v/>
      </c>
      <c r="AA87" s="4395">
        <f>IFERROR(IF((time+time_cap)&lt;AA$2, 0,IF(AND(time+1&gt;=AB$2, $E87&lt;AB$2), IF($I87= "I", $J87/($F87-$E87+1), $J87/(($F87*($F87+1)/2)-(($E87-1)*($E87-1+1)/2))*AA$2), 0)+IF(IF(time+1&gt;=AB$2, $K87/time_cap/(time+1)*AA$2, 0) = 0, $K87/(time_cap),0)),0)</f>
        <v/>
      </c>
      <c r="AB87" s="4395">
        <f>IFERROR(IF((time+time_cap)&lt;AB$2, 0,IF(AND(time+1&gt;=AC$2, $E87&lt;AC$2), IF($I87= "I", $J87/($F87-$E87+1), $J87/(($F87*($F87+1)/2)-(($E87-1)*($E87-1+1)/2))*AB$2), 0)+IF(IF(time+1&gt;=AC$2, $K87/time_cap/(time+1)*AB$2, 0) = 0, $K87/(time_cap),0)),0)</f>
        <v/>
      </c>
      <c r="AC87" s="4395">
        <f>IFERROR(IF((time+time_cap)&lt;AC$2, 0,IF(AND(time+1&gt;=AD$2, $E87&lt;AD$2), IF($I87= "I", $J87/($F87-$E87+1), $J87/(($F87*($F87+1)/2)-(($E87-1)*($E87-1+1)/2))*AC$2), 0)+IF(IF(time+1&gt;=AD$2, $K87/time_cap/(time+1)*AC$2, 0) = 0, $K87/(time_cap),0)),0)</f>
        <v/>
      </c>
      <c r="AD87" s="4395">
        <f>IFERROR(IF((time+time_cap)&lt;AD$2, 0,IF(AND(time+1&gt;=AE$2, $E87&lt;AE$2), IF($I87= "I", $J87/($F87-$E87+1), $J87/(($F87*($F87+1)/2)-(($E87-1)*($E87-1+1)/2))*AD$2), 0)+IF(IF(time+1&gt;=AE$2, $K87/time_cap/(time+1)*AD$2, 0) = 0, $K87/(time_cap),0)),0)</f>
        <v/>
      </c>
      <c r="AE87" s="4395">
        <f>IFERROR(IF((time+time_cap)&lt;AE$2, 0,IF(AND(time+1&gt;=AF$2, $E87&lt;AF$2), IF($I87= "I", $J87/($F87-$E87+1), $J87/(($F87*($F87+1)/2)-(($E87-1)*($E87-1+1)/2))*AE$2), 0)+IF(IF(time+1&gt;=AF$2, $K87/time_cap/(time+1)*AE$2, 0) = 0, $K87/(time_cap),0)),0)</f>
        <v/>
      </c>
      <c r="AF87" s="4395">
        <f>IFERROR(IF((time+time_cap)&lt;AF$2, 0,IF(AND(time+1&gt;=AG$2, $E87&lt;AG$2), IF($I87= "I", $J87/($F87-$E87+1), $J87/(($F87*($F87+1)/2)-(($E87-1)*($E87-1+1)/2))*AF$2), 0)+IF(IF(time+1&gt;=AG$2, $K87/time_cap/(time+1)*AF$2, 0) = 0, $K87/(time_cap),0)),0)</f>
        <v/>
      </c>
      <c r="AG87" s="4395">
        <f>IFERROR(IF((time+time_cap)&lt;AG$2, 0,IF(AND(time+1&gt;=AH$2, $E87&lt;AH$2), IF($I87= "I", $J87/($F87-$E87+1), $J87/(($F87*($F87+1)/2)-(($E87-1)*($E87-1+1)/2))*AG$2), 0)+IF(IF(time+1&gt;=AH$2, $K87/time_cap/(time+1)*AG$2, 0) = 0, $K87/(time_cap),0)),0)</f>
        <v/>
      </c>
      <c r="AH87" s="4395">
        <f>IFERROR(IF((time+time_cap)&lt;AH$2, 0,IF(AND(time+1&gt;=AI$2, $E87&lt;AI$2), IF($I87= "I", $J87/($F87-$E87+1), $J87/(($F87*($F87+1)/2)-(($E87-1)*($E87-1+1)/2))*AH$2), 0)+IF(IF(time+1&gt;=AI$2, $K87/time_cap/(time+1)*AH$2, 0) = 0, $K87/(time_cap),0)),0)</f>
        <v/>
      </c>
      <c r="AI87" s="4395">
        <f>IFERROR(IF((time+time_cap)&lt;AI$2, 0,IF(AND(time+1&gt;=AJ$2, $E87&lt;AJ$2), IF($I87= "I", $J87/($F87-$E87+1), $J87/(($F87*($F87+1)/2)-(($E87-1)*($E87-1+1)/2))*AI$2), 0)+IF(IF(time+1&gt;=AJ$2, $K87/time_cap/(time+1)*AI$2, 0) = 0, $K87/(time_cap),0)),0)</f>
        <v/>
      </c>
      <c r="AJ87" s="4395">
        <f>IFERROR(IF((time+time_cap)&lt;AJ$2, 0,IF(AND(time+1&gt;=AK$2, $E87&lt;AK$2), IF($I87= "I", $J87/($F87-$E87+1), $J87/(($F87*($F87+1)/2)-(($E87-1)*($E87-1+1)/2))*AJ$2), 0)+IF(IF(time+1&gt;=AK$2, $K87/time_cap/(time+1)*AJ$2, 0) = 0, $K87/(time_cap),0)),0)</f>
        <v/>
      </c>
      <c r="AK87" s="4395">
        <f>IFERROR(IF((time+time_cap)&lt;AK$2, 0,IF(AND(time+1&gt;=AL$2, $E87&lt;AL$2), IF($I87= "I", $J87/($F87-$E87+1), $J87/(($F87*($F87+1)/2)-(($E87-1)*($E87-1+1)/2))*AK$2), 0)+IF(IF(time+1&gt;=AL$2, $K87/time_cap/(time+1)*AK$2, 0) = 0, $K87/(time_cap),0)),0)</f>
        <v/>
      </c>
      <c r="AL87" s="4395">
        <f>IFERROR(IF((time+time_cap)&lt;AL$2, 0,IF(AND(time+1&gt;=AM$2, $E87&lt;AM$2), IF($I87= "I", $J87/($F87-$E87+1), $J87/(($F87*($F87+1)/2)-(($E87-1)*($E87-1+1)/2))*AL$2), 0)+IF(IF(time+1&gt;=AM$2, $K87/time_cap/(time+1)*AL$2, 0) = 0, $K87/(time_cap),0)),0)</f>
        <v/>
      </c>
      <c r="AM87" s="4395">
        <f>IFERROR(IF((time+time_cap)&lt;AM$2, 0,IF(AND(time+1&gt;=AN$2, $E87&lt;AN$2), IF($I87= "I", $J87/($F87-$E87+1), $J87/(($F87*($F87+1)/2)-(($E87-1)*($E87-1+1)/2))*AM$2), 0)+IF(IF(time+1&gt;=AN$2, $K87/time_cap/(time+1)*AM$2, 0) = 0, $K87/(time_cap),0)),0)</f>
        <v/>
      </c>
      <c r="AN87" s="4395">
        <f>IFERROR(IF((time+time_cap)&lt;AN$2, 0,IF(AND(time+1&gt;=AO$2, $E87&lt;AO$2), IF($I87= "I", $J87/($F87-$E87+1), $J87/(($F87*($F87+1)/2)-(($E87-1)*($E87-1+1)/2))*AN$2), 0)+IF(IF(time+1&gt;=AO$2, $K87/time_cap/(time+1)*AN$2, 0) = 0, $K87/(time_cap),0)),0)</f>
        <v/>
      </c>
      <c r="AO87" s="4395">
        <f>IFERROR(IF((time+time_cap)&lt;AO$2, 0,IF(AND(time+1&gt;=AP$2, $E87&lt;AP$2), IF($I87= "I", $J87/($F87-$E87+1), $J87/(($F87*($F87+1)/2)-(($E87-1)*($E87-1+1)/2))*AO$2), 0)+IF(IF(time+1&gt;=AP$2, $K87/time_cap/(time+1)*AO$2, 0) = 0, $K87/(time_cap),0)),0)</f>
        <v/>
      </c>
      <c r="AP87" s="4395">
        <f>IFERROR(IF((time+time_cap)&lt;AP$2, 0,IF(AND(time+1&gt;=AQ$2, $E87&lt;AQ$2), IF($I87= "I", $J87/($F87-$E87+1), $J87/(($F87*($F87+1)/2)-(($E87-1)*($E87-1+1)/2))*AP$2), 0)+IF(IF(time+1&gt;=AQ$2, $K87/time_cap/(time+1)*AP$2, 0) = 0, $K87/(time_cap),0)),0)</f>
        <v/>
      </c>
      <c r="AQ87" s="4395">
        <f>IFERROR(IF((time+time_cap)&lt;AQ$2, 0,IF(AND(time+1&gt;=AR$2, $E87&lt;AR$2), IF($I87= "I", $J87/($F87-$E87+1), $J87/(($F87*($F87+1)/2)-(($E87-1)*($E87-1+1)/2))*AQ$2), 0)+IF(IF(time+1&gt;=AR$2, $K87/time_cap/(time+1)*AQ$2, 0) = 0, $K87/(time_cap),0)),0)</f>
        <v/>
      </c>
      <c r="AR87" s="4395">
        <f>IFERROR(IF((time+time_cap)&lt;AR$2, 0,IF(AND(time+1&gt;=AS$2, $E87&lt;AS$2), IF($I87= "I", $J87/($F87-$E87+1), $J87/(($F87*($F87+1)/2)-(($E87-1)*($E87-1+1)/2))*AR$2), 0)+IF(IF(time+1&gt;=AS$2, $K87/time_cap/(time+1)*AR$2, 0) = 0, $K87/(time_cap),0)),0)</f>
        <v/>
      </c>
      <c r="AS87" s="4395">
        <f>IFERROR(IF((time+time_cap)&lt;AS$2, 0,IF(AND(time+1&gt;=AT$2, $E87&lt;AT$2), IF($I87= "I", $J87/($F87-$E87+1), $J87/(($F87*($F87+1)/2)-(($E87-1)*($E87-1+1)/2))*AS$2), 0)+IF(IF(time+1&gt;=AT$2, $K87/time_cap/(time+1)*AS$2, 0) = 0, $K87/(time_cap),0)),0)</f>
        <v/>
      </c>
      <c r="AT87" s="4395">
        <f>IFERROR(IF((time+time_cap)&lt;AT$2, 0,IF(AND(time+1&gt;=AU$2, $E87&lt;AU$2), IF($I87= "I", $J87/($F87-$E87+1), $J87/(($F87*($F87+1)/2)-(($E87-1)*($E87-1+1)/2))*AT$2), 0)+IF(IF(time+1&gt;=AU$2, $K87/time_cap/(time+1)*AT$2, 0) = 0, $K87/(time_cap),0)),0)</f>
        <v/>
      </c>
      <c r="AU87" s="4395">
        <f>IFERROR(IF((time+time_cap)&lt;AU$2, 0,IF(AND(time+1&gt;=AV$2, $E87&lt;AV$2), IF($I87= "I", $J87/($F87-$E87+1), $J87/(($F87*($F87+1)/2)-(($E87-1)*($E87-1+1)/2))*AU$2), 0)+IF(IF(time+1&gt;=AV$2, $K87/time_cap/(time+1)*AU$2, 0) = 0, $K87/(time_cap),0)),0)</f>
        <v/>
      </c>
      <c r="AV87" s="4395">
        <f>IFERROR(IF((time+time_cap)&lt;AV$2, 0,IF(AND(time+1&gt;=AW$2, $E87&lt;AW$2), IF($I87= "I", $J87/($F87-$E87+1), $J87/(($F87*($F87+1)/2)-(($E87-1)*($E87-1+1)/2))*AV$2), 0)+IF(IF(time+1&gt;=AW$2, $K87/time_cap/(time+1)*AV$2, 0) = 0, $K87/(time_cap),0)),0)</f>
        <v/>
      </c>
      <c r="AW87" s="4395">
        <f>IFERROR(IF((time+time_cap)&lt;AW$2, 0,IF(AND(time+1&gt;=AX$2, $E87&lt;AX$2), IF($I87= "I", $J87/($F87-$E87+1), $J87/(($F87*($F87+1)/2)-(($E87-1)*($E87-1+1)/2))*AW$2), 0)+IF(IF(time+1&gt;=AX$2, $K87/time_cap/(time+1)*AW$2, 0) = 0, $K87/(time_cap),0)),0)</f>
        <v/>
      </c>
      <c r="AX87" s="4395">
        <f>IFERROR(IF((time+time_cap)&lt;AX$2, 0,IF(AND(time+1&gt;=AY$2, $E87&lt;AY$2), IF($I87= "I", $J87/($F87-$E87+1), $J87/(($F87*($F87+1)/2)-(($E87-1)*($E87-1+1)/2))*AX$2), 0)+IF(IF(time+1&gt;=AY$2, $K87/time_cap/(time+1)*AX$2, 0) = 0, $K87/(time_cap),0)),0)</f>
        <v/>
      </c>
      <c r="AY87" s="4395">
        <f>IFERROR(IF((time+time_cap)&lt;AY$2, 0,IF(AND(time+1&gt;=AZ$2, $E87&lt;AZ$2), IF($I87= "I", $J87/($F87-$E87+1), $J87/(($F87*($F87+1)/2)-(($E87-1)*($E87-1+1)/2))*AY$2), 0)+IF(IF(time+1&gt;=AZ$2, $K87/time_cap/(time+1)*AY$2, 0) = 0, $K87/(time_cap),0)),0)</f>
        <v/>
      </c>
      <c r="AZ87" s="4395">
        <f>IFERROR(IF((time+time_cap)&lt;AZ$2, 0,IF(AND(time+1&gt;=BA$2, $E87&lt;BA$2), IF($I87= "I", $J87/($F87-$E87+1), $J87/(($F87*($F87+1)/2)-(($E87-1)*($E87-1+1)/2))*AZ$2), 0)+IF(IF(time+1&gt;=BA$2, $K87/time_cap/(time+1)*AZ$2, 0) = 0, $K87/(time_cap),0)),0)</f>
        <v/>
      </c>
      <c r="BA87" s="4395">
        <f>IFERROR(IF((time+time_cap)&lt;BA$2, 0,IF(AND(time+1&gt;=BB$2, $E87&lt;BB$2), IF($I87= "I", $J87/($F87-$E87+1), $J87/(($F87*($F87+1)/2)-(($E87-1)*($E87-1+1)/2))*BA$2), 0)+IF(IF(time+1&gt;=BB$2, $K87/time_cap/(time+1)*BA$2, 0) = 0, $K87/(time_cap),0)),0)</f>
        <v/>
      </c>
      <c r="BB87" s="4395">
        <f>IFERROR(IF((time+time_cap)&lt;BB$2, 0,IF(AND(time+1&gt;=BC$2, $E87&lt;BC$2), IF($I87= "I", $J87/($F87-$E87+1), $J87/(($F87*($F87+1)/2)-(($E87-1)*($E87-1+1)/2))*BB$2), 0)+IF(IF(time+1&gt;=BC$2, $K87/time_cap/(time+1)*BB$2, 0) = 0, $K87/(time_cap),0)),0)</f>
        <v/>
      </c>
      <c r="BC87" s="4395">
        <f>IFERROR(IF((time+time_cap)&lt;BC$2, 0,IF(AND(time+1&gt;=BD$2, $E87&lt;BD$2), IF($I87= "I", $J87/($F87-$E87+1), $J87/(($F87*($F87+1)/2)-(($E87-1)*($E87-1+1)/2))*BC$2), 0)+IF(IF(time+1&gt;=BD$2, $K87/time_cap/(time+1)*BC$2, 0) = 0, $K87/(time_cap),0)),0)</f>
        <v/>
      </c>
      <c r="BD87" s="4395">
        <f>IFERROR(IF((time+time_cap)&lt;BD$2, 0,IF(AND(time+1&gt;=BE$2, $E87&lt;BE$2), IF($I87= "I", $J87/($F87-$E87+1), $J87/(($F87*($F87+1)/2)-(($E87-1)*($E87-1+1)/2))*BD$2), 0)+IF(IF(time+1&gt;=BE$2, $K87/time_cap/(time+1)*BD$2, 0) = 0, $K87/(time_cap),0)),0)</f>
        <v/>
      </c>
      <c r="BE87" s="4395">
        <f>IFERROR(IF((time+time_cap)&lt;BE$2, 0,IF(AND(time+1&gt;=BF$2, $E87&lt;BF$2), IF($I87= "I", $J87/($F87-$E87+1), $J87/(($F87*($F87+1)/2)-(($E87-1)*($E87-1+1)/2))*BE$2), 0)+IF(IF(time+1&gt;=BF$2, $K87/time_cap/(time+1)*BE$2, 0) = 0, $K87/(time_cap),0)),0)</f>
        <v/>
      </c>
      <c r="BF87" s="4395">
        <f>IFERROR(IF((time+time_cap)&lt;BF$2, 0,IF(AND(time+1&gt;=BG$2, $E87&lt;BG$2), IF($I87= "I", $J87/($F87-$E87+1), $J87/(($F87*($F87+1)/2)-(($E87-1)*($E87-1+1)/2))*BF$2), 0)+IF(IF(time+1&gt;=BG$2, $K87/time_cap/(time+1)*BF$2, 0) = 0, $K87/(time_cap),0)),0)</f>
        <v/>
      </c>
      <c r="BG87" s="4395">
        <f>IFERROR(IF((time+time_cap)&lt;BG$2, 0,IF(AND(time+1&gt;=BH$2, $E87&lt;BH$2), IF($I87= "I", $J87/($F87-$E87+1), $J87/(($F87*($F87+1)/2)-(($E87-1)*($E87-1+1)/2))*BG$2), 0)+IF(IF(time+1&gt;=BH$2, $K87/time_cap/(time+1)*BG$2, 0) = 0, $K87/(time_cap),0)),0)</f>
        <v/>
      </c>
      <c r="BH87" s="4395">
        <f>IFERROR(IF((time+time_cap)&lt;BH$2, 0,IF(AND(time+1&gt;=BI$2, $E87&lt;BI$2), IF($I87= "I", $J87/($F87-$E87+1), $J87/(($F87*($F87+1)/2)-(($E87-1)*($E87-1+1)/2))*BH$2), 0)+IF(IF(time+1&gt;=BI$2, $K87/time_cap/(time+1)*BH$2, 0) = 0, $K87/(time_cap),0)),0)</f>
        <v/>
      </c>
      <c r="BI87" s="4395">
        <f>IFERROR(IF((time+time_cap)&lt;BI$2, 0,IF(AND(time+1&gt;=BJ$2, $E87&lt;BJ$2), IF($I87= "I", $J87/($F87-$E87+1), $J87/(($F87*($F87+1)/2)-(($E87-1)*($E87-1+1)/2))*BI$2), 0)+IF(IF(time+1&gt;=BJ$2, $K87/time_cap/(time+1)*BI$2, 0) = 0, $K87/(time_cap),0)),0)</f>
        <v/>
      </c>
      <c r="BJ87" s="4395">
        <f>IFERROR(IF((time+time_cap)&lt;BJ$2, 0,IF(AND(time+1&gt;=BK$2, $E87&lt;BK$2), IF($I87= "I", $J87/($F87-$E87+1), $J87/(($F87*($F87+1)/2)-(($E87-1)*($E87-1+1)/2))*BJ$2), 0)+IF(IF(time+1&gt;=BK$2, $K87/time_cap/(time+1)*BJ$2, 0) = 0, $K87/(time_cap),0)),0)</f>
        <v/>
      </c>
      <c r="BK87" s="4395" t="n"/>
      <c r="BL87" s="4395" t="n"/>
      <c r="BM87" s="4395" t="n"/>
      <c r="BN87" s="4395" t="n"/>
      <c r="BO87" s="4395" t="n"/>
      <c r="BP87" s="4395" t="n"/>
      <c r="BQ87" s="4395" t="n"/>
      <c r="BR87" s="4395" t="n"/>
      <c r="BS87" s="4395" t="n"/>
      <c r="BT87" s="4395" t="n"/>
      <c r="BU87" s="4395" t="n"/>
      <c r="BV87" s="4395" t="n"/>
      <c r="BW87" s="4395" t="n"/>
      <c r="BX87" s="4395" t="n"/>
      <c r="BY87" s="4395" t="n"/>
      <c r="BZ87" s="4395" t="n"/>
      <c r="CA87" s="4395" t="n"/>
      <c r="CB87" s="4395" t="n"/>
      <c r="CC87" s="4395" t="n"/>
      <c r="CD87" s="4395" t="n"/>
      <c r="CE87" s="4395" t="n"/>
      <c r="CF87" s="4395" t="n"/>
      <c r="CG87" s="4395" t="n"/>
      <c r="CH87" s="4395" t="n"/>
      <c r="CI87" s="4395" t="n"/>
      <c r="CJ87" s="4395" t="n"/>
      <c r="CK87" s="4395" t="n"/>
      <c r="CL87" s="4395" t="n"/>
      <c r="CM87" s="4395" t="n"/>
      <c r="CN87" s="4395" t="n"/>
      <c r="CO87" s="4395" t="n"/>
      <c r="CP87" s="4395" t="n"/>
      <c r="CQ87" s="4395" t="n"/>
      <c r="CR87" s="4395" t="n"/>
      <c r="CS87" s="4395" t="n"/>
      <c r="CT87" s="4395" t="n"/>
      <c r="CU87" s="4395" t="n"/>
      <c r="CV87" s="4395" t="n"/>
      <c r="CW87" s="4395" t="n"/>
      <c r="CX87" s="4395" t="n"/>
      <c r="CY87" s="4395" t="n"/>
      <c r="CZ87" s="4395" t="n"/>
      <c r="DA87" s="4395" t="n"/>
      <c r="DB87" s="4395" t="n"/>
      <c r="DC87" s="4395" t="n"/>
      <c r="DD87" s="4395" t="n"/>
      <c r="DE87" s="4395" t="n"/>
      <c r="DF87" s="4395" t="n"/>
      <c r="DG87" s="4395" t="n"/>
      <c r="DH87" s="4395" t="n"/>
    </row>
    <row r="88" ht="16" customHeight="1">
      <c r="A88" t="inlineStr">
        <is>
          <t>Grassland</t>
        </is>
      </c>
      <c r="B88">
        <f>'4.Grassland'!D31</f>
        <v/>
      </c>
      <c r="C88">
        <f>'4.Grassland'!G31</f>
        <v/>
      </c>
      <c r="D88">
        <f>'4.Grassland'!AG31</f>
        <v/>
      </c>
      <c r="E88">
        <f>IF('4.Grassland'!BR31&lt;&gt;0,'4.Grassland'!BR31, '4.Grassland'!BQ31)</f>
        <v/>
      </c>
      <c r="F88">
        <f>time</f>
        <v/>
      </c>
      <c r="G88" s="4395">
        <f>'4.Grassland'!Y31</f>
        <v/>
      </c>
      <c r="H88" s="4395">
        <f>'4.Grassland'!AA31</f>
        <v/>
      </c>
      <c r="I88" s="4395">
        <f>IF(OR(H88="I", G88="I"), "I", IF(OR(H88="E", G88="E"), "E", "D"))</f>
        <v/>
      </c>
      <c r="J88" s="4395">
        <f>((D88/(time_cap+((F88-E88+1)*VLOOKUP(I88,list!$I$48:$K$50,3, FALSE))))*(F88-E88+1)*VLOOKUP(I88,list!$I$48:$K$50,3, FALSE))</f>
        <v/>
      </c>
      <c r="K88" s="4395">
        <f>((D88/(time_cap+((F88-E88+1)*VLOOKUP(I88,list!$I$48:$K$50,3, FALSE))))*time_cap)</f>
        <v/>
      </c>
      <c r="M88" s="4395">
        <f>IFERROR(IF((time+time_cap)&lt;M$2, 0,IF(AND(time+1&gt;=N$2, $E88&lt;N$2), IF($I88= "I", $J88/($F88-$E88+1), $J88/(($F88*($F88+1)/2)-(($E88-1)*($E88-1+1)/2))*M$2), 0)+IF(IF(time+1&gt;=N$2, $K88/time_cap/(time+1)*M$2, 0) = 0, $K88/(time_cap),0)),0)</f>
        <v/>
      </c>
      <c r="N88" s="4395">
        <f>IFERROR(IF((time+time_cap)&lt;N$2, 0,IF(AND(time+1&gt;=O$2, $E88&lt;O$2), IF($I88= "I", $J88/($F88-$E88+1), $J88/(($F88*($F88+1)/2)-(($E88-1)*($E88-1+1)/2))*N$2), 0)+IF(IF(time+1&gt;=O$2, $K88/time_cap/(time+1)*N$2, 0) = 0, $K88/(time_cap),0)),0)</f>
        <v/>
      </c>
      <c r="O88" s="4395">
        <f>IFERROR(IF((time+time_cap)&lt;O$2, 0,IF(AND(time+1&gt;=P$2, $E88&lt;P$2), IF($I88= "I", $J88/($F88-$E88+1), $J88/(($F88*($F88+1)/2)-(($E88-1)*($E88-1+1)/2))*O$2), 0)+IF(IF(time+1&gt;=P$2, $K88/time_cap/(time+1)*O$2, 0) = 0, $K88/(time_cap),0)),0)</f>
        <v/>
      </c>
      <c r="P88" s="4395">
        <f>IFERROR(IF((time+time_cap)&lt;P$2, 0,IF(AND(time+1&gt;=Q$2, $E88&lt;Q$2), IF($I88= "I", $J88/($F88-$E88+1), $J88/(($F88*($F88+1)/2)-(($E88-1)*($E88-1+1)/2))*P$2), 0)+IF(IF(time+1&gt;=Q$2, $K88/time_cap/(time+1)*P$2, 0) = 0, $K88/(time_cap),0)),0)</f>
        <v/>
      </c>
      <c r="Q88" s="4395">
        <f>IFERROR(IF((time+time_cap)&lt;Q$2, 0,IF(AND(time+1&gt;=R$2, $E88&lt;R$2), IF($I88= "I", $J88/($F88-$E88+1), $J88/(($F88*($F88+1)/2)-(($E88-1)*($E88-1+1)/2))*Q$2), 0)+IF(IF(time+1&gt;=R$2, $K88/time_cap/(time+1)*Q$2, 0) = 0, $K88/(time_cap),0)),0)</f>
        <v/>
      </c>
      <c r="R88" s="4395">
        <f>IFERROR(IF((time+time_cap)&lt;R$2, 0,IF(AND(time+1&gt;=S$2, $E88&lt;S$2), IF($I88= "I", $J88/($F88-$E88+1), $J88/(($F88*($F88+1)/2)-(($E88-1)*($E88-1+1)/2))*R$2), 0)+IF(IF(time+1&gt;=S$2, $K88/time_cap/(time+1)*R$2, 0) = 0, $K88/(time_cap),0)),0)</f>
        <v/>
      </c>
      <c r="S88" s="4395">
        <f>IFERROR(IF((time+time_cap)&lt;S$2, 0,IF(AND(time+1&gt;=T$2, $E88&lt;T$2), IF($I88= "I", $J88/($F88-$E88+1), $J88/(($F88*($F88+1)/2)-(($E88-1)*($E88-1+1)/2))*S$2), 0)+IF(IF(time+1&gt;=T$2, $K88/time_cap/(time+1)*S$2, 0) = 0, $K88/(time_cap),0)),0)</f>
        <v/>
      </c>
      <c r="T88" s="4395">
        <f>IFERROR(IF((time+time_cap)&lt;T$2, 0,IF(AND(time+1&gt;=U$2, $E88&lt;U$2), IF($I88= "I", $J88/($F88-$E88+1), $J88/(($F88*($F88+1)/2)-(($E88-1)*($E88-1+1)/2))*T$2), 0)+IF(IF(time+1&gt;=U$2, $K88/time_cap/(time+1)*T$2, 0) = 0, $K88/(time_cap),0)),0)</f>
        <v/>
      </c>
      <c r="U88" s="4395">
        <f>IFERROR(IF((time+time_cap)&lt;U$2, 0,IF(AND(time+1&gt;=V$2, $E88&lt;V$2), IF($I88= "I", $J88/($F88-$E88+1), $J88/(($F88*($F88+1)/2)-(($E88-1)*($E88-1+1)/2))*U$2), 0)+IF(IF(time+1&gt;=V$2, $K88/time_cap/(time+1)*U$2, 0) = 0, $K88/(time_cap),0)),0)</f>
        <v/>
      </c>
      <c r="V88" s="4395">
        <f>IFERROR(IF((time+time_cap)&lt;V$2, 0,IF(AND(time+1&gt;=W$2, $E88&lt;W$2), IF($I88= "I", $J88/($F88-$E88+1), $J88/(($F88*($F88+1)/2)-(($E88-1)*($E88-1+1)/2))*V$2), 0)+IF(IF(time+1&gt;=W$2, $K88/time_cap/(time+1)*V$2, 0) = 0, $K88/(time_cap),0)),0)</f>
        <v/>
      </c>
      <c r="W88" s="4395">
        <f>IFERROR(IF((time+time_cap)&lt;W$2, 0,IF(AND(time+1&gt;=X$2, $E88&lt;X$2), IF($I88= "I", $J88/($F88-$E88+1), $J88/(($F88*($F88+1)/2)-(($E88-1)*($E88-1+1)/2))*W$2), 0)+IF(IF(time+1&gt;=X$2, $K88/time_cap/(time+1)*W$2, 0) = 0, $K88/(time_cap),0)),0)</f>
        <v/>
      </c>
      <c r="X88" s="4395">
        <f>IFERROR(IF((time+time_cap)&lt;X$2, 0,IF(AND(time+1&gt;=Y$2, $E88&lt;Y$2), IF($I88= "I", $J88/($F88-$E88+1), $J88/(($F88*($F88+1)/2)-(($E88-1)*($E88-1+1)/2))*X$2), 0)+IF(IF(time+1&gt;=Y$2, $K88/time_cap/(time+1)*X$2, 0) = 0, $K88/(time_cap),0)),0)</f>
        <v/>
      </c>
      <c r="Y88" s="4395">
        <f>IFERROR(IF((time+time_cap)&lt;Y$2, 0,IF(AND(time+1&gt;=Z$2, $E88&lt;Z$2), IF($I88= "I", $J88/($F88-$E88+1), $J88/(($F88*($F88+1)/2)-(($E88-1)*($E88-1+1)/2))*Y$2), 0)+IF(IF(time+1&gt;=Z$2, $K88/time_cap/(time+1)*Y$2, 0) = 0, $K88/(time_cap),0)),0)</f>
        <v/>
      </c>
      <c r="Z88" s="4395">
        <f>IFERROR(IF((time+time_cap)&lt;Z$2, 0,IF(AND(time+1&gt;=AA$2, $E88&lt;AA$2), IF($I88= "I", $J88/($F88-$E88+1), $J88/(($F88*($F88+1)/2)-(($E88-1)*($E88-1+1)/2))*Z$2), 0)+IF(IF(time+1&gt;=AA$2, $K88/time_cap/(time+1)*Z$2, 0) = 0, $K88/(time_cap),0)),0)</f>
        <v/>
      </c>
      <c r="AA88" s="4395">
        <f>IFERROR(IF((time+time_cap)&lt;AA$2, 0,IF(AND(time+1&gt;=AB$2, $E88&lt;AB$2), IF($I88= "I", $J88/($F88-$E88+1), $J88/(($F88*($F88+1)/2)-(($E88-1)*($E88-1+1)/2))*AA$2), 0)+IF(IF(time+1&gt;=AB$2, $K88/time_cap/(time+1)*AA$2, 0) = 0, $K88/(time_cap),0)),0)</f>
        <v/>
      </c>
      <c r="AB88" s="4395">
        <f>IFERROR(IF((time+time_cap)&lt;AB$2, 0,IF(AND(time+1&gt;=AC$2, $E88&lt;AC$2), IF($I88= "I", $J88/($F88-$E88+1), $J88/(($F88*($F88+1)/2)-(($E88-1)*($E88-1+1)/2))*AB$2), 0)+IF(IF(time+1&gt;=AC$2, $K88/time_cap/(time+1)*AB$2, 0) = 0, $K88/(time_cap),0)),0)</f>
        <v/>
      </c>
      <c r="AC88" s="4395">
        <f>IFERROR(IF((time+time_cap)&lt;AC$2, 0,IF(AND(time+1&gt;=AD$2, $E88&lt;AD$2), IF($I88= "I", $J88/($F88-$E88+1), $J88/(($F88*($F88+1)/2)-(($E88-1)*($E88-1+1)/2))*AC$2), 0)+IF(IF(time+1&gt;=AD$2, $K88/time_cap/(time+1)*AC$2, 0) = 0, $K88/(time_cap),0)),0)</f>
        <v/>
      </c>
      <c r="AD88" s="4395">
        <f>IFERROR(IF((time+time_cap)&lt;AD$2, 0,IF(AND(time+1&gt;=AE$2, $E88&lt;AE$2), IF($I88= "I", $J88/($F88-$E88+1), $J88/(($F88*($F88+1)/2)-(($E88-1)*($E88-1+1)/2))*AD$2), 0)+IF(IF(time+1&gt;=AE$2, $K88/time_cap/(time+1)*AD$2, 0) = 0, $K88/(time_cap),0)),0)</f>
        <v/>
      </c>
      <c r="AE88" s="4395">
        <f>IFERROR(IF((time+time_cap)&lt;AE$2, 0,IF(AND(time+1&gt;=AF$2, $E88&lt;AF$2), IF($I88= "I", $J88/($F88-$E88+1), $J88/(($F88*($F88+1)/2)-(($E88-1)*($E88-1+1)/2))*AE$2), 0)+IF(IF(time+1&gt;=AF$2, $K88/time_cap/(time+1)*AE$2, 0) = 0, $K88/(time_cap),0)),0)</f>
        <v/>
      </c>
      <c r="AF88" s="4395">
        <f>IFERROR(IF((time+time_cap)&lt;AF$2, 0,IF(AND(time+1&gt;=AG$2, $E88&lt;AG$2), IF($I88= "I", $J88/($F88-$E88+1), $J88/(($F88*($F88+1)/2)-(($E88-1)*($E88-1+1)/2))*AF$2), 0)+IF(IF(time+1&gt;=AG$2, $K88/time_cap/(time+1)*AF$2, 0) = 0, $K88/(time_cap),0)),0)</f>
        <v/>
      </c>
      <c r="AG88" s="4395">
        <f>IFERROR(IF((time+time_cap)&lt;AG$2, 0,IF(AND(time+1&gt;=AH$2, $E88&lt;AH$2), IF($I88= "I", $J88/($F88-$E88+1), $J88/(($F88*($F88+1)/2)-(($E88-1)*($E88-1+1)/2))*AG$2), 0)+IF(IF(time+1&gt;=AH$2, $K88/time_cap/(time+1)*AG$2, 0) = 0, $K88/(time_cap),0)),0)</f>
        <v/>
      </c>
      <c r="AH88" s="4395">
        <f>IFERROR(IF((time+time_cap)&lt;AH$2, 0,IF(AND(time+1&gt;=AI$2, $E88&lt;AI$2), IF($I88= "I", $J88/($F88-$E88+1), $J88/(($F88*($F88+1)/2)-(($E88-1)*($E88-1+1)/2))*AH$2), 0)+IF(IF(time+1&gt;=AI$2, $K88/time_cap/(time+1)*AH$2, 0) = 0, $K88/(time_cap),0)),0)</f>
        <v/>
      </c>
      <c r="AI88" s="4395">
        <f>IFERROR(IF((time+time_cap)&lt;AI$2, 0,IF(AND(time+1&gt;=AJ$2, $E88&lt;AJ$2), IF($I88= "I", $J88/($F88-$E88+1), $J88/(($F88*($F88+1)/2)-(($E88-1)*($E88-1+1)/2))*AI$2), 0)+IF(IF(time+1&gt;=AJ$2, $K88/time_cap/(time+1)*AI$2, 0) = 0, $K88/(time_cap),0)),0)</f>
        <v/>
      </c>
      <c r="AJ88" s="4395">
        <f>IFERROR(IF((time+time_cap)&lt;AJ$2, 0,IF(AND(time+1&gt;=AK$2, $E88&lt;AK$2), IF($I88= "I", $J88/($F88-$E88+1), $J88/(($F88*($F88+1)/2)-(($E88-1)*($E88-1+1)/2))*AJ$2), 0)+IF(IF(time+1&gt;=AK$2, $K88/time_cap/(time+1)*AJ$2, 0) = 0, $K88/(time_cap),0)),0)</f>
        <v/>
      </c>
      <c r="AK88" s="4395">
        <f>IFERROR(IF((time+time_cap)&lt;AK$2, 0,IF(AND(time+1&gt;=AL$2, $E88&lt;AL$2), IF($I88= "I", $J88/($F88-$E88+1), $J88/(($F88*($F88+1)/2)-(($E88-1)*($E88-1+1)/2))*AK$2), 0)+IF(IF(time+1&gt;=AL$2, $K88/time_cap/(time+1)*AK$2, 0) = 0, $K88/(time_cap),0)),0)</f>
        <v/>
      </c>
      <c r="AL88" s="4395">
        <f>IFERROR(IF((time+time_cap)&lt;AL$2, 0,IF(AND(time+1&gt;=AM$2, $E88&lt;AM$2), IF($I88= "I", $J88/($F88-$E88+1), $J88/(($F88*($F88+1)/2)-(($E88-1)*($E88-1+1)/2))*AL$2), 0)+IF(IF(time+1&gt;=AM$2, $K88/time_cap/(time+1)*AL$2, 0) = 0, $K88/(time_cap),0)),0)</f>
        <v/>
      </c>
      <c r="AM88" s="4395">
        <f>IFERROR(IF((time+time_cap)&lt;AM$2, 0,IF(AND(time+1&gt;=AN$2, $E88&lt;AN$2), IF($I88= "I", $J88/($F88-$E88+1), $J88/(($F88*($F88+1)/2)-(($E88-1)*($E88-1+1)/2))*AM$2), 0)+IF(IF(time+1&gt;=AN$2, $K88/time_cap/(time+1)*AM$2, 0) = 0, $K88/(time_cap),0)),0)</f>
        <v/>
      </c>
      <c r="AN88" s="4395">
        <f>IFERROR(IF((time+time_cap)&lt;AN$2, 0,IF(AND(time+1&gt;=AO$2, $E88&lt;AO$2), IF($I88= "I", $J88/($F88-$E88+1), $J88/(($F88*($F88+1)/2)-(($E88-1)*($E88-1+1)/2))*AN$2), 0)+IF(IF(time+1&gt;=AO$2, $K88/time_cap/(time+1)*AN$2, 0) = 0, $K88/(time_cap),0)),0)</f>
        <v/>
      </c>
      <c r="AO88" s="4395">
        <f>IFERROR(IF((time+time_cap)&lt;AO$2, 0,IF(AND(time+1&gt;=AP$2, $E88&lt;AP$2), IF($I88= "I", $J88/($F88-$E88+1), $J88/(($F88*($F88+1)/2)-(($E88-1)*($E88-1+1)/2))*AO$2), 0)+IF(IF(time+1&gt;=AP$2, $K88/time_cap/(time+1)*AO$2, 0) = 0, $K88/(time_cap),0)),0)</f>
        <v/>
      </c>
      <c r="AP88" s="4395">
        <f>IFERROR(IF((time+time_cap)&lt;AP$2, 0,IF(AND(time+1&gt;=AQ$2, $E88&lt;AQ$2), IF($I88= "I", $J88/($F88-$E88+1), $J88/(($F88*($F88+1)/2)-(($E88-1)*($E88-1+1)/2))*AP$2), 0)+IF(IF(time+1&gt;=AQ$2, $K88/time_cap/(time+1)*AP$2, 0) = 0, $K88/(time_cap),0)),0)</f>
        <v/>
      </c>
      <c r="AQ88" s="4395">
        <f>IFERROR(IF((time+time_cap)&lt;AQ$2, 0,IF(AND(time+1&gt;=AR$2, $E88&lt;AR$2), IF($I88= "I", $J88/($F88-$E88+1), $J88/(($F88*($F88+1)/2)-(($E88-1)*($E88-1+1)/2))*AQ$2), 0)+IF(IF(time+1&gt;=AR$2, $K88/time_cap/(time+1)*AQ$2, 0) = 0, $K88/(time_cap),0)),0)</f>
        <v/>
      </c>
      <c r="AR88" s="4395">
        <f>IFERROR(IF((time+time_cap)&lt;AR$2, 0,IF(AND(time+1&gt;=AS$2, $E88&lt;AS$2), IF($I88= "I", $J88/($F88-$E88+1), $J88/(($F88*($F88+1)/2)-(($E88-1)*($E88-1+1)/2))*AR$2), 0)+IF(IF(time+1&gt;=AS$2, $K88/time_cap/(time+1)*AR$2, 0) = 0, $K88/(time_cap),0)),0)</f>
        <v/>
      </c>
      <c r="AS88" s="4395">
        <f>IFERROR(IF((time+time_cap)&lt;AS$2, 0,IF(AND(time+1&gt;=AT$2, $E88&lt;AT$2), IF($I88= "I", $J88/($F88-$E88+1), $J88/(($F88*($F88+1)/2)-(($E88-1)*($E88-1+1)/2))*AS$2), 0)+IF(IF(time+1&gt;=AT$2, $K88/time_cap/(time+1)*AS$2, 0) = 0, $K88/(time_cap),0)),0)</f>
        <v/>
      </c>
      <c r="AT88" s="4395">
        <f>IFERROR(IF((time+time_cap)&lt;AT$2, 0,IF(AND(time+1&gt;=AU$2, $E88&lt;AU$2), IF($I88= "I", $J88/($F88-$E88+1), $J88/(($F88*($F88+1)/2)-(($E88-1)*($E88-1+1)/2))*AT$2), 0)+IF(IF(time+1&gt;=AU$2, $K88/time_cap/(time+1)*AT$2, 0) = 0, $K88/(time_cap),0)),0)</f>
        <v/>
      </c>
      <c r="AU88" s="4395">
        <f>IFERROR(IF((time+time_cap)&lt;AU$2, 0,IF(AND(time+1&gt;=AV$2, $E88&lt;AV$2), IF($I88= "I", $J88/($F88-$E88+1), $J88/(($F88*($F88+1)/2)-(($E88-1)*($E88-1+1)/2))*AU$2), 0)+IF(IF(time+1&gt;=AV$2, $K88/time_cap/(time+1)*AU$2, 0) = 0, $K88/(time_cap),0)),0)</f>
        <v/>
      </c>
      <c r="AV88" s="4395">
        <f>IFERROR(IF((time+time_cap)&lt;AV$2, 0,IF(AND(time+1&gt;=AW$2, $E88&lt;AW$2), IF($I88= "I", $J88/($F88-$E88+1), $J88/(($F88*($F88+1)/2)-(($E88-1)*($E88-1+1)/2))*AV$2), 0)+IF(IF(time+1&gt;=AW$2, $K88/time_cap/(time+1)*AV$2, 0) = 0, $K88/(time_cap),0)),0)</f>
        <v/>
      </c>
      <c r="AW88" s="4395">
        <f>IFERROR(IF((time+time_cap)&lt;AW$2, 0,IF(AND(time+1&gt;=AX$2, $E88&lt;AX$2), IF($I88= "I", $J88/($F88-$E88+1), $J88/(($F88*($F88+1)/2)-(($E88-1)*($E88-1+1)/2))*AW$2), 0)+IF(IF(time+1&gt;=AX$2, $K88/time_cap/(time+1)*AW$2, 0) = 0, $K88/(time_cap),0)),0)</f>
        <v/>
      </c>
      <c r="AX88" s="4395">
        <f>IFERROR(IF((time+time_cap)&lt;AX$2, 0,IF(AND(time+1&gt;=AY$2, $E88&lt;AY$2), IF($I88= "I", $J88/($F88-$E88+1), $J88/(($F88*($F88+1)/2)-(($E88-1)*($E88-1+1)/2))*AX$2), 0)+IF(IF(time+1&gt;=AY$2, $K88/time_cap/(time+1)*AX$2, 0) = 0, $K88/(time_cap),0)),0)</f>
        <v/>
      </c>
      <c r="AY88" s="4395">
        <f>IFERROR(IF((time+time_cap)&lt;AY$2, 0,IF(AND(time+1&gt;=AZ$2, $E88&lt;AZ$2), IF($I88= "I", $J88/($F88-$E88+1), $J88/(($F88*($F88+1)/2)-(($E88-1)*($E88-1+1)/2))*AY$2), 0)+IF(IF(time+1&gt;=AZ$2, $K88/time_cap/(time+1)*AY$2, 0) = 0, $K88/(time_cap),0)),0)</f>
        <v/>
      </c>
      <c r="AZ88" s="4395">
        <f>IFERROR(IF((time+time_cap)&lt;AZ$2, 0,IF(AND(time+1&gt;=BA$2, $E88&lt;BA$2), IF($I88= "I", $J88/($F88-$E88+1), $J88/(($F88*($F88+1)/2)-(($E88-1)*($E88-1+1)/2))*AZ$2), 0)+IF(IF(time+1&gt;=BA$2, $K88/time_cap/(time+1)*AZ$2, 0) = 0, $K88/(time_cap),0)),0)</f>
        <v/>
      </c>
      <c r="BA88" s="4395">
        <f>IFERROR(IF((time+time_cap)&lt;BA$2, 0,IF(AND(time+1&gt;=BB$2, $E88&lt;BB$2), IF($I88= "I", $J88/($F88-$E88+1), $J88/(($F88*($F88+1)/2)-(($E88-1)*($E88-1+1)/2))*BA$2), 0)+IF(IF(time+1&gt;=BB$2, $K88/time_cap/(time+1)*BA$2, 0) = 0, $K88/(time_cap),0)),0)</f>
        <v/>
      </c>
      <c r="BB88" s="4395">
        <f>IFERROR(IF((time+time_cap)&lt;BB$2, 0,IF(AND(time+1&gt;=BC$2, $E88&lt;BC$2), IF($I88= "I", $J88/($F88-$E88+1), $J88/(($F88*($F88+1)/2)-(($E88-1)*($E88-1+1)/2))*BB$2), 0)+IF(IF(time+1&gt;=BC$2, $K88/time_cap/(time+1)*BB$2, 0) = 0, $K88/(time_cap),0)),0)</f>
        <v/>
      </c>
      <c r="BC88" s="4395">
        <f>IFERROR(IF((time+time_cap)&lt;BC$2, 0,IF(AND(time+1&gt;=BD$2, $E88&lt;BD$2), IF($I88= "I", $J88/($F88-$E88+1), $J88/(($F88*($F88+1)/2)-(($E88-1)*($E88-1+1)/2))*BC$2), 0)+IF(IF(time+1&gt;=BD$2, $K88/time_cap/(time+1)*BC$2, 0) = 0, $K88/(time_cap),0)),0)</f>
        <v/>
      </c>
      <c r="BD88" s="4395">
        <f>IFERROR(IF((time+time_cap)&lt;BD$2, 0,IF(AND(time+1&gt;=BE$2, $E88&lt;BE$2), IF($I88= "I", $J88/($F88-$E88+1), $J88/(($F88*($F88+1)/2)-(($E88-1)*($E88-1+1)/2))*BD$2), 0)+IF(IF(time+1&gt;=BE$2, $K88/time_cap/(time+1)*BD$2, 0) = 0, $K88/(time_cap),0)),0)</f>
        <v/>
      </c>
      <c r="BE88" s="4395">
        <f>IFERROR(IF((time+time_cap)&lt;BE$2, 0,IF(AND(time+1&gt;=BF$2, $E88&lt;BF$2), IF($I88= "I", $J88/($F88-$E88+1), $J88/(($F88*($F88+1)/2)-(($E88-1)*($E88-1+1)/2))*BE$2), 0)+IF(IF(time+1&gt;=BF$2, $K88/time_cap/(time+1)*BE$2, 0) = 0, $K88/(time_cap),0)),0)</f>
        <v/>
      </c>
      <c r="BF88" s="4395">
        <f>IFERROR(IF((time+time_cap)&lt;BF$2, 0,IF(AND(time+1&gt;=BG$2, $E88&lt;BG$2), IF($I88= "I", $J88/($F88-$E88+1), $J88/(($F88*($F88+1)/2)-(($E88-1)*($E88-1+1)/2))*BF$2), 0)+IF(IF(time+1&gt;=BG$2, $K88/time_cap/(time+1)*BF$2, 0) = 0, $K88/(time_cap),0)),0)</f>
        <v/>
      </c>
      <c r="BG88" s="4395">
        <f>IFERROR(IF((time+time_cap)&lt;BG$2, 0,IF(AND(time+1&gt;=BH$2, $E88&lt;BH$2), IF($I88= "I", $J88/($F88-$E88+1), $J88/(($F88*($F88+1)/2)-(($E88-1)*($E88-1+1)/2))*BG$2), 0)+IF(IF(time+1&gt;=BH$2, $K88/time_cap/(time+1)*BG$2, 0) = 0, $K88/(time_cap),0)),0)</f>
        <v/>
      </c>
      <c r="BH88" s="4395">
        <f>IFERROR(IF((time+time_cap)&lt;BH$2, 0,IF(AND(time+1&gt;=BI$2, $E88&lt;BI$2), IF($I88= "I", $J88/($F88-$E88+1), $J88/(($F88*($F88+1)/2)-(($E88-1)*($E88-1+1)/2))*BH$2), 0)+IF(IF(time+1&gt;=BI$2, $K88/time_cap/(time+1)*BH$2, 0) = 0, $K88/(time_cap),0)),0)</f>
        <v/>
      </c>
      <c r="BI88" s="4395">
        <f>IFERROR(IF((time+time_cap)&lt;BI$2, 0,IF(AND(time+1&gt;=BJ$2, $E88&lt;BJ$2), IF($I88= "I", $J88/($F88-$E88+1), $J88/(($F88*($F88+1)/2)-(($E88-1)*($E88-1+1)/2))*BI$2), 0)+IF(IF(time+1&gt;=BJ$2, $K88/time_cap/(time+1)*BI$2, 0) = 0, $K88/(time_cap),0)),0)</f>
        <v/>
      </c>
      <c r="BJ88" s="4395">
        <f>IFERROR(IF((time+time_cap)&lt;BJ$2, 0,IF(AND(time+1&gt;=BK$2, $E88&lt;BK$2), IF($I88= "I", $J88/($F88-$E88+1), $J88/(($F88*($F88+1)/2)-(($E88-1)*($E88-1+1)/2))*BJ$2), 0)+IF(IF(time+1&gt;=BK$2, $K88/time_cap/(time+1)*BJ$2, 0) = 0, $K88/(time_cap),0)),0)</f>
        <v/>
      </c>
      <c r="BK88" s="4395" t="n"/>
      <c r="BL88" s="4395" t="n"/>
      <c r="BM88" s="4395" t="n"/>
      <c r="BN88" s="4395" t="n"/>
      <c r="BO88" s="4395" t="n"/>
      <c r="BP88" s="4395" t="n"/>
      <c r="BQ88" s="4395" t="n"/>
      <c r="BR88" s="4395" t="n"/>
      <c r="BS88" s="4395" t="n"/>
      <c r="BT88" s="4395" t="n"/>
      <c r="BU88" s="4395" t="n"/>
      <c r="BV88" s="4395" t="n"/>
      <c r="BW88" s="4395" t="n"/>
      <c r="BX88" s="4395" t="n"/>
      <c r="BY88" s="4395" t="n"/>
      <c r="BZ88" s="4395" t="n"/>
      <c r="CA88" s="4395" t="n"/>
      <c r="CB88" s="4395" t="n"/>
      <c r="CC88" s="4395" t="n"/>
      <c r="CD88" s="4395" t="n"/>
      <c r="CE88" s="4395" t="n"/>
      <c r="CF88" s="4395" t="n"/>
      <c r="CG88" s="4395" t="n"/>
      <c r="CH88" s="4395" t="n"/>
      <c r="CI88" s="4395" t="n"/>
      <c r="CJ88" s="4395" t="n"/>
      <c r="CK88" s="4395" t="n"/>
      <c r="CL88" s="4395" t="n"/>
      <c r="CM88" s="4395" t="n"/>
      <c r="CN88" s="4395" t="n"/>
      <c r="CO88" s="4395" t="n"/>
      <c r="CP88" s="4395" t="n"/>
      <c r="CQ88" s="4395" t="n"/>
      <c r="CR88" s="4395" t="n"/>
      <c r="CS88" s="4395" t="n"/>
      <c r="CT88" s="4395" t="n"/>
      <c r="CU88" s="4395" t="n"/>
      <c r="CV88" s="4395" t="n"/>
      <c r="CW88" s="4395" t="n"/>
      <c r="CX88" s="4395" t="n"/>
      <c r="CY88" s="4395" t="n"/>
      <c r="CZ88" s="4395" t="n"/>
      <c r="DA88" s="4395" t="n"/>
      <c r="DB88" s="4395" t="n"/>
      <c r="DC88" s="4395" t="n"/>
      <c r="DD88" s="4395" t="n"/>
      <c r="DE88" s="4395" t="n"/>
      <c r="DF88" s="4395" t="n"/>
      <c r="DG88" s="4395" t="n"/>
      <c r="DH88" s="4395" t="n"/>
    </row>
    <row r="89" ht="16" customHeight="1">
      <c r="A89" t="inlineStr">
        <is>
          <t>Grassland</t>
        </is>
      </c>
      <c r="B89">
        <f>'4.Grassland'!D32</f>
        <v/>
      </c>
      <c r="C89">
        <f>'4.Grassland'!G32</f>
        <v/>
      </c>
      <c r="D89">
        <f>'4.Grassland'!AG32</f>
        <v/>
      </c>
      <c r="E89">
        <f>IF('4.Grassland'!BR32&lt;&gt;0,'4.Grassland'!BR32, '4.Grassland'!BQ32)</f>
        <v/>
      </c>
      <c r="F89">
        <f>time</f>
        <v/>
      </c>
      <c r="G89" s="4395">
        <f>'4.Grassland'!Y32</f>
        <v/>
      </c>
      <c r="H89" s="4395">
        <f>'4.Grassland'!AA32</f>
        <v/>
      </c>
      <c r="I89" s="4395">
        <f>IF(OR(H89="I", G89="I"), "I", IF(OR(H89="E", G89="E"), "E", "D"))</f>
        <v/>
      </c>
      <c r="J89" s="4395">
        <f>((D89/(time_cap+((F89-E89+1)*VLOOKUP(I89,list!$I$48:$K$50,3, FALSE))))*(F89-E89+1)*VLOOKUP(I89,list!$I$48:$K$50,3, FALSE))</f>
        <v/>
      </c>
      <c r="K89" s="4395">
        <f>((D89/(time_cap+((F89-E89+1)*VLOOKUP(I89,list!$I$48:$K$50,3, FALSE))))*time_cap)</f>
        <v/>
      </c>
      <c r="M89" s="4395">
        <f>IFERROR(IF((time+time_cap)&lt;M$2, 0,IF(AND(time+1&gt;=N$2, $E89&lt;N$2), IF($I89= "I", $J89/($F89-$E89+1), $J89/(($F89*($F89+1)/2)-(($E89-1)*($E89-1+1)/2))*M$2), 0)+IF(IF(time+1&gt;=N$2, $K89/time_cap/(time+1)*M$2, 0) = 0, $K89/(time_cap),0)),0)</f>
        <v/>
      </c>
      <c r="N89" s="4395">
        <f>IFERROR(IF((time+time_cap)&lt;N$2, 0,IF(AND(time+1&gt;=O$2, $E89&lt;O$2), IF($I89= "I", $J89/($F89-$E89+1), $J89/(($F89*($F89+1)/2)-(($E89-1)*($E89-1+1)/2))*N$2), 0)+IF(IF(time+1&gt;=O$2, $K89/time_cap/(time+1)*N$2, 0) = 0, $K89/(time_cap),0)),0)</f>
        <v/>
      </c>
      <c r="O89" s="4395">
        <f>IFERROR(IF((time+time_cap)&lt;O$2, 0,IF(AND(time+1&gt;=P$2, $E89&lt;P$2), IF($I89= "I", $J89/($F89-$E89+1), $J89/(($F89*($F89+1)/2)-(($E89-1)*($E89-1+1)/2))*O$2), 0)+IF(IF(time+1&gt;=P$2, $K89/time_cap/(time+1)*O$2, 0) = 0, $K89/(time_cap),0)),0)</f>
        <v/>
      </c>
      <c r="P89" s="4395">
        <f>IFERROR(IF((time+time_cap)&lt;P$2, 0,IF(AND(time+1&gt;=Q$2, $E89&lt;Q$2), IF($I89= "I", $J89/($F89-$E89+1), $J89/(($F89*($F89+1)/2)-(($E89-1)*($E89-1+1)/2))*P$2), 0)+IF(IF(time+1&gt;=Q$2, $K89/time_cap/(time+1)*P$2, 0) = 0, $K89/(time_cap),0)),0)</f>
        <v/>
      </c>
      <c r="Q89" s="4395">
        <f>IFERROR(IF((time+time_cap)&lt;Q$2, 0,IF(AND(time+1&gt;=R$2, $E89&lt;R$2), IF($I89= "I", $J89/($F89-$E89+1), $J89/(($F89*($F89+1)/2)-(($E89-1)*($E89-1+1)/2))*Q$2), 0)+IF(IF(time+1&gt;=R$2, $K89/time_cap/(time+1)*Q$2, 0) = 0, $K89/(time_cap),0)),0)</f>
        <v/>
      </c>
      <c r="R89" s="4395">
        <f>IFERROR(IF((time+time_cap)&lt;R$2, 0,IF(AND(time+1&gt;=S$2, $E89&lt;S$2), IF($I89= "I", $J89/($F89-$E89+1), $J89/(($F89*($F89+1)/2)-(($E89-1)*($E89-1+1)/2))*R$2), 0)+IF(IF(time+1&gt;=S$2, $K89/time_cap/(time+1)*R$2, 0) = 0, $K89/(time_cap),0)),0)</f>
        <v/>
      </c>
      <c r="S89" s="4395">
        <f>IFERROR(IF((time+time_cap)&lt;S$2, 0,IF(AND(time+1&gt;=T$2, $E89&lt;T$2), IF($I89= "I", $J89/($F89-$E89+1), $J89/(($F89*($F89+1)/2)-(($E89-1)*($E89-1+1)/2))*S$2), 0)+IF(IF(time+1&gt;=T$2, $K89/time_cap/(time+1)*S$2, 0) = 0, $K89/(time_cap),0)),0)</f>
        <v/>
      </c>
      <c r="T89" s="4395">
        <f>IFERROR(IF((time+time_cap)&lt;T$2, 0,IF(AND(time+1&gt;=U$2, $E89&lt;U$2), IF($I89= "I", $J89/($F89-$E89+1), $J89/(($F89*($F89+1)/2)-(($E89-1)*($E89-1+1)/2))*T$2), 0)+IF(IF(time+1&gt;=U$2, $K89/time_cap/(time+1)*T$2, 0) = 0, $K89/(time_cap),0)),0)</f>
        <v/>
      </c>
      <c r="U89" s="4395">
        <f>IFERROR(IF((time+time_cap)&lt;U$2, 0,IF(AND(time+1&gt;=V$2, $E89&lt;V$2), IF($I89= "I", $J89/($F89-$E89+1), $J89/(($F89*($F89+1)/2)-(($E89-1)*($E89-1+1)/2))*U$2), 0)+IF(IF(time+1&gt;=V$2, $K89/time_cap/(time+1)*U$2, 0) = 0, $K89/(time_cap),0)),0)</f>
        <v/>
      </c>
      <c r="V89" s="4395">
        <f>IFERROR(IF((time+time_cap)&lt;V$2, 0,IF(AND(time+1&gt;=W$2, $E89&lt;W$2), IF($I89= "I", $J89/($F89-$E89+1), $J89/(($F89*($F89+1)/2)-(($E89-1)*($E89-1+1)/2))*V$2), 0)+IF(IF(time+1&gt;=W$2, $K89/time_cap/(time+1)*V$2, 0) = 0, $K89/(time_cap),0)),0)</f>
        <v/>
      </c>
      <c r="W89" s="4395">
        <f>IFERROR(IF((time+time_cap)&lt;W$2, 0,IF(AND(time+1&gt;=X$2, $E89&lt;X$2), IF($I89= "I", $J89/($F89-$E89+1), $J89/(($F89*($F89+1)/2)-(($E89-1)*($E89-1+1)/2))*W$2), 0)+IF(IF(time+1&gt;=X$2, $K89/time_cap/(time+1)*W$2, 0) = 0, $K89/(time_cap),0)),0)</f>
        <v/>
      </c>
      <c r="X89" s="4395">
        <f>IFERROR(IF((time+time_cap)&lt;X$2, 0,IF(AND(time+1&gt;=Y$2, $E89&lt;Y$2), IF($I89= "I", $J89/($F89-$E89+1), $J89/(($F89*($F89+1)/2)-(($E89-1)*($E89-1+1)/2))*X$2), 0)+IF(IF(time+1&gt;=Y$2, $K89/time_cap/(time+1)*X$2, 0) = 0, $K89/(time_cap),0)),0)</f>
        <v/>
      </c>
      <c r="Y89" s="4395">
        <f>IFERROR(IF((time+time_cap)&lt;Y$2, 0,IF(AND(time+1&gt;=Z$2, $E89&lt;Z$2), IF($I89= "I", $J89/($F89-$E89+1), $J89/(($F89*($F89+1)/2)-(($E89-1)*($E89-1+1)/2))*Y$2), 0)+IF(IF(time+1&gt;=Z$2, $K89/time_cap/(time+1)*Y$2, 0) = 0, $K89/(time_cap),0)),0)</f>
        <v/>
      </c>
      <c r="Z89" s="4395">
        <f>IFERROR(IF((time+time_cap)&lt;Z$2, 0,IF(AND(time+1&gt;=AA$2, $E89&lt;AA$2), IF($I89= "I", $J89/($F89-$E89+1), $J89/(($F89*($F89+1)/2)-(($E89-1)*($E89-1+1)/2))*Z$2), 0)+IF(IF(time+1&gt;=AA$2, $K89/time_cap/(time+1)*Z$2, 0) = 0, $K89/(time_cap),0)),0)</f>
        <v/>
      </c>
      <c r="AA89" s="4395">
        <f>IFERROR(IF((time+time_cap)&lt;AA$2, 0,IF(AND(time+1&gt;=AB$2, $E89&lt;AB$2), IF($I89= "I", $J89/($F89-$E89+1), $J89/(($F89*($F89+1)/2)-(($E89-1)*($E89-1+1)/2))*AA$2), 0)+IF(IF(time+1&gt;=AB$2, $K89/time_cap/(time+1)*AA$2, 0) = 0, $K89/(time_cap),0)),0)</f>
        <v/>
      </c>
      <c r="AB89" s="4395">
        <f>IFERROR(IF((time+time_cap)&lt;AB$2, 0,IF(AND(time+1&gt;=AC$2, $E89&lt;AC$2), IF($I89= "I", $J89/($F89-$E89+1), $J89/(($F89*($F89+1)/2)-(($E89-1)*($E89-1+1)/2))*AB$2), 0)+IF(IF(time+1&gt;=AC$2, $K89/time_cap/(time+1)*AB$2, 0) = 0, $K89/(time_cap),0)),0)</f>
        <v/>
      </c>
      <c r="AC89" s="4395">
        <f>IFERROR(IF((time+time_cap)&lt;AC$2, 0,IF(AND(time+1&gt;=AD$2, $E89&lt;AD$2), IF($I89= "I", $J89/($F89-$E89+1), $J89/(($F89*($F89+1)/2)-(($E89-1)*($E89-1+1)/2))*AC$2), 0)+IF(IF(time+1&gt;=AD$2, $K89/time_cap/(time+1)*AC$2, 0) = 0, $K89/(time_cap),0)),0)</f>
        <v/>
      </c>
      <c r="AD89" s="4395">
        <f>IFERROR(IF((time+time_cap)&lt;AD$2, 0,IF(AND(time+1&gt;=AE$2, $E89&lt;AE$2), IF($I89= "I", $J89/($F89-$E89+1), $J89/(($F89*($F89+1)/2)-(($E89-1)*($E89-1+1)/2))*AD$2), 0)+IF(IF(time+1&gt;=AE$2, $K89/time_cap/(time+1)*AD$2, 0) = 0, $K89/(time_cap),0)),0)</f>
        <v/>
      </c>
      <c r="AE89" s="4395">
        <f>IFERROR(IF((time+time_cap)&lt;AE$2, 0,IF(AND(time+1&gt;=AF$2, $E89&lt;AF$2), IF($I89= "I", $J89/($F89-$E89+1), $J89/(($F89*($F89+1)/2)-(($E89-1)*($E89-1+1)/2))*AE$2), 0)+IF(IF(time+1&gt;=AF$2, $K89/time_cap/(time+1)*AE$2, 0) = 0, $K89/(time_cap),0)),0)</f>
        <v/>
      </c>
      <c r="AF89" s="4395">
        <f>IFERROR(IF((time+time_cap)&lt;AF$2, 0,IF(AND(time+1&gt;=AG$2, $E89&lt;AG$2), IF($I89= "I", $J89/($F89-$E89+1), $J89/(($F89*($F89+1)/2)-(($E89-1)*($E89-1+1)/2))*AF$2), 0)+IF(IF(time+1&gt;=AG$2, $K89/time_cap/(time+1)*AF$2, 0) = 0, $K89/(time_cap),0)),0)</f>
        <v/>
      </c>
      <c r="AG89" s="4395">
        <f>IFERROR(IF((time+time_cap)&lt;AG$2, 0,IF(AND(time+1&gt;=AH$2, $E89&lt;AH$2), IF($I89= "I", $J89/($F89-$E89+1), $J89/(($F89*($F89+1)/2)-(($E89-1)*($E89-1+1)/2))*AG$2), 0)+IF(IF(time+1&gt;=AH$2, $K89/time_cap/(time+1)*AG$2, 0) = 0, $K89/(time_cap),0)),0)</f>
        <v/>
      </c>
      <c r="AH89" s="4395">
        <f>IFERROR(IF((time+time_cap)&lt;AH$2, 0,IF(AND(time+1&gt;=AI$2, $E89&lt;AI$2), IF($I89= "I", $J89/($F89-$E89+1), $J89/(($F89*($F89+1)/2)-(($E89-1)*($E89-1+1)/2))*AH$2), 0)+IF(IF(time+1&gt;=AI$2, $K89/time_cap/(time+1)*AH$2, 0) = 0, $K89/(time_cap),0)),0)</f>
        <v/>
      </c>
      <c r="AI89" s="4395">
        <f>IFERROR(IF((time+time_cap)&lt;AI$2, 0,IF(AND(time+1&gt;=AJ$2, $E89&lt;AJ$2), IF($I89= "I", $J89/($F89-$E89+1), $J89/(($F89*($F89+1)/2)-(($E89-1)*($E89-1+1)/2))*AI$2), 0)+IF(IF(time+1&gt;=AJ$2, $K89/time_cap/(time+1)*AI$2, 0) = 0, $K89/(time_cap),0)),0)</f>
        <v/>
      </c>
      <c r="AJ89" s="4395">
        <f>IFERROR(IF((time+time_cap)&lt;AJ$2, 0,IF(AND(time+1&gt;=AK$2, $E89&lt;AK$2), IF($I89= "I", $J89/($F89-$E89+1), $J89/(($F89*($F89+1)/2)-(($E89-1)*($E89-1+1)/2))*AJ$2), 0)+IF(IF(time+1&gt;=AK$2, $K89/time_cap/(time+1)*AJ$2, 0) = 0, $K89/(time_cap),0)),0)</f>
        <v/>
      </c>
      <c r="AK89" s="4395">
        <f>IFERROR(IF((time+time_cap)&lt;AK$2, 0,IF(AND(time+1&gt;=AL$2, $E89&lt;AL$2), IF($I89= "I", $J89/($F89-$E89+1), $J89/(($F89*($F89+1)/2)-(($E89-1)*($E89-1+1)/2))*AK$2), 0)+IF(IF(time+1&gt;=AL$2, $K89/time_cap/(time+1)*AK$2, 0) = 0, $K89/(time_cap),0)),0)</f>
        <v/>
      </c>
      <c r="AL89" s="4395">
        <f>IFERROR(IF((time+time_cap)&lt;AL$2, 0,IF(AND(time+1&gt;=AM$2, $E89&lt;AM$2), IF($I89= "I", $J89/($F89-$E89+1), $J89/(($F89*($F89+1)/2)-(($E89-1)*($E89-1+1)/2))*AL$2), 0)+IF(IF(time+1&gt;=AM$2, $K89/time_cap/(time+1)*AL$2, 0) = 0, $K89/(time_cap),0)),0)</f>
        <v/>
      </c>
      <c r="AM89" s="4395">
        <f>IFERROR(IF((time+time_cap)&lt;AM$2, 0,IF(AND(time+1&gt;=AN$2, $E89&lt;AN$2), IF($I89= "I", $J89/($F89-$E89+1), $J89/(($F89*($F89+1)/2)-(($E89-1)*($E89-1+1)/2))*AM$2), 0)+IF(IF(time+1&gt;=AN$2, $K89/time_cap/(time+1)*AM$2, 0) = 0, $K89/(time_cap),0)),0)</f>
        <v/>
      </c>
      <c r="AN89" s="4395">
        <f>IFERROR(IF((time+time_cap)&lt;AN$2, 0,IF(AND(time+1&gt;=AO$2, $E89&lt;AO$2), IF($I89= "I", $J89/($F89-$E89+1), $J89/(($F89*($F89+1)/2)-(($E89-1)*($E89-1+1)/2))*AN$2), 0)+IF(IF(time+1&gt;=AO$2, $K89/time_cap/(time+1)*AN$2, 0) = 0, $K89/(time_cap),0)),0)</f>
        <v/>
      </c>
      <c r="AO89" s="4395">
        <f>IFERROR(IF((time+time_cap)&lt;AO$2, 0,IF(AND(time+1&gt;=AP$2, $E89&lt;AP$2), IF($I89= "I", $J89/($F89-$E89+1), $J89/(($F89*($F89+1)/2)-(($E89-1)*($E89-1+1)/2))*AO$2), 0)+IF(IF(time+1&gt;=AP$2, $K89/time_cap/(time+1)*AO$2, 0) = 0, $K89/(time_cap),0)),0)</f>
        <v/>
      </c>
      <c r="AP89" s="4395">
        <f>IFERROR(IF((time+time_cap)&lt;AP$2, 0,IF(AND(time+1&gt;=AQ$2, $E89&lt;AQ$2), IF($I89= "I", $J89/($F89-$E89+1), $J89/(($F89*($F89+1)/2)-(($E89-1)*($E89-1+1)/2))*AP$2), 0)+IF(IF(time+1&gt;=AQ$2, $K89/time_cap/(time+1)*AP$2, 0) = 0, $K89/(time_cap),0)),0)</f>
        <v/>
      </c>
      <c r="AQ89" s="4395">
        <f>IFERROR(IF((time+time_cap)&lt;AQ$2, 0,IF(AND(time+1&gt;=AR$2, $E89&lt;AR$2), IF($I89= "I", $J89/($F89-$E89+1), $J89/(($F89*($F89+1)/2)-(($E89-1)*($E89-1+1)/2))*AQ$2), 0)+IF(IF(time+1&gt;=AR$2, $K89/time_cap/(time+1)*AQ$2, 0) = 0, $K89/(time_cap),0)),0)</f>
        <v/>
      </c>
      <c r="AR89" s="4395">
        <f>IFERROR(IF((time+time_cap)&lt;AR$2, 0,IF(AND(time+1&gt;=AS$2, $E89&lt;AS$2), IF($I89= "I", $J89/($F89-$E89+1), $J89/(($F89*($F89+1)/2)-(($E89-1)*($E89-1+1)/2))*AR$2), 0)+IF(IF(time+1&gt;=AS$2, $K89/time_cap/(time+1)*AR$2, 0) = 0, $K89/(time_cap),0)),0)</f>
        <v/>
      </c>
      <c r="AS89" s="4395">
        <f>IFERROR(IF((time+time_cap)&lt;AS$2, 0,IF(AND(time+1&gt;=AT$2, $E89&lt;AT$2), IF($I89= "I", $J89/($F89-$E89+1), $J89/(($F89*($F89+1)/2)-(($E89-1)*($E89-1+1)/2))*AS$2), 0)+IF(IF(time+1&gt;=AT$2, $K89/time_cap/(time+1)*AS$2, 0) = 0, $K89/(time_cap),0)),0)</f>
        <v/>
      </c>
      <c r="AT89" s="4395">
        <f>IFERROR(IF((time+time_cap)&lt;AT$2, 0,IF(AND(time+1&gt;=AU$2, $E89&lt;AU$2), IF($I89= "I", $J89/($F89-$E89+1), $J89/(($F89*($F89+1)/2)-(($E89-1)*($E89-1+1)/2))*AT$2), 0)+IF(IF(time+1&gt;=AU$2, $K89/time_cap/(time+1)*AT$2, 0) = 0, $K89/(time_cap),0)),0)</f>
        <v/>
      </c>
      <c r="AU89" s="4395">
        <f>IFERROR(IF((time+time_cap)&lt;AU$2, 0,IF(AND(time+1&gt;=AV$2, $E89&lt;AV$2), IF($I89= "I", $J89/($F89-$E89+1), $J89/(($F89*($F89+1)/2)-(($E89-1)*($E89-1+1)/2))*AU$2), 0)+IF(IF(time+1&gt;=AV$2, $K89/time_cap/(time+1)*AU$2, 0) = 0, $K89/(time_cap),0)),0)</f>
        <v/>
      </c>
      <c r="AV89" s="4395">
        <f>IFERROR(IF((time+time_cap)&lt;AV$2, 0,IF(AND(time+1&gt;=AW$2, $E89&lt;AW$2), IF($I89= "I", $J89/($F89-$E89+1), $J89/(($F89*($F89+1)/2)-(($E89-1)*($E89-1+1)/2))*AV$2), 0)+IF(IF(time+1&gt;=AW$2, $K89/time_cap/(time+1)*AV$2, 0) = 0, $K89/(time_cap),0)),0)</f>
        <v/>
      </c>
      <c r="AW89" s="4395">
        <f>IFERROR(IF((time+time_cap)&lt;AW$2, 0,IF(AND(time+1&gt;=AX$2, $E89&lt;AX$2), IF($I89= "I", $J89/($F89-$E89+1), $J89/(($F89*($F89+1)/2)-(($E89-1)*($E89-1+1)/2))*AW$2), 0)+IF(IF(time+1&gt;=AX$2, $K89/time_cap/(time+1)*AW$2, 0) = 0, $K89/(time_cap),0)),0)</f>
        <v/>
      </c>
      <c r="AX89" s="4395">
        <f>IFERROR(IF((time+time_cap)&lt;AX$2, 0,IF(AND(time+1&gt;=AY$2, $E89&lt;AY$2), IF($I89= "I", $J89/($F89-$E89+1), $J89/(($F89*($F89+1)/2)-(($E89-1)*($E89-1+1)/2))*AX$2), 0)+IF(IF(time+1&gt;=AY$2, $K89/time_cap/(time+1)*AX$2, 0) = 0, $K89/(time_cap),0)),0)</f>
        <v/>
      </c>
      <c r="AY89" s="4395">
        <f>IFERROR(IF((time+time_cap)&lt;AY$2, 0,IF(AND(time+1&gt;=AZ$2, $E89&lt;AZ$2), IF($I89= "I", $J89/($F89-$E89+1), $J89/(($F89*($F89+1)/2)-(($E89-1)*($E89-1+1)/2))*AY$2), 0)+IF(IF(time+1&gt;=AZ$2, $K89/time_cap/(time+1)*AY$2, 0) = 0, $K89/(time_cap),0)),0)</f>
        <v/>
      </c>
      <c r="AZ89" s="4395">
        <f>IFERROR(IF((time+time_cap)&lt;AZ$2, 0,IF(AND(time+1&gt;=BA$2, $E89&lt;BA$2), IF($I89= "I", $J89/($F89-$E89+1), $J89/(($F89*($F89+1)/2)-(($E89-1)*($E89-1+1)/2))*AZ$2), 0)+IF(IF(time+1&gt;=BA$2, $K89/time_cap/(time+1)*AZ$2, 0) = 0, $K89/(time_cap),0)),0)</f>
        <v/>
      </c>
      <c r="BA89" s="4395">
        <f>IFERROR(IF((time+time_cap)&lt;BA$2, 0,IF(AND(time+1&gt;=BB$2, $E89&lt;BB$2), IF($I89= "I", $J89/($F89-$E89+1), $J89/(($F89*($F89+1)/2)-(($E89-1)*($E89-1+1)/2))*BA$2), 0)+IF(IF(time+1&gt;=BB$2, $K89/time_cap/(time+1)*BA$2, 0) = 0, $K89/(time_cap),0)),0)</f>
        <v/>
      </c>
      <c r="BB89" s="4395">
        <f>IFERROR(IF((time+time_cap)&lt;BB$2, 0,IF(AND(time+1&gt;=BC$2, $E89&lt;BC$2), IF($I89= "I", $J89/($F89-$E89+1), $J89/(($F89*($F89+1)/2)-(($E89-1)*($E89-1+1)/2))*BB$2), 0)+IF(IF(time+1&gt;=BC$2, $K89/time_cap/(time+1)*BB$2, 0) = 0, $K89/(time_cap),0)),0)</f>
        <v/>
      </c>
      <c r="BC89" s="4395">
        <f>IFERROR(IF((time+time_cap)&lt;BC$2, 0,IF(AND(time+1&gt;=BD$2, $E89&lt;BD$2), IF($I89= "I", $J89/($F89-$E89+1), $J89/(($F89*($F89+1)/2)-(($E89-1)*($E89-1+1)/2))*BC$2), 0)+IF(IF(time+1&gt;=BD$2, $K89/time_cap/(time+1)*BC$2, 0) = 0, $K89/(time_cap),0)),0)</f>
        <v/>
      </c>
      <c r="BD89" s="4395">
        <f>IFERROR(IF((time+time_cap)&lt;BD$2, 0,IF(AND(time+1&gt;=BE$2, $E89&lt;BE$2), IF($I89= "I", $J89/($F89-$E89+1), $J89/(($F89*($F89+1)/2)-(($E89-1)*($E89-1+1)/2))*BD$2), 0)+IF(IF(time+1&gt;=BE$2, $K89/time_cap/(time+1)*BD$2, 0) = 0, $K89/(time_cap),0)),0)</f>
        <v/>
      </c>
      <c r="BE89" s="4395">
        <f>IFERROR(IF((time+time_cap)&lt;BE$2, 0,IF(AND(time+1&gt;=BF$2, $E89&lt;BF$2), IF($I89= "I", $J89/($F89-$E89+1), $J89/(($F89*($F89+1)/2)-(($E89-1)*($E89-1+1)/2))*BE$2), 0)+IF(IF(time+1&gt;=BF$2, $K89/time_cap/(time+1)*BE$2, 0) = 0, $K89/(time_cap),0)),0)</f>
        <v/>
      </c>
      <c r="BF89" s="4395">
        <f>IFERROR(IF((time+time_cap)&lt;BF$2, 0,IF(AND(time+1&gt;=BG$2, $E89&lt;BG$2), IF($I89= "I", $J89/($F89-$E89+1), $J89/(($F89*($F89+1)/2)-(($E89-1)*($E89-1+1)/2))*BF$2), 0)+IF(IF(time+1&gt;=BG$2, $K89/time_cap/(time+1)*BF$2, 0) = 0, $K89/(time_cap),0)),0)</f>
        <v/>
      </c>
      <c r="BG89" s="4395">
        <f>IFERROR(IF((time+time_cap)&lt;BG$2, 0,IF(AND(time+1&gt;=BH$2, $E89&lt;BH$2), IF($I89= "I", $J89/($F89-$E89+1), $J89/(($F89*($F89+1)/2)-(($E89-1)*($E89-1+1)/2))*BG$2), 0)+IF(IF(time+1&gt;=BH$2, $K89/time_cap/(time+1)*BG$2, 0) = 0, $K89/(time_cap),0)),0)</f>
        <v/>
      </c>
      <c r="BH89" s="4395">
        <f>IFERROR(IF((time+time_cap)&lt;BH$2, 0,IF(AND(time+1&gt;=BI$2, $E89&lt;BI$2), IF($I89= "I", $J89/($F89-$E89+1), $J89/(($F89*($F89+1)/2)-(($E89-1)*($E89-1+1)/2))*BH$2), 0)+IF(IF(time+1&gt;=BI$2, $K89/time_cap/(time+1)*BH$2, 0) = 0, $K89/(time_cap),0)),0)</f>
        <v/>
      </c>
      <c r="BI89" s="4395">
        <f>IFERROR(IF((time+time_cap)&lt;BI$2, 0,IF(AND(time+1&gt;=BJ$2, $E89&lt;BJ$2), IF($I89= "I", $J89/($F89-$E89+1), $J89/(($F89*($F89+1)/2)-(($E89-1)*($E89-1+1)/2))*BI$2), 0)+IF(IF(time+1&gt;=BJ$2, $K89/time_cap/(time+1)*BI$2, 0) = 0, $K89/(time_cap),0)),0)</f>
        <v/>
      </c>
      <c r="BJ89" s="4395">
        <f>IFERROR(IF((time+time_cap)&lt;BJ$2, 0,IF(AND(time+1&gt;=BK$2, $E89&lt;BK$2), IF($I89= "I", $J89/($F89-$E89+1), $J89/(($F89*($F89+1)/2)-(($E89-1)*($E89-1+1)/2))*BJ$2), 0)+IF(IF(time+1&gt;=BK$2, $K89/time_cap/(time+1)*BJ$2, 0) = 0, $K89/(time_cap),0)),0)</f>
        <v/>
      </c>
      <c r="BK89" s="4395" t="n"/>
      <c r="BL89" s="4395" t="n"/>
      <c r="BM89" s="4395" t="n"/>
      <c r="BN89" s="4395" t="n"/>
      <c r="BO89" s="4395" t="n"/>
      <c r="BP89" s="4395" t="n"/>
      <c r="BQ89" s="4395" t="n"/>
      <c r="BR89" s="4395" t="n"/>
      <c r="BS89" s="4395" t="n"/>
      <c r="BT89" s="4395" t="n"/>
      <c r="BU89" s="4395" t="n"/>
      <c r="BV89" s="4395" t="n"/>
      <c r="BW89" s="4395" t="n"/>
      <c r="BX89" s="4395" t="n"/>
      <c r="BY89" s="4395" t="n"/>
      <c r="BZ89" s="4395" t="n"/>
      <c r="CA89" s="4395" t="n"/>
      <c r="CB89" s="4395" t="n"/>
      <c r="CC89" s="4395" t="n"/>
      <c r="CD89" s="4395" t="n"/>
      <c r="CE89" s="4395" t="n"/>
      <c r="CF89" s="4395" t="n"/>
      <c r="CG89" s="4395" t="n"/>
      <c r="CH89" s="4395" t="n"/>
      <c r="CI89" s="4395" t="n"/>
      <c r="CJ89" s="4395" t="n"/>
      <c r="CK89" s="4395" t="n"/>
      <c r="CL89" s="4395" t="n"/>
      <c r="CM89" s="4395" t="n"/>
      <c r="CN89" s="4395" t="n"/>
      <c r="CO89" s="4395" t="n"/>
      <c r="CP89" s="4395" t="n"/>
      <c r="CQ89" s="4395" t="n"/>
      <c r="CR89" s="4395" t="n"/>
      <c r="CS89" s="4395" t="n"/>
      <c r="CT89" s="4395" t="n"/>
      <c r="CU89" s="4395" t="n"/>
      <c r="CV89" s="4395" t="n"/>
      <c r="CW89" s="4395" t="n"/>
      <c r="CX89" s="4395" t="n"/>
      <c r="CY89" s="4395" t="n"/>
      <c r="CZ89" s="4395" t="n"/>
      <c r="DA89" s="4395" t="n"/>
      <c r="DB89" s="4395" t="n"/>
      <c r="DC89" s="4395" t="n"/>
      <c r="DD89" s="4395" t="n"/>
      <c r="DE89" s="4395" t="n"/>
      <c r="DF89" s="4395" t="n"/>
      <c r="DG89" s="4395" t="n"/>
      <c r="DH89" s="4395" t="n"/>
    </row>
    <row r="90" ht="16" customHeight="1">
      <c r="A90" t="inlineStr">
        <is>
          <t>Grassland</t>
        </is>
      </c>
      <c r="B90">
        <f>'4.Grassland'!D33</f>
        <v/>
      </c>
      <c r="C90">
        <f>'4.Grassland'!G33</f>
        <v/>
      </c>
      <c r="D90">
        <f>'4.Grassland'!AG33</f>
        <v/>
      </c>
      <c r="E90">
        <f>IF('4.Grassland'!BR33&lt;&gt;0,'4.Grassland'!BR33, '4.Grassland'!BQ33)</f>
        <v/>
      </c>
      <c r="F90">
        <f>time</f>
        <v/>
      </c>
      <c r="G90" s="4395">
        <f>'4.Grassland'!Y33</f>
        <v/>
      </c>
      <c r="H90" s="4395">
        <f>'4.Grassland'!AA33</f>
        <v/>
      </c>
      <c r="I90" s="4395">
        <f>IF(OR(H90="I", G90="I"), "I", IF(OR(H90="E", G90="E"), "E", "D"))</f>
        <v/>
      </c>
      <c r="J90" s="4395">
        <f>((D90/(time_cap+((F90-E90+1)*VLOOKUP(I90,list!$I$48:$K$50,3, FALSE))))*(F90-E90+1)*VLOOKUP(I90,list!$I$48:$K$50,3, FALSE))</f>
        <v/>
      </c>
      <c r="K90" s="4395">
        <f>((D90/(time_cap+((F90-E90+1)*VLOOKUP(I90,list!$I$48:$K$50,3, FALSE))))*time_cap)</f>
        <v/>
      </c>
      <c r="M90" s="4395">
        <f>IFERROR(IF((time+time_cap)&lt;M$2, 0,IF(AND(time+1&gt;=N$2, $E90&lt;N$2), IF($I90= "I", $J90/($F90-$E90+1), $J90/(($F90*($F90+1)/2)-(($E90-1)*($E90-1+1)/2))*M$2), 0)+IF(IF(time+1&gt;=N$2, $K90/time_cap/(time+1)*M$2, 0) = 0, $K90/(time_cap),0)),0)</f>
        <v/>
      </c>
      <c r="N90" s="4395">
        <f>IFERROR(IF((time+time_cap)&lt;N$2, 0,IF(AND(time+1&gt;=O$2, $E90&lt;O$2), IF($I90= "I", $J90/($F90-$E90+1), $J90/(($F90*($F90+1)/2)-(($E90-1)*($E90-1+1)/2))*N$2), 0)+IF(IF(time+1&gt;=O$2, $K90/time_cap/(time+1)*N$2, 0) = 0, $K90/(time_cap),0)),0)</f>
        <v/>
      </c>
      <c r="O90" s="4395">
        <f>IFERROR(IF((time+time_cap)&lt;O$2, 0,IF(AND(time+1&gt;=P$2, $E90&lt;P$2), IF($I90= "I", $J90/($F90-$E90+1), $J90/(($F90*($F90+1)/2)-(($E90-1)*($E90-1+1)/2))*O$2), 0)+IF(IF(time+1&gt;=P$2, $K90/time_cap/(time+1)*O$2, 0) = 0, $K90/(time_cap),0)),0)</f>
        <v/>
      </c>
      <c r="P90" s="4395">
        <f>IFERROR(IF((time+time_cap)&lt;P$2, 0,IF(AND(time+1&gt;=Q$2, $E90&lt;Q$2), IF($I90= "I", $J90/($F90-$E90+1), $J90/(($F90*($F90+1)/2)-(($E90-1)*($E90-1+1)/2))*P$2), 0)+IF(IF(time+1&gt;=Q$2, $K90/time_cap/(time+1)*P$2, 0) = 0, $K90/(time_cap),0)),0)</f>
        <v/>
      </c>
      <c r="Q90" s="4395">
        <f>IFERROR(IF((time+time_cap)&lt;Q$2, 0,IF(AND(time+1&gt;=R$2, $E90&lt;R$2), IF($I90= "I", $J90/($F90-$E90+1), $J90/(($F90*($F90+1)/2)-(($E90-1)*($E90-1+1)/2))*Q$2), 0)+IF(IF(time+1&gt;=R$2, $K90/time_cap/(time+1)*Q$2, 0) = 0, $K90/(time_cap),0)),0)</f>
        <v/>
      </c>
      <c r="R90" s="4395">
        <f>IFERROR(IF((time+time_cap)&lt;R$2, 0,IF(AND(time+1&gt;=S$2, $E90&lt;S$2), IF($I90= "I", $J90/($F90-$E90+1), $J90/(($F90*($F90+1)/2)-(($E90-1)*($E90-1+1)/2))*R$2), 0)+IF(IF(time+1&gt;=S$2, $K90/time_cap/(time+1)*R$2, 0) = 0, $K90/(time_cap),0)),0)</f>
        <v/>
      </c>
      <c r="S90" s="4395">
        <f>IFERROR(IF((time+time_cap)&lt;S$2, 0,IF(AND(time+1&gt;=T$2, $E90&lt;T$2), IF($I90= "I", $J90/($F90-$E90+1), $J90/(($F90*($F90+1)/2)-(($E90-1)*($E90-1+1)/2))*S$2), 0)+IF(IF(time+1&gt;=T$2, $K90/time_cap/(time+1)*S$2, 0) = 0, $K90/(time_cap),0)),0)</f>
        <v/>
      </c>
      <c r="T90" s="4395">
        <f>IFERROR(IF((time+time_cap)&lt;T$2, 0,IF(AND(time+1&gt;=U$2, $E90&lt;U$2), IF($I90= "I", $J90/($F90-$E90+1), $J90/(($F90*($F90+1)/2)-(($E90-1)*($E90-1+1)/2))*T$2), 0)+IF(IF(time+1&gt;=U$2, $K90/time_cap/(time+1)*T$2, 0) = 0, $K90/(time_cap),0)),0)</f>
        <v/>
      </c>
      <c r="U90" s="4395">
        <f>IFERROR(IF((time+time_cap)&lt;U$2, 0,IF(AND(time+1&gt;=V$2, $E90&lt;V$2), IF($I90= "I", $J90/($F90-$E90+1), $J90/(($F90*($F90+1)/2)-(($E90-1)*($E90-1+1)/2))*U$2), 0)+IF(IF(time+1&gt;=V$2, $K90/time_cap/(time+1)*U$2, 0) = 0, $K90/(time_cap),0)),0)</f>
        <v/>
      </c>
      <c r="V90" s="4395">
        <f>IFERROR(IF((time+time_cap)&lt;V$2, 0,IF(AND(time+1&gt;=W$2, $E90&lt;W$2), IF($I90= "I", $J90/($F90-$E90+1), $J90/(($F90*($F90+1)/2)-(($E90-1)*($E90-1+1)/2))*V$2), 0)+IF(IF(time+1&gt;=W$2, $K90/time_cap/(time+1)*V$2, 0) = 0, $K90/(time_cap),0)),0)</f>
        <v/>
      </c>
      <c r="W90" s="4395">
        <f>IFERROR(IF((time+time_cap)&lt;W$2, 0,IF(AND(time+1&gt;=X$2, $E90&lt;X$2), IF($I90= "I", $J90/($F90-$E90+1), $J90/(($F90*($F90+1)/2)-(($E90-1)*($E90-1+1)/2))*W$2), 0)+IF(IF(time+1&gt;=X$2, $K90/time_cap/(time+1)*W$2, 0) = 0, $K90/(time_cap),0)),0)</f>
        <v/>
      </c>
      <c r="X90" s="4395">
        <f>IFERROR(IF((time+time_cap)&lt;X$2, 0,IF(AND(time+1&gt;=Y$2, $E90&lt;Y$2), IF($I90= "I", $J90/($F90-$E90+1), $J90/(($F90*($F90+1)/2)-(($E90-1)*($E90-1+1)/2))*X$2), 0)+IF(IF(time+1&gt;=Y$2, $K90/time_cap/(time+1)*X$2, 0) = 0, $K90/(time_cap),0)),0)</f>
        <v/>
      </c>
      <c r="Y90" s="4395">
        <f>IFERROR(IF((time+time_cap)&lt;Y$2, 0,IF(AND(time+1&gt;=Z$2, $E90&lt;Z$2), IF($I90= "I", $J90/($F90-$E90+1), $J90/(($F90*($F90+1)/2)-(($E90-1)*($E90-1+1)/2))*Y$2), 0)+IF(IF(time+1&gt;=Z$2, $K90/time_cap/(time+1)*Y$2, 0) = 0, $K90/(time_cap),0)),0)</f>
        <v/>
      </c>
      <c r="Z90" s="4395">
        <f>IFERROR(IF((time+time_cap)&lt;Z$2, 0,IF(AND(time+1&gt;=AA$2, $E90&lt;AA$2), IF($I90= "I", $J90/($F90-$E90+1), $J90/(($F90*($F90+1)/2)-(($E90-1)*($E90-1+1)/2))*Z$2), 0)+IF(IF(time+1&gt;=AA$2, $K90/time_cap/(time+1)*Z$2, 0) = 0, $K90/(time_cap),0)),0)</f>
        <v/>
      </c>
      <c r="AA90" s="4395">
        <f>IFERROR(IF((time+time_cap)&lt;AA$2, 0,IF(AND(time+1&gt;=AB$2, $E90&lt;AB$2), IF($I90= "I", $J90/($F90-$E90+1), $J90/(($F90*($F90+1)/2)-(($E90-1)*($E90-1+1)/2))*AA$2), 0)+IF(IF(time+1&gt;=AB$2, $K90/time_cap/(time+1)*AA$2, 0) = 0, $K90/(time_cap),0)),0)</f>
        <v/>
      </c>
      <c r="AB90" s="4395">
        <f>IFERROR(IF((time+time_cap)&lt;AB$2, 0,IF(AND(time+1&gt;=AC$2, $E90&lt;AC$2), IF($I90= "I", $J90/($F90-$E90+1), $J90/(($F90*($F90+1)/2)-(($E90-1)*($E90-1+1)/2))*AB$2), 0)+IF(IF(time+1&gt;=AC$2, $K90/time_cap/(time+1)*AB$2, 0) = 0, $K90/(time_cap),0)),0)</f>
        <v/>
      </c>
      <c r="AC90" s="4395">
        <f>IFERROR(IF((time+time_cap)&lt;AC$2, 0,IF(AND(time+1&gt;=AD$2, $E90&lt;AD$2), IF($I90= "I", $J90/($F90-$E90+1), $J90/(($F90*($F90+1)/2)-(($E90-1)*($E90-1+1)/2))*AC$2), 0)+IF(IF(time+1&gt;=AD$2, $K90/time_cap/(time+1)*AC$2, 0) = 0, $K90/(time_cap),0)),0)</f>
        <v/>
      </c>
      <c r="AD90" s="4395">
        <f>IFERROR(IF((time+time_cap)&lt;AD$2, 0,IF(AND(time+1&gt;=AE$2, $E90&lt;AE$2), IF($I90= "I", $J90/($F90-$E90+1), $J90/(($F90*($F90+1)/2)-(($E90-1)*($E90-1+1)/2))*AD$2), 0)+IF(IF(time+1&gt;=AE$2, $K90/time_cap/(time+1)*AD$2, 0) = 0, $K90/(time_cap),0)),0)</f>
        <v/>
      </c>
      <c r="AE90" s="4395">
        <f>IFERROR(IF((time+time_cap)&lt;AE$2, 0,IF(AND(time+1&gt;=AF$2, $E90&lt;AF$2), IF($I90= "I", $J90/($F90-$E90+1), $J90/(($F90*($F90+1)/2)-(($E90-1)*($E90-1+1)/2))*AE$2), 0)+IF(IF(time+1&gt;=AF$2, $K90/time_cap/(time+1)*AE$2, 0) = 0, $K90/(time_cap),0)),0)</f>
        <v/>
      </c>
      <c r="AF90" s="4395">
        <f>IFERROR(IF((time+time_cap)&lt;AF$2, 0,IF(AND(time+1&gt;=AG$2, $E90&lt;AG$2), IF($I90= "I", $J90/($F90-$E90+1), $J90/(($F90*($F90+1)/2)-(($E90-1)*($E90-1+1)/2))*AF$2), 0)+IF(IF(time+1&gt;=AG$2, $K90/time_cap/(time+1)*AF$2, 0) = 0, $K90/(time_cap),0)),0)</f>
        <v/>
      </c>
      <c r="AG90" s="4395">
        <f>IFERROR(IF((time+time_cap)&lt;AG$2, 0,IF(AND(time+1&gt;=AH$2, $E90&lt;AH$2), IF($I90= "I", $J90/($F90-$E90+1), $J90/(($F90*($F90+1)/2)-(($E90-1)*($E90-1+1)/2))*AG$2), 0)+IF(IF(time+1&gt;=AH$2, $K90/time_cap/(time+1)*AG$2, 0) = 0, $K90/(time_cap),0)),0)</f>
        <v/>
      </c>
      <c r="AH90" s="4395">
        <f>IFERROR(IF((time+time_cap)&lt;AH$2, 0,IF(AND(time+1&gt;=AI$2, $E90&lt;AI$2), IF($I90= "I", $J90/($F90-$E90+1), $J90/(($F90*($F90+1)/2)-(($E90-1)*($E90-1+1)/2))*AH$2), 0)+IF(IF(time+1&gt;=AI$2, $K90/time_cap/(time+1)*AH$2, 0) = 0, $K90/(time_cap),0)),0)</f>
        <v/>
      </c>
      <c r="AI90" s="4395">
        <f>IFERROR(IF((time+time_cap)&lt;AI$2, 0,IF(AND(time+1&gt;=AJ$2, $E90&lt;AJ$2), IF($I90= "I", $J90/($F90-$E90+1), $J90/(($F90*($F90+1)/2)-(($E90-1)*($E90-1+1)/2))*AI$2), 0)+IF(IF(time+1&gt;=AJ$2, $K90/time_cap/(time+1)*AI$2, 0) = 0, $K90/(time_cap),0)),0)</f>
        <v/>
      </c>
      <c r="AJ90" s="4395">
        <f>IFERROR(IF((time+time_cap)&lt;AJ$2, 0,IF(AND(time+1&gt;=AK$2, $E90&lt;AK$2), IF($I90= "I", $J90/($F90-$E90+1), $J90/(($F90*($F90+1)/2)-(($E90-1)*($E90-1+1)/2))*AJ$2), 0)+IF(IF(time+1&gt;=AK$2, $K90/time_cap/(time+1)*AJ$2, 0) = 0, $K90/(time_cap),0)),0)</f>
        <v/>
      </c>
      <c r="AK90" s="4395">
        <f>IFERROR(IF((time+time_cap)&lt;AK$2, 0,IF(AND(time+1&gt;=AL$2, $E90&lt;AL$2), IF($I90= "I", $J90/($F90-$E90+1), $J90/(($F90*($F90+1)/2)-(($E90-1)*($E90-1+1)/2))*AK$2), 0)+IF(IF(time+1&gt;=AL$2, $K90/time_cap/(time+1)*AK$2, 0) = 0, $K90/(time_cap),0)),0)</f>
        <v/>
      </c>
      <c r="AL90" s="4395">
        <f>IFERROR(IF((time+time_cap)&lt;AL$2, 0,IF(AND(time+1&gt;=AM$2, $E90&lt;AM$2), IF($I90= "I", $J90/($F90-$E90+1), $J90/(($F90*($F90+1)/2)-(($E90-1)*($E90-1+1)/2))*AL$2), 0)+IF(IF(time+1&gt;=AM$2, $K90/time_cap/(time+1)*AL$2, 0) = 0, $K90/(time_cap),0)),0)</f>
        <v/>
      </c>
      <c r="AM90" s="4395">
        <f>IFERROR(IF((time+time_cap)&lt;AM$2, 0,IF(AND(time+1&gt;=AN$2, $E90&lt;AN$2), IF($I90= "I", $J90/($F90-$E90+1), $J90/(($F90*($F90+1)/2)-(($E90-1)*($E90-1+1)/2))*AM$2), 0)+IF(IF(time+1&gt;=AN$2, $K90/time_cap/(time+1)*AM$2, 0) = 0, $K90/(time_cap),0)),0)</f>
        <v/>
      </c>
      <c r="AN90" s="4395">
        <f>IFERROR(IF((time+time_cap)&lt;AN$2, 0,IF(AND(time+1&gt;=AO$2, $E90&lt;AO$2), IF($I90= "I", $J90/($F90-$E90+1), $J90/(($F90*($F90+1)/2)-(($E90-1)*($E90-1+1)/2))*AN$2), 0)+IF(IF(time+1&gt;=AO$2, $K90/time_cap/(time+1)*AN$2, 0) = 0, $K90/(time_cap),0)),0)</f>
        <v/>
      </c>
      <c r="AO90" s="4395">
        <f>IFERROR(IF((time+time_cap)&lt;AO$2, 0,IF(AND(time+1&gt;=AP$2, $E90&lt;AP$2), IF($I90= "I", $J90/($F90-$E90+1), $J90/(($F90*($F90+1)/2)-(($E90-1)*($E90-1+1)/2))*AO$2), 0)+IF(IF(time+1&gt;=AP$2, $K90/time_cap/(time+1)*AO$2, 0) = 0, $K90/(time_cap),0)),0)</f>
        <v/>
      </c>
      <c r="AP90" s="4395">
        <f>IFERROR(IF((time+time_cap)&lt;AP$2, 0,IF(AND(time+1&gt;=AQ$2, $E90&lt;AQ$2), IF($I90= "I", $J90/($F90-$E90+1), $J90/(($F90*($F90+1)/2)-(($E90-1)*($E90-1+1)/2))*AP$2), 0)+IF(IF(time+1&gt;=AQ$2, $K90/time_cap/(time+1)*AP$2, 0) = 0, $K90/(time_cap),0)),0)</f>
        <v/>
      </c>
      <c r="AQ90" s="4395">
        <f>IFERROR(IF((time+time_cap)&lt;AQ$2, 0,IF(AND(time+1&gt;=AR$2, $E90&lt;AR$2), IF($I90= "I", $J90/($F90-$E90+1), $J90/(($F90*($F90+1)/2)-(($E90-1)*($E90-1+1)/2))*AQ$2), 0)+IF(IF(time+1&gt;=AR$2, $K90/time_cap/(time+1)*AQ$2, 0) = 0, $K90/(time_cap),0)),0)</f>
        <v/>
      </c>
      <c r="AR90" s="4395">
        <f>IFERROR(IF((time+time_cap)&lt;AR$2, 0,IF(AND(time+1&gt;=AS$2, $E90&lt;AS$2), IF($I90= "I", $J90/($F90-$E90+1), $J90/(($F90*($F90+1)/2)-(($E90-1)*($E90-1+1)/2))*AR$2), 0)+IF(IF(time+1&gt;=AS$2, $K90/time_cap/(time+1)*AR$2, 0) = 0, $K90/(time_cap),0)),0)</f>
        <v/>
      </c>
      <c r="AS90" s="4395">
        <f>IFERROR(IF((time+time_cap)&lt;AS$2, 0,IF(AND(time+1&gt;=AT$2, $E90&lt;AT$2), IF($I90= "I", $J90/($F90-$E90+1), $J90/(($F90*($F90+1)/2)-(($E90-1)*($E90-1+1)/2))*AS$2), 0)+IF(IF(time+1&gt;=AT$2, $K90/time_cap/(time+1)*AS$2, 0) = 0, $K90/(time_cap),0)),0)</f>
        <v/>
      </c>
      <c r="AT90" s="4395">
        <f>IFERROR(IF((time+time_cap)&lt;AT$2, 0,IF(AND(time+1&gt;=AU$2, $E90&lt;AU$2), IF($I90= "I", $J90/($F90-$E90+1), $J90/(($F90*($F90+1)/2)-(($E90-1)*($E90-1+1)/2))*AT$2), 0)+IF(IF(time+1&gt;=AU$2, $K90/time_cap/(time+1)*AT$2, 0) = 0, $K90/(time_cap),0)),0)</f>
        <v/>
      </c>
      <c r="AU90" s="4395">
        <f>IFERROR(IF((time+time_cap)&lt;AU$2, 0,IF(AND(time+1&gt;=AV$2, $E90&lt;AV$2), IF($I90= "I", $J90/($F90-$E90+1), $J90/(($F90*($F90+1)/2)-(($E90-1)*($E90-1+1)/2))*AU$2), 0)+IF(IF(time+1&gt;=AV$2, $K90/time_cap/(time+1)*AU$2, 0) = 0, $K90/(time_cap),0)),0)</f>
        <v/>
      </c>
      <c r="AV90" s="4395">
        <f>IFERROR(IF((time+time_cap)&lt;AV$2, 0,IF(AND(time+1&gt;=AW$2, $E90&lt;AW$2), IF($I90= "I", $J90/($F90-$E90+1), $J90/(($F90*($F90+1)/2)-(($E90-1)*($E90-1+1)/2))*AV$2), 0)+IF(IF(time+1&gt;=AW$2, $K90/time_cap/(time+1)*AV$2, 0) = 0, $K90/(time_cap),0)),0)</f>
        <v/>
      </c>
      <c r="AW90" s="4395">
        <f>IFERROR(IF((time+time_cap)&lt;AW$2, 0,IF(AND(time+1&gt;=AX$2, $E90&lt;AX$2), IF($I90= "I", $J90/($F90-$E90+1), $J90/(($F90*($F90+1)/2)-(($E90-1)*($E90-1+1)/2))*AW$2), 0)+IF(IF(time+1&gt;=AX$2, $K90/time_cap/(time+1)*AW$2, 0) = 0, $K90/(time_cap),0)),0)</f>
        <v/>
      </c>
      <c r="AX90" s="4395">
        <f>IFERROR(IF((time+time_cap)&lt;AX$2, 0,IF(AND(time+1&gt;=AY$2, $E90&lt;AY$2), IF($I90= "I", $J90/($F90-$E90+1), $J90/(($F90*($F90+1)/2)-(($E90-1)*($E90-1+1)/2))*AX$2), 0)+IF(IF(time+1&gt;=AY$2, $K90/time_cap/(time+1)*AX$2, 0) = 0, $K90/(time_cap),0)),0)</f>
        <v/>
      </c>
      <c r="AY90" s="4395">
        <f>IFERROR(IF((time+time_cap)&lt;AY$2, 0,IF(AND(time+1&gt;=AZ$2, $E90&lt;AZ$2), IF($I90= "I", $J90/($F90-$E90+1), $J90/(($F90*($F90+1)/2)-(($E90-1)*($E90-1+1)/2))*AY$2), 0)+IF(IF(time+1&gt;=AZ$2, $K90/time_cap/(time+1)*AY$2, 0) = 0, $K90/(time_cap),0)),0)</f>
        <v/>
      </c>
      <c r="AZ90" s="4395">
        <f>IFERROR(IF((time+time_cap)&lt;AZ$2, 0,IF(AND(time+1&gt;=BA$2, $E90&lt;BA$2), IF($I90= "I", $J90/($F90-$E90+1), $J90/(($F90*($F90+1)/2)-(($E90-1)*($E90-1+1)/2))*AZ$2), 0)+IF(IF(time+1&gt;=BA$2, $K90/time_cap/(time+1)*AZ$2, 0) = 0, $K90/(time_cap),0)),0)</f>
        <v/>
      </c>
      <c r="BA90" s="4395">
        <f>IFERROR(IF((time+time_cap)&lt;BA$2, 0,IF(AND(time+1&gt;=BB$2, $E90&lt;BB$2), IF($I90= "I", $J90/($F90-$E90+1), $J90/(($F90*($F90+1)/2)-(($E90-1)*($E90-1+1)/2))*BA$2), 0)+IF(IF(time+1&gt;=BB$2, $K90/time_cap/(time+1)*BA$2, 0) = 0, $K90/(time_cap),0)),0)</f>
        <v/>
      </c>
      <c r="BB90" s="4395">
        <f>IFERROR(IF((time+time_cap)&lt;BB$2, 0,IF(AND(time+1&gt;=BC$2, $E90&lt;BC$2), IF($I90= "I", $J90/($F90-$E90+1), $J90/(($F90*($F90+1)/2)-(($E90-1)*($E90-1+1)/2))*BB$2), 0)+IF(IF(time+1&gt;=BC$2, $K90/time_cap/(time+1)*BB$2, 0) = 0, $K90/(time_cap),0)),0)</f>
        <v/>
      </c>
      <c r="BC90" s="4395">
        <f>IFERROR(IF((time+time_cap)&lt;BC$2, 0,IF(AND(time+1&gt;=BD$2, $E90&lt;BD$2), IF($I90= "I", $J90/($F90-$E90+1), $J90/(($F90*($F90+1)/2)-(($E90-1)*($E90-1+1)/2))*BC$2), 0)+IF(IF(time+1&gt;=BD$2, $K90/time_cap/(time+1)*BC$2, 0) = 0, $K90/(time_cap),0)),0)</f>
        <v/>
      </c>
      <c r="BD90" s="4395">
        <f>IFERROR(IF((time+time_cap)&lt;BD$2, 0,IF(AND(time+1&gt;=BE$2, $E90&lt;BE$2), IF($I90= "I", $J90/($F90-$E90+1), $J90/(($F90*($F90+1)/2)-(($E90-1)*($E90-1+1)/2))*BD$2), 0)+IF(IF(time+1&gt;=BE$2, $K90/time_cap/(time+1)*BD$2, 0) = 0, $K90/(time_cap),0)),0)</f>
        <v/>
      </c>
      <c r="BE90" s="4395">
        <f>IFERROR(IF((time+time_cap)&lt;BE$2, 0,IF(AND(time+1&gt;=BF$2, $E90&lt;BF$2), IF($I90= "I", $J90/($F90-$E90+1), $J90/(($F90*($F90+1)/2)-(($E90-1)*($E90-1+1)/2))*BE$2), 0)+IF(IF(time+1&gt;=BF$2, $K90/time_cap/(time+1)*BE$2, 0) = 0, $K90/(time_cap),0)),0)</f>
        <v/>
      </c>
      <c r="BF90" s="4395">
        <f>IFERROR(IF((time+time_cap)&lt;BF$2, 0,IF(AND(time+1&gt;=BG$2, $E90&lt;BG$2), IF($I90= "I", $J90/($F90-$E90+1), $J90/(($F90*($F90+1)/2)-(($E90-1)*($E90-1+1)/2))*BF$2), 0)+IF(IF(time+1&gt;=BG$2, $K90/time_cap/(time+1)*BF$2, 0) = 0, $K90/(time_cap),0)),0)</f>
        <v/>
      </c>
      <c r="BG90" s="4395">
        <f>IFERROR(IF((time+time_cap)&lt;BG$2, 0,IF(AND(time+1&gt;=BH$2, $E90&lt;BH$2), IF($I90= "I", $J90/($F90-$E90+1), $J90/(($F90*($F90+1)/2)-(($E90-1)*($E90-1+1)/2))*BG$2), 0)+IF(IF(time+1&gt;=BH$2, $K90/time_cap/(time+1)*BG$2, 0) = 0, $K90/(time_cap),0)),0)</f>
        <v/>
      </c>
      <c r="BH90" s="4395">
        <f>IFERROR(IF((time+time_cap)&lt;BH$2, 0,IF(AND(time+1&gt;=BI$2, $E90&lt;BI$2), IF($I90= "I", $J90/($F90-$E90+1), $J90/(($F90*($F90+1)/2)-(($E90-1)*($E90-1+1)/2))*BH$2), 0)+IF(IF(time+1&gt;=BI$2, $K90/time_cap/(time+1)*BH$2, 0) = 0, $K90/(time_cap),0)),0)</f>
        <v/>
      </c>
      <c r="BI90" s="4395">
        <f>IFERROR(IF((time+time_cap)&lt;BI$2, 0,IF(AND(time+1&gt;=BJ$2, $E90&lt;BJ$2), IF($I90= "I", $J90/($F90-$E90+1), $J90/(($F90*($F90+1)/2)-(($E90-1)*($E90-1+1)/2))*BI$2), 0)+IF(IF(time+1&gt;=BJ$2, $K90/time_cap/(time+1)*BI$2, 0) = 0, $K90/(time_cap),0)),0)</f>
        <v/>
      </c>
      <c r="BJ90" s="4395">
        <f>IFERROR(IF((time+time_cap)&lt;BJ$2, 0,IF(AND(time+1&gt;=BK$2, $E90&lt;BK$2), IF($I90= "I", $J90/($F90-$E90+1), $J90/(($F90*($F90+1)/2)-(($E90-1)*($E90-1+1)/2))*BJ$2), 0)+IF(IF(time+1&gt;=BK$2, $K90/time_cap/(time+1)*BJ$2, 0) = 0, $K90/(time_cap),0)),0)</f>
        <v/>
      </c>
      <c r="BK90" s="4395" t="n"/>
      <c r="BL90" s="4395" t="n"/>
      <c r="BM90" s="4395" t="n"/>
      <c r="BN90" s="4395" t="n"/>
      <c r="BO90" s="4395" t="n"/>
      <c r="BP90" s="4395" t="n"/>
      <c r="BQ90" s="4395" t="n"/>
      <c r="BR90" s="4395" t="n"/>
      <c r="BS90" s="4395" t="n"/>
      <c r="BT90" s="4395" t="n"/>
      <c r="BU90" s="4395" t="n"/>
      <c r="BV90" s="4395" t="n"/>
      <c r="BW90" s="4395" t="n"/>
      <c r="BX90" s="4395" t="n"/>
      <c r="BY90" s="4395" t="n"/>
      <c r="BZ90" s="4395" t="n"/>
      <c r="CA90" s="4395" t="n"/>
      <c r="CB90" s="4395" t="n"/>
      <c r="CC90" s="4395" t="n"/>
      <c r="CD90" s="4395" t="n"/>
      <c r="CE90" s="4395" t="n"/>
      <c r="CF90" s="4395" t="n"/>
      <c r="CG90" s="4395" t="n"/>
      <c r="CH90" s="4395" t="n"/>
      <c r="CI90" s="4395" t="n"/>
      <c r="CJ90" s="4395" t="n"/>
      <c r="CK90" s="4395" t="n"/>
      <c r="CL90" s="4395" t="n"/>
      <c r="CM90" s="4395" t="n"/>
      <c r="CN90" s="4395" t="n"/>
      <c r="CO90" s="4395" t="n"/>
      <c r="CP90" s="4395" t="n"/>
      <c r="CQ90" s="4395" t="n"/>
      <c r="CR90" s="4395" t="n"/>
      <c r="CS90" s="4395" t="n"/>
      <c r="CT90" s="4395" t="n"/>
      <c r="CU90" s="4395" t="n"/>
      <c r="CV90" s="4395" t="n"/>
      <c r="CW90" s="4395" t="n"/>
      <c r="CX90" s="4395" t="n"/>
      <c r="CY90" s="4395" t="n"/>
      <c r="CZ90" s="4395" t="n"/>
      <c r="DA90" s="4395" t="n"/>
      <c r="DB90" s="4395" t="n"/>
      <c r="DC90" s="4395" t="n"/>
      <c r="DD90" s="4395" t="n"/>
      <c r="DE90" s="4395" t="n"/>
      <c r="DF90" s="4395" t="n"/>
      <c r="DG90" s="4395" t="n"/>
      <c r="DH90" s="4395" t="n"/>
    </row>
    <row r="91" ht="16" customHeight="1">
      <c r="A91" t="inlineStr">
        <is>
          <t>Grassland</t>
        </is>
      </c>
      <c r="B91">
        <f>'4.Grassland'!D34</f>
        <v/>
      </c>
      <c r="C91">
        <f>'4.Grassland'!G34</f>
        <v/>
      </c>
      <c r="D91">
        <f>'4.Grassland'!AG34</f>
        <v/>
      </c>
      <c r="E91">
        <f>IF('4.Grassland'!BR34&lt;&gt;0,'4.Grassland'!BR34, '4.Grassland'!BQ34)</f>
        <v/>
      </c>
      <c r="F91">
        <f>time</f>
        <v/>
      </c>
      <c r="G91" s="4395">
        <f>'4.Grassland'!Y34</f>
        <v/>
      </c>
      <c r="H91" s="4395">
        <f>'4.Grassland'!AA34</f>
        <v/>
      </c>
      <c r="I91" s="4395">
        <f>IF(OR(H91="I", G91="I"), "I", IF(OR(H91="E", G91="E"), "E", "D"))</f>
        <v/>
      </c>
      <c r="J91" s="4395">
        <f>((D91/(time_cap+((F91-E91+1)*VLOOKUP(I91,list!$I$48:$K$50,3, FALSE))))*(F91-E91+1)*VLOOKUP(I91,list!$I$48:$K$50,3, FALSE))</f>
        <v/>
      </c>
      <c r="K91" s="4395">
        <f>((D91/(time_cap+((F91-E91+1)*VLOOKUP(I91,list!$I$48:$K$50,3, FALSE))))*time_cap)</f>
        <v/>
      </c>
      <c r="M91" s="4395">
        <f>IFERROR(IF((time+time_cap)&lt;M$2, 0,IF(AND(time+1&gt;=N$2, $E91&lt;N$2), IF($I91= "I", $J91/($F91-$E91+1), $J91/(($F91*($F91+1)/2)-(($E91-1)*($E91-1+1)/2))*M$2), 0)+IF(IF(time+1&gt;=N$2, $K91/time_cap/(time+1)*M$2, 0) = 0, $K91/(time_cap),0)),0)</f>
        <v/>
      </c>
      <c r="N91" s="4395">
        <f>IFERROR(IF((time+time_cap)&lt;N$2, 0,IF(AND(time+1&gt;=O$2, $E91&lt;O$2), IF($I91= "I", $J91/($F91-$E91+1), $J91/(($F91*($F91+1)/2)-(($E91-1)*($E91-1+1)/2))*N$2), 0)+IF(IF(time+1&gt;=O$2, $K91/time_cap/(time+1)*N$2, 0) = 0, $K91/(time_cap),0)),0)</f>
        <v/>
      </c>
      <c r="O91" s="4395">
        <f>IFERROR(IF((time+time_cap)&lt;O$2, 0,IF(AND(time+1&gt;=P$2, $E91&lt;P$2), IF($I91= "I", $J91/($F91-$E91+1), $J91/(($F91*($F91+1)/2)-(($E91-1)*($E91-1+1)/2))*O$2), 0)+IF(IF(time+1&gt;=P$2, $K91/time_cap/(time+1)*O$2, 0) = 0, $K91/(time_cap),0)),0)</f>
        <v/>
      </c>
      <c r="P91" s="4395">
        <f>IFERROR(IF((time+time_cap)&lt;P$2, 0,IF(AND(time+1&gt;=Q$2, $E91&lt;Q$2), IF($I91= "I", $J91/($F91-$E91+1), $J91/(($F91*($F91+1)/2)-(($E91-1)*($E91-1+1)/2))*P$2), 0)+IF(IF(time+1&gt;=Q$2, $K91/time_cap/(time+1)*P$2, 0) = 0, $K91/(time_cap),0)),0)</f>
        <v/>
      </c>
      <c r="Q91" s="4395">
        <f>IFERROR(IF((time+time_cap)&lt;Q$2, 0,IF(AND(time+1&gt;=R$2, $E91&lt;R$2), IF($I91= "I", $J91/($F91-$E91+1), $J91/(($F91*($F91+1)/2)-(($E91-1)*($E91-1+1)/2))*Q$2), 0)+IF(IF(time+1&gt;=R$2, $K91/time_cap/(time+1)*Q$2, 0) = 0, $K91/(time_cap),0)),0)</f>
        <v/>
      </c>
      <c r="R91" s="4395">
        <f>IFERROR(IF((time+time_cap)&lt;R$2, 0,IF(AND(time+1&gt;=S$2, $E91&lt;S$2), IF($I91= "I", $J91/($F91-$E91+1), $J91/(($F91*($F91+1)/2)-(($E91-1)*($E91-1+1)/2))*R$2), 0)+IF(IF(time+1&gt;=S$2, $K91/time_cap/(time+1)*R$2, 0) = 0, $K91/(time_cap),0)),0)</f>
        <v/>
      </c>
      <c r="S91" s="4395">
        <f>IFERROR(IF((time+time_cap)&lt;S$2, 0,IF(AND(time+1&gt;=T$2, $E91&lt;T$2), IF($I91= "I", $J91/($F91-$E91+1), $J91/(($F91*($F91+1)/2)-(($E91-1)*($E91-1+1)/2))*S$2), 0)+IF(IF(time+1&gt;=T$2, $K91/time_cap/(time+1)*S$2, 0) = 0, $K91/(time_cap),0)),0)</f>
        <v/>
      </c>
      <c r="T91" s="4395">
        <f>IFERROR(IF((time+time_cap)&lt;T$2, 0,IF(AND(time+1&gt;=U$2, $E91&lt;U$2), IF($I91= "I", $J91/($F91-$E91+1), $J91/(($F91*($F91+1)/2)-(($E91-1)*($E91-1+1)/2))*T$2), 0)+IF(IF(time+1&gt;=U$2, $K91/time_cap/(time+1)*T$2, 0) = 0, $K91/(time_cap),0)),0)</f>
        <v/>
      </c>
      <c r="U91" s="4395">
        <f>IFERROR(IF((time+time_cap)&lt;U$2, 0,IF(AND(time+1&gt;=V$2, $E91&lt;V$2), IF($I91= "I", $J91/($F91-$E91+1), $J91/(($F91*($F91+1)/2)-(($E91-1)*($E91-1+1)/2))*U$2), 0)+IF(IF(time+1&gt;=V$2, $K91/time_cap/(time+1)*U$2, 0) = 0, $K91/(time_cap),0)),0)</f>
        <v/>
      </c>
      <c r="V91" s="4395">
        <f>IFERROR(IF((time+time_cap)&lt;V$2, 0,IF(AND(time+1&gt;=W$2, $E91&lt;W$2), IF($I91= "I", $J91/($F91-$E91+1), $J91/(($F91*($F91+1)/2)-(($E91-1)*($E91-1+1)/2))*V$2), 0)+IF(IF(time+1&gt;=W$2, $K91/time_cap/(time+1)*V$2, 0) = 0, $K91/(time_cap),0)),0)</f>
        <v/>
      </c>
      <c r="W91" s="4395">
        <f>IFERROR(IF((time+time_cap)&lt;W$2, 0,IF(AND(time+1&gt;=X$2, $E91&lt;X$2), IF($I91= "I", $J91/($F91-$E91+1), $J91/(($F91*($F91+1)/2)-(($E91-1)*($E91-1+1)/2))*W$2), 0)+IF(IF(time+1&gt;=X$2, $K91/time_cap/(time+1)*W$2, 0) = 0, $K91/(time_cap),0)),0)</f>
        <v/>
      </c>
      <c r="X91" s="4395">
        <f>IFERROR(IF((time+time_cap)&lt;X$2, 0,IF(AND(time+1&gt;=Y$2, $E91&lt;Y$2), IF($I91= "I", $J91/($F91-$E91+1), $J91/(($F91*($F91+1)/2)-(($E91-1)*($E91-1+1)/2))*X$2), 0)+IF(IF(time+1&gt;=Y$2, $K91/time_cap/(time+1)*X$2, 0) = 0, $K91/(time_cap),0)),0)</f>
        <v/>
      </c>
      <c r="Y91" s="4395">
        <f>IFERROR(IF((time+time_cap)&lt;Y$2, 0,IF(AND(time+1&gt;=Z$2, $E91&lt;Z$2), IF($I91= "I", $J91/($F91-$E91+1), $J91/(($F91*($F91+1)/2)-(($E91-1)*($E91-1+1)/2))*Y$2), 0)+IF(IF(time+1&gt;=Z$2, $K91/time_cap/(time+1)*Y$2, 0) = 0, $K91/(time_cap),0)),0)</f>
        <v/>
      </c>
      <c r="Z91" s="4395">
        <f>IFERROR(IF((time+time_cap)&lt;Z$2, 0,IF(AND(time+1&gt;=AA$2, $E91&lt;AA$2), IF($I91= "I", $J91/($F91-$E91+1), $J91/(($F91*($F91+1)/2)-(($E91-1)*($E91-1+1)/2))*Z$2), 0)+IF(IF(time+1&gt;=AA$2, $K91/time_cap/(time+1)*Z$2, 0) = 0, $K91/(time_cap),0)),0)</f>
        <v/>
      </c>
      <c r="AA91" s="4395">
        <f>IFERROR(IF((time+time_cap)&lt;AA$2, 0,IF(AND(time+1&gt;=AB$2, $E91&lt;AB$2), IF($I91= "I", $J91/($F91-$E91+1), $J91/(($F91*($F91+1)/2)-(($E91-1)*($E91-1+1)/2))*AA$2), 0)+IF(IF(time+1&gt;=AB$2, $K91/time_cap/(time+1)*AA$2, 0) = 0, $K91/(time_cap),0)),0)</f>
        <v/>
      </c>
      <c r="AB91" s="4395">
        <f>IFERROR(IF((time+time_cap)&lt;AB$2, 0,IF(AND(time+1&gt;=AC$2, $E91&lt;AC$2), IF($I91= "I", $J91/($F91-$E91+1), $J91/(($F91*($F91+1)/2)-(($E91-1)*($E91-1+1)/2))*AB$2), 0)+IF(IF(time+1&gt;=AC$2, $K91/time_cap/(time+1)*AB$2, 0) = 0, $K91/(time_cap),0)),0)</f>
        <v/>
      </c>
      <c r="AC91" s="4395">
        <f>IFERROR(IF((time+time_cap)&lt;AC$2, 0,IF(AND(time+1&gt;=AD$2, $E91&lt;AD$2), IF($I91= "I", $J91/($F91-$E91+1), $J91/(($F91*($F91+1)/2)-(($E91-1)*($E91-1+1)/2))*AC$2), 0)+IF(IF(time+1&gt;=AD$2, $K91/time_cap/(time+1)*AC$2, 0) = 0, $K91/(time_cap),0)),0)</f>
        <v/>
      </c>
      <c r="AD91" s="4395">
        <f>IFERROR(IF((time+time_cap)&lt;AD$2, 0,IF(AND(time+1&gt;=AE$2, $E91&lt;AE$2), IF($I91= "I", $J91/($F91-$E91+1), $J91/(($F91*($F91+1)/2)-(($E91-1)*($E91-1+1)/2))*AD$2), 0)+IF(IF(time+1&gt;=AE$2, $K91/time_cap/(time+1)*AD$2, 0) = 0, $K91/(time_cap),0)),0)</f>
        <v/>
      </c>
      <c r="AE91" s="4395">
        <f>IFERROR(IF((time+time_cap)&lt;AE$2, 0,IF(AND(time+1&gt;=AF$2, $E91&lt;AF$2), IF($I91= "I", $J91/($F91-$E91+1), $J91/(($F91*($F91+1)/2)-(($E91-1)*($E91-1+1)/2))*AE$2), 0)+IF(IF(time+1&gt;=AF$2, $K91/time_cap/(time+1)*AE$2, 0) = 0, $K91/(time_cap),0)),0)</f>
        <v/>
      </c>
      <c r="AF91" s="4395">
        <f>IFERROR(IF((time+time_cap)&lt;AF$2, 0,IF(AND(time+1&gt;=AG$2, $E91&lt;AG$2), IF($I91= "I", $J91/($F91-$E91+1), $J91/(($F91*($F91+1)/2)-(($E91-1)*($E91-1+1)/2))*AF$2), 0)+IF(IF(time+1&gt;=AG$2, $K91/time_cap/(time+1)*AF$2, 0) = 0, $K91/(time_cap),0)),0)</f>
        <v/>
      </c>
      <c r="AG91" s="4395">
        <f>IFERROR(IF((time+time_cap)&lt;AG$2, 0,IF(AND(time+1&gt;=AH$2, $E91&lt;AH$2), IF($I91= "I", $J91/($F91-$E91+1), $J91/(($F91*($F91+1)/2)-(($E91-1)*($E91-1+1)/2))*AG$2), 0)+IF(IF(time+1&gt;=AH$2, $K91/time_cap/(time+1)*AG$2, 0) = 0, $K91/(time_cap),0)),0)</f>
        <v/>
      </c>
      <c r="AH91" s="4395">
        <f>IFERROR(IF((time+time_cap)&lt;AH$2, 0,IF(AND(time+1&gt;=AI$2, $E91&lt;AI$2), IF($I91= "I", $J91/($F91-$E91+1), $J91/(($F91*($F91+1)/2)-(($E91-1)*($E91-1+1)/2))*AH$2), 0)+IF(IF(time+1&gt;=AI$2, $K91/time_cap/(time+1)*AH$2, 0) = 0, $K91/(time_cap),0)),0)</f>
        <v/>
      </c>
      <c r="AI91" s="4395">
        <f>IFERROR(IF((time+time_cap)&lt;AI$2, 0,IF(AND(time+1&gt;=AJ$2, $E91&lt;AJ$2), IF($I91= "I", $J91/($F91-$E91+1), $J91/(($F91*($F91+1)/2)-(($E91-1)*($E91-1+1)/2))*AI$2), 0)+IF(IF(time+1&gt;=AJ$2, $K91/time_cap/(time+1)*AI$2, 0) = 0, $K91/(time_cap),0)),0)</f>
        <v/>
      </c>
      <c r="AJ91" s="4395">
        <f>IFERROR(IF((time+time_cap)&lt;AJ$2, 0,IF(AND(time+1&gt;=AK$2, $E91&lt;AK$2), IF($I91= "I", $J91/($F91-$E91+1), $J91/(($F91*($F91+1)/2)-(($E91-1)*($E91-1+1)/2))*AJ$2), 0)+IF(IF(time+1&gt;=AK$2, $K91/time_cap/(time+1)*AJ$2, 0) = 0, $K91/(time_cap),0)),0)</f>
        <v/>
      </c>
      <c r="AK91" s="4395">
        <f>IFERROR(IF((time+time_cap)&lt;AK$2, 0,IF(AND(time+1&gt;=AL$2, $E91&lt;AL$2), IF($I91= "I", $J91/($F91-$E91+1), $J91/(($F91*($F91+1)/2)-(($E91-1)*($E91-1+1)/2))*AK$2), 0)+IF(IF(time+1&gt;=AL$2, $K91/time_cap/(time+1)*AK$2, 0) = 0, $K91/(time_cap),0)),0)</f>
        <v/>
      </c>
      <c r="AL91" s="4395">
        <f>IFERROR(IF((time+time_cap)&lt;AL$2, 0,IF(AND(time+1&gt;=AM$2, $E91&lt;AM$2), IF($I91= "I", $J91/($F91-$E91+1), $J91/(($F91*($F91+1)/2)-(($E91-1)*($E91-1+1)/2))*AL$2), 0)+IF(IF(time+1&gt;=AM$2, $K91/time_cap/(time+1)*AL$2, 0) = 0, $K91/(time_cap),0)),0)</f>
        <v/>
      </c>
      <c r="AM91" s="4395">
        <f>IFERROR(IF((time+time_cap)&lt;AM$2, 0,IF(AND(time+1&gt;=AN$2, $E91&lt;AN$2), IF($I91= "I", $J91/($F91-$E91+1), $J91/(($F91*($F91+1)/2)-(($E91-1)*($E91-1+1)/2))*AM$2), 0)+IF(IF(time+1&gt;=AN$2, $K91/time_cap/(time+1)*AM$2, 0) = 0, $K91/(time_cap),0)),0)</f>
        <v/>
      </c>
      <c r="AN91" s="4395">
        <f>IFERROR(IF((time+time_cap)&lt;AN$2, 0,IF(AND(time+1&gt;=AO$2, $E91&lt;AO$2), IF($I91= "I", $J91/($F91-$E91+1), $J91/(($F91*($F91+1)/2)-(($E91-1)*($E91-1+1)/2))*AN$2), 0)+IF(IF(time+1&gt;=AO$2, $K91/time_cap/(time+1)*AN$2, 0) = 0, $K91/(time_cap),0)),0)</f>
        <v/>
      </c>
      <c r="AO91" s="4395">
        <f>IFERROR(IF((time+time_cap)&lt;AO$2, 0,IF(AND(time+1&gt;=AP$2, $E91&lt;AP$2), IF($I91= "I", $J91/($F91-$E91+1), $J91/(($F91*($F91+1)/2)-(($E91-1)*($E91-1+1)/2))*AO$2), 0)+IF(IF(time+1&gt;=AP$2, $K91/time_cap/(time+1)*AO$2, 0) = 0, $K91/(time_cap),0)),0)</f>
        <v/>
      </c>
      <c r="AP91" s="4395">
        <f>IFERROR(IF((time+time_cap)&lt;AP$2, 0,IF(AND(time+1&gt;=AQ$2, $E91&lt;AQ$2), IF($I91= "I", $J91/($F91-$E91+1), $J91/(($F91*($F91+1)/2)-(($E91-1)*($E91-1+1)/2))*AP$2), 0)+IF(IF(time+1&gt;=AQ$2, $K91/time_cap/(time+1)*AP$2, 0) = 0, $K91/(time_cap),0)),0)</f>
        <v/>
      </c>
      <c r="AQ91" s="4395">
        <f>IFERROR(IF((time+time_cap)&lt;AQ$2, 0,IF(AND(time+1&gt;=AR$2, $E91&lt;AR$2), IF($I91= "I", $J91/($F91-$E91+1), $J91/(($F91*($F91+1)/2)-(($E91-1)*($E91-1+1)/2))*AQ$2), 0)+IF(IF(time+1&gt;=AR$2, $K91/time_cap/(time+1)*AQ$2, 0) = 0, $K91/(time_cap),0)),0)</f>
        <v/>
      </c>
      <c r="AR91" s="4395">
        <f>IFERROR(IF((time+time_cap)&lt;AR$2, 0,IF(AND(time+1&gt;=AS$2, $E91&lt;AS$2), IF($I91= "I", $J91/($F91-$E91+1), $J91/(($F91*($F91+1)/2)-(($E91-1)*($E91-1+1)/2))*AR$2), 0)+IF(IF(time+1&gt;=AS$2, $K91/time_cap/(time+1)*AR$2, 0) = 0, $K91/(time_cap),0)),0)</f>
        <v/>
      </c>
      <c r="AS91" s="4395">
        <f>IFERROR(IF((time+time_cap)&lt;AS$2, 0,IF(AND(time+1&gt;=AT$2, $E91&lt;AT$2), IF($I91= "I", $J91/($F91-$E91+1), $J91/(($F91*($F91+1)/2)-(($E91-1)*($E91-1+1)/2))*AS$2), 0)+IF(IF(time+1&gt;=AT$2, $K91/time_cap/(time+1)*AS$2, 0) = 0, $K91/(time_cap),0)),0)</f>
        <v/>
      </c>
      <c r="AT91" s="4395">
        <f>IFERROR(IF((time+time_cap)&lt;AT$2, 0,IF(AND(time+1&gt;=AU$2, $E91&lt;AU$2), IF($I91= "I", $J91/($F91-$E91+1), $J91/(($F91*($F91+1)/2)-(($E91-1)*($E91-1+1)/2))*AT$2), 0)+IF(IF(time+1&gt;=AU$2, $K91/time_cap/(time+1)*AT$2, 0) = 0, $K91/(time_cap),0)),0)</f>
        <v/>
      </c>
      <c r="AU91" s="4395">
        <f>IFERROR(IF((time+time_cap)&lt;AU$2, 0,IF(AND(time+1&gt;=AV$2, $E91&lt;AV$2), IF($I91= "I", $J91/($F91-$E91+1), $J91/(($F91*($F91+1)/2)-(($E91-1)*($E91-1+1)/2))*AU$2), 0)+IF(IF(time+1&gt;=AV$2, $K91/time_cap/(time+1)*AU$2, 0) = 0, $K91/(time_cap),0)),0)</f>
        <v/>
      </c>
      <c r="AV91" s="4395">
        <f>IFERROR(IF((time+time_cap)&lt;AV$2, 0,IF(AND(time+1&gt;=AW$2, $E91&lt;AW$2), IF($I91= "I", $J91/($F91-$E91+1), $J91/(($F91*($F91+1)/2)-(($E91-1)*($E91-1+1)/2))*AV$2), 0)+IF(IF(time+1&gt;=AW$2, $K91/time_cap/(time+1)*AV$2, 0) = 0, $K91/(time_cap),0)),0)</f>
        <v/>
      </c>
      <c r="AW91" s="4395">
        <f>IFERROR(IF((time+time_cap)&lt;AW$2, 0,IF(AND(time+1&gt;=AX$2, $E91&lt;AX$2), IF($I91= "I", $J91/($F91-$E91+1), $J91/(($F91*($F91+1)/2)-(($E91-1)*($E91-1+1)/2))*AW$2), 0)+IF(IF(time+1&gt;=AX$2, $K91/time_cap/(time+1)*AW$2, 0) = 0, $K91/(time_cap),0)),0)</f>
        <v/>
      </c>
      <c r="AX91" s="4395">
        <f>IFERROR(IF((time+time_cap)&lt;AX$2, 0,IF(AND(time+1&gt;=AY$2, $E91&lt;AY$2), IF($I91= "I", $J91/($F91-$E91+1), $J91/(($F91*($F91+1)/2)-(($E91-1)*($E91-1+1)/2))*AX$2), 0)+IF(IF(time+1&gt;=AY$2, $K91/time_cap/(time+1)*AX$2, 0) = 0, $K91/(time_cap),0)),0)</f>
        <v/>
      </c>
      <c r="AY91" s="4395">
        <f>IFERROR(IF((time+time_cap)&lt;AY$2, 0,IF(AND(time+1&gt;=AZ$2, $E91&lt;AZ$2), IF($I91= "I", $J91/($F91-$E91+1), $J91/(($F91*($F91+1)/2)-(($E91-1)*($E91-1+1)/2))*AY$2), 0)+IF(IF(time+1&gt;=AZ$2, $K91/time_cap/(time+1)*AY$2, 0) = 0, $K91/(time_cap),0)),0)</f>
        <v/>
      </c>
      <c r="AZ91" s="4395">
        <f>IFERROR(IF((time+time_cap)&lt;AZ$2, 0,IF(AND(time+1&gt;=BA$2, $E91&lt;BA$2), IF($I91= "I", $J91/($F91-$E91+1), $J91/(($F91*($F91+1)/2)-(($E91-1)*($E91-1+1)/2))*AZ$2), 0)+IF(IF(time+1&gt;=BA$2, $K91/time_cap/(time+1)*AZ$2, 0) = 0, $K91/(time_cap),0)),0)</f>
        <v/>
      </c>
      <c r="BA91" s="4395">
        <f>IFERROR(IF((time+time_cap)&lt;BA$2, 0,IF(AND(time+1&gt;=BB$2, $E91&lt;BB$2), IF($I91= "I", $J91/($F91-$E91+1), $J91/(($F91*($F91+1)/2)-(($E91-1)*($E91-1+1)/2))*BA$2), 0)+IF(IF(time+1&gt;=BB$2, $K91/time_cap/(time+1)*BA$2, 0) = 0, $K91/(time_cap),0)),0)</f>
        <v/>
      </c>
      <c r="BB91" s="4395">
        <f>IFERROR(IF((time+time_cap)&lt;BB$2, 0,IF(AND(time+1&gt;=BC$2, $E91&lt;BC$2), IF($I91= "I", $J91/($F91-$E91+1), $J91/(($F91*($F91+1)/2)-(($E91-1)*($E91-1+1)/2))*BB$2), 0)+IF(IF(time+1&gt;=BC$2, $K91/time_cap/(time+1)*BB$2, 0) = 0, $K91/(time_cap),0)),0)</f>
        <v/>
      </c>
      <c r="BC91" s="4395">
        <f>IFERROR(IF((time+time_cap)&lt;BC$2, 0,IF(AND(time+1&gt;=BD$2, $E91&lt;BD$2), IF($I91= "I", $J91/($F91-$E91+1), $J91/(($F91*($F91+1)/2)-(($E91-1)*($E91-1+1)/2))*BC$2), 0)+IF(IF(time+1&gt;=BD$2, $K91/time_cap/(time+1)*BC$2, 0) = 0, $K91/(time_cap),0)),0)</f>
        <v/>
      </c>
      <c r="BD91" s="4395">
        <f>IFERROR(IF((time+time_cap)&lt;BD$2, 0,IF(AND(time+1&gt;=BE$2, $E91&lt;BE$2), IF($I91= "I", $J91/($F91-$E91+1), $J91/(($F91*($F91+1)/2)-(($E91-1)*($E91-1+1)/2))*BD$2), 0)+IF(IF(time+1&gt;=BE$2, $K91/time_cap/(time+1)*BD$2, 0) = 0, $K91/(time_cap),0)),0)</f>
        <v/>
      </c>
      <c r="BE91" s="4395">
        <f>IFERROR(IF((time+time_cap)&lt;BE$2, 0,IF(AND(time+1&gt;=BF$2, $E91&lt;BF$2), IF($I91= "I", $J91/($F91-$E91+1), $J91/(($F91*($F91+1)/2)-(($E91-1)*($E91-1+1)/2))*BE$2), 0)+IF(IF(time+1&gt;=BF$2, $K91/time_cap/(time+1)*BE$2, 0) = 0, $K91/(time_cap),0)),0)</f>
        <v/>
      </c>
      <c r="BF91" s="4395">
        <f>IFERROR(IF((time+time_cap)&lt;BF$2, 0,IF(AND(time+1&gt;=BG$2, $E91&lt;BG$2), IF($I91= "I", $J91/($F91-$E91+1), $J91/(($F91*($F91+1)/2)-(($E91-1)*($E91-1+1)/2))*BF$2), 0)+IF(IF(time+1&gt;=BG$2, $K91/time_cap/(time+1)*BF$2, 0) = 0, $K91/(time_cap),0)),0)</f>
        <v/>
      </c>
      <c r="BG91" s="4395">
        <f>IFERROR(IF((time+time_cap)&lt;BG$2, 0,IF(AND(time+1&gt;=BH$2, $E91&lt;BH$2), IF($I91= "I", $J91/($F91-$E91+1), $J91/(($F91*($F91+1)/2)-(($E91-1)*($E91-1+1)/2))*BG$2), 0)+IF(IF(time+1&gt;=BH$2, $K91/time_cap/(time+1)*BG$2, 0) = 0, $K91/(time_cap),0)),0)</f>
        <v/>
      </c>
      <c r="BH91" s="4395">
        <f>IFERROR(IF((time+time_cap)&lt;BH$2, 0,IF(AND(time+1&gt;=BI$2, $E91&lt;BI$2), IF($I91= "I", $J91/($F91-$E91+1), $J91/(($F91*($F91+1)/2)-(($E91-1)*($E91-1+1)/2))*BH$2), 0)+IF(IF(time+1&gt;=BI$2, $K91/time_cap/(time+1)*BH$2, 0) = 0, $K91/(time_cap),0)),0)</f>
        <v/>
      </c>
      <c r="BI91" s="4395">
        <f>IFERROR(IF((time+time_cap)&lt;BI$2, 0,IF(AND(time+1&gt;=BJ$2, $E91&lt;BJ$2), IF($I91= "I", $J91/($F91-$E91+1), $J91/(($F91*($F91+1)/2)-(($E91-1)*($E91-1+1)/2))*BI$2), 0)+IF(IF(time+1&gt;=BJ$2, $K91/time_cap/(time+1)*BI$2, 0) = 0, $K91/(time_cap),0)),0)</f>
        <v/>
      </c>
      <c r="BJ91" s="4395">
        <f>IFERROR(IF((time+time_cap)&lt;BJ$2, 0,IF(AND(time+1&gt;=BK$2, $E91&lt;BK$2), IF($I91= "I", $J91/($F91-$E91+1), $J91/(($F91*($F91+1)/2)-(($E91-1)*($E91-1+1)/2))*BJ$2), 0)+IF(IF(time+1&gt;=BK$2, $K91/time_cap/(time+1)*BJ$2, 0) = 0, $K91/(time_cap),0)),0)</f>
        <v/>
      </c>
      <c r="BK91" s="4395" t="n"/>
      <c r="BL91" s="4395" t="n"/>
      <c r="BM91" s="4395" t="n"/>
      <c r="BN91" s="4395" t="n"/>
      <c r="BO91" s="4395" t="n"/>
      <c r="BP91" s="4395" t="n"/>
      <c r="BQ91" s="4395" t="n"/>
      <c r="BR91" s="4395" t="n"/>
      <c r="BS91" s="4395" t="n"/>
      <c r="BT91" s="4395" t="n"/>
      <c r="BU91" s="4395" t="n"/>
      <c r="BV91" s="4395" t="n"/>
      <c r="BW91" s="4395" t="n"/>
      <c r="BX91" s="4395" t="n"/>
      <c r="BY91" s="4395" t="n"/>
      <c r="BZ91" s="4395" t="n"/>
      <c r="CA91" s="4395" t="n"/>
      <c r="CB91" s="4395" t="n"/>
      <c r="CC91" s="4395" t="n"/>
      <c r="CD91" s="4395" t="n"/>
      <c r="CE91" s="4395" t="n"/>
      <c r="CF91" s="4395" t="n"/>
      <c r="CG91" s="4395" t="n"/>
      <c r="CH91" s="4395" t="n"/>
      <c r="CI91" s="4395" t="n"/>
      <c r="CJ91" s="4395" t="n"/>
      <c r="CK91" s="4395" t="n"/>
      <c r="CL91" s="4395" t="n"/>
      <c r="CM91" s="4395" t="n"/>
      <c r="CN91" s="4395" t="n"/>
      <c r="CO91" s="4395" t="n"/>
      <c r="CP91" s="4395" t="n"/>
      <c r="CQ91" s="4395" t="n"/>
      <c r="CR91" s="4395" t="n"/>
      <c r="CS91" s="4395" t="n"/>
      <c r="CT91" s="4395" t="n"/>
      <c r="CU91" s="4395" t="n"/>
      <c r="CV91" s="4395" t="n"/>
      <c r="CW91" s="4395" t="n"/>
      <c r="CX91" s="4395" t="n"/>
      <c r="CY91" s="4395" t="n"/>
      <c r="CZ91" s="4395" t="n"/>
      <c r="DA91" s="4395" t="n"/>
      <c r="DB91" s="4395" t="n"/>
      <c r="DC91" s="4395" t="n"/>
      <c r="DD91" s="4395" t="n"/>
      <c r="DE91" s="4395" t="n"/>
      <c r="DF91" s="4395" t="n"/>
      <c r="DG91" s="4395" t="n"/>
      <c r="DH91" s="4395" t="n"/>
    </row>
    <row r="92" ht="16" customHeight="1">
      <c r="A92" t="inlineStr">
        <is>
          <t>Grassland</t>
        </is>
      </c>
      <c r="B92">
        <f>'4.Grassland'!D35</f>
        <v/>
      </c>
      <c r="C92">
        <f>'4.Grassland'!G35</f>
        <v/>
      </c>
      <c r="D92">
        <f>'4.Grassland'!AG35</f>
        <v/>
      </c>
      <c r="E92">
        <f>IF('4.Grassland'!BR35&lt;&gt;0,'4.Grassland'!BR35, '4.Grassland'!BQ35)</f>
        <v/>
      </c>
      <c r="F92">
        <f>time</f>
        <v/>
      </c>
      <c r="G92" s="4395">
        <f>'4.Grassland'!Y35</f>
        <v/>
      </c>
      <c r="H92" s="4395">
        <f>'4.Grassland'!AA35</f>
        <v/>
      </c>
      <c r="I92" s="4395">
        <f>IF(OR(H92="I", G92="I"), "I", IF(OR(H92="E", G92="E"), "E", "D"))</f>
        <v/>
      </c>
      <c r="J92" s="4395">
        <f>((D92/(time_cap+((F92-E92+1)*VLOOKUP(I92,list!$I$48:$K$50,3, FALSE))))*(F92-E92+1)*VLOOKUP(I92,list!$I$48:$K$50,3, FALSE))</f>
        <v/>
      </c>
      <c r="K92" s="4395">
        <f>((D92/(time_cap+((F92-E92+1)*VLOOKUP(I92,list!$I$48:$K$50,3, FALSE))))*time_cap)</f>
        <v/>
      </c>
      <c r="M92" s="4395">
        <f>IFERROR(IF((time+time_cap)&lt;M$2, 0,IF(AND(time+1&gt;=N$2, $E92&lt;N$2), IF($I92= "I", $J92/($F92-$E92+1), $J92/(($F92*($F92+1)/2)-(($E92-1)*($E92-1+1)/2))*M$2), 0)+IF(IF(time+1&gt;=N$2, $K92/time_cap/(time+1)*M$2, 0) = 0, $K92/(time_cap),0)),0)</f>
        <v/>
      </c>
      <c r="N92" s="4395">
        <f>IFERROR(IF((time+time_cap)&lt;N$2, 0,IF(AND(time+1&gt;=O$2, $E92&lt;O$2), IF($I92= "I", $J92/($F92-$E92+1), $J92/(($F92*($F92+1)/2)-(($E92-1)*($E92-1+1)/2))*N$2), 0)+IF(IF(time+1&gt;=O$2, $K92/time_cap/(time+1)*N$2, 0) = 0, $K92/(time_cap),0)),0)</f>
        <v/>
      </c>
      <c r="O92" s="4395">
        <f>IFERROR(IF((time+time_cap)&lt;O$2, 0,IF(AND(time+1&gt;=P$2, $E92&lt;P$2), IF($I92= "I", $J92/($F92-$E92+1), $J92/(($F92*($F92+1)/2)-(($E92-1)*($E92-1+1)/2))*O$2), 0)+IF(IF(time+1&gt;=P$2, $K92/time_cap/(time+1)*O$2, 0) = 0, $K92/(time_cap),0)),0)</f>
        <v/>
      </c>
      <c r="P92" s="4395">
        <f>IFERROR(IF((time+time_cap)&lt;P$2, 0,IF(AND(time+1&gt;=Q$2, $E92&lt;Q$2), IF($I92= "I", $J92/($F92-$E92+1), $J92/(($F92*($F92+1)/2)-(($E92-1)*($E92-1+1)/2))*P$2), 0)+IF(IF(time+1&gt;=Q$2, $K92/time_cap/(time+1)*P$2, 0) = 0, $K92/(time_cap),0)),0)</f>
        <v/>
      </c>
      <c r="Q92" s="4395">
        <f>IFERROR(IF((time+time_cap)&lt;Q$2, 0,IF(AND(time+1&gt;=R$2, $E92&lt;R$2), IF($I92= "I", $J92/($F92-$E92+1), $J92/(($F92*($F92+1)/2)-(($E92-1)*($E92-1+1)/2))*Q$2), 0)+IF(IF(time+1&gt;=R$2, $K92/time_cap/(time+1)*Q$2, 0) = 0, $K92/(time_cap),0)),0)</f>
        <v/>
      </c>
      <c r="R92" s="4395">
        <f>IFERROR(IF((time+time_cap)&lt;R$2, 0,IF(AND(time+1&gt;=S$2, $E92&lt;S$2), IF($I92= "I", $J92/($F92-$E92+1), $J92/(($F92*($F92+1)/2)-(($E92-1)*($E92-1+1)/2))*R$2), 0)+IF(IF(time+1&gt;=S$2, $K92/time_cap/(time+1)*R$2, 0) = 0, $K92/(time_cap),0)),0)</f>
        <v/>
      </c>
      <c r="S92" s="4395">
        <f>IFERROR(IF((time+time_cap)&lt;S$2, 0,IF(AND(time+1&gt;=T$2, $E92&lt;T$2), IF($I92= "I", $J92/($F92-$E92+1), $J92/(($F92*($F92+1)/2)-(($E92-1)*($E92-1+1)/2))*S$2), 0)+IF(IF(time+1&gt;=T$2, $K92/time_cap/(time+1)*S$2, 0) = 0, $K92/(time_cap),0)),0)</f>
        <v/>
      </c>
      <c r="T92" s="4395">
        <f>IFERROR(IF((time+time_cap)&lt;T$2, 0,IF(AND(time+1&gt;=U$2, $E92&lt;U$2), IF($I92= "I", $J92/($F92-$E92+1), $J92/(($F92*($F92+1)/2)-(($E92-1)*($E92-1+1)/2))*T$2), 0)+IF(IF(time+1&gt;=U$2, $K92/time_cap/(time+1)*T$2, 0) = 0, $K92/(time_cap),0)),0)</f>
        <v/>
      </c>
      <c r="U92" s="4395">
        <f>IFERROR(IF((time+time_cap)&lt;U$2, 0,IF(AND(time+1&gt;=V$2, $E92&lt;V$2), IF($I92= "I", $J92/($F92-$E92+1), $J92/(($F92*($F92+1)/2)-(($E92-1)*($E92-1+1)/2))*U$2), 0)+IF(IF(time+1&gt;=V$2, $K92/time_cap/(time+1)*U$2, 0) = 0, $K92/(time_cap),0)),0)</f>
        <v/>
      </c>
      <c r="V92" s="4395">
        <f>IFERROR(IF((time+time_cap)&lt;V$2, 0,IF(AND(time+1&gt;=W$2, $E92&lt;W$2), IF($I92= "I", $J92/($F92-$E92+1), $J92/(($F92*($F92+1)/2)-(($E92-1)*($E92-1+1)/2))*V$2), 0)+IF(IF(time+1&gt;=W$2, $K92/time_cap/(time+1)*V$2, 0) = 0, $K92/(time_cap),0)),0)</f>
        <v/>
      </c>
      <c r="W92" s="4395">
        <f>IFERROR(IF((time+time_cap)&lt;W$2, 0,IF(AND(time+1&gt;=X$2, $E92&lt;X$2), IF($I92= "I", $J92/($F92-$E92+1), $J92/(($F92*($F92+1)/2)-(($E92-1)*($E92-1+1)/2))*W$2), 0)+IF(IF(time+1&gt;=X$2, $K92/time_cap/(time+1)*W$2, 0) = 0, $K92/(time_cap),0)),0)</f>
        <v/>
      </c>
      <c r="X92" s="4395">
        <f>IFERROR(IF((time+time_cap)&lt;X$2, 0,IF(AND(time+1&gt;=Y$2, $E92&lt;Y$2), IF($I92= "I", $J92/($F92-$E92+1), $J92/(($F92*($F92+1)/2)-(($E92-1)*($E92-1+1)/2))*X$2), 0)+IF(IF(time+1&gt;=Y$2, $K92/time_cap/(time+1)*X$2, 0) = 0, $K92/(time_cap),0)),0)</f>
        <v/>
      </c>
      <c r="Y92" s="4395">
        <f>IFERROR(IF((time+time_cap)&lt;Y$2, 0,IF(AND(time+1&gt;=Z$2, $E92&lt;Z$2), IF($I92= "I", $J92/($F92-$E92+1), $J92/(($F92*($F92+1)/2)-(($E92-1)*($E92-1+1)/2))*Y$2), 0)+IF(IF(time+1&gt;=Z$2, $K92/time_cap/(time+1)*Y$2, 0) = 0, $K92/(time_cap),0)),0)</f>
        <v/>
      </c>
      <c r="Z92" s="4395">
        <f>IFERROR(IF((time+time_cap)&lt;Z$2, 0,IF(AND(time+1&gt;=AA$2, $E92&lt;AA$2), IF($I92= "I", $J92/($F92-$E92+1), $J92/(($F92*($F92+1)/2)-(($E92-1)*($E92-1+1)/2))*Z$2), 0)+IF(IF(time+1&gt;=AA$2, $K92/time_cap/(time+1)*Z$2, 0) = 0, $K92/(time_cap),0)),0)</f>
        <v/>
      </c>
      <c r="AA92" s="4395">
        <f>IFERROR(IF((time+time_cap)&lt;AA$2, 0,IF(AND(time+1&gt;=AB$2, $E92&lt;AB$2), IF($I92= "I", $J92/($F92-$E92+1), $J92/(($F92*($F92+1)/2)-(($E92-1)*($E92-1+1)/2))*AA$2), 0)+IF(IF(time+1&gt;=AB$2, $K92/time_cap/(time+1)*AA$2, 0) = 0, $K92/(time_cap),0)),0)</f>
        <v/>
      </c>
      <c r="AB92" s="4395">
        <f>IFERROR(IF((time+time_cap)&lt;AB$2, 0,IF(AND(time+1&gt;=AC$2, $E92&lt;AC$2), IF($I92= "I", $J92/($F92-$E92+1), $J92/(($F92*($F92+1)/2)-(($E92-1)*($E92-1+1)/2))*AB$2), 0)+IF(IF(time+1&gt;=AC$2, $K92/time_cap/(time+1)*AB$2, 0) = 0, $K92/(time_cap),0)),0)</f>
        <v/>
      </c>
      <c r="AC92" s="4395">
        <f>IFERROR(IF((time+time_cap)&lt;AC$2, 0,IF(AND(time+1&gt;=AD$2, $E92&lt;AD$2), IF($I92= "I", $J92/($F92-$E92+1), $J92/(($F92*($F92+1)/2)-(($E92-1)*($E92-1+1)/2))*AC$2), 0)+IF(IF(time+1&gt;=AD$2, $K92/time_cap/(time+1)*AC$2, 0) = 0, $K92/(time_cap),0)),0)</f>
        <v/>
      </c>
      <c r="AD92" s="4395">
        <f>IFERROR(IF((time+time_cap)&lt;AD$2, 0,IF(AND(time+1&gt;=AE$2, $E92&lt;AE$2), IF($I92= "I", $J92/($F92-$E92+1), $J92/(($F92*($F92+1)/2)-(($E92-1)*($E92-1+1)/2))*AD$2), 0)+IF(IF(time+1&gt;=AE$2, $K92/time_cap/(time+1)*AD$2, 0) = 0, $K92/(time_cap),0)),0)</f>
        <v/>
      </c>
      <c r="AE92" s="4395">
        <f>IFERROR(IF((time+time_cap)&lt;AE$2, 0,IF(AND(time+1&gt;=AF$2, $E92&lt;AF$2), IF($I92= "I", $J92/($F92-$E92+1), $J92/(($F92*($F92+1)/2)-(($E92-1)*($E92-1+1)/2))*AE$2), 0)+IF(IF(time+1&gt;=AF$2, $K92/time_cap/(time+1)*AE$2, 0) = 0, $K92/(time_cap),0)),0)</f>
        <v/>
      </c>
      <c r="AF92" s="4395">
        <f>IFERROR(IF((time+time_cap)&lt;AF$2, 0,IF(AND(time+1&gt;=AG$2, $E92&lt;AG$2), IF($I92= "I", $J92/($F92-$E92+1), $J92/(($F92*($F92+1)/2)-(($E92-1)*($E92-1+1)/2))*AF$2), 0)+IF(IF(time+1&gt;=AG$2, $K92/time_cap/(time+1)*AF$2, 0) = 0, $K92/(time_cap),0)),0)</f>
        <v/>
      </c>
      <c r="AG92" s="4395">
        <f>IFERROR(IF((time+time_cap)&lt;AG$2, 0,IF(AND(time+1&gt;=AH$2, $E92&lt;AH$2), IF($I92= "I", $J92/($F92-$E92+1), $J92/(($F92*($F92+1)/2)-(($E92-1)*($E92-1+1)/2))*AG$2), 0)+IF(IF(time+1&gt;=AH$2, $K92/time_cap/(time+1)*AG$2, 0) = 0, $K92/(time_cap),0)),0)</f>
        <v/>
      </c>
      <c r="AH92" s="4395">
        <f>IFERROR(IF((time+time_cap)&lt;AH$2, 0,IF(AND(time+1&gt;=AI$2, $E92&lt;AI$2), IF($I92= "I", $J92/($F92-$E92+1), $J92/(($F92*($F92+1)/2)-(($E92-1)*($E92-1+1)/2))*AH$2), 0)+IF(IF(time+1&gt;=AI$2, $K92/time_cap/(time+1)*AH$2, 0) = 0, $K92/(time_cap),0)),0)</f>
        <v/>
      </c>
      <c r="AI92" s="4395">
        <f>IFERROR(IF((time+time_cap)&lt;AI$2, 0,IF(AND(time+1&gt;=AJ$2, $E92&lt;AJ$2), IF($I92= "I", $J92/($F92-$E92+1), $J92/(($F92*($F92+1)/2)-(($E92-1)*($E92-1+1)/2))*AI$2), 0)+IF(IF(time+1&gt;=AJ$2, $K92/time_cap/(time+1)*AI$2, 0) = 0, $K92/(time_cap),0)),0)</f>
        <v/>
      </c>
      <c r="AJ92" s="4395">
        <f>IFERROR(IF((time+time_cap)&lt;AJ$2, 0,IF(AND(time+1&gt;=AK$2, $E92&lt;AK$2), IF($I92= "I", $J92/($F92-$E92+1), $J92/(($F92*($F92+1)/2)-(($E92-1)*($E92-1+1)/2))*AJ$2), 0)+IF(IF(time+1&gt;=AK$2, $K92/time_cap/(time+1)*AJ$2, 0) = 0, $K92/(time_cap),0)),0)</f>
        <v/>
      </c>
      <c r="AK92" s="4395">
        <f>IFERROR(IF((time+time_cap)&lt;AK$2, 0,IF(AND(time+1&gt;=AL$2, $E92&lt;AL$2), IF($I92= "I", $J92/($F92-$E92+1), $J92/(($F92*($F92+1)/2)-(($E92-1)*($E92-1+1)/2))*AK$2), 0)+IF(IF(time+1&gt;=AL$2, $K92/time_cap/(time+1)*AK$2, 0) = 0, $K92/(time_cap),0)),0)</f>
        <v/>
      </c>
      <c r="AL92" s="4395">
        <f>IFERROR(IF((time+time_cap)&lt;AL$2, 0,IF(AND(time+1&gt;=AM$2, $E92&lt;AM$2), IF($I92= "I", $J92/($F92-$E92+1), $J92/(($F92*($F92+1)/2)-(($E92-1)*($E92-1+1)/2))*AL$2), 0)+IF(IF(time+1&gt;=AM$2, $K92/time_cap/(time+1)*AL$2, 0) = 0, $K92/(time_cap),0)),0)</f>
        <v/>
      </c>
      <c r="AM92" s="4395">
        <f>IFERROR(IF((time+time_cap)&lt;AM$2, 0,IF(AND(time+1&gt;=AN$2, $E92&lt;AN$2), IF($I92= "I", $J92/($F92-$E92+1), $J92/(($F92*($F92+1)/2)-(($E92-1)*($E92-1+1)/2))*AM$2), 0)+IF(IF(time+1&gt;=AN$2, $K92/time_cap/(time+1)*AM$2, 0) = 0, $K92/(time_cap),0)),0)</f>
        <v/>
      </c>
      <c r="AN92" s="4395">
        <f>IFERROR(IF((time+time_cap)&lt;AN$2, 0,IF(AND(time+1&gt;=AO$2, $E92&lt;AO$2), IF($I92= "I", $J92/($F92-$E92+1), $J92/(($F92*($F92+1)/2)-(($E92-1)*($E92-1+1)/2))*AN$2), 0)+IF(IF(time+1&gt;=AO$2, $K92/time_cap/(time+1)*AN$2, 0) = 0, $K92/(time_cap),0)),0)</f>
        <v/>
      </c>
      <c r="AO92" s="4395">
        <f>IFERROR(IF((time+time_cap)&lt;AO$2, 0,IF(AND(time+1&gt;=AP$2, $E92&lt;AP$2), IF($I92= "I", $J92/($F92-$E92+1), $J92/(($F92*($F92+1)/2)-(($E92-1)*($E92-1+1)/2))*AO$2), 0)+IF(IF(time+1&gt;=AP$2, $K92/time_cap/(time+1)*AO$2, 0) = 0, $K92/(time_cap),0)),0)</f>
        <v/>
      </c>
      <c r="AP92" s="4395">
        <f>IFERROR(IF((time+time_cap)&lt;AP$2, 0,IF(AND(time+1&gt;=AQ$2, $E92&lt;AQ$2), IF($I92= "I", $J92/($F92-$E92+1), $J92/(($F92*($F92+1)/2)-(($E92-1)*($E92-1+1)/2))*AP$2), 0)+IF(IF(time+1&gt;=AQ$2, $K92/time_cap/(time+1)*AP$2, 0) = 0, $K92/(time_cap),0)),0)</f>
        <v/>
      </c>
      <c r="AQ92" s="4395">
        <f>IFERROR(IF((time+time_cap)&lt;AQ$2, 0,IF(AND(time+1&gt;=AR$2, $E92&lt;AR$2), IF($I92= "I", $J92/($F92-$E92+1), $J92/(($F92*($F92+1)/2)-(($E92-1)*($E92-1+1)/2))*AQ$2), 0)+IF(IF(time+1&gt;=AR$2, $K92/time_cap/(time+1)*AQ$2, 0) = 0, $K92/(time_cap),0)),0)</f>
        <v/>
      </c>
      <c r="AR92" s="4395">
        <f>IFERROR(IF((time+time_cap)&lt;AR$2, 0,IF(AND(time+1&gt;=AS$2, $E92&lt;AS$2), IF($I92= "I", $J92/($F92-$E92+1), $J92/(($F92*($F92+1)/2)-(($E92-1)*($E92-1+1)/2))*AR$2), 0)+IF(IF(time+1&gt;=AS$2, $K92/time_cap/(time+1)*AR$2, 0) = 0, $K92/(time_cap),0)),0)</f>
        <v/>
      </c>
      <c r="AS92" s="4395">
        <f>IFERROR(IF((time+time_cap)&lt;AS$2, 0,IF(AND(time+1&gt;=AT$2, $E92&lt;AT$2), IF($I92= "I", $J92/($F92-$E92+1), $J92/(($F92*($F92+1)/2)-(($E92-1)*($E92-1+1)/2))*AS$2), 0)+IF(IF(time+1&gt;=AT$2, $K92/time_cap/(time+1)*AS$2, 0) = 0, $K92/(time_cap),0)),0)</f>
        <v/>
      </c>
      <c r="AT92" s="4395">
        <f>IFERROR(IF((time+time_cap)&lt;AT$2, 0,IF(AND(time+1&gt;=AU$2, $E92&lt;AU$2), IF($I92= "I", $J92/($F92-$E92+1), $J92/(($F92*($F92+1)/2)-(($E92-1)*($E92-1+1)/2))*AT$2), 0)+IF(IF(time+1&gt;=AU$2, $K92/time_cap/(time+1)*AT$2, 0) = 0, $K92/(time_cap),0)),0)</f>
        <v/>
      </c>
      <c r="AU92" s="4395">
        <f>IFERROR(IF((time+time_cap)&lt;AU$2, 0,IF(AND(time+1&gt;=AV$2, $E92&lt;AV$2), IF($I92= "I", $J92/($F92-$E92+1), $J92/(($F92*($F92+1)/2)-(($E92-1)*($E92-1+1)/2))*AU$2), 0)+IF(IF(time+1&gt;=AV$2, $K92/time_cap/(time+1)*AU$2, 0) = 0, $K92/(time_cap),0)),0)</f>
        <v/>
      </c>
      <c r="AV92" s="4395">
        <f>IFERROR(IF((time+time_cap)&lt;AV$2, 0,IF(AND(time+1&gt;=AW$2, $E92&lt;AW$2), IF($I92= "I", $J92/($F92-$E92+1), $J92/(($F92*($F92+1)/2)-(($E92-1)*($E92-1+1)/2))*AV$2), 0)+IF(IF(time+1&gt;=AW$2, $K92/time_cap/(time+1)*AV$2, 0) = 0, $K92/(time_cap),0)),0)</f>
        <v/>
      </c>
      <c r="AW92" s="4395">
        <f>IFERROR(IF((time+time_cap)&lt;AW$2, 0,IF(AND(time+1&gt;=AX$2, $E92&lt;AX$2), IF($I92= "I", $J92/($F92-$E92+1), $J92/(($F92*($F92+1)/2)-(($E92-1)*($E92-1+1)/2))*AW$2), 0)+IF(IF(time+1&gt;=AX$2, $K92/time_cap/(time+1)*AW$2, 0) = 0, $K92/(time_cap),0)),0)</f>
        <v/>
      </c>
      <c r="AX92" s="4395">
        <f>IFERROR(IF((time+time_cap)&lt;AX$2, 0,IF(AND(time+1&gt;=AY$2, $E92&lt;AY$2), IF($I92= "I", $J92/($F92-$E92+1), $J92/(($F92*($F92+1)/2)-(($E92-1)*($E92-1+1)/2))*AX$2), 0)+IF(IF(time+1&gt;=AY$2, $K92/time_cap/(time+1)*AX$2, 0) = 0, $K92/(time_cap),0)),0)</f>
        <v/>
      </c>
      <c r="AY92" s="4395">
        <f>IFERROR(IF((time+time_cap)&lt;AY$2, 0,IF(AND(time+1&gt;=AZ$2, $E92&lt;AZ$2), IF($I92= "I", $J92/($F92-$E92+1), $J92/(($F92*($F92+1)/2)-(($E92-1)*($E92-1+1)/2))*AY$2), 0)+IF(IF(time+1&gt;=AZ$2, $K92/time_cap/(time+1)*AY$2, 0) = 0, $K92/(time_cap),0)),0)</f>
        <v/>
      </c>
      <c r="AZ92" s="4395">
        <f>IFERROR(IF((time+time_cap)&lt;AZ$2, 0,IF(AND(time+1&gt;=BA$2, $E92&lt;BA$2), IF($I92= "I", $J92/($F92-$E92+1), $J92/(($F92*($F92+1)/2)-(($E92-1)*($E92-1+1)/2))*AZ$2), 0)+IF(IF(time+1&gt;=BA$2, $K92/time_cap/(time+1)*AZ$2, 0) = 0, $K92/(time_cap),0)),0)</f>
        <v/>
      </c>
      <c r="BA92" s="4395">
        <f>IFERROR(IF((time+time_cap)&lt;BA$2, 0,IF(AND(time+1&gt;=BB$2, $E92&lt;BB$2), IF($I92= "I", $J92/($F92-$E92+1), $J92/(($F92*($F92+1)/2)-(($E92-1)*($E92-1+1)/2))*BA$2), 0)+IF(IF(time+1&gt;=BB$2, $K92/time_cap/(time+1)*BA$2, 0) = 0, $K92/(time_cap),0)),0)</f>
        <v/>
      </c>
      <c r="BB92" s="4395">
        <f>IFERROR(IF((time+time_cap)&lt;BB$2, 0,IF(AND(time+1&gt;=BC$2, $E92&lt;BC$2), IF($I92= "I", $J92/($F92-$E92+1), $J92/(($F92*($F92+1)/2)-(($E92-1)*($E92-1+1)/2))*BB$2), 0)+IF(IF(time+1&gt;=BC$2, $K92/time_cap/(time+1)*BB$2, 0) = 0, $K92/(time_cap),0)),0)</f>
        <v/>
      </c>
      <c r="BC92" s="4395">
        <f>IFERROR(IF((time+time_cap)&lt;BC$2, 0,IF(AND(time+1&gt;=BD$2, $E92&lt;BD$2), IF($I92= "I", $J92/($F92-$E92+1), $J92/(($F92*($F92+1)/2)-(($E92-1)*($E92-1+1)/2))*BC$2), 0)+IF(IF(time+1&gt;=BD$2, $K92/time_cap/(time+1)*BC$2, 0) = 0, $K92/(time_cap),0)),0)</f>
        <v/>
      </c>
      <c r="BD92" s="4395">
        <f>IFERROR(IF((time+time_cap)&lt;BD$2, 0,IF(AND(time+1&gt;=BE$2, $E92&lt;BE$2), IF($I92= "I", $J92/($F92-$E92+1), $J92/(($F92*($F92+1)/2)-(($E92-1)*($E92-1+1)/2))*BD$2), 0)+IF(IF(time+1&gt;=BE$2, $K92/time_cap/(time+1)*BD$2, 0) = 0, $K92/(time_cap),0)),0)</f>
        <v/>
      </c>
      <c r="BE92" s="4395">
        <f>IFERROR(IF((time+time_cap)&lt;BE$2, 0,IF(AND(time+1&gt;=BF$2, $E92&lt;BF$2), IF($I92= "I", $J92/($F92-$E92+1), $J92/(($F92*($F92+1)/2)-(($E92-1)*($E92-1+1)/2))*BE$2), 0)+IF(IF(time+1&gt;=BF$2, $K92/time_cap/(time+1)*BE$2, 0) = 0, $K92/(time_cap),0)),0)</f>
        <v/>
      </c>
      <c r="BF92" s="4395">
        <f>IFERROR(IF((time+time_cap)&lt;BF$2, 0,IF(AND(time+1&gt;=BG$2, $E92&lt;BG$2), IF($I92= "I", $J92/($F92-$E92+1), $J92/(($F92*($F92+1)/2)-(($E92-1)*($E92-1+1)/2))*BF$2), 0)+IF(IF(time+1&gt;=BG$2, $K92/time_cap/(time+1)*BF$2, 0) = 0, $K92/(time_cap),0)),0)</f>
        <v/>
      </c>
      <c r="BG92" s="4395">
        <f>IFERROR(IF((time+time_cap)&lt;BG$2, 0,IF(AND(time+1&gt;=BH$2, $E92&lt;BH$2), IF($I92= "I", $J92/($F92-$E92+1), $J92/(($F92*($F92+1)/2)-(($E92-1)*($E92-1+1)/2))*BG$2), 0)+IF(IF(time+1&gt;=BH$2, $K92/time_cap/(time+1)*BG$2, 0) = 0, $K92/(time_cap),0)),0)</f>
        <v/>
      </c>
      <c r="BH92" s="4395">
        <f>IFERROR(IF((time+time_cap)&lt;BH$2, 0,IF(AND(time+1&gt;=BI$2, $E92&lt;BI$2), IF($I92= "I", $J92/($F92-$E92+1), $J92/(($F92*($F92+1)/2)-(($E92-1)*($E92-1+1)/2))*BH$2), 0)+IF(IF(time+1&gt;=BI$2, $K92/time_cap/(time+1)*BH$2, 0) = 0, $K92/(time_cap),0)),0)</f>
        <v/>
      </c>
      <c r="BI92" s="4395">
        <f>IFERROR(IF((time+time_cap)&lt;BI$2, 0,IF(AND(time+1&gt;=BJ$2, $E92&lt;BJ$2), IF($I92= "I", $J92/($F92-$E92+1), $J92/(($F92*($F92+1)/2)-(($E92-1)*($E92-1+1)/2))*BI$2), 0)+IF(IF(time+1&gt;=BJ$2, $K92/time_cap/(time+1)*BI$2, 0) = 0, $K92/(time_cap),0)),0)</f>
        <v/>
      </c>
      <c r="BJ92" s="4395">
        <f>IFERROR(IF((time+time_cap)&lt;BJ$2, 0,IF(AND(time+1&gt;=BK$2, $E92&lt;BK$2), IF($I92= "I", $J92/($F92-$E92+1), $J92/(($F92*($F92+1)/2)-(($E92-1)*($E92-1+1)/2))*BJ$2), 0)+IF(IF(time+1&gt;=BK$2, $K92/time_cap/(time+1)*BJ$2, 0) = 0, $K92/(time_cap),0)),0)</f>
        <v/>
      </c>
      <c r="BK92" s="4395" t="n"/>
      <c r="BL92" s="4395" t="n"/>
      <c r="BM92" s="4395" t="n"/>
      <c r="BN92" s="4395" t="n"/>
      <c r="BO92" s="4395" t="n"/>
      <c r="BP92" s="4395" t="n"/>
      <c r="BQ92" s="4395" t="n"/>
      <c r="BR92" s="4395" t="n"/>
      <c r="BS92" s="4395" t="n"/>
      <c r="BT92" s="4395" t="n"/>
      <c r="BU92" s="4395" t="n"/>
      <c r="BV92" s="4395" t="n"/>
      <c r="BW92" s="4395" t="n"/>
      <c r="BX92" s="4395" t="n"/>
      <c r="BY92" s="4395" t="n"/>
      <c r="BZ92" s="4395" t="n"/>
      <c r="CA92" s="4395" t="n"/>
      <c r="CB92" s="4395" t="n"/>
      <c r="CC92" s="4395" t="n"/>
      <c r="CD92" s="4395" t="n"/>
      <c r="CE92" s="4395" t="n"/>
      <c r="CF92" s="4395" t="n"/>
      <c r="CG92" s="4395" t="n"/>
      <c r="CH92" s="4395" t="n"/>
      <c r="CI92" s="4395" t="n"/>
      <c r="CJ92" s="4395" t="n"/>
      <c r="CK92" s="4395" t="n"/>
      <c r="CL92" s="4395" t="n"/>
      <c r="CM92" s="4395" t="n"/>
      <c r="CN92" s="4395" t="n"/>
      <c r="CO92" s="4395" t="n"/>
      <c r="CP92" s="4395" t="n"/>
      <c r="CQ92" s="4395" t="n"/>
      <c r="CR92" s="4395" t="n"/>
      <c r="CS92" s="4395" t="n"/>
      <c r="CT92" s="4395" t="n"/>
      <c r="CU92" s="4395" t="n"/>
      <c r="CV92" s="4395" t="n"/>
      <c r="CW92" s="4395" t="n"/>
      <c r="CX92" s="4395" t="n"/>
      <c r="CY92" s="4395" t="n"/>
      <c r="CZ92" s="4395" t="n"/>
      <c r="DA92" s="4395" t="n"/>
      <c r="DB92" s="4395" t="n"/>
      <c r="DC92" s="4395" t="n"/>
      <c r="DD92" s="4395" t="n"/>
      <c r="DE92" s="4395" t="n"/>
      <c r="DF92" s="4395" t="n"/>
      <c r="DG92" s="4395" t="n"/>
      <c r="DH92" s="4395" t="n"/>
    </row>
    <row r="93" ht="16" customHeight="1">
      <c r="A93" t="inlineStr">
        <is>
          <t>Livestock</t>
        </is>
      </c>
      <c r="B93">
        <f>'4.Grassland'!E56</f>
        <v/>
      </c>
      <c r="C93">
        <f>'4.Grassland'!I56</f>
        <v/>
      </c>
      <c r="D93">
        <f>'4.Grassland'!AG56</f>
        <v/>
      </c>
      <c r="E93">
        <f>IF('4.Grassland'!CG56&lt;&gt;0,'4.Grassland'!CG56, '4.Grassland'!CF56)</f>
        <v/>
      </c>
      <c r="F93">
        <f>time</f>
        <v/>
      </c>
      <c r="G93" s="4395">
        <f>'4.Grassland'!Y56</f>
        <v/>
      </c>
      <c r="H93" s="4395">
        <f>'4.Grassland'!AA56</f>
        <v/>
      </c>
      <c r="I93" s="4395">
        <f>IF(OR(H93="I", G93="I"), "I", IF(OR(H93="E", G93="E"), "E", "D"))</f>
        <v/>
      </c>
      <c r="J93" s="4395">
        <f>((D93/(time_cap+((F93-E93+1)*VLOOKUP(I93,list!$I$48:$K$50,3, FALSE))))*(F93-E93+1)*VLOOKUP(I93,list!$I$48:$K$50,3, FALSE))</f>
        <v/>
      </c>
      <c r="K93" s="4395">
        <f>((D93/(time_cap+((F93-E93+1)*VLOOKUP(I93,list!$I$48:$K$50,3, FALSE))))*time_cap)</f>
        <v/>
      </c>
      <c r="M93" s="4395">
        <f>IFERROR(IF((time+time_cap)&lt;M$2, 0,IF(AND(time+1&gt;=N$2, $E93&lt;N$2), IF($I93= "I", $J93/($F93-$E93+1), $J93/(($F93*($F93+1)/2)-(($E93-1)*($E93-1+1)/2))*M$2), 0)+IF(IF(time+1&gt;=N$2, $K93/time_cap/(time+1)*M$2, 0) = 0, $K93/(time_cap),0)),0)</f>
        <v/>
      </c>
      <c r="N93" s="4395">
        <f>IFERROR(IF((time+time_cap)&lt;N$2, 0,IF(AND(time+1&gt;=O$2, $E93&lt;O$2), IF($I93= "I", $J93/($F93-$E93+1), $J93/(($F93*($F93+1)/2)-(($E93-1)*($E93-1+1)/2))*N$2), 0)+IF(IF(time+1&gt;=O$2, $K93/time_cap/(time+1)*N$2, 0) = 0, $K93/(time_cap),0)),0)</f>
        <v/>
      </c>
      <c r="O93" s="4395">
        <f>IFERROR(IF((time+time_cap)&lt;O$2, 0,IF(AND(time+1&gt;=P$2, $E93&lt;P$2), IF($I93= "I", $J93/($F93-$E93+1), $J93/(($F93*($F93+1)/2)-(($E93-1)*($E93-1+1)/2))*O$2), 0)+IF(IF(time+1&gt;=P$2, $K93/time_cap/(time+1)*O$2, 0) = 0, $K93/(time_cap),0)),0)</f>
        <v/>
      </c>
      <c r="P93" s="4395">
        <f>IFERROR(IF((time+time_cap)&lt;P$2, 0,IF(AND(time+1&gt;=Q$2, $E93&lt;Q$2), IF($I93= "I", $J93/($F93-$E93+1), $J93/(($F93*($F93+1)/2)-(($E93-1)*($E93-1+1)/2))*P$2), 0)+IF(IF(time+1&gt;=Q$2, $K93/time_cap/(time+1)*P$2, 0) = 0, $K93/(time_cap),0)),0)</f>
        <v/>
      </c>
      <c r="Q93" s="4395">
        <f>IFERROR(IF((time+time_cap)&lt;Q$2, 0,IF(AND(time+1&gt;=R$2, $E93&lt;R$2), IF($I93= "I", $J93/($F93-$E93+1), $J93/(($F93*($F93+1)/2)-(($E93-1)*($E93-1+1)/2))*Q$2), 0)+IF(IF(time+1&gt;=R$2, $K93/time_cap/(time+1)*Q$2, 0) = 0, $K93/(time_cap),0)),0)</f>
        <v/>
      </c>
      <c r="R93" s="4395">
        <f>IFERROR(IF((time+time_cap)&lt;R$2, 0,IF(AND(time+1&gt;=S$2, $E93&lt;S$2), IF($I93= "I", $J93/($F93-$E93+1), $J93/(($F93*($F93+1)/2)-(($E93-1)*($E93-1+1)/2))*R$2), 0)+IF(IF(time+1&gt;=S$2, $K93/time_cap/(time+1)*R$2, 0) = 0, $K93/(time_cap),0)),0)</f>
        <v/>
      </c>
      <c r="S93" s="4395">
        <f>IFERROR(IF((time+time_cap)&lt;S$2, 0,IF(AND(time+1&gt;=T$2, $E93&lt;T$2), IF($I93= "I", $J93/($F93-$E93+1), $J93/(($F93*($F93+1)/2)-(($E93-1)*($E93-1+1)/2))*S$2), 0)+IF(IF(time+1&gt;=T$2, $K93/time_cap/(time+1)*S$2, 0) = 0, $K93/(time_cap),0)),0)</f>
        <v/>
      </c>
      <c r="T93" s="4395">
        <f>IFERROR(IF((time+time_cap)&lt;T$2, 0,IF(AND(time+1&gt;=U$2, $E93&lt;U$2), IF($I93= "I", $J93/($F93-$E93+1), $J93/(($F93*($F93+1)/2)-(($E93-1)*($E93-1+1)/2))*T$2), 0)+IF(IF(time+1&gt;=U$2, $K93/time_cap/(time+1)*T$2, 0) = 0, $K93/(time_cap),0)),0)</f>
        <v/>
      </c>
      <c r="U93" s="4395">
        <f>IFERROR(IF((time+time_cap)&lt;U$2, 0,IF(AND(time+1&gt;=V$2, $E93&lt;V$2), IF($I93= "I", $J93/($F93-$E93+1), $J93/(($F93*($F93+1)/2)-(($E93-1)*($E93-1+1)/2))*U$2), 0)+IF(IF(time+1&gt;=V$2, $K93/time_cap/(time+1)*U$2, 0) = 0, $K93/(time_cap),0)),0)</f>
        <v/>
      </c>
      <c r="V93" s="4395">
        <f>IFERROR(IF((time+time_cap)&lt;V$2, 0,IF(AND(time+1&gt;=W$2, $E93&lt;W$2), IF($I93= "I", $J93/($F93-$E93+1), $J93/(($F93*($F93+1)/2)-(($E93-1)*($E93-1+1)/2))*V$2), 0)+IF(IF(time+1&gt;=W$2, $K93/time_cap/(time+1)*V$2, 0) = 0, $K93/(time_cap),0)),0)</f>
        <v/>
      </c>
      <c r="W93" s="4395">
        <f>IFERROR(IF((time+time_cap)&lt;W$2, 0,IF(AND(time+1&gt;=X$2, $E93&lt;X$2), IF($I93= "I", $J93/($F93-$E93+1), $J93/(($F93*($F93+1)/2)-(($E93-1)*($E93-1+1)/2))*W$2), 0)+IF(IF(time+1&gt;=X$2, $K93/time_cap/(time+1)*W$2, 0) = 0, $K93/(time_cap),0)),0)</f>
        <v/>
      </c>
      <c r="X93" s="4395">
        <f>IFERROR(IF((time+time_cap)&lt;X$2, 0,IF(AND(time+1&gt;=Y$2, $E93&lt;Y$2), IF($I93= "I", $J93/($F93-$E93+1), $J93/(($F93*($F93+1)/2)-(($E93-1)*($E93-1+1)/2))*X$2), 0)+IF(IF(time+1&gt;=Y$2, $K93/time_cap/(time+1)*X$2, 0) = 0, $K93/(time_cap),0)),0)</f>
        <v/>
      </c>
      <c r="Y93" s="4395">
        <f>IFERROR(IF((time+time_cap)&lt;Y$2, 0,IF(AND(time+1&gt;=Z$2, $E93&lt;Z$2), IF($I93= "I", $J93/($F93-$E93+1), $J93/(($F93*($F93+1)/2)-(($E93-1)*($E93-1+1)/2))*Y$2), 0)+IF(IF(time+1&gt;=Z$2, $K93/time_cap/(time+1)*Y$2, 0) = 0, $K93/(time_cap),0)),0)</f>
        <v/>
      </c>
      <c r="Z93" s="4395">
        <f>IFERROR(IF((time+time_cap)&lt;Z$2, 0,IF(AND(time+1&gt;=AA$2, $E93&lt;AA$2), IF($I93= "I", $J93/($F93-$E93+1), $J93/(($F93*($F93+1)/2)-(($E93-1)*($E93-1+1)/2))*Z$2), 0)+IF(IF(time+1&gt;=AA$2, $K93/time_cap/(time+1)*Z$2, 0) = 0, $K93/(time_cap),0)),0)</f>
        <v/>
      </c>
      <c r="AA93" s="4395">
        <f>IFERROR(IF((time+time_cap)&lt;AA$2, 0,IF(AND(time+1&gt;=AB$2, $E93&lt;AB$2), IF($I93= "I", $J93/($F93-$E93+1), $J93/(($F93*($F93+1)/2)-(($E93-1)*($E93-1+1)/2))*AA$2), 0)+IF(IF(time+1&gt;=AB$2, $K93/time_cap/(time+1)*AA$2, 0) = 0, $K93/(time_cap),0)),0)</f>
        <v/>
      </c>
      <c r="AB93" s="4395">
        <f>IFERROR(IF((time+time_cap)&lt;AB$2, 0,IF(AND(time+1&gt;=AC$2, $E93&lt;AC$2), IF($I93= "I", $J93/($F93-$E93+1), $J93/(($F93*($F93+1)/2)-(($E93-1)*($E93-1+1)/2))*AB$2), 0)+IF(IF(time+1&gt;=AC$2, $K93/time_cap/(time+1)*AB$2, 0) = 0, $K93/(time_cap),0)),0)</f>
        <v/>
      </c>
      <c r="AC93" s="4395">
        <f>IFERROR(IF((time+time_cap)&lt;AC$2, 0,IF(AND(time+1&gt;=AD$2, $E93&lt;AD$2), IF($I93= "I", $J93/($F93-$E93+1), $J93/(($F93*($F93+1)/2)-(($E93-1)*($E93-1+1)/2))*AC$2), 0)+IF(IF(time+1&gt;=AD$2, $K93/time_cap/(time+1)*AC$2, 0) = 0, $K93/(time_cap),0)),0)</f>
        <v/>
      </c>
      <c r="AD93" s="4395">
        <f>IFERROR(IF((time+time_cap)&lt;AD$2, 0,IF(AND(time+1&gt;=AE$2, $E93&lt;AE$2), IF($I93= "I", $J93/($F93-$E93+1), $J93/(($F93*($F93+1)/2)-(($E93-1)*($E93-1+1)/2))*AD$2), 0)+IF(IF(time+1&gt;=AE$2, $K93/time_cap/(time+1)*AD$2, 0) = 0, $K93/(time_cap),0)),0)</f>
        <v/>
      </c>
      <c r="AE93" s="4395">
        <f>IFERROR(IF((time+time_cap)&lt;AE$2, 0,IF(AND(time+1&gt;=AF$2, $E93&lt;AF$2), IF($I93= "I", $J93/($F93-$E93+1), $J93/(($F93*($F93+1)/2)-(($E93-1)*($E93-1+1)/2))*AE$2), 0)+IF(IF(time+1&gt;=AF$2, $K93/time_cap/(time+1)*AE$2, 0) = 0, $K93/(time_cap),0)),0)</f>
        <v/>
      </c>
      <c r="AF93" s="4395">
        <f>IFERROR(IF((time+time_cap)&lt;AF$2, 0,IF(AND(time+1&gt;=AG$2, $E93&lt;AG$2), IF($I93= "I", $J93/($F93-$E93+1), $J93/(($F93*($F93+1)/2)-(($E93-1)*($E93-1+1)/2))*AF$2), 0)+IF(IF(time+1&gt;=AG$2, $K93/time_cap/(time+1)*AF$2, 0) = 0, $K93/(time_cap),0)),0)</f>
        <v/>
      </c>
      <c r="AG93" s="4395">
        <f>IFERROR(IF((time+time_cap)&lt;AG$2, 0,IF(AND(time+1&gt;=AH$2, $E93&lt;AH$2), IF($I93= "I", $J93/($F93-$E93+1), $J93/(($F93*($F93+1)/2)-(($E93-1)*($E93-1+1)/2))*AG$2), 0)+IF(IF(time+1&gt;=AH$2, $K93/time_cap/(time+1)*AG$2, 0) = 0, $K93/(time_cap),0)),0)</f>
        <v/>
      </c>
      <c r="AH93" s="4395">
        <f>IFERROR(IF((time+time_cap)&lt;AH$2, 0,IF(AND(time+1&gt;=AI$2, $E93&lt;AI$2), IF($I93= "I", $J93/($F93-$E93+1), $J93/(($F93*($F93+1)/2)-(($E93-1)*($E93-1+1)/2))*AH$2), 0)+IF(IF(time+1&gt;=AI$2, $K93/time_cap/(time+1)*AH$2, 0) = 0, $K93/(time_cap),0)),0)</f>
        <v/>
      </c>
      <c r="AI93" s="4395">
        <f>IFERROR(IF((time+time_cap)&lt;AI$2, 0,IF(AND(time+1&gt;=AJ$2, $E93&lt;AJ$2), IF($I93= "I", $J93/($F93-$E93+1), $J93/(($F93*($F93+1)/2)-(($E93-1)*($E93-1+1)/2))*AI$2), 0)+IF(IF(time+1&gt;=AJ$2, $K93/time_cap/(time+1)*AI$2, 0) = 0, $K93/(time_cap),0)),0)</f>
        <v/>
      </c>
      <c r="AJ93" s="4395">
        <f>IFERROR(IF((time+time_cap)&lt;AJ$2, 0,IF(AND(time+1&gt;=AK$2, $E93&lt;AK$2), IF($I93= "I", $J93/($F93-$E93+1), $J93/(($F93*($F93+1)/2)-(($E93-1)*($E93-1+1)/2))*AJ$2), 0)+IF(IF(time+1&gt;=AK$2, $K93/time_cap/(time+1)*AJ$2, 0) = 0, $K93/(time_cap),0)),0)</f>
        <v/>
      </c>
      <c r="AK93" s="4395">
        <f>IFERROR(IF((time+time_cap)&lt;AK$2, 0,IF(AND(time+1&gt;=AL$2, $E93&lt;AL$2), IF($I93= "I", $J93/($F93-$E93+1), $J93/(($F93*($F93+1)/2)-(($E93-1)*($E93-1+1)/2))*AK$2), 0)+IF(IF(time+1&gt;=AL$2, $K93/time_cap/(time+1)*AK$2, 0) = 0, $K93/(time_cap),0)),0)</f>
        <v/>
      </c>
      <c r="AL93" s="4395">
        <f>IFERROR(IF((time+time_cap)&lt;AL$2, 0,IF(AND(time+1&gt;=AM$2, $E93&lt;AM$2), IF($I93= "I", $J93/($F93-$E93+1), $J93/(($F93*($F93+1)/2)-(($E93-1)*($E93-1+1)/2))*AL$2), 0)+IF(IF(time+1&gt;=AM$2, $K93/time_cap/(time+1)*AL$2, 0) = 0, $K93/(time_cap),0)),0)</f>
        <v/>
      </c>
      <c r="AM93" s="4395">
        <f>IFERROR(IF((time+time_cap)&lt;AM$2, 0,IF(AND(time+1&gt;=AN$2, $E93&lt;AN$2), IF($I93= "I", $J93/($F93-$E93+1), $J93/(($F93*($F93+1)/2)-(($E93-1)*($E93-1+1)/2))*AM$2), 0)+IF(IF(time+1&gt;=AN$2, $K93/time_cap/(time+1)*AM$2, 0) = 0, $K93/(time_cap),0)),0)</f>
        <v/>
      </c>
      <c r="AN93" s="4395">
        <f>IFERROR(IF((time+time_cap)&lt;AN$2, 0,IF(AND(time+1&gt;=AO$2, $E93&lt;AO$2), IF($I93= "I", $J93/($F93-$E93+1), $J93/(($F93*($F93+1)/2)-(($E93-1)*($E93-1+1)/2))*AN$2), 0)+IF(IF(time+1&gt;=AO$2, $K93/time_cap/(time+1)*AN$2, 0) = 0, $K93/(time_cap),0)),0)</f>
        <v/>
      </c>
      <c r="AO93" s="4395">
        <f>IFERROR(IF((time+time_cap)&lt;AO$2, 0,IF(AND(time+1&gt;=AP$2, $E93&lt;AP$2), IF($I93= "I", $J93/($F93-$E93+1), $J93/(($F93*($F93+1)/2)-(($E93-1)*($E93-1+1)/2))*AO$2), 0)+IF(IF(time+1&gt;=AP$2, $K93/time_cap/(time+1)*AO$2, 0) = 0, $K93/(time_cap),0)),0)</f>
        <v/>
      </c>
      <c r="AP93" s="4395">
        <f>IFERROR(IF((time+time_cap)&lt;AP$2, 0,IF(AND(time+1&gt;=AQ$2, $E93&lt;AQ$2), IF($I93= "I", $J93/($F93-$E93+1), $J93/(($F93*($F93+1)/2)-(($E93-1)*($E93-1+1)/2))*AP$2), 0)+IF(IF(time+1&gt;=AQ$2, $K93/time_cap/(time+1)*AP$2, 0) = 0, $K93/(time_cap),0)),0)</f>
        <v/>
      </c>
      <c r="AQ93" s="4395">
        <f>IFERROR(IF((time+time_cap)&lt;AQ$2, 0,IF(AND(time+1&gt;=AR$2, $E93&lt;AR$2), IF($I93= "I", $J93/($F93-$E93+1), $J93/(($F93*($F93+1)/2)-(($E93-1)*($E93-1+1)/2))*AQ$2), 0)+IF(IF(time+1&gt;=AR$2, $K93/time_cap/(time+1)*AQ$2, 0) = 0, $K93/(time_cap),0)),0)</f>
        <v/>
      </c>
      <c r="AR93" s="4395">
        <f>IFERROR(IF((time+time_cap)&lt;AR$2, 0,IF(AND(time+1&gt;=AS$2, $E93&lt;AS$2), IF($I93= "I", $J93/($F93-$E93+1), $J93/(($F93*($F93+1)/2)-(($E93-1)*($E93-1+1)/2))*AR$2), 0)+IF(IF(time+1&gt;=AS$2, $K93/time_cap/(time+1)*AR$2, 0) = 0, $K93/(time_cap),0)),0)</f>
        <v/>
      </c>
      <c r="AS93" s="4395">
        <f>IFERROR(IF((time+time_cap)&lt;AS$2, 0,IF(AND(time+1&gt;=AT$2, $E93&lt;AT$2), IF($I93= "I", $J93/($F93-$E93+1), $J93/(($F93*($F93+1)/2)-(($E93-1)*($E93-1+1)/2))*AS$2), 0)+IF(IF(time+1&gt;=AT$2, $K93/time_cap/(time+1)*AS$2, 0) = 0, $K93/(time_cap),0)),0)</f>
        <v/>
      </c>
      <c r="AT93" s="4395">
        <f>IFERROR(IF((time+time_cap)&lt;AT$2, 0,IF(AND(time+1&gt;=AU$2, $E93&lt;AU$2), IF($I93= "I", $J93/($F93-$E93+1), $J93/(($F93*($F93+1)/2)-(($E93-1)*($E93-1+1)/2))*AT$2), 0)+IF(IF(time+1&gt;=AU$2, $K93/time_cap/(time+1)*AT$2, 0) = 0, $K93/(time_cap),0)),0)</f>
        <v/>
      </c>
      <c r="AU93" s="4395">
        <f>IFERROR(IF((time+time_cap)&lt;AU$2, 0,IF(AND(time+1&gt;=AV$2, $E93&lt;AV$2), IF($I93= "I", $J93/($F93-$E93+1), $J93/(($F93*($F93+1)/2)-(($E93-1)*($E93-1+1)/2))*AU$2), 0)+IF(IF(time+1&gt;=AV$2, $K93/time_cap/(time+1)*AU$2, 0) = 0, $K93/(time_cap),0)),0)</f>
        <v/>
      </c>
      <c r="AV93" s="4395">
        <f>IFERROR(IF((time+time_cap)&lt;AV$2, 0,IF(AND(time+1&gt;=AW$2, $E93&lt;AW$2), IF($I93= "I", $J93/($F93-$E93+1), $J93/(($F93*($F93+1)/2)-(($E93-1)*($E93-1+1)/2))*AV$2), 0)+IF(IF(time+1&gt;=AW$2, $K93/time_cap/(time+1)*AV$2, 0) = 0, $K93/(time_cap),0)),0)</f>
        <v/>
      </c>
      <c r="AW93" s="4395">
        <f>IFERROR(IF((time+time_cap)&lt;AW$2, 0,IF(AND(time+1&gt;=AX$2, $E93&lt;AX$2), IF($I93= "I", $J93/($F93-$E93+1), $J93/(($F93*($F93+1)/2)-(($E93-1)*($E93-1+1)/2))*AW$2), 0)+IF(IF(time+1&gt;=AX$2, $K93/time_cap/(time+1)*AW$2, 0) = 0, $K93/(time_cap),0)),0)</f>
        <v/>
      </c>
      <c r="AX93" s="4395">
        <f>IFERROR(IF((time+time_cap)&lt;AX$2, 0,IF(AND(time+1&gt;=AY$2, $E93&lt;AY$2), IF($I93= "I", $J93/($F93-$E93+1), $J93/(($F93*($F93+1)/2)-(($E93-1)*($E93-1+1)/2))*AX$2), 0)+IF(IF(time+1&gt;=AY$2, $K93/time_cap/(time+1)*AX$2, 0) = 0, $K93/(time_cap),0)),0)</f>
        <v/>
      </c>
      <c r="AY93" s="4395">
        <f>IFERROR(IF((time+time_cap)&lt;AY$2, 0,IF(AND(time+1&gt;=AZ$2, $E93&lt;AZ$2), IF($I93= "I", $J93/($F93-$E93+1), $J93/(($F93*($F93+1)/2)-(($E93-1)*($E93-1+1)/2))*AY$2), 0)+IF(IF(time+1&gt;=AZ$2, $K93/time_cap/(time+1)*AY$2, 0) = 0, $K93/(time_cap),0)),0)</f>
        <v/>
      </c>
      <c r="AZ93" s="4395">
        <f>IFERROR(IF((time+time_cap)&lt;AZ$2, 0,IF(AND(time+1&gt;=BA$2, $E93&lt;BA$2), IF($I93= "I", $J93/($F93-$E93+1), $J93/(($F93*($F93+1)/2)-(($E93-1)*($E93-1+1)/2))*AZ$2), 0)+IF(IF(time+1&gt;=BA$2, $K93/time_cap/(time+1)*AZ$2, 0) = 0, $K93/(time_cap),0)),0)</f>
        <v/>
      </c>
      <c r="BA93" s="4395">
        <f>IFERROR(IF((time+time_cap)&lt;BA$2, 0,IF(AND(time+1&gt;=BB$2, $E93&lt;BB$2), IF($I93= "I", $J93/($F93-$E93+1), $J93/(($F93*($F93+1)/2)-(($E93-1)*($E93-1+1)/2))*BA$2), 0)+IF(IF(time+1&gt;=BB$2, $K93/time_cap/(time+1)*BA$2, 0) = 0, $K93/(time_cap),0)),0)</f>
        <v/>
      </c>
      <c r="BB93" s="4395">
        <f>IFERROR(IF((time+time_cap)&lt;BB$2, 0,IF(AND(time+1&gt;=BC$2, $E93&lt;BC$2), IF($I93= "I", $J93/($F93-$E93+1), $J93/(($F93*($F93+1)/2)-(($E93-1)*($E93-1+1)/2))*BB$2), 0)+IF(IF(time+1&gt;=BC$2, $K93/time_cap/(time+1)*BB$2, 0) = 0, $K93/(time_cap),0)),0)</f>
        <v/>
      </c>
      <c r="BC93" s="4395">
        <f>IFERROR(IF((time+time_cap)&lt;BC$2, 0,IF(AND(time+1&gt;=BD$2, $E93&lt;BD$2), IF($I93= "I", $J93/($F93-$E93+1), $J93/(($F93*($F93+1)/2)-(($E93-1)*($E93-1+1)/2))*BC$2), 0)+IF(IF(time+1&gt;=BD$2, $K93/time_cap/(time+1)*BC$2, 0) = 0, $K93/(time_cap),0)),0)</f>
        <v/>
      </c>
      <c r="BD93" s="4395">
        <f>IFERROR(IF((time+time_cap)&lt;BD$2, 0,IF(AND(time+1&gt;=BE$2, $E93&lt;BE$2), IF($I93= "I", $J93/($F93-$E93+1), $J93/(($F93*($F93+1)/2)-(($E93-1)*($E93-1+1)/2))*BD$2), 0)+IF(IF(time+1&gt;=BE$2, $K93/time_cap/(time+1)*BD$2, 0) = 0, $K93/(time_cap),0)),0)</f>
        <v/>
      </c>
      <c r="BE93" s="4395">
        <f>IFERROR(IF((time+time_cap)&lt;BE$2, 0,IF(AND(time+1&gt;=BF$2, $E93&lt;BF$2), IF($I93= "I", $J93/($F93-$E93+1), $J93/(($F93*($F93+1)/2)-(($E93-1)*($E93-1+1)/2))*BE$2), 0)+IF(IF(time+1&gt;=BF$2, $K93/time_cap/(time+1)*BE$2, 0) = 0, $K93/(time_cap),0)),0)</f>
        <v/>
      </c>
      <c r="BF93" s="4395">
        <f>IFERROR(IF((time+time_cap)&lt;BF$2, 0,IF(AND(time+1&gt;=BG$2, $E93&lt;BG$2), IF($I93= "I", $J93/($F93-$E93+1), $J93/(($F93*($F93+1)/2)-(($E93-1)*($E93-1+1)/2))*BF$2), 0)+IF(IF(time+1&gt;=BG$2, $K93/time_cap/(time+1)*BF$2, 0) = 0, $K93/(time_cap),0)),0)</f>
        <v/>
      </c>
      <c r="BG93" s="4395">
        <f>IFERROR(IF((time+time_cap)&lt;BG$2, 0,IF(AND(time+1&gt;=BH$2, $E93&lt;BH$2), IF($I93= "I", $J93/($F93-$E93+1), $J93/(($F93*($F93+1)/2)-(($E93-1)*($E93-1+1)/2))*BG$2), 0)+IF(IF(time+1&gt;=BH$2, $K93/time_cap/(time+1)*BG$2, 0) = 0, $K93/(time_cap),0)),0)</f>
        <v/>
      </c>
      <c r="BH93" s="4395">
        <f>IFERROR(IF((time+time_cap)&lt;BH$2, 0,IF(AND(time+1&gt;=BI$2, $E93&lt;BI$2), IF($I93= "I", $J93/($F93-$E93+1), $J93/(($F93*($F93+1)/2)-(($E93-1)*($E93-1+1)/2))*BH$2), 0)+IF(IF(time+1&gt;=BI$2, $K93/time_cap/(time+1)*BH$2, 0) = 0, $K93/(time_cap),0)),0)</f>
        <v/>
      </c>
      <c r="BI93" s="4395">
        <f>IFERROR(IF((time+time_cap)&lt;BI$2, 0,IF(AND(time+1&gt;=BJ$2, $E93&lt;BJ$2), IF($I93= "I", $J93/($F93-$E93+1), $J93/(($F93*($F93+1)/2)-(($E93-1)*($E93-1+1)/2))*BI$2), 0)+IF(IF(time+1&gt;=BJ$2, $K93/time_cap/(time+1)*BI$2, 0) = 0, $K93/(time_cap),0)),0)</f>
        <v/>
      </c>
      <c r="BJ93" s="4395">
        <f>IFERROR(IF((time+time_cap)&lt;BJ$2, 0,IF(AND(time+1&gt;=BK$2, $E93&lt;BK$2), IF($I93= "I", $J93/($F93-$E93+1), $J93/(($F93*($F93+1)/2)-(($E93-1)*($E93-1+1)/2))*BJ$2), 0)+IF(IF(time+1&gt;=BK$2, $K93/time_cap/(time+1)*BJ$2, 0) = 0, $K93/(time_cap),0)),0)</f>
        <v/>
      </c>
      <c r="BK93" s="4395" t="n"/>
      <c r="BL93" s="4395" t="n"/>
      <c r="BM93" s="4395" t="n"/>
      <c r="BN93" s="4395" t="n"/>
      <c r="BO93" s="4395" t="n"/>
      <c r="BP93" s="4395" t="n"/>
      <c r="BQ93" s="4395" t="n"/>
      <c r="BR93" s="4395" t="n"/>
      <c r="BS93" s="4395" t="n"/>
      <c r="BT93" s="4395" t="n"/>
      <c r="BU93" s="4395" t="n"/>
      <c r="BV93" s="4395" t="n"/>
      <c r="BW93" s="4395" t="n"/>
      <c r="BX93" s="4395" t="n"/>
      <c r="BY93" s="4395" t="n"/>
      <c r="BZ93" s="4395" t="n"/>
      <c r="CA93" s="4395" t="n"/>
      <c r="CB93" s="4395" t="n"/>
      <c r="CC93" s="4395" t="n"/>
      <c r="CD93" s="4395" t="n"/>
      <c r="CE93" s="4395" t="n"/>
      <c r="CF93" s="4395" t="n"/>
      <c r="CG93" s="4395" t="n"/>
      <c r="CH93" s="4395" t="n"/>
      <c r="CI93" s="4395" t="n"/>
      <c r="CJ93" s="4395" t="n"/>
      <c r="CK93" s="4395" t="n"/>
      <c r="CL93" s="4395" t="n"/>
      <c r="CM93" s="4395" t="n"/>
      <c r="CN93" s="4395" t="n"/>
      <c r="CO93" s="4395" t="n"/>
      <c r="CP93" s="4395" t="n"/>
      <c r="CQ93" s="4395" t="n"/>
      <c r="CR93" s="4395" t="n"/>
      <c r="CS93" s="4395" t="n"/>
      <c r="CT93" s="4395" t="n"/>
      <c r="CU93" s="4395" t="n"/>
      <c r="CV93" s="4395" t="n"/>
      <c r="CW93" s="4395" t="n"/>
      <c r="CX93" s="4395" t="n"/>
      <c r="CY93" s="4395" t="n"/>
      <c r="CZ93" s="4395" t="n"/>
      <c r="DA93" s="4395" t="n"/>
      <c r="DB93" s="4395" t="n"/>
      <c r="DC93" s="4395" t="n"/>
      <c r="DD93" s="4395" t="n"/>
      <c r="DE93" s="4395" t="n"/>
      <c r="DF93" s="4395" t="n"/>
      <c r="DG93" s="4395" t="n"/>
      <c r="DH93" s="4395" t="n"/>
    </row>
    <row r="94" ht="16" customHeight="1">
      <c r="A94" t="inlineStr">
        <is>
          <t>Livestock</t>
        </is>
      </c>
      <c r="B94">
        <f>'4.Grassland'!E57</f>
        <v/>
      </c>
      <c r="C94">
        <f>'4.Grassland'!I57</f>
        <v/>
      </c>
      <c r="D94">
        <f>'4.Grassland'!AG57</f>
        <v/>
      </c>
      <c r="E94">
        <f>IF('4.Grassland'!CG57&lt;&gt;0,'4.Grassland'!CG57, '4.Grassland'!CF57)</f>
        <v/>
      </c>
      <c r="F94">
        <f>time</f>
        <v/>
      </c>
      <c r="G94" s="4395">
        <f>'4.Grassland'!Y57</f>
        <v/>
      </c>
      <c r="H94" s="4395">
        <f>'4.Grassland'!AA57</f>
        <v/>
      </c>
      <c r="I94" s="4395">
        <f>IF(OR(H94="I", G94="I"), "I", IF(OR(H94="E", G94="E"), "E", "D"))</f>
        <v/>
      </c>
      <c r="J94" s="4395">
        <f>((D94/(time_cap+((F94-E94+1)*VLOOKUP(I94,list!$I$48:$K$50,3, FALSE))))*(F94-E94+1)*VLOOKUP(I94,list!$I$48:$K$50,3, FALSE))</f>
        <v/>
      </c>
      <c r="K94" s="4395">
        <f>((D94/(time_cap+((F94-E94+1)*VLOOKUP(I94,list!$I$48:$K$50,3, FALSE))))*time_cap)</f>
        <v/>
      </c>
      <c r="M94" s="4395">
        <f>IFERROR(IF((time+time_cap)&lt;M$2, 0,IF(AND(time+1&gt;=N$2, $E94&lt;N$2), IF($I94= "I", $J94/($F94-$E94+1), $J94/(($F94*($F94+1)/2)-(($E94-1)*($E94-1+1)/2))*M$2), 0)+IF(IF(time+1&gt;=N$2, $K94/time_cap/(time+1)*M$2, 0) = 0, $K94/(time_cap),0)),0)</f>
        <v/>
      </c>
      <c r="N94" s="4395">
        <f>IFERROR(IF((time+time_cap)&lt;N$2, 0,IF(AND(time+1&gt;=O$2, $E94&lt;O$2), IF($I94= "I", $J94/($F94-$E94+1), $J94/(($F94*($F94+1)/2)-(($E94-1)*($E94-1+1)/2))*N$2), 0)+IF(IF(time+1&gt;=O$2, $K94/time_cap/(time+1)*N$2, 0) = 0, $K94/(time_cap),0)),0)</f>
        <v/>
      </c>
      <c r="O94" s="4395">
        <f>IFERROR(IF((time+time_cap)&lt;O$2, 0,IF(AND(time+1&gt;=P$2, $E94&lt;P$2), IF($I94= "I", $J94/($F94-$E94+1), $J94/(($F94*($F94+1)/2)-(($E94-1)*($E94-1+1)/2))*O$2), 0)+IF(IF(time+1&gt;=P$2, $K94/time_cap/(time+1)*O$2, 0) = 0, $K94/(time_cap),0)),0)</f>
        <v/>
      </c>
      <c r="P94" s="4395">
        <f>IFERROR(IF((time+time_cap)&lt;P$2, 0,IF(AND(time+1&gt;=Q$2, $E94&lt;Q$2), IF($I94= "I", $J94/($F94-$E94+1), $J94/(($F94*($F94+1)/2)-(($E94-1)*($E94-1+1)/2))*P$2), 0)+IF(IF(time+1&gt;=Q$2, $K94/time_cap/(time+1)*P$2, 0) = 0, $K94/(time_cap),0)),0)</f>
        <v/>
      </c>
      <c r="Q94" s="4395">
        <f>IFERROR(IF((time+time_cap)&lt;Q$2, 0,IF(AND(time+1&gt;=R$2, $E94&lt;R$2), IF($I94= "I", $J94/($F94-$E94+1), $J94/(($F94*($F94+1)/2)-(($E94-1)*($E94-1+1)/2))*Q$2), 0)+IF(IF(time+1&gt;=R$2, $K94/time_cap/(time+1)*Q$2, 0) = 0, $K94/(time_cap),0)),0)</f>
        <v/>
      </c>
      <c r="R94" s="4395">
        <f>IFERROR(IF((time+time_cap)&lt;R$2, 0,IF(AND(time+1&gt;=S$2, $E94&lt;S$2), IF($I94= "I", $J94/($F94-$E94+1), $J94/(($F94*($F94+1)/2)-(($E94-1)*($E94-1+1)/2))*R$2), 0)+IF(IF(time+1&gt;=S$2, $K94/time_cap/(time+1)*R$2, 0) = 0, $K94/(time_cap),0)),0)</f>
        <v/>
      </c>
      <c r="S94" s="4395">
        <f>IFERROR(IF((time+time_cap)&lt;S$2, 0,IF(AND(time+1&gt;=T$2, $E94&lt;T$2), IF($I94= "I", $J94/($F94-$E94+1), $J94/(($F94*($F94+1)/2)-(($E94-1)*($E94-1+1)/2))*S$2), 0)+IF(IF(time+1&gt;=T$2, $K94/time_cap/(time+1)*S$2, 0) = 0, $K94/(time_cap),0)),0)</f>
        <v/>
      </c>
      <c r="T94" s="4395">
        <f>IFERROR(IF((time+time_cap)&lt;T$2, 0,IF(AND(time+1&gt;=U$2, $E94&lt;U$2), IF($I94= "I", $J94/($F94-$E94+1), $J94/(($F94*($F94+1)/2)-(($E94-1)*($E94-1+1)/2))*T$2), 0)+IF(IF(time+1&gt;=U$2, $K94/time_cap/(time+1)*T$2, 0) = 0, $K94/(time_cap),0)),0)</f>
        <v/>
      </c>
      <c r="U94" s="4395">
        <f>IFERROR(IF((time+time_cap)&lt;U$2, 0,IF(AND(time+1&gt;=V$2, $E94&lt;V$2), IF($I94= "I", $J94/($F94-$E94+1), $J94/(($F94*($F94+1)/2)-(($E94-1)*($E94-1+1)/2))*U$2), 0)+IF(IF(time+1&gt;=V$2, $K94/time_cap/(time+1)*U$2, 0) = 0, $K94/(time_cap),0)),0)</f>
        <v/>
      </c>
      <c r="V94" s="4395">
        <f>IFERROR(IF((time+time_cap)&lt;V$2, 0,IF(AND(time+1&gt;=W$2, $E94&lt;W$2), IF($I94= "I", $J94/($F94-$E94+1), $J94/(($F94*($F94+1)/2)-(($E94-1)*($E94-1+1)/2))*V$2), 0)+IF(IF(time+1&gt;=W$2, $K94/time_cap/(time+1)*V$2, 0) = 0, $K94/(time_cap),0)),0)</f>
        <v/>
      </c>
      <c r="W94" s="4395">
        <f>IFERROR(IF((time+time_cap)&lt;W$2, 0,IF(AND(time+1&gt;=X$2, $E94&lt;X$2), IF($I94= "I", $J94/($F94-$E94+1), $J94/(($F94*($F94+1)/2)-(($E94-1)*($E94-1+1)/2))*W$2), 0)+IF(IF(time+1&gt;=X$2, $K94/time_cap/(time+1)*W$2, 0) = 0, $K94/(time_cap),0)),0)</f>
        <v/>
      </c>
      <c r="X94" s="4395">
        <f>IFERROR(IF((time+time_cap)&lt;X$2, 0,IF(AND(time+1&gt;=Y$2, $E94&lt;Y$2), IF($I94= "I", $J94/($F94-$E94+1), $J94/(($F94*($F94+1)/2)-(($E94-1)*($E94-1+1)/2))*X$2), 0)+IF(IF(time+1&gt;=Y$2, $K94/time_cap/(time+1)*X$2, 0) = 0, $K94/(time_cap),0)),0)</f>
        <v/>
      </c>
      <c r="Y94" s="4395">
        <f>IFERROR(IF((time+time_cap)&lt;Y$2, 0,IF(AND(time+1&gt;=Z$2, $E94&lt;Z$2), IF($I94= "I", $J94/($F94-$E94+1), $J94/(($F94*($F94+1)/2)-(($E94-1)*($E94-1+1)/2))*Y$2), 0)+IF(IF(time+1&gt;=Z$2, $K94/time_cap/(time+1)*Y$2, 0) = 0, $K94/(time_cap),0)),0)</f>
        <v/>
      </c>
      <c r="Z94" s="4395">
        <f>IFERROR(IF((time+time_cap)&lt;Z$2, 0,IF(AND(time+1&gt;=AA$2, $E94&lt;AA$2), IF($I94= "I", $J94/($F94-$E94+1), $J94/(($F94*($F94+1)/2)-(($E94-1)*($E94-1+1)/2))*Z$2), 0)+IF(IF(time+1&gt;=AA$2, $K94/time_cap/(time+1)*Z$2, 0) = 0, $K94/(time_cap),0)),0)</f>
        <v/>
      </c>
      <c r="AA94" s="4395">
        <f>IFERROR(IF((time+time_cap)&lt;AA$2, 0,IF(AND(time+1&gt;=AB$2, $E94&lt;AB$2), IF($I94= "I", $J94/($F94-$E94+1), $J94/(($F94*($F94+1)/2)-(($E94-1)*($E94-1+1)/2))*AA$2), 0)+IF(IF(time+1&gt;=AB$2, $K94/time_cap/(time+1)*AA$2, 0) = 0, $K94/(time_cap),0)),0)</f>
        <v/>
      </c>
      <c r="AB94" s="4395">
        <f>IFERROR(IF((time+time_cap)&lt;AB$2, 0,IF(AND(time+1&gt;=AC$2, $E94&lt;AC$2), IF($I94= "I", $J94/($F94-$E94+1), $J94/(($F94*($F94+1)/2)-(($E94-1)*($E94-1+1)/2))*AB$2), 0)+IF(IF(time+1&gt;=AC$2, $K94/time_cap/(time+1)*AB$2, 0) = 0, $K94/(time_cap),0)),0)</f>
        <v/>
      </c>
      <c r="AC94" s="4395">
        <f>IFERROR(IF((time+time_cap)&lt;AC$2, 0,IF(AND(time+1&gt;=AD$2, $E94&lt;AD$2), IF($I94= "I", $J94/($F94-$E94+1), $J94/(($F94*($F94+1)/2)-(($E94-1)*($E94-1+1)/2))*AC$2), 0)+IF(IF(time+1&gt;=AD$2, $K94/time_cap/(time+1)*AC$2, 0) = 0, $K94/(time_cap),0)),0)</f>
        <v/>
      </c>
      <c r="AD94" s="4395">
        <f>IFERROR(IF((time+time_cap)&lt;AD$2, 0,IF(AND(time+1&gt;=AE$2, $E94&lt;AE$2), IF($I94= "I", $J94/($F94-$E94+1), $J94/(($F94*($F94+1)/2)-(($E94-1)*($E94-1+1)/2))*AD$2), 0)+IF(IF(time+1&gt;=AE$2, $K94/time_cap/(time+1)*AD$2, 0) = 0, $K94/(time_cap),0)),0)</f>
        <v/>
      </c>
      <c r="AE94" s="4395">
        <f>IFERROR(IF((time+time_cap)&lt;AE$2, 0,IF(AND(time+1&gt;=AF$2, $E94&lt;AF$2), IF($I94= "I", $J94/($F94-$E94+1), $J94/(($F94*($F94+1)/2)-(($E94-1)*($E94-1+1)/2))*AE$2), 0)+IF(IF(time+1&gt;=AF$2, $K94/time_cap/(time+1)*AE$2, 0) = 0, $K94/(time_cap),0)),0)</f>
        <v/>
      </c>
      <c r="AF94" s="4395">
        <f>IFERROR(IF((time+time_cap)&lt;AF$2, 0,IF(AND(time+1&gt;=AG$2, $E94&lt;AG$2), IF($I94= "I", $J94/($F94-$E94+1), $J94/(($F94*($F94+1)/2)-(($E94-1)*($E94-1+1)/2))*AF$2), 0)+IF(IF(time+1&gt;=AG$2, $K94/time_cap/(time+1)*AF$2, 0) = 0, $K94/(time_cap),0)),0)</f>
        <v/>
      </c>
      <c r="AG94" s="4395">
        <f>IFERROR(IF((time+time_cap)&lt;AG$2, 0,IF(AND(time+1&gt;=AH$2, $E94&lt;AH$2), IF($I94= "I", $J94/($F94-$E94+1), $J94/(($F94*($F94+1)/2)-(($E94-1)*($E94-1+1)/2))*AG$2), 0)+IF(IF(time+1&gt;=AH$2, $K94/time_cap/(time+1)*AG$2, 0) = 0, $K94/(time_cap),0)),0)</f>
        <v/>
      </c>
      <c r="AH94" s="4395">
        <f>IFERROR(IF((time+time_cap)&lt;AH$2, 0,IF(AND(time+1&gt;=AI$2, $E94&lt;AI$2), IF($I94= "I", $J94/($F94-$E94+1), $J94/(($F94*($F94+1)/2)-(($E94-1)*($E94-1+1)/2))*AH$2), 0)+IF(IF(time+1&gt;=AI$2, $K94/time_cap/(time+1)*AH$2, 0) = 0, $K94/(time_cap),0)),0)</f>
        <v/>
      </c>
      <c r="AI94" s="4395">
        <f>IFERROR(IF((time+time_cap)&lt;AI$2, 0,IF(AND(time+1&gt;=AJ$2, $E94&lt;AJ$2), IF($I94= "I", $J94/($F94-$E94+1), $J94/(($F94*($F94+1)/2)-(($E94-1)*($E94-1+1)/2))*AI$2), 0)+IF(IF(time+1&gt;=AJ$2, $K94/time_cap/(time+1)*AI$2, 0) = 0, $K94/(time_cap),0)),0)</f>
        <v/>
      </c>
      <c r="AJ94" s="4395">
        <f>IFERROR(IF((time+time_cap)&lt;AJ$2, 0,IF(AND(time+1&gt;=AK$2, $E94&lt;AK$2), IF($I94= "I", $J94/($F94-$E94+1), $J94/(($F94*($F94+1)/2)-(($E94-1)*($E94-1+1)/2))*AJ$2), 0)+IF(IF(time+1&gt;=AK$2, $K94/time_cap/(time+1)*AJ$2, 0) = 0, $K94/(time_cap),0)),0)</f>
        <v/>
      </c>
      <c r="AK94" s="4395">
        <f>IFERROR(IF((time+time_cap)&lt;AK$2, 0,IF(AND(time+1&gt;=AL$2, $E94&lt;AL$2), IF($I94= "I", $J94/($F94-$E94+1), $J94/(($F94*($F94+1)/2)-(($E94-1)*($E94-1+1)/2))*AK$2), 0)+IF(IF(time+1&gt;=AL$2, $K94/time_cap/(time+1)*AK$2, 0) = 0, $K94/(time_cap),0)),0)</f>
        <v/>
      </c>
      <c r="AL94" s="4395">
        <f>IFERROR(IF((time+time_cap)&lt;AL$2, 0,IF(AND(time+1&gt;=AM$2, $E94&lt;AM$2), IF($I94= "I", $J94/($F94-$E94+1), $J94/(($F94*($F94+1)/2)-(($E94-1)*($E94-1+1)/2))*AL$2), 0)+IF(IF(time+1&gt;=AM$2, $K94/time_cap/(time+1)*AL$2, 0) = 0, $K94/(time_cap),0)),0)</f>
        <v/>
      </c>
      <c r="AM94" s="4395">
        <f>IFERROR(IF((time+time_cap)&lt;AM$2, 0,IF(AND(time+1&gt;=AN$2, $E94&lt;AN$2), IF($I94= "I", $J94/($F94-$E94+1), $J94/(($F94*($F94+1)/2)-(($E94-1)*($E94-1+1)/2))*AM$2), 0)+IF(IF(time+1&gt;=AN$2, $K94/time_cap/(time+1)*AM$2, 0) = 0, $K94/(time_cap),0)),0)</f>
        <v/>
      </c>
      <c r="AN94" s="4395">
        <f>IFERROR(IF((time+time_cap)&lt;AN$2, 0,IF(AND(time+1&gt;=AO$2, $E94&lt;AO$2), IF($I94= "I", $J94/($F94-$E94+1), $J94/(($F94*($F94+1)/2)-(($E94-1)*($E94-1+1)/2))*AN$2), 0)+IF(IF(time+1&gt;=AO$2, $K94/time_cap/(time+1)*AN$2, 0) = 0, $K94/(time_cap),0)),0)</f>
        <v/>
      </c>
      <c r="AO94" s="4395">
        <f>IFERROR(IF((time+time_cap)&lt;AO$2, 0,IF(AND(time+1&gt;=AP$2, $E94&lt;AP$2), IF($I94= "I", $J94/($F94-$E94+1), $J94/(($F94*($F94+1)/2)-(($E94-1)*($E94-1+1)/2))*AO$2), 0)+IF(IF(time+1&gt;=AP$2, $K94/time_cap/(time+1)*AO$2, 0) = 0, $K94/(time_cap),0)),0)</f>
        <v/>
      </c>
      <c r="AP94" s="4395">
        <f>IFERROR(IF((time+time_cap)&lt;AP$2, 0,IF(AND(time+1&gt;=AQ$2, $E94&lt;AQ$2), IF($I94= "I", $J94/($F94-$E94+1), $J94/(($F94*($F94+1)/2)-(($E94-1)*($E94-1+1)/2))*AP$2), 0)+IF(IF(time+1&gt;=AQ$2, $K94/time_cap/(time+1)*AP$2, 0) = 0, $K94/(time_cap),0)),0)</f>
        <v/>
      </c>
      <c r="AQ94" s="4395">
        <f>IFERROR(IF((time+time_cap)&lt;AQ$2, 0,IF(AND(time+1&gt;=AR$2, $E94&lt;AR$2), IF($I94= "I", $J94/($F94-$E94+1), $J94/(($F94*($F94+1)/2)-(($E94-1)*($E94-1+1)/2))*AQ$2), 0)+IF(IF(time+1&gt;=AR$2, $K94/time_cap/(time+1)*AQ$2, 0) = 0, $K94/(time_cap),0)),0)</f>
        <v/>
      </c>
      <c r="AR94" s="4395">
        <f>IFERROR(IF((time+time_cap)&lt;AR$2, 0,IF(AND(time+1&gt;=AS$2, $E94&lt;AS$2), IF($I94= "I", $J94/($F94-$E94+1), $J94/(($F94*($F94+1)/2)-(($E94-1)*($E94-1+1)/2))*AR$2), 0)+IF(IF(time+1&gt;=AS$2, $K94/time_cap/(time+1)*AR$2, 0) = 0, $K94/(time_cap),0)),0)</f>
        <v/>
      </c>
      <c r="AS94" s="4395">
        <f>IFERROR(IF((time+time_cap)&lt;AS$2, 0,IF(AND(time+1&gt;=AT$2, $E94&lt;AT$2), IF($I94= "I", $J94/($F94-$E94+1), $J94/(($F94*($F94+1)/2)-(($E94-1)*($E94-1+1)/2))*AS$2), 0)+IF(IF(time+1&gt;=AT$2, $K94/time_cap/(time+1)*AS$2, 0) = 0, $K94/(time_cap),0)),0)</f>
        <v/>
      </c>
      <c r="AT94" s="4395">
        <f>IFERROR(IF((time+time_cap)&lt;AT$2, 0,IF(AND(time+1&gt;=AU$2, $E94&lt;AU$2), IF($I94= "I", $J94/($F94-$E94+1), $J94/(($F94*($F94+1)/2)-(($E94-1)*($E94-1+1)/2))*AT$2), 0)+IF(IF(time+1&gt;=AU$2, $K94/time_cap/(time+1)*AT$2, 0) = 0, $K94/(time_cap),0)),0)</f>
        <v/>
      </c>
      <c r="AU94" s="4395">
        <f>IFERROR(IF((time+time_cap)&lt;AU$2, 0,IF(AND(time+1&gt;=AV$2, $E94&lt;AV$2), IF($I94= "I", $J94/($F94-$E94+1), $J94/(($F94*($F94+1)/2)-(($E94-1)*($E94-1+1)/2))*AU$2), 0)+IF(IF(time+1&gt;=AV$2, $K94/time_cap/(time+1)*AU$2, 0) = 0, $K94/(time_cap),0)),0)</f>
        <v/>
      </c>
      <c r="AV94" s="4395">
        <f>IFERROR(IF((time+time_cap)&lt;AV$2, 0,IF(AND(time+1&gt;=AW$2, $E94&lt;AW$2), IF($I94= "I", $J94/($F94-$E94+1), $J94/(($F94*($F94+1)/2)-(($E94-1)*($E94-1+1)/2))*AV$2), 0)+IF(IF(time+1&gt;=AW$2, $K94/time_cap/(time+1)*AV$2, 0) = 0, $K94/(time_cap),0)),0)</f>
        <v/>
      </c>
      <c r="AW94" s="4395">
        <f>IFERROR(IF((time+time_cap)&lt;AW$2, 0,IF(AND(time+1&gt;=AX$2, $E94&lt;AX$2), IF($I94= "I", $J94/($F94-$E94+1), $J94/(($F94*($F94+1)/2)-(($E94-1)*($E94-1+1)/2))*AW$2), 0)+IF(IF(time+1&gt;=AX$2, $K94/time_cap/(time+1)*AW$2, 0) = 0, $K94/(time_cap),0)),0)</f>
        <v/>
      </c>
      <c r="AX94" s="4395">
        <f>IFERROR(IF((time+time_cap)&lt;AX$2, 0,IF(AND(time+1&gt;=AY$2, $E94&lt;AY$2), IF($I94= "I", $J94/($F94-$E94+1), $J94/(($F94*($F94+1)/2)-(($E94-1)*($E94-1+1)/2))*AX$2), 0)+IF(IF(time+1&gt;=AY$2, $K94/time_cap/(time+1)*AX$2, 0) = 0, $K94/(time_cap),0)),0)</f>
        <v/>
      </c>
      <c r="AY94" s="4395">
        <f>IFERROR(IF((time+time_cap)&lt;AY$2, 0,IF(AND(time+1&gt;=AZ$2, $E94&lt;AZ$2), IF($I94= "I", $J94/($F94-$E94+1), $J94/(($F94*($F94+1)/2)-(($E94-1)*($E94-1+1)/2))*AY$2), 0)+IF(IF(time+1&gt;=AZ$2, $K94/time_cap/(time+1)*AY$2, 0) = 0, $K94/(time_cap),0)),0)</f>
        <v/>
      </c>
      <c r="AZ94" s="4395">
        <f>IFERROR(IF((time+time_cap)&lt;AZ$2, 0,IF(AND(time+1&gt;=BA$2, $E94&lt;BA$2), IF($I94= "I", $J94/($F94-$E94+1), $J94/(($F94*($F94+1)/2)-(($E94-1)*($E94-1+1)/2))*AZ$2), 0)+IF(IF(time+1&gt;=BA$2, $K94/time_cap/(time+1)*AZ$2, 0) = 0, $K94/(time_cap),0)),0)</f>
        <v/>
      </c>
      <c r="BA94" s="4395">
        <f>IFERROR(IF((time+time_cap)&lt;BA$2, 0,IF(AND(time+1&gt;=BB$2, $E94&lt;BB$2), IF($I94= "I", $J94/($F94-$E94+1), $J94/(($F94*($F94+1)/2)-(($E94-1)*($E94-1+1)/2))*BA$2), 0)+IF(IF(time+1&gt;=BB$2, $K94/time_cap/(time+1)*BA$2, 0) = 0, $K94/(time_cap),0)),0)</f>
        <v/>
      </c>
      <c r="BB94" s="4395">
        <f>IFERROR(IF((time+time_cap)&lt;BB$2, 0,IF(AND(time+1&gt;=BC$2, $E94&lt;BC$2), IF($I94= "I", $J94/($F94-$E94+1), $J94/(($F94*($F94+1)/2)-(($E94-1)*($E94-1+1)/2))*BB$2), 0)+IF(IF(time+1&gt;=BC$2, $K94/time_cap/(time+1)*BB$2, 0) = 0, $K94/(time_cap),0)),0)</f>
        <v/>
      </c>
      <c r="BC94" s="4395">
        <f>IFERROR(IF((time+time_cap)&lt;BC$2, 0,IF(AND(time+1&gt;=BD$2, $E94&lt;BD$2), IF($I94= "I", $J94/($F94-$E94+1), $J94/(($F94*($F94+1)/2)-(($E94-1)*($E94-1+1)/2))*BC$2), 0)+IF(IF(time+1&gt;=BD$2, $K94/time_cap/(time+1)*BC$2, 0) = 0, $K94/(time_cap),0)),0)</f>
        <v/>
      </c>
      <c r="BD94" s="4395">
        <f>IFERROR(IF((time+time_cap)&lt;BD$2, 0,IF(AND(time+1&gt;=BE$2, $E94&lt;BE$2), IF($I94= "I", $J94/($F94-$E94+1), $J94/(($F94*($F94+1)/2)-(($E94-1)*($E94-1+1)/2))*BD$2), 0)+IF(IF(time+1&gt;=BE$2, $K94/time_cap/(time+1)*BD$2, 0) = 0, $K94/(time_cap),0)),0)</f>
        <v/>
      </c>
      <c r="BE94" s="4395">
        <f>IFERROR(IF((time+time_cap)&lt;BE$2, 0,IF(AND(time+1&gt;=BF$2, $E94&lt;BF$2), IF($I94= "I", $J94/($F94-$E94+1), $J94/(($F94*($F94+1)/2)-(($E94-1)*($E94-1+1)/2))*BE$2), 0)+IF(IF(time+1&gt;=BF$2, $K94/time_cap/(time+1)*BE$2, 0) = 0, $K94/(time_cap),0)),0)</f>
        <v/>
      </c>
      <c r="BF94" s="4395">
        <f>IFERROR(IF((time+time_cap)&lt;BF$2, 0,IF(AND(time+1&gt;=BG$2, $E94&lt;BG$2), IF($I94= "I", $J94/($F94-$E94+1), $J94/(($F94*($F94+1)/2)-(($E94-1)*($E94-1+1)/2))*BF$2), 0)+IF(IF(time+1&gt;=BG$2, $K94/time_cap/(time+1)*BF$2, 0) = 0, $K94/(time_cap),0)),0)</f>
        <v/>
      </c>
      <c r="BG94" s="4395">
        <f>IFERROR(IF((time+time_cap)&lt;BG$2, 0,IF(AND(time+1&gt;=BH$2, $E94&lt;BH$2), IF($I94= "I", $J94/($F94-$E94+1), $J94/(($F94*($F94+1)/2)-(($E94-1)*($E94-1+1)/2))*BG$2), 0)+IF(IF(time+1&gt;=BH$2, $K94/time_cap/(time+1)*BG$2, 0) = 0, $K94/(time_cap),0)),0)</f>
        <v/>
      </c>
      <c r="BH94" s="4395">
        <f>IFERROR(IF((time+time_cap)&lt;BH$2, 0,IF(AND(time+1&gt;=BI$2, $E94&lt;BI$2), IF($I94= "I", $J94/($F94-$E94+1), $J94/(($F94*($F94+1)/2)-(($E94-1)*($E94-1+1)/2))*BH$2), 0)+IF(IF(time+1&gt;=BI$2, $K94/time_cap/(time+1)*BH$2, 0) = 0, $K94/(time_cap),0)),0)</f>
        <v/>
      </c>
      <c r="BI94" s="4395">
        <f>IFERROR(IF((time+time_cap)&lt;BI$2, 0,IF(AND(time+1&gt;=BJ$2, $E94&lt;BJ$2), IF($I94= "I", $J94/($F94-$E94+1), $J94/(($F94*($F94+1)/2)-(($E94-1)*($E94-1+1)/2))*BI$2), 0)+IF(IF(time+1&gt;=BJ$2, $K94/time_cap/(time+1)*BI$2, 0) = 0, $K94/(time_cap),0)),0)</f>
        <v/>
      </c>
      <c r="BJ94" s="4395">
        <f>IFERROR(IF((time+time_cap)&lt;BJ$2, 0,IF(AND(time+1&gt;=BK$2, $E94&lt;BK$2), IF($I94= "I", $J94/($F94-$E94+1), $J94/(($F94*($F94+1)/2)-(($E94-1)*($E94-1+1)/2))*BJ$2), 0)+IF(IF(time+1&gt;=BK$2, $K94/time_cap/(time+1)*BJ$2, 0) = 0, $K94/(time_cap),0)),0)</f>
        <v/>
      </c>
      <c r="BK94" s="4395" t="n"/>
      <c r="BL94" s="4395" t="n"/>
      <c r="BM94" s="4395" t="n"/>
      <c r="BN94" s="4395" t="n"/>
      <c r="BO94" s="4395" t="n"/>
      <c r="BP94" s="4395" t="n"/>
      <c r="BQ94" s="4395" t="n"/>
      <c r="BR94" s="4395" t="n"/>
      <c r="BS94" s="4395" t="n"/>
      <c r="BT94" s="4395" t="n"/>
      <c r="BU94" s="4395" t="n"/>
      <c r="BV94" s="4395" t="n"/>
      <c r="BW94" s="4395" t="n"/>
      <c r="BX94" s="4395" t="n"/>
      <c r="BY94" s="4395" t="n"/>
      <c r="BZ94" s="4395" t="n"/>
      <c r="CA94" s="4395" t="n"/>
      <c r="CB94" s="4395" t="n"/>
      <c r="CC94" s="4395" t="n"/>
      <c r="CD94" s="4395" t="n"/>
      <c r="CE94" s="4395" t="n"/>
      <c r="CF94" s="4395" t="n"/>
      <c r="CG94" s="4395" t="n"/>
      <c r="CH94" s="4395" t="n"/>
      <c r="CI94" s="4395" t="n"/>
      <c r="CJ94" s="4395" t="n"/>
      <c r="CK94" s="4395" t="n"/>
      <c r="CL94" s="4395" t="n"/>
      <c r="CM94" s="4395" t="n"/>
      <c r="CN94" s="4395" t="n"/>
      <c r="CO94" s="4395" t="n"/>
      <c r="CP94" s="4395" t="n"/>
      <c r="CQ94" s="4395" t="n"/>
      <c r="CR94" s="4395" t="n"/>
      <c r="CS94" s="4395" t="n"/>
      <c r="CT94" s="4395" t="n"/>
      <c r="CU94" s="4395" t="n"/>
      <c r="CV94" s="4395" t="n"/>
      <c r="CW94" s="4395" t="n"/>
      <c r="CX94" s="4395" t="n"/>
      <c r="CY94" s="4395" t="n"/>
      <c r="CZ94" s="4395" t="n"/>
      <c r="DA94" s="4395" t="n"/>
      <c r="DB94" s="4395" t="n"/>
      <c r="DC94" s="4395" t="n"/>
      <c r="DD94" s="4395" t="n"/>
      <c r="DE94" s="4395" t="n"/>
      <c r="DF94" s="4395" t="n"/>
      <c r="DG94" s="4395" t="n"/>
      <c r="DH94" s="4395" t="n"/>
    </row>
    <row r="95" ht="16" customHeight="1">
      <c r="A95" t="inlineStr">
        <is>
          <t>Livestock</t>
        </is>
      </c>
      <c r="B95">
        <f>'4.Grassland'!E58</f>
        <v/>
      </c>
      <c r="C95">
        <f>'4.Grassland'!I58</f>
        <v/>
      </c>
      <c r="D95">
        <f>'4.Grassland'!AG58</f>
        <v/>
      </c>
      <c r="E95">
        <f>IF('4.Grassland'!CG58&lt;&gt;0,'4.Grassland'!CG58, '4.Grassland'!CF58)</f>
        <v/>
      </c>
      <c r="F95">
        <f>time</f>
        <v/>
      </c>
      <c r="G95" s="4395">
        <f>'4.Grassland'!Y58</f>
        <v/>
      </c>
      <c r="H95" s="4395">
        <f>'4.Grassland'!AA58</f>
        <v/>
      </c>
      <c r="I95" s="4395">
        <f>IF(OR(H95="I", G95="I"), "I", IF(OR(H95="E", G95="E"), "E", "D"))</f>
        <v/>
      </c>
      <c r="J95" s="4395">
        <f>((D95/(time_cap+((F95-E95+1)*VLOOKUP(I95,list!$I$48:$K$50,3, FALSE))))*(F95-E95+1)*VLOOKUP(I95,list!$I$48:$K$50,3, FALSE))</f>
        <v/>
      </c>
      <c r="K95" s="4395">
        <f>((D95/(time_cap+((F95-E95+1)*VLOOKUP(I95,list!$I$48:$K$50,3, FALSE))))*time_cap)</f>
        <v/>
      </c>
      <c r="M95" s="4395">
        <f>IFERROR(IF((time+time_cap)&lt;M$2, 0,IF(AND(time+1&gt;=N$2, $E95&lt;N$2), IF($I95= "I", $J95/($F95-$E95+1), $J95/(($F95*($F95+1)/2)-(($E95-1)*($E95-1+1)/2))*M$2), 0)+IF(IF(time+1&gt;=N$2, $K95/time_cap/(time+1)*M$2, 0) = 0, $K95/(time_cap),0)),0)</f>
        <v/>
      </c>
      <c r="N95" s="4395">
        <f>IFERROR(IF((time+time_cap)&lt;N$2, 0,IF(AND(time+1&gt;=O$2, $E95&lt;O$2), IF($I95= "I", $J95/($F95-$E95+1), $J95/(($F95*($F95+1)/2)-(($E95-1)*($E95-1+1)/2))*N$2), 0)+IF(IF(time+1&gt;=O$2, $K95/time_cap/(time+1)*N$2, 0) = 0, $K95/(time_cap),0)),0)</f>
        <v/>
      </c>
      <c r="O95" s="4395">
        <f>IFERROR(IF((time+time_cap)&lt;O$2, 0,IF(AND(time+1&gt;=P$2, $E95&lt;P$2), IF($I95= "I", $J95/($F95-$E95+1), $J95/(($F95*($F95+1)/2)-(($E95-1)*($E95-1+1)/2))*O$2), 0)+IF(IF(time+1&gt;=P$2, $K95/time_cap/(time+1)*O$2, 0) = 0, $K95/(time_cap),0)),0)</f>
        <v/>
      </c>
      <c r="P95" s="4395">
        <f>IFERROR(IF((time+time_cap)&lt;P$2, 0,IF(AND(time+1&gt;=Q$2, $E95&lt;Q$2), IF($I95= "I", $J95/($F95-$E95+1), $J95/(($F95*($F95+1)/2)-(($E95-1)*($E95-1+1)/2))*P$2), 0)+IF(IF(time+1&gt;=Q$2, $K95/time_cap/(time+1)*P$2, 0) = 0, $K95/(time_cap),0)),0)</f>
        <v/>
      </c>
      <c r="Q95" s="4395">
        <f>IFERROR(IF((time+time_cap)&lt;Q$2, 0,IF(AND(time+1&gt;=R$2, $E95&lt;R$2), IF($I95= "I", $J95/($F95-$E95+1), $J95/(($F95*($F95+1)/2)-(($E95-1)*($E95-1+1)/2))*Q$2), 0)+IF(IF(time+1&gt;=R$2, $K95/time_cap/(time+1)*Q$2, 0) = 0, $K95/(time_cap),0)),0)</f>
        <v/>
      </c>
      <c r="R95" s="4395">
        <f>IFERROR(IF((time+time_cap)&lt;R$2, 0,IF(AND(time+1&gt;=S$2, $E95&lt;S$2), IF($I95= "I", $J95/($F95-$E95+1), $J95/(($F95*($F95+1)/2)-(($E95-1)*($E95-1+1)/2))*R$2), 0)+IF(IF(time+1&gt;=S$2, $K95/time_cap/(time+1)*R$2, 0) = 0, $K95/(time_cap),0)),0)</f>
        <v/>
      </c>
      <c r="S95" s="4395">
        <f>IFERROR(IF((time+time_cap)&lt;S$2, 0,IF(AND(time+1&gt;=T$2, $E95&lt;T$2), IF($I95= "I", $J95/($F95-$E95+1), $J95/(($F95*($F95+1)/2)-(($E95-1)*($E95-1+1)/2))*S$2), 0)+IF(IF(time+1&gt;=T$2, $K95/time_cap/(time+1)*S$2, 0) = 0, $K95/(time_cap),0)),0)</f>
        <v/>
      </c>
      <c r="T95" s="4395">
        <f>IFERROR(IF((time+time_cap)&lt;T$2, 0,IF(AND(time+1&gt;=U$2, $E95&lt;U$2), IF($I95= "I", $J95/($F95-$E95+1), $J95/(($F95*($F95+1)/2)-(($E95-1)*($E95-1+1)/2))*T$2), 0)+IF(IF(time+1&gt;=U$2, $K95/time_cap/(time+1)*T$2, 0) = 0, $K95/(time_cap),0)),0)</f>
        <v/>
      </c>
      <c r="U95" s="4395">
        <f>IFERROR(IF((time+time_cap)&lt;U$2, 0,IF(AND(time+1&gt;=V$2, $E95&lt;V$2), IF($I95= "I", $J95/($F95-$E95+1), $J95/(($F95*($F95+1)/2)-(($E95-1)*($E95-1+1)/2))*U$2), 0)+IF(IF(time+1&gt;=V$2, $K95/time_cap/(time+1)*U$2, 0) = 0, $K95/(time_cap),0)),0)</f>
        <v/>
      </c>
      <c r="V95" s="4395">
        <f>IFERROR(IF((time+time_cap)&lt;V$2, 0,IF(AND(time+1&gt;=W$2, $E95&lt;W$2), IF($I95= "I", $J95/($F95-$E95+1), $J95/(($F95*($F95+1)/2)-(($E95-1)*($E95-1+1)/2))*V$2), 0)+IF(IF(time+1&gt;=W$2, $K95/time_cap/(time+1)*V$2, 0) = 0, $K95/(time_cap),0)),0)</f>
        <v/>
      </c>
      <c r="W95" s="4395">
        <f>IFERROR(IF((time+time_cap)&lt;W$2, 0,IF(AND(time+1&gt;=X$2, $E95&lt;X$2), IF($I95= "I", $J95/($F95-$E95+1), $J95/(($F95*($F95+1)/2)-(($E95-1)*($E95-1+1)/2))*W$2), 0)+IF(IF(time+1&gt;=X$2, $K95/time_cap/(time+1)*W$2, 0) = 0, $K95/(time_cap),0)),0)</f>
        <v/>
      </c>
      <c r="X95" s="4395">
        <f>IFERROR(IF((time+time_cap)&lt;X$2, 0,IF(AND(time+1&gt;=Y$2, $E95&lt;Y$2), IF($I95= "I", $J95/($F95-$E95+1), $J95/(($F95*($F95+1)/2)-(($E95-1)*($E95-1+1)/2))*X$2), 0)+IF(IF(time+1&gt;=Y$2, $K95/time_cap/(time+1)*X$2, 0) = 0, $K95/(time_cap),0)),0)</f>
        <v/>
      </c>
      <c r="Y95" s="4395">
        <f>IFERROR(IF((time+time_cap)&lt;Y$2, 0,IF(AND(time+1&gt;=Z$2, $E95&lt;Z$2), IF($I95= "I", $J95/($F95-$E95+1), $J95/(($F95*($F95+1)/2)-(($E95-1)*($E95-1+1)/2))*Y$2), 0)+IF(IF(time+1&gt;=Z$2, $K95/time_cap/(time+1)*Y$2, 0) = 0, $K95/(time_cap),0)),0)</f>
        <v/>
      </c>
      <c r="Z95" s="4395">
        <f>IFERROR(IF((time+time_cap)&lt;Z$2, 0,IF(AND(time+1&gt;=AA$2, $E95&lt;AA$2), IF($I95= "I", $J95/($F95-$E95+1), $J95/(($F95*($F95+1)/2)-(($E95-1)*($E95-1+1)/2))*Z$2), 0)+IF(IF(time+1&gt;=AA$2, $K95/time_cap/(time+1)*Z$2, 0) = 0, $K95/(time_cap),0)),0)</f>
        <v/>
      </c>
      <c r="AA95" s="4395">
        <f>IFERROR(IF((time+time_cap)&lt;AA$2, 0,IF(AND(time+1&gt;=AB$2, $E95&lt;AB$2), IF($I95= "I", $J95/($F95-$E95+1), $J95/(($F95*($F95+1)/2)-(($E95-1)*($E95-1+1)/2))*AA$2), 0)+IF(IF(time+1&gt;=AB$2, $K95/time_cap/(time+1)*AA$2, 0) = 0, $K95/(time_cap),0)),0)</f>
        <v/>
      </c>
      <c r="AB95" s="4395">
        <f>IFERROR(IF((time+time_cap)&lt;AB$2, 0,IF(AND(time+1&gt;=AC$2, $E95&lt;AC$2), IF($I95= "I", $J95/($F95-$E95+1), $J95/(($F95*($F95+1)/2)-(($E95-1)*($E95-1+1)/2))*AB$2), 0)+IF(IF(time+1&gt;=AC$2, $K95/time_cap/(time+1)*AB$2, 0) = 0, $K95/(time_cap),0)),0)</f>
        <v/>
      </c>
      <c r="AC95" s="4395">
        <f>IFERROR(IF((time+time_cap)&lt;AC$2, 0,IF(AND(time+1&gt;=AD$2, $E95&lt;AD$2), IF($I95= "I", $J95/($F95-$E95+1), $J95/(($F95*($F95+1)/2)-(($E95-1)*($E95-1+1)/2))*AC$2), 0)+IF(IF(time+1&gt;=AD$2, $K95/time_cap/(time+1)*AC$2, 0) = 0, $K95/(time_cap),0)),0)</f>
        <v/>
      </c>
      <c r="AD95" s="4395">
        <f>IFERROR(IF((time+time_cap)&lt;AD$2, 0,IF(AND(time+1&gt;=AE$2, $E95&lt;AE$2), IF($I95= "I", $J95/($F95-$E95+1), $J95/(($F95*($F95+1)/2)-(($E95-1)*($E95-1+1)/2))*AD$2), 0)+IF(IF(time+1&gt;=AE$2, $K95/time_cap/(time+1)*AD$2, 0) = 0, $K95/(time_cap),0)),0)</f>
        <v/>
      </c>
      <c r="AE95" s="4395">
        <f>IFERROR(IF((time+time_cap)&lt;AE$2, 0,IF(AND(time+1&gt;=AF$2, $E95&lt;AF$2), IF($I95= "I", $J95/($F95-$E95+1), $J95/(($F95*($F95+1)/2)-(($E95-1)*($E95-1+1)/2))*AE$2), 0)+IF(IF(time+1&gt;=AF$2, $K95/time_cap/(time+1)*AE$2, 0) = 0, $K95/(time_cap),0)),0)</f>
        <v/>
      </c>
      <c r="AF95" s="4395">
        <f>IFERROR(IF((time+time_cap)&lt;AF$2, 0,IF(AND(time+1&gt;=AG$2, $E95&lt;AG$2), IF($I95= "I", $J95/($F95-$E95+1), $J95/(($F95*($F95+1)/2)-(($E95-1)*($E95-1+1)/2))*AF$2), 0)+IF(IF(time+1&gt;=AG$2, $K95/time_cap/(time+1)*AF$2, 0) = 0, $K95/(time_cap),0)),0)</f>
        <v/>
      </c>
      <c r="AG95" s="4395">
        <f>IFERROR(IF((time+time_cap)&lt;AG$2, 0,IF(AND(time+1&gt;=AH$2, $E95&lt;AH$2), IF($I95= "I", $J95/($F95-$E95+1), $J95/(($F95*($F95+1)/2)-(($E95-1)*($E95-1+1)/2))*AG$2), 0)+IF(IF(time+1&gt;=AH$2, $K95/time_cap/(time+1)*AG$2, 0) = 0, $K95/(time_cap),0)),0)</f>
        <v/>
      </c>
      <c r="AH95" s="4395">
        <f>IFERROR(IF((time+time_cap)&lt;AH$2, 0,IF(AND(time+1&gt;=AI$2, $E95&lt;AI$2), IF($I95= "I", $J95/($F95-$E95+1), $J95/(($F95*($F95+1)/2)-(($E95-1)*($E95-1+1)/2))*AH$2), 0)+IF(IF(time+1&gt;=AI$2, $K95/time_cap/(time+1)*AH$2, 0) = 0, $K95/(time_cap),0)),0)</f>
        <v/>
      </c>
      <c r="AI95" s="4395">
        <f>IFERROR(IF((time+time_cap)&lt;AI$2, 0,IF(AND(time+1&gt;=AJ$2, $E95&lt;AJ$2), IF($I95= "I", $J95/($F95-$E95+1), $J95/(($F95*($F95+1)/2)-(($E95-1)*($E95-1+1)/2))*AI$2), 0)+IF(IF(time+1&gt;=AJ$2, $K95/time_cap/(time+1)*AI$2, 0) = 0, $K95/(time_cap),0)),0)</f>
        <v/>
      </c>
      <c r="AJ95" s="4395">
        <f>IFERROR(IF((time+time_cap)&lt;AJ$2, 0,IF(AND(time+1&gt;=AK$2, $E95&lt;AK$2), IF($I95= "I", $J95/($F95-$E95+1), $J95/(($F95*($F95+1)/2)-(($E95-1)*($E95-1+1)/2))*AJ$2), 0)+IF(IF(time+1&gt;=AK$2, $K95/time_cap/(time+1)*AJ$2, 0) = 0, $K95/(time_cap),0)),0)</f>
        <v/>
      </c>
      <c r="AK95" s="4395">
        <f>IFERROR(IF((time+time_cap)&lt;AK$2, 0,IF(AND(time+1&gt;=AL$2, $E95&lt;AL$2), IF($I95= "I", $J95/($F95-$E95+1), $J95/(($F95*($F95+1)/2)-(($E95-1)*($E95-1+1)/2))*AK$2), 0)+IF(IF(time+1&gt;=AL$2, $K95/time_cap/(time+1)*AK$2, 0) = 0, $K95/(time_cap),0)),0)</f>
        <v/>
      </c>
      <c r="AL95" s="4395">
        <f>IFERROR(IF((time+time_cap)&lt;AL$2, 0,IF(AND(time+1&gt;=AM$2, $E95&lt;AM$2), IF($I95= "I", $J95/($F95-$E95+1), $J95/(($F95*($F95+1)/2)-(($E95-1)*($E95-1+1)/2))*AL$2), 0)+IF(IF(time+1&gt;=AM$2, $K95/time_cap/(time+1)*AL$2, 0) = 0, $K95/(time_cap),0)),0)</f>
        <v/>
      </c>
      <c r="AM95" s="4395">
        <f>IFERROR(IF((time+time_cap)&lt;AM$2, 0,IF(AND(time+1&gt;=AN$2, $E95&lt;AN$2), IF($I95= "I", $J95/($F95-$E95+1), $J95/(($F95*($F95+1)/2)-(($E95-1)*($E95-1+1)/2))*AM$2), 0)+IF(IF(time+1&gt;=AN$2, $K95/time_cap/(time+1)*AM$2, 0) = 0, $K95/(time_cap),0)),0)</f>
        <v/>
      </c>
      <c r="AN95" s="4395">
        <f>IFERROR(IF((time+time_cap)&lt;AN$2, 0,IF(AND(time+1&gt;=AO$2, $E95&lt;AO$2), IF($I95= "I", $J95/($F95-$E95+1), $J95/(($F95*($F95+1)/2)-(($E95-1)*($E95-1+1)/2))*AN$2), 0)+IF(IF(time+1&gt;=AO$2, $K95/time_cap/(time+1)*AN$2, 0) = 0, $K95/(time_cap),0)),0)</f>
        <v/>
      </c>
      <c r="AO95" s="4395">
        <f>IFERROR(IF((time+time_cap)&lt;AO$2, 0,IF(AND(time+1&gt;=AP$2, $E95&lt;AP$2), IF($I95= "I", $J95/($F95-$E95+1), $J95/(($F95*($F95+1)/2)-(($E95-1)*($E95-1+1)/2))*AO$2), 0)+IF(IF(time+1&gt;=AP$2, $K95/time_cap/(time+1)*AO$2, 0) = 0, $K95/(time_cap),0)),0)</f>
        <v/>
      </c>
      <c r="AP95" s="4395">
        <f>IFERROR(IF((time+time_cap)&lt;AP$2, 0,IF(AND(time+1&gt;=AQ$2, $E95&lt;AQ$2), IF($I95= "I", $J95/($F95-$E95+1), $J95/(($F95*($F95+1)/2)-(($E95-1)*($E95-1+1)/2))*AP$2), 0)+IF(IF(time+1&gt;=AQ$2, $K95/time_cap/(time+1)*AP$2, 0) = 0, $K95/(time_cap),0)),0)</f>
        <v/>
      </c>
      <c r="AQ95" s="4395">
        <f>IFERROR(IF((time+time_cap)&lt;AQ$2, 0,IF(AND(time+1&gt;=AR$2, $E95&lt;AR$2), IF($I95= "I", $J95/($F95-$E95+1), $J95/(($F95*($F95+1)/2)-(($E95-1)*($E95-1+1)/2))*AQ$2), 0)+IF(IF(time+1&gt;=AR$2, $K95/time_cap/(time+1)*AQ$2, 0) = 0, $K95/(time_cap),0)),0)</f>
        <v/>
      </c>
      <c r="AR95" s="4395">
        <f>IFERROR(IF((time+time_cap)&lt;AR$2, 0,IF(AND(time+1&gt;=AS$2, $E95&lt;AS$2), IF($I95= "I", $J95/($F95-$E95+1), $J95/(($F95*($F95+1)/2)-(($E95-1)*($E95-1+1)/2))*AR$2), 0)+IF(IF(time+1&gt;=AS$2, $K95/time_cap/(time+1)*AR$2, 0) = 0, $K95/(time_cap),0)),0)</f>
        <v/>
      </c>
      <c r="AS95" s="4395">
        <f>IFERROR(IF((time+time_cap)&lt;AS$2, 0,IF(AND(time+1&gt;=AT$2, $E95&lt;AT$2), IF($I95= "I", $J95/($F95-$E95+1), $J95/(($F95*($F95+1)/2)-(($E95-1)*($E95-1+1)/2))*AS$2), 0)+IF(IF(time+1&gt;=AT$2, $K95/time_cap/(time+1)*AS$2, 0) = 0, $K95/(time_cap),0)),0)</f>
        <v/>
      </c>
      <c r="AT95" s="4395">
        <f>IFERROR(IF((time+time_cap)&lt;AT$2, 0,IF(AND(time+1&gt;=AU$2, $E95&lt;AU$2), IF($I95= "I", $J95/($F95-$E95+1), $J95/(($F95*($F95+1)/2)-(($E95-1)*($E95-1+1)/2))*AT$2), 0)+IF(IF(time+1&gt;=AU$2, $K95/time_cap/(time+1)*AT$2, 0) = 0, $K95/(time_cap),0)),0)</f>
        <v/>
      </c>
      <c r="AU95" s="4395">
        <f>IFERROR(IF((time+time_cap)&lt;AU$2, 0,IF(AND(time+1&gt;=AV$2, $E95&lt;AV$2), IF($I95= "I", $J95/($F95-$E95+1), $J95/(($F95*($F95+1)/2)-(($E95-1)*($E95-1+1)/2))*AU$2), 0)+IF(IF(time+1&gt;=AV$2, $K95/time_cap/(time+1)*AU$2, 0) = 0, $K95/(time_cap),0)),0)</f>
        <v/>
      </c>
      <c r="AV95" s="4395">
        <f>IFERROR(IF((time+time_cap)&lt;AV$2, 0,IF(AND(time+1&gt;=AW$2, $E95&lt;AW$2), IF($I95= "I", $J95/($F95-$E95+1), $J95/(($F95*($F95+1)/2)-(($E95-1)*($E95-1+1)/2))*AV$2), 0)+IF(IF(time+1&gt;=AW$2, $K95/time_cap/(time+1)*AV$2, 0) = 0, $K95/(time_cap),0)),0)</f>
        <v/>
      </c>
      <c r="AW95" s="4395">
        <f>IFERROR(IF((time+time_cap)&lt;AW$2, 0,IF(AND(time+1&gt;=AX$2, $E95&lt;AX$2), IF($I95= "I", $J95/($F95-$E95+1), $J95/(($F95*($F95+1)/2)-(($E95-1)*($E95-1+1)/2))*AW$2), 0)+IF(IF(time+1&gt;=AX$2, $K95/time_cap/(time+1)*AW$2, 0) = 0, $K95/(time_cap),0)),0)</f>
        <v/>
      </c>
      <c r="AX95" s="4395">
        <f>IFERROR(IF((time+time_cap)&lt;AX$2, 0,IF(AND(time+1&gt;=AY$2, $E95&lt;AY$2), IF($I95= "I", $J95/($F95-$E95+1), $J95/(($F95*($F95+1)/2)-(($E95-1)*($E95-1+1)/2))*AX$2), 0)+IF(IF(time+1&gt;=AY$2, $K95/time_cap/(time+1)*AX$2, 0) = 0, $K95/(time_cap),0)),0)</f>
        <v/>
      </c>
      <c r="AY95" s="4395">
        <f>IFERROR(IF((time+time_cap)&lt;AY$2, 0,IF(AND(time+1&gt;=AZ$2, $E95&lt;AZ$2), IF($I95= "I", $J95/($F95-$E95+1), $J95/(($F95*($F95+1)/2)-(($E95-1)*($E95-1+1)/2))*AY$2), 0)+IF(IF(time+1&gt;=AZ$2, $K95/time_cap/(time+1)*AY$2, 0) = 0, $K95/(time_cap),0)),0)</f>
        <v/>
      </c>
      <c r="AZ95" s="4395">
        <f>IFERROR(IF((time+time_cap)&lt;AZ$2, 0,IF(AND(time+1&gt;=BA$2, $E95&lt;BA$2), IF($I95= "I", $J95/($F95-$E95+1), $J95/(($F95*($F95+1)/2)-(($E95-1)*($E95-1+1)/2))*AZ$2), 0)+IF(IF(time+1&gt;=BA$2, $K95/time_cap/(time+1)*AZ$2, 0) = 0, $K95/(time_cap),0)),0)</f>
        <v/>
      </c>
      <c r="BA95" s="4395">
        <f>IFERROR(IF((time+time_cap)&lt;BA$2, 0,IF(AND(time+1&gt;=BB$2, $E95&lt;BB$2), IF($I95= "I", $J95/($F95-$E95+1), $J95/(($F95*($F95+1)/2)-(($E95-1)*($E95-1+1)/2))*BA$2), 0)+IF(IF(time+1&gt;=BB$2, $K95/time_cap/(time+1)*BA$2, 0) = 0, $K95/(time_cap),0)),0)</f>
        <v/>
      </c>
      <c r="BB95" s="4395">
        <f>IFERROR(IF((time+time_cap)&lt;BB$2, 0,IF(AND(time+1&gt;=BC$2, $E95&lt;BC$2), IF($I95= "I", $J95/($F95-$E95+1), $J95/(($F95*($F95+1)/2)-(($E95-1)*($E95-1+1)/2))*BB$2), 0)+IF(IF(time+1&gt;=BC$2, $K95/time_cap/(time+1)*BB$2, 0) = 0, $K95/(time_cap),0)),0)</f>
        <v/>
      </c>
      <c r="BC95" s="4395">
        <f>IFERROR(IF((time+time_cap)&lt;BC$2, 0,IF(AND(time+1&gt;=BD$2, $E95&lt;BD$2), IF($I95= "I", $J95/($F95-$E95+1), $J95/(($F95*($F95+1)/2)-(($E95-1)*($E95-1+1)/2))*BC$2), 0)+IF(IF(time+1&gt;=BD$2, $K95/time_cap/(time+1)*BC$2, 0) = 0, $K95/(time_cap),0)),0)</f>
        <v/>
      </c>
      <c r="BD95" s="4395">
        <f>IFERROR(IF((time+time_cap)&lt;BD$2, 0,IF(AND(time+1&gt;=BE$2, $E95&lt;BE$2), IF($I95= "I", $J95/($F95-$E95+1), $J95/(($F95*($F95+1)/2)-(($E95-1)*($E95-1+1)/2))*BD$2), 0)+IF(IF(time+1&gt;=BE$2, $K95/time_cap/(time+1)*BD$2, 0) = 0, $K95/(time_cap),0)),0)</f>
        <v/>
      </c>
      <c r="BE95" s="4395">
        <f>IFERROR(IF((time+time_cap)&lt;BE$2, 0,IF(AND(time+1&gt;=BF$2, $E95&lt;BF$2), IF($I95= "I", $J95/($F95-$E95+1), $J95/(($F95*($F95+1)/2)-(($E95-1)*($E95-1+1)/2))*BE$2), 0)+IF(IF(time+1&gt;=BF$2, $K95/time_cap/(time+1)*BE$2, 0) = 0, $K95/(time_cap),0)),0)</f>
        <v/>
      </c>
      <c r="BF95" s="4395">
        <f>IFERROR(IF((time+time_cap)&lt;BF$2, 0,IF(AND(time+1&gt;=BG$2, $E95&lt;BG$2), IF($I95= "I", $J95/($F95-$E95+1), $J95/(($F95*($F95+1)/2)-(($E95-1)*($E95-1+1)/2))*BF$2), 0)+IF(IF(time+1&gt;=BG$2, $K95/time_cap/(time+1)*BF$2, 0) = 0, $K95/(time_cap),0)),0)</f>
        <v/>
      </c>
      <c r="BG95" s="4395">
        <f>IFERROR(IF((time+time_cap)&lt;BG$2, 0,IF(AND(time+1&gt;=BH$2, $E95&lt;BH$2), IF($I95= "I", $J95/($F95-$E95+1), $J95/(($F95*($F95+1)/2)-(($E95-1)*($E95-1+1)/2))*BG$2), 0)+IF(IF(time+1&gt;=BH$2, $K95/time_cap/(time+1)*BG$2, 0) = 0, $K95/(time_cap),0)),0)</f>
        <v/>
      </c>
      <c r="BH95" s="4395">
        <f>IFERROR(IF((time+time_cap)&lt;BH$2, 0,IF(AND(time+1&gt;=BI$2, $E95&lt;BI$2), IF($I95= "I", $J95/($F95-$E95+1), $J95/(($F95*($F95+1)/2)-(($E95-1)*($E95-1+1)/2))*BH$2), 0)+IF(IF(time+1&gt;=BI$2, $K95/time_cap/(time+1)*BH$2, 0) = 0, $K95/(time_cap),0)),0)</f>
        <v/>
      </c>
      <c r="BI95" s="4395">
        <f>IFERROR(IF((time+time_cap)&lt;BI$2, 0,IF(AND(time+1&gt;=BJ$2, $E95&lt;BJ$2), IF($I95= "I", $J95/($F95-$E95+1), $J95/(($F95*($F95+1)/2)-(($E95-1)*($E95-1+1)/2))*BI$2), 0)+IF(IF(time+1&gt;=BJ$2, $K95/time_cap/(time+1)*BI$2, 0) = 0, $K95/(time_cap),0)),0)</f>
        <v/>
      </c>
      <c r="BJ95" s="4395">
        <f>IFERROR(IF((time+time_cap)&lt;BJ$2, 0,IF(AND(time+1&gt;=BK$2, $E95&lt;BK$2), IF($I95= "I", $J95/($F95-$E95+1), $J95/(($F95*($F95+1)/2)-(($E95-1)*($E95-1+1)/2))*BJ$2), 0)+IF(IF(time+1&gt;=BK$2, $K95/time_cap/(time+1)*BJ$2, 0) = 0, $K95/(time_cap),0)),0)</f>
        <v/>
      </c>
      <c r="BK95" s="4395" t="n"/>
      <c r="BL95" s="4395" t="n"/>
      <c r="BM95" s="4395" t="n"/>
      <c r="BN95" s="4395" t="n"/>
      <c r="BO95" s="4395" t="n"/>
      <c r="BP95" s="4395" t="n"/>
      <c r="BQ95" s="4395" t="n"/>
      <c r="BR95" s="4395" t="n"/>
      <c r="BS95" s="4395" t="n"/>
      <c r="BT95" s="4395" t="n"/>
      <c r="BU95" s="4395" t="n"/>
      <c r="BV95" s="4395" t="n"/>
      <c r="BW95" s="4395" t="n"/>
      <c r="BX95" s="4395" t="n"/>
      <c r="BY95" s="4395" t="n"/>
      <c r="BZ95" s="4395" t="n"/>
      <c r="CA95" s="4395" t="n"/>
      <c r="CB95" s="4395" t="n"/>
      <c r="CC95" s="4395" t="n"/>
      <c r="CD95" s="4395" t="n"/>
      <c r="CE95" s="4395" t="n"/>
      <c r="CF95" s="4395" t="n"/>
      <c r="CG95" s="4395" t="n"/>
      <c r="CH95" s="4395" t="n"/>
      <c r="CI95" s="4395" t="n"/>
      <c r="CJ95" s="4395" t="n"/>
      <c r="CK95" s="4395" t="n"/>
      <c r="CL95" s="4395" t="n"/>
      <c r="CM95" s="4395" t="n"/>
      <c r="CN95" s="4395" t="n"/>
      <c r="CO95" s="4395" t="n"/>
      <c r="CP95" s="4395" t="n"/>
      <c r="CQ95" s="4395" t="n"/>
      <c r="CR95" s="4395" t="n"/>
      <c r="CS95" s="4395" t="n"/>
      <c r="CT95" s="4395" t="n"/>
      <c r="CU95" s="4395" t="n"/>
      <c r="CV95" s="4395" t="n"/>
      <c r="CW95" s="4395" t="n"/>
      <c r="CX95" s="4395" t="n"/>
      <c r="CY95" s="4395" t="n"/>
      <c r="CZ95" s="4395" t="n"/>
      <c r="DA95" s="4395" t="n"/>
      <c r="DB95" s="4395" t="n"/>
      <c r="DC95" s="4395" t="n"/>
      <c r="DD95" s="4395" t="n"/>
      <c r="DE95" s="4395" t="n"/>
      <c r="DF95" s="4395" t="n"/>
      <c r="DG95" s="4395" t="n"/>
      <c r="DH95" s="4395" t="n"/>
    </row>
    <row r="96" ht="16" customHeight="1">
      <c r="A96" t="inlineStr">
        <is>
          <t>Livestock</t>
        </is>
      </c>
      <c r="B96">
        <f>'4.Grassland'!E59</f>
        <v/>
      </c>
      <c r="C96">
        <f>'4.Grassland'!I59</f>
        <v/>
      </c>
      <c r="D96">
        <f>'4.Grassland'!AG59</f>
        <v/>
      </c>
      <c r="E96">
        <f>IF('4.Grassland'!CG59&lt;&gt;0,'4.Grassland'!CG59, '4.Grassland'!CF59)</f>
        <v/>
      </c>
      <c r="F96">
        <f>time</f>
        <v/>
      </c>
      <c r="G96" s="4395">
        <f>'4.Grassland'!Y59</f>
        <v/>
      </c>
      <c r="H96" s="4395">
        <f>'4.Grassland'!AA59</f>
        <v/>
      </c>
      <c r="I96" s="4395">
        <f>IF(OR(H96="I", G96="I"), "I", IF(OR(H96="E", G96="E"), "E", "D"))</f>
        <v/>
      </c>
      <c r="J96" s="4395">
        <f>((D96/(time_cap+((F96-E96+1)*VLOOKUP(I96,list!$I$48:$K$50,3, FALSE))))*(F96-E96+1)*VLOOKUP(I96,list!$I$48:$K$50,3, FALSE))</f>
        <v/>
      </c>
      <c r="K96" s="4395">
        <f>((D96/(time_cap+((F96-E96+1)*VLOOKUP(I96,list!$I$48:$K$50,3, FALSE))))*time_cap)</f>
        <v/>
      </c>
      <c r="M96" s="4395">
        <f>IFERROR(IF((time+time_cap)&lt;M$2, 0,IF(AND(time+1&gt;=N$2, $E96&lt;N$2), IF($I96= "I", $J96/($F96-$E96+1), $J96/(($F96*($F96+1)/2)-(($E96-1)*($E96-1+1)/2))*M$2), 0)+IF(IF(time+1&gt;=N$2, $K96/time_cap/(time+1)*M$2, 0) = 0, $K96/(time_cap),0)),0)</f>
        <v/>
      </c>
      <c r="N96" s="4395">
        <f>IFERROR(IF((time+time_cap)&lt;N$2, 0,IF(AND(time+1&gt;=O$2, $E96&lt;O$2), IF($I96= "I", $J96/($F96-$E96+1), $J96/(($F96*($F96+1)/2)-(($E96-1)*($E96-1+1)/2))*N$2), 0)+IF(IF(time+1&gt;=O$2, $K96/time_cap/(time+1)*N$2, 0) = 0, $K96/(time_cap),0)),0)</f>
        <v/>
      </c>
      <c r="O96" s="4395">
        <f>IFERROR(IF((time+time_cap)&lt;O$2, 0,IF(AND(time+1&gt;=P$2, $E96&lt;P$2), IF($I96= "I", $J96/($F96-$E96+1), $J96/(($F96*($F96+1)/2)-(($E96-1)*($E96-1+1)/2))*O$2), 0)+IF(IF(time+1&gt;=P$2, $K96/time_cap/(time+1)*O$2, 0) = 0, $K96/(time_cap),0)),0)</f>
        <v/>
      </c>
      <c r="P96" s="4395">
        <f>IFERROR(IF((time+time_cap)&lt;P$2, 0,IF(AND(time+1&gt;=Q$2, $E96&lt;Q$2), IF($I96= "I", $J96/($F96-$E96+1), $J96/(($F96*($F96+1)/2)-(($E96-1)*($E96-1+1)/2))*P$2), 0)+IF(IF(time+1&gt;=Q$2, $K96/time_cap/(time+1)*P$2, 0) = 0, $K96/(time_cap),0)),0)</f>
        <v/>
      </c>
      <c r="Q96" s="4395">
        <f>IFERROR(IF((time+time_cap)&lt;Q$2, 0,IF(AND(time+1&gt;=R$2, $E96&lt;R$2), IF($I96= "I", $J96/($F96-$E96+1), $J96/(($F96*($F96+1)/2)-(($E96-1)*($E96-1+1)/2))*Q$2), 0)+IF(IF(time+1&gt;=R$2, $K96/time_cap/(time+1)*Q$2, 0) = 0, $K96/(time_cap),0)),0)</f>
        <v/>
      </c>
      <c r="R96" s="4395">
        <f>IFERROR(IF((time+time_cap)&lt;R$2, 0,IF(AND(time+1&gt;=S$2, $E96&lt;S$2), IF($I96= "I", $J96/($F96-$E96+1), $J96/(($F96*($F96+1)/2)-(($E96-1)*($E96-1+1)/2))*R$2), 0)+IF(IF(time+1&gt;=S$2, $K96/time_cap/(time+1)*R$2, 0) = 0, $K96/(time_cap),0)),0)</f>
        <v/>
      </c>
      <c r="S96" s="4395">
        <f>IFERROR(IF((time+time_cap)&lt;S$2, 0,IF(AND(time+1&gt;=T$2, $E96&lt;T$2), IF($I96= "I", $J96/($F96-$E96+1), $J96/(($F96*($F96+1)/2)-(($E96-1)*($E96-1+1)/2))*S$2), 0)+IF(IF(time+1&gt;=T$2, $K96/time_cap/(time+1)*S$2, 0) = 0, $K96/(time_cap),0)),0)</f>
        <v/>
      </c>
      <c r="T96" s="4395">
        <f>IFERROR(IF((time+time_cap)&lt;T$2, 0,IF(AND(time+1&gt;=U$2, $E96&lt;U$2), IF($I96= "I", $J96/($F96-$E96+1), $J96/(($F96*($F96+1)/2)-(($E96-1)*($E96-1+1)/2))*T$2), 0)+IF(IF(time+1&gt;=U$2, $K96/time_cap/(time+1)*T$2, 0) = 0, $K96/(time_cap),0)),0)</f>
        <v/>
      </c>
      <c r="U96" s="4395">
        <f>IFERROR(IF((time+time_cap)&lt;U$2, 0,IF(AND(time+1&gt;=V$2, $E96&lt;V$2), IF($I96= "I", $J96/($F96-$E96+1), $J96/(($F96*($F96+1)/2)-(($E96-1)*($E96-1+1)/2))*U$2), 0)+IF(IF(time+1&gt;=V$2, $K96/time_cap/(time+1)*U$2, 0) = 0, $K96/(time_cap),0)),0)</f>
        <v/>
      </c>
      <c r="V96" s="4395">
        <f>IFERROR(IF((time+time_cap)&lt;V$2, 0,IF(AND(time+1&gt;=W$2, $E96&lt;W$2), IF($I96= "I", $J96/($F96-$E96+1), $J96/(($F96*($F96+1)/2)-(($E96-1)*($E96-1+1)/2))*V$2), 0)+IF(IF(time+1&gt;=W$2, $K96/time_cap/(time+1)*V$2, 0) = 0, $K96/(time_cap),0)),0)</f>
        <v/>
      </c>
      <c r="W96" s="4395">
        <f>IFERROR(IF((time+time_cap)&lt;W$2, 0,IF(AND(time+1&gt;=X$2, $E96&lt;X$2), IF($I96= "I", $J96/($F96-$E96+1), $J96/(($F96*($F96+1)/2)-(($E96-1)*($E96-1+1)/2))*W$2), 0)+IF(IF(time+1&gt;=X$2, $K96/time_cap/(time+1)*W$2, 0) = 0, $K96/(time_cap),0)),0)</f>
        <v/>
      </c>
      <c r="X96" s="4395">
        <f>IFERROR(IF((time+time_cap)&lt;X$2, 0,IF(AND(time+1&gt;=Y$2, $E96&lt;Y$2), IF($I96= "I", $J96/($F96-$E96+1), $J96/(($F96*($F96+1)/2)-(($E96-1)*($E96-1+1)/2))*X$2), 0)+IF(IF(time+1&gt;=Y$2, $K96/time_cap/(time+1)*X$2, 0) = 0, $K96/(time_cap),0)),0)</f>
        <v/>
      </c>
      <c r="Y96" s="4395">
        <f>IFERROR(IF((time+time_cap)&lt;Y$2, 0,IF(AND(time+1&gt;=Z$2, $E96&lt;Z$2), IF($I96= "I", $J96/($F96-$E96+1), $J96/(($F96*($F96+1)/2)-(($E96-1)*($E96-1+1)/2))*Y$2), 0)+IF(IF(time+1&gt;=Z$2, $K96/time_cap/(time+1)*Y$2, 0) = 0, $K96/(time_cap),0)),0)</f>
        <v/>
      </c>
      <c r="Z96" s="4395">
        <f>IFERROR(IF((time+time_cap)&lt;Z$2, 0,IF(AND(time+1&gt;=AA$2, $E96&lt;AA$2), IF($I96= "I", $J96/($F96-$E96+1), $J96/(($F96*($F96+1)/2)-(($E96-1)*($E96-1+1)/2))*Z$2), 0)+IF(IF(time+1&gt;=AA$2, $K96/time_cap/(time+1)*Z$2, 0) = 0, $K96/(time_cap),0)),0)</f>
        <v/>
      </c>
      <c r="AA96" s="4395">
        <f>IFERROR(IF((time+time_cap)&lt;AA$2, 0,IF(AND(time+1&gt;=AB$2, $E96&lt;AB$2), IF($I96= "I", $J96/($F96-$E96+1), $J96/(($F96*($F96+1)/2)-(($E96-1)*($E96-1+1)/2))*AA$2), 0)+IF(IF(time+1&gt;=AB$2, $K96/time_cap/(time+1)*AA$2, 0) = 0, $K96/(time_cap),0)),0)</f>
        <v/>
      </c>
      <c r="AB96" s="4395">
        <f>IFERROR(IF((time+time_cap)&lt;AB$2, 0,IF(AND(time+1&gt;=AC$2, $E96&lt;AC$2), IF($I96= "I", $J96/($F96-$E96+1), $J96/(($F96*($F96+1)/2)-(($E96-1)*($E96-1+1)/2))*AB$2), 0)+IF(IF(time+1&gt;=AC$2, $K96/time_cap/(time+1)*AB$2, 0) = 0, $K96/(time_cap),0)),0)</f>
        <v/>
      </c>
      <c r="AC96" s="4395">
        <f>IFERROR(IF((time+time_cap)&lt;AC$2, 0,IF(AND(time+1&gt;=AD$2, $E96&lt;AD$2), IF($I96= "I", $J96/($F96-$E96+1), $J96/(($F96*($F96+1)/2)-(($E96-1)*($E96-1+1)/2))*AC$2), 0)+IF(IF(time+1&gt;=AD$2, $K96/time_cap/(time+1)*AC$2, 0) = 0, $K96/(time_cap),0)),0)</f>
        <v/>
      </c>
      <c r="AD96" s="4395">
        <f>IFERROR(IF((time+time_cap)&lt;AD$2, 0,IF(AND(time+1&gt;=AE$2, $E96&lt;AE$2), IF($I96= "I", $J96/($F96-$E96+1), $J96/(($F96*($F96+1)/2)-(($E96-1)*($E96-1+1)/2))*AD$2), 0)+IF(IF(time+1&gt;=AE$2, $K96/time_cap/(time+1)*AD$2, 0) = 0, $K96/(time_cap),0)),0)</f>
        <v/>
      </c>
      <c r="AE96" s="4395">
        <f>IFERROR(IF((time+time_cap)&lt;AE$2, 0,IF(AND(time+1&gt;=AF$2, $E96&lt;AF$2), IF($I96= "I", $J96/($F96-$E96+1), $J96/(($F96*($F96+1)/2)-(($E96-1)*($E96-1+1)/2))*AE$2), 0)+IF(IF(time+1&gt;=AF$2, $K96/time_cap/(time+1)*AE$2, 0) = 0, $K96/(time_cap),0)),0)</f>
        <v/>
      </c>
      <c r="AF96" s="4395">
        <f>IFERROR(IF((time+time_cap)&lt;AF$2, 0,IF(AND(time+1&gt;=AG$2, $E96&lt;AG$2), IF($I96= "I", $J96/($F96-$E96+1), $J96/(($F96*($F96+1)/2)-(($E96-1)*($E96-1+1)/2))*AF$2), 0)+IF(IF(time+1&gt;=AG$2, $K96/time_cap/(time+1)*AF$2, 0) = 0, $K96/(time_cap),0)),0)</f>
        <v/>
      </c>
      <c r="AG96" s="4395">
        <f>IFERROR(IF((time+time_cap)&lt;AG$2, 0,IF(AND(time+1&gt;=AH$2, $E96&lt;AH$2), IF($I96= "I", $J96/($F96-$E96+1), $J96/(($F96*($F96+1)/2)-(($E96-1)*($E96-1+1)/2))*AG$2), 0)+IF(IF(time+1&gt;=AH$2, $K96/time_cap/(time+1)*AG$2, 0) = 0, $K96/(time_cap),0)),0)</f>
        <v/>
      </c>
      <c r="AH96" s="4395">
        <f>IFERROR(IF((time+time_cap)&lt;AH$2, 0,IF(AND(time+1&gt;=AI$2, $E96&lt;AI$2), IF($I96= "I", $J96/($F96-$E96+1), $J96/(($F96*($F96+1)/2)-(($E96-1)*($E96-1+1)/2))*AH$2), 0)+IF(IF(time+1&gt;=AI$2, $K96/time_cap/(time+1)*AH$2, 0) = 0, $K96/(time_cap),0)),0)</f>
        <v/>
      </c>
      <c r="AI96" s="4395">
        <f>IFERROR(IF((time+time_cap)&lt;AI$2, 0,IF(AND(time+1&gt;=AJ$2, $E96&lt;AJ$2), IF($I96= "I", $J96/($F96-$E96+1), $J96/(($F96*($F96+1)/2)-(($E96-1)*($E96-1+1)/2))*AI$2), 0)+IF(IF(time+1&gt;=AJ$2, $K96/time_cap/(time+1)*AI$2, 0) = 0, $K96/(time_cap),0)),0)</f>
        <v/>
      </c>
      <c r="AJ96" s="4395">
        <f>IFERROR(IF((time+time_cap)&lt;AJ$2, 0,IF(AND(time+1&gt;=AK$2, $E96&lt;AK$2), IF($I96= "I", $J96/($F96-$E96+1), $J96/(($F96*($F96+1)/2)-(($E96-1)*($E96-1+1)/2))*AJ$2), 0)+IF(IF(time+1&gt;=AK$2, $K96/time_cap/(time+1)*AJ$2, 0) = 0, $K96/(time_cap),0)),0)</f>
        <v/>
      </c>
      <c r="AK96" s="4395">
        <f>IFERROR(IF((time+time_cap)&lt;AK$2, 0,IF(AND(time+1&gt;=AL$2, $E96&lt;AL$2), IF($I96= "I", $J96/($F96-$E96+1), $J96/(($F96*($F96+1)/2)-(($E96-1)*($E96-1+1)/2))*AK$2), 0)+IF(IF(time+1&gt;=AL$2, $K96/time_cap/(time+1)*AK$2, 0) = 0, $K96/(time_cap),0)),0)</f>
        <v/>
      </c>
      <c r="AL96" s="4395">
        <f>IFERROR(IF((time+time_cap)&lt;AL$2, 0,IF(AND(time+1&gt;=AM$2, $E96&lt;AM$2), IF($I96= "I", $J96/($F96-$E96+1), $J96/(($F96*($F96+1)/2)-(($E96-1)*($E96-1+1)/2))*AL$2), 0)+IF(IF(time+1&gt;=AM$2, $K96/time_cap/(time+1)*AL$2, 0) = 0, $K96/(time_cap),0)),0)</f>
        <v/>
      </c>
      <c r="AM96" s="4395">
        <f>IFERROR(IF((time+time_cap)&lt;AM$2, 0,IF(AND(time+1&gt;=AN$2, $E96&lt;AN$2), IF($I96= "I", $J96/($F96-$E96+1), $J96/(($F96*($F96+1)/2)-(($E96-1)*($E96-1+1)/2))*AM$2), 0)+IF(IF(time+1&gt;=AN$2, $K96/time_cap/(time+1)*AM$2, 0) = 0, $K96/(time_cap),0)),0)</f>
        <v/>
      </c>
      <c r="AN96" s="4395">
        <f>IFERROR(IF((time+time_cap)&lt;AN$2, 0,IF(AND(time+1&gt;=AO$2, $E96&lt;AO$2), IF($I96= "I", $J96/($F96-$E96+1), $J96/(($F96*($F96+1)/2)-(($E96-1)*($E96-1+1)/2))*AN$2), 0)+IF(IF(time+1&gt;=AO$2, $K96/time_cap/(time+1)*AN$2, 0) = 0, $K96/(time_cap),0)),0)</f>
        <v/>
      </c>
      <c r="AO96" s="4395">
        <f>IFERROR(IF((time+time_cap)&lt;AO$2, 0,IF(AND(time+1&gt;=AP$2, $E96&lt;AP$2), IF($I96= "I", $J96/($F96-$E96+1), $J96/(($F96*($F96+1)/2)-(($E96-1)*($E96-1+1)/2))*AO$2), 0)+IF(IF(time+1&gt;=AP$2, $K96/time_cap/(time+1)*AO$2, 0) = 0, $K96/(time_cap),0)),0)</f>
        <v/>
      </c>
      <c r="AP96" s="4395">
        <f>IFERROR(IF((time+time_cap)&lt;AP$2, 0,IF(AND(time+1&gt;=AQ$2, $E96&lt;AQ$2), IF($I96= "I", $J96/($F96-$E96+1), $J96/(($F96*($F96+1)/2)-(($E96-1)*($E96-1+1)/2))*AP$2), 0)+IF(IF(time+1&gt;=AQ$2, $K96/time_cap/(time+1)*AP$2, 0) = 0, $K96/(time_cap),0)),0)</f>
        <v/>
      </c>
      <c r="AQ96" s="4395">
        <f>IFERROR(IF((time+time_cap)&lt;AQ$2, 0,IF(AND(time+1&gt;=AR$2, $E96&lt;AR$2), IF($I96= "I", $J96/($F96-$E96+1), $J96/(($F96*($F96+1)/2)-(($E96-1)*($E96-1+1)/2))*AQ$2), 0)+IF(IF(time+1&gt;=AR$2, $K96/time_cap/(time+1)*AQ$2, 0) = 0, $K96/(time_cap),0)),0)</f>
        <v/>
      </c>
      <c r="AR96" s="4395">
        <f>IFERROR(IF((time+time_cap)&lt;AR$2, 0,IF(AND(time+1&gt;=AS$2, $E96&lt;AS$2), IF($I96= "I", $J96/($F96-$E96+1), $J96/(($F96*($F96+1)/2)-(($E96-1)*($E96-1+1)/2))*AR$2), 0)+IF(IF(time+1&gt;=AS$2, $K96/time_cap/(time+1)*AR$2, 0) = 0, $K96/(time_cap),0)),0)</f>
        <v/>
      </c>
      <c r="AS96" s="4395">
        <f>IFERROR(IF((time+time_cap)&lt;AS$2, 0,IF(AND(time+1&gt;=AT$2, $E96&lt;AT$2), IF($I96= "I", $J96/($F96-$E96+1), $J96/(($F96*($F96+1)/2)-(($E96-1)*($E96-1+1)/2))*AS$2), 0)+IF(IF(time+1&gt;=AT$2, $K96/time_cap/(time+1)*AS$2, 0) = 0, $K96/(time_cap),0)),0)</f>
        <v/>
      </c>
      <c r="AT96" s="4395">
        <f>IFERROR(IF((time+time_cap)&lt;AT$2, 0,IF(AND(time+1&gt;=AU$2, $E96&lt;AU$2), IF($I96= "I", $J96/($F96-$E96+1), $J96/(($F96*($F96+1)/2)-(($E96-1)*($E96-1+1)/2))*AT$2), 0)+IF(IF(time+1&gt;=AU$2, $K96/time_cap/(time+1)*AT$2, 0) = 0, $K96/(time_cap),0)),0)</f>
        <v/>
      </c>
      <c r="AU96" s="4395">
        <f>IFERROR(IF((time+time_cap)&lt;AU$2, 0,IF(AND(time+1&gt;=AV$2, $E96&lt;AV$2), IF($I96= "I", $J96/($F96-$E96+1), $J96/(($F96*($F96+1)/2)-(($E96-1)*($E96-1+1)/2))*AU$2), 0)+IF(IF(time+1&gt;=AV$2, $K96/time_cap/(time+1)*AU$2, 0) = 0, $K96/(time_cap),0)),0)</f>
        <v/>
      </c>
      <c r="AV96" s="4395">
        <f>IFERROR(IF((time+time_cap)&lt;AV$2, 0,IF(AND(time+1&gt;=AW$2, $E96&lt;AW$2), IF($I96= "I", $J96/($F96-$E96+1), $J96/(($F96*($F96+1)/2)-(($E96-1)*($E96-1+1)/2))*AV$2), 0)+IF(IF(time+1&gt;=AW$2, $K96/time_cap/(time+1)*AV$2, 0) = 0, $K96/(time_cap),0)),0)</f>
        <v/>
      </c>
      <c r="AW96" s="4395">
        <f>IFERROR(IF((time+time_cap)&lt;AW$2, 0,IF(AND(time+1&gt;=AX$2, $E96&lt;AX$2), IF($I96= "I", $J96/($F96-$E96+1), $J96/(($F96*($F96+1)/2)-(($E96-1)*($E96-1+1)/2))*AW$2), 0)+IF(IF(time+1&gt;=AX$2, $K96/time_cap/(time+1)*AW$2, 0) = 0, $K96/(time_cap),0)),0)</f>
        <v/>
      </c>
      <c r="AX96" s="4395">
        <f>IFERROR(IF((time+time_cap)&lt;AX$2, 0,IF(AND(time+1&gt;=AY$2, $E96&lt;AY$2), IF($I96= "I", $J96/($F96-$E96+1), $J96/(($F96*($F96+1)/2)-(($E96-1)*($E96-1+1)/2))*AX$2), 0)+IF(IF(time+1&gt;=AY$2, $K96/time_cap/(time+1)*AX$2, 0) = 0, $K96/(time_cap),0)),0)</f>
        <v/>
      </c>
      <c r="AY96" s="4395">
        <f>IFERROR(IF((time+time_cap)&lt;AY$2, 0,IF(AND(time+1&gt;=AZ$2, $E96&lt;AZ$2), IF($I96= "I", $J96/($F96-$E96+1), $J96/(($F96*($F96+1)/2)-(($E96-1)*($E96-1+1)/2))*AY$2), 0)+IF(IF(time+1&gt;=AZ$2, $K96/time_cap/(time+1)*AY$2, 0) = 0, $K96/(time_cap),0)),0)</f>
        <v/>
      </c>
      <c r="AZ96" s="4395">
        <f>IFERROR(IF((time+time_cap)&lt;AZ$2, 0,IF(AND(time+1&gt;=BA$2, $E96&lt;BA$2), IF($I96= "I", $J96/($F96-$E96+1), $J96/(($F96*($F96+1)/2)-(($E96-1)*($E96-1+1)/2))*AZ$2), 0)+IF(IF(time+1&gt;=BA$2, $K96/time_cap/(time+1)*AZ$2, 0) = 0, $K96/(time_cap),0)),0)</f>
        <v/>
      </c>
      <c r="BA96" s="4395">
        <f>IFERROR(IF((time+time_cap)&lt;BA$2, 0,IF(AND(time+1&gt;=BB$2, $E96&lt;BB$2), IF($I96= "I", $J96/($F96-$E96+1), $J96/(($F96*($F96+1)/2)-(($E96-1)*($E96-1+1)/2))*BA$2), 0)+IF(IF(time+1&gt;=BB$2, $K96/time_cap/(time+1)*BA$2, 0) = 0, $K96/(time_cap),0)),0)</f>
        <v/>
      </c>
      <c r="BB96" s="4395">
        <f>IFERROR(IF((time+time_cap)&lt;BB$2, 0,IF(AND(time+1&gt;=BC$2, $E96&lt;BC$2), IF($I96= "I", $J96/($F96-$E96+1), $J96/(($F96*($F96+1)/2)-(($E96-1)*($E96-1+1)/2))*BB$2), 0)+IF(IF(time+1&gt;=BC$2, $K96/time_cap/(time+1)*BB$2, 0) = 0, $K96/(time_cap),0)),0)</f>
        <v/>
      </c>
      <c r="BC96" s="4395">
        <f>IFERROR(IF((time+time_cap)&lt;BC$2, 0,IF(AND(time+1&gt;=BD$2, $E96&lt;BD$2), IF($I96= "I", $J96/($F96-$E96+1), $J96/(($F96*($F96+1)/2)-(($E96-1)*($E96-1+1)/2))*BC$2), 0)+IF(IF(time+1&gt;=BD$2, $K96/time_cap/(time+1)*BC$2, 0) = 0, $K96/(time_cap),0)),0)</f>
        <v/>
      </c>
      <c r="BD96" s="4395">
        <f>IFERROR(IF((time+time_cap)&lt;BD$2, 0,IF(AND(time+1&gt;=BE$2, $E96&lt;BE$2), IF($I96= "I", $J96/($F96-$E96+1), $J96/(($F96*($F96+1)/2)-(($E96-1)*($E96-1+1)/2))*BD$2), 0)+IF(IF(time+1&gt;=BE$2, $K96/time_cap/(time+1)*BD$2, 0) = 0, $K96/(time_cap),0)),0)</f>
        <v/>
      </c>
      <c r="BE96" s="4395">
        <f>IFERROR(IF((time+time_cap)&lt;BE$2, 0,IF(AND(time+1&gt;=BF$2, $E96&lt;BF$2), IF($I96= "I", $J96/($F96-$E96+1), $J96/(($F96*($F96+1)/2)-(($E96-1)*($E96-1+1)/2))*BE$2), 0)+IF(IF(time+1&gt;=BF$2, $K96/time_cap/(time+1)*BE$2, 0) = 0, $K96/(time_cap),0)),0)</f>
        <v/>
      </c>
      <c r="BF96" s="4395">
        <f>IFERROR(IF((time+time_cap)&lt;BF$2, 0,IF(AND(time+1&gt;=BG$2, $E96&lt;BG$2), IF($I96= "I", $J96/($F96-$E96+1), $J96/(($F96*($F96+1)/2)-(($E96-1)*($E96-1+1)/2))*BF$2), 0)+IF(IF(time+1&gt;=BG$2, $K96/time_cap/(time+1)*BF$2, 0) = 0, $K96/(time_cap),0)),0)</f>
        <v/>
      </c>
      <c r="BG96" s="4395">
        <f>IFERROR(IF((time+time_cap)&lt;BG$2, 0,IF(AND(time+1&gt;=BH$2, $E96&lt;BH$2), IF($I96= "I", $J96/($F96-$E96+1), $J96/(($F96*($F96+1)/2)-(($E96-1)*($E96-1+1)/2))*BG$2), 0)+IF(IF(time+1&gt;=BH$2, $K96/time_cap/(time+1)*BG$2, 0) = 0, $K96/(time_cap),0)),0)</f>
        <v/>
      </c>
      <c r="BH96" s="4395">
        <f>IFERROR(IF((time+time_cap)&lt;BH$2, 0,IF(AND(time+1&gt;=BI$2, $E96&lt;BI$2), IF($I96= "I", $J96/($F96-$E96+1), $J96/(($F96*($F96+1)/2)-(($E96-1)*($E96-1+1)/2))*BH$2), 0)+IF(IF(time+1&gt;=BI$2, $K96/time_cap/(time+1)*BH$2, 0) = 0, $K96/(time_cap),0)),0)</f>
        <v/>
      </c>
      <c r="BI96" s="4395">
        <f>IFERROR(IF((time+time_cap)&lt;BI$2, 0,IF(AND(time+1&gt;=BJ$2, $E96&lt;BJ$2), IF($I96= "I", $J96/($F96-$E96+1), $J96/(($F96*($F96+1)/2)-(($E96-1)*($E96-1+1)/2))*BI$2), 0)+IF(IF(time+1&gt;=BJ$2, $K96/time_cap/(time+1)*BI$2, 0) = 0, $K96/(time_cap),0)),0)</f>
        <v/>
      </c>
      <c r="BJ96" s="4395">
        <f>IFERROR(IF((time+time_cap)&lt;BJ$2, 0,IF(AND(time+1&gt;=BK$2, $E96&lt;BK$2), IF($I96= "I", $J96/($F96-$E96+1), $J96/(($F96*($F96+1)/2)-(($E96-1)*($E96-1+1)/2))*BJ$2), 0)+IF(IF(time+1&gt;=BK$2, $K96/time_cap/(time+1)*BJ$2, 0) = 0, $K96/(time_cap),0)),0)</f>
        <v/>
      </c>
      <c r="BK96" s="4395" t="n"/>
      <c r="BL96" s="4395" t="n"/>
      <c r="BM96" s="4395" t="n"/>
      <c r="BN96" s="4395" t="n"/>
      <c r="BO96" s="4395" t="n"/>
      <c r="BP96" s="4395" t="n"/>
      <c r="BQ96" s="4395" t="n"/>
      <c r="BR96" s="4395" t="n"/>
      <c r="BS96" s="4395" t="n"/>
      <c r="BT96" s="4395" t="n"/>
      <c r="BU96" s="4395" t="n"/>
      <c r="BV96" s="4395" t="n"/>
      <c r="BW96" s="4395" t="n"/>
      <c r="BX96" s="4395" t="n"/>
      <c r="BY96" s="4395" t="n"/>
      <c r="BZ96" s="4395" t="n"/>
      <c r="CA96" s="4395" t="n"/>
      <c r="CB96" s="4395" t="n"/>
      <c r="CC96" s="4395" t="n"/>
      <c r="CD96" s="4395" t="n"/>
      <c r="CE96" s="4395" t="n"/>
      <c r="CF96" s="4395" t="n"/>
      <c r="CG96" s="4395" t="n"/>
      <c r="CH96" s="4395" t="n"/>
      <c r="CI96" s="4395" t="n"/>
      <c r="CJ96" s="4395" t="n"/>
      <c r="CK96" s="4395" t="n"/>
      <c r="CL96" s="4395" t="n"/>
      <c r="CM96" s="4395" t="n"/>
      <c r="CN96" s="4395" t="n"/>
      <c r="CO96" s="4395" t="n"/>
      <c r="CP96" s="4395" t="n"/>
      <c r="CQ96" s="4395" t="n"/>
      <c r="CR96" s="4395" t="n"/>
      <c r="CS96" s="4395" t="n"/>
      <c r="CT96" s="4395" t="n"/>
      <c r="CU96" s="4395" t="n"/>
      <c r="CV96" s="4395" t="n"/>
      <c r="CW96" s="4395" t="n"/>
      <c r="CX96" s="4395" t="n"/>
      <c r="CY96" s="4395" t="n"/>
      <c r="CZ96" s="4395" t="n"/>
      <c r="DA96" s="4395" t="n"/>
      <c r="DB96" s="4395" t="n"/>
      <c r="DC96" s="4395" t="n"/>
      <c r="DD96" s="4395" t="n"/>
      <c r="DE96" s="4395" t="n"/>
      <c r="DF96" s="4395" t="n"/>
      <c r="DG96" s="4395" t="n"/>
      <c r="DH96" s="4395" t="n"/>
    </row>
    <row r="97" ht="16" customHeight="1">
      <c r="A97" t="inlineStr">
        <is>
          <t>Livestock</t>
        </is>
      </c>
      <c r="B97">
        <f>'4.Grassland'!E60</f>
        <v/>
      </c>
      <c r="C97">
        <f>'4.Grassland'!I60</f>
        <v/>
      </c>
      <c r="D97">
        <f>'4.Grassland'!AG60</f>
        <v/>
      </c>
      <c r="E97">
        <f>IF('4.Grassland'!CG60&lt;&gt;0,'4.Grassland'!CG60, '4.Grassland'!CF60)</f>
        <v/>
      </c>
      <c r="F97">
        <f>time</f>
        <v/>
      </c>
      <c r="G97" s="4395">
        <f>'4.Grassland'!Y60</f>
        <v/>
      </c>
      <c r="H97" s="4395">
        <f>'4.Grassland'!AA60</f>
        <v/>
      </c>
      <c r="I97" s="4395">
        <f>IF(OR(H97="I", G97="I"), "I", IF(OR(H97="E", G97="E"), "E", "D"))</f>
        <v/>
      </c>
      <c r="J97" s="4395">
        <f>((D97/(time_cap+((F97-E97+1)*VLOOKUP(I97,list!$I$48:$K$50,3, FALSE))))*(F97-E97+1)*VLOOKUP(I97,list!$I$48:$K$50,3, FALSE))</f>
        <v/>
      </c>
      <c r="K97" s="4395">
        <f>((D97/(time_cap+((F97-E97+1)*VLOOKUP(I97,list!$I$48:$K$50,3, FALSE))))*time_cap)</f>
        <v/>
      </c>
      <c r="M97" s="4395">
        <f>IFERROR(IF((time+time_cap)&lt;M$2, 0,IF(AND(time+1&gt;=N$2, $E97&lt;N$2), IF($I97= "I", $J97/($F97-$E97+1), $J97/(($F97*($F97+1)/2)-(($E97-1)*($E97-1+1)/2))*M$2), 0)+IF(IF(time+1&gt;=N$2, $K97/time_cap/(time+1)*M$2, 0) = 0, $K97/(time_cap),0)),0)</f>
        <v/>
      </c>
      <c r="N97" s="4395">
        <f>IFERROR(IF((time+time_cap)&lt;N$2, 0,IF(AND(time+1&gt;=O$2, $E97&lt;O$2), IF($I97= "I", $J97/($F97-$E97+1), $J97/(($F97*($F97+1)/2)-(($E97-1)*($E97-1+1)/2))*N$2), 0)+IF(IF(time+1&gt;=O$2, $K97/time_cap/(time+1)*N$2, 0) = 0, $K97/(time_cap),0)),0)</f>
        <v/>
      </c>
      <c r="O97" s="4395">
        <f>IFERROR(IF((time+time_cap)&lt;O$2, 0,IF(AND(time+1&gt;=P$2, $E97&lt;P$2), IF($I97= "I", $J97/($F97-$E97+1), $J97/(($F97*($F97+1)/2)-(($E97-1)*($E97-1+1)/2))*O$2), 0)+IF(IF(time+1&gt;=P$2, $K97/time_cap/(time+1)*O$2, 0) = 0, $K97/(time_cap),0)),0)</f>
        <v/>
      </c>
      <c r="P97" s="4395">
        <f>IFERROR(IF((time+time_cap)&lt;P$2, 0,IF(AND(time+1&gt;=Q$2, $E97&lt;Q$2), IF($I97= "I", $J97/($F97-$E97+1), $J97/(($F97*($F97+1)/2)-(($E97-1)*($E97-1+1)/2))*P$2), 0)+IF(IF(time+1&gt;=Q$2, $K97/time_cap/(time+1)*P$2, 0) = 0, $K97/(time_cap),0)),0)</f>
        <v/>
      </c>
      <c r="Q97" s="4395">
        <f>IFERROR(IF((time+time_cap)&lt;Q$2, 0,IF(AND(time+1&gt;=R$2, $E97&lt;R$2), IF($I97= "I", $J97/($F97-$E97+1), $J97/(($F97*($F97+1)/2)-(($E97-1)*($E97-1+1)/2))*Q$2), 0)+IF(IF(time+1&gt;=R$2, $K97/time_cap/(time+1)*Q$2, 0) = 0, $K97/(time_cap),0)),0)</f>
        <v/>
      </c>
      <c r="R97" s="4395">
        <f>IFERROR(IF((time+time_cap)&lt;R$2, 0,IF(AND(time+1&gt;=S$2, $E97&lt;S$2), IF($I97= "I", $J97/($F97-$E97+1), $J97/(($F97*($F97+1)/2)-(($E97-1)*($E97-1+1)/2))*R$2), 0)+IF(IF(time+1&gt;=S$2, $K97/time_cap/(time+1)*R$2, 0) = 0, $K97/(time_cap),0)),0)</f>
        <v/>
      </c>
      <c r="S97" s="4395">
        <f>IFERROR(IF((time+time_cap)&lt;S$2, 0,IF(AND(time+1&gt;=T$2, $E97&lt;T$2), IF($I97= "I", $J97/($F97-$E97+1), $J97/(($F97*($F97+1)/2)-(($E97-1)*($E97-1+1)/2))*S$2), 0)+IF(IF(time+1&gt;=T$2, $K97/time_cap/(time+1)*S$2, 0) = 0, $K97/(time_cap),0)),0)</f>
        <v/>
      </c>
      <c r="T97" s="4395">
        <f>IFERROR(IF((time+time_cap)&lt;T$2, 0,IF(AND(time+1&gt;=U$2, $E97&lt;U$2), IF($I97= "I", $J97/($F97-$E97+1), $J97/(($F97*($F97+1)/2)-(($E97-1)*($E97-1+1)/2))*T$2), 0)+IF(IF(time+1&gt;=U$2, $K97/time_cap/(time+1)*T$2, 0) = 0, $K97/(time_cap),0)),0)</f>
        <v/>
      </c>
      <c r="U97" s="4395">
        <f>IFERROR(IF((time+time_cap)&lt;U$2, 0,IF(AND(time+1&gt;=V$2, $E97&lt;V$2), IF($I97= "I", $J97/($F97-$E97+1), $J97/(($F97*($F97+1)/2)-(($E97-1)*($E97-1+1)/2))*U$2), 0)+IF(IF(time+1&gt;=V$2, $K97/time_cap/(time+1)*U$2, 0) = 0, $K97/(time_cap),0)),0)</f>
        <v/>
      </c>
      <c r="V97" s="4395">
        <f>IFERROR(IF((time+time_cap)&lt;V$2, 0,IF(AND(time+1&gt;=W$2, $E97&lt;W$2), IF($I97= "I", $J97/($F97-$E97+1), $J97/(($F97*($F97+1)/2)-(($E97-1)*($E97-1+1)/2))*V$2), 0)+IF(IF(time+1&gt;=W$2, $K97/time_cap/(time+1)*V$2, 0) = 0, $K97/(time_cap),0)),0)</f>
        <v/>
      </c>
      <c r="W97" s="4395">
        <f>IFERROR(IF((time+time_cap)&lt;W$2, 0,IF(AND(time+1&gt;=X$2, $E97&lt;X$2), IF($I97= "I", $J97/($F97-$E97+1), $J97/(($F97*($F97+1)/2)-(($E97-1)*($E97-1+1)/2))*W$2), 0)+IF(IF(time+1&gt;=X$2, $K97/time_cap/(time+1)*W$2, 0) = 0, $K97/(time_cap),0)),0)</f>
        <v/>
      </c>
      <c r="X97" s="4395">
        <f>IFERROR(IF((time+time_cap)&lt;X$2, 0,IF(AND(time+1&gt;=Y$2, $E97&lt;Y$2), IF($I97= "I", $J97/($F97-$E97+1), $J97/(($F97*($F97+1)/2)-(($E97-1)*($E97-1+1)/2))*X$2), 0)+IF(IF(time+1&gt;=Y$2, $K97/time_cap/(time+1)*X$2, 0) = 0, $K97/(time_cap),0)),0)</f>
        <v/>
      </c>
      <c r="Y97" s="4395">
        <f>IFERROR(IF((time+time_cap)&lt;Y$2, 0,IF(AND(time+1&gt;=Z$2, $E97&lt;Z$2), IF($I97= "I", $J97/($F97-$E97+1), $J97/(($F97*($F97+1)/2)-(($E97-1)*($E97-1+1)/2))*Y$2), 0)+IF(IF(time+1&gt;=Z$2, $K97/time_cap/(time+1)*Y$2, 0) = 0, $K97/(time_cap),0)),0)</f>
        <v/>
      </c>
      <c r="Z97" s="4395">
        <f>IFERROR(IF((time+time_cap)&lt;Z$2, 0,IF(AND(time+1&gt;=AA$2, $E97&lt;AA$2), IF($I97= "I", $J97/($F97-$E97+1), $J97/(($F97*($F97+1)/2)-(($E97-1)*($E97-1+1)/2))*Z$2), 0)+IF(IF(time+1&gt;=AA$2, $K97/time_cap/(time+1)*Z$2, 0) = 0, $K97/(time_cap),0)),0)</f>
        <v/>
      </c>
      <c r="AA97" s="4395">
        <f>IFERROR(IF((time+time_cap)&lt;AA$2, 0,IF(AND(time+1&gt;=AB$2, $E97&lt;AB$2), IF($I97= "I", $J97/($F97-$E97+1), $J97/(($F97*($F97+1)/2)-(($E97-1)*($E97-1+1)/2))*AA$2), 0)+IF(IF(time+1&gt;=AB$2, $K97/time_cap/(time+1)*AA$2, 0) = 0, $K97/(time_cap),0)),0)</f>
        <v/>
      </c>
      <c r="AB97" s="4395">
        <f>IFERROR(IF((time+time_cap)&lt;AB$2, 0,IF(AND(time+1&gt;=AC$2, $E97&lt;AC$2), IF($I97= "I", $J97/($F97-$E97+1), $J97/(($F97*($F97+1)/2)-(($E97-1)*($E97-1+1)/2))*AB$2), 0)+IF(IF(time+1&gt;=AC$2, $K97/time_cap/(time+1)*AB$2, 0) = 0, $K97/(time_cap),0)),0)</f>
        <v/>
      </c>
      <c r="AC97" s="4395">
        <f>IFERROR(IF((time+time_cap)&lt;AC$2, 0,IF(AND(time+1&gt;=AD$2, $E97&lt;AD$2), IF($I97= "I", $J97/($F97-$E97+1), $J97/(($F97*($F97+1)/2)-(($E97-1)*($E97-1+1)/2))*AC$2), 0)+IF(IF(time+1&gt;=AD$2, $K97/time_cap/(time+1)*AC$2, 0) = 0, $K97/(time_cap),0)),0)</f>
        <v/>
      </c>
      <c r="AD97" s="4395">
        <f>IFERROR(IF((time+time_cap)&lt;AD$2, 0,IF(AND(time+1&gt;=AE$2, $E97&lt;AE$2), IF($I97= "I", $J97/($F97-$E97+1), $J97/(($F97*($F97+1)/2)-(($E97-1)*($E97-1+1)/2))*AD$2), 0)+IF(IF(time+1&gt;=AE$2, $K97/time_cap/(time+1)*AD$2, 0) = 0, $K97/(time_cap),0)),0)</f>
        <v/>
      </c>
      <c r="AE97" s="4395">
        <f>IFERROR(IF((time+time_cap)&lt;AE$2, 0,IF(AND(time+1&gt;=AF$2, $E97&lt;AF$2), IF($I97= "I", $J97/($F97-$E97+1), $J97/(($F97*($F97+1)/2)-(($E97-1)*($E97-1+1)/2))*AE$2), 0)+IF(IF(time+1&gt;=AF$2, $K97/time_cap/(time+1)*AE$2, 0) = 0, $K97/(time_cap),0)),0)</f>
        <v/>
      </c>
      <c r="AF97" s="4395">
        <f>IFERROR(IF((time+time_cap)&lt;AF$2, 0,IF(AND(time+1&gt;=AG$2, $E97&lt;AG$2), IF($I97= "I", $J97/($F97-$E97+1), $J97/(($F97*($F97+1)/2)-(($E97-1)*($E97-1+1)/2))*AF$2), 0)+IF(IF(time+1&gt;=AG$2, $K97/time_cap/(time+1)*AF$2, 0) = 0, $K97/(time_cap),0)),0)</f>
        <v/>
      </c>
      <c r="AG97" s="4395">
        <f>IFERROR(IF((time+time_cap)&lt;AG$2, 0,IF(AND(time+1&gt;=AH$2, $E97&lt;AH$2), IF($I97= "I", $J97/($F97-$E97+1), $J97/(($F97*($F97+1)/2)-(($E97-1)*($E97-1+1)/2))*AG$2), 0)+IF(IF(time+1&gt;=AH$2, $K97/time_cap/(time+1)*AG$2, 0) = 0, $K97/(time_cap),0)),0)</f>
        <v/>
      </c>
      <c r="AH97" s="4395">
        <f>IFERROR(IF((time+time_cap)&lt;AH$2, 0,IF(AND(time+1&gt;=AI$2, $E97&lt;AI$2), IF($I97= "I", $J97/($F97-$E97+1), $J97/(($F97*($F97+1)/2)-(($E97-1)*($E97-1+1)/2))*AH$2), 0)+IF(IF(time+1&gt;=AI$2, $K97/time_cap/(time+1)*AH$2, 0) = 0, $K97/(time_cap),0)),0)</f>
        <v/>
      </c>
      <c r="AI97" s="4395">
        <f>IFERROR(IF((time+time_cap)&lt;AI$2, 0,IF(AND(time+1&gt;=AJ$2, $E97&lt;AJ$2), IF($I97= "I", $J97/($F97-$E97+1), $J97/(($F97*($F97+1)/2)-(($E97-1)*($E97-1+1)/2))*AI$2), 0)+IF(IF(time+1&gt;=AJ$2, $K97/time_cap/(time+1)*AI$2, 0) = 0, $K97/(time_cap),0)),0)</f>
        <v/>
      </c>
      <c r="AJ97" s="4395">
        <f>IFERROR(IF((time+time_cap)&lt;AJ$2, 0,IF(AND(time+1&gt;=AK$2, $E97&lt;AK$2), IF($I97= "I", $J97/($F97-$E97+1), $J97/(($F97*($F97+1)/2)-(($E97-1)*($E97-1+1)/2))*AJ$2), 0)+IF(IF(time+1&gt;=AK$2, $K97/time_cap/(time+1)*AJ$2, 0) = 0, $K97/(time_cap),0)),0)</f>
        <v/>
      </c>
      <c r="AK97" s="4395">
        <f>IFERROR(IF((time+time_cap)&lt;AK$2, 0,IF(AND(time+1&gt;=AL$2, $E97&lt;AL$2), IF($I97= "I", $J97/($F97-$E97+1), $J97/(($F97*($F97+1)/2)-(($E97-1)*($E97-1+1)/2))*AK$2), 0)+IF(IF(time+1&gt;=AL$2, $K97/time_cap/(time+1)*AK$2, 0) = 0, $K97/(time_cap),0)),0)</f>
        <v/>
      </c>
      <c r="AL97" s="4395">
        <f>IFERROR(IF((time+time_cap)&lt;AL$2, 0,IF(AND(time+1&gt;=AM$2, $E97&lt;AM$2), IF($I97= "I", $J97/($F97-$E97+1), $J97/(($F97*($F97+1)/2)-(($E97-1)*($E97-1+1)/2))*AL$2), 0)+IF(IF(time+1&gt;=AM$2, $K97/time_cap/(time+1)*AL$2, 0) = 0, $K97/(time_cap),0)),0)</f>
        <v/>
      </c>
      <c r="AM97" s="4395">
        <f>IFERROR(IF((time+time_cap)&lt;AM$2, 0,IF(AND(time+1&gt;=AN$2, $E97&lt;AN$2), IF($I97= "I", $J97/($F97-$E97+1), $J97/(($F97*($F97+1)/2)-(($E97-1)*($E97-1+1)/2))*AM$2), 0)+IF(IF(time+1&gt;=AN$2, $K97/time_cap/(time+1)*AM$2, 0) = 0, $K97/(time_cap),0)),0)</f>
        <v/>
      </c>
      <c r="AN97" s="4395">
        <f>IFERROR(IF((time+time_cap)&lt;AN$2, 0,IF(AND(time+1&gt;=AO$2, $E97&lt;AO$2), IF($I97= "I", $J97/($F97-$E97+1), $J97/(($F97*($F97+1)/2)-(($E97-1)*($E97-1+1)/2))*AN$2), 0)+IF(IF(time+1&gt;=AO$2, $K97/time_cap/(time+1)*AN$2, 0) = 0, $K97/(time_cap),0)),0)</f>
        <v/>
      </c>
      <c r="AO97" s="4395">
        <f>IFERROR(IF((time+time_cap)&lt;AO$2, 0,IF(AND(time+1&gt;=AP$2, $E97&lt;AP$2), IF($I97= "I", $J97/($F97-$E97+1), $J97/(($F97*($F97+1)/2)-(($E97-1)*($E97-1+1)/2))*AO$2), 0)+IF(IF(time+1&gt;=AP$2, $K97/time_cap/(time+1)*AO$2, 0) = 0, $K97/(time_cap),0)),0)</f>
        <v/>
      </c>
      <c r="AP97" s="4395">
        <f>IFERROR(IF((time+time_cap)&lt;AP$2, 0,IF(AND(time+1&gt;=AQ$2, $E97&lt;AQ$2), IF($I97= "I", $J97/($F97-$E97+1), $J97/(($F97*($F97+1)/2)-(($E97-1)*($E97-1+1)/2))*AP$2), 0)+IF(IF(time+1&gt;=AQ$2, $K97/time_cap/(time+1)*AP$2, 0) = 0, $K97/(time_cap),0)),0)</f>
        <v/>
      </c>
      <c r="AQ97" s="4395">
        <f>IFERROR(IF((time+time_cap)&lt;AQ$2, 0,IF(AND(time+1&gt;=AR$2, $E97&lt;AR$2), IF($I97= "I", $J97/($F97-$E97+1), $J97/(($F97*($F97+1)/2)-(($E97-1)*($E97-1+1)/2))*AQ$2), 0)+IF(IF(time+1&gt;=AR$2, $K97/time_cap/(time+1)*AQ$2, 0) = 0, $K97/(time_cap),0)),0)</f>
        <v/>
      </c>
      <c r="AR97" s="4395">
        <f>IFERROR(IF((time+time_cap)&lt;AR$2, 0,IF(AND(time+1&gt;=AS$2, $E97&lt;AS$2), IF($I97= "I", $J97/($F97-$E97+1), $J97/(($F97*($F97+1)/2)-(($E97-1)*($E97-1+1)/2))*AR$2), 0)+IF(IF(time+1&gt;=AS$2, $K97/time_cap/(time+1)*AR$2, 0) = 0, $K97/(time_cap),0)),0)</f>
        <v/>
      </c>
      <c r="AS97" s="4395">
        <f>IFERROR(IF((time+time_cap)&lt;AS$2, 0,IF(AND(time+1&gt;=AT$2, $E97&lt;AT$2), IF($I97= "I", $J97/($F97-$E97+1), $J97/(($F97*($F97+1)/2)-(($E97-1)*($E97-1+1)/2))*AS$2), 0)+IF(IF(time+1&gt;=AT$2, $K97/time_cap/(time+1)*AS$2, 0) = 0, $K97/(time_cap),0)),0)</f>
        <v/>
      </c>
      <c r="AT97" s="4395">
        <f>IFERROR(IF((time+time_cap)&lt;AT$2, 0,IF(AND(time+1&gt;=AU$2, $E97&lt;AU$2), IF($I97= "I", $J97/($F97-$E97+1), $J97/(($F97*($F97+1)/2)-(($E97-1)*($E97-1+1)/2))*AT$2), 0)+IF(IF(time+1&gt;=AU$2, $K97/time_cap/(time+1)*AT$2, 0) = 0, $K97/(time_cap),0)),0)</f>
        <v/>
      </c>
      <c r="AU97" s="4395">
        <f>IFERROR(IF((time+time_cap)&lt;AU$2, 0,IF(AND(time+1&gt;=AV$2, $E97&lt;AV$2), IF($I97= "I", $J97/($F97-$E97+1), $J97/(($F97*($F97+1)/2)-(($E97-1)*($E97-1+1)/2))*AU$2), 0)+IF(IF(time+1&gt;=AV$2, $K97/time_cap/(time+1)*AU$2, 0) = 0, $K97/(time_cap),0)),0)</f>
        <v/>
      </c>
      <c r="AV97" s="4395">
        <f>IFERROR(IF((time+time_cap)&lt;AV$2, 0,IF(AND(time+1&gt;=AW$2, $E97&lt;AW$2), IF($I97= "I", $J97/($F97-$E97+1), $J97/(($F97*($F97+1)/2)-(($E97-1)*($E97-1+1)/2))*AV$2), 0)+IF(IF(time+1&gt;=AW$2, $K97/time_cap/(time+1)*AV$2, 0) = 0, $K97/(time_cap),0)),0)</f>
        <v/>
      </c>
      <c r="AW97" s="4395">
        <f>IFERROR(IF((time+time_cap)&lt;AW$2, 0,IF(AND(time+1&gt;=AX$2, $E97&lt;AX$2), IF($I97= "I", $J97/($F97-$E97+1), $J97/(($F97*($F97+1)/2)-(($E97-1)*($E97-1+1)/2))*AW$2), 0)+IF(IF(time+1&gt;=AX$2, $K97/time_cap/(time+1)*AW$2, 0) = 0, $K97/(time_cap),0)),0)</f>
        <v/>
      </c>
      <c r="AX97" s="4395">
        <f>IFERROR(IF((time+time_cap)&lt;AX$2, 0,IF(AND(time+1&gt;=AY$2, $E97&lt;AY$2), IF($I97= "I", $J97/($F97-$E97+1), $J97/(($F97*($F97+1)/2)-(($E97-1)*($E97-1+1)/2))*AX$2), 0)+IF(IF(time+1&gt;=AY$2, $K97/time_cap/(time+1)*AX$2, 0) = 0, $K97/(time_cap),0)),0)</f>
        <v/>
      </c>
      <c r="AY97" s="4395">
        <f>IFERROR(IF((time+time_cap)&lt;AY$2, 0,IF(AND(time+1&gt;=AZ$2, $E97&lt;AZ$2), IF($I97= "I", $J97/($F97-$E97+1), $J97/(($F97*($F97+1)/2)-(($E97-1)*($E97-1+1)/2))*AY$2), 0)+IF(IF(time+1&gt;=AZ$2, $K97/time_cap/(time+1)*AY$2, 0) = 0, $K97/(time_cap),0)),0)</f>
        <v/>
      </c>
      <c r="AZ97" s="4395">
        <f>IFERROR(IF((time+time_cap)&lt;AZ$2, 0,IF(AND(time+1&gt;=BA$2, $E97&lt;BA$2), IF($I97= "I", $J97/($F97-$E97+1), $J97/(($F97*($F97+1)/2)-(($E97-1)*($E97-1+1)/2))*AZ$2), 0)+IF(IF(time+1&gt;=BA$2, $K97/time_cap/(time+1)*AZ$2, 0) = 0, $K97/(time_cap),0)),0)</f>
        <v/>
      </c>
      <c r="BA97" s="4395">
        <f>IFERROR(IF((time+time_cap)&lt;BA$2, 0,IF(AND(time+1&gt;=BB$2, $E97&lt;BB$2), IF($I97= "I", $J97/($F97-$E97+1), $J97/(($F97*($F97+1)/2)-(($E97-1)*($E97-1+1)/2))*BA$2), 0)+IF(IF(time+1&gt;=BB$2, $K97/time_cap/(time+1)*BA$2, 0) = 0, $K97/(time_cap),0)),0)</f>
        <v/>
      </c>
      <c r="BB97" s="4395">
        <f>IFERROR(IF((time+time_cap)&lt;BB$2, 0,IF(AND(time+1&gt;=BC$2, $E97&lt;BC$2), IF($I97= "I", $J97/($F97-$E97+1), $J97/(($F97*($F97+1)/2)-(($E97-1)*($E97-1+1)/2))*BB$2), 0)+IF(IF(time+1&gt;=BC$2, $K97/time_cap/(time+1)*BB$2, 0) = 0, $K97/(time_cap),0)),0)</f>
        <v/>
      </c>
      <c r="BC97" s="4395">
        <f>IFERROR(IF((time+time_cap)&lt;BC$2, 0,IF(AND(time+1&gt;=BD$2, $E97&lt;BD$2), IF($I97= "I", $J97/($F97-$E97+1), $J97/(($F97*($F97+1)/2)-(($E97-1)*($E97-1+1)/2))*BC$2), 0)+IF(IF(time+1&gt;=BD$2, $K97/time_cap/(time+1)*BC$2, 0) = 0, $K97/(time_cap),0)),0)</f>
        <v/>
      </c>
      <c r="BD97" s="4395">
        <f>IFERROR(IF((time+time_cap)&lt;BD$2, 0,IF(AND(time+1&gt;=BE$2, $E97&lt;BE$2), IF($I97= "I", $J97/($F97-$E97+1), $J97/(($F97*($F97+1)/2)-(($E97-1)*($E97-1+1)/2))*BD$2), 0)+IF(IF(time+1&gt;=BE$2, $K97/time_cap/(time+1)*BD$2, 0) = 0, $K97/(time_cap),0)),0)</f>
        <v/>
      </c>
      <c r="BE97" s="4395">
        <f>IFERROR(IF((time+time_cap)&lt;BE$2, 0,IF(AND(time+1&gt;=BF$2, $E97&lt;BF$2), IF($I97= "I", $J97/($F97-$E97+1), $J97/(($F97*($F97+1)/2)-(($E97-1)*($E97-1+1)/2))*BE$2), 0)+IF(IF(time+1&gt;=BF$2, $K97/time_cap/(time+1)*BE$2, 0) = 0, $K97/(time_cap),0)),0)</f>
        <v/>
      </c>
      <c r="BF97" s="4395">
        <f>IFERROR(IF((time+time_cap)&lt;BF$2, 0,IF(AND(time+1&gt;=BG$2, $E97&lt;BG$2), IF($I97= "I", $J97/($F97-$E97+1), $J97/(($F97*($F97+1)/2)-(($E97-1)*($E97-1+1)/2))*BF$2), 0)+IF(IF(time+1&gt;=BG$2, $K97/time_cap/(time+1)*BF$2, 0) = 0, $K97/(time_cap),0)),0)</f>
        <v/>
      </c>
      <c r="BG97" s="4395">
        <f>IFERROR(IF((time+time_cap)&lt;BG$2, 0,IF(AND(time+1&gt;=BH$2, $E97&lt;BH$2), IF($I97= "I", $J97/($F97-$E97+1), $J97/(($F97*($F97+1)/2)-(($E97-1)*($E97-1+1)/2))*BG$2), 0)+IF(IF(time+1&gt;=BH$2, $K97/time_cap/(time+1)*BG$2, 0) = 0, $K97/(time_cap),0)),0)</f>
        <v/>
      </c>
      <c r="BH97" s="4395">
        <f>IFERROR(IF((time+time_cap)&lt;BH$2, 0,IF(AND(time+1&gt;=BI$2, $E97&lt;BI$2), IF($I97= "I", $J97/($F97-$E97+1), $J97/(($F97*($F97+1)/2)-(($E97-1)*($E97-1+1)/2))*BH$2), 0)+IF(IF(time+1&gt;=BI$2, $K97/time_cap/(time+1)*BH$2, 0) = 0, $K97/(time_cap),0)),0)</f>
        <v/>
      </c>
      <c r="BI97" s="4395">
        <f>IFERROR(IF((time+time_cap)&lt;BI$2, 0,IF(AND(time+1&gt;=BJ$2, $E97&lt;BJ$2), IF($I97= "I", $J97/($F97-$E97+1), $J97/(($F97*($F97+1)/2)-(($E97-1)*($E97-1+1)/2))*BI$2), 0)+IF(IF(time+1&gt;=BJ$2, $K97/time_cap/(time+1)*BI$2, 0) = 0, $K97/(time_cap),0)),0)</f>
        <v/>
      </c>
      <c r="BJ97" s="4395">
        <f>IFERROR(IF((time+time_cap)&lt;BJ$2, 0,IF(AND(time+1&gt;=BK$2, $E97&lt;BK$2), IF($I97= "I", $J97/($F97-$E97+1), $J97/(($F97*($F97+1)/2)-(($E97-1)*($E97-1+1)/2))*BJ$2), 0)+IF(IF(time+1&gt;=BK$2, $K97/time_cap/(time+1)*BJ$2, 0) = 0, $K97/(time_cap),0)),0)</f>
        <v/>
      </c>
      <c r="BK97" s="4395" t="n"/>
      <c r="BL97" s="4395" t="n"/>
      <c r="BM97" s="4395" t="n"/>
      <c r="BN97" s="4395" t="n"/>
      <c r="BO97" s="4395" t="n"/>
      <c r="BP97" s="4395" t="n"/>
      <c r="BQ97" s="4395" t="n"/>
      <c r="BR97" s="4395" t="n"/>
      <c r="BS97" s="4395" t="n"/>
      <c r="BT97" s="4395" t="n"/>
      <c r="BU97" s="4395" t="n"/>
      <c r="BV97" s="4395" t="n"/>
      <c r="BW97" s="4395" t="n"/>
      <c r="BX97" s="4395" t="n"/>
      <c r="BY97" s="4395" t="n"/>
      <c r="BZ97" s="4395" t="n"/>
      <c r="CA97" s="4395" t="n"/>
      <c r="CB97" s="4395" t="n"/>
      <c r="CC97" s="4395" t="n"/>
      <c r="CD97" s="4395" t="n"/>
      <c r="CE97" s="4395" t="n"/>
      <c r="CF97" s="4395" t="n"/>
      <c r="CG97" s="4395" t="n"/>
      <c r="CH97" s="4395" t="n"/>
      <c r="CI97" s="4395" t="n"/>
      <c r="CJ97" s="4395" t="n"/>
      <c r="CK97" s="4395" t="n"/>
      <c r="CL97" s="4395" t="n"/>
      <c r="CM97" s="4395" t="n"/>
      <c r="CN97" s="4395" t="n"/>
      <c r="CO97" s="4395" t="n"/>
      <c r="CP97" s="4395" t="n"/>
      <c r="CQ97" s="4395" t="n"/>
      <c r="CR97" s="4395" t="n"/>
      <c r="CS97" s="4395" t="n"/>
      <c r="CT97" s="4395" t="n"/>
      <c r="CU97" s="4395" t="n"/>
      <c r="CV97" s="4395" t="n"/>
      <c r="CW97" s="4395" t="n"/>
      <c r="CX97" s="4395" t="n"/>
      <c r="CY97" s="4395" t="n"/>
      <c r="CZ97" s="4395" t="n"/>
      <c r="DA97" s="4395" t="n"/>
      <c r="DB97" s="4395" t="n"/>
      <c r="DC97" s="4395" t="n"/>
      <c r="DD97" s="4395" t="n"/>
      <c r="DE97" s="4395" t="n"/>
      <c r="DF97" s="4395" t="n"/>
      <c r="DG97" s="4395" t="n"/>
      <c r="DH97" s="4395" t="n"/>
    </row>
    <row r="98" ht="16" customHeight="1">
      <c r="A98" t="inlineStr">
        <is>
          <t>Livestock</t>
        </is>
      </c>
      <c r="B98">
        <f>'4.Grassland'!E61</f>
        <v/>
      </c>
      <c r="C98">
        <f>'4.Grassland'!I61</f>
        <v/>
      </c>
      <c r="D98">
        <f>'4.Grassland'!AG61</f>
        <v/>
      </c>
      <c r="E98">
        <f>IF('4.Grassland'!CG61&lt;&gt;0,'4.Grassland'!CG61, '4.Grassland'!CF61)</f>
        <v/>
      </c>
      <c r="F98">
        <f>time</f>
        <v/>
      </c>
      <c r="G98" s="4395">
        <f>'4.Grassland'!Y61</f>
        <v/>
      </c>
      <c r="H98" s="4395">
        <f>'4.Grassland'!AA61</f>
        <v/>
      </c>
      <c r="I98" s="4395">
        <f>IF(OR(H98="I", G98="I"), "I", IF(OR(H98="E", G98="E"), "E", "D"))</f>
        <v/>
      </c>
      <c r="J98" s="4395">
        <f>((D98/(time_cap+((F98-E98+1)*VLOOKUP(I98,list!$I$48:$K$50,3, FALSE))))*(F98-E98+1)*VLOOKUP(I98,list!$I$48:$K$50,3, FALSE))</f>
        <v/>
      </c>
      <c r="K98" s="4395">
        <f>((D98/(time_cap+((F98-E98+1)*VLOOKUP(I98,list!$I$48:$K$50,3, FALSE))))*time_cap)</f>
        <v/>
      </c>
      <c r="M98" s="4395">
        <f>IFERROR(IF((time+time_cap)&lt;M$2, 0,IF(AND(time+1&gt;=N$2, $E98&lt;N$2), IF($I98= "I", $J98/($F98-$E98+1), $J98/(($F98*($F98+1)/2)-(($E98-1)*($E98-1+1)/2))*M$2), 0)+IF(IF(time+1&gt;=N$2, $K98/time_cap/(time+1)*M$2, 0) = 0, $K98/(time_cap),0)),0)</f>
        <v/>
      </c>
      <c r="N98" s="4395">
        <f>IFERROR(IF((time+time_cap)&lt;N$2, 0,IF(AND(time+1&gt;=O$2, $E98&lt;O$2), IF($I98= "I", $J98/($F98-$E98+1), $J98/(($F98*($F98+1)/2)-(($E98-1)*($E98-1+1)/2))*N$2), 0)+IF(IF(time+1&gt;=O$2, $K98/time_cap/(time+1)*N$2, 0) = 0, $K98/(time_cap),0)),0)</f>
        <v/>
      </c>
      <c r="O98" s="4395">
        <f>IFERROR(IF((time+time_cap)&lt;O$2, 0,IF(AND(time+1&gt;=P$2, $E98&lt;P$2), IF($I98= "I", $J98/($F98-$E98+1), $J98/(($F98*($F98+1)/2)-(($E98-1)*($E98-1+1)/2))*O$2), 0)+IF(IF(time+1&gt;=P$2, $K98/time_cap/(time+1)*O$2, 0) = 0, $K98/(time_cap),0)),0)</f>
        <v/>
      </c>
      <c r="P98" s="4395">
        <f>IFERROR(IF((time+time_cap)&lt;P$2, 0,IF(AND(time+1&gt;=Q$2, $E98&lt;Q$2), IF($I98= "I", $J98/($F98-$E98+1), $J98/(($F98*($F98+1)/2)-(($E98-1)*($E98-1+1)/2))*P$2), 0)+IF(IF(time+1&gt;=Q$2, $K98/time_cap/(time+1)*P$2, 0) = 0, $K98/(time_cap),0)),0)</f>
        <v/>
      </c>
      <c r="Q98" s="4395">
        <f>IFERROR(IF((time+time_cap)&lt;Q$2, 0,IF(AND(time+1&gt;=R$2, $E98&lt;R$2), IF($I98= "I", $J98/($F98-$E98+1), $J98/(($F98*($F98+1)/2)-(($E98-1)*($E98-1+1)/2))*Q$2), 0)+IF(IF(time+1&gt;=R$2, $K98/time_cap/(time+1)*Q$2, 0) = 0, $K98/(time_cap),0)),0)</f>
        <v/>
      </c>
      <c r="R98" s="4395">
        <f>IFERROR(IF((time+time_cap)&lt;R$2, 0,IF(AND(time+1&gt;=S$2, $E98&lt;S$2), IF($I98= "I", $J98/($F98-$E98+1), $J98/(($F98*($F98+1)/2)-(($E98-1)*($E98-1+1)/2))*R$2), 0)+IF(IF(time+1&gt;=S$2, $K98/time_cap/(time+1)*R$2, 0) = 0, $K98/(time_cap),0)),0)</f>
        <v/>
      </c>
      <c r="S98" s="4395">
        <f>IFERROR(IF((time+time_cap)&lt;S$2, 0,IF(AND(time+1&gt;=T$2, $E98&lt;T$2), IF($I98= "I", $J98/($F98-$E98+1), $J98/(($F98*($F98+1)/2)-(($E98-1)*($E98-1+1)/2))*S$2), 0)+IF(IF(time+1&gt;=T$2, $K98/time_cap/(time+1)*S$2, 0) = 0, $K98/(time_cap),0)),0)</f>
        <v/>
      </c>
      <c r="T98" s="4395">
        <f>IFERROR(IF((time+time_cap)&lt;T$2, 0,IF(AND(time+1&gt;=U$2, $E98&lt;U$2), IF($I98= "I", $J98/($F98-$E98+1), $J98/(($F98*($F98+1)/2)-(($E98-1)*($E98-1+1)/2))*T$2), 0)+IF(IF(time+1&gt;=U$2, $K98/time_cap/(time+1)*T$2, 0) = 0, $K98/(time_cap),0)),0)</f>
        <v/>
      </c>
      <c r="U98" s="4395">
        <f>IFERROR(IF((time+time_cap)&lt;U$2, 0,IF(AND(time+1&gt;=V$2, $E98&lt;V$2), IF($I98= "I", $J98/($F98-$E98+1), $J98/(($F98*($F98+1)/2)-(($E98-1)*($E98-1+1)/2))*U$2), 0)+IF(IF(time+1&gt;=V$2, $K98/time_cap/(time+1)*U$2, 0) = 0, $K98/(time_cap),0)),0)</f>
        <v/>
      </c>
      <c r="V98" s="4395">
        <f>IFERROR(IF((time+time_cap)&lt;V$2, 0,IF(AND(time+1&gt;=W$2, $E98&lt;W$2), IF($I98= "I", $J98/($F98-$E98+1), $J98/(($F98*($F98+1)/2)-(($E98-1)*($E98-1+1)/2))*V$2), 0)+IF(IF(time+1&gt;=W$2, $K98/time_cap/(time+1)*V$2, 0) = 0, $K98/(time_cap),0)),0)</f>
        <v/>
      </c>
      <c r="W98" s="4395">
        <f>IFERROR(IF((time+time_cap)&lt;W$2, 0,IF(AND(time+1&gt;=X$2, $E98&lt;X$2), IF($I98= "I", $J98/($F98-$E98+1), $J98/(($F98*($F98+1)/2)-(($E98-1)*($E98-1+1)/2))*W$2), 0)+IF(IF(time+1&gt;=X$2, $K98/time_cap/(time+1)*W$2, 0) = 0, $K98/(time_cap),0)),0)</f>
        <v/>
      </c>
      <c r="X98" s="4395">
        <f>IFERROR(IF((time+time_cap)&lt;X$2, 0,IF(AND(time+1&gt;=Y$2, $E98&lt;Y$2), IF($I98= "I", $J98/($F98-$E98+1), $J98/(($F98*($F98+1)/2)-(($E98-1)*($E98-1+1)/2))*X$2), 0)+IF(IF(time+1&gt;=Y$2, $K98/time_cap/(time+1)*X$2, 0) = 0, $K98/(time_cap),0)),0)</f>
        <v/>
      </c>
      <c r="Y98" s="4395">
        <f>IFERROR(IF((time+time_cap)&lt;Y$2, 0,IF(AND(time+1&gt;=Z$2, $E98&lt;Z$2), IF($I98= "I", $J98/($F98-$E98+1), $J98/(($F98*($F98+1)/2)-(($E98-1)*($E98-1+1)/2))*Y$2), 0)+IF(IF(time+1&gt;=Z$2, $K98/time_cap/(time+1)*Y$2, 0) = 0, $K98/(time_cap),0)),0)</f>
        <v/>
      </c>
      <c r="Z98" s="4395">
        <f>IFERROR(IF((time+time_cap)&lt;Z$2, 0,IF(AND(time+1&gt;=AA$2, $E98&lt;AA$2), IF($I98= "I", $J98/($F98-$E98+1), $J98/(($F98*($F98+1)/2)-(($E98-1)*($E98-1+1)/2))*Z$2), 0)+IF(IF(time+1&gt;=AA$2, $K98/time_cap/(time+1)*Z$2, 0) = 0, $K98/(time_cap),0)),0)</f>
        <v/>
      </c>
      <c r="AA98" s="4395">
        <f>IFERROR(IF((time+time_cap)&lt;AA$2, 0,IF(AND(time+1&gt;=AB$2, $E98&lt;AB$2), IF($I98= "I", $J98/($F98-$E98+1), $J98/(($F98*($F98+1)/2)-(($E98-1)*($E98-1+1)/2))*AA$2), 0)+IF(IF(time+1&gt;=AB$2, $K98/time_cap/(time+1)*AA$2, 0) = 0, $K98/(time_cap),0)),0)</f>
        <v/>
      </c>
      <c r="AB98" s="4395">
        <f>IFERROR(IF((time+time_cap)&lt;AB$2, 0,IF(AND(time+1&gt;=AC$2, $E98&lt;AC$2), IF($I98= "I", $J98/($F98-$E98+1), $J98/(($F98*($F98+1)/2)-(($E98-1)*($E98-1+1)/2))*AB$2), 0)+IF(IF(time+1&gt;=AC$2, $K98/time_cap/(time+1)*AB$2, 0) = 0, $K98/(time_cap),0)),0)</f>
        <v/>
      </c>
      <c r="AC98" s="4395">
        <f>IFERROR(IF((time+time_cap)&lt;AC$2, 0,IF(AND(time+1&gt;=AD$2, $E98&lt;AD$2), IF($I98= "I", $J98/($F98-$E98+1), $J98/(($F98*($F98+1)/2)-(($E98-1)*($E98-1+1)/2))*AC$2), 0)+IF(IF(time+1&gt;=AD$2, $K98/time_cap/(time+1)*AC$2, 0) = 0, $K98/(time_cap),0)),0)</f>
        <v/>
      </c>
      <c r="AD98" s="4395">
        <f>IFERROR(IF((time+time_cap)&lt;AD$2, 0,IF(AND(time+1&gt;=AE$2, $E98&lt;AE$2), IF($I98= "I", $J98/($F98-$E98+1), $J98/(($F98*($F98+1)/2)-(($E98-1)*($E98-1+1)/2))*AD$2), 0)+IF(IF(time+1&gt;=AE$2, $K98/time_cap/(time+1)*AD$2, 0) = 0, $K98/(time_cap),0)),0)</f>
        <v/>
      </c>
      <c r="AE98" s="4395">
        <f>IFERROR(IF((time+time_cap)&lt;AE$2, 0,IF(AND(time+1&gt;=AF$2, $E98&lt;AF$2), IF($I98= "I", $J98/($F98-$E98+1), $J98/(($F98*($F98+1)/2)-(($E98-1)*($E98-1+1)/2))*AE$2), 0)+IF(IF(time+1&gt;=AF$2, $K98/time_cap/(time+1)*AE$2, 0) = 0, $K98/(time_cap),0)),0)</f>
        <v/>
      </c>
      <c r="AF98" s="4395">
        <f>IFERROR(IF((time+time_cap)&lt;AF$2, 0,IF(AND(time+1&gt;=AG$2, $E98&lt;AG$2), IF($I98= "I", $J98/($F98-$E98+1), $J98/(($F98*($F98+1)/2)-(($E98-1)*($E98-1+1)/2))*AF$2), 0)+IF(IF(time+1&gt;=AG$2, $K98/time_cap/(time+1)*AF$2, 0) = 0, $K98/(time_cap),0)),0)</f>
        <v/>
      </c>
      <c r="AG98" s="4395">
        <f>IFERROR(IF((time+time_cap)&lt;AG$2, 0,IF(AND(time+1&gt;=AH$2, $E98&lt;AH$2), IF($I98= "I", $J98/($F98-$E98+1), $J98/(($F98*($F98+1)/2)-(($E98-1)*($E98-1+1)/2))*AG$2), 0)+IF(IF(time+1&gt;=AH$2, $K98/time_cap/(time+1)*AG$2, 0) = 0, $K98/(time_cap),0)),0)</f>
        <v/>
      </c>
      <c r="AH98" s="4395">
        <f>IFERROR(IF((time+time_cap)&lt;AH$2, 0,IF(AND(time+1&gt;=AI$2, $E98&lt;AI$2), IF($I98= "I", $J98/($F98-$E98+1), $J98/(($F98*($F98+1)/2)-(($E98-1)*($E98-1+1)/2))*AH$2), 0)+IF(IF(time+1&gt;=AI$2, $K98/time_cap/(time+1)*AH$2, 0) = 0, $K98/(time_cap),0)),0)</f>
        <v/>
      </c>
      <c r="AI98" s="4395">
        <f>IFERROR(IF((time+time_cap)&lt;AI$2, 0,IF(AND(time+1&gt;=AJ$2, $E98&lt;AJ$2), IF($I98= "I", $J98/($F98-$E98+1), $J98/(($F98*($F98+1)/2)-(($E98-1)*($E98-1+1)/2))*AI$2), 0)+IF(IF(time+1&gt;=AJ$2, $K98/time_cap/(time+1)*AI$2, 0) = 0, $K98/(time_cap),0)),0)</f>
        <v/>
      </c>
      <c r="AJ98" s="4395">
        <f>IFERROR(IF((time+time_cap)&lt;AJ$2, 0,IF(AND(time+1&gt;=AK$2, $E98&lt;AK$2), IF($I98= "I", $J98/($F98-$E98+1), $J98/(($F98*($F98+1)/2)-(($E98-1)*($E98-1+1)/2))*AJ$2), 0)+IF(IF(time+1&gt;=AK$2, $K98/time_cap/(time+1)*AJ$2, 0) = 0, $K98/(time_cap),0)),0)</f>
        <v/>
      </c>
      <c r="AK98" s="4395">
        <f>IFERROR(IF((time+time_cap)&lt;AK$2, 0,IF(AND(time+1&gt;=AL$2, $E98&lt;AL$2), IF($I98= "I", $J98/($F98-$E98+1), $J98/(($F98*($F98+1)/2)-(($E98-1)*($E98-1+1)/2))*AK$2), 0)+IF(IF(time+1&gt;=AL$2, $K98/time_cap/(time+1)*AK$2, 0) = 0, $K98/(time_cap),0)),0)</f>
        <v/>
      </c>
      <c r="AL98" s="4395">
        <f>IFERROR(IF((time+time_cap)&lt;AL$2, 0,IF(AND(time+1&gt;=AM$2, $E98&lt;AM$2), IF($I98= "I", $J98/($F98-$E98+1), $J98/(($F98*($F98+1)/2)-(($E98-1)*($E98-1+1)/2))*AL$2), 0)+IF(IF(time+1&gt;=AM$2, $K98/time_cap/(time+1)*AL$2, 0) = 0, $K98/(time_cap),0)),0)</f>
        <v/>
      </c>
      <c r="AM98" s="4395">
        <f>IFERROR(IF((time+time_cap)&lt;AM$2, 0,IF(AND(time+1&gt;=AN$2, $E98&lt;AN$2), IF($I98= "I", $J98/($F98-$E98+1), $J98/(($F98*($F98+1)/2)-(($E98-1)*($E98-1+1)/2))*AM$2), 0)+IF(IF(time+1&gt;=AN$2, $K98/time_cap/(time+1)*AM$2, 0) = 0, $K98/(time_cap),0)),0)</f>
        <v/>
      </c>
      <c r="AN98" s="4395">
        <f>IFERROR(IF((time+time_cap)&lt;AN$2, 0,IF(AND(time+1&gt;=AO$2, $E98&lt;AO$2), IF($I98= "I", $J98/($F98-$E98+1), $J98/(($F98*($F98+1)/2)-(($E98-1)*($E98-1+1)/2))*AN$2), 0)+IF(IF(time+1&gt;=AO$2, $K98/time_cap/(time+1)*AN$2, 0) = 0, $K98/(time_cap),0)),0)</f>
        <v/>
      </c>
      <c r="AO98" s="4395">
        <f>IFERROR(IF((time+time_cap)&lt;AO$2, 0,IF(AND(time+1&gt;=AP$2, $E98&lt;AP$2), IF($I98= "I", $J98/($F98-$E98+1), $J98/(($F98*($F98+1)/2)-(($E98-1)*($E98-1+1)/2))*AO$2), 0)+IF(IF(time+1&gt;=AP$2, $K98/time_cap/(time+1)*AO$2, 0) = 0, $K98/(time_cap),0)),0)</f>
        <v/>
      </c>
      <c r="AP98" s="4395">
        <f>IFERROR(IF((time+time_cap)&lt;AP$2, 0,IF(AND(time+1&gt;=AQ$2, $E98&lt;AQ$2), IF($I98= "I", $J98/($F98-$E98+1), $J98/(($F98*($F98+1)/2)-(($E98-1)*($E98-1+1)/2))*AP$2), 0)+IF(IF(time+1&gt;=AQ$2, $K98/time_cap/(time+1)*AP$2, 0) = 0, $K98/(time_cap),0)),0)</f>
        <v/>
      </c>
      <c r="AQ98" s="4395">
        <f>IFERROR(IF((time+time_cap)&lt;AQ$2, 0,IF(AND(time+1&gt;=AR$2, $E98&lt;AR$2), IF($I98= "I", $J98/($F98-$E98+1), $J98/(($F98*($F98+1)/2)-(($E98-1)*($E98-1+1)/2))*AQ$2), 0)+IF(IF(time+1&gt;=AR$2, $K98/time_cap/(time+1)*AQ$2, 0) = 0, $K98/(time_cap),0)),0)</f>
        <v/>
      </c>
      <c r="AR98" s="4395">
        <f>IFERROR(IF((time+time_cap)&lt;AR$2, 0,IF(AND(time+1&gt;=AS$2, $E98&lt;AS$2), IF($I98= "I", $J98/($F98-$E98+1), $J98/(($F98*($F98+1)/2)-(($E98-1)*($E98-1+1)/2))*AR$2), 0)+IF(IF(time+1&gt;=AS$2, $K98/time_cap/(time+1)*AR$2, 0) = 0, $K98/(time_cap),0)),0)</f>
        <v/>
      </c>
      <c r="AS98" s="4395">
        <f>IFERROR(IF((time+time_cap)&lt;AS$2, 0,IF(AND(time+1&gt;=AT$2, $E98&lt;AT$2), IF($I98= "I", $J98/($F98-$E98+1), $J98/(($F98*($F98+1)/2)-(($E98-1)*($E98-1+1)/2))*AS$2), 0)+IF(IF(time+1&gt;=AT$2, $K98/time_cap/(time+1)*AS$2, 0) = 0, $K98/(time_cap),0)),0)</f>
        <v/>
      </c>
      <c r="AT98" s="4395">
        <f>IFERROR(IF((time+time_cap)&lt;AT$2, 0,IF(AND(time+1&gt;=AU$2, $E98&lt;AU$2), IF($I98= "I", $J98/($F98-$E98+1), $J98/(($F98*($F98+1)/2)-(($E98-1)*($E98-1+1)/2))*AT$2), 0)+IF(IF(time+1&gt;=AU$2, $K98/time_cap/(time+1)*AT$2, 0) = 0, $K98/(time_cap),0)),0)</f>
        <v/>
      </c>
      <c r="AU98" s="4395">
        <f>IFERROR(IF((time+time_cap)&lt;AU$2, 0,IF(AND(time+1&gt;=AV$2, $E98&lt;AV$2), IF($I98= "I", $J98/($F98-$E98+1), $J98/(($F98*($F98+1)/2)-(($E98-1)*($E98-1+1)/2))*AU$2), 0)+IF(IF(time+1&gt;=AV$2, $K98/time_cap/(time+1)*AU$2, 0) = 0, $K98/(time_cap),0)),0)</f>
        <v/>
      </c>
      <c r="AV98" s="4395">
        <f>IFERROR(IF((time+time_cap)&lt;AV$2, 0,IF(AND(time+1&gt;=AW$2, $E98&lt;AW$2), IF($I98= "I", $J98/($F98-$E98+1), $J98/(($F98*($F98+1)/2)-(($E98-1)*($E98-1+1)/2))*AV$2), 0)+IF(IF(time+1&gt;=AW$2, $K98/time_cap/(time+1)*AV$2, 0) = 0, $K98/(time_cap),0)),0)</f>
        <v/>
      </c>
      <c r="AW98" s="4395">
        <f>IFERROR(IF((time+time_cap)&lt;AW$2, 0,IF(AND(time+1&gt;=AX$2, $E98&lt;AX$2), IF($I98= "I", $J98/($F98-$E98+1), $J98/(($F98*($F98+1)/2)-(($E98-1)*($E98-1+1)/2))*AW$2), 0)+IF(IF(time+1&gt;=AX$2, $K98/time_cap/(time+1)*AW$2, 0) = 0, $K98/(time_cap),0)),0)</f>
        <v/>
      </c>
      <c r="AX98" s="4395">
        <f>IFERROR(IF((time+time_cap)&lt;AX$2, 0,IF(AND(time+1&gt;=AY$2, $E98&lt;AY$2), IF($I98= "I", $J98/($F98-$E98+1), $J98/(($F98*($F98+1)/2)-(($E98-1)*($E98-1+1)/2))*AX$2), 0)+IF(IF(time+1&gt;=AY$2, $K98/time_cap/(time+1)*AX$2, 0) = 0, $K98/(time_cap),0)),0)</f>
        <v/>
      </c>
      <c r="AY98" s="4395">
        <f>IFERROR(IF((time+time_cap)&lt;AY$2, 0,IF(AND(time+1&gt;=AZ$2, $E98&lt;AZ$2), IF($I98= "I", $J98/($F98-$E98+1), $J98/(($F98*($F98+1)/2)-(($E98-1)*($E98-1+1)/2))*AY$2), 0)+IF(IF(time+1&gt;=AZ$2, $K98/time_cap/(time+1)*AY$2, 0) = 0, $K98/(time_cap),0)),0)</f>
        <v/>
      </c>
      <c r="AZ98" s="4395">
        <f>IFERROR(IF((time+time_cap)&lt;AZ$2, 0,IF(AND(time+1&gt;=BA$2, $E98&lt;BA$2), IF($I98= "I", $J98/($F98-$E98+1), $J98/(($F98*($F98+1)/2)-(($E98-1)*($E98-1+1)/2))*AZ$2), 0)+IF(IF(time+1&gt;=BA$2, $K98/time_cap/(time+1)*AZ$2, 0) = 0, $K98/(time_cap),0)),0)</f>
        <v/>
      </c>
      <c r="BA98" s="4395">
        <f>IFERROR(IF((time+time_cap)&lt;BA$2, 0,IF(AND(time+1&gt;=BB$2, $E98&lt;BB$2), IF($I98= "I", $J98/($F98-$E98+1), $J98/(($F98*($F98+1)/2)-(($E98-1)*($E98-1+1)/2))*BA$2), 0)+IF(IF(time+1&gt;=BB$2, $K98/time_cap/(time+1)*BA$2, 0) = 0, $K98/(time_cap),0)),0)</f>
        <v/>
      </c>
      <c r="BB98" s="4395">
        <f>IFERROR(IF((time+time_cap)&lt;BB$2, 0,IF(AND(time+1&gt;=BC$2, $E98&lt;BC$2), IF($I98= "I", $J98/($F98-$E98+1), $J98/(($F98*($F98+1)/2)-(($E98-1)*($E98-1+1)/2))*BB$2), 0)+IF(IF(time+1&gt;=BC$2, $K98/time_cap/(time+1)*BB$2, 0) = 0, $K98/(time_cap),0)),0)</f>
        <v/>
      </c>
      <c r="BC98" s="4395">
        <f>IFERROR(IF((time+time_cap)&lt;BC$2, 0,IF(AND(time+1&gt;=BD$2, $E98&lt;BD$2), IF($I98= "I", $J98/($F98-$E98+1), $J98/(($F98*($F98+1)/2)-(($E98-1)*($E98-1+1)/2))*BC$2), 0)+IF(IF(time+1&gt;=BD$2, $K98/time_cap/(time+1)*BC$2, 0) = 0, $K98/(time_cap),0)),0)</f>
        <v/>
      </c>
      <c r="BD98" s="4395">
        <f>IFERROR(IF((time+time_cap)&lt;BD$2, 0,IF(AND(time+1&gt;=BE$2, $E98&lt;BE$2), IF($I98= "I", $J98/($F98-$E98+1), $J98/(($F98*($F98+1)/2)-(($E98-1)*($E98-1+1)/2))*BD$2), 0)+IF(IF(time+1&gt;=BE$2, $K98/time_cap/(time+1)*BD$2, 0) = 0, $K98/(time_cap),0)),0)</f>
        <v/>
      </c>
      <c r="BE98" s="4395">
        <f>IFERROR(IF((time+time_cap)&lt;BE$2, 0,IF(AND(time+1&gt;=BF$2, $E98&lt;BF$2), IF($I98= "I", $J98/($F98-$E98+1), $J98/(($F98*($F98+1)/2)-(($E98-1)*($E98-1+1)/2))*BE$2), 0)+IF(IF(time+1&gt;=BF$2, $K98/time_cap/(time+1)*BE$2, 0) = 0, $K98/(time_cap),0)),0)</f>
        <v/>
      </c>
      <c r="BF98" s="4395">
        <f>IFERROR(IF((time+time_cap)&lt;BF$2, 0,IF(AND(time+1&gt;=BG$2, $E98&lt;BG$2), IF($I98= "I", $J98/($F98-$E98+1), $J98/(($F98*($F98+1)/2)-(($E98-1)*($E98-1+1)/2))*BF$2), 0)+IF(IF(time+1&gt;=BG$2, $K98/time_cap/(time+1)*BF$2, 0) = 0, $K98/(time_cap),0)),0)</f>
        <v/>
      </c>
      <c r="BG98" s="4395">
        <f>IFERROR(IF((time+time_cap)&lt;BG$2, 0,IF(AND(time+1&gt;=BH$2, $E98&lt;BH$2), IF($I98= "I", $J98/($F98-$E98+1), $J98/(($F98*($F98+1)/2)-(($E98-1)*($E98-1+1)/2))*BG$2), 0)+IF(IF(time+1&gt;=BH$2, $K98/time_cap/(time+1)*BG$2, 0) = 0, $K98/(time_cap),0)),0)</f>
        <v/>
      </c>
      <c r="BH98" s="4395">
        <f>IFERROR(IF((time+time_cap)&lt;BH$2, 0,IF(AND(time+1&gt;=BI$2, $E98&lt;BI$2), IF($I98= "I", $J98/($F98-$E98+1), $J98/(($F98*($F98+1)/2)-(($E98-1)*($E98-1+1)/2))*BH$2), 0)+IF(IF(time+1&gt;=BI$2, $K98/time_cap/(time+1)*BH$2, 0) = 0, $K98/(time_cap),0)),0)</f>
        <v/>
      </c>
      <c r="BI98" s="4395">
        <f>IFERROR(IF((time+time_cap)&lt;BI$2, 0,IF(AND(time+1&gt;=BJ$2, $E98&lt;BJ$2), IF($I98= "I", $J98/($F98-$E98+1), $J98/(($F98*($F98+1)/2)-(($E98-1)*($E98-1+1)/2))*BI$2), 0)+IF(IF(time+1&gt;=BJ$2, $K98/time_cap/(time+1)*BI$2, 0) = 0, $K98/(time_cap),0)),0)</f>
        <v/>
      </c>
      <c r="BJ98" s="4395">
        <f>IFERROR(IF((time+time_cap)&lt;BJ$2, 0,IF(AND(time+1&gt;=BK$2, $E98&lt;BK$2), IF($I98= "I", $J98/($F98-$E98+1), $J98/(($F98*($F98+1)/2)-(($E98-1)*($E98-1+1)/2))*BJ$2), 0)+IF(IF(time+1&gt;=BK$2, $K98/time_cap/(time+1)*BJ$2, 0) = 0, $K98/(time_cap),0)),0)</f>
        <v/>
      </c>
      <c r="BK98" s="4395" t="n"/>
      <c r="BL98" s="4395" t="n"/>
      <c r="BM98" s="4395" t="n"/>
      <c r="BN98" s="4395" t="n"/>
      <c r="BO98" s="4395" t="n"/>
      <c r="BP98" s="4395" t="n"/>
      <c r="BQ98" s="4395" t="n"/>
      <c r="BR98" s="4395" t="n"/>
      <c r="BS98" s="4395" t="n"/>
      <c r="BT98" s="4395" t="n"/>
      <c r="BU98" s="4395" t="n"/>
      <c r="BV98" s="4395" t="n"/>
      <c r="BW98" s="4395" t="n"/>
      <c r="BX98" s="4395" t="n"/>
      <c r="BY98" s="4395" t="n"/>
      <c r="BZ98" s="4395" t="n"/>
      <c r="CA98" s="4395" t="n"/>
      <c r="CB98" s="4395" t="n"/>
      <c r="CC98" s="4395" t="n"/>
      <c r="CD98" s="4395" t="n"/>
      <c r="CE98" s="4395" t="n"/>
      <c r="CF98" s="4395" t="n"/>
      <c r="CG98" s="4395" t="n"/>
      <c r="CH98" s="4395" t="n"/>
      <c r="CI98" s="4395" t="n"/>
      <c r="CJ98" s="4395" t="n"/>
      <c r="CK98" s="4395" t="n"/>
      <c r="CL98" s="4395" t="n"/>
      <c r="CM98" s="4395" t="n"/>
      <c r="CN98" s="4395" t="n"/>
      <c r="CO98" s="4395" t="n"/>
      <c r="CP98" s="4395" t="n"/>
      <c r="CQ98" s="4395" t="n"/>
      <c r="CR98" s="4395" t="n"/>
      <c r="CS98" s="4395" t="n"/>
      <c r="CT98" s="4395" t="n"/>
      <c r="CU98" s="4395" t="n"/>
      <c r="CV98" s="4395" t="n"/>
      <c r="CW98" s="4395" t="n"/>
      <c r="CX98" s="4395" t="n"/>
      <c r="CY98" s="4395" t="n"/>
      <c r="CZ98" s="4395" t="n"/>
      <c r="DA98" s="4395" t="n"/>
      <c r="DB98" s="4395" t="n"/>
      <c r="DC98" s="4395" t="n"/>
      <c r="DD98" s="4395" t="n"/>
      <c r="DE98" s="4395" t="n"/>
      <c r="DF98" s="4395" t="n"/>
      <c r="DG98" s="4395" t="n"/>
      <c r="DH98" s="4395" t="n"/>
    </row>
    <row r="99" ht="16" customHeight="1">
      <c r="A99" t="inlineStr">
        <is>
          <t>Livestock</t>
        </is>
      </c>
      <c r="B99">
        <f>'4.Grassland'!E62</f>
        <v/>
      </c>
      <c r="C99">
        <f>'4.Grassland'!I62</f>
        <v/>
      </c>
      <c r="D99">
        <f>'4.Grassland'!AG62</f>
        <v/>
      </c>
      <c r="E99">
        <f>IF('4.Grassland'!CG62&lt;&gt;0,'4.Grassland'!CG62, '4.Grassland'!CF62)</f>
        <v/>
      </c>
      <c r="F99">
        <f>time</f>
        <v/>
      </c>
      <c r="G99" s="4395">
        <f>'4.Grassland'!Y62</f>
        <v/>
      </c>
      <c r="H99" s="4395">
        <f>'4.Grassland'!AA62</f>
        <v/>
      </c>
      <c r="I99" s="4395">
        <f>IF(OR(H99="I", G99="I"), "I", IF(OR(H99="E", G99="E"), "E", "D"))</f>
        <v/>
      </c>
      <c r="J99" s="4395">
        <f>((D99/(time_cap+((F99-E99+1)*VLOOKUP(I99,list!$I$48:$K$50,3, FALSE))))*(F99-E99+1)*VLOOKUP(I99,list!$I$48:$K$50,3, FALSE))</f>
        <v/>
      </c>
      <c r="K99" s="4395">
        <f>((D99/(time_cap+((F99-E99+1)*VLOOKUP(I99,list!$I$48:$K$50,3, FALSE))))*time_cap)</f>
        <v/>
      </c>
      <c r="M99" s="4395">
        <f>IFERROR(IF((time+time_cap)&lt;M$2, 0,IF(AND(time+1&gt;=N$2, $E99&lt;N$2), IF($I99= "I", $J99/($F99-$E99+1), $J99/(($F99*($F99+1)/2)-(($E99-1)*($E99-1+1)/2))*M$2), 0)+IF(IF(time+1&gt;=N$2, $K99/time_cap/(time+1)*M$2, 0) = 0, $K99/(time_cap),0)),0)</f>
        <v/>
      </c>
      <c r="N99" s="4395">
        <f>IFERROR(IF((time+time_cap)&lt;N$2, 0,IF(AND(time+1&gt;=O$2, $E99&lt;O$2), IF($I99= "I", $J99/($F99-$E99+1), $J99/(($F99*($F99+1)/2)-(($E99-1)*($E99-1+1)/2))*N$2), 0)+IF(IF(time+1&gt;=O$2, $K99/time_cap/(time+1)*N$2, 0) = 0, $K99/(time_cap),0)),0)</f>
        <v/>
      </c>
      <c r="O99" s="4395">
        <f>IFERROR(IF((time+time_cap)&lt;O$2, 0,IF(AND(time+1&gt;=P$2, $E99&lt;P$2), IF($I99= "I", $J99/($F99-$E99+1), $J99/(($F99*($F99+1)/2)-(($E99-1)*($E99-1+1)/2))*O$2), 0)+IF(IF(time+1&gt;=P$2, $K99/time_cap/(time+1)*O$2, 0) = 0, $K99/(time_cap),0)),0)</f>
        <v/>
      </c>
      <c r="P99" s="4395">
        <f>IFERROR(IF((time+time_cap)&lt;P$2, 0,IF(AND(time+1&gt;=Q$2, $E99&lt;Q$2), IF($I99= "I", $J99/($F99-$E99+1), $J99/(($F99*($F99+1)/2)-(($E99-1)*($E99-1+1)/2))*P$2), 0)+IF(IF(time+1&gt;=Q$2, $K99/time_cap/(time+1)*P$2, 0) = 0, $K99/(time_cap),0)),0)</f>
        <v/>
      </c>
      <c r="Q99" s="4395">
        <f>IFERROR(IF((time+time_cap)&lt;Q$2, 0,IF(AND(time+1&gt;=R$2, $E99&lt;R$2), IF($I99= "I", $J99/($F99-$E99+1), $J99/(($F99*($F99+1)/2)-(($E99-1)*($E99-1+1)/2))*Q$2), 0)+IF(IF(time+1&gt;=R$2, $K99/time_cap/(time+1)*Q$2, 0) = 0, $K99/(time_cap),0)),0)</f>
        <v/>
      </c>
      <c r="R99" s="4395">
        <f>IFERROR(IF((time+time_cap)&lt;R$2, 0,IF(AND(time+1&gt;=S$2, $E99&lt;S$2), IF($I99= "I", $J99/($F99-$E99+1), $J99/(($F99*($F99+1)/2)-(($E99-1)*($E99-1+1)/2))*R$2), 0)+IF(IF(time+1&gt;=S$2, $K99/time_cap/(time+1)*R$2, 0) = 0, $K99/(time_cap),0)),0)</f>
        <v/>
      </c>
      <c r="S99" s="4395">
        <f>IFERROR(IF((time+time_cap)&lt;S$2, 0,IF(AND(time+1&gt;=T$2, $E99&lt;T$2), IF($I99= "I", $J99/($F99-$E99+1), $J99/(($F99*($F99+1)/2)-(($E99-1)*($E99-1+1)/2))*S$2), 0)+IF(IF(time+1&gt;=T$2, $K99/time_cap/(time+1)*S$2, 0) = 0, $K99/(time_cap),0)),0)</f>
        <v/>
      </c>
      <c r="T99" s="4395">
        <f>IFERROR(IF((time+time_cap)&lt;T$2, 0,IF(AND(time+1&gt;=U$2, $E99&lt;U$2), IF($I99= "I", $J99/($F99-$E99+1), $J99/(($F99*($F99+1)/2)-(($E99-1)*($E99-1+1)/2))*T$2), 0)+IF(IF(time+1&gt;=U$2, $K99/time_cap/(time+1)*T$2, 0) = 0, $K99/(time_cap),0)),0)</f>
        <v/>
      </c>
      <c r="U99" s="4395">
        <f>IFERROR(IF((time+time_cap)&lt;U$2, 0,IF(AND(time+1&gt;=V$2, $E99&lt;V$2), IF($I99= "I", $J99/($F99-$E99+1), $J99/(($F99*($F99+1)/2)-(($E99-1)*($E99-1+1)/2))*U$2), 0)+IF(IF(time+1&gt;=V$2, $K99/time_cap/(time+1)*U$2, 0) = 0, $K99/(time_cap),0)),0)</f>
        <v/>
      </c>
      <c r="V99" s="4395">
        <f>IFERROR(IF((time+time_cap)&lt;V$2, 0,IF(AND(time+1&gt;=W$2, $E99&lt;W$2), IF($I99= "I", $J99/($F99-$E99+1), $J99/(($F99*($F99+1)/2)-(($E99-1)*($E99-1+1)/2))*V$2), 0)+IF(IF(time+1&gt;=W$2, $K99/time_cap/(time+1)*V$2, 0) = 0, $K99/(time_cap),0)),0)</f>
        <v/>
      </c>
      <c r="W99" s="4395">
        <f>IFERROR(IF((time+time_cap)&lt;W$2, 0,IF(AND(time+1&gt;=X$2, $E99&lt;X$2), IF($I99= "I", $J99/($F99-$E99+1), $J99/(($F99*($F99+1)/2)-(($E99-1)*($E99-1+1)/2))*W$2), 0)+IF(IF(time+1&gt;=X$2, $K99/time_cap/(time+1)*W$2, 0) = 0, $K99/(time_cap),0)),0)</f>
        <v/>
      </c>
      <c r="X99" s="4395">
        <f>IFERROR(IF((time+time_cap)&lt;X$2, 0,IF(AND(time+1&gt;=Y$2, $E99&lt;Y$2), IF($I99= "I", $J99/($F99-$E99+1), $J99/(($F99*($F99+1)/2)-(($E99-1)*($E99-1+1)/2))*X$2), 0)+IF(IF(time+1&gt;=Y$2, $K99/time_cap/(time+1)*X$2, 0) = 0, $K99/(time_cap),0)),0)</f>
        <v/>
      </c>
      <c r="Y99" s="4395">
        <f>IFERROR(IF((time+time_cap)&lt;Y$2, 0,IF(AND(time+1&gt;=Z$2, $E99&lt;Z$2), IF($I99= "I", $J99/($F99-$E99+1), $J99/(($F99*($F99+1)/2)-(($E99-1)*($E99-1+1)/2))*Y$2), 0)+IF(IF(time+1&gt;=Z$2, $K99/time_cap/(time+1)*Y$2, 0) = 0, $K99/(time_cap),0)),0)</f>
        <v/>
      </c>
      <c r="Z99" s="4395">
        <f>IFERROR(IF((time+time_cap)&lt;Z$2, 0,IF(AND(time+1&gt;=AA$2, $E99&lt;AA$2), IF($I99= "I", $J99/($F99-$E99+1), $J99/(($F99*($F99+1)/2)-(($E99-1)*($E99-1+1)/2))*Z$2), 0)+IF(IF(time+1&gt;=AA$2, $K99/time_cap/(time+1)*Z$2, 0) = 0, $K99/(time_cap),0)),0)</f>
        <v/>
      </c>
      <c r="AA99" s="4395">
        <f>IFERROR(IF((time+time_cap)&lt;AA$2, 0,IF(AND(time+1&gt;=AB$2, $E99&lt;AB$2), IF($I99= "I", $J99/($F99-$E99+1), $J99/(($F99*($F99+1)/2)-(($E99-1)*($E99-1+1)/2))*AA$2), 0)+IF(IF(time+1&gt;=AB$2, $K99/time_cap/(time+1)*AA$2, 0) = 0, $K99/(time_cap),0)),0)</f>
        <v/>
      </c>
      <c r="AB99" s="4395">
        <f>IFERROR(IF((time+time_cap)&lt;AB$2, 0,IF(AND(time+1&gt;=AC$2, $E99&lt;AC$2), IF($I99= "I", $J99/($F99-$E99+1), $J99/(($F99*($F99+1)/2)-(($E99-1)*($E99-1+1)/2))*AB$2), 0)+IF(IF(time+1&gt;=AC$2, $K99/time_cap/(time+1)*AB$2, 0) = 0, $K99/(time_cap),0)),0)</f>
        <v/>
      </c>
      <c r="AC99" s="4395">
        <f>IFERROR(IF((time+time_cap)&lt;AC$2, 0,IF(AND(time+1&gt;=AD$2, $E99&lt;AD$2), IF($I99= "I", $J99/($F99-$E99+1), $J99/(($F99*($F99+1)/2)-(($E99-1)*($E99-1+1)/2))*AC$2), 0)+IF(IF(time+1&gt;=AD$2, $K99/time_cap/(time+1)*AC$2, 0) = 0, $K99/(time_cap),0)),0)</f>
        <v/>
      </c>
      <c r="AD99" s="4395">
        <f>IFERROR(IF((time+time_cap)&lt;AD$2, 0,IF(AND(time+1&gt;=AE$2, $E99&lt;AE$2), IF($I99= "I", $J99/($F99-$E99+1), $J99/(($F99*($F99+1)/2)-(($E99-1)*($E99-1+1)/2))*AD$2), 0)+IF(IF(time+1&gt;=AE$2, $K99/time_cap/(time+1)*AD$2, 0) = 0, $K99/(time_cap),0)),0)</f>
        <v/>
      </c>
      <c r="AE99" s="4395">
        <f>IFERROR(IF((time+time_cap)&lt;AE$2, 0,IF(AND(time+1&gt;=AF$2, $E99&lt;AF$2), IF($I99= "I", $J99/($F99-$E99+1), $J99/(($F99*($F99+1)/2)-(($E99-1)*($E99-1+1)/2))*AE$2), 0)+IF(IF(time+1&gt;=AF$2, $K99/time_cap/(time+1)*AE$2, 0) = 0, $K99/(time_cap),0)),0)</f>
        <v/>
      </c>
      <c r="AF99" s="4395">
        <f>IFERROR(IF((time+time_cap)&lt;AF$2, 0,IF(AND(time+1&gt;=AG$2, $E99&lt;AG$2), IF($I99= "I", $J99/($F99-$E99+1), $J99/(($F99*($F99+1)/2)-(($E99-1)*($E99-1+1)/2))*AF$2), 0)+IF(IF(time+1&gt;=AG$2, $K99/time_cap/(time+1)*AF$2, 0) = 0, $K99/(time_cap),0)),0)</f>
        <v/>
      </c>
      <c r="AG99" s="4395">
        <f>IFERROR(IF((time+time_cap)&lt;AG$2, 0,IF(AND(time+1&gt;=AH$2, $E99&lt;AH$2), IF($I99= "I", $J99/($F99-$E99+1), $J99/(($F99*($F99+1)/2)-(($E99-1)*($E99-1+1)/2))*AG$2), 0)+IF(IF(time+1&gt;=AH$2, $K99/time_cap/(time+1)*AG$2, 0) = 0, $K99/(time_cap),0)),0)</f>
        <v/>
      </c>
      <c r="AH99" s="4395">
        <f>IFERROR(IF((time+time_cap)&lt;AH$2, 0,IF(AND(time+1&gt;=AI$2, $E99&lt;AI$2), IF($I99= "I", $J99/($F99-$E99+1), $J99/(($F99*($F99+1)/2)-(($E99-1)*($E99-1+1)/2))*AH$2), 0)+IF(IF(time+1&gt;=AI$2, $K99/time_cap/(time+1)*AH$2, 0) = 0, $K99/(time_cap),0)),0)</f>
        <v/>
      </c>
      <c r="AI99" s="4395">
        <f>IFERROR(IF((time+time_cap)&lt;AI$2, 0,IF(AND(time+1&gt;=AJ$2, $E99&lt;AJ$2), IF($I99= "I", $J99/($F99-$E99+1), $J99/(($F99*($F99+1)/2)-(($E99-1)*($E99-1+1)/2))*AI$2), 0)+IF(IF(time+1&gt;=AJ$2, $K99/time_cap/(time+1)*AI$2, 0) = 0, $K99/(time_cap),0)),0)</f>
        <v/>
      </c>
      <c r="AJ99" s="4395">
        <f>IFERROR(IF((time+time_cap)&lt;AJ$2, 0,IF(AND(time+1&gt;=AK$2, $E99&lt;AK$2), IF($I99= "I", $J99/($F99-$E99+1), $J99/(($F99*($F99+1)/2)-(($E99-1)*($E99-1+1)/2))*AJ$2), 0)+IF(IF(time+1&gt;=AK$2, $K99/time_cap/(time+1)*AJ$2, 0) = 0, $K99/(time_cap),0)),0)</f>
        <v/>
      </c>
      <c r="AK99" s="4395">
        <f>IFERROR(IF((time+time_cap)&lt;AK$2, 0,IF(AND(time+1&gt;=AL$2, $E99&lt;AL$2), IF($I99= "I", $J99/($F99-$E99+1), $J99/(($F99*($F99+1)/2)-(($E99-1)*($E99-1+1)/2))*AK$2), 0)+IF(IF(time+1&gt;=AL$2, $K99/time_cap/(time+1)*AK$2, 0) = 0, $K99/(time_cap),0)),0)</f>
        <v/>
      </c>
      <c r="AL99" s="4395">
        <f>IFERROR(IF((time+time_cap)&lt;AL$2, 0,IF(AND(time+1&gt;=AM$2, $E99&lt;AM$2), IF($I99= "I", $J99/($F99-$E99+1), $J99/(($F99*($F99+1)/2)-(($E99-1)*($E99-1+1)/2))*AL$2), 0)+IF(IF(time+1&gt;=AM$2, $K99/time_cap/(time+1)*AL$2, 0) = 0, $K99/(time_cap),0)),0)</f>
        <v/>
      </c>
      <c r="AM99" s="4395">
        <f>IFERROR(IF((time+time_cap)&lt;AM$2, 0,IF(AND(time+1&gt;=AN$2, $E99&lt;AN$2), IF($I99= "I", $J99/($F99-$E99+1), $J99/(($F99*($F99+1)/2)-(($E99-1)*($E99-1+1)/2))*AM$2), 0)+IF(IF(time+1&gt;=AN$2, $K99/time_cap/(time+1)*AM$2, 0) = 0, $K99/(time_cap),0)),0)</f>
        <v/>
      </c>
      <c r="AN99" s="4395">
        <f>IFERROR(IF((time+time_cap)&lt;AN$2, 0,IF(AND(time+1&gt;=AO$2, $E99&lt;AO$2), IF($I99= "I", $J99/($F99-$E99+1), $J99/(($F99*($F99+1)/2)-(($E99-1)*($E99-1+1)/2))*AN$2), 0)+IF(IF(time+1&gt;=AO$2, $K99/time_cap/(time+1)*AN$2, 0) = 0, $K99/(time_cap),0)),0)</f>
        <v/>
      </c>
      <c r="AO99" s="4395">
        <f>IFERROR(IF((time+time_cap)&lt;AO$2, 0,IF(AND(time+1&gt;=AP$2, $E99&lt;AP$2), IF($I99= "I", $J99/($F99-$E99+1), $J99/(($F99*($F99+1)/2)-(($E99-1)*($E99-1+1)/2))*AO$2), 0)+IF(IF(time+1&gt;=AP$2, $K99/time_cap/(time+1)*AO$2, 0) = 0, $K99/(time_cap),0)),0)</f>
        <v/>
      </c>
      <c r="AP99" s="4395">
        <f>IFERROR(IF((time+time_cap)&lt;AP$2, 0,IF(AND(time+1&gt;=AQ$2, $E99&lt;AQ$2), IF($I99= "I", $J99/($F99-$E99+1), $J99/(($F99*($F99+1)/2)-(($E99-1)*($E99-1+1)/2))*AP$2), 0)+IF(IF(time+1&gt;=AQ$2, $K99/time_cap/(time+1)*AP$2, 0) = 0, $K99/(time_cap),0)),0)</f>
        <v/>
      </c>
      <c r="AQ99" s="4395">
        <f>IFERROR(IF((time+time_cap)&lt;AQ$2, 0,IF(AND(time+1&gt;=AR$2, $E99&lt;AR$2), IF($I99= "I", $J99/($F99-$E99+1), $J99/(($F99*($F99+1)/2)-(($E99-1)*($E99-1+1)/2))*AQ$2), 0)+IF(IF(time+1&gt;=AR$2, $K99/time_cap/(time+1)*AQ$2, 0) = 0, $K99/(time_cap),0)),0)</f>
        <v/>
      </c>
      <c r="AR99" s="4395">
        <f>IFERROR(IF((time+time_cap)&lt;AR$2, 0,IF(AND(time+1&gt;=AS$2, $E99&lt;AS$2), IF($I99= "I", $J99/($F99-$E99+1), $J99/(($F99*($F99+1)/2)-(($E99-1)*($E99-1+1)/2))*AR$2), 0)+IF(IF(time+1&gt;=AS$2, $K99/time_cap/(time+1)*AR$2, 0) = 0, $K99/(time_cap),0)),0)</f>
        <v/>
      </c>
      <c r="AS99" s="4395">
        <f>IFERROR(IF((time+time_cap)&lt;AS$2, 0,IF(AND(time+1&gt;=AT$2, $E99&lt;AT$2), IF($I99= "I", $J99/($F99-$E99+1), $J99/(($F99*($F99+1)/2)-(($E99-1)*($E99-1+1)/2))*AS$2), 0)+IF(IF(time+1&gt;=AT$2, $K99/time_cap/(time+1)*AS$2, 0) = 0, $K99/(time_cap),0)),0)</f>
        <v/>
      </c>
      <c r="AT99" s="4395">
        <f>IFERROR(IF((time+time_cap)&lt;AT$2, 0,IF(AND(time+1&gt;=AU$2, $E99&lt;AU$2), IF($I99= "I", $J99/($F99-$E99+1), $J99/(($F99*($F99+1)/2)-(($E99-1)*($E99-1+1)/2))*AT$2), 0)+IF(IF(time+1&gt;=AU$2, $K99/time_cap/(time+1)*AT$2, 0) = 0, $K99/(time_cap),0)),0)</f>
        <v/>
      </c>
      <c r="AU99" s="4395">
        <f>IFERROR(IF((time+time_cap)&lt;AU$2, 0,IF(AND(time+1&gt;=AV$2, $E99&lt;AV$2), IF($I99= "I", $J99/($F99-$E99+1), $J99/(($F99*($F99+1)/2)-(($E99-1)*($E99-1+1)/2))*AU$2), 0)+IF(IF(time+1&gt;=AV$2, $K99/time_cap/(time+1)*AU$2, 0) = 0, $K99/(time_cap),0)),0)</f>
        <v/>
      </c>
      <c r="AV99" s="4395">
        <f>IFERROR(IF((time+time_cap)&lt;AV$2, 0,IF(AND(time+1&gt;=AW$2, $E99&lt;AW$2), IF($I99= "I", $J99/($F99-$E99+1), $J99/(($F99*($F99+1)/2)-(($E99-1)*($E99-1+1)/2))*AV$2), 0)+IF(IF(time+1&gt;=AW$2, $K99/time_cap/(time+1)*AV$2, 0) = 0, $K99/(time_cap),0)),0)</f>
        <v/>
      </c>
      <c r="AW99" s="4395">
        <f>IFERROR(IF((time+time_cap)&lt;AW$2, 0,IF(AND(time+1&gt;=AX$2, $E99&lt;AX$2), IF($I99= "I", $J99/($F99-$E99+1), $J99/(($F99*($F99+1)/2)-(($E99-1)*($E99-1+1)/2))*AW$2), 0)+IF(IF(time+1&gt;=AX$2, $K99/time_cap/(time+1)*AW$2, 0) = 0, $K99/(time_cap),0)),0)</f>
        <v/>
      </c>
      <c r="AX99" s="4395">
        <f>IFERROR(IF((time+time_cap)&lt;AX$2, 0,IF(AND(time+1&gt;=AY$2, $E99&lt;AY$2), IF($I99= "I", $J99/($F99-$E99+1), $J99/(($F99*($F99+1)/2)-(($E99-1)*($E99-1+1)/2))*AX$2), 0)+IF(IF(time+1&gt;=AY$2, $K99/time_cap/(time+1)*AX$2, 0) = 0, $K99/(time_cap),0)),0)</f>
        <v/>
      </c>
      <c r="AY99" s="4395">
        <f>IFERROR(IF((time+time_cap)&lt;AY$2, 0,IF(AND(time+1&gt;=AZ$2, $E99&lt;AZ$2), IF($I99= "I", $J99/($F99-$E99+1), $J99/(($F99*($F99+1)/2)-(($E99-1)*($E99-1+1)/2))*AY$2), 0)+IF(IF(time+1&gt;=AZ$2, $K99/time_cap/(time+1)*AY$2, 0) = 0, $K99/(time_cap),0)),0)</f>
        <v/>
      </c>
      <c r="AZ99" s="4395">
        <f>IFERROR(IF((time+time_cap)&lt;AZ$2, 0,IF(AND(time+1&gt;=BA$2, $E99&lt;BA$2), IF($I99= "I", $J99/($F99-$E99+1), $J99/(($F99*($F99+1)/2)-(($E99-1)*($E99-1+1)/2))*AZ$2), 0)+IF(IF(time+1&gt;=BA$2, $K99/time_cap/(time+1)*AZ$2, 0) = 0, $K99/(time_cap),0)),0)</f>
        <v/>
      </c>
      <c r="BA99" s="4395">
        <f>IFERROR(IF((time+time_cap)&lt;BA$2, 0,IF(AND(time+1&gt;=BB$2, $E99&lt;BB$2), IF($I99= "I", $J99/($F99-$E99+1), $J99/(($F99*($F99+1)/2)-(($E99-1)*($E99-1+1)/2))*BA$2), 0)+IF(IF(time+1&gt;=BB$2, $K99/time_cap/(time+1)*BA$2, 0) = 0, $K99/(time_cap),0)),0)</f>
        <v/>
      </c>
      <c r="BB99" s="4395">
        <f>IFERROR(IF((time+time_cap)&lt;BB$2, 0,IF(AND(time+1&gt;=BC$2, $E99&lt;BC$2), IF($I99= "I", $J99/($F99-$E99+1), $J99/(($F99*($F99+1)/2)-(($E99-1)*($E99-1+1)/2))*BB$2), 0)+IF(IF(time+1&gt;=BC$2, $K99/time_cap/(time+1)*BB$2, 0) = 0, $K99/(time_cap),0)),0)</f>
        <v/>
      </c>
      <c r="BC99" s="4395">
        <f>IFERROR(IF((time+time_cap)&lt;BC$2, 0,IF(AND(time+1&gt;=BD$2, $E99&lt;BD$2), IF($I99= "I", $J99/($F99-$E99+1), $J99/(($F99*($F99+1)/2)-(($E99-1)*($E99-1+1)/2))*BC$2), 0)+IF(IF(time+1&gt;=BD$2, $K99/time_cap/(time+1)*BC$2, 0) = 0, $K99/(time_cap),0)),0)</f>
        <v/>
      </c>
      <c r="BD99" s="4395">
        <f>IFERROR(IF((time+time_cap)&lt;BD$2, 0,IF(AND(time+1&gt;=BE$2, $E99&lt;BE$2), IF($I99= "I", $J99/($F99-$E99+1), $J99/(($F99*($F99+1)/2)-(($E99-1)*($E99-1+1)/2))*BD$2), 0)+IF(IF(time+1&gt;=BE$2, $K99/time_cap/(time+1)*BD$2, 0) = 0, $K99/(time_cap),0)),0)</f>
        <v/>
      </c>
      <c r="BE99" s="4395">
        <f>IFERROR(IF((time+time_cap)&lt;BE$2, 0,IF(AND(time+1&gt;=BF$2, $E99&lt;BF$2), IF($I99= "I", $J99/($F99-$E99+1), $J99/(($F99*($F99+1)/2)-(($E99-1)*($E99-1+1)/2))*BE$2), 0)+IF(IF(time+1&gt;=BF$2, $K99/time_cap/(time+1)*BE$2, 0) = 0, $K99/(time_cap),0)),0)</f>
        <v/>
      </c>
      <c r="BF99" s="4395">
        <f>IFERROR(IF((time+time_cap)&lt;BF$2, 0,IF(AND(time+1&gt;=BG$2, $E99&lt;BG$2), IF($I99= "I", $J99/($F99-$E99+1), $J99/(($F99*($F99+1)/2)-(($E99-1)*($E99-1+1)/2))*BF$2), 0)+IF(IF(time+1&gt;=BG$2, $K99/time_cap/(time+1)*BF$2, 0) = 0, $K99/(time_cap),0)),0)</f>
        <v/>
      </c>
      <c r="BG99" s="4395">
        <f>IFERROR(IF((time+time_cap)&lt;BG$2, 0,IF(AND(time+1&gt;=BH$2, $E99&lt;BH$2), IF($I99= "I", $J99/($F99-$E99+1), $J99/(($F99*($F99+1)/2)-(($E99-1)*($E99-1+1)/2))*BG$2), 0)+IF(IF(time+1&gt;=BH$2, $K99/time_cap/(time+1)*BG$2, 0) = 0, $K99/(time_cap),0)),0)</f>
        <v/>
      </c>
      <c r="BH99" s="4395">
        <f>IFERROR(IF((time+time_cap)&lt;BH$2, 0,IF(AND(time+1&gt;=BI$2, $E99&lt;BI$2), IF($I99= "I", $J99/($F99-$E99+1), $J99/(($F99*($F99+1)/2)-(($E99-1)*($E99-1+1)/2))*BH$2), 0)+IF(IF(time+1&gt;=BI$2, $K99/time_cap/(time+1)*BH$2, 0) = 0, $K99/(time_cap),0)),0)</f>
        <v/>
      </c>
      <c r="BI99" s="4395">
        <f>IFERROR(IF((time+time_cap)&lt;BI$2, 0,IF(AND(time+1&gt;=BJ$2, $E99&lt;BJ$2), IF($I99= "I", $J99/($F99-$E99+1), $J99/(($F99*($F99+1)/2)-(($E99-1)*($E99-1+1)/2))*BI$2), 0)+IF(IF(time+1&gt;=BJ$2, $K99/time_cap/(time+1)*BI$2, 0) = 0, $K99/(time_cap),0)),0)</f>
        <v/>
      </c>
      <c r="BJ99" s="4395">
        <f>IFERROR(IF((time+time_cap)&lt;BJ$2, 0,IF(AND(time+1&gt;=BK$2, $E99&lt;BK$2), IF($I99= "I", $J99/($F99-$E99+1), $J99/(($F99*($F99+1)/2)-(($E99-1)*($E99-1+1)/2))*BJ$2), 0)+IF(IF(time+1&gt;=BK$2, $K99/time_cap/(time+1)*BJ$2, 0) = 0, $K99/(time_cap),0)),0)</f>
        <v/>
      </c>
      <c r="BK99" s="4395" t="n"/>
      <c r="BL99" s="4395" t="n"/>
      <c r="BM99" s="4395" t="n"/>
      <c r="BN99" s="4395" t="n"/>
      <c r="BO99" s="4395" t="n"/>
      <c r="BP99" s="4395" t="n"/>
      <c r="BQ99" s="4395" t="n"/>
      <c r="BR99" s="4395" t="n"/>
      <c r="BS99" s="4395" t="n"/>
      <c r="BT99" s="4395" t="n"/>
      <c r="BU99" s="4395" t="n"/>
      <c r="BV99" s="4395" t="n"/>
      <c r="BW99" s="4395" t="n"/>
      <c r="BX99" s="4395" t="n"/>
      <c r="BY99" s="4395" t="n"/>
      <c r="BZ99" s="4395" t="n"/>
      <c r="CA99" s="4395" t="n"/>
      <c r="CB99" s="4395" t="n"/>
      <c r="CC99" s="4395" t="n"/>
      <c r="CD99" s="4395" t="n"/>
      <c r="CE99" s="4395" t="n"/>
      <c r="CF99" s="4395" t="n"/>
      <c r="CG99" s="4395" t="n"/>
      <c r="CH99" s="4395" t="n"/>
      <c r="CI99" s="4395" t="n"/>
      <c r="CJ99" s="4395" t="n"/>
      <c r="CK99" s="4395" t="n"/>
      <c r="CL99" s="4395" t="n"/>
      <c r="CM99" s="4395" t="n"/>
      <c r="CN99" s="4395" t="n"/>
      <c r="CO99" s="4395" t="n"/>
      <c r="CP99" s="4395" t="n"/>
      <c r="CQ99" s="4395" t="n"/>
      <c r="CR99" s="4395" t="n"/>
      <c r="CS99" s="4395" t="n"/>
      <c r="CT99" s="4395" t="n"/>
      <c r="CU99" s="4395" t="n"/>
      <c r="CV99" s="4395" t="n"/>
      <c r="CW99" s="4395" t="n"/>
      <c r="CX99" s="4395" t="n"/>
      <c r="CY99" s="4395" t="n"/>
      <c r="CZ99" s="4395" t="n"/>
      <c r="DA99" s="4395" t="n"/>
      <c r="DB99" s="4395" t="n"/>
      <c r="DC99" s="4395" t="n"/>
      <c r="DD99" s="4395" t="n"/>
      <c r="DE99" s="4395" t="n"/>
      <c r="DF99" s="4395" t="n"/>
      <c r="DG99" s="4395" t="n"/>
      <c r="DH99" s="4395" t="n"/>
    </row>
    <row r="100" ht="16" customHeight="1">
      <c r="A100" t="inlineStr">
        <is>
          <t>Livestock</t>
        </is>
      </c>
      <c r="B100">
        <f>'4.Grassland'!E63</f>
        <v/>
      </c>
      <c r="C100">
        <f>'4.Grassland'!I63</f>
        <v/>
      </c>
      <c r="D100">
        <f>'4.Grassland'!AG63</f>
        <v/>
      </c>
      <c r="E100">
        <f>IF('4.Grassland'!CG63&lt;&gt;0,'4.Grassland'!CG63, '4.Grassland'!CF63)</f>
        <v/>
      </c>
      <c r="F100">
        <f>time</f>
        <v/>
      </c>
      <c r="G100" s="4395">
        <f>'4.Grassland'!Y63</f>
        <v/>
      </c>
      <c r="H100" s="4395">
        <f>'4.Grassland'!AA63</f>
        <v/>
      </c>
      <c r="I100" s="4395">
        <f>IF(OR(H100="I", G100="I"), "I", IF(OR(H100="E", G100="E"), "E", "D"))</f>
        <v/>
      </c>
      <c r="J100" s="4395">
        <f>((D100/(time_cap+((F100-E100+1)*VLOOKUP(I100,list!$I$48:$K$50,3, FALSE))))*(F100-E100+1)*VLOOKUP(I100,list!$I$48:$K$50,3, FALSE))</f>
        <v/>
      </c>
      <c r="K100" s="4395">
        <f>((D100/(time_cap+((F100-E100+1)*VLOOKUP(I100,list!$I$48:$K$50,3, FALSE))))*time_cap)</f>
        <v/>
      </c>
      <c r="M100" s="4395">
        <f>IFERROR(IF((time+time_cap)&lt;M$2, 0,IF(AND(time+1&gt;=N$2, $E100&lt;N$2), IF($I100= "I", $J100/($F100-$E100+1), $J100/(($F100*($F100+1)/2)-(($E100-1)*($E100-1+1)/2))*M$2), 0)+IF(IF(time+1&gt;=N$2, $K100/time_cap/(time+1)*M$2, 0) = 0, $K100/(time_cap),0)),0)</f>
        <v/>
      </c>
      <c r="N100" s="4395">
        <f>IFERROR(IF((time+time_cap)&lt;N$2, 0,IF(AND(time+1&gt;=O$2, $E100&lt;O$2), IF($I100= "I", $J100/($F100-$E100+1), $J100/(($F100*($F100+1)/2)-(($E100-1)*($E100-1+1)/2))*N$2), 0)+IF(IF(time+1&gt;=O$2, $K100/time_cap/(time+1)*N$2, 0) = 0, $K100/(time_cap),0)),0)</f>
        <v/>
      </c>
      <c r="O100" s="4395">
        <f>IFERROR(IF((time+time_cap)&lt;O$2, 0,IF(AND(time+1&gt;=P$2, $E100&lt;P$2), IF($I100= "I", $J100/($F100-$E100+1), $J100/(($F100*($F100+1)/2)-(($E100-1)*($E100-1+1)/2))*O$2), 0)+IF(IF(time+1&gt;=P$2, $K100/time_cap/(time+1)*O$2, 0) = 0, $K100/(time_cap),0)),0)</f>
        <v/>
      </c>
      <c r="P100" s="4395">
        <f>IFERROR(IF((time+time_cap)&lt;P$2, 0,IF(AND(time+1&gt;=Q$2, $E100&lt;Q$2), IF($I100= "I", $J100/($F100-$E100+1), $J100/(($F100*($F100+1)/2)-(($E100-1)*($E100-1+1)/2))*P$2), 0)+IF(IF(time+1&gt;=Q$2, $K100/time_cap/(time+1)*P$2, 0) = 0, $K100/(time_cap),0)),0)</f>
        <v/>
      </c>
      <c r="Q100" s="4395">
        <f>IFERROR(IF((time+time_cap)&lt;Q$2, 0,IF(AND(time+1&gt;=R$2, $E100&lt;R$2), IF($I100= "I", $J100/($F100-$E100+1), $J100/(($F100*($F100+1)/2)-(($E100-1)*($E100-1+1)/2))*Q$2), 0)+IF(IF(time+1&gt;=R$2, $K100/time_cap/(time+1)*Q$2, 0) = 0, $K100/(time_cap),0)),0)</f>
        <v/>
      </c>
      <c r="R100" s="4395">
        <f>IFERROR(IF((time+time_cap)&lt;R$2, 0,IF(AND(time+1&gt;=S$2, $E100&lt;S$2), IF($I100= "I", $J100/($F100-$E100+1), $J100/(($F100*($F100+1)/2)-(($E100-1)*($E100-1+1)/2))*R$2), 0)+IF(IF(time+1&gt;=S$2, $K100/time_cap/(time+1)*R$2, 0) = 0, $K100/(time_cap),0)),0)</f>
        <v/>
      </c>
      <c r="S100" s="4395">
        <f>IFERROR(IF((time+time_cap)&lt;S$2, 0,IF(AND(time+1&gt;=T$2, $E100&lt;T$2), IF($I100= "I", $J100/($F100-$E100+1), $J100/(($F100*($F100+1)/2)-(($E100-1)*($E100-1+1)/2))*S$2), 0)+IF(IF(time+1&gt;=T$2, $K100/time_cap/(time+1)*S$2, 0) = 0, $K100/(time_cap),0)),0)</f>
        <v/>
      </c>
      <c r="T100" s="4395">
        <f>IFERROR(IF((time+time_cap)&lt;T$2, 0,IF(AND(time+1&gt;=U$2, $E100&lt;U$2), IF($I100= "I", $J100/($F100-$E100+1), $J100/(($F100*($F100+1)/2)-(($E100-1)*($E100-1+1)/2))*T$2), 0)+IF(IF(time+1&gt;=U$2, $K100/time_cap/(time+1)*T$2, 0) = 0, $K100/(time_cap),0)),0)</f>
        <v/>
      </c>
      <c r="U100" s="4395">
        <f>IFERROR(IF((time+time_cap)&lt;U$2, 0,IF(AND(time+1&gt;=V$2, $E100&lt;V$2), IF($I100= "I", $J100/($F100-$E100+1), $J100/(($F100*($F100+1)/2)-(($E100-1)*($E100-1+1)/2))*U$2), 0)+IF(IF(time+1&gt;=V$2, $K100/time_cap/(time+1)*U$2, 0) = 0, $K100/(time_cap),0)),0)</f>
        <v/>
      </c>
      <c r="V100" s="4395">
        <f>IFERROR(IF((time+time_cap)&lt;V$2, 0,IF(AND(time+1&gt;=W$2, $E100&lt;W$2), IF($I100= "I", $J100/($F100-$E100+1), $J100/(($F100*($F100+1)/2)-(($E100-1)*($E100-1+1)/2))*V$2), 0)+IF(IF(time+1&gt;=W$2, $K100/time_cap/(time+1)*V$2, 0) = 0, $K100/(time_cap),0)),0)</f>
        <v/>
      </c>
      <c r="W100" s="4395">
        <f>IFERROR(IF((time+time_cap)&lt;W$2, 0,IF(AND(time+1&gt;=X$2, $E100&lt;X$2), IF($I100= "I", $J100/($F100-$E100+1), $J100/(($F100*($F100+1)/2)-(($E100-1)*($E100-1+1)/2))*W$2), 0)+IF(IF(time+1&gt;=X$2, $K100/time_cap/(time+1)*W$2, 0) = 0, $K100/(time_cap),0)),0)</f>
        <v/>
      </c>
      <c r="X100" s="4395">
        <f>IFERROR(IF((time+time_cap)&lt;X$2, 0,IF(AND(time+1&gt;=Y$2, $E100&lt;Y$2), IF($I100= "I", $J100/($F100-$E100+1), $J100/(($F100*($F100+1)/2)-(($E100-1)*($E100-1+1)/2))*X$2), 0)+IF(IF(time+1&gt;=Y$2, $K100/time_cap/(time+1)*X$2, 0) = 0, $K100/(time_cap),0)),0)</f>
        <v/>
      </c>
      <c r="Y100" s="4395">
        <f>IFERROR(IF((time+time_cap)&lt;Y$2, 0,IF(AND(time+1&gt;=Z$2, $E100&lt;Z$2), IF($I100= "I", $J100/($F100-$E100+1), $J100/(($F100*($F100+1)/2)-(($E100-1)*($E100-1+1)/2))*Y$2), 0)+IF(IF(time+1&gt;=Z$2, $K100/time_cap/(time+1)*Y$2, 0) = 0, $K100/(time_cap),0)),0)</f>
        <v/>
      </c>
      <c r="Z100" s="4395">
        <f>IFERROR(IF((time+time_cap)&lt;Z$2, 0,IF(AND(time+1&gt;=AA$2, $E100&lt;AA$2), IF($I100= "I", $J100/($F100-$E100+1), $J100/(($F100*($F100+1)/2)-(($E100-1)*($E100-1+1)/2))*Z$2), 0)+IF(IF(time+1&gt;=AA$2, $K100/time_cap/(time+1)*Z$2, 0) = 0, $K100/(time_cap),0)),0)</f>
        <v/>
      </c>
      <c r="AA100" s="4395">
        <f>IFERROR(IF((time+time_cap)&lt;AA$2, 0,IF(AND(time+1&gt;=AB$2, $E100&lt;AB$2), IF($I100= "I", $J100/($F100-$E100+1), $J100/(($F100*($F100+1)/2)-(($E100-1)*($E100-1+1)/2))*AA$2), 0)+IF(IF(time+1&gt;=AB$2, $K100/time_cap/(time+1)*AA$2, 0) = 0, $K100/(time_cap),0)),0)</f>
        <v/>
      </c>
      <c r="AB100" s="4395">
        <f>IFERROR(IF((time+time_cap)&lt;AB$2, 0,IF(AND(time+1&gt;=AC$2, $E100&lt;AC$2), IF($I100= "I", $J100/($F100-$E100+1), $J100/(($F100*($F100+1)/2)-(($E100-1)*($E100-1+1)/2))*AB$2), 0)+IF(IF(time+1&gt;=AC$2, $K100/time_cap/(time+1)*AB$2, 0) = 0, $K100/(time_cap),0)),0)</f>
        <v/>
      </c>
      <c r="AC100" s="4395">
        <f>IFERROR(IF((time+time_cap)&lt;AC$2, 0,IF(AND(time+1&gt;=AD$2, $E100&lt;AD$2), IF($I100= "I", $J100/($F100-$E100+1), $J100/(($F100*($F100+1)/2)-(($E100-1)*($E100-1+1)/2))*AC$2), 0)+IF(IF(time+1&gt;=AD$2, $K100/time_cap/(time+1)*AC$2, 0) = 0, $K100/(time_cap),0)),0)</f>
        <v/>
      </c>
      <c r="AD100" s="4395">
        <f>IFERROR(IF((time+time_cap)&lt;AD$2, 0,IF(AND(time+1&gt;=AE$2, $E100&lt;AE$2), IF($I100= "I", $J100/($F100-$E100+1), $J100/(($F100*($F100+1)/2)-(($E100-1)*($E100-1+1)/2))*AD$2), 0)+IF(IF(time+1&gt;=AE$2, $K100/time_cap/(time+1)*AD$2, 0) = 0, $K100/(time_cap),0)),0)</f>
        <v/>
      </c>
      <c r="AE100" s="4395">
        <f>IFERROR(IF((time+time_cap)&lt;AE$2, 0,IF(AND(time+1&gt;=AF$2, $E100&lt;AF$2), IF($I100= "I", $J100/($F100-$E100+1), $J100/(($F100*($F100+1)/2)-(($E100-1)*($E100-1+1)/2))*AE$2), 0)+IF(IF(time+1&gt;=AF$2, $K100/time_cap/(time+1)*AE$2, 0) = 0, $K100/(time_cap),0)),0)</f>
        <v/>
      </c>
      <c r="AF100" s="4395">
        <f>IFERROR(IF((time+time_cap)&lt;AF$2, 0,IF(AND(time+1&gt;=AG$2, $E100&lt;AG$2), IF($I100= "I", $J100/($F100-$E100+1), $J100/(($F100*($F100+1)/2)-(($E100-1)*($E100-1+1)/2))*AF$2), 0)+IF(IF(time+1&gt;=AG$2, $K100/time_cap/(time+1)*AF$2, 0) = 0, $K100/(time_cap),0)),0)</f>
        <v/>
      </c>
      <c r="AG100" s="4395">
        <f>IFERROR(IF((time+time_cap)&lt;AG$2, 0,IF(AND(time+1&gt;=AH$2, $E100&lt;AH$2), IF($I100= "I", $J100/($F100-$E100+1), $J100/(($F100*($F100+1)/2)-(($E100-1)*($E100-1+1)/2))*AG$2), 0)+IF(IF(time+1&gt;=AH$2, $K100/time_cap/(time+1)*AG$2, 0) = 0, $K100/(time_cap),0)),0)</f>
        <v/>
      </c>
      <c r="AH100" s="4395">
        <f>IFERROR(IF((time+time_cap)&lt;AH$2, 0,IF(AND(time+1&gt;=AI$2, $E100&lt;AI$2), IF($I100= "I", $J100/($F100-$E100+1), $J100/(($F100*($F100+1)/2)-(($E100-1)*($E100-1+1)/2))*AH$2), 0)+IF(IF(time+1&gt;=AI$2, $K100/time_cap/(time+1)*AH$2, 0) = 0, $K100/(time_cap),0)),0)</f>
        <v/>
      </c>
      <c r="AI100" s="4395">
        <f>IFERROR(IF((time+time_cap)&lt;AI$2, 0,IF(AND(time+1&gt;=AJ$2, $E100&lt;AJ$2), IF($I100= "I", $J100/($F100-$E100+1), $J100/(($F100*($F100+1)/2)-(($E100-1)*($E100-1+1)/2))*AI$2), 0)+IF(IF(time+1&gt;=AJ$2, $K100/time_cap/(time+1)*AI$2, 0) = 0, $K100/(time_cap),0)),0)</f>
        <v/>
      </c>
      <c r="AJ100" s="4395">
        <f>IFERROR(IF((time+time_cap)&lt;AJ$2, 0,IF(AND(time+1&gt;=AK$2, $E100&lt;AK$2), IF($I100= "I", $J100/($F100-$E100+1), $J100/(($F100*($F100+1)/2)-(($E100-1)*($E100-1+1)/2))*AJ$2), 0)+IF(IF(time+1&gt;=AK$2, $K100/time_cap/(time+1)*AJ$2, 0) = 0, $K100/(time_cap),0)),0)</f>
        <v/>
      </c>
      <c r="AK100" s="4395">
        <f>IFERROR(IF((time+time_cap)&lt;AK$2, 0,IF(AND(time+1&gt;=AL$2, $E100&lt;AL$2), IF($I100= "I", $J100/($F100-$E100+1), $J100/(($F100*($F100+1)/2)-(($E100-1)*($E100-1+1)/2))*AK$2), 0)+IF(IF(time+1&gt;=AL$2, $K100/time_cap/(time+1)*AK$2, 0) = 0, $K100/(time_cap),0)),0)</f>
        <v/>
      </c>
      <c r="AL100" s="4395">
        <f>IFERROR(IF((time+time_cap)&lt;AL$2, 0,IF(AND(time+1&gt;=AM$2, $E100&lt;AM$2), IF($I100= "I", $J100/($F100-$E100+1), $J100/(($F100*($F100+1)/2)-(($E100-1)*($E100-1+1)/2))*AL$2), 0)+IF(IF(time+1&gt;=AM$2, $K100/time_cap/(time+1)*AL$2, 0) = 0, $K100/(time_cap),0)),0)</f>
        <v/>
      </c>
      <c r="AM100" s="4395">
        <f>IFERROR(IF((time+time_cap)&lt;AM$2, 0,IF(AND(time+1&gt;=AN$2, $E100&lt;AN$2), IF($I100= "I", $J100/($F100-$E100+1), $J100/(($F100*($F100+1)/2)-(($E100-1)*($E100-1+1)/2))*AM$2), 0)+IF(IF(time+1&gt;=AN$2, $K100/time_cap/(time+1)*AM$2, 0) = 0, $K100/(time_cap),0)),0)</f>
        <v/>
      </c>
      <c r="AN100" s="4395">
        <f>IFERROR(IF((time+time_cap)&lt;AN$2, 0,IF(AND(time+1&gt;=AO$2, $E100&lt;AO$2), IF($I100= "I", $J100/($F100-$E100+1), $J100/(($F100*($F100+1)/2)-(($E100-1)*($E100-1+1)/2))*AN$2), 0)+IF(IF(time+1&gt;=AO$2, $K100/time_cap/(time+1)*AN$2, 0) = 0, $K100/(time_cap),0)),0)</f>
        <v/>
      </c>
      <c r="AO100" s="4395">
        <f>IFERROR(IF((time+time_cap)&lt;AO$2, 0,IF(AND(time+1&gt;=AP$2, $E100&lt;AP$2), IF($I100= "I", $J100/($F100-$E100+1), $J100/(($F100*($F100+1)/2)-(($E100-1)*($E100-1+1)/2))*AO$2), 0)+IF(IF(time+1&gt;=AP$2, $K100/time_cap/(time+1)*AO$2, 0) = 0, $K100/(time_cap),0)),0)</f>
        <v/>
      </c>
      <c r="AP100" s="4395">
        <f>IFERROR(IF((time+time_cap)&lt;AP$2, 0,IF(AND(time+1&gt;=AQ$2, $E100&lt;AQ$2), IF($I100= "I", $J100/($F100-$E100+1), $J100/(($F100*($F100+1)/2)-(($E100-1)*($E100-1+1)/2))*AP$2), 0)+IF(IF(time+1&gt;=AQ$2, $K100/time_cap/(time+1)*AP$2, 0) = 0, $K100/(time_cap),0)),0)</f>
        <v/>
      </c>
      <c r="AQ100" s="4395">
        <f>IFERROR(IF((time+time_cap)&lt;AQ$2, 0,IF(AND(time+1&gt;=AR$2, $E100&lt;AR$2), IF($I100= "I", $J100/($F100-$E100+1), $J100/(($F100*($F100+1)/2)-(($E100-1)*($E100-1+1)/2))*AQ$2), 0)+IF(IF(time+1&gt;=AR$2, $K100/time_cap/(time+1)*AQ$2, 0) = 0, $K100/(time_cap),0)),0)</f>
        <v/>
      </c>
      <c r="AR100" s="4395">
        <f>IFERROR(IF((time+time_cap)&lt;AR$2, 0,IF(AND(time+1&gt;=AS$2, $E100&lt;AS$2), IF($I100= "I", $J100/($F100-$E100+1), $J100/(($F100*($F100+1)/2)-(($E100-1)*($E100-1+1)/2))*AR$2), 0)+IF(IF(time+1&gt;=AS$2, $K100/time_cap/(time+1)*AR$2, 0) = 0, $K100/(time_cap),0)),0)</f>
        <v/>
      </c>
      <c r="AS100" s="4395">
        <f>IFERROR(IF((time+time_cap)&lt;AS$2, 0,IF(AND(time+1&gt;=AT$2, $E100&lt;AT$2), IF($I100= "I", $J100/($F100-$E100+1), $J100/(($F100*($F100+1)/2)-(($E100-1)*($E100-1+1)/2))*AS$2), 0)+IF(IF(time+1&gt;=AT$2, $K100/time_cap/(time+1)*AS$2, 0) = 0, $K100/(time_cap),0)),0)</f>
        <v/>
      </c>
      <c r="AT100" s="4395">
        <f>IFERROR(IF((time+time_cap)&lt;AT$2, 0,IF(AND(time+1&gt;=AU$2, $E100&lt;AU$2), IF($I100= "I", $J100/($F100-$E100+1), $J100/(($F100*($F100+1)/2)-(($E100-1)*($E100-1+1)/2))*AT$2), 0)+IF(IF(time+1&gt;=AU$2, $K100/time_cap/(time+1)*AT$2, 0) = 0, $K100/(time_cap),0)),0)</f>
        <v/>
      </c>
      <c r="AU100" s="4395">
        <f>IFERROR(IF((time+time_cap)&lt;AU$2, 0,IF(AND(time+1&gt;=AV$2, $E100&lt;AV$2), IF($I100= "I", $J100/($F100-$E100+1), $J100/(($F100*($F100+1)/2)-(($E100-1)*($E100-1+1)/2))*AU$2), 0)+IF(IF(time+1&gt;=AV$2, $K100/time_cap/(time+1)*AU$2, 0) = 0, $K100/(time_cap),0)),0)</f>
        <v/>
      </c>
      <c r="AV100" s="4395">
        <f>IFERROR(IF((time+time_cap)&lt;AV$2, 0,IF(AND(time+1&gt;=AW$2, $E100&lt;AW$2), IF($I100= "I", $J100/($F100-$E100+1), $J100/(($F100*($F100+1)/2)-(($E100-1)*($E100-1+1)/2))*AV$2), 0)+IF(IF(time+1&gt;=AW$2, $K100/time_cap/(time+1)*AV$2, 0) = 0, $K100/(time_cap),0)),0)</f>
        <v/>
      </c>
      <c r="AW100" s="4395">
        <f>IFERROR(IF((time+time_cap)&lt;AW$2, 0,IF(AND(time+1&gt;=AX$2, $E100&lt;AX$2), IF($I100= "I", $J100/($F100-$E100+1), $J100/(($F100*($F100+1)/2)-(($E100-1)*($E100-1+1)/2))*AW$2), 0)+IF(IF(time+1&gt;=AX$2, $K100/time_cap/(time+1)*AW$2, 0) = 0, $K100/(time_cap),0)),0)</f>
        <v/>
      </c>
      <c r="AX100" s="4395">
        <f>IFERROR(IF((time+time_cap)&lt;AX$2, 0,IF(AND(time+1&gt;=AY$2, $E100&lt;AY$2), IF($I100= "I", $J100/($F100-$E100+1), $J100/(($F100*($F100+1)/2)-(($E100-1)*($E100-1+1)/2))*AX$2), 0)+IF(IF(time+1&gt;=AY$2, $K100/time_cap/(time+1)*AX$2, 0) = 0, $K100/(time_cap),0)),0)</f>
        <v/>
      </c>
      <c r="AY100" s="4395">
        <f>IFERROR(IF((time+time_cap)&lt;AY$2, 0,IF(AND(time+1&gt;=AZ$2, $E100&lt;AZ$2), IF($I100= "I", $J100/($F100-$E100+1), $J100/(($F100*($F100+1)/2)-(($E100-1)*($E100-1+1)/2))*AY$2), 0)+IF(IF(time+1&gt;=AZ$2, $K100/time_cap/(time+1)*AY$2, 0) = 0, $K100/(time_cap),0)),0)</f>
        <v/>
      </c>
      <c r="AZ100" s="4395">
        <f>IFERROR(IF((time+time_cap)&lt;AZ$2, 0,IF(AND(time+1&gt;=BA$2, $E100&lt;BA$2), IF($I100= "I", $J100/($F100-$E100+1), $J100/(($F100*($F100+1)/2)-(($E100-1)*($E100-1+1)/2))*AZ$2), 0)+IF(IF(time+1&gt;=BA$2, $K100/time_cap/(time+1)*AZ$2, 0) = 0, $K100/(time_cap),0)),0)</f>
        <v/>
      </c>
      <c r="BA100" s="4395">
        <f>IFERROR(IF((time+time_cap)&lt;BA$2, 0,IF(AND(time+1&gt;=BB$2, $E100&lt;BB$2), IF($I100= "I", $J100/($F100-$E100+1), $J100/(($F100*($F100+1)/2)-(($E100-1)*($E100-1+1)/2))*BA$2), 0)+IF(IF(time+1&gt;=BB$2, $K100/time_cap/(time+1)*BA$2, 0) = 0, $K100/(time_cap),0)),0)</f>
        <v/>
      </c>
      <c r="BB100" s="4395">
        <f>IFERROR(IF((time+time_cap)&lt;BB$2, 0,IF(AND(time+1&gt;=BC$2, $E100&lt;BC$2), IF($I100= "I", $J100/($F100-$E100+1), $J100/(($F100*($F100+1)/2)-(($E100-1)*($E100-1+1)/2))*BB$2), 0)+IF(IF(time+1&gt;=BC$2, $K100/time_cap/(time+1)*BB$2, 0) = 0, $K100/(time_cap),0)),0)</f>
        <v/>
      </c>
      <c r="BC100" s="4395">
        <f>IFERROR(IF((time+time_cap)&lt;BC$2, 0,IF(AND(time+1&gt;=BD$2, $E100&lt;BD$2), IF($I100= "I", $J100/($F100-$E100+1), $J100/(($F100*($F100+1)/2)-(($E100-1)*($E100-1+1)/2))*BC$2), 0)+IF(IF(time+1&gt;=BD$2, $K100/time_cap/(time+1)*BC$2, 0) = 0, $K100/(time_cap),0)),0)</f>
        <v/>
      </c>
      <c r="BD100" s="4395">
        <f>IFERROR(IF((time+time_cap)&lt;BD$2, 0,IF(AND(time+1&gt;=BE$2, $E100&lt;BE$2), IF($I100= "I", $J100/($F100-$E100+1), $J100/(($F100*($F100+1)/2)-(($E100-1)*($E100-1+1)/2))*BD$2), 0)+IF(IF(time+1&gt;=BE$2, $K100/time_cap/(time+1)*BD$2, 0) = 0, $K100/(time_cap),0)),0)</f>
        <v/>
      </c>
      <c r="BE100" s="4395">
        <f>IFERROR(IF((time+time_cap)&lt;BE$2, 0,IF(AND(time+1&gt;=BF$2, $E100&lt;BF$2), IF($I100= "I", $J100/($F100-$E100+1), $J100/(($F100*($F100+1)/2)-(($E100-1)*($E100-1+1)/2))*BE$2), 0)+IF(IF(time+1&gt;=BF$2, $K100/time_cap/(time+1)*BE$2, 0) = 0, $K100/(time_cap),0)),0)</f>
        <v/>
      </c>
      <c r="BF100" s="4395">
        <f>IFERROR(IF((time+time_cap)&lt;BF$2, 0,IF(AND(time+1&gt;=BG$2, $E100&lt;BG$2), IF($I100= "I", $J100/($F100-$E100+1), $J100/(($F100*($F100+1)/2)-(($E100-1)*($E100-1+1)/2))*BF$2), 0)+IF(IF(time+1&gt;=BG$2, $K100/time_cap/(time+1)*BF$2, 0) = 0, $K100/(time_cap),0)),0)</f>
        <v/>
      </c>
      <c r="BG100" s="4395">
        <f>IFERROR(IF((time+time_cap)&lt;BG$2, 0,IF(AND(time+1&gt;=BH$2, $E100&lt;BH$2), IF($I100= "I", $J100/($F100-$E100+1), $J100/(($F100*($F100+1)/2)-(($E100-1)*($E100-1+1)/2))*BG$2), 0)+IF(IF(time+1&gt;=BH$2, $K100/time_cap/(time+1)*BG$2, 0) = 0, $K100/(time_cap),0)),0)</f>
        <v/>
      </c>
      <c r="BH100" s="4395">
        <f>IFERROR(IF((time+time_cap)&lt;BH$2, 0,IF(AND(time+1&gt;=BI$2, $E100&lt;BI$2), IF($I100= "I", $J100/($F100-$E100+1), $J100/(($F100*($F100+1)/2)-(($E100-1)*($E100-1+1)/2))*BH$2), 0)+IF(IF(time+1&gt;=BI$2, $K100/time_cap/(time+1)*BH$2, 0) = 0, $K100/(time_cap),0)),0)</f>
        <v/>
      </c>
      <c r="BI100" s="4395">
        <f>IFERROR(IF((time+time_cap)&lt;BI$2, 0,IF(AND(time+1&gt;=BJ$2, $E100&lt;BJ$2), IF($I100= "I", $J100/($F100-$E100+1), $J100/(($F100*($F100+1)/2)-(($E100-1)*($E100-1+1)/2))*BI$2), 0)+IF(IF(time+1&gt;=BJ$2, $K100/time_cap/(time+1)*BI$2, 0) = 0, $K100/(time_cap),0)),0)</f>
        <v/>
      </c>
      <c r="BJ100" s="4395">
        <f>IFERROR(IF((time+time_cap)&lt;BJ$2, 0,IF(AND(time+1&gt;=BK$2, $E100&lt;BK$2), IF($I100= "I", $J100/($F100-$E100+1), $J100/(($F100*($F100+1)/2)-(($E100-1)*($E100-1+1)/2))*BJ$2), 0)+IF(IF(time+1&gt;=BK$2, $K100/time_cap/(time+1)*BJ$2, 0) = 0, $K100/(time_cap),0)),0)</f>
        <v/>
      </c>
      <c r="BK100" s="4395" t="n"/>
      <c r="BL100" s="4395" t="n"/>
      <c r="BM100" s="4395" t="n"/>
      <c r="BN100" s="4395" t="n"/>
      <c r="BO100" s="4395" t="n"/>
      <c r="BP100" s="4395" t="n"/>
      <c r="BQ100" s="4395" t="n"/>
      <c r="BR100" s="4395" t="n"/>
      <c r="BS100" s="4395" t="n"/>
      <c r="BT100" s="4395" t="n"/>
      <c r="BU100" s="4395" t="n"/>
      <c r="BV100" s="4395" t="n"/>
      <c r="BW100" s="4395" t="n"/>
      <c r="BX100" s="4395" t="n"/>
      <c r="BY100" s="4395" t="n"/>
      <c r="BZ100" s="4395" t="n"/>
      <c r="CA100" s="4395" t="n"/>
      <c r="CB100" s="4395" t="n"/>
      <c r="CC100" s="4395" t="n"/>
      <c r="CD100" s="4395" t="n"/>
      <c r="CE100" s="4395" t="n"/>
      <c r="CF100" s="4395" t="n"/>
      <c r="CG100" s="4395" t="n"/>
      <c r="CH100" s="4395" t="n"/>
      <c r="CI100" s="4395" t="n"/>
      <c r="CJ100" s="4395" t="n"/>
      <c r="CK100" s="4395" t="n"/>
      <c r="CL100" s="4395" t="n"/>
      <c r="CM100" s="4395" t="n"/>
      <c r="CN100" s="4395" t="n"/>
      <c r="CO100" s="4395" t="n"/>
      <c r="CP100" s="4395" t="n"/>
      <c r="CQ100" s="4395" t="n"/>
      <c r="CR100" s="4395" t="n"/>
      <c r="CS100" s="4395" t="n"/>
      <c r="CT100" s="4395" t="n"/>
      <c r="CU100" s="4395" t="n"/>
      <c r="CV100" s="4395" t="n"/>
      <c r="CW100" s="4395" t="n"/>
      <c r="CX100" s="4395" t="n"/>
      <c r="CY100" s="4395" t="n"/>
      <c r="CZ100" s="4395" t="n"/>
      <c r="DA100" s="4395" t="n"/>
      <c r="DB100" s="4395" t="n"/>
      <c r="DC100" s="4395" t="n"/>
      <c r="DD100" s="4395" t="n"/>
      <c r="DE100" s="4395" t="n"/>
      <c r="DF100" s="4395" t="n"/>
      <c r="DG100" s="4395" t="n"/>
      <c r="DH100" s="4395" t="n"/>
    </row>
    <row r="101" ht="16" customHeight="1">
      <c r="A101" t="inlineStr">
        <is>
          <t>Livestock</t>
        </is>
      </c>
      <c r="B101">
        <f>'4.Grassland'!E64</f>
        <v/>
      </c>
      <c r="C101">
        <f>'4.Grassland'!I64</f>
        <v/>
      </c>
      <c r="D101">
        <f>'4.Grassland'!AG64</f>
        <v/>
      </c>
      <c r="E101">
        <f>IF('4.Grassland'!CG64&lt;&gt;0,'4.Grassland'!CG64, '4.Grassland'!CF64)</f>
        <v/>
      </c>
      <c r="F101">
        <f>time</f>
        <v/>
      </c>
      <c r="G101" s="4395">
        <f>'4.Grassland'!Y64</f>
        <v/>
      </c>
      <c r="H101" s="4395">
        <f>'4.Grassland'!AA64</f>
        <v/>
      </c>
      <c r="I101" s="4395">
        <f>IF(OR(H101="I", G101="I"), "I", IF(OR(H101="E", G101="E"), "E", "D"))</f>
        <v/>
      </c>
      <c r="J101" s="4395">
        <f>((D101/(time_cap+((F101-E101+1)*VLOOKUP(I101,list!$I$48:$K$50,3, FALSE))))*(F101-E101+1)*VLOOKUP(I101,list!$I$48:$K$50,3, FALSE))</f>
        <v/>
      </c>
      <c r="K101" s="4395">
        <f>((D101/(time_cap+((F101-E101+1)*VLOOKUP(I101,list!$I$48:$K$50,3, FALSE))))*time_cap)</f>
        <v/>
      </c>
      <c r="M101" s="4395">
        <f>IFERROR(IF((time+time_cap)&lt;M$2, 0,IF(AND(time+1&gt;=N$2, $E101&lt;N$2), IF($I101= "I", $J101/($F101-$E101+1), $J101/(($F101*($F101+1)/2)-(($E101-1)*($E101-1+1)/2))*M$2), 0)+IF(IF(time+1&gt;=N$2, $K101/time_cap/(time+1)*M$2, 0) = 0, $K101/(time_cap),0)),0)</f>
        <v/>
      </c>
      <c r="N101" s="4395">
        <f>IFERROR(IF((time+time_cap)&lt;N$2, 0,IF(AND(time+1&gt;=O$2, $E101&lt;O$2), IF($I101= "I", $J101/($F101-$E101+1), $J101/(($F101*($F101+1)/2)-(($E101-1)*($E101-1+1)/2))*N$2), 0)+IF(IF(time+1&gt;=O$2, $K101/time_cap/(time+1)*N$2, 0) = 0, $K101/(time_cap),0)),0)</f>
        <v/>
      </c>
      <c r="O101" s="4395">
        <f>IFERROR(IF((time+time_cap)&lt;O$2, 0,IF(AND(time+1&gt;=P$2, $E101&lt;P$2), IF($I101= "I", $J101/($F101-$E101+1), $J101/(($F101*($F101+1)/2)-(($E101-1)*($E101-1+1)/2))*O$2), 0)+IF(IF(time+1&gt;=P$2, $K101/time_cap/(time+1)*O$2, 0) = 0, $K101/(time_cap),0)),0)</f>
        <v/>
      </c>
      <c r="P101" s="4395">
        <f>IFERROR(IF((time+time_cap)&lt;P$2, 0,IF(AND(time+1&gt;=Q$2, $E101&lt;Q$2), IF($I101= "I", $J101/($F101-$E101+1), $J101/(($F101*($F101+1)/2)-(($E101-1)*($E101-1+1)/2))*P$2), 0)+IF(IF(time+1&gt;=Q$2, $K101/time_cap/(time+1)*P$2, 0) = 0, $K101/(time_cap),0)),0)</f>
        <v/>
      </c>
      <c r="Q101" s="4395">
        <f>IFERROR(IF((time+time_cap)&lt;Q$2, 0,IF(AND(time+1&gt;=R$2, $E101&lt;R$2), IF($I101= "I", $J101/($F101-$E101+1), $J101/(($F101*($F101+1)/2)-(($E101-1)*($E101-1+1)/2))*Q$2), 0)+IF(IF(time+1&gt;=R$2, $K101/time_cap/(time+1)*Q$2, 0) = 0, $K101/(time_cap),0)),0)</f>
        <v/>
      </c>
      <c r="R101" s="4395">
        <f>IFERROR(IF((time+time_cap)&lt;R$2, 0,IF(AND(time+1&gt;=S$2, $E101&lt;S$2), IF($I101= "I", $J101/($F101-$E101+1), $J101/(($F101*($F101+1)/2)-(($E101-1)*($E101-1+1)/2))*R$2), 0)+IF(IF(time+1&gt;=S$2, $K101/time_cap/(time+1)*R$2, 0) = 0, $K101/(time_cap),0)),0)</f>
        <v/>
      </c>
      <c r="S101" s="4395">
        <f>IFERROR(IF((time+time_cap)&lt;S$2, 0,IF(AND(time+1&gt;=T$2, $E101&lt;T$2), IF($I101= "I", $J101/($F101-$E101+1), $J101/(($F101*($F101+1)/2)-(($E101-1)*($E101-1+1)/2))*S$2), 0)+IF(IF(time+1&gt;=T$2, $K101/time_cap/(time+1)*S$2, 0) = 0, $K101/(time_cap),0)),0)</f>
        <v/>
      </c>
      <c r="T101" s="4395">
        <f>IFERROR(IF((time+time_cap)&lt;T$2, 0,IF(AND(time+1&gt;=U$2, $E101&lt;U$2), IF($I101= "I", $J101/($F101-$E101+1), $J101/(($F101*($F101+1)/2)-(($E101-1)*($E101-1+1)/2))*T$2), 0)+IF(IF(time+1&gt;=U$2, $K101/time_cap/(time+1)*T$2, 0) = 0, $K101/(time_cap),0)),0)</f>
        <v/>
      </c>
      <c r="U101" s="4395">
        <f>IFERROR(IF((time+time_cap)&lt;U$2, 0,IF(AND(time+1&gt;=V$2, $E101&lt;V$2), IF($I101= "I", $J101/($F101-$E101+1), $J101/(($F101*($F101+1)/2)-(($E101-1)*($E101-1+1)/2))*U$2), 0)+IF(IF(time+1&gt;=V$2, $K101/time_cap/(time+1)*U$2, 0) = 0, $K101/(time_cap),0)),0)</f>
        <v/>
      </c>
      <c r="V101" s="4395">
        <f>IFERROR(IF((time+time_cap)&lt;V$2, 0,IF(AND(time+1&gt;=W$2, $E101&lt;W$2), IF($I101= "I", $J101/($F101-$E101+1), $J101/(($F101*($F101+1)/2)-(($E101-1)*($E101-1+1)/2))*V$2), 0)+IF(IF(time+1&gt;=W$2, $K101/time_cap/(time+1)*V$2, 0) = 0, $K101/(time_cap),0)),0)</f>
        <v/>
      </c>
      <c r="W101" s="4395">
        <f>IFERROR(IF((time+time_cap)&lt;W$2, 0,IF(AND(time+1&gt;=X$2, $E101&lt;X$2), IF($I101= "I", $J101/($F101-$E101+1), $J101/(($F101*($F101+1)/2)-(($E101-1)*($E101-1+1)/2))*W$2), 0)+IF(IF(time+1&gt;=X$2, $K101/time_cap/(time+1)*W$2, 0) = 0, $K101/(time_cap),0)),0)</f>
        <v/>
      </c>
      <c r="X101" s="4395">
        <f>IFERROR(IF((time+time_cap)&lt;X$2, 0,IF(AND(time+1&gt;=Y$2, $E101&lt;Y$2), IF($I101= "I", $J101/($F101-$E101+1), $J101/(($F101*($F101+1)/2)-(($E101-1)*($E101-1+1)/2))*X$2), 0)+IF(IF(time+1&gt;=Y$2, $K101/time_cap/(time+1)*X$2, 0) = 0, $K101/(time_cap),0)),0)</f>
        <v/>
      </c>
      <c r="Y101" s="4395">
        <f>IFERROR(IF((time+time_cap)&lt;Y$2, 0,IF(AND(time+1&gt;=Z$2, $E101&lt;Z$2), IF($I101= "I", $J101/($F101-$E101+1), $J101/(($F101*($F101+1)/2)-(($E101-1)*($E101-1+1)/2))*Y$2), 0)+IF(IF(time+1&gt;=Z$2, $K101/time_cap/(time+1)*Y$2, 0) = 0, $K101/(time_cap),0)),0)</f>
        <v/>
      </c>
      <c r="Z101" s="4395">
        <f>IFERROR(IF((time+time_cap)&lt;Z$2, 0,IF(AND(time+1&gt;=AA$2, $E101&lt;AA$2), IF($I101= "I", $J101/($F101-$E101+1), $J101/(($F101*($F101+1)/2)-(($E101-1)*($E101-1+1)/2))*Z$2), 0)+IF(IF(time+1&gt;=AA$2, $K101/time_cap/(time+1)*Z$2, 0) = 0, $K101/(time_cap),0)),0)</f>
        <v/>
      </c>
      <c r="AA101" s="4395">
        <f>IFERROR(IF((time+time_cap)&lt;AA$2, 0,IF(AND(time+1&gt;=AB$2, $E101&lt;AB$2), IF($I101= "I", $J101/($F101-$E101+1), $J101/(($F101*($F101+1)/2)-(($E101-1)*($E101-1+1)/2))*AA$2), 0)+IF(IF(time+1&gt;=AB$2, $K101/time_cap/(time+1)*AA$2, 0) = 0, $K101/(time_cap),0)),0)</f>
        <v/>
      </c>
      <c r="AB101" s="4395">
        <f>IFERROR(IF((time+time_cap)&lt;AB$2, 0,IF(AND(time+1&gt;=AC$2, $E101&lt;AC$2), IF($I101= "I", $J101/($F101-$E101+1), $J101/(($F101*($F101+1)/2)-(($E101-1)*($E101-1+1)/2))*AB$2), 0)+IF(IF(time+1&gt;=AC$2, $K101/time_cap/(time+1)*AB$2, 0) = 0, $K101/(time_cap),0)),0)</f>
        <v/>
      </c>
      <c r="AC101" s="4395">
        <f>IFERROR(IF((time+time_cap)&lt;AC$2, 0,IF(AND(time+1&gt;=AD$2, $E101&lt;AD$2), IF($I101= "I", $J101/($F101-$E101+1), $J101/(($F101*($F101+1)/2)-(($E101-1)*($E101-1+1)/2))*AC$2), 0)+IF(IF(time+1&gt;=AD$2, $K101/time_cap/(time+1)*AC$2, 0) = 0, $K101/(time_cap),0)),0)</f>
        <v/>
      </c>
      <c r="AD101" s="4395">
        <f>IFERROR(IF((time+time_cap)&lt;AD$2, 0,IF(AND(time+1&gt;=AE$2, $E101&lt;AE$2), IF($I101= "I", $J101/($F101-$E101+1), $J101/(($F101*($F101+1)/2)-(($E101-1)*($E101-1+1)/2))*AD$2), 0)+IF(IF(time+1&gt;=AE$2, $K101/time_cap/(time+1)*AD$2, 0) = 0, $K101/(time_cap),0)),0)</f>
        <v/>
      </c>
      <c r="AE101" s="4395">
        <f>IFERROR(IF((time+time_cap)&lt;AE$2, 0,IF(AND(time+1&gt;=AF$2, $E101&lt;AF$2), IF($I101= "I", $J101/($F101-$E101+1), $J101/(($F101*($F101+1)/2)-(($E101-1)*($E101-1+1)/2))*AE$2), 0)+IF(IF(time+1&gt;=AF$2, $K101/time_cap/(time+1)*AE$2, 0) = 0, $K101/(time_cap),0)),0)</f>
        <v/>
      </c>
      <c r="AF101" s="4395">
        <f>IFERROR(IF((time+time_cap)&lt;AF$2, 0,IF(AND(time+1&gt;=AG$2, $E101&lt;AG$2), IF($I101= "I", $J101/($F101-$E101+1), $J101/(($F101*($F101+1)/2)-(($E101-1)*($E101-1+1)/2))*AF$2), 0)+IF(IF(time+1&gt;=AG$2, $K101/time_cap/(time+1)*AF$2, 0) = 0, $K101/(time_cap),0)),0)</f>
        <v/>
      </c>
      <c r="AG101" s="4395">
        <f>IFERROR(IF((time+time_cap)&lt;AG$2, 0,IF(AND(time+1&gt;=AH$2, $E101&lt;AH$2), IF($I101= "I", $J101/($F101-$E101+1), $J101/(($F101*($F101+1)/2)-(($E101-1)*($E101-1+1)/2))*AG$2), 0)+IF(IF(time+1&gt;=AH$2, $K101/time_cap/(time+1)*AG$2, 0) = 0, $K101/(time_cap),0)),0)</f>
        <v/>
      </c>
      <c r="AH101" s="4395">
        <f>IFERROR(IF((time+time_cap)&lt;AH$2, 0,IF(AND(time+1&gt;=AI$2, $E101&lt;AI$2), IF($I101= "I", $J101/($F101-$E101+1), $J101/(($F101*($F101+1)/2)-(($E101-1)*($E101-1+1)/2))*AH$2), 0)+IF(IF(time+1&gt;=AI$2, $K101/time_cap/(time+1)*AH$2, 0) = 0, $K101/(time_cap),0)),0)</f>
        <v/>
      </c>
      <c r="AI101" s="4395">
        <f>IFERROR(IF((time+time_cap)&lt;AI$2, 0,IF(AND(time+1&gt;=AJ$2, $E101&lt;AJ$2), IF($I101= "I", $J101/($F101-$E101+1), $J101/(($F101*($F101+1)/2)-(($E101-1)*($E101-1+1)/2))*AI$2), 0)+IF(IF(time+1&gt;=AJ$2, $K101/time_cap/(time+1)*AI$2, 0) = 0, $K101/(time_cap),0)),0)</f>
        <v/>
      </c>
      <c r="AJ101" s="4395">
        <f>IFERROR(IF((time+time_cap)&lt;AJ$2, 0,IF(AND(time+1&gt;=AK$2, $E101&lt;AK$2), IF($I101= "I", $J101/($F101-$E101+1), $J101/(($F101*($F101+1)/2)-(($E101-1)*($E101-1+1)/2))*AJ$2), 0)+IF(IF(time+1&gt;=AK$2, $K101/time_cap/(time+1)*AJ$2, 0) = 0, $K101/(time_cap),0)),0)</f>
        <v/>
      </c>
      <c r="AK101" s="4395">
        <f>IFERROR(IF((time+time_cap)&lt;AK$2, 0,IF(AND(time+1&gt;=AL$2, $E101&lt;AL$2), IF($I101= "I", $J101/($F101-$E101+1), $J101/(($F101*($F101+1)/2)-(($E101-1)*($E101-1+1)/2))*AK$2), 0)+IF(IF(time+1&gt;=AL$2, $K101/time_cap/(time+1)*AK$2, 0) = 0, $K101/(time_cap),0)),0)</f>
        <v/>
      </c>
      <c r="AL101" s="4395">
        <f>IFERROR(IF((time+time_cap)&lt;AL$2, 0,IF(AND(time+1&gt;=AM$2, $E101&lt;AM$2), IF($I101= "I", $J101/($F101-$E101+1), $J101/(($F101*($F101+1)/2)-(($E101-1)*($E101-1+1)/2))*AL$2), 0)+IF(IF(time+1&gt;=AM$2, $K101/time_cap/(time+1)*AL$2, 0) = 0, $K101/(time_cap),0)),0)</f>
        <v/>
      </c>
      <c r="AM101" s="4395">
        <f>IFERROR(IF((time+time_cap)&lt;AM$2, 0,IF(AND(time+1&gt;=AN$2, $E101&lt;AN$2), IF($I101= "I", $J101/($F101-$E101+1), $J101/(($F101*($F101+1)/2)-(($E101-1)*($E101-1+1)/2))*AM$2), 0)+IF(IF(time+1&gt;=AN$2, $K101/time_cap/(time+1)*AM$2, 0) = 0, $K101/(time_cap),0)),0)</f>
        <v/>
      </c>
      <c r="AN101" s="4395">
        <f>IFERROR(IF((time+time_cap)&lt;AN$2, 0,IF(AND(time+1&gt;=AO$2, $E101&lt;AO$2), IF($I101= "I", $J101/($F101-$E101+1), $J101/(($F101*($F101+1)/2)-(($E101-1)*($E101-1+1)/2))*AN$2), 0)+IF(IF(time+1&gt;=AO$2, $K101/time_cap/(time+1)*AN$2, 0) = 0, $K101/(time_cap),0)),0)</f>
        <v/>
      </c>
      <c r="AO101" s="4395">
        <f>IFERROR(IF((time+time_cap)&lt;AO$2, 0,IF(AND(time+1&gt;=AP$2, $E101&lt;AP$2), IF($I101= "I", $J101/($F101-$E101+1), $J101/(($F101*($F101+1)/2)-(($E101-1)*($E101-1+1)/2))*AO$2), 0)+IF(IF(time+1&gt;=AP$2, $K101/time_cap/(time+1)*AO$2, 0) = 0, $K101/(time_cap),0)),0)</f>
        <v/>
      </c>
      <c r="AP101" s="4395">
        <f>IFERROR(IF((time+time_cap)&lt;AP$2, 0,IF(AND(time+1&gt;=AQ$2, $E101&lt;AQ$2), IF($I101= "I", $J101/($F101-$E101+1), $J101/(($F101*($F101+1)/2)-(($E101-1)*($E101-1+1)/2))*AP$2), 0)+IF(IF(time+1&gt;=AQ$2, $K101/time_cap/(time+1)*AP$2, 0) = 0, $K101/(time_cap),0)),0)</f>
        <v/>
      </c>
      <c r="AQ101" s="4395">
        <f>IFERROR(IF((time+time_cap)&lt;AQ$2, 0,IF(AND(time+1&gt;=AR$2, $E101&lt;AR$2), IF($I101= "I", $J101/($F101-$E101+1), $J101/(($F101*($F101+1)/2)-(($E101-1)*($E101-1+1)/2))*AQ$2), 0)+IF(IF(time+1&gt;=AR$2, $K101/time_cap/(time+1)*AQ$2, 0) = 0, $K101/(time_cap),0)),0)</f>
        <v/>
      </c>
      <c r="AR101" s="4395">
        <f>IFERROR(IF((time+time_cap)&lt;AR$2, 0,IF(AND(time+1&gt;=AS$2, $E101&lt;AS$2), IF($I101= "I", $J101/($F101-$E101+1), $J101/(($F101*($F101+1)/2)-(($E101-1)*($E101-1+1)/2))*AR$2), 0)+IF(IF(time+1&gt;=AS$2, $K101/time_cap/(time+1)*AR$2, 0) = 0, $K101/(time_cap),0)),0)</f>
        <v/>
      </c>
      <c r="AS101" s="4395">
        <f>IFERROR(IF((time+time_cap)&lt;AS$2, 0,IF(AND(time+1&gt;=AT$2, $E101&lt;AT$2), IF($I101= "I", $J101/($F101-$E101+1), $J101/(($F101*($F101+1)/2)-(($E101-1)*($E101-1+1)/2))*AS$2), 0)+IF(IF(time+1&gt;=AT$2, $K101/time_cap/(time+1)*AS$2, 0) = 0, $K101/(time_cap),0)),0)</f>
        <v/>
      </c>
      <c r="AT101" s="4395">
        <f>IFERROR(IF((time+time_cap)&lt;AT$2, 0,IF(AND(time+1&gt;=AU$2, $E101&lt;AU$2), IF($I101= "I", $J101/($F101-$E101+1), $J101/(($F101*($F101+1)/2)-(($E101-1)*($E101-1+1)/2))*AT$2), 0)+IF(IF(time+1&gt;=AU$2, $K101/time_cap/(time+1)*AT$2, 0) = 0, $K101/(time_cap),0)),0)</f>
        <v/>
      </c>
      <c r="AU101" s="4395">
        <f>IFERROR(IF((time+time_cap)&lt;AU$2, 0,IF(AND(time+1&gt;=AV$2, $E101&lt;AV$2), IF($I101= "I", $J101/($F101-$E101+1), $J101/(($F101*($F101+1)/2)-(($E101-1)*($E101-1+1)/2))*AU$2), 0)+IF(IF(time+1&gt;=AV$2, $K101/time_cap/(time+1)*AU$2, 0) = 0, $K101/(time_cap),0)),0)</f>
        <v/>
      </c>
      <c r="AV101" s="4395">
        <f>IFERROR(IF((time+time_cap)&lt;AV$2, 0,IF(AND(time+1&gt;=AW$2, $E101&lt;AW$2), IF($I101= "I", $J101/($F101-$E101+1), $J101/(($F101*($F101+1)/2)-(($E101-1)*($E101-1+1)/2))*AV$2), 0)+IF(IF(time+1&gt;=AW$2, $K101/time_cap/(time+1)*AV$2, 0) = 0, $K101/(time_cap),0)),0)</f>
        <v/>
      </c>
      <c r="AW101" s="4395">
        <f>IFERROR(IF((time+time_cap)&lt;AW$2, 0,IF(AND(time+1&gt;=AX$2, $E101&lt;AX$2), IF($I101= "I", $J101/($F101-$E101+1), $J101/(($F101*($F101+1)/2)-(($E101-1)*($E101-1+1)/2))*AW$2), 0)+IF(IF(time+1&gt;=AX$2, $K101/time_cap/(time+1)*AW$2, 0) = 0, $K101/(time_cap),0)),0)</f>
        <v/>
      </c>
      <c r="AX101" s="4395">
        <f>IFERROR(IF((time+time_cap)&lt;AX$2, 0,IF(AND(time+1&gt;=AY$2, $E101&lt;AY$2), IF($I101= "I", $J101/($F101-$E101+1), $J101/(($F101*($F101+1)/2)-(($E101-1)*($E101-1+1)/2))*AX$2), 0)+IF(IF(time+1&gt;=AY$2, $K101/time_cap/(time+1)*AX$2, 0) = 0, $K101/(time_cap),0)),0)</f>
        <v/>
      </c>
      <c r="AY101" s="4395">
        <f>IFERROR(IF((time+time_cap)&lt;AY$2, 0,IF(AND(time+1&gt;=AZ$2, $E101&lt;AZ$2), IF($I101= "I", $J101/($F101-$E101+1), $J101/(($F101*($F101+1)/2)-(($E101-1)*($E101-1+1)/2))*AY$2), 0)+IF(IF(time+1&gt;=AZ$2, $K101/time_cap/(time+1)*AY$2, 0) = 0, $K101/(time_cap),0)),0)</f>
        <v/>
      </c>
      <c r="AZ101" s="4395">
        <f>IFERROR(IF((time+time_cap)&lt;AZ$2, 0,IF(AND(time+1&gt;=BA$2, $E101&lt;BA$2), IF($I101= "I", $J101/($F101-$E101+1), $J101/(($F101*($F101+1)/2)-(($E101-1)*($E101-1+1)/2))*AZ$2), 0)+IF(IF(time+1&gt;=BA$2, $K101/time_cap/(time+1)*AZ$2, 0) = 0, $K101/(time_cap),0)),0)</f>
        <v/>
      </c>
      <c r="BA101" s="4395">
        <f>IFERROR(IF((time+time_cap)&lt;BA$2, 0,IF(AND(time+1&gt;=BB$2, $E101&lt;BB$2), IF($I101= "I", $J101/($F101-$E101+1), $J101/(($F101*($F101+1)/2)-(($E101-1)*($E101-1+1)/2))*BA$2), 0)+IF(IF(time+1&gt;=BB$2, $K101/time_cap/(time+1)*BA$2, 0) = 0, $K101/(time_cap),0)),0)</f>
        <v/>
      </c>
      <c r="BB101" s="4395">
        <f>IFERROR(IF((time+time_cap)&lt;BB$2, 0,IF(AND(time+1&gt;=BC$2, $E101&lt;BC$2), IF($I101= "I", $J101/($F101-$E101+1), $J101/(($F101*($F101+1)/2)-(($E101-1)*($E101-1+1)/2))*BB$2), 0)+IF(IF(time+1&gt;=BC$2, $K101/time_cap/(time+1)*BB$2, 0) = 0, $K101/(time_cap),0)),0)</f>
        <v/>
      </c>
      <c r="BC101" s="4395">
        <f>IFERROR(IF((time+time_cap)&lt;BC$2, 0,IF(AND(time+1&gt;=BD$2, $E101&lt;BD$2), IF($I101= "I", $J101/($F101-$E101+1), $J101/(($F101*($F101+1)/2)-(($E101-1)*($E101-1+1)/2))*BC$2), 0)+IF(IF(time+1&gt;=BD$2, $K101/time_cap/(time+1)*BC$2, 0) = 0, $K101/(time_cap),0)),0)</f>
        <v/>
      </c>
      <c r="BD101" s="4395">
        <f>IFERROR(IF((time+time_cap)&lt;BD$2, 0,IF(AND(time+1&gt;=BE$2, $E101&lt;BE$2), IF($I101= "I", $J101/($F101-$E101+1), $J101/(($F101*($F101+1)/2)-(($E101-1)*($E101-1+1)/2))*BD$2), 0)+IF(IF(time+1&gt;=BE$2, $K101/time_cap/(time+1)*BD$2, 0) = 0, $K101/(time_cap),0)),0)</f>
        <v/>
      </c>
      <c r="BE101" s="4395">
        <f>IFERROR(IF((time+time_cap)&lt;BE$2, 0,IF(AND(time+1&gt;=BF$2, $E101&lt;BF$2), IF($I101= "I", $J101/($F101-$E101+1), $J101/(($F101*($F101+1)/2)-(($E101-1)*($E101-1+1)/2))*BE$2), 0)+IF(IF(time+1&gt;=BF$2, $K101/time_cap/(time+1)*BE$2, 0) = 0, $K101/(time_cap),0)),0)</f>
        <v/>
      </c>
      <c r="BF101" s="4395">
        <f>IFERROR(IF((time+time_cap)&lt;BF$2, 0,IF(AND(time+1&gt;=BG$2, $E101&lt;BG$2), IF($I101= "I", $J101/($F101-$E101+1), $J101/(($F101*($F101+1)/2)-(($E101-1)*($E101-1+1)/2))*BF$2), 0)+IF(IF(time+1&gt;=BG$2, $K101/time_cap/(time+1)*BF$2, 0) = 0, $K101/(time_cap),0)),0)</f>
        <v/>
      </c>
      <c r="BG101" s="4395">
        <f>IFERROR(IF((time+time_cap)&lt;BG$2, 0,IF(AND(time+1&gt;=BH$2, $E101&lt;BH$2), IF($I101= "I", $J101/($F101-$E101+1), $J101/(($F101*($F101+1)/2)-(($E101-1)*($E101-1+1)/2))*BG$2), 0)+IF(IF(time+1&gt;=BH$2, $K101/time_cap/(time+1)*BG$2, 0) = 0, $K101/(time_cap),0)),0)</f>
        <v/>
      </c>
      <c r="BH101" s="4395">
        <f>IFERROR(IF((time+time_cap)&lt;BH$2, 0,IF(AND(time+1&gt;=BI$2, $E101&lt;BI$2), IF($I101= "I", $J101/($F101-$E101+1), $J101/(($F101*($F101+1)/2)-(($E101-1)*($E101-1+1)/2))*BH$2), 0)+IF(IF(time+1&gt;=BI$2, $K101/time_cap/(time+1)*BH$2, 0) = 0, $K101/(time_cap),0)),0)</f>
        <v/>
      </c>
      <c r="BI101" s="4395">
        <f>IFERROR(IF((time+time_cap)&lt;BI$2, 0,IF(AND(time+1&gt;=BJ$2, $E101&lt;BJ$2), IF($I101= "I", $J101/($F101-$E101+1), $J101/(($F101*($F101+1)/2)-(($E101-1)*($E101-1+1)/2))*BI$2), 0)+IF(IF(time+1&gt;=BJ$2, $K101/time_cap/(time+1)*BI$2, 0) = 0, $K101/(time_cap),0)),0)</f>
        <v/>
      </c>
      <c r="BJ101" s="4395">
        <f>IFERROR(IF((time+time_cap)&lt;BJ$2, 0,IF(AND(time+1&gt;=BK$2, $E101&lt;BK$2), IF($I101= "I", $J101/($F101-$E101+1), $J101/(($F101*($F101+1)/2)-(($E101-1)*($E101-1+1)/2))*BJ$2), 0)+IF(IF(time+1&gt;=BK$2, $K101/time_cap/(time+1)*BJ$2, 0) = 0, $K101/(time_cap),0)),0)</f>
        <v/>
      </c>
      <c r="BK101" s="4395" t="n"/>
      <c r="BL101" s="4395" t="n"/>
      <c r="BM101" s="4395" t="n"/>
      <c r="BN101" s="4395" t="n"/>
      <c r="BO101" s="4395" t="n"/>
      <c r="BP101" s="4395" t="n"/>
      <c r="BQ101" s="4395" t="n"/>
      <c r="BR101" s="4395" t="n"/>
      <c r="BS101" s="4395" t="n"/>
      <c r="BT101" s="4395" t="n"/>
      <c r="BU101" s="4395" t="n"/>
      <c r="BV101" s="4395" t="n"/>
      <c r="BW101" s="4395" t="n"/>
      <c r="BX101" s="4395" t="n"/>
      <c r="BY101" s="4395" t="n"/>
      <c r="BZ101" s="4395" t="n"/>
      <c r="CA101" s="4395" t="n"/>
      <c r="CB101" s="4395" t="n"/>
      <c r="CC101" s="4395" t="n"/>
      <c r="CD101" s="4395" t="n"/>
      <c r="CE101" s="4395" t="n"/>
      <c r="CF101" s="4395" t="n"/>
      <c r="CG101" s="4395" t="n"/>
      <c r="CH101" s="4395" t="n"/>
      <c r="CI101" s="4395" t="n"/>
      <c r="CJ101" s="4395" t="n"/>
      <c r="CK101" s="4395" t="n"/>
      <c r="CL101" s="4395" t="n"/>
      <c r="CM101" s="4395" t="n"/>
      <c r="CN101" s="4395" t="n"/>
      <c r="CO101" s="4395" t="n"/>
      <c r="CP101" s="4395" t="n"/>
      <c r="CQ101" s="4395" t="n"/>
      <c r="CR101" s="4395" t="n"/>
      <c r="CS101" s="4395" t="n"/>
      <c r="CT101" s="4395" t="n"/>
      <c r="CU101" s="4395" t="n"/>
      <c r="CV101" s="4395" t="n"/>
      <c r="CW101" s="4395" t="n"/>
      <c r="CX101" s="4395" t="n"/>
      <c r="CY101" s="4395" t="n"/>
      <c r="CZ101" s="4395" t="n"/>
      <c r="DA101" s="4395" t="n"/>
      <c r="DB101" s="4395" t="n"/>
      <c r="DC101" s="4395" t="n"/>
      <c r="DD101" s="4395" t="n"/>
      <c r="DE101" s="4395" t="n"/>
      <c r="DF101" s="4395" t="n"/>
      <c r="DG101" s="4395" t="n"/>
      <c r="DH101" s="4395" t="n"/>
    </row>
    <row r="102" ht="16" customHeight="1">
      <c r="A102" t="inlineStr">
        <is>
          <t>Livestock</t>
        </is>
      </c>
      <c r="B102">
        <f>'4.Grassland'!E65</f>
        <v/>
      </c>
      <c r="C102">
        <f>'4.Grassland'!I65</f>
        <v/>
      </c>
      <c r="D102">
        <f>'4.Grassland'!AG65</f>
        <v/>
      </c>
      <c r="E102">
        <f>IF('4.Grassland'!CG65&lt;&gt;0,'4.Grassland'!CG65, '4.Grassland'!CF65)</f>
        <v/>
      </c>
      <c r="F102">
        <f>time</f>
        <v/>
      </c>
      <c r="G102" s="4395">
        <f>'4.Grassland'!Y65</f>
        <v/>
      </c>
      <c r="H102" s="4395">
        <f>'4.Grassland'!AA65</f>
        <v/>
      </c>
      <c r="I102" s="4395">
        <f>IF(OR(H102="I", G102="I"), "I", IF(OR(H102="E", G102="E"), "E", "D"))</f>
        <v/>
      </c>
      <c r="J102" s="4395">
        <f>((D102/(time_cap+((F102-E102+1)*VLOOKUP(I102,list!$I$48:$K$50,3, FALSE))))*(F102-E102+1)*VLOOKUP(I102,list!$I$48:$K$50,3, FALSE))</f>
        <v/>
      </c>
      <c r="K102" s="4395">
        <f>((D102/(time_cap+((F102-E102+1)*VLOOKUP(I102,list!$I$48:$K$50,3, FALSE))))*time_cap)</f>
        <v/>
      </c>
      <c r="M102" s="4395">
        <f>IFERROR(IF((time+time_cap)&lt;M$2, 0,IF(AND(time+1&gt;=N$2, $E102&lt;N$2), IF($I102= "I", $J102/($F102-$E102+1), $J102/(($F102*($F102+1)/2)-(($E102-1)*($E102-1+1)/2))*M$2), 0)+IF(IF(time+1&gt;=N$2, $K102/time_cap/(time+1)*M$2, 0) = 0, $K102/(time_cap),0)),0)</f>
        <v/>
      </c>
      <c r="N102" s="4395">
        <f>IFERROR(IF((time+time_cap)&lt;N$2, 0,IF(AND(time+1&gt;=O$2, $E102&lt;O$2), IF($I102= "I", $J102/($F102-$E102+1), $J102/(($F102*($F102+1)/2)-(($E102-1)*($E102-1+1)/2))*N$2), 0)+IF(IF(time+1&gt;=O$2, $K102/time_cap/(time+1)*N$2, 0) = 0, $K102/(time_cap),0)),0)</f>
        <v/>
      </c>
      <c r="O102" s="4395">
        <f>IFERROR(IF((time+time_cap)&lt;O$2, 0,IF(AND(time+1&gt;=P$2, $E102&lt;P$2), IF($I102= "I", $J102/($F102-$E102+1), $J102/(($F102*($F102+1)/2)-(($E102-1)*($E102-1+1)/2))*O$2), 0)+IF(IF(time+1&gt;=P$2, $K102/time_cap/(time+1)*O$2, 0) = 0, $K102/(time_cap),0)),0)</f>
        <v/>
      </c>
      <c r="P102" s="4395">
        <f>IFERROR(IF((time+time_cap)&lt;P$2, 0,IF(AND(time+1&gt;=Q$2, $E102&lt;Q$2), IF($I102= "I", $J102/($F102-$E102+1), $J102/(($F102*($F102+1)/2)-(($E102-1)*($E102-1+1)/2))*P$2), 0)+IF(IF(time+1&gt;=Q$2, $K102/time_cap/(time+1)*P$2, 0) = 0, $K102/(time_cap),0)),0)</f>
        <v/>
      </c>
      <c r="Q102" s="4395">
        <f>IFERROR(IF((time+time_cap)&lt;Q$2, 0,IF(AND(time+1&gt;=R$2, $E102&lt;R$2), IF($I102= "I", $J102/($F102-$E102+1), $J102/(($F102*($F102+1)/2)-(($E102-1)*($E102-1+1)/2))*Q$2), 0)+IF(IF(time+1&gt;=R$2, $K102/time_cap/(time+1)*Q$2, 0) = 0, $K102/(time_cap),0)),0)</f>
        <v/>
      </c>
      <c r="R102" s="4395">
        <f>IFERROR(IF((time+time_cap)&lt;R$2, 0,IF(AND(time+1&gt;=S$2, $E102&lt;S$2), IF($I102= "I", $J102/($F102-$E102+1), $J102/(($F102*($F102+1)/2)-(($E102-1)*($E102-1+1)/2))*R$2), 0)+IF(IF(time+1&gt;=S$2, $K102/time_cap/(time+1)*R$2, 0) = 0, $K102/(time_cap),0)),0)</f>
        <v/>
      </c>
      <c r="S102" s="4395">
        <f>IFERROR(IF((time+time_cap)&lt;S$2, 0,IF(AND(time+1&gt;=T$2, $E102&lt;T$2), IF($I102= "I", $J102/($F102-$E102+1), $J102/(($F102*($F102+1)/2)-(($E102-1)*($E102-1+1)/2))*S$2), 0)+IF(IF(time+1&gt;=T$2, $K102/time_cap/(time+1)*S$2, 0) = 0, $K102/(time_cap),0)),0)</f>
        <v/>
      </c>
      <c r="T102" s="4395">
        <f>IFERROR(IF((time+time_cap)&lt;T$2, 0,IF(AND(time+1&gt;=U$2, $E102&lt;U$2), IF($I102= "I", $J102/($F102-$E102+1), $J102/(($F102*($F102+1)/2)-(($E102-1)*($E102-1+1)/2))*T$2), 0)+IF(IF(time+1&gt;=U$2, $K102/time_cap/(time+1)*T$2, 0) = 0, $K102/(time_cap),0)),0)</f>
        <v/>
      </c>
      <c r="U102" s="4395">
        <f>IFERROR(IF((time+time_cap)&lt;U$2, 0,IF(AND(time+1&gt;=V$2, $E102&lt;V$2), IF($I102= "I", $J102/($F102-$E102+1), $J102/(($F102*($F102+1)/2)-(($E102-1)*($E102-1+1)/2))*U$2), 0)+IF(IF(time+1&gt;=V$2, $K102/time_cap/(time+1)*U$2, 0) = 0, $K102/(time_cap),0)),0)</f>
        <v/>
      </c>
      <c r="V102" s="4395">
        <f>IFERROR(IF((time+time_cap)&lt;V$2, 0,IF(AND(time+1&gt;=W$2, $E102&lt;W$2), IF($I102= "I", $J102/($F102-$E102+1), $J102/(($F102*($F102+1)/2)-(($E102-1)*($E102-1+1)/2))*V$2), 0)+IF(IF(time+1&gt;=W$2, $K102/time_cap/(time+1)*V$2, 0) = 0, $K102/(time_cap),0)),0)</f>
        <v/>
      </c>
      <c r="W102" s="4395">
        <f>IFERROR(IF((time+time_cap)&lt;W$2, 0,IF(AND(time+1&gt;=X$2, $E102&lt;X$2), IF($I102= "I", $J102/($F102-$E102+1), $J102/(($F102*($F102+1)/2)-(($E102-1)*($E102-1+1)/2))*W$2), 0)+IF(IF(time+1&gt;=X$2, $K102/time_cap/(time+1)*W$2, 0) = 0, $K102/(time_cap),0)),0)</f>
        <v/>
      </c>
      <c r="X102" s="4395">
        <f>IFERROR(IF((time+time_cap)&lt;X$2, 0,IF(AND(time+1&gt;=Y$2, $E102&lt;Y$2), IF($I102= "I", $J102/($F102-$E102+1), $J102/(($F102*($F102+1)/2)-(($E102-1)*($E102-1+1)/2))*X$2), 0)+IF(IF(time+1&gt;=Y$2, $K102/time_cap/(time+1)*X$2, 0) = 0, $K102/(time_cap),0)),0)</f>
        <v/>
      </c>
      <c r="Y102" s="4395">
        <f>IFERROR(IF((time+time_cap)&lt;Y$2, 0,IF(AND(time+1&gt;=Z$2, $E102&lt;Z$2), IF($I102= "I", $J102/($F102-$E102+1), $J102/(($F102*($F102+1)/2)-(($E102-1)*($E102-1+1)/2))*Y$2), 0)+IF(IF(time+1&gt;=Z$2, $K102/time_cap/(time+1)*Y$2, 0) = 0, $K102/(time_cap),0)),0)</f>
        <v/>
      </c>
      <c r="Z102" s="4395">
        <f>IFERROR(IF((time+time_cap)&lt;Z$2, 0,IF(AND(time+1&gt;=AA$2, $E102&lt;AA$2), IF($I102= "I", $J102/($F102-$E102+1), $J102/(($F102*($F102+1)/2)-(($E102-1)*($E102-1+1)/2))*Z$2), 0)+IF(IF(time+1&gt;=AA$2, $K102/time_cap/(time+1)*Z$2, 0) = 0, $K102/(time_cap),0)),0)</f>
        <v/>
      </c>
      <c r="AA102" s="4395">
        <f>IFERROR(IF((time+time_cap)&lt;AA$2, 0,IF(AND(time+1&gt;=AB$2, $E102&lt;AB$2), IF($I102= "I", $J102/($F102-$E102+1), $J102/(($F102*($F102+1)/2)-(($E102-1)*($E102-1+1)/2))*AA$2), 0)+IF(IF(time+1&gt;=AB$2, $K102/time_cap/(time+1)*AA$2, 0) = 0, $K102/(time_cap),0)),0)</f>
        <v/>
      </c>
      <c r="AB102" s="4395">
        <f>IFERROR(IF((time+time_cap)&lt;AB$2, 0,IF(AND(time+1&gt;=AC$2, $E102&lt;AC$2), IF($I102= "I", $J102/($F102-$E102+1), $J102/(($F102*($F102+1)/2)-(($E102-1)*($E102-1+1)/2))*AB$2), 0)+IF(IF(time+1&gt;=AC$2, $K102/time_cap/(time+1)*AB$2, 0) = 0, $K102/(time_cap),0)),0)</f>
        <v/>
      </c>
      <c r="AC102" s="4395">
        <f>IFERROR(IF((time+time_cap)&lt;AC$2, 0,IF(AND(time+1&gt;=AD$2, $E102&lt;AD$2), IF($I102= "I", $J102/($F102-$E102+1), $J102/(($F102*($F102+1)/2)-(($E102-1)*($E102-1+1)/2))*AC$2), 0)+IF(IF(time+1&gt;=AD$2, $K102/time_cap/(time+1)*AC$2, 0) = 0, $K102/(time_cap),0)),0)</f>
        <v/>
      </c>
      <c r="AD102" s="4395">
        <f>IFERROR(IF((time+time_cap)&lt;AD$2, 0,IF(AND(time+1&gt;=AE$2, $E102&lt;AE$2), IF($I102= "I", $J102/($F102-$E102+1), $J102/(($F102*($F102+1)/2)-(($E102-1)*($E102-1+1)/2))*AD$2), 0)+IF(IF(time+1&gt;=AE$2, $K102/time_cap/(time+1)*AD$2, 0) = 0, $K102/(time_cap),0)),0)</f>
        <v/>
      </c>
      <c r="AE102" s="4395">
        <f>IFERROR(IF((time+time_cap)&lt;AE$2, 0,IF(AND(time+1&gt;=AF$2, $E102&lt;AF$2), IF($I102= "I", $J102/($F102-$E102+1), $J102/(($F102*($F102+1)/2)-(($E102-1)*($E102-1+1)/2))*AE$2), 0)+IF(IF(time+1&gt;=AF$2, $K102/time_cap/(time+1)*AE$2, 0) = 0, $K102/(time_cap),0)),0)</f>
        <v/>
      </c>
      <c r="AF102" s="4395">
        <f>IFERROR(IF((time+time_cap)&lt;AF$2, 0,IF(AND(time+1&gt;=AG$2, $E102&lt;AG$2), IF($I102= "I", $J102/($F102-$E102+1), $J102/(($F102*($F102+1)/2)-(($E102-1)*($E102-1+1)/2))*AF$2), 0)+IF(IF(time+1&gt;=AG$2, $K102/time_cap/(time+1)*AF$2, 0) = 0, $K102/(time_cap),0)),0)</f>
        <v/>
      </c>
      <c r="AG102" s="4395">
        <f>IFERROR(IF((time+time_cap)&lt;AG$2, 0,IF(AND(time+1&gt;=AH$2, $E102&lt;AH$2), IF($I102= "I", $J102/($F102-$E102+1), $J102/(($F102*($F102+1)/2)-(($E102-1)*($E102-1+1)/2))*AG$2), 0)+IF(IF(time+1&gt;=AH$2, $K102/time_cap/(time+1)*AG$2, 0) = 0, $K102/(time_cap),0)),0)</f>
        <v/>
      </c>
      <c r="AH102" s="4395">
        <f>IFERROR(IF((time+time_cap)&lt;AH$2, 0,IF(AND(time+1&gt;=AI$2, $E102&lt;AI$2), IF($I102= "I", $J102/($F102-$E102+1), $J102/(($F102*($F102+1)/2)-(($E102-1)*($E102-1+1)/2))*AH$2), 0)+IF(IF(time+1&gt;=AI$2, $K102/time_cap/(time+1)*AH$2, 0) = 0, $K102/(time_cap),0)),0)</f>
        <v/>
      </c>
      <c r="AI102" s="4395">
        <f>IFERROR(IF((time+time_cap)&lt;AI$2, 0,IF(AND(time+1&gt;=AJ$2, $E102&lt;AJ$2), IF($I102= "I", $J102/($F102-$E102+1), $J102/(($F102*($F102+1)/2)-(($E102-1)*($E102-1+1)/2))*AI$2), 0)+IF(IF(time+1&gt;=AJ$2, $K102/time_cap/(time+1)*AI$2, 0) = 0, $K102/(time_cap),0)),0)</f>
        <v/>
      </c>
      <c r="AJ102" s="4395">
        <f>IFERROR(IF((time+time_cap)&lt;AJ$2, 0,IF(AND(time+1&gt;=AK$2, $E102&lt;AK$2), IF($I102= "I", $J102/($F102-$E102+1), $J102/(($F102*($F102+1)/2)-(($E102-1)*($E102-1+1)/2))*AJ$2), 0)+IF(IF(time+1&gt;=AK$2, $K102/time_cap/(time+1)*AJ$2, 0) = 0, $K102/(time_cap),0)),0)</f>
        <v/>
      </c>
      <c r="AK102" s="4395">
        <f>IFERROR(IF((time+time_cap)&lt;AK$2, 0,IF(AND(time+1&gt;=AL$2, $E102&lt;AL$2), IF($I102= "I", $J102/($F102-$E102+1), $J102/(($F102*($F102+1)/2)-(($E102-1)*($E102-1+1)/2))*AK$2), 0)+IF(IF(time+1&gt;=AL$2, $K102/time_cap/(time+1)*AK$2, 0) = 0, $K102/(time_cap),0)),0)</f>
        <v/>
      </c>
      <c r="AL102" s="4395">
        <f>IFERROR(IF((time+time_cap)&lt;AL$2, 0,IF(AND(time+1&gt;=AM$2, $E102&lt;AM$2), IF($I102= "I", $J102/($F102-$E102+1), $J102/(($F102*($F102+1)/2)-(($E102-1)*($E102-1+1)/2))*AL$2), 0)+IF(IF(time+1&gt;=AM$2, $K102/time_cap/(time+1)*AL$2, 0) = 0, $K102/(time_cap),0)),0)</f>
        <v/>
      </c>
      <c r="AM102" s="4395">
        <f>IFERROR(IF((time+time_cap)&lt;AM$2, 0,IF(AND(time+1&gt;=AN$2, $E102&lt;AN$2), IF($I102= "I", $J102/($F102-$E102+1), $J102/(($F102*($F102+1)/2)-(($E102-1)*($E102-1+1)/2))*AM$2), 0)+IF(IF(time+1&gt;=AN$2, $K102/time_cap/(time+1)*AM$2, 0) = 0, $K102/(time_cap),0)),0)</f>
        <v/>
      </c>
      <c r="AN102" s="4395">
        <f>IFERROR(IF((time+time_cap)&lt;AN$2, 0,IF(AND(time+1&gt;=AO$2, $E102&lt;AO$2), IF($I102= "I", $J102/($F102-$E102+1), $J102/(($F102*($F102+1)/2)-(($E102-1)*($E102-1+1)/2))*AN$2), 0)+IF(IF(time+1&gt;=AO$2, $K102/time_cap/(time+1)*AN$2, 0) = 0, $K102/(time_cap),0)),0)</f>
        <v/>
      </c>
      <c r="AO102" s="4395">
        <f>IFERROR(IF((time+time_cap)&lt;AO$2, 0,IF(AND(time+1&gt;=AP$2, $E102&lt;AP$2), IF($I102= "I", $J102/($F102-$E102+1), $J102/(($F102*($F102+1)/2)-(($E102-1)*($E102-1+1)/2))*AO$2), 0)+IF(IF(time+1&gt;=AP$2, $K102/time_cap/(time+1)*AO$2, 0) = 0, $K102/(time_cap),0)),0)</f>
        <v/>
      </c>
      <c r="AP102" s="4395">
        <f>IFERROR(IF((time+time_cap)&lt;AP$2, 0,IF(AND(time+1&gt;=AQ$2, $E102&lt;AQ$2), IF($I102= "I", $J102/($F102-$E102+1), $J102/(($F102*($F102+1)/2)-(($E102-1)*($E102-1+1)/2))*AP$2), 0)+IF(IF(time+1&gt;=AQ$2, $K102/time_cap/(time+1)*AP$2, 0) = 0, $K102/(time_cap),0)),0)</f>
        <v/>
      </c>
      <c r="AQ102" s="4395">
        <f>IFERROR(IF((time+time_cap)&lt;AQ$2, 0,IF(AND(time+1&gt;=AR$2, $E102&lt;AR$2), IF($I102= "I", $J102/($F102-$E102+1), $J102/(($F102*($F102+1)/2)-(($E102-1)*($E102-1+1)/2))*AQ$2), 0)+IF(IF(time+1&gt;=AR$2, $K102/time_cap/(time+1)*AQ$2, 0) = 0, $K102/(time_cap),0)),0)</f>
        <v/>
      </c>
      <c r="AR102" s="4395">
        <f>IFERROR(IF((time+time_cap)&lt;AR$2, 0,IF(AND(time+1&gt;=AS$2, $E102&lt;AS$2), IF($I102= "I", $J102/($F102-$E102+1), $J102/(($F102*($F102+1)/2)-(($E102-1)*($E102-1+1)/2))*AR$2), 0)+IF(IF(time+1&gt;=AS$2, $K102/time_cap/(time+1)*AR$2, 0) = 0, $K102/(time_cap),0)),0)</f>
        <v/>
      </c>
      <c r="AS102" s="4395">
        <f>IFERROR(IF((time+time_cap)&lt;AS$2, 0,IF(AND(time+1&gt;=AT$2, $E102&lt;AT$2), IF($I102= "I", $J102/($F102-$E102+1), $J102/(($F102*($F102+1)/2)-(($E102-1)*($E102-1+1)/2))*AS$2), 0)+IF(IF(time+1&gt;=AT$2, $K102/time_cap/(time+1)*AS$2, 0) = 0, $K102/(time_cap),0)),0)</f>
        <v/>
      </c>
      <c r="AT102" s="4395">
        <f>IFERROR(IF((time+time_cap)&lt;AT$2, 0,IF(AND(time+1&gt;=AU$2, $E102&lt;AU$2), IF($I102= "I", $J102/($F102-$E102+1), $J102/(($F102*($F102+1)/2)-(($E102-1)*($E102-1+1)/2))*AT$2), 0)+IF(IF(time+1&gt;=AU$2, $K102/time_cap/(time+1)*AT$2, 0) = 0, $K102/(time_cap),0)),0)</f>
        <v/>
      </c>
      <c r="AU102" s="4395">
        <f>IFERROR(IF((time+time_cap)&lt;AU$2, 0,IF(AND(time+1&gt;=AV$2, $E102&lt;AV$2), IF($I102= "I", $J102/($F102-$E102+1), $J102/(($F102*($F102+1)/2)-(($E102-1)*($E102-1+1)/2))*AU$2), 0)+IF(IF(time+1&gt;=AV$2, $K102/time_cap/(time+1)*AU$2, 0) = 0, $K102/(time_cap),0)),0)</f>
        <v/>
      </c>
      <c r="AV102" s="4395">
        <f>IFERROR(IF((time+time_cap)&lt;AV$2, 0,IF(AND(time+1&gt;=AW$2, $E102&lt;AW$2), IF($I102= "I", $J102/($F102-$E102+1), $J102/(($F102*($F102+1)/2)-(($E102-1)*($E102-1+1)/2))*AV$2), 0)+IF(IF(time+1&gt;=AW$2, $K102/time_cap/(time+1)*AV$2, 0) = 0, $K102/(time_cap),0)),0)</f>
        <v/>
      </c>
      <c r="AW102" s="4395">
        <f>IFERROR(IF((time+time_cap)&lt;AW$2, 0,IF(AND(time+1&gt;=AX$2, $E102&lt;AX$2), IF($I102= "I", $J102/($F102-$E102+1), $J102/(($F102*($F102+1)/2)-(($E102-1)*($E102-1+1)/2))*AW$2), 0)+IF(IF(time+1&gt;=AX$2, $K102/time_cap/(time+1)*AW$2, 0) = 0, $K102/(time_cap),0)),0)</f>
        <v/>
      </c>
      <c r="AX102" s="4395">
        <f>IFERROR(IF((time+time_cap)&lt;AX$2, 0,IF(AND(time+1&gt;=AY$2, $E102&lt;AY$2), IF($I102= "I", $J102/($F102-$E102+1), $J102/(($F102*($F102+1)/2)-(($E102-1)*($E102-1+1)/2))*AX$2), 0)+IF(IF(time+1&gt;=AY$2, $K102/time_cap/(time+1)*AX$2, 0) = 0, $K102/(time_cap),0)),0)</f>
        <v/>
      </c>
      <c r="AY102" s="4395">
        <f>IFERROR(IF((time+time_cap)&lt;AY$2, 0,IF(AND(time+1&gt;=AZ$2, $E102&lt;AZ$2), IF($I102= "I", $J102/($F102-$E102+1), $J102/(($F102*($F102+1)/2)-(($E102-1)*($E102-1+1)/2))*AY$2), 0)+IF(IF(time+1&gt;=AZ$2, $K102/time_cap/(time+1)*AY$2, 0) = 0, $K102/(time_cap),0)),0)</f>
        <v/>
      </c>
      <c r="AZ102" s="4395">
        <f>IFERROR(IF((time+time_cap)&lt;AZ$2, 0,IF(AND(time+1&gt;=BA$2, $E102&lt;BA$2), IF($I102= "I", $J102/($F102-$E102+1), $J102/(($F102*($F102+1)/2)-(($E102-1)*($E102-1+1)/2))*AZ$2), 0)+IF(IF(time+1&gt;=BA$2, $K102/time_cap/(time+1)*AZ$2, 0) = 0, $K102/(time_cap),0)),0)</f>
        <v/>
      </c>
      <c r="BA102" s="4395">
        <f>IFERROR(IF((time+time_cap)&lt;BA$2, 0,IF(AND(time+1&gt;=BB$2, $E102&lt;BB$2), IF($I102= "I", $J102/($F102-$E102+1), $J102/(($F102*($F102+1)/2)-(($E102-1)*($E102-1+1)/2))*BA$2), 0)+IF(IF(time+1&gt;=BB$2, $K102/time_cap/(time+1)*BA$2, 0) = 0, $K102/(time_cap),0)),0)</f>
        <v/>
      </c>
      <c r="BB102" s="4395">
        <f>IFERROR(IF((time+time_cap)&lt;BB$2, 0,IF(AND(time+1&gt;=BC$2, $E102&lt;BC$2), IF($I102= "I", $J102/($F102-$E102+1), $J102/(($F102*($F102+1)/2)-(($E102-1)*($E102-1+1)/2))*BB$2), 0)+IF(IF(time+1&gt;=BC$2, $K102/time_cap/(time+1)*BB$2, 0) = 0, $K102/(time_cap),0)),0)</f>
        <v/>
      </c>
      <c r="BC102" s="4395">
        <f>IFERROR(IF((time+time_cap)&lt;BC$2, 0,IF(AND(time+1&gt;=BD$2, $E102&lt;BD$2), IF($I102= "I", $J102/($F102-$E102+1), $J102/(($F102*($F102+1)/2)-(($E102-1)*($E102-1+1)/2))*BC$2), 0)+IF(IF(time+1&gt;=BD$2, $K102/time_cap/(time+1)*BC$2, 0) = 0, $K102/(time_cap),0)),0)</f>
        <v/>
      </c>
      <c r="BD102" s="4395">
        <f>IFERROR(IF((time+time_cap)&lt;BD$2, 0,IF(AND(time+1&gt;=BE$2, $E102&lt;BE$2), IF($I102= "I", $J102/($F102-$E102+1), $J102/(($F102*($F102+1)/2)-(($E102-1)*($E102-1+1)/2))*BD$2), 0)+IF(IF(time+1&gt;=BE$2, $K102/time_cap/(time+1)*BD$2, 0) = 0, $K102/(time_cap),0)),0)</f>
        <v/>
      </c>
      <c r="BE102" s="4395">
        <f>IFERROR(IF((time+time_cap)&lt;BE$2, 0,IF(AND(time+1&gt;=BF$2, $E102&lt;BF$2), IF($I102= "I", $J102/($F102-$E102+1), $J102/(($F102*($F102+1)/2)-(($E102-1)*($E102-1+1)/2))*BE$2), 0)+IF(IF(time+1&gt;=BF$2, $K102/time_cap/(time+1)*BE$2, 0) = 0, $K102/(time_cap),0)),0)</f>
        <v/>
      </c>
      <c r="BF102" s="4395">
        <f>IFERROR(IF((time+time_cap)&lt;BF$2, 0,IF(AND(time+1&gt;=BG$2, $E102&lt;BG$2), IF($I102= "I", $J102/($F102-$E102+1), $J102/(($F102*($F102+1)/2)-(($E102-1)*($E102-1+1)/2))*BF$2), 0)+IF(IF(time+1&gt;=BG$2, $K102/time_cap/(time+1)*BF$2, 0) = 0, $K102/(time_cap),0)),0)</f>
        <v/>
      </c>
      <c r="BG102" s="4395">
        <f>IFERROR(IF((time+time_cap)&lt;BG$2, 0,IF(AND(time+1&gt;=BH$2, $E102&lt;BH$2), IF($I102= "I", $J102/($F102-$E102+1), $J102/(($F102*($F102+1)/2)-(($E102-1)*($E102-1+1)/2))*BG$2), 0)+IF(IF(time+1&gt;=BH$2, $K102/time_cap/(time+1)*BG$2, 0) = 0, $K102/(time_cap),0)),0)</f>
        <v/>
      </c>
      <c r="BH102" s="4395">
        <f>IFERROR(IF((time+time_cap)&lt;BH$2, 0,IF(AND(time+1&gt;=BI$2, $E102&lt;BI$2), IF($I102= "I", $J102/($F102-$E102+1), $J102/(($F102*($F102+1)/2)-(($E102-1)*($E102-1+1)/2))*BH$2), 0)+IF(IF(time+1&gt;=BI$2, $K102/time_cap/(time+1)*BH$2, 0) = 0, $K102/(time_cap),0)),0)</f>
        <v/>
      </c>
      <c r="BI102" s="4395">
        <f>IFERROR(IF((time+time_cap)&lt;BI$2, 0,IF(AND(time+1&gt;=BJ$2, $E102&lt;BJ$2), IF($I102= "I", $J102/($F102-$E102+1), $J102/(($F102*($F102+1)/2)-(($E102-1)*($E102-1+1)/2))*BI$2), 0)+IF(IF(time+1&gt;=BJ$2, $K102/time_cap/(time+1)*BI$2, 0) = 0, $K102/(time_cap),0)),0)</f>
        <v/>
      </c>
      <c r="BJ102" s="4395">
        <f>IFERROR(IF((time+time_cap)&lt;BJ$2, 0,IF(AND(time+1&gt;=BK$2, $E102&lt;BK$2), IF($I102= "I", $J102/($F102-$E102+1), $J102/(($F102*($F102+1)/2)-(($E102-1)*($E102-1+1)/2))*BJ$2), 0)+IF(IF(time+1&gt;=BK$2, $K102/time_cap/(time+1)*BJ$2, 0) = 0, $K102/(time_cap),0)),0)</f>
        <v/>
      </c>
      <c r="BK102" s="4395" t="n"/>
      <c r="BL102" s="4395" t="n"/>
      <c r="BM102" s="4395" t="n"/>
      <c r="BN102" s="4395" t="n"/>
      <c r="BO102" s="4395" t="n"/>
      <c r="BP102" s="4395" t="n"/>
      <c r="BQ102" s="4395" t="n"/>
      <c r="BR102" s="4395" t="n"/>
      <c r="BS102" s="4395" t="n"/>
      <c r="BT102" s="4395" t="n"/>
      <c r="BU102" s="4395" t="n"/>
      <c r="BV102" s="4395" t="n"/>
      <c r="BW102" s="4395" t="n"/>
      <c r="BX102" s="4395" t="n"/>
      <c r="BY102" s="4395" t="n"/>
      <c r="BZ102" s="4395" t="n"/>
      <c r="CA102" s="4395" t="n"/>
      <c r="CB102" s="4395" t="n"/>
      <c r="CC102" s="4395" t="n"/>
      <c r="CD102" s="4395" t="n"/>
      <c r="CE102" s="4395" t="n"/>
      <c r="CF102" s="4395" t="n"/>
      <c r="CG102" s="4395" t="n"/>
      <c r="CH102" s="4395" t="n"/>
      <c r="CI102" s="4395" t="n"/>
      <c r="CJ102" s="4395" t="n"/>
      <c r="CK102" s="4395" t="n"/>
      <c r="CL102" s="4395" t="n"/>
      <c r="CM102" s="4395" t="n"/>
      <c r="CN102" s="4395" t="n"/>
      <c r="CO102" s="4395" t="n"/>
      <c r="CP102" s="4395" t="n"/>
      <c r="CQ102" s="4395" t="n"/>
      <c r="CR102" s="4395" t="n"/>
      <c r="CS102" s="4395" t="n"/>
      <c r="CT102" s="4395" t="n"/>
      <c r="CU102" s="4395" t="n"/>
      <c r="CV102" s="4395" t="n"/>
      <c r="CW102" s="4395" t="n"/>
      <c r="CX102" s="4395" t="n"/>
      <c r="CY102" s="4395" t="n"/>
      <c r="CZ102" s="4395" t="n"/>
      <c r="DA102" s="4395" t="n"/>
      <c r="DB102" s="4395" t="n"/>
      <c r="DC102" s="4395" t="n"/>
      <c r="DD102" s="4395" t="n"/>
      <c r="DE102" s="4395" t="n"/>
      <c r="DF102" s="4395" t="n"/>
      <c r="DG102" s="4395" t="n"/>
      <c r="DH102" s="4395" t="n"/>
    </row>
    <row r="103" ht="16" customHeight="1">
      <c r="A103" t="inlineStr">
        <is>
          <t>Livestock</t>
        </is>
      </c>
      <c r="B103">
        <f>'4.Grassland'!E66</f>
        <v/>
      </c>
      <c r="C103">
        <f>'4.Grassland'!I66</f>
        <v/>
      </c>
      <c r="D103">
        <f>'4.Grassland'!AG66</f>
        <v/>
      </c>
      <c r="E103">
        <f>IF('4.Grassland'!CG66&lt;&gt;0,'4.Grassland'!CG66, '4.Grassland'!CF66)</f>
        <v/>
      </c>
      <c r="F103">
        <f>time</f>
        <v/>
      </c>
      <c r="G103" s="4395">
        <f>'4.Grassland'!Y66</f>
        <v/>
      </c>
      <c r="H103" s="4395">
        <f>'4.Grassland'!AA66</f>
        <v/>
      </c>
      <c r="I103" s="4395">
        <f>IF(OR(H103="I", G103="I"), "I", IF(OR(H103="E", G103="E"), "E", "D"))</f>
        <v/>
      </c>
      <c r="J103" s="4395">
        <f>((D103/(time_cap+((F103-E103+1)*VLOOKUP(I103,list!$I$48:$K$50,3, FALSE))))*(F103-E103+1)*VLOOKUP(I103,list!$I$48:$K$50,3, FALSE))</f>
        <v/>
      </c>
      <c r="K103" s="4395">
        <f>((D103/(time_cap+((F103-E103+1)*VLOOKUP(I103,list!$I$48:$K$50,3, FALSE))))*time_cap)</f>
        <v/>
      </c>
      <c r="M103" s="4395">
        <f>IFERROR(IF((time+time_cap)&lt;M$2, 0,IF(AND(time+1&gt;=N$2, $E103&lt;N$2), IF($I103= "I", $J103/($F103-$E103+1), $J103/(($F103*($F103+1)/2)-(($E103-1)*($E103-1+1)/2))*M$2), 0)+IF(IF(time+1&gt;=N$2, $K103/time_cap/(time+1)*M$2, 0) = 0, $K103/(time_cap),0)),0)</f>
        <v/>
      </c>
      <c r="N103" s="4395">
        <f>IFERROR(IF((time+time_cap)&lt;N$2, 0,IF(AND(time+1&gt;=O$2, $E103&lt;O$2), IF($I103= "I", $J103/($F103-$E103+1), $J103/(($F103*($F103+1)/2)-(($E103-1)*($E103-1+1)/2))*N$2), 0)+IF(IF(time+1&gt;=O$2, $K103/time_cap/(time+1)*N$2, 0) = 0, $K103/(time_cap),0)),0)</f>
        <v/>
      </c>
      <c r="O103" s="4395">
        <f>IFERROR(IF((time+time_cap)&lt;O$2, 0,IF(AND(time+1&gt;=P$2, $E103&lt;P$2), IF($I103= "I", $J103/($F103-$E103+1), $J103/(($F103*($F103+1)/2)-(($E103-1)*($E103-1+1)/2))*O$2), 0)+IF(IF(time+1&gt;=P$2, $K103/time_cap/(time+1)*O$2, 0) = 0, $K103/(time_cap),0)),0)</f>
        <v/>
      </c>
      <c r="P103" s="4395">
        <f>IFERROR(IF((time+time_cap)&lt;P$2, 0,IF(AND(time+1&gt;=Q$2, $E103&lt;Q$2), IF($I103= "I", $J103/($F103-$E103+1), $J103/(($F103*($F103+1)/2)-(($E103-1)*($E103-1+1)/2))*P$2), 0)+IF(IF(time+1&gt;=Q$2, $K103/time_cap/(time+1)*P$2, 0) = 0, $K103/(time_cap),0)),0)</f>
        <v/>
      </c>
      <c r="Q103" s="4395">
        <f>IFERROR(IF((time+time_cap)&lt;Q$2, 0,IF(AND(time+1&gt;=R$2, $E103&lt;R$2), IF($I103= "I", $J103/($F103-$E103+1), $J103/(($F103*($F103+1)/2)-(($E103-1)*($E103-1+1)/2))*Q$2), 0)+IF(IF(time+1&gt;=R$2, $K103/time_cap/(time+1)*Q$2, 0) = 0, $K103/(time_cap),0)),0)</f>
        <v/>
      </c>
      <c r="R103" s="4395">
        <f>IFERROR(IF((time+time_cap)&lt;R$2, 0,IF(AND(time+1&gt;=S$2, $E103&lt;S$2), IF($I103= "I", $J103/($F103-$E103+1), $J103/(($F103*($F103+1)/2)-(($E103-1)*($E103-1+1)/2))*R$2), 0)+IF(IF(time+1&gt;=S$2, $K103/time_cap/(time+1)*R$2, 0) = 0, $K103/(time_cap),0)),0)</f>
        <v/>
      </c>
      <c r="S103" s="4395">
        <f>IFERROR(IF((time+time_cap)&lt;S$2, 0,IF(AND(time+1&gt;=T$2, $E103&lt;T$2), IF($I103= "I", $J103/($F103-$E103+1), $J103/(($F103*($F103+1)/2)-(($E103-1)*($E103-1+1)/2))*S$2), 0)+IF(IF(time+1&gt;=T$2, $K103/time_cap/(time+1)*S$2, 0) = 0, $K103/(time_cap),0)),0)</f>
        <v/>
      </c>
      <c r="T103" s="4395">
        <f>IFERROR(IF((time+time_cap)&lt;T$2, 0,IF(AND(time+1&gt;=U$2, $E103&lt;U$2), IF($I103= "I", $J103/($F103-$E103+1), $J103/(($F103*($F103+1)/2)-(($E103-1)*($E103-1+1)/2))*T$2), 0)+IF(IF(time+1&gt;=U$2, $K103/time_cap/(time+1)*T$2, 0) = 0, $K103/(time_cap),0)),0)</f>
        <v/>
      </c>
      <c r="U103" s="4395">
        <f>IFERROR(IF((time+time_cap)&lt;U$2, 0,IF(AND(time+1&gt;=V$2, $E103&lt;V$2), IF($I103= "I", $J103/($F103-$E103+1), $J103/(($F103*($F103+1)/2)-(($E103-1)*($E103-1+1)/2))*U$2), 0)+IF(IF(time+1&gt;=V$2, $K103/time_cap/(time+1)*U$2, 0) = 0, $K103/(time_cap),0)),0)</f>
        <v/>
      </c>
      <c r="V103" s="4395">
        <f>IFERROR(IF((time+time_cap)&lt;V$2, 0,IF(AND(time+1&gt;=W$2, $E103&lt;W$2), IF($I103= "I", $J103/($F103-$E103+1), $J103/(($F103*($F103+1)/2)-(($E103-1)*($E103-1+1)/2))*V$2), 0)+IF(IF(time+1&gt;=W$2, $K103/time_cap/(time+1)*V$2, 0) = 0, $K103/(time_cap),0)),0)</f>
        <v/>
      </c>
      <c r="W103" s="4395">
        <f>IFERROR(IF((time+time_cap)&lt;W$2, 0,IF(AND(time+1&gt;=X$2, $E103&lt;X$2), IF($I103= "I", $J103/($F103-$E103+1), $J103/(($F103*($F103+1)/2)-(($E103-1)*($E103-1+1)/2))*W$2), 0)+IF(IF(time+1&gt;=X$2, $K103/time_cap/(time+1)*W$2, 0) = 0, $K103/(time_cap),0)),0)</f>
        <v/>
      </c>
      <c r="X103" s="4395">
        <f>IFERROR(IF((time+time_cap)&lt;X$2, 0,IF(AND(time+1&gt;=Y$2, $E103&lt;Y$2), IF($I103= "I", $J103/($F103-$E103+1), $J103/(($F103*($F103+1)/2)-(($E103-1)*($E103-1+1)/2))*X$2), 0)+IF(IF(time+1&gt;=Y$2, $K103/time_cap/(time+1)*X$2, 0) = 0, $K103/(time_cap),0)),0)</f>
        <v/>
      </c>
      <c r="Y103" s="4395">
        <f>IFERROR(IF((time+time_cap)&lt;Y$2, 0,IF(AND(time+1&gt;=Z$2, $E103&lt;Z$2), IF($I103= "I", $J103/($F103-$E103+1), $J103/(($F103*($F103+1)/2)-(($E103-1)*($E103-1+1)/2))*Y$2), 0)+IF(IF(time+1&gt;=Z$2, $K103/time_cap/(time+1)*Y$2, 0) = 0, $K103/(time_cap),0)),0)</f>
        <v/>
      </c>
      <c r="Z103" s="4395">
        <f>IFERROR(IF((time+time_cap)&lt;Z$2, 0,IF(AND(time+1&gt;=AA$2, $E103&lt;AA$2), IF($I103= "I", $J103/($F103-$E103+1), $J103/(($F103*($F103+1)/2)-(($E103-1)*($E103-1+1)/2))*Z$2), 0)+IF(IF(time+1&gt;=AA$2, $K103/time_cap/(time+1)*Z$2, 0) = 0, $K103/(time_cap),0)),0)</f>
        <v/>
      </c>
      <c r="AA103" s="4395">
        <f>IFERROR(IF((time+time_cap)&lt;AA$2, 0,IF(AND(time+1&gt;=AB$2, $E103&lt;AB$2), IF($I103= "I", $J103/($F103-$E103+1), $J103/(($F103*($F103+1)/2)-(($E103-1)*($E103-1+1)/2))*AA$2), 0)+IF(IF(time+1&gt;=AB$2, $K103/time_cap/(time+1)*AA$2, 0) = 0, $K103/(time_cap),0)),0)</f>
        <v/>
      </c>
      <c r="AB103" s="4395">
        <f>IFERROR(IF((time+time_cap)&lt;AB$2, 0,IF(AND(time+1&gt;=AC$2, $E103&lt;AC$2), IF($I103= "I", $J103/($F103-$E103+1), $J103/(($F103*($F103+1)/2)-(($E103-1)*($E103-1+1)/2))*AB$2), 0)+IF(IF(time+1&gt;=AC$2, $K103/time_cap/(time+1)*AB$2, 0) = 0, $K103/(time_cap),0)),0)</f>
        <v/>
      </c>
      <c r="AC103" s="4395">
        <f>IFERROR(IF((time+time_cap)&lt;AC$2, 0,IF(AND(time+1&gt;=AD$2, $E103&lt;AD$2), IF($I103= "I", $J103/($F103-$E103+1), $J103/(($F103*($F103+1)/2)-(($E103-1)*($E103-1+1)/2))*AC$2), 0)+IF(IF(time+1&gt;=AD$2, $K103/time_cap/(time+1)*AC$2, 0) = 0, $K103/(time_cap),0)),0)</f>
        <v/>
      </c>
      <c r="AD103" s="4395">
        <f>IFERROR(IF((time+time_cap)&lt;AD$2, 0,IF(AND(time+1&gt;=AE$2, $E103&lt;AE$2), IF($I103= "I", $J103/($F103-$E103+1), $J103/(($F103*($F103+1)/2)-(($E103-1)*($E103-1+1)/2))*AD$2), 0)+IF(IF(time+1&gt;=AE$2, $K103/time_cap/(time+1)*AD$2, 0) = 0, $K103/(time_cap),0)),0)</f>
        <v/>
      </c>
      <c r="AE103" s="4395">
        <f>IFERROR(IF((time+time_cap)&lt;AE$2, 0,IF(AND(time+1&gt;=AF$2, $E103&lt;AF$2), IF($I103= "I", $J103/($F103-$E103+1), $J103/(($F103*($F103+1)/2)-(($E103-1)*($E103-1+1)/2))*AE$2), 0)+IF(IF(time+1&gt;=AF$2, $K103/time_cap/(time+1)*AE$2, 0) = 0, $K103/(time_cap),0)),0)</f>
        <v/>
      </c>
      <c r="AF103" s="4395">
        <f>IFERROR(IF((time+time_cap)&lt;AF$2, 0,IF(AND(time+1&gt;=AG$2, $E103&lt;AG$2), IF($I103= "I", $J103/($F103-$E103+1), $J103/(($F103*($F103+1)/2)-(($E103-1)*($E103-1+1)/2))*AF$2), 0)+IF(IF(time+1&gt;=AG$2, $K103/time_cap/(time+1)*AF$2, 0) = 0, $K103/(time_cap),0)),0)</f>
        <v/>
      </c>
      <c r="AG103" s="4395">
        <f>IFERROR(IF((time+time_cap)&lt;AG$2, 0,IF(AND(time+1&gt;=AH$2, $E103&lt;AH$2), IF($I103= "I", $J103/($F103-$E103+1), $J103/(($F103*($F103+1)/2)-(($E103-1)*($E103-1+1)/2))*AG$2), 0)+IF(IF(time+1&gt;=AH$2, $K103/time_cap/(time+1)*AG$2, 0) = 0, $K103/(time_cap),0)),0)</f>
        <v/>
      </c>
      <c r="AH103" s="4395">
        <f>IFERROR(IF((time+time_cap)&lt;AH$2, 0,IF(AND(time+1&gt;=AI$2, $E103&lt;AI$2), IF($I103= "I", $J103/($F103-$E103+1), $J103/(($F103*($F103+1)/2)-(($E103-1)*($E103-1+1)/2))*AH$2), 0)+IF(IF(time+1&gt;=AI$2, $K103/time_cap/(time+1)*AH$2, 0) = 0, $K103/(time_cap),0)),0)</f>
        <v/>
      </c>
      <c r="AI103" s="4395">
        <f>IFERROR(IF((time+time_cap)&lt;AI$2, 0,IF(AND(time+1&gt;=AJ$2, $E103&lt;AJ$2), IF($I103= "I", $J103/($F103-$E103+1), $J103/(($F103*($F103+1)/2)-(($E103-1)*($E103-1+1)/2))*AI$2), 0)+IF(IF(time+1&gt;=AJ$2, $K103/time_cap/(time+1)*AI$2, 0) = 0, $K103/(time_cap),0)),0)</f>
        <v/>
      </c>
      <c r="AJ103" s="4395">
        <f>IFERROR(IF((time+time_cap)&lt;AJ$2, 0,IF(AND(time+1&gt;=AK$2, $E103&lt;AK$2), IF($I103= "I", $J103/($F103-$E103+1), $J103/(($F103*($F103+1)/2)-(($E103-1)*($E103-1+1)/2))*AJ$2), 0)+IF(IF(time+1&gt;=AK$2, $K103/time_cap/(time+1)*AJ$2, 0) = 0, $K103/(time_cap),0)),0)</f>
        <v/>
      </c>
      <c r="AK103" s="4395">
        <f>IFERROR(IF((time+time_cap)&lt;AK$2, 0,IF(AND(time+1&gt;=AL$2, $E103&lt;AL$2), IF($I103= "I", $J103/($F103-$E103+1), $J103/(($F103*($F103+1)/2)-(($E103-1)*($E103-1+1)/2))*AK$2), 0)+IF(IF(time+1&gt;=AL$2, $K103/time_cap/(time+1)*AK$2, 0) = 0, $K103/(time_cap),0)),0)</f>
        <v/>
      </c>
      <c r="AL103" s="4395">
        <f>IFERROR(IF((time+time_cap)&lt;AL$2, 0,IF(AND(time+1&gt;=AM$2, $E103&lt;AM$2), IF($I103= "I", $J103/($F103-$E103+1), $J103/(($F103*($F103+1)/2)-(($E103-1)*($E103-1+1)/2))*AL$2), 0)+IF(IF(time+1&gt;=AM$2, $K103/time_cap/(time+1)*AL$2, 0) = 0, $K103/(time_cap),0)),0)</f>
        <v/>
      </c>
      <c r="AM103" s="4395">
        <f>IFERROR(IF((time+time_cap)&lt;AM$2, 0,IF(AND(time+1&gt;=AN$2, $E103&lt;AN$2), IF($I103= "I", $J103/($F103-$E103+1), $J103/(($F103*($F103+1)/2)-(($E103-1)*($E103-1+1)/2))*AM$2), 0)+IF(IF(time+1&gt;=AN$2, $K103/time_cap/(time+1)*AM$2, 0) = 0, $K103/(time_cap),0)),0)</f>
        <v/>
      </c>
      <c r="AN103" s="4395">
        <f>IFERROR(IF((time+time_cap)&lt;AN$2, 0,IF(AND(time+1&gt;=AO$2, $E103&lt;AO$2), IF($I103= "I", $J103/($F103-$E103+1), $J103/(($F103*($F103+1)/2)-(($E103-1)*($E103-1+1)/2))*AN$2), 0)+IF(IF(time+1&gt;=AO$2, $K103/time_cap/(time+1)*AN$2, 0) = 0, $K103/(time_cap),0)),0)</f>
        <v/>
      </c>
      <c r="AO103" s="4395">
        <f>IFERROR(IF((time+time_cap)&lt;AO$2, 0,IF(AND(time+1&gt;=AP$2, $E103&lt;AP$2), IF($I103= "I", $J103/($F103-$E103+1), $J103/(($F103*($F103+1)/2)-(($E103-1)*($E103-1+1)/2))*AO$2), 0)+IF(IF(time+1&gt;=AP$2, $K103/time_cap/(time+1)*AO$2, 0) = 0, $K103/(time_cap),0)),0)</f>
        <v/>
      </c>
      <c r="AP103" s="4395">
        <f>IFERROR(IF((time+time_cap)&lt;AP$2, 0,IF(AND(time+1&gt;=AQ$2, $E103&lt;AQ$2), IF($I103= "I", $J103/($F103-$E103+1), $J103/(($F103*($F103+1)/2)-(($E103-1)*($E103-1+1)/2))*AP$2), 0)+IF(IF(time+1&gt;=AQ$2, $K103/time_cap/(time+1)*AP$2, 0) = 0, $K103/(time_cap),0)),0)</f>
        <v/>
      </c>
      <c r="AQ103" s="4395">
        <f>IFERROR(IF((time+time_cap)&lt;AQ$2, 0,IF(AND(time+1&gt;=AR$2, $E103&lt;AR$2), IF($I103= "I", $J103/($F103-$E103+1), $J103/(($F103*($F103+1)/2)-(($E103-1)*($E103-1+1)/2))*AQ$2), 0)+IF(IF(time+1&gt;=AR$2, $K103/time_cap/(time+1)*AQ$2, 0) = 0, $K103/(time_cap),0)),0)</f>
        <v/>
      </c>
      <c r="AR103" s="4395">
        <f>IFERROR(IF((time+time_cap)&lt;AR$2, 0,IF(AND(time+1&gt;=AS$2, $E103&lt;AS$2), IF($I103= "I", $J103/($F103-$E103+1), $J103/(($F103*($F103+1)/2)-(($E103-1)*($E103-1+1)/2))*AR$2), 0)+IF(IF(time+1&gt;=AS$2, $K103/time_cap/(time+1)*AR$2, 0) = 0, $K103/(time_cap),0)),0)</f>
        <v/>
      </c>
      <c r="AS103" s="4395">
        <f>IFERROR(IF((time+time_cap)&lt;AS$2, 0,IF(AND(time+1&gt;=AT$2, $E103&lt;AT$2), IF($I103= "I", $J103/($F103-$E103+1), $J103/(($F103*($F103+1)/2)-(($E103-1)*($E103-1+1)/2))*AS$2), 0)+IF(IF(time+1&gt;=AT$2, $K103/time_cap/(time+1)*AS$2, 0) = 0, $K103/(time_cap),0)),0)</f>
        <v/>
      </c>
      <c r="AT103" s="4395">
        <f>IFERROR(IF((time+time_cap)&lt;AT$2, 0,IF(AND(time+1&gt;=AU$2, $E103&lt;AU$2), IF($I103= "I", $J103/($F103-$E103+1), $J103/(($F103*($F103+1)/2)-(($E103-1)*($E103-1+1)/2))*AT$2), 0)+IF(IF(time+1&gt;=AU$2, $K103/time_cap/(time+1)*AT$2, 0) = 0, $K103/(time_cap),0)),0)</f>
        <v/>
      </c>
      <c r="AU103" s="4395">
        <f>IFERROR(IF((time+time_cap)&lt;AU$2, 0,IF(AND(time+1&gt;=AV$2, $E103&lt;AV$2), IF($I103= "I", $J103/($F103-$E103+1), $J103/(($F103*($F103+1)/2)-(($E103-1)*($E103-1+1)/2))*AU$2), 0)+IF(IF(time+1&gt;=AV$2, $K103/time_cap/(time+1)*AU$2, 0) = 0, $K103/(time_cap),0)),0)</f>
        <v/>
      </c>
      <c r="AV103" s="4395">
        <f>IFERROR(IF((time+time_cap)&lt;AV$2, 0,IF(AND(time+1&gt;=AW$2, $E103&lt;AW$2), IF($I103= "I", $J103/($F103-$E103+1), $J103/(($F103*($F103+1)/2)-(($E103-1)*($E103-1+1)/2))*AV$2), 0)+IF(IF(time+1&gt;=AW$2, $K103/time_cap/(time+1)*AV$2, 0) = 0, $K103/(time_cap),0)),0)</f>
        <v/>
      </c>
      <c r="AW103" s="4395">
        <f>IFERROR(IF((time+time_cap)&lt;AW$2, 0,IF(AND(time+1&gt;=AX$2, $E103&lt;AX$2), IF($I103= "I", $J103/($F103-$E103+1), $J103/(($F103*($F103+1)/2)-(($E103-1)*($E103-1+1)/2))*AW$2), 0)+IF(IF(time+1&gt;=AX$2, $K103/time_cap/(time+1)*AW$2, 0) = 0, $K103/(time_cap),0)),0)</f>
        <v/>
      </c>
      <c r="AX103" s="4395">
        <f>IFERROR(IF((time+time_cap)&lt;AX$2, 0,IF(AND(time+1&gt;=AY$2, $E103&lt;AY$2), IF($I103= "I", $J103/($F103-$E103+1), $J103/(($F103*($F103+1)/2)-(($E103-1)*($E103-1+1)/2))*AX$2), 0)+IF(IF(time+1&gt;=AY$2, $K103/time_cap/(time+1)*AX$2, 0) = 0, $K103/(time_cap),0)),0)</f>
        <v/>
      </c>
      <c r="AY103" s="4395">
        <f>IFERROR(IF((time+time_cap)&lt;AY$2, 0,IF(AND(time+1&gt;=AZ$2, $E103&lt;AZ$2), IF($I103= "I", $J103/($F103-$E103+1), $J103/(($F103*($F103+1)/2)-(($E103-1)*($E103-1+1)/2))*AY$2), 0)+IF(IF(time+1&gt;=AZ$2, $K103/time_cap/(time+1)*AY$2, 0) = 0, $K103/(time_cap),0)),0)</f>
        <v/>
      </c>
      <c r="AZ103" s="4395">
        <f>IFERROR(IF((time+time_cap)&lt;AZ$2, 0,IF(AND(time+1&gt;=BA$2, $E103&lt;BA$2), IF($I103= "I", $J103/($F103-$E103+1), $J103/(($F103*($F103+1)/2)-(($E103-1)*($E103-1+1)/2))*AZ$2), 0)+IF(IF(time+1&gt;=BA$2, $K103/time_cap/(time+1)*AZ$2, 0) = 0, $K103/(time_cap),0)),0)</f>
        <v/>
      </c>
      <c r="BA103" s="4395">
        <f>IFERROR(IF((time+time_cap)&lt;BA$2, 0,IF(AND(time+1&gt;=BB$2, $E103&lt;BB$2), IF($I103= "I", $J103/($F103-$E103+1), $J103/(($F103*($F103+1)/2)-(($E103-1)*($E103-1+1)/2))*BA$2), 0)+IF(IF(time+1&gt;=BB$2, $K103/time_cap/(time+1)*BA$2, 0) = 0, $K103/(time_cap),0)),0)</f>
        <v/>
      </c>
      <c r="BB103" s="4395">
        <f>IFERROR(IF((time+time_cap)&lt;BB$2, 0,IF(AND(time+1&gt;=BC$2, $E103&lt;BC$2), IF($I103= "I", $J103/($F103-$E103+1), $J103/(($F103*($F103+1)/2)-(($E103-1)*($E103-1+1)/2))*BB$2), 0)+IF(IF(time+1&gt;=BC$2, $K103/time_cap/(time+1)*BB$2, 0) = 0, $K103/(time_cap),0)),0)</f>
        <v/>
      </c>
      <c r="BC103" s="4395">
        <f>IFERROR(IF((time+time_cap)&lt;BC$2, 0,IF(AND(time+1&gt;=BD$2, $E103&lt;BD$2), IF($I103= "I", $J103/($F103-$E103+1), $J103/(($F103*($F103+1)/2)-(($E103-1)*($E103-1+1)/2))*BC$2), 0)+IF(IF(time+1&gt;=BD$2, $K103/time_cap/(time+1)*BC$2, 0) = 0, $K103/(time_cap),0)),0)</f>
        <v/>
      </c>
      <c r="BD103" s="4395">
        <f>IFERROR(IF((time+time_cap)&lt;BD$2, 0,IF(AND(time+1&gt;=BE$2, $E103&lt;BE$2), IF($I103= "I", $J103/($F103-$E103+1), $J103/(($F103*($F103+1)/2)-(($E103-1)*($E103-1+1)/2))*BD$2), 0)+IF(IF(time+1&gt;=BE$2, $K103/time_cap/(time+1)*BD$2, 0) = 0, $K103/(time_cap),0)),0)</f>
        <v/>
      </c>
      <c r="BE103" s="4395">
        <f>IFERROR(IF((time+time_cap)&lt;BE$2, 0,IF(AND(time+1&gt;=BF$2, $E103&lt;BF$2), IF($I103= "I", $J103/($F103-$E103+1), $J103/(($F103*($F103+1)/2)-(($E103-1)*($E103-1+1)/2))*BE$2), 0)+IF(IF(time+1&gt;=BF$2, $K103/time_cap/(time+1)*BE$2, 0) = 0, $K103/(time_cap),0)),0)</f>
        <v/>
      </c>
      <c r="BF103" s="4395">
        <f>IFERROR(IF((time+time_cap)&lt;BF$2, 0,IF(AND(time+1&gt;=BG$2, $E103&lt;BG$2), IF($I103= "I", $J103/($F103-$E103+1), $J103/(($F103*($F103+1)/2)-(($E103-1)*($E103-1+1)/2))*BF$2), 0)+IF(IF(time+1&gt;=BG$2, $K103/time_cap/(time+1)*BF$2, 0) = 0, $K103/(time_cap),0)),0)</f>
        <v/>
      </c>
      <c r="BG103" s="4395">
        <f>IFERROR(IF((time+time_cap)&lt;BG$2, 0,IF(AND(time+1&gt;=BH$2, $E103&lt;BH$2), IF($I103= "I", $J103/($F103-$E103+1), $J103/(($F103*($F103+1)/2)-(($E103-1)*($E103-1+1)/2))*BG$2), 0)+IF(IF(time+1&gt;=BH$2, $K103/time_cap/(time+1)*BG$2, 0) = 0, $K103/(time_cap),0)),0)</f>
        <v/>
      </c>
      <c r="BH103" s="4395">
        <f>IFERROR(IF((time+time_cap)&lt;BH$2, 0,IF(AND(time+1&gt;=BI$2, $E103&lt;BI$2), IF($I103= "I", $J103/($F103-$E103+1), $J103/(($F103*($F103+1)/2)-(($E103-1)*($E103-1+1)/2))*BH$2), 0)+IF(IF(time+1&gt;=BI$2, $K103/time_cap/(time+1)*BH$2, 0) = 0, $K103/(time_cap),0)),0)</f>
        <v/>
      </c>
      <c r="BI103" s="4395">
        <f>IFERROR(IF((time+time_cap)&lt;BI$2, 0,IF(AND(time+1&gt;=BJ$2, $E103&lt;BJ$2), IF($I103= "I", $J103/($F103-$E103+1), $J103/(($F103*($F103+1)/2)-(($E103-1)*($E103-1+1)/2))*BI$2), 0)+IF(IF(time+1&gt;=BJ$2, $K103/time_cap/(time+1)*BI$2, 0) = 0, $K103/(time_cap),0)),0)</f>
        <v/>
      </c>
      <c r="BJ103" s="4395">
        <f>IFERROR(IF((time+time_cap)&lt;BJ$2, 0,IF(AND(time+1&gt;=BK$2, $E103&lt;BK$2), IF($I103= "I", $J103/($F103-$E103+1), $J103/(($F103*($F103+1)/2)-(($E103-1)*($E103-1+1)/2))*BJ$2), 0)+IF(IF(time+1&gt;=BK$2, $K103/time_cap/(time+1)*BJ$2, 0) = 0, $K103/(time_cap),0)),0)</f>
        <v/>
      </c>
      <c r="BK103" s="4395" t="n"/>
      <c r="BL103" s="4395" t="n"/>
      <c r="BM103" s="4395" t="n"/>
      <c r="BN103" s="4395" t="n"/>
      <c r="BO103" s="4395" t="n"/>
      <c r="BP103" s="4395" t="n"/>
      <c r="BQ103" s="4395" t="n"/>
      <c r="BR103" s="4395" t="n"/>
      <c r="BS103" s="4395" t="n"/>
      <c r="BT103" s="4395" t="n"/>
      <c r="BU103" s="4395" t="n"/>
      <c r="BV103" s="4395" t="n"/>
      <c r="BW103" s="4395" t="n"/>
      <c r="BX103" s="4395" t="n"/>
      <c r="BY103" s="4395" t="n"/>
      <c r="BZ103" s="4395" t="n"/>
      <c r="CA103" s="4395" t="n"/>
      <c r="CB103" s="4395" t="n"/>
      <c r="CC103" s="4395" t="n"/>
      <c r="CD103" s="4395" t="n"/>
      <c r="CE103" s="4395" t="n"/>
      <c r="CF103" s="4395" t="n"/>
      <c r="CG103" s="4395" t="n"/>
      <c r="CH103" s="4395" t="n"/>
      <c r="CI103" s="4395" t="n"/>
      <c r="CJ103" s="4395" t="n"/>
      <c r="CK103" s="4395" t="n"/>
      <c r="CL103" s="4395" t="n"/>
      <c r="CM103" s="4395" t="n"/>
      <c r="CN103" s="4395" t="n"/>
      <c r="CO103" s="4395" t="n"/>
      <c r="CP103" s="4395" t="n"/>
      <c r="CQ103" s="4395" t="n"/>
      <c r="CR103" s="4395" t="n"/>
      <c r="CS103" s="4395" t="n"/>
      <c r="CT103" s="4395" t="n"/>
      <c r="CU103" s="4395" t="n"/>
      <c r="CV103" s="4395" t="n"/>
      <c r="CW103" s="4395" t="n"/>
      <c r="CX103" s="4395" t="n"/>
      <c r="CY103" s="4395" t="n"/>
      <c r="CZ103" s="4395" t="n"/>
      <c r="DA103" s="4395" t="n"/>
      <c r="DB103" s="4395" t="n"/>
      <c r="DC103" s="4395" t="n"/>
      <c r="DD103" s="4395" t="n"/>
      <c r="DE103" s="4395" t="n"/>
      <c r="DF103" s="4395" t="n"/>
      <c r="DG103" s="4395" t="n"/>
      <c r="DH103" s="4395" t="n"/>
    </row>
    <row r="104">
      <c r="A104" t="inlineStr">
        <is>
          <t>Livestock</t>
        </is>
      </c>
      <c r="B104">
        <f>'4.Grassland'!E67</f>
        <v/>
      </c>
      <c r="C104">
        <f>'4.Grassland'!I67</f>
        <v/>
      </c>
      <c r="D104">
        <f>'4.Grassland'!AG67</f>
        <v/>
      </c>
      <c r="E104">
        <f>IF('4.Grassland'!CG67&lt;&gt;0,'4.Grassland'!CG67, '4.Grassland'!CF67)</f>
        <v/>
      </c>
      <c r="F104">
        <f>time</f>
        <v/>
      </c>
      <c r="G104" s="4395" t="n"/>
      <c r="H104" s="4395" t="n"/>
      <c r="I104" s="4395">
        <f>IF(OR(H104="I", G104="I"), "I", IF(OR(H104="E", G104="E"), "E", "D"))</f>
        <v/>
      </c>
      <c r="J104" s="4395">
        <f>((D104/(time_cap+((F104-E104+1)*VLOOKUP(I104,list!$I$48:$K$50,3, FALSE))))*(F104-E104+1)*VLOOKUP(I104,list!$I$48:$K$50,3, FALSE))</f>
        <v/>
      </c>
      <c r="K104" s="4395">
        <f>((D104/(time_cap+((F104-E104+1)*VLOOKUP(I104,list!$I$48:$K$50,3, FALSE))))*time_cap)</f>
        <v/>
      </c>
      <c r="M104" s="4395">
        <f>IFERROR(IF((time+time_cap)&lt;M$2, 0,IF(AND(time+1&gt;=N$2, $E104&lt;N$2), IF($I104= "I", $J104/($F104-$E104+1), $J104/(($F104*($F104+1)/2)-(($E104-1)*($E104-1+1)/2))*M$2), 0)+IF(IF(time+1&gt;=N$2, $K104/time_cap/(time+1)*M$2, 0) = 0, $K104/(time_cap),0)),0)</f>
        <v/>
      </c>
      <c r="N104" s="4395">
        <f>IFERROR(IF((time+time_cap)&lt;N$2, 0,IF(AND(time+1&gt;=O$2, $E104&lt;O$2), IF($I104= "I", $J104/($F104-$E104+1), $J104/(($F104*($F104+1)/2)-(($E104-1)*($E104-1+1)/2))*N$2), 0)+IF(IF(time+1&gt;=O$2, $K104/time_cap/(time+1)*N$2, 0) = 0, $K104/(time_cap),0)),0)</f>
        <v/>
      </c>
      <c r="O104" s="4395">
        <f>IFERROR(IF((time+time_cap)&lt;O$2, 0,IF(AND(time+1&gt;=P$2, $E104&lt;P$2), IF($I104= "I", $J104/($F104-$E104+1), $J104/(($F104*($F104+1)/2)-(($E104-1)*($E104-1+1)/2))*O$2), 0)+IF(IF(time+1&gt;=P$2, $K104/time_cap/(time+1)*O$2, 0) = 0, $K104/(time_cap),0)),0)</f>
        <v/>
      </c>
      <c r="P104" s="4395">
        <f>IFERROR(IF((time+time_cap)&lt;P$2, 0,IF(AND(time+1&gt;=Q$2, $E104&lt;Q$2), IF($I104= "I", $J104/($F104-$E104+1), $J104/(($F104*($F104+1)/2)-(($E104-1)*($E104-1+1)/2))*P$2), 0)+IF(IF(time+1&gt;=Q$2, $K104/time_cap/(time+1)*P$2, 0) = 0, $K104/(time_cap),0)),0)</f>
        <v/>
      </c>
      <c r="Q104" s="4395">
        <f>IFERROR(IF((time+time_cap)&lt;Q$2, 0,IF(AND(time+1&gt;=R$2, $E104&lt;R$2), IF($I104= "I", $J104/($F104-$E104+1), $J104/(($F104*($F104+1)/2)-(($E104-1)*($E104-1+1)/2))*Q$2), 0)+IF(IF(time+1&gt;=R$2, $K104/time_cap/(time+1)*Q$2, 0) = 0, $K104/(time_cap),0)),0)</f>
        <v/>
      </c>
      <c r="R104" s="4395">
        <f>IFERROR(IF((time+time_cap)&lt;R$2, 0,IF(AND(time+1&gt;=S$2, $E104&lt;S$2), IF($I104= "I", $J104/($F104-$E104+1), $J104/(($F104*($F104+1)/2)-(($E104-1)*($E104-1+1)/2))*R$2), 0)+IF(IF(time+1&gt;=S$2, $K104/time_cap/(time+1)*R$2, 0) = 0, $K104/(time_cap),0)),0)</f>
        <v/>
      </c>
      <c r="S104" s="4395">
        <f>IFERROR(IF((time+time_cap)&lt;S$2, 0,IF(AND(time+1&gt;=T$2, $E104&lt;T$2), IF($I104= "I", $J104/($F104-$E104+1), $J104/(($F104*($F104+1)/2)-(($E104-1)*($E104-1+1)/2))*S$2), 0)+IF(IF(time+1&gt;=T$2, $K104/time_cap/(time+1)*S$2, 0) = 0, $K104/(time_cap),0)),0)</f>
        <v/>
      </c>
      <c r="T104" s="4395">
        <f>IFERROR(IF((time+time_cap)&lt;T$2, 0,IF(AND(time+1&gt;=U$2, $E104&lt;U$2), IF($I104= "I", $J104/($F104-$E104+1), $J104/(($F104*($F104+1)/2)-(($E104-1)*($E104-1+1)/2))*T$2), 0)+IF(IF(time+1&gt;=U$2, $K104/time_cap/(time+1)*T$2, 0) = 0, $K104/(time_cap),0)),0)</f>
        <v/>
      </c>
      <c r="U104" s="4395">
        <f>IFERROR(IF((time+time_cap)&lt;U$2, 0,IF(AND(time+1&gt;=V$2, $E104&lt;V$2), IF($I104= "I", $J104/($F104-$E104+1), $J104/(($F104*($F104+1)/2)-(($E104-1)*($E104-1+1)/2))*U$2), 0)+IF(IF(time+1&gt;=V$2, $K104/time_cap/(time+1)*U$2, 0) = 0, $K104/(time_cap),0)),0)</f>
        <v/>
      </c>
      <c r="V104" s="4395">
        <f>IFERROR(IF((time+time_cap)&lt;V$2, 0,IF(AND(time+1&gt;=W$2, $E104&lt;W$2), IF($I104= "I", $J104/($F104-$E104+1), $J104/(($F104*($F104+1)/2)-(($E104-1)*($E104-1+1)/2))*V$2), 0)+IF(IF(time+1&gt;=W$2, $K104/time_cap/(time+1)*V$2, 0) = 0, $K104/(time_cap),0)),0)</f>
        <v/>
      </c>
      <c r="W104" s="4395">
        <f>IFERROR(IF((time+time_cap)&lt;W$2, 0,IF(AND(time+1&gt;=X$2, $E104&lt;X$2), IF($I104= "I", $J104/($F104-$E104+1), $J104/(($F104*($F104+1)/2)-(($E104-1)*($E104-1+1)/2))*W$2), 0)+IF(IF(time+1&gt;=X$2, $K104/time_cap/(time+1)*W$2, 0) = 0, $K104/(time_cap),0)),0)</f>
        <v/>
      </c>
      <c r="X104" s="4395">
        <f>IFERROR(IF((time+time_cap)&lt;X$2, 0,IF(AND(time+1&gt;=Y$2, $E104&lt;Y$2), IF($I104= "I", $J104/($F104-$E104+1), $J104/(($F104*($F104+1)/2)-(($E104-1)*($E104-1+1)/2))*X$2), 0)+IF(IF(time+1&gt;=Y$2, $K104/time_cap/(time+1)*X$2, 0) = 0, $K104/(time_cap),0)),0)</f>
        <v/>
      </c>
      <c r="Y104" s="4395">
        <f>IFERROR(IF((time+time_cap)&lt;Y$2, 0,IF(AND(time+1&gt;=Z$2, $E104&lt;Z$2), IF($I104= "I", $J104/($F104-$E104+1), $J104/(($F104*($F104+1)/2)-(($E104-1)*($E104-1+1)/2))*Y$2), 0)+IF(IF(time+1&gt;=Z$2, $K104/time_cap/(time+1)*Y$2, 0) = 0, $K104/(time_cap),0)),0)</f>
        <v/>
      </c>
      <c r="Z104" s="4395">
        <f>IFERROR(IF((time+time_cap)&lt;Z$2, 0,IF(AND(time+1&gt;=AA$2, $E104&lt;AA$2), IF($I104= "I", $J104/($F104-$E104+1), $J104/(($F104*($F104+1)/2)-(($E104-1)*($E104-1+1)/2))*Z$2), 0)+IF(IF(time+1&gt;=AA$2, $K104/time_cap/(time+1)*Z$2, 0) = 0, $K104/(time_cap),0)),0)</f>
        <v/>
      </c>
      <c r="AA104" s="4395">
        <f>IFERROR(IF((time+time_cap)&lt;AA$2, 0,IF(AND(time+1&gt;=AB$2, $E104&lt;AB$2), IF($I104= "I", $J104/($F104-$E104+1), $J104/(($F104*($F104+1)/2)-(($E104-1)*($E104-1+1)/2))*AA$2), 0)+IF(IF(time+1&gt;=AB$2, $K104/time_cap/(time+1)*AA$2, 0) = 0, $K104/(time_cap),0)),0)</f>
        <v/>
      </c>
      <c r="AB104" s="4395">
        <f>IFERROR(IF((time+time_cap)&lt;AB$2, 0,IF(AND(time+1&gt;=AC$2, $E104&lt;AC$2), IF($I104= "I", $J104/($F104-$E104+1), $J104/(($F104*($F104+1)/2)-(($E104-1)*($E104-1+1)/2))*AB$2), 0)+IF(IF(time+1&gt;=AC$2, $K104/time_cap/(time+1)*AB$2, 0) = 0, $K104/(time_cap),0)),0)</f>
        <v/>
      </c>
      <c r="AC104" s="4395">
        <f>IFERROR(IF((time+time_cap)&lt;AC$2, 0,IF(AND(time+1&gt;=AD$2, $E104&lt;AD$2), IF($I104= "I", $J104/($F104-$E104+1), $J104/(($F104*($F104+1)/2)-(($E104-1)*($E104-1+1)/2))*AC$2), 0)+IF(IF(time+1&gt;=AD$2, $K104/time_cap/(time+1)*AC$2, 0) = 0, $K104/(time_cap),0)),0)</f>
        <v/>
      </c>
      <c r="AD104" s="4395">
        <f>IFERROR(IF((time+time_cap)&lt;AD$2, 0,IF(AND(time+1&gt;=AE$2, $E104&lt;AE$2), IF($I104= "I", $J104/($F104-$E104+1), $J104/(($F104*($F104+1)/2)-(($E104-1)*($E104-1+1)/2))*AD$2), 0)+IF(IF(time+1&gt;=AE$2, $K104/time_cap/(time+1)*AD$2, 0) = 0, $K104/(time_cap),0)),0)</f>
        <v/>
      </c>
      <c r="AE104" s="4395">
        <f>IFERROR(IF((time+time_cap)&lt;AE$2, 0,IF(AND(time+1&gt;=AF$2, $E104&lt;AF$2), IF($I104= "I", $J104/($F104-$E104+1), $J104/(($F104*($F104+1)/2)-(($E104-1)*($E104-1+1)/2))*AE$2), 0)+IF(IF(time+1&gt;=AF$2, $K104/time_cap/(time+1)*AE$2, 0) = 0, $K104/(time_cap),0)),0)</f>
        <v/>
      </c>
      <c r="AF104" s="4395">
        <f>IFERROR(IF((time+time_cap)&lt;AF$2, 0,IF(AND(time+1&gt;=AG$2, $E104&lt;AG$2), IF($I104= "I", $J104/($F104-$E104+1), $J104/(($F104*($F104+1)/2)-(($E104-1)*($E104-1+1)/2))*AF$2), 0)+IF(IF(time+1&gt;=AG$2, $K104/time_cap/(time+1)*AF$2, 0) = 0, $K104/(time_cap),0)),0)</f>
        <v/>
      </c>
      <c r="AG104" s="4395">
        <f>IFERROR(IF((time+time_cap)&lt;AG$2, 0,IF(AND(time+1&gt;=AH$2, $E104&lt;AH$2), IF($I104= "I", $J104/($F104-$E104+1), $J104/(($F104*($F104+1)/2)-(($E104-1)*($E104-1+1)/2))*AG$2), 0)+IF(IF(time+1&gt;=AH$2, $K104/time_cap/(time+1)*AG$2, 0) = 0, $K104/(time_cap),0)),0)</f>
        <v/>
      </c>
      <c r="AH104" s="4395">
        <f>IFERROR(IF((time+time_cap)&lt;AH$2, 0,IF(AND(time+1&gt;=AI$2, $E104&lt;AI$2), IF($I104= "I", $J104/($F104-$E104+1), $J104/(($F104*($F104+1)/2)-(($E104-1)*($E104-1+1)/2))*AH$2), 0)+IF(IF(time+1&gt;=AI$2, $K104/time_cap/(time+1)*AH$2, 0) = 0, $K104/(time_cap),0)),0)</f>
        <v/>
      </c>
      <c r="AI104" s="4395">
        <f>IFERROR(IF((time+time_cap)&lt;AI$2, 0,IF(AND(time+1&gt;=AJ$2, $E104&lt;AJ$2), IF($I104= "I", $J104/($F104-$E104+1), $J104/(($F104*($F104+1)/2)-(($E104-1)*($E104-1+1)/2))*AI$2), 0)+IF(IF(time+1&gt;=AJ$2, $K104/time_cap/(time+1)*AI$2, 0) = 0, $K104/(time_cap),0)),0)</f>
        <v/>
      </c>
      <c r="AJ104" s="4395">
        <f>IFERROR(IF((time+time_cap)&lt;AJ$2, 0,IF(AND(time+1&gt;=AK$2, $E104&lt;AK$2), IF($I104= "I", $J104/($F104-$E104+1), $J104/(($F104*($F104+1)/2)-(($E104-1)*($E104-1+1)/2))*AJ$2), 0)+IF(IF(time+1&gt;=AK$2, $K104/time_cap/(time+1)*AJ$2, 0) = 0, $K104/(time_cap),0)),0)</f>
        <v/>
      </c>
      <c r="AK104" s="4395">
        <f>IFERROR(IF((time+time_cap)&lt;AK$2, 0,IF(AND(time+1&gt;=AL$2, $E104&lt;AL$2), IF($I104= "I", $J104/($F104-$E104+1), $J104/(($F104*($F104+1)/2)-(($E104-1)*($E104-1+1)/2))*AK$2), 0)+IF(IF(time+1&gt;=AL$2, $K104/time_cap/(time+1)*AK$2, 0) = 0, $K104/(time_cap),0)),0)</f>
        <v/>
      </c>
      <c r="AL104" s="4395">
        <f>IFERROR(IF((time+time_cap)&lt;AL$2, 0,IF(AND(time+1&gt;=AM$2, $E104&lt;AM$2), IF($I104= "I", $J104/($F104-$E104+1), $J104/(($F104*($F104+1)/2)-(($E104-1)*($E104-1+1)/2))*AL$2), 0)+IF(IF(time+1&gt;=AM$2, $K104/time_cap/(time+1)*AL$2, 0) = 0, $K104/(time_cap),0)),0)</f>
        <v/>
      </c>
      <c r="AM104" s="4395">
        <f>IFERROR(IF((time+time_cap)&lt;AM$2, 0,IF(AND(time+1&gt;=AN$2, $E104&lt;AN$2), IF($I104= "I", $J104/($F104-$E104+1), $J104/(($F104*($F104+1)/2)-(($E104-1)*($E104-1+1)/2))*AM$2), 0)+IF(IF(time+1&gt;=AN$2, $K104/time_cap/(time+1)*AM$2, 0) = 0, $K104/(time_cap),0)),0)</f>
        <v/>
      </c>
      <c r="AN104" s="4395">
        <f>IFERROR(IF((time+time_cap)&lt;AN$2, 0,IF(AND(time+1&gt;=AO$2, $E104&lt;AO$2), IF($I104= "I", $J104/($F104-$E104+1), $J104/(($F104*($F104+1)/2)-(($E104-1)*($E104-1+1)/2))*AN$2), 0)+IF(IF(time+1&gt;=AO$2, $K104/time_cap/(time+1)*AN$2, 0) = 0, $K104/(time_cap),0)),0)</f>
        <v/>
      </c>
      <c r="AO104" s="4395">
        <f>IFERROR(IF((time+time_cap)&lt;AO$2, 0,IF(AND(time+1&gt;=AP$2, $E104&lt;AP$2), IF($I104= "I", $J104/($F104-$E104+1), $J104/(($F104*($F104+1)/2)-(($E104-1)*($E104-1+1)/2))*AO$2), 0)+IF(IF(time+1&gt;=AP$2, $K104/time_cap/(time+1)*AO$2, 0) = 0, $K104/(time_cap),0)),0)</f>
        <v/>
      </c>
      <c r="AP104" s="4395">
        <f>IFERROR(IF((time+time_cap)&lt;AP$2, 0,IF(AND(time+1&gt;=AQ$2, $E104&lt;AQ$2), IF($I104= "I", $J104/($F104-$E104+1), $J104/(($F104*($F104+1)/2)-(($E104-1)*($E104-1+1)/2))*AP$2), 0)+IF(IF(time+1&gt;=AQ$2, $K104/time_cap/(time+1)*AP$2, 0) = 0, $K104/(time_cap),0)),0)</f>
        <v/>
      </c>
      <c r="AQ104" s="4395">
        <f>IFERROR(IF((time+time_cap)&lt;AQ$2, 0,IF(AND(time+1&gt;=AR$2, $E104&lt;AR$2), IF($I104= "I", $J104/($F104-$E104+1), $J104/(($F104*($F104+1)/2)-(($E104-1)*($E104-1+1)/2))*AQ$2), 0)+IF(IF(time+1&gt;=AR$2, $K104/time_cap/(time+1)*AQ$2, 0) = 0, $K104/(time_cap),0)),0)</f>
        <v/>
      </c>
      <c r="AR104" s="4395">
        <f>IFERROR(IF((time+time_cap)&lt;AR$2, 0,IF(AND(time+1&gt;=AS$2, $E104&lt;AS$2), IF($I104= "I", $J104/($F104-$E104+1), $J104/(($F104*($F104+1)/2)-(($E104-1)*($E104-1+1)/2))*AR$2), 0)+IF(IF(time+1&gt;=AS$2, $K104/time_cap/(time+1)*AR$2, 0) = 0, $K104/(time_cap),0)),0)</f>
        <v/>
      </c>
      <c r="AS104" s="4395">
        <f>IFERROR(IF((time+time_cap)&lt;AS$2, 0,IF(AND(time+1&gt;=AT$2, $E104&lt;AT$2), IF($I104= "I", $J104/($F104-$E104+1), $J104/(($F104*($F104+1)/2)-(($E104-1)*($E104-1+1)/2))*AS$2), 0)+IF(IF(time+1&gt;=AT$2, $K104/time_cap/(time+1)*AS$2, 0) = 0, $K104/(time_cap),0)),0)</f>
        <v/>
      </c>
      <c r="AT104" s="4395">
        <f>IFERROR(IF((time+time_cap)&lt;AT$2, 0,IF(AND(time+1&gt;=AU$2, $E104&lt;AU$2), IF($I104= "I", $J104/($F104-$E104+1), $J104/(($F104*($F104+1)/2)-(($E104-1)*($E104-1+1)/2))*AT$2), 0)+IF(IF(time+1&gt;=AU$2, $K104/time_cap/(time+1)*AT$2, 0) = 0, $K104/(time_cap),0)),0)</f>
        <v/>
      </c>
      <c r="AU104" s="4395">
        <f>IFERROR(IF((time+time_cap)&lt;AU$2, 0,IF(AND(time+1&gt;=AV$2, $E104&lt;AV$2), IF($I104= "I", $J104/($F104-$E104+1), $J104/(($F104*($F104+1)/2)-(($E104-1)*($E104-1+1)/2))*AU$2), 0)+IF(IF(time+1&gt;=AV$2, $K104/time_cap/(time+1)*AU$2, 0) = 0, $K104/(time_cap),0)),0)</f>
        <v/>
      </c>
      <c r="AV104" s="4395">
        <f>IFERROR(IF((time+time_cap)&lt;AV$2, 0,IF(AND(time+1&gt;=AW$2, $E104&lt;AW$2), IF($I104= "I", $J104/($F104-$E104+1), $J104/(($F104*($F104+1)/2)-(($E104-1)*($E104-1+1)/2))*AV$2), 0)+IF(IF(time+1&gt;=AW$2, $K104/time_cap/(time+1)*AV$2, 0) = 0, $K104/(time_cap),0)),0)</f>
        <v/>
      </c>
      <c r="AW104" s="4395">
        <f>IFERROR(IF((time+time_cap)&lt;AW$2, 0,IF(AND(time+1&gt;=AX$2, $E104&lt;AX$2), IF($I104= "I", $J104/($F104-$E104+1), $J104/(($F104*($F104+1)/2)-(($E104-1)*($E104-1+1)/2))*AW$2), 0)+IF(IF(time+1&gt;=AX$2, $K104/time_cap/(time+1)*AW$2, 0) = 0, $K104/(time_cap),0)),0)</f>
        <v/>
      </c>
      <c r="AX104" s="4395">
        <f>IFERROR(IF((time+time_cap)&lt;AX$2, 0,IF(AND(time+1&gt;=AY$2, $E104&lt;AY$2), IF($I104= "I", $J104/($F104-$E104+1), $J104/(($F104*($F104+1)/2)-(($E104-1)*($E104-1+1)/2))*AX$2), 0)+IF(IF(time+1&gt;=AY$2, $K104/time_cap/(time+1)*AX$2, 0) = 0, $K104/(time_cap),0)),0)</f>
        <v/>
      </c>
      <c r="AY104" s="4395">
        <f>IFERROR(IF((time+time_cap)&lt;AY$2, 0,IF(AND(time+1&gt;=AZ$2, $E104&lt;AZ$2), IF($I104= "I", $J104/($F104-$E104+1), $J104/(($F104*($F104+1)/2)-(($E104-1)*($E104-1+1)/2))*AY$2), 0)+IF(IF(time+1&gt;=AZ$2, $K104/time_cap/(time+1)*AY$2, 0) = 0, $K104/(time_cap),0)),0)</f>
        <v/>
      </c>
      <c r="AZ104" s="4395">
        <f>IFERROR(IF((time+time_cap)&lt;AZ$2, 0,IF(AND(time+1&gt;=BA$2, $E104&lt;BA$2), IF($I104= "I", $J104/($F104-$E104+1), $J104/(($F104*($F104+1)/2)-(($E104-1)*($E104-1+1)/2))*AZ$2), 0)+IF(IF(time+1&gt;=BA$2, $K104/time_cap/(time+1)*AZ$2, 0) = 0, $K104/(time_cap),0)),0)</f>
        <v/>
      </c>
      <c r="BA104" s="4395">
        <f>IFERROR(IF((time+time_cap)&lt;BA$2, 0,IF(AND(time+1&gt;=BB$2, $E104&lt;BB$2), IF($I104= "I", $J104/($F104-$E104+1), $J104/(($F104*($F104+1)/2)-(($E104-1)*($E104-1+1)/2))*BA$2), 0)+IF(IF(time+1&gt;=BB$2, $K104/time_cap/(time+1)*BA$2, 0) = 0, $K104/(time_cap),0)),0)</f>
        <v/>
      </c>
      <c r="BB104" s="4395">
        <f>IFERROR(IF((time+time_cap)&lt;BB$2, 0,IF(AND(time+1&gt;=BC$2, $E104&lt;BC$2), IF($I104= "I", $J104/($F104-$E104+1), $J104/(($F104*($F104+1)/2)-(($E104-1)*($E104-1+1)/2))*BB$2), 0)+IF(IF(time+1&gt;=BC$2, $K104/time_cap/(time+1)*BB$2, 0) = 0, $K104/(time_cap),0)),0)</f>
        <v/>
      </c>
      <c r="BC104" s="4395">
        <f>IFERROR(IF((time+time_cap)&lt;BC$2, 0,IF(AND(time+1&gt;=BD$2, $E104&lt;BD$2), IF($I104= "I", $J104/($F104-$E104+1), $J104/(($F104*($F104+1)/2)-(($E104-1)*($E104-1+1)/2))*BC$2), 0)+IF(IF(time+1&gt;=BD$2, $K104/time_cap/(time+1)*BC$2, 0) = 0, $K104/(time_cap),0)),0)</f>
        <v/>
      </c>
      <c r="BD104" s="4395">
        <f>IFERROR(IF((time+time_cap)&lt;BD$2, 0,IF(AND(time+1&gt;=BE$2, $E104&lt;BE$2), IF($I104= "I", $J104/($F104-$E104+1), $J104/(($F104*($F104+1)/2)-(($E104-1)*($E104-1+1)/2))*BD$2), 0)+IF(IF(time+1&gt;=BE$2, $K104/time_cap/(time+1)*BD$2, 0) = 0, $K104/(time_cap),0)),0)</f>
        <v/>
      </c>
      <c r="BE104" s="4395">
        <f>IFERROR(IF((time+time_cap)&lt;BE$2, 0,IF(AND(time+1&gt;=BF$2, $E104&lt;BF$2), IF($I104= "I", $J104/($F104-$E104+1), $J104/(($F104*($F104+1)/2)-(($E104-1)*($E104-1+1)/2))*BE$2), 0)+IF(IF(time+1&gt;=BF$2, $K104/time_cap/(time+1)*BE$2, 0) = 0, $K104/(time_cap),0)),0)</f>
        <v/>
      </c>
      <c r="BF104" s="4395">
        <f>IFERROR(IF((time+time_cap)&lt;BF$2, 0,IF(AND(time+1&gt;=BG$2, $E104&lt;BG$2), IF($I104= "I", $J104/($F104-$E104+1), $J104/(($F104*($F104+1)/2)-(($E104-1)*($E104-1+1)/2))*BF$2), 0)+IF(IF(time+1&gt;=BG$2, $K104/time_cap/(time+1)*BF$2, 0) = 0, $K104/(time_cap),0)),0)</f>
        <v/>
      </c>
      <c r="BG104" s="4395">
        <f>IFERROR(IF((time+time_cap)&lt;BG$2, 0,IF(AND(time+1&gt;=BH$2, $E104&lt;BH$2), IF($I104= "I", $J104/($F104-$E104+1), $J104/(($F104*($F104+1)/2)-(($E104-1)*($E104-1+1)/2))*BG$2), 0)+IF(IF(time+1&gt;=BH$2, $K104/time_cap/(time+1)*BG$2, 0) = 0, $K104/(time_cap),0)),0)</f>
        <v/>
      </c>
      <c r="BH104" s="4395">
        <f>IFERROR(IF((time+time_cap)&lt;BH$2, 0,IF(AND(time+1&gt;=BI$2, $E104&lt;BI$2), IF($I104= "I", $J104/($F104-$E104+1), $J104/(($F104*($F104+1)/2)-(($E104-1)*($E104-1+1)/2))*BH$2), 0)+IF(IF(time+1&gt;=BI$2, $K104/time_cap/(time+1)*BH$2, 0) = 0, $K104/(time_cap),0)),0)</f>
        <v/>
      </c>
      <c r="BI104" s="4395">
        <f>IFERROR(IF((time+time_cap)&lt;BI$2, 0,IF(AND(time+1&gt;=BJ$2, $E104&lt;BJ$2), IF($I104= "I", $J104/($F104-$E104+1), $J104/(($F104*($F104+1)/2)-(($E104-1)*($E104-1+1)/2))*BI$2), 0)+IF(IF(time+1&gt;=BJ$2, $K104/time_cap/(time+1)*BI$2, 0) = 0, $K104/(time_cap),0)),0)</f>
        <v/>
      </c>
      <c r="BJ104" s="4395">
        <f>IFERROR(IF((time+time_cap)&lt;BJ$2, 0,IF(AND(time+1&gt;=BK$2, $E104&lt;BK$2), IF($I104= "I", $J104/($F104-$E104+1), $J104/(($F104*($F104+1)/2)-(($E104-1)*($E104-1+1)/2))*BJ$2), 0)+IF(IF(time+1&gt;=BK$2, $K104/time_cap/(time+1)*BJ$2, 0) = 0, $K104/(time_cap),0)),0)</f>
        <v/>
      </c>
      <c r="BK104" s="4395" t="n"/>
      <c r="BL104" s="4395" t="n"/>
      <c r="BM104" s="4395" t="n"/>
      <c r="BN104" s="4395" t="n"/>
      <c r="BO104" s="4395" t="n"/>
      <c r="BP104" s="4395" t="n"/>
      <c r="BQ104" s="4395" t="n"/>
      <c r="BR104" s="4395" t="n"/>
      <c r="BS104" s="4395" t="n"/>
      <c r="BT104" s="4395" t="n"/>
      <c r="BU104" s="4395" t="n"/>
      <c r="BV104" s="4395" t="n"/>
      <c r="BW104" s="4395" t="n"/>
      <c r="BX104" s="4395" t="n"/>
      <c r="BY104" s="4395" t="n"/>
      <c r="BZ104" s="4395" t="n"/>
      <c r="CA104" s="4395" t="n"/>
      <c r="CB104" s="4395" t="n"/>
      <c r="CC104" s="4395" t="n"/>
      <c r="CD104" s="4395" t="n"/>
      <c r="CE104" s="4395" t="n"/>
      <c r="CF104" s="4395" t="n"/>
      <c r="CG104" s="4395" t="n"/>
      <c r="CH104" s="4395" t="n"/>
      <c r="CI104" s="4395" t="n"/>
      <c r="CJ104" s="4395" t="n"/>
      <c r="CK104" s="4395" t="n"/>
      <c r="CL104" s="4395" t="n"/>
      <c r="CM104" s="4395" t="n"/>
      <c r="CN104" s="4395" t="n"/>
      <c r="CO104" s="4395" t="n"/>
      <c r="CP104" s="4395" t="n"/>
      <c r="CQ104" s="4395" t="n"/>
      <c r="CR104" s="4395" t="n"/>
      <c r="CS104" s="4395" t="n"/>
      <c r="CT104" s="4395" t="n"/>
      <c r="CU104" s="4395" t="n"/>
      <c r="CV104" s="4395" t="n"/>
      <c r="CW104" s="4395" t="n"/>
      <c r="CX104" s="4395" t="n"/>
      <c r="CY104" s="4395" t="n"/>
      <c r="CZ104" s="4395" t="n"/>
      <c r="DA104" s="4395" t="n"/>
      <c r="DB104" s="4395" t="n"/>
      <c r="DC104" s="4395" t="n"/>
      <c r="DD104" s="4395" t="n"/>
      <c r="DE104" s="4395" t="n"/>
      <c r="DF104" s="4395" t="n"/>
      <c r="DG104" s="4395" t="n"/>
      <c r="DH104" s="4395" t="n"/>
    </row>
    <row r="105">
      <c r="A105" t="inlineStr">
        <is>
          <t>Livestock</t>
        </is>
      </c>
      <c r="B105">
        <f>'4.Grassland'!E68</f>
        <v/>
      </c>
      <c r="C105">
        <f>'4.Grassland'!I68</f>
        <v/>
      </c>
      <c r="D105">
        <f>'4.Grassland'!AG68</f>
        <v/>
      </c>
      <c r="E105">
        <f>IF('4.Grassland'!CG68&lt;&gt;0,'4.Grassland'!CG68, '4.Grassland'!CF68)</f>
        <v/>
      </c>
      <c r="F105">
        <f>time</f>
        <v/>
      </c>
      <c r="G105" s="4395" t="n"/>
      <c r="H105" s="4395" t="n"/>
      <c r="I105" s="4395">
        <f>IF(OR(H105="I", G105="I"), "I", IF(OR(H105="E", G105="E"), "E", "D"))</f>
        <v/>
      </c>
      <c r="J105" s="4395">
        <f>((D105/(time_cap+((F105-E105+1)*VLOOKUP(I105,list!$I$48:$K$50,3, FALSE))))*(F105-E105+1)*VLOOKUP(I105,list!$I$48:$K$50,3, FALSE))</f>
        <v/>
      </c>
      <c r="K105" s="4395">
        <f>((D105/(time_cap+((F105-E105+1)*VLOOKUP(I105,list!$I$48:$K$50,3, FALSE))))*time_cap)</f>
        <v/>
      </c>
      <c r="M105" s="4395">
        <f>IFERROR(IF((time+time_cap)&lt;M$2, 0,IF(AND(time+1&gt;=N$2, $E105&lt;N$2), IF($I105= "I", $J105/($F105-$E105+1), $J105/(($F105*($F105+1)/2)-(($E105-1)*($E105-1+1)/2))*M$2), 0)+IF(IF(time+1&gt;=N$2, $K105/time_cap/(time+1)*M$2, 0) = 0, $K105/(time_cap),0)),0)</f>
        <v/>
      </c>
      <c r="N105" s="4395">
        <f>IFERROR(IF((time+time_cap)&lt;N$2, 0,IF(AND(time+1&gt;=O$2, $E105&lt;O$2), IF($I105= "I", $J105/($F105-$E105+1), $J105/(($F105*($F105+1)/2)-(($E105-1)*($E105-1+1)/2))*N$2), 0)+IF(IF(time+1&gt;=O$2, $K105/time_cap/(time+1)*N$2, 0) = 0, $K105/(time_cap),0)),0)</f>
        <v/>
      </c>
      <c r="O105" s="4395">
        <f>IFERROR(IF((time+time_cap)&lt;O$2, 0,IF(AND(time+1&gt;=P$2, $E105&lt;P$2), IF($I105= "I", $J105/($F105-$E105+1), $J105/(($F105*($F105+1)/2)-(($E105-1)*($E105-1+1)/2))*O$2), 0)+IF(IF(time+1&gt;=P$2, $K105/time_cap/(time+1)*O$2, 0) = 0, $K105/(time_cap),0)),0)</f>
        <v/>
      </c>
      <c r="P105" s="4395">
        <f>IFERROR(IF((time+time_cap)&lt;P$2, 0,IF(AND(time+1&gt;=Q$2, $E105&lt;Q$2), IF($I105= "I", $J105/($F105-$E105+1), $J105/(($F105*($F105+1)/2)-(($E105-1)*($E105-1+1)/2))*P$2), 0)+IF(IF(time+1&gt;=Q$2, $K105/time_cap/(time+1)*P$2, 0) = 0, $K105/(time_cap),0)),0)</f>
        <v/>
      </c>
      <c r="Q105" s="4395">
        <f>IFERROR(IF((time+time_cap)&lt;Q$2, 0,IF(AND(time+1&gt;=R$2, $E105&lt;R$2), IF($I105= "I", $J105/($F105-$E105+1), $J105/(($F105*($F105+1)/2)-(($E105-1)*($E105-1+1)/2))*Q$2), 0)+IF(IF(time+1&gt;=R$2, $K105/time_cap/(time+1)*Q$2, 0) = 0, $K105/(time_cap),0)),0)</f>
        <v/>
      </c>
      <c r="R105" s="4395">
        <f>IFERROR(IF((time+time_cap)&lt;R$2, 0,IF(AND(time+1&gt;=S$2, $E105&lt;S$2), IF($I105= "I", $J105/($F105-$E105+1), $J105/(($F105*($F105+1)/2)-(($E105-1)*($E105-1+1)/2))*R$2), 0)+IF(IF(time+1&gt;=S$2, $K105/time_cap/(time+1)*R$2, 0) = 0, $K105/(time_cap),0)),0)</f>
        <v/>
      </c>
      <c r="S105" s="4395">
        <f>IFERROR(IF((time+time_cap)&lt;S$2, 0,IF(AND(time+1&gt;=T$2, $E105&lt;T$2), IF($I105= "I", $J105/($F105-$E105+1), $J105/(($F105*($F105+1)/2)-(($E105-1)*($E105-1+1)/2))*S$2), 0)+IF(IF(time+1&gt;=T$2, $K105/time_cap/(time+1)*S$2, 0) = 0, $K105/(time_cap),0)),0)</f>
        <v/>
      </c>
      <c r="T105" s="4395">
        <f>IFERROR(IF((time+time_cap)&lt;T$2, 0,IF(AND(time+1&gt;=U$2, $E105&lt;U$2), IF($I105= "I", $J105/($F105-$E105+1), $J105/(($F105*($F105+1)/2)-(($E105-1)*($E105-1+1)/2))*T$2), 0)+IF(IF(time+1&gt;=U$2, $K105/time_cap/(time+1)*T$2, 0) = 0, $K105/(time_cap),0)),0)</f>
        <v/>
      </c>
      <c r="U105" s="4395">
        <f>IFERROR(IF((time+time_cap)&lt;U$2, 0,IF(AND(time+1&gt;=V$2, $E105&lt;V$2), IF($I105= "I", $J105/($F105-$E105+1), $J105/(($F105*($F105+1)/2)-(($E105-1)*($E105-1+1)/2))*U$2), 0)+IF(IF(time+1&gt;=V$2, $K105/time_cap/(time+1)*U$2, 0) = 0, $K105/(time_cap),0)),0)</f>
        <v/>
      </c>
      <c r="V105" s="4395">
        <f>IFERROR(IF((time+time_cap)&lt;V$2, 0,IF(AND(time+1&gt;=W$2, $E105&lt;W$2), IF($I105= "I", $J105/($F105-$E105+1), $J105/(($F105*($F105+1)/2)-(($E105-1)*($E105-1+1)/2))*V$2), 0)+IF(IF(time+1&gt;=W$2, $K105/time_cap/(time+1)*V$2, 0) = 0, $K105/(time_cap),0)),0)</f>
        <v/>
      </c>
      <c r="W105" s="4395">
        <f>IFERROR(IF((time+time_cap)&lt;W$2, 0,IF(AND(time+1&gt;=X$2, $E105&lt;X$2), IF($I105= "I", $J105/($F105-$E105+1), $J105/(($F105*($F105+1)/2)-(($E105-1)*($E105-1+1)/2))*W$2), 0)+IF(IF(time+1&gt;=X$2, $K105/time_cap/(time+1)*W$2, 0) = 0, $K105/(time_cap),0)),0)</f>
        <v/>
      </c>
      <c r="X105" s="4395">
        <f>IFERROR(IF((time+time_cap)&lt;X$2, 0,IF(AND(time+1&gt;=Y$2, $E105&lt;Y$2), IF($I105= "I", $J105/($F105-$E105+1), $J105/(($F105*($F105+1)/2)-(($E105-1)*($E105-1+1)/2))*X$2), 0)+IF(IF(time+1&gt;=Y$2, $K105/time_cap/(time+1)*X$2, 0) = 0, $K105/(time_cap),0)),0)</f>
        <v/>
      </c>
      <c r="Y105" s="4395">
        <f>IFERROR(IF((time+time_cap)&lt;Y$2, 0,IF(AND(time+1&gt;=Z$2, $E105&lt;Z$2), IF($I105= "I", $J105/($F105-$E105+1), $J105/(($F105*($F105+1)/2)-(($E105-1)*($E105-1+1)/2))*Y$2), 0)+IF(IF(time+1&gt;=Z$2, $K105/time_cap/(time+1)*Y$2, 0) = 0, $K105/(time_cap),0)),0)</f>
        <v/>
      </c>
      <c r="Z105" s="4395">
        <f>IFERROR(IF((time+time_cap)&lt;Z$2, 0,IF(AND(time+1&gt;=AA$2, $E105&lt;AA$2), IF($I105= "I", $J105/($F105-$E105+1), $J105/(($F105*($F105+1)/2)-(($E105-1)*($E105-1+1)/2))*Z$2), 0)+IF(IF(time+1&gt;=AA$2, $K105/time_cap/(time+1)*Z$2, 0) = 0, $K105/(time_cap),0)),0)</f>
        <v/>
      </c>
      <c r="AA105" s="4395">
        <f>IFERROR(IF((time+time_cap)&lt;AA$2, 0,IF(AND(time+1&gt;=AB$2, $E105&lt;AB$2), IF($I105= "I", $J105/($F105-$E105+1), $J105/(($F105*($F105+1)/2)-(($E105-1)*($E105-1+1)/2))*AA$2), 0)+IF(IF(time+1&gt;=AB$2, $K105/time_cap/(time+1)*AA$2, 0) = 0, $K105/(time_cap),0)),0)</f>
        <v/>
      </c>
      <c r="AB105" s="4395">
        <f>IFERROR(IF((time+time_cap)&lt;AB$2, 0,IF(AND(time+1&gt;=AC$2, $E105&lt;AC$2), IF($I105= "I", $J105/($F105-$E105+1), $J105/(($F105*($F105+1)/2)-(($E105-1)*($E105-1+1)/2))*AB$2), 0)+IF(IF(time+1&gt;=AC$2, $K105/time_cap/(time+1)*AB$2, 0) = 0, $K105/(time_cap),0)),0)</f>
        <v/>
      </c>
      <c r="AC105" s="4395">
        <f>IFERROR(IF((time+time_cap)&lt;AC$2, 0,IF(AND(time+1&gt;=AD$2, $E105&lt;AD$2), IF($I105= "I", $J105/($F105-$E105+1), $J105/(($F105*($F105+1)/2)-(($E105-1)*($E105-1+1)/2))*AC$2), 0)+IF(IF(time+1&gt;=AD$2, $K105/time_cap/(time+1)*AC$2, 0) = 0, $K105/(time_cap),0)),0)</f>
        <v/>
      </c>
      <c r="AD105" s="4395">
        <f>IFERROR(IF((time+time_cap)&lt;AD$2, 0,IF(AND(time+1&gt;=AE$2, $E105&lt;AE$2), IF($I105= "I", $J105/($F105-$E105+1), $J105/(($F105*($F105+1)/2)-(($E105-1)*($E105-1+1)/2))*AD$2), 0)+IF(IF(time+1&gt;=AE$2, $K105/time_cap/(time+1)*AD$2, 0) = 0, $K105/(time_cap),0)),0)</f>
        <v/>
      </c>
      <c r="AE105" s="4395">
        <f>IFERROR(IF((time+time_cap)&lt;AE$2, 0,IF(AND(time+1&gt;=AF$2, $E105&lt;AF$2), IF($I105= "I", $J105/($F105-$E105+1), $J105/(($F105*($F105+1)/2)-(($E105-1)*($E105-1+1)/2))*AE$2), 0)+IF(IF(time+1&gt;=AF$2, $K105/time_cap/(time+1)*AE$2, 0) = 0, $K105/(time_cap),0)),0)</f>
        <v/>
      </c>
      <c r="AF105" s="4395">
        <f>IFERROR(IF((time+time_cap)&lt;AF$2, 0,IF(AND(time+1&gt;=AG$2, $E105&lt;AG$2), IF($I105= "I", $J105/($F105-$E105+1), $J105/(($F105*($F105+1)/2)-(($E105-1)*($E105-1+1)/2))*AF$2), 0)+IF(IF(time+1&gt;=AG$2, $K105/time_cap/(time+1)*AF$2, 0) = 0, $K105/(time_cap),0)),0)</f>
        <v/>
      </c>
      <c r="AG105" s="4395">
        <f>IFERROR(IF((time+time_cap)&lt;AG$2, 0,IF(AND(time+1&gt;=AH$2, $E105&lt;AH$2), IF($I105= "I", $J105/($F105-$E105+1), $J105/(($F105*($F105+1)/2)-(($E105-1)*($E105-1+1)/2))*AG$2), 0)+IF(IF(time+1&gt;=AH$2, $K105/time_cap/(time+1)*AG$2, 0) = 0, $K105/(time_cap),0)),0)</f>
        <v/>
      </c>
      <c r="AH105" s="4395">
        <f>IFERROR(IF((time+time_cap)&lt;AH$2, 0,IF(AND(time+1&gt;=AI$2, $E105&lt;AI$2), IF($I105= "I", $J105/($F105-$E105+1), $J105/(($F105*($F105+1)/2)-(($E105-1)*($E105-1+1)/2))*AH$2), 0)+IF(IF(time+1&gt;=AI$2, $K105/time_cap/(time+1)*AH$2, 0) = 0, $K105/(time_cap),0)),0)</f>
        <v/>
      </c>
      <c r="AI105" s="4395">
        <f>IFERROR(IF((time+time_cap)&lt;AI$2, 0,IF(AND(time+1&gt;=AJ$2, $E105&lt;AJ$2), IF($I105= "I", $J105/($F105-$E105+1), $J105/(($F105*($F105+1)/2)-(($E105-1)*($E105-1+1)/2))*AI$2), 0)+IF(IF(time+1&gt;=AJ$2, $K105/time_cap/(time+1)*AI$2, 0) = 0, $K105/(time_cap),0)),0)</f>
        <v/>
      </c>
      <c r="AJ105" s="4395">
        <f>IFERROR(IF((time+time_cap)&lt;AJ$2, 0,IF(AND(time+1&gt;=AK$2, $E105&lt;AK$2), IF($I105= "I", $J105/($F105-$E105+1), $J105/(($F105*($F105+1)/2)-(($E105-1)*($E105-1+1)/2))*AJ$2), 0)+IF(IF(time+1&gt;=AK$2, $K105/time_cap/(time+1)*AJ$2, 0) = 0, $K105/(time_cap),0)),0)</f>
        <v/>
      </c>
      <c r="AK105" s="4395">
        <f>IFERROR(IF((time+time_cap)&lt;AK$2, 0,IF(AND(time+1&gt;=AL$2, $E105&lt;AL$2), IF($I105= "I", $J105/($F105-$E105+1), $J105/(($F105*($F105+1)/2)-(($E105-1)*($E105-1+1)/2))*AK$2), 0)+IF(IF(time+1&gt;=AL$2, $K105/time_cap/(time+1)*AK$2, 0) = 0, $K105/(time_cap),0)),0)</f>
        <v/>
      </c>
      <c r="AL105" s="4395">
        <f>IFERROR(IF((time+time_cap)&lt;AL$2, 0,IF(AND(time+1&gt;=AM$2, $E105&lt;AM$2), IF($I105= "I", $J105/($F105-$E105+1), $J105/(($F105*($F105+1)/2)-(($E105-1)*($E105-1+1)/2))*AL$2), 0)+IF(IF(time+1&gt;=AM$2, $K105/time_cap/(time+1)*AL$2, 0) = 0, $K105/(time_cap),0)),0)</f>
        <v/>
      </c>
      <c r="AM105" s="4395">
        <f>IFERROR(IF((time+time_cap)&lt;AM$2, 0,IF(AND(time+1&gt;=AN$2, $E105&lt;AN$2), IF($I105= "I", $J105/($F105-$E105+1), $J105/(($F105*($F105+1)/2)-(($E105-1)*($E105-1+1)/2))*AM$2), 0)+IF(IF(time+1&gt;=AN$2, $K105/time_cap/(time+1)*AM$2, 0) = 0, $K105/(time_cap),0)),0)</f>
        <v/>
      </c>
      <c r="AN105" s="4395">
        <f>IFERROR(IF((time+time_cap)&lt;AN$2, 0,IF(AND(time+1&gt;=AO$2, $E105&lt;AO$2), IF($I105= "I", $J105/($F105-$E105+1), $J105/(($F105*($F105+1)/2)-(($E105-1)*($E105-1+1)/2))*AN$2), 0)+IF(IF(time+1&gt;=AO$2, $K105/time_cap/(time+1)*AN$2, 0) = 0, $K105/(time_cap),0)),0)</f>
        <v/>
      </c>
      <c r="AO105" s="4395">
        <f>IFERROR(IF((time+time_cap)&lt;AO$2, 0,IF(AND(time+1&gt;=AP$2, $E105&lt;AP$2), IF($I105= "I", $J105/($F105-$E105+1), $J105/(($F105*($F105+1)/2)-(($E105-1)*($E105-1+1)/2))*AO$2), 0)+IF(IF(time+1&gt;=AP$2, $K105/time_cap/(time+1)*AO$2, 0) = 0, $K105/(time_cap),0)),0)</f>
        <v/>
      </c>
      <c r="AP105" s="4395">
        <f>IFERROR(IF((time+time_cap)&lt;AP$2, 0,IF(AND(time+1&gt;=AQ$2, $E105&lt;AQ$2), IF($I105= "I", $J105/($F105-$E105+1), $J105/(($F105*($F105+1)/2)-(($E105-1)*($E105-1+1)/2))*AP$2), 0)+IF(IF(time+1&gt;=AQ$2, $K105/time_cap/(time+1)*AP$2, 0) = 0, $K105/(time_cap),0)),0)</f>
        <v/>
      </c>
      <c r="AQ105" s="4395">
        <f>IFERROR(IF((time+time_cap)&lt;AQ$2, 0,IF(AND(time+1&gt;=AR$2, $E105&lt;AR$2), IF($I105= "I", $J105/($F105-$E105+1), $J105/(($F105*($F105+1)/2)-(($E105-1)*($E105-1+1)/2))*AQ$2), 0)+IF(IF(time+1&gt;=AR$2, $K105/time_cap/(time+1)*AQ$2, 0) = 0, $K105/(time_cap),0)),0)</f>
        <v/>
      </c>
      <c r="AR105" s="4395">
        <f>IFERROR(IF((time+time_cap)&lt;AR$2, 0,IF(AND(time+1&gt;=AS$2, $E105&lt;AS$2), IF($I105= "I", $J105/($F105-$E105+1), $J105/(($F105*($F105+1)/2)-(($E105-1)*($E105-1+1)/2))*AR$2), 0)+IF(IF(time+1&gt;=AS$2, $K105/time_cap/(time+1)*AR$2, 0) = 0, $K105/(time_cap),0)),0)</f>
        <v/>
      </c>
      <c r="AS105" s="4395">
        <f>IFERROR(IF((time+time_cap)&lt;AS$2, 0,IF(AND(time+1&gt;=AT$2, $E105&lt;AT$2), IF($I105= "I", $J105/($F105-$E105+1), $J105/(($F105*($F105+1)/2)-(($E105-1)*($E105-1+1)/2))*AS$2), 0)+IF(IF(time+1&gt;=AT$2, $K105/time_cap/(time+1)*AS$2, 0) = 0, $K105/(time_cap),0)),0)</f>
        <v/>
      </c>
      <c r="AT105" s="4395">
        <f>IFERROR(IF((time+time_cap)&lt;AT$2, 0,IF(AND(time+1&gt;=AU$2, $E105&lt;AU$2), IF($I105= "I", $J105/($F105-$E105+1), $J105/(($F105*($F105+1)/2)-(($E105-1)*($E105-1+1)/2))*AT$2), 0)+IF(IF(time+1&gt;=AU$2, $K105/time_cap/(time+1)*AT$2, 0) = 0, $K105/(time_cap),0)),0)</f>
        <v/>
      </c>
      <c r="AU105" s="4395">
        <f>IFERROR(IF((time+time_cap)&lt;AU$2, 0,IF(AND(time+1&gt;=AV$2, $E105&lt;AV$2), IF($I105= "I", $J105/($F105-$E105+1), $J105/(($F105*($F105+1)/2)-(($E105-1)*($E105-1+1)/2))*AU$2), 0)+IF(IF(time+1&gt;=AV$2, $K105/time_cap/(time+1)*AU$2, 0) = 0, $K105/(time_cap),0)),0)</f>
        <v/>
      </c>
      <c r="AV105" s="4395">
        <f>IFERROR(IF((time+time_cap)&lt;AV$2, 0,IF(AND(time+1&gt;=AW$2, $E105&lt;AW$2), IF($I105= "I", $J105/($F105-$E105+1), $J105/(($F105*($F105+1)/2)-(($E105-1)*($E105-1+1)/2))*AV$2), 0)+IF(IF(time+1&gt;=AW$2, $K105/time_cap/(time+1)*AV$2, 0) = 0, $K105/(time_cap),0)),0)</f>
        <v/>
      </c>
      <c r="AW105" s="4395">
        <f>IFERROR(IF((time+time_cap)&lt;AW$2, 0,IF(AND(time+1&gt;=AX$2, $E105&lt;AX$2), IF($I105= "I", $J105/($F105-$E105+1), $J105/(($F105*($F105+1)/2)-(($E105-1)*($E105-1+1)/2))*AW$2), 0)+IF(IF(time+1&gt;=AX$2, $K105/time_cap/(time+1)*AW$2, 0) = 0, $K105/(time_cap),0)),0)</f>
        <v/>
      </c>
      <c r="AX105" s="4395">
        <f>IFERROR(IF((time+time_cap)&lt;AX$2, 0,IF(AND(time+1&gt;=AY$2, $E105&lt;AY$2), IF($I105= "I", $J105/($F105-$E105+1), $J105/(($F105*($F105+1)/2)-(($E105-1)*($E105-1+1)/2))*AX$2), 0)+IF(IF(time+1&gt;=AY$2, $K105/time_cap/(time+1)*AX$2, 0) = 0, $K105/(time_cap),0)),0)</f>
        <v/>
      </c>
      <c r="AY105" s="4395">
        <f>IFERROR(IF((time+time_cap)&lt;AY$2, 0,IF(AND(time+1&gt;=AZ$2, $E105&lt;AZ$2), IF($I105= "I", $J105/($F105-$E105+1), $J105/(($F105*($F105+1)/2)-(($E105-1)*($E105-1+1)/2))*AY$2), 0)+IF(IF(time+1&gt;=AZ$2, $K105/time_cap/(time+1)*AY$2, 0) = 0, $K105/(time_cap),0)),0)</f>
        <v/>
      </c>
      <c r="AZ105" s="4395">
        <f>IFERROR(IF((time+time_cap)&lt;AZ$2, 0,IF(AND(time+1&gt;=BA$2, $E105&lt;BA$2), IF($I105= "I", $J105/($F105-$E105+1), $J105/(($F105*($F105+1)/2)-(($E105-1)*($E105-1+1)/2))*AZ$2), 0)+IF(IF(time+1&gt;=BA$2, $K105/time_cap/(time+1)*AZ$2, 0) = 0, $K105/(time_cap),0)),0)</f>
        <v/>
      </c>
      <c r="BA105" s="4395">
        <f>IFERROR(IF((time+time_cap)&lt;BA$2, 0,IF(AND(time+1&gt;=BB$2, $E105&lt;BB$2), IF($I105= "I", $J105/($F105-$E105+1), $J105/(($F105*($F105+1)/2)-(($E105-1)*($E105-1+1)/2))*BA$2), 0)+IF(IF(time+1&gt;=BB$2, $K105/time_cap/(time+1)*BA$2, 0) = 0, $K105/(time_cap),0)),0)</f>
        <v/>
      </c>
      <c r="BB105" s="4395">
        <f>IFERROR(IF((time+time_cap)&lt;BB$2, 0,IF(AND(time+1&gt;=BC$2, $E105&lt;BC$2), IF($I105= "I", $J105/($F105-$E105+1), $J105/(($F105*($F105+1)/2)-(($E105-1)*($E105-1+1)/2))*BB$2), 0)+IF(IF(time+1&gt;=BC$2, $K105/time_cap/(time+1)*BB$2, 0) = 0, $K105/(time_cap),0)),0)</f>
        <v/>
      </c>
      <c r="BC105" s="4395">
        <f>IFERROR(IF((time+time_cap)&lt;BC$2, 0,IF(AND(time+1&gt;=BD$2, $E105&lt;BD$2), IF($I105= "I", $J105/($F105-$E105+1), $J105/(($F105*($F105+1)/2)-(($E105-1)*($E105-1+1)/2))*BC$2), 0)+IF(IF(time+1&gt;=BD$2, $K105/time_cap/(time+1)*BC$2, 0) = 0, $K105/(time_cap),0)),0)</f>
        <v/>
      </c>
      <c r="BD105" s="4395">
        <f>IFERROR(IF((time+time_cap)&lt;BD$2, 0,IF(AND(time+1&gt;=BE$2, $E105&lt;BE$2), IF($I105= "I", $J105/($F105-$E105+1), $J105/(($F105*($F105+1)/2)-(($E105-1)*($E105-1+1)/2))*BD$2), 0)+IF(IF(time+1&gt;=BE$2, $K105/time_cap/(time+1)*BD$2, 0) = 0, $K105/(time_cap),0)),0)</f>
        <v/>
      </c>
      <c r="BE105" s="4395">
        <f>IFERROR(IF((time+time_cap)&lt;BE$2, 0,IF(AND(time+1&gt;=BF$2, $E105&lt;BF$2), IF($I105= "I", $J105/($F105-$E105+1), $J105/(($F105*($F105+1)/2)-(($E105-1)*($E105-1+1)/2))*BE$2), 0)+IF(IF(time+1&gt;=BF$2, $K105/time_cap/(time+1)*BE$2, 0) = 0, $K105/(time_cap),0)),0)</f>
        <v/>
      </c>
      <c r="BF105" s="4395">
        <f>IFERROR(IF((time+time_cap)&lt;BF$2, 0,IF(AND(time+1&gt;=BG$2, $E105&lt;BG$2), IF($I105= "I", $J105/($F105-$E105+1), $J105/(($F105*($F105+1)/2)-(($E105-1)*($E105-1+1)/2))*BF$2), 0)+IF(IF(time+1&gt;=BG$2, $K105/time_cap/(time+1)*BF$2, 0) = 0, $K105/(time_cap),0)),0)</f>
        <v/>
      </c>
      <c r="BG105" s="4395">
        <f>IFERROR(IF((time+time_cap)&lt;BG$2, 0,IF(AND(time+1&gt;=BH$2, $E105&lt;BH$2), IF($I105= "I", $J105/($F105-$E105+1), $J105/(($F105*($F105+1)/2)-(($E105-1)*($E105-1+1)/2))*BG$2), 0)+IF(IF(time+1&gt;=BH$2, $K105/time_cap/(time+1)*BG$2, 0) = 0, $K105/(time_cap),0)),0)</f>
        <v/>
      </c>
      <c r="BH105" s="4395">
        <f>IFERROR(IF((time+time_cap)&lt;BH$2, 0,IF(AND(time+1&gt;=BI$2, $E105&lt;BI$2), IF($I105= "I", $J105/($F105-$E105+1), $J105/(($F105*($F105+1)/2)-(($E105-1)*($E105-1+1)/2))*BH$2), 0)+IF(IF(time+1&gt;=BI$2, $K105/time_cap/(time+1)*BH$2, 0) = 0, $K105/(time_cap),0)),0)</f>
        <v/>
      </c>
      <c r="BI105" s="4395">
        <f>IFERROR(IF((time+time_cap)&lt;BI$2, 0,IF(AND(time+1&gt;=BJ$2, $E105&lt;BJ$2), IF($I105= "I", $J105/($F105-$E105+1), $J105/(($F105*($F105+1)/2)-(($E105-1)*($E105-1+1)/2))*BI$2), 0)+IF(IF(time+1&gt;=BJ$2, $K105/time_cap/(time+1)*BI$2, 0) = 0, $K105/(time_cap),0)),0)</f>
        <v/>
      </c>
      <c r="BJ105" s="4395">
        <f>IFERROR(IF((time+time_cap)&lt;BJ$2, 0,IF(AND(time+1&gt;=BK$2, $E105&lt;BK$2), IF($I105= "I", $J105/($F105-$E105+1), $J105/(($F105*($F105+1)/2)-(($E105-1)*($E105-1+1)/2))*BJ$2), 0)+IF(IF(time+1&gt;=BK$2, $K105/time_cap/(time+1)*BJ$2, 0) = 0, $K105/(time_cap),0)),0)</f>
        <v/>
      </c>
      <c r="BK105" s="4395" t="n"/>
      <c r="BL105" s="4395" t="n"/>
      <c r="BM105" s="4395" t="n"/>
      <c r="BN105" s="4395" t="n"/>
      <c r="BO105" s="4395" t="n"/>
      <c r="BP105" s="4395" t="n"/>
      <c r="BQ105" s="4395" t="n"/>
      <c r="BR105" s="4395" t="n"/>
      <c r="BS105" s="4395" t="n"/>
      <c r="BT105" s="4395" t="n"/>
      <c r="BU105" s="4395" t="n"/>
      <c r="BV105" s="4395" t="n"/>
      <c r="BW105" s="4395" t="n"/>
      <c r="BX105" s="4395" t="n"/>
      <c r="BY105" s="4395" t="n"/>
      <c r="BZ105" s="4395" t="n"/>
      <c r="CA105" s="4395" t="n"/>
      <c r="CB105" s="4395" t="n"/>
      <c r="CC105" s="4395" t="n"/>
      <c r="CD105" s="4395" t="n"/>
      <c r="CE105" s="4395" t="n"/>
      <c r="CF105" s="4395" t="n"/>
      <c r="CG105" s="4395" t="n"/>
      <c r="CH105" s="4395" t="n"/>
      <c r="CI105" s="4395" t="n"/>
      <c r="CJ105" s="4395" t="n"/>
      <c r="CK105" s="4395" t="n"/>
      <c r="CL105" s="4395" t="n"/>
      <c r="CM105" s="4395" t="n"/>
      <c r="CN105" s="4395" t="n"/>
      <c r="CO105" s="4395" t="n"/>
      <c r="CP105" s="4395" t="n"/>
      <c r="CQ105" s="4395" t="n"/>
      <c r="CR105" s="4395" t="n"/>
      <c r="CS105" s="4395" t="n"/>
      <c r="CT105" s="4395" t="n"/>
      <c r="CU105" s="4395" t="n"/>
      <c r="CV105" s="4395" t="n"/>
      <c r="CW105" s="4395" t="n"/>
      <c r="CX105" s="4395" t="n"/>
      <c r="CY105" s="4395" t="n"/>
      <c r="CZ105" s="4395" t="n"/>
      <c r="DA105" s="4395" t="n"/>
      <c r="DB105" s="4395" t="n"/>
      <c r="DC105" s="4395" t="n"/>
      <c r="DD105" s="4395" t="n"/>
      <c r="DE105" s="4395" t="n"/>
      <c r="DF105" s="4395" t="n"/>
      <c r="DG105" s="4395" t="n"/>
      <c r="DH105" s="4395" t="n"/>
    </row>
    <row r="106">
      <c r="A106" t="inlineStr">
        <is>
          <t>Livestock</t>
        </is>
      </c>
      <c r="B106">
        <f>'4.Grassland'!E69</f>
        <v/>
      </c>
      <c r="C106">
        <f>'4.Grassland'!I69</f>
        <v/>
      </c>
      <c r="D106">
        <f>'4.Grassland'!AG69</f>
        <v/>
      </c>
      <c r="E106">
        <f>IF('4.Grassland'!CG69&lt;&gt;0,'4.Grassland'!CG69, '4.Grassland'!CF69)</f>
        <v/>
      </c>
      <c r="F106">
        <f>time</f>
        <v/>
      </c>
      <c r="G106" s="4395" t="n"/>
      <c r="H106" s="4395" t="n"/>
      <c r="I106" s="4395">
        <f>IF(OR(H106="I", G106="I"), "I", IF(OR(H106="E", G106="E"), "E", "D"))</f>
        <v/>
      </c>
      <c r="J106" s="4395">
        <f>((D106/(time_cap+((F106-E106+1)*VLOOKUP(I106,list!$I$48:$K$50,3, FALSE))))*(F106-E106+1)*VLOOKUP(I106,list!$I$48:$K$50,3, FALSE))</f>
        <v/>
      </c>
      <c r="K106" s="4395">
        <f>((D106/(time_cap+((F106-E106+1)*VLOOKUP(I106,list!$I$48:$K$50,3, FALSE))))*time_cap)</f>
        <v/>
      </c>
      <c r="M106" s="4395">
        <f>IFERROR(IF((time+time_cap)&lt;M$2, 0,IF(AND(time+1&gt;=N$2, $E106&lt;N$2), IF($I106= "I", $J106/($F106-$E106+1), $J106/(($F106*($F106+1)/2)-(($E106-1)*($E106-1+1)/2))*M$2), 0)+IF(IF(time+1&gt;=N$2, $K106/time_cap/(time+1)*M$2, 0) = 0, $K106/(time_cap),0)),0)</f>
        <v/>
      </c>
      <c r="N106" s="4395">
        <f>IFERROR(IF((time+time_cap)&lt;N$2, 0,IF(AND(time+1&gt;=O$2, $E106&lt;O$2), IF($I106= "I", $J106/($F106-$E106+1), $J106/(($F106*($F106+1)/2)-(($E106-1)*($E106-1+1)/2))*N$2), 0)+IF(IF(time+1&gt;=O$2, $K106/time_cap/(time+1)*N$2, 0) = 0, $K106/(time_cap),0)),0)</f>
        <v/>
      </c>
      <c r="O106" s="4395">
        <f>IFERROR(IF((time+time_cap)&lt;O$2, 0,IF(AND(time+1&gt;=P$2, $E106&lt;P$2), IF($I106= "I", $J106/($F106-$E106+1), $J106/(($F106*($F106+1)/2)-(($E106-1)*($E106-1+1)/2))*O$2), 0)+IF(IF(time+1&gt;=P$2, $K106/time_cap/(time+1)*O$2, 0) = 0, $K106/(time_cap),0)),0)</f>
        <v/>
      </c>
      <c r="P106" s="4395">
        <f>IFERROR(IF((time+time_cap)&lt;P$2, 0,IF(AND(time+1&gt;=Q$2, $E106&lt;Q$2), IF($I106= "I", $J106/($F106-$E106+1), $J106/(($F106*($F106+1)/2)-(($E106-1)*($E106-1+1)/2))*P$2), 0)+IF(IF(time+1&gt;=Q$2, $K106/time_cap/(time+1)*P$2, 0) = 0, $K106/(time_cap),0)),0)</f>
        <v/>
      </c>
      <c r="Q106" s="4395">
        <f>IFERROR(IF((time+time_cap)&lt;Q$2, 0,IF(AND(time+1&gt;=R$2, $E106&lt;R$2), IF($I106= "I", $J106/($F106-$E106+1), $J106/(($F106*($F106+1)/2)-(($E106-1)*($E106-1+1)/2))*Q$2), 0)+IF(IF(time+1&gt;=R$2, $K106/time_cap/(time+1)*Q$2, 0) = 0, $K106/(time_cap),0)),0)</f>
        <v/>
      </c>
      <c r="R106" s="4395">
        <f>IFERROR(IF((time+time_cap)&lt;R$2, 0,IF(AND(time+1&gt;=S$2, $E106&lt;S$2), IF($I106= "I", $J106/($F106-$E106+1), $J106/(($F106*($F106+1)/2)-(($E106-1)*($E106-1+1)/2))*R$2), 0)+IF(IF(time+1&gt;=S$2, $K106/time_cap/(time+1)*R$2, 0) = 0, $K106/(time_cap),0)),0)</f>
        <v/>
      </c>
      <c r="S106" s="4395">
        <f>IFERROR(IF((time+time_cap)&lt;S$2, 0,IF(AND(time+1&gt;=T$2, $E106&lt;T$2), IF($I106= "I", $J106/($F106-$E106+1), $J106/(($F106*($F106+1)/2)-(($E106-1)*($E106-1+1)/2))*S$2), 0)+IF(IF(time+1&gt;=T$2, $K106/time_cap/(time+1)*S$2, 0) = 0, $K106/(time_cap),0)),0)</f>
        <v/>
      </c>
      <c r="T106" s="4395">
        <f>IFERROR(IF((time+time_cap)&lt;T$2, 0,IF(AND(time+1&gt;=U$2, $E106&lt;U$2), IF($I106= "I", $J106/($F106-$E106+1), $J106/(($F106*($F106+1)/2)-(($E106-1)*($E106-1+1)/2))*T$2), 0)+IF(IF(time+1&gt;=U$2, $K106/time_cap/(time+1)*T$2, 0) = 0, $K106/(time_cap),0)),0)</f>
        <v/>
      </c>
      <c r="U106" s="4395">
        <f>IFERROR(IF((time+time_cap)&lt;U$2, 0,IF(AND(time+1&gt;=V$2, $E106&lt;V$2), IF($I106= "I", $J106/($F106-$E106+1), $J106/(($F106*($F106+1)/2)-(($E106-1)*($E106-1+1)/2))*U$2), 0)+IF(IF(time+1&gt;=V$2, $K106/time_cap/(time+1)*U$2, 0) = 0, $K106/(time_cap),0)),0)</f>
        <v/>
      </c>
      <c r="V106" s="4395">
        <f>IFERROR(IF((time+time_cap)&lt;V$2, 0,IF(AND(time+1&gt;=W$2, $E106&lt;W$2), IF($I106= "I", $J106/($F106-$E106+1), $J106/(($F106*($F106+1)/2)-(($E106-1)*($E106-1+1)/2))*V$2), 0)+IF(IF(time+1&gt;=W$2, $K106/time_cap/(time+1)*V$2, 0) = 0, $K106/(time_cap),0)),0)</f>
        <v/>
      </c>
      <c r="W106" s="4395">
        <f>IFERROR(IF((time+time_cap)&lt;W$2, 0,IF(AND(time+1&gt;=X$2, $E106&lt;X$2), IF($I106= "I", $J106/($F106-$E106+1), $J106/(($F106*($F106+1)/2)-(($E106-1)*($E106-1+1)/2))*W$2), 0)+IF(IF(time+1&gt;=X$2, $K106/time_cap/(time+1)*W$2, 0) = 0, $K106/(time_cap),0)),0)</f>
        <v/>
      </c>
      <c r="X106" s="4395">
        <f>IFERROR(IF((time+time_cap)&lt;X$2, 0,IF(AND(time+1&gt;=Y$2, $E106&lt;Y$2), IF($I106= "I", $J106/($F106-$E106+1), $J106/(($F106*($F106+1)/2)-(($E106-1)*($E106-1+1)/2))*X$2), 0)+IF(IF(time+1&gt;=Y$2, $K106/time_cap/(time+1)*X$2, 0) = 0, $K106/(time_cap),0)),0)</f>
        <v/>
      </c>
      <c r="Y106" s="4395">
        <f>IFERROR(IF((time+time_cap)&lt;Y$2, 0,IF(AND(time+1&gt;=Z$2, $E106&lt;Z$2), IF($I106= "I", $J106/($F106-$E106+1), $J106/(($F106*($F106+1)/2)-(($E106-1)*($E106-1+1)/2))*Y$2), 0)+IF(IF(time+1&gt;=Z$2, $K106/time_cap/(time+1)*Y$2, 0) = 0, $K106/(time_cap),0)),0)</f>
        <v/>
      </c>
      <c r="Z106" s="4395">
        <f>IFERROR(IF((time+time_cap)&lt;Z$2, 0,IF(AND(time+1&gt;=AA$2, $E106&lt;AA$2), IF($I106= "I", $J106/($F106-$E106+1), $J106/(($F106*($F106+1)/2)-(($E106-1)*($E106-1+1)/2))*Z$2), 0)+IF(IF(time+1&gt;=AA$2, $K106/time_cap/(time+1)*Z$2, 0) = 0, $K106/(time_cap),0)),0)</f>
        <v/>
      </c>
      <c r="AA106" s="4395">
        <f>IFERROR(IF((time+time_cap)&lt;AA$2, 0,IF(AND(time+1&gt;=AB$2, $E106&lt;AB$2), IF($I106= "I", $J106/($F106-$E106+1), $J106/(($F106*($F106+1)/2)-(($E106-1)*($E106-1+1)/2))*AA$2), 0)+IF(IF(time+1&gt;=AB$2, $K106/time_cap/(time+1)*AA$2, 0) = 0, $K106/(time_cap),0)),0)</f>
        <v/>
      </c>
      <c r="AB106" s="4395">
        <f>IFERROR(IF((time+time_cap)&lt;AB$2, 0,IF(AND(time+1&gt;=AC$2, $E106&lt;AC$2), IF($I106= "I", $J106/($F106-$E106+1), $J106/(($F106*($F106+1)/2)-(($E106-1)*($E106-1+1)/2))*AB$2), 0)+IF(IF(time+1&gt;=AC$2, $K106/time_cap/(time+1)*AB$2, 0) = 0, $K106/(time_cap),0)),0)</f>
        <v/>
      </c>
      <c r="AC106" s="4395">
        <f>IFERROR(IF((time+time_cap)&lt;AC$2, 0,IF(AND(time+1&gt;=AD$2, $E106&lt;AD$2), IF($I106= "I", $J106/($F106-$E106+1), $J106/(($F106*($F106+1)/2)-(($E106-1)*($E106-1+1)/2))*AC$2), 0)+IF(IF(time+1&gt;=AD$2, $K106/time_cap/(time+1)*AC$2, 0) = 0, $K106/(time_cap),0)),0)</f>
        <v/>
      </c>
      <c r="AD106" s="4395">
        <f>IFERROR(IF((time+time_cap)&lt;AD$2, 0,IF(AND(time+1&gt;=AE$2, $E106&lt;AE$2), IF($I106= "I", $J106/($F106-$E106+1), $J106/(($F106*($F106+1)/2)-(($E106-1)*($E106-1+1)/2))*AD$2), 0)+IF(IF(time+1&gt;=AE$2, $K106/time_cap/(time+1)*AD$2, 0) = 0, $K106/(time_cap),0)),0)</f>
        <v/>
      </c>
      <c r="AE106" s="4395">
        <f>IFERROR(IF((time+time_cap)&lt;AE$2, 0,IF(AND(time+1&gt;=AF$2, $E106&lt;AF$2), IF($I106= "I", $J106/($F106-$E106+1), $J106/(($F106*($F106+1)/2)-(($E106-1)*($E106-1+1)/2))*AE$2), 0)+IF(IF(time+1&gt;=AF$2, $K106/time_cap/(time+1)*AE$2, 0) = 0, $K106/(time_cap),0)),0)</f>
        <v/>
      </c>
      <c r="AF106" s="4395">
        <f>IFERROR(IF((time+time_cap)&lt;AF$2, 0,IF(AND(time+1&gt;=AG$2, $E106&lt;AG$2), IF($I106= "I", $J106/($F106-$E106+1), $J106/(($F106*($F106+1)/2)-(($E106-1)*($E106-1+1)/2))*AF$2), 0)+IF(IF(time+1&gt;=AG$2, $K106/time_cap/(time+1)*AF$2, 0) = 0, $K106/(time_cap),0)),0)</f>
        <v/>
      </c>
      <c r="AG106" s="4395">
        <f>IFERROR(IF((time+time_cap)&lt;AG$2, 0,IF(AND(time+1&gt;=AH$2, $E106&lt;AH$2), IF($I106= "I", $J106/($F106-$E106+1), $J106/(($F106*($F106+1)/2)-(($E106-1)*($E106-1+1)/2))*AG$2), 0)+IF(IF(time+1&gt;=AH$2, $K106/time_cap/(time+1)*AG$2, 0) = 0, $K106/(time_cap),0)),0)</f>
        <v/>
      </c>
      <c r="AH106" s="4395">
        <f>IFERROR(IF((time+time_cap)&lt;AH$2, 0,IF(AND(time+1&gt;=AI$2, $E106&lt;AI$2), IF($I106= "I", $J106/($F106-$E106+1), $J106/(($F106*($F106+1)/2)-(($E106-1)*($E106-1+1)/2))*AH$2), 0)+IF(IF(time+1&gt;=AI$2, $K106/time_cap/(time+1)*AH$2, 0) = 0, $K106/(time_cap),0)),0)</f>
        <v/>
      </c>
      <c r="AI106" s="4395">
        <f>IFERROR(IF((time+time_cap)&lt;AI$2, 0,IF(AND(time+1&gt;=AJ$2, $E106&lt;AJ$2), IF($I106= "I", $J106/($F106-$E106+1), $J106/(($F106*($F106+1)/2)-(($E106-1)*($E106-1+1)/2))*AI$2), 0)+IF(IF(time+1&gt;=AJ$2, $K106/time_cap/(time+1)*AI$2, 0) = 0, $K106/(time_cap),0)),0)</f>
        <v/>
      </c>
      <c r="AJ106" s="4395">
        <f>IFERROR(IF((time+time_cap)&lt;AJ$2, 0,IF(AND(time+1&gt;=AK$2, $E106&lt;AK$2), IF($I106= "I", $J106/($F106-$E106+1), $J106/(($F106*($F106+1)/2)-(($E106-1)*($E106-1+1)/2))*AJ$2), 0)+IF(IF(time+1&gt;=AK$2, $K106/time_cap/(time+1)*AJ$2, 0) = 0, $K106/(time_cap),0)),0)</f>
        <v/>
      </c>
      <c r="AK106" s="4395">
        <f>IFERROR(IF((time+time_cap)&lt;AK$2, 0,IF(AND(time+1&gt;=AL$2, $E106&lt;AL$2), IF($I106= "I", $J106/($F106-$E106+1), $J106/(($F106*($F106+1)/2)-(($E106-1)*($E106-1+1)/2))*AK$2), 0)+IF(IF(time+1&gt;=AL$2, $K106/time_cap/(time+1)*AK$2, 0) = 0, $K106/(time_cap),0)),0)</f>
        <v/>
      </c>
      <c r="AL106" s="4395">
        <f>IFERROR(IF((time+time_cap)&lt;AL$2, 0,IF(AND(time+1&gt;=AM$2, $E106&lt;AM$2), IF($I106= "I", $J106/($F106-$E106+1), $J106/(($F106*($F106+1)/2)-(($E106-1)*($E106-1+1)/2))*AL$2), 0)+IF(IF(time+1&gt;=AM$2, $K106/time_cap/(time+1)*AL$2, 0) = 0, $K106/(time_cap),0)),0)</f>
        <v/>
      </c>
      <c r="AM106" s="4395">
        <f>IFERROR(IF((time+time_cap)&lt;AM$2, 0,IF(AND(time+1&gt;=AN$2, $E106&lt;AN$2), IF($I106= "I", $J106/($F106-$E106+1), $J106/(($F106*($F106+1)/2)-(($E106-1)*($E106-1+1)/2))*AM$2), 0)+IF(IF(time+1&gt;=AN$2, $K106/time_cap/(time+1)*AM$2, 0) = 0, $K106/(time_cap),0)),0)</f>
        <v/>
      </c>
      <c r="AN106" s="4395">
        <f>IFERROR(IF((time+time_cap)&lt;AN$2, 0,IF(AND(time+1&gt;=AO$2, $E106&lt;AO$2), IF($I106= "I", $J106/($F106-$E106+1), $J106/(($F106*($F106+1)/2)-(($E106-1)*($E106-1+1)/2))*AN$2), 0)+IF(IF(time+1&gt;=AO$2, $K106/time_cap/(time+1)*AN$2, 0) = 0, $K106/(time_cap),0)),0)</f>
        <v/>
      </c>
      <c r="AO106" s="4395">
        <f>IFERROR(IF((time+time_cap)&lt;AO$2, 0,IF(AND(time+1&gt;=AP$2, $E106&lt;AP$2), IF($I106= "I", $J106/($F106-$E106+1), $J106/(($F106*($F106+1)/2)-(($E106-1)*($E106-1+1)/2))*AO$2), 0)+IF(IF(time+1&gt;=AP$2, $K106/time_cap/(time+1)*AO$2, 0) = 0, $K106/(time_cap),0)),0)</f>
        <v/>
      </c>
      <c r="AP106" s="4395">
        <f>IFERROR(IF((time+time_cap)&lt;AP$2, 0,IF(AND(time+1&gt;=AQ$2, $E106&lt;AQ$2), IF($I106= "I", $J106/($F106-$E106+1), $J106/(($F106*($F106+1)/2)-(($E106-1)*($E106-1+1)/2))*AP$2), 0)+IF(IF(time+1&gt;=AQ$2, $K106/time_cap/(time+1)*AP$2, 0) = 0, $K106/(time_cap),0)),0)</f>
        <v/>
      </c>
      <c r="AQ106" s="4395">
        <f>IFERROR(IF((time+time_cap)&lt;AQ$2, 0,IF(AND(time+1&gt;=AR$2, $E106&lt;AR$2), IF($I106= "I", $J106/($F106-$E106+1), $J106/(($F106*($F106+1)/2)-(($E106-1)*($E106-1+1)/2))*AQ$2), 0)+IF(IF(time+1&gt;=AR$2, $K106/time_cap/(time+1)*AQ$2, 0) = 0, $K106/(time_cap),0)),0)</f>
        <v/>
      </c>
      <c r="AR106" s="4395">
        <f>IFERROR(IF((time+time_cap)&lt;AR$2, 0,IF(AND(time+1&gt;=AS$2, $E106&lt;AS$2), IF($I106= "I", $J106/($F106-$E106+1), $J106/(($F106*($F106+1)/2)-(($E106-1)*($E106-1+1)/2))*AR$2), 0)+IF(IF(time+1&gt;=AS$2, $K106/time_cap/(time+1)*AR$2, 0) = 0, $K106/(time_cap),0)),0)</f>
        <v/>
      </c>
      <c r="AS106" s="4395">
        <f>IFERROR(IF((time+time_cap)&lt;AS$2, 0,IF(AND(time+1&gt;=AT$2, $E106&lt;AT$2), IF($I106= "I", $J106/($F106-$E106+1), $J106/(($F106*($F106+1)/2)-(($E106-1)*($E106-1+1)/2))*AS$2), 0)+IF(IF(time+1&gt;=AT$2, $K106/time_cap/(time+1)*AS$2, 0) = 0, $K106/(time_cap),0)),0)</f>
        <v/>
      </c>
      <c r="AT106" s="4395">
        <f>IFERROR(IF((time+time_cap)&lt;AT$2, 0,IF(AND(time+1&gt;=AU$2, $E106&lt;AU$2), IF($I106= "I", $J106/($F106-$E106+1), $J106/(($F106*($F106+1)/2)-(($E106-1)*($E106-1+1)/2))*AT$2), 0)+IF(IF(time+1&gt;=AU$2, $K106/time_cap/(time+1)*AT$2, 0) = 0, $K106/(time_cap),0)),0)</f>
        <v/>
      </c>
      <c r="AU106" s="4395">
        <f>IFERROR(IF((time+time_cap)&lt;AU$2, 0,IF(AND(time+1&gt;=AV$2, $E106&lt;AV$2), IF($I106= "I", $J106/($F106-$E106+1), $J106/(($F106*($F106+1)/2)-(($E106-1)*($E106-1+1)/2))*AU$2), 0)+IF(IF(time+1&gt;=AV$2, $K106/time_cap/(time+1)*AU$2, 0) = 0, $K106/(time_cap),0)),0)</f>
        <v/>
      </c>
      <c r="AV106" s="4395">
        <f>IFERROR(IF((time+time_cap)&lt;AV$2, 0,IF(AND(time+1&gt;=AW$2, $E106&lt;AW$2), IF($I106= "I", $J106/($F106-$E106+1), $J106/(($F106*($F106+1)/2)-(($E106-1)*($E106-1+1)/2))*AV$2), 0)+IF(IF(time+1&gt;=AW$2, $K106/time_cap/(time+1)*AV$2, 0) = 0, $K106/(time_cap),0)),0)</f>
        <v/>
      </c>
      <c r="AW106" s="4395">
        <f>IFERROR(IF((time+time_cap)&lt;AW$2, 0,IF(AND(time+1&gt;=AX$2, $E106&lt;AX$2), IF($I106= "I", $J106/($F106-$E106+1), $J106/(($F106*($F106+1)/2)-(($E106-1)*($E106-1+1)/2))*AW$2), 0)+IF(IF(time+1&gt;=AX$2, $K106/time_cap/(time+1)*AW$2, 0) = 0, $K106/(time_cap),0)),0)</f>
        <v/>
      </c>
      <c r="AX106" s="4395">
        <f>IFERROR(IF((time+time_cap)&lt;AX$2, 0,IF(AND(time+1&gt;=AY$2, $E106&lt;AY$2), IF($I106= "I", $J106/($F106-$E106+1), $J106/(($F106*($F106+1)/2)-(($E106-1)*($E106-1+1)/2))*AX$2), 0)+IF(IF(time+1&gt;=AY$2, $K106/time_cap/(time+1)*AX$2, 0) = 0, $K106/(time_cap),0)),0)</f>
        <v/>
      </c>
      <c r="AY106" s="4395">
        <f>IFERROR(IF((time+time_cap)&lt;AY$2, 0,IF(AND(time+1&gt;=AZ$2, $E106&lt;AZ$2), IF($I106= "I", $J106/($F106-$E106+1), $J106/(($F106*($F106+1)/2)-(($E106-1)*($E106-1+1)/2))*AY$2), 0)+IF(IF(time+1&gt;=AZ$2, $K106/time_cap/(time+1)*AY$2, 0) = 0, $K106/(time_cap),0)),0)</f>
        <v/>
      </c>
      <c r="AZ106" s="4395">
        <f>IFERROR(IF((time+time_cap)&lt;AZ$2, 0,IF(AND(time+1&gt;=BA$2, $E106&lt;BA$2), IF($I106= "I", $J106/($F106-$E106+1), $J106/(($F106*($F106+1)/2)-(($E106-1)*($E106-1+1)/2))*AZ$2), 0)+IF(IF(time+1&gt;=BA$2, $K106/time_cap/(time+1)*AZ$2, 0) = 0, $K106/(time_cap),0)),0)</f>
        <v/>
      </c>
      <c r="BA106" s="4395">
        <f>IFERROR(IF((time+time_cap)&lt;BA$2, 0,IF(AND(time+1&gt;=BB$2, $E106&lt;BB$2), IF($I106= "I", $J106/($F106-$E106+1), $J106/(($F106*($F106+1)/2)-(($E106-1)*($E106-1+1)/2))*BA$2), 0)+IF(IF(time+1&gt;=BB$2, $K106/time_cap/(time+1)*BA$2, 0) = 0, $K106/(time_cap),0)),0)</f>
        <v/>
      </c>
      <c r="BB106" s="4395">
        <f>IFERROR(IF((time+time_cap)&lt;BB$2, 0,IF(AND(time+1&gt;=BC$2, $E106&lt;BC$2), IF($I106= "I", $J106/($F106-$E106+1), $J106/(($F106*($F106+1)/2)-(($E106-1)*($E106-1+1)/2))*BB$2), 0)+IF(IF(time+1&gt;=BC$2, $K106/time_cap/(time+1)*BB$2, 0) = 0, $K106/(time_cap),0)),0)</f>
        <v/>
      </c>
      <c r="BC106" s="4395">
        <f>IFERROR(IF((time+time_cap)&lt;BC$2, 0,IF(AND(time+1&gt;=BD$2, $E106&lt;BD$2), IF($I106= "I", $J106/($F106-$E106+1), $J106/(($F106*($F106+1)/2)-(($E106-1)*($E106-1+1)/2))*BC$2), 0)+IF(IF(time+1&gt;=BD$2, $K106/time_cap/(time+1)*BC$2, 0) = 0, $K106/(time_cap),0)),0)</f>
        <v/>
      </c>
      <c r="BD106" s="4395">
        <f>IFERROR(IF((time+time_cap)&lt;BD$2, 0,IF(AND(time+1&gt;=BE$2, $E106&lt;BE$2), IF($I106= "I", $J106/($F106-$E106+1), $J106/(($F106*($F106+1)/2)-(($E106-1)*($E106-1+1)/2))*BD$2), 0)+IF(IF(time+1&gt;=BE$2, $K106/time_cap/(time+1)*BD$2, 0) = 0, $K106/(time_cap),0)),0)</f>
        <v/>
      </c>
      <c r="BE106" s="4395">
        <f>IFERROR(IF((time+time_cap)&lt;BE$2, 0,IF(AND(time+1&gt;=BF$2, $E106&lt;BF$2), IF($I106= "I", $J106/($F106-$E106+1), $J106/(($F106*($F106+1)/2)-(($E106-1)*($E106-1+1)/2))*BE$2), 0)+IF(IF(time+1&gt;=BF$2, $K106/time_cap/(time+1)*BE$2, 0) = 0, $K106/(time_cap),0)),0)</f>
        <v/>
      </c>
      <c r="BF106" s="4395">
        <f>IFERROR(IF((time+time_cap)&lt;BF$2, 0,IF(AND(time+1&gt;=BG$2, $E106&lt;BG$2), IF($I106= "I", $J106/($F106-$E106+1), $J106/(($F106*($F106+1)/2)-(($E106-1)*($E106-1+1)/2))*BF$2), 0)+IF(IF(time+1&gt;=BG$2, $K106/time_cap/(time+1)*BF$2, 0) = 0, $K106/(time_cap),0)),0)</f>
        <v/>
      </c>
      <c r="BG106" s="4395">
        <f>IFERROR(IF((time+time_cap)&lt;BG$2, 0,IF(AND(time+1&gt;=BH$2, $E106&lt;BH$2), IF($I106= "I", $J106/($F106-$E106+1), $J106/(($F106*($F106+1)/2)-(($E106-1)*($E106-1+1)/2))*BG$2), 0)+IF(IF(time+1&gt;=BH$2, $K106/time_cap/(time+1)*BG$2, 0) = 0, $K106/(time_cap),0)),0)</f>
        <v/>
      </c>
      <c r="BH106" s="4395">
        <f>IFERROR(IF((time+time_cap)&lt;BH$2, 0,IF(AND(time+1&gt;=BI$2, $E106&lt;BI$2), IF($I106= "I", $J106/($F106-$E106+1), $J106/(($F106*($F106+1)/2)-(($E106-1)*($E106-1+1)/2))*BH$2), 0)+IF(IF(time+1&gt;=BI$2, $K106/time_cap/(time+1)*BH$2, 0) = 0, $K106/(time_cap),0)),0)</f>
        <v/>
      </c>
      <c r="BI106" s="4395">
        <f>IFERROR(IF((time+time_cap)&lt;BI$2, 0,IF(AND(time+1&gt;=BJ$2, $E106&lt;BJ$2), IF($I106= "I", $J106/($F106-$E106+1), $J106/(($F106*($F106+1)/2)-(($E106-1)*($E106-1+1)/2))*BI$2), 0)+IF(IF(time+1&gt;=BJ$2, $K106/time_cap/(time+1)*BI$2, 0) = 0, $K106/(time_cap),0)),0)</f>
        <v/>
      </c>
      <c r="BJ106" s="4395">
        <f>IFERROR(IF((time+time_cap)&lt;BJ$2, 0,IF(AND(time+1&gt;=BK$2, $E106&lt;BK$2), IF($I106= "I", $J106/($F106-$E106+1), $J106/(($F106*($F106+1)/2)-(($E106-1)*($E106-1+1)/2))*BJ$2), 0)+IF(IF(time+1&gt;=BK$2, $K106/time_cap/(time+1)*BJ$2, 0) = 0, $K106/(time_cap),0)),0)</f>
        <v/>
      </c>
      <c r="BK106" s="4395" t="n"/>
      <c r="BL106" s="4395" t="n"/>
      <c r="BM106" s="4395" t="n"/>
      <c r="BN106" s="4395" t="n"/>
      <c r="BO106" s="4395" t="n"/>
      <c r="BP106" s="4395" t="n"/>
      <c r="BQ106" s="4395" t="n"/>
      <c r="BR106" s="4395" t="n"/>
      <c r="BS106" s="4395" t="n"/>
      <c r="BT106" s="4395" t="n"/>
      <c r="BU106" s="4395" t="n"/>
      <c r="BV106" s="4395" t="n"/>
      <c r="BW106" s="4395" t="n"/>
      <c r="BX106" s="4395" t="n"/>
      <c r="BY106" s="4395" t="n"/>
      <c r="BZ106" s="4395" t="n"/>
      <c r="CA106" s="4395" t="n"/>
      <c r="CB106" s="4395" t="n"/>
      <c r="CC106" s="4395" t="n"/>
      <c r="CD106" s="4395" t="n"/>
      <c r="CE106" s="4395" t="n"/>
      <c r="CF106" s="4395" t="n"/>
      <c r="CG106" s="4395" t="n"/>
      <c r="CH106" s="4395" t="n"/>
      <c r="CI106" s="4395" t="n"/>
      <c r="CJ106" s="4395" t="n"/>
      <c r="CK106" s="4395" t="n"/>
      <c r="CL106" s="4395" t="n"/>
      <c r="CM106" s="4395" t="n"/>
      <c r="CN106" s="4395" t="n"/>
      <c r="CO106" s="4395" t="n"/>
      <c r="CP106" s="4395" t="n"/>
      <c r="CQ106" s="4395" t="n"/>
      <c r="CR106" s="4395" t="n"/>
      <c r="CS106" s="4395" t="n"/>
      <c r="CT106" s="4395" t="n"/>
      <c r="CU106" s="4395" t="n"/>
      <c r="CV106" s="4395" t="n"/>
      <c r="CW106" s="4395" t="n"/>
      <c r="CX106" s="4395" t="n"/>
      <c r="CY106" s="4395" t="n"/>
      <c r="CZ106" s="4395" t="n"/>
      <c r="DA106" s="4395" t="n"/>
      <c r="DB106" s="4395" t="n"/>
      <c r="DC106" s="4395" t="n"/>
      <c r="DD106" s="4395" t="n"/>
      <c r="DE106" s="4395" t="n"/>
      <c r="DF106" s="4395" t="n"/>
      <c r="DG106" s="4395" t="n"/>
      <c r="DH106" s="4395" t="n"/>
    </row>
    <row r="107">
      <c r="A107" t="inlineStr">
        <is>
          <t>Livestock</t>
        </is>
      </c>
      <c r="B107">
        <f>'4.Grassland'!E70</f>
        <v/>
      </c>
      <c r="C107">
        <f>'4.Grassland'!I70</f>
        <v/>
      </c>
      <c r="D107">
        <f>'4.Grassland'!AG70</f>
        <v/>
      </c>
      <c r="E107">
        <f>IF('4.Grassland'!CG70&lt;&gt;0,'4.Grassland'!CG70, '4.Grassland'!CF70)</f>
        <v/>
      </c>
      <c r="F107">
        <f>time</f>
        <v/>
      </c>
      <c r="G107" s="4395" t="n"/>
      <c r="H107" s="4395" t="n"/>
      <c r="I107" s="4395">
        <f>IF(OR(H107="I", G107="I"), "I", IF(OR(H107="E", G107="E"), "E", "D"))</f>
        <v/>
      </c>
      <c r="J107" s="4395">
        <f>((D107/(time_cap+((F107-E107+1)*VLOOKUP(I107,list!$I$48:$K$50,3, FALSE))))*(F107-E107+1)*VLOOKUP(I107,list!$I$48:$K$50,3, FALSE))</f>
        <v/>
      </c>
      <c r="K107" s="4395">
        <f>((D107/(time_cap+((F107-E107+1)*VLOOKUP(I107,list!$I$48:$K$50,3, FALSE))))*time_cap)</f>
        <v/>
      </c>
      <c r="M107" s="4395">
        <f>IFERROR(IF((time+time_cap)&lt;M$2, 0,IF(AND(time+1&gt;=N$2, $E107&lt;N$2), IF($I107= "I", $J107/($F107-$E107+1), $J107/(($F107*($F107+1)/2)-(($E107-1)*($E107-1+1)/2))*M$2), 0)+IF(IF(time+1&gt;=N$2, $K107/time_cap/(time+1)*M$2, 0) = 0, $K107/(time_cap),0)),0)</f>
        <v/>
      </c>
      <c r="N107" s="4395">
        <f>IFERROR(IF((time+time_cap)&lt;N$2, 0,IF(AND(time+1&gt;=O$2, $E107&lt;O$2), IF($I107= "I", $J107/($F107-$E107+1), $J107/(($F107*($F107+1)/2)-(($E107-1)*($E107-1+1)/2))*N$2), 0)+IF(IF(time+1&gt;=O$2, $K107/time_cap/(time+1)*N$2, 0) = 0, $K107/(time_cap),0)),0)</f>
        <v/>
      </c>
      <c r="O107" s="4395">
        <f>IFERROR(IF((time+time_cap)&lt;O$2, 0,IF(AND(time+1&gt;=P$2, $E107&lt;P$2), IF($I107= "I", $J107/($F107-$E107+1), $J107/(($F107*($F107+1)/2)-(($E107-1)*($E107-1+1)/2))*O$2), 0)+IF(IF(time+1&gt;=P$2, $K107/time_cap/(time+1)*O$2, 0) = 0, $K107/(time_cap),0)),0)</f>
        <v/>
      </c>
      <c r="P107" s="4395">
        <f>IFERROR(IF((time+time_cap)&lt;P$2, 0,IF(AND(time+1&gt;=Q$2, $E107&lt;Q$2), IF($I107= "I", $J107/($F107-$E107+1), $J107/(($F107*($F107+1)/2)-(($E107-1)*($E107-1+1)/2))*P$2), 0)+IF(IF(time+1&gt;=Q$2, $K107/time_cap/(time+1)*P$2, 0) = 0, $K107/(time_cap),0)),0)</f>
        <v/>
      </c>
      <c r="Q107" s="4395">
        <f>IFERROR(IF((time+time_cap)&lt;Q$2, 0,IF(AND(time+1&gt;=R$2, $E107&lt;R$2), IF($I107= "I", $J107/($F107-$E107+1), $J107/(($F107*($F107+1)/2)-(($E107-1)*($E107-1+1)/2))*Q$2), 0)+IF(IF(time+1&gt;=R$2, $K107/time_cap/(time+1)*Q$2, 0) = 0, $K107/(time_cap),0)),0)</f>
        <v/>
      </c>
      <c r="R107" s="4395">
        <f>IFERROR(IF((time+time_cap)&lt;R$2, 0,IF(AND(time+1&gt;=S$2, $E107&lt;S$2), IF($I107= "I", $J107/($F107-$E107+1), $J107/(($F107*($F107+1)/2)-(($E107-1)*($E107-1+1)/2))*R$2), 0)+IF(IF(time+1&gt;=S$2, $K107/time_cap/(time+1)*R$2, 0) = 0, $K107/(time_cap),0)),0)</f>
        <v/>
      </c>
      <c r="S107" s="4395">
        <f>IFERROR(IF((time+time_cap)&lt;S$2, 0,IF(AND(time+1&gt;=T$2, $E107&lt;T$2), IF($I107= "I", $J107/($F107-$E107+1), $J107/(($F107*($F107+1)/2)-(($E107-1)*($E107-1+1)/2))*S$2), 0)+IF(IF(time+1&gt;=T$2, $K107/time_cap/(time+1)*S$2, 0) = 0, $K107/(time_cap),0)),0)</f>
        <v/>
      </c>
      <c r="T107" s="4395">
        <f>IFERROR(IF((time+time_cap)&lt;T$2, 0,IF(AND(time+1&gt;=U$2, $E107&lt;U$2), IF($I107= "I", $J107/($F107-$E107+1), $J107/(($F107*($F107+1)/2)-(($E107-1)*($E107-1+1)/2))*T$2), 0)+IF(IF(time+1&gt;=U$2, $K107/time_cap/(time+1)*T$2, 0) = 0, $K107/(time_cap),0)),0)</f>
        <v/>
      </c>
      <c r="U107" s="4395">
        <f>IFERROR(IF((time+time_cap)&lt;U$2, 0,IF(AND(time+1&gt;=V$2, $E107&lt;V$2), IF($I107= "I", $J107/($F107-$E107+1), $J107/(($F107*($F107+1)/2)-(($E107-1)*($E107-1+1)/2))*U$2), 0)+IF(IF(time+1&gt;=V$2, $K107/time_cap/(time+1)*U$2, 0) = 0, $K107/(time_cap),0)),0)</f>
        <v/>
      </c>
      <c r="V107" s="4395">
        <f>IFERROR(IF((time+time_cap)&lt;V$2, 0,IF(AND(time+1&gt;=W$2, $E107&lt;W$2), IF($I107= "I", $J107/($F107-$E107+1), $J107/(($F107*($F107+1)/2)-(($E107-1)*($E107-1+1)/2))*V$2), 0)+IF(IF(time+1&gt;=W$2, $K107/time_cap/(time+1)*V$2, 0) = 0, $K107/(time_cap),0)),0)</f>
        <v/>
      </c>
      <c r="W107" s="4395">
        <f>IFERROR(IF((time+time_cap)&lt;W$2, 0,IF(AND(time+1&gt;=X$2, $E107&lt;X$2), IF($I107= "I", $J107/($F107-$E107+1), $J107/(($F107*($F107+1)/2)-(($E107-1)*($E107-1+1)/2))*W$2), 0)+IF(IF(time+1&gt;=X$2, $K107/time_cap/(time+1)*W$2, 0) = 0, $K107/(time_cap),0)),0)</f>
        <v/>
      </c>
      <c r="X107" s="4395">
        <f>IFERROR(IF((time+time_cap)&lt;X$2, 0,IF(AND(time+1&gt;=Y$2, $E107&lt;Y$2), IF($I107= "I", $J107/($F107-$E107+1), $J107/(($F107*($F107+1)/2)-(($E107-1)*($E107-1+1)/2))*X$2), 0)+IF(IF(time+1&gt;=Y$2, $K107/time_cap/(time+1)*X$2, 0) = 0, $K107/(time_cap),0)),0)</f>
        <v/>
      </c>
      <c r="Y107" s="4395">
        <f>IFERROR(IF((time+time_cap)&lt;Y$2, 0,IF(AND(time+1&gt;=Z$2, $E107&lt;Z$2), IF($I107= "I", $J107/($F107-$E107+1), $J107/(($F107*($F107+1)/2)-(($E107-1)*($E107-1+1)/2))*Y$2), 0)+IF(IF(time+1&gt;=Z$2, $K107/time_cap/(time+1)*Y$2, 0) = 0, $K107/(time_cap),0)),0)</f>
        <v/>
      </c>
      <c r="Z107" s="4395">
        <f>IFERROR(IF((time+time_cap)&lt;Z$2, 0,IF(AND(time+1&gt;=AA$2, $E107&lt;AA$2), IF($I107= "I", $J107/($F107-$E107+1), $J107/(($F107*($F107+1)/2)-(($E107-1)*($E107-1+1)/2))*Z$2), 0)+IF(IF(time+1&gt;=AA$2, $K107/time_cap/(time+1)*Z$2, 0) = 0, $K107/(time_cap),0)),0)</f>
        <v/>
      </c>
      <c r="AA107" s="4395">
        <f>IFERROR(IF((time+time_cap)&lt;AA$2, 0,IF(AND(time+1&gt;=AB$2, $E107&lt;AB$2), IF($I107= "I", $J107/($F107-$E107+1), $J107/(($F107*($F107+1)/2)-(($E107-1)*($E107-1+1)/2))*AA$2), 0)+IF(IF(time+1&gt;=AB$2, $K107/time_cap/(time+1)*AA$2, 0) = 0, $K107/(time_cap),0)),0)</f>
        <v/>
      </c>
      <c r="AB107" s="4395">
        <f>IFERROR(IF((time+time_cap)&lt;AB$2, 0,IF(AND(time+1&gt;=AC$2, $E107&lt;AC$2), IF($I107= "I", $J107/($F107-$E107+1), $J107/(($F107*($F107+1)/2)-(($E107-1)*($E107-1+1)/2))*AB$2), 0)+IF(IF(time+1&gt;=AC$2, $K107/time_cap/(time+1)*AB$2, 0) = 0, $K107/(time_cap),0)),0)</f>
        <v/>
      </c>
      <c r="AC107" s="4395">
        <f>IFERROR(IF((time+time_cap)&lt;AC$2, 0,IF(AND(time+1&gt;=AD$2, $E107&lt;AD$2), IF($I107= "I", $J107/($F107-$E107+1), $J107/(($F107*($F107+1)/2)-(($E107-1)*($E107-1+1)/2))*AC$2), 0)+IF(IF(time+1&gt;=AD$2, $K107/time_cap/(time+1)*AC$2, 0) = 0, $K107/(time_cap),0)),0)</f>
        <v/>
      </c>
      <c r="AD107" s="4395">
        <f>IFERROR(IF((time+time_cap)&lt;AD$2, 0,IF(AND(time+1&gt;=AE$2, $E107&lt;AE$2), IF($I107= "I", $J107/($F107-$E107+1), $J107/(($F107*($F107+1)/2)-(($E107-1)*($E107-1+1)/2))*AD$2), 0)+IF(IF(time+1&gt;=AE$2, $K107/time_cap/(time+1)*AD$2, 0) = 0, $K107/(time_cap),0)),0)</f>
        <v/>
      </c>
      <c r="AE107" s="4395">
        <f>IFERROR(IF((time+time_cap)&lt;AE$2, 0,IF(AND(time+1&gt;=AF$2, $E107&lt;AF$2), IF($I107= "I", $J107/($F107-$E107+1), $J107/(($F107*($F107+1)/2)-(($E107-1)*($E107-1+1)/2))*AE$2), 0)+IF(IF(time+1&gt;=AF$2, $K107/time_cap/(time+1)*AE$2, 0) = 0, $K107/(time_cap),0)),0)</f>
        <v/>
      </c>
      <c r="AF107" s="4395">
        <f>IFERROR(IF((time+time_cap)&lt;AF$2, 0,IF(AND(time+1&gt;=AG$2, $E107&lt;AG$2), IF($I107= "I", $J107/($F107-$E107+1), $J107/(($F107*($F107+1)/2)-(($E107-1)*($E107-1+1)/2))*AF$2), 0)+IF(IF(time+1&gt;=AG$2, $K107/time_cap/(time+1)*AF$2, 0) = 0, $K107/(time_cap),0)),0)</f>
        <v/>
      </c>
      <c r="AG107" s="4395">
        <f>IFERROR(IF((time+time_cap)&lt;AG$2, 0,IF(AND(time+1&gt;=AH$2, $E107&lt;AH$2), IF($I107= "I", $J107/($F107-$E107+1), $J107/(($F107*($F107+1)/2)-(($E107-1)*($E107-1+1)/2))*AG$2), 0)+IF(IF(time+1&gt;=AH$2, $K107/time_cap/(time+1)*AG$2, 0) = 0, $K107/(time_cap),0)),0)</f>
        <v/>
      </c>
      <c r="AH107" s="4395">
        <f>IFERROR(IF((time+time_cap)&lt;AH$2, 0,IF(AND(time+1&gt;=AI$2, $E107&lt;AI$2), IF($I107= "I", $J107/($F107-$E107+1), $J107/(($F107*($F107+1)/2)-(($E107-1)*($E107-1+1)/2))*AH$2), 0)+IF(IF(time+1&gt;=AI$2, $K107/time_cap/(time+1)*AH$2, 0) = 0, $K107/(time_cap),0)),0)</f>
        <v/>
      </c>
      <c r="AI107" s="4395">
        <f>IFERROR(IF((time+time_cap)&lt;AI$2, 0,IF(AND(time+1&gt;=AJ$2, $E107&lt;AJ$2), IF($I107= "I", $J107/($F107-$E107+1), $J107/(($F107*($F107+1)/2)-(($E107-1)*($E107-1+1)/2))*AI$2), 0)+IF(IF(time+1&gt;=AJ$2, $K107/time_cap/(time+1)*AI$2, 0) = 0, $K107/(time_cap),0)),0)</f>
        <v/>
      </c>
      <c r="AJ107" s="4395">
        <f>IFERROR(IF((time+time_cap)&lt;AJ$2, 0,IF(AND(time+1&gt;=AK$2, $E107&lt;AK$2), IF($I107= "I", $J107/($F107-$E107+1), $J107/(($F107*($F107+1)/2)-(($E107-1)*($E107-1+1)/2))*AJ$2), 0)+IF(IF(time+1&gt;=AK$2, $K107/time_cap/(time+1)*AJ$2, 0) = 0, $K107/(time_cap),0)),0)</f>
        <v/>
      </c>
      <c r="AK107" s="4395">
        <f>IFERROR(IF((time+time_cap)&lt;AK$2, 0,IF(AND(time+1&gt;=AL$2, $E107&lt;AL$2), IF($I107= "I", $J107/($F107-$E107+1), $J107/(($F107*($F107+1)/2)-(($E107-1)*($E107-1+1)/2))*AK$2), 0)+IF(IF(time+1&gt;=AL$2, $K107/time_cap/(time+1)*AK$2, 0) = 0, $K107/(time_cap),0)),0)</f>
        <v/>
      </c>
      <c r="AL107" s="4395">
        <f>IFERROR(IF((time+time_cap)&lt;AL$2, 0,IF(AND(time+1&gt;=AM$2, $E107&lt;AM$2), IF($I107= "I", $J107/($F107-$E107+1), $J107/(($F107*($F107+1)/2)-(($E107-1)*($E107-1+1)/2))*AL$2), 0)+IF(IF(time+1&gt;=AM$2, $K107/time_cap/(time+1)*AL$2, 0) = 0, $K107/(time_cap),0)),0)</f>
        <v/>
      </c>
      <c r="AM107" s="4395">
        <f>IFERROR(IF((time+time_cap)&lt;AM$2, 0,IF(AND(time+1&gt;=AN$2, $E107&lt;AN$2), IF($I107= "I", $J107/($F107-$E107+1), $J107/(($F107*($F107+1)/2)-(($E107-1)*($E107-1+1)/2))*AM$2), 0)+IF(IF(time+1&gt;=AN$2, $K107/time_cap/(time+1)*AM$2, 0) = 0, $K107/(time_cap),0)),0)</f>
        <v/>
      </c>
      <c r="AN107" s="4395">
        <f>IFERROR(IF((time+time_cap)&lt;AN$2, 0,IF(AND(time+1&gt;=AO$2, $E107&lt;AO$2), IF($I107= "I", $J107/($F107-$E107+1), $J107/(($F107*($F107+1)/2)-(($E107-1)*($E107-1+1)/2))*AN$2), 0)+IF(IF(time+1&gt;=AO$2, $K107/time_cap/(time+1)*AN$2, 0) = 0, $K107/(time_cap),0)),0)</f>
        <v/>
      </c>
      <c r="AO107" s="4395">
        <f>IFERROR(IF((time+time_cap)&lt;AO$2, 0,IF(AND(time+1&gt;=AP$2, $E107&lt;AP$2), IF($I107= "I", $J107/($F107-$E107+1), $J107/(($F107*($F107+1)/2)-(($E107-1)*($E107-1+1)/2))*AO$2), 0)+IF(IF(time+1&gt;=AP$2, $K107/time_cap/(time+1)*AO$2, 0) = 0, $K107/(time_cap),0)),0)</f>
        <v/>
      </c>
      <c r="AP107" s="4395">
        <f>IFERROR(IF((time+time_cap)&lt;AP$2, 0,IF(AND(time+1&gt;=AQ$2, $E107&lt;AQ$2), IF($I107= "I", $J107/($F107-$E107+1), $J107/(($F107*($F107+1)/2)-(($E107-1)*($E107-1+1)/2))*AP$2), 0)+IF(IF(time+1&gt;=AQ$2, $K107/time_cap/(time+1)*AP$2, 0) = 0, $K107/(time_cap),0)),0)</f>
        <v/>
      </c>
      <c r="AQ107" s="4395">
        <f>IFERROR(IF((time+time_cap)&lt;AQ$2, 0,IF(AND(time+1&gt;=AR$2, $E107&lt;AR$2), IF($I107= "I", $J107/($F107-$E107+1), $J107/(($F107*($F107+1)/2)-(($E107-1)*($E107-1+1)/2))*AQ$2), 0)+IF(IF(time+1&gt;=AR$2, $K107/time_cap/(time+1)*AQ$2, 0) = 0, $K107/(time_cap),0)),0)</f>
        <v/>
      </c>
      <c r="AR107" s="4395">
        <f>IFERROR(IF((time+time_cap)&lt;AR$2, 0,IF(AND(time+1&gt;=AS$2, $E107&lt;AS$2), IF($I107= "I", $J107/($F107-$E107+1), $J107/(($F107*($F107+1)/2)-(($E107-1)*($E107-1+1)/2))*AR$2), 0)+IF(IF(time+1&gt;=AS$2, $K107/time_cap/(time+1)*AR$2, 0) = 0, $K107/(time_cap),0)),0)</f>
        <v/>
      </c>
      <c r="AS107" s="4395">
        <f>IFERROR(IF((time+time_cap)&lt;AS$2, 0,IF(AND(time+1&gt;=AT$2, $E107&lt;AT$2), IF($I107= "I", $J107/($F107-$E107+1), $J107/(($F107*($F107+1)/2)-(($E107-1)*($E107-1+1)/2))*AS$2), 0)+IF(IF(time+1&gt;=AT$2, $K107/time_cap/(time+1)*AS$2, 0) = 0, $K107/(time_cap),0)),0)</f>
        <v/>
      </c>
      <c r="AT107" s="4395">
        <f>IFERROR(IF((time+time_cap)&lt;AT$2, 0,IF(AND(time+1&gt;=AU$2, $E107&lt;AU$2), IF($I107= "I", $J107/($F107-$E107+1), $J107/(($F107*($F107+1)/2)-(($E107-1)*($E107-1+1)/2))*AT$2), 0)+IF(IF(time+1&gt;=AU$2, $K107/time_cap/(time+1)*AT$2, 0) = 0, $K107/(time_cap),0)),0)</f>
        <v/>
      </c>
      <c r="AU107" s="4395">
        <f>IFERROR(IF((time+time_cap)&lt;AU$2, 0,IF(AND(time+1&gt;=AV$2, $E107&lt;AV$2), IF($I107= "I", $J107/($F107-$E107+1), $J107/(($F107*($F107+1)/2)-(($E107-1)*($E107-1+1)/2))*AU$2), 0)+IF(IF(time+1&gt;=AV$2, $K107/time_cap/(time+1)*AU$2, 0) = 0, $K107/(time_cap),0)),0)</f>
        <v/>
      </c>
      <c r="AV107" s="4395">
        <f>IFERROR(IF((time+time_cap)&lt;AV$2, 0,IF(AND(time+1&gt;=AW$2, $E107&lt;AW$2), IF($I107= "I", $J107/($F107-$E107+1), $J107/(($F107*($F107+1)/2)-(($E107-1)*($E107-1+1)/2))*AV$2), 0)+IF(IF(time+1&gt;=AW$2, $K107/time_cap/(time+1)*AV$2, 0) = 0, $K107/(time_cap),0)),0)</f>
        <v/>
      </c>
      <c r="AW107" s="4395">
        <f>IFERROR(IF((time+time_cap)&lt;AW$2, 0,IF(AND(time+1&gt;=AX$2, $E107&lt;AX$2), IF($I107= "I", $J107/($F107-$E107+1), $J107/(($F107*($F107+1)/2)-(($E107-1)*($E107-1+1)/2))*AW$2), 0)+IF(IF(time+1&gt;=AX$2, $K107/time_cap/(time+1)*AW$2, 0) = 0, $K107/(time_cap),0)),0)</f>
        <v/>
      </c>
      <c r="AX107" s="4395">
        <f>IFERROR(IF((time+time_cap)&lt;AX$2, 0,IF(AND(time+1&gt;=AY$2, $E107&lt;AY$2), IF($I107= "I", $J107/($F107-$E107+1), $J107/(($F107*($F107+1)/2)-(($E107-1)*($E107-1+1)/2))*AX$2), 0)+IF(IF(time+1&gt;=AY$2, $K107/time_cap/(time+1)*AX$2, 0) = 0, $K107/(time_cap),0)),0)</f>
        <v/>
      </c>
      <c r="AY107" s="4395">
        <f>IFERROR(IF((time+time_cap)&lt;AY$2, 0,IF(AND(time+1&gt;=AZ$2, $E107&lt;AZ$2), IF($I107= "I", $J107/($F107-$E107+1), $J107/(($F107*($F107+1)/2)-(($E107-1)*($E107-1+1)/2))*AY$2), 0)+IF(IF(time+1&gt;=AZ$2, $K107/time_cap/(time+1)*AY$2, 0) = 0, $K107/(time_cap),0)),0)</f>
        <v/>
      </c>
      <c r="AZ107" s="4395">
        <f>IFERROR(IF((time+time_cap)&lt;AZ$2, 0,IF(AND(time+1&gt;=BA$2, $E107&lt;BA$2), IF($I107= "I", $J107/($F107-$E107+1), $J107/(($F107*($F107+1)/2)-(($E107-1)*($E107-1+1)/2))*AZ$2), 0)+IF(IF(time+1&gt;=BA$2, $K107/time_cap/(time+1)*AZ$2, 0) = 0, $K107/(time_cap),0)),0)</f>
        <v/>
      </c>
      <c r="BA107" s="4395">
        <f>IFERROR(IF((time+time_cap)&lt;BA$2, 0,IF(AND(time+1&gt;=BB$2, $E107&lt;BB$2), IF($I107= "I", $J107/($F107-$E107+1), $J107/(($F107*($F107+1)/2)-(($E107-1)*($E107-1+1)/2))*BA$2), 0)+IF(IF(time+1&gt;=BB$2, $K107/time_cap/(time+1)*BA$2, 0) = 0, $K107/(time_cap),0)),0)</f>
        <v/>
      </c>
      <c r="BB107" s="4395">
        <f>IFERROR(IF((time+time_cap)&lt;BB$2, 0,IF(AND(time+1&gt;=BC$2, $E107&lt;BC$2), IF($I107= "I", $J107/($F107-$E107+1), $J107/(($F107*($F107+1)/2)-(($E107-1)*($E107-1+1)/2))*BB$2), 0)+IF(IF(time+1&gt;=BC$2, $K107/time_cap/(time+1)*BB$2, 0) = 0, $K107/(time_cap),0)),0)</f>
        <v/>
      </c>
      <c r="BC107" s="4395">
        <f>IFERROR(IF((time+time_cap)&lt;BC$2, 0,IF(AND(time+1&gt;=BD$2, $E107&lt;BD$2), IF($I107= "I", $J107/($F107-$E107+1), $J107/(($F107*($F107+1)/2)-(($E107-1)*($E107-1+1)/2))*BC$2), 0)+IF(IF(time+1&gt;=BD$2, $K107/time_cap/(time+1)*BC$2, 0) = 0, $K107/(time_cap),0)),0)</f>
        <v/>
      </c>
      <c r="BD107" s="4395">
        <f>IFERROR(IF((time+time_cap)&lt;BD$2, 0,IF(AND(time+1&gt;=BE$2, $E107&lt;BE$2), IF($I107= "I", $J107/($F107-$E107+1), $J107/(($F107*($F107+1)/2)-(($E107-1)*($E107-1+1)/2))*BD$2), 0)+IF(IF(time+1&gt;=BE$2, $K107/time_cap/(time+1)*BD$2, 0) = 0, $K107/(time_cap),0)),0)</f>
        <v/>
      </c>
      <c r="BE107" s="4395">
        <f>IFERROR(IF((time+time_cap)&lt;BE$2, 0,IF(AND(time+1&gt;=BF$2, $E107&lt;BF$2), IF($I107= "I", $J107/($F107-$E107+1), $J107/(($F107*($F107+1)/2)-(($E107-1)*($E107-1+1)/2))*BE$2), 0)+IF(IF(time+1&gt;=BF$2, $K107/time_cap/(time+1)*BE$2, 0) = 0, $K107/(time_cap),0)),0)</f>
        <v/>
      </c>
      <c r="BF107" s="4395">
        <f>IFERROR(IF((time+time_cap)&lt;BF$2, 0,IF(AND(time+1&gt;=BG$2, $E107&lt;BG$2), IF($I107= "I", $J107/($F107-$E107+1), $J107/(($F107*($F107+1)/2)-(($E107-1)*($E107-1+1)/2))*BF$2), 0)+IF(IF(time+1&gt;=BG$2, $K107/time_cap/(time+1)*BF$2, 0) = 0, $K107/(time_cap),0)),0)</f>
        <v/>
      </c>
      <c r="BG107" s="4395">
        <f>IFERROR(IF((time+time_cap)&lt;BG$2, 0,IF(AND(time+1&gt;=BH$2, $E107&lt;BH$2), IF($I107= "I", $J107/($F107-$E107+1), $J107/(($F107*($F107+1)/2)-(($E107-1)*($E107-1+1)/2))*BG$2), 0)+IF(IF(time+1&gt;=BH$2, $K107/time_cap/(time+1)*BG$2, 0) = 0, $K107/(time_cap),0)),0)</f>
        <v/>
      </c>
      <c r="BH107" s="4395">
        <f>IFERROR(IF((time+time_cap)&lt;BH$2, 0,IF(AND(time+1&gt;=BI$2, $E107&lt;BI$2), IF($I107= "I", $J107/($F107-$E107+1), $J107/(($F107*($F107+1)/2)-(($E107-1)*($E107-1+1)/2))*BH$2), 0)+IF(IF(time+1&gt;=BI$2, $K107/time_cap/(time+1)*BH$2, 0) = 0, $K107/(time_cap),0)),0)</f>
        <v/>
      </c>
      <c r="BI107" s="4395">
        <f>IFERROR(IF((time+time_cap)&lt;BI$2, 0,IF(AND(time+1&gt;=BJ$2, $E107&lt;BJ$2), IF($I107= "I", $J107/($F107-$E107+1), $J107/(($F107*($F107+1)/2)-(($E107-1)*($E107-1+1)/2))*BI$2), 0)+IF(IF(time+1&gt;=BJ$2, $K107/time_cap/(time+1)*BI$2, 0) = 0, $K107/(time_cap),0)),0)</f>
        <v/>
      </c>
      <c r="BJ107" s="4395">
        <f>IFERROR(IF((time+time_cap)&lt;BJ$2, 0,IF(AND(time+1&gt;=BK$2, $E107&lt;BK$2), IF($I107= "I", $J107/($F107-$E107+1), $J107/(($F107*($F107+1)/2)-(($E107-1)*($E107-1+1)/2))*BJ$2), 0)+IF(IF(time+1&gt;=BK$2, $K107/time_cap/(time+1)*BJ$2, 0) = 0, $K107/(time_cap),0)),0)</f>
        <v/>
      </c>
      <c r="BK107" s="4395" t="n"/>
      <c r="BL107" s="4395" t="n"/>
      <c r="BM107" s="4395" t="n"/>
      <c r="BN107" s="4395" t="n"/>
      <c r="BO107" s="4395" t="n"/>
      <c r="BP107" s="4395" t="n"/>
      <c r="BQ107" s="4395" t="n"/>
      <c r="BR107" s="4395" t="n"/>
      <c r="BS107" s="4395" t="n"/>
      <c r="BT107" s="4395" t="n"/>
      <c r="BU107" s="4395" t="n"/>
      <c r="BV107" s="4395" t="n"/>
      <c r="BW107" s="4395" t="n"/>
      <c r="BX107" s="4395" t="n"/>
      <c r="BY107" s="4395" t="n"/>
      <c r="BZ107" s="4395" t="n"/>
      <c r="CA107" s="4395" t="n"/>
      <c r="CB107" s="4395" t="n"/>
      <c r="CC107" s="4395" t="n"/>
      <c r="CD107" s="4395" t="n"/>
      <c r="CE107" s="4395" t="n"/>
      <c r="CF107" s="4395" t="n"/>
      <c r="CG107" s="4395" t="n"/>
      <c r="CH107" s="4395" t="n"/>
      <c r="CI107" s="4395" t="n"/>
      <c r="CJ107" s="4395" t="n"/>
      <c r="CK107" s="4395" t="n"/>
      <c r="CL107" s="4395" t="n"/>
      <c r="CM107" s="4395" t="n"/>
      <c r="CN107" s="4395" t="n"/>
      <c r="CO107" s="4395" t="n"/>
      <c r="CP107" s="4395" t="n"/>
      <c r="CQ107" s="4395" t="n"/>
      <c r="CR107" s="4395" t="n"/>
      <c r="CS107" s="4395" t="n"/>
      <c r="CT107" s="4395" t="n"/>
      <c r="CU107" s="4395" t="n"/>
      <c r="CV107" s="4395" t="n"/>
      <c r="CW107" s="4395" t="n"/>
      <c r="CX107" s="4395" t="n"/>
      <c r="CY107" s="4395" t="n"/>
      <c r="CZ107" s="4395" t="n"/>
      <c r="DA107" s="4395" t="n"/>
      <c r="DB107" s="4395" t="n"/>
      <c r="DC107" s="4395" t="n"/>
      <c r="DD107" s="4395" t="n"/>
      <c r="DE107" s="4395" t="n"/>
      <c r="DF107" s="4395" t="n"/>
      <c r="DG107" s="4395" t="n"/>
      <c r="DH107" s="4395" t="n"/>
    </row>
    <row r="108">
      <c r="A108" t="inlineStr">
        <is>
          <t>Livestock</t>
        </is>
      </c>
      <c r="B108">
        <f>'4.Grassland'!E71</f>
        <v/>
      </c>
      <c r="C108">
        <f>'4.Grassland'!I71</f>
        <v/>
      </c>
      <c r="D108">
        <f>'4.Grassland'!AG71</f>
        <v/>
      </c>
      <c r="E108">
        <f>IF('4.Grassland'!CG71&lt;&gt;0,'4.Grassland'!CG71, '4.Grassland'!CF71)</f>
        <v/>
      </c>
      <c r="F108">
        <f>time</f>
        <v/>
      </c>
      <c r="G108" s="4395" t="n"/>
      <c r="H108" s="4395" t="n"/>
      <c r="I108" s="4395">
        <f>IF(OR(H108="I", G108="I"), "I", IF(OR(H108="E", G108="E"), "E", "D"))</f>
        <v/>
      </c>
      <c r="J108" s="4395">
        <f>((D108/(time_cap+((F108-E108+1)*VLOOKUP(I108,list!$I$48:$K$50,3, FALSE))))*(F108-E108+1)*VLOOKUP(I108,list!$I$48:$K$50,3, FALSE))</f>
        <v/>
      </c>
      <c r="K108" s="4395">
        <f>((D108/(time_cap+((F108-E108+1)*VLOOKUP(I108,list!$I$48:$K$50,3, FALSE))))*time_cap)</f>
        <v/>
      </c>
      <c r="M108" s="4395">
        <f>IFERROR(IF((time+time_cap)&lt;M$2, 0,IF(AND(time+1&gt;=N$2, $E108&lt;N$2), IF($I108= "I", $J108/($F108-$E108+1), $J108/(($F108*($F108+1)/2)-(($E108-1)*($E108-1+1)/2))*M$2), 0)+IF(IF(time+1&gt;=N$2, $K108/time_cap/(time+1)*M$2, 0) = 0, $K108/(time_cap),0)),0)</f>
        <v/>
      </c>
      <c r="N108" s="4395">
        <f>IFERROR(IF((time+time_cap)&lt;N$2, 0,IF(AND(time+1&gt;=O$2, $E108&lt;O$2), IF($I108= "I", $J108/($F108-$E108+1), $J108/(($F108*($F108+1)/2)-(($E108-1)*($E108-1+1)/2))*N$2), 0)+IF(IF(time+1&gt;=O$2, $K108/time_cap/(time+1)*N$2, 0) = 0, $K108/(time_cap),0)),0)</f>
        <v/>
      </c>
      <c r="O108" s="4395">
        <f>IFERROR(IF((time+time_cap)&lt;O$2, 0,IF(AND(time+1&gt;=P$2, $E108&lt;P$2), IF($I108= "I", $J108/($F108-$E108+1), $J108/(($F108*($F108+1)/2)-(($E108-1)*($E108-1+1)/2))*O$2), 0)+IF(IF(time+1&gt;=P$2, $K108/time_cap/(time+1)*O$2, 0) = 0, $K108/(time_cap),0)),0)</f>
        <v/>
      </c>
      <c r="P108" s="4395">
        <f>IFERROR(IF((time+time_cap)&lt;P$2, 0,IF(AND(time+1&gt;=Q$2, $E108&lt;Q$2), IF($I108= "I", $J108/($F108-$E108+1), $J108/(($F108*($F108+1)/2)-(($E108-1)*($E108-1+1)/2))*P$2), 0)+IF(IF(time+1&gt;=Q$2, $K108/time_cap/(time+1)*P$2, 0) = 0, $K108/(time_cap),0)),0)</f>
        <v/>
      </c>
      <c r="Q108" s="4395">
        <f>IFERROR(IF((time+time_cap)&lt;Q$2, 0,IF(AND(time+1&gt;=R$2, $E108&lt;R$2), IF($I108= "I", $J108/($F108-$E108+1), $J108/(($F108*($F108+1)/2)-(($E108-1)*($E108-1+1)/2))*Q$2), 0)+IF(IF(time+1&gt;=R$2, $K108/time_cap/(time+1)*Q$2, 0) = 0, $K108/(time_cap),0)),0)</f>
        <v/>
      </c>
      <c r="R108" s="4395">
        <f>IFERROR(IF((time+time_cap)&lt;R$2, 0,IF(AND(time+1&gt;=S$2, $E108&lt;S$2), IF($I108= "I", $J108/($F108-$E108+1), $J108/(($F108*($F108+1)/2)-(($E108-1)*($E108-1+1)/2))*R$2), 0)+IF(IF(time+1&gt;=S$2, $K108/time_cap/(time+1)*R$2, 0) = 0, $K108/(time_cap),0)),0)</f>
        <v/>
      </c>
      <c r="S108" s="4395">
        <f>IFERROR(IF((time+time_cap)&lt;S$2, 0,IF(AND(time+1&gt;=T$2, $E108&lt;T$2), IF($I108= "I", $J108/($F108-$E108+1), $J108/(($F108*($F108+1)/2)-(($E108-1)*($E108-1+1)/2))*S$2), 0)+IF(IF(time+1&gt;=T$2, $K108/time_cap/(time+1)*S$2, 0) = 0, $K108/(time_cap),0)),0)</f>
        <v/>
      </c>
      <c r="T108" s="4395">
        <f>IFERROR(IF((time+time_cap)&lt;T$2, 0,IF(AND(time+1&gt;=U$2, $E108&lt;U$2), IF($I108= "I", $J108/($F108-$E108+1), $J108/(($F108*($F108+1)/2)-(($E108-1)*($E108-1+1)/2))*T$2), 0)+IF(IF(time+1&gt;=U$2, $K108/time_cap/(time+1)*T$2, 0) = 0, $K108/(time_cap),0)),0)</f>
        <v/>
      </c>
      <c r="U108" s="4395">
        <f>IFERROR(IF((time+time_cap)&lt;U$2, 0,IF(AND(time+1&gt;=V$2, $E108&lt;V$2), IF($I108= "I", $J108/($F108-$E108+1), $J108/(($F108*($F108+1)/2)-(($E108-1)*($E108-1+1)/2))*U$2), 0)+IF(IF(time+1&gt;=V$2, $K108/time_cap/(time+1)*U$2, 0) = 0, $K108/(time_cap),0)),0)</f>
        <v/>
      </c>
      <c r="V108" s="4395">
        <f>IFERROR(IF((time+time_cap)&lt;V$2, 0,IF(AND(time+1&gt;=W$2, $E108&lt;W$2), IF($I108= "I", $J108/($F108-$E108+1), $J108/(($F108*($F108+1)/2)-(($E108-1)*($E108-1+1)/2))*V$2), 0)+IF(IF(time+1&gt;=W$2, $K108/time_cap/(time+1)*V$2, 0) = 0, $K108/(time_cap),0)),0)</f>
        <v/>
      </c>
      <c r="W108" s="4395">
        <f>IFERROR(IF((time+time_cap)&lt;W$2, 0,IF(AND(time+1&gt;=X$2, $E108&lt;X$2), IF($I108= "I", $J108/($F108-$E108+1), $J108/(($F108*($F108+1)/2)-(($E108-1)*($E108-1+1)/2))*W$2), 0)+IF(IF(time+1&gt;=X$2, $K108/time_cap/(time+1)*W$2, 0) = 0, $K108/(time_cap),0)),0)</f>
        <v/>
      </c>
      <c r="X108" s="4395">
        <f>IFERROR(IF((time+time_cap)&lt;X$2, 0,IF(AND(time+1&gt;=Y$2, $E108&lt;Y$2), IF($I108= "I", $J108/($F108-$E108+1), $J108/(($F108*($F108+1)/2)-(($E108-1)*($E108-1+1)/2))*X$2), 0)+IF(IF(time+1&gt;=Y$2, $K108/time_cap/(time+1)*X$2, 0) = 0, $K108/(time_cap),0)),0)</f>
        <v/>
      </c>
      <c r="Y108" s="4395">
        <f>IFERROR(IF((time+time_cap)&lt;Y$2, 0,IF(AND(time+1&gt;=Z$2, $E108&lt;Z$2), IF($I108= "I", $J108/($F108-$E108+1), $J108/(($F108*($F108+1)/2)-(($E108-1)*($E108-1+1)/2))*Y$2), 0)+IF(IF(time+1&gt;=Z$2, $K108/time_cap/(time+1)*Y$2, 0) = 0, $K108/(time_cap),0)),0)</f>
        <v/>
      </c>
      <c r="Z108" s="4395">
        <f>IFERROR(IF((time+time_cap)&lt;Z$2, 0,IF(AND(time+1&gt;=AA$2, $E108&lt;AA$2), IF($I108= "I", $J108/($F108-$E108+1), $J108/(($F108*($F108+1)/2)-(($E108-1)*($E108-1+1)/2))*Z$2), 0)+IF(IF(time+1&gt;=AA$2, $K108/time_cap/(time+1)*Z$2, 0) = 0, $K108/(time_cap),0)),0)</f>
        <v/>
      </c>
      <c r="AA108" s="4395">
        <f>IFERROR(IF((time+time_cap)&lt;AA$2, 0,IF(AND(time+1&gt;=AB$2, $E108&lt;AB$2), IF($I108= "I", $J108/($F108-$E108+1), $J108/(($F108*($F108+1)/2)-(($E108-1)*($E108-1+1)/2))*AA$2), 0)+IF(IF(time+1&gt;=AB$2, $K108/time_cap/(time+1)*AA$2, 0) = 0, $K108/(time_cap),0)),0)</f>
        <v/>
      </c>
      <c r="AB108" s="4395">
        <f>IFERROR(IF((time+time_cap)&lt;AB$2, 0,IF(AND(time+1&gt;=AC$2, $E108&lt;AC$2), IF($I108= "I", $J108/($F108-$E108+1), $J108/(($F108*($F108+1)/2)-(($E108-1)*($E108-1+1)/2))*AB$2), 0)+IF(IF(time+1&gt;=AC$2, $K108/time_cap/(time+1)*AB$2, 0) = 0, $K108/(time_cap),0)),0)</f>
        <v/>
      </c>
      <c r="AC108" s="4395">
        <f>IFERROR(IF((time+time_cap)&lt;AC$2, 0,IF(AND(time+1&gt;=AD$2, $E108&lt;AD$2), IF($I108= "I", $J108/($F108-$E108+1), $J108/(($F108*($F108+1)/2)-(($E108-1)*($E108-1+1)/2))*AC$2), 0)+IF(IF(time+1&gt;=AD$2, $K108/time_cap/(time+1)*AC$2, 0) = 0, $K108/(time_cap),0)),0)</f>
        <v/>
      </c>
      <c r="AD108" s="4395">
        <f>IFERROR(IF((time+time_cap)&lt;AD$2, 0,IF(AND(time+1&gt;=AE$2, $E108&lt;AE$2), IF($I108= "I", $J108/($F108-$E108+1), $J108/(($F108*($F108+1)/2)-(($E108-1)*($E108-1+1)/2))*AD$2), 0)+IF(IF(time+1&gt;=AE$2, $K108/time_cap/(time+1)*AD$2, 0) = 0, $K108/(time_cap),0)),0)</f>
        <v/>
      </c>
      <c r="AE108" s="4395">
        <f>IFERROR(IF((time+time_cap)&lt;AE$2, 0,IF(AND(time+1&gt;=AF$2, $E108&lt;AF$2), IF($I108= "I", $J108/($F108-$E108+1), $J108/(($F108*($F108+1)/2)-(($E108-1)*($E108-1+1)/2))*AE$2), 0)+IF(IF(time+1&gt;=AF$2, $K108/time_cap/(time+1)*AE$2, 0) = 0, $K108/(time_cap),0)),0)</f>
        <v/>
      </c>
      <c r="AF108" s="4395">
        <f>IFERROR(IF((time+time_cap)&lt;AF$2, 0,IF(AND(time+1&gt;=AG$2, $E108&lt;AG$2), IF($I108= "I", $J108/($F108-$E108+1), $J108/(($F108*($F108+1)/2)-(($E108-1)*($E108-1+1)/2))*AF$2), 0)+IF(IF(time+1&gt;=AG$2, $K108/time_cap/(time+1)*AF$2, 0) = 0, $K108/(time_cap),0)),0)</f>
        <v/>
      </c>
      <c r="AG108" s="4395">
        <f>IFERROR(IF((time+time_cap)&lt;AG$2, 0,IF(AND(time+1&gt;=AH$2, $E108&lt;AH$2), IF($I108= "I", $J108/($F108-$E108+1), $J108/(($F108*($F108+1)/2)-(($E108-1)*($E108-1+1)/2))*AG$2), 0)+IF(IF(time+1&gt;=AH$2, $K108/time_cap/(time+1)*AG$2, 0) = 0, $K108/(time_cap),0)),0)</f>
        <v/>
      </c>
      <c r="AH108" s="4395">
        <f>IFERROR(IF((time+time_cap)&lt;AH$2, 0,IF(AND(time+1&gt;=AI$2, $E108&lt;AI$2), IF($I108= "I", $J108/($F108-$E108+1), $J108/(($F108*($F108+1)/2)-(($E108-1)*($E108-1+1)/2))*AH$2), 0)+IF(IF(time+1&gt;=AI$2, $K108/time_cap/(time+1)*AH$2, 0) = 0, $K108/(time_cap),0)),0)</f>
        <v/>
      </c>
      <c r="AI108" s="4395">
        <f>IFERROR(IF((time+time_cap)&lt;AI$2, 0,IF(AND(time+1&gt;=AJ$2, $E108&lt;AJ$2), IF($I108= "I", $J108/($F108-$E108+1), $J108/(($F108*($F108+1)/2)-(($E108-1)*($E108-1+1)/2))*AI$2), 0)+IF(IF(time+1&gt;=AJ$2, $K108/time_cap/(time+1)*AI$2, 0) = 0, $K108/(time_cap),0)),0)</f>
        <v/>
      </c>
      <c r="AJ108" s="4395">
        <f>IFERROR(IF((time+time_cap)&lt;AJ$2, 0,IF(AND(time+1&gt;=AK$2, $E108&lt;AK$2), IF($I108= "I", $J108/($F108-$E108+1), $J108/(($F108*($F108+1)/2)-(($E108-1)*($E108-1+1)/2))*AJ$2), 0)+IF(IF(time+1&gt;=AK$2, $K108/time_cap/(time+1)*AJ$2, 0) = 0, $K108/(time_cap),0)),0)</f>
        <v/>
      </c>
      <c r="AK108" s="4395">
        <f>IFERROR(IF((time+time_cap)&lt;AK$2, 0,IF(AND(time+1&gt;=AL$2, $E108&lt;AL$2), IF($I108= "I", $J108/($F108-$E108+1), $J108/(($F108*($F108+1)/2)-(($E108-1)*($E108-1+1)/2))*AK$2), 0)+IF(IF(time+1&gt;=AL$2, $K108/time_cap/(time+1)*AK$2, 0) = 0, $K108/(time_cap),0)),0)</f>
        <v/>
      </c>
      <c r="AL108" s="4395">
        <f>IFERROR(IF((time+time_cap)&lt;AL$2, 0,IF(AND(time+1&gt;=AM$2, $E108&lt;AM$2), IF($I108= "I", $J108/($F108-$E108+1), $J108/(($F108*($F108+1)/2)-(($E108-1)*($E108-1+1)/2))*AL$2), 0)+IF(IF(time+1&gt;=AM$2, $K108/time_cap/(time+1)*AL$2, 0) = 0, $K108/(time_cap),0)),0)</f>
        <v/>
      </c>
      <c r="AM108" s="4395">
        <f>IFERROR(IF((time+time_cap)&lt;AM$2, 0,IF(AND(time+1&gt;=AN$2, $E108&lt;AN$2), IF($I108= "I", $J108/($F108-$E108+1), $J108/(($F108*($F108+1)/2)-(($E108-1)*($E108-1+1)/2))*AM$2), 0)+IF(IF(time+1&gt;=AN$2, $K108/time_cap/(time+1)*AM$2, 0) = 0, $K108/(time_cap),0)),0)</f>
        <v/>
      </c>
      <c r="AN108" s="4395">
        <f>IFERROR(IF((time+time_cap)&lt;AN$2, 0,IF(AND(time+1&gt;=AO$2, $E108&lt;AO$2), IF($I108= "I", $J108/($F108-$E108+1), $J108/(($F108*($F108+1)/2)-(($E108-1)*($E108-1+1)/2))*AN$2), 0)+IF(IF(time+1&gt;=AO$2, $K108/time_cap/(time+1)*AN$2, 0) = 0, $K108/(time_cap),0)),0)</f>
        <v/>
      </c>
      <c r="AO108" s="4395">
        <f>IFERROR(IF((time+time_cap)&lt;AO$2, 0,IF(AND(time+1&gt;=AP$2, $E108&lt;AP$2), IF($I108= "I", $J108/($F108-$E108+1), $J108/(($F108*($F108+1)/2)-(($E108-1)*($E108-1+1)/2))*AO$2), 0)+IF(IF(time+1&gt;=AP$2, $K108/time_cap/(time+1)*AO$2, 0) = 0, $K108/(time_cap),0)),0)</f>
        <v/>
      </c>
      <c r="AP108" s="4395">
        <f>IFERROR(IF((time+time_cap)&lt;AP$2, 0,IF(AND(time+1&gt;=AQ$2, $E108&lt;AQ$2), IF($I108= "I", $J108/($F108-$E108+1), $J108/(($F108*($F108+1)/2)-(($E108-1)*($E108-1+1)/2))*AP$2), 0)+IF(IF(time+1&gt;=AQ$2, $K108/time_cap/(time+1)*AP$2, 0) = 0, $K108/(time_cap),0)),0)</f>
        <v/>
      </c>
      <c r="AQ108" s="4395">
        <f>IFERROR(IF((time+time_cap)&lt;AQ$2, 0,IF(AND(time+1&gt;=AR$2, $E108&lt;AR$2), IF($I108= "I", $J108/($F108-$E108+1), $J108/(($F108*($F108+1)/2)-(($E108-1)*($E108-1+1)/2))*AQ$2), 0)+IF(IF(time+1&gt;=AR$2, $K108/time_cap/(time+1)*AQ$2, 0) = 0, $K108/(time_cap),0)),0)</f>
        <v/>
      </c>
      <c r="AR108" s="4395">
        <f>IFERROR(IF((time+time_cap)&lt;AR$2, 0,IF(AND(time+1&gt;=AS$2, $E108&lt;AS$2), IF($I108= "I", $J108/($F108-$E108+1), $J108/(($F108*($F108+1)/2)-(($E108-1)*($E108-1+1)/2))*AR$2), 0)+IF(IF(time+1&gt;=AS$2, $K108/time_cap/(time+1)*AR$2, 0) = 0, $K108/(time_cap),0)),0)</f>
        <v/>
      </c>
      <c r="AS108" s="4395">
        <f>IFERROR(IF((time+time_cap)&lt;AS$2, 0,IF(AND(time+1&gt;=AT$2, $E108&lt;AT$2), IF($I108= "I", $J108/($F108-$E108+1), $J108/(($F108*($F108+1)/2)-(($E108-1)*($E108-1+1)/2))*AS$2), 0)+IF(IF(time+1&gt;=AT$2, $K108/time_cap/(time+1)*AS$2, 0) = 0, $K108/(time_cap),0)),0)</f>
        <v/>
      </c>
      <c r="AT108" s="4395">
        <f>IFERROR(IF((time+time_cap)&lt;AT$2, 0,IF(AND(time+1&gt;=AU$2, $E108&lt;AU$2), IF($I108= "I", $J108/($F108-$E108+1), $J108/(($F108*($F108+1)/2)-(($E108-1)*($E108-1+1)/2))*AT$2), 0)+IF(IF(time+1&gt;=AU$2, $K108/time_cap/(time+1)*AT$2, 0) = 0, $K108/(time_cap),0)),0)</f>
        <v/>
      </c>
      <c r="AU108" s="4395">
        <f>IFERROR(IF((time+time_cap)&lt;AU$2, 0,IF(AND(time+1&gt;=AV$2, $E108&lt;AV$2), IF($I108= "I", $J108/($F108-$E108+1), $J108/(($F108*($F108+1)/2)-(($E108-1)*($E108-1+1)/2))*AU$2), 0)+IF(IF(time+1&gt;=AV$2, $K108/time_cap/(time+1)*AU$2, 0) = 0, $K108/(time_cap),0)),0)</f>
        <v/>
      </c>
      <c r="AV108" s="4395">
        <f>IFERROR(IF((time+time_cap)&lt;AV$2, 0,IF(AND(time+1&gt;=AW$2, $E108&lt;AW$2), IF($I108= "I", $J108/($F108-$E108+1), $J108/(($F108*($F108+1)/2)-(($E108-1)*($E108-1+1)/2))*AV$2), 0)+IF(IF(time+1&gt;=AW$2, $K108/time_cap/(time+1)*AV$2, 0) = 0, $K108/(time_cap),0)),0)</f>
        <v/>
      </c>
      <c r="AW108" s="4395">
        <f>IFERROR(IF((time+time_cap)&lt;AW$2, 0,IF(AND(time+1&gt;=AX$2, $E108&lt;AX$2), IF($I108= "I", $J108/($F108-$E108+1), $J108/(($F108*($F108+1)/2)-(($E108-1)*($E108-1+1)/2))*AW$2), 0)+IF(IF(time+1&gt;=AX$2, $K108/time_cap/(time+1)*AW$2, 0) = 0, $K108/(time_cap),0)),0)</f>
        <v/>
      </c>
      <c r="AX108" s="4395">
        <f>IFERROR(IF((time+time_cap)&lt;AX$2, 0,IF(AND(time+1&gt;=AY$2, $E108&lt;AY$2), IF($I108= "I", $J108/($F108-$E108+1), $J108/(($F108*($F108+1)/2)-(($E108-1)*($E108-1+1)/2))*AX$2), 0)+IF(IF(time+1&gt;=AY$2, $K108/time_cap/(time+1)*AX$2, 0) = 0, $K108/(time_cap),0)),0)</f>
        <v/>
      </c>
      <c r="AY108" s="4395">
        <f>IFERROR(IF((time+time_cap)&lt;AY$2, 0,IF(AND(time+1&gt;=AZ$2, $E108&lt;AZ$2), IF($I108= "I", $J108/($F108-$E108+1), $J108/(($F108*($F108+1)/2)-(($E108-1)*($E108-1+1)/2))*AY$2), 0)+IF(IF(time+1&gt;=AZ$2, $K108/time_cap/(time+1)*AY$2, 0) = 0, $K108/(time_cap),0)),0)</f>
        <v/>
      </c>
      <c r="AZ108" s="4395">
        <f>IFERROR(IF((time+time_cap)&lt;AZ$2, 0,IF(AND(time+1&gt;=BA$2, $E108&lt;BA$2), IF($I108= "I", $J108/($F108-$E108+1), $J108/(($F108*($F108+1)/2)-(($E108-1)*($E108-1+1)/2))*AZ$2), 0)+IF(IF(time+1&gt;=BA$2, $K108/time_cap/(time+1)*AZ$2, 0) = 0, $K108/(time_cap),0)),0)</f>
        <v/>
      </c>
      <c r="BA108" s="4395">
        <f>IFERROR(IF((time+time_cap)&lt;BA$2, 0,IF(AND(time+1&gt;=BB$2, $E108&lt;BB$2), IF($I108= "I", $J108/($F108-$E108+1), $J108/(($F108*($F108+1)/2)-(($E108-1)*($E108-1+1)/2))*BA$2), 0)+IF(IF(time+1&gt;=BB$2, $K108/time_cap/(time+1)*BA$2, 0) = 0, $K108/(time_cap),0)),0)</f>
        <v/>
      </c>
      <c r="BB108" s="4395">
        <f>IFERROR(IF((time+time_cap)&lt;BB$2, 0,IF(AND(time+1&gt;=BC$2, $E108&lt;BC$2), IF($I108= "I", $J108/($F108-$E108+1), $J108/(($F108*($F108+1)/2)-(($E108-1)*($E108-1+1)/2))*BB$2), 0)+IF(IF(time+1&gt;=BC$2, $K108/time_cap/(time+1)*BB$2, 0) = 0, $K108/(time_cap),0)),0)</f>
        <v/>
      </c>
      <c r="BC108" s="4395">
        <f>IFERROR(IF((time+time_cap)&lt;BC$2, 0,IF(AND(time+1&gt;=BD$2, $E108&lt;BD$2), IF($I108= "I", $J108/($F108-$E108+1), $J108/(($F108*($F108+1)/2)-(($E108-1)*($E108-1+1)/2))*BC$2), 0)+IF(IF(time+1&gt;=BD$2, $K108/time_cap/(time+1)*BC$2, 0) = 0, $K108/(time_cap),0)),0)</f>
        <v/>
      </c>
      <c r="BD108" s="4395">
        <f>IFERROR(IF((time+time_cap)&lt;BD$2, 0,IF(AND(time+1&gt;=BE$2, $E108&lt;BE$2), IF($I108= "I", $J108/($F108-$E108+1), $J108/(($F108*($F108+1)/2)-(($E108-1)*($E108-1+1)/2))*BD$2), 0)+IF(IF(time+1&gt;=BE$2, $K108/time_cap/(time+1)*BD$2, 0) = 0, $K108/(time_cap),0)),0)</f>
        <v/>
      </c>
      <c r="BE108" s="4395">
        <f>IFERROR(IF((time+time_cap)&lt;BE$2, 0,IF(AND(time+1&gt;=BF$2, $E108&lt;BF$2), IF($I108= "I", $J108/($F108-$E108+1), $J108/(($F108*($F108+1)/2)-(($E108-1)*($E108-1+1)/2))*BE$2), 0)+IF(IF(time+1&gt;=BF$2, $K108/time_cap/(time+1)*BE$2, 0) = 0, $K108/(time_cap),0)),0)</f>
        <v/>
      </c>
      <c r="BF108" s="4395">
        <f>IFERROR(IF((time+time_cap)&lt;BF$2, 0,IF(AND(time+1&gt;=BG$2, $E108&lt;BG$2), IF($I108= "I", $J108/($F108-$E108+1), $J108/(($F108*($F108+1)/2)-(($E108-1)*($E108-1+1)/2))*BF$2), 0)+IF(IF(time+1&gt;=BG$2, $K108/time_cap/(time+1)*BF$2, 0) = 0, $K108/(time_cap),0)),0)</f>
        <v/>
      </c>
      <c r="BG108" s="4395">
        <f>IFERROR(IF((time+time_cap)&lt;BG$2, 0,IF(AND(time+1&gt;=BH$2, $E108&lt;BH$2), IF($I108= "I", $J108/($F108-$E108+1), $J108/(($F108*($F108+1)/2)-(($E108-1)*($E108-1+1)/2))*BG$2), 0)+IF(IF(time+1&gt;=BH$2, $K108/time_cap/(time+1)*BG$2, 0) = 0, $K108/(time_cap),0)),0)</f>
        <v/>
      </c>
      <c r="BH108" s="4395">
        <f>IFERROR(IF((time+time_cap)&lt;BH$2, 0,IF(AND(time+1&gt;=BI$2, $E108&lt;BI$2), IF($I108= "I", $J108/($F108-$E108+1), $J108/(($F108*($F108+1)/2)-(($E108-1)*($E108-1+1)/2))*BH$2), 0)+IF(IF(time+1&gt;=BI$2, $K108/time_cap/(time+1)*BH$2, 0) = 0, $K108/(time_cap),0)),0)</f>
        <v/>
      </c>
      <c r="BI108" s="4395">
        <f>IFERROR(IF((time+time_cap)&lt;BI$2, 0,IF(AND(time+1&gt;=BJ$2, $E108&lt;BJ$2), IF($I108= "I", $J108/($F108-$E108+1), $J108/(($F108*($F108+1)/2)-(($E108-1)*($E108-1+1)/2))*BI$2), 0)+IF(IF(time+1&gt;=BJ$2, $K108/time_cap/(time+1)*BI$2, 0) = 0, $K108/(time_cap),0)),0)</f>
        <v/>
      </c>
      <c r="BJ108" s="4395">
        <f>IFERROR(IF((time+time_cap)&lt;BJ$2, 0,IF(AND(time+1&gt;=BK$2, $E108&lt;BK$2), IF($I108= "I", $J108/($F108-$E108+1), $J108/(($F108*($F108+1)/2)-(($E108-1)*($E108-1+1)/2))*BJ$2), 0)+IF(IF(time+1&gt;=BK$2, $K108/time_cap/(time+1)*BJ$2, 0) = 0, $K108/(time_cap),0)),0)</f>
        <v/>
      </c>
      <c r="BK108" s="4395" t="n"/>
      <c r="BL108" s="4395" t="n"/>
      <c r="BM108" s="4395" t="n"/>
      <c r="BN108" s="4395" t="n"/>
      <c r="BO108" s="4395" t="n"/>
      <c r="BP108" s="4395" t="n"/>
      <c r="BQ108" s="4395" t="n"/>
      <c r="BR108" s="4395" t="n"/>
      <c r="BS108" s="4395" t="n"/>
      <c r="BT108" s="4395" t="n"/>
      <c r="BU108" s="4395" t="n"/>
      <c r="BV108" s="4395" t="n"/>
      <c r="BW108" s="4395" t="n"/>
      <c r="BX108" s="4395" t="n"/>
      <c r="BY108" s="4395" t="n"/>
      <c r="BZ108" s="4395" t="n"/>
      <c r="CA108" s="4395" t="n"/>
      <c r="CB108" s="4395" t="n"/>
      <c r="CC108" s="4395" t="n"/>
      <c r="CD108" s="4395" t="n"/>
      <c r="CE108" s="4395" t="n"/>
      <c r="CF108" s="4395" t="n"/>
      <c r="CG108" s="4395" t="n"/>
      <c r="CH108" s="4395" t="n"/>
      <c r="CI108" s="4395" t="n"/>
      <c r="CJ108" s="4395" t="n"/>
      <c r="CK108" s="4395" t="n"/>
      <c r="CL108" s="4395" t="n"/>
      <c r="CM108" s="4395" t="n"/>
      <c r="CN108" s="4395" t="n"/>
      <c r="CO108" s="4395" t="n"/>
      <c r="CP108" s="4395" t="n"/>
      <c r="CQ108" s="4395" t="n"/>
      <c r="CR108" s="4395" t="n"/>
      <c r="CS108" s="4395" t="n"/>
      <c r="CT108" s="4395" t="n"/>
      <c r="CU108" s="4395" t="n"/>
      <c r="CV108" s="4395" t="n"/>
      <c r="CW108" s="4395" t="n"/>
      <c r="CX108" s="4395" t="n"/>
      <c r="CY108" s="4395" t="n"/>
      <c r="CZ108" s="4395" t="n"/>
      <c r="DA108" s="4395" t="n"/>
      <c r="DB108" s="4395" t="n"/>
      <c r="DC108" s="4395" t="n"/>
      <c r="DD108" s="4395" t="n"/>
      <c r="DE108" s="4395" t="n"/>
      <c r="DF108" s="4395" t="n"/>
      <c r="DG108" s="4395" t="n"/>
      <c r="DH108" s="4395" t="n"/>
    </row>
    <row r="109">
      <c r="A109" t="inlineStr">
        <is>
          <t>Livestock</t>
        </is>
      </c>
      <c r="C109">
        <f>'4.Grassland'!I72</f>
        <v/>
      </c>
      <c r="D109">
        <f>'4.Grassland'!AG72</f>
        <v/>
      </c>
      <c r="E109">
        <f>IF('4.Grassland'!CG72&lt;&gt;0,'4.Grassland'!CG72, '4.Grassland'!CF72)</f>
        <v/>
      </c>
      <c r="F109">
        <f>time</f>
        <v/>
      </c>
      <c r="G109" s="4395" t="n"/>
      <c r="H109" s="4395" t="n"/>
      <c r="I109" s="4395">
        <f>IF(OR(H109="I", G109="I"), "I", IF(OR(H109="E", G109="E"), "E", "D"))</f>
        <v/>
      </c>
      <c r="J109" s="4395">
        <f>((D109/(time_cap+((F109-E109+1)*VLOOKUP(I109,list!$I$48:$K$50,3, FALSE))))*(F109-E109+1)*VLOOKUP(I109,list!$I$48:$K$50,3, FALSE))</f>
        <v/>
      </c>
      <c r="K109" s="4395">
        <f>((D109/(time_cap+((F109-E109+1)*VLOOKUP(I109,list!$I$48:$K$50,3, FALSE))))*time_cap)</f>
        <v/>
      </c>
      <c r="M109" s="4395">
        <f>IFERROR(IF((time+time_cap)&lt;M$2, 0,IF(AND(time+1&gt;=N$2, $E109&lt;N$2), IF($I109= "I", $J109/($F109-$E109+1), $J109/(($F109*($F109+1)/2)-(($E109-1)*($E109-1+1)/2))*M$2), 0)+IF(IF(time+1&gt;=N$2, $K109/time_cap/(time+1)*M$2, 0) = 0, $K109/(time_cap),0)),0)</f>
        <v/>
      </c>
      <c r="N109" s="4395">
        <f>IFERROR(IF((time+time_cap)&lt;N$2, 0,IF(AND(time+1&gt;=O$2, $E109&lt;O$2), IF($I109= "I", $J109/($F109-$E109+1), $J109/(($F109*($F109+1)/2)-(($E109-1)*($E109-1+1)/2))*N$2), 0)+IF(IF(time+1&gt;=O$2, $K109/time_cap/(time+1)*N$2, 0) = 0, $K109/(time_cap),0)),0)</f>
        <v/>
      </c>
      <c r="O109" s="4395">
        <f>IFERROR(IF((time+time_cap)&lt;O$2, 0,IF(AND(time+1&gt;=P$2, $E109&lt;P$2), IF($I109= "I", $J109/($F109-$E109+1), $J109/(($F109*($F109+1)/2)-(($E109-1)*($E109-1+1)/2))*O$2), 0)+IF(IF(time+1&gt;=P$2, $K109/time_cap/(time+1)*O$2, 0) = 0, $K109/(time_cap),0)),0)</f>
        <v/>
      </c>
      <c r="P109" s="4395">
        <f>IFERROR(IF((time+time_cap)&lt;P$2, 0,IF(AND(time+1&gt;=Q$2, $E109&lt;Q$2), IF($I109= "I", $J109/($F109-$E109+1), $J109/(($F109*($F109+1)/2)-(($E109-1)*($E109-1+1)/2))*P$2), 0)+IF(IF(time+1&gt;=Q$2, $K109/time_cap/(time+1)*P$2, 0) = 0, $K109/(time_cap),0)),0)</f>
        <v/>
      </c>
      <c r="Q109" s="4395">
        <f>IFERROR(IF((time+time_cap)&lt;Q$2, 0,IF(AND(time+1&gt;=R$2, $E109&lt;R$2), IF($I109= "I", $J109/($F109-$E109+1), $J109/(($F109*($F109+1)/2)-(($E109-1)*($E109-1+1)/2))*Q$2), 0)+IF(IF(time+1&gt;=R$2, $K109/time_cap/(time+1)*Q$2, 0) = 0, $K109/(time_cap),0)),0)</f>
        <v/>
      </c>
      <c r="R109" s="4395">
        <f>IFERROR(IF((time+time_cap)&lt;R$2, 0,IF(AND(time+1&gt;=S$2, $E109&lt;S$2), IF($I109= "I", $J109/($F109-$E109+1), $J109/(($F109*($F109+1)/2)-(($E109-1)*($E109-1+1)/2))*R$2), 0)+IF(IF(time+1&gt;=S$2, $K109/time_cap/(time+1)*R$2, 0) = 0, $K109/(time_cap),0)),0)</f>
        <v/>
      </c>
      <c r="S109" s="4395">
        <f>IFERROR(IF((time+time_cap)&lt;S$2, 0,IF(AND(time+1&gt;=T$2, $E109&lt;T$2), IF($I109= "I", $J109/($F109-$E109+1), $J109/(($F109*($F109+1)/2)-(($E109-1)*($E109-1+1)/2))*S$2), 0)+IF(IF(time+1&gt;=T$2, $K109/time_cap/(time+1)*S$2, 0) = 0, $K109/(time_cap),0)),0)</f>
        <v/>
      </c>
      <c r="T109" s="4395">
        <f>IFERROR(IF((time+time_cap)&lt;T$2, 0,IF(AND(time+1&gt;=U$2, $E109&lt;U$2), IF($I109= "I", $J109/($F109-$E109+1), $J109/(($F109*($F109+1)/2)-(($E109-1)*($E109-1+1)/2))*T$2), 0)+IF(IF(time+1&gt;=U$2, $K109/time_cap/(time+1)*T$2, 0) = 0, $K109/(time_cap),0)),0)</f>
        <v/>
      </c>
      <c r="U109" s="4395">
        <f>IFERROR(IF((time+time_cap)&lt;U$2, 0,IF(AND(time+1&gt;=V$2, $E109&lt;V$2), IF($I109= "I", $J109/($F109-$E109+1), $J109/(($F109*($F109+1)/2)-(($E109-1)*($E109-1+1)/2))*U$2), 0)+IF(IF(time+1&gt;=V$2, $K109/time_cap/(time+1)*U$2, 0) = 0, $K109/(time_cap),0)),0)</f>
        <v/>
      </c>
      <c r="V109" s="4395">
        <f>IFERROR(IF((time+time_cap)&lt;V$2, 0,IF(AND(time+1&gt;=W$2, $E109&lt;W$2), IF($I109= "I", $J109/($F109-$E109+1), $J109/(($F109*($F109+1)/2)-(($E109-1)*($E109-1+1)/2))*V$2), 0)+IF(IF(time+1&gt;=W$2, $K109/time_cap/(time+1)*V$2, 0) = 0, $K109/(time_cap),0)),0)</f>
        <v/>
      </c>
      <c r="W109" s="4395">
        <f>IFERROR(IF((time+time_cap)&lt;W$2, 0,IF(AND(time+1&gt;=X$2, $E109&lt;X$2), IF($I109= "I", $J109/($F109-$E109+1), $J109/(($F109*($F109+1)/2)-(($E109-1)*($E109-1+1)/2))*W$2), 0)+IF(IF(time+1&gt;=X$2, $K109/time_cap/(time+1)*W$2, 0) = 0, $K109/(time_cap),0)),0)</f>
        <v/>
      </c>
      <c r="X109" s="4395">
        <f>IFERROR(IF((time+time_cap)&lt;X$2, 0,IF(AND(time+1&gt;=Y$2, $E109&lt;Y$2), IF($I109= "I", $J109/($F109-$E109+1), $J109/(($F109*($F109+1)/2)-(($E109-1)*($E109-1+1)/2))*X$2), 0)+IF(IF(time+1&gt;=Y$2, $K109/time_cap/(time+1)*X$2, 0) = 0, $K109/(time_cap),0)),0)</f>
        <v/>
      </c>
      <c r="Y109" s="4395">
        <f>IFERROR(IF((time+time_cap)&lt;Y$2, 0,IF(AND(time+1&gt;=Z$2, $E109&lt;Z$2), IF($I109= "I", $J109/($F109-$E109+1), $J109/(($F109*($F109+1)/2)-(($E109-1)*($E109-1+1)/2))*Y$2), 0)+IF(IF(time+1&gt;=Z$2, $K109/time_cap/(time+1)*Y$2, 0) = 0, $K109/(time_cap),0)),0)</f>
        <v/>
      </c>
      <c r="Z109" s="4395">
        <f>IFERROR(IF((time+time_cap)&lt;Z$2, 0,IF(AND(time+1&gt;=AA$2, $E109&lt;AA$2), IF($I109= "I", $J109/($F109-$E109+1), $J109/(($F109*($F109+1)/2)-(($E109-1)*($E109-1+1)/2))*Z$2), 0)+IF(IF(time+1&gt;=AA$2, $K109/time_cap/(time+1)*Z$2, 0) = 0, $K109/(time_cap),0)),0)</f>
        <v/>
      </c>
      <c r="AA109" s="4395">
        <f>IFERROR(IF((time+time_cap)&lt;AA$2, 0,IF(AND(time+1&gt;=AB$2, $E109&lt;AB$2), IF($I109= "I", $J109/($F109-$E109+1), $J109/(($F109*($F109+1)/2)-(($E109-1)*($E109-1+1)/2))*AA$2), 0)+IF(IF(time+1&gt;=AB$2, $K109/time_cap/(time+1)*AA$2, 0) = 0, $K109/(time_cap),0)),0)</f>
        <v/>
      </c>
      <c r="AB109" s="4395">
        <f>IFERROR(IF((time+time_cap)&lt;AB$2, 0,IF(AND(time+1&gt;=AC$2, $E109&lt;AC$2), IF($I109= "I", $J109/($F109-$E109+1), $J109/(($F109*($F109+1)/2)-(($E109-1)*($E109-1+1)/2))*AB$2), 0)+IF(IF(time+1&gt;=AC$2, $K109/time_cap/(time+1)*AB$2, 0) = 0, $K109/(time_cap),0)),0)</f>
        <v/>
      </c>
      <c r="AC109" s="4395">
        <f>IFERROR(IF((time+time_cap)&lt;AC$2, 0,IF(AND(time+1&gt;=AD$2, $E109&lt;AD$2), IF($I109= "I", $J109/($F109-$E109+1), $J109/(($F109*($F109+1)/2)-(($E109-1)*($E109-1+1)/2))*AC$2), 0)+IF(IF(time+1&gt;=AD$2, $K109/time_cap/(time+1)*AC$2, 0) = 0, $K109/(time_cap),0)),0)</f>
        <v/>
      </c>
      <c r="AD109" s="4395">
        <f>IFERROR(IF((time+time_cap)&lt;AD$2, 0,IF(AND(time+1&gt;=AE$2, $E109&lt;AE$2), IF($I109= "I", $J109/($F109-$E109+1), $J109/(($F109*($F109+1)/2)-(($E109-1)*($E109-1+1)/2))*AD$2), 0)+IF(IF(time+1&gt;=AE$2, $K109/time_cap/(time+1)*AD$2, 0) = 0, $K109/(time_cap),0)),0)</f>
        <v/>
      </c>
      <c r="AE109" s="4395">
        <f>IFERROR(IF((time+time_cap)&lt;AE$2, 0,IF(AND(time+1&gt;=AF$2, $E109&lt;AF$2), IF($I109= "I", $J109/($F109-$E109+1), $J109/(($F109*($F109+1)/2)-(($E109-1)*($E109-1+1)/2))*AE$2), 0)+IF(IF(time+1&gt;=AF$2, $K109/time_cap/(time+1)*AE$2, 0) = 0, $K109/(time_cap),0)),0)</f>
        <v/>
      </c>
      <c r="AF109" s="4395">
        <f>IFERROR(IF((time+time_cap)&lt;AF$2, 0,IF(AND(time+1&gt;=AG$2, $E109&lt;AG$2), IF($I109= "I", $J109/($F109-$E109+1), $J109/(($F109*($F109+1)/2)-(($E109-1)*($E109-1+1)/2))*AF$2), 0)+IF(IF(time+1&gt;=AG$2, $K109/time_cap/(time+1)*AF$2, 0) = 0, $K109/(time_cap),0)),0)</f>
        <v/>
      </c>
      <c r="AG109" s="4395">
        <f>IFERROR(IF((time+time_cap)&lt;AG$2, 0,IF(AND(time+1&gt;=AH$2, $E109&lt;AH$2), IF($I109= "I", $J109/($F109-$E109+1), $J109/(($F109*($F109+1)/2)-(($E109-1)*($E109-1+1)/2))*AG$2), 0)+IF(IF(time+1&gt;=AH$2, $K109/time_cap/(time+1)*AG$2, 0) = 0, $K109/(time_cap),0)),0)</f>
        <v/>
      </c>
      <c r="AH109" s="4395">
        <f>IFERROR(IF((time+time_cap)&lt;AH$2, 0,IF(AND(time+1&gt;=AI$2, $E109&lt;AI$2), IF($I109= "I", $J109/($F109-$E109+1), $J109/(($F109*($F109+1)/2)-(($E109-1)*($E109-1+1)/2))*AH$2), 0)+IF(IF(time+1&gt;=AI$2, $K109/time_cap/(time+1)*AH$2, 0) = 0, $K109/(time_cap),0)),0)</f>
        <v/>
      </c>
      <c r="AI109" s="4395">
        <f>IFERROR(IF((time+time_cap)&lt;AI$2, 0,IF(AND(time+1&gt;=AJ$2, $E109&lt;AJ$2), IF($I109= "I", $J109/($F109-$E109+1), $J109/(($F109*($F109+1)/2)-(($E109-1)*($E109-1+1)/2))*AI$2), 0)+IF(IF(time+1&gt;=AJ$2, $K109/time_cap/(time+1)*AI$2, 0) = 0, $K109/(time_cap),0)),0)</f>
        <v/>
      </c>
      <c r="AJ109" s="4395">
        <f>IFERROR(IF((time+time_cap)&lt;AJ$2, 0,IF(AND(time+1&gt;=AK$2, $E109&lt;AK$2), IF($I109= "I", $J109/($F109-$E109+1), $J109/(($F109*($F109+1)/2)-(($E109-1)*($E109-1+1)/2))*AJ$2), 0)+IF(IF(time+1&gt;=AK$2, $K109/time_cap/(time+1)*AJ$2, 0) = 0, $K109/(time_cap),0)),0)</f>
        <v/>
      </c>
      <c r="AK109" s="4395">
        <f>IFERROR(IF((time+time_cap)&lt;AK$2, 0,IF(AND(time+1&gt;=AL$2, $E109&lt;AL$2), IF($I109= "I", $J109/($F109-$E109+1), $J109/(($F109*($F109+1)/2)-(($E109-1)*($E109-1+1)/2))*AK$2), 0)+IF(IF(time+1&gt;=AL$2, $K109/time_cap/(time+1)*AK$2, 0) = 0, $K109/(time_cap),0)),0)</f>
        <v/>
      </c>
      <c r="AL109" s="4395">
        <f>IFERROR(IF((time+time_cap)&lt;AL$2, 0,IF(AND(time+1&gt;=AM$2, $E109&lt;AM$2), IF($I109= "I", $J109/($F109-$E109+1), $J109/(($F109*($F109+1)/2)-(($E109-1)*($E109-1+1)/2))*AL$2), 0)+IF(IF(time+1&gt;=AM$2, $K109/time_cap/(time+1)*AL$2, 0) = 0, $K109/(time_cap),0)),0)</f>
        <v/>
      </c>
      <c r="AM109" s="4395">
        <f>IFERROR(IF((time+time_cap)&lt;AM$2, 0,IF(AND(time+1&gt;=AN$2, $E109&lt;AN$2), IF($I109= "I", $J109/($F109-$E109+1), $J109/(($F109*($F109+1)/2)-(($E109-1)*($E109-1+1)/2))*AM$2), 0)+IF(IF(time+1&gt;=AN$2, $K109/time_cap/(time+1)*AM$2, 0) = 0, $K109/(time_cap),0)),0)</f>
        <v/>
      </c>
      <c r="AN109" s="4395">
        <f>IFERROR(IF((time+time_cap)&lt;AN$2, 0,IF(AND(time+1&gt;=AO$2, $E109&lt;AO$2), IF($I109= "I", $J109/($F109-$E109+1), $J109/(($F109*($F109+1)/2)-(($E109-1)*($E109-1+1)/2))*AN$2), 0)+IF(IF(time+1&gt;=AO$2, $K109/time_cap/(time+1)*AN$2, 0) = 0, $K109/(time_cap),0)),0)</f>
        <v/>
      </c>
      <c r="AO109" s="4395">
        <f>IFERROR(IF((time+time_cap)&lt;AO$2, 0,IF(AND(time+1&gt;=AP$2, $E109&lt;AP$2), IF($I109= "I", $J109/($F109-$E109+1), $J109/(($F109*($F109+1)/2)-(($E109-1)*($E109-1+1)/2))*AO$2), 0)+IF(IF(time+1&gt;=AP$2, $K109/time_cap/(time+1)*AO$2, 0) = 0, $K109/(time_cap),0)),0)</f>
        <v/>
      </c>
      <c r="AP109" s="4395">
        <f>IFERROR(IF((time+time_cap)&lt;AP$2, 0,IF(AND(time+1&gt;=AQ$2, $E109&lt;AQ$2), IF($I109= "I", $J109/($F109-$E109+1), $J109/(($F109*($F109+1)/2)-(($E109-1)*($E109-1+1)/2))*AP$2), 0)+IF(IF(time+1&gt;=AQ$2, $K109/time_cap/(time+1)*AP$2, 0) = 0, $K109/(time_cap),0)),0)</f>
        <v/>
      </c>
      <c r="AQ109" s="4395">
        <f>IFERROR(IF((time+time_cap)&lt;AQ$2, 0,IF(AND(time+1&gt;=AR$2, $E109&lt;AR$2), IF($I109= "I", $J109/($F109-$E109+1), $J109/(($F109*($F109+1)/2)-(($E109-1)*($E109-1+1)/2))*AQ$2), 0)+IF(IF(time+1&gt;=AR$2, $K109/time_cap/(time+1)*AQ$2, 0) = 0, $K109/(time_cap),0)),0)</f>
        <v/>
      </c>
      <c r="AR109" s="4395">
        <f>IFERROR(IF((time+time_cap)&lt;AR$2, 0,IF(AND(time+1&gt;=AS$2, $E109&lt;AS$2), IF($I109= "I", $J109/($F109-$E109+1), $J109/(($F109*($F109+1)/2)-(($E109-1)*($E109-1+1)/2))*AR$2), 0)+IF(IF(time+1&gt;=AS$2, $K109/time_cap/(time+1)*AR$2, 0) = 0, $K109/(time_cap),0)),0)</f>
        <v/>
      </c>
      <c r="AS109" s="4395">
        <f>IFERROR(IF((time+time_cap)&lt;AS$2, 0,IF(AND(time+1&gt;=AT$2, $E109&lt;AT$2), IF($I109= "I", $J109/($F109-$E109+1), $J109/(($F109*($F109+1)/2)-(($E109-1)*($E109-1+1)/2))*AS$2), 0)+IF(IF(time+1&gt;=AT$2, $K109/time_cap/(time+1)*AS$2, 0) = 0, $K109/(time_cap),0)),0)</f>
        <v/>
      </c>
      <c r="AT109" s="4395">
        <f>IFERROR(IF((time+time_cap)&lt;AT$2, 0,IF(AND(time+1&gt;=AU$2, $E109&lt;AU$2), IF($I109= "I", $J109/($F109-$E109+1), $J109/(($F109*($F109+1)/2)-(($E109-1)*($E109-1+1)/2))*AT$2), 0)+IF(IF(time+1&gt;=AU$2, $K109/time_cap/(time+1)*AT$2, 0) = 0, $K109/(time_cap),0)),0)</f>
        <v/>
      </c>
      <c r="AU109" s="4395">
        <f>IFERROR(IF((time+time_cap)&lt;AU$2, 0,IF(AND(time+1&gt;=AV$2, $E109&lt;AV$2), IF($I109= "I", $J109/($F109-$E109+1), $J109/(($F109*($F109+1)/2)-(($E109-1)*($E109-1+1)/2))*AU$2), 0)+IF(IF(time+1&gt;=AV$2, $K109/time_cap/(time+1)*AU$2, 0) = 0, $K109/(time_cap),0)),0)</f>
        <v/>
      </c>
      <c r="AV109" s="4395">
        <f>IFERROR(IF((time+time_cap)&lt;AV$2, 0,IF(AND(time+1&gt;=AW$2, $E109&lt;AW$2), IF($I109= "I", $J109/($F109-$E109+1), $J109/(($F109*($F109+1)/2)-(($E109-1)*($E109-1+1)/2))*AV$2), 0)+IF(IF(time+1&gt;=AW$2, $K109/time_cap/(time+1)*AV$2, 0) = 0, $K109/(time_cap),0)),0)</f>
        <v/>
      </c>
      <c r="AW109" s="4395">
        <f>IFERROR(IF((time+time_cap)&lt;AW$2, 0,IF(AND(time+1&gt;=AX$2, $E109&lt;AX$2), IF($I109= "I", $J109/($F109-$E109+1), $J109/(($F109*($F109+1)/2)-(($E109-1)*($E109-1+1)/2))*AW$2), 0)+IF(IF(time+1&gt;=AX$2, $K109/time_cap/(time+1)*AW$2, 0) = 0, $K109/(time_cap),0)),0)</f>
        <v/>
      </c>
      <c r="AX109" s="4395">
        <f>IFERROR(IF((time+time_cap)&lt;AX$2, 0,IF(AND(time+1&gt;=AY$2, $E109&lt;AY$2), IF($I109= "I", $J109/($F109-$E109+1), $J109/(($F109*($F109+1)/2)-(($E109-1)*($E109-1+1)/2))*AX$2), 0)+IF(IF(time+1&gt;=AY$2, $K109/time_cap/(time+1)*AX$2, 0) = 0, $K109/(time_cap),0)),0)</f>
        <v/>
      </c>
      <c r="AY109" s="4395">
        <f>IFERROR(IF((time+time_cap)&lt;AY$2, 0,IF(AND(time+1&gt;=AZ$2, $E109&lt;AZ$2), IF($I109= "I", $J109/($F109-$E109+1), $J109/(($F109*($F109+1)/2)-(($E109-1)*($E109-1+1)/2))*AY$2), 0)+IF(IF(time+1&gt;=AZ$2, $K109/time_cap/(time+1)*AY$2, 0) = 0, $K109/(time_cap),0)),0)</f>
        <v/>
      </c>
      <c r="AZ109" s="4395">
        <f>IFERROR(IF((time+time_cap)&lt;AZ$2, 0,IF(AND(time+1&gt;=BA$2, $E109&lt;BA$2), IF($I109= "I", $J109/($F109-$E109+1), $J109/(($F109*($F109+1)/2)-(($E109-1)*($E109-1+1)/2))*AZ$2), 0)+IF(IF(time+1&gt;=BA$2, $K109/time_cap/(time+1)*AZ$2, 0) = 0, $K109/(time_cap),0)),0)</f>
        <v/>
      </c>
      <c r="BA109" s="4395">
        <f>IFERROR(IF((time+time_cap)&lt;BA$2, 0,IF(AND(time+1&gt;=BB$2, $E109&lt;BB$2), IF($I109= "I", $J109/($F109-$E109+1), $J109/(($F109*($F109+1)/2)-(($E109-1)*($E109-1+1)/2))*BA$2), 0)+IF(IF(time+1&gt;=BB$2, $K109/time_cap/(time+1)*BA$2, 0) = 0, $K109/(time_cap),0)),0)</f>
        <v/>
      </c>
      <c r="BB109" s="4395">
        <f>IFERROR(IF((time+time_cap)&lt;BB$2, 0,IF(AND(time+1&gt;=BC$2, $E109&lt;BC$2), IF($I109= "I", $J109/($F109-$E109+1), $J109/(($F109*($F109+1)/2)-(($E109-1)*($E109-1+1)/2))*BB$2), 0)+IF(IF(time+1&gt;=BC$2, $K109/time_cap/(time+1)*BB$2, 0) = 0, $K109/(time_cap),0)),0)</f>
        <v/>
      </c>
      <c r="BC109" s="4395">
        <f>IFERROR(IF((time+time_cap)&lt;BC$2, 0,IF(AND(time+1&gt;=BD$2, $E109&lt;BD$2), IF($I109= "I", $J109/($F109-$E109+1), $J109/(($F109*($F109+1)/2)-(($E109-1)*($E109-1+1)/2))*BC$2), 0)+IF(IF(time+1&gt;=BD$2, $K109/time_cap/(time+1)*BC$2, 0) = 0, $K109/(time_cap),0)),0)</f>
        <v/>
      </c>
      <c r="BD109" s="4395">
        <f>IFERROR(IF((time+time_cap)&lt;BD$2, 0,IF(AND(time+1&gt;=BE$2, $E109&lt;BE$2), IF($I109= "I", $J109/($F109-$E109+1), $J109/(($F109*($F109+1)/2)-(($E109-1)*($E109-1+1)/2))*BD$2), 0)+IF(IF(time+1&gt;=BE$2, $K109/time_cap/(time+1)*BD$2, 0) = 0, $K109/(time_cap),0)),0)</f>
        <v/>
      </c>
      <c r="BE109" s="4395">
        <f>IFERROR(IF((time+time_cap)&lt;BE$2, 0,IF(AND(time+1&gt;=BF$2, $E109&lt;BF$2), IF($I109= "I", $J109/($F109-$E109+1), $J109/(($F109*($F109+1)/2)-(($E109-1)*($E109-1+1)/2))*BE$2), 0)+IF(IF(time+1&gt;=BF$2, $K109/time_cap/(time+1)*BE$2, 0) = 0, $K109/(time_cap),0)),0)</f>
        <v/>
      </c>
      <c r="BF109" s="4395">
        <f>IFERROR(IF((time+time_cap)&lt;BF$2, 0,IF(AND(time+1&gt;=BG$2, $E109&lt;BG$2), IF($I109= "I", $J109/($F109-$E109+1), $J109/(($F109*($F109+1)/2)-(($E109-1)*($E109-1+1)/2))*BF$2), 0)+IF(IF(time+1&gt;=BG$2, $K109/time_cap/(time+1)*BF$2, 0) = 0, $K109/(time_cap),0)),0)</f>
        <v/>
      </c>
      <c r="BG109" s="4395">
        <f>IFERROR(IF((time+time_cap)&lt;BG$2, 0,IF(AND(time+1&gt;=BH$2, $E109&lt;BH$2), IF($I109= "I", $J109/($F109-$E109+1), $J109/(($F109*($F109+1)/2)-(($E109-1)*($E109-1+1)/2))*BG$2), 0)+IF(IF(time+1&gt;=BH$2, $K109/time_cap/(time+1)*BG$2, 0) = 0, $K109/(time_cap),0)),0)</f>
        <v/>
      </c>
      <c r="BH109" s="4395">
        <f>IFERROR(IF((time+time_cap)&lt;BH$2, 0,IF(AND(time+1&gt;=BI$2, $E109&lt;BI$2), IF($I109= "I", $J109/($F109-$E109+1), $J109/(($F109*($F109+1)/2)-(($E109-1)*($E109-1+1)/2))*BH$2), 0)+IF(IF(time+1&gt;=BI$2, $K109/time_cap/(time+1)*BH$2, 0) = 0, $K109/(time_cap),0)),0)</f>
        <v/>
      </c>
      <c r="BI109" s="4395">
        <f>IFERROR(IF((time+time_cap)&lt;BI$2, 0,IF(AND(time+1&gt;=BJ$2, $E109&lt;BJ$2), IF($I109= "I", $J109/($F109-$E109+1), $J109/(($F109*($F109+1)/2)-(($E109-1)*($E109-1+1)/2))*BI$2), 0)+IF(IF(time+1&gt;=BJ$2, $K109/time_cap/(time+1)*BI$2, 0) = 0, $K109/(time_cap),0)),0)</f>
        <v/>
      </c>
      <c r="BJ109" s="4395">
        <f>IFERROR(IF((time+time_cap)&lt;BJ$2, 0,IF(AND(time+1&gt;=BK$2, $E109&lt;BK$2), IF($I109= "I", $J109/($F109-$E109+1), $J109/(($F109*($F109+1)/2)-(($E109-1)*($E109-1+1)/2))*BJ$2), 0)+IF(IF(time+1&gt;=BK$2, $K109/time_cap/(time+1)*BJ$2, 0) = 0, $K109/(time_cap),0)),0)</f>
        <v/>
      </c>
      <c r="BK109" s="4395" t="n"/>
      <c r="BL109" s="4395" t="n"/>
      <c r="BM109" s="4395" t="n"/>
      <c r="BN109" s="4395" t="n"/>
      <c r="BO109" s="4395" t="n"/>
      <c r="BP109" s="4395" t="n"/>
      <c r="BQ109" s="4395" t="n"/>
      <c r="BR109" s="4395" t="n"/>
      <c r="BS109" s="4395" t="n"/>
      <c r="BT109" s="4395" t="n"/>
      <c r="BU109" s="4395" t="n"/>
      <c r="BV109" s="4395" t="n"/>
      <c r="BW109" s="4395" t="n"/>
      <c r="BX109" s="4395" t="n"/>
      <c r="BY109" s="4395" t="n"/>
      <c r="BZ109" s="4395" t="n"/>
      <c r="CA109" s="4395" t="n"/>
      <c r="CB109" s="4395" t="n"/>
      <c r="CC109" s="4395" t="n"/>
      <c r="CD109" s="4395" t="n"/>
      <c r="CE109" s="4395" t="n"/>
      <c r="CF109" s="4395" t="n"/>
      <c r="CG109" s="4395" t="n"/>
      <c r="CH109" s="4395" t="n"/>
      <c r="CI109" s="4395" t="n"/>
      <c r="CJ109" s="4395" t="n"/>
      <c r="CK109" s="4395" t="n"/>
      <c r="CL109" s="4395" t="n"/>
      <c r="CM109" s="4395" t="n"/>
      <c r="CN109" s="4395" t="n"/>
      <c r="CO109" s="4395" t="n"/>
      <c r="CP109" s="4395" t="n"/>
      <c r="CQ109" s="4395" t="n"/>
      <c r="CR109" s="4395" t="n"/>
      <c r="CS109" s="4395" t="n"/>
      <c r="CT109" s="4395" t="n"/>
      <c r="CU109" s="4395" t="n"/>
      <c r="CV109" s="4395" t="n"/>
      <c r="CW109" s="4395" t="n"/>
      <c r="CX109" s="4395" t="n"/>
      <c r="CY109" s="4395" t="n"/>
      <c r="CZ109" s="4395" t="n"/>
      <c r="DA109" s="4395" t="n"/>
      <c r="DB109" s="4395" t="n"/>
      <c r="DC109" s="4395" t="n"/>
      <c r="DD109" s="4395" t="n"/>
      <c r="DE109" s="4395" t="n"/>
      <c r="DF109" s="4395" t="n"/>
      <c r="DG109" s="4395" t="n"/>
      <c r="DH109" s="4395" t="n"/>
    </row>
    <row r="110" ht="16" customHeight="1">
      <c r="A110" t="inlineStr">
        <is>
          <t>Forest management</t>
        </is>
      </c>
      <c r="C110">
        <f>'5.Management'!C13</f>
        <v/>
      </c>
      <c r="D110">
        <f>'5.Management'!AF13</f>
        <v/>
      </c>
      <c r="E110">
        <f>IF('5.Management'!BR13&lt;&gt;0,'5.Management'!BR13, '5.Management'!BQ13)</f>
        <v/>
      </c>
      <c r="F110">
        <f>time</f>
        <v/>
      </c>
      <c r="G110" s="4395">
        <f>'5.Management'!Y13</f>
        <v/>
      </c>
      <c r="H110" s="4395">
        <f>'5.Management'!AA13</f>
        <v/>
      </c>
      <c r="I110" s="4395">
        <f>IF(OR(H110="I", G110="I"), "I", IF(OR(H110="E", G110="E"), "E", "D"))</f>
        <v/>
      </c>
      <c r="J110" s="4395">
        <f>((D110/(time_cap+((F110-E110+1)*VLOOKUP(I110,list!$I$48:$K$50,3, FALSE))))*(F110-E110+1)*VLOOKUP(I110,list!$I$48:$K$50,3, FALSE))</f>
        <v/>
      </c>
      <c r="K110" s="4395">
        <f>((D110/(time_cap+((F110-E110+1)*VLOOKUP(I110,list!$I$48:$K$50,3, FALSE))))*time_cap)</f>
        <v/>
      </c>
      <c r="M110" s="4395">
        <f>IFERROR(IF((time+time_cap)&lt;M$2, 0,IF(AND(time+1&gt;=N$2, $E110&lt;N$2), IF($I110= "I", $J110/($F110-$E110+1), $J110/(($F110*($F110+1)/2)-(($E110-1)*($E110-1+1)/2))*M$2), 0)+IF(IF(time+1&gt;=N$2, $K110/time_cap/(time+1)*M$2, 0) = 0, $K110/(time_cap),0)),0)</f>
        <v/>
      </c>
      <c r="N110" s="4395">
        <f>IFERROR(IF((time+time_cap)&lt;N$2, 0,IF(AND(time+1&gt;=O$2, $E110&lt;O$2), IF($I110= "I", $J110/($F110-$E110+1), $J110/(($F110*($F110+1)/2)-(($E110-1)*($E110-1+1)/2))*N$2), 0)+IF(IF(time+1&gt;=O$2, $K110/time_cap/(time+1)*N$2, 0) = 0, $K110/(time_cap),0)),0)</f>
        <v/>
      </c>
      <c r="O110" s="4395">
        <f>IFERROR(IF((time+time_cap)&lt;O$2, 0,IF(AND(time+1&gt;=P$2, $E110&lt;P$2), IF($I110= "I", $J110/($F110-$E110+1), $J110/(($F110*($F110+1)/2)-(($E110-1)*($E110-1+1)/2))*O$2), 0)+IF(IF(time+1&gt;=P$2, $K110/time_cap/(time+1)*O$2, 0) = 0, $K110/(time_cap),0)),0)</f>
        <v/>
      </c>
      <c r="P110" s="4395">
        <f>IFERROR(IF((time+time_cap)&lt;P$2, 0,IF(AND(time+1&gt;=Q$2, $E110&lt;Q$2), IF($I110= "I", $J110/($F110-$E110+1), $J110/(($F110*($F110+1)/2)-(($E110-1)*($E110-1+1)/2))*P$2), 0)+IF(IF(time+1&gt;=Q$2, $K110/time_cap/(time+1)*P$2, 0) = 0, $K110/(time_cap),0)),0)</f>
        <v/>
      </c>
      <c r="Q110" s="4395">
        <f>IFERROR(IF((time+time_cap)&lt;Q$2, 0,IF(AND(time+1&gt;=R$2, $E110&lt;R$2), IF($I110= "I", $J110/($F110-$E110+1), $J110/(($F110*($F110+1)/2)-(($E110-1)*($E110-1+1)/2))*Q$2), 0)+IF(IF(time+1&gt;=R$2, $K110/time_cap/(time+1)*Q$2, 0) = 0, $K110/(time_cap),0)),0)</f>
        <v/>
      </c>
      <c r="R110" s="4395">
        <f>IFERROR(IF((time+time_cap)&lt;R$2, 0,IF(AND(time+1&gt;=S$2, $E110&lt;S$2), IF($I110= "I", $J110/($F110-$E110+1), $J110/(($F110*($F110+1)/2)-(($E110-1)*($E110-1+1)/2))*R$2), 0)+IF(IF(time+1&gt;=S$2, $K110/time_cap/(time+1)*R$2, 0) = 0, $K110/(time_cap),0)),0)</f>
        <v/>
      </c>
      <c r="S110" s="4395">
        <f>IFERROR(IF((time+time_cap)&lt;S$2, 0,IF(AND(time+1&gt;=T$2, $E110&lt;T$2), IF($I110= "I", $J110/($F110-$E110+1), $J110/(($F110*($F110+1)/2)-(($E110-1)*($E110-1+1)/2))*S$2), 0)+IF(IF(time+1&gt;=T$2, $K110/time_cap/(time+1)*S$2, 0) = 0, $K110/(time_cap),0)),0)</f>
        <v/>
      </c>
      <c r="T110" s="4395">
        <f>IFERROR(IF((time+time_cap)&lt;T$2, 0,IF(AND(time+1&gt;=U$2, $E110&lt;U$2), IF($I110= "I", $J110/($F110-$E110+1), $J110/(($F110*($F110+1)/2)-(($E110-1)*($E110-1+1)/2))*T$2), 0)+IF(IF(time+1&gt;=U$2, $K110/time_cap/(time+1)*T$2, 0) = 0, $K110/(time_cap),0)),0)</f>
        <v/>
      </c>
      <c r="U110" s="4395">
        <f>IFERROR(IF((time+time_cap)&lt;U$2, 0,IF(AND(time+1&gt;=V$2, $E110&lt;V$2), IF($I110= "I", $J110/($F110-$E110+1), $J110/(($F110*($F110+1)/2)-(($E110-1)*($E110-1+1)/2))*U$2), 0)+IF(IF(time+1&gt;=V$2, $K110/time_cap/(time+1)*U$2, 0) = 0, $K110/(time_cap),0)),0)</f>
        <v/>
      </c>
      <c r="V110" s="4395">
        <f>IFERROR(IF((time+time_cap)&lt;V$2, 0,IF(AND(time+1&gt;=W$2, $E110&lt;W$2), IF($I110= "I", $J110/($F110-$E110+1), $J110/(($F110*($F110+1)/2)-(($E110-1)*($E110-1+1)/2))*V$2), 0)+IF(IF(time+1&gt;=W$2, $K110/time_cap/(time+1)*V$2, 0) = 0, $K110/(time_cap),0)),0)</f>
        <v/>
      </c>
      <c r="W110" s="4395">
        <f>IFERROR(IF((time+time_cap)&lt;W$2, 0,IF(AND(time+1&gt;=X$2, $E110&lt;X$2), IF($I110= "I", $J110/($F110-$E110+1), $J110/(($F110*($F110+1)/2)-(($E110-1)*($E110-1+1)/2))*W$2), 0)+IF(IF(time+1&gt;=X$2, $K110/time_cap/(time+1)*W$2, 0) = 0, $K110/(time_cap),0)),0)</f>
        <v/>
      </c>
      <c r="X110" s="4395">
        <f>IFERROR(IF((time+time_cap)&lt;X$2, 0,IF(AND(time+1&gt;=Y$2, $E110&lt;Y$2), IF($I110= "I", $J110/($F110-$E110+1), $J110/(($F110*($F110+1)/2)-(($E110-1)*($E110-1+1)/2))*X$2), 0)+IF(IF(time+1&gt;=Y$2, $K110/time_cap/(time+1)*X$2, 0) = 0, $K110/(time_cap),0)),0)</f>
        <v/>
      </c>
      <c r="Y110" s="4395">
        <f>IFERROR(IF((time+time_cap)&lt;Y$2, 0,IF(AND(time+1&gt;=Z$2, $E110&lt;Z$2), IF($I110= "I", $J110/($F110-$E110+1), $J110/(($F110*($F110+1)/2)-(($E110-1)*($E110-1+1)/2))*Y$2), 0)+IF(IF(time+1&gt;=Z$2, $K110/time_cap/(time+1)*Y$2, 0) = 0, $K110/(time_cap),0)),0)</f>
        <v/>
      </c>
      <c r="Z110" s="4395">
        <f>IFERROR(IF((time+time_cap)&lt;Z$2, 0,IF(AND(time+1&gt;=AA$2, $E110&lt;AA$2), IF($I110= "I", $J110/($F110-$E110+1), $J110/(($F110*($F110+1)/2)-(($E110-1)*($E110-1+1)/2))*Z$2), 0)+IF(IF(time+1&gt;=AA$2, $K110/time_cap/(time+1)*Z$2, 0) = 0, $K110/(time_cap),0)),0)</f>
        <v/>
      </c>
      <c r="AA110" s="4395">
        <f>IFERROR(IF((time+time_cap)&lt;AA$2, 0,IF(AND(time+1&gt;=AB$2, $E110&lt;AB$2), IF($I110= "I", $J110/($F110-$E110+1), $J110/(($F110*($F110+1)/2)-(($E110-1)*($E110-1+1)/2))*AA$2), 0)+IF(IF(time+1&gt;=AB$2, $K110/time_cap/(time+1)*AA$2, 0) = 0, $K110/(time_cap),0)),0)</f>
        <v/>
      </c>
      <c r="AB110" s="4395">
        <f>IFERROR(IF((time+time_cap)&lt;AB$2, 0,IF(AND(time+1&gt;=AC$2, $E110&lt;AC$2), IF($I110= "I", $J110/($F110-$E110+1), $J110/(($F110*($F110+1)/2)-(($E110-1)*($E110-1+1)/2))*AB$2), 0)+IF(IF(time+1&gt;=AC$2, $K110/time_cap/(time+1)*AB$2, 0) = 0, $K110/(time_cap),0)),0)</f>
        <v/>
      </c>
      <c r="AC110" s="4395">
        <f>IFERROR(IF((time+time_cap)&lt;AC$2, 0,IF(AND(time+1&gt;=AD$2, $E110&lt;AD$2), IF($I110= "I", $J110/($F110-$E110+1), $J110/(($F110*($F110+1)/2)-(($E110-1)*($E110-1+1)/2))*AC$2), 0)+IF(IF(time+1&gt;=AD$2, $K110/time_cap/(time+1)*AC$2, 0) = 0, $K110/(time_cap),0)),0)</f>
        <v/>
      </c>
      <c r="AD110" s="4395">
        <f>IFERROR(IF((time+time_cap)&lt;AD$2, 0,IF(AND(time+1&gt;=AE$2, $E110&lt;AE$2), IF($I110= "I", $J110/($F110-$E110+1), $J110/(($F110*($F110+1)/2)-(($E110-1)*($E110-1+1)/2))*AD$2), 0)+IF(IF(time+1&gt;=AE$2, $K110/time_cap/(time+1)*AD$2, 0) = 0, $K110/(time_cap),0)),0)</f>
        <v/>
      </c>
      <c r="AE110" s="4395">
        <f>IFERROR(IF((time+time_cap)&lt;AE$2, 0,IF(AND(time+1&gt;=AF$2, $E110&lt;AF$2), IF($I110= "I", $J110/($F110-$E110+1), $J110/(($F110*($F110+1)/2)-(($E110-1)*($E110-1+1)/2))*AE$2), 0)+IF(IF(time+1&gt;=AF$2, $K110/time_cap/(time+1)*AE$2, 0) = 0, $K110/(time_cap),0)),0)</f>
        <v/>
      </c>
      <c r="AF110" s="4395">
        <f>IFERROR(IF((time+time_cap)&lt;AF$2, 0,IF(AND(time+1&gt;=AG$2, $E110&lt;AG$2), IF($I110= "I", $J110/($F110-$E110+1), $J110/(($F110*($F110+1)/2)-(($E110-1)*($E110-1+1)/2))*AF$2), 0)+IF(IF(time+1&gt;=AG$2, $K110/time_cap/(time+1)*AF$2, 0) = 0, $K110/(time_cap),0)),0)</f>
        <v/>
      </c>
      <c r="AG110" s="4395">
        <f>IFERROR(IF((time+time_cap)&lt;AG$2, 0,IF(AND(time+1&gt;=AH$2, $E110&lt;AH$2), IF($I110= "I", $J110/($F110-$E110+1), $J110/(($F110*($F110+1)/2)-(($E110-1)*($E110-1+1)/2))*AG$2), 0)+IF(IF(time+1&gt;=AH$2, $K110/time_cap/(time+1)*AG$2, 0) = 0, $K110/(time_cap),0)),0)</f>
        <v/>
      </c>
      <c r="AH110" s="4395">
        <f>IFERROR(IF((time+time_cap)&lt;AH$2, 0,IF(AND(time+1&gt;=AI$2, $E110&lt;AI$2), IF($I110= "I", $J110/($F110-$E110+1), $J110/(($F110*($F110+1)/2)-(($E110-1)*($E110-1+1)/2))*AH$2), 0)+IF(IF(time+1&gt;=AI$2, $K110/time_cap/(time+1)*AH$2, 0) = 0, $K110/(time_cap),0)),0)</f>
        <v/>
      </c>
      <c r="AI110" s="4395">
        <f>IFERROR(IF((time+time_cap)&lt;AI$2, 0,IF(AND(time+1&gt;=AJ$2, $E110&lt;AJ$2), IF($I110= "I", $J110/($F110-$E110+1), $J110/(($F110*($F110+1)/2)-(($E110-1)*($E110-1+1)/2))*AI$2), 0)+IF(IF(time+1&gt;=AJ$2, $K110/time_cap/(time+1)*AI$2, 0) = 0, $K110/(time_cap),0)),0)</f>
        <v/>
      </c>
      <c r="AJ110" s="4395">
        <f>IFERROR(IF((time+time_cap)&lt;AJ$2, 0,IF(AND(time+1&gt;=AK$2, $E110&lt;AK$2), IF($I110= "I", $J110/($F110-$E110+1), $J110/(($F110*($F110+1)/2)-(($E110-1)*($E110-1+1)/2))*AJ$2), 0)+IF(IF(time+1&gt;=AK$2, $K110/time_cap/(time+1)*AJ$2, 0) = 0, $K110/(time_cap),0)),0)</f>
        <v/>
      </c>
      <c r="AK110" s="4395">
        <f>IFERROR(IF((time+time_cap)&lt;AK$2, 0,IF(AND(time+1&gt;=AL$2, $E110&lt;AL$2), IF($I110= "I", $J110/($F110-$E110+1), $J110/(($F110*($F110+1)/2)-(($E110-1)*($E110-1+1)/2))*AK$2), 0)+IF(IF(time+1&gt;=AL$2, $K110/time_cap/(time+1)*AK$2, 0) = 0, $K110/(time_cap),0)),0)</f>
        <v/>
      </c>
      <c r="AL110" s="4395">
        <f>IFERROR(IF((time+time_cap)&lt;AL$2, 0,IF(AND(time+1&gt;=AM$2, $E110&lt;AM$2), IF($I110= "I", $J110/($F110-$E110+1), $J110/(($F110*($F110+1)/2)-(($E110-1)*($E110-1+1)/2))*AL$2), 0)+IF(IF(time+1&gt;=AM$2, $K110/time_cap/(time+1)*AL$2, 0) = 0, $K110/(time_cap),0)),0)</f>
        <v/>
      </c>
      <c r="AM110" s="4395">
        <f>IFERROR(IF((time+time_cap)&lt;AM$2, 0,IF(AND(time+1&gt;=AN$2, $E110&lt;AN$2), IF($I110= "I", $J110/($F110-$E110+1), $J110/(($F110*($F110+1)/2)-(($E110-1)*($E110-1+1)/2))*AM$2), 0)+IF(IF(time+1&gt;=AN$2, $K110/time_cap/(time+1)*AM$2, 0) = 0, $K110/(time_cap),0)),0)</f>
        <v/>
      </c>
      <c r="AN110" s="4395">
        <f>IFERROR(IF((time+time_cap)&lt;AN$2, 0,IF(AND(time+1&gt;=AO$2, $E110&lt;AO$2), IF($I110= "I", $J110/($F110-$E110+1), $J110/(($F110*($F110+1)/2)-(($E110-1)*($E110-1+1)/2))*AN$2), 0)+IF(IF(time+1&gt;=AO$2, $K110/time_cap/(time+1)*AN$2, 0) = 0, $K110/(time_cap),0)),0)</f>
        <v/>
      </c>
      <c r="AO110" s="4395">
        <f>IFERROR(IF((time+time_cap)&lt;AO$2, 0,IF(AND(time+1&gt;=AP$2, $E110&lt;AP$2), IF($I110= "I", $J110/($F110-$E110+1), $J110/(($F110*($F110+1)/2)-(($E110-1)*($E110-1+1)/2))*AO$2), 0)+IF(IF(time+1&gt;=AP$2, $K110/time_cap/(time+1)*AO$2, 0) = 0, $K110/(time_cap),0)),0)</f>
        <v/>
      </c>
      <c r="AP110" s="4395">
        <f>IFERROR(IF((time+time_cap)&lt;AP$2, 0,IF(AND(time+1&gt;=AQ$2, $E110&lt;AQ$2), IF($I110= "I", $J110/($F110-$E110+1), $J110/(($F110*($F110+1)/2)-(($E110-1)*($E110-1+1)/2))*AP$2), 0)+IF(IF(time+1&gt;=AQ$2, $K110/time_cap/(time+1)*AP$2, 0) = 0, $K110/(time_cap),0)),0)</f>
        <v/>
      </c>
      <c r="AQ110" s="4395">
        <f>IFERROR(IF((time+time_cap)&lt;AQ$2, 0,IF(AND(time+1&gt;=AR$2, $E110&lt;AR$2), IF($I110= "I", $J110/($F110-$E110+1), $J110/(($F110*($F110+1)/2)-(($E110-1)*($E110-1+1)/2))*AQ$2), 0)+IF(IF(time+1&gt;=AR$2, $K110/time_cap/(time+1)*AQ$2, 0) = 0, $K110/(time_cap),0)),0)</f>
        <v/>
      </c>
      <c r="AR110" s="4395">
        <f>IFERROR(IF((time+time_cap)&lt;AR$2, 0,IF(AND(time+1&gt;=AS$2, $E110&lt;AS$2), IF($I110= "I", $J110/($F110-$E110+1), $J110/(($F110*($F110+1)/2)-(($E110-1)*($E110-1+1)/2))*AR$2), 0)+IF(IF(time+1&gt;=AS$2, $K110/time_cap/(time+1)*AR$2, 0) = 0, $K110/(time_cap),0)),0)</f>
        <v/>
      </c>
      <c r="AS110" s="4395">
        <f>IFERROR(IF((time+time_cap)&lt;AS$2, 0,IF(AND(time+1&gt;=AT$2, $E110&lt;AT$2), IF($I110= "I", $J110/($F110-$E110+1), $J110/(($F110*($F110+1)/2)-(($E110-1)*($E110-1+1)/2))*AS$2), 0)+IF(IF(time+1&gt;=AT$2, $K110/time_cap/(time+1)*AS$2, 0) = 0, $K110/(time_cap),0)),0)</f>
        <v/>
      </c>
      <c r="AT110" s="4395">
        <f>IFERROR(IF((time+time_cap)&lt;AT$2, 0,IF(AND(time+1&gt;=AU$2, $E110&lt;AU$2), IF($I110= "I", $J110/($F110-$E110+1), $J110/(($F110*($F110+1)/2)-(($E110-1)*($E110-1+1)/2))*AT$2), 0)+IF(IF(time+1&gt;=AU$2, $K110/time_cap/(time+1)*AT$2, 0) = 0, $K110/(time_cap),0)),0)</f>
        <v/>
      </c>
      <c r="AU110" s="4395">
        <f>IFERROR(IF((time+time_cap)&lt;AU$2, 0,IF(AND(time+1&gt;=AV$2, $E110&lt;AV$2), IF($I110= "I", $J110/($F110-$E110+1), $J110/(($F110*($F110+1)/2)-(($E110-1)*($E110-1+1)/2))*AU$2), 0)+IF(IF(time+1&gt;=AV$2, $K110/time_cap/(time+1)*AU$2, 0) = 0, $K110/(time_cap),0)),0)</f>
        <v/>
      </c>
      <c r="AV110" s="4395">
        <f>IFERROR(IF((time+time_cap)&lt;AV$2, 0,IF(AND(time+1&gt;=AW$2, $E110&lt;AW$2), IF($I110= "I", $J110/($F110-$E110+1), $J110/(($F110*($F110+1)/2)-(($E110-1)*($E110-1+1)/2))*AV$2), 0)+IF(IF(time+1&gt;=AW$2, $K110/time_cap/(time+1)*AV$2, 0) = 0, $K110/(time_cap),0)),0)</f>
        <v/>
      </c>
      <c r="AW110" s="4395">
        <f>IFERROR(IF((time+time_cap)&lt;AW$2, 0,IF(AND(time+1&gt;=AX$2, $E110&lt;AX$2), IF($I110= "I", $J110/($F110-$E110+1), $J110/(($F110*($F110+1)/2)-(($E110-1)*($E110-1+1)/2))*AW$2), 0)+IF(IF(time+1&gt;=AX$2, $K110/time_cap/(time+1)*AW$2, 0) = 0, $K110/(time_cap),0)),0)</f>
        <v/>
      </c>
      <c r="AX110" s="4395">
        <f>IFERROR(IF((time+time_cap)&lt;AX$2, 0,IF(AND(time+1&gt;=AY$2, $E110&lt;AY$2), IF($I110= "I", $J110/($F110-$E110+1), $J110/(($F110*($F110+1)/2)-(($E110-1)*($E110-1+1)/2))*AX$2), 0)+IF(IF(time+1&gt;=AY$2, $K110/time_cap/(time+1)*AX$2, 0) = 0, $K110/(time_cap),0)),0)</f>
        <v/>
      </c>
      <c r="AY110" s="4395">
        <f>IFERROR(IF((time+time_cap)&lt;AY$2, 0,IF(AND(time+1&gt;=AZ$2, $E110&lt;AZ$2), IF($I110= "I", $J110/($F110-$E110+1), $J110/(($F110*($F110+1)/2)-(($E110-1)*($E110-1+1)/2))*AY$2), 0)+IF(IF(time+1&gt;=AZ$2, $K110/time_cap/(time+1)*AY$2, 0) = 0, $K110/(time_cap),0)),0)</f>
        <v/>
      </c>
      <c r="AZ110" s="4395">
        <f>IFERROR(IF((time+time_cap)&lt;AZ$2, 0,IF(AND(time+1&gt;=BA$2, $E110&lt;BA$2), IF($I110= "I", $J110/($F110-$E110+1), $J110/(($F110*($F110+1)/2)-(($E110-1)*($E110-1+1)/2))*AZ$2), 0)+IF(IF(time+1&gt;=BA$2, $K110/time_cap/(time+1)*AZ$2, 0) = 0, $K110/(time_cap),0)),0)</f>
        <v/>
      </c>
      <c r="BA110" s="4395">
        <f>IFERROR(IF((time+time_cap)&lt;BA$2, 0,IF(AND(time+1&gt;=BB$2, $E110&lt;BB$2), IF($I110= "I", $J110/($F110-$E110+1), $J110/(($F110*($F110+1)/2)-(($E110-1)*($E110-1+1)/2))*BA$2), 0)+IF(IF(time+1&gt;=BB$2, $K110/time_cap/(time+1)*BA$2, 0) = 0, $K110/(time_cap),0)),0)</f>
        <v/>
      </c>
      <c r="BB110" s="4395">
        <f>IFERROR(IF((time+time_cap)&lt;BB$2, 0,IF(AND(time+1&gt;=BC$2, $E110&lt;BC$2), IF($I110= "I", $J110/($F110-$E110+1), $J110/(($F110*($F110+1)/2)-(($E110-1)*($E110-1+1)/2))*BB$2), 0)+IF(IF(time+1&gt;=BC$2, $K110/time_cap/(time+1)*BB$2, 0) = 0, $K110/(time_cap),0)),0)</f>
        <v/>
      </c>
      <c r="BC110" s="4395">
        <f>IFERROR(IF((time+time_cap)&lt;BC$2, 0,IF(AND(time+1&gt;=BD$2, $E110&lt;BD$2), IF($I110= "I", $J110/($F110-$E110+1), $J110/(($F110*($F110+1)/2)-(($E110-1)*($E110-1+1)/2))*BC$2), 0)+IF(IF(time+1&gt;=BD$2, $K110/time_cap/(time+1)*BC$2, 0) = 0, $K110/(time_cap),0)),0)</f>
        <v/>
      </c>
      <c r="BD110" s="4395">
        <f>IFERROR(IF((time+time_cap)&lt;BD$2, 0,IF(AND(time+1&gt;=BE$2, $E110&lt;BE$2), IF($I110= "I", $J110/($F110-$E110+1), $J110/(($F110*($F110+1)/2)-(($E110-1)*($E110-1+1)/2))*BD$2), 0)+IF(IF(time+1&gt;=BE$2, $K110/time_cap/(time+1)*BD$2, 0) = 0, $K110/(time_cap),0)),0)</f>
        <v/>
      </c>
      <c r="BE110" s="4395">
        <f>IFERROR(IF((time+time_cap)&lt;BE$2, 0,IF(AND(time+1&gt;=BF$2, $E110&lt;BF$2), IF($I110= "I", $J110/($F110-$E110+1), $J110/(($F110*($F110+1)/2)-(($E110-1)*($E110-1+1)/2))*BE$2), 0)+IF(IF(time+1&gt;=BF$2, $K110/time_cap/(time+1)*BE$2, 0) = 0, $K110/(time_cap),0)),0)</f>
        <v/>
      </c>
      <c r="BF110" s="4395">
        <f>IFERROR(IF((time+time_cap)&lt;BF$2, 0,IF(AND(time+1&gt;=BG$2, $E110&lt;BG$2), IF($I110= "I", $J110/($F110-$E110+1), $J110/(($F110*($F110+1)/2)-(($E110-1)*($E110-1+1)/2))*BF$2), 0)+IF(IF(time+1&gt;=BG$2, $K110/time_cap/(time+1)*BF$2, 0) = 0, $K110/(time_cap),0)),0)</f>
        <v/>
      </c>
      <c r="BG110" s="4395">
        <f>IFERROR(IF((time+time_cap)&lt;BG$2, 0,IF(AND(time+1&gt;=BH$2, $E110&lt;BH$2), IF($I110= "I", $J110/($F110-$E110+1), $J110/(($F110*($F110+1)/2)-(($E110-1)*($E110-1+1)/2))*BG$2), 0)+IF(IF(time+1&gt;=BH$2, $K110/time_cap/(time+1)*BG$2, 0) = 0, $K110/(time_cap),0)),0)</f>
        <v/>
      </c>
      <c r="BH110" s="4395">
        <f>IFERROR(IF((time+time_cap)&lt;BH$2, 0,IF(AND(time+1&gt;=BI$2, $E110&lt;BI$2), IF($I110= "I", $J110/($F110-$E110+1), $J110/(($F110*($F110+1)/2)-(($E110-1)*($E110-1+1)/2))*BH$2), 0)+IF(IF(time+1&gt;=BI$2, $K110/time_cap/(time+1)*BH$2, 0) = 0, $K110/(time_cap),0)),0)</f>
        <v/>
      </c>
      <c r="BI110" s="4395">
        <f>IFERROR(IF((time+time_cap)&lt;BI$2, 0,IF(AND(time+1&gt;=BJ$2, $E110&lt;BJ$2), IF($I110= "I", $J110/($F110-$E110+1), $J110/(($F110*($F110+1)/2)-(($E110-1)*($E110-1+1)/2))*BI$2), 0)+IF(IF(time+1&gt;=BJ$2, $K110/time_cap/(time+1)*BI$2, 0) = 0, $K110/(time_cap),0)),0)</f>
        <v/>
      </c>
      <c r="BJ110" s="4395">
        <f>IFERROR(IF((time+time_cap)&lt;BJ$2, 0,IF(AND(time+1&gt;=BK$2, $E110&lt;BK$2), IF($I110= "I", $J110/($F110-$E110+1), $J110/(($F110*($F110+1)/2)-(($E110-1)*($E110-1+1)/2))*BJ$2), 0)+IF(IF(time+1&gt;=BK$2, $K110/time_cap/(time+1)*BJ$2, 0) = 0, $K110/(time_cap),0)),0)</f>
        <v/>
      </c>
      <c r="BK110" s="4395" t="n"/>
      <c r="BL110" s="4395" t="n"/>
      <c r="BM110" s="4395" t="n"/>
      <c r="BN110" s="4395" t="n"/>
      <c r="BO110" s="4395" t="n"/>
      <c r="BP110" s="4395" t="n"/>
      <c r="BQ110" s="4395" t="n"/>
      <c r="BR110" s="4395" t="n"/>
      <c r="BS110" s="4395" t="n"/>
      <c r="BT110" s="4395" t="n"/>
      <c r="BU110" s="4395" t="n"/>
      <c r="BV110" s="4395" t="n"/>
      <c r="BW110" s="4395" t="n"/>
      <c r="BX110" s="4395" t="n"/>
      <c r="BY110" s="4395" t="n"/>
      <c r="BZ110" s="4395" t="n"/>
      <c r="CA110" s="4395" t="n"/>
      <c r="CB110" s="4395" t="n"/>
      <c r="CC110" s="4395" t="n"/>
      <c r="CD110" s="4395" t="n"/>
      <c r="CE110" s="4395" t="n"/>
      <c r="CF110" s="4395" t="n"/>
      <c r="CG110" s="4395" t="n"/>
      <c r="CH110" s="4395" t="n"/>
      <c r="CI110" s="4395" t="n"/>
      <c r="CJ110" s="4395" t="n"/>
      <c r="CK110" s="4395" t="n"/>
      <c r="CL110" s="4395" t="n"/>
      <c r="CM110" s="4395" t="n"/>
      <c r="CN110" s="4395" t="n"/>
      <c r="CO110" s="4395" t="n"/>
      <c r="CP110" s="4395" t="n"/>
      <c r="CQ110" s="4395" t="n"/>
      <c r="CR110" s="4395" t="n"/>
      <c r="CS110" s="4395" t="n"/>
      <c r="CT110" s="4395" t="n"/>
      <c r="CU110" s="4395" t="n"/>
      <c r="CV110" s="4395" t="n"/>
      <c r="CW110" s="4395" t="n"/>
      <c r="CX110" s="4395" t="n"/>
      <c r="CY110" s="4395" t="n"/>
      <c r="CZ110" s="4395" t="n"/>
      <c r="DA110" s="4395" t="n"/>
      <c r="DB110" s="4395" t="n"/>
      <c r="DC110" s="4395" t="n"/>
      <c r="DD110" s="4395" t="n"/>
      <c r="DE110" s="4395" t="n"/>
      <c r="DF110" s="4395" t="n"/>
      <c r="DG110" s="4395" t="n"/>
      <c r="DH110" s="4395" t="n"/>
    </row>
    <row r="111" ht="16" customHeight="1">
      <c r="A111" t="inlineStr">
        <is>
          <t>Forest management</t>
        </is>
      </c>
      <c r="C111">
        <f>'5.Management'!C14</f>
        <v/>
      </c>
      <c r="D111">
        <f>'5.Management'!AF14</f>
        <v/>
      </c>
      <c r="E111">
        <f>IF('5.Management'!BR14&lt;&gt;0,'5.Management'!BR14, '5.Management'!BQ14)</f>
        <v/>
      </c>
      <c r="F111">
        <f>time</f>
        <v/>
      </c>
      <c r="G111" s="4395">
        <f>'5.Management'!Y14</f>
        <v/>
      </c>
      <c r="H111" s="4395">
        <f>'5.Management'!AA14</f>
        <v/>
      </c>
      <c r="I111" s="4395">
        <f>IF(OR(H111="I", G111="I"), "I", IF(OR(H111="E", G111="E"), "E", "D"))</f>
        <v/>
      </c>
      <c r="J111" s="4395">
        <f>((D111/(time_cap+((F111-E111+1)*VLOOKUP(I111,list!$I$48:$K$50,3, FALSE))))*(F111-E111+1)*VLOOKUP(I111,list!$I$48:$K$50,3, FALSE))</f>
        <v/>
      </c>
      <c r="K111" s="4395">
        <f>((D111/(time_cap+((F111-E111+1)*VLOOKUP(I111,list!$I$48:$K$50,3, FALSE))))*time_cap)</f>
        <v/>
      </c>
      <c r="M111" s="4395">
        <f>IFERROR(IF((time+time_cap)&lt;M$2, 0,IF(AND(time+1&gt;=N$2, $E111&lt;N$2), IF($I111= "I", $J111/($F111-$E111+1), $J111/(($F111*($F111+1)/2)-(($E111-1)*($E111-1+1)/2))*M$2), 0)+IF(IF(time+1&gt;=N$2, $K111/time_cap/(time+1)*M$2, 0) = 0, $K111/(time_cap),0)),0)</f>
        <v/>
      </c>
      <c r="N111" s="4395">
        <f>IFERROR(IF((time+time_cap)&lt;N$2, 0,IF(AND(time+1&gt;=O$2, $E111&lt;O$2), IF($I111= "I", $J111/($F111-$E111+1), $J111/(($F111*($F111+1)/2)-(($E111-1)*($E111-1+1)/2))*N$2), 0)+IF(IF(time+1&gt;=O$2, $K111/time_cap/(time+1)*N$2, 0) = 0, $K111/(time_cap),0)),0)</f>
        <v/>
      </c>
      <c r="O111" s="4395">
        <f>IFERROR(IF((time+time_cap)&lt;O$2, 0,IF(AND(time+1&gt;=P$2, $E111&lt;P$2), IF($I111= "I", $J111/($F111-$E111+1), $J111/(($F111*($F111+1)/2)-(($E111-1)*($E111-1+1)/2))*O$2), 0)+IF(IF(time+1&gt;=P$2, $K111/time_cap/(time+1)*O$2, 0) = 0, $K111/(time_cap),0)),0)</f>
        <v/>
      </c>
      <c r="P111" s="4395">
        <f>IFERROR(IF((time+time_cap)&lt;P$2, 0,IF(AND(time+1&gt;=Q$2, $E111&lt;Q$2), IF($I111= "I", $J111/($F111-$E111+1), $J111/(($F111*($F111+1)/2)-(($E111-1)*($E111-1+1)/2))*P$2), 0)+IF(IF(time+1&gt;=Q$2, $K111/time_cap/(time+1)*P$2, 0) = 0, $K111/(time_cap),0)),0)</f>
        <v/>
      </c>
      <c r="Q111" s="4395">
        <f>IFERROR(IF((time+time_cap)&lt;Q$2, 0,IF(AND(time+1&gt;=R$2, $E111&lt;R$2), IF($I111= "I", $J111/($F111-$E111+1), $J111/(($F111*($F111+1)/2)-(($E111-1)*($E111-1+1)/2))*Q$2), 0)+IF(IF(time+1&gt;=R$2, $K111/time_cap/(time+1)*Q$2, 0) = 0, $K111/(time_cap),0)),0)</f>
        <v/>
      </c>
      <c r="R111" s="4395">
        <f>IFERROR(IF((time+time_cap)&lt;R$2, 0,IF(AND(time+1&gt;=S$2, $E111&lt;S$2), IF($I111= "I", $J111/($F111-$E111+1), $J111/(($F111*($F111+1)/2)-(($E111-1)*($E111-1+1)/2))*R$2), 0)+IF(IF(time+1&gt;=S$2, $K111/time_cap/(time+1)*R$2, 0) = 0, $K111/(time_cap),0)),0)</f>
        <v/>
      </c>
      <c r="S111" s="4395">
        <f>IFERROR(IF((time+time_cap)&lt;S$2, 0,IF(AND(time+1&gt;=T$2, $E111&lt;T$2), IF($I111= "I", $J111/($F111-$E111+1), $J111/(($F111*($F111+1)/2)-(($E111-1)*($E111-1+1)/2))*S$2), 0)+IF(IF(time+1&gt;=T$2, $K111/time_cap/(time+1)*S$2, 0) = 0, $K111/(time_cap),0)),0)</f>
        <v/>
      </c>
      <c r="T111" s="4395">
        <f>IFERROR(IF((time+time_cap)&lt;T$2, 0,IF(AND(time+1&gt;=U$2, $E111&lt;U$2), IF($I111= "I", $J111/($F111-$E111+1), $J111/(($F111*($F111+1)/2)-(($E111-1)*($E111-1+1)/2))*T$2), 0)+IF(IF(time+1&gt;=U$2, $K111/time_cap/(time+1)*T$2, 0) = 0, $K111/(time_cap),0)),0)</f>
        <v/>
      </c>
      <c r="U111" s="4395">
        <f>IFERROR(IF((time+time_cap)&lt;U$2, 0,IF(AND(time+1&gt;=V$2, $E111&lt;V$2), IF($I111= "I", $J111/($F111-$E111+1), $J111/(($F111*($F111+1)/2)-(($E111-1)*($E111-1+1)/2))*U$2), 0)+IF(IF(time+1&gt;=V$2, $K111/time_cap/(time+1)*U$2, 0) = 0, $K111/(time_cap),0)),0)</f>
        <v/>
      </c>
      <c r="V111" s="4395">
        <f>IFERROR(IF((time+time_cap)&lt;V$2, 0,IF(AND(time+1&gt;=W$2, $E111&lt;W$2), IF($I111= "I", $J111/($F111-$E111+1), $J111/(($F111*($F111+1)/2)-(($E111-1)*($E111-1+1)/2))*V$2), 0)+IF(IF(time+1&gt;=W$2, $K111/time_cap/(time+1)*V$2, 0) = 0, $K111/(time_cap),0)),0)</f>
        <v/>
      </c>
      <c r="W111" s="4395">
        <f>IFERROR(IF((time+time_cap)&lt;W$2, 0,IF(AND(time+1&gt;=X$2, $E111&lt;X$2), IF($I111= "I", $J111/($F111-$E111+1), $J111/(($F111*($F111+1)/2)-(($E111-1)*($E111-1+1)/2))*W$2), 0)+IF(IF(time+1&gt;=X$2, $K111/time_cap/(time+1)*W$2, 0) = 0, $K111/(time_cap),0)),0)</f>
        <v/>
      </c>
      <c r="X111" s="4395">
        <f>IFERROR(IF((time+time_cap)&lt;X$2, 0,IF(AND(time+1&gt;=Y$2, $E111&lt;Y$2), IF($I111= "I", $J111/($F111-$E111+1), $J111/(($F111*($F111+1)/2)-(($E111-1)*($E111-1+1)/2))*X$2), 0)+IF(IF(time+1&gt;=Y$2, $K111/time_cap/(time+1)*X$2, 0) = 0, $K111/(time_cap),0)),0)</f>
        <v/>
      </c>
      <c r="Y111" s="4395">
        <f>IFERROR(IF((time+time_cap)&lt;Y$2, 0,IF(AND(time+1&gt;=Z$2, $E111&lt;Z$2), IF($I111= "I", $J111/($F111-$E111+1), $J111/(($F111*($F111+1)/2)-(($E111-1)*($E111-1+1)/2))*Y$2), 0)+IF(IF(time+1&gt;=Z$2, $K111/time_cap/(time+1)*Y$2, 0) = 0, $K111/(time_cap),0)),0)</f>
        <v/>
      </c>
      <c r="Z111" s="4395">
        <f>IFERROR(IF((time+time_cap)&lt;Z$2, 0,IF(AND(time+1&gt;=AA$2, $E111&lt;AA$2), IF($I111= "I", $J111/($F111-$E111+1), $J111/(($F111*($F111+1)/2)-(($E111-1)*($E111-1+1)/2))*Z$2), 0)+IF(IF(time+1&gt;=AA$2, $K111/time_cap/(time+1)*Z$2, 0) = 0, $K111/(time_cap),0)),0)</f>
        <v/>
      </c>
      <c r="AA111" s="4395">
        <f>IFERROR(IF((time+time_cap)&lt;AA$2, 0,IF(AND(time+1&gt;=AB$2, $E111&lt;AB$2), IF($I111= "I", $J111/($F111-$E111+1), $J111/(($F111*($F111+1)/2)-(($E111-1)*($E111-1+1)/2))*AA$2), 0)+IF(IF(time+1&gt;=AB$2, $K111/time_cap/(time+1)*AA$2, 0) = 0, $K111/(time_cap),0)),0)</f>
        <v/>
      </c>
      <c r="AB111" s="4395">
        <f>IFERROR(IF((time+time_cap)&lt;AB$2, 0,IF(AND(time+1&gt;=AC$2, $E111&lt;AC$2), IF($I111= "I", $J111/($F111-$E111+1), $J111/(($F111*($F111+1)/2)-(($E111-1)*($E111-1+1)/2))*AB$2), 0)+IF(IF(time+1&gt;=AC$2, $K111/time_cap/(time+1)*AB$2, 0) = 0, $K111/(time_cap),0)),0)</f>
        <v/>
      </c>
      <c r="AC111" s="4395">
        <f>IFERROR(IF((time+time_cap)&lt;AC$2, 0,IF(AND(time+1&gt;=AD$2, $E111&lt;AD$2), IF($I111= "I", $J111/($F111-$E111+1), $J111/(($F111*($F111+1)/2)-(($E111-1)*($E111-1+1)/2))*AC$2), 0)+IF(IF(time+1&gt;=AD$2, $K111/time_cap/(time+1)*AC$2, 0) = 0, $K111/(time_cap),0)),0)</f>
        <v/>
      </c>
      <c r="AD111" s="4395">
        <f>IFERROR(IF((time+time_cap)&lt;AD$2, 0,IF(AND(time+1&gt;=AE$2, $E111&lt;AE$2), IF($I111= "I", $J111/($F111-$E111+1), $J111/(($F111*($F111+1)/2)-(($E111-1)*($E111-1+1)/2))*AD$2), 0)+IF(IF(time+1&gt;=AE$2, $K111/time_cap/(time+1)*AD$2, 0) = 0, $K111/(time_cap),0)),0)</f>
        <v/>
      </c>
      <c r="AE111" s="4395">
        <f>IFERROR(IF((time+time_cap)&lt;AE$2, 0,IF(AND(time+1&gt;=AF$2, $E111&lt;AF$2), IF($I111= "I", $J111/($F111-$E111+1), $J111/(($F111*($F111+1)/2)-(($E111-1)*($E111-1+1)/2))*AE$2), 0)+IF(IF(time+1&gt;=AF$2, $K111/time_cap/(time+1)*AE$2, 0) = 0, $K111/(time_cap),0)),0)</f>
        <v/>
      </c>
      <c r="AF111" s="4395">
        <f>IFERROR(IF((time+time_cap)&lt;AF$2, 0,IF(AND(time+1&gt;=AG$2, $E111&lt;AG$2), IF($I111= "I", $J111/($F111-$E111+1), $J111/(($F111*($F111+1)/2)-(($E111-1)*($E111-1+1)/2))*AF$2), 0)+IF(IF(time+1&gt;=AG$2, $K111/time_cap/(time+1)*AF$2, 0) = 0, $K111/(time_cap),0)),0)</f>
        <v/>
      </c>
      <c r="AG111" s="4395">
        <f>IFERROR(IF((time+time_cap)&lt;AG$2, 0,IF(AND(time+1&gt;=AH$2, $E111&lt;AH$2), IF($I111= "I", $J111/($F111-$E111+1), $J111/(($F111*($F111+1)/2)-(($E111-1)*($E111-1+1)/2))*AG$2), 0)+IF(IF(time+1&gt;=AH$2, $K111/time_cap/(time+1)*AG$2, 0) = 0, $K111/(time_cap),0)),0)</f>
        <v/>
      </c>
      <c r="AH111" s="4395">
        <f>IFERROR(IF((time+time_cap)&lt;AH$2, 0,IF(AND(time+1&gt;=AI$2, $E111&lt;AI$2), IF($I111= "I", $J111/($F111-$E111+1), $J111/(($F111*($F111+1)/2)-(($E111-1)*($E111-1+1)/2))*AH$2), 0)+IF(IF(time+1&gt;=AI$2, $K111/time_cap/(time+1)*AH$2, 0) = 0, $K111/(time_cap),0)),0)</f>
        <v/>
      </c>
      <c r="AI111" s="4395">
        <f>IFERROR(IF((time+time_cap)&lt;AI$2, 0,IF(AND(time+1&gt;=AJ$2, $E111&lt;AJ$2), IF($I111= "I", $J111/($F111-$E111+1), $J111/(($F111*($F111+1)/2)-(($E111-1)*($E111-1+1)/2))*AI$2), 0)+IF(IF(time+1&gt;=AJ$2, $K111/time_cap/(time+1)*AI$2, 0) = 0, $K111/(time_cap),0)),0)</f>
        <v/>
      </c>
      <c r="AJ111" s="4395">
        <f>IFERROR(IF((time+time_cap)&lt;AJ$2, 0,IF(AND(time+1&gt;=AK$2, $E111&lt;AK$2), IF($I111= "I", $J111/($F111-$E111+1), $J111/(($F111*($F111+1)/2)-(($E111-1)*($E111-1+1)/2))*AJ$2), 0)+IF(IF(time+1&gt;=AK$2, $K111/time_cap/(time+1)*AJ$2, 0) = 0, $K111/(time_cap),0)),0)</f>
        <v/>
      </c>
      <c r="AK111" s="4395">
        <f>IFERROR(IF((time+time_cap)&lt;AK$2, 0,IF(AND(time+1&gt;=AL$2, $E111&lt;AL$2), IF($I111= "I", $J111/($F111-$E111+1), $J111/(($F111*($F111+1)/2)-(($E111-1)*($E111-1+1)/2))*AK$2), 0)+IF(IF(time+1&gt;=AL$2, $K111/time_cap/(time+1)*AK$2, 0) = 0, $K111/(time_cap),0)),0)</f>
        <v/>
      </c>
      <c r="AL111" s="4395">
        <f>IFERROR(IF((time+time_cap)&lt;AL$2, 0,IF(AND(time+1&gt;=AM$2, $E111&lt;AM$2), IF($I111= "I", $J111/($F111-$E111+1), $J111/(($F111*($F111+1)/2)-(($E111-1)*($E111-1+1)/2))*AL$2), 0)+IF(IF(time+1&gt;=AM$2, $K111/time_cap/(time+1)*AL$2, 0) = 0, $K111/(time_cap),0)),0)</f>
        <v/>
      </c>
      <c r="AM111" s="4395">
        <f>IFERROR(IF((time+time_cap)&lt;AM$2, 0,IF(AND(time+1&gt;=AN$2, $E111&lt;AN$2), IF($I111= "I", $J111/($F111-$E111+1), $J111/(($F111*($F111+1)/2)-(($E111-1)*($E111-1+1)/2))*AM$2), 0)+IF(IF(time+1&gt;=AN$2, $K111/time_cap/(time+1)*AM$2, 0) = 0, $K111/(time_cap),0)),0)</f>
        <v/>
      </c>
      <c r="AN111" s="4395">
        <f>IFERROR(IF((time+time_cap)&lt;AN$2, 0,IF(AND(time+1&gt;=AO$2, $E111&lt;AO$2), IF($I111= "I", $J111/($F111-$E111+1), $J111/(($F111*($F111+1)/2)-(($E111-1)*($E111-1+1)/2))*AN$2), 0)+IF(IF(time+1&gt;=AO$2, $K111/time_cap/(time+1)*AN$2, 0) = 0, $K111/(time_cap),0)),0)</f>
        <v/>
      </c>
      <c r="AO111" s="4395">
        <f>IFERROR(IF((time+time_cap)&lt;AO$2, 0,IF(AND(time+1&gt;=AP$2, $E111&lt;AP$2), IF($I111= "I", $J111/($F111-$E111+1), $J111/(($F111*($F111+1)/2)-(($E111-1)*($E111-1+1)/2))*AO$2), 0)+IF(IF(time+1&gt;=AP$2, $K111/time_cap/(time+1)*AO$2, 0) = 0, $K111/(time_cap),0)),0)</f>
        <v/>
      </c>
      <c r="AP111" s="4395">
        <f>IFERROR(IF((time+time_cap)&lt;AP$2, 0,IF(AND(time+1&gt;=AQ$2, $E111&lt;AQ$2), IF($I111= "I", $J111/($F111-$E111+1), $J111/(($F111*($F111+1)/2)-(($E111-1)*($E111-1+1)/2))*AP$2), 0)+IF(IF(time+1&gt;=AQ$2, $K111/time_cap/(time+1)*AP$2, 0) = 0, $K111/(time_cap),0)),0)</f>
        <v/>
      </c>
      <c r="AQ111" s="4395">
        <f>IFERROR(IF((time+time_cap)&lt;AQ$2, 0,IF(AND(time+1&gt;=AR$2, $E111&lt;AR$2), IF($I111= "I", $J111/($F111-$E111+1), $J111/(($F111*($F111+1)/2)-(($E111-1)*($E111-1+1)/2))*AQ$2), 0)+IF(IF(time+1&gt;=AR$2, $K111/time_cap/(time+1)*AQ$2, 0) = 0, $K111/(time_cap),0)),0)</f>
        <v/>
      </c>
      <c r="AR111" s="4395">
        <f>IFERROR(IF((time+time_cap)&lt;AR$2, 0,IF(AND(time+1&gt;=AS$2, $E111&lt;AS$2), IF($I111= "I", $J111/($F111-$E111+1), $J111/(($F111*($F111+1)/2)-(($E111-1)*($E111-1+1)/2))*AR$2), 0)+IF(IF(time+1&gt;=AS$2, $K111/time_cap/(time+1)*AR$2, 0) = 0, $K111/(time_cap),0)),0)</f>
        <v/>
      </c>
      <c r="AS111" s="4395">
        <f>IFERROR(IF((time+time_cap)&lt;AS$2, 0,IF(AND(time+1&gt;=AT$2, $E111&lt;AT$2), IF($I111= "I", $J111/($F111-$E111+1), $J111/(($F111*($F111+1)/2)-(($E111-1)*($E111-1+1)/2))*AS$2), 0)+IF(IF(time+1&gt;=AT$2, $K111/time_cap/(time+1)*AS$2, 0) = 0, $K111/(time_cap),0)),0)</f>
        <v/>
      </c>
      <c r="AT111" s="4395">
        <f>IFERROR(IF((time+time_cap)&lt;AT$2, 0,IF(AND(time+1&gt;=AU$2, $E111&lt;AU$2), IF($I111= "I", $J111/($F111-$E111+1), $J111/(($F111*($F111+1)/2)-(($E111-1)*($E111-1+1)/2))*AT$2), 0)+IF(IF(time+1&gt;=AU$2, $K111/time_cap/(time+1)*AT$2, 0) = 0, $K111/(time_cap),0)),0)</f>
        <v/>
      </c>
      <c r="AU111" s="4395">
        <f>IFERROR(IF((time+time_cap)&lt;AU$2, 0,IF(AND(time+1&gt;=AV$2, $E111&lt;AV$2), IF($I111= "I", $J111/($F111-$E111+1), $J111/(($F111*($F111+1)/2)-(($E111-1)*($E111-1+1)/2))*AU$2), 0)+IF(IF(time+1&gt;=AV$2, $K111/time_cap/(time+1)*AU$2, 0) = 0, $K111/(time_cap),0)),0)</f>
        <v/>
      </c>
      <c r="AV111" s="4395">
        <f>IFERROR(IF((time+time_cap)&lt;AV$2, 0,IF(AND(time+1&gt;=AW$2, $E111&lt;AW$2), IF($I111= "I", $J111/($F111-$E111+1), $J111/(($F111*($F111+1)/2)-(($E111-1)*($E111-1+1)/2))*AV$2), 0)+IF(IF(time+1&gt;=AW$2, $K111/time_cap/(time+1)*AV$2, 0) = 0, $K111/(time_cap),0)),0)</f>
        <v/>
      </c>
      <c r="AW111" s="4395">
        <f>IFERROR(IF((time+time_cap)&lt;AW$2, 0,IF(AND(time+1&gt;=AX$2, $E111&lt;AX$2), IF($I111= "I", $J111/($F111-$E111+1), $J111/(($F111*($F111+1)/2)-(($E111-1)*($E111-1+1)/2))*AW$2), 0)+IF(IF(time+1&gt;=AX$2, $K111/time_cap/(time+1)*AW$2, 0) = 0, $K111/(time_cap),0)),0)</f>
        <v/>
      </c>
      <c r="AX111" s="4395">
        <f>IFERROR(IF((time+time_cap)&lt;AX$2, 0,IF(AND(time+1&gt;=AY$2, $E111&lt;AY$2), IF($I111= "I", $J111/($F111-$E111+1), $J111/(($F111*($F111+1)/2)-(($E111-1)*($E111-1+1)/2))*AX$2), 0)+IF(IF(time+1&gt;=AY$2, $K111/time_cap/(time+1)*AX$2, 0) = 0, $K111/(time_cap),0)),0)</f>
        <v/>
      </c>
      <c r="AY111" s="4395">
        <f>IFERROR(IF((time+time_cap)&lt;AY$2, 0,IF(AND(time+1&gt;=AZ$2, $E111&lt;AZ$2), IF($I111= "I", $J111/($F111-$E111+1), $J111/(($F111*($F111+1)/2)-(($E111-1)*($E111-1+1)/2))*AY$2), 0)+IF(IF(time+1&gt;=AZ$2, $K111/time_cap/(time+1)*AY$2, 0) = 0, $K111/(time_cap),0)),0)</f>
        <v/>
      </c>
      <c r="AZ111" s="4395">
        <f>IFERROR(IF((time+time_cap)&lt;AZ$2, 0,IF(AND(time+1&gt;=BA$2, $E111&lt;BA$2), IF($I111= "I", $J111/($F111-$E111+1), $J111/(($F111*($F111+1)/2)-(($E111-1)*($E111-1+1)/2))*AZ$2), 0)+IF(IF(time+1&gt;=BA$2, $K111/time_cap/(time+1)*AZ$2, 0) = 0, $K111/(time_cap),0)),0)</f>
        <v/>
      </c>
      <c r="BA111" s="4395">
        <f>IFERROR(IF((time+time_cap)&lt;BA$2, 0,IF(AND(time+1&gt;=BB$2, $E111&lt;BB$2), IF($I111= "I", $J111/($F111-$E111+1), $J111/(($F111*($F111+1)/2)-(($E111-1)*($E111-1+1)/2))*BA$2), 0)+IF(IF(time+1&gt;=BB$2, $K111/time_cap/(time+1)*BA$2, 0) = 0, $K111/(time_cap),0)),0)</f>
        <v/>
      </c>
      <c r="BB111" s="4395">
        <f>IFERROR(IF((time+time_cap)&lt;BB$2, 0,IF(AND(time+1&gt;=BC$2, $E111&lt;BC$2), IF($I111= "I", $J111/($F111-$E111+1), $J111/(($F111*($F111+1)/2)-(($E111-1)*($E111-1+1)/2))*BB$2), 0)+IF(IF(time+1&gt;=BC$2, $K111/time_cap/(time+1)*BB$2, 0) = 0, $K111/(time_cap),0)),0)</f>
        <v/>
      </c>
      <c r="BC111" s="4395">
        <f>IFERROR(IF((time+time_cap)&lt;BC$2, 0,IF(AND(time+1&gt;=BD$2, $E111&lt;BD$2), IF($I111= "I", $J111/($F111-$E111+1), $J111/(($F111*($F111+1)/2)-(($E111-1)*($E111-1+1)/2))*BC$2), 0)+IF(IF(time+1&gt;=BD$2, $K111/time_cap/(time+1)*BC$2, 0) = 0, $K111/(time_cap),0)),0)</f>
        <v/>
      </c>
      <c r="BD111" s="4395">
        <f>IFERROR(IF((time+time_cap)&lt;BD$2, 0,IF(AND(time+1&gt;=BE$2, $E111&lt;BE$2), IF($I111= "I", $J111/($F111-$E111+1), $J111/(($F111*($F111+1)/2)-(($E111-1)*($E111-1+1)/2))*BD$2), 0)+IF(IF(time+1&gt;=BE$2, $K111/time_cap/(time+1)*BD$2, 0) = 0, $K111/(time_cap),0)),0)</f>
        <v/>
      </c>
      <c r="BE111" s="4395">
        <f>IFERROR(IF((time+time_cap)&lt;BE$2, 0,IF(AND(time+1&gt;=BF$2, $E111&lt;BF$2), IF($I111= "I", $J111/($F111-$E111+1), $J111/(($F111*($F111+1)/2)-(($E111-1)*($E111-1+1)/2))*BE$2), 0)+IF(IF(time+1&gt;=BF$2, $K111/time_cap/(time+1)*BE$2, 0) = 0, $K111/(time_cap),0)),0)</f>
        <v/>
      </c>
      <c r="BF111" s="4395">
        <f>IFERROR(IF((time+time_cap)&lt;BF$2, 0,IF(AND(time+1&gt;=BG$2, $E111&lt;BG$2), IF($I111= "I", $J111/($F111-$E111+1), $J111/(($F111*($F111+1)/2)-(($E111-1)*($E111-1+1)/2))*BF$2), 0)+IF(IF(time+1&gt;=BG$2, $K111/time_cap/(time+1)*BF$2, 0) = 0, $K111/(time_cap),0)),0)</f>
        <v/>
      </c>
      <c r="BG111" s="4395">
        <f>IFERROR(IF((time+time_cap)&lt;BG$2, 0,IF(AND(time+1&gt;=BH$2, $E111&lt;BH$2), IF($I111= "I", $J111/($F111-$E111+1), $J111/(($F111*($F111+1)/2)-(($E111-1)*($E111-1+1)/2))*BG$2), 0)+IF(IF(time+1&gt;=BH$2, $K111/time_cap/(time+1)*BG$2, 0) = 0, $K111/(time_cap),0)),0)</f>
        <v/>
      </c>
      <c r="BH111" s="4395">
        <f>IFERROR(IF((time+time_cap)&lt;BH$2, 0,IF(AND(time+1&gt;=BI$2, $E111&lt;BI$2), IF($I111= "I", $J111/($F111-$E111+1), $J111/(($F111*($F111+1)/2)-(($E111-1)*($E111-1+1)/2))*BH$2), 0)+IF(IF(time+1&gt;=BI$2, $K111/time_cap/(time+1)*BH$2, 0) = 0, $K111/(time_cap),0)),0)</f>
        <v/>
      </c>
      <c r="BI111" s="4395">
        <f>IFERROR(IF((time+time_cap)&lt;BI$2, 0,IF(AND(time+1&gt;=BJ$2, $E111&lt;BJ$2), IF($I111= "I", $J111/($F111-$E111+1), $J111/(($F111*($F111+1)/2)-(($E111-1)*($E111-1+1)/2))*BI$2), 0)+IF(IF(time+1&gt;=BJ$2, $K111/time_cap/(time+1)*BI$2, 0) = 0, $K111/(time_cap),0)),0)</f>
        <v/>
      </c>
      <c r="BJ111" s="4395">
        <f>IFERROR(IF((time+time_cap)&lt;BJ$2, 0,IF(AND(time+1&gt;=BK$2, $E111&lt;BK$2), IF($I111= "I", $J111/($F111-$E111+1), $J111/(($F111*($F111+1)/2)-(($E111-1)*($E111-1+1)/2))*BJ$2), 0)+IF(IF(time+1&gt;=BK$2, $K111/time_cap/(time+1)*BJ$2, 0) = 0, $K111/(time_cap),0)),0)</f>
        <v/>
      </c>
      <c r="BK111" s="4395" t="n"/>
      <c r="BL111" s="4395" t="n"/>
      <c r="BM111" s="4395" t="n"/>
      <c r="BN111" s="4395" t="n"/>
      <c r="BO111" s="4395" t="n"/>
      <c r="BP111" s="4395" t="n"/>
      <c r="BQ111" s="4395" t="n"/>
      <c r="BR111" s="4395" t="n"/>
      <c r="BS111" s="4395" t="n"/>
      <c r="BT111" s="4395" t="n"/>
      <c r="BU111" s="4395" t="n"/>
      <c r="BV111" s="4395" t="n"/>
      <c r="BW111" s="4395" t="n"/>
      <c r="BX111" s="4395" t="n"/>
      <c r="BY111" s="4395" t="n"/>
      <c r="BZ111" s="4395" t="n"/>
      <c r="CA111" s="4395" t="n"/>
      <c r="CB111" s="4395" t="n"/>
      <c r="CC111" s="4395" t="n"/>
      <c r="CD111" s="4395" t="n"/>
      <c r="CE111" s="4395" t="n"/>
      <c r="CF111" s="4395" t="n"/>
      <c r="CG111" s="4395" t="n"/>
      <c r="CH111" s="4395" t="n"/>
      <c r="CI111" s="4395" t="n"/>
      <c r="CJ111" s="4395" t="n"/>
      <c r="CK111" s="4395" t="n"/>
      <c r="CL111" s="4395" t="n"/>
      <c r="CM111" s="4395" t="n"/>
      <c r="CN111" s="4395" t="n"/>
      <c r="CO111" s="4395" t="n"/>
      <c r="CP111" s="4395" t="n"/>
      <c r="CQ111" s="4395" t="n"/>
      <c r="CR111" s="4395" t="n"/>
      <c r="CS111" s="4395" t="n"/>
      <c r="CT111" s="4395" t="n"/>
      <c r="CU111" s="4395" t="n"/>
      <c r="CV111" s="4395" t="n"/>
      <c r="CW111" s="4395" t="n"/>
      <c r="CX111" s="4395" t="n"/>
      <c r="CY111" s="4395" t="n"/>
      <c r="CZ111" s="4395" t="n"/>
      <c r="DA111" s="4395" t="n"/>
      <c r="DB111" s="4395" t="n"/>
      <c r="DC111" s="4395" t="n"/>
      <c r="DD111" s="4395" t="n"/>
      <c r="DE111" s="4395" t="n"/>
      <c r="DF111" s="4395" t="n"/>
      <c r="DG111" s="4395" t="n"/>
      <c r="DH111" s="4395" t="n"/>
    </row>
    <row r="112" ht="16" customHeight="1">
      <c r="A112" t="inlineStr">
        <is>
          <t>Forest management</t>
        </is>
      </c>
      <c r="C112">
        <f>'5.Management'!C15</f>
        <v/>
      </c>
      <c r="D112">
        <f>'5.Management'!AF15</f>
        <v/>
      </c>
      <c r="E112">
        <f>IF('5.Management'!BR15&lt;&gt;0,'5.Management'!BR15, '5.Management'!BQ15)</f>
        <v/>
      </c>
      <c r="F112">
        <f>time</f>
        <v/>
      </c>
      <c r="G112" s="4395">
        <f>'5.Management'!Y15</f>
        <v/>
      </c>
      <c r="H112" s="4395">
        <f>'5.Management'!AA15</f>
        <v/>
      </c>
      <c r="I112" s="4395">
        <f>IF(OR(H112="I", G112="I"), "I", IF(OR(H112="E", G112="E"), "E", "D"))</f>
        <v/>
      </c>
      <c r="J112" s="4395">
        <f>((D112/(time_cap+((F112-E112+1)*VLOOKUP(I112,list!$I$48:$K$50,3, FALSE))))*(F112-E112+1)*VLOOKUP(I112,list!$I$48:$K$50,3, FALSE))</f>
        <v/>
      </c>
      <c r="K112" s="4395">
        <f>((D112/(time_cap+((F112-E112+1)*VLOOKUP(I112,list!$I$48:$K$50,3, FALSE))))*time_cap)</f>
        <v/>
      </c>
      <c r="M112" s="4395">
        <f>IFERROR(IF((time+time_cap)&lt;M$2, 0,IF(AND(time+1&gt;=N$2, $E112&lt;N$2), IF($I112= "I", $J112/($F112-$E112+1), $J112/(($F112*($F112+1)/2)-(($E112-1)*($E112-1+1)/2))*M$2), 0)+IF(IF(time+1&gt;=N$2, $K112/time_cap/(time+1)*M$2, 0) = 0, $K112/(time_cap),0)),0)</f>
        <v/>
      </c>
      <c r="N112" s="4395">
        <f>IFERROR(IF((time+time_cap)&lt;N$2, 0,IF(AND(time+1&gt;=O$2, $E112&lt;O$2), IF($I112= "I", $J112/($F112-$E112+1), $J112/(($F112*($F112+1)/2)-(($E112-1)*($E112-1+1)/2))*N$2), 0)+IF(IF(time+1&gt;=O$2, $K112/time_cap/(time+1)*N$2, 0) = 0, $K112/(time_cap),0)),0)</f>
        <v/>
      </c>
      <c r="O112" s="4395">
        <f>IFERROR(IF((time+time_cap)&lt;O$2, 0,IF(AND(time+1&gt;=P$2, $E112&lt;P$2), IF($I112= "I", $J112/($F112-$E112+1), $J112/(($F112*($F112+1)/2)-(($E112-1)*($E112-1+1)/2))*O$2), 0)+IF(IF(time+1&gt;=P$2, $K112/time_cap/(time+1)*O$2, 0) = 0, $K112/(time_cap),0)),0)</f>
        <v/>
      </c>
      <c r="P112" s="4395">
        <f>IFERROR(IF((time+time_cap)&lt;P$2, 0,IF(AND(time+1&gt;=Q$2, $E112&lt;Q$2), IF($I112= "I", $J112/($F112-$E112+1), $J112/(($F112*($F112+1)/2)-(($E112-1)*($E112-1+1)/2))*P$2), 0)+IF(IF(time+1&gt;=Q$2, $K112/time_cap/(time+1)*P$2, 0) = 0, $K112/(time_cap),0)),0)</f>
        <v/>
      </c>
      <c r="Q112" s="4395">
        <f>IFERROR(IF((time+time_cap)&lt;Q$2, 0,IF(AND(time+1&gt;=R$2, $E112&lt;R$2), IF($I112= "I", $J112/($F112-$E112+1), $J112/(($F112*($F112+1)/2)-(($E112-1)*($E112-1+1)/2))*Q$2), 0)+IF(IF(time+1&gt;=R$2, $K112/time_cap/(time+1)*Q$2, 0) = 0, $K112/(time_cap),0)),0)</f>
        <v/>
      </c>
      <c r="R112" s="4395">
        <f>IFERROR(IF((time+time_cap)&lt;R$2, 0,IF(AND(time+1&gt;=S$2, $E112&lt;S$2), IF($I112= "I", $J112/($F112-$E112+1), $J112/(($F112*($F112+1)/2)-(($E112-1)*($E112-1+1)/2))*R$2), 0)+IF(IF(time+1&gt;=S$2, $K112/time_cap/(time+1)*R$2, 0) = 0, $K112/(time_cap),0)),0)</f>
        <v/>
      </c>
      <c r="S112" s="4395">
        <f>IFERROR(IF((time+time_cap)&lt;S$2, 0,IF(AND(time+1&gt;=T$2, $E112&lt;T$2), IF($I112= "I", $J112/($F112-$E112+1), $J112/(($F112*($F112+1)/2)-(($E112-1)*($E112-1+1)/2))*S$2), 0)+IF(IF(time+1&gt;=T$2, $K112/time_cap/(time+1)*S$2, 0) = 0, $K112/(time_cap),0)),0)</f>
        <v/>
      </c>
      <c r="T112" s="4395">
        <f>IFERROR(IF((time+time_cap)&lt;T$2, 0,IF(AND(time+1&gt;=U$2, $E112&lt;U$2), IF($I112= "I", $J112/($F112-$E112+1), $J112/(($F112*($F112+1)/2)-(($E112-1)*($E112-1+1)/2))*T$2), 0)+IF(IF(time+1&gt;=U$2, $K112/time_cap/(time+1)*T$2, 0) = 0, $K112/(time_cap),0)),0)</f>
        <v/>
      </c>
      <c r="U112" s="4395">
        <f>IFERROR(IF((time+time_cap)&lt;U$2, 0,IF(AND(time+1&gt;=V$2, $E112&lt;V$2), IF($I112= "I", $J112/($F112-$E112+1), $J112/(($F112*($F112+1)/2)-(($E112-1)*($E112-1+1)/2))*U$2), 0)+IF(IF(time+1&gt;=V$2, $K112/time_cap/(time+1)*U$2, 0) = 0, $K112/(time_cap),0)),0)</f>
        <v/>
      </c>
      <c r="V112" s="4395">
        <f>IFERROR(IF((time+time_cap)&lt;V$2, 0,IF(AND(time+1&gt;=W$2, $E112&lt;W$2), IF($I112= "I", $J112/($F112-$E112+1), $J112/(($F112*($F112+1)/2)-(($E112-1)*($E112-1+1)/2))*V$2), 0)+IF(IF(time+1&gt;=W$2, $K112/time_cap/(time+1)*V$2, 0) = 0, $K112/(time_cap),0)),0)</f>
        <v/>
      </c>
      <c r="W112" s="4395">
        <f>IFERROR(IF((time+time_cap)&lt;W$2, 0,IF(AND(time+1&gt;=X$2, $E112&lt;X$2), IF($I112= "I", $J112/($F112-$E112+1), $J112/(($F112*($F112+1)/2)-(($E112-1)*($E112-1+1)/2))*W$2), 0)+IF(IF(time+1&gt;=X$2, $K112/time_cap/(time+1)*W$2, 0) = 0, $K112/(time_cap),0)),0)</f>
        <v/>
      </c>
      <c r="X112" s="4395">
        <f>IFERROR(IF((time+time_cap)&lt;X$2, 0,IF(AND(time+1&gt;=Y$2, $E112&lt;Y$2), IF($I112= "I", $J112/($F112-$E112+1), $J112/(($F112*($F112+1)/2)-(($E112-1)*($E112-1+1)/2))*X$2), 0)+IF(IF(time+1&gt;=Y$2, $K112/time_cap/(time+1)*X$2, 0) = 0, $K112/(time_cap),0)),0)</f>
        <v/>
      </c>
      <c r="Y112" s="4395">
        <f>IFERROR(IF((time+time_cap)&lt;Y$2, 0,IF(AND(time+1&gt;=Z$2, $E112&lt;Z$2), IF($I112= "I", $J112/($F112-$E112+1), $J112/(($F112*($F112+1)/2)-(($E112-1)*($E112-1+1)/2))*Y$2), 0)+IF(IF(time+1&gt;=Z$2, $K112/time_cap/(time+1)*Y$2, 0) = 0, $K112/(time_cap),0)),0)</f>
        <v/>
      </c>
      <c r="Z112" s="4395">
        <f>IFERROR(IF((time+time_cap)&lt;Z$2, 0,IF(AND(time+1&gt;=AA$2, $E112&lt;AA$2), IF($I112= "I", $J112/($F112-$E112+1), $J112/(($F112*($F112+1)/2)-(($E112-1)*($E112-1+1)/2))*Z$2), 0)+IF(IF(time+1&gt;=AA$2, $K112/time_cap/(time+1)*Z$2, 0) = 0, $K112/(time_cap),0)),0)</f>
        <v/>
      </c>
      <c r="AA112" s="4395">
        <f>IFERROR(IF((time+time_cap)&lt;AA$2, 0,IF(AND(time+1&gt;=AB$2, $E112&lt;AB$2), IF($I112= "I", $J112/($F112-$E112+1), $J112/(($F112*($F112+1)/2)-(($E112-1)*($E112-1+1)/2))*AA$2), 0)+IF(IF(time+1&gt;=AB$2, $K112/time_cap/(time+1)*AA$2, 0) = 0, $K112/(time_cap),0)),0)</f>
        <v/>
      </c>
      <c r="AB112" s="4395">
        <f>IFERROR(IF((time+time_cap)&lt;AB$2, 0,IF(AND(time+1&gt;=AC$2, $E112&lt;AC$2), IF($I112= "I", $J112/($F112-$E112+1), $J112/(($F112*($F112+1)/2)-(($E112-1)*($E112-1+1)/2))*AB$2), 0)+IF(IF(time+1&gt;=AC$2, $K112/time_cap/(time+1)*AB$2, 0) = 0, $K112/(time_cap),0)),0)</f>
        <v/>
      </c>
      <c r="AC112" s="4395">
        <f>IFERROR(IF((time+time_cap)&lt;AC$2, 0,IF(AND(time+1&gt;=AD$2, $E112&lt;AD$2), IF($I112= "I", $J112/($F112-$E112+1), $J112/(($F112*($F112+1)/2)-(($E112-1)*($E112-1+1)/2))*AC$2), 0)+IF(IF(time+1&gt;=AD$2, $K112/time_cap/(time+1)*AC$2, 0) = 0, $K112/(time_cap),0)),0)</f>
        <v/>
      </c>
      <c r="AD112" s="4395">
        <f>IFERROR(IF((time+time_cap)&lt;AD$2, 0,IF(AND(time+1&gt;=AE$2, $E112&lt;AE$2), IF($I112= "I", $J112/($F112-$E112+1), $J112/(($F112*($F112+1)/2)-(($E112-1)*($E112-1+1)/2))*AD$2), 0)+IF(IF(time+1&gt;=AE$2, $K112/time_cap/(time+1)*AD$2, 0) = 0, $K112/(time_cap),0)),0)</f>
        <v/>
      </c>
      <c r="AE112" s="4395">
        <f>IFERROR(IF((time+time_cap)&lt;AE$2, 0,IF(AND(time+1&gt;=AF$2, $E112&lt;AF$2), IF($I112= "I", $J112/($F112-$E112+1), $J112/(($F112*($F112+1)/2)-(($E112-1)*($E112-1+1)/2))*AE$2), 0)+IF(IF(time+1&gt;=AF$2, $K112/time_cap/(time+1)*AE$2, 0) = 0, $K112/(time_cap),0)),0)</f>
        <v/>
      </c>
      <c r="AF112" s="4395">
        <f>IFERROR(IF((time+time_cap)&lt;AF$2, 0,IF(AND(time+1&gt;=AG$2, $E112&lt;AG$2), IF($I112= "I", $J112/($F112-$E112+1), $J112/(($F112*($F112+1)/2)-(($E112-1)*($E112-1+1)/2))*AF$2), 0)+IF(IF(time+1&gt;=AG$2, $K112/time_cap/(time+1)*AF$2, 0) = 0, $K112/(time_cap),0)),0)</f>
        <v/>
      </c>
      <c r="AG112" s="4395">
        <f>IFERROR(IF((time+time_cap)&lt;AG$2, 0,IF(AND(time+1&gt;=AH$2, $E112&lt;AH$2), IF($I112= "I", $J112/($F112-$E112+1), $J112/(($F112*($F112+1)/2)-(($E112-1)*($E112-1+1)/2))*AG$2), 0)+IF(IF(time+1&gt;=AH$2, $K112/time_cap/(time+1)*AG$2, 0) = 0, $K112/(time_cap),0)),0)</f>
        <v/>
      </c>
      <c r="AH112" s="4395">
        <f>IFERROR(IF((time+time_cap)&lt;AH$2, 0,IF(AND(time+1&gt;=AI$2, $E112&lt;AI$2), IF($I112= "I", $J112/($F112-$E112+1), $J112/(($F112*($F112+1)/2)-(($E112-1)*($E112-1+1)/2))*AH$2), 0)+IF(IF(time+1&gt;=AI$2, $K112/time_cap/(time+1)*AH$2, 0) = 0, $K112/(time_cap),0)),0)</f>
        <v/>
      </c>
      <c r="AI112" s="4395">
        <f>IFERROR(IF((time+time_cap)&lt;AI$2, 0,IF(AND(time+1&gt;=AJ$2, $E112&lt;AJ$2), IF($I112= "I", $J112/($F112-$E112+1), $J112/(($F112*($F112+1)/2)-(($E112-1)*($E112-1+1)/2))*AI$2), 0)+IF(IF(time+1&gt;=AJ$2, $K112/time_cap/(time+1)*AI$2, 0) = 0, $K112/(time_cap),0)),0)</f>
        <v/>
      </c>
      <c r="AJ112" s="4395">
        <f>IFERROR(IF((time+time_cap)&lt;AJ$2, 0,IF(AND(time+1&gt;=AK$2, $E112&lt;AK$2), IF($I112= "I", $J112/($F112-$E112+1), $J112/(($F112*($F112+1)/2)-(($E112-1)*($E112-1+1)/2))*AJ$2), 0)+IF(IF(time+1&gt;=AK$2, $K112/time_cap/(time+1)*AJ$2, 0) = 0, $K112/(time_cap),0)),0)</f>
        <v/>
      </c>
      <c r="AK112" s="4395">
        <f>IFERROR(IF((time+time_cap)&lt;AK$2, 0,IF(AND(time+1&gt;=AL$2, $E112&lt;AL$2), IF($I112= "I", $J112/($F112-$E112+1), $J112/(($F112*($F112+1)/2)-(($E112-1)*($E112-1+1)/2))*AK$2), 0)+IF(IF(time+1&gt;=AL$2, $K112/time_cap/(time+1)*AK$2, 0) = 0, $K112/(time_cap),0)),0)</f>
        <v/>
      </c>
      <c r="AL112" s="4395">
        <f>IFERROR(IF((time+time_cap)&lt;AL$2, 0,IF(AND(time+1&gt;=AM$2, $E112&lt;AM$2), IF($I112= "I", $J112/($F112-$E112+1), $J112/(($F112*($F112+1)/2)-(($E112-1)*($E112-1+1)/2))*AL$2), 0)+IF(IF(time+1&gt;=AM$2, $K112/time_cap/(time+1)*AL$2, 0) = 0, $K112/(time_cap),0)),0)</f>
        <v/>
      </c>
      <c r="AM112" s="4395">
        <f>IFERROR(IF((time+time_cap)&lt;AM$2, 0,IF(AND(time+1&gt;=AN$2, $E112&lt;AN$2), IF($I112= "I", $J112/($F112-$E112+1), $J112/(($F112*($F112+1)/2)-(($E112-1)*($E112-1+1)/2))*AM$2), 0)+IF(IF(time+1&gt;=AN$2, $K112/time_cap/(time+1)*AM$2, 0) = 0, $K112/(time_cap),0)),0)</f>
        <v/>
      </c>
      <c r="AN112" s="4395">
        <f>IFERROR(IF((time+time_cap)&lt;AN$2, 0,IF(AND(time+1&gt;=AO$2, $E112&lt;AO$2), IF($I112= "I", $J112/($F112-$E112+1), $J112/(($F112*($F112+1)/2)-(($E112-1)*($E112-1+1)/2))*AN$2), 0)+IF(IF(time+1&gt;=AO$2, $K112/time_cap/(time+1)*AN$2, 0) = 0, $K112/(time_cap),0)),0)</f>
        <v/>
      </c>
      <c r="AO112" s="4395">
        <f>IFERROR(IF((time+time_cap)&lt;AO$2, 0,IF(AND(time+1&gt;=AP$2, $E112&lt;AP$2), IF($I112= "I", $J112/($F112-$E112+1), $J112/(($F112*($F112+1)/2)-(($E112-1)*($E112-1+1)/2))*AO$2), 0)+IF(IF(time+1&gt;=AP$2, $K112/time_cap/(time+1)*AO$2, 0) = 0, $K112/(time_cap),0)),0)</f>
        <v/>
      </c>
      <c r="AP112" s="4395">
        <f>IFERROR(IF((time+time_cap)&lt;AP$2, 0,IF(AND(time+1&gt;=AQ$2, $E112&lt;AQ$2), IF($I112= "I", $J112/($F112-$E112+1), $J112/(($F112*($F112+1)/2)-(($E112-1)*($E112-1+1)/2))*AP$2), 0)+IF(IF(time+1&gt;=AQ$2, $K112/time_cap/(time+1)*AP$2, 0) = 0, $K112/(time_cap),0)),0)</f>
        <v/>
      </c>
      <c r="AQ112" s="4395">
        <f>IFERROR(IF((time+time_cap)&lt;AQ$2, 0,IF(AND(time+1&gt;=AR$2, $E112&lt;AR$2), IF($I112= "I", $J112/($F112-$E112+1), $J112/(($F112*($F112+1)/2)-(($E112-1)*($E112-1+1)/2))*AQ$2), 0)+IF(IF(time+1&gt;=AR$2, $K112/time_cap/(time+1)*AQ$2, 0) = 0, $K112/(time_cap),0)),0)</f>
        <v/>
      </c>
      <c r="AR112" s="4395">
        <f>IFERROR(IF((time+time_cap)&lt;AR$2, 0,IF(AND(time+1&gt;=AS$2, $E112&lt;AS$2), IF($I112= "I", $J112/($F112-$E112+1), $J112/(($F112*($F112+1)/2)-(($E112-1)*($E112-1+1)/2))*AR$2), 0)+IF(IF(time+1&gt;=AS$2, $K112/time_cap/(time+1)*AR$2, 0) = 0, $K112/(time_cap),0)),0)</f>
        <v/>
      </c>
      <c r="AS112" s="4395">
        <f>IFERROR(IF((time+time_cap)&lt;AS$2, 0,IF(AND(time+1&gt;=AT$2, $E112&lt;AT$2), IF($I112= "I", $J112/($F112-$E112+1), $J112/(($F112*($F112+1)/2)-(($E112-1)*($E112-1+1)/2))*AS$2), 0)+IF(IF(time+1&gt;=AT$2, $K112/time_cap/(time+1)*AS$2, 0) = 0, $K112/(time_cap),0)),0)</f>
        <v/>
      </c>
      <c r="AT112" s="4395">
        <f>IFERROR(IF((time+time_cap)&lt;AT$2, 0,IF(AND(time+1&gt;=AU$2, $E112&lt;AU$2), IF($I112= "I", $J112/($F112-$E112+1), $J112/(($F112*($F112+1)/2)-(($E112-1)*($E112-1+1)/2))*AT$2), 0)+IF(IF(time+1&gt;=AU$2, $K112/time_cap/(time+1)*AT$2, 0) = 0, $K112/(time_cap),0)),0)</f>
        <v/>
      </c>
      <c r="AU112" s="4395">
        <f>IFERROR(IF((time+time_cap)&lt;AU$2, 0,IF(AND(time+1&gt;=AV$2, $E112&lt;AV$2), IF($I112= "I", $J112/($F112-$E112+1), $J112/(($F112*($F112+1)/2)-(($E112-1)*($E112-1+1)/2))*AU$2), 0)+IF(IF(time+1&gt;=AV$2, $K112/time_cap/(time+1)*AU$2, 0) = 0, $K112/(time_cap),0)),0)</f>
        <v/>
      </c>
      <c r="AV112" s="4395">
        <f>IFERROR(IF((time+time_cap)&lt;AV$2, 0,IF(AND(time+1&gt;=AW$2, $E112&lt;AW$2), IF($I112= "I", $J112/($F112-$E112+1), $J112/(($F112*($F112+1)/2)-(($E112-1)*($E112-1+1)/2))*AV$2), 0)+IF(IF(time+1&gt;=AW$2, $K112/time_cap/(time+1)*AV$2, 0) = 0, $K112/(time_cap),0)),0)</f>
        <v/>
      </c>
      <c r="AW112" s="4395">
        <f>IFERROR(IF((time+time_cap)&lt;AW$2, 0,IF(AND(time+1&gt;=AX$2, $E112&lt;AX$2), IF($I112= "I", $J112/($F112-$E112+1), $J112/(($F112*($F112+1)/2)-(($E112-1)*($E112-1+1)/2))*AW$2), 0)+IF(IF(time+1&gt;=AX$2, $K112/time_cap/(time+1)*AW$2, 0) = 0, $K112/(time_cap),0)),0)</f>
        <v/>
      </c>
      <c r="AX112" s="4395">
        <f>IFERROR(IF((time+time_cap)&lt;AX$2, 0,IF(AND(time+1&gt;=AY$2, $E112&lt;AY$2), IF($I112= "I", $J112/($F112-$E112+1), $J112/(($F112*($F112+1)/2)-(($E112-1)*($E112-1+1)/2))*AX$2), 0)+IF(IF(time+1&gt;=AY$2, $K112/time_cap/(time+1)*AX$2, 0) = 0, $K112/(time_cap),0)),0)</f>
        <v/>
      </c>
      <c r="AY112" s="4395">
        <f>IFERROR(IF((time+time_cap)&lt;AY$2, 0,IF(AND(time+1&gt;=AZ$2, $E112&lt;AZ$2), IF($I112= "I", $J112/($F112-$E112+1), $J112/(($F112*($F112+1)/2)-(($E112-1)*($E112-1+1)/2))*AY$2), 0)+IF(IF(time+1&gt;=AZ$2, $K112/time_cap/(time+1)*AY$2, 0) = 0, $K112/(time_cap),0)),0)</f>
        <v/>
      </c>
      <c r="AZ112" s="4395">
        <f>IFERROR(IF((time+time_cap)&lt;AZ$2, 0,IF(AND(time+1&gt;=BA$2, $E112&lt;BA$2), IF($I112= "I", $J112/($F112-$E112+1), $J112/(($F112*($F112+1)/2)-(($E112-1)*($E112-1+1)/2))*AZ$2), 0)+IF(IF(time+1&gt;=BA$2, $K112/time_cap/(time+1)*AZ$2, 0) = 0, $K112/(time_cap),0)),0)</f>
        <v/>
      </c>
      <c r="BA112" s="4395">
        <f>IFERROR(IF((time+time_cap)&lt;BA$2, 0,IF(AND(time+1&gt;=BB$2, $E112&lt;BB$2), IF($I112= "I", $J112/($F112-$E112+1), $J112/(($F112*($F112+1)/2)-(($E112-1)*($E112-1+1)/2))*BA$2), 0)+IF(IF(time+1&gt;=BB$2, $K112/time_cap/(time+1)*BA$2, 0) = 0, $K112/(time_cap),0)),0)</f>
        <v/>
      </c>
      <c r="BB112" s="4395">
        <f>IFERROR(IF((time+time_cap)&lt;BB$2, 0,IF(AND(time+1&gt;=BC$2, $E112&lt;BC$2), IF($I112= "I", $J112/($F112-$E112+1), $J112/(($F112*($F112+1)/2)-(($E112-1)*($E112-1+1)/2))*BB$2), 0)+IF(IF(time+1&gt;=BC$2, $K112/time_cap/(time+1)*BB$2, 0) = 0, $K112/(time_cap),0)),0)</f>
        <v/>
      </c>
      <c r="BC112" s="4395">
        <f>IFERROR(IF((time+time_cap)&lt;BC$2, 0,IF(AND(time+1&gt;=BD$2, $E112&lt;BD$2), IF($I112= "I", $J112/($F112-$E112+1), $J112/(($F112*($F112+1)/2)-(($E112-1)*($E112-1+1)/2))*BC$2), 0)+IF(IF(time+1&gt;=BD$2, $K112/time_cap/(time+1)*BC$2, 0) = 0, $K112/(time_cap),0)),0)</f>
        <v/>
      </c>
      <c r="BD112" s="4395">
        <f>IFERROR(IF((time+time_cap)&lt;BD$2, 0,IF(AND(time+1&gt;=BE$2, $E112&lt;BE$2), IF($I112= "I", $J112/($F112-$E112+1), $J112/(($F112*($F112+1)/2)-(($E112-1)*($E112-1+1)/2))*BD$2), 0)+IF(IF(time+1&gt;=BE$2, $K112/time_cap/(time+1)*BD$2, 0) = 0, $K112/(time_cap),0)),0)</f>
        <v/>
      </c>
      <c r="BE112" s="4395">
        <f>IFERROR(IF((time+time_cap)&lt;BE$2, 0,IF(AND(time+1&gt;=BF$2, $E112&lt;BF$2), IF($I112= "I", $J112/($F112-$E112+1), $J112/(($F112*($F112+1)/2)-(($E112-1)*($E112-1+1)/2))*BE$2), 0)+IF(IF(time+1&gt;=BF$2, $K112/time_cap/(time+1)*BE$2, 0) = 0, $K112/(time_cap),0)),0)</f>
        <v/>
      </c>
      <c r="BF112" s="4395">
        <f>IFERROR(IF((time+time_cap)&lt;BF$2, 0,IF(AND(time+1&gt;=BG$2, $E112&lt;BG$2), IF($I112= "I", $J112/($F112-$E112+1), $J112/(($F112*($F112+1)/2)-(($E112-1)*($E112-1+1)/2))*BF$2), 0)+IF(IF(time+1&gt;=BG$2, $K112/time_cap/(time+1)*BF$2, 0) = 0, $K112/(time_cap),0)),0)</f>
        <v/>
      </c>
      <c r="BG112" s="4395">
        <f>IFERROR(IF((time+time_cap)&lt;BG$2, 0,IF(AND(time+1&gt;=BH$2, $E112&lt;BH$2), IF($I112= "I", $J112/($F112-$E112+1), $J112/(($F112*($F112+1)/2)-(($E112-1)*($E112-1+1)/2))*BG$2), 0)+IF(IF(time+1&gt;=BH$2, $K112/time_cap/(time+1)*BG$2, 0) = 0, $K112/(time_cap),0)),0)</f>
        <v/>
      </c>
      <c r="BH112" s="4395">
        <f>IFERROR(IF((time+time_cap)&lt;BH$2, 0,IF(AND(time+1&gt;=BI$2, $E112&lt;BI$2), IF($I112= "I", $J112/($F112-$E112+1), $J112/(($F112*($F112+1)/2)-(($E112-1)*($E112-1+1)/2))*BH$2), 0)+IF(IF(time+1&gt;=BI$2, $K112/time_cap/(time+1)*BH$2, 0) = 0, $K112/(time_cap),0)),0)</f>
        <v/>
      </c>
      <c r="BI112" s="4395">
        <f>IFERROR(IF((time+time_cap)&lt;BI$2, 0,IF(AND(time+1&gt;=BJ$2, $E112&lt;BJ$2), IF($I112= "I", $J112/($F112-$E112+1), $J112/(($F112*($F112+1)/2)-(($E112-1)*($E112-1+1)/2))*BI$2), 0)+IF(IF(time+1&gt;=BJ$2, $K112/time_cap/(time+1)*BI$2, 0) = 0, $K112/(time_cap),0)),0)</f>
        <v/>
      </c>
      <c r="BJ112" s="4395">
        <f>IFERROR(IF((time+time_cap)&lt;BJ$2, 0,IF(AND(time+1&gt;=BK$2, $E112&lt;BK$2), IF($I112= "I", $J112/($F112-$E112+1), $J112/(($F112*($F112+1)/2)-(($E112-1)*($E112-1+1)/2))*BJ$2), 0)+IF(IF(time+1&gt;=BK$2, $K112/time_cap/(time+1)*BJ$2, 0) = 0, $K112/(time_cap),0)),0)</f>
        <v/>
      </c>
      <c r="BK112" s="4395" t="n"/>
      <c r="BL112" s="4395" t="n"/>
      <c r="BM112" s="4395" t="n"/>
      <c r="BN112" s="4395" t="n"/>
      <c r="BO112" s="4395" t="n"/>
      <c r="BP112" s="4395" t="n"/>
      <c r="BQ112" s="4395" t="n"/>
      <c r="BR112" s="4395" t="n"/>
      <c r="BS112" s="4395" t="n"/>
      <c r="BT112" s="4395" t="n"/>
      <c r="BU112" s="4395" t="n"/>
      <c r="BV112" s="4395" t="n"/>
      <c r="BW112" s="4395" t="n"/>
      <c r="BX112" s="4395" t="n"/>
      <c r="BY112" s="4395" t="n"/>
      <c r="BZ112" s="4395" t="n"/>
      <c r="CA112" s="4395" t="n"/>
      <c r="CB112" s="4395" t="n"/>
      <c r="CC112" s="4395" t="n"/>
      <c r="CD112" s="4395" t="n"/>
      <c r="CE112" s="4395" t="n"/>
      <c r="CF112" s="4395" t="n"/>
      <c r="CG112" s="4395" t="n"/>
      <c r="CH112" s="4395" t="n"/>
      <c r="CI112" s="4395" t="n"/>
      <c r="CJ112" s="4395" t="n"/>
      <c r="CK112" s="4395" t="n"/>
      <c r="CL112" s="4395" t="n"/>
      <c r="CM112" s="4395" t="n"/>
      <c r="CN112" s="4395" t="n"/>
      <c r="CO112" s="4395" t="n"/>
      <c r="CP112" s="4395" t="n"/>
      <c r="CQ112" s="4395" t="n"/>
      <c r="CR112" s="4395" t="n"/>
      <c r="CS112" s="4395" t="n"/>
      <c r="CT112" s="4395" t="n"/>
      <c r="CU112" s="4395" t="n"/>
      <c r="CV112" s="4395" t="n"/>
      <c r="CW112" s="4395" t="n"/>
      <c r="CX112" s="4395" t="n"/>
      <c r="CY112" s="4395" t="n"/>
      <c r="CZ112" s="4395" t="n"/>
      <c r="DA112" s="4395" t="n"/>
      <c r="DB112" s="4395" t="n"/>
      <c r="DC112" s="4395" t="n"/>
      <c r="DD112" s="4395" t="n"/>
      <c r="DE112" s="4395" t="n"/>
      <c r="DF112" s="4395" t="n"/>
      <c r="DG112" s="4395" t="n"/>
      <c r="DH112" s="4395" t="n"/>
    </row>
    <row r="113" ht="16" customHeight="1">
      <c r="A113" t="inlineStr">
        <is>
          <t>Forest management</t>
        </is>
      </c>
      <c r="C113">
        <f>'5.Management'!C16</f>
        <v/>
      </c>
      <c r="D113">
        <f>'5.Management'!AF16</f>
        <v/>
      </c>
      <c r="E113">
        <f>IF('5.Management'!BR16&lt;&gt;0,'5.Management'!BR16, '5.Management'!BQ16)</f>
        <v/>
      </c>
      <c r="F113">
        <f>time</f>
        <v/>
      </c>
      <c r="G113" s="4395">
        <f>'5.Management'!Y16</f>
        <v/>
      </c>
      <c r="H113" s="4395">
        <f>'5.Management'!AA16</f>
        <v/>
      </c>
      <c r="I113" s="4395">
        <f>IF(OR(H113="I", G113="I"), "I", IF(OR(H113="E", G113="E"), "E", "D"))</f>
        <v/>
      </c>
      <c r="J113" s="4395">
        <f>((D113/(time_cap+((F113-E113+1)*VLOOKUP(I113,list!$I$48:$K$50,3, FALSE))))*(F113-E113+1)*VLOOKUP(I113,list!$I$48:$K$50,3, FALSE))</f>
        <v/>
      </c>
      <c r="K113" s="4395">
        <f>((D113/(time_cap+((F113-E113+1)*VLOOKUP(I113,list!$I$48:$K$50,3, FALSE))))*time_cap)</f>
        <v/>
      </c>
      <c r="M113" s="4395">
        <f>IFERROR(IF((time+time_cap)&lt;M$2, 0,IF(AND(time+1&gt;=N$2, $E113&lt;N$2), IF($I113= "I", $J113/($F113-$E113+1), $J113/(($F113*($F113+1)/2)-(($E113-1)*($E113-1+1)/2))*M$2), 0)+IF(IF(time+1&gt;=N$2, $K113/time_cap/(time+1)*M$2, 0) = 0, $K113/(time_cap),0)),0)</f>
        <v/>
      </c>
      <c r="N113" s="4395">
        <f>IFERROR(IF((time+time_cap)&lt;N$2, 0,IF(AND(time+1&gt;=O$2, $E113&lt;O$2), IF($I113= "I", $J113/($F113-$E113+1), $J113/(($F113*($F113+1)/2)-(($E113-1)*($E113-1+1)/2))*N$2), 0)+IF(IF(time+1&gt;=O$2, $K113/time_cap/(time+1)*N$2, 0) = 0, $K113/(time_cap),0)),0)</f>
        <v/>
      </c>
      <c r="O113" s="4395">
        <f>IFERROR(IF((time+time_cap)&lt;O$2, 0,IF(AND(time+1&gt;=P$2, $E113&lt;P$2), IF($I113= "I", $J113/($F113-$E113+1), $J113/(($F113*($F113+1)/2)-(($E113-1)*($E113-1+1)/2))*O$2), 0)+IF(IF(time+1&gt;=P$2, $K113/time_cap/(time+1)*O$2, 0) = 0, $K113/(time_cap),0)),0)</f>
        <v/>
      </c>
      <c r="P113" s="4395">
        <f>IFERROR(IF((time+time_cap)&lt;P$2, 0,IF(AND(time+1&gt;=Q$2, $E113&lt;Q$2), IF($I113= "I", $J113/($F113-$E113+1), $J113/(($F113*($F113+1)/2)-(($E113-1)*($E113-1+1)/2))*P$2), 0)+IF(IF(time+1&gt;=Q$2, $K113/time_cap/(time+1)*P$2, 0) = 0, $K113/(time_cap),0)),0)</f>
        <v/>
      </c>
      <c r="Q113" s="4395">
        <f>IFERROR(IF((time+time_cap)&lt;Q$2, 0,IF(AND(time+1&gt;=R$2, $E113&lt;R$2), IF($I113= "I", $J113/($F113-$E113+1), $J113/(($F113*($F113+1)/2)-(($E113-1)*($E113-1+1)/2))*Q$2), 0)+IF(IF(time+1&gt;=R$2, $K113/time_cap/(time+1)*Q$2, 0) = 0, $K113/(time_cap),0)),0)</f>
        <v/>
      </c>
      <c r="R113" s="4395">
        <f>IFERROR(IF((time+time_cap)&lt;R$2, 0,IF(AND(time+1&gt;=S$2, $E113&lt;S$2), IF($I113= "I", $J113/($F113-$E113+1), $J113/(($F113*($F113+1)/2)-(($E113-1)*($E113-1+1)/2))*R$2), 0)+IF(IF(time+1&gt;=S$2, $K113/time_cap/(time+1)*R$2, 0) = 0, $K113/(time_cap),0)),0)</f>
        <v/>
      </c>
      <c r="S113" s="4395">
        <f>IFERROR(IF((time+time_cap)&lt;S$2, 0,IF(AND(time+1&gt;=T$2, $E113&lt;T$2), IF($I113= "I", $J113/($F113-$E113+1), $J113/(($F113*($F113+1)/2)-(($E113-1)*($E113-1+1)/2))*S$2), 0)+IF(IF(time+1&gt;=T$2, $K113/time_cap/(time+1)*S$2, 0) = 0, $K113/(time_cap),0)),0)</f>
        <v/>
      </c>
      <c r="T113" s="4395">
        <f>IFERROR(IF((time+time_cap)&lt;T$2, 0,IF(AND(time+1&gt;=U$2, $E113&lt;U$2), IF($I113= "I", $J113/($F113-$E113+1), $J113/(($F113*($F113+1)/2)-(($E113-1)*($E113-1+1)/2))*T$2), 0)+IF(IF(time+1&gt;=U$2, $K113/time_cap/(time+1)*T$2, 0) = 0, $K113/(time_cap),0)),0)</f>
        <v/>
      </c>
      <c r="U113" s="4395">
        <f>IFERROR(IF((time+time_cap)&lt;U$2, 0,IF(AND(time+1&gt;=V$2, $E113&lt;V$2), IF($I113= "I", $J113/($F113-$E113+1), $J113/(($F113*($F113+1)/2)-(($E113-1)*($E113-1+1)/2))*U$2), 0)+IF(IF(time+1&gt;=V$2, $K113/time_cap/(time+1)*U$2, 0) = 0, $K113/(time_cap),0)),0)</f>
        <v/>
      </c>
      <c r="V113" s="4395">
        <f>IFERROR(IF((time+time_cap)&lt;V$2, 0,IF(AND(time+1&gt;=W$2, $E113&lt;W$2), IF($I113= "I", $J113/($F113-$E113+1), $J113/(($F113*($F113+1)/2)-(($E113-1)*($E113-1+1)/2))*V$2), 0)+IF(IF(time+1&gt;=W$2, $K113/time_cap/(time+1)*V$2, 0) = 0, $K113/(time_cap),0)),0)</f>
        <v/>
      </c>
      <c r="W113" s="4395">
        <f>IFERROR(IF((time+time_cap)&lt;W$2, 0,IF(AND(time+1&gt;=X$2, $E113&lt;X$2), IF($I113= "I", $J113/($F113-$E113+1), $J113/(($F113*($F113+1)/2)-(($E113-1)*($E113-1+1)/2))*W$2), 0)+IF(IF(time+1&gt;=X$2, $K113/time_cap/(time+1)*W$2, 0) = 0, $K113/(time_cap),0)),0)</f>
        <v/>
      </c>
      <c r="X113" s="4395">
        <f>IFERROR(IF((time+time_cap)&lt;X$2, 0,IF(AND(time+1&gt;=Y$2, $E113&lt;Y$2), IF($I113= "I", $J113/($F113-$E113+1), $J113/(($F113*($F113+1)/2)-(($E113-1)*($E113-1+1)/2))*X$2), 0)+IF(IF(time+1&gt;=Y$2, $K113/time_cap/(time+1)*X$2, 0) = 0, $K113/(time_cap),0)),0)</f>
        <v/>
      </c>
      <c r="Y113" s="4395">
        <f>IFERROR(IF((time+time_cap)&lt;Y$2, 0,IF(AND(time+1&gt;=Z$2, $E113&lt;Z$2), IF($I113= "I", $J113/($F113-$E113+1), $J113/(($F113*($F113+1)/2)-(($E113-1)*($E113-1+1)/2))*Y$2), 0)+IF(IF(time+1&gt;=Z$2, $K113/time_cap/(time+1)*Y$2, 0) = 0, $K113/(time_cap),0)),0)</f>
        <v/>
      </c>
      <c r="Z113" s="4395">
        <f>IFERROR(IF((time+time_cap)&lt;Z$2, 0,IF(AND(time+1&gt;=AA$2, $E113&lt;AA$2), IF($I113= "I", $J113/($F113-$E113+1), $J113/(($F113*($F113+1)/2)-(($E113-1)*($E113-1+1)/2))*Z$2), 0)+IF(IF(time+1&gt;=AA$2, $K113/time_cap/(time+1)*Z$2, 0) = 0, $K113/(time_cap),0)),0)</f>
        <v/>
      </c>
      <c r="AA113" s="4395">
        <f>IFERROR(IF((time+time_cap)&lt;AA$2, 0,IF(AND(time+1&gt;=AB$2, $E113&lt;AB$2), IF($I113= "I", $J113/($F113-$E113+1), $J113/(($F113*($F113+1)/2)-(($E113-1)*($E113-1+1)/2))*AA$2), 0)+IF(IF(time+1&gt;=AB$2, $K113/time_cap/(time+1)*AA$2, 0) = 0, $K113/(time_cap),0)),0)</f>
        <v/>
      </c>
      <c r="AB113" s="4395">
        <f>IFERROR(IF((time+time_cap)&lt;AB$2, 0,IF(AND(time+1&gt;=AC$2, $E113&lt;AC$2), IF($I113= "I", $J113/($F113-$E113+1), $J113/(($F113*($F113+1)/2)-(($E113-1)*($E113-1+1)/2))*AB$2), 0)+IF(IF(time+1&gt;=AC$2, $K113/time_cap/(time+1)*AB$2, 0) = 0, $K113/(time_cap),0)),0)</f>
        <v/>
      </c>
      <c r="AC113" s="4395">
        <f>IFERROR(IF((time+time_cap)&lt;AC$2, 0,IF(AND(time+1&gt;=AD$2, $E113&lt;AD$2), IF($I113= "I", $J113/($F113-$E113+1), $J113/(($F113*($F113+1)/2)-(($E113-1)*($E113-1+1)/2))*AC$2), 0)+IF(IF(time+1&gt;=AD$2, $K113/time_cap/(time+1)*AC$2, 0) = 0, $K113/(time_cap),0)),0)</f>
        <v/>
      </c>
      <c r="AD113" s="4395">
        <f>IFERROR(IF((time+time_cap)&lt;AD$2, 0,IF(AND(time+1&gt;=AE$2, $E113&lt;AE$2), IF($I113= "I", $J113/($F113-$E113+1), $J113/(($F113*($F113+1)/2)-(($E113-1)*($E113-1+1)/2))*AD$2), 0)+IF(IF(time+1&gt;=AE$2, $K113/time_cap/(time+1)*AD$2, 0) = 0, $K113/(time_cap),0)),0)</f>
        <v/>
      </c>
      <c r="AE113" s="4395">
        <f>IFERROR(IF((time+time_cap)&lt;AE$2, 0,IF(AND(time+1&gt;=AF$2, $E113&lt;AF$2), IF($I113= "I", $J113/($F113-$E113+1), $J113/(($F113*($F113+1)/2)-(($E113-1)*($E113-1+1)/2))*AE$2), 0)+IF(IF(time+1&gt;=AF$2, $K113/time_cap/(time+1)*AE$2, 0) = 0, $K113/(time_cap),0)),0)</f>
        <v/>
      </c>
      <c r="AF113" s="4395">
        <f>IFERROR(IF((time+time_cap)&lt;AF$2, 0,IF(AND(time+1&gt;=AG$2, $E113&lt;AG$2), IF($I113= "I", $J113/($F113-$E113+1), $J113/(($F113*($F113+1)/2)-(($E113-1)*($E113-1+1)/2))*AF$2), 0)+IF(IF(time+1&gt;=AG$2, $K113/time_cap/(time+1)*AF$2, 0) = 0, $K113/(time_cap),0)),0)</f>
        <v/>
      </c>
      <c r="AG113" s="4395">
        <f>IFERROR(IF((time+time_cap)&lt;AG$2, 0,IF(AND(time+1&gt;=AH$2, $E113&lt;AH$2), IF($I113= "I", $J113/($F113-$E113+1), $J113/(($F113*($F113+1)/2)-(($E113-1)*($E113-1+1)/2))*AG$2), 0)+IF(IF(time+1&gt;=AH$2, $K113/time_cap/(time+1)*AG$2, 0) = 0, $K113/(time_cap),0)),0)</f>
        <v/>
      </c>
      <c r="AH113" s="4395">
        <f>IFERROR(IF((time+time_cap)&lt;AH$2, 0,IF(AND(time+1&gt;=AI$2, $E113&lt;AI$2), IF($I113= "I", $J113/($F113-$E113+1), $J113/(($F113*($F113+1)/2)-(($E113-1)*($E113-1+1)/2))*AH$2), 0)+IF(IF(time+1&gt;=AI$2, $K113/time_cap/(time+1)*AH$2, 0) = 0, $K113/(time_cap),0)),0)</f>
        <v/>
      </c>
      <c r="AI113" s="4395">
        <f>IFERROR(IF((time+time_cap)&lt;AI$2, 0,IF(AND(time+1&gt;=AJ$2, $E113&lt;AJ$2), IF($I113= "I", $J113/($F113-$E113+1), $J113/(($F113*($F113+1)/2)-(($E113-1)*($E113-1+1)/2))*AI$2), 0)+IF(IF(time+1&gt;=AJ$2, $K113/time_cap/(time+1)*AI$2, 0) = 0, $K113/(time_cap),0)),0)</f>
        <v/>
      </c>
      <c r="AJ113" s="4395">
        <f>IFERROR(IF((time+time_cap)&lt;AJ$2, 0,IF(AND(time+1&gt;=AK$2, $E113&lt;AK$2), IF($I113= "I", $J113/($F113-$E113+1), $J113/(($F113*($F113+1)/2)-(($E113-1)*($E113-1+1)/2))*AJ$2), 0)+IF(IF(time+1&gt;=AK$2, $K113/time_cap/(time+1)*AJ$2, 0) = 0, $K113/(time_cap),0)),0)</f>
        <v/>
      </c>
      <c r="AK113" s="4395">
        <f>IFERROR(IF((time+time_cap)&lt;AK$2, 0,IF(AND(time+1&gt;=AL$2, $E113&lt;AL$2), IF($I113= "I", $J113/($F113-$E113+1), $J113/(($F113*($F113+1)/2)-(($E113-1)*($E113-1+1)/2))*AK$2), 0)+IF(IF(time+1&gt;=AL$2, $K113/time_cap/(time+1)*AK$2, 0) = 0, $K113/(time_cap),0)),0)</f>
        <v/>
      </c>
      <c r="AL113" s="4395">
        <f>IFERROR(IF((time+time_cap)&lt;AL$2, 0,IF(AND(time+1&gt;=AM$2, $E113&lt;AM$2), IF($I113= "I", $J113/($F113-$E113+1), $J113/(($F113*($F113+1)/2)-(($E113-1)*($E113-1+1)/2))*AL$2), 0)+IF(IF(time+1&gt;=AM$2, $K113/time_cap/(time+1)*AL$2, 0) = 0, $K113/(time_cap),0)),0)</f>
        <v/>
      </c>
      <c r="AM113" s="4395">
        <f>IFERROR(IF((time+time_cap)&lt;AM$2, 0,IF(AND(time+1&gt;=AN$2, $E113&lt;AN$2), IF($I113= "I", $J113/($F113-$E113+1), $J113/(($F113*($F113+1)/2)-(($E113-1)*($E113-1+1)/2))*AM$2), 0)+IF(IF(time+1&gt;=AN$2, $K113/time_cap/(time+1)*AM$2, 0) = 0, $K113/(time_cap),0)),0)</f>
        <v/>
      </c>
      <c r="AN113" s="4395">
        <f>IFERROR(IF((time+time_cap)&lt;AN$2, 0,IF(AND(time+1&gt;=AO$2, $E113&lt;AO$2), IF($I113= "I", $J113/($F113-$E113+1), $J113/(($F113*($F113+1)/2)-(($E113-1)*($E113-1+1)/2))*AN$2), 0)+IF(IF(time+1&gt;=AO$2, $K113/time_cap/(time+1)*AN$2, 0) = 0, $K113/(time_cap),0)),0)</f>
        <v/>
      </c>
      <c r="AO113" s="4395">
        <f>IFERROR(IF((time+time_cap)&lt;AO$2, 0,IF(AND(time+1&gt;=AP$2, $E113&lt;AP$2), IF($I113= "I", $J113/($F113-$E113+1), $J113/(($F113*($F113+1)/2)-(($E113-1)*($E113-1+1)/2))*AO$2), 0)+IF(IF(time+1&gt;=AP$2, $K113/time_cap/(time+1)*AO$2, 0) = 0, $K113/(time_cap),0)),0)</f>
        <v/>
      </c>
      <c r="AP113" s="4395">
        <f>IFERROR(IF((time+time_cap)&lt;AP$2, 0,IF(AND(time+1&gt;=AQ$2, $E113&lt;AQ$2), IF($I113= "I", $J113/($F113-$E113+1), $J113/(($F113*($F113+1)/2)-(($E113-1)*($E113-1+1)/2))*AP$2), 0)+IF(IF(time+1&gt;=AQ$2, $K113/time_cap/(time+1)*AP$2, 0) = 0, $K113/(time_cap),0)),0)</f>
        <v/>
      </c>
      <c r="AQ113" s="4395">
        <f>IFERROR(IF((time+time_cap)&lt;AQ$2, 0,IF(AND(time+1&gt;=AR$2, $E113&lt;AR$2), IF($I113= "I", $J113/($F113-$E113+1), $J113/(($F113*($F113+1)/2)-(($E113-1)*($E113-1+1)/2))*AQ$2), 0)+IF(IF(time+1&gt;=AR$2, $K113/time_cap/(time+1)*AQ$2, 0) = 0, $K113/(time_cap),0)),0)</f>
        <v/>
      </c>
      <c r="AR113" s="4395">
        <f>IFERROR(IF((time+time_cap)&lt;AR$2, 0,IF(AND(time+1&gt;=AS$2, $E113&lt;AS$2), IF($I113= "I", $J113/($F113-$E113+1), $J113/(($F113*($F113+1)/2)-(($E113-1)*($E113-1+1)/2))*AR$2), 0)+IF(IF(time+1&gt;=AS$2, $K113/time_cap/(time+1)*AR$2, 0) = 0, $K113/(time_cap),0)),0)</f>
        <v/>
      </c>
      <c r="AS113" s="4395">
        <f>IFERROR(IF((time+time_cap)&lt;AS$2, 0,IF(AND(time+1&gt;=AT$2, $E113&lt;AT$2), IF($I113= "I", $J113/($F113-$E113+1), $J113/(($F113*($F113+1)/2)-(($E113-1)*($E113-1+1)/2))*AS$2), 0)+IF(IF(time+1&gt;=AT$2, $K113/time_cap/(time+1)*AS$2, 0) = 0, $K113/(time_cap),0)),0)</f>
        <v/>
      </c>
      <c r="AT113" s="4395">
        <f>IFERROR(IF((time+time_cap)&lt;AT$2, 0,IF(AND(time+1&gt;=AU$2, $E113&lt;AU$2), IF($I113= "I", $J113/($F113-$E113+1), $J113/(($F113*($F113+1)/2)-(($E113-1)*($E113-1+1)/2))*AT$2), 0)+IF(IF(time+1&gt;=AU$2, $K113/time_cap/(time+1)*AT$2, 0) = 0, $K113/(time_cap),0)),0)</f>
        <v/>
      </c>
      <c r="AU113" s="4395">
        <f>IFERROR(IF((time+time_cap)&lt;AU$2, 0,IF(AND(time+1&gt;=AV$2, $E113&lt;AV$2), IF($I113= "I", $J113/($F113-$E113+1), $J113/(($F113*($F113+1)/2)-(($E113-1)*($E113-1+1)/2))*AU$2), 0)+IF(IF(time+1&gt;=AV$2, $K113/time_cap/(time+1)*AU$2, 0) = 0, $K113/(time_cap),0)),0)</f>
        <v/>
      </c>
      <c r="AV113" s="4395">
        <f>IFERROR(IF((time+time_cap)&lt;AV$2, 0,IF(AND(time+1&gt;=AW$2, $E113&lt;AW$2), IF($I113= "I", $J113/($F113-$E113+1), $J113/(($F113*($F113+1)/2)-(($E113-1)*($E113-1+1)/2))*AV$2), 0)+IF(IF(time+1&gt;=AW$2, $K113/time_cap/(time+1)*AV$2, 0) = 0, $K113/(time_cap),0)),0)</f>
        <v/>
      </c>
      <c r="AW113" s="4395">
        <f>IFERROR(IF((time+time_cap)&lt;AW$2, 0,IF(AND(time+1&gt;=AX$2, $E113&lt;AX$2), IF($I113= "I", $J113/($F113-$E113+1), $J113/(($F113*($F113+1)/2)-(($E113-1)*($E113-1+1)/2))*AW$2), 0)+IF(IF(time+1&gt;=AX$2, $K113/time_cap/(time+1)*AW$2, 0) = 0, $K113/(time_cap),0)),0)</f>
        <v/>
      </c>
      <c r="AX113" s="4395">
        <f>IFERROR(IF((time+time_cap)&lt;AX$2, 0,IF(AND(time+1&gt;=AY$2, $E113&lt;AY$2), IF($I113= "I", $J113/($F113-$E113+1), $J113/(($F113*($F113+1)/2)-(($E113-1)*($E113-1+1)/2))*AX$2), 0)+IF(IF(time+1&gt;=AY$2, $K113/time_cap/(time+1)*AX$2, 0) = 0, $K113/(time_cap),0)),0)</f>
        <v/>
      </c>
      <c r="AY113" s="4395">
        <f>IFERROR(IF((time+time_cap)&lt;AY$2, 0,IF(AND(time+1&gt;=AZ$2, $E113&lt;AZ$2), IF($I113= "I", $J113/($F113-$E113+1), $J113/(($F113*($F113+1)/2)-(($E113-1)*($E113-1+1)/2))*AY$2), 0)+IF(IF(time+1&gt;=AZ$2, $K113/time_cap/(time+1)*AY$2, 0) = 0, $K113/(time_cap),0)),0)</f>
        <v/>
      </c>
      <c r="AZ113" s="4395">
        <f>IFERROR(IF((time+time_cap)&lt;AZ$2, 0,IF(AND(time+1&gt;=BA$2, $E113&lt;BA$2), IF($I113= "I", $J113/($F113-$E113+1), $J113/(($F113*($F113+1)/2)-(($E113-1)*($E113-1+1)/2))*AZ$2), 0)+IF(IF(time+1&gt;=BA$2, $K113/time_cap/(time+1)*AZ$2, 0) = 0, $K113/(time_cap),0)),0)</f>
        <v/>
      </c>
      <c r="BA113" s="4395">
        <f>IFERROR(IF((time+time_cap)&lt;BA$2, 0,IF(AND(time+1&gt;=BB$2, $E113&lt;BB$2), IF($I113= "I", $J113/($F113-$E113+1), $J113/(($F113*($F113+1)/2)-(($E113-1)*($E113-1+1)/2))*BA$2), 0)+IF(IF(time+1&gt;=BB$2, $K113/time_cap/(time+1)*BA$2, 0) = 0, $K113/(time_cap),0)),0)</f>
        <v/>
      </c>
      <c r="BB113" s="4395">
        <f>IFERROR(IF((time+time_cap)&lt;BB$2, 0,IF(AND(time+1&gt;=BC$2, $E113&lt;BC$2), IF($I113= "I", $J113/($F113-$E113+1), $J113/(($F113*($F113+1)/2)-(($E113-1)*($E113-1+1)/2))*BB$2), 0)+IF(IF(time+1&gt;=BC$2, $K113/time_cap/(time+1)*BB$2, 0) = 0, $K113/(time_cap),0)),0)</f>
        <v/>
      </c>
      <c r="BC113" s="4395">
        <f>IFERROR(IF((time+time_cap)&lt;BC$2, 0,IF(AND(time+1&gt;=BD$2, $E113&lt;BD$2), IF($I113= "I", $J113/($F113-$E113+1), $J113/(($F113*($F113+1)/2)-(($E113-1)*($E113-1+1)/2))*BC$2), 0)+IF(IF(time+1&gt;=BD$2, $K113/time_cap/(time+1)*BC$2, 0) = 0, $K113/(time_cap),0)),0)</f>
        <v/>
      </c>
      <c r="BD113" s="4395">
        <f>IFERROR(IF((time+time_cap)&lt;BD$2, 0,IF(AND(time+1&gt;=BE$2, $E113&lt;BE$2), IF($I113= "I", $J113/($F113-$E113+1), $J113/(($F113*($F113+1)/2)-(($E113-1)*($E113-1+1)/2))*BD$2), 0)+IF(IF(time+1&gt;=BE$2, $K113/time_cap/(time+1)*BD$2, 0) = 0, $K113/(time_cap),0)),0)</f>
        <v/>
      </c>
      <c r="BE113" s="4395">
        <f>IFERROR(IF((time+time_cap)&lt;BE$2, 0,IF(AND(time+1&gt;=BF$2, $E113&lt;BF$2), IF($I113= "I", $J113/($F113-$E113+1), $J113/(($F113*($F113+1)/2)-(($E113-1)*($E113-1+1)/2))*BE$2), 0)+IF(IF(time+1&gt;=BF$2, $K113/time_cap/(time+1)*BE$2, 0) = 0, $K113/(time_cap),0)),0)</f>
        <v/>
      </c>
      <c r="BF113" s="4395">
        <f>IFERROR(IF((time+time_cap)&lt;BF$2, 0,IF(AND(time+1&gt;=BG$2, $E113&lt;BG$2), IF($I113= "I", $J113/($F113-$E113+1), $J113/(($F113*($F113+1)/2)-(($E113-1)*($E113-1+1)/2))*BF$2), 0)+IF(IF(time+1&gt;=BG$2, $K113/time_cap/(time+1)*BF$2, 0) = 0, $K113/(time_cap),0)),0)</f>
        <v/>
      </c>
      <c r="BG113" s="4395">
        <f>IFERROR(IF((time+time_cap)&lt;BG$2, 0,IF(AND(time+1&gt;=BH$2, $E113&lt;BH$2), IF($I113= "I", $J113/($F113-$E113+1), $J113/(($F113*($F113+1)/2)-(($E113-1)*($E113-1+1)/2))*BG$2), 0)+IF(IF(time+1&gt;=BH$2, $K113/time_cap/(time+1)*BG$2, 0) = 0, $K113/(time_cap),0)),0)</f>
        <v/>
      </c>
      <c r="BH113" s="4395">
        <f>IFERROR(IF((time+time_cap)&lt;BH$2, 0,IF(AND(time+1&gt;=BI$2, $E113&lt;BI$2), IF($I113= "I", $J113/($F113-$E113+1), $J113/(($F113*($F113+1)/2)-(($E113-1)*($E113-1+1)/2))*BH$2), 0)+IF(IF(time+1&gt;=BI$2, $K113/time_cap/(time+1)*BH$2, 0) = 0, $K113/(time_cap),0)),0)</f>
        <v/>
      </c>
      <c r="BI113" s="4395">
        <f>IFERROR(IF((time+time_cap)&lt;BI$2, 0,IF(AND(time+1&gt;=BJ$2, $E113&lt;BJ$2), IF($I113= "I", $J113/($F113-$E113+1), $J113/(($F113*($F113+1)/2)-(($E113-1)*($E113-1+1)/2))*BI$2), 0)+IF(IF(time+1&gt;=BJ$2, $K113/time_cap/(time+1)*BI$2, 0) = 0, $K113/(time_cap),0)),0)</f>
        <v/>
      </c>
      <c r="BJ113" s="4395">
        <f>IFERROR(IF((time+time_cap)&lt;BJ$2, 0,IF(AND(time+1&gt;=BK$2, $E113&lt;BK$2), IF($I113= "I", $J113/($F113-$E113+1), $J113/(($F113*($F113+1)/2)-(($E113-1)*($E113-1+1)/2))*BJ$2), 0)+IF(IF(time+1&gt;=BK$2, $K113/time_cap/(time+1)*BJ$2, 0) = 0, $K113/(time_cap),0)),0)</f>
        <v/>
      </c>
      <c r="BK113" s="4395" t="n"/>
      <c r="BL113" s="4395" t="n"/>
      <c r="BM113" s="4395" t="n"/>
      <c r="BN113" s="4395" t="n"/>
      <c r="BO113" s="4395" t="n"/>
      <c r="BP113" s="4395" t="n"/>
      <c r="BQ113" s="4395" t="n"/>
      <c r="BR113" s="4395" t="n"/>
      <c r="BS113" s="4395" t="n"/>
      <c r="BT113" s="4395" t="n"/>
      <c r="BU113" s="4395" t="n"/>
      <c r="BV113" s="4395" t="n"/>
      <c r="BW113" s="4395" t="n"/>
      <c r="BX113" s="4395" t="n"/>
      <c r="BY113" s="4395" t="n"/>
      <c r="BZ113" s="4395" t="n"/>
      <c r="CA113" s="4395" t="n"/>
      <c r="CB113" s="4395" t="n"/>
      <c r="CC113" s="4395" t="n"/>
      <c r="CD113" s="4395" t="n"/>
      <c r="CE113" s="4395" t="n"/>
      <c r="CF113" s="4395" t="n"/>
      <c r="CG113" s="4395" t="n"/>
      <c r="CH113" s="4395" t="n"/>
      <c r="CI113" s="4395" t="n"/>
      <c r="CJ113" s="4395" t="n"/>
      <c r="CK113" s="4395" t="n"/>
      <c r="CL113" s="4395" t="n"/>
      <c r="CM113" s="4395" t="n"/>
      <c r="CN113" s="4395" t="n"/>
      <c r="CO113" s="4395" t="n"/>
      <c r="CP113" s="4395" t="n"/>
      <c r="CQ113" s="4395" t="n"/>
      <c r="CR113" s="4395" t="n"/>
      <c r="CS113" s="4395" t="n"/>
      <c r="CT113" s="4395" t="n"/>
      <c r="CU113" s="4395" t="n"/>
      <c r="CV113" s="4395" t="n"/>
      <c r="CW113" s="4395" t="n"/>
      <c r="CX113" s="4395" t="n"/>
      <c r="CY113" s="4395" t="n"/>
      <c r="CZ113" s="4395" t="n"/>
      <c r="DA113" s="4395" t="n"/>
      <c r="DB113" s="4395" t="n"/>
      <c r="DC113" s="4395" t="n"/>
      <c r="DD113" s="4395" t="n"/>
      <c r="DE113" s="4395" t="n"/>
      <c r="DF113" s="4395" t="n"/>
      <c r="DG113" s="4395" t="n"/>
      <c r="DH113" s="4395" t="n"/>
    </row>
    <row r="114" ht="16" customHeight="1">
      <c r="A114" t="inlineStr">
        <is>
          <t>Forest management</t>
        </is>
      </c>
      <c r="C114">
        <f>'5.Management'!C17</f>
        <v/>
      </c>
      <c r="D114">
        <f>'5.Management'!AF17</f>
        <v/>
      </c>
      <c r="E114">
        <f>IF('5.Management'!BR17&lt;&gt;0,'5.Management'!BR17, '5.Management'!BQ17)</f>
        <v/>
      </c>
      <c r="F114">
        <f>time</f>
        <v/>
      </c>
      <c r="G114" s="4395">
        <f>'5.Management'!Y17</f>
        <v/>
      </c>
      <c r="H114" s="4395">
        <f>'5.Management'!AA17</f>
        <v/>
      </c>
      <c r="I114" s="4395">
        <f>IF(OR(H114="I", G114="I"), "I", IF(OR(H114="E", G114="E"), "E", "D"))</f>
        <v/>
      </c>
      <c r="J114" s="4395">
        <f>((D114/(time_cap+((F114-E114+1)*VLOOKUP(I114,list!$I$48:$K$50,3, FALSE))))*(F114-E114+1)*VLOOKUP(I114,list!$I$48:$K$50,3, FALSE))</f>
        <v/>
      </c>
      <c r="K114" s="4395">
        <f>((D114/(time_cap+((F114-E114+1)*VLOOKUP(I114,list!$I$48:$K$50,3, FALSE))))*time_cap)</f>
        <v/>
      </c>
      <c r="M114" s="4395">
        <f>IFERROR(IF((time+time_cap)&lt;M$2, 0,IF(AND(time+1&gt;=N$2, $E114&lt;N$2), IF($I114= "I", $J114/($F114-$E114+1), $J114/(($F114*($F114+1)/2)-(($E114-1)*($E114-1+1)/2))*M$2), 0)+IF(IF(time+1&gt;=N$2, $K114/time_cap/(time+1)*M$2, 0) = 0, $K114/(time_cap),0)),0)</f>
        <v/>
      </c>
      <c r="N114" s="4395">
        <f>IFERROR(IF((time+time_cap)&lt;N$2, 0,IF(AND(time+1&gt;=O$2, $E114&lt;O$2), IF($I114= "I", $J114/($F114-$E114+1), $J114/(($F114*($F114+1)/2)-(($E114-1)*($E114-1+1)/2))*N$2), 0)+IF(IF(time+1&gt;=O$2, $K114/time_cap/(time+1)*N$2, 0) = 0, $K114/(time_cap),0)),0)</f>
        <v/>
      </c>
      <c r="O114" s="4395">
        <f>IFERROR(IF((time+time_cap)&lt;O$2, 0,IF(AND(time+1&gt;=P$2, $E114&lt;P$2), IF($I114= "I", $J114/($F114-$E114+1), $J114/(($F114*($F114+1)/2)-(($E114-1)*($E114-1+1)/2))*O$2), 0)+IF(IF(time+1&gt;=P$2, $K114/time_cap/(time+1)*O$2, 0) = 0, $K114/(time_cap),0)),0)</f>
        <v/>
      </c>
      <c r="P114" s="4395">
        <f>IFERROR(IF((time+time_cap)&lt;P$2, 0,IF(AND(time+1&gt;=Q$2, $E114&lt;Q$2), IF($I114= "I", $J114/($F114-$E114+1), $J114/(($F114*($F114+1)/2)-(($E114-1)*($E114-1+1)/2))*P$2), 0)+IF(IF(time+1&gt;=Q$2, $K114/time_cap/(time+1)*P$2, 0) = 0, $K114/(time_cap),0)),0)</f>
        <v/>
      </c>
      <c r="Q114" s="4395">
        <f>IFERROR(IF((time+time_cap)&lt;Q$2, 0,IF(AND(time+1&gt;=R$2, $E114&lt;R$2), IF($I114= "I", $J114/($F114-$E114+1), $J114/(($F114*($F114+1)/2)-(($E114-1)*($E114-1+1)/2))*Q$2), 0)+IF(IF(time+1&gt;=R$2, $K114/time_cap/(time+1)*Q$2, 0) = 0, $K114/(time_cap),0)),0)</f>
        <v/>
      </c>
      <c r="R114" s="4395">
        <f>IFERROR(IF((time+time_cap)&lt;R$2, 0,IF(AND(time+1&gt;=S$2, $E114&lt;S$2), IF($I114= "I", $J114/($F114-$E114+1), $J114/(($F114*($F114+1)/2)-(($E114-1)*($E114-1+1)/2))*R$2), 0)+IF(IF(time+1&gt;=S$2, $K114/time_cap/(time+1)*R$2, 0) = 0, $K114/(time_cap),0)),0)</f>
        <v/>
      </c>
      <c r="S114" s="4395">
        <f>IFERROR(IF((time+time_cap)&lt;S$2, 0,IF(AND(time+1&gt;=T$2, $E114&lt;T$2), IF($I114= "I", $J114/($F114-$E114+1), $J114/(($F114*($F114+1)/2)-(($E114-1)*($E114-1+1)/2))*S$2), 0)+IF(IF(time+1&gt;=T$2, $K114/time_cap/(time+1)*S$2, 0) = 0, $K114/(time_cap),0)),0)</f>
        <v/>
      </c>
      <c r="T114" s="4395">
        <f>IFERROR(IF((time+time_cap)&lt;T$2, 0,IF(AND(time+1&gt;=U$2, $E114&lt;U$2), IF($I114= "I", $J114/($F114-$E114+1), $J114/(($F114*($F114+1)/2)-(($E114-1)*($E114-1+1)/2))*T$2), 0)+IF(IF(time+1&gt;=U$2, $K114/time_cap/(time+1)*T$2, 0) = 0, $K114/(time_cap),0)),0)</f>
        <v/>
      </c>
      <c r="U114" s="4395">
        <f>IFERROR(IF((time+time_cap)&lt;U$2, 0,IF(AND(time+1&gt;=V$2, $E114&lt;V$2), IF($I114= "I", $J114/($F114-$E114+1), $J114/(($F114*($F114+1)/2)-(($E114-1)*($E114-1+1)/2))*U$2), 0)+IF(IF(time+1&gt;=V$2, $K114/time_cap/(time+1)*U$2, 0) = 0, $K114/(time_cap),0)),0)</f>
        <v/>
      </c>
      <c r="V114" s="4395">
        <f>IFERROR(IF((time+time_cap)&lt;V$2, 0,IF(AND(time+1&gt;=W$2, $E114&lt;W$2), IF($I114= "I", $J114/($F114-$E114+1), $J114/(($F114*($F114+1)/2)-(($E114-1)*($E114-1+1)/2))*V$2), 0)+IF(IF(time+1&gt;=W$2, $K114/time_cap/(time+1)*V$2, 0) = 0, $K114/(time_cap),0)),0)</f>
        <v/>
      </c>
      <c r="W114" s="4395">
        <f>IFERROR(IF((time+time_cap)&lt;W$2, 0,IF(AND(time+1&gt;=X$2, $E114&lt;X$2), IF($I114= "I", $J114/($F114-$E114+1), $J114/(($F114*($F114+1)/2)-(($E114-1)*($E114-1+1)/2))*W$2), 0)+IF(IF(time+1&gt;=X$2, $K114/time_cap/(time+1)*W$2, 0) = 0, $K114/(time_cap),0)),0)</f>
        <v/>
      </c>
      <c r="X114" s="4395">
        <f>IFERROR(IF((time+time_cap)&lt;X$2, 0,IF(AND(time+1&gt;=Y$2, $E114&lt;Y$2), IF($I114= "I", $J114/($F114-$E114+1), $J114/(($F114*($F114+1)/2)-(($E114-1)*($E114-1+1)/2))*X$2), 0)+IF(IF(time+1&gt;=Y$2, $K114/time_cap/(time+1)*X$2, 0) = 0, $K114/(time_cap),0)),0)</f>
        <v/>
      </c>
      <c r="Y114" s="4395">
        <f>IFERROR(IF((time+time_cap)&lt;Y$2, 0,IF(AND(time+1&gt;=Z$2, $E114&lt;Z$2), IF($I114= "I", $J114/($F114-$E114+1), $J114/(($F114*($F114+1)/2)-(($E114-1)*($E114-1+1)/2))*Y$2), 0)+IF(IF(time+1&gt;=Z$2, $K114/time_cap/(time+1)*Y$2, 0) = 0, $K114/(time_cap),0)),0)</f>
        <v/>
      </c>
      <c r="Z114" s="4395">
        <f>IFERROR(IF((time+time_cap)&lt;Z$2, 0,IF(AND(time+1&gt;=AA$2, $E114&lt;AA$2), IF($I114= "I", $J114/($F114-$E114+1), $J114/(($F114*($F114+1)/2)-(($E114-1)*($E114-1+1)/2))*Z$2), 0)+IF(IF(time+1&gt;=AA$2, $K114/time_cap/(time+1)*Z$2, 0) = 0, $K114/(time_cap),0)),0)</f>
        <v/>
      </c>
      <c r="AA114" s="4395">
        <f>IFERROR(IF((time+time_cap)&lt;AA$2, 0,IF(AND(time+1&gt;=AB$2, $E114&lt;AB$2), IF($I114= "I", $J114/($F114-$E114+1), $J114/(($F114*($F114+1)/2)-(($E114-1)*($E114-1+1)/2))*AA$2), 0)+IF(IF(time+1&gt;=AB$2, $K114/time_cap/(time+1)*AA$2, 0) = 0, $K114/(time_cap),0)),0)</f>
        <v/>
      </c>
      <c r="AB114" s="4395">
        <f>IFERROR(IF((time+time_cap)&lt;AB$2, 0,IF(AND(time+1&gt;=AC$2, $E114&lt;AC$2), IF($I114= "I", $J114/($F114-$E114+1), $J114/(($F114*($F114+1)/2)-(($E114-1)*($E114-1+1)/2))*AB$2), 0)+IF(IF(time+1&gt;=AC$2, $K114/time_cap/(time+1)*AB$2, 0) = 0, $K114/(time_cap),0)),0)</f>
        <v/>
      </c>
      <c r="AC114" s="4395">
        <f>IFERROR(IF((time+time_cap)&lt;AC$2, 0,IF(AND(time+1&gt;=AD$2, $E114&lt;AD$2), IF($I114= "I", $J114/($F114-$E114+1), $J114/(($F114*($F114+1)/2)-(($E114-1)*($E114-1+1)/2))*AC$2), 0)+IF(IF(time+1&gt;=AD$2, $K114/time_cap/(time+1)*AC$2, 0) = 0, $K114/(time_cap),0)),0)</f>
        <v/>
      </c>
      <c r="AD114" s="4395">
        <f>IFERROR(IF((time+time_cap)&lt;AD$2, 0,IF(AND(time+1&gt;=AE$2, $E114&lt;AE$2), IF($I114= "I", $J114/($F114-$E114+1), $J114/(($F114*($F114+1)/2)-(($E114-1)*($E114-1+1)/2))*AD$2), 0)+IF(IF(time+1&gt;=AE$2, $K114/time_cap/(time+1)*AD$2, 0) = 0, $K114/(time_cap),0)),0)</f>
        <v/>
      </c>
      <c r="AE114" s="4395">
        <f>IFERROR(IF((time+time_cap)&lt;AE$2, 0,IF(AND(time+1&gt;=AF$2, $E114&lt;AF$2), IF($I114= "I", $J114/($F114-$E114+1), $J114/(($F114*($F114+1)/2)-(($E114-1)*($E114-1+1)/2))*AE$2), 0)+IF(IF(time+1&gt;=AF$2, $K114/time_cap/(time+1)*AE$2, 0) = 0, $K114/(time_cap),0)),0)</f>
        <v/>
      </c>
      <c r="AF114" s="4395">
        <f>IFERROR(IF((time+time_cap)&lt;AF$2, 0,IF(AND(time+1&gt;=AG$2, $E114&lt;AG$2), IF($I114= "I", $J114/($F114-$E114+1), $J114/(($F114*($F114+1)/2)-(($E114-1)*($E114-1+1)/2))*AF$2), 0)+IF(IF(time+1&gt;=AG$2, $K114/time_cap/(time+1)*AF$2, 0) = 0, $K114/(time_cap),0)),0)</f>
        <v/>
      </c>
      <c r="AG114" s="4395">
        <f>IFERROR(IF((time+time_cap)&lt;AG$2, 0,IF(AND(time+1&gt;=AH$2, $E114&lt;AH$2), IF($I114= "I", $J114/($F114-$E114+1), $J114/(($F114*($F114+1)/2)-(($E114-1)*($E114-1+1)/2))*AG$2), 0)+IF(IF(time+1&gt;=AH$2, $K114/time_cap/(time+1)*AG$2, 0) = 0, $K114/(time_cap),0)),0)</f>
        <v/>
      </c>
      <c r="AH114" s="4395">
        <f>IFERROR(IF((time+time_cap)&lt;AH$2, 0,IF(AND(time+1&gt;=AI$2, $E114&lt;AI$2), IF($I114= "I", $J114/($F114-$E114+1), $J114/(($F114*($F114+1)/2)-(($E114-1)*($E114-1+1)/2))*AH$2), 0)+IF(IF(time+1&gt;=AI$2, $K114/time_cap/(time+1)*AH$2, 0) = 0, $K114/(time_cap),0)),0)</f>
        <v/>
      </c>
      <c r="AI114" s="4395">
        <f>IFERROR(IF((time+time_cap)&lt;AI$2, 0,IF(AND(time+1&gt;=AJ$2, $E114&lt;AJ$2), IF($I114= "I", $J114/($F114-$E114+1), $J114/(($F114*($F114+1)/2)-(($E114-1)*($E114-1+1)/2))*AI$2), 0)+IF(IF(time+1&gt;=AJ$2, $K114/time_cap/(time+1)*AI$2, 0) = 0, $K114/(time_cap),0)),0)</f>
        <v/>
      </c>
      <c r="AJ114" s="4395">
        <f>IFERROR(IF((time+time_cap)&lt;AJ$2, 0,IF(AND(time+1&gt;=AK$2, $E114&lt;AK$2), IF($I114= "I", $J114/($F114-$E114+1), $J114/(($F114*($F114+1)/2)-(($E114-1)*($E114-1+1)/2))*AJ$2), 0)+IF(IF(time+1&gt;=AK$2, $K114/time_cap/(time+1)*AJ$2, 0) = 0, $K114/(time_cap),0)),0)</f>
        <v/>
      </c>
      <c r="AK114" s="4395">
        <f>IFERROR(IF((time+time_cap)&lt;AK$2, 0,IF(AND(time+1&gt;=AL$2, $E114&lt;AL$2), IF($I114= "I", $J114/($F114-$E114+1), $J114/(($F114*($F114+1)/2)-(($E114-1)*($E114-1+1)/2))*AK$2), 0)+IF(IF(time+1&gt;=AL$2, $K114/time_cap/(time+1)*AK$2, 0) = 0, $K114/(time_cap),0)),0)</f>
        <v/>
      </c>
      <c r="AL114" s="4395">
        <f>IFERROR(IF((time+time_cap)&lt;AL$2, 0,IF(AND(time+1&gt;=AM$2, $E114&lt;AM$2), IF($I114= "I", $J114/($F114-$E114+1), $J114/(($F114*($F114+1)/2)-(($E114-1)*($E114-1+1)/2))*AL$2), 0)+IF(IF(time+1&gt;=AM$2, $K114/time_cap/(time+1)*AL$2, 0) = 0, $K114/(time_cap),0)),0)</f>
        <v/>
      </c>
      <c r="AM114" s="4395">
        <f>IFERROR(IF((time+time_cap)&lt;AM$2, 0,IF(AND(time+1&gt;=AN$2, $E114&lt;AN$2), IF($I114= "I", $J114/($F114-$E114+1), $J114/(($F114*($F114+1)/2)-(($E114-1)*($E114-1+1)/2))*AM$2), 0)+IF(IF(time+1&gt;=AN$2, $K114/time_cap/(time+1)*AM$2, 0) = 0, $K114/(time_cap),0)),0)</f>
        <v/>
      </c>
      <c r="AN114" s="4395">
        <f>IFERROR(IF((time+time_cap)&lt;AN$2, 0,IF(AND(time+1&gt;=AO$2, $E114&lt;AO$2), IF($I114= "I", $J114/($F114-$E114+1), $J114/(($F114*($F114+1)/2)-(($E114-1)*($E114-1+1)/2))*AN$2), 0)+IF(IF(time+1&gt;=AO$2, $K114/time_cap/(time+1)*AN$2, 0) = 0, $K114/(time_cap),0)),0)</f>
        <v/>
      </c>
      <c r="AO114" s="4395">
        <f>IFERROR(IF((time+time_cap)&lt;AO$2, 0,IF(AND(time+1&gt;=AP$2, $E114&lt;AP$2), IF($I114= "I", $J114/($F114-$E114+1), $J114/(($F114*($F114+1)/2)-(($E114-1)*($E114-1+1)/2))*AO$2), 0)+IF(IF(time+1&gt;=AP$2, $K114/time_cap/(time+1)*AO$2, 0) = 0, $K114/(time_cap),0)),0)</f>
        <v/>
      </c>
      <c r="AP114" s="4395">
        <f>IFERROR(IF((time+time_cap)&lt;AP$2, 0,IF(AND(time+1&gt;=AQ$2, $E114&lt;AQ$2), IF($I114= "I", $J114/($F114-$E114+1), $J114/(($F114*($F114+1)/2)-(($E114-1)*($E114-1+1)/2))*AP$2), 0)+IF(IF(time+1&gt;=AQ$2, $K114/time_cap/(time+1)*AP$2, 0) = 0, $K114/(time_cap),0)),0)</f>
        <v/>
      </c>
      <c r="AQ114" s="4395">
        <f>IFERROR(IF((time+time_cap)&lt;AQ$2, 0,IF(AND(time+1&gt;=AR$2, $E114&lt;AR$2), IF($I114= "I", $J114/($F114-$E114+1), $J114/(($F114*($F114+1)/2)-(($E114-1)*($E114-1+1)/2))*AQ$2), 0)+IF(IF(time+1&gt;=AR$2, $K114/time_cap/(time+1)*AQ$2, 0) = 0, $K114/(time_cap),0)),0)</f>
        <v/>
      </c>
      <c r="AR114" s="4395">
        <f>IFERROR(IF((time+time_cap)&lt;AR$2, 0,IF(AND(time+1&gt;=AS$2, $E114&lt;AS$2), IF($I114= "I", $J114/($F114-$E114+1), $J114/(($F114*($F114+1)/2)-(($E114-1)*($E114-1+1)/2))*AR$2), 0)+IF(IF(time+1&gt;=AS$2, $K114/time_cap/(time+1)*AR$2, 0) = 0, $K114/(time_cap),0)),0)</f>
        <v/>
      </c>
      <c r="AS114" s="4395">
        <f>IFERROR(IF((time+time_cap)&lt;AS$2, 0,IF(AND(time+1&gt;=AT$2, $E114&lt;AT$2), IF($I114= "I", $J114/($F114-$E114+1), $J114/(($F114*($F114+1)/2)-(($E114-1)*($E114-1+1)/2))*AS$2), 0)+IF(IF(time+1&gt;=AT$2, $K114/time_cap/(time+1)*AS$2, 0) = 0, $K114/(time_cap),0)),0)</f>
        <v/>
      </c>
      <c r="AT114" s="4395">
        <f>IFERROR(IF((time+time_cap)&lt;AT$2, 0,IF(AND(time+1&gt;=AU$2, $E114&lt;AU$2), IF($I114= "I", $J114/($F114-$E114+1), $J114/(($F114*($F114+1)/2)-(($E114-1)*($E114-1+1)/2))*AT$2), 0)+IF(IF(time+1&gt;=AU$2, $K114/time_cap/(time+1)*AT$2, 0) = 0, $K114/(time_cap),0)),0)</f>
        <v/>
      </c>
      <c r="AU114" s="4395">
        <f>IFERROR(IF((time+time_cap)&lt;AU$2, 0,IF(AND(time+1&gt;=AV$2, $E114&lt;AV$2), IF($I114= "I", $J114/($F114-$E114+1), $J114/(($F114*($F114+1)/2)-(($E114-1)*($E114-1+1)/2))*AU$2), 0)+IF(IF(time+1&gt;=AV$2, $K114/time_cap/(time+1)*AU$2, 0) = 0, $K114/(time_cap),0)),0)</f>
        <v/>
      </c>
      <c r="AV114" s="4395">
        <f>IFERROR(IF((time+time_cap)&lt;AV$2, 0,IF(AND(time+1&gt;=AW$2, $E114&lt;AW$2), IF($I114= "I", $J114/($F114-$E114+1), $J114/(($F114*($F114+1)/2)-(($E114-1)*($E114-1+1)/2))*AV$2), 0)+IF(IF(time+1&gt;=AW$2, $K114/time_cap/(time+1)*AV$2, 0) = 0, $K114/(time_cap),0)),0)</f>
        <v/>
      </c>
      <c r="AW114" s="4395">
        <f>IFERROR(IF((time+time_cap)&lt;AW$2, 0,IF(AND(time+1&gt;=AX$2, $E114&lt;AX$2), IF($I114= "I", $J114/($F114-$E114+1), $J114/(($F114*($F114+1)/2)-(($E114-1)*($E114-1+1)/2))*AW$2), 0)+IF(IF(time+1&gt;=AX$2, $K114/time_cap/(time+1)*AW$2, 0) = 0, $K114/(time_cap),0)),0)</f>
        <v/>
      </c>
      <c r="AX114" s="4395">
        <f>IFERROR(IF((time+time_cap)&lt;AX$2, 0,IF(AND(time+1&gt;=AY$2, $E114&lt;AY$2), IF($I114= "I", $J114/($F114-$E114+1), $J114/(($F114*($F114+1)/2)-(($E114-1)*($E114-1+1)/2))*AX$2), 0)+IF(IF(time+1&gt;=AY$2, $K114/time_cap/(time+1)*AX$2, 0) = 0, $K114/(time_cap),0)),0)</f>
        <v/>
      </c>
      <c r="AY114" s="4395">
        <f>IFERROR(IF((time+time_cap)&lt;AY$2, 0,IF(AND(time+1&gt;=AZ$2, $E114&lt;AZ$2), IF($I114= "I", $J114/($F114-$E114+1), $J114/(($F114*($F114+1)/2)-(($E114-1)*($E114-1+1)/2))*AY$2), 0)+IF(IF(time+1&gt;=AZ$2, $K114/time_cap/(time+1)*AY$2, 0) = 0, $K114/(time_cap),0)),0)</f>
        <v/>
      </c>
      <c r="AZ114" s="4395">
        <f>IFERROR(IF((time+time_cap)&lt;AZ$2, 0,IF(AND(time+1&gt;=BA$2, $E114&lt;BA$2), IF($I114= "I", $J114/($F114-$E114+1), $J114/(($F114*($F114+1)/2)-(($E114-1)*($E114-1+1)/2))*AZ$2), 0)+IF(IF(time+1&gt;=BA$2, $K114/time_cap/(time+1)*AZ$2, 0) = 0, $K114/(time_cap),0)),0)</f>
        <v/>
      </c>
      <c r="BA114" s="4395">
        <f>IFERROR(IF((time+time_cap)&lt;BA$2, 0,IF(AND(time+1&gt;=BB$2, $E114&lt;BB$2), IF($I114= "I", $J114/($F114-$E114+1), $J114/(($F114*($F114+1)/2)-(($E114-1)*($E114-1+1)/2))*BA$2), 0)+IF(IF(time+1&gt;=BB$2, $K114/time_cap/(time+1)*BA$2, 0) = 0, $K114/(time_cap),0)),0)</f>
        <v/>
      </c>
      <c r="BB114" s="4395">
        <f>IFERROR(IF((time+time_cap)&lt;BB$2, 0,IF(AND(time+1&gt;=BC$2, $E114&lt;BC$2), IF($I114= "I", $J114/($F114-$E114+1), $J114/(($F114*($F114+1)/2)-(($E114-1)*($E114-1+1)/2))*BB$2), 0)+IF(IF(time+1&gt;=BC$2, $K114/time_cap/(time+1)*BB$2, 0) = 0, $K114/(time_cap),0)),0)</f>
        <v/>
      </c>
      <c r="BC114" s="4395">
        <f>IFERROR(IF((time+time_cap)&lt;BC$2, 0,IF(AND(time+1&gt;=BD$2, $E114&lt;BD$2), IF($I114= "I", $J114/($F114-$E114+1), $J114/(($F114*($F114+1)/2)-(($E114-1)*($E114-1+1)/2))*BC$2), 0)+IF(IF(time+1&gt;=BD$2, $K114/time_cap/(time+1)*BC$2, 0) = 0, $K114/(time_cap),0)),0)</f>
        <v/>
      </c>
      <c r="BD114" s="4395">
        <f>IFERROR(IF((time+time_cap)&lt;BD$2, 0,IF(AND(time+1&gt;=BE$2, $E114&lt;BE$2), IF($I114= "I", $J114/($F114-$E114+1), $J114/(($F114*($F114+1)/2)-(($E114-1)*($E114-1+1)/2))*BD$2), 0)+IF(IF(time+1&gt;=BE$2, $K114/time_cap/(time+1)*BD$2, 0) = 0, $K114/(time_cap),0)),0)</f>
        <v/>
      </c>
      <c r="BE114" s="4395">
        <f>IFERROR(IF((time+time_cap)&lt;BE$2, 0,IF(AND(time+1&gt;=BF$2, $E114&lt;BF$2), IF($I114= "I", $J114/($F114-$E114+1), $J114/(($F114*($F114+1)/2)-(($E114-1)*($E114-1+1)/2))*BE$2), 0)+IF(IF(time+1&gt;=BF$2, $K114/time_cap/(time+1)*BE$2, 0) = 0, $K114/(time_cap),0)),0)</f>
        <v/>
      </c>
      <c r="BF114" s="4395">
        <f>IFERROR(IF((time+time_cap)&lt;BF$2, 0,IF(AND(time+1&gt;=BG$2, $E114&lt;BG$2), IF($I114= "I", $J114/($F114-$E114+1), $J114/(($F114*($F114+1)/2)-(($E114-1)*($E114-1+1)/2))*BF$2), 0)+IF(IF(time+1&gt;=BG$2, $K114/time_cap/(time+1)*BF$2, 0) = 0, $K114/(time_cap),0)),0)</f>
        <v/>
      </c>
      <c r="BG114" s="4395">
        <f>IFERROR(IF((time+time_cap)&lt;BG$2, 0,IF(AND(time+1&gt;=BH$2, $E114&lt;BH$2), IF($I114= "I", $J114/($F114-$E114+1), $J114/(($F114*($F114+1)/2)-(($E114-1)*($E114-1+1)/2))*BG$2), 0)+IF(IF(time+1&gt;=BH$2, $K114/time_cap/(time+1)*BG$2, 0) = 0, $K114/(time_cap),0)),0)</f>
        <v/>
      </c>
      <c r="BH114" s="4395">
        <f>IFERROR(IF((time+time_cap)&lt;BH$2, 0,IF(AND(time+1&gt;=BI$2, $E114&lt;BI$2), IF($I114= "I", $J114/($F114-$E114+1), $J114/(($F114*($F114+1)/2)-(($E114-1)*($E114-1+1)/2))*BH$2), 0)+IF(IF(time+1&gt;=BI$2, $K114/time_cap/(time+1)*BH$2, 0) = 0, $K114/(time_cap),0)),0)</f>
        <v/>
      </c>
      <c r="BI114" s="4395">
        <f>IFERROR(IF((time+time_cap)&lt;BI$2, 0,IF(AND(time+1&gt;=BJ$2, $E114&lt;BJ$2), IF($I114= "I", $J114/($F114-$E114+1), $J114/(($F114*($F114+1)/2)-(($E114-1)*($E114-1+1)/2))*BI$2), 0)+IF(IF(time+1&gt;=BJ$2, $K114/time_cap/(time+1)*BI$2, 0) = 0, $K114/(time_cap),0)),0)</f>
        <v/>
      </c>
      <c r="BJ114" s="4395">
        <f>IFERROR(IF((time+time_cap)&lt;BJ$2, 0,IF(AND(time+1&gt;=BK$2, $E114&lt;BK$2), IF($I114= "I", $J114/($F114-$E114+1), $J114/(($F114*($F114+1)/2)-(($E114-1)*($E114-1+1)/2))*BJ$2), 0)+IF(IF(time+1&gt;=BK$2, $K114/time_cap/(time+1)*BJ$2, 0) = 0, $K114/(time_cap),0)),0)</f>
        <v/>
      </c>
      <c r="BK114" s="4395" t="n"/>
      <c r="BL114" s="4395" t="n"/>
      <c r="BM114" s="4395" t="n"/>
      <c r="BN114" s="4395" t="n"/>
      <c r="BO114" s="4395" t="n"/>
      <c r="BP114" s="4395" t="n"/>
      <c r="BQ114" s="4395" t="n"/>
      <c r="BR114" s="4395" t="n"/>
      <c r="BS114" s="4395" t="n"/>
      <c r="BT114" s="4395" t="n"/>
      <c r="BU114" s="4395" t="n"/>
      <c r="BV114" s="4395" t="n"/>
      <c r="BW114" s="4395" t="n"/>
      <c r="BX114" s="4395" t="n"/>
      <c r="BY114" s="4395" t="n"/>
      <c r="BZ114" s="4395" t="n"/>
      <c r="CA114" s="4395" t="n"/>
      <c r="CB114" s="4395" t="n"/>
      <c r="CC114" s="4395" t="n"/>
      <c r="CD114" s="4395" t="n"/>
      <c r="CE114" s="4395" t="n"/>
      <c r="CF114" s="4395" t="n"/>
      <c r="CG114" s="4395" t="n"/>
      <c r="CH114" s="4395" t="n"/>
      <c r="CI114" s="4395" t="n"/>
      <c r="CJ114" s="4395" t="n"/>
      <c r="CK114" s="4395" t="n"/>
      <c r="CL114" s="4395" t="n"/>
      <c r="CM114" s="4395" t="n"/>
      <c r="CN114" s="4395" t="n"/>
      <c r="CO114" s="4395" t="n"/>
      <c r="CP114" s="4395" t="n"/>
      <c r="CQ114" s="4395" t="n"/>
      <c r="CR114" s="4395" t="n"/>
      <c r="CS114" s="4395" t="n"/>
      <c r="CT114" s="4395" t="n"/>
      <c r="CU114" s="4395" t="n"/>
      <c r="CV114" s="4395" t="n"/>
      <c r="CW114" s="4395" t="n"/>
      <c r="CX114" s="4395" t="n"/>
      <c r="CY114" s="4395" t="n"/>
      <c r="CZ114" s="4395" t="n"/>
      <c r="DA114" s="4395" t="n"/>
      <c r="DB114" s="4395" t="n"/>
      <c r="DC114" s="4395" t="n"/>
      <c r="DD114" s="4395" t="n"/>
      <c r="DE114" s="4395" t="n"/>
      <c r="DF114" s="4395" t="n"/>
      <c r="DG114" s="4395" t="n"/>
      <c r="DH114" s="4395" t="n"/>
    </row>
    <row r="115" ht="16" customHeight="1">
      <c r="A115" t="inlineStr">
        <is>
          <t>Forest management</t>
        </is>
      </c>
      <c r="C115">
        <f>'5.Management'!C18</f>
        <v/>
      </c>
      <c r="D115">
        <f>'5.Management'!AF18</f>
        <v/>
      </c>
      <c r="E115">
        <f>IF('5.Management'!BR18&lt;&gt;0,'5.Management'!BR18, '5.Management'!BQ18)</f>
        <v/>
      </c>
      <c r="F115">
        <f>time</f>
        <v/>
      </c>
      <c r="G115" s="4395">
        <f>'5.Management'!Y18</f>
        <v/>
      </c>
      <c r="H115" s="4395">
        <f>'5.Management'!AA18</f>
        <v/>
      </c>
      <c r="I115" s="4395">
        <f>IF(OR(H115="I", G115="I"), "I", IF(OR(H115="E", G115="E"), "E", "D"))</f>
        <v/>
      </c>
      <c r="J115" s="4395">
        <f>((D115/(time_cap+((F115-E115+1)*VLOOKUP(I115,list!$I$48:$K$50,3, FALSE))))*(F115-E115+1)*VLOOKUP(I115,list!$I$48:$K$50,3, FALSE))</f>
        <v/>
      </c>
      <c r="K115" s="4395">
        <f>((D115/(time_cap+((F115-E115+1)*VLOOKUP(I115,list!$I$48:$K$50,3, FALSE))))*time_cap)</f>
        <v/>
      </c>
      <c r="M115" s="4395">
        <f>IFERROR(IF((time+time_cap)&lt;M$2, 0,IF(AND(time+1&gt;=N$2, $E115&lt;N$2), IF($I115= "I", $J115/($F115-$E115+1), $J115/(($F115*($F115+1)/2)-(($E115-1)*($E115-1+1)/2))*M$2), 0)+IF(IF(time+1&gt;=N$2, $K115/time_cap/(time+1)*M$2, 0) = 0, $K115/(time_cap),0)),0)</f>
        <v/>
      </c>
      <c r="N115" s="4395">
        <f>IFERROR(IF((time+time_cap)&lt;N$2, 0,IF(AND(time+1&gt;=O$2, $E115&lt;O$2), IF($I115= "I", $J115/($F115-$E115+1), $J115/(($F115*($F115+1)/2)-(($E115-1)*($E115-1+1)/2))*N$2), 0)+IF(IF(time+1&gt;=O$2, $K115/time_cap/(time+1)*N$2, 0) = 0, $K115/(time_cap),0)),0)</f>
        <v/>
      </c>
      <c r="O115" s="4395">
        <f>IFERROR(IF((time+time_cap)&lt;O$2, 0,IF(AND(time+1&gt;=P$2, $E115&lt;P$2), IF($I115= "I", $J115/($F115-$E115+1), $J115/(($F115*($F115+1)/2)-(($E115-1)*($E115-1+1)/2))*O$2), 0)+IF(IF(time+1&gt;=P$2, $K115/time_cap/(time+1)*O$2, 0) = 0, $K115/(time_cap),0)),0)</f>
        <v/>
      </c>
      <c r="P115" s="4395">
        <f>IFERROR(IF((time+time_cap)&lt;P$2, 0,IF(AND(time+1&gt;=Q$2, $E115&lt;Q$2), IF($I115= "I", $J115/($F115-$E115+1), $J115/(($F115*($F115+1)/2)-(($E115-1)*($E115-1+1)/2))*P$2), 0)+IF(IF(time+1&gt;=Q$2, $K115/time_cap/(time+1)*P$2, 0) = 0, $K115/(time_cap),0)),0)</f>
        <v/>
      </c>
      <c r="Q115" s="4395">
        <f>IFERROR(IF((time+time_cap)&lt;Q$2, 0,IF(AND(time+1&gt;=R$2, $E115&lt;R$2), IF($I115= "I", $J115/($F115-$E115+1), $J115/(($F115*($F115+1)/2)-(($E115-1)*($E115-1+1)/2))*Q$2), 0)+IF(IF(time+1&gt;=R$2, $K115/time_cap/(time+1)*Q$2, 0) = 0, $K115/(time_cap),0)),0)</f>
        <v/>
      </c>
      <c r="R115" s="4395">
        <f>IFERROR(IF((time+time_cap)&lt;R$2, 0,IF(AND(time+1&gt;=S$2, $E115&lt;S$2), IF($I115= "I", $J115/($F115-$E115+1), $J115/(($F115*($F115+1)/2)-(($E115-1)*($E115-1+1)/2))*R$2), 0)+IF(IF(time+1&gt;=S$2, $K115/time_cap/(time+1)*R$2, 0) = 0, $K115/(time_cap),0)),0)</f>
        <v/>
      </c>
      <c r="S115" s="4395">
        <f>IFERROR(IF((time+time_cap)&lt;S$2, 0,IF(AND(time+1&gt;=T$2, $E115&lt;T$2), IF($I115= "I", $J115/($F115-$E115+1), $J115/(($F115*($F115+1)/2)-(($E115-1)*($E115-1+1)/2))*S$2), 0)+IF(IF(time+1&gt;=T$2, $K115/time_cap/(time+1)*S$2, 0) = 0, $K115/(time_cap),0)),0)</f>
        <v/>
      </c>
      <c r="T115" s="4395">
        <f>IFERROR(IF((time+time_cap)&lt;T$2, 0,IF(AND(time+1&gt;=U$2, $E115&lt;U$2), IF($I115= "I", $J115/($F115-$E115+1), $J115/(($F115*($F115+1)/2)-(($E115-1)*($E115-1+1)/2))*T$2), 0)+IF(IF(time+1&gt;=U$2, $K115/time_cap/(time+1)*T$2, 0) = 0, $K115/(time_cap),0)),0)</f>
        <v/>
      </c>
      <c r="U115" s="4395">
        <f>IFERROR(IF((time+time_cap)&lt;U$2, 0,IF(AND(time+1&gt;=V$2, $E115&lt;V$2), IF($I115= "I", $J115/($F115-$E115+1), $J115/(($F115*($F115+1)/2)-(($E115-1)*($E115-1+1)/2))*U$2), 0)+IF(IF(time+1&gt;=V$2, $K115/time_cap/(time+1)*U$2, 0) = 0, $K115/(time_cap),0)),0)</f>
        <v/>
      </c>
      <c r="V115" s="4395">
        <f>IFERROR(IF((time+time_cap)&lt;V$2, 0,IF(AND(time+1&gt;=W$2, $E115&lt;W$2), IF($I115= "I", $J115/($F115-$E115+1), $J115/(($F115*($F115+1)/2)-(($E115-1)*($E115-1+1)/2))*V$2), 0)+IF(IF(time+1&gt;=W$2, $K115/time_cap/(time+1)*V$2, 0) = 0, $K115/(time_cap),0)),0)</f>
        <v/>
      </c>
      <c r="W115" s="4395">
        <f>IFERROR(IF((time+time_cap)&lt;W$2, 0,IF(AND(time+1&gt;=X$2, $E115&lt;X$2), IF($I115= "I", $J115/($F115-$E115+1), $J115/(($F115*($F115+1)/2)-(($E115-1)*($E115-1+1)/2))*W$2), 0)+IF(IF(time+1&gt;=X$2, $K115/time_cap/(time+1)*W$2, 0) = 0, $K115/(time_cap),0)),0)</f>
        <v/>
      </c>
      <c r="X115" s="4395">
        <f>IFERROR(IF((time+time_cap)&lt;X$2, 0,IF(AND(time+1&gt;=Y$2, $E115&lt;Y$2), IF($I115= "I", $J115/($F115-$E115+1), $J115/(($F115*($F115+1)/2)-(($E115-1)*($E115-1+1)/2))*X$2), 0)+IF(IF(time+1&gt;=Y$2, $K115/time_cap/(time+1)*X$2, 0) = 0, $K115/(time_cap),0)),0)</f>
        <v/>
      </c>
      <c r="Y115" s="4395">
        <f>IFERROR(IF((time+time_cap)&lt;Y$2, 0,IF(AND(time+1&gt;=Z$2, $E115&lt;Z$2), IF($I115= "I", $J115/($F115-$E115+1), $J115/(($F115*($F115+1)/2)-(($E115-1)*($E115-1+1)/2))*Y$2), 0)+IF(IF(time+1&gt;=Z$2, $K115/time_cap/(time+1)*Y$2, 0) = 0, $K115/(time_cap),0)),0)</f>
        <v/>
      </c>
      <c r="Z115" s="4395">
        <f>IFERROR(IF((time+time_cap)&lt;Z$2, 0,IF(AND(time+1&gt;=AA$2, $E115&lt;AA$2), IF($I115= "I", $J115/($F115-$E115+1), $J115/(($F115*($F115+1)/2)-(($E115-1)*($E115-1+1)/2))*Z$2), 0)+IF(IF(time+1&gt;=AA$2, $K115/time_cap/(time+1)*Z$2, 0) = 0, $K115/(time_cap),0)),0)</f>
        <v/>
      </c>
      <c r="AA115" s="4395">
        <f>IFERROR(IF((time+time_cap)&lt;AA$2, 0,IF(AND(time+1&gt;=AB$2, $E115&lt;AB$2), IF($I115= "I", $J115/($F115-$E115+1), $J115/(($F115*($F115+1)/2)-(($E115-1)*($E115-1+1)/2))*AA$2), 0)+IF(IF(time+1&gt;=AB$2, $K115/time_cap/(time+1)*AA$2, 0) = 0, $K115/(time_cap),0)),0)</f>
        <v/>
      </c>
      <c r="AB115" s="4395">
        <f>IFERROR(IF((time+time_cap)&lt;AB$2, 0,IF(AND(time+1&gt;=AC$2, $E115&lt;AC$2), IF($I115= "I", $J115/($F115-$E115+1), $J115/(($F115*($F115+1)/2)-(($E115-1)*($E115-1+1)/2))*AB$2), 0)+IF(IF(time+1&gt;=AC$2, $K115/time_cap/(time+1)*AB$2, 0) = 0, $K115/(time_cap),0)),0)</f>
        <v/>
      </c>
      <c r="AC115" s="4395">
        <f>IFERROR(IF((time+time_cap)&lt;AC$2, 0,IF(AND(time+1&gt;=AD$2, $E115&lt;AD$2), IF($I115= "I", $J115/($F115-$E115+1), $J115/(($F115*($F115+1)/2)-(($E115-1)*($E115-1+1)/2))*AC$2), 0)+IF(IF(time+1&gt;=AD$2, $K115/time_cap/(time+1)*AC$2, 0) = 0, $K115/(time_cap),0)),0)</f>
        <v/>
      </c>
      <c r="AD115" s="4395">
        <f>IFERROR(IF((time+time_cap)&lt;AD$2, 0,IF(AND(time+1&gt;=AE$2, $E115&lt;AE$2), IF($I115= "I", $J115/($F115-$E115+1), $J115/(($F115*($F115+1)/2)-(($E115-1)*($E115-1+1)/2))*AD$2), 0)+IF(IF(time+1&gt;=AE$2, $K115/time_cap/(time+1)*AD$2, 0) = 0, $K115/(time_cap),0)),0)</f>
        <v/>
      </c>
      <c r="AE115" s="4395">
        <f>IFERROR(IF((time+time_cap)&lt;AE$2, 0,IF(AND(time+1&gt;=AF$2, $E115&lt;AF$2), IF($I115= "I", $J115/($F115-$E115+1), $J115/(($F115*($F115+1)/2)-(($E115-1)*($E115-1+1)/2))*AE$2), 0)+IF(IF(time+1&gt;=AF$2, $K115/time_cap/(time+1)*AE$2, 0) = 0, $K115/(time_cap),0)),0)</f>
        <v/>
      </c>
      <c r="AF115" s="4395">
        <f>IFERROR(IF((time+time_cap)&lt;AF$2, 0,IF(AND(time+1&gt;=AG$2, $E115&lt;AG$2), IF($I115= "I", $J115/($F115-$E115+1), $J115/(($F115*($F115+1)/2)-(($E115-1)*($E115-1+1)/2))*AF$2), 0)+IF(IF(time+1&gt;=AG$2, $K115/time_cap/(time+1)*AF$2, 0) = 0, $K115/(time_cap),0)),0)</f>
        <v/>
      </c>
      <c r="AG115" s="4395">
        <f>IFERROR(IF((time+time_cap)&lt;AG$2, 0,IF(AND(time+1&gt;=AH$2, $E115&lt;AH$2), IF($I115= "I", $J115/($F115-$E115+1), $J115/(($F115*($F115+1)/2)-(($E115-1)*($E115-1+1)/2))*AG$2), 0)+IF(IF(time+1&gt;=AH$2, $K115/time_cap/(time+1)*AG$2, 0) = 0, $K115/(time_cap),0)),0)</f>
        <v/>
      </c>
      <c r="AH115" s="4395">
        <f>IFERROR(IF((time+time_cap)&lt;AH$2, 0,IF(AND(time+1&gt;=AI$2, $E115&lt;AI$2), IF($I115= "I", $J115/($F115-$E115+1), $J115/(($F115*($F115+1)/2)-(($E115-1)*($E115-1+1)/2))*AH$2), 0)+IF(IF(time+1&gt;=AI$2, $K115/time_cap/(time+1)*AH$2, 0) = 0, $K115/(time_cap),0)),0)</f>
        <v/>
      </c>
      <c r="AI115" s="4395">
        <f>IFERROR(IF((time+time_cap)&lt;AI$2, 0,IF(AND(time+1&gt;=AJ$2, $E115&lt;AJ$2), IF($I115= "I", $J115/($F115-$E115+1), $J115/(($F115*($F115+1)/2)-(($E115-1)*($E115-1+1)/2))*AI$2), 0)+IF(IF(time+1&gt;=AJ$2, $K115/time_cap/(time+1)*AI$2, 0) = 0, $K115/(time_cap),0)),0)</f>
        <v/>
      </c>
      <c r="AJ115" s="4395">
        <f>IFERROR(IF((time+time_cap)&lt;AJ$2, 0,IF(AND(time+1&gt;=AK$2, $E115&lt;AK$2), IF($I115= "I", $J115/($F115-$E115+1), $J115/(($F115*($F115+1)/2)-(($E115-1)*($E115-1+1)/2))*AJ$2), 0)+IF(IF(time+1&gt;=AK$2, $K115/time_cap/(time+1)*AJ$2, 0) = 0, $K115/(time_cap),0)),0)</f>
        <v/>
      </c>
      <c r="AK115" s="4395">
        <f>IFERROR(IF((time+time_cap)&lt;AK$2, 0,IF(AND(time+1&gt;=AL$2, $E115&lt;AL$2), IF($I115= "I", $J115/($F115-$E115+1), $J115/(($F115*($F115+1)/2)-(($E115-1)*($E115-1+1)/2))*AK$2), 0)+IF(IF(time+1&gt;=AL$2, $K115/time_cap/(time+1)*AK$2, 0) = 0, $K115/(time_cap),0)),0)</f>
        <v/>
      </c>
      <c r="AL115" s="4395">
        <f>IFERROR(IF((time+time_cap)&lt;AL$2, 0,IF(AND(time+1&gt;=AM$2, $E115&lt;AM$2), IF($I115= "I", $J115/($F115-$E115+1), $J115/(($F115*($F115+1)/2)-(($E115-1)*($E115-1+1)/2))*AL$2), 0)+IF(IF(time+1&gt;=AM$2, $K115/time_cap/(time+1)*AL$2, 0) = 0, $K115/(time_cap),0)),0)</f>
        <v/>
      </c>
      <c r="AM115" s="4395">
        <f>IFERROR(IF((time+time_cap)&lt;AM$2, 0,IF(AND(time+1&gt;=AN$2, $E115&lt;AN$2), IF($I115= "I", $J115/($F115-$E115+1), $J115/(($F115*($F115+1)/2)-(($E115-1)*($E115-1+1)/2))*AM$2), 0)+IF(IF(time+1&gt;=AN$2, $K115/time_cap/(time+1)*AM$2, 0) = 0, $K115/(time_cap),0)),0)</f>
        <v/>
      </c>
      <c r="AN115" s="4395">
        <f>IFERROR(IF((time+time_cap)&lt;AN$2, 0,IF(AND(time+1&gt;=AO$2, $E115&lt;AO$2), IF($I115= "I", $J115/($F115-$E115+1), $J115/(($F115*($F115+1)/2)-(($E115-1)*($E115-1+1)/2))*AN$2), 0)+IF(IF(time+1&gt;=AO$2, $K115/time_cap/(time+1)*AN$2, 0) = 0, $K115/(time_cap),0)),0)</f>
        <v/>
      </c>
      <c r="AO115" s="4395">
        <f>IFERROR(IF((time+time_cap)&lt;AO$2, 0,IF(AND(time+1&gt;=AP$2, $E115&lt;AP$2), IF($I115= "I", $J115/($F115-$E115+1), $J115/(($F115*($F115+1)/2)-(($E115-1)*($E115-1+1)/2))*AO$2), 0)+IF(IF(time+1&gt;=AP$2, $K115/time_cap/(time+1)*AO$2, 0) = 0, $K115/(time_cap),0)),0)</f>
        <v/>
      </c>
      <c r="AP115" s="4395">
        <f>IFERROR(IF((time+time_cap)&lt;AP$2, 0,IF(AND(time+1&gt;=AQ$2, $E115&lt;AQ$2), IF($I115= "I", $J115/($F115-$E115+1), $J115/(($F115*($F115+1)/2)-(($E115-1)*($E115-1+1)/2))*AP$2), 0)+IF(IF(time+1&gt;=AQ$2, $K115/time_cap/(time+1)*AP$2, 0) = 0, $K115/(time_cap),0)),0)</f>
        <v/>
      </c>
      <c r="AQ115" s="4395">
        <f>IFERROR(IF((time+time_cap)&lt;AQ$2, 0,IF(AND(time+1&gt;=AR$2, $E115&lt;AR$2), IF($I115= "I", $J115/($F115-$E115+1), $J115/(($F115*($F115+1)/2)-(($E115-1)*($E115-1+1)/2))*AQ$2), 0)+IF(IF(time+1&gt;=AR$2, $K115/time_cap/(time+1)*AQ$2, 0) = 0, $K115/(time_cap),0)),0)</f>
        <v/>
      </c>
      <c r="AR115" s="4395">
        <f>IFERROR(IF((time+time_cap)&lt;AR$2, 0,IF(AND(time+1&gt;=AS$2, $E115&lt;AS$2), IF($I115= "I", $J115/($F115-$E115+1), $J115/(($F115*($F115+1)/2)-(($E115-1)*($E115-1+1)/2))*AR$2), 0)+IF(IF(time+1&gt;=AS$2, $K115/time_cap/(time+1)*AR$2, 0) = 0, $K115/(time_cap),0)),0)</f>
        <v/>
      </c>
      <c r="AS115" s="4395">
        <f>IFERROR(IF((time+time_cap)&lt;AS$2, 0,IF(AND(time+1&gt;=AT$2, $E115&lt;AT$2), IF($I115= "I", $J115/($F115-$E115+1), $J115/(($F115*($F115+1)/2)-(($E115-1)*($E115-1+1)/2))*AS$2), 0)+IF(IF(time+1&gt;=AT$2, $K115/time_cap/(time+1)*AS$2, 0) = 0, $K115/(time_cap),0)),0)</f>
        <v/>
      </c>
      <c r="AT115" s="4395">
        <f>IFERROR(IF((time+time_cap)&lt;AT$2, 0,IF(AND(time+1&gt;=AU$2, $E115&lt;AU$2), IF($I115= "I", $J115/($F115-$E115+1), $J115/(($F115*($F115+1)/2)-(($E115-1)*($E115-1+1)/2))*AT$2), 0)+IF(IF(time+1&gt;=AU$2, $K115/time_cap/(time+1)*AT$2, 0) = 0, $K115/(time_cap),0)),0)</f>
        <v/>
      </c>
      <c r="AU115" s="4395">
        <f>IFERROR(IF((time+time_cap)&lt;AU$2, 0,IF(AND(time+1&gt;=AV$2, $E115&lt;AV$2), IF($I115= "I", $J115/($F115-$E115+1), $J115/(($F115*($F115+1)/2)-(($E115-1)*($E115-1+1)/2))*AU$2), 0)+IF(IF(time+1&gt;=AV$2, $K115/time_cap/(time+1)*AU$2, 0) = 0, $K115/(time_cap),0)),0)</f>
        <v/>
      </c>
      <c r="AV115" s="4395">
        <f>IFERROR(IF((time+time_cap)&lt;AV$2, 0,IF(AND(time+1&gt;=AW$2, $E115&lt;AW$2), IF($I115= "I", $J115/($F115-$E115+1), $J115/(($F115*($F115+1)/2)-(($E115-1)*($E115-1+1)/2))*AV$2), 0)+IF(IF(time+1&gt;=AW$2, $K115/time_cap/(time+1)*AV$2, 0) = 0, $K115/(time_cap),0)),0)</f>
        <v/>
      </c>
      <c r="AW115" s="4395">
        <f>IFERROR(IF((time+time_cap)&lt;AW$2, 0,IF(AND(time+1&gt;=AX$2, $E115&lt;AX$2), IF($I115= "I", $J115/($F115-$E115+1), $J115/(($F115*($F115+1)/2)-(($E115-1)*($E115-1+1)/2))*AW$2), 0)+IF(IF(time+1&gt;=AX$2, $K115/time_cap/(time+1)*AW$2, 0) = 0, $K115/(time_cap),0)),0)</f>
        <v/>
      </c>
      <c r="AX115" s="4395">
        <f>IFERROR(IF((time+time_cap)&lt;AX$2, 0,IF(AND(time+1&gt;=AY$2, $E115&lt;AY$2), IF($I115= "I", $J115/($F115-$E115+1), $J115/(($F115*($F115+1)/2)-(($E115-1)*($E115-1+1)/2))*AX$2), 0)+IF(IF(time+1&gt;=AY$2, $K115/time_cap/(time+1)*AX$2, 0) = 0, $K115/(time_cap),0)),0)</f>
        <v/>
      </c>
      <c r="AY115" s="4395">
        <f>IFERROR(IF((time+time_cap)&lt;AY$2, 0,IF(AND(time+1&gt;=AZ$2, $E115&lt;AZ$2), IF($I115= "I", $J115/($F115-$E115+1), $J115/(($F115*($F115+1)/2)-(($E115-1)*($E115-1+1)/2))*AY$2), 0)+IF(IF(time+1&gt;=AZ$2, $K115/time_cap/(time+1)*AY$2, 0) = 0, $K115/(time_cap),0)),0)</f>
        <v/>
      </c>
      <c r="AZ115" s="4395">
        <f>IFERROR(IF((time+time_cap)&lt;AZ$2, 0,IF(AND(time+1&gt;=BA$2, $E115&lt;BA$2), IF($I115= "I", $J115/($F115-$E115+1), $J115/(($F115*($F115+1)/2)-(($E115-1)*($E115-1+1)/2))*AZ$2), 0)+IF(IF(time+1&gt;=BA$2, $K115/time_cap/(time+1)*AZ$2, 0) = 0, $K115/(time_cap),0)),0)</f>
        <v/>
      </c>
      <c r="BA115" s="4395">
        <f>IFERROR(IF((time+time_cap)&lt;BA$2, 0,IF(AND(time+1&gt;=BB$2, $E115&lt;BB$2), IF($I115= "I", $J115/($F115-$E115+1), $J115/(($F115*($F115+1)/2)-(($E115-1)*($E115-1+1)/2))*BA$2), 0)+IF(IF(time+1&gt;=BB$2, $K115/time_cap/(time+1)*BA$2, 0) = 0, $K115/(time_cap),0)),0)</f>
        <v/>
      </c>
      <c r="BB115" s="4395">
        <f>IFERROR(IF((time+time_cap)&lt;BB$2, 0,IF(AND(time+1&gt;=BC$2, $E115&lt;BC$2), IF($I115= "I", $J115/($F115-$E115+1), $J115/(($F115*($F115+1)/2)-(($E115-1)*($E115-1+1)/2))*BB$2), 0)+IF(IF(time+1&gt;=BC$2, $K115/time_cap/(time+1)*BB$2, 0) = 0, $K115/(time_cap),0)),0)</f>
        <v/>
      </c>
      <c r="BC115" s="4395">
        <f>IFERROR(IF((time+time_cap)&lt;BC$2, 0,IF(AND(time+1&gt;=BD$2, $E115&lt;BD$2), IF($I115= "I", $J115/($F115-$E115+1), $J115/(($F115*($F115+1)/2)-(($E115-1)*($E115-1+1)/2))*BC$2), 0)+IF(IF(time+1&gt;=BD$2, $K115/time_cap/(time+1)*BC$2, 0) = 0, $K115/(time_cap),0)),0)</f>
        <v/>
      </c>
      <c r="BD115" s="4395">
        <f>IFERROR(IF((time+time_cap)&lt;BD$2, 0,IF(AND(time+1&gt;=BE$2, $E115&lt;BE$2), IF($I115= "I", $J115/($F115-$E115+1), $J115/(($F115*($F115+1)/2)-(($E115-1)*($E115-1+1)/2))*BD$2), 0)+IF(IF(time+1&gt;=BE$2, $K115/time_cap/(time+1)*BD$2, 0) = 0, $K115/(time_cap),0)),0)</f>
        <v/>
      </c>
      <c r="BE115" s="4395">
        <f>IFERROR(IF((time+time_cap)&lt;BE$2, 0,IF(AND(time+1&gt;=BF$2, $E115&lt;BF$2), IF($I115= "I", $J115/($F115-$E115+1), $J115/(($F115*($F115+1)/2)-(($E115-1)*($E115-1+1)/2))*BE$2), 0)+IF(IF(time+1&gt;=BF$2, $K115/time_cap/(time+1)*BE$2, 0) = 0, $K115/(time_cap),0)),0)</f>
        <v/>
      </c>
      <c r="BF115" s="4395">
        <f>IFERROR(IF((time+time_cap)&lt;BF$2, 0,IF(AND(time+1&gt;=BG$2, $E115&lt;BG$2), IF($I115= "I", $J115/($F115-$E115+1), $J115/(($F115*($F115+1)/2)-(($E115-1)*($E115-1+1)/2))*BF$2), 0)+IF(IF(time+1&gt;=BG$2, $K115/time_cap/(time+1)*BF$2, 0) = 0, $K115/(time_cap),0)),0)</f>
        <v/>
      </c>
      <c r="BG115" s="4395">
        <f>IFERROR(IF((time+time_cap)&lt;BG$2, 0,IF(AND(time+1&gt;=BH$2, $E115&lt;BH$2), IF($I115= "I", $J115/($F115-$E115+1), $J115/(($F115*($F115+1)/2)-(($E115-1)*($E115-1+1)/2))*BG$2), 0)+IF(IF(time+1&gt;=BH$2, $K115/time_cap/(time+1)*BG$2, 0) = 0, $K115/(time_cap),0)),0)</f>
        <v/>
      </c>
      <c r="BH115" s="4395">
        <f>IFERROR(IF((time+time_cap)&lt;BH$2, 0,IF(AND(time+1&gt;=BI$2, $E115&lt;BI$2), IF($I115= "I", $J115/($F115-$E115+1), $J115/(($F115*($F115+1)/2)-(($E115-1)*($E115-1+1)/2))*BH$2), 0)+IF(IF(time+1&gt;=BI$2, $K115/time_cap/(time+1)*BH$2, 0) = 0, $K115/(time_cap),0)),0)</f>
        <v/>
      </c>
      <c r="BI115" s="4395">
        <f>IFERROR(IF((time+time_cap)&lt;BI$2, 0,IF(AND(time+1&gt;=BJ$2, $E115&lt;BJ$2), IF($I115= "I", $J115/($F115-$E115+1), $J115/(($F115*($F115+1)/2)-(($E115-1)*($E115-1+1)/2))*BI$2), 0)+IF(IF(time+1&gt;=BJ$2, $K115/time_cap/(time+1)*BI$2, 0) = 0, $K115/(time_cap),0)),0)</f>
        <v/>
      </c>
      <c r="BJ115" s="4395">
        <f>IFERROR(IF((time+time_cap)&lt;BJ$2, 0,IF(AND(time+1&gt;=BK$2, $E115&lt;BK$2), IF($I115= "I", $J115/($F115-$E115+1), $J115/(($F115*($F115+1)/2)-(($E115-1)*($E115-1+1)/2))*BJ$2), 0)+IF(IF(time+1&gt;=BK$2, $K115/time_cap/(time+1)*BJ$2, 0) = 0, $K115/(time_cap),0)),0)</f>
        <v/>
      </c>
      <c r="BK115" s="4395" t="n"/>
      <c r="BL115" s="4395" t="n"/>
      <c r="BM115" s="4395" t="n"/>
      <c r="BN115" s="4395" t="n"/>
      <c r="BO115" s="4395" t="n"/>
      <c r="BP115" s="4395" t="n"/>
      <c r="BQ115" s="4395" t="n"/>
      <c r="BR115" s="4395" t="n"/>
      <c r="BS115" s="4395" t="n"/>
      <c r="BT115" s="4395" t="n"/>
      <c r="BU115" s="4395" t="n"/>
      <c r="BV115" s="4395" t="n"/>
      <c r="BW115" s="4395" t="n"/>
      <c r="BX115" s="4395" t="n"/>
      <c r="BY115" s="4395" t="n"/>
      <c r="BZ115" s="4395" t="n"/>
      <c r="CA115" s="4395" t="n"/>
      <c r="CB115" s="4395" t="n"/>
      <c r="CC115" s="4395" t="n"/>
      <c r="CD115" s="4395" t="n"/>
      <c r="CE115" s="4395" t="n"/>
      <c r="CF115" s="4395" t="n"/>
      <c r="CG115" s="4395" t="n"/>
      <c r="CH115" s="4395" t="n"/>
      <c r="CI115" s="4395" t="n"/>
      <c r="CJ115" s="4395" t="n"/>
      <c r="CK115" s="4395" t="n"/>
      <c r="CL115" s="4395" t="n"/>
      <c r="CM115" s="4395" t="n"/>
      <c r="CN115" s="4395" t="n"/>
      <c r="CO115" s="4395" t="n"/>
      <c r="CP115" s="4395" t="n"/>
      <c r="CQ115" s="4395" t="n"/>
      <c r="CR115" s="4395" t="n"/>
      <c r="CS115" s="4395" t="n"/>
      <c r="CT115" s="4395" t="n"/>
      <c r="CU115" s="4395" t="n"/>
      <c r="CV115" s="4395" t="n"/>
      <c r="CW115" s="4395" t="n"/>
      <c r="CX115" s="4395" t="n"/>
      <c r="CY115" s="4395" t="n"/>
      <c r="CZ115" s="4395" t="n"/>
      <c r="DA115" s="4395" t="n"/>
      <c r="DB115" s="4395" t="n"/>
      <c r="DC115" s="4395" t="n"/>
      <c r="DD115" s="4395" t="n"/>
      <c r="DE115" s="4395" t="n"/>
      <c r="DF115" s="4395" t="n"/>
      <c r="DG115" s="4395" t="n"/>
      <c r="DH115" s="4395" t="n"/>
    </row>
    <row r="116" ht="16" customHeight="1">
      <c r="A116" t="inlineStr">
        <is>
          <t>Forest management</t>
        </is>
      </c>
      <c r="C116">
        <f>'5.Management'!C19</f>
        <v/>
      </c>
      <c r="D116">
        <f>'5.Management'!AF19</f>
        <v/>
      </c>
      <c r="E116">
        <f>IF('5.Management'!BR19&lt;&gt;0,'5.Management'!BR19, '5.Management'!BQ19)</f>
        <v/>
      </c>
      <c r="F116">
        <f>time</f>
        <v/>
      </c>
      <c r="G116" s="4395">
        <f>'5.Management'!Y19</f>
        <v/>
      </c>
      <c r="H116" s="4395">
        <f>'5.Management'!AA19</f>
        <v/>
      </c>
      <c r="I116" s="4395">
        <f>IF(OR(H116="I", G116="I"), "I", IF(OR(H116="E", G116="E"), "E", "D"))</f>
        <v/>
      </c>
      <c r="J116" s="4395">
        <f>((D116/(time_cap+((F116-E116+1)*VLOOKUP(I116,list!$I$48:$K$50,3, FALSE))))*(F116-E116+1)*VLOOKUP(I116,list!$I$48:$K$50,3, FALSE))</f>
        <v/>
      </c>
      <c r="K116" s="4395">
        <f>((D116/(time_cap+((F116-E116+1)*VLOOKUP(I116,list!$I$48:$K$50,3, FALSE))))*time_cap)</f>
        <v/>
      </c>
      <c r="M116" s="4395">
        <f>IFERROR(IF((time+time_cap)&lt;M$2, 0,IF(AND(time+1&gt;=N$2, $E116&lt;N$2), IF($I116= "I", $J116/($F116-$E116+1), $J116/(($F116*($F116+1)/2)-(($E116-1)*($E116-1+1)/2))*M$2), 0)+IF(IF(time+1&gt;=N$2, $K116/time_cap/(time+1)*M$2, 0) = 0, $K116/(time_cap),0)),0)</f>
        <v/>
      </c>
      <c r="N116" s="4395">
        <f>IFERROR(IF((time+time_cap)&lt;N$2, 0,IF(AND(time+1&gt;=O$2, $E116&lt;O$2), IF($I116= "I", $J116/($F116-$E116+1), $J116/(($F116*($F116+1)/2)-(($E116-1)*($E116-1+1)/2))*N$2), 0)+IF(IF(time+1&gt;=O$2, $K116/time_cap/(time+1)*N$2, 0) = 0, $K116/(time_cap),0)),0)</f>
        <v/>
      </c>
      <c r="O116" s="4395">
        <f>IFERROR(IF((time+time_cap)&lt;O$2, 0,IF(AND(time+1&gt;=P$2, $E116&lt;P$2), IF($I116= "I", $J116/($F116-$E116+1), $J116/(($F116*($F116+1)/2)-(($E116-1)*($E116-1+1)/2))*O$2), 0)+IF(IF(time+1&gt;=P$2, $K116/time_cap/(time+1)*O$2, 0) = 0, $K116/(time_cap),0)),0)</f>
        <v/>
      </c>
      <c r="P116" s="4395">
        <f>IFERROR(IF((time+time_cap)&lt;P$2, 0,IF(AND(time+1&gt;=Q$2, $E116&lt;Q$2), IF($I116= "I", $J116/($F116-$E116+1), $J116/(($F116*($F116+1)/2)-(($E116-1)*($E116-1+1)/2))*P$2), 0)+IF(IF(time+1&gt;=Q$2, $K116/time_cap/(time+1)*P$2, 0) = 0, $K116/(time_cap),0)),0)</f>
        <v/>
      </c>
      <c r="Q116" s="4395">
        <f>IFERROR(IF((time+time_cap)&lt;Q$2, 0,IF(AND(time+1&gt;=R$2, $E116&lt;R$2), IF($I116= "I", $J116/($F116-$E116+1), $J116/(($F116*($F116+1)/2)-(($E116-1)*($E116-1+1)/2))*Q$2), 0)+IF(IF(time+1&gt;=R$2, $K116/time_cap/(time+1)*Q$2, 0) = 0, $K116/(time_cap),0)),0)</f>
        <v/>
      </c>
      <c r="R116" s="4395">
        <f>IFERROR(IF((time+time_cap)&lt;R$2, 0,IF(AND(time+1&gt;=S$2, $E116&lt;S$2), IF($I116= "I", $J116/($F116-$E116+1), $J116/(($F116*($F116+1)/2)-(($E116-1)*($E116-1+1)/2))*R$2), 0)+IF(IF(time+1&gt;=S$2, $K116/time_cap/(time+1)*R$2, 0) = 0, $K116/(time_cap),0)),0)</f>
        <v/>
      </c>
      <c r="S116" s="4395">
        <f>IFERROR(IF((time+time_cap)&lt;S$2, 0,IF(AND(time+1&gt;=T$2, $E116&lt;T$2), IF($I116= "I", $J116/($F116-$E116+1), $J116/(($F116*($F116+1)/2)-(($E116-1)*($E116-1+1)/2))*S$2), 0)+IF(IF(time+1&gt;=T$2, $K116/time_cap/(time+1)*S$2, 0) = 0, $K116/(time_cap),0)),0)</f>
        <v/>
      </c>
      <c r="T116" s="4395">
        <f>IFERROR(IF((time+time_cap)&lt;T$2, 0,IF(AND(time+1&gt;=U$2, $E116&lt;U$2), IF($I116= "I", $J116/($F116-$E116+1), $J116/(($F116*($F116+1)/2)-(($E116-1)*($E116-1+1)/2))*T$2), 0)+IF(IF(time+1&gt;=U$2, $K116/time_cap/(time+1)*T$2, 0) = 0, $K116/(time_cap),0)),0)</f>
        <v/>
      </c>
      <c r="U116" s="4395">
        <f>IFERROR(IF((time+time_cap)&lt;U$2, 0,IF(AND(time+1&gt;=V$2, $E116&lt;V$2), IF($I116= "I", $J116/($F116-$E116+1), $J116/(($F116*($F116+1)/2)-(($E116-1)*($E116-1+1)/2))*U$2), 0)+IF(IF(time+1&gt;=V$2, $K116/time_cap/(time+1)*U$2, 0) = 0, $K116/(time_cap),0)),0)</f>
        <v/>
      </c>
      <c r="V116" s="4395">
        <f>IFERROR(IF((time+time_cap)&lt;V$2, 0,IF(AND(time+1&gt;=W$2, $E116&lt;W$2), IF($I116= "I", $J116/($F116-$E116+1), $J116/(($F116*($F116+1)/2)-(($E116-1)*($E116-1+1)/2))*V$2), 0)+IF(IF(time+1&gt;=W$2, $K116/time_cap/(time+1)*V$2, 0) = 0, $K116/(time_cap),0)),0)</f>
        <v/>
      </c>
      <c r="W116" s="4395">
        <f>IFERROR(IF((time+time_cap)&lt;W$2, 0,IF(AND(time+1&gt;=X$2, $E116&lt;X$2), IF($I116= "I", $J116/($F116-$E116+1), $J116/(($F116*($F116+1)/2)-(($E116-1)*($E116-1+1)/2))*W$2), 0)+IF(IF(time+1&gt;=X$2, $K116/time_cap/(time+1)*W$2, 0) = 0, $K116/(time_cap),0)),0)</f>
        <v/>
      </c>
      <c r="X116" s="4395">
        <f>IFERROR(IF((time+time_cap)&lt;X$2, 0,IF(AND(time+1&gt;=Y$2, $E116&lt;Y$2), IF($I116= "I", $J116/($F116-$E116+1), $J116/(($F116*($F116+1)/2)-(($E116-1)*($E116-1+1)/2))*X$2), 0)+IF(IF(time+1&gt;=Y$2, $K116/time_cap/(time+1)*X$2, 0) = 0, $K116/(time_cap),0)),0)</f>
        <v/>
      </c>
      <c r="Y116" s="4395">
        <f>IFERROR(IF((time+time_cap)&lt;Y$2, 0,IF(AND(time+1&gt;=Z$2, $E116&lt;Z$2), IF($I116= "I", $J116/($F116-$E116+1), $J116/(($F116*($F116+1)/2)-(($E116-1)*($E116-1+1)/2))*Y$2), 0)+IF(IF(time+1&gt;=Z$2, $K116/time_cap/(time+1)*Y$2, 0) = 0, $K116/(time_cap),0)),0)</f>
        <v/>
      </c>
      <c r="Z116" s="4395">
        <f>IFERROR(IF((time+time_cap)&lt;Z$2, 0,IF(AND(time+1&gt;=AA$2, $E116&lt;AA$2), IF($I116= "I", $J116/($F116-$E116+1), $J116/(($F116*($F116+1)/2)-(($E116-1)*($E116-1+1)/2))*Z$2), 0)+IF(IF(time+1&gt;=AA$2, $K116/time_cap/(time+1)*Z$2, 0) = 0, $K116/(time_cap),0)),0)</f>
        <v/>
      </c>
      <c r="AA116" s="4395">
        <f>IFERROR(IF((time+time_cap)&lt;AA$2, 0,IF(AND(time+1&gt;=AB$2, $E116&lt;AB$2), IF($I116= "I", $J116/($F116-$E116+1), $J116/(($F116*($F116+1)/2)-(($E116-1)*($E116-1+1)/2))*AA$2), 0)+IF(IF(time+1&gt;=AB$2, $K116/time_cap/(time+1)*AA$2, 0) = 0, $K116/(time_cap),0)),0)</f>
        <v/>
      </c>
      <c r="AB116" s="4395">
        <f>IFERROR(IF((time+time_cap)&lt;AB$2, 0,IF(AND(time+1&gt;=AC$2, $E116&lt;AC$2), IF($I116= "I", $J116/($F116-$E116+1), $J116/(($F116*($F116+1)/2)-(($E116-1)*($E116-1+1)/2))*AB$2), 0)+IF(IF(time+1&gt;=AC$2, $K116/time_cap/(time+1)*AB$2, 0) = 0, $K116/(time_cap),0)),0)</f>
        <v/>
      </c>
      <c r="AC116" s="4395">
        <f>IFERROR(IF((time+time_cap)&lt;AC$2, 0,IF(AND(time+1&gt;=AD$2, $E116&lt;AD$2), IF($I116= "I", $J116/($F116-$E116+1), $J116/(($F116*($F116+1)/2)-(($E116-1)*($E116-1+1)/2))*AC$2), 0)+IF(IF(time+1&gt;=AD$2, $K116/time_cap/(time+1)*AC$2, 0) = 0, $K116/(time_cap),0)),0)</f>
        <v/>
      </c>
      <c r="AD116" s="4395">
        <f>IFERROR(IF((time+time_cap)&lt;AD$2, 0,IF(AND(time+1&gt;=AE$2, $E116&lt;AE$2), IF($I116= "I", $J116/($F116-$E116+1), $J116/(($F116*($F116+1)/2)-(($E116-1)*($E116-1+1)/2))*AD$2), 0)+IF(IF(time+1&gt;=AE$2, $K116/time_cap/(time+1)*AD$2, 0) = 0, $K116/(time_cap),0)),0)</f>
        <v/>
      </c>
      <c r="AE116" s="4395">
        <f>IFERROR(IF((time+time_cap)&lt;AE$2, 0,IF(AND(time+1&gt;=AF$2, $E116&lt;AF$2), IF($I116= "I", $J116/($F116-$E116+1), $J116/(($F116*($F116+1)/2)-(($E116-1)*($E116-1+1)/2))*AE$2), 0)+IF(IF(time+1&gt;=AF$2, $K116/time_cap/(time+1)*AE$2, 0) = 0, $K116/(time_cap),0)),0)</f>
        <v/>
      </c>
      <c r="AF116" s="4395">
        <f>IFERROR(IF((time+time_cap)&lt;AF$2, 0,IF(AND(time+1&gt;=AG$2, $E116&lt;AG$2), IF($I116= "I", $J116/($F116-$E116+1), $J116/(($F116*($F116+1)/2)-(($E116-1)*($E116-1+1)/2))*AF$2), 0)+IF(IF(time+1&gt;=AG$2, $K116/time_cap/(time+1)*AF$2, 0) = 0, $K116/(time_cap),0)),0)</f>
        <v/>
      </c>
      <c r="AG116" s="4395">
        <f>IFERROR(IF((time+time_cap)&lt;AG$2, 0,IF(AND(time+1&gt;=AH$2, $E116&lt;AH$2), IF($I116= "I", $J116/($F116-$E116+1), $J116/(($F116*($F116+1)/2)-(($E116-1)*($E116-1+1)/2))*AG$2), 0)+IF(IF(time+1&gt;=AH$2, $K116/time_cap/(time+1)*AG$2, 0) = 0, $K116/(time_cap),0)),0)</f>
        <v/>
      </c>
      <c r="AH116" s="4395">
        <f>IFERROR(IF((time+time_cap)&lt;AH$2, 0,IF(AND(time+1&gt;=AI$2, $E116&lt;AI$2), IF($I116= "I", $J116/($F116-$E116+1), $J116/(($F116*($F116+1)/2)-(($E116-1)*($E116-1+1)/2))*AH$2), 0)+IF(IF(time+1&gt;=AI$2, $K116/time_cap/(time+1)*AH$2, 0) = 0, $K116/(time_cap),0)),0)</f>
        <v/>
      </c>
      <c r="AI116" s="4395">
        <f>IFERROR(IF((time+time_cap)&lt;AI$2, 0,IF(AND(time+1&gt;=AJ$2, $E116&lt;AJ$2), IF($I116= "I", $J116/($F116-$E116+1), $J116/(($F116*($F116+1)/2)-(($E116-1)*($E116-1+1)/2))*AI$2), 0)+IF(IF(time+1&gt;=AJ$2, $K116/time_cap/(time+1)*AI$2, 0) = 0, $K116/(time_cap),0)),0)</f>
        <v/>
      </c>
      <c r="AJ116" s="4395">
        <f>IFERROR(IF((time+time_cap)&lt;AJ$2, 0,IF(AND(time+1&gt;=AK$2, $E116&lt;AK$2), IF($I116= "I", $J116/($F116-$E116+1), $J116/(($F116*($F116+1)/2)-(($E116-1)*($E116-1+1)/2))*AJ$2), 0)+IF(IF(time+1&gt;=AK$2, $K116/time_cap/(time+1)*AJ$2, 0) = 0, $K116/(time_cap),0)),0)</f>
        <v/>
      </c>
      <c r="AK116" s="4395">
        <f>IFERROR(IF((time+time_cap)&lt;AK$2, 0,IF(AND(time+1&gt;=AL$2, $E116&lt;AL$2), IF($I116= "I", $J116/($F116-$E116+1), $J116/(($F116*($F116+1)/2)-(($E116-1)*($E116-1+1)/2))*AK$2), 0)+IF(IF(time+1&gt;=AL$2, $K116/time_cap/(time+1)*AK$2, 0) = 0, $K116/(time_cap),0)),0)</f>
        <v/>
      </c>
      <c r="AL116" s="4395">
        <f>IFERROR(IF((time+time_cap)&lt;AL$2, 0,IF(AND(time+1&gt;=AM$2, $E116&lt;AM$2), IF($I116= "I", $J116/($F116-$E116+1), $J116/(($F116*($F116+1)/2)-(($E116-1)*($E116-1+1)/2))*AL$2), 0)+IF(IF(time+1&gt;=AM$2, $K116/time_cap/(time+1)*AL$2, 0) = 0, $K116/(time_cap),0)),0)</f>
        <v/>
      </c>
      <c r="AM116" s="4395">
        <f>IFERROR(IF((time+time_cap)&lt;AM$2, 0,IF(AND(time+1&gt;=AN$2, $E116&lt;AN$2), IF($I116= "I", $J116/($F116-$E116+1), $J116/(($F116*($F116+1)/2)-(($E116-1)*($E116-1+1)/2))*AM$2), 0)+IF(IF(time+1&gt;=AN$2, $K116/time_cap/(time+1)*AM$2, 0) = 0, $K116/(time_cap),0)),0)</f>
        <v/>
      </c>
      <c r="AN116" s="4395">
        <f>IFERROR(IF((time+time_cap)&lt;AN$2, 0,IF(AND(time+1&gt;=AO$2, $E116&lt;AO$2), IF($I116= "I", $J116/($F116-$E116+1), $J116/(($F116*($F116+1)/2)-(($E116-1)*($E116-1+1)/2))*AN$2), 0)+IF(IF(time+1&gt;=AO$2, $K116/time_cap/(time+1)*AN$2, 0) = 0, $K116/(time_cap),0)),0)</f>
        <v/>
      </c>
      <c r="AO116" s="4395">
        <f>IFERROR(IF((time+time_cap)&lt;AO$2, 0,IF(AND(time+1&gt;=AP$2, $E116&lt;AP$2), IF($I116= "I", $J116/($F116-$E116+1), $J116/(($F116*($F116+1)/2)-(($E116-1)*($E116-1+1)/2))*AO$2), 0)+IF(IF(time+1&gt;=AP$2, $K116/time_cap/(time+1)*AO$2, 0) = 0, $K116/(time_cap),0)),0)</f>
        <v/>
      </c>
      <c r="AP116" s="4395">
        <f>IFERROR(IF((time+time_cap)&lt;AP$2, 0,IF(AND(time+1&gt;=AQ$2, $E116&lt;AQ$2), IF($I116= "I", $J116/($F116-$E116+1), $J116/(($F116*($F116+1)/2)-(($E116-1)*($E116-1+1)/2))*AP$2), 0)+IF(IF(time+1&gt;=AQ$2, $K116/time_cap/(time+1)*AP$2, 0) = 0, $K116/(time_cap),0)),0)</f>
        <v/>
      </c>
      <c r="AQ116" s="4395">
        <f>IFERROR(IF((time+time_cap)&lt;AQ$2, 0,IF(AND(time+1&gt;=AR$2, $E116&lt;AR$2), IF($I116= "I", $J116/($F116-$E116+1), $J116/(($F116*($F116+1)/2)-(($E116-1)*($E116-1+1)/2))*AQ$2), 0)+IF(IF(time+1&gt;=AR$2, $K116/time_cap/(time+1)*AQ$2, 0) = 0, $K116/(time_cap),0)),0)</f>
        <v/>
      </c>
      <c r="AR116" s="4395">
        <f>IFERROR(IF((time+time_cap)&lt;AR$2, 0,IF(AND(time+1&gt;=AS$2, $E116&lt;AS$2), IF($I116= "I", $J116/($F116-$E116+1), $J116/(($F116*($F116+1)/2)-(($E116-1)*($E116-1+1)/2))*AR$2), 0)+IF(IF(time+1&gt;=AS$2, $K116/time_cap/(time+1)*AR$2, 0) = 0, $K116/(time_cap),0)),0)</f>
        <v/>
      </c>
      <c r="AS116" s="4395">
        <f>IFERROR(IF((time+time_cap)&lt;AS$2, 0,IF(AND(time+1&gt;=AT$2, $E116&lt;AT$2), IF($I116= "I", $J116/($F116-$E116+1), $J116/(($F116*($F116+1)/2)-(($E116-1)*($E116-1+1)/2))*AS$2), 0)+IF(IF(time+1&gt;=AT$2, $K116/time_cap/(time+1)*AS$2, 0) = 0, $K116/(time_cap),0)),0)</f>
        <v/>
      </c>
      <c r="AT116" s="4395">
        <f>IFERROR(IF((time+time_cap)&lt;AT$2, 0,IF(AND(time+1&gt;=AU$2, $E116&lt;AU$2), IF($I116= "I", $J116/($F116-$E116+1), $J116/(($F116*($F116+1)/2)-(($E116-1)*($E116-1+1)/2))*AT$2), 0)+IF(IF(time+1&gt;=AU$2, $K116/time_cap/(time+1)*AT$2, 0) = 0, $K116/(time_cap),0)),0)</f>
        <v/>
      </c>
      <c r="AU116" s="4395">
        <f>IFERROR(IF((time+time_cap)&lt;AU$2, 0,IF(AND(time+1&gt;=AV$2, $E116&lt;AV$2), IF($I116= "I", $J116/($F116-$E116+1), $J116/(($F116*($F116+1)/2)-(($E116-1)*($E116-1+1)/2))*AU$2), 0)+IF(IF(time+1&gt;=AV$2, $K116/time_cap/(time+1)*AU$2, 0) = 0, $K116/(time_cap),0)),0)</f>
        <v/>
      </c>
      <c r="AV116" s="4395">
        <f>IFERROR(IF((time+time_cap)&lt;AV$2, 0,IF(AND(time+1&gt;=AW$2, $E116&lt;AW$2), IF($I116= "I", $J116/($F116-$E116+1), $J116/(($F116*($F116+1)/2)-(($E116-1)*($E116-1+1)/2))*AV$2), 0)+IF(IF(time+1&gt;=AW$2, $K116/time_cap/(time+1)*AV$2, 0) = 0, $K116/(time_cap),0)),0)</f>
        <v/>
      </c>
      <c r="AW116" s="4395">
        <f>IFERROR(IF((time+time_cap)&lt;AW$2, 0,IF(AND(time+1&gt;=AX$2, $E116&lt;AX$2), IF($I116= "I", $J116/($F116-$E116+1), $J116/(($F116*($F116+1)/2)-(($E116-1)*($E116-1+1)/2))*AW$2), 0)+IF(IF(time+1&gt;=AX$2, $K116/time_cap/(time+1)*AW$2, 0) = 0, $K116/(time_cap),0)),0)</f>
        <v/>
      </c>
      <c r="AX116" s="4395">
        <f>IFERROR(IF((time+time_cap)&lt;AX$2, 0,IF(AND(time+1&gt;=AY$2, $E116&lt;AY$2), IF($I116= "I", $J116/($F116-$E116+1), $J116/(($F116*($F116+1)/2)-(($E116-1)*($E116-1+1)/2))*AX$2), 0)+IF(IF(time+1&gt;=AY$2, $K116/time_cap/(time+1)*AX$2, 0) = 0, $K116/(time_cap),0)),0)</f>
        <v/>
      </c>
      <c r="AY116" s="4395">
        <f>IFERROR(IF((time+time_cap)&lt;AY$2, 0,IF(AND(time+1&gt;=AZ$2, $E116&lt;AZ$2), IF($I116= "I", $J116/($F116-$E116+1), $J116/(($F116*($F116+1)/2)-(($E116-1)*($E116-1+1)/2))*AY$2), 0)+IF(IF(time+1&gt;=AZ$2, $K116/time_cap/(time+1)*AY$2, 0) = 0, $K116/(time_cap),0)),0)</f>
        <v/>
      </c>
      <c r="AZ116" s="4395">
        <f>IFERROR(IF((time+time_cap)&lt;AZ$2, 0,IF(AND(time+1&gt;=BA$2, $E116&lt;BA$2), IF($I116= "I", $J116/($F116-$E116+1), $J116/(($F116*($F116+1)/2)-(($E116-1)*($E116-1+1)/2))*AZ$2), 0)+IF(IF(time+1&gt;=BA$2, $K116/time_cap/(time+1)*AZ$2, 0) = 0, $K116/(time_cap),0)),0)</f>
        <v/>
      </c>
      <c r="BA116" s="4395">
        <f>IFERROR(IF((time+time_cap)&lt;BA$2, 0,IF(AND(time+1&gt;=BB$2, $E116&lt;BB$2), IF($I116= "I", $J116/($F116-$E116+1), $J116/(($F116*($F116+1)/2)-(($E116-1)*($E116-1+1)/2))*BA$2), 0)+IF(IF(time+1&gt;=BB$2, $K116/time_cap/(time+1)*BA$2, 0) = 0, $K116/(time_cap),0)),0)</f>
        <v/>
      </c>
      <c r="BB116" s="4395">
        <f>IFERROR(IF((time+time_cap)&lt;BB$2, 0,IF(AND(time+1&gt;=BC$2, $E116&lt;BC$2), IF($I116= "I", $J116/($F116-$E116+1), $J116/(($F116*($F116+1)/2)-(($E116-1)*($E116-1+1)/2))*BB$2), 0)+IF(IF(time+1&gt;=BC$2, $K116/time_cap/(time+1)*BB$2, 0) = 0, $K116/(time_cap),0)),0)</f>
        <v/>
      </c>
      <c r="BC116" s="4395">
        <f>IFERROR(IF((time+time_cap)&lt;BC$2, 0,IF(AND(time+1&gt;=BD$2, $E116&lt;BD$2), IF($I116= "I", $J116/($F116-$E116+1), $J116/(($F116*($F116+1)/2)-(($E116-1)*($E116-1+1)/2))*BC$2), 0)+IF(IF(time+1&gt;=BD$2, $K116/time_cap/(time+1)*BC$2, 0) = 0, $K116/(time_cap),0)),0)</f>
        <v/>
      </c>
      <c r="BD116" s="4395">
        <f>IFERROR(IF((time+time_cap)&lt;BD$2, 0,IF(AND(time+1&gt;=BE$2, $E116&lt;BE$2), IF($I116= "I", $J116/($F116-$E116+1), $J116/(($F116*($F116+1)/2)-(($E116-1)*($E116-1+1)/2))*BD$2), 0)+IF(IF(time+1&gt;=BE$2, $K116/time_cap/(time+1)*BD$2, 0) = 0, $K116/(time_cap),0)),0)</f>
        <v/>
      </c>
      <c r="BE116" s="4395">
        <f>IFERROR(IF((time+time_cap)&lt;BE$2, 0,IF(AND(time+1&gt;=BF$2, $E116&lt;BF$2), IF($I116= "I", $J116/($F116-$E116+1), $J116/(($F116*($F116+1)/2)-(($E116-1)*($E116-1+1)/2))*BE$2), 0)+IF(IF(time+1&gt;=BF$2, $K116/time_cap/(time+1)*BE$2, 0) = 0, $K116/(time_cap),0)),0)</f>
        <v/>
      </c>
      <c r="BF116" s="4395">
        <f>IFERROR(IF((time+time_cap)&lt;BF$2, 0,IF(AND(time+1&gt;=BG$2, $E116&lt;BG$2), IF($I116= "I", $J116/($F116-$E116+1), $J116/(($F116*($F116+1)/2)-(($E116-1)*($E116-1+1)/2))*BF$2), 0)+IF(IF(time+1&gt;=BG$2, $K116/time_cap/(time+1)*BF$2, 0) = 0, $K116/(time_cap),0)),0)</f>
        <v/>
      </c>
      <c r="BG116" s="4395">
        <f>IFERROR(IF((time+time_cap)&lt;BG$2, 0,IF(AND(time+1&gt;=BH$2, $E116&lt;BH$2), IF($I116= "I", $J116/($F116-$E116+1), $J116/(($F116*($F116+1)/2)-(($E116-1)*($E116-1+1)/2))*BG$2), 0)+IF(IF(time+1&gt;=BH$2, $K116/time_cap/(time+1)*BG$2, 0) = 0, $K116/(time_cap),0)),0)</f>
        <v/>
      </c>
      <c r="BH116" s="4395">
        <f>IFERROR(IF((time+time_cap)&lt;BH$2, 0,IF(AND(time+1&gt;=BI$2, $E116&lt;BI$2), IF($I116= "I", $J116/($F116-$E116+1), $J116/(($F116*($F116+1)/2)-(($E116-1)*($E116-1+1)/2))*BH$2), 0)+IF(IF(time+1&gt;=BI$2, $K116/time_cap/(time+1)*BH$2, 0) = 0, $K116/(time_cap),0)),0)</f>
        <v/>
      </c>
      <c r="BI116" s="4395">
        <f>IFERROR(IF((time+time_cap)&lt;BI$2, 0,IF(AND(time+1&gt;=BJ$2, $E116&lt;BJ$2), IF($I116= "I", $J116/($F116-$E116+1), $J116/(($F116*($F116+1)/2)-(($E116-1)*($E116-1+1)/2))*BI$2), 0)+IF(IF(time+1&gt;=BJ$2, $K116/time_cap/(time+1)*BI$2, 0) = 0, $K116/(time_cap),0)),0)</f>
        <v/>
      </c>
      <c r="BJ116" s="4395">
        <f>IFERROR(IF((time+time_cap)&lt;BJ$2, 0,IF(AND(time+1&gt;=BK$2, $E116&lt;BK$2), IF($I116= "I", $J116/($F116-$E116+1), $J116/(($F116*($F116+1)/2)-(($E116-1)*($E116-1+1)/2))*BJ$2), 0)+IF(IF(time+1&gt;=BK$2, $K116/time_cap/(time+1)*BJ$2, 0) = 0, $K116/(time_cap),0)),0)</f>
        <v/>
      </c>
      <c r="BK116" s="4395" t="n"/>
      <c r="BL116" s="4395" t="n"/>
      <c r="BM116" s="4395" t="n"/>
      <c r="BN116" s="4395" t="n"/>
      <c r="BO116" s="4395" t="n"/>
      <c r="BP116" s="4395" t="n"/>
      <c r="BQ116" s="4395" t="n"/>
      <c r="BR116" s="4395" t="n"/>
      <c r="BS116" s="4395" t="n"/>
      <c r="BT116" s="4395" t="n"/>
      <c r="BU116" s="4395" t="n"/>
      <c r="BV116" s="4395" t="n"/>
      <c r="BW116" s="4395" t="n"/>
      <c r="BX116" s="4395" t="n"/>
      <c r="BY116" s="4395" t="n"/>
      <c r="BZ116" s="4395" t="n"/>
      <c r="CA116" s="4395" t="n"/>
      <c r="CB116" s="4395" t="n"/>
      <c r="CC116" s="4395" t="n"/>
      <c r="CD116" s="4395" t="n"/>
      <c r="CE116" s="4395" t="n"/>
      <c r="CF116" s="4395" t="n"/>
      <c r="CG116" s="4395" t="n"/>
      <c r="CH116" s="4395" t="n"/>
      <c r="CI116" s="4395" t="n"/>
      <c r="CJ116" s="4395" t="n"/>
      <c r="CK116" s="4395" t="n"/>
      <c r="CL116" s="4395" t="n"/>
      <c r="CM116" s="4395" t="n"/>
      <c r="CN116" s="4395" t="n"/>
      <c r="CO116" s="4395" t="n"/>
      <c r="CP116" s="4395" t="n"/>
      <c r="CQ116" s="4395" t="n"/>
      <c r="CR116" s="4395" t="n"/>
      <c r="CS116" s="4395" t="n"/>
      <c r="CT116" s="4395" t="n"/>
      <c r="CU116" s="4395" t="n"/>
      <c r="CV116" s="4395" t="n"/>
      <c r="CW116" s="4395" t="n"/>
      <c r="CX116" s="4395" t="n"/>
      <c r="CY116" s="4395" t="n"/>
      <c r="CZ116" s="4395" t="n"/>
      <c r="DA116" s="4395" t="n"/>
      <c r="DB116" s="4395" t="n"/>
      <c r="DC116" s="4395" t="n"/>
      <c r="DD116" s="4395" t="n"/>
      <c r="DE116" s="4395" t="n"/>
      <c r="DF116" s="4395" t="n"/>
      <c r="DG116" s="4395" t="n"/>
      <c r="DH116" s="4395" t="n"/>
    </row>
    <row r="117" ht="16" customHeight="1">
      <c r="A117" t="inlineStr">
        <is>
          <t>Forest management</t>
        </is>
      </c>
      <c r="C117">
        <f>'5.Management'!C20</f>
        <v/>
      </c>
      <c r="D117">
        <f>'5.Management'!AF20</f>
        <v/>
      </c>
      <c r="E117">
        <f>IF('5.Management'!BR20&lt;&gt;0,'5.Management'!BR20, '5.Management'!BQ20)</f>
        <v/>
      </c>
      <c r="F117">
        <f>time</f>
        <v/>
      </c>
      <c r="G117" s="4395">
        <f>'5.Management'!Y20</f>
        <v/>
      </c>
      <c r="H117" s="4395">
        <f>'5.Management'!AA20</f>
        <v/>
      </c>
      <c r="I117" s="4395">
        <f>IF(OR(H117="I", G117="I"), "I", IF(OR(H117="E", G117="E"), "E", "D"))</f>
        <v/>
      </c>
      <c r="J117" s="4395">
        <f>((D117/(time_cap+((F117-E117+1)*VLOOKUP(I117,list!$I$48:$K$50,3, FALSE))))*(F117-E117+1)*VLOOKUP(I117,list!$I$48:$K$50,3, FALSE))</f>
        <v/>
      </c>
      <c r="K117" s="4395">
        <f>((D117/(time_cap+((F117-E117+1)*VLOOKUP(I117,list!$I$48:$K$50,3, FALSE))))*time_cap)</f>
        <v/>
      </c>
      <c r="M117" s="4395">
        <f>IFERROR(IF((time+time_cap)&lt;M$2, 0,IF(AND(time+1&gt;=N$2, $E117&lt;N$2), IF($I117= "I", $J117/($F117-$E117+1), $J117/(($F117*($F117+1)/2)-(($E117-1)*($E117-1+1)/2))*M$2), 0)+IF(IF(time+1&gt;=N$2, $K117/time_cap/(time+1)*M$2, 0) = 0, $K117/(time_cap),0)),0)</f>
        <v/>
      </c>
      <c r="N117" s="4395">
        <f>IFERROR(IF((time+time_cap)&lt;N$2, 0,IF(AND(time+1&gt;=O$2, $E117&lt;O$2), IF($I117= "I", $J117/($F117-$E117+1), $J117/(($F117*($F117+1)/2)-(($E117-1)*($E117-1+1)/2))*N$2), 0)+IF(IF(time+1&gt;=O$2, $K117/time_cap/(time+1)*N$2, 0) = 0, $K117/(time_cap),0)),0)</f>
        <v/>
      </c>
      <c r="O117" s="4395">
        <f>IFERROR(IF((time+time_cap)&lt;O$2, 0,IF(AND(time+1&gt;=P$2, $E117&lt;P$2), IF($I117= "I", $J117/($F117-$E117+1), $J117/(($F117*($F117+1)/2)-(($E117-1)*($E117-1+1)/2))*O$2), 0)+IF(IF(time+1&gt;=P$2, $K117/time_cap/(time+1)*O$2, 0) = 0, $K117/(time_cap),0)),0)</f>
        <v/>
      </c>
      <c r="P117" s="4395">
        <f>IFERROR(IF((time+time_cap)&lt;P$2, 0,IF(AND(time+1&gt;=Q$2, $E117&lt;Q$2), IF($I117= "I", $J117/($F117-$E117+1), $J117/(($F117*($F117+1)/2)-(($E117-1)*($E117-1+1)/2))*P$2), 0)+IF(IF(time+1&gt;=Q$2, $K117/time_cap/(time+1)*P$2, 0) = 0, $K117/(time_cap),0)),0)</f>
        <v/>
      </c>
      <c r="Q117" s="4395">
        <f>IFERROR(IF((time+time_cap)&lt;Q$2, 0,IF(AND(time+1&gt;=R$2, $E117&lt;R$2), IF($I117= "I", $J117/($F117-$E117+1), $J117/(($F117*($F117+1)/2)-(($E117-1)*($E117-1+1)/2))*Q$2), 0)+IF(IF(time+1&gt;=R$2, $K117/time_cap/(time+1)*Q$2, 0) = 0, $K117/(time_cap),0)),0)</f>
        <v/>
      </c>
      <c r="R117" s="4395">
        <f>IFERROR(IF((time+time_cap)&lt;R$2, 0,IF(AND(time+1&gt;=S$2, $E117&lt;S$2), IF($I117= "I", $J117/($F117-$E117+1), $J117/(($F117*($F117+1)/2)-(($E117-1)*($E117-1+1)/2))*R$2), 0)+IF(IF(time+1&gt;=S$2, $K117/time_cap/(time+1)*R$2, 0) = 0, $K117/(time_cap),0)),0)</f>
        <v/>
      </c>
      <c r="S117" s="4395">
        <f>IFERROR(IF((time+time_cap)&lt;S$2, 0,IF(AND(time+1&gt;=T$2, $E117&lt;T$2), IF($I117= "I", $J117/($F117-$E117+1), $J117/(($F117*($F117+1)/2)-(($E117-1)*($E117-1+1)/2))*S$2), 0)+IF(IF(time+1&gt;=T$2, $K117/time_cap/(time+1)*S$2, 0) = 0, $K117/(time_cap),0)),0)</f>
        <v/>
      </c>
      <c r="T117" s="4395">
        <f>IFERROR(IF((time+time_cap)&lt;T$2, 0,IF(AND(time+1&gt;=U$2, $E117&lt;U$2), IF($I117= "I", $J117/($F117-$E117+1), $J117/(($F117*($F117+1)/2)-(($E117-1)*($E117-1+1)/2))*T$2), 0)+IF(IF(time+1&gt;=U$2, $K117/time_cap/(time+1)*T$2, 0) = 0, $K117/(time_cap),0)),0)</f>
        <v/>
      </c>
      <c r="U117" s="4395">
        <f>IFERROR(IF((time+time_cap)&lt;U$2, 0,IF(AND(time+1&gt;=V$2, $E117&lt;V$2), IF($I117= "I", $J117/($F117-$E117+1), $J117/(($F117*($F117+1)/2)-(($E117-1)*($E117-1+1)/2))*U$2), 0)+IF(IF(time+1&gt;=V$2, $K117/time_cap/(time+1)*U$2, 0) = 0, $K117/(time_cap),0)),0)</f>
        <v/>
      </c>
      <c r="V117" s="4395">
        <f>IFERROR(IF((time+time_cap)&lt;V$2, 0,IF(AND(time+1&gt;=W$2, $E117&lt;W$2), IF($I117= "I", $J117/($F117-$E117+1), $J117/(($F117*($F117+1)/2)-(($E117-1)*($E117-1+1)/2))*V$2), 0)+IF(IF(time+1&gt;=W$2, $K117/time_cap/(time+1)*V$2, 0) = 0, $K117/(time_cap),0)),0)</f>
        <v/>
      </c>
      <c r="W117" s="4395">
        <f>IFERROR(IF((time+time_cap)&lt;W$2, 0,IF(AND(time+1&gt;=X$2, $E117&lt;X$2), IF($I117= "I", $J117/($F117-$E117+1), $J117/(($F117*($F117+1)/2)-(($E117-1)*($E117-1+1)/2))*W$2), 0)+IF(IF(time+1&gt;=X$2, $K117/time_cap/(time+1)*W$2, 0) = 0, $K117/(time_cap),0)),0)</f>
        <v/>
      </c>
      <c r="X117" s="4395">
        <f>IFERROR(IF((time+time_cap)&lt;X$2, 0,IF(AND(time+1&gt;=Y$2, $E117&lt;Y$2), IF($I117= "I", $J117/($F117-$E117+1), $J117/(($F117*($F117+1)/2)-(($E117-1)*($E117-1+1)/2))*X$2), 0)+IF(IF(time+1&gt;=Y$2, $K117/time_cap/(time+1)*X$2, 0) = 0, $K117/(time_cap),0)),0)</f>
        <v/>
      </c>
      <c r="Y117" s="4395">
        <f>IFERROR(IF((time+time_cap)&lt;Y$2, 0,IF(AND(time+1&gt;=Z$2, $E117&lt;Z$2), IF($I117= "I", $J117/($F117-$E117+1), $J117/(($F117*($F117+1)/2)-(($E117-1)*($E117-1+1)/2))*Y$2), 0)+IF(IF(time+1&gt;=Z$2, $K117/time_cap/(time+1)*Y$2, 0) = 0, $K117/(time_cap),0)),0)</f>
        <v/>
      </c>
      <c r="Z117" s="4395">
        <f>IFERROR(IF((time+time_cap)&lt;Z$2, 0,IF(AND(time+1&gt;=AA$2, $E117&lt;AA$2), IF($I117= "I", $J117/($F117-$E117+1), $J117/(($F117*($F117+1)/2)-(($E117-1)*($E117-1+1)/2))*Z$2), 0)+IF(IF(time+1&gt;=AA$2, $K117/time_cap/(time+1)*Z$2, 0) = 0, $K117/(time_cap),0)),0)</f>
        <v/>
      </c>
      <c r="AA117" s="4395">
        <f>IFERROR(IF((time+time_cap)&lt;AA$2, 0,IF(AND(time+1&gt;=AB$2, $E117&lt;AB$2), IF($I117= "I", $J117/($F117-$E117+1), $J117/(($F117*($F117+1)/2)-(($E117-1)*($E117-1+1)/2))*AA$2), 0)+IF(IF(time+1&gt;=AB$2, $K117/time_cap/(time+1)*AA$2, 0) = 0, $K117/(time_cap),0)),0)</f>
        <v/>
      </c>
      <c r="AB117" s="4395">
        <f>IFERROR(IF((time+time_cap)&lt;AB$2, 0,IF(AND(time+1&gt;=AC$2, $E117&lt;AC$2), IF($I117= "I", $J117/($F117-$E117+1), $J117/(($F117*($F117+1)/2)-(($E117-1)*($E117-1+1)/2))*AB$2), 0)+IF(IF(time+1&gt;=AC$2, $K117/time_cap/(time+1)*AB$2, 0) = 0, $K117/(time_cap),0)),0)</f>
        <v/>
      </c>
      <c r="AC117" s="4395">
        <f>IFERROR(IF((time+time_cap)&lt;AC$2, 0,IF(AND(time+1&gt;=AD$2, $E117&lt;AD$2), IF($I117= "I", $J117/($F117-$E117+1), $J117/(($F117*($F117+1)/2)-(($E117-1)*($E117-1+1)/2))*AC$2), 0)+IF(IF(time+1&gt;=AD$2, $K117/time_cap/(time+1)*AC$2, 0) = 0, $K117/(time_cap),0)),0)</f>
        <v/>
      </c>
      <c r="AD117" s="4395">
        <f>IFERROR(IF((time+time_cap)&lt;AD$2, 0,IF(AND(time+1&gt;=AE$2, $E117&lt;AE$2), IF($I117= "I", $J117/($F117-$E117+1), $J117/(($F117*($F117+1)/2)-(($E117-1)*($E117-1+1)/2))*AD$2), 0)+IF(IF(time+1&gt;=AE$2, $K117/time_cap/(time+1)*AD$2, 0) = 0, $K117/(time_cap),0)),0)</f>
        <v/>
      </c>
      <c r="AE117" s="4395">
        <f>IFERROR(IF((time+time_cap)&lt;AE$2, 0,IF(AND(time+1&gt;=AF$2, $E117&lt;AF$2), IF($I117= "I", $J117/($F117-$E117+1), $J117/(($F117*($F117+1)/2)-(($E117-1)*($E117-1+1)/2))*AE$2), 0)+IF(IF(time+1&gt;=AF$2, $K117/time_cap/(time+1)*AE$2, 0) = 0, $K117/(time_cap),0)),0)</f>
        <v/>
      </c>
      <c r="AF117" s="4395">
        <f>IFERROR(IF((time+time_cap)&lt;AF$2, 0,IF(AND(time+1&gt;=AG$2, $E117&lt;AG$2), IF($I117= "I", $J117/($F117-$E117+1), $J117/(($F117*($F117+1)/2)-(($E117-1)*($E117-1+1)/2))*AF$2), 0)+IF(IF(time+1&gt;=AG$2, $K117/time_cap/(time+1)*AF$2, 0) = 0, $K117/(time_cap),0)),0)</f>
        <v/>
      </c>
      <c r="AG117" s="4395">
        <f>IFERROR(IF((time+time_cap)&lt;AG$2, 0,IF(AND(time+1&gt;=AH$2, $E117&lt;AH$2), IF($I117= "I", $J117/($F117-$E117+1), $J117/(($F117*($F117+1)/2)-(($E117-1)*($E117-1+1)/2))*AG$2), 0)+IF(IF(time+1&gt;=AH$2, $K117/time_cap/(time+1)*AG$2, 0) = 0, $K117/(time_cap),0)),0)</f>
        <v/>
      </c>
      <c r="AH117" s="4395">
        <f>IFERROR(IF((time+time_cap)&lt;AH$2, 0,IF(AND(time+1&gt;=AI$2, $E117&lt;AI$2), IF($I117= "I", $J117/($F117-$E117+1), $J117/(($F117*($F117+1)/2)-(($E117-1)*($E117-1+1)/2))*AH$2), 0)+IF(IF(time+1&gt;=AI$2, $K117/time_cap/(time+1)*AH$2, 0) = 0, $K117/(time_cap),0)),0)</f>
        <v/>
      </c>
      <c r="AI117" s="4395">
        <f>IFERROR(IF((time+time_cap)&lt;AI$2, 0,IF(AND(time+1&gt;=AJ$2, $E117&lt;AJ$2), IF($I117= "I", $J117/($F117-$E117+1), $J117/(($F117*($F117+1)/2)-(($E117-1)*($E117-1+1)/2))*AI$2), 0)+IF(IF(time+1&gt;=AJ$2, $K117/time_cap/(time+1)*AI$2, 0) = 0, $K117/(time_cap),0)),0)</f>
        <v/>
      </c>
      <c r="AJ117" s="4395">
        <f>IFERROR(IF((time+time_cap)&lt;AJ$2, 0,IF(AND(time+1&gt;=AK$2, $E117&lt;AK$2), IF($I117= "I", $J117/($F117-$E117+1), $J117/(($F117*($F117+1)/2)-(($E117-1)*($E117-1+1)/2))*AJ$2), 0)+IF(IF(time+1&gt;=AK$2, $K117/time_cap/(time+1)*AJ$2, 0) = 0, $K117/(time_cap),0)),0)</f>
        <v/>
      </c>
      <c r="AK117" s="4395">
        <f>IFERROR(IF((time+time_cap)&lt;AK$2, 0,IF(AND(time+1&gt;=AL$2, $E117&lt;AL$2), IF($I117= "I", $J117/($F117-$E117+1), $J117/(($F117*($F117+1)/2)-(($E117-1)*($E117-1+1)/2))*AK$2), 0)+IF(IF(time+1&gt;=AL$2, $K117/time_cap/(time+1)*AK$2, 0) = 0, $K117/(time_cap),0)),0)</f>
        <v/>
      </c>
      <c r="AL117" s="4395">
        <f>IFERROR(IF((time+time_cap)&lt;AL$2, 0,IF(AND(time+1&gt;=AM$2, $E117&lt;AM$2), IF($I117= "I", $J117/($F117-$E117+1), $J117/(($F117*($F117+1)/2)-(($E117-1)*($E117-1+1)/2))*AL$2), 0)+IF(IF(time+1&gt;=AM$2, $K117/time_cap/(time+1)*AL$2, 0) = 0, $K117/(time_cap),0)),0)</f>
        <v/>
      </c>
      <c r="AM117" s="4395">
        <f>IFERROR(IF((time+time_cap)&lt;AM$2, 0,IF(AND(time+1&gt;=AN$2, $E117&lt;AN$2), IF($I117= "I", $J117/($F117-$E117+1), $J117/(($F117*($F117+1)/2)-(($E117-1)*($E117-1+1)/2))*AM$2), 0)+IF(IF(time+1&gt;=AN$2, $K117/time_cap/(time+1)*AM$2, 0) = 0, $K117/(time_cap),0)),0)</f>
        <v/>
      </c>
      <c r="AN117" s="4395">
        <f>IFERROR(IF((time+time_cap)&lt;AN$2, 0,IF(AND(time+1&gt;=AO$2, $E117&lt;AO$2), IF($I117= "I", $J117/($F117-$E117+1), $J117/(($F117*($F117+1)/2)-(($E117-1)*($E117-1+1)/2))*AN$2), 0)+IF(IF(time+1&gt;=AO$2, $K117/time_cap/(time+1)*AN$2, 0) = 0, $K117/(time_cap),0)),0)</f>
        <v/>
      </c>
      <c r="AO117" s="4395">
        <f>IFERROR(IF((time+time_cap)&lt;AO$2, 0,IF(AND(time+1&gt;=AP$2, $E117&lt;AP$2), IF($I117= "I", $J117/($F117-$E117+1), $J117/(($F117*($F117+1)/2)-(($E117-1)*($E117-1+1)/2))*AO$2), 0)+IF(IF(time+1&gt;=AP$2, $K117/time_cap/(time+1)*AO$2, 0) = 0, $K117/(time_cap),0)),0)</f>
        <v/>
      </c>
      <c r="AP117" s="4395">
        <f>IFERROR(IF((time+time_cap)&lt;AP$2, 0,IF(AND(time+1&gt;=AQ$2, $E117&lt;AQ$2), IF($I117= "I", $J117/($F117-$E117+1), $J117/(($F117*($F117+1)/2)-(($E117-1)*($E117-1+1)/2))*AP$2), 0)+IF(IF(time+1&gt;=AQ$2, $K117/time_cap/(time+1)*AP$2, 0) = 0, $K117/(time_cap),0)),0)</f>
        <v/>
      </c>
      <c r="AQ117" s="4395">
        <f>IFERROR(IF((time+time_cap)&lt;AQ$2, 0,IF(AND(time+1&gt;=AR$2, $E117&lt;AR$2), IF($I117= "I", $J117/($F117-$E117+1), $J117/(($F117*($F117+1)/2)-(($E117-1)*($E117-1+1)/2))*AQ$2), 0)+IF(IF(time+1&gt;=AR$2, $K117/time_cap/(time+1)*AQ$2, 0) = 0, $K117/(time_cap),0)),0)</f>
        <v/>
      </c>
      <c r="AR117" s="4395">
        <f>IFERROR(IF((time+time_cap)&lt;AR$2, 0,IF(AND(time+1&gt;=AS$2, $E117&lt;AS$2), IF($I117= "I", $J117/($F117-$E117+1), $J117/(($F117*($F117+1)/2)-(($E117-1)*($E117-1+1)/2))*AR$2), 0)+IF(IF(time+1&gt;=AS$2, $K117/time_cap/(time+1)*AR$2, 0) = 0, $K117/(time_cap),0)),0)</f>
        <v/>
      </c>
      <c r="AS117" s="4395">
        <f>IFERROR(IF((time+time_cap)&lt;AS$2, 0,IF(AND(time+1&gt;=AT$2, $E117&lt;AT$2), IF($I117= "I", $J117/($F117-$E117+1), $J117/(($F117*($F117+1)/2)-(($E117-1)*($E117-1+1)/2))*AS$2), 0)+IF(IF(time+1&gt;=AT$2, $K117/time_cap/(time+1)*AS$2, 0) = 0, $K117/(time_cap),0)),0)</f>
        <v/>
      </c>
      <c r="AT117" s="4395">
        <f>IFERROR(IF((time+time_cap)&lt;AT$2, 0,IF(AND(time+1&gt;=AU$2, $E117&lt;AU$2), IF($I117= "I", $J117/($F117-$E117+1), $J117/(($F117*($F117+1)/2)-(($E117-1)*($E117-1+1)/2))*AT$2), 0)+IF(IF(time+1&gt;=AU$2, $K117/time_cap/(time+1)*AT$2, 0) = 0, $K117/(time_cap),0)),0)</f>
        <v/>
      </c>
      <c r="AU117" s="4395">
        <f>IFERROR(IF((time+time_cap)&lt;AU$2, 0,IF(AND(time+1&gt;=AV$2, $E117&lt;AV$2), IF($I117= "I", $J117/($F117-$E117+1), $J117/(($F117*($F117+1)/2)-(($E117-1)*($E117-1+1)/2))*AU$2), 0)+IF(IF(time+1&gt;=AV$2, $K117/time_cap/(time+1)*AU$2, 0) = 0, $K117/(time_cap),0)),0)</f>
        <v/>
      </c>
      <c r="AV117" s="4395">
        <f>IFERROR(IF((time+time_cap)&lt;AV$2, 0,IF(AND(time+1&gt;=AW$2, $E117&lt;AW$2), IF($I117= "I", $J117/($F117-$E117+1), $J117/(($F117*($F117+1)/2)-(($E117-1)*($E117-1+1)/2))*AV$2), 0)+IF(IF(time+1&gt;=AW$2, $K117/time_cap/(time+1)*AV$2, 0) = 0, $K117/(time_cap),0)),0)</f>
        <v/>
      </c>
      <c r="AW117" s="4395">
        <f>IFERROR(IF((time+time_cap)&lt;AW$2, 0,IF(AND(time+1&gt;=AX$2, $E117&lt;AX$2), IF($I117= "I", $J117/($F117-$E117+1), $J117/(($F117*($F117+1)/2)-(($E117-1)*($E117-1+1)/2))*AW$2), 0)+IF(IF(time+1&gt;=AX$2, $K117/time_cap/(time+1)*AW$2, 0) = 0, $K117/(time_cap),0)),0)</f>
        <v/>
      </c>
      <c r="AX117" s="4395">
        <f>IFERROR(IF((time+time_cap)&lt;AX$2, 0,IF(AND(time+1&gt;=AY$2, $E117&lt;AY$2), IF($I117= "I", $J117/($F117-$E117+1), $J117/(($F117*($F117+1)/2)-(($E117-1)*($E117-1+1)/2))*AX$2), 0)+IF(IF(time+1&gt;=AY$2, $K117/time_cap/(time+1)*AX$2, 0) = 0, $K117/(time_cap),0)),0)</f>
        <v/>
      </c>
      <c r="AY117" s="4395">
        <f>IFERROR(IF((time+time_cap)&lt;AY$2, 0,IF(AND(time+1&gt;=AZ$2, $E117&lt;AZ$2), IF($I117= "I", $J117/($F117-$E117+1), $J117/(($F117*($F117+1)/2)-(($E117-1)*($E117-1+1)/2))*AY$2), 0)+IF(IF(time+1&gt;=AZ$2, $K117/time_cap/(time+1)*AY$2, 0) = 0, $K117/(time_cap),0)),0)</f>
        <v/>
      </c>
      <c r="AZ117" s="4395">
        <f>IFERROR(IF((time+time_cap)&lt;AZ$2, 0,IF(AND(time+1&gt;=BA$2, $E117&lt;BA$2), IF($I117= "I", $J117/($F117-$E117+1), $J117/(($F117*($F117+1)/2)-(($E117-1)*($E117-1+1)/2))*AZ$2), 0)+IF(IF(time+1&gt;=BA$2, $K117/time_cap/(time+1)*AZ$2, 0) = 0, $K117/(time_cap),0)),0)</f>
        <v/>
      </c>
      <c r="BA117" s="4395">
        <f>IFERROR(IF((time+time_cap)&lt;BA$2, 0,IF(AND(time+1&gt;=BB$2, $E117&lt;BB$2), IF($I117= "I", $J117/($F117-$E117+1), $J117/(($F117*($F117+1)/2)-(($E117-1)*($E117-1+1)/2))*BA$2), 0)+IF(IF(time+1&gt;=BB$2, $K117/time_cap/(time+1)*BA$2, 0) = 0, $K117/(time_cap),0)),0)</f>
        <v/>
      </c>
      <c r="BB117" s="4395">
        <f>IFERROR(IF((time+time_cap)&lt;BB$2, 0,IF(AND(time+1&gt;=BC$2, $E117&lt;BC$2), IF($I117= "I", $J117/($F117-$E117+1), $J117/(($F117*($F117+1)/2)-(($E117-1)*($E117-1+1)/2))*BB$2), 0)+IF(IF(time+1&gt;=BC$2, $K117/time_cap/(time+1)*BB$2, 0) = 0, $K117/(time_cap),0)),0)</f>
        <v/>
      </c>
      <c r="BC117" s="4395">
        <f>IFERROR(IF((time+time_cap)&lt;BC$2, 0,IF(AND(time+1&gt;=BD$2, $E117&lt;BD$2), IF($I117= "I", $J117/($F117-$E117+1), $J117/(($F117*($F117+1)/2)-(($E117-1)*($E117-1+1)/2))*BC$2), 0)+IF(IF(time+1&gt;=BD$2, $K117/time_cap/(time+1)*BC$2, 0) = 0, $K117/(time_cap),0)),0)</f>
        <v/>
      </c>
      <c r="BD117" s="4395">
        <f>IFERROR(IF((time+time_cap)&lt;BD$2, 0,IF(AND(time+1&gt;=BE$2, $E117&lt;BE$2), IF($I117= "I", $J117/($F117-$E117+1), $J117/(($F117*($F117+1)/2)-(($E117-1)*($E117-1+1)/2))*BD$2), 0)+IF(IF(time+1&gt;=BE$2, $K117/time_cap/(time+1)*BD$2, 0) = 0, $K117/(time_cap),0)),0)</f>
        <v/>
      </c>
      <c r="BE117" s="4395">
        <f>IFERROR(IF((time+time_cap)&lt;BE$2, 0,IF(AND(time+1&gt;=BF$2, $E117&lt;BF$2), IF($I117= "I", $J117/($F117-$E117+1), $J117/(($F117*($F117+1)/2)-(($E117-1)*($E117-1+1)/2))*BE$2), 0)+IF(IF(time+1&gt;=BF$2, $K117/time_cap/(time+1)*BE$2, 0) = 0, $K117/(time_cap),0)),0)</f>
        <v/>
      </c>
      <c r="BF117" s="4395">
        <f>IFERROR(IF((time+time_cap)&lt;BF$2, 0,IF(AND(time+1&gt;=BG$2, $E117&lt;BG$2), IF($I117= "I", $J117/($F117-$E117+1), $J117/(($F117*($F117+1)/2)-(($E117-1)*($E117-1+1)/2))*BF$2), 0)+IF(IF(time+1&gt;=BG$2, $K117/time_cap/(time+1)*BF$2, 0) = 0, $K117/(time_cap),0)),0)</f>
        <v/>
      </c>
      <c r="BG117" s="4395">
        <f>IFERROR(IF((time+time_cap)&lt;BG$2, 0,IF(AND(time+1&gt;=BH$2, $E117&lt;BH$2), IF($I117= "I", $J117/($F117-$E117+1), $J117/(($F117*($F117+1)/2)-(($E117-1)*($E117-1+1)/2))*BG$2), 0)+IF(IF(time+1&gt;=BH$2, $K117/time_cap/(time+1)*BG$2, 0) = 0, $K117/(time_cap),0)),0)</f>
        <v/>
      </c>
      <c r="BH117" s="4395">
        <f>IFERROR(IF((time+time_cap)&lt;BH$2, 0,IF(AND(time+1&gt;=BI$2, $E117&lt;BI$2), IF($I117= "I", $J117/($F117-$E117+1), $J117/(($F117*($F117+1)/2)-(($E117-1)*($E117-1+1)/2))*BH$2), 0)+IF(IF(time+1&gt;=BI$2, $K117/time_cap/(time+1)*BH$2, 0) = 0, $K117/(time_cap),0)),0)</f>
        <v/>
      </c>
      <c r="BI117" s="4395">
        <f>IFERROR(IF((time+time_cap)&lt;BI$2, 0,IF(AND(time+1&gt;=BJ$2, $E117&lt;BJ$2), IF($I117= "I", $J117/($F117-$E117+1), $J117/(($F117*($F117+1)/2)-(($E117-1)*($E117-1+1)/2))*BI$2), 0)+IF(IF(time+1&gt;=BJ$2, $K117/time_cap/(time+1)*BI$2, 0) = 0, $K117/(time_cap),0)),0)</f>
        <v/>
      </c>
      <c r="BJ117" s="4395">
        <f>IFERROR(IF((time+time_cap)&lt;BJ$2, 0,IF(AND(time+1&gt;=BK$2, $E117&lt;BK$2), IF($I117= "I", $J117/($F117-$E117+1), $J117/(($F117*($F117+1)/2)-(($E117-1)*($E117-1+1)/2))*BJ$2), 0)+IF(IF(time+1&gt;=BK$2, $K117/time_cap/(time+1)*BJ$2, 0) = 0, $K117/(time_cap),0)),0)</f>
        <v/>
      </c>
      <c r="BK117" s="4395" t="n"/>
      <c r="BL117" s="4395" t="n"/>
      <c r="BM117" s="4395" t="n"/>
      <c r="BN117" s="4395" t="n"/>
      <c r="BO117" s="4395" t="n"/>
      <c r="BP117" s="4395" t="n"/>
      <c r="BQ117" s="4395" t="n"/>
      <c r="BR117" s="4395" t="n"/>
      <c r="BS117" s="4395" t="n"/>
      <c r="BT117" s="4395" t="n"/>
      <c r="BU117" s="4395" t="n"/>
      <c r="BV117" s="4395" t="n"/>
      <c r="BW117" s="4395" t="n"/>
      <c r="BX117" s="4395" t="n"/>
      <c r="BY117" s="4395" t="n"/>
      <c r="BZ117" s="4395" t="n"/>
      <c r="CA117" s="4395" t="n"/>
      <c r="CB117" s="4395" t="n"/>
      <c r="CC117" s="4395" t="n"/>
      <c r="CD117" s="4395" t="n"/>
      <c r="CE117" s="4395" t="n"/>
      <c r="CF117" s="4395" t="n"/>
      <c r="CG117" s="4395" t="n"/>
      <c r="CH117" s="4395" t="n"/>
      <c r="CI117" s="4395" t="n"/>
      <c r="CJ117" s="4395" t="n"/>
      <c r="CK117" s="4395" t="n"/>
      <c r="CL117" s="4395" t="n"/>
      <c r="CM117" s="4395" t="n"/>
      <c r="CN117" s="4395" t="n"/>
      <c r="CO117" s="4395" t="n"/>
      <c r="CP117" s="4395" t="n"/>
      <c r="CQ117" s="4395" t="n"/>
      <c r="CR117" s="4395" t="n"/>
      <c r="CS117" s="4395" t="n"/>
      <c r="CT117" s="4395" t="n"/>
      <c r="CU117" s="4395" t="n"/>
      <c r="CV117" s="4395" t="n"/>
      <c r="CW117" s="4395" t="n"/>
      <c r="CX117" s="4395" t="n"/>
      <c r="CY117" s="4395" t="n"/>
      <c r="CZ117" s="4395" t="n"/>
      <c r="DA117" s="4395" t="n"/>
      <c r="DB117" s="4395" t="n"/>
      <c r="DC117" s="4395" t="n"/>
      <c r="DD117" s="4395" t="n"/>
      <c r="DE117" s="4395" t="n"/>
      <c r="DF117" s="4395" t="n"/>
      <c r="DG117" s="4395" t="n"/>
      <c r="DH117" s="4395" t="n"/>
    </row>
    <row r="118" ht="16" customHeight="1">
      <c r="A118" t="inlineStr">
        <is>
          <t>Inland wetlands - defo</t>
        </is>
      </c>
      <c r="C118">
        <f>'6.Inland wetlands'!C13</f>
        <v/>
      </c>
      <c r="D118">
        <f>'6.Inland wetlands'!AG13+'6.Inland wetlands'!AG25</f>
        <v/>
      </c>
      <c r="E118">
        <f>IF('6.Inland wetlands'!BJ13&lt;&gt;0,'6.Inland wetlands'!BJ13,'6.Inland wetlands'!BI13)</f>
        <v/>
      </c>
      <c r="F118">
        <f>time</f>
        <v/>
      </c>
      <c r="G118" s="4395">
        <f>'6.Inland wetlands'!O13</f>
        <v/>
      </c>
      <c r="H118" s="4395">
        <f>'6.Inland wetlands'!Q13</f>
        <v/>
      </c>
      <c r="I118" s="4395">
        <f>IF(OR(H118="I", G118="I"), "I", IF(OR(H118="E", G118="E"), "E", "D"))</f>
        <v/>
      </c>
      <c r="J118" s="4395">
        <f>((D118/(time_cap+((F118-E118+1)*VLOOKUP(I118,list!$I$48:$K$50,3, FALSE))))*(F118-E118+1)*VLOOKUP(I118,list!$I$48:$K$50,3, FALSE))</f>
        <v/>
      </c>
      <c r="K118" s="4395">
        <f>((D118/(time_cap+((F118-E118+1)*VLOOKUP(I118,list!$I$48:$K$50,3, FALSE))))*time_cap)</f>
        <v/>
      </c>
      <c r="M118" s="4395">
        <f>IFERROR(IF((time+time_cap)&lt;M$2, 0,IF(AND(time+1&gt;=N$2, $E118&lt;N$2), IF($I118= "I", $J118/($F118-$E118+1), $J118/(($F118*($F118+1)/2)-(($E118-1)*($E118-1+1)/2))*M$2), 0)+IF(IF(time+1&gt;=N$2, $K118/time_cap/(time+1)*M$2, 0) = 0, $K118/(time_cap),0)),0)</f>
        <v/>
      </c>
      <c r="N118" s="4395">
        <f>IFERROR(IF((time+time_cap)&lt;N$2, 0,IF(AND(time+1&gt;=O$2, $E118&lt;O$2), IF($I118= "I", $J118/($F118-$E118+1), $J118/(($F118*($F118+1)/2)-(($E118-1)*($E118-1+1)/2))*N$2), 0)+IF(IF(time+1&gt;=O$2, $K118/time_cap/(time+1)*N$2, 0) = 0, $K118/(time_cap),0)),0)</f>
        <v/>
      </c>
      <c r="O118" s="4395">
        <f>IFERROR(IF((time+time_cap)&lt;O$2, 0,IF(AND(time+1&gt;=P$2, $E118&lt;P$2), IF($I118= "I", $J118/($F118-$E118+1), $J118/(($F118*($F118+1)/2)-(($E118-1)*($E118-1+1)/2))*O$2), 0)+IF(IF(time+1&gt;=P$2, $K118/time_cap/(time+1)*O$2, 0) = 0, $K118/(time_cap),0)),0)</f>
        <v/>
      </c>
      <c r="P118" s="4395">
        <f>IFERROR(IF((time+time_cap)&lt;P$2, 0,IF(AND(time+1&gt;=Q$2, $E118&lt;Q$2), IF($I118= "I", $J118/($F118-$E118+1), $J118/(($F118*($F118+1)/2)-(($E118-1)*($E118-1+1)/2))*P$2), 0)+IF(IF(time+1&gt;=Q$2, $K118/time_cap/(time+1)*P$2, 0) = 0, $K118/(time_cap),0)),0)</f>
        <v/>
      </c>
      <c r="Q118" s="4395">
        <f>IFERROR(IF((time+time_cap)&lt;Q$2, 0,IF(AND(time+1&gt;=R$2, $E118&lt;R$2), IF($I118= "I", $J118/($F118-$E118+1), $J118/(($F118*($F118+1)/2)-(($E118-1)*($E118-1+1)/2))*Q$2), 0)+IF(IF(time+1&gt;=R$2, $K118/time_cap/(time+1)*Q$2, 0) = 0, $K118/(time_cap),0)),0)</f>
        <v/>
      </c>
      <c r="R118" s="4395">
        <f>IFERROR(IF((time+time_cap)&lt;R$2, 0,IF(AND(time+1&gt;=S$2, $E118&lt;S$2), IF($I118= "I", $J118/($F118-$E118+1), $J118/(($F118*($F118+1)/2)-(($E118-1)*($E118-1+1)/2))*R$2), 0)+IF(IF(time+1&gt;=S$2, $K118/time_cap/(time+1)*R$2, 0) = 0, $K118/(time_cap),0)),0)</f>
        <v/>
      </c>
      <c r="S118" s="4395">
        <f>IFERROR(IF((time+time_cap)&lt;S$2, 0,IF(AND(time+1&gt;=T$2, $E118&lt;T$2), IF($I118= "I", $J118/($F118-$E118+1), $J118/(($F118*($F118+1)/2)-(($E118-1)*($E118-1+1)/2))*S$2), 0)+IF(IF(time+1&gt;=T$2, $K118/time_cap/(time+1)*S$2, 0) = 0, $K118/(time_cap),0)),0)</f>
        <v/>
      </c>
      <c r="T118" s="4395">
        <f>IFERROR(IF((time+time_cap)&lt;T$2, 0,IF(AND(time+1&gt;=U$2, $E118&lt;U$2), IF($I118= "I", $J118/($F118-$E118+1), $J118/(($F118*($F118+1)/2)-(($E118-1)*($E118-1+1)/2))*T$2), 0)+IF(IF(time+1&gt;=U$2, $K118/time_cap/(time+1)*T$2, 0) = 0, $K118/(time_cap),0)),0)</f>
        <v/>
      </c>
      <c r="U118" s="4395">
        <f>IFERROR(IF((time+time_cap)&lt;U$2, 0,IF(AND(time+1&gt;=V$2, $E118&lt;V$2), IF($I118= "I", $J118/($F118-$E118+1), $J118/(($F118*($F118+1)/2)-(($E118-1)*($E118-1+1)/2))*U$2), 0)+IF(IF(time+1&gt;=V$2, $K118/time_cap/(time+1)*U$2, 0) = 0, $K118/(time_cap),0)),0)</f>
        <v/>
      </c>
      <c r="V118" s="4395">
        <f>IFERROR(IF((time+time_cap)&lt;V$2, 0,IF(AND(time+1&gt;=W$2, $E118&lt;W$2), IF($I118= "I", $J118/($F118-$E118+1), $J118/(($F118*($F118+1)/2)-(($E118-1)*($E118-1+1)/2))*V$2), 0)+IF(IF(time+1&gt;=W$2, $K118/time_cap/(time+1)*V$2, 0) = 0, $K118/(time_cap),0)),0)</f>
        <v/>
      </c>
      <c r="W118" s="4395">
        <f>IFERROR(IF((time+time_cap)&lt;W$2, 0,IF(AND(time+1&gt;=X$2, $E118&lt;X$2), IF($I118= "I", $J118/($F118-$E118+1), $J118/(($F118*($F118+1)/2)-(($E118-1)*($E118-1+1)/2))*W$2), 0)+IF(IF(time+1&gt;=X$2, $K118/time_cap/(time+1)*W$2, 0) = 0, $K118/(time_cap),0)),0)</f>
        <v/>
      </c>
      <c r="X118" s="4395">
        <f>IFERROR(IF((time+time_cap)&lt;X$2, 0,IF(AND(time+1&gt;=Y$2, $E118&lt;Y$2), IF($I118= "I", $J118/($F118-$E118+1), $J118/(($F118*($F118+1)/2)-(($E118-1)*($E118-1+1)/2))*X$2), 0)+IF(IF(time+1&gt;=Y$2, $K118/time_cap/(time+1)*X$2, 0) = 0, $K118/(time_cap),0)),0)</f>
        <v/>
      </c>
      <c r="Y118" s="4395">
        <f>IFERROR(IF((time+time_cap)&lt;Y$2, 0,IF(AND(time+1&gt;=Z$2, $E118&lt;Z$2), IF($I118= "I", $J118/($F118-$E118+1), $J118/(($F118*($F118+1)/2)-(($E118-1)*($E118-1+1)/2))*Y$2), 0)+IF(IF(time+1&gt;=Z$2, $K118/time_cap/(time+1)*Y$2, 0) = 0, $K118/(time_cap),0)),0)</f>
        <v/>
      </c>
      <c r="Z118" s="4395">
        <f>IFERROR(IF((time+time_cap)&lt;Z$2, 0,IF(AND(time+1&gt;=AA$2, $E118&lt;AA$2), IF($I118= "I", $J118/($F118-$E118+1), $J118/(($F118*($F118+1)/2)-(($E118-1)*($E118-1+1)/2))*Z$2), 0)+IF(IF(time+1&gt;=AA$2, $K118/time_cap/(time+1)*Z$2, 0) = 0, $K118/(time_cap),0)),0)</f>
        <v/>
      </c>
      <c r="AA118" s="4395">
        <f>IFERROR(IF((time+time_cap)&lt;AA$2, 0,IF(AND(time+1&gt;=AB$2, $E118&lt;AB$2), IF($I118= "I", $J118/($F118-$E118+1), $J118/(($F118*($F118+1)/2)-(($E118-1)*($E118-1+1)/2))*AA$2), 0)+IF(IF(time+1&gt;=AB$2, $K118/time_cap/(time+1)*AA$2, 0) = 0, $K118/(time_cap),0)),0)</f>
        <v/>
      </c>
      <c r="AB118" s="4395">
        <f>IFERROR(IF((time+time_cap)&lt;AB$2, 0,IF(AND(time+1&gt;=AC$2, $E118&lt;AC$2), IF($I118= "I", $J118/($F118-$E118+1), $J118/(($F118*($F118+1)/2)-(($E118-1)*($E118-1+1)/2))*AB$2), 0)+IF(IF(time+1&gt;=AC$2, $K118/time_cap/(time+1)*AB$2, 0) = 0, $K118/(time_cap),0)),0)</f>
        <v/>
      </c>
      <c r="AC118" s="4395">
        <f>IFERROR(IF((time+time_cap)&lt;AC$2, 0,IF(AND(time+1&gt;=AD$2, $E118&lt;AD$2), IF($I118= "I", $J118/($F118-$E118+1), $J118/(($F118*($F118+1)/2)-(($E118-1)*($E118-1+1)/2))*AC$2), 0)+IF(IF(time+1&gt;=AD$2, $K118/time_cap/(time+1)*AC$2, 0) = 0, $K118/(time_cap),0)),0)</f>
        <v/>
      </c>
      <c r="AD118" s="4395">
        <f>IFERROR(IF((time+time_cap)&lt;AD$2, 0,IF(AND(time+1&gt;=AE$2, $E118&lt;AE$2), IF($I118= "I", $J118/($F118-$E118+1), $J118/(($F118*($F118+1)/2)-(($E118-1)*($E118-1+1)/2))*AD$2), 0)+IF(IF(time+1&gt;=AE$2, $K118/time_cap/(time+1)*AD$2, 0) = 0, $K118/(time_cap),0)),0)</f>
        <v/>
      </c>
      <c r="AE118" s="4395">
        <f>IFERROR(IF((time+time_cap)&lt;AE$2, 0,IF(AND(time+1&gt;=AF$2, $E118&lt;AF$2), IF($I118= "I", $J118/($F118-$E118+1), $J118/(($F118*($F118+1)/2)-(($E118-1)*($E118-1+1)/2))*AE$2), 0)+IF(IF(time+1&gt;=AF$2, $K118/time_cap/(time+1)*AE$2, 0) = 0, $K118/(time_cap),0)),0)</f>
        <v/>
      </c>
      <c r="AF118" s="4395">
        <f>IFERROR(IF((time+time_cap)&lt;AF$2, 0,IF(AND(time+1&gt;=AG$2, $E118&lt;AG$2), IF($I118= "I", $J118/($F118-$E118+1), $J118/(($F118*($F118+1)/2)-(($E118-1)*($E118-1+1)/2))*AF$2), 0)+IF(IF(time+1&gt;=AG$2, $K118/time_cap/(time+1)*AF$2, 0) = 0, $K118/(time_cap),0)),0)</f>
        <v/>
      </c>
      <c r="AG118" s="4395">
        <f>IFERROR(IF((time+time_cap)&lt;AG$2, 0,IF(AND(time+1&gt;=AH$2, $E118&lt;AH$2), IF($I118= "I", $J118/($F118-$E118+1), $J118/(($F118*($F118+1)/2)-(($E118-1)*($E118-1+1)/2))*AG$2), 0)+IF(IF(time+1&gt;=AH$2, $K118/time_cap/(time+1)*AG$2, 0) = 0, $K118/(time_cap),0)),0)</f>
        <v/>
      </c>
      <c r="AH118" s="4395">
        <f>IFERROR(IF((time+time_cap)&lt;AH$2, 0,IF(AND(time+1&gt;=AI$2, $E118&lt;AI$2), IF($I118= "I", $J118/($F118-$E118+1), $J118/(($F118*($F118+1)/2)-(($E118-1)*($E118-1+1)/2))*AH$2), 0)+IF(IF(time+1&gt;=AI$2, $K118/time_cap/(time+1)*AH$2, 0) = 0, $K118/(time_cap),0)),0)</f>
        <v/>
      </c>
      <c r="AI118" s="4395">
        <f>IFERROR(IF((time+time_cap)&lt;AI$2, 0,IF(AND(time+1&gt;=AJ$2, $E118&lt;AJ$2), IF($I118= "I", $J118/($F118-$E118+1), $J118/(($F118*($F118+1)/2)-(($E118-1)*($E118-1+1)/2))*AI$2), 0)+IF(IF(time+1&gt;=AJ$2, $K118/time_cap/(time+1)*AI$2, 0) = 0, $K118/(time_cap),0)),0)</f>
        <v/>
      </c>
      <c r="AJ118" s="4395">
        <f>IFERROR(IF((time+time_cap)&lt;AJ$2, 0,IF(AND(time+1&gt;=AK$2, $E118&lt;AK$2), IF($I118= "I", $J118/($F118-$E118+1), $J118/(($F118*($F118+1)/2)-(($E118-1)*($E118-1+1)/2))*AJ$2), 0)+IF(IF(time+1&gt;=AK$2, $K118/time_cap/(time+1)*AJ$2, 0) = 0, $K118/(time_cap),0)),0)</f>
        <v/>
      </c>
      <c r="AK118" s="4395">
        <f>IFERROR(IF((time+time_cap)&lt;AK$2, 0,IF(AND(time+1&gt;=AL$2, $E118&lt;AL$2), IF($I118= "I", $J118/($F118-$E118+1), $J118/(($F118*($F118+1)/2)-(($E118-1)*($E118-1+1)/2))*AK$2), 0)+IF(IF(time+1&gt;=AL$2, $K118/time_cap/(time+1)*AK$2, 0) = 0, $K118/(time_cap),0)),0)</f>
        <v/>
      </c>
      <c r="AL118" s="4395">
        <f>IFERROR(IF((time+time_cap)&lt;AL$2, 0,IF(AND(time+1&gt;=AM$2, $E118&lt;AM$2), IF($I118= "I", $J118/($F118-$E118+1), $J118/(($F118*($F118+1)/2)-(($E118-1)*($E118-1+1)/2))*AL$2), 0)+IF(IF(time+1&gt;=AM$2, $K118/time_cap/(time+1)*AL$2, 0) = 0, $K118/(time_cap),0)),0)</f>
        <v/>
      </c>
      <c r="AM118" s="4395">
        <f>IFERROR(IF((time+time_cap)&lt;AM$2, 0,IF(AND(time+1&gt;=AN$2, $E118&lt;AN$2), IF($I118= "I", $J118/($F118-$E118+1), $J118/(($F118*($F118+1)/2)-(($E118-1)*($E118-1+1)/2))*AM$2), 0)+IF(IF(time+1&gt;=AN$2, $K118/time_cap/(time+1)*AM$2, 0) = 0, $K118/(time_cap),0)),0)</f>
        <v/>
      </c>
      <c r="AN118" s="4395">
        <f>IFERROR(IF((time+time_cap)&lt;AN$2, 0,IF(AND(time+1&gt;=AO$2, $E118&lt;AO$2), IF($I118= "I", $J118/($F118-$E118+1), $J118/(($F118*($F118+1)/2)-(($E118-1)*($E118-1+1)/2))*AN$2), 0)+IF(IF(time+1&gt;=AO$2, $K118/time_cap/(time+1)*AN$2, 0) = 0, $K118/(time_cap),0)),0)</f>
        <v/>
      </c>
      <c r="AO118" s="4395">
        <f>IFERROR(IF((time+time_cap)&lt;AO$2, 0,IF(AND(time+1&gt;=AP$2, $E118&lt;AP$2), IF($I118= "I", $J118/($F118-$E118+1), $J118/(($F118*($F118+1)/2)-(($E118-1)*($E118-1+1)/2))*AO$2), 0)+IF(IF(time+1&gt;=AP$2, $K118/time_cap/(time+1)*AO$2, 0) = 0, $K118/(time_cap),0)),0)</f>
        <v/>
      </c>
      <c r="AP118" s="4395">
        <f>IFERROR(IF((time+time_cap)&lt;AP$2, 0,IF(AND(time+1&gt;=AQ$2, $E118&lt;AQ$2), IF($I118= "I", $J118/($F118-$E118+1), $J118/(($F118*($F118+1)/2)-(($E118-1)*($E118-1+1)/2))*AP$2), 0)+IF(IF(time+1&gt;=AQ$2, $K118/time_cap/(time+1)*AP$2, 0) = 0, $K118/(time_cap),0)),0)</f>
        <v/>
      </c>
      <c r="AQ118" s="4395">
        <f>IFERROR(IF((time+time_cap)&lt;AQ$2, 0,IF(AND(time+1&gt;=AR$2, $E118&lt;AR$2), IF($I118= "I", $J118/($F118-$E118+1), $J118/(($F118*($F118+1)/2)-(($E118-1)*($E118-1+1)/2))*AQ$2), 0)+IF(IF(time+1&gt;=AR$2, $K118/time_cap/(time+1)*AQ$2, 0) = 0, $K118/(time_cap),0)),0)</f>
        <v/>
      </c>
      <c r="AR118" s="4395">
        <f>IFERROR(IF((time+time_cap)&lt;AR$2, 0,IF(AND(time+1&gt;=AS$2, $E118&lt;AS$2), IF($I118= "I", $J118/($F118-$E118+1), $J118/(($F118*($F118+1)/2)-(($E118-1)*($E118-1+1)/2))*AR$2), 0)+IF(IF(time+1&gt;=AS$2, $K118/time_cap/(time+1)*AR$2, 0) = 0, $K118/(time_cap),0)),0)</f>
        <v/>
      </c>
      <c r="AS118" s="4395">
        <f>IFERROR(IF((time+time_cap)&lt;AS$2, 0,IF(AND(time+1&gt;=AT$2, $E118&lt;AT$2), IF($I118= "I", $J118/($F118-$E118+1), $J118/(($F118*($F118+1)/2)-(($E118-1)*($E118-1+1)/2))*AS$2), 0)+IF(IF(time+1&gt;=AT$2, $K118/time_cap/(time+1)*AS$2, 0) = 0, $K118/(time_cap),0)),0)</f>
        <v/>
      </c>
      <c r="AT118" s="4395">
        <f>IFERROR(IF((time+time_cap)&lt;AT$2, 0,IF(AND(time+1&gt;=AU$2, $E118&lt;AU$2), IF($I118= "I", $J118/($F118-$E118+1), $J118/(($F118*($F118+1)/2)-(($E118-1)*($E118-1+1)/2))*AT$2), 0)+IF(IF(time+1&gt;=AU$2, $K118/time_cap/(time+1)*AT$2, 0) = 0, $K118/(time_cap),0)),0)</f>
        <v/>
      </c>
      <c r="AU118" s="4395">
        <f>IFERROR(IF((time+time_cap)&lt;AU$2, 0,IF(AND(time+1&gt;=AV$2, $E118&lt;AV$2), IF($I118= "I", $J118/($F118-$E118+1), $J118/(($F118*($F118+1)/2)-(($E118-1)*($E118-1+1)/2))*AU$2), 0)+IF(IF(time+1&gt;=AV$2, $K118/time_cap/(time+1)*AU$2, 0) = 0, $K118/(time_cap),0)),0)</f>
        <v/>
      </c>
      <c r="AV118" s="4395">
        <f>IFERROR(IF((time+time_cap)&lt;AV$2, 0,IF(AND(time+1&gt;=AW$2, $E118&lt;AW$2), IF($I118= "I", $J118/($F118-$E118+1), $J118/(($F118*($F118+1)/2)-(($E118-1)*($E118-1+1)/2))*AV$2), 0)+IF(IF(time+1&gt;=AW$2, $K118/time_cap/(time+1)*AV$2, 0) = 0, $K118/(time_cap),0)),0)</f>
        <v/>
      </c>
      <c r="AW118" s="4395">
        <f>IFERROR(IF((time+time_cap)&lt;AW$2, 0,IF(AND(time+1&gt;=AX$2, $E118&lt;AX$2), IF($I118= "I", $J118/($F118-$E118+1), $J118/(($F118*($F118+1)/2)-(($E118-1)*($E118-1+1)/2))*AW$2), 0)+IF(IF(time+1&gt;=AX$2, $K118/time_cap/(time+1)*AW$2, 0) = 0, $K118/(time_cap),0)),0)</f>
        <v/>
      </c>
      <c r="AX118" s="4395">
        <f>IFERROR(IF((time+time_cap)&lt;AX$2, 0,IF(AND(time+1&gt;=AY$2, $E118&lt;AY$2), IF($I118= "I", $J118/($F118-$E118+1), $J118/(($F118*($F118+1)/2)-(($E118-1)*($E118-1+1)/2))*AX$2), 0)+IF(IF(time+1&gt;=AY$2, $K118/time_cap/(time+1)*AX$2, 0) = 0, $K118/(time_cap),0)),0)</f>
        <v/>
      </c>
      <c r="AY118" s="4395">
        <f>IFERROR(IF((time+time_cap)&lt;AY$2, 0,IF(AND(time+1&gt;=AZ$2, $E118&lt;AZ$2), IF($I118= "I", $J118/($F118-$E118+1), $J118/(($F118*($F118+1)/2)-(($E118-1)*($E118-1+1)/2))*AY$2), 0)+IF(IF(time+1&gt;=AZ$2, $K118/time_cap/(time+1)*AY$2, 0) = 0, $K118/(time_cap),0)),0)</f>
        <v/>
      </c>
      <c r="AZ118" s="4395">
        <f>IFERROR(IF((time+time_cap)&lt;AZ$2, 0,IF(AND(time+1&gt;=BA$2, $E118&lt;BA$2), IF($I118= "I", $J118/($F118-$E118+1), $J118/(($F118*($F118+1)/2)-(($E118-1)*($E118-1+1)/2))*AZ$2), 0)+IF(IF(time+1&gt;=BA$2, $K118/time_cap/(time+1)*AZ$2, 0) = 0, $K118/(time_cap),0)),0)</f>
        <v/>
      </c>
      <c r="BA118" s="4395">
        <f>IFERROR(IF((time+time_cap)&lt;BA$2, 0,IF(AND(time+1&gt;=BB$2, $E118&lt;BB$2), IF($I118= "I", $J118/($F118-$E118+1), $J118/(($F118*($F118+1)/2)-(($E118-1)*($E118-1+1)/2))*BA$2), 0)+IF(IF(time+1&gt;=BB$2, $K118/time_cap/(time+1)*BA$2, 0) = 0, $K118/(time_cap),0)),0)</f>
        <v/>
      </c>
      <c r="BB118" s="4395">
        <f>IFERROR(IF((time+time_cap)&lt;BB$2, 0,IF(AND(time+1&gt;=BC$2, $E118&lt;BC$2), IF($I118= "I", $J118/($F118-$E118+1), $J118/(($F118*($F118+1)/2)-(($E118-1)*($E118-1+1)/2))*BB$2), 0)+IF(IF(time+1&gt;=BC$2, $K118/time_cap/(time+1)*BB$2, 0) = 0, $K118/(time_cap),0)),0)</f>
        <v/>
      </c>
      <c r="BC118" s="4395">
        <f>IFERROR(IF((time+time_cap)&lt;BC$2, 0,IF(AND(time+1&gt;=BD$2, $E118&lt;BD$2), IF($I118= "I", $J118/($F118-$E118+1), $J118/(($F118*($F118+1)/2)-(($E118-1)*($E118-1+1)/2))*BC$2), 0)+IF(IF(time+1&gt;=BD$2, $K118/time_cap/(time+1)*BC$2, 0) = 0, $K118/(time_cap),0)),0)</f>
        <v/>
      </c>
      <c r="BD118" s="4395">
        <f>IFERROR(IF((time+time_cap)&lt;BD$2, 0,IF(AND(time+1&gt;=BE$2, $E118&lt;BE$2), IF($I118= "I", $J118/($F118-$E118+1), $J118/(($F118*($F118+1)/2)-(($E118-1)*($E118-1+1)/2))*BD$2), 0)+IF(IF(time+1&gt;=BE$2, $K118/time_cap/(time+1)*BD$2, 0) = 0, $K118/(time_cap),0)),0)</f>
        <v/>
      </c>
      <c r="BE118" s="4395">
        <f>IFERROR(IF((time+time_cap)&lt;BE$2, 0,IF(AND(time+1&gt;=BF$2, $E118&lt;BF$2), IF($I118= "I", $J118/($F118-$E118+1), $J118/(($F118*($F118+1)/2)-(($E118-1)*($E118-1+1)/2))*BE$2), 0)+IF(IF(time+1&gt;=BF$2, $K118/time_cap/(time+1)*BE$2, 0) = 0, $K118/(time_cap),0)),0)</f>
        <v/>
      </c>
      <c r="BF118" s="4395">
        <f>IFERROR(IF((time+time_cap)&lt;BF$2, 0,IF(AND(time+1&gt;=BG$2, $E118&lt;BG$2), IF($I118= "I", $J118/($F118-$E118+1), $J118/(($F118*($F118+1)/2)-(($E118-1)*($E118-1+1)/2))*BF$2), 0)+IF(IF(time+1&gt;=BG$2, $K118/time_cap/(time+1)*BF$2, 0) = 0, $K118/(time_cap),0)),0)</f>
        <v/>
      </c>
      <c r="BG118" s="4395">
        <f>IFERROR(IF((time+time_cap)&lt;BG$2, 0,IF(AND(time+1&gt;=BH$2, $E118&lt;BH$2), IF($I118= "I", $J118/($F118-$E118+1), $J118/(($F118*($F118+1)/2)-(($E118-1)*($E118-1+1)/2))*BG$2), 0)+IF(IF(time+1&gt;=BH$2, $K118/time_cap/(time+1)*BG$2, 0) = 0, $K118/(time_cap),0)),0)</f>
        <v/>
      </c>
      <c r="BH118" s="4395">
        <f>IFERROR(IF((time+time_cap)&lt;BH$2, 0,IF(AND(time+1&gt;=BI$2, $E118&lt;BI$2), IF($I118= "I", $J118/($F118-$E118+1), $J118/(($F118*($F118+1)/2)-(($E118-1)*($E118-1+1)/2))*BH$2), 0)+IF(IF(time+1&gt;=BI$2, $K118/time_cap/(time+1)*BH$2, 0) = 0, $K118/(time_cap),0)),0)</f>
        <v/>
      </c>
      <c r="BI118" s="4395">
        <f>IFERROR(IF((time+time_cap)&lt;BI$2, 0,IF(AND(time+1&gt;=BJ$2, $E118&lt;BJ$2), IF($I118= "I", $J118/($F118-$E118+1), $J118/(($F118*($F118+1)/2)-(($E118-1)*($E118-1+1)/2))*BI$2), 0)+IF(IF(time+1&gt;=BJ$2, $K118/time_cap/(time+1)*BI$2, 0) = 0, $K118/(time_cap),0)),0)</f>
        <v/>
      </c>
      <c r="BJ118" s="4395">
        <f>IFERROR(IF((time+time_cap)&lt;BJ$2, 0,IF(AND(time+1&gt;=BK$2, $E118&lt;BK$2), IF($I118= "I", $J118/($F118-$E118+1), $J118/(($F118*($F118+1)/2)-(($E118-1)*($E118-1+1)/2))*BJ$2), 0)+IF(IF(time+1&gt;=BK$2, $K118/time_cap/(time+1)*BJ$2, 0) = 0, $K118/(time_cap),0)),0)</f>
        <v/>
      </c>
      <c r="BK118" s="4395" t="n"/>
      <c r="BL118" s="4395" t="n"/>
      <c r="BM118" s="4395" t="n"/>
      <c r="BN118" s="4395" t="n"/>
      <c r="BO118" s="4395" t="n"/>
      <c r="BP118" s="4395" t="n"/>
      <c r="BQ118" s="4395" t="n"/>
      <c r="BR118" s="4395" t="n"/>
      <c r="BS118" s="4395" t="n"/>
      <c r="BT118" s="4395" t="n"/>
      <c r="BU118" s="4395" t="n"/>
      <c r="BV118" s="4395" t="n"/>
      <c r="BW118" s="4395" t="n"/>
      <c r="BX118" s="4395" t="n"/>
      <c r="BY118" s="4395" t="n"/>
      <c r="BZ118" s="4395" t="n"/>
      <c r="CA118" s="4395" t="n"/>
      <c r="CB118" s="4395" t="n"/>
      <c r="CC118" s="4395" t="n"/>
      <c r="CD118" s="4395" t="n"/>
      <c r="CE118" s="4395" t="n"/>
      <c r="CF118" s="4395" t="n"/>
      <c r="CG118" s="4395" t="n"/>
      <c r="CH118" s="4395" t="n"/>
      <c r="CI118" s="4395" t="n"/>
      <c r="CJ118" s="4395" t="n"/>
      <c r="CK118" s="4395" t="n"/>
      <c r="CL118" s="4395" t="n"/>
      <c r="CM118" s="4395" t="n"/>
      <c r="CN118" s="4395" t="n"/>
      <c r="CO118" s="4395" t="n"/>
      <c r="CP118" s="4395" t="n"/>
      <c r="CQ118" s="4395" t="n"/>
      <c r="CR118" s="4395" t="n"/>
      <c r="CS118" s="4395" t="n"/>
      <c r="CT118" s="4395" t="n"/>
      <c r="CU118" s="4395" t="n"/>
      <c r="CV118" s="4395" t="n"/>
      <c r="CW118" s="4395" t="n"/>
      <c r="CX118" s="4395" t="n"/>
      <c r="CY118" s="4395" t="n"/>
      <c r="CZ118" s="4395" t="n"/>
      <c r="DA118" s="4395" t="n"/>
      <c r="DB118" s="4395" t="n"/>
      <c r="DC118" s="4395" t="n"/>
      <c r="DD118" s="4395" t="n"/>
      <c r="DE118" s="4395" t="n"/>
      <c r="DF118" s="4395" t="n"/>
      <c r="DG118" s="4395" t="n"/>
      <c r="DH118" s="4395" t="n"/>
    </row>
    <row r="119" ht="16" customHeight="1">
      <c r="A119" t="inlineStr">
        <is>
          <t>Inland wetlands - defo</t>
        </is>
      </c>
      <c r="C119">
        <f>'6.Inland wetlands'!C14</f>
        <v/>
      </c>
      <c r="D119">
        <f>'6.Inland wetlands'!AG14+'6.Inland wetlands'!AG26</f>
        <v/>
      </c>
      <c r="E119">
        <f>IF('6.Inland wetlands'!BJ14&lt;&gt;0,'6.Inland wetlands'!BJ14,'6.Inland wetlands'!BI14)</f>
        <v/>
      </c>
      <c r="F119">
        <f>time</f>
        <v/>
      </c>
      <c r="G119" s="4395">
        <f>'6.Inland wetlands'!O14</f>
        <v/>
      </c>
      <c r="H119" s="4395">
        <f>'6.Inland wetlands'!Q14</f>
        <v/>
      </c>
      <c r="I119" s="4395">
        <f>IF(OR(H119="I", G119="I"), "I", IF(OR(H119="E", G119="E"), "E", "D"))</f>
        <v/>
      </c>
      <c r="J119" s="4395">
        <f>((D119/(time_cap+((F119-E119+1)*VLOOKUP(I119,list!$I$48:$K$50,3, FALSE))))*(F119-E119+1)*VLOOKUP(I119,list!$I$48:$K$50,3, FALSE))</f>
        <v/>
      </c>
      <c r="K119" s="4395">
        <f>((D119/(time_cap+((F119-E119+1)*VLOOKUP(I119,list!$I$48:$K$50,3, FALSE))))*time_cap)</f>
        <v/>
      </c>
      <c r="M119" s="4395">
        <f>IFERROR(IF((time+time_cap)&lt;M$2, 0,IF(AND(time+1&gt;=N$2, $E119&lt;N$2), IF($I119= "I", $J119/($F119-$E119+1), $J119/(($F119*($F119+1)/2)-(($E119-1)*($E119-1+1)/2))*M$2), 0)+IF(IF(time+1&gt;=N$2, $K119/time_cap/(time+1)*M$2, 0) = 0, $K119/(time_cap),0)),0)</f>
        <v/>
      </c>
      <c r="N119" s="4395">
        <f>IFERROR(IF((time+time_cap)&lt;N$2, 0,IF(AND(time+1&gt;=O$2, $E119&lt;O$2), IF($I119= "I", $J119/($F119-$E119+1), $J119/(($F119*($F119+1)/2)-(($E119-1)*($E119-1+1)/2))*N$2), 0)+IF(IF(time+1&gt;=O$2, $K119/time_cap/(time+1)*N$2, 0) = 0, $K119/(time_cap),0)),0)</f>
        <v/>
      </c>
      <c r="O119" s="4395">
        <f>IFERROR(IF((time+time_cap)&lt;O$2, 0,IF(AND(time+1&gt;=P$2, $E119&lt;P$2), IF($I119= "I", $J119/($F119-$E119+1), $J119/(($F119*($F119+1)/2)-(($E119-1)*($E119-1+1)/2))*O$2), 0)+IF(IF(time+1&gt;=P$2, $K119/time_cap/(time+1)*O$2, 0) = 0, $K119/(time_cap),0)),0)</f>
        <v/>
      </c>
      <c r="P119" s="4395">
        <f>IFERROR(IF((time+time_cap)&lt;P$2, 0,IF(AND(time+1&gt;=Q$2, $E119&lt;Q$2), IF($I119= "I", $J119/($F119-$E119+1), $J119/(($F119*($F119+1)/2)-(($E119-1)*($E119-1+1)/2))*P$2), 0)+IF(IF(time+1&gt;=Q$2, $K119/time_cap/(time+1)*P$2, 0) = 0, $K119/(time_cap),0)),0)</f>
        <v/>
      </c>
      <c r="Q119" s="4395">
        <f>IFERROR(IF((time+time_cap)&lt;Q$2, 0,IF(AND(time+1&gt;=R$2, $E119&lt;R$2), IF($I119= "I", $J119/($F119-$E119+1), $J119/(($F119*($F119+1)/2)-(($E119-1)*($E119-1+1)/2))*Q$2), 0)+IF(IF(time+1&gt;=R$2, $K119/time_cap/(time+1)*Q$2, 0) = 0, $K119/(time_cap),0)),0)</f>
        <v/>
      </c>
      <c r="R119" s="4395">
        <f>IFERROR(IF((time+time_cap)&lt;R$2, 0,IF(AND(time+1&gt;=S$2, $E119&lt;S$2), IF($I119= "I", $J119/($F119-$E119+1), $J119/(($F119*($F119+1)/2)-(($E119-1)*($E119-1+1)/2))*R$2), 0)+IF(IF(time+1&gt;=S$2, $K119/time_cap/(time+1)*R$2, 0) = 0, $K119/(time_cap),0)),0)</f>
        <v/>
      </c>
      <c r="S119" s="4395">
        <f>IFERROR(IF((time+time_cap)&lt;S$2, 0,IF(AND(time+1&gt;=T$2, $E119&lt;T$2), IF($I119= "I", $J119/($F119-$E119+1), $J119/(($F119*($F119+1)/2)-(($E119-1)*($E119-1+1)/2))*S$2), 0)+IF(IF(time+1&gt;=T$2, $K119/time_cap/(time+1)*S$2, 0) = 0, $K119/(time_cap),0)),0)</f>
        <v/>
      </c>
      <c r="T119" s="4395">
        <f>IFERROR(IF((time+time_cap)&lt;T$2, 0,IF(AND(time+1&gt;=U$2, $E119&lt;U$2), IF($I119= "I", $J119/($F119-$E119+1), $J119/(($F119*($F119+1)/2)-(($E119-1)*($E119-1+1)/2))*T$2), 0)+IF(IF(time+1&gt;=U$2, $K119/time_cap/(time+1)*T$2, 0) = 0, $K119/(time_cap),0)),0)</f>
        <v/>
      </c>
      <c r="U119" s="4395">
        <f>IFERROR(IF((time+time_cap)&lt;U$2, 0,IF(AND(time+1&gt;=V$2, $E119&lt;V$2), IF($I119= "I", $J119/($F119-$E119+1), $J119/(($F119*($F119+1)/2)-(($E119-1)*($E119-1+1)/2))*U$2), 0)+IF(IF(time+1&gt;=V$2, $K119/time_cap/(time+1)*U$2, 0) = 0, $K119/(time_cap),0)),0)</f>
        <v/>
      </c>
      <c r="V119" s="4395">
        <f>IFERROR(IF((time+time_cap)&lt;V$2, 0,IF(AND(time+1&gt;=W$2, $E119&lt;W$2), IF($I119= "I", $J119/($F119-$E119+1), $J119/(($F119*($F119+1)/2)-(($E119-1)*($E119-1+1)/2))*V$2), 0)+IF(IF(time+1&gt;=W$2, $K119/time_cap/(time+1)*V$2, 0) = 0, $K119/(time_cap),0)),0)</f>
        <v/>
      </c>
      <c r="W119" s="4395">
        <f>IFERROR(IF((time+time_cap)&lt;W$2, 0,IF(AND(time+1&gt;=X$2, $E119&lt;X$2), IF($I119= "I", $J119/($F119-$E119+1), $J119/(($F119*($F119+1)/2)-(($E119-1)*($E119-1+1)/2))*W$2), 0)+IF(IF(time+1&gt;=X$2, $K119/time_cap/(time+1)*W$2, 0) = 0, $K119/(time_cap),0)),0)</f>
        <v/>
      </c>
      <c r="X119" s="4395">
        <f>IFERROR(IF((time+time_cap)&lt;X$2, 0,IF(AND(time+1&gt;=Y$2, $E119&lt;Y$2), IF($I119= "I", $J119/($F119-$E119+1), $J119/(($F119*($F119+1)/2)-(($E119-1)*($E119-1+1)/2))*X$2), 0)+IF(IF(time+1&gt;=Y$2, $K119/time_cap/(time+1)*X$2, 0) = 0, $K119/(time_cap),0)),0)</f>
        <v/>
      </c>
      <c r="Y119" s="4395">
        <f>IFERROR(IF((time+time_cap)&lt;Y$2, 0,IF(AND(time+1&gt;=Z$2, $E119&lt;Z$2), IF($I119= "I", $J119/($F119-$E119+1), $J119/(($F119*($F119+1)/2)-(($E119-1)*($E119-1+1)/2))*Y$2), 0)+IF(IF(time+1&gt;=Z$2, $K119/time_cap/(time+1)*Y$2, 0) = 0, $K119/(time_cap),0)),0)</f>
        <v/>
      </c>
      <c r="Z119" s="4395">
        <f>IFERROR(IF((time+time_cap)&lt;Z$2, 0,IF(AND(time+1&gt;=AA$2, $E119&lt;AA$2), IF($I119= "I", $J119/($F119-$E119+1), $J119/(($F119*($F119+1)/2)-(($E119-1)*($E119-1+1)/2))*Z$2), 0)+IF(IF(time+1&gt;=AA$2, $K119/time_cap/(time+1)*Z$2, 0) = 0, $K119/(time_cap),0)),0)</f>
        <v/>
      </c>
      <c r="AA119" s="4395">
        <f>IFERROR(IF((time+time_cap)&lt;AA$2, 0,IF(AND(time+1&gt;=AB$2, $E119&lt;AB$2), IF($I119= "I", $J119/($F119-$E119+1), $J119/(($F119*($F119+1)/2)-(($E119-1)*($E119-1+1)/2))*AA$2), 0)+IF(IF(time+1&gt;=AB$2, $K119/time_cap/(time+1)*AA$2, 0) = 0, $K119/(time_cap),0)),0)</f>
        <v/>
      </c>
      <c r="AB119" s="4395">
        <f>IFERROR(IF((time+time_cap)&lt;AB$2, 0,IF(AND(time+1&gt;=AC$2, $E119&lt;AC$2), IF($I119= "I", $J119/($F119-$E119+1), $J119/(($F119*($F119+1)/2)-(($E119-1)*($E119-1+1)/2))*AB$2), 0)+IF(IF(time+1&gt;=AC$2, $K119/time_cap/(time+1)*AB$2, 0) = 0, $K119/(time_cap),0)),0)</f>
        <v/>
      </c>
      <c r="AC119" s="4395">
        <f>IFERROR(IF((time+time_cap)&lt;AC$2, 0,IF(AND(time+1&gt;=AD$2, $E119&lt;AD$2), IF($I119= "I", $J119/($F119-$E119+1), $J119/(($F119*($F119+1)/2)-(($E119-1)*($E119-1+1)/2))*AC$2), 0)+IF(IF(time+1&gt;=AD$2, $K119/time_cap/(time+1)*AC$2, 0) = 0, $K119/(time_cap),0)),0)</f>
        <v/>
      </c>
      <c r="AD119" s="4395">
        <f>IFERROR(IF((time+time_cap)&lt;AD$2, 0,IF(AND(time+1&gt;=AE$2, $E119&lt;AE$2), IF($I119= "I", $J119/($F119-$E119+1), $J119/(($F119*($F119+1)/2)-(($E119-1)*($E119-1+1)/2))*AD$2), 0)+IF(IF(time+1&gt;=AE$2, $K119/time_cap/(time+1)*AD$2, 0) = 0, $K119/(time_cap),0)),0)</f>
        <v/>
      </c>
      <c r="AE119" s="4395">
        <f>IFERROR(IF((time+time_cap)&lt;AE$2, 0,IF(AND(time+1&gt;=AF$2, $E119&lt;AF$2), IF($I119= "I", $J119/($F119-$E119+1), $J119/(($F119*($F119+1)/2)-(($E119-1)*($E119-1+1)/2))*AE$2), 0)+IF(IF(time+1&gt;=AF$2, $K119/time_cap/(time+1)*AE$2, 0) = 0, $K119/(time_cap),0)),0)</f>
        <v/>
      </c>
      <c r="AF119" s="4395">
        <f>IFERROR(IF((time+time_cap)&lt;AF$2, 0,IF(AND(time+1&gt;=AG$2, $E119&lt;AG$2), IF($I119= "I", $J119/($F119-$E119+1), $J119/(($F119*($F119+1)/2)-(($E119-1)*($E119-1+1)/2))*AF$2), 0)+IF(IF(time+1&gt;=AG$2, $K119/time_cap/(time+1)*AF$2, 0) = 0, $K119/(time_cap),0)),0)</f>
        <v/>
      </c>
      <c r="AG119" s="4395">
        <f>IFERROR(IF((time+time_cap)&lt;AG$2, 0,IF(AND(time+1&gt;=AH$2, $E119&lt;AH$2), IF($I119= "I", $J119/($F119-$E119+1), $J119/(($F119*($F119+1)/2)-(($E119-1)*($E119-1+1)/2))*AG$2), 0)+IF(IF(time+1&gt;=AH$2, $K119/time_cap/(time+1)*AG$2, 0) = 0, $K119/(time_cap),0)),0)</f>
        <v/>
      </c>
      <c r="AH119" s="4395">
        <f>IFERROR(IF((time+time_cap)&lt;AH$2, 0,IF(AND(time+1&gt;=AI$2, $E119&lt;AI$2), IF($I119= "I", $J119/($F119-$E119+1), $J119/(($F119*($F119+1)/2)-(($E119-1)*($E119-1+1)/2))*AH$2), 0)+IF(IF(time+1&gt;=AI$2, $K119/time_cap/(time+1)*AH$2, 0) = 0, $K119/(time_cap),0)),0)</f>
        <v/>
      </c>
      <c r="AI119" s="4395">
        <f>IFERROR(IF((time+time_cap)&lt;AI$2, 0,IF(AND(time+1&gt;=AJ$2, $E119&lt;AJ$2), IF($I119= "I", $J119/($F119-$E119+1), $J119/(($F119*($F119+1)/2)-(($E119-1)*($E119-1+1)/2))*AI$2), 0)+IF(IF(time+1&gt;=AJ$2, $K119/time_cap/(time+1)*AI$2, 0) = 0, $K119/(time_cap),0)),0)</f>
        <v/>
      </c>
      <c r="AJ119" s="4395">
        <f>IFERROR(IF((time+time_cap)&lt;AJ$2, 0,IF(AND(time+1&gt;=AK$2, $E119&lt;AK$2), IF($I119= "I", $J119/($F119-$E119+1), $J119/(($F119*($F119+1)/2)-(($E119-1)*($E119-1+1)/2))*AJ$2), 0)+IF(IF(time+1&gt;=AK$2, $K119/time_cap/(time+1)*AJ$2, 0) = 0, $K119/(time_cap),0)),0)</f>
        <v/>
      </c>
      <c r="AK119" s="4395">
        <f>IFERROR(IF((time+time_cap)&lt;AK$2, 0,IF(AND(time+1&gt;=AL$2, $E119&lt;AL$2), IF($I119= "I", $J119/($F119-$E119+1), $J119/(($F119*($F119+1)/2)-(($E119-1)*($E119-1+1)/2))*AK$2), 0)+IF(IF(time+1&gt;=AL$2, $K119/time_cap/(time+1)*AK$2, 0) = 0, $K119/(time_cap),0)),0)</f>
        <v/>
      </c>
      <c r="AL119" s="4395">
        <f>IFERROR(IF((time+time_cap)&lt;AL$2, 0,IF(AND(time+1&gt;=AM$2, $E119&lt;AM$2), IF($I119= "I", $J119/($F119-$E119+1), $J119/(($F119*($F119+1)/2)-(($E119-1)*($E119-1+1)/2))*AL$2), 0)+IF(IF(time+1&gt;=AM$2, $K119/time_cap/(time+1)*AL$2, 0) = 0, $K119/(time_cap),0)),0)</f>
        <v/>
      </c>
      <c r="AM119" s="4395">
        <f>IFERROR(IF((time+time_cap)&lt;AM$2, 0,IF(AND(time+1&gt;=AN$2, $E119&lt;AN$2), IF($I119= "I", $J119/($F119-$E119+1), $J119/(($F119*($F119+1)/2)-(($E119-1)*($E119-1+1)/2))*AM$2), 0)+IF(IF(time+1&gt;=AN$2, $K119/time_cap/(time+1)*AM$2, 0) = 0, $K119/(time_cap),0)),0)</f>
        <v/>
      </c>
      <c r="AN119" s="4395">
        <f>IFERROR(IF((time+time_cap)&lt;AN$2, 0,IF(AND(time+1&gt;=AO$2, $E119&lt;AO$2), IF($I119= "I", $J119/($F119-$E119+1), $J119/(($F119*($F119+1)/2)-(($E119-1)*($E119-1+1)/2))*AN$2), 0)+IF(IF(time+1&gt;=AO$2, $K119/time_cap/(time+1)*AN$2, 0) = 0, $K119/(time_cap),0)),0)</f>
        <v/>
      </c>
      <c r="AO119" s="4395">
        <f>IFERROR(IF((time+time_cap)&lt;AO$2, 0,IF(AND(time+1&gt;=AP$2, $E119&lt;AP$2), IF($I119= "I", $J119/($F119-$E119+1), $J119/(($F119*($F119+1)/2)-(($E119-1)*($E119-1+1)/2))*AO$2), 0)+IF(IF(time+1&gt;=AP$2, $K119/time_cap/(time+1)*AO$2, 0) = 0, $K119/(time_cap),0)),0)</f>
        <v/>
      </c>
      <c r="AP119" s="4395">
        <f>IFERROR(IF((time+time_cap)&lt;AP$2, 0,IF(AND(time+1&gt;=AQ$2, $E119&lt;AQ$2), IF($I119= "I", $J119/($F119-$E119+1), $J119/(($F119*($F119+1)/2)-(($E119-1)*($E119-1+1)/2))*AP$2), 0)+IF(IF(time+1&gt;=AQ$2, $K119/time_cap/(time+1)*AP$2, 0) = 0, $K119/(time_cap),0)),0)</f>
        <v/>
      </c>
      <c r="AQ119" s="4395">
        <f>IFERROR(IF((time+time_cap)&lt;AQ$2, 0,IF(AND(time+1&gt;=AR$2, $E119&lt;AR$2), IF($I119= "I", $J119/($F119-$E119+1), $J119/(($F119*($F119+1)/2)-(($E119-1)*($E119-1+1)/2))*AQ$2), 0)+IF(IF(time+1&gt;=AR$2, $K119/time_cap/(time+1)*AQ$2, 0) = 0, $K119/(time_cap),0)),0)</f>
        <v/>
      </c>
      <c r="AR119" s="4395">
        <f>IFERROR(IF((time+time_cap)&lt;AR$2, 0,IF(AND(time+1&gt;=AS$2, $E119&lt;AS$2), IF($I119= "I", $J119/($F119-$E119+1), $J119/(($F119*($F119+1)/2)-(($E119-1)*($E119-1+1)/2))*AR$2), 0)+IF(IF(time+1&gt;=AS$2, $K119/time_cap/(time+1)*AR$2, 0) = 0, $K119/(time_cap),0)),0)</f>
        <v/>
      </c>
      <c r="AS119" s="4395">
        <f>IFERROR(IF((time+time_cap)&lt;AS$2, 0,IF(AND(time+1&gt;=AT$2, $E119&lt;AT$2), IF($I119= "I", $J119/($F119-$E119+1), $J119/(($F119*($F119+1)/2)-(($E119-1)*($E119-1+1)/2))*AS$2), 0)+IF(IF(time+1&gt;=AT$2, $K119/time_cap/(time+1)*AS$2, 0) = 0, $K119/(time_cap),0)),0)</f>
        <v/>
      </c>
      <c r="AT119" s="4395">
        <f>IFERROR(IF((time+time_cap)&lt;AT$2, 0,IF(AND(time+1&gt;=AU$2, $E119&lt;AU$2), IF($I119= "I", $J119/($F119-$E119+1), $J119/(($F119*($F119+1)/2)-(($E119-1)*($E119-1+1)/2))*AT$2), 0)+IF(IF(time+1&gt;=AU$2, $K119/time_cap/(time+1)*AT$2, 0) = 0, $K119/(time_cap),0)),0)</f>
        <v/>
      </c>
      <c r="AU119" s="4395">
        <f>IFERROR(IF((time+time_cap)&lt;AU$2, 0,IF(AND(time+1&gt;=AV$2, $E119&lt;AV$2), IF($I119= "I", $J119/($F119-$E119+1), $J119/(($F119*($F119+1)/2)-(($E119-1)*($E119-1+1)/2))*AU$2), 0)+IF(IF(time+1&gt;=AV$2, $K119/time_cap/(time+1)*AU$2, 0) = 0, $K119/(time_cap),0)),0)</f>
        <v/>
      </c>
      <c r="AV119" s="4395">
        <f>IFERROR(IF((time+time_cap)&lt;AV$2, 0,IF(AND(time+1&gt;=AW$2, $E119&lt;AW$2), IF($I119= "I", $J119/($F119-$E119+1), $J119/(($F119*($F119+1)/2)-(($E119-1)*($E119-1+1)/2))*AV$2), 0)+IF(IF(time+1&gt;=AW$2, $K119/time_cap/(time+1)*AV$2, 0) = 0, $K119/(time_cap),0)),0)</f>
        <v/>
      </c>
      <c r="AW119" s="4395">
        <f>IFERROR(IF((time+time_cap)&lt;AW$2, 0,IF(AND(time+1&gt;=AX$2, $E119&lt;AX$2), IF($I119= "I", $J119/($F119-$E119+1), $J119/(($F119*($F119+1)/2)-(($E119-1)*($E119-1+1)/2))*AW$2), 0)+IF(IF(time+1&gt;=AX$2, $K119/time_cap/(time+1)*AW$2, 0) = 0, $K119/(time_cap),0)),0)</f>
        <v/>
      </c>
      <c r="AX119" s="4395">
        <f>IFERROR(IF((time+time_cap)&lt;AX$2, 0,IF(AND(time+1&gt;=AY$2, $E119&lt;AY$2), IF($I119= "I", $J119/($F119-$E119+1), $J119/(($F119*($F119+1)/2)-(($E119-1)*($E119-1+1)/2))*AX$2), 0)+IF(IF(time+1&gt;=AY$2, $K119/time_cap/(time+1)*AX$2, 0) = 0, $K119/(time_cap),0)),0)</f>
        <v/>
      </c>
      <c r="AY119" s="4395">
        <f>IFERROR(IF((time+time_cap)&lt;AY$2, 0,IF(AND(time+1&gt;=AZ$2, $E119&lt;AZ$2), IF($I119= "I", $J119/($F119-$E119+1), $J119/(($F119*($F119+1)/2)-(($E119-1)*($E119-1+1)/2))*AY$2), 0)+IF(IF(time+1&gt;=AZ$2, $K119/time_cap/(time+1)*AY$2, 0) = 0, $K119/(time_cap),0)),0)</f>
        <v/>
      </c>
      <c r="AZ119" s="4395">
        <f>IFERROR(IF((time+time_cap)&lt;AZ$2, 0,IF(AND(time+1&gt;=BA$2, $E119&lt;BA$2), IF($I119= "I", $J119/($F119-$E119+1), $J119/(($F119*($F119+1)/2)-(($E119-1)*($E119-1+1)/2))*AZ$2), 0)+IF(IF(time+1&gt;=BA$2, $K119/time_cap/(time+1)*AZ$2, 0) = 0, $K119/(time_cap),0)),0)</f>
        <v/>
      </c>
      <c r="BA119" s="4395">
        <f>IFERROR(IF((time+time_cap)&lt;BA$2, 0,IF(AND(time+1&gt;=BB$2, $E119&lt;BB$2), IF($I119= "I", $J119/($F119-$E119+1), $J119/(($F119*($F119+1)/2)-(($E119-1)*($E119-1+1)/2))*BA$2), 0)+IF(IF(time+1&gt;=BB$2, $K119/time_cap/(time+1)*BA$2, 0) = 0, $K119/(time_cap),0)),0)</f>
        <v/>
      </c>
      <c r="BB119" s="4395">
        <f>IFERROR(IF((time+time_cap)&lt;BB$2, 0,IF(AND(time+1&gt;=BC$2, $E119&lt;BC$2), IF($I119= "I", $J119/($F119-$E119+1), $J119/(($F119*($F119+1)/2)-(($E119-1)*($E119-1+1)/2))*BB$2), 0)+IF(IF(time+1&gt;=BC$2, $K119/time_cap/(time+1)*BB$2, 0) = 0, $K119/(time_cap),0)),0)</f>
        <v/>
      </c>
      <c r="BC119" s="4395">
        <f>IFERROR(IF((time+time_cap)&lt;BC$2, 0,IF(AND(time+1&gt;=BD$2, $E119&lt;BD$2), IF($I119= "I", $J119/($F119-$E119+1), $J119/(($F119*($F119+1)/2)-(($E119-1)*($E119-1+1)/2))*BC$2), 0)+IF(IF(time+1&gt;=BD$2, $K119/time_cap/(time+1)*BC$2, 0) = 0, $K119/(time_cap),0)),0)</f>
        <v/>
      </c>
      <c r="BD119" s="4395">
        <f>IFERROR(IF((time+time_cap)&lt;BD$2, 0,IF(AND(time+1&gt;=BE$2, $E119&lt;BE$2), IF($I119= "I", $J119/($F119-$E119+1), $J119/(($F119*($F119+1)/2)-(($E119-1)*($E119-1+1)/2))*BD$2), 0)+IF(IF(time+1&gt;=BE$2, $K119/time_cap/(time+1)*BD$2, 0) = 0, $K119/(time_cap),0)),0)</f>
        <v/>
      </c>
      <c r="BE119" s="4395">
        <f>IFERROR(IF((time+time_cap)&lt;BE$2, 0,IF(AND(time+1&gt;=BF$2, $E119&lt;BF$2), IF($I119= "I", $J119/($F119-$E119+1), $J119/(($F119*($F119+1)/2)-(($E119-1)*($E119-1+1)/2))*BE$2), 0)+IF(IF(time+1&gt;=BF$2, $K119/time_cap/(time+1)*BE$2, 0) = 0, $K119/(time_cap),0)),0)</f>
        <v/>
      </c>
      <c r="BF119" s="4395">
        <f>IFERROR(IF((time+time_cap)&lt;BF$2, 0,IF(AND(time+1&gt;=BG$2, $E119&lt;BG$2), IF($I119= "I", $J119/($F119-$E119+1), $J119/(($F119*($F119+1)/2)-(($E119-1)*($E119-1+1)/2))*BF$2), 0)+IF(IF(time+1&gt;=BG$2, $K119/time_cap/(time+1)*BF$2, 0) = 0, $K119/(time_cap),0)),0)</f>
        <v/>
      </c>
      <c r="BG119" s="4395">
        <f>IFERROR(IF((time+time_cap)&lt;BG$2, 0,IF(AND(time+1&gt;=BH$2, $E119&lt;BH$2), IF($I119= "I", $J119/($F119-$E119+1), $J119/(($F119*($F119+1)/2)-(($E119-1)*($E119-1+1)/2))*BG$2), 0)+IF(IF(time+1&gt;=BH$2, $K119/time_cap/(time+1)*BG$2, 0) = 0, $K119/(time_cap),0)),0)</f>
        <v/>
      </c>
      <c r="BH119" s="4395">
        <f>IFERROR(IF((time+time_cap)&lt;BH$2, 0,IF(AND(time+1&gt;=BI$2, $E119&lt;BI$2), IF($I119= "I", $J119/($F119-$E119+1), $J119/(($F119*($F119+1)/2)-(($E119-1)*($E119-1+1)/2))*BH$2), 0)+IF(IF(time+1&gt;=BI$2, $K119/time_cap/(time+1)*BH$2, 0) = 0, $K119/(time_cap),0)),0)</f>
        <v/>
      </c>
      <c r="BI119" s="4395">
        <f>IFERROR(IF((time+time_cap)&lt;BI$2, 0,IF(AND(time+1&gt;=BJ$2, $E119&lt;BJ$2), IF($I119= "I", $J119/($F119-$E119+1), $J119/(($F119*($F119+1)/2)-(($E119-1)*($E119-1+1)/2))*BI$2), 0)+IF(IF(time+1&gt;=BJ$2, $K119/time_cap/(time+1)*BI$2, 0) = 0, $K119/(time_cap),0)),0)</f>
        <v/>
      </c>
      <c r="BJ119" s="4395">
        <f>IFERROR(IF((time+time_cap)&lt;BJ$2, 0,IF(AND(time+1&gt;=BK$2, $E119&lt;BK$2), IF($I119= "I", $J119/($F119-$E119+1), $J119/(($F119*($F119+1)/2)-(($E119-1)*($E119-1+1)/2))*BJ$2), 0)+IF(IF(time+1&gt;=BK$2, $K119/time_cap/(time+1)*BJ$2, 0) = 0, $K119/(time_cap),0)),0)</f>
        <v/>
      </c>
      <c r="BK119" s="4395" t="n"/>
      <c r="BL119" s="4395" t="n"/>
      <c r="BM119" s="4395" t="n"/>
      <c r="BN119" s="4395" t="n"/>
      <c r="BO119" s="4395" t="n"/>
      <c r="BP119" s="4395" t="n"/>
      <c r="BQ119" s="4395" t="n"/>
      <c r="BR119" s="4395" t="n"/>
      <c r="BS119" s="4395" t="n"/>
      <c r="BT119" s="4395" t="n"/>
      <c r="BU119" s="4395" t="n"/>
      <c r="BV119" s="4395" t="n"/>
      <c r="BW119" s="4395" t="n"/>
      <c r="BX119" s="4395" t="n"/>
      <c r="BY119" s="4395" t="n"/>
      <c r="BZ119" s="4395" t="n"/>
      <c r="CA119" s="4395" t="n"/>
      <c r="CB119" s="4395" t="n"/>
      <c r="CC119" s="4395" t="n"/>
      <c r="CD119" s="4395" t="n"/>
      <c r="CE119" s="4395" t="n"/>
      <c r="CF119" s="4395" t="n"/>
      <c r="CG119" s="4395" t="n"/>
      <c r="CH119" s="4395" t="n"/>
      <c r="CI119" s="4395" t="n"/>
      <c r="CJ119" s="4395" t="n"/>
      <c r="CK119" s="4395" t="n"/>
      <c r="CL119" s="4395" t="n"/>
      <c r="CM119" s="4395" t="n"/>
      <c r="CN119" s="4395" t="n"/>
      <c r="CO119" s="4395" t="n"/>
      <c r="CP119" s="4395" t="n"/>
      <c r="CQ119" s="4395" t="n"/>
      <c r="CR119" s="4395" t="n"/>
      <c r="CS119" s="4395" t="n"/>
      <c r="CT119" s="4395" t="n"/>
      <c r="CU119" s="4395" t="n"/>
      <c r="CV119" s="4395" t="n"/>
      <c r="CW119" s="4395" t="n"/>
      <c r="CX119" s="4395" t="n"/>
      <c r="CY119" s="4395" t="n"/>
      <c r="CZ119" s="4395" t="n"/>
      <c r="DA119" s="4395" t="n"/>
      <c r="DB119" s="4395" t="n"/>
      <c r="DC119" s="4395" t="n"/>
      <c r="DD119" s="4395" t="n"/>
      <c r="DE119" s="4395" t="n"/>
      <c r="DF119" s="4395" t="n"/>
      <c r="DG119" s="4395" t="n"/>
      <c r="DH119" s="4395" t="n"/>
    </row>
    <row r="120" ht="16" customHeight="1">
      <c r="A120" t="inlineStr">
        <is>
          <t>Inland wetlands - defo</t>
        </is>
      </c>
      <c r="C120">
        <f>'6.Inland wetlands'!C15</f>
        <v/>
      </c>
      <c r="D120">
        <f>'6.Inland wetlands'!AG15+'6.Inland wetlands'!AG27</f>
        <v/>
      </c>
      <c r="E120">
        <f>IF('6.Inland wetlands'!BJ15&lt;&gt;0,'6.Inland wetlands'!BJ15,'6.Inland wetlands'!BI15)</f>
        <v/>
      </c>
      <c r="F120">
        <f>time</f>
        <v/>
      </c>
      <c r="G120" s="4395">
        <f>'6.Inland wetlands'!O15</f>
        <v/>
      </c>
      <c r="H120" s="4395">
        <f>'6.Inland wetlands'!Q15</f>
        <v/>
      </c>
      <c r="I120" s="4395">
        <f>IF(OR(H120="I", G120="I"), "I", IF(OR(H120="E", G120="E"), "E", "D"))</f>
        <v/>
      </c>
      <c r="J120" s="4395">
        <f>((D120/(time_cap+((F120-E120+1)*VLOOKUP(I120,list!$I$48:$K$50,3, FALSE))))*(F120-E120+1)*VLOOKUP(I120,list!$I$48:$K$50,3, FALSE))</f>
        <v/>
      </c>
      <c r="K120" s="4395">
        <f>((D120/(time_cap+((F120-E120+1)*VLOOKUP(I120,list!$I$48:$K$50,3, FALSE))))*time_cap)</f>
        <v/>
      </c>
      <c r="M120" s="4395">
        <f>IFERROR(IF((time+time_cap)&lt;M$2, 0,IF(AND(time+1&gt;=N$2, $E120&lt;N$2), IF($I120= "I", $J120/($F120-$E120+1), $J120/(($F120*($F120+1)/2)-(($E120-1)*($E120-1+1)/2))*M$2), 0)+IF(IF(time+1&gt;=N$2, $K120/time_cap/(time+1)*M$2, 0) = 0, $K120/(time_cap),0)),0)</f>
        <v/>
      </c>
      <c r="N120" s="4395">
        <f>IFERROR(IF((time+time_cap)&lt;N$2, 0,IF(AND(time+1&gt;=O$2, $E120&lt;O$2), IF($I120= "I", $J120/($F120-$E120+1), $J120/(($F120*($F120+1)/2)-(($E120-1)*($E120-1+1)/2))*N$2), 0)+IF(IF(time+1&gt;=O$2, $K120/time_cap/(time+1)*N$2, 0) = 0, $K120/(time_cap),0)),0)</f>
        <v/>
      </c>
      <c r="O120" s="4395">
        <f>IFERROR(IF((time+time_cap)&lt;O$2, 0,IF(AND(time+1&gt;=P$2, $E120&lt;P$2), IF($I120= "I", $J120/($F120-$E120+1), $J120/(($F120*($F120+1)/2)-(($E120-1)*($E120-1+1)/2))*O$2), 0)+IF(IF(time+1&gt;=P$2, $K120/time_cap/(time+1)*O$2, 0) = 0, $K120/(time_cap),0)),0)</f>
        <v/>
      </c>
      <c r="P120" s="4395">
        <f>IFERROR(IF((time+time_cap)&lt;P$2, 0,IF(AND(time+1&gt;=Q$2, $E120&lt;Q$2), IF($I120= "I", $J120/($F120-$E120+1), $J120/(($F120*($F120+1)/2)-(($E120-1)*($E120-1+1)/2))*P$2), 0)+IF(IF(time+1&gt;=Q$2, $K120/time_cap/(time+1)*P$2, 0) = 0, $K120/(time_cap),0)),0)</f>
        <v/>
      </c>
      <c r="Q120" s="4395">
        <f>IFERROR(IF((time+time_cap)&lt;Q$2, 0,IF(AND(time+1&gt;=R$2, $E120&lt;R$2), IF($I120= "I", $J120/($F120-$E120+1), $J120/(($F120*($F120+1)/2)-(($E120-1)*($E120-1+1)/2))*Q$2), 0)+IF(IF(time+1&gt;=R$2, $K120/time_cap/(time+1)*Q$2, 0) = 0, $K120/(time_cap),0)),0)</f>
        <v/>
      </c>
      <c r="R120" s="4395">
        <f>IFERROR(IF((time+time_cap)&lt;R$2, 0,IF(AND(time+1&gt;=S$2, $E120&lt;S$2), IF($I120= "I", $J120/($F120-$E120+1), $J120/(($F120*($F120+1)/2)-(($E120-1)*($E120-1+1)/2))*R$2), 0)+IF(IF(time+1&gt;=S$2, $K120/time_cap/(time+1)*R$2, 0) = 0, $K120/(time_cap),0)),0)</f>
        <v/>
      </c>
      <c r="S120" s="4395">
        <f>IFERROR(IF((time+time_cap)&lt;S$2, 0,IF(AND(time+1&gt;=T$2, $E120&lt;T$2), IF($I120= "I", $J120/($F120-$E120+1), $J120/(($F120*($F120+1)/2)-(($E120-1)*($E120-1+1)/2))*S$2), 0)+IF(IF(time+1&gt;=T$2, $K120/time_cap/(time+1)*S$2, 0) = 0, $K120/(time_cap),0)),0)</f>
        <v/>
      </c>
      <c r="T120" s="4395">
        <f>IFERROR(IF((time+time_cap)&lt;T$2, 0,IF(AND(time+1&gt;=U$2, $E120&lt;U$2), IF($I120= "I", $J120/($F120-$E120+1), $J120/(($F120*($F120+1)/2)-(($E120-1)*($E120-1+1)/2))*T$2), 0)+IF(IF(time+1&gt;=U$2, $K120/time_cap/(time+1)*T$2, 0) = 0, $K120/(time_cap),0)),0)</f>
        <v/>
      </c>
      <c r="U120" s="4395">
        <f>IFERROR(IF((time+time_cap)&lt;U$2, 0,IF(AND(time+1&gt;=V$2, $E120&lt;V$2), IF($I120= "I", $J120/($F120-$E120+1), $J120/(($F120*($F120+1)/2)-(($E120-1)*($E120-1+1)/2))*U$2), 0)+IF(IF(time+1&gt;=V$2, $K120/time_cap/(time+1)*U$2, 0) = 0, $K120/(time_cap),0)),0)</f>
        <v/>
      </c>
      <c r="V120" s="4395">
        <f>IFERROR(IF((time+time_cap)&lt;V$2, 0,IF(AND(time+1&gt;=W$2, $E120&lt;W$2), IF($I120= "I", $J120/($F120-$E120+1), $J120/(($F120*($F120+1)/2)-(($E120-1)*($E120-1+1)/2))*V$2), 0)+IF(IF(time+1&gt;=W$2, $K120/time_cap/(time+1)*V$2, 0) = 0, $K120/(time_cap),0)),0)</f>
        <v/>
      </c>
      <c r="W120" s="4395">
        <f>IFERROR(IF((time+time_cap)&lt;W$2, 0,IF(AND(time+1&gt;=X$2, $E120&lt;X$2), IF($I120= "I", $J120/($F120-$E120+1), $J120/(($F120*($F120+1)/2)-(($E120-1)*($E120-1+1)/2))*W$2), 0)+IF(IF(time+1&gt;=X$2, $K120/time_cap/(time+1)*W$2, 0) = 0, $K120/(time_cap),0)),0)</f>
        <v/>
      </c>
      <c r="X120" s="4395">
        <f>IFERROR(IF((time+time_cap)&lt;X$2, 0,IF(AND(time+1&gt;=Y$2, $E120&lt;Y$2), IF($I120= "I", $J120/($F120-$E120+1), $J120/(($F120*($F120+1)/2)-(($E120-1)*($E120-1+1)/2))*X$2), 0)+IF(IF(time+1&gt;=Y$2, $K120/time_cap/(time+1)*X$2, 0) = 0, $K120/(time_cap),0)),0)</f>
        <v/>
      </c>
      <c r="Y120" s="4395">
        <f>IFERROR(IF((time+time_cap)&lt;Y$2, 0,IF(AND(time+1&gt;=Z$2, $E120&lt;Z$2), IF($I120= "I", $J120/($F120-$E120+1), $J120/(($F120*($F120+1)/2)-(($E120-1)*($E120-1+1)/2))*Y$2), 0)+IF(IF(time+1&gt;=Z$2, $K120/time_cap/(time+1)*Y$2, 0) = 0, $K120/(time_cap),0)),0)</f>
        <v/>
      </c>
      <c r="Z120" s="4395">
        <f>IFERROR(IF((time+time_cap)&lt;Z$2, 0,IF(AND(time+1&gt;=AA$2, $E120&lt;AA$2), IF($I120= "I", $J120/($F120-$E120+1), $J120/(($F120*($F120+1)/2)-(($E120-1)*($E120-1+1)/2))*Z$2), 0)+IF(IF(time+1&gt;=AA$2, $K120/time_cap/(time+1)*Z$2, 0) = 0, $K120/(time_cap),0)),0)</f>
        <v/>
      </c>
      <c r="AA120" s="4395">
        <f>IFERROR(IF((time+time_cap)&lt;AA$2, 0,IF(AND(time+1&gt;=AB$2, $E120&lt;AB$2), IF($I120= "I", $J120/($F120-$E120+1), $J120/(($F120*($F120+1)/2)-(($E120-1)*($E120-1+1)/2))*AA$2), 0)+IF(IF(time+1&gt;=AB$2, $K120/time_cap/(time+1)*AA$2, 0) = 0, $K120/(time_cap),0)),0)</f>
        <v/>
      </c>
      <c r="AB120" s="4395">
        <f>IFERROR(IF((time+time_cap)&lt;AB$2, 0,IF(AND(time+1&gt;=AC$2, $E120&lt;AC$2), IF($I120= "I", $J120/($F120-$E120+1), $J120/(($F120*($F120+1)/2)-(($E120-1)*($E120-1+1)/2))*AB$2), 0)+IF(IF(time+1&gt;=AC$2, $K120/time_cap/(time+1)*AB$2, 0) = 0, $K120/(time_cap),0)),0)</f>
        <v/>
      </c>
      <c r="AC120" s="4395">
        <f>IFERROR(IF((time+time_cap)&lt;AC$2, 0,IF(AND(time+1&gt;=AD$2, $E120&lt;AD$2), IF($I120= "I", $J120/($F120-$E120+1), $J120/(($F120*($F120+1)/2)-(($E120-1)*($E120-1+1)/2))*AC$2), 0)+IF(IF(time+1&gt;=AD$2, $K120/time_cap/(time+1)*AC$2, 0) = 0, $K120/(time_cap),0)),0)</f>
        <v/>
      </c>
      <c r="AD120" s="4395">
        <f>IFERROR(IF((time+time_cap)&lt;AD$2, 0,IF(AND(time+1&gt;=AE$2, $E120&lt;AE$2), IF($I120= "I", $J120/($F120-$E120+1), $J120/(($F120*($F120+1)/2)-(($E120-1)*($E120-1+1)/2))*AD$2), 0)+IF(IF(time+1&gt;=AE$2, $K120/time_cap/(time+1)*AD$2, 0) = 0, $K120/(time_cap),0)),0)</f>
        <v/>
      </c>
      <c r="AE120" s="4395">
        <f>IFERROR(IF((time+time_cap)&lt;AE$2, 0,IF(AND(time+1&gt;=AF$2, $E120&lt;AF$2), IF($I120= "I", $J120/($F120-$E120+1), $J120/(($F120*($F120+1)/2)-(($E120-1)*($E120-1+1)/2))*AE$2), 0)+IF(IF(time+1&gt;=AF$2, $K120/time_cap/(time+1)*AE$2, 0) = 0, $K120/(time_cap),0)),0)</f>
        <v/>
      </c>
      <c r="AF120" s="4395">
        <f>IFERROR(IF((time+time_cap)&lt;AF$2, 0,IF(AND(time+1&gt;=AG$2, $E120&lt;AG$2), IF($I120= "I", $J120/($F120-$E120+1), $J120/(($F120*($F120+1)/2)-(($E120-1)*($E120-1+1)/2))*AF$2), 0)+IF(IF(time+1&gt;=AG$2, $K120/time_cap/(time+1)*AF$2, 0) = 0, $K120/(time_cap),0)),0)</f>
        <v/>
      </c>
      <c r="AG120" s="4395">
        <f>IFERROR(IF((time+time_cap)&lt;AG$2, 0,IF(AND(time+1&gt;=AH$2, $E120&lt;AH$2), IF($I120= "I", $J120/($F120-$E120+1), $J120/(($F120*($F120+1)/2)-(($E120-1)*($E120-1+1)/2))*AG$2), 0)+IF(IF(time+1&gt;=AH$2, $K120/time_cap/(time+1)*AG$2, 0) = 0, $K120/(time_cap),0)),0)</f>
        <v/>
      </c>
      <c r="AH120" s="4395">
        <f>IFERROR(IF((time+time_cap)&lt;AH$2, 0,IF(AND(time+1&gt;=AI$2, $E120&lt;AI$2), IF($I120= "I", $J120/($F120-$E120+1), $J120/(($F120*($F120+1)/2)-(($E120-1)*($E120-1+1)/2))*AH$2), 0)+IF(IF(time+1&gt;=AI$2, $K120/time_cap/(time+1)*AH$2, 0) = 0, $K120/(time_cap),0)),0)</f>
        <v/>
      </c>
      <c r="AI120" s="4395">
        <f>IFERROR(IF((time+time_cap)&lt;AI$2, 0,IF(AND(time+1&gt;=AJ$2, $E120&lt;AJ$2), IF($I120= "I", $J120/($F120-$E120+1), $J120/(($F120*($F120+1)/2)-(($E120-1)*($E120-1+1)/2))*AI$2), 0)+IF(IF(time+1&gt;=AJ$2, $K120/time_cap/(time+1)*AI$2, 0) = 0, $K120/(time_cap),0)),0)</f>
        <v/>
      </c>
      <c r="AJ120" s="4395">
        <f>IFERROR(IF((time+time_cap)&lt;AJ$2, 0,IF(AND(time+1&gt;=AK$2, $E120&lt;AK$2), IF($I120= "I", $J120/($F120-$E120+1), $J120/(($F120*($F120+1)/2)-(($E120-1)*($E120-1+1)/2))*AJ$2), 0)+IF(IF(time+1&gt;=AK$2, $K120/time_cap/(time+1)*AJ$2, 0) = 0, $K120/(time_cap),0)),0)</f>
        <v/>
      </c>
      <c r="AK120" s="4395">
        <f>IFERROR(IF((time+time_cap)&lt;AK$2, 0,IF(AND(time+1&gt;=AL$2, $E120&lt;AL$2), IF($I120= "I", $J120/($F120-$E120+1), $J120/(($F120*($F120+1)/2)-(($E120-1)*($E120-1+1)/2))*AK$2), 0)+IF(IF(time+1&gt;=AL$2, $K120/time_cap/(time+1)*AK$2, 0) = 0, $K120/(time_cap),0)),0)</f>
        <v/>
      </c>
      <c r="AL120" s="4395">
        <f>IFERROR(IF((time+time_cap)&lt;AL$2, 0,IF(AND(time+1&gt;=AM$2, $E120&lt;AM$2), IF($I120= "I", $J120/($F120-$E120+1), $J120/(($F120*($F120+1)/2)-(($E120-1)*($E120-1+1)/2))*AL$2), 0)+IF(IF(time+1&gt;=AM$2, $K120/time_cap/(time+1)*AL$2, 0) = 0, $K120/(time_cap),0)),0)</f>
        <v/>
      </c>
      <c r="AM120" s="4395">
        <f>IFERROR(IF((time+time_cap)&lt;AM$2, 0,IF(AND(time+1&gt;=AN$2, $E120&lt;AN$2), IF($I120= "I", $J120/($F120-$E120+1), $J120/(($F120*($F120+1)/2)-(($E120-1)*($E120-1+1)/2))*AM$2), 0)+IF(IF(time+1&gt;=AN$2, $K120/time_cap/(time+1)*AM$2, 0) = 0, $K120/(time_cap),0)),0)</f>
        <v/>
      </c>
      <c r="AN120" s="4395">
        <f>IFERROR(IF((time+time_cap)&lt;AN$2, 0,IF(AND(time+1&gt;=AO$2, $E120&lt;AO$2), IF($I120= "I", $J120/($F120-$E120+1), $J120/(($F120*($F120+1)/2)-(($E120-1)*($E120-1+1)/2))*AN$2), 0)+IF(IF(time+1&gt;=AO$2, $K120/time_cap/(time+1)*AN$2, 0) = 0, $K120/(time_cap),0)),0)</f>
        <v/>
      </c>
      <c r="AO120" s="4395">
        <f>IFERROR(IF((time+time_cap)&lt;AO$2, 0,IF(AND(time+1&gt;=AP$2, $E120&lt;AP$2), IF($I120= "I", $J120/($F120-$E120+1), $J120/(($F120*($F120+1)/2)-(($E120-1)*($E120-1+1)/2))*AO$2), 0)+IF(IF(time+1&gt;=AP$2, $K120/time_cap/(time+1)*AO$2, 0) = 0, $K120/(time_cap),0)),0)</f>
        <v/>
      </c>
      <c r="AP120" s="4395">
        <f>IFERROR(IF((time+time_cap)&lt;AP$2, 0,IF(AND(time+1&gt;=AQ$2, $E120&lt;AQ$2), IF($I120= "I", $J120/($F120-$E120+1), $J120/(($F120*($F120+1)/2)-(($E120-1)*($E120-1+1)/2))*AP$2), 0)+IF(IF(time+1&gt;=AQ$2, $K120/time_cap/(time+1)*AP$2, 0) = 0, $K120/(time_cap),0)),0)</f>
        <v/>
      </c>
      <c r="AQ120" s="4395">
        <f>IFERROR(IF((time+time_cap)&lt;AQ$2, 0,IF(AND(time+1&gt;=AR$2, $E120&lt;AR$2), IF($I120= "I", $J120/($F120-$E120+1), $J120/(($F120*($F120+1)/2)-(($E120-1)*($E120-1+1)/2))*AQ$2), 0)+IF(IF(time+1&gt;=AR$2, $K120/time_cap/(time+1)*AQ$2, 0) = 0, $K120/(time_cap),0)),0)</f>
        <v/>
      </c>
      <c r="AR120" s="4395">
        <f>IFERROR(IF((time+time_cap)&lt;AR$2, 0,IF(AND(time+1&gt;=AS$2, $E120&lt;AS$2), IF($I120= "I", $J120/($F120-$E120+1), $J120/(($F120*($F120+1)/2)-(($E120-1)*($E120-1+1)/2))*AR$2), 0)+IF(IF(time+1&gt;=AS$2, $K120/time_cap/(time+1)*AR$2, 0) = 0, $K120/(time_cap),0)),0)</f>
        <v/>
      </c>
      <c r="AS120" s="4395">
        <f>IFERROR(IF((time+time_cap)&lt;AS$2, 0,IF(AND(time+1&gt;=AT$2, $E120&lt;AT$2), IF($I120= "I", $J120/($F120-$E120+1), $J120/(($F120*($F120+1)/2)-(($E120-1)*($E120-1+1)/2))*AS$2), 0)+IF(IF(time+1&gt;=AT$2, $K120/time_cap/(time+1)*AS$2, 0) = 0, $K120/(time_cap),0)),0)</f>
        <v/>
      </c>
      <c r="AT120" s="4395">
        <f>IFERROR(IF((time+time_cap)&lt;AT$2, 0,IF(AND(time+1&gt;=AU$2, $E120&lt;AU$2), IF($I120= "I", $J120/($F120-$E120+1), $J120/(($F120*($F120+1)/2)-(($E120-1)*($E120-1+1)/2))*AT$2), 0)+IF(IF(time+1&gt;=AU$2, $K120/time_cap/(time+1)*AT$2, 0) = 0, $K120/(time_cap),0)),0)</f>
        <v/>
      </c>
      <c r="AU120" s="4395">
        <f>IFERROR(IF((time+time_cap)&lt;AU$2, 0,IF(AND(time+1&gt;=AV$2, $E120&lt;AV$2), IF($I120= "I", $J120/($F120-$E120+1), $J120/(($F120*($F120+1)/2)-(($E120-1)*($E120-1+1)/2))*AU$2), 0)+IF(IF(time+1&gt;=AV$2, $K120/time_cap/(time+1)*AU$2, 0) = 0, $K120/(time_cap),0)),0)</f>
        <v/>
      </c>
      <c r="AV120" s="4395">
        <f>IFERROR(IF((time+time_cap)&lt;AV$2, 0,IF(AND(time+1&gt;=AW$2, $E120&lt;AW$2), IF($I120= "I", $J120/($F120-$E120+1), $J120/(($F120*($F120+1)/2)-(($E120-1)*($E120-1+1)/2))*AV$2), 0)+IF(IF(time+1&gt;=AW$2, $K120/time_cap/(time+1)*AV$2, 0) = 0, $K120/(time_cap),0)),0)</f>
        <v/>
      </c>
      <c r="AW120" s="4395">
        <f>IFERROR(IF((time+time_cap)&lt;AW$2, 0,IF(AND(time+1&gt;=AX$2, $E120&lt;AX$2), IF($I120= "I", $J120/($F120-$E120+1), $J120/(($F120*($F120+1)/2)-(($E120-1)*($E120-1+1)/2))*AW$2), 0)+IF(IF(time+1&gt;=AX$2, $K120/time_cap/(time+1)*AW$2, 0) = 0, $K120/(time_cap),0)),0)</f>
        <v/>
      </c>
      <c r="AX120" s="4395">
        <f>IFERROR(IF((time+time_cap)&lt;AX$2, 0,IF(AND(time+1&gt;=AY$2, $E120&lt;AY$2), IF($I120= "I", $J120/($F120-$E120+1), $J120/(($F120*($F120+1)/2)-(($E120-1)*($E120-1+1)/2))*AX$2), 0)+IF(IF(time+1&gt;=AY$2, $K120/time_cap/(time+1)*AX$2, 0) = 0, $K120/(time_cap),0)),0)</f>
        <v/>
      </c>
      <c r="AY120" s="4395">
        <f>IFERROR(IF((time+time_cap)&lt;AY$2, 0,IF(AND(time+1&gt;=AZ$2, $E120&lt;AZ$2), IF($I120= "I", $J120/($F120-$E120+1), $J120/(($F120*($F120+1)/2)-(($E120-1)*($E120-1+1)/2))*AY$2), 0)+IF(IF(time+1&gt;=AZ$2, $K120/time_cap/(time+1)*AY$2, 0) = 0, $K120/(time_cap),0)),0)</f>
        <v/>
      </c>
      <c r="AZ120" s="4395">
        <f>IFERROR(IF((time+time_cap)&lt;AZ$2, 0,IF(AND(time+1&gt;=BA$2, $E120&lt;BA$2), IF($I120= "I", $J120/($F120-$E120+1), $J120/(($F120*($F120+1)/2)-(($E120-1)*($E120-1+1)/2))*AZ$2), 0)+IF(IF(time+1&gt;=BA$2, $K120/time_cap/(time+1)*AZ$2, 0) = 0, $K120/(time_cap),0)),0)</f>
        <v/>
      </c>
      <c r="BA120" s="4395">
        <f>IFERROR(IF((time+time_cap)&lt;BA$2, 0,IF(AND(time+1&gt;=BB$2, $E120&lt;BB$2), IF($I120= "I", $J120/($F120-$E120+1), $J120/(($F120*($F120+1)/2)-(($E120-1)*($E120-1+1)/2))*BA$2), 0)+IF(IF(time+1&gt;=BB$2, $K120/time_cap/(time+1)*BA$2, 0) = 0, $K120/(time_cap),0)),0)</f>
        <v/>
      </c>
      <c r="BB120" s="4395">
        <f>IFERROR(IF((time+time_cap)&lt;BB$2, 0,IF(AND(time+1&gt;=BC$2, $E120&lt;BC$2), IF($I120= "I", $J120/($F120-$E120+1), $J120/(($F120*($F120+1)/2)-(($E120-1)*($E120-1+1)/2))*BB$2), 0)+IF(IF(time+1&gt;=BC$2, $K120/time_cap/(time+1)*BB$2, 0) = 0, $K120/(time_cap),0)),0)</f>
        <v/>
      </c>
      <c r="BC120" s="4395">
        <f>IFERROR(IF((time+time_cap)&lt;BC$2, 0,IF(AND(time+1&gt;=BD$2, $E120&lt;BD$2), IF($I120= "I", $J120/($F120-$E120+1), $J120/(($F120*($F120+1)/2)-(($E120-1)*($E120-1+1)/2))*BC$2), 0)+IF(IF(time+1&gt;=BD$2, $K120/time_cap/(time+1)*BC$2, 0) = 0, $K120/(time_cap),0)),0)</f>
        <v/>
      </c>
      <c r="BD120" s="4395">
        <f>IFERROR(IF((time+time_cap)&lt;BD$2, 0,IF(AND(time+1&gt;=BE$2, $E120&lt;BE$2), IF($I120= "I", $J120/($F120-$E120+1), $J120/(($F120*($F120+1)/2)-(($E120-1)*($E120-1+1)/2))*BD$2), 0)+IF(IF(time+1&gt;=BE$2, $K120/time_cap/(time+1)*BD$2, 0) = 0, $K120/(time_cap),0)),0)</f>
        <v/>
      </c>
      <c r="BE120" s="4395">
        <f>IFERROR(IF((time+time_cap)&lt;BE$2, 0,IF(AND(time+1&gt;=BF$2, $E120&lt;BF$2), IF($I120= "I", $J120/($F120-$E120+1), $J120/(($F120*($F120+1)/2)-(($E120-1)*($E120-1+1)/2))*BE$2), 0)+IF(IF(time+1&gt;=BF$2, $K120/time_cap/(time+1)*BE$2, 0) = 0, $K120/(time_cap),0)),0)</f>
        <v/>
      </c>
      <c r="BF120" s="4395">
        <f>IFERROR(IF((time+time_cap)&lt;BF$2, 0,IF(AND(time+1&gt;=BG$2, $E120&lt;BG$2), IF($I120= "I", $J120/($F120-$E120+1), $J120/(($F120*($F120+1)/2)-(($E120-1)*($E120-1+1)/2))*BF$2), 0)+IF(IF(time+1&gt;=BG$2, $K120/time_cap/(time+1)*BF$2, 0) = 0, $K120/(time_cap),0)),0)</f>
        <v/>
      </c>
      <c r="BG120" s="4395">
        <f>IFERROR(IF((time+time_cap)&lt;BG$2, 0,IF(AND(time+1&gt;=BH$2, $E120&lt;BH$2), IF($I120= "I", $J120/($F120-$E120+1), $J120/(($F120*($F120+1)/2)-(($E120-1)*($E120-1+1)/2))*BG$2), 0)+IF(IF(time+1&gt;=BH$2, $K120/time_cap/(time+1)*BG$2, 0) = 0, $K120/(time_cap),0)),0)</f>
        <v/>
      </c>
      <c r="BH120" s="4395">
        <f>IFERROR(IF((time+time_cap)&lt;BH$2, 0,IF(AND(time+1&gt;=BI$2, $E120&lt;BI$2), IF($I120= "I", $J120/($F120-$E120+1), $J120/(($F120*($F120+1)/2)-(($E120-1)*($E120-1+1)/2))*BH$2), 0)+IF(IF(time+1&gt;=BI$2, $K120/time_cap/(time+1)*BH$2, 0) = 0, $K120/(time_cap),0)),0)</f>
        <v/>
      </c>
      <c r="BI120" s="4395">
        <f>IFERROR(IF((time+time_cap)&lt;BI$2, 0,IF(AND(time+1&gt;=BJ$2, $E120&lt;BJ$2), IF($I120= "I", $J120/($F120-$E120+1), $J120/(($F120*($F120+1)/2)-(($E120-1)*($E120-1+1)/2))*BI$2), 0)+IF(IF(time+1&gt;=BJ$2, $K120/time_cap/(time+1)*BI$2, 0) = 0, $K120/(time_cap),0)),0)</f>
        <v/>
      </c>
      <c r="BJ120" s="4395">
        <f>IFERROR(IF((time+time_cap)&lt;BJ$2, 0,IF(AND(time+1&gt;=BK$2, $E120&lt;BK$2), IF($I120= "I", $J120/($F120-$E120+1), $J120/(($F120*($F120+1)/2)-(($E120-1)*($E120-1+1)/2))*BJ$2), 0)+IF(IF(time+1&gt;=BK$2, $K120/time_cap/(time+1)*BJ$2, 0) = 0, $K120/(time_cap),0)),0)</f>
        <v/>
      </c>
      <c r="BK120" s="4395" t="n"/>
      <c r="BL120" s="4395" t="n"/>
      <c r="BM120" s="4395" t="n"/>
      <c r="BN120" s="4395" t="n"/>
      <c r="BO120" s="4395" t="n"/>
      <c r="BP120" s="4395" t="n"/>
      <c r="BQ120" s="4395" t="n"/>
      <c r="BR120" s="4395" t="n"/>
      <c r="BS120" s="4395" t="n"/>
      <c r="BT120" s="4395" t="n"/>
      <c r="BU120" s="4395" t="n"/>
      <c r="BV120" s="4395" t="n"/>
      <c r="BW120" s="4395" t="n"/>
      <c r="BX120" s="4395" t="n"/>
      <c r="BY120" s="4395" t="n"/>
      <c r="BZ120" s="4395" t="n"/>
      <c r="CA120" s="4395" t="n"/>
      <c r="CB120" s="4395" t="n"/>
      <c r="CC120" s="4395" t="n"/>
      <c r="CD120" s="4395" t="n"/>
      <c r="CE120" s="4395" t="n"/>
      <c r="CF120" s="4395" t="n"/>
      <c r="CG120" s="4395" t="n"/>
      <c r="CH120" s="4395" t="n"/>
      <c r="CI120" s="4395" t="n"/>
      <c r="CJ120" s="4395" t="n"/>
      <c r="CK120" s="4395" t="n"/>
      <c r="CL120" s="4395" t="n"/>
      <c r="CM120" s="4395" t="n"/>
      <c r="CN120" s="4395" t="n"/>
      <c r="CO120" s="4395" t="n"/>
      <c r="CP120" s="4395" t="n"/>
      <c r="CQ120" s="4395" t="n"/>
      <c r="CR120" s="4395" t="n"/>
      <c r="CS120" s="4395" t="n"/>
      <c r="CT120" s="4395" t="n"/>
      <c r="CU120" s="4395" t="n"/>
      <c r="CV120" s="4395" t="n"/>
      <c r="CW120" s="4395" t="n"/>
      <c r="CX120" s="4395" t="n"/>
      <c r="CY120" s="4395" t="n"/>
      <c r="CZ120" s="4395" t="n"/>
      <c r="DA120" s="4395" t="n"/>
      <c r="DB120" s="4395" t="n"/>
      <c r="DC120" s="4395" t="n"/>
      <c r="DD120" s="4395" t="n"/>
      <c r="DE120" s="4395" t="n"/>
      <c r="DF120" s="4395" t="n"/>
      <c r="DG120" s="4395" t="n"/>
      <c r="DH120" s="4395" t="n"/>
    </row>
    <row r="121" ht="16" customHeight="1">
      <c r="A121" t="inlineStr">
        <is>
          <t>Inland wetlands - defo</t>
        </is>
      </c>
      <c r="C121">
        <f>'6.Inland wetlands'!C16</f>
        <v/>
      </c>
      <c r="D121">
        <f>'6.Inland wetlands'!AG16+'6.Inland wetlands'!AG28</f>
        <v/>
      </c>
      <c r="E121">
        <f>IF('6.Inland wetlands'!BJ16&lt;&gt;0,'6.Inland wetlands'!BJ16,'6.Inland wetlands'!BI16)</f>
        <v/>
      </c>
      <c r="F121">
        <f>time</f>
        <v/>
      </c>
      <c r="G121" s="4395">
        <f>'6.Inland wetlands'!O16</f>
        <v/>
      </c>
      <c r="H121" s="4395">
        <f>'6.Inland wetlands'!Q16</f>
        <v/>
      </c>
      <c r="I121" s="4395">
        <f>IF(OR(H121="I", G121="I"), "I", IF(OR(H121="E", G121="E"), "E", "D"))</f>
        <v/>
      </c>
      <c r="J121" s="4395">
        <f>((D121/(time_cap+((F121-E121+1)*VLOOKUP(I121,list!$I$48:$K$50,3, FALSE))))*(F121-E121+1)*VLOOKUP(I121,list!$I$48:$K$50,3, FALSE))</f>
        <v/>
      </c>
      <c r="K121" s="4395">
        <f>((D121/(time_cap+((F121-E121+1)*VLOOKUP(I121,list!$I$48:$K$50,3, FALSE))))*time_cap)</f>
        <v/>
      </c>
      <c r="M121" s="4395">
        <f>IFERROR(IF((time+time_cap)&lt;M$2, 0,IF(AND(time+1&gt;=N$2, $E121&lt;N$2), IF($I121= "I", $J121/($F121-$E121+1), $J121/(($F121*($F121+1)/2)-(($E121-1)*($E121-1+1)/2))*M$2), 0)+IF(IF(time+1&gt;=N$2, $K121/time_cap/(time+1)*M$2, 0) = 0, $K121/(time_cap),0)),0)</f>
        <v/>
      </c>
      <c r="N121" s="4395">
        <f>IFERROR(IF((time+time_cap)&lt;N$2, 0,IF(AND(time+1&gt;=O$2, $E121&lt;O$2), IF($I121= "I", $J121/($F121-$E121+1), $J121/(($F121*($F121+1)/2)-(($E121-1)*($E121-1+1)/2))*N$2), 0)+IF(IF(time+1&gt;=O$2, $K121/time_cap/(time+1)*N$2, 0) = 0, $K121/(time_cap),0)),0)</f>
        <v/>
      </c>
      <c r="O121" s="4395">
        <f>IFERROR(IF((time+time_cap)&lt;O$2, 0,IF(AND(time+1&gt;=P$2, $E121&lt;P$2), IF($I121= "I", $J121/($F121-$E121+1), $J121/(($F121*($F121+1)/2)-(($E121-1)*($E121-1+1)/2))*O$2), 0)+IF(IF(time+1&gt;=P$2, $K121/time_cap/(time+1)*O$2, 0) = 0, $K121/(time_cap),0)),0)</f>
        <v/>
      </c>
      <c r="P121" s="4395">
        <f>IFERROR(IF((time+time_cap)&lt;P$2, 0,IF(AND(time+1&gt;=Q$2, $E121&lt;Q$2), IF($I121= "I", $J121/($F121-$E121+1), $J121/(($F121*($F121+1)/2)-(($E121-1)*($E121-1+1)/2))*P$2), 0)+IF(IF(time+1&gt;=Q$2, $K121/time_cap/(time+1)*P$2, 0) = 0, $K121/(time_cap),0)),0)</f>
        <v/>
      </c>
      <c r="Q121" s="4395">
        <f>IFERROR(IF((time+time_cap)&lt;Q$2, 0,IF(AND(time+1&gt;=R$2, $E121&lt;R$2), IF($I121= "I", $J121/($F121-$E121+1), $J121/(($F121*($F121+1)/2)-(($E121-1)*($E121-1+1)/2))*Q$2), 0)+IF(IF(time+1&gt;=R$2, $K121/time_cap/(time+1)*Q$2, 0) = 0, $K121/(time_cap),0)),0)</f>
        <v/>
      </c>
      <c r="R121" s="4395">
        <f>IFERROR(IF((time+time_cap)&lt;R$2, 0,IF(AND(time+1&gt;=S$2, $E121&lt;S$2), IF($I121= "I", $J121/($F121-$E121+1), $J121/(($F121*($F121+1)/2)-(($E121-1)*($E121-1+1)/2))*R$2), 0)+IF(IF(time+1&gt;=S$2, $K121/time_cap/(time+1)*R$2, 0) = 0, $K121/(time_cap),0)),0)</f>
        <v/>
      </c>
      <c r="S121" s="4395">
        <f>IFERROR(IF((time+time_cap)&lt;S$2, 0,IF(AND(time+1&gt;=T$2, $E121&lt;T$2), IF($I121= "I", $J121/($F121-$E121+1), $J121/(($F121*($F121+1)/2)-(($E121-1)*($E121-1+1)/2))*S$2), 0)+IF(IF(time+1&gt;=T$2, $K121/time_cap/(time+1)*S$2, 0) = 0, $K121/(time_cap),0)),0)</f>
        <v/>
      </c>
      <c r="T121" s="4395">
        <f>IFERROR(IF((time+time_cap)&lt;T$2, 0,IF(AND(time+1&gt;=U$2, $E121&lt;U$2), IF($I121= "I", $J121/($F121-$E121+1), $J121/(($F121*($F121+1)/2)-(($E121-1)*($E121-1+1)/2))*T$2), 0)+IF(IF(time+1&gt;=U$2, $K121/time_cap/(time+1)*T$2, 0) = 0, $K121/(time_cap),0)),0)</f>
        <v/>
      </c>
      <c r="U121" s="4395">
        <f>IFERROR(IF((time+time_cap)&lt;U$2, 0,IF(AND(time+1&gt;=V$2, $E121&lt;V$2), IF($I121= "I", $J121/($F121-$E121+1), $J121/(($F121*($F121+1)/2)-(($E121-1)*($E121-1+1)/2))*U$2), 0)+IF(IF(time+1&gt;=V$2, $K121/time_cap/(time+1)*U$2, 0) = 0, $K121/(time_cap),0)),0)</f>
        <v/>
      </c>
      <c r="V121" s="4395">
        <f>IFERROR(IF((time+time_cap)&lt;V$2, 0,IF(AND(time+1&gt;=W$2, $E121&lt;W$2), IF($I121= "I", $J121/($F121-$E121+1), $J121/(($F121*($F121+1)/2)-(($E121-1)*($E121-1+1)/2))*V$2), 0)+IF(IF(time+1&gt;=W$2, $K121/time_cap/(time+1)*V$2, 0) = 0, $K121/(time_cap),0)),0)</f>
        <v/>
      </c>
      <c r="W121" s="4395">
        <f>IFERROR(IF((time+time_cap)&lt;W$2, 0,IF(AND(time+1&gt;=X$2, $E121&lt;X$2), IF($I121= "I", $J121/($F121-$E121+1), $J121/(($F121*($F121+1)/2)-(($E121-1)*($E121-1+1)/2))*W$2), 0)+IF(IF(time+1&gt;=X$2, $K121/time_cap/(time+1)*W$2, 0) = 0, $K121/(time_cap),0)),0)</f>
        <v/>
      </c>
      <c r="X121" s="4395">
        <f>IFERROR(IF((time+time_cap)&lt;X$2, 0,IF(AND(time+1&gt;=Y$2, $E121&lt;Y$2), IF($I121= "I", $J121/($F121-$E121+1), $J121/(($F121*($F121+1)/2)-(($E121-1)*($E121-1+1)/2))*X$2), 0)+IF(IF(time+1&gt;=Y$2, $K121/time_cap/(time+1)*X$2, 0) = 0, $K121/(time_cap),0)),0)</f>
        <v/>
      </c>
      <c r="Y121" s="4395">
        <f>IFERROR(IF((time+time_cap)&lt;Y$2, 0,IF(AND(time+1&gt;=Z$2, $E121&lt;Z$2), IF($I121= "I", $J121/($F121-$E121+1), $J121/(($F121*($F121+1)/2)-(($E121-1)*($E121-1+1)/2))*Y$2), 0)+IF(IF(time+1&gt;=Z$2, $K121/time_cap/(time+1)*Y$2, 0) = 0, $K121/(time_cap),0)),0)</f>
        <v/>
      </c>
      <c r="Z121" s="4395">
        <f>IFERROR(IF((time+time_cap)&lt;Z$2, 0,IF(AND(time+1&gt;=AA$2, $E121&lt;AA$2), IF($I121= "I", $J121/($F121-$E121+1), $J121/(($F121*($F121+1)/2)-(($E121-1)*($E121-1+1)/2))*Z$2), 0)+IF(IF(time+1&gt;=AA$2, $K121/time_cap/(time+1)*Z$2, 0) = 0, $K121/(time_cap),0)),0)</f>
        <v/>
      </c>
      <c r="AA121" s="4395">
        <f>IFERROR(IF((time+time_cap)&lt;AA$2, 0,IF(AND(time+1&gt;=AB$2, $E121&lt;AB$2), IF($I121= "I", $J121/($F121-$E121+1), $J121/(($F121*($F121+1)/2)-(($E121-1)*($E121-1+1)/2))*AA$2), 0)+IF(IF(time+1&gt;=AB$2, $K121/time_cap/(time+1)*AA$2, 0) = 0, $K121/(time_cap),0)),0)</f>
        <v/>
      </c>
      <c r="AB121" s="4395">
        <f>IFERROR(IF((time+time_cap)&lt;AB$2, 0,IF(AND(time+1&gt;=AC$2, $E121&lt;AC$2), IF($I121= "I", $J121/($F121-$E121+1), $J121/(($F121*($F121+1)/2)-(($E121-1)*($E121-1+1)/2))*AB$2), 0)+IF(IF(time+1&gt;=AC$2, $K121/time_cap/(time+1)*AB$2, 0) = 0, $K121/(time_cap),0)),0)</f>
        <v/>
      </c>
      <c r="AC121" s="4395">
        <f>IFERROR(IF((time+time_cap)&lt;AC$2, 0,IF(AND(time+1&gt;=AD$2, $E121&lt;AD$2), IF($I121= "I", $J121/($F121-$E121+1), $J121/(($F121*($F121+1)/2)-(($E121-1)*($E121-1+1)/2))*AC$2), 0)+IF(IF(time+1&gt;=AD$2, $K121/time_cap/(time+1)*AC$2, 0) = 0, $K121/(time_cap),0)),0)</f>
        <v/>
      </c>
      <c r="AD121" s="4395">
        <f>IFERROR(IF((time+time_cap)&lt;AD$2, 0,IF(AND(time+1&gt;=AE$2, $E121&lt;AE$2), IF($I121= "I", $J121/($F121-$E121+1), $J121/(($F121*($F121+1)/2)-(($E121-1)*($E121-1+1)/2))*AD$2), 0)+IF(IF(time+1&gt;=AE$2, $K121/time_cap/(time+1)*AD$2, 0) = 0, $K121/(time_cap),0)),0)</f>
        <v/>
      </c>
      <c r="AE121" s="4395">
        <f>IFERROR(IF((time+time_cap)&lt;AE$2, 0,IF(AND(time+1&gt;=AF$2, $E121&lt;AF$2), IF($I121= "I", $J121/($F121-$E121+1), $J121/(($F121*($F121+1)/2)-(($E121-1)*($E121-1+1)/2))*AE$2), 0)+IF(IF(time+1&gt;=AF$2, $K121/time_cap/(time+1)*AE$2, 0) = 0, $K121/(time_cap),0)),0)</f>
        <v/>
      </c>
      <c r="AF121" s="4395">
        <f>IFERROR(IF((time+time_cap)&lt;AF$2, 0,IF(AND(time+1&gt;=AG$2, $E121&lt;AG$2), IF($I121= "I", $J121/($F121-$E121+1), $J121/(($F121*($F121+1)/2)-(($E121-1)*($E121-1+1)/2))*AF$2), 0)+IF(IF(time+1&gt;=AG$2, $K121/time_cap/(time+1)*AF$2, 0) = 0, $K121/(time_cap),0)),0)</f>
        <v/>
      </c>
      <c r="AG121" s="4395">
        <f>IFERROR(IF((time+time_cap)&lt;AG$2, 0,IF(AND(time+1&gt;=AH$2, $E121&lt;AH$2), IF($I121= "I", $J121/($F121-$E121+1), $J121/(($F121*($F121+1)/2)-(($E121-1)*($E121-1+1)/2))*AG$2), 0)+IF(IF(time+1&gt;=AH$2, $K121/time_cap/(time+1)*AG$2, 0) = 0, $K121/(time_cap),0)),0)</f>
        <v/>
      </c>
      <c r="AH121" s="4395">
        <f>IFERROR(IF((time+time_cap)&lt;AH$2, 0,IF(AND(time+1&gt;=AI$2, $E121&lt;AI$2), IF($I121= "I", $J121/($F121-$E121+1), $J121/(($F121*($F121+1)/2)-(($E121-1)*($E121-1+1)/2))*AH$2), 0)+IF(IF(time+1&gt;=AI$2, $K121/time_cap/(time+1)*AH$2, 0) = 0, $K121/(time_cap),0)),0)</f>
        <v/>
      </c>
      <c r="AI121" s="4395">
        <f>IFERROR(IF((time+time_cap)&lt;AI$2, 0,IF(AND(time+1&gt;=AJ$2, $E121&lt;AJ$2), IF($I121= "I", $J121/($F121-$E121+1), $J121/(($F121*($F121+1)/2)-(($E121-1)*($E121-1+1)/2))*AI$2), 0)+IF(IF(time+1&gt;=AJ$2, $K121/time_cap/(time+1)*AI$2, 0) = 0, $K121/(time_cap),0)),0)</f>
        <v/>
      </c>
      <c r="AJ121" s="4395">
        <f>IFERROR(IF((time+time_cap)&lt;AJ$2, 0,IF(AND(time+1&gt;=AK$2, $E121&lt;AK$2), IF($I121= "I", $J121/($F121-$E121+1), $J121/(($F121*($F121+1)/2)-(($E121-1)*($E121-1+1)/2))*AJ$2), 0)+IF(IF(time+1&gt;=AK$2, $K121/time_cap/(time+1)*AJ$2, 0) = 0, $K121/(time_cap),0)),0)</f>
        <v/>
      </c>
      <c r="AK121" s="4395">
        <f>IFERROR(IF((time+time_cap)&lt;AK$2, 0,IF(AND(time+1&gt;=AL$2, $E121&lt;AL$2), IF($I121= "I", $J121/($F121-$E121+1), $J121/(($F121*($F121+1)/2)-(($E121-1)*($E121-1+1)/2))*AK$2), 0)+IF(IF(time+1&gt;=AL$2, $K121/time_cap/(time+1)*AK$2, 0) = 0, $K121/(time_cap),0)),0)</f>
        <v/>
      </c>
      <c r="AL121" s="4395">
        <f>IFERROR(IF((time+time_cap)&lt;AL$2, 0,IF(AND(time+1&gt;=AM$2, $E121&lt;AM$2), IF($I121= "I", $J121/($F121-$E121+1), $J121/(($F121*($F121+1)/2)-(($E121-1)*($E121-1+1)/2))*AL$2), 0)+IF(IF(time+1&gt;=AM$2, $K121/time_cap/(time+1)*AL$2, 0) = 0, $K121/(time_cap),0)),0)</f>
        <v/>
      </c>
      <c r="AM121" s="4395">
        <f>IFERROR(IF((time+time_cap)&lt;AM$2, 0,IF(AND(time+1&gt;=AN$2, $E121&lt;AN$2), IF($I121= "I", $J121/($F121-$E121+1), $J121/(($F121*($F121+1)/2)-(($E121-1)*($E121-1+1)/2))*AM$2), 0)+IF(IF(time+1&gt;=AN$2, $K121/time_cap/(time+1)*AM$2, 0) = 0, $K121/(time_cap),0)),0)</f>
        <v/>
      </c>
      <c r="AN121" s="4395">
        <f>IFERROR(IF((time+time_cap)&lt;AN$2, 0,IF(AND(time+1&gt;=AO$2, $E121&lt;AO$2), IF($I121= "I", $J121/($F121-$E121+1), $J121/(($F121*($F121+1)/2)-(($E121-1)*($E121-1+1)/2))*AN$2), 0)+IF(IF(time+1&gt;=AO$2, $K121/time_cap/(time+1)*AN$2, 0) = 0, $K121/(time_cap),0)),0)</f>
        <v/>
      </c>
      <c r="AO121" s="4395">
        <f>IFERROR(IF((time+time_cap)&lt;AO$2, 0,IF(AND(time+1&gt;=AP$2, $E121&lt;AP$2), IF($I121= "I", $J121/($F121-$E121+1), $J121/(($F121*($F121+1)/2)-(($E121-1)*($E121-1+1)/2))*AO$2), 0)+IF(IF(time+1&gt;=AP$2, $K121/time_cap/(time+1)*AO$2, 0) = 0, $K121/(time_cap),0)),0)</f>
        <v/>
      </c>
      <c r="AP121" s="4395">
        <f>IFERROR(IF((time+time_cap)&lt;AP$2, 0,IF(AND(time+1&gt;=AQ$2, $E121&lt;AQ$2), IF($I121= "I", $J121/($F121-$E121+1), $J121/(($F121*($F121+1)/2)-(($E121-1)*($E121-1+1)/2))*AP$2), 0)+IF(IF(time+1&gt;=AQ$2, $K121/time_cap/(time+1)*AP$2, 0) = 0, $K121/(time_cap),0)),0)</f>
        <v/>
      </c>
      <c r="AQ121" s="4395">
        <f>IFERROR(IF((time+time_cap)&lt;AQ$2, 0,IF(AND(time+1&gt;=AR$2, $E121&lt;AR$2), IF($I121= "I", $J121/($F121-$E121+1), $J121/(($F121*($F121+1)/2)-(($E121-1)*($E121-1+1)/2))*AQ$2), 0)+IF(IF(time+1&gt;=AR$2, $K121/time_cap/(time+1)*AQ$2, 0) = 0, $K121/(time_cap),0)),0)</f>
        <v/>
      </c>
      <c r="AR121" s="4395">
        <f>IFERROR(IF((time+time_cap)&lt;AR$2, 0,IF(AND(time+1&gt;=AS$2, $E121&lt;AS$2), IF($I121= "I", $J121/($F121-$E121+1), $J121/(($F121*($F121+1)/2)-(($E121-1)*($E121-1+1)/2))*AR$2), 0)+IF(IF(time+1&gt;=AS$2, $K121/time_cap/(time+1)*AR$2, 0) = 0, $K121/(time_cap),0)),0)</f>
        <v/>
      </c>
      <c r="AS121" s="4395">
        <f>IFERROR(IF((time+time_cap)&lt;AS$2, 0,IF(AND(time+1&gt;=AT$2, $E121&lt;AT$2), IF($I121= "I", $J121/($F121-$E121+1), $J121/(($F121*($F121+1)/2)-(($E121-1)*($E121-1+1)/2))*AS$2), 0)+IF(IF(time+1&gt;=AT$2, $K121/time_cap/(time+1)*AS$2, 0) = 0, $K121/(time_cap),0)),0)</f>
        <v/>
      </c>
      <c r="AT121" s="4395">
        <f>IFERROR(IF((time+time_cap)&lt;AT$2, 0,IF(AND(time+1&gt;=AU$2, $E121&lt;AU$2), IF($I121= "I", $J121/($F121-$E121+1), $J121/(($F121*($F121+1)/2)-(($E121-1)*($E121-1+1)/2))*AT$2), 0)+IF(IF(time+1&gt;=AU$2, $K121/time_cap/(time+1)*AT$2, 0) = 0, $K121/(time_cap),0)),0)</f>
        <v/>
      </c>
      <c r="AU121" s="4395">
        <f>IFERROR(IF((time+time_cap)&lt;AU$2, 0,IF(AND(time+1&gt;=AV$2, $E121&lt;AV$2), IF($I121= "I", $J121/($F121-$E121+1), $J121/(($F121*($F121+1)/2)-(($E121-1)*($E121-1+1)/2))*AU$2), 0)+IF(IF(time+1&gt;=AV$2, $K121/time_cap/(time+1)*AU$2, 0) = 0, $K121/(time_cap),0)),0)</f>
        <v/>
      </c>
      <c r="AV121" s="4395">
        <f>IFERROR(IF((time+time_cap)&lt;AV$2, 0,IF(AND(time+1&gt;=AW$2, $E121&lt;AW$2), IF($I121= "I", $J121/($F121-$E121+1), $J121/(($F121*($F121+1)/2)-(($E121-1)*($E121-1+1)/2))*AV$2), 0)+IF(IF(time+1&gt;=AW$2, $K121/time_cap/(time+1)*AV$2, 0) = 0, $K121/(time_cap),0)),0)</f>
        <v/>
      </c>
      <c r="AW121" s="4395">
        <f>IFERROR(IF((time+time_cap)&lt;AW$2, 0,IF(AND(time+1&gt;=AX$2, $E121&lt;AX$2), IF($I121= "I", $J121/($F121-$E121+1), $J121/(($F121*($F121+1)/2)-(($E121-1)*($E121-1+1)/2))*AW$2), 0)+IF(IF(time+1&gt;=AX$2, $K121/time_cap/(time+1)*AW$2, 0) = 0, $K121/(time_cap),0)),0)</f>
        <v/>
      </c>
      <c r="AX121" s="4395">
        <f>IFERROR(IF((time+time_cap)&lt;AX$2, 0,IF(AND(time+1&gt;=AY$2, $E121&lt;AY$2), IF($I121= "I", $J121/($F121-$E121+1), $J121/(($F121*($F121+1)/2)-(($E121-1)*($E121-1+1)/2))*AX$2), 0)+IF(IF(time+1&gt;=AY$2, $K121/time_cap/(time+1)*AX$2, 0) = 0, $K121/(time_cap),0)),0)</f>
        <v/>
      </c>
      <c r="AY121" s="4395">
        <f>IFERROR(IF((time+time_cap)&lt;AY$2, 0,IF(AND(time+1&gt;=AZ$2, $E121&lt;AZ$2), IF($I121= "I", $J121/($F121-$E121+1), $J121/(($F121*($F121+1)/2)-(($E121-1)*($E121-1+1)/2))*AY$2), 0)+IF(IF(time+1&gt;=AZ$2, $K121/time_cap/(time+1)*AY$2, 0) = 0, $K121/(time_cap),0)),0)</f>
        <v/>
      </c>
      <c r="AZ121" s="4395">
        <f>IFERROR(IF((time+time_cap)&lt;AZ$2, 0,IF(AND(time+1&gt;=BA$2, $E121&lt;BA$2), IF($I121= "I", $J121/($F121-$E121+1), $J121/(($F121*($F121+1)/2)-(($E121-1)*($E121-1+1)/2))*AZ$2), 0)+IF(IF(time+1&gt;=BA$2, $K121/time_cap/(time+1)*AZ$2, 0) = 0, $K121/(time_cap),0)),0)</f>
        <v/>
      </c>
      <c r="BA121" s="4395">
        <f>IFERROR(IF((time+time_cap)&lt;BA$2, 0,IF(AND(time+1&gt;=BB$2, $E121&lt;BB$2), IF($I121= "I", $J121/($F121-$E121+1), $J121/(($F121*($F121+1)/2)-(($E121-1)*($E121-1+1)/2))*BA$2), 0)+IF(IF(time+1&gt;=BB$2, $K121/time_cap/(time+1)*BA$2, 0) = 0, $K121/(time_cap),0)),0)</f>
        <v/>
      </c>
      <c r="BB121" s="4395">
        <f>IFERROR(IF((time+time_cap)&lt;BB$2, 0,IF(AND(time+1&gt;=BC$2, $E121&lt;BC$2), IF($I121= "I", $J121/($F121-$E121+1), $J121/(($F121*($F121+1)/2)-(($E121-1)*($E121-1+1)/2))*BB$2), 0)+IF(IF(time+1&gt;=BC$2, $K121/time_cap/(time+1)*BB$2, 0) = 0, $K121/(time_cap),0)),0)</f>
        <v/>
      </c>
      <c r="BC121" s="4395">
        <f>IFERROR(IF((time+time_cap)&lt;BC$2, 0,IF(AND(time+1&gt;=BD$2, $E121&lt;BD$2), IF($I121= "I", $J121/($F121-$E121+1), $J121/(($F121*($F121+1)/2)-(($E121-1)*($E121-1+1)/2))*BC$2), 0)+IF(IF(time+1&gt;=BD$2, $K121/time_cap/(time+1)*BC$2, 0) = 0, $K121/(time_cap),0)),0)</f>
        <v/>
      </c>
      <c r="BD121" s="4395">
        <f>IFERROR(IF((time+time_cap)&lt;BD$2, 0,IF(AND(time+1&gt;=BE$2, $E121&lt;BE$2), IF($I121= "I", $J121/($F121-$E121+1), $J121/(($F121*($F121+1)/2)-(($E121-1)*($E121-1+1)/2))*BD$2), 0)+IF(IF(time+1&gt;=BE$2, $K121/time_cap/(time+1)*BD$2, 0) = 0, $K121/(time_cap),0)),0)</f>
        <v/>
      </c>
      <c r="BE121" s="4395">
        <f>IFERROR(IF((time+time_cap)&lt;BE$2, 0,IF(AND(time+1&gt;=BF$2, $E121&lt;BF$2), IF($I121= "I", $J121/($F121-$E121+1), $J121/(($F121*($F121+1)/2)-(($E121-1)*($E121-1+1)/2))*BE$2), 0)+IF(IF(time+1&gt;=BF$2, $K121/time_cap/(time+1)*BE$2, 0) = 0, $K121/(time_cap),0)),0)</f>
        <v/>
      </c>
      <c r="BF121" s="4395">
        <f>IFERROR(IF((time+time_cap)&lt;BF$2, 0,IF(AND(time+1&gt;=BG$2, $E121&lt;BG$2), IF($I121= "I", $J121/($F121-$E121+1), $J121/(($F121*($F121+1)/2)-(($E121-1)*($E121-1+1)/2))*BF$2), 0)+IF(IF(time+1&gt;=BG$2, $K121/time_cap/(time+1)*BF$2, 0) = 0, $K121/(time_cap),0)),0)</f>
        <v/>
      </c>
      <c r="BG121" s="4395">
        <f>IFERROR(IF((time+time_cap)&lt;BG$2, 0,IF(AND(time+1&gt;=BH$2, $E121&lt;BH$2), IF($I121= "I", $J121/($F121-$E121+1), $J121/(($F121*($F121+1)/2)-(($E121-1)*($E121-1+1)/2))*BG$2), 0)+IF(IF(time+1&gt;=BH$2, $K121/time_cap/(time+1)*BG$2, 0) = 0, $K121/(time_cap),0)),0)</f>
        <v/>
      </c>
      <c r="BH121" s="4395">
        <f>IFERROR(IF((time+time_cap)&lt;BH$2, 0,IF(AND(time+1&gt;=BI$2, $E121&lt;BI$2), IF($I121= "I", $J121/($F121-$E121+1), $J121/(($F121*($F121+1)/2)-(($E121-1)*($E121-1+1)/2))*BH$2), 0)+IF(IF(time+1&gt;=BI$2, $K121/time_cap/(time+1)*BH$2, 0) = 0, $K121/(time_cap),0)),0)</f>
        <v/>
      </c>
      <c r="BI121" s="4395">
        <f>IFERROR(IF((time+time_cap)&lt;BI$2, 0,IF(AND(time+1&gt;=BJ$2, $E121&lt;BJ$2), IF($I121= "I", $J121/($F121-$E121+1), $J121/(($F121*($F121+1)/2)-(($E121-1)*($E121-1+1)/2))*BI$2), 0)+IF(IF(time+1&gt;=BJ$2, $K121/time_cap/(time+1)*BI$2, 0) = 0, $K121/(time_cap),0)),0)</f>
        <v/>
      </c>
      <c r="BJ121" s="4395">
        <f>IFERROR(IF((time+time_cap)&lt;BJ$2, 0,IF(AND(time+1&gt;=BK$2, $E121&lt;BK$2), IF($I121= "I", $J121/($F121-$E121+1), $J121/(($F121*($F121+1)/2)-(($E121-1)*($E121-1+1)/2))*BJ$2), 0)+IF(IF(time+1&gt;=BK$2, $K121/time_cap/(time+1)*BJ$2, 0) = 0, $K121/(time_cap),0)),0)</f>
        <v/>
      </c>
      <c r="BK121" s="4395" t="n"/>
      <c r="BL121" s="4395" t="n"/>
      <c r="BM121" s="4395" t="n"/>
      <c r="BN121" s="4395" t="n"/>
      <c r="BO121" s="4395" t="n"/>
      <c r="BP121" s="4395" t="n"/>
      <c r="BQ121" s="4395" t="n"/>
      <c r="BR121" s="4395" t="n"/>
      <c r="BS121" s="4395" t="n"/>
      <c r="BT121" s="4395" t="n"/>
      <c r="BU121" s="4395" t="n"/>
      <c r="BV121" s="4395" t="n"/>
      <c r="BW121" s="4395" t="n"/>
      <c r="BX121" s="4395" t="n"/>
      <c r="BY121" s="4395" t="n"/>
      <c r="BZ121" s="4395" t="n"/>
      <c r="CA121" s="4395" t="n"/>
      <c r="CB121" s="4395" t="n"/>
      <c r="CC121" s="4395" t="n"/>
      <c r="CD121" s="4395" t="n"/>
      <c r="CE121" s="4395" t="n"/>
      <c r="CF121" s="4395" t="n"/>
      <c r="CG121" s="4395" t="n"/>
      <c r="CH121" s="4395" t="n"/>
      <c r="CI121" s="4395" t="n"/>
      <c r="CJ121" s="4395" t="n"/>
      <c r="CK121" s="4395" t="n"/>
      <c r="CL121" s="4395" t="n"/>
      <c r="CM121" s="4395" t="n"/>
      <c r="CN121" s="4395" t="n"/>
      <c r="CO121" s="4395" t="n"/>
      <c r="CP121" s="4395" t="n"/>
      <c r="CQ121" s="4395" t="n"/>
      <c r="CR121" s="4395" t="n"/>
      <c r="CS121" s="4395" t="n"/>
      <c r="CT121" s="4395" t="n"/>
      <c r="CU121" s="4395" t="n"/>
      <c r="CV121" s="4395" t="n"/>
      <c r="CW121" s="4395" t="n"/>
      <c r="CX121" s="4395" t="n"/>
      <c r="CY121" s="4395" t="n"/>
      <c r="CZ121" s="4395" t="n"/>
      <c r="DA121" s="4395" t="n"/>
      <c r="DB121" s="4395" t="n"/>
      <c r="DC121" s="4395" t="n"/>
      <c r="DD121" s="4395" t="n"/>
      <c r="DE121" s="4395" t="n"/>
      <c r="DF121" s="4395" t="n"/>
      <c r="DG121" s="4395" t="n"/>
      <c r="DH121" s="4395" t="n"/>
    </row>
    <row r="122" ht="16" customHeight="1">
      <c r="A122" t="inlineStr">
        <is>
          <t>Inland wetlands - defo</t>
        </is>
      </c>
      <c r="C122">
        <f>'6.Inland wetlands'!C17</f>
        <v/>
      </c>
      <c r="D122">
        <f>'6.Inland wetlands'!AG17+'6.Inland wetlands'!AG29</f>
        <v/>
      </c>
      <c r="E122">
        <f>IF('6.Inland wetlands'!BJ17&lt;&gt;0,'6.Inland wetlands'!BJ17,'6.Inland wetlands'!BI17)</f>
        <v/>
      </c>
      <c r="F122">
        <f>time</f>
        <v/>
      </c>
      <c r="G122" s="4395">
        <f>'6.Inland wetlands'!O17</f>
        <v/>
      </c>
      <c r="H122" s="4395">
        <f>'6.Inland wetlands'!Q17</f>
        <v/>
      </c>
      <c r="I122" s="4395">
        <f>IF(OR(H122="I", G122="I"), "I", IF(OR(H122="E", G122="E"), "E", "D"))</f>
        <v/>
      </c>
      <c r="J122" s="4395">
        <f>((D122/(time_cap+((F122-E122+1)*VLOOKUP(I122,list!$I$48:$K$50,3, FALSE))))*(F122-E122+1)*VLOOKUP(I122,list!$I$48:$K$50,3, FALSE))</f>
        <v/>
      </c>
      <c r="K122" s="4395">
        <f>((D122/(time_cap+((F122-E122+1)*VLOOKUP(I122,list!$I$48:$K$50,3, FALSE))))*time_cap)</f>
        <v/>
      </c>
      <c r="M122" s="4395">
        <f>IFERROR(IF((time+time_cap)&lt;M$2, 0,IF(AND(time+1&gt;=N$2, $E122&lt;N$2), IF($I122= "I", $J122/($F122-$E122+1), $J122/(($F122*($F122+1)/2)-(($E122-1)*($E122-1+1)/2))*M$2), 0)+IF(IF(time+1&gt;=N$2, $K122/time_cap/(time+1)*M$2, 0) = 0, $K122/(time_cap),0)),0)</f>
        <v/>
      </c>
      <c r="N122" s="4395">
        <f>IFERROR(IF((time+time_cap)&lt;N$2, 0,IF(AND(time+1&gt;=O$2, $E122&lt;O$2), IF($I122= "I", $J122/($F122-$E122+1), $J122/(($F122*($F122+1)/2)-(($E122-1)*($E122-1+1)/2))*N$2), 0)+IF(IF(time+1&gt;=O$2, $K122/time_cap/(time+1)*N$2, 0) = 0, $K122/(time_cap),0)),0)</f>
        <v/>
      </c>
      <c r="O122" s="4395">
        <f>IFERROR(IF((time+time_cap)&lt;O$2, 0,IF(AND(time+1&gt;=P$2, $E122&lt;P$2), IF($I122= "I", $J122/($F122-$E122+1), $J122/(($F122*($F122+1)/2)-(($E122-1)*($E122-1+1)/2))*O$2), 0)+IF(IF(time+1&gt;=P$2, $K122/time_cap/(time+1)*O$2, 0) = 0, $K122/(time_cap),0)),0)</f>
        <v/>
      </c>
      <c r="P122" s="4395">
        <f>IFERROR(IF((time+time_cap)&lt;P$2, 0,IF(AND(time+1&gt;=Q$2, $E122&lt;Q$2), IF($I122= "I", $J122/($F122-$E122+1), $J122/(($F122*($F122+1)/2)-(($E122-1)*($E122-1+1)/2))*P$2), 0)+IF(IF(time+1&gt;=Q$2, $K122/time_cap/(time+1)*P$2, 0) = 0, $K122/(time_cap),0)),0)</f>
        <v/>
      </c>
      <c r="Q122" s="4395">
        <f>IFERROR(IF((time+time_cap)&lt;Q$2, 0,IF(AND(time+1&gt;=R$2, $E122&lt;R$2), IF($I122= "I", $J122/($F122-$E122+1), $J122/(($F122*($F122+1)/2)-(($E122-1)*($E122-1+1)/2))*Q$2), 0)+IF(IF(time+1&gt;=R$2, $K122/time_cap/(time+1)*Q$2, 0) = 0, $K122/(time_cap),0)),0)</f>
        <v/>
      </c>
      <c r="R122" s="4395">
        <f>IFERROR(IF((time+time_cap)&lt;R$2, 0,IF(AND(time+1&gt;=S$2, $E122&lt;S$2), IF($I122= "I", $J122/($F122-$E122+1), $J122/(($F122*($F122+1)/2)-(($E122-1)*($E122-1+1)/2))*R$2), 0)+IF(IF(time+1&gt;=S$2, $K122/time_cap/(time+1)*R$2, 0) = 0, $K122/(time_cap),0)),0)</f>
        <v/>
      </c>
      <c r="S122" s="4395">
        <f>IFERROR(IF((time+time_cap)&lt;S$2, 0,IF(AND(time+1&gt;=T$2, $E122&lt;T$2), IF($I122= "I", $J122/($F122-$E122+1), $J122/(($F122*($F122+1)/2)-(($E122-1)*($E122-1+1)/2))*S$2), 0)+IF(IF(time+1&gt;=T$2, $K122/time_cap/(time+1)*S$2, 0) = 0, $K122/(time_cap),0)),0)</f>
        <v/>
      </c>
      <c r="T122" s="4395">
        <f>IFERROR(IF((time+time_cap)&lt;T$2, 0,IF(AND(time+1&gt;=U$2, $E122&lt;U$2), IF($I122= "I", $J122/($F122-$E122+1), $J122/(($F122*($F122+1)/2)-(($E122-1)*($E122-1+1)/2))*T$2), 0)+IF(IF(time+1&gt;=U$2, $K122/time_cap/(time+1)*T$2, 0) = 0, $K122/(time_cap),0)),0)</f>
        <v/>
      </c>
      <c r="U122" s="4395">
        <f>IFERROR(IF((time+time_cap)&lt;U$2, 0,IF(AND(time+1&gt;=V$2, $E122&lt;V$2), IF($I122= "I", $J122/($F122-$E122+1), $J122/(($F122*($F122+1)/2)-(($E122-1)*($E122-1+1)/2))*U$2), 0)+IF(IF(time+1&gt;=V$2, $K122/time_cap/(time+1)*U$2, 0) = 0, $K122/(time_cap),0)),0)</f>
        <v/>
      </c>
      <c r="V122" s="4395">
        <f>IFERROR(IF((time+time_cap)&lt;V$2, 0,IF(AND(time+1&gt;=W$2, $E122&lt;W$2), IF($I122= "I", $J122/($F122-$E122+1), $J122/(($F122*($F122+1)/2)-(($E122-1)*($E122-1+1)/2))*V$2), 0)+IF(IF(time+1&gt;=W$2, $K122/time_cap/(time+1)*V$2, 0) = 0, $K122/(time_cap),0)),0)</f>
        <v/>
      </c>
      <c r="W122" s="4395">
        <f>IFERROR(IF((time+time_cap)&lt;W$2, 0,IF(AND(time+1&gt;=X$2, $E122&lt;X$2), IF($I122= "I", $J122/($F122-$E122+1), $J122/(($F122*($F122+1)/2)-(($E122-1)*($E122-1+1)/2))*W$2), 0)+IF(IF(time+1&gt;=X$2, $K122/time_cap/(time+1)*W$2, 0) = 0, $K122/(time_cap),0)),0)</f>
        <v/>
      </c>
      <c r="X122" s="4395">
        <f>IFERROR(IF((time+time_cap)&lt;X$2, 0,IF(AND(time+1&gt;=Y$2, $E122&lt;Y$2), IF($I122= "I", $J122/($F122-$E122+1), $J122/(($F122*($F122+1)/2)-(($E122-1)*($E122-1+1)/2))*X$2), 0)+IF(IF(time+1&gt;=Y$2, $K122/time_cap/(time+1)*X$2, 0) = 0, $K122/(time_cap),0)),0)</f>
        <v/>
      </c>
      <c r="Y122" s="4395">
        <f>IFERROR(IF((time+time_cap)&lt;Y$2, 0,IF(AND(time+1&gt;=Z$2, $E122&lt;Z$2), IF($I122= "I", $J122/($F122-$E122+1), $J122/(($F122*($F122+1)/2)-(($E122-1)*($E122-1+1)/2))*Y$2), 0)+IF(IF(time+1&gt;=Z$2, $K122/time_cap/(time+1)*Y$2, 0) = 0, $K122/(time_cap),0)),0)</f>
        <v/>
      </c>
      <c r="Z122" s="4395">
        <f>IFERROR(IF((time+time_cap)&lt;Z$2, 0,IF(AND(time+1&gt;=AA$2, $E122&lt;AA$2), IF($I122= "I", $J122/($F122-$E122+1), $J122/(($F122*($F122+1)/2)-(($E122-1)*($E122-1+1)/2))*Z$2), 0)+IF(IF(time+1&gt;=AA$2, $K122/time_cap/(time+1)*Z$2, 0) = 0, $K122/(time_cap),0)),0)</f>
        <v/>
      </c>
      <c r="AA122" s="4395">
        <f>IFERROR(IF((time+time_cap)&lt;AA$2, 0,IF(AND(time+1&gt;=AB$2, $E122&lt;AB$2), IF($I122= "I", $J122/($F122-$E122+1), $J122/(($F122*($F122+1)/2)-(($E122-1)*($E122-1+1)/2))*AA$2), 0)+IF(IF(time+1&gt;=AB$2, $K122/time_cap/(time+1)*AA$2, 0) = 0, $K122/(time_cap),0)),0)</f>
        <v/>
      </c>
      <c r="AB122" s="4395">
        <f>IFERROR(IF((time+time_cap)&lt;AB$2, 0,IF(AND(time+1&gt;=AC$2, $E122&lt;AC$2), IF($I122= "I", $J122/($F122-$E122+1), $J122/(($F122*($F122+1)/2)-(($E122-1)*($E122-1+1)/2))*AB$2), 0)+IF(IF(time+1&gt;=AC$2, $K122/time_cap/(time+1)*AB$2, 0) = 0, $K122/(time_cap),0)),0)</f>
        <v/>
      </c>
      <c r="AC122" s="4395">
        <f>IFERROR(IF((time+time_cap)&lt;AC$2, 0,IF(AND(time+1&gt;=AD$2, $E122&lt;AD$2), IF($I122= "I", $J122/($F122-$E122+1), $J122/(($F122*($F122+1)/2)-(($E122-1)*($E122-1+1)/2))*AC$2), 0)+IF(IF(time+1&gt;=AD$2, $K122/time_cap/(time+1)*AC$2, 0) = 0, $K122/(time_cap),0)),0)</f>
        <v/>
      </c>
      <c r="AD122" s="4395">
        <f>IFERROR(IF((time+time_cap)&lt;AD$2, 0,IF(AND(time+1&gt;=AE$2, $E122&lt;AE$2), IF($I122= "I", $J122/($F122-$E122+1), $J122/(($F122*($F122+1)/2)-(($E122-1)*($E122-1+1)/2))*AD$2), 0)+IF(IF(time+1&gt;=AE$2, $K122/time_cap/(time+1)*AD$2, 0) = 0, $K122/(time_cap),0)),0)</f>
        <v/>
      </c>
      <c r="AE122" s="4395">
        <f>IFERROR(IF((time+time_cap)&lt;AE$2, 0,IF(AND(time+1&gt;=AF$2, $E122&lt;AF$2), IF($I122= "I", $J122/($F122-$E122+1), $J122/(($F122*($F122+1)/2)-(($E122-1)*($E122-1+1)/2))*AE$2), 0)+IF(IF(time+1&gt;=AF$2, $K122/time_cap/(time+1)*AE$2, 0) = 0, $K122/(time_cap),0)),0)</f>
        <v/>
      </c>
      <c r="AF122" s="4395">
        <f>IFERROR(IF((time+time_cap)&lt;AF$2, 0,IF(AND(time+1&gt;=AG$2, $E122&lt;AG$2), IF($I122= "I", $J122/($F122-$E122+1), $J122/(($F122*($F122+1)/2)-(($E122-1)*($E122-1+1)/2))*AF$2), 0)+IF(IF(time+1&gt;=AG$2, $K122/time_cap/(time+1)*AF$2, 0) = 0, $K122/(time_cap),0)),0)</f>
        <v/>
      </c>
      <c r="AG122" s="4395">
        <f>IFERROR(IF((time+time_cap)&lt;AG$2, 0,IF(AND(time+1&gt;=AH$2, $E122&lt;AH$2), IF($I122= "I", $J122/($F122-$E122+1), $J122/(($F122*($F122+1)/2)-(($E122-1)*($E122-1+1)/2))*AG$2), 0)+IF(IF(time+1&gt;=AH$2, $K122/time_cap/(time+1)*AG$2, 0) = 0, $K122/(time_cap),0)),0)</f>
        <v/>
      </c>
      <c r="AH122" s="4395">
        <f>IFERROR(IF((time+time_cap)&lt;AH$2, 0,IF(AND(time+1&gt;=AI$2, $E122&lt;AI$2), IF($I122= "I", $J122/($F122-$E122+1), $J122/(($F122*($F122+1)/2)-(($E122-1)*($E122-1+1)/2))*AH$2), 0)+IF(IF(time+1&gt;=AI$2, $K122/time_cap/(time+1)*AH$2, 0) = 0, $K122/(time_cap),0)),0)</f>
        <v/>
      </c>
      <c r="AI122" s="4395">
        <f>IFERROR(IF((time+time_cap)&lt;AI$2, 0,IF(AND(time+1&gt;=AJ$2, $E122&lt;AJ$2), IF($I122= "I", $J122/($F122-$E122+1), $J122/(($F122*($F122+1)/2)-(($E122-1)*($E122-1+1)/2))*AI$2), 0)+IF(IF(time+1&gt;=AJ$2, $K122/time_cap/(time+1)*AI$2, 0) = 0, $K122/(time_cap),0)),0)</f>
        <v/>
      </c>
      <c r="AJ122" s="4395">
        <f>IFERROR(IF((time+time_cap)&lt;AJ$2, 0,IF(AND(time+1&gt;=AK$2, $E122&lt;AK$2), IF($I122= "I", $J122/($F122-$E122+1), $J122/(($F122*($F122+1)/2)-(($E122-1)*($E122-1+1)/2))*AJ$2), 0)+IF(IF(time+1&gt;=AK$2, $K122/time_cap/(time+1)*AJ$2, 0) = 0, $K122/(time_cap),0)),0)</f>
        <v/>
      </c>
      <c r="AK122" s="4395">
        <f>IFERROR(IF((time+time_cap)&lt;AK$2, 0,IF(AND(time+1&gt;=AL$2, $E122&lt;AL$2), IF($I122= "I", $J122/($F122-$E122+1), $J122/(($F122*($F122+1)/2)-(($E122-1)*($E122-1+1)/2))*AK$2), 0)+IF(IF(time+1&gt;=AL$2, $K122/time_cap/(time+1)*AK$2, 0) = 0, $K122/(time_cap),0)),0)</f>
        <v/>
      </c>
      <c r="AL122" s="4395">
        <f>IFERROR(IF((time+time_cap)&lt;AL$2, 0,IF(AND(time+1&gt;=AM$2, $E122&lt;AM$2), IF($I122= "I", $J122/($F122-$E122+1), $J122/(($F122*($F122+1)/2)-(($E122-1)*($E122-1+1)/2))*AL$2), 0)+IF(IF(time+1&gt;=AM$2, $K122/time_cap/(time+1)*AL$2, 0) = 0, $K122/(time_cap),0)),0)</f>
        <v/>
      </c>
      <c r="AM122" s="4395">
        <f>IFERROR(IF((time+time_cap)&lt;AM$2, 0,IF(AND(time+1&gt;=AN$2, $E122&lt;AN$2), IF($I122= "I", $J122/($F122-$E122+1), $J122/(($F122*($F122+1)/2)-(($E122-1)*($E122-1+1)/2))*AM$2), 0)+IF(IF(time+1&gt;=AN$2, $K122/time_cap/(time+1)*AM$2, 0) = 0, $K122/(time_cap),0)),0)</f>
        <v/>
      </c>
      <c r="AN122" s="4395">
        <f>IFERROR(IF((time+time_cap)&lt;AN$2, 0,IF(AND(time+1&gt;=AO$2, $E122&lt;AO$2), IF($I122= "I", $J122/($F122-$E122+1), $J122/(($F122*($F122+1)/2)-(($E122-1)*($E122-1+1)/2))*AN$2), 0)+IF(IF(time+1&gt;=AO$2, $K122/time_cap/(time+1)*AN$2, 0) = 0, $K122/(time_cap),0)),0)</f>
        <v/>
      </c>
      <c r="AO122" s="4395">
        <f>IFERROR(IF((time+time_cap)&lt;AO$2, 0,IF(AND(time+1&gt;=AP$2, $E122&lt;AP$2), IF($I122= "I", $J122/($F122-$E122+1), $J122/(($F122*($F122+1)/2)-(($E122-1)*($E122-1+1)/2))*AO$2), 0)+IF(IF(time+1&gt;=AP$2, $K122/time_cap/(time+1)*AO$2, 0) = 0, $K122/(time_cap),0)),0)</f>
        <v/>
      </c>
      <c r="AP122" s="4395">
        <f>IFERROR(IF((time+time_cap)&lt;AP$2, 0,IF(AND(time+1&gt;=AQ$2, $E122&lt;AQ$2), IF($I122= "I", $J122/($F122-$E122+1), $J122/(($F122*($F122+1)/2)-(($E122-1)*($E122-1+1)/2))*AP$2), 0)+IF(IF(time+1&gt;=AQ$2, $K122/time_cap/(time+1)*AP$2, 0) = 0, $K122/(time_cap),0)),0)</f>
        <v/>
      </c>
      <c r="AQ122" s="4395">
        <f>IFERROR(IF((time+time_cap)&lt;AQ$2, 0,IF(AND(time+1&gt;=AR$2, $E122&lt;AR$2), IF($I122= "I", $J122/($F122-$E122+1), $J122/(($F122*($F122+1)/2)-(($E122-1)*($E122-1+1)/2))*AQ$2), 0)+IF(IF(time+1&gt;=AR$2, $K122/time_cap/(time+1)*AQ$2, 0) = 0, $K122/(time_cap),0)),0)</f>
        <v/>
      </c>
      <c r="AR122" s="4395">
        <f>IFERROR(IF((time+time_cap)&lt;AR$2, 0,IF(AND(time+1&gt;=AS$2, $E122&lt;AS$2), IF($I122= "I", $J122/($F122-$E122+1), $J122/(($F122*($F122+1)/2)-(($E122-1)*($E122-1+1)/2))*AR$2), 0)+IF(IF(time+1&gt;=AS$2, $K122/time_cap/(time+1)*AR$2, 0) = 0, $K122/(time_cap),0)),0)</f>
        <v/>
      </c>
      <c r="AS122" s="4395">
        <f>IFERROR(IF((time+time_cap)&lt;AS$2, 0,IF(AND(time+1&gt;=AT$2, $E122&lt;AT$2), IF($I122= "I", $J122/($F122-$E122+1), $J122/(($F122*($F122+1)/2)-(($E122-1)*($E122-1+1)/2))*AS$2), 0)+IF(IF(time+1&gt;=AT$2, $K122/time_cap/(time+1)*AS$2, 0) = 0, $K122/(time_cap),0)),0)</f>
        <v/>
      </c>
      <c r="AT122" s="4395">
        <f>IFERROR(IF((time+time_cap)&lt;AT$2, 0,IF(AND(time+1&gt;=AU$2, $E122&lt;AU$2), IF($I122= "I", $J122/($F122-$E122+1), $J122/(($F122*($F122+1)/2)-(($E122-1)*($E122-1+1)/2))*AT$2), 0)+IF(IF(time+1&gt;=AU$2, $K122/time_cap/(time+1)*AT$2, 0) = 0, $K122/(time_cap),0)),0)</f>
        <v/>
      </c>
      <c r="AU122" s="4395">
        <f>IFERROR(IF((time+time_cap)&lt;AU$2, 0,IF(AND(time+1&gt;=AV$2, $E122&lt;AV$2), IF($I122= "I", $J122/($F122-$E122+1), $J122/(($F122*($F122+1)/2)-(($E122-1)*($E122-1+1)/2))*AU$2), 0)+IF(IF(time+1&gt;=AV$2, $K122/time_cap/(time+1)*AU$2, 0) = 0, $K122/(time_cap),0)),0)</f>
        <v/>
      </c>
      <c r="AV122" s="4395">
        <f>IFERROR(IF((time+time_cap)&lt;AV$2, 0,IF(AND(time+1&gt;=AW$2, $E122&lt;AW$2), IF($I122= "I", $J122/($F122-$E122+1), $J122/(($F122*($F122+1)/2)-(($E122-1)*($E122-1+1)/2))*AV$2), 0)+IF(IF(time+1&gt;=AW$2, $K122/time_cap/(time+1)*AV$2, 0) = 0, $K122/(time_cap),0)),0)</f>
        <v/>
      </c>
      <c r="AW122" s="4395">
        <f>IFERROR(IF((time+time_cap)&lt;AW$2, 0,IF(AND(time+1&gt;=AX$2, $E122&lt;AX$2), IF($I122= "I", $J122/($F122-$E122+1), $J122/(($F122*($F122+1)/2)-(($E122-1)*($E122-1+1)/2))*AW$2), 0)+IF(IF(time+1&gt;=AX$2, $K122/time_cap/(time+1)*AW$2, 0) = 0, $K122/(time_cap),0)),0)</f>
        <v/>
      </c>
      <c r="AX122" s="4395">
        <f>IFERROR(IF((time+time_cap)&lt;AX$2, 0,IF(AND(time+1&gt;=AY$2, $E122&lt;AY$2), IF($I122= "I", $J122/($F122-$E122+1), $J122/(($F122*($F122+1)/2)-(($E122-1)*($E122-1+1)/2))*AX$2), 0)+IF(IF(time+1&gt;=AY$2, $K122/time_cap/(time+1)*AX$2, 0) = 0, $K122/(time_cap),0)),0)</f>
        <v/>
      </c>
      <c r="AY122" s="4395">
        <f>IFERROR(IF((time+time_cap)&lt;AY$2, 0,IF(AND(time+1&gt;=AZ$2, $E122&lt;AZ$2), IF($I122= "I", $J122/($F122-$E122+1), $J122/(($F122*($F122+1)/2)-(($E122-1)*($E122-1+1)/2))*AY$2), 0)+IF(IF(time+1&gt;=AZ$2, $K122/time_cap/(time+1)*AY$2, 0) = 0, $K122/(time_cap),0)),0)</f>
        <v/>
      </c>
      <c r="AZ122" s="4395">
        <f>IFERROR(IF((time+time_cap)&lt;AZ$2, 0,IF(AND(time+1&gt;=BA$2, $E122&lt;BA$2), IF($I122= "I", $J122/($F122-$E122+1), $J122/(($F122*($F122+1)/2)-(($E122-1)*($E122-1+1)/2))*AZ$2), 0)+IF(IF(time+1&gt;=BA$2, $K122/time_cap/(time+1)*AZ$2, 0) = 0, $K122/(time_cap),0)),0)</f>
        <v/>
      </c>
      <c r="BA122" s="4395">
        <f>IFERROR(IF((time+time_cap)&lt;BA$2, 0,IF(AND(time+1&gt;=BB$2, $E122&lt;BB$2), IF($I122= "I", $J122/($F122-$E122+1), $J122/(($F122*($F122+1)/2)-(($E122-1)*($E122-1+1)/2))*BA$2), 0)+IF(IF(time+1&gt;=BB$2, $K122/time_cap/(time+1)*BA$2, 0) = 0, $K122/(time_cap),0)),0)</f>
        <v/>
      </c>
      <c r="BB122" s="4395">
        <f>IFERROR(IF((time+time_cap)&lt;BB$2, 0,IF(AND(time+1&gt;=BC$2, $E122&lt;BC$2), IF($I122= "I", $J122/($F122-$E122+1), $J122/(($F122*($F122+1)/2)-(($E122-1)*($E122-1+1)/2))*BB$2), 0)+IF(IF(time+1&gt;=BC$2, $K122/time_cap/(time+1)*BB$2, 0) = 0, $K122/(time_cap),0)),0)</f>
        <v/>
      </c>
      <c r="BC122" s="4395">
        <f>IFERROR(IF((time+time_cap)&lt;BC$2, 0,IF(AND(time+1&gt;=BD$2, $E122&lt;BD$2), IF($I122= "I", $J122/($F122-$E122+1), $J122/(($F122*($F122+1)/2)-(($E122-1)*($E122-1+1)/2))*BC$2), 0)+IF(IF(time+1&gt;=BD$2, $K122/time_cap/(time+1)*BC$2, 0) = 0, $K122/(time_cap),0)),0)</f>
        <v/>
      </c>
      <c r="BD122" s="4395">
        <f>IFERROR(IF((time+time_cap)&lt;BD$2, 0,IF(AND(time+1&gt;=BE$2, $E122&lt;BE$2), IF($I122= "I", $J122/($F122-$E122+1), $J122/(($F122*($F122+1)/2)-(($E122-1)*($E122-1+1)/2))*BD$2), 0)+IF(IF(time+1&gt;=BE$2, $K122/time_cap/(time+1)*BD$2, 0) = 0, $K122/(time_cap),0)),0)</f>
        <v/>
      </c>
      <c r="BE122" s="4395">
        <f>IFERROR(IF((time+time_cap)&lt;BE$2, 0,IF(AND(time+1&gt;=BF$2, $E122&lt;BF$2), IF($I122= "I", $J122/($F122-$E122+1), $J122/(($F122*($F122+1)/2)-(($E122-1)*($E122-1+1)/2))*BE$2), 0)+IF(IF(time+1&gt;=BF$2, $K122/time_cap/(time+1)*BE$2, 0) = 0, $K122/(time_cap),0)),0)</f>
        <v/>
      </c>
      <c r="BF122" s="4395">
        <f>IFERROR(IF((time+time_cap)&lt;BF$2, 0,IF(AND(time+1&gt;=BG$2, $E122&lt;BG$2), IF($I122= "I", $J122/($F122-$E122+1), $J122/(($F122*($F122+1)/2)-(($E122-1)*($E122-1+1)/2))*BF$2), 0)+IF(IF(time+1&gt;=BG$2, $K122/time_cap/(time+1)*BF$2, 0) = 0, $K122/(time_cap),0)),0)</f>
        <v/>
      </c>
      <c r="BG122" s="4395">
        <f>IFERROR(IF((time+time_cap)&lt;BG$2, 0,IF(AND(time+1&gt;=BH$2, $E122&lt;BH$2), IF($I122= "I", $J122/($F122-$E122+1), $J122/(($F122*($F122+1)/2)-(($E122-1)*($E122-1+1)/2))*BG$2), 0)+IF(IF(time+1&gt;=BH$2, $K122/time_cap/(time+1)*BG$2, 0) = 0, $K122/(time_cap),0)),0)</f>
        <v/>
      </c>
      <c r="BH122" s="4395">
        <f>IFERROR(IF((time+time_cap)&lt;BH$2, 0,IF(AND(time+1&gt;=BI$2, $E122&lt;BI$2), IF($I122= "I", $J122/($F122-$E122+1), $J122/(($F122*($F122+1)/2)-(($E122-1)*($E122-1+1)/2))*BH$2), 0)+IF(IF(time+1&gt;=BI$2, $K122/time_cap/(time+1)*BH$2, 0) = 0, $K122/(time_cap),0)),0)</f>
        <v/>
      </c>
      <c r="BI122" s="4395">
        <f>IFERROR(IF((time+time_cap)&lt;BI$2, 0,IF(AND(time+1&gt;=BJ$2, $E122&lt;BJ$2), IF($I122= "I", $J122/($F122-$E122+1), $J122/(($F122*($F122+1)/2)-(($E122-1)*($E122-1+1)/2))*BI$2), 0)+IF(IF(time+1&gt;=BJ$2, $K122/time_cap/(time+1)*BI$2, 0) = 0, $K122/(time_cap),0)),0)</f>
        <v/>
      </c>
      <c r="BJ122" s="4395">
        <f>IFERROR(IF((time+time_cap)&lt;BJ$2, 0,IF(AND(time+1&gt;=BK$2, $E122&lt;BK$2), IF($I122= "I", $J122/($F122-$E122+1), $J122/(($F122*($F122+1)/2)-(($E122-1)*($E122-1+1)/2))*BJ$2), 0)+IF(IF(time+1&gt;=BK$2, $K122/time_cap/(time+1)*BJ$2, 0) = 0, $K122/(time_cap),0)),0)</f>
        <v/>
      </c>
      <c r="BK122" s="4395" t="n"/>
      <c r="BL122" s="4395" t="n"/>
      <c r="BM122" s="4395" t="n"/>
      <c r="BN122" s="4395" t="n"/>
      <c r="BO122" s="4395" t="n"/>
      <c r="BP122" s="4395" t="n"/>
      <c r="BQ122" s="4395" t="n"/>
      <c r="BR122" s="4395" t="n"/>
      <c r="BS122" s="4395" t="n"/>
      <c r="BT122" s="4395" t="n"/>
      <c r="BU122" s="4395" t="n"/>
      <c r="BV122" s="4395" t="n"/>
      <c r="BW122" s="4395" t="n"/>
      <c r="BX122" s="4395" t="n"/>
      <c r="BY122" s="4395" t="n"/>
      <c r="BZ122" s="4395" t="n"/>
      <c r="CA122" s="4395" t="n"/>
      <c r="CB122" s="4395" t="n"/>
      <c r="CC122" s="4395" t="n"/>
      <c r="CD122" s="4395" t="n"/>
      <c r="CE122" s="4395" t="n"/>
      <c r="CF122" s="4395" t="n"/>
      <c r="CG122" s="4395" t="n"/>
      <c r="CH122" s="4395" t="n"/>
      <c r="CI122" s="4395" t="n"/>
      <c r="CJ122" s="4395" t="n"/>
      <c r="CK122" s="4395" t="n"/>
      <c r="CL122" s="4395" t="n"/>
      <c r="CM122" s="4395" t="n"/>
      <c r="CN122" s="4395" t="n"/>
      <c r="CO122" s="4395" t="n"/>
      <c r="CP122" s="4395" t="n"/>
      <c r="CQ122" s="4395" t="n"/>
      <c r="CR122" s="4395" t="n"/>
      <c r="CS122" s="4395" t="n"/>
      <c r="CT122" s="4395" t="n"/>
      <c r="CU122" s="4395" t="n"/>
      <c r="CV122" s="4395" t="n"/>
      <c r="CW122" s="4395" t="n"/>
      <c r="CX122" s="4395" t="n"/>
      <c r="CY122" s="4395" t="n"/>
      <c r="CZ122" s="4395" t="n"/>
      <c r="DA122" s="4395" t="n"/>
      <c r="DB122" s="4395" t="n"/>
      <c r="DC122" s="4395" t="n"/>
      <c r="DD122" s="4395" t="n"/>
      <c r="DE122" s="4395" t="n"/>
      <c r="DF122" s="4395" t="n"/>
      <c r="DG122" s="4395" t="n"/>
      <c r="DH122" s="4395" t="n"/>
    </row>
    <row r="123" ht="16" customHeight="1">
      <c r="A123" t="inlineStr">
        <is>
          <t>Inland wetlands - defo</t>
        </is>
      </c>
      <c r="C123">
        <f>'6.Inland wetlands'!C18</f>
        <v/>
      </c>
      <c r="D123">
        <f>'6.Inland wetlands'!AG18+'6.Inland wetlands'!AG30</f>
        <v/>
      </c>
      <c r="E123">
        <f>IF('6.Inland wetlands'!BJ18&lt;&gt;0,'6.Inland wetlands'!BJ18,'6.Inland wetlands'!BI18)</f>
        <v/>
      </c>
      <c r="F123">
        <f>time</f>
        <v/>
      </c>
      <c r="G123" s="4395">
        <f>'6.Inland wetlands'!O18</f>
        <v/>
      </c>
      <c r="H123" s="4395">
        <f>'6.Inland wetlands'!Q18</f>
        <v/>
      </c>
      <c r="I123" s="4395">
        <f>IF(OR(H123="I", G123="I"), "I", IF(OR(H123="E", G123="E"), "E", "D"))</f>
        <v/>
      </c>
      <c r="J123" s="4395">
        <f>((D123/(time_cap+((F123-E123+1)*VLOOKUP(I123,list!$I$48:$K$50,3, FALSE))))*(F123-E123+1)*VLOOKUP(I123,list!$I$48:$K$50,3, FALSE))</f>
        <v/>
      </c>
      <c r="K123" s="4395">
        <f>((D123/(time_cap+((F123-E123+1)*VLOOKUP(I123,list!$I$48:$K$50,3, FALSE))))*time_cap)</f>
        <v/>
      </c>
      <c r="M123" s="4395">
        <f>IFERROR(IF((time+time_cap)&lt;M$2, 0,IF(AND(time+1&gt;=N$2, $E123&lt;N$2), IF($I123= "I", $J123/($F123-$E123+1), $J123/(($F123*($F123+1)/2)-(($E123-1)*($E123-1+1)/2))*M$2), 0)+IF(IF(time+1&gt;=N$2, $K123/time_cap/(time+1)*M$2, 0) = 0, $K123/(time_cap),0)),0)</f>
        <v/>
      </c>
      <c r="N123" s="4395">
        <f>IFERROR(IF((time+time_cap)&lt;N$2, 0,IF(AND(time+1&gt;=O$2, $E123&lt;O$2), IF($I123= "I", $J123/($F123-$E123+1), $J123/(($F123*($F123+1)/2)-(($E123-1)*($E123-1+1)/2))*N$2), 0)+IF(IF(time+1&gt;=O$2, $K123/time_cap/(time+1)*N$2, 0) = 0, $K123/(time_cap),0)),0)</f>
        <v/>
      </c>
      <c r="O123" s="4395">
        <f>IFERROR(IF((time+time_cap)&lt;O$2, 0,IF(AND(time+1&gt;=P$2, $E123&lt;P$2), IF($I123= "I", $J123/($F123-$E123+1), $J123/(($F123*($F123+1)/2)-(($E123-1)*($E123-1+1)/2))*O$2), 0)+IF(IF(time+1&gt;=P$2, $K123/time_cap/(time+1)*O$2, 0) = 0, $K123/(time_cap),0)),0)</f>
        <v/>
      </c>
      <c r="P123" s="4395">
        <f>IFERROR(IF((time+time_cap)&lt;P$2, 0,IF(AND(time+1&gt;=Q$2, $E123&lt;Q$2), IF($I123= "I", $J123/($F123-$E123+1), $J123/(($F123*($F123+1)/2)-(($E123-1)*($E123-1+1)/2))*P$2), 0)+IF(IF(time+1&gt;=Q$2, $K123/time_cap/(time+1)*P$2, 0) = 0, $K123/(time_cap),0)),0)</f>
        <v/>
      </c>
      <c r="Q123" s="4395">
        <f>IFERROR(IF((time+time_cap)&lt;Q$2, 0,IF(AND(time+1&gt;=R$2, $E123&lt;R$2), IF($I123= "I", $J123/($F123-$E123+1), $J123/(($F123*($F123+1)/2)-(($E123-1)*($E123-1+1)/2))*Q$2), 0)+IF(IF(time+1&gt;=R$2, $K123/time_cap/(time+1)*Q$2, 0) = 0, $K123/(time_cap),0)),0)</f>
        <v/>
      </c>
      <c r="R123" s="4395">
        <f>IFERROR(IF((time+time_cap)&lt;R$2, 0,IF(AND(time+1&gt;=S$2, $E123&lt;S$2), IF($I123= "I", $J123/($F123-$E123+1), $J123/(($F123*($F123+1)/2)-(($E123-1)*($E123-1+1)/2))*R$2), 0)+IF(IF(time+1&gt;=S$2, $K123/time_cap/(time+1)*R$2, 0) = 0, $K123/(time_cap),0)),0)</f>
        <v/>
      </c>
      <c r="S123" s="4395">
        <f>IFERROR(IF((time+time_cap)&lt;S$2, 0,IF(AND(time+1&gt;=T$2, $E123&lt;T$2), IF($I123= "I", $J123/($F123-$E123+1), $J123/(($F123*($F123+1)/2)-(($E123-1)*($E123-1+1)/2))*S$2), 0)+IF(IF(time+1&gt;=T$2, $K123/time_cap/(time+1)*S$2, 0) = 0, $K123/(time_cap),0)),0)</f>
        <v/>
      </c>
      <c r="T123" s="4395">
        <f>IFERROR(IF((time+time_cap)&lt;T$2, 0,IF(AND(time+1&gt;=U$2, $E123&lt;U$2), IF($I123= "I", $J123/($F123-$E123+1), $J123/(($F123*($F123+1)/2)-(($E123-1)*($E123-1+1)/2))*T$2), 0)+IF(IF(time+1&gt;=U$2, $K123/time_cap/(time+1)*T$2, 0) = 0, $K123/(time_cap),0)),0)</f>
        <v/>
      </c>
      <c r="U123" s="4395">
        <f>IFERROR(IF((time+time_cap)&lt;U$2, 0,IF(AND(time+1&gt;=V$2, $E123&lt;V$2), IF($I123= "I", $J123/($F123-$E123+1), $J123/(($F123*($F123+1)/2)-(($E123-1)*($E123-1+1)/2))*U$2), 0)+IF(IF(time+1&gt;=V$2, $K123/time_cap/(time+1)*U$2, 0) = 0, $K123/(time_cap),0)),0)</f>
        <v/>
      </c>
      <c r="V123" s="4395">
        <f>IFERROR(IF((time+time_cap)&lt;V$2, 0,IF(AND(time+1&gt;=W$2, $E123&lt;W$2), IF($I123= "I", $J123/($F123-$E123+1), $J123/(($F123*($F123+1)/2)-(($E123-1)*($E123-1+1)/2))*V$2), 0)+IF(IF(time+1&gt;=W$2, $K123/time_cap/(time+1)*V$2, 0) = 0, $K123/(time_cap),0)),0)</f>
        <v/>
      </c>
      <c r="W123" s="4395">
        <f>IFERROR(IF((time+time_cap)&lt;W$2, 0,IF(AND(time+1&gt;=X$2, $E123&lt;X$2), IF($I123= "I", $J123/($F123-$E123+1), $J123/(($F123*($F123+1)/2)-(($E123-1)*($E123-1+1)/2))*W$2), 0)+IF(IF(time+1&gt;=X$2, $K123/time_cap/(time+1)*W$2, 0) = 0, $K123/(time_cap),0)),0)</f>
        <v/>
      </c>
      <c r="X123" s="4395">
        <f>IFERROR(IF((time+time_cap)&lt;X$2, 0,IF(AND(time+1&gt;=Y$2, $E123&lt;Y$2), IF($I123= "I", $J123/($F123-$E123+1), $J123/(($F123*($F123+1)/2)-(($E123-1)*($E123-1+1)/2))*X$2), 0)+IF(IF(time+1&gt;=Y$2, $K123/time_cap/(time+1)*X$2, 0) = 0, $K123/(time_cap),0)),0)</f>
        <v/>
      </c>
      <c r="Y123" s="4395">
        <f>IFERROR(IF((time+time_cap)&lt;Y$2, 0,IF(AND(time+1&gt;=Z$2, $E123&lt;Z$2), IF($I123= "I", $J123/($F123-$E123+1), $J123/(($F123*($F123+1)/2)-(($E123-1)*($E123-1+1)/2))*Y$2), 0)+IF(IF(time+1&gt;=Z$2, $K123/time_cap/(time+1)*Y$2, 0) = 0, $K123/(time_cap),0)),0)</f>
        <v/>
      </c>
      <c r="Z123" s="4395">
        <f>IFERROR(IF((time+time_cap)&lt;Z$2, 0,IF(AND(time+1&gt;=AA$2, $E123&lt;AA$2), IF($I123= "I", $J123/($F123-$E123+1), $J123/(($F123*($F123+1)/2)-(($E123-1)*($E123-1+1)/2))*Z$2), 0)+IF(IF(time+1&gt;=AA$2, $K123/time_cap/(time+1)*Z$2, 0) = 0, $K123/(time_cap),0)),0)</f>
        <v/>
      </c>
      <c r="AA123" s="4395">
        <f>IFERROR(IF((time+time_cap)&lt;AA$2, 0,IF(AND(time+1&gt;=AB$2, $E123&lt;AB$2), IF($I123= "I", $J123/($F123-$E123+1), $J123/(($F123*($F123+1)/2)-(($E123-1)*($E123-1+1)/2))*AA$2), 0)+IF(IF(time+1&gt;=AB$2, $K123/time_cap/(time+1)*AA$2, 0) = 0, $K123/(time_cap),0)),0)</f>
        <v/>
      </c>
      <c r="AB123" s="4395">
        <f>IFERROR(IF((time+time_cap)&lt;AB$2, 0,IF(AND(time+1&gt;=AC$2, $E123&lt;AC$2), IF($I123= "I", $J123/($F123-$E123+1), $J123/(($F123*($F123+1)/2)-(($E123-1)*($E123-1+1)/2))*AB$2), 0)+IF(IF(time+1&gt;=AC$2, $K123/time_cap/(time+1)*AB$2, 0) = 0, $K123/(time_cap),0)),0)</f>
        <v/>
      </c>
      <c r="AC123" s="4395">
        <f>IFERROR(IF((time+time_cap)&lt;AC$2, 0,IF(AND(time+1&gt;=AD$2, $E123&lt;AD$2), IF($I123= "I", $J123/($F123-$E123+1), $J123/(($F123*($F123+1)/2)-(($E123-1)*($E123-1+1)/2))*AC$2), 0)+IF(IF(time+1&gt;=AD$2, $K123/time_cap/(time+1)*AC$2, 0) = 0, $K123/(time_cap),0)),0)</f>
        <v/>
      </c>
      <c r="AD123" s="4395">
        <f>IFERROR(IF((time+time_cap)&lt;AD$2, 0,IF(AND(time+1&gt;=AE$2, $E123&lt;AE$2), IF($I123= "I", $J123/($F123-$E123+1), $J123/(($F123*($F123+1)/2)-(($E123-1)*($E123-1+1)/2))*AD$2), 0)+IF(IF(time+1&gt;=AE$2, $K123/time_cap/(time+1)*AD$2, 0) = 0, $K123/(time_cap),0)),0)</f>
        <v/>
      </c>
      <c r="AE123" s="4395">
        <f>IFERROR(IF((time+time_cap)&lt;AE$2, 0,IF(AND(time+1&gt;=AF$2, $E123&lt;AF$2), IF($I123= "I", $J123/($F123-$E123+1), $J123/(($F123*($F123+1)/2)-(($E123-1)*($E123-1+1)/2))*AE$2), 0)+IF(IF(time+1&gt;=AF$2, $K123/time_cap/(time+1)*AE$2, 0) = 0, $K123/(time_cap),0)),0)</f>
        <v/>
      </c>
      <c r="AF123" s="4395">
        <f>IFERROR(IF((time+time_cap)&lt;AF$2, 0,IF(AND(time+1&gt;=AG$2, $E123&lt;AG$2), IF($I123= "I", $J123/($F123-$E123+1), $J123/(($F123*($F123+1)/2)-(($E123-1)*($E123-1+1)/2))*AF$2), 0)+IF(IF(time+1&gt;=AG$2, $K123/time_cap/(time+1)*AF$2, 0) = 0, $K123/(time_cap),0)),0)</f>
        <v/>
      </c>
      <c r="AG123" s="4395">
        <f>IFERROR(IF((time+time_cap)&lt;AG$2, 0,IF(AND(time+1&gt;=AH$2, $E123&lt;AH$2), IF($I123= "I", $J123/($F123-$E123+1), $J123/(($F123*($F123+1)/2)-(($E123-1)*($E123-1+1)/2))*AG$2), 0)+IF(IF(time+1&gt;=AH$2, $K123/time_cap/(time+1)*AG$2, 0) = 0, $K123/(time_cap),0)),0)</f>
        <v/>
      </c>
      <c r="AH123" s="4395">
        <f>IFERROR(IF((time+time_cap)&lt;AH$2, 0,IF(AND(time+1&gt;=AI$2, $E123&lt;AI$2), IF($I123= "I", $J123/($F123-$E123+1), $J123/(($F123*($F123+1)/2)-(($E123-1)*($E123-1+1)/2))*AH$2), 0)+IF(IF(time+1&gt;=AI$2, $K123/time_cap/(time+1)*AH$2, 0) = 0, $K123/(time_cap),0)),0)</f>
        <v/>
      </c>
      <c r="AI123" s="4395">
        <f>IFERROR(IF((time+time_cap)&lt;AI$2, 0,IF(AND(time+1&gt;=AJ$2, $E123&lt;AJ$2), IF($I123= "I", $J123/($F123-$E123+1), $J123/(($F123*($F123+1)/2)-(($E123-1)*($E123-1+1)/2))*AI$2), 0)+IF(IF(time+1&gt;=AJ$2, $K123/time_cap/(time+1)*AI$2, 0) = 0, $K123/(time_cap),0)),0)</f>
        <v/>
      </c>
      <c r="AJ123" s="4395">
        <f>IFERROR(IF((time+time_cap)&lt;AJ$2, 0,IF(AND(time+1&gt;=AK$2, $E123&lt;AK$2), IF($I123= "I", $J123/($F123-$E123+1), $J123/(($F123*($F123+1)/2)-(($E123-1)*($E123-1+1)/2))*AJ$2), 0)+IF(IF(time+1&gt;=AK$2, $K123/time_cap/(time+1)*AJ$2, 0) = 0, $K123/(time_cap),0)),0)</f>
        <v/>
      </c>
      <c r="AK123" s="4395">
        <f>IFERROR(IF((time+time_cap)&lt;AK$2, 0,IF(AND(time+1&gt;=AL$2, $E123&lt;AL$2), IF($I123= "I", $J123/($F123-$E123+1), $J123/(($F123*($F123+1)/2)-(($E123-1)*($E123-1+1)/2))*AK$2), 0)+IF(IF(time+1&gt;=AL$2, $K123/time_cap/(time+1)*AK$2, 0) = 0, $K123/(time_cap),0)),0)</f>
        <v/>
      </c>
      <c r="AL123" s="4395">
        <f>IFERROR(IF((time+time_cap)&lt;AL$2, 0,IF(AND(time+1&gt;=AM$2, $E123&lt;AM$2), IF($I123= "I", $J123/($F123-$E123+1), $J123/(($F123*($F123+1)/2)-(($E123-1)*($E123-1+1)/2))*AL$2), 0)+IF(IF(time+1&gt;=AM$2, $K123/time_cap/(time+1)*AL$2, 0) = 0, $K123/(time_cap),0)),0)</f>
        <v/>
      </c>
      <c r="AM123" s="4395">
        <f>IFERROR(IF((time+time_cap)&lt;AM$2, 0,IF(AND(time+1&gt;=AN$2, $E123&lt;AN$2), IF($I123= "I", $J123/($F123-$E123+1), $J123/(($F123*($F123+1)/2)-(($E123-1)*($E123-1+1)/2))*AM$2), 0)+IF(IF(time+1&gt;=AN$2, $K123/time_cap/(time+1)*AM$2, 0) = 0, $K123/(time_cap),0)),0)</f>
        <v/>
      </c>
      <c r="AN123" s="4395">
        <f>IFERROR(IF((time+time_cap)&lt;AN$2, 0,IF(AND(time+1&gt;=AO$2, $E123&lt;AO$2), IF($I123= "I", $J123/($F123-$E123+1), $J123/(($F123*($F123+1)/2)-(($E123-1)*($E123-1+1)/2))*AN$2), 0)+IF(IF(time+1&gt;=AO$2, $K123/time_cap/(time+1)*AN$2, 0) = 0, $K123/(time_cap),0)),0)</f>
        <v/>
      </c>
      <c r="AO123" s="4395">
        <f>IFERROR(IF((time+time_cap)&lt;AO$2, 0,IF(AND(time+1&gt;=AP$2, $E123&lt;AP$2), IF($I123= "I", $J123/($F123-$E123+1), $J123/(($F123*($F123+1)/2)-(($E123-1)*($E123-1+1)/2))*AO$2), 0)+IF(IF(time+1&gt;=AP$2, $K123/time_cap/(time+1)*AO$2, 0) = 0, $K123/(time_cap),0)),0)</f>
        <v/>
      </c>
      <c r="AP123" s="4395">
        <f>IFERROR(IF((time+time_cap)&lt;AP$2, 0,IF(AND(time+1&gt;=AQ$2, $E123&lt;AQ$2), IF($I123= "I", $J123/($F123-$E123+1), $J123/(($F123*($F123+1)/2)-(($E123-1)*($E123-1+1)/2))*AP$2), 0)+IF(IF(time+1&gt;=AQ$2, $K123/time_cap/(time+1)*AP$2, 0) = 0, $K123/(time_cap),0)),0)</f>
        <v/>
      </c>
      <c r="AQ123" s="4395">
        <f>IFERROR(IF((time+time_cap)&lt;AQ$2, 0,IF(AND(time+1&gt;=AR$2, $E123&lt;AR$2), IF($I123= "I", $J123/($F123-$E123+1), $J123/(($F123*($F123+1)/2)-(($E123-1)*($E123-1+1)/2))*AQ$2), 0)+IF(IF(time+1&gt;=AR$2, $K123/time_cap/(time+1)*AQ$2, 0) = 0, $K123/(time_cap),0)),0)</f>
        <v/>
      </c>
      <c r="AR123" s="4395">
        <f>IFERROR(IF((time+time_cap)&lt;AR$2, 0,IF(AND(time+1&gt;=AS$2, $E123&lt;AS$2), IF($I123= "I", $J123/($F123-$E123+1), $J123/(($F123*($F123+1)/2)-(($E123-1)*($E123-1+1)/2))*AR$2), 0)+IF(IF(time+1&gt;=AS$2, $K123/time_cap/(time+1)*AR$2, 0) = 0, $K123/(time_cap),0)),0)</f>
        <v/>
      </c>
      <c r="AS123" s="4395">
        <f>IFERROR(IF((time+time_cap)&lt;AS$2, 0,IF(AND(time+1&gt;=AT$2, $E123&lt;AT$2), IF($I123= "I", $J123/($F123-$E123+1), $J123/(($F123*($F123+1)/2)-(($E123-1)*($E123-1+1)/2))*AS$2), 0)+IF(IF(time+1&gt;=AT$2, $K123/time_cap/(time+1)*AS$2, 0) = 0, $K123/(time_cap),0)),0)</f>
        <v/>
      </c>
      <c r="AT123" s="4395">
        <f>IFERROR(IF((time+time_cap)&lt;AT$2, 0,IF(AND(time+1&gt;=AU$2, $E123&lt;AU$2), IF($I123= "I", $J123/($F123-$E123+1), $J123/(($F123*($F123+1)/2)-(($E123-1)*($E123-1+1)/2))*AT$2), 0)+IF(IF(time+1&gt;=AU$2, $K123/time_cap/(time+1)*AT$2, 0) = 0, $K123/(time_cap),0)),0)</f>
        <v/>
      </c>
      <c r="AU123" s="4395">
        <f>IFERROR(IF((time+time_cap)&lt;AU$2, 0,IF(AND(time+1&gt;=AV$2, $E123&lt;AV$2), IF($I123= "I", $J123/($F123-$E123+1), $J123/(($F123*($F123+1)/2)-(($E123-1)*($E123-1+1)/2))*AU$2), 0)+IF(IF(time+1&gt;=AV$2, $K123/time_cap/(time+1)*AU$2, 0) = 0, $K123/(time_cap),0)),0)</f>
        <v/>
      </c>
      <c r="AV123" s="4395">
        <f>IFERROR(IF((time+time_cap)&lt;AV$2, 0,IF(AND(time+1&gt;=AW$2, $E123&lt;AW$2), IF($I123= "I", $J123/($F123-$E123+1), $J123/(($F123*($F123+1)/2)-(($E123-1)*($E123-1+1)/2))*AV$2), 0)+IF(IF(time+1&gt;=AW$2, $K123/time_cap/(time+1)*AV$2, 0) = 0, $K123/(time_cap),0)),0)</f>
        <v/>
      </c>
      <c r="AW123" s="4395">
        <f>IFERROR(IF((time+time_cap)&lt;AW$2, 0,IF(AND(time+1&gt;=AX$2, $E123&lt;AX$2), IF($I123= "I", $J123/($F123-$E123+1), $J123/(($F123*($F123+1)/2)-(($E123-1)*($E123-1+1)/2))*AW$2), 0)+IF(IF(time+1&gt;=AX$2, $K123/time_cap/(time+1)*AW$2, 0) = 0, $K123/(time_cap),0)),0)</f>
        <v/>
      </c>
      <c r="AX123" s="4395">
        <f>IFERROR(IF((time+time_cap)&lt;AX$2, 0,IF(AND(time+1&gt;=AY$2, $E123&lt;AY$2), IF($I123= "I", $J123/($F123-$E123+1), $J123/(($F123*($F123+1)/2)-(($E123-1)*($E123-1+1)/2))*AX$2), 0)+IF(IF(time+1&gt;=AY$2, $K123/time_cap/(time+1)*AX$2, 0) = 0, $K123/(time_cap),0)),0)</f>
        <v/>
      </c>
      <c r="AY123" s="4395">
        <f>IFERROR(IF((time+time_cap)&lt;AY$2, 0,IF(AND(time+1&gt;=AZ$2, $E123&lt;AZ$2), IF($I123= "I", $J123/($F123-$E123+1), $J123/(($F123*($F123+1)/2)-(($E123-1)*($E123-1+1)/2))*AY$2), 0)+IF(IF(time+1&gt;=AZ$2, $K123/time_cap/(time+1)*AY$2, 0) = 0, $K123/(time_cap),0)),0)</f>
        <v/>
      </c>
      <c r="AZ123" s="4395">
        <f>IFERROR(IF((time+time_cap)&lt;AZ$2, 0,IF(AND(time+1&gt;=BA$2, $E123&lt;BA$2), IF($I123= "I", $J123/($F123-$E123+1), $J123/(($F123*($F123+1)/2)-(($E123-1)*($E123-1+1)/2))*AZ$2), 0)+IF(IF(time+1&gt;=BA$2, $K123/time_cap/(time+1)*AZ$2, 0) = 0, $K123/(time_cap),0)),0)</f>
        <v/>
      </c>
      <c r="BA123" s="4395">
        <f>IFERROR(IF((time+time_cap)&lt;BA$2, 0,IF(AND(time+1&gt;=BB$2, $E123&lt;BB$2), IF($I123= "I", $J123/($F123-$E123+1), $J123/(($F123*($F123+1)/2)-(($E123-1)*($E123-1+1)/2))*BA$2), 0)+IF(IF(time+1&gt;=BB$2, $K123/time_cap/(time+1)*BA$2, 0) = 0, $K123/(time_cap),0)),0)</f>
        <v/>
      </c>
      <c r="BB123" s="4395">
        <f>IFERROR(IF((time+time_cap)&lt;BB$2, 0,IF(AND(time+1&gt;=BC$2, $E123&lt;BC$2), IF($I123= "I", $J123/($F123-$E123+1), $J123/(($F123*($F123+1)/2)-(($E123-1)*($E123-1+1)/2))*BB$2), 0)+IF(IF(time+1&gt;=BC$2, $K123/time_cap/(time+1)*BB$2, 0) = 0, $K123/(time_cap),0)),0)</f>
        <v/>
      </c>
      <c r="BC123" s="4395">
        <f>IFERROR(IF((time+time_cap)&lt;BC$2, 0,IF(AND(time+1&gt;=BD$2, $E123&lt;BD$2), IF($I123= "I", $J123/($F123-$E123+1), $J123/(($F123*($F123+1)/2)-(($E123-1)*($E123-1+1)/2))*BC$2), 0)+IF(IF(time+1&gt;=BD$2, $K123/time_cap/(time+1)*BC$2, 0) = 0, $K123/(time_cap),0)),0)</f>
        <v/>
      </c>
      <c r="BD123" s="4395">
        <f>IFERROR(IF((time+time_cap)&lt;BD$2, 0,IF(AND(time+1&gt;=BE$2, $E123&lt;BE$2), IF($I123= "I", $J123/($F123-$E123+1), $J123/(($F123*($F123+1)/2)-(($E123-1)*($E123-1+1)/2))*BD$2), 0)+IF(IF(time+1&gt;=BE$2, $K123/time_cap/(time+1)*BD$2, 0) = 0, $K123/(time_cap),0)),0)</f>
        <v/>
      </c>
      <c r="BE123" s="4395">
        <f>IFERROR(IF((time+time_cap)&lt;BE$2, 0,IF(AND(time+1&gt;=BF$2, $E123&lt;BF$2), IF($I123= "I", $J123/($F123-$E123+1), $J123/(($F123*($F123+1)/2)-(($E123-1)*($E123-1+1)/2))*BE$2), 0)+IF(IF(time+1&gt;=BF$2, $K123/time_cap/(time+1)*BE$2, 0) = 0, $K123/(time_cap),0)),0)</f>
        <v/>
      </c>
      <c r="BF123" s="4395">
        <f>IFERROR(IF((time+time_cap)&lt;BF$2, 0,IF(AND(time+1&gt;=BG$2, $E123&lt;BG$2), IF($I123= "I", $J123/($F123-$E123+1), $J123/(($F123*($F123+1)/2)-(($E123-1)*($E123-1+1)/2))*BF$2), 0)+IF(IF(time+1&gt;=BG$2, $K123/time_cap/(time+1)*BF$2, 0) = 0, $K123/(time_cap),0)),0)</f>
        <v/>
      </c>
      <c r="BG123" s="4395">
        <f>IFERROR(IF((time+time_cap)&lt;BG$2, 0,IF(AND(time+1&gt;=BH$2, $E123&lt;BH$2), IF($I123= "I", $J123/($F123-$E123+1), $J123/(($F123*($F123+1)/2)-(($E123-1)*($E123-1+1)/2))*BG$2), 0)+IF(IF(time+1&gt;=BH$2, $K123/time_cap/(time+1)*BG$2, 0) = 0, $K123/(time_cap),0)),0)</f>
        <v/>
      </c>
      <c r="BH123" s="4395">
        <f>IFERROR(IF((time+time_cap)&lt;BH$2, 0,IF(AND(time+1&gt;=BI$2, $E123&lt;BI$2), IF($I123= "I", $J123/($F123-$E123+1), $J123/(($F123*($F123+1)/2)-(($E123-1)*($E123-1+1)/2))*BH$2), 0)+IF(IF(time+1&gt;=BI$2, $K123/time_cap/(time+1)*BH$2, 0) = 0, $K123/(time_cap),0)),0)</f>
        <v/>
      </c>
      <c r="BI123" s="4395">
        <f>IFERROR(IF((time+time_cap)&lt;BI$2, 0,IF(AND(time+1&gt;=BJ$2, $E123&lt;BJ$2), IF($I123= "I", $J123/($F123-$E123+1), $J123/(($F123*($F123+1)/2)-(($E123-1)*($E123-1+1)/2))*BI$2), 0)+IF(IF(time+1&gt;=BJ$2, $K123/time_cap/(time+1)*BI$2, 0) = 0, $K123/(time_cap),0)),0)</f>
        <v/>
      </c>
      <c r="BJ123" s="4395">
        <f>IFERROR(IF((time+time_cap)&lt;BJ$2, 0,IF(AND(time+1&gt;=BK$2, $E123&lt;BK$2), IF($I123= "I", $J123/($F123-$E123+1), $J123/(($F123*($F123+1)/2)-(($E123-1)*($E123-1+1)/2))*BJ$2), 0)+IF(IF(time+1&gt;=BK$2, $K123/time_cap/(time+1)*BJ$2, 0) = 0, $K123/(time_cap),0)),0)</f>
        <v/>
      </c>
      <c r="BK123" s="4395" t="n"/>
      <c r="BL123" s="4395" t="n"/>
      <c r="BM123" s="4395" t="n"/>
      <c r="BN123" s="4395" t="n"/>
      <c r="BO123" s="4395" t="n"/>
      <c r="BP123" s="4395" t="n"/>
      <c r="BQ123" s="4395" t="n"/>
      <c r="BR123" s="4395" t="n"/>
      <c r="BS123" s="4395" t="n"/>
      <c r="BT123" s="4395" t="n"/>
      <c r="BU123" s="4395" t="n"/>
      <c r="BV123" s="4395" t="n"/>
      <c r="BW123" s="4395" t="n"/>
      <c r="BX123" s="4395" t="n"/>
      <c r="BY123" s="4395" t="n"/>
      <c r="BZ123" s="4395" t="n"/>
      <c r="CA123" s="4395" t="n"/>
      <c r="CB123" s="4395" t="n"/>
      <c r="CC123" s="4395" t="n"/>
      <c r="CD123" s="4395" t="n"/>
      <c r="CE123" s="4395" t="n"/>
      <c r="CF123" s="4395" t="n"/>
      <c r="CG123" s="4395" t="n"/>
      <c r="CH123" s="4395" t="n"/>
      <c r="CI123" s="4395" t="n"/>
      <c r="CJ123" s="4395" t="n"/>
      <c r="CK123" s="4395" t="n"/>
      <c r="CL123" s="4395" t="n"/>
      <c r="CM123" s="4395" t="n"/>
      <c r="CN123" s="4395" t="n"/>
      <c r="CO123" s="4395" t="n"/>
      <c r="CP123" s="4395" t="n"/>
      <c r="CQ123" s="4395" t="n"/>
      <c r="CR123" s="4395" t="n"/>
      <c r="CS123" s="4395" t="n"/>
      <c r="CT123" s="4395" t="n"/>
      <c r="CU123" s="4395" t="n"/>
      <c r="CV123" s="4395" t="n"/>
      <c r="CW123" s="4395" t="n"/>
      <c r="CX123" s="4395" t="n"/>
      <c r="CY123" s="4395" t="n"/>
      <c r="CZ123" s="4395" t="n"/>
      <c r="DA123" s="4395" t="n"/>
      <c r="DB123" s="4395" t="n"/>
      <c r="DC123" s="4395" t="n"/>
      <c r="DD123" s="4395" t="n"/>
      <c r="DE123" s="4395" t="n"/>
      <c r="DF123" s="4395" t="n"/>
      <c r="DG123" s="4395" t="n"/>
      <c r="DH123" s="4395" t="n"/>
    </row>
    <row r="124" ht="16" customHeight="1">
      <c r="A124" t="inlineStr">
        <is>
          <t>Inland wetlands - A/R</t>
        </is>
      </c>
      <c r="C124">
        <f>'6.Inland wetlands'!C46</f>
        <v/>
      </c>
      <c r="D124">
        <f>'6.Inland wetlands'!AG46+'6.Inland wetlands'!AG58</f>
        <v/>
      </c>
      <c r="E124">
        <f>IF('6.Inland wetlands'!BS47&lt;&gt;0,'6.Inland wetlands'!BS47,'6.Inland wetlands'!BR47)</f>
        <v/>
      </c>
      <c r="F124">
        <f>time</f>
        <v/>
      </c>
      <c r="G124" s="4395">
        <f>'6.Inland wetlands'!O46</f>
        <v/>
      </c>
      <c r="H124" s="4395">
        <f>'6.Inland wetlands'!Q46</f>
        <v/>
      </c>
      <c r="I124" s="4395">
        <f>IF(OR(H124="I", G124="I"), "I", IF(OR(H124="E", G124="E"), "E", "D"))</f>
        <v/>
      </c>
      <c r="J124" s="4395">
        <f>((D124/(time_cap+((F124-E124+1)*VLOOKUP(I124,list!$I$48:$K$50,3, FALSE))))*(F124-E124+1)*VLOOKUP(I124,list!$I$48:$K$50,3, FALSE))</f>
        <v/>
      </c>
      <c r="K124" s="4395">
        <f>((D124/(time_cap+((F124-E124+1)*VLOOKUP(I124,list!$I$48:$K$50,3, FALSE))))*time_cap)</f>
        <v/>
      </c>
      <c r="M124" s="4395">
        <f>IFERROR(IF((time+time_cap)&lt;M$2, 0,IF(AND(time+1&gt;=N$2, $E124&lt;N$2), IF($I124= "I", $J124/($F124-$E124+1), $J124/(($F124*($F124+1)/2)-(($E124-1)*($E124-1+1)/2))*M$2), 0)+IF(IF(time+1&gt;=N$2, $K124/time_cap/(time+1)*M$2, 0) = 0, $K124/(time_cap),0)),0)</f>
        <v/>
      </c>
      <c r="N124" s="4395">
        <f>IFERROR(IF((time+time_cap)&lt;N$2, 0,IF(AND(time+1&gt;=O$2, $E124&lt;O$2), IF($I124= "I", $J124/($F124-$E124+1), $J124/(($F124*($F124+1)/2)-(($E124-1)*($E124-1+1)/2))*N$2), 0)+IF(IF(time+1&gt;=O$2, $K124/time_cap/(time+1)*N$2, 0) = 0, $K124/(time_cap),0)),0)</f>
        <v/>
      </c>
      <c r="O124" s="4395">
        <f>IFERROR(IF((time+time_cap)&lt;O$2, 0,IF(AND(time+1&gt;=P$2, $E124&lt;P$2), IF($I124= "I", $J124/($F124-$E124+1), $J124/(($F124*($F124+1)/2)-(($E124-1)*($E124-1+1)/2))*O$2), 0)+IF(IF(time+1&gt;=P$2, $K124/time_cap/(time+1)*O$2, 0) = 0, $K124/(time_cap),0)),0)</f>
        <v/>
      </c>
      <c r="P124" s="4395">
        <f>IFERROR(IF((time+time_cap)&lt;P$2, 0,IF(AND(time+1&gt;=Q$2, $E124&lt;Q$2), IF($I124= "I", $J124/($F124-$E124+1), $J124/(($F124*($F124+1)/2)-(($E124-1)*($E124-1+1)/2))*P$2), 0)+IF(IF(time+1&gt;=Q$2, $K124/time_cap/(time+1)*P$2, 0) = 0, $K124/(time_cap),0)),0)</f>
        <v/>
      </c>
      <c r="Q124" s="4395">
        <f>IFERROR(IF((time+time_cap)&lt;Q$2, 0,IF(AND(time+1&gt;=R$2, $E124&lt;R$2), IF($I124= "I", $J124/($F124-$E124+1), $J124/(($F124*($F124+1)/2)-(($E124-1)*($E124-1+1)/2))*Q$2), 0)+IF(IF(time+1&gt;=R$2, $K124/time_cap/(time+1)*Q$2, 0) = 0, $K124/(time_cap),0)),0)</f>
        <v/>
      </c>
      <c r="R124" s="4395">
        <f>IFERROR(IF((time+time_cap)&lt;R$2, 0,IF(AND(time+1&gt;=S$2, $E124&lt;S$2), IF($I124= "I", $J124/($F124-$E124+1), $J124/(($F124*($F124+1)/2)-(($E124-1)*($E124-1+1)/2))*R$2), 0)+IF(IF(time+1&gt;=S$2, $K124/time_cap/(time+1)*R$2, 0) = 0, $K124/(time_cap),0)),0)</f>
        <v/>
      </c>
      <c r="S124" s="4395">
        <f>IFERROR(IF((time+time_cap)&lt;S$2, 0,IF(AND(time+1&gt;=T$2, $E124&lt;T$2), IF($I124= "I", $J124/($F124-$E124+1), $J124/(($F124*($F124+1)/2)-(($E124-1)*($E124-1+1)/2))*S$2), 0)+IF(IF(time+1&gt;=T$2, $K124/time_cap/(time+1)*S$2, 0) = 0, $K124/(time_cap),0)),0)</f>
        <v/>
      </c>
      <c r="T124" s="4395">
        <f>IFERROR(IF((time+time_cap)&lt;T$2, 0,IF(AND(time+1&gt;=U$2, $E124&lt;U$2), IF($I124= "I", $J124/($F124-$E124+1), $J124/(($F124*($F124+1)/2)-(($E124-1)*($E124-1+1)/2))*T$2), 0)+IF(IF(time+1&gt;=U$2, $K124/time_cap/(time+1)*T$2, 0) = 0, $K124/(time_cap),0)),0)</f>
        <v/>
      </c>
      <c r="U124" s="4395">
        <f>IFERROR(IF((time+time_cap)&lt;U$2, 0,IF(AND(time+1&gt;=V$2, $E124&lt;V$2), IF($I124= "I", $J124/($F124-$E124+1), $J124/(($F124*($F124+1)/2)-(($E124-1)*($E124-1+1)/2))*U$2), 0)+IF(IF(time+1&gt;=V$2, $K124/time_cap/(time+1)*U$2, 0) = 0, $K124/(time_cap),0)),0)</f>
        <v/>
      </c>
      <c r="V124" s="4395">
        <f>IFERROR(IF((time+time_cap)&lt;V$2, 0,IF(AND(time+1&gt;=W$2, $E124&lt;W$2), IF($I124= "I", $J124/($F124-$E124+1), $J124/(($F124*($F124+1)/2)-(($E124-1)*($E124-1+1)/2))*V$2), 0)+IF(IF(time+1&gt;=W$2, $K124/time_cap/(time+1)*V$2, 0) = 0, $K124/(time_cap),0)),0)</f>
        <v/>
      </c>
      <c r="W124" s="4395">
        <f>IFERROR(IF((time+time_cap)&lt;W$2, 0,IF(AND(time+1&gt;=X$2, $E124&lt;X$2), IF($I124= "I", $J124/($F124-$E124+1), $J124/(($F124*($F124+1)/2)-(($E124-1)*($E124-1+1)/2))*W$2), 0)+IF(IF(time+1&gt;=X$2, $K124/time_cap/(time+1)*W$2, 0) = 0, $K124/(time_cap),0)),0)</f>
        <v/>
      </c>
      <c r="X124" s="4395">
        <f>IFERROR(IF((time+time_cap)&lt;X$2, 0,IF(AND(time+1&gt;=Y$2, $E124&lt;Y$2), IF($I124= "I", $J124/($F124-$E124+1), $J124/(($F124*($F124+1)/2)-(($E124-1)*($E124-1+1)/2))*X$2), 0)+IF(IF(time+1&gt;=Y$2, $K124/time_cap/(time+1)*X$2, 0) = 0, $K124/(time_cap),0)),0)</f>
        <v/>
      </c>
      <c r="Y124" s="4395">
        <f>IFERROR(IF((time+time_cap)&lt;Y$2, 0,IF(AND(time+1&gt;=Z$2, $E124&lt;Z$2), IF($I124= "I", $J124/($F124-$E124+1), $J124/(($F124*($F124+1)/2)-(($E124-1)*($E124-1+1)/2))*Y$2), 0)+IF(IF(time+1&gt;=Z$2, $K124/time_cap/(time+1)*Y$2, 0) = 0, $K124/(time_cap),0)),0)</f>
        <v/>
      </c>
      <c r="Z124" s="4395">
        <f>IFERROR(IF((time+time_cap)&lt;Z$2, 0,IF(AND(time+1&gt;=AA$2, $E124&lt;AA$2), IF($I124= "I", $J124/($F124-$E124+1), $J124/(($F124*($F124+1)/2)-(($E124-1)*($E124-1+1)/2))*Z$2), 0)+IF(IF(time+1&gt;=AA$2, $K124/time_cap/(time+1)*Z$2, 0) = 0, $K124/(time_cap),0)),0)</f>
        <v/>
      </c>
      <c r="AA124" s="4395">
        <f>IFERROR(IF((time+time_cap)&lt;AA$2, 0,IF(AND(time+1&gt;=AB$2, $E124&lt;AB$2), IF($I124= "I", $J124/($F124-$E124+1), $J124/(($F124*($F124+1)/2)-(($E124-1)*($E124-1+1)/2))*AA$2), 0)+IF(IF(time+1&gt;=AB$2, $K124/time_cap/(time+1)*AA$2, 0) = 0, $K124/(time_cap),0)),0)</f>
        <v/>
      </c>
      <c r="AB124" s="4395">
        <f>IFERROR(IF((time+time_cap)&lt;AB$2, 0,IF(AND(time+1&gt;=AC$2, $E124&lt;AC$2), IF($I124= "I", $J124/($F124-$E124+1), $J124/(($F124*($F124+1)/2)-(($E124-1)*($E124-1+1)/2))*AB$2), 0)+IF(IF(time+1&gt;=AC$2, $K124/time_cap/(time+1)*AB$2, 0) = 0, $K124/(time_cap),0)),0)</f>
        <v/>
      </c>
      <c r="AC124" s="4395">
        <f>IFERROR(IF((time+time_cap)&lt;AC$2, 0,IF(AND(time+1&gt;=AD$2, $E124&lt;AD$2), IF($I124= "I", $J124/($F124-$E124+1), $J124/(($F124*($F124+1)/2)-(($E124-1)*($E124-1+1)/2))*AC$2), 0)+IF(IF(time+1&gt;=AD$2, $K124/time_cap/(time+1)*AC$2, 0) = 0, $K124/(time_cap),0)),0)</f>
        <v/>
      </c>
      <c r="AD124" s="4395">
        <f>IFERROR(IF((time+time_cap)&lt;AD$2, 0,IF(AND(time+1&gt;=AE$2, $E124&lt;AE$2), IF($I124= "I", $J124/($F124-$E124+1), $J124/(($F124*($F124+1)/2)-(($E124-1)*($E124-1+1)/2))*AD$2), 0)+IF(IF(time+1&gt;=AE$2, $K124/time_cap/(time+1)*AD$2, 0) = 0, $K124/(time_cap),0)),0)</f>
        <v/>
      </c>
      <c r="AE124" s="4395">
        <f>IFERROR(IF((time+time_cap)&lt;AE$2, 0,IF(AND(time+1&gt;=AF$2, $E124&lt;AF$2), IF($I124= "I", $J124/($F124-$E124+1), $J124/(($F124*($F124+1)/2)-(($E124-1)*($E124-1+1)/2))*AE$2), 0)+IF(IF(time+1&gt;=AF$2, $K124/time_cap/(time+1)*AE$2, 0) = 0, $K124/(time_cap),0)),0)</f>
        <v/>
      </c>
      <c r="AF124" s="4395">
        <f>IFERROR(IF((time+time_cap)&lt;AF$2, 0,IF(AND(time+1&gt;=AG$2, $E124&lt;AG$2), IF($I124= "I", $J124/($F124-$E124+1), $J124/(($F124*($F124+1)/2)-(($E124-1)*($E124-1+1)/2))*AF$2), 0)+IF(IF(time+1&gt;=AG$2, $K124/time_cap/(time+1)*AF$2, 0) = 0, $K124/(time_cap),0)),0)</f>
        <v/>
      </c>
      <c r="AG124" s="4395">
        <f>IFERROR(IF((time+time_cap)&lt;AG$2, 0,IF(AND(time+1&gt;=AH$2, $E124&lt;AH$2), IF($I124= "I", $J124/($F124-$E124+1), $J124/(($F124*($F124+1)/2)-(($E124-1)*($E124-1+1)/2))*AG$2), 0)+IF(IF(time+1&gt;=AH$2, $K124/time_cap/(time+1)*AG$2, 0) = 0, $K124/(time_cap),0)),0)</f>
        <v/>
      </c>
      <c r="AH124" s="4395">
        <f>IFERROR(IF((time+time_cap)&lt;AH$2, 0,IF(AND(time+1&gt;=AI$2, $E124&lt;AI$2), IF($I124= "I", $J124/($F124-$E124+1), $J124/(($F124*($F124+1)/2)-(($E124-1)*($E124-1+1)/2))*AH$2), 0)+IF(IF(time+1&gt;=AI$2, $K124/time_cap/(time+1)*AH$2, 0) = 0, $K124/(time_cap),0)),0)</f>
        <v/>
      </c>
      <c r="AI124" s="4395">
        <f>IFERROR(IF((time+time_cap)&lt;AI$2, 0,IF(AND(time+1&gt;=AJ$2, $E124&lt;AJ$2), IF($I124= "I", $J124/($F124-$E124+1), $J124/(($F124*($F124+1)/2)-(($E124-1)*($E124-1+1)/2))*AI$2), 0)+IF(IF(time+1&gt;=AJ$2, $K124/time_cap/(time+1)*AI$2, 0) = 0, $K124/(time_cap),0)),0)</f>
        <v/>
      </c>
      <c r="AJ124" s="4395">
        <f>IFERROR(IF((time+time_cap)&lt;AJ$2, 0,IF(AND(time+1&gt;=AK$2, $E124&lt;AK$2), IF($I124= "I", $J124/($F124-$E124+1), $J124/(($F124*($F124+1)/2)-(($E124-1)*($E124-1+1)/2))*AJ$2), 0)+IF(IF(time+1&gt;=AK$2, $K124/time_cap/(time+1)*AJ$2, 0) = 0, $K124/(time_cap),0)),0)</f>
        <v/>
      </c>
      <c r="AK124" s="4395">
        <f>IFERROR(IF((time+time_cap)&lt;AK$2, 0,IF(AND(time+1&gt;=AL$2, $E124&lt;AL$2), IF($I124= "I", $J124/($F124-$E124+1), $J124/(($F124*($F124+1)/2)-(($E124-1)*($E124-1+1)/2))*AK$2), 0)+IF(IF(time+1&gt;=AL$2, $K124/time_cap/(time+1)*AK$2, 0) = 0, $K124/(time_cap),0)),0)</f>
        <v/>
      </c>
      <c r="AL124" s="4395">
        <f>IFERROR(IF((time+time_cap)&lt;AL$2, 0,IF(AND(time+1&gt;=AM$2, $E124&lt;AM$2), IF($I124= "I", $J124/($F124-$E124+1), $J124/(($F124*($F124+1)/2)-(($E124-1)*($E124-1+1)/2))*AL$2), 0)+IF(IF(time+1&gt;=AM$2, $K124/time_cap/(time+1)*AL$2, 0) = 0, $K124/(time_cap),0)),0)</f>
        <v/>
      </c>
      <c r="AM124" s="4395">
        <f>IFERROR(IF((time+time_cap)&lt;AM$2, 0,IF(AND(time+1&gt;=AN$2, $E124&lt;AN$2), IF($I124= "I", $J124/($F124-$E124+1), $J124/(($F124*($F124+1)/2)-(($E124-1)*($E124-1+1)/2))*AM$2), 0)+IF(IF(time+1&gt;=AN$2, $K124/time_cap/(time+1)*AM$2, 0) = 0, $K124/(time_cap),0)),0)</f>
        <v/>
      </c>
      <c r="AN124" s="4395">
        <f>IFERROR(IF((time+time_cap)&lt;AN$2, 0,IF(AND(time+1&gt;=AO$2, $E124&lt;AO$2), IF($I124= "I", $J124/($F124-$E124+1), $J124/(($F124*($F124+1)/2)-(($E124-1)*($E124-1+1)/2))*AN$2), 0)+IF(IF(time+1&gt;=AO$2, $K124/time_cap/(time+1)*AN$2, 0) = 0, $K124/(time_cap),0)),0)</f>
        <v/>
      </c>
      <c r="AO124" s="4395">
        <f>IFERROR(IF((time+time_cap)&lt;AO$2, 0,IF(AND(time+1&gt;=AP$2, $E124&lt;AP$2), IF($I124= "I", $J124/($F124-$E124+1), $J124/(($F124*($F124+1)/2)-(($E124-1)*($E124-1+1)/2))*AO$2), 0)+IF(IF(time+1&gt;=AP$2, $K124/time_cap/(time+1)*AO$2, 0) = 0, $K124/(time_cap),0)),0)</f>
        <v/>
      </c>
      <c r="AP124" s="4395">
        <f>IFERROR(IF((time+time_cap)&lt;AP$2, 0,IF(AND(time+1&gt;=AQ$2, $E124&lt;AQ$2), IF($I124= "I", $J124/($F124-$E124+1), $J124/(($F124*($F124+1)/2)-(($E124-1)*($E124-1+1)/2))*AP$2), 0)+IF(IF(time+1&gt;=AQ$2, $K124/time_cap/(time+1)*AP$2, 0) = 0, $K124/(time_cap),0)),0)</f>
        <v/>
      </c>
      <c r="AQ124" s="4395">
        <f>IFERROR(IF((time+time_cap)&lt;AQ$2, 0,IF(AND(time+1&gt;=AR$2, $E124&lt;AR$2), IF($I124= "I", $J124/($F124-$E124+1), $J124/(($F124*($F124+1)/2)-(($E124-1)*($E124-1+1)/2))*AQ$2), 0)+IF(IF(time+1&gt;=AR$2, $K124/time_cap/(time+1)*AQ$2, 0) = 0, $K124/(time_cap),0)),0)</f>
        <v/>
      </c>
      <c r="AR124" s="4395">
        <f>IFERROR(IF((time+time_cap)&lt;AR$2, 0,IF(AND(time+1&gt;=AS$2, $E124&lt;AS$2), IF($I124= "I", $J124/($F124-$E124+1), $J124/(($F124*($F124+1)/2)-(($E124-1)*($E124-1+1)/2))*AR$2), 0)+IF(IF(time+1&gt;=AS$2, $K124/time_cap/(time+1)*AR$2, 0) = 0, $K124/(time_cap),0)),0)</f>
        <v/>
      </c>
      <c r="AS124" s="4395">
        <f>IFERROR(IF((time+time_cap)&lt;AS$2, 0,IF(AND(time+1&gt;=AT$2, $E124&lt;AT$2), IF($I124= "I", $J124/($F124-$E124+1), $J124/(($F124*($F124+1)/2)-(($E124-1)*($E124-1+1)/2))*AS$2), 0)+IF(IF(time+1&gt;=AT$2, $K124/time_cap/(time+1)*AS$2, 0) = 0, $K124/(time_cap),0)),0)</f>
        <v/>
      </c>
      <c r="AT124" s="4395">
        <f>IFERROR(IF((time+time_cap)&lt;AT$2, 0,IF(AND(time+1&gt;=AU$2, $E124&lt;AU$2), IF($I124= "I", $J124/($F124-$E124+1), $J124/(($F124*($F124+1)/2)-(($E124-1)*($E124-1+1)/2))*AT$2), 0)+IF(IF(time+1&gt;=AU$2, $K124/time_cap/(time+1)*AT$2, 0) = 0, $K124/(time_cap),0)),0)</f>
        <v/>
      </c>
      <c r="AU124" s="4395">
        <f>IFERROR(IF((time+time_cap)&lt;AU$2, 0,IF(AND(time+1&gt;=AV$2, $E124&lt;AV$2), IF($I124= "I", $J124/($F124-$E124+1), $J124/(($F124*($F124+1)/2)-(($E124-1)*($E124-1+1)/2))*AU$2), 0)+IF(IF(time+1&gt;=AV$2, $K124/time_cap/(time+1)*AU$2, 0) = 0, $K124/(time_cap),0)),0)</f>
        <v/>
      </c>
      <c r="AV124" s="4395">
        <f>IFERROR(IF((time+time_cap)&lt;AV$2, 0,IF(AND(time+1&gt;=AW$2, $E124&lt;AW$2), IF($I124= "I", $J124/($F124-$E124+1), $J124/(($F124*($F124+1)/2)-(($E124-1)*($E124-1+1)/2))*AV$2), 0)+IF(IF(time+1&gt;=AW$2, $K124/time_cap/(time+1)*AV$2, 0) = 0, $K124/(time_cap),0)),0)</f>
        <v/>
      </c>
      <c r="AW124" s="4395">
        <f>IFERROR(IF((time+time_cap)&lt;AW$2, 0,IF(AND(time+1&gt;=AX$2, $E124&lt;AX$2), IF($I124= "I", $J124/($F124-$E124+1), $J124/(($F124*($F124+1)/2)-(($E124-1)*($E124-1+1)/2))*AW$2), 0)+IF(IF(time+1&gt;=AX$2, $K124/time_cap/(time+1)*AW$2, 0) = 0, $K124/(time_cap),0)),0)</f>
        <v/>
      </c>
      <c r="AX124" s="4395">
        <f>IFERROR(IF((time+time_cap)&lt;AX$2, 0,IF(AND(time+1&gt;=AY$2, $E124&lt;AY$2), IF($I124= "I", $J124/($F124-$E124+1), $J124/(($F124*($F124+1)/2)-(($E124-1)*($E124-1+1)/2))*AX$2), 0)+IF(IF(time+1&gt;=AY$2, $K124/time_cap/(time+1)*AX$2, 0) = 0, $K124/(time_cap),0)),0)</f>
        <v/>
      </c>
      <c r="AY124" s="4395">
        <f>IFERROR(IF((time+time_cap)&lt;AY$2, 0,IF(AND(time+1&gt;=AZ$2, $E124&lt;AZ$2), IF($I124= "I", $J124/($F124-$E124+1), $J124/(($F124*($F124+1)/2)-(($E124-1)*($E124-1+1)/2))*AY$2), 0)+IF(IF(time+1&gt;=AZ$2, $K124/time_cap/(time+1)*AY$2, 0) = 0, $K124/(time_cap),0)),0)</f>
        <v/>
      </c>
      <c r="AZ124" s="4395">
        <f>IFERROR(IF((time+time_cap)&lt;AZ$2, 0,IF(AND(time+1&gt;=BA$2, $E124&lt;BA$2), IF($I124= "I", $J124/($F124-$E124+1), $J124/(($F124*($F124+1)/2)-(($E124-1)*($E124-1+1)/2))*AZ$2), 0)+IF(IF(time+1&gt;=BA$2, $K124/time_cap/(time+1)*AZ$2, 0) = 0, $K124/(time_cap),0)),0)</f>
        <v/>
      </c>
      <c r="BA124" s="4395">
        <f>IFERROR(IF((time+time_cap)&lt;BA$2, 0,IF(AND(time+1&gt;=BB$2, $E124&lt;BB$2), IF($I124= "I", $J124/($F124-$E124+1), $J124/(($F124*($F124+1)/2)-(($E124-1)*($E124-1+1)/2))*BA$2), 0)+IF(IF(time+1&gt;=BB$2, $K124/time_cap/(time+1)*BA$2, 0) = 0, $K124/(time_cap),0)),0)</f>
        <v/>
      </c>
      <c r="BB124" s="4395">
        <f>IFERROR(IF((time+time_cap)&lt;BB$2, 0,IF(AND(time+1&gt;=BC$2, $E124&lt;BC$2), IF($I124= "I", $J124/($F124-$E124+1), $J124/(($F124*($F124+1)/2)-(($E124-1)*($E124-1+1)/2))*BB$2), 0)+IF(IF(time+1&gt;=BC$2, $K124/time_cap/(time+1)*BB$2, 0) = 0, $K124/(time_cap),0)),0)</f>
        <v/>
      </c>
      <c r="BC124" s="4395">
        <f>IFERROR(IF((time+time_cap)&lt;BC$2, 0,IF(AND(time+1&gt;=BD$2, $E124&lt;BD$2), IF($I124= "I", $J124/($F124-$E124+1), $J124/(($F124*($F124+1)/2)-(($E124-1)*($E124-1+1)/2))*BC$2), 0)+IF(IF(time+1&gt;=BD$2, $K124/time_cap/(time+1)*BC$2, 0) = 0, $K124/(time_cap),0)),0)</f>
        <v/>
      </c>
      <c r="BD124" s="4395">
        <f>IFERROR(IF((time+time_cap)&lt;BD$2, 0,IF(AND(time+1&gt;=BE$2, $E124&lt;BE$2), IF($I124= "I", $J124/($F124-$E124+1), $J124/(($F124*($F124+1)/2)-(($E124-1)*($E124-1+1)/2))*BD$2), 0)+IF(IF(time+1&gt;=BE$2, $K124/time_cap/(time+1)*BD$2, 0) = 0, $K124/(time_cap),0)),0)</f>
        <v/>
      </c>
      <c r="BE124" s="4395">
        <f>IFERROR(IF((time+time_cap)&lt;BE$2, 0,IF(AND(time+1&gt;=BF$2, $E124&lt;BF$2), IF($I124= "I", $J124/($F124-$E124+1), $J124/(($F124*($F124+1)/2)-(($E124-1)*($E124-1+1)/2))*BE$2), 0)+IF(IF(time+1&gt;=BF$2, $K124/time_cap/(time+1)*BE$2, 0) = 0, $K124/(time_cap),0)),0)</f>
        <v/>
      </c>
      <c r="BF124" s="4395">
        <f>IFERROR(IF((time+time_cap)&lt;BF$2, 0,IF(AND(time+1&gt;=BG$2, $E124&lt;BG$2), IF($I124= "I", $J124/($F124-$E124+1), $J124/(($F124*($F124+1)/2)-(($E124-1)*($E124-1+1)/2))*BF$2), 0)+IF(IF(time+1&gt;=BG$2, $K124/time_cap/(time+1)*BF$2, 0) = 0, $K124/(time_cap),0)),0)</f>
        <v/>
      </c>
      <c r="BG124" s="4395">
        <f>IFERROR(IF((time+time_cap)&lt;BG$2, 0,IF(AND(time+1&gt;=BH$2, $E124&lt;BH$2), IF($I124= "I", $J124/($F124-$E124+1), $J124/(($F124*($F124+1)/2)-(($E124-1)*($E124-1+1)/2))*BG$2), 0)+IF(IF(time+1&gt;=BH$2, $K124/time_cap/(time+1)*BG$2, 0) = 0, $K124/(time_cap),0)),0)</f>
        <v/>
      </c>
      <c r="BH124" s="4395">
        <f>IFERROR(IF((time+time_cap)&lt;BH$2, 0,IF(AND(time+1&gt;=BI$2, $E124&lt;BI$2), IF($I124= "I", $J124/($F124-$E124+1), $J124/(($F124*($F124+1)/2)-(($E124-1)*($E124-1+1)/2))*BH$2), 0)+IF(IF(time+1&gt;=BI$2, $K124/time_cap/(time+1)*BH$2, 0) = 0, $K124/(time_cap),0)),0)</f>
        <v/>
      </c>
      <c r="BI124" s="4395">
        <f>IFERROR(IF((time+time_cap)&lt;BI$2, 0,IF(AND(time+1&gt;=BJ$2, $E124&lt;BJ$2), IF($I124= "I", $J124/($F124-$E124+1), $J124/(($F124*($F124+1)/2)-(($E124-1)*($E124-1+1)/2))*BI$2), 0)+IF(IF(time+1&gt;=BJ$2, $K124/time_cap/(time+1)*BI$2, 0) = 0, $K124/(time_cap),0)),0)</f>
        <v/>
      </c>
      <c r="BJ124" s="4395">
        <f>IFERROR(IF((time+time_cap)&lt;BJ$2, 0,IF(AND(time+1&gt;=BK$2, $E124&lt;BK$2), IF($I124= "I", $J124/($F124-$E124+1), $J124/(($F124*($F124+1)/2)-(($E124-1)*($E124-1+1)/2))*BJ$2), 0)+IF(IF(time+1&gt;=BK$2, $K124/time_cap/(time+1)*BJ$2, 0) = 0, $K124/(time_cap),0)),0)</f>
        <v/>
      </c>
      <c r="BK124" s="4395" t="n"/>
      <c r="BL124" s="4395" t="n"/>
      <c r="BM124" s="4395" t="n"/>
      <c r="BN124" s="4395" t="n"/>
      <c r="BO124" s="4395" t="n"/>
      <c r="BP124" s="4395" t="n"/>
      <c r="BQ124" s="4395" t="n"/>
      <c r="BR124" s="4395" t="n"/>
      <c r="BS124" s="4395" t="n"/>
      <c r="BT124" s="4395" t="n"/>
      <c r="BU124" s="4395" t="n"/>
      <c r="BV124" s="4395" t="n"/>
      <c r="BW124" s="4395" t="n"/>
      <c r="BX124" s="4395" t="n"/>
      <c r="BY124" s="4395" t="n"/>
      <c r="BZ124" s="4395" t="n"/>
      <c r="CA124" s="4395" t="n"/>
      <c r="CB124" s="4395" t="n"/>
      <c r="CC124" s="4395" t="n"/>
      <c r="CD124" s="4395" t="n"/>
      <c r="CE124" s="4395" t="n"/>
      <c r="CF124" s="4395" t="n"/>
      <c r="CG124" s="4395" t="n"/>
      <c r="CH124" s="4395" t="n"/>
      <c r="CI124" s="4395" t="n"/>
      <c r="CJ124" s="4395" t="n"/>
      <c r="CK124" s="4395" t="n"/>
      <c r="CL124" s="4395" t="n"/>
      <c r="CM124" s="4395" t="n"/>
      <c r="CN124" s="4395" t="n"/>
      <c r="CO124" s="4395" t="n"/>
      <c r="CP124" s="4395" t="n"/>
      <c r="CQ124" s="4395" t="n"/>
      <c r="CR124" s="4395" t="n"/>
      <c r="CS124" s="4395" t="n"/>
      <c r="CT124" s="4395" t="n"/>
      <c r="CU124" s="4395" t="n"/>
      <c r="CV124" s="4395" t="n"/>
      <c r="CW124" s="4395" t="n"/>
      <c r="CX124" s="4395" t="n"/>
      <c r="CY124" s="4395" t="n"/>
      <c r="CZ124" s="4395" t="n"/>
      <c r="DA124" s="4395" t="n"/>
      <c r="DB124" s="4395" t="n"/>
      <c r="DC124" s="4395" t="n"/>
      <c r="DD124" s="4395" t="n"/>
      <c r="DE124" s="4395" t="n"/>
      <c r="DF124" s="4395" t="n"/>
      <c r="DG124" s="4395" t="n"/>
      <c r="DH124" s="4395" t="n"/>
    </row>
    <row r="125" ht="16" customHeight="1">
      <c r="A125" t="inlineStr">
        <is>
          <t>Inland wetlands - A/R</t>
        </is>
      </c>
      <c r="C125">
        <f>'6.Inland wetlands'!C47</f>
        <v/>
      </c>
      <c r="D125">
        <f>'6.Inland wetlands'!AG47+'6.Inland wetlands'!AG59</f>
        <v/>
      </c>
      <c r="E125">
        <f>IF('6.Inland wetlands'!BS48&lt;&gt;0,'6.Inland wetlands'!BS48,'6.Inland wetlands'!BR48)</f>
        <v/>
      </c>
      <c r="F125">
        <f>time</f>
        <v/>
      </c>
      <c r="G125" s="4395">
        <f>'6.Inland wetlands'!O47</f>
        <v/>
      </c>
      <c r="H125" s="4395">
        <f>'6.Inland wetlands'!Q47</f>
        <v/>
      </c>
      <c r="I125" s="4395">
        <f>IF(OR(H125="I", G125="I"), "I", IF(OR(H125="E", G125="E"), "E", "D"))</f>
        <v/>
      </c>
      <c r="J125" s="4395">
        <f>((D125/(time_cap+((F125-E125+1)*VLOOKUP(I125,list!$I$48:$K$50,3, FALSE))))*(F125-E125+1)*VLOOKUP(I125,list!$I$48:$K$50,3, FALSE))</f>
        <v/>
      </c>
      <c r="K125" s="4395">
        <f>((D125/(time_cap+((F125-E125+1)*VLOOKUP(I125,list!$I$48:$K$50,3, FALSE))))*time_cap)</f>
        <v/>
      </c>
      <c r="M125" s="4395">
        <f>IFERROR(IF((time+time_cap)&lt;M$2, 0,IF(AND(time+1&gt;=N$2, $E125&lt;N$2), IF($I125= "I", $J125/($F125-$E125+1), $J125/(($F125*($F125+1)/2)-(($E125-1)*($E125-1+1)/2))*M$2), 0)+IF(IF(time+1&gt;=N$2, $K125/time_cap/(time+1)*M$2, 0) = 0, $K125/(time_cap),0)),0)</f>
        <v/>
      </c>
      <c r="N125" s="4395">
        <f>IFERROR(IF((time+time_cap)&lt;N$2, 0,IF(AND(time+1&gt;=O$2, $E125&lt;O$2), IF($I125= "I", $J125/($F125-$E125+1), $J125/(($F125*($F125+1)/2)-(($E125-1)*($E125-1+1)/2))*N$2), 0)+IF(IF(time+1&gt;=O$2, $K125/time_cap/(time+1)*N$2, 0) = 0, $K125/(time_cap),0)),0)</f>
        <v/>
      </c>
      <c r="O125" s="4395">
        <f>IFERROR(IF((time+time_cap)&lt;O$2, 0,IF(AND(time+1&gt;=P$2, $E125&lt;P$2), IF($I125= "I", $J125/($F125-$E125+1), $J125/(($F125*($F125+1)/2)-(($E125-1)*($E125-1+1)/2))*O$2), 0)+IF(IF(time+1&gt;=P$2, $K125/time_cap/(time+1)*O$2, 0) = 0, $K125/(time_cap),0)),0)</f>
        <v/>
      </c>
      <c r="P125" s="4395">
        <f>IFERROR(IF((time+time_cap)&lt;P$2, 0,IF(AND(time+1&gt;=Q$2, $E125&lt;Q$2), IF($I125= "I", $J125/($F125-$E125+1), $J125/(($F125*($F125+1)/2)-(($E125-1)*($E125-1+1)/2))*P$2), 0)+IF(IF(time+1&gt;=Q$2, $K125/time_cap/(time+1)*P$2, 0) = 0, $K125/(time_cap),0)),0)</f>
        <v/>
      </c>
      <c r="Q125" s="4395">
        <f>IFERROR(IF((time+time_cap)&lt;Q$2, 0,IF(AND(time+1&gt;=R$2, $E125&lt;R$2), IF($I125= "I", $J125/($F125-$E125+1), $J125/(($F125*($F125+1)/2)-(($E125-1)*($E125-1+1)/2))*Q$2), 0)+IF(IF(time+1&gt;=R$2, $K125/time_cap/(time+1)*Q$2, 0) = 0, $K125/(time_cap),0)),0)</f>
        <v/>
      </c>
      <c r="R125" s="4395">
        <f>IFERROR(IF((time+time_cap)&lt;R$2, 0,IF(AND(time+1&gt;=S$2, $E125&lt;S$2), IF($I125= "I", $J125/($F125-$E125+1), $J125/(($F125*($F125+1)/2)-(($E125-1)*($E125-1+1)/2))*R$2), 0)+IF(IF(time+1&gt;=S$2, $K125/time_cap/(time+1)*R$2, 0) = 0, $K125/(time_cap),0)),0)</f>
        <v/>
      </c>
      <c r="S125" s="4395">
        <f>IFERROR(IF((time+time_cap)&lt;S$2, 0,IF(AND(time+1&gt;=T$2, $E125&lt;T$2), IF($I125= "I", $J125/($F125-$E125+1), $J125/(($F125*($F125+1)/2)-(($E125-1)*($E125-1+1)/2))*S$2), 0)+IF(IF(time+1&gt;=T$2, $K125/time_cap/(time+1)*S$2, 0) = 0, $K125/(time_cap),0)),0)</f>
        <v/>
      </c>
      <c r="T125" s="4395">
        <f>IFERROR(IF((time+time_cap)&lt;T$2, 0,IF(AND(time+1&gt;=U$2, $E125&lt;U$2), IF($I125= "I", $J125/($F125-$E125+1), $J125/(($F125*($F125+1)/2)-(($E125-1)*($E125-1+1)/2))*T$2), 0)+IF(IF(time+1&gt;=U$2, $K125/time_cap/(time+1)*T$2, 0) = 0, $K125/(time_cap),0)),0)</f>
        <v/>
      </c>
      <c r="U125" s="4395">
        <f>IFERROR(IF((time+time_cap)&lt;U$2, 0,IF(AND(time+1&gt;=V$2, $E125&lt;V$2), IF($I125= "I", $J125/($F125-$E125+1), $J125/(($F125*($F125+1)/2)-(($E125-1)*($E125-1+1)/2))*U$2), 0)+IF(IF(time+1&gt;=V$2, $K125/time_cap/(time+1)*U$2, 0) = 0, $K125/(time_cap),0)),0)</f>
        <v/>
      </c>
      <c r="V125" s="4395">
        <f>IFERROR(IF((time+time_cap)&lt;V$2, 0,IF(AND(time+1&gt;=W$2, $E125&lt;W$2), IF($I125= "I", $J125/($F125-$E125+1), $J125/(($F125*($F125+1)/2)-(($E125-1)*($E125-1+1)/2))*V$2), 0)+IF(IF(time+1&gt;=W$2, $K125/time_cap/(time+1)*V$2, 0) = 0, $K125/(time_cap),0)),0)</f>
        <v/>
      </c>
      <c r="W125" s="4395">
        <f>IFERROR(IF((time+time_cap)&lt;W$2, 0,IF(AND(time+1&gt;=X$2, $E125&lt;X$2), IF($I125= "I", $J125/($F125-$E125+1), $J125/(($F125*($F125+1)/2)-(($E125-1)*($E125-1+1)/2))*W$2), 0)+IF(IF(time+1&gt;=X$2, $K125/time_cap/(time+1)*W$2, 0) = 0, $K125/(time_cap),0)),0)</f>
        <v/>
      </c>
      <c r="X125" s="4395">
        <f>IFERROR(IF((time+time_cap)&lt;X$2, 0,IF(AND(time+1&gt;=Y$2, $E125&lt;Y$2), IF($I125= "I", $J125/($F125-$E125+1), $J125/(($F125*($F125+1)/2)-(($E125-1)*($E125-1+1)/2))*X$2), 0)+IF(IF(time+1&gt;=Y$2, $K125/time_cap/(time+1)*X$2, 0) = 0, $K125/(time_cap),0)),0)</f>
        <v/>
      </c>
      <c r="Y125" s="4395">
        <f>IFERROR(IF((time+time_cap)&lt;Y$2, 0,IF(AND(time+1&gt;=Z$2, $E125&lt;Z$2), IF($I125= "I", $J125/($F125-$E125+1), $J125/(($F125*($F125+1)/2)-(($E125-1)*($E125-1+1)/2))*Y$2), 0)+IF(IF(time+1&gt;=Z$2, $K125/time_cap/(time+1)*Y$2, 0) = 0, $K125/(time_cap),0)),0)</f>
        <v/>
      </c>
      <c r="Z125" s="4395">
        <f>IFERROR(IF((time+time_cap)&lt;Z$2, 0,IF(AND(time+1&gt;=AA$2, $E125&lt;AA$2), IF($I125= "I", $J125/($F125-$E125+1), $J125/(($F125*($F125+1)/2)-(($E125-1)*($E125-1+1)/2))*Z$2), 0)+IF(IF(time+1&gt;=AA$2, $K125/time_cap/(time+1)*Z$2, 0) = 0, $K125/(time_cap),0)),0)</f>
        <v/>
      </c>
      <c r="AA125" s="4395">
        <f>IFERROR(IF((time+time_cap)&lt;AA$2, 0,IF(AND(time+1&gt;=AB$2, $E125&lt;AB$2), IF($I125= "I", $J125/($F125-$E125+1), $J125/(($F125*($F125+1)/2)-(($E125-1)*($E125-1+1)/2))*AA$2), 0)+IF(IF(time+1&gt;=AB$2, $K125/time_cap/(time+1)*AA$2, 0) = 0, $K125/(time_cap),0)),0)</f>
        <v/>
      </c>
      <c r="AB125" s="4395">
        <f>IFERROR(IF((time+time_cap)&lt;AB$2, 0,IF(AND(time+1&gt;=AC$2, $E125&lt;AC$2), IF($I125= "I", $J125/($F125-$E125+1), $J125/(($F125*($F125+1)/2)-(($E125-1)*($E125-1+1)/2))*AB$2), 0)+IF(IF(time+1&gt;=AC$2, $K125/time_cap/(time+1)*AB$2, 0) = 0, $K125/(time_cap),0)),0)</f>
        <v/>
      </c>
      <c r="AC125" s="4395">
        <f>IFERROR(IF((time+time_cap)&lt;AC$2, 0,IF(AND(time+1&gt;=AD$2, $E125&lt;AD$2), IF($I125= "I", $J125/($F125-$E125+1), $J125/(($F125*($F125+1)/2)-(($E125-1)*($E125-1+1)/2))*AC$2), 0)+IF(IF(time+1&gt;=AD$2, $K125/time_cap/(time+1)*AC$2, 0) = 0, $K125/(time_cap),0)),0)</f>
        <v/>
      </c>
      <c r="AD125" s="4395">
        <f>IFERROR(IF((time+time_cap)&lt;AD$2, 0,IF(AND(time+1&gt;=AE$2, $E125&lt;AE$2), IF($I125= "I", $J125/($F125-$E125+1), $J125/(($F125*($F125+1)/2)-(($E125-1)*($E125-1+1)/2))*AD$2), 0)+IF(IF(time+1&gt;=AE$2, $K125/time_cap/(time+1)*AD$2, 0) = 0, $K125/(time_cap),0)),0)</f>
        <v/>
      </c>
      <c r="AE125" s="4395">
        <f>IFERROR(IF((time+time_cap)&lt;AE$2, 0,IF(AND(time+1&gt;=AF$2, $E125&lt;AF$2), IF($I125= "I", $J125/($F125-$E125+1), $J125/(($F125*($F125+1)/2)-(($E125-1)*($E125-1+1)/2))*AE$2), 0)+IF(IF(time+1&gt;=AF$2, $K125/time_cap/(time+1)*AE$2, 0) = 0, $K125/(time_cap),0)),0)</f>
        <v/>
      </c>
      <c r="AF125" s="4395">
        <f>IFERROR(IF((time+time_cap)&lt;AF$2, 0,IF(AND(time+1&gt;=AG$2, $E125&lt;AG$2), IF($I125= "I", $J125/($F125-$E125+1), $J125/(($F125*($F125+1)/2)-(($E125-1)*($E125-1+1)/2))*AF$2), 0)+IF(IF(time+1&gt;=AG$2, $K125/time_cap/(time+1)*AF$2, 0) = 0, $K125/(time_cap),0)),0)</f>
        <v/>
      </c>
      <c r="AG125" s="4395">
        <f>IFERROR(IF((time+time_cap)&lt;AG$2, 0,IF(AND(time+1&gt;=AH$2, $E125&lt;AH$2), IF($I125= "I", $J125/($F125-$E125+1), $J125/(($F125*($F125+1)/2)-(($E125-1)*($E125-1+1)/2))*AG$2), 0)+IF(IF(time+1&gt;=AH$2, $K125/time_cap/(time+1)*AG$2, 0) = 0, $K125/(time_cap),0)),0)</f>
        <v/>
      </c>
      <c r="AH125" s="4395">
        <f>IFERROR(IF((time+time_cap)&lt;AH$2, 0,IF(AND(time+1&gt;=AI$2, $E125&lt;AI$2), IF($I125= "I", $J125/($F125-$E125+1), $J125/(($F125*($F125+1)/2)-(($E125-1)*($E125-1+1)/2))*AH$2), 0)+IF(IF(time+1&gt;=AI$2, $K125/time_cap/(time+1)*AH$2, 0) = 0, $K125/(time_cap),0)),0)</f>
        <v/>
      </c>
      <c r="AI125" s="4395">
        <f>IFERROR(IF((time+time_cap)&lt;AI$2, 0,IF(AND(time+1&gt;=AJ$2, $E125&lt;AJ$2), IF($I125= "I", $J125/($F125-$E125+1), $J125/(($F125*($F125+1)/2)-(($E125-1)*($E125-1+1)/2))*AI$2), 0)+IF(IF(time+1&gt;=AJ$2, $K125/time_cap/(time+1)*AI$2, 0) = 0, $K125/(time_cap),0)),0)</f>
        <v/>
      </c>
      <c r="AJ125" s="4395">
        <f>IFERROR(IF((time+time_cap)&lt;AJ$2, 0,IF(AND(time+1&gt;=AK$2, $E125&lt;AK$2), IF($I125= "I", $J125/($F125-$E125+1), $J125/(($F125*($F125+1)/2)-(($E125-1)*($E125-1+1)/2))*AJ$2), 0)+IF(IF(time+1&gt;=AK$2, $K125/time_cap/(time+1)*AJ$2, 0) = 0, $K125/(time_cap),0)),0)</f>
        <v/>
      </c>
      <c r="AK125" s="4395">
        <f>IFERROR(IF((time+time_cap)&lt;AK$2, 0,IF(AND(time+1&gt;=AL$2, $E125&lt;AL$2), IF($I125= "I", $J125/($F125-$E125+1), $J125/(($F125*($F125+1)/2)-(($E125-1)*($E125-1+1)/2))*AK$2), 0)+IF(IF(time+1&gt;=AL$2, $K125/time_cap/(time+1)*AK$2, 0) = 0, $K125/(time_cap),0)),0)</f>
        <v/>
      </c>
      <c r="AL125" s="4395">
        <f>IFERROR(IF((time+time_cap)&lt;AL$2, 0,IF(AND(time+1&gt;=AM$2, $E125&lt;AM$2), IF($I125= "I", $J125/($F125-$E125+1), $J125/(($F125*($F125+1)/2)-(($E125-1)*($E125-1+1)/2))*AL$2), 0)+IF(IF(time+1&gt;=AM$2, $K125/time_cap/(time+1)*AL$2, 0) = 0, $K125/(time_cap),0)),0)</f>
        <v/>
      </c>
      <c r="AM125" s="4395">
        <f>IFERROR(IF((time+time_cap)&lt;AM$2, 0,IF(AND(time+1&gt;=AN$2, $E125&lt;AN$2), IF($I125= "I", $J125/($F125-$E125+1), $J125/(($F125*($F125+1)/2)-(($E125-1)*($E125-1+1)/2))*AM$2), 0)+IF(IF(time+1&gt;=AN$2, $K125/time_cap/(time+1)*AM$2, 0) = 0, $K125/(time_cap),0)),0)</f>
        <v/>
      </c>
      <c r="AN125" s="4395">
        <f>IFERROR(IF((time+time_cap)&lt;AN$2, 0,IF(AND(time+1&gt;=AO$2, $E125&lt;AO$2), IF($I125= "I", $J125/($F125-$E125+1), $J125/(($F125*($F125+1)/2)-(($E125-1)*($E125-1+1)/2))*AN$2), 0)+IF(IF(time+1&gt;=AO$2, $K125/time_cap/(time+1)*AN$2, 0) = 0, $K125/(time_cap),0)),0)</f>
        <v/>
      </c>
      <c r="AO125" s="4395">
        <f>IFERROR(IF((time+time_cap)&lt;AO$2, 0,IF(AND(time+1&gt;=AP$2, $E125&lt;AP$2), IF($I125= "I", $J125/($F125-$E125+1), $J125/(($F125*($F125+1)/2)-(($E125-1)*($E125-1+1)/2))*AO$2), 0)+IF(IF(time+1&gt;=AP$2, $K125/time_cap/(time+1)*AO$2, 0) = 0, $K125/(time_cap),0)),0)</f>
        <v/>
      </c>
      <c r="AP125" s="4395">
        <f>IFERROR(IF((time+time_cap)&lt;AP$2, 0,IF(AND(time+1&gt;=AQ$2, $E125&lt;AQ$2), IF($I125= "I", $J125/($F125-$E125+1), $J125/(($F125*($F125+1)/2)-(($E125-1)*($E125-1+1)/2))*AP$2), 0)+IF(IF(time+1&gt;=AQ$2, $K125/time_cap/(time+1)*AP$2, 0) = 0, $K125/(time_cap),0)),0)</f>
        <v/>
      </c>
      <c r="AQ125" s="4395">
        <f>IFERROR(IF((time+time_cap)&lt;AQ$2, 0,IF(AND(time+1&gt;=AR$2, $E125&lt;AR$2), IF($I125= "I", $J125/($F125-$E125+1), $J125/(($F125*($F125+1)/2)-(($E125-1)*($E125-1+1)/2))*AQ$2), 0)+IF(IF(time+1&gt;=AR$2, $K125/time_cap/(time+1)*AQ$2, 0) = 0, $K125/(time_cap),0)),0)</f>
        <v/>
      </c>
      <c r="AR125" s="4395">
        <f>IFERROR(IF((time+time_cap)&lt;AR$2, 0,IF(AND(time+1&gt;=AS$2, $E125&lt;AS$2), IF($I125= "I", $J125/($F125-$E125+1), $J125/(($F125*($F125+1)/2)-(($E125-1)*($E125-1+1)/2))*AR$2), 0)+IF(IF(time+1&gt;=AS$2, $K125/time_cap/(time+1)*AR$2, 0) = 0, $K125/(time_cap),0)),0)</f>
        <v/>
      </c>
      <c r="AS125" s="4395">
        <f>IFERROR(IF((time+time_cap)&lt;AS$2, 0,IF(AND(time+1&gt;=AT$2, $E125&lt;AT$2), IF($I125= "I", $J125/($F125-$E125+1), $J125/(($F125*($F125+1)/2)-(($E125-1)*($E125-1+1)/2))*AS$2), 0)+IF(IF(time+1&gt;=AT$2, $K125/time_cap/(time+1)*AS$2, 0) = 0, $K125/(time_cap),0)),0)</f>
        <v/>
      </c>
      <c r="AT125" s="4395">
        <f>IFERROR(IF((time+time_cap)&lt;AT$2, 0,IF(AND(time+1&gt;=AU$2, $E125&lt;AU$2), IF($I125= "I", $J125/($F125-$E125+1), $J125/(($F125*($F125+1)/2)-(($E125-1)*($E125-1+1)/2))*AT$2), 0)+IF(IF(time+1&gt;=AU$2, $K125/time_cap/(time+1)*AT$2, 0) = 0, $K125/(time_cap),0)),0)</f>
        <v/>
      </c>
      <c r="AU125" s="4395">
        <f>IFERROR(IF((time+time_cap)&lt;AU$2, 0,IF(AND(time+1&gt;=AV$2, $E125&lt;AV$2), IF($I125= "I", $J125/($F125-$E125+1), $J125/(($F125*($F125+1)/2)-(($E125-1)*($E125-1+1)/2))*AU$2), 0)+IF(IF(time+1&gt;=AV$2, $K125/time_cap/(time+1)*AU$2, 0) = 0, $K125/(time_cap),0)),0)</f>
        <v/>
      </c>
      <c r="AV125" s="4395">
        <f>IFERROR(IF((time+time_cap)&lt;AV$2, 0,IF(AND(time+1&gt;=AW$2, $E125&lt;AW$2), IF($I125= "I", $J125/($F125-$E125+1), $J125/(($F125*($F125+1)/2)-(($E125-1)*($E125-1+1)/2))*AV$2), 0)+IF(IF(time+1&gt;=AW$2, $K125/time_cap/(time+1)*AV$2, 0) = 0, $K125/(time_cap),0)),0)</f>
        <v/>
      </c>
      <c r="AW125" s="4395">
        <f>IFERROR(IF((time+time_cap)&lt;AW$2, 0,IF(AND(time+1&gt;=AX$2, $E125&lt;AX$2), IF($I125= "I", $J125/($F125-$E125+1), $J125/(($F125*($F125+1)/2)-(($E125-1)*($E125-1+1)/2))*AW$2), 0)+IF(IF(time+1&gt;=AX$2, $K125/time_cap/(time+1)*AW$2, 0) = 0, $K125/(time_cap),0)),0)</f>
        <v/>
      </c>
      <c r="AX125" s="4395">
        <f>IFERROR(IF((time+time_cap)&lt;AX$2, 0,IF(AND(time+1&gt;=AY$2, $E125&lt;AY$2), IF($I125= "I", $J125/($F125-$E125+1), $J125/(($F125*($F125+1)/2)-(($E125-1)*($E125-1+1)/2))*AX$2), 0)+IF(IF(time+1&gt;=AY$2, $K125/time_cap/(time+1)*AX$2, 0) = 0, $K125/(time_cap),0)),0)</f>
        <v/>
      </c>
      <c r="AY125" s="4395">
        <f>IFERROR(IF((time+time_cap)&lt;AY$2, 0,IF(AND(time+1&gt;=AZ$2, $E125&lt;AZ$2), IF($I125= "I", $J125/($F125-$E125+1), $J125/(($F125*($F125+1)/2)-(($E125-1)*($E125-1+1)/2))*AY$2), 0)+IF(IF(time+1&gt;=AZ$2, $K125/time_cap/(time+1)*AY$2, 0) = 0, $K125/(time_cap),0)),0)</f>
        <v/>
      </c>
      <c r="AZ125" s="4395">
        <f>IFERROR(IF((time+time_cap)&lt;AZ$2, 0,IF(AND(time+1&gt;=BA$2, $E125&lt;BA$2), IF($I125= "I", $J125/($F125-$E125+1), $J125/(($F125*($F125+1)/2)-(($E125-1)*($E125-1+1)/2))*AZ$2), 0)+IF(IF(time+1&gt;=BA$2, $K125/time_cap/(time+1)*AZ$2, 0) = 0, $K125/(time_cap),0)),0)</f>
        <v/>
      </c>
      <c r="BA125" s="4395">
        <f>IFERROR(IF((time+time_cap)&lt;BA$2, 0,IF(AND(time+1&gt;=BB$2, $E125&lt;BB$2), IF($I125= "I", $J125/($F125-$E125+1), $J125/(($F125*($F125+1)/2)-(($E125-1)*($E125-1+1)/2))*BA$2), 0)+IF(IF(time+1&gt;=BB$2, $K125/time_cap/(time+1)*BA$2, 0) = 0, $K125/(time_cap),0)),0)</f>
        <v/>
      </c>
      <c r="BB125" s="4395">
        <f>IFERROR(IF((time+time_cap)&lt;BB$2, 0,IF(AND(time+1&gt;=BC$2, $E125&lt;BC$2), IF($I125= "I", $J125/($F125-$E125+1), $J125/(($F125*($F125+1)/2)-(($E125-1)*($E125-1+1)/2))*BB$2), 0)+IF(IF(time+1&gt;=BC$2, $K125/time_cap/(time+1)*BB$2, 0) = 0, $K125/(time_cap),0)),0)</f>
        <v/>
      </c>
      <c r="BC125" s="4395">
        <f>IFERROR(IF((time+time_cap)&lt;BC$2, 0,IF(AND(time+1&gt;=BD$2, $E125&lt;BD$2), IF($I125= "I", $J125/($F125-$E125+1), $J125/(($F125*($F125+1)/2)-(($E125-1)*($E125-1+1)/2))*BC$2), 0)+IF(IF(time+1&gt;=BD$2, $K125/time_cap/(time+1)*BC$2, 0) = 0, $K125/(time_cap),0)),0)</f>
        <v/>
      </c>
      <c r="BD125" s="4395">
        <f>IFERROR(IF((time+time_cap)&lt;BD$2, 0,IF(AND(time+1&gt;=BE$2, $E125&lt;BE$2), IF($I125= "I", $J125/($F125-$E125+1), $J125/(($F125*($F125+1)/2)-(($E125-1)*($E125-1+1)/2))*BD$2), 0)+IF(IF(time+1&gt;=BE$2, $K125/time_cap/(time+1)*BD$2, 0) = 0, $K125/(time_cap),0)),0)</f>
        <v/>
      </c>
      <c r="BE125" s="4395">
        <f>IFERROR(IF((time+time_cap)&lt;BE$2, 0,IF(AND(time+1&gt;=BF$2, $E125&lt;BF$2), IF($I125= "I", $J125/($F125-$E125+1), $J125/(($F125*($F125+1)/2)-(($E125-1)*($E125-1+1)/2))*BE$2), 0)+IF(IF(time+1&gt;=BF$2, $K125/time_cap/(time+1)*BE$2, 0) = 0, $K125/(time_cap),0)),0)</f>
        <v/>
      </c>
      <c r="BF125" s="4395">
        <f>IFERROR(IF((time+time_cap)&lt;BF$2, 0,IF(AND(time+1&gt;=BG$2, $E125&lt;BG$2), IF($I125= "I", $J125/($F125-$E125+1), $J125/(($F125*($F125+1)/2)-(($E125-1)*($E125-1+1)/2))*BF$2), 0)+IF(IF(time+1&gt;=BG$2, $K125/time_cap/(time+1)*BF$2, 0) = 0, $K125/(time_cap),0)),0)</f>
        <v/>
      </c>
      <c r="BG125" s="4395">
        <f>IFERROR(IF((time+time_cap)&lt;BG$2, 0,IF(AND(time+1&gt;=BH$2, $E125&lt;BH$2), IF($I125= "I", $J125/($F125-$E125+1), $J125/(($F125*($F125+1)/2)-(($E125-1)*($E125-1+1)/2))*BG$2), 0)+IF(IF(time+1&gt;=BH$2, $K125/time_cap/(time+1)*BG$2, 0) = 0, $K125/(time_cap),0)),0)</f>
        <v/>
      </c>
      <c r="BH125" s="4395">
        <f>IFERROR(IF((time+time_cap)&lt;BH$2, 0,IF(AND(time+1&gt;=BI$2, $E125&lt;BI$2), IF($I125= "I", $J125/($F125-$E125+1), $J125/(($F125*($F125+1)/2)-(($E125-1)*($E125-1+1)/2))*BH$2), 0)+IF(IF(time+1&gt;=BI$2, $K125/time_cap/(time+1)*BH$2, 0) = 0, $K125/(time_cap),0)),0)</f>
        <v/>
      </c>
      <c r="BI125" s="4395">
        <f>IFERROR(IF((time+time_cap)&lt;BI$2, 0,IF(AND(time+1&gt;=BJ$2, $E125&lt;BJ$2), IF($I125= "I", $J125/($F125-$E125+1), $J125/(($F125*($F125+1)/2)-(($E125-1)*($E125-1+1)/2))*BI$2), 0)+IF(IF(time+1&gt;=BJ$2, $K125/time_cap/(time+1)*BI$2, 0) = 0, $K125/(time_cap),0)),0)</f>
        <v/>
      </c>
      <c r="BJ125" s="4395">
        <f>IFERROR(IF((time+time_cap)&lt;BJ$2, 0,IF(AND(time+1&gt;=BK$2, $E125&lt;BK$2), IF($I125= "I", $J125/($F125-$E125+1), $J125/(($F125*($F125+1)/2)-(($E125-1)*($E125-1+1)/2))*BJ$2), 0)+IF(IF(time+1&gt;=BK$2, $K125/time_cap/(time+1)*BJ$2, 0) = 0, $K125/(time_cap),0)),0)</f>
        <v/>
      </c>
      <c r="BK125" s="4395" t="n"/>
      <c r="BL125" s="4395" t="n"/>
      <c r="BM125" s="4395" t="n"/>
      <c r="BN125" s="4395" t="n"/>
      <c r="BO125" s="4395" t="n"/>
      <c r="BP125" s="4395" t="n"/>
      <c r="BQ125" s="4395" t="n"/>
      <c r="BR125" s="4395" t="n"/>
      <c r="BS125" s="4395" t="n"/>
      <c r="BT125" s="4395" t="n"/>
      <c r="BU125" s="4395" t="n"/>
      <c r="BV125" s="4395" t="n"/>
      <c r="BW125" s="4395" t="n"/>
      <c r="BX125" s="4395" t="n"/>
      <c r="BY125" s="4395" t="n"/>
      <c r="BZ125" s="4395" t="n"/>
      <c r="CA125" s="4395" t="n"/>
      <c r="CB125" s="4395" t="n"/>
      <c r="CC125" s="4395" t="n"/>
      <c r="CD125" s="4395" t="n"/>
      <c r="CE125" s="4395" t="n"/>
      <c r="CF125" s="4395" t="n"/>
      <c r="CG125" s="4395" t="n"/>
      <c r="CH125" s="4395" t="n"/>
      <c r="CI125" s="4395" t="n"/>
      <c r="CJ125" s="4395" t="n"/>
      <c r="CK125" s="4395" t="n"/>
      <c r="CL125" s="4395" t="n"/>
      <c r="CM125" s="4395" t="n"/>
      <c r="CN125" s="4395" t="n"/>
      <c r="CO125" s="4395" t="n"/>
      <c r="CP125" s="4395" t="n"/>
      <c r="CQ125" s="4395" t="n"/>
      <c r="CR125" s="4395" t="n"/>
      <c r="CS125" s="4395" t="n"/>
      <c r="CT125" s="4395" t="n"/>
      <c r="CU125" s="4395" t="n"/>
      <c r="CV125" s="4395" t="n"/>
      <c r="CW125" s="4395" t="n"/>
      <c r="CX125" s="4395" t="n"/>
      <c r="CY125" s="4395" t="n"/>
      <c r="CZ125" s="4395" t="n"/>
      <c r="DA125" s="4395" t="n"/>
      <c r="DB125" s="4395" t="n"/>
      <c r="DC125" s="4395" t="n"/>
      <c r="DD125" s="4395" t="n"/>
      <c r="DE125" s="4395" t="n"/>
      <c r="DF125" s="4395" t="n"/>
      <c r="DG125" s="4395" t="n"/>
      <c r="DH125" s="4395" t="n"/>
    </row>
    <row r="126" ht="16" customHeight="1">
      <c r="A126" t="inlineStr">
        <is>
          <t>Inland wetlands - A/R</t>
        </is>
      </c>
      <c r="C126">
        <f>'6.Inland wetlands'!C48</f>
        <v/>
      </c>
      <c r="D126">
        <f>'6.Inland wetlands'!AG48+'6.Inland wetlands'!AG60</f>
        <v/>
      </c>
      <c r="E126">
        <f>IF('6.Inland wetlands'!BS49&lt;&gt;0,'6.Inland wetlands'!BS49,'6.Inland wetlands'!BR49)</f>
        <v/>
      </c>
      <c r="F126">
        <f>time</f>
        <v/>
      </c>
      <c r="G126" s="4395">
        <f>'6.Inland wetlands'!O48</f>
        <v/>
      </c>
      <c r="H126" s="4395">
        <f>'6.Inland wetlands'!Q48</f>
        <v/>
      </c>
      <c r="I126" s="4395">
        <f>IF(OR(H126="I", G126="I"), "I", IF(OR(H126="E", G126="E"), "E", "D"))</f>
        <v/>
      </c>
      <c r="J126" s="4395">
        <f>((D126/(time_cap+((F126-E126+1)*VLOOKUP(I126,list!$I$48:$K$50,3, FALSE))))*(F126-E126+1)*VLOOKUP(I126,list!$I$48:$K$50,3, FALSE))</f>
        <v/>
      </c>
      <c r="K126" s="4395">
        <f>((D126/(time_cap+((F126-E126+1)*VLOOKUP(I126,list!$I$48:$K$50,3, FALSE))))*time_cap)</f>
        <v/>
      </c>
      <c r="M126" s="4395">
        <f>IFERROR(IF((time+time_cap)&lt;M$2, 0,IF(AND(time+1&gt;=N$2, $E126&lt;N$2), IF($I126= "I", $J126/($F126-$E126+1), $J126/(($F126*($F126+1)/2)-(($E126-1)*($E126-1+1)/2))*M$2), 0)+IF(IF(time+1&gt;=N$2, $K126/time_cap/(time+1)*M$2, 0) = 0, $K126/(time_cap),0)),0)</f>
        <v/>
      </c>
      <c r="N126" s="4395">
        <f>IFERROR(IF((time+time_cap)&lt;N$2, 0,IF(AND(time+1&gt;=O$2, $E126&lt;O$2), IF($I126= "I", $J126/($F126-$E126+1), $J126/(($F126*($F126+1)/2)-(($E126-1)*($E126-1+1)/2))*N$2), 0)+IF(IF(time+1&gt;=O$2, $K126/time_cap/(time+1)*N$2, 0) = 0, $K126/(time_cap),0)),0)</f>
        <v/>
      </c>
      <c r="O126" s="4395">
        <f>IFERROR(IF((time+time_cap)&lt;O$2, 0,IF(AND(time+1&gt;=P$2, $E126&lt;P$2), IF($I126= "I", $J126/($F126-$E126+1), $J126/(($F126*($F126+1)/2)-(($E126-1)*($E126-1+1)/2))*O$2), 0)+IF(IF(time+1&gt;=P$2, $K126/time_cap/(time+1)*O$2, 0) = 0, $K126/(time_cap),0)),0)</f>
        <v/>
      </c>
      <c r="P126" s="4395">
        <f>IFERROR(IF((time+time_cap)&lt;P$2, 0,IF(AND(time+1&gt;=Q$2, $E126&lt;Q$2), IF($I126= "I", $J126/($F126-$E126+1), $J126/(($F126*($F126+1)/2)-(($E126-1)*($E126-1+1)/2))*P$2), 0)+IF(IF(time+1&gt;=Q$2, $K126/time_cap/(time+1)*P$2, 0) = 0, $K126/(time_cap),0)),0)</f>
        <v/>
      </c>
      <c r="Q126" s="4395">
        <f>IFERROR(IF((time+time_cap)&lt;Q$2, 0,IF(AND(time+1&gt;=R$2, $E126&lt;R$2), IF($I126= "I", $J126/($F126-$E126+1), $J126/(($F126*($F126+1)/2)-(($E126-1)*($E126-1+1)/2))*Q$2), 0)+IF(IF(time+1&gt;=R$2, $K126/time_cap/(time+1)*Q$2, 0) = 0, $K126/(time_cap),0)),0)</f>
        <v/>
      </c>
      <c r="R126" s="4395">
        <f>IFERROR(IF((time+time_cap)&lt;R$2, 0,IF(AND(time+1&gt;=S$2, $E126&lt;S$2), IF($I126= "I", $J126/($F126-$E126+1), $J126/(($F126*($F126+1)/2)-(($E126-1)*($E126-1+1)/2))*R$2), 0)+IF(IF(time+1&gt;=S$2, $K126/time_cap/(time+1)*R$2, 0) = 0, $K126/(time_cap),0)),0)</f>
        <v/>
      </c>
      <c r="S126" s="4395">
        <f>IFERROR(IF((time+time_cap)&lt;S$2, 0,IF(AND(time+1&gt;=T$2, $E126&lt;T$2), IF($I126= "I", $J126/($F126-$E126+1), $J126/(($F126*($F126+1)/2)-(($E126-1)*($E126-1+1)/2))*S$2), 0)+IF(IF(time+1&gt;=T$2, $K126/time_cap/(time+1)*S$2, 0) = 0, $K126/(time_cap),0)),0)</f>
        <v/>
      </c>
      <c r="T126" s="4395">
        <f>IFERROR(IF((time+time_cap)&lt;T$2, 0,IF(AND(time+1&gt;=U$2, $E126&lt;U$2), IF($I126= "I", $J126/($F126-$E126+1), $J126/(($F126*($F126+1)/2)-(($E126-1)*($E126-1+1)/2))*T$2), 0)+IF(IF(time+1&gt;=U$2, $K126/time_cap/(time+1)*T$2, 0) = 0, $K126/(time_cap),0)),0)</f>
        <v/>
      </c>
      <c r="U126" s="4395">
        <f>IFERROR(IF((time+time_cap)&lt;U$2, 0,IF(AND(time+1&gt;=V$2, $E126&lt;V$2), IF($I126= "I", $J126/($F126-$E126+1), $J126/(($F126*($F126+1)/2)-(($E126-1)*($E126-1+1)/2))*U$2), 0)+IF(IF(time+1&gt;=V$2, $K126/time_cap/(time+1)*U$2, 0) = 0, $K126/(time_cap),0)),0)</f>
        <v/>
      </c>
      <c r="V126" s="4395">
        <f>IFERROR(IF((time+time_cap)&lt;V$2, 0,IF(AND(time+1&gt;=W$2, $E126&lt;W$2), IF($I126= "I", $J126/($F126-$E126+1), $J126/(($F126*($F126+1)/2)-(($E126-1)*($E126-1+1)/2))*V$2), 0)+IF(IF(time+1&gt;=W$2, $K126/time_cap/(time+1)*V$2, 0) = 0, $K126/(time_cap),0)),0)</f>
        <v/>
      </c>
      <c r="W126" s="4395">
        <f>IFERROR(IF((time+time_cap)&lt;W$2, 0,IF(AND(time+1&gt;=X$2, $E126&lt;X$2), IF($I126= "I", $J126/($F126-$E126+1), $J126/(($F126*($F126+1)/2)-(($E126-1)*($E126-1+1)/2))*W$2), 0)+IF(IF(time+1&gt;=X$2, $K126/time_cap/(time+1)*W$2, 0) = 0, $K126/(time_cap),0)),0)</f>
        <v/>
      </c>
      <c r="X126" s="4395">
        <f>IFERROR(IF((time+time_cap)&lt;X$2, 0,IF(AND(time+1&gt;=Y$2, $E126&lt;Y$2), IF($I126= "I", $J126/($F126-$E126+1), $J126/(($F126*($F126+1)/2)-(($E126-1)*($E126-1+1)/2))*X$2), 0)+IF(IF(time+1&gt;=Y$2, $K126/time_cap/(time+1)*X$2, 0) = 0, $K126/(time_cap),0)),0)</f>
        <v/>
      </c>
      <c r="Y126" s="4395">
        <f>IFERROR(IF((time+time_cap)&lt;Y$2, 0,IF(AND(time+1&gt;=Z$2, $E126&lt;Z$2), IF($I126= "I", $J126/($F126-$E126+1), $J126/(($F126*($F126+1)/2)-(($E126-1)*($E126-1+1)/2))*Y$2), 0)+IF(IF(time+1&gt;=Z$2, $K126/time_cap/(time+1)*Y$2, 0) = 0, $K126/(time_cap),0)),0)</f>
        <v/>
      </c>
      <c r="Z126" s="4395">
        <f>IFERROR(IF((time+time_cap)&lt;Z$2, 0,IF(AND(time+1&gt;=AA$2, $E126&lt;AA$2), IF($I126= "I", $J126/($F126-$E126+1), $J126/(($F126*($F126+1)/2)-(($E126-1)*($E126-1+1)/2))*Z$2), 0)+IF(IF(time+1&gt;=AA$2, $K126/time_cap/(time+1)*Z$2, 0) = 0, $K126/(time_cap),0)),0)</f>
        <v/>
      </c>
      <c r="AA126" s="4395">
        <f>IFERROR(IF((time+time_cap)&lt;AA$2, 0,IF(AND(time+1&gt;=AB$2, $E126&lt;AB$2), IF($I126= "I", $J126/($F126-$E126+1), $J126/(($F126*($F126+1)/2)-(($E126-1)*($E126-1+1)/2))*AA$2), 0)+IF(IF(time+1&gt;=AB$2, $K126/time_cap/(time+1)*AA$2, 0) = 0, $K126/(time_cap),0)),0)</f>
        <v/>
      </c>
      <c r="AB126" s="4395">
        <f>IFERROR(IF((time+time_cap)&lt;AB$2, 0,IF(AND(time+1&gt;=AC$2, $E126&lt;AC$2), IF($I126= "I", $J126/($F126-$E126+1), $J126/(($F126*($F126+1)/2)-(($E126-1)*($E126-1+1)/2))*AB$2), 0)+IF(IF(time+1&gt;=AC$2, $K126/time_cap/(time+1)*AB$2, 0) = 0, $K126/(time_cap),0)),0)</f>
        <v/>
      </c>
      <c r="AC126" s="4395">
        <f>IFERROR(IF((time+time_cap)&lt;AC$2, 0,IF(AND(time+1&gt;=AD$2, $E126&lt;AD$2), IF($I126= "I", $J126/($F126-$E126+1), $J126/(($F126*($F126+1)/2)-(($E126-1)*($E126-1+1)/2))*AC$2), 0)+IF(IF(time+1&gt;=AD$2, $K126/time_cap/(time+1)*AC$2, 0) = 0, $K126/(time_cap),0)),0)</f>
        <v/>
      </c>
      <c r="AD126" s="4395">
        <f>IFERROR(IF((time+time_cap)&lt;AD$2, 0,IF(AND(time+1&gt;=AE$2, $E126&lt;AE$2), IF($I126= "I", $J126/($F126-$E126+1), $J126/(($F126*($F126+1)/2)-(($E126-1)*($E126-1+1)/2))*AD$2), 0)+IF(IF(time+1&gt;=AE$2, $K126/time_cap/(time+1)*AD$2, 0) = 0, $K126/(time_cap),0)),0)</f>
        <v/>
      </c>
      <c r="AE126" s="4395">
        <f>IFERROR(IF((time+time_cap)&lt;AE$2, 0,IF(AND(time+1&gt;=AF$2, $E126&lt;AF$2), IF($I126= "I", $J126/($F126-$E126+1), $J126/(($F126*($F126+1)/2)-(($E126-1)*($E126-1+1)/2))*AE$2), 0)+IF(IF(time+1&gt;=AF$2, $K126/time_cap/(time+1)*AE$2, 0) = 0, $K126/(time_cap),0)),0)</f>
        <v/>
      </c>
      <c r="AF126" s="4395">
        <f>IFERROR(IF((time+time_cap)&lt;AF$2, 0,IF(AND(time+1&gt;=AG$2, $E126&lt;AG$2), IF($I126= "I", $J126/($F126-$E126+1), $J126/(($F126*($F126+1)/2)-(($E126-1)*($E126-1+1)/2))*AF$2), 0)+IF(IF(time+1&gt;=AG$2, $K126/time_cap/(time+1)*AF$2, 0) = 0, $K126/(time_cap),0)),0)</f>
        <v/>
      </c>
      <c r="AG126" s="4395">
        <f>IFERROR(IF((time+time_cap)&lt;AG$2, 0,IF(AND(time+1&gt;=AH$2, $E126&lt;AH$2), IF($I126= "I", $J126/($F126-$E126+1), $J126/(($F126*($F126+1)/2)-(($E126-1)*($E126-1+1)/2))*AG$2), 0)+IF(IF(time+1&gt;=AH$2, $K126/time_cap/(time+1)*AG$2, 0) = 0, $K126/(time_cap),0)),0)</f>
        <v/>
      </c>
      <c r="AH126" s="4395">
        <f>IFERROR(IF((time+time_cap)&lt;AH$2, 0,IF(AND(time+1&gt;=AI$2, $E126&lt;AI$2), IF($I126= "I", $J126/($F126-$E126+1), $J126/(($F126*($F126+1)/2)-(($E126-1)*($E126-1+1)/2))*AH$2), 0)+IF(IF(time+1&gt;=AI$2, $K126/time_cap/(time+1)*AH$2, 0) = 0, $K126/(time_cap),0)),0)</f>
        <v/>
      </c>
      <c r="AI126" s="4395">
        <f>IFERROR(IF((time+time_cap)&lt;AI$2, 0,IF(AND(time+1&gt;=AJ$2, $E126&lt;AJ$2), IF($I126= "I", $J126/($F126-$E126+1), $J126/(($F126*($F126+1)/2)-(($E126-1)*($E126-1+1)/2))*AI$2), 0)+IF(IF(time+1&gt;=AJ$2, $K126/time_cap/(time+1)*AI$2, 0) = 0, $K126/(time_cap),0)),0)</f>
        <v/>
      </c>
      <c r="AJ126" s="4395">
        <f>IFERROR(IF((time+time_cap)&lt;AJ$2, 0,IF(AND(time+1&gt;=AK$2, $E126&lt;AK$2), IF($I126= "I", $J126/($F126-$E126+1), $J126/(($F126*($F126+1)/2)-(($E126-1)*($E126-1+1)/2))*AJ$2), 0)+IF(IF(time+1&gt;=AK$2, $K126/time_cap/(time+1)*AJ$2, 0) = 0, $K126/(time_cap),0)),0)</f>
        <v/>
      </c>
      <c r="AK126" s="4395">
        <f>IFERROR(IF((time+time_cap)&lt;AK$2, 0,IF(AND(time+1&gt;=AL$2, $E126&lt;AL$2), IF($I126= "I", $J126/($F126-$E126+1), $J126/(($F126*($F126+1)/2)-(($E126-1)*($E126-1+1)/2))*AK$2), 0)+IF(IF(time+1&gt;=AL$2, $K126/time_cap/(time+1)*AK$2, 0) = 0, $K126/(time_cap),0)),0)</f>
        <v/>
      </c>
      <c r="AL126" s="4395">
        <f>IFERROR(IF((time+time_cap)&lt;AL$2, 0,IF(AND(time+1&gt;=AM$2, $E126&lt;AM$2), IF($I126= "I", $J126/($F126-$E126+1), $J126/(($F126*($F126+1)/2)-(($E126-1)*($E126-1+1)/2))*AL$2), 0)+IF(IF(time+1&gt;=AM$2, $K126/time_cap/(time+1)*AL$2, 0) = 0, $K126/(time_cap),0)),0)</f>
        <v/>
      </c>
      <c r="AM126" s="4395">
        <f>IFERROR(IF((time+time_cap)&lt;AM$2, 0,IF(AND(time+1&gt;=AN$2, $E126&lt;AN$2), IF($I126= "I", $J126/($F126-$E126+1), $J126/(($F126*($F126+1)/2)-(($E126-1)*($E126-1+1)/2))*AM$2), 0)+IF(IF(time+1&gt;=AN$2, $K126/time_cap/(time+1)*AM$2, 0) = 0, $K126/(time_cap),0)),0)</f>
        <v/>
      </c>
      <c r="AN126" s="4395">
        <f>IFERROR(IF((time+time_cap)&lt;AN$2, 0,IF(AND(time+1&gt;=AO$2, $E126&lt;AO$2), IF($I126= "I", $J126/($F126-$E126+1), $J126/(($F126*($F126+1)/2)-(($E126-1)*($E126-1+1)/2))*AN$2), 0)+IF(IF(time+1&gt;=AO$2, $K126/time_cap/(time+1)*AN$2, 0) = 0, $K126/(time_cap),0)),0)</f>
        <v/>
      </c>
      <c r="AO126" s="4395">
        <f>IFERROR(IF((time+time_cap)&lt;AO$2, 0,IF(AND(time+1&gt;=AP$2, $E126&lt;AP$2), IF($I126= "I", $J126/($F126-$E126+1), $J126/(($F126*($F126+1)/2)-(($E126-1)*($E126-1+1)/2))*AO$2), 0)+IF(IF(time+1&gt;=AP$2, $K126/time_cap/(time+1)*AO$2, 0) = 0, $K126/(time_cap),0)),0)</f>
        <v/>
      </c>
      <c r="AP126" s="4395">
        <f>IFERROR(IF((time+time_cap)&lt;AP$2, 0,IF(AND(time+1&gt;=AQ$2, $E126&lt;AQ$2), IF($I126= "I", $J126/($F126-$E126+1), $J126/(($F126*($F126+1)/2)-(($E126-1)*($E126-1+1)/2))*AP$2), 0)+IF(IF(time+1&gt;=AQ$2, $K126/time_cap/(time+1)*AP$2, 0) = 0, $K126/(time_cap),0)),0)</f>
        <v/>
      </c>
      <c r="AQ126" s="4395">
        <f>IFERROR(IF((time+time_cap)&lt;AQ$2, 0,IF(AND(time+1&gt;=AR$2, $E126&lt;AR$2), IF($I126= "I", $J126/($F126-$E126+1), $J126/(($F126*($F126+1)/2)-(($E126-1)*($E126-1+1)/2))*AQ$2), 0)+IF(IF(time+1&gt;=AR$2, $K126/time_cap/(time+1)*AQ$2, 0) = 0, $K126/(time_cap),0)),0)</f>
        <v/>
      </c>
      <c r="AR126" s="4395">
        <f>IFERROR(IF((time+time_cap)&lt;AR$2, 0,IF(AND(time+1&gt;=AS$2, $E126&lt;AS$2), IF($I126= "I", $J126/($F126-$E126+1), $J126/(($F126*($F126+1)/2)-(($E126-1)*($E126-1+1)/2))*AR$2), 0)+IF(IF(time+1&gt;=AS$2, $K126/time_cap/(time+1)*AR$2, 0) = 0, $K126/(time_cap),0)),0)</f>
        <v/>
      </c>
      <c r="AS126" s="4395">
        <f>IFERROR(IF((time+time_cap)&lt;AS$2, 0,IF(AND(time+1&gt;=AT$2, $E126&lt;AT$2), IF($I126= "I", $J126/($F126-$E126+1), $J126/(($F126*($F126+1)/2)-(($E126-1)*($E126-1+1)/2))*AS$2), 0)+IF(IF(time+1&gt;=AT$2, $K126/time_cap/(time+1)*AS$2, 0) = 0, $K126/(time_cap),0)),0)</f>
        <v/>
      </c>
      <c r="AT126" s="4395">
        <f>IFERROR(IF((time+time_cap)&lt;AT$2, 0,IF(AND(time+1&gt;=AU$2, $E126&lt;AU$2), IF($I126= "I", $J126/($F126-$E126+1), $J126/(($F126*($F126+1)/2)-(($E126-1)*($E126-1+1)/2))*AT$2), 0)+IF(IF(time+1&gt;=AU$2, $K126/time_cap/(time+1)*AT$2, 0) = 0, $K126/(time_cap),0)),0)</f>
        <v/>
      </c>
      <c r="AU126" s="4395">
        <f>IFERROR(IF((time+time_cap)&lt;AU$2, 0,IF(AND(time+1&gt;=AV$2, $E126&lt;AV$2), IF($I126= "I", $J126/($F126-$E126+1), $J126/(($F126*($F126+1)/2)-(($E126-1)*($E126-1+1)/2))*AU$2), 0)+IF(IF(time+1&gt;=AV$2, $K126/time_cap/(time+1)*AU$2, 0) = 0, $K126/(time_cap),0)),0)</f>
        <v/>
      </c>
      <c r="AV126" s="4395">
        <f>IFERROR(IF((time+time_cap)&lt;AV$2, 0,IF(AND(time+1&gt;=AW$2, $E126&lt;AW$2), IF($I126= "I", $J126/($F126-$E126+1), $J126/(($F126*($F126+1)/2)-(($E126-1)*($E126-1+1)/2))*AV$2), 0)+IF(IF(time+1&gt;=AW$2, $K126/time_cap/(time+1)*AV$2, 0) = 0, $K126/(time_cap),0)),0)</f>
        <v/>
      </c>
      <c r="AW126" s="4395">
        <f>IFERROR(IF((time+time_cap)&lt;AW$2, 0,IF(AND(time+1&gt;=AX$2, $E126&lt;AX$2), IF($I126= "I", $J126/($F126-$E126+1), $J126/(($F126*($F126+1)/2)-(($E126-1)*($E126-1+1)/2))*AW$2), 0)+IF(IF(time+1&gt;=AX$2, $K126/time_cap/(time+1)*AW$2, 0) = 0, $K126/(time_cap),0)),0)</f>
        <v/>
      </c>
      <c r="AX126" s="4395">
        <f>IFERROR(IF((time+time_cap)&lt;AX$2, 0,IF(AND(time+1&gt;=AY$2, $E126&lt;AY$2), IF($I126= "I", $J126/($F126-$E126+1), $J126/(($F126*($F126+1)/2)-(($E126-1)*($E126-1+1)/2))*AX$2), 0)+IF(IF(time+1&gt;=AY$2, $K126/time_cap/(time+1)*AX$2, 0) = 0, $K126/(time_cap),0)),0)</f>
        <v/>
      </c>
      <c r="AY126" s="4395">
        <f>IFERROR(IF((time+time_cap)&lt;AY$2, 0,IF(AND(time+1&gt;=AZ$2, $E126&lt;AZ$2), IF($I126= "I", $J126/($F126-$E126+1), $J126/(($F126*($F126+1)/2)-(($E126-1)*($E126-1+1)/2))*AY$2), 0)+IF(IF(time+1&gt;=AZ$2, $K126/time_cap/(time+1)*AY$2, 0) = 0, $K126/(time_cap),0)),0)</f>
        <v/>
      </c>
      <c r="AZ126" s="4395">
        <f>IFERROR(IF((time+time_cap)&lt;AZ$2, 0,IF(AND(time+1&gt;=BA$2, $E126&lt;BA$2), IF($I126= "I", $J126/($F126-$E126+1), $J126/(($F126*($F126+1)/2)-(($E126-1)*($E126-1+1)/2))*AZ$2), 0)+IF(IF(time+1&gt;=BA$2, $K126/time_cap/(time+1)*AZ$2, 0) = 0, $K126/(time_cap),0)),0)</f>
        <v/>
      </c>
      <c r="BA126" s="4395">
        <f>IFERROR(IF((time+time_cap)&lt;BA$2, 0,IF(AND(time+1&gt;=BB$2, $E126&lt;BB$2), IF($I126= "I", $J126/($F126-$E126+1), $J126/(($F126*($F126+1)/2)-(($E126-1)*($E126-1+1)/2))*BA$2), 0)+IF(IF(time+1&gt;=BB$2, $K126/time_cap/(time+1)*BA$2, 0) = 0, $K126/(time_cap),0)),0)</f>
        <v/>
      </c>
      <c r="BB126" s="4395">
        <f>IFERROR(IF((time+time_cap)&lt;BB$2, 0,IF(AND(time+1&gt;=BC$2, $E126&lt;BC$2), IF($I126= "I", $J126/($F126-$E126+1), $J126/(($F126*($F126+1)/2)-(($E126-1)*($E126-1+1)/2))*BB$2), 0)+IF(IF(time+1&gt;=BC$2, $K126/time_cap/(time+1)*BB$2, 0) = 0, $K126/(time_cap),0)),0)</f>
        <v/>
      </c>
      <c r="BC126" s="4395">
        <f>IFERROR(IF((time+time_cap)&lt;BC$2, 0,IF(AND(time+1&gt;=BD$2, $E126&lt;BD$2), IF($I126= "I", $J126/($F126-$E126+1), $J126/(($F126*($F126+1)/2)-(($E126-1)*($E126-1+1)/2))*BC$2), 0)+IF(IF(time+1&gt;=BD$2, $K126/time_cap/(time+1)*BC$2, 0) = 0, $K126/(time_cap),0)),0)</f>
        <v/>
      </c>
      <c r="BD126" s="4395">
        <f>IFERROR(IF((time+time_cap)&lt;BD$2, 0,IF(AND(time+1&gt;=BE$2, $E126&lt;BE$2), IF($I126= "I", $J126/($F126-$E126+1), $J126/(($F126*($F126+1)/2)-(($E126-1)*($E126-1+1)/2))*BD$2), 0)+IF(IF(time+1&gt;=BE$2, $K126/time_cap/(time+1)*BD$2, 0) = 0, $K126/(time_cap),0)),0)</f>
        <v/>
      </c>
      <c r="BE126" s="4395">
        <f>IFERROR(IF((time+time_cap)&lt;BE$2, 0,IF(AND(time+1&gt;=BF$2, $E126&lt;BF$2), IF($I126= "I", $J126/($F126-$E126+1), $J126/(($F126*($F126+1)/2)-(($E126-1)*($E126-1+1)/2))*BE$2), 0)+IF(IF(time+1&gt;=BF$2, $K126/time_cap/(time+1)*BE$2, 0) = 0, $K126/(time_cap),0)),0)</f>
        <v/>
      </c>
      <c r="BF126" s="4395">
        <f>IFERROR(IF((time+time_cap)&lt;BF$2, 0,IF(AND(time+1&gt;=BG$2, $E126&lt;BG$2), IF($I126= "I", $J126/($F126-$E126+1), $J126/(($F126*($F126+1)/2)-(($E126-1)*($E126-1+1)/2))*BF$2), 0)+IF(IF(time+1&gt;=BG$2, $K126/time_cap/(time+1)*BF$2, 0) = 0, $K126/(time_cap),0)),0)</f>
        <v/>
      </c>
      <c r="BG126" s="4395">
        <f>IFERROR(IF((time+time_cap)&lt;BG$2, 0,IF(AND(time+1&gt;=BH$2, $E126&lt;BH$2), IF($I126= "I", $J126/($F126-$E126+1), $J126/(($F126*($F126+1)/2)-(($E126-1)*($E126-1+1)/2))*BG$2), 0)+IF(IF(time+1&gt;=BH$2, $K126/time_cap/(time+1)*BG$2, 0) = 0, $K126/(time_cap),0)),0)</f>
        <v/>
      </c>
      <c r="BH126" s="4395">
        <f>IFERROR(IF((time+time_cap)&lt;BH$2, 0,IF(AND(time+1&gt;=BI$2, $E126&lt;BI$2), IF($I126= "I", $J126/($F126-$E126+1), $J126/(($F126*($F126+1)/2)-(($E126-1)*($E126-1+1)/2))*BH$2), 0)+IF(IF(time+1&gt;=BI$2, $K126/time_cap/(time+1)*BH$2, 0) = 0, $K126/(time_cap),0)),0)</f>
        <v/>
      </c>
      <c r="BI126" s="4395">
        <f>IFERROR(IF((time+time_cap)&lt;BI$2, 0,IF(AND(time+1&gt;=BJ$2, $E126&lt;BJ$2), IF($I126= "I", $J126/($F126-$E126+1), $J126/(($F126*($F126+1)/2)-(($E126-1)*($E126-1+1)/2))*BI$2), 0)+IF(IF(time+1&gt;=BJ$2, $K126/time_cap/(time+1)*BI$2, 0) = 0, $K126/(time_cap),0)),0)</f>
        <v/>
      </c>
      <c r="BJ126" s="4395">
        <f>IFERROR(IF((time+time_cap)&lt;BJ$2, 0,IF(AND(time+1&gt;=BK$2, $E126&lt;BK$2), IF($I126= "I", $J126/($F126-$E126+1), $J126/(($F126*($F126+1)/2)-(($E126-1)*($E126-1+1)/2))*BJ$2), 0)+IF(IF(time+1&gt;=BK$2, $K126/time_cap/(time+1)*BJ$2, 0) = 0, $K126/(time_cap),0)),0)</f>
        <v/>
      </c>
      <c r="BK126" s="4395" t="n"/>
      <c r="BL126" s="4395" t="n"/>
      <c r="BM126" s="4395" t="n"/>
      <c r="BN126" s="4395" t="n"/>
      <c r="BO126" s="4395" t="n"/>
      <c r="BP126" s="4395" t="n"/>
      <c r="BQ126" s="4395" t="n"/>
      <c r="BR126" s="4395" t="n"/>
      <c r="BS126" s="4395" t="n"/>
      <c r="BT126" s="4395" t="n"/>
      <c r="BU126" s="4395" t="n"/>
      <c r="BV126" s="4395" t="n"/>
      <c r="BW126" s="4395" t="n"/>
      <c r="BX126" s="4395" t="n"/>
      <c r="BY126" s="4395" t="n"/>
      <c r="BZ126" s="4395" t="n"/>
      <c r="CA126" s="4395" t="n"/>
      <c r="CB126" s="4395" t="n"/>
      <c r="CC126" s="4395" t="n"/>
      <c r="CD126" s="4395" t="n"/>
      <c r="CE126" s="4395" t="n"/>
      <c r="CF126" s="4395" t="n"/>
      <c r="CG126" s="4395" t="n"/>
      <c r="CH126" s="4395" t="n"/>
      <c r="CI126" s="4395" t="n"/>
      <c r="CJ126" s="4395" t="n"/>
      <c r="CK126" s="4395" t="n"/>
      <c r="CL126" s="4395" t="n"/>
      <c r="CM126" s="4395" t="n"/>
      <c r="CN126" s="4395" t="n"/>
      <c r="CO126" s="4395" t="n"/>
      <c r="CP126" s="4395" t="n"/>
      <c r="CQ126" s="4395" t="n"/>
      <c r="CR126" s="4395" t="n"/>
      <c r="CS126" s="4395" t="n"/>
      <c r="CT126" s="4395" t="n"/>
      <c r="CU126" s="4395" t="n"/>
      <c r="CV126" s="4395" t="n"/>
      <c r="CW126" s="4395" t="n"/>
      <c r="CX126" s="4395" t="n"/>
      <c r="CY126" s="4395" t="n"/>
      <c r="CZ126" s="4395" t="n"/>
      <c r="DA126" s="4395" t="n"/>
      <c r="DB126" s="4395" t="n"/>
      <c r="DC126" s="4395" t="n"/>
      <c r="DD126" s="4395" t="n"/>
      <c r="DE126" s="4395" t="n"/>
      <c r="DF126" s="4395" t="n"/>
      <c r="DG126" s="4395" t="n"/>
      <c r="DH126" s="4395" t="n"/>
    </row>
    <row r="127" ht="16" customHeight="1">
      <c r="A127" t="inlineStr">
        <is>
          <t>Inland wetlands - A/R</t>
        </is>
      </c>
      <c r="C127">
        <f>'6.Inland wetlands'!C49</f>
        <v/>
      </c>
      <c r="D127">
        <f>'6.Inland wetlands'!AG49+'6.Inland wetlands'!AG61</f>
        <v/>
      </c>
      <c r="E127">
        <f>IF('6.Inland wetlands'!BS50&lt;&gt;0,'6.Inland wetlands'!BS50,'6.Inland wetlands'!BR50)</f>
        <v/>
      </c>
      <c r="F127">
        <f>time</f>
        <v/>
      </c>
      <c r="G127" s="4395">
        <f>'6.Inland wetlands'!O49</f>
        <v/>
      </c>
      <c r="H127" s="4395">
        <f>'6.Inland wetlands'!Q49</f>
        <v/>
      </c>
      <c r="I127" s="4395">
        <f>IF(OR(H127="I", G127="I"), "I", IF(OR(H127="E", G127="E"), "E", "D"))</f>
        <v/>
      </c>
      <c r="J127" s="4395">
        <f>((D127/(time_cap+((F127-E127+1)*VLOOKUP(I127,list!$I$48:$K$50,3, FALSE))))*(F127-E127+1)*VLOOKUP(I127,list!$I$48:$K$50,3, FALSE))</f>
        <v/>
      </c>
      <c r="K127" s="4395">
        <f>((D127/(time_cap+((F127-E127+1)*VLOOKUP(I127,list!$I$48:$K$50,3, FALSE))))*time_cap)</f>
        <v/>
      </c>
      <c r="M127" s="4395">
        <f>IFERROR(IF((time+time_cap)&lt;M$2, 0,IF(AND(time+1&gt;=N$2, $E127&lt;N$2), IF($I127= "I", $J127/($F127-$E127+1), $J127/(($F127*($F127+1)/2)-(($E127-1)*($E127-1+1)/2))*M$2), 0)+IF(IF(time+1&gt;=N$2, $K127/time_cap/(time+1)*M$2, 0) = 0, $K127/(time_cap),0)),0)</f>
        <v/>
      </c>
      <c r="N127" s="4395">
        <f>IFERROR(IF((time+time_cap)&lt;N$2, 0,IF(AND(time+1&gt;=O$2, $E127&lt;O$2), IF($I127= "I", $J127/($F127-$E127+1), $J127/(($F127*($F127+1)/2)-(($E127-1)*($E127-1+1)/2))*N$2), 0)+IF(IF(time+1&gt;=O$2, $K127/time_cap/(time+1)*N$2, 0) = 0, $K127/(time_cap),0)),0)</f>
        <v/>
      </c>
      <c r="O127" s="4395">
        <f>IFERROR(IF((time+time_cap)&lt;O$2, 0,IF(AND(time+1&gt;=P$2, $E127&lt;P$2), IF($I127= "I", $J127/($F127-$E127+1), $J127/(($F127*($F127+1)/2)-(($E127-1)*($E127-1+1)/2))*O$2), 0)+IF(IF(time+1&gt;=P$2, $K127/time_cap/(time+1)*O$2, 0) = 0, $K127/(time_cap),0)),0)</f>
        <v/>
      </c>
      <c r="P127" s="4395">
        <f>IFERROR(IF((time+time_cap)&lt;P$2, 0,IF(AND(time+1&gt;=Q$2, $E127&lt;Q$2), IF($I127= "I", $J127/($F127-$E127+1), $J127/(($F127*($F127+1)/2)-(($E127-1)*($E127-1+1)/2))*P$2), 0)+IF(IF(time+1&gt;=Q$2, $K127/time_cap/(time+1)*P$2, 0) = 0, $K127/(time_cap),0)),0)</f>
        <v/>
      </c>
      <c r="Q127" s="4395">
        <f>IFERROR(IF((time+time_cap)&lt;Q$2, 0,IF(AND(time+1&gt;=R$2, $E127&lt;R$2), IF($I127= "I", $J127/($F127-$E127+1), $J127/(($F127*($F127+1)/2)-(($E127-1)*($E127-1+1)/2))*Q$2), 0)+IF(IF(time+1&gt;=R$2, $K127/time_cap/(time+1)*Q$2, 0) = 0, $K127/(time_cap),0)),0)</f>
        <v/>
      </c>
      <c r="R127" s="4395">
        <f>IFERROR(IF((time+time_cap)&lt;R$2, 0,IF(AND(time+1&gt;=S$2, $E127&lt;S$2), IF($I127= "I", $J127/($F127-$E127+1), $J127/(($F127*($F127+1)/2)-(($E127-1)*($E127-1+1)/2))*R$2), 0)+IF(IF(time+1&gt;=S$2, $K127/time_cap/(time+1)*R$2, 0) = 0, $K127/(time_cap),0)),0)</f>
        <v/>
      </c>
      <c r="S127" s="4395">
        <f>IFERROR(IF((time+time_cap)&lt;S$2, 0,IF(AND(time+1&gt;=T$2, $E127&lt;T$2), IF($I127= "I", $J127/($F127-$E127+1), $J127/(($F127*($F127+1)/2)-(($E127-1)*($E127-1+1)/2))*S$2), 0)+IF(IF(time+1&gt;=T$2, $K127/time_cap/(time+1)*S$2, 0) = 0, $K127/(time_cap),0)),0)</f>
        <v/>
      </c>
      <c r="T127" s="4395">
        <f>IFERROR(IF((time+time_cap)&lt;T$2, 0,IF(AND(time+1&gt;=U$2, $E127&lt;U$2), IF($I127= "I", $J127/($F127-$E127+1), $J127/(($F127*($F127+1)/2)-(($E127-1)*($E127-1+1)/2))*T$2), 0)+IF(IF(time+1&gt;=U$2, $K127/time_cap/(time+1)*T$2, 0) = 0, $K127/(time_cap),0)),0)</f>
        <v/>
      </c>
      <c r="U127" s="4395">
        <f>IFERROR(IF((time+time_cap)&lt;U$2, 0,IF(AND(time+1&gt;=V$2, $E127&lt;V$2), IF($I127= "I", $J127/($F127-$E127+1), $J127/(($F127*($F127+1)/2)-(($E127-1)*($E127-1+1)/2))*U$2), 0)+IF(IF(time+1&gt;=V$2, $K127/time_cap/(time+1)*U$2, 0) = 0, $K127/(time_cap),0)),0)</f>
        <v/>
      </c>
      <c r="V127" s="4395">
        <f>IFERROR(IF((time+time_cap)&lt;V$2, 0,IF(AND(time+1&gt;=W$2, $E127&lt;W$2), IF($I127= "I", $J127/($F127-$E127+1), $J127/(($F127*($F127+1)/2)-(($E127-1)*($E127-1+1)/2))*V$2), 0)+IF(IF(time+1&gt;=W$2, $K127/time_cap/(time+1)*V$2, 0) = 0, $K127/(time_cap),0)),0)</f>
        <v/>
      </c>
      <c r="W127" s="4395">
        <f>IFERROR(IF((time+time_cap)&lt;W$2, 0,IF(AND(time+1&gt;=X$2, $E127&lt;X$2), IF($I127= "I", $J127/($F127-$E127+1), $J127/(($F127*($F127+1)/2)-(($E127-1)*($E127-1+1)/2))*W$2), 0)+IF(IF(time+1&gt;=X$2, $K127/time_cap/(time+1)*W$2, 0) = 0, $K127/(time_cap),0)),0)</f>
        <v/>
      </c>
      <c r="X127" s="4395">
        <f>IFERROR(IF((time+time_cap)&lt;X$2, 0,IF(AND(time+1&gt;=Y$2, $E127&lt;Y$2), IF($I127= "I", $J127/($F127-$E127+1), $J127/(($F127*($F127+1)/2)-(($E127-1)*($E127-1+1)/2))*X$2), 0)+IF(IF(time+1&gt;=Y$2, $K127/time_cap/(time+1)*X$2, 0) = 0, $K127/(time_cap),0)),0)</f>
        <v/>
      </c>
      <c r="Y127" s="4395">
        <f>IFERROR(IF((time+time_cap)&lt;Y$2, 0,IF(AND(time+1&gt;=Z$2, $E127&lt;Z$2), IF($I127= "I", $J127/($F127-$E127+1), $J127/(($F127*($F127+1)/2)-(($E127-1)*($E127-1+1)/2))*Y$2), 0)+IF(IF(time+1&gt;=Z$2, $K127/time_cap/(time+1)*Y$2, 0) = 0, $K127/(time_cap),0)),0)</f>
        <v/>
      </c>
      <c r="Z127" s="4395">
        <f>IFERROR(IF((time+time_cap)&lt;Z$2, 0,IF(AND(time+1&gt;=AA$2, $E127&lt;AA$2), IF($I127= "I", $J127/($F127-$E127+1), $J127/(($F127*($F127+1)/2)-(($E127-1)*($E127-1+1)/2))*Z$2), 0)+IF(IF(time+1&gt;=AA$2, $K127/time_cap/(time+1)*Z$2, 0) = 0, $K127/(time_cap),0)),0)</f>
        <v/>
      </c>
      <c r="AA127" s="4395">
        <f>IFERROR(IF((time+time_cap)&lt;AA$2, 0,IF(AND(time+1&gt;=AB$2, $E127&lt;AB$2), IF($I127= "I", $J127/($F127-$E127+1), $J127/(($F127*($F127+1)/2)-(($E127-1)*($E127-1+1)/2))*AA$2), 0)+IF(IF(time+1&gt;=AB$2, $K127/time_cap/(time+1)*AA$2, 0) = 0, $K127/(time_cap),0)),0)</f>
        <v/>
      </c>
      <c r="AB127" s="4395">
        <f>IFERROR(IF((time+time_cap)&lt;AB$2, 0,IF(AND(time+1&gt;=AC$2, $E127&lt;AC$2), IF($I127= "I", $J127/($F127-$E127+1), $J127/(($F127*($F127+1)/2)-(($E127-1)*($E127-1+1)/2))*AB$2), 0)+IF(IF(time+1&gt;=AC$2, $K127/time_cap/(time+1)*AB$2, 0) = 0, $K127/(time_cap),0)),0)</f>
        <v/>
      </c>
      <c r="AC127" s="4395">
        <f>IFERROR(IF((time+time_cap)&lt;AC$2, 0,IF(AND(time+1&gt;=AD$2, $E127&lt;AD$2), IF($I127= "I", $J127/($F127-$E127+1), $J127/(($F127*($F127+1)/2)-(($E127-1)*($E127-1+1)/2))*AC$2), 0)+IF(IF(time+1&gt;=AD$2, $K127/time_cap/(time+1)*AC$2, 0) = 0, $K127/(time_cap),0)),0)</f>
        <v/>
      </c>
      <c r="AD127" s="4395">
        <f>IFERROR(IF((time+time_cap)&lt;AD$2, 0,IF(AND(time+1&gt;=AE$2, $E127&lt;AE$2), IF($I127= "I", $J127/($F127-$E127+1), $J127/(($F127*($F127+1)/2)-(($E127-1)*($E127-1+1)/2))*AD$2), 0)+IF(IF(time+1&gt;=AE$2, $K127/time_cap/(time+1)*AD$2, 0) = 0, $K127/(time_cap),0)),0)</f>
        <v/>
      </c>
      <c r="AE127" s="4395">
        <f>IFERROR(IF((time+time_cap)&lt;AE$2, 0,IF(AND(time+1&gt;=AF$2, $E127&lt;AF$2), IF($I127= "I", $J127/($F127-$E127+1), $J127/(($F127*($F127+1)/2)-(($E127-1)*($E127-1+1)/2))*AE$2), 0)+IF(IF(time+1&gt;=AF$2, $K127/time_cap/(time+1)*AE$2, 0) = 0, $K127/(time_cap),0)),0)</f>
        <v/>
      </c>
      <c r="AF127" s="4395">
        <f>IFERROR(IF((time+time_cap)&lt;AF$2, 0,IF(AND(time+1&gt;=AG$2, $E127&lt;AG$2), IF($I127= "I", $J127/($F127-$E127+1), $J127/(($F127*($F127+1)/2)-(($E127-1)*($E127-1+1)/2))*AF$2), 0)+IF(IF(time+1&gt;=AG$2, $K127/time_cap/(time+1)*AF$2, 0) = 0, $K127/(time_cap),0)),0)</f>
        <v/>
      </c>
      <c r="AG127" s="4395">
        <f>IFERROR(IF((time+time_cap)&lt;AG$2, 0,IF(AND(time+1&gt;=AH$2, $E127&lt;AH$2), IF($I127= "I", $J127/($F127-$E127+1), $J127/(($F127*($F127+1)/2)-(($E127-1)*($E127-1+1)/2))*AG$2), 0)+IF(IF(time+1&gt;=AH$2, $K127/time_cap/(time+1)*AG$2, 0) = 0, $K127/(time_cap),0)),0)</f>
        <v/>
      </c>
      <c r="AH127" s="4395">
        <f>IFERROR(IF((time+time_cap)&lt;AH$2, 0,IF(AND(time+1&gt;=AI$2, $E127&lt;AI$2), IF($I127= "I", $J127/($F127-$E127+1), $J127/(($F127*($F127+1)/2)-(($E127-1)*($E127-1+1)/2))*AH$2), 0)+IF(IF(time+1&gt;=AI$2, $K127/time_cap/(time+1)*AH$2, 0) = 0, $K127/(time_cap),0)),0)</f>
        <v/>
      </c>
      <c r="AI127" s="4395">
        <f>IFERROR(IF((time+time_cap)&lt;AI$2, 0,IF(AND(time+1&gt;=AJ$2, $E127&lt;AJ$2), IF($I127= "I", $J127/($F127-$E127+1), $J127/(($F127*($F127+1)/2)-(($E127-1)*($E127-1+1)/2))*AI$2), 0)+IF(IF(time+1&gt;=AJ$2, $K127/time_cap/(time+1)*AI$2, 0) = 0, $K127/(time_cap),0)),0)</f>
        <v/>
      </c>
      <c r="AJ127" s="4395">
        <f>IFERROR(IF((time+time_cap)&lt;AJ$2, 0,IF(AND(time+1&gt;=AK$2, $E127&lt;AK$2), IF($I127= "I", $J127/($F127-$E127+1), $J127/(($F127*($F127+1)/2)-(($E127-1)*($E127-1+1)/2))*AJ$2), 0)+IF(IF(time+1&gt;=AK$2, $K127/time_cap/(time+1)*AJ$2, 0) = 0, $K127/(time_cap),0)),0)</f>
        <v/>
      </c>
      <c r="AK127" s="4395">
        <f>IFERROR(IF((time+time_cap)&lt;AK$2, 0,IF(AND(time+1&gt;=AL$2, $E127&lt;AL$2), IF($I127= "I", $J127/($F127-$E127+1), $J127/(($F127*($F127+1)/2)-(($E127-1)*($E127-1+1)/2))*AK$2), 0)+IF(IF(time+1&gt;=AL$2, $K127/time_cap/(time+1)*AK$2, 0) = 0, $K127/(time_cap),0)),0)</f>
        <v/>
      </c>
      <c r="AL127" s="4395">
        <f>IFERROR(IF((time+time_cap)&lt;AL$2, 0,IF(AND(time+1&gt;=AM$2, $E127&lt;AM$2), IF($I127= "I", $J127/($F127-$E127+1), $J127/(($F127*($F127+1)/2)-(($E127-1)*($E127-1+1)/2))*AL$2), 0)+IF(IF(time+1&gt;=AM$2, $K127/time_cap/(time+1)*AL$2, 0) = 0, $K127/(time_cap),0)),0)</f>
        <v/>
      </c>
      <c r="AM127" s="4395">
        <f>IFERROR(IF((time+time_cap)&lt;AM$2, 0,IF(AND(time+1&gt;=AN$2, $E127&lt;AN$2), IF($I127= "I", $J127/($F127-$E127+1), $J127/(($F127*($F127+1)/2)-(($E127-1)*($E127-1+1)/2))*AM$2), 0)+IF(IF(time+1&gt;=AN$2, $K127/time_cap/(time+1)*AM$2, 0) = 0, $K127/(time_cap),0)),0)</f>
        <v/>
      </c>
      <c r="AN127" s="4395">
        <f>IFERROR(IF((time+time_cap)&lt;AN$2, 0,IF(AND(time+1&gt;=AO$2, $E127&lt;AO$2), IF($I127= "I", $J127/($F127-$E127+1), $J127/(($F127*($F127+1)/2)-(($E127-1)*($E127-1+1)/2))*AN$2), 0)+IF(IF(time+1&gt;=AO$2, $K127/time_cap/(time+1)*AN$2, 0) = 0, $K127/(time_cap),0)),0)</f>
        <v/>
      </c>
      <c r="AO127" s="4395">
        <f>IFERROR(IF((time+time_cap)&lt;AO$2, 0,IF(AND(time+1&gt;=AP$2, $E127&lt;AP$2), IF($I127= "I", $J127/($F127-$E127+1), $J127/(($F127*($F127+1)/2)-(($E127-1)*($E127-1+1)/2))*AO$2), 0)+IF(IF(time+1&gt;=AP$2, $K127/time_cap/(time+1)*AO$2, 0) = 0, $K127/(time_cap),0)),0)</f>
        <v/>
      </c>
      <c r="AP127" s="4395">
        <f>IFERROR(IF((time+time_cap)&lt;AP$2, 0,IF(AND(time+1&gt;=AQ$2, $E127&lt;AQ$2), IF($I127= "I", $J127/($F127-$E127+1), $J127/(($F127*($F127+1)/2)-(($E127-1)*($E127-1+1)/2))*AP$2), 0)+IF(IF(time+1&gt;=AQ$2, $K127/time_cap/(time+1)*AP$2, 0) = 0, $K127/(time_cap),0)),0)</f>
        <v/>
      </c>
      <c r="AQ127" s="4395">
        <f>IFERROR(IF((time+time_cap)&lt;AQ$2, 0,IF(AND(time+1&gt;=AR$2, $E127&lt;AR$2), IF($I127= "I", $J127/($F127-$E127+1), $J127/(($F127*($F127+1)/2)-(($E127-1)*($E127-1+1)/2))*AQ$2), 0)+IF(IF(time+1&gt;=AR$2, $K127/time_cap/(time+1)*AQ$2, 0) = 0, $K127/(time_cap),0)),0)</f>
        <v/>
      </c>
      <c r="AR127" s="4395">
        <f>IFERROR(IF((time+time_cap)&lt;AR$2, 0,IF(AND(time+1&gt;=AS$2, $E127&lt;AS$2), IF($I127= "I", $J127/($F127-$E127+1), $J127/(($F127*($F127+1)/2)-(($E127-1)*($E127-1+1)/2))*AR$2), 0)+IF(IF(time+1&gt;=AS$2, $K127/time_cap/(time+1)*AR$2, 0) = 0, $K127/(time_cap),0)),0)</f>
        <v/>
      </c>
      <c r="AS127" s="4395">
        <f>IFERROR(IF((time+time_cap)&lt;AS$2, 0,IF(AND(time+1&gt;=AT$2, $E127&lt;AT$2), IF($I127= "I", $J127/($F127-$E127+1), $J127/(($F127*($F127+1)/2)-(($E127-1)*($E127-1+1)/2))*AS$2), 0)+IF(IF(time+1&gt;=AT$2, $K127/time_cap/(time+1)*AS$2, 0) = 0, $K127/(time_cap),0)),0)</f>
        <v/>
      </c>
      <c r="AT127" s="4395">
        <f>IFERROR(IF((time+time_cap)&lt;AT$2, 0,IF(AND(time+1&gt;=AU$2, $E127&lt;AU$2), IF($I127= "I", $J127/($F127-$E127+1), $J127/(($F127*($F127+1)/2)-(($E127-1)*($E127-1+1)/2))*AT$2), 0)+IF(IF(time+1&gt;=AU$2, $K127/time_cap/(time+1)*AT$2, 0) = 0, $K127/(time_cap),0)),0)</f>
        <v/>
      </c>
      <c r="AU127" s="4395">
        <f>IFERROR(IF((time+time_cap)&lt;AU$2, 0,IF(AND(time+1&gt;=AV$2, $E127&lt;AV$2), IF($I127= "I", $J127/($F127-$E127+1), $J127/(($F127*($F127+1)/2)-(($E127-1)*($E127-1+1)/2))*AU$2), 0)+IF(IF(time+1&gt;=AV$2, $K127/time_cap/(time+1)*AU$2, 0) = 0, $K127/(time_cap),0)),0)</f>
        <v/>
      </c>
      <c r="AV127" s="4395">
        <f>IFERROR(IF((time+time_cap)&lt;AV$2, 0,IF(AND(time+1&gt;=AW$2, $E127&lt;AW$2), IF($I127= "I", $J127/($F127-$E127+1), $J127/(($F127*($F127+1)/2)-(($E127-1)*($E127-1+1)/2))*AV$2), 0)+IF(IF(time+1&gt;=AW$2, $K127/time_cap/(time+1)*AV$2, 0) = 0, $K127/(time_cap),0)),0)</f>
        <v/>
      </c>
      <c r="AW127" s="4395">
        <f>IFERROR(IF((time+time_cap)&lt;AW$2, 0,IF(AND(time+1&gt;=AX$2, $E127&lt;AX$2), IF($I127= "I", $J127/($F127-$E127+1), $J127/(($F127*($F127+1)/2)-(($E127-1)*($E127-1+1)/2))*AW$2), 0)+IF(IF(time+1&gt;=AX$2, $K127/time_cap/(time+1)*AW$2, 0) = 0, $K127/(time_cap),0)),0)</f>
        <v/>
      </c>
      <c r="AX127" s="4395">
        <f>IFERROR(IF((time+time_cap)&lt;AX$2, 0,IF(AND(time+1&gt;=AY$2, $E127&lt;AY$2), IF($I127= "I", $J127/($F127-$E127+1), $J127/(($F127*($F127+1)/2)-(($E127-1)*($E127-1+1)/2))*AX$2), 0)+IF(IF(time+1&gt;=AY$2, $K127/time_cap/(time+1)*AX$2, 0) = 0, $K127/(time_cap),0)),0)</f>
        <v/>
      </c>
      <c r="AY127" s="4395">
        <f>IFERROR(IF((time+time_cap)&lt;AY$2, 0,IF(AND(time+1&gt;=AZ$2, $E127&lt;AZ$2), IF($I127= "I", $J127/($F127-$E127+1), $J127/(($F127*($F127+1)/2)-(($E127-1)*($E127-1+1)/2))*AY$2), 0)+IF(IF(time+1&gt;=AZ$2, $K127/time_cap/(time+1)*AY$2, 0) = 0, $K127/(time_cap),0)),0)</f>
        <v/>
      </c>
      <c r="AZ127" s="4395">
        <f>IFERROR(IF((time+time_cap)&lt;AZ$2, 0,IF(AND(time+1&gt;=BA$2, $E127&lt;BA$2), IF($I127= "I", $J127/($F127-$E127+1), $J127/(($F127*($F127+1)/2)-(($E127-1)*($E127-1+1)/2))*AZ$2), 0)+IF(IF(time+1&gt;=BA$2, $K127/time_cap/(time+1)*AZ$2, 0) = 0, $K127/(time_cap),0)),0)</f>
        <v/>
      </c>
      <c r="BA127" s="4395">
        <f>IFERROR(IF((time+time_cap)&lt;BA$2, 0,IF(AND(time+1&gt;=BB$2, $E127&lt;BB$2), IF($I127= "I", $J127/($F127-$E127+1), $J127/(($F127*($F127+1)/2)-(($E127-1)*($E127-1+1)/2))*BA$2), 0)+IF(IF(time+1&gt;=BB$2, $K127/time_cap/(time+1)*BA$2, 0) = 0, $K127/(time_cap),0)),0)</f>
        <v/>
      </c>
      <c r="BB127" s="4395">
        <f>IFERROR(IF((time+time_cap)&lt;BB$2, 0,IF(AND(time+1&gt;=BC$2, $E127&lt;BC$2), IF($I127= "I", $J127/($F127-$E127+1), $J127/(($F127*($F127+1)/2)-(($E127-1)*($E127-1+1)/2))*BB$2), 0)+IF(IF(time+1&gt;=BC$2, $K127/time_cap/(time+1)*BB$2, 0) = 0, $K127/(time_cap),0)),0)</f>
        <v/>
      </c>
      <c r="BC127" s="4395">
        <f>IFERROR(IF((time+time_cap)&lt;BC$2, 0,IF(AND(time+1&gt;=BD$2, $E127&lt;BD$2), IF($I127= "I", $J127/($F127-$E127+1), $J127/(($F127*($F127+1)/2)-(($E127-1)*($E127-1+1)/2))*BC$2), 0)+IF(IF(time+1&gt;=BD$2, $K127/time_cap/(time+1)*BC$2, 0) = 0, $K127/(time_cap),0)),0)</f>
        <v/>
      </c>
      <c r="BD127" s="4395">
        <f>IFERROR(IF((time+time_cap)&lt;BD$2, 0,IF(AND(time+1&gt;=BE$2, $E127&lt;BE$2), IF($I127= "I", $J127/($F127-$E127+1), $J127/(($F127*($F127+1)/2)-(($E127-1)*($E127-1+1)/2))*BD$2), 0)+IF(IF(time+1&gt;=BE$2, $K127/time_cap/(time+1)*BD$2, 0) = 0, $K127/(time_cap),0)),0)</f>
        <v/>
      </c>
      <c r="BE127" s="4395">
        <f>IFERROR(IF((time+time_cap)&lt;BE$2, 0,IF(AND(time+1&gt;=BF$2, $E127&lt;BF$2), IF($I127= "I", $J127/($F127-$E127+1), $J127/(($F127*($F127+1)/2)-(($E127-1)*($E127-1+1)/2))*BE$2), 0)+IF(IF(time+1&gt;=BF$2, $K127/time_cap/(time+1)*BE$2, 0) = 0, $K127/(time_cap),0)),0)</f>
        <v/>
      </c>
      <c r="BF127" s="4395">
        <f>IFERROR(IF((time+time_cap)&lt;BF$2, 0,IF(AND(time+1&gt;=BG$2, $E127&lt;BG$2), IF($I127= "I", $J127/($F127-$E127+1), $J127/(($F127*($F127+1)/2)-(($E127-1)*($E127-1+1)/2))*BF$2), 0)+IF(IF(time+1&gt;=BG$2, $K127/time_cap/(time+1)*BF$2, 0) = 0, $K127/(time_cap),0)),0)</f>
        <v/>
      </c>
      <c r="BG127" s="4395">
        <f>IFERROR(IF((time+time_cap)&lt;BG$2, 0,IF(AND(time+1&gt;=BH$2, $E127&lt;BH$2), IF($I127= "I", $J127/($F127-$E127+1), $J127/(($F127*($F127+1)/2)-(($E127-1)*($E127-1+1)/2))*BG$2), 0)+IF(IF(time+1&gt;=BH$2, $K127/time_cap/(time+1)*BG$2, 0) = 0, $K127/(time_cap),0)),0)</f>
        <v/>
      </c>
      <c r="BH127" s="4395">
        <f>IFERROR(IF((time+time_cap)&lt;BH$2, 0,IF(AND(time+1&gt;=BI$2, $E127&lt;BI$2), IF($I127= "I", $J127/($F127-$E127+1), $J127/(($F127*($F127+1)/2)-(($E127-1)*($E127-1+1)/2))*BH$2), 0)+IF(IF(time+1&gt;=BI$2, $K127/time_cap/(time+1)*BH$2, 0) = 0, $K127/(time_cap),0)),0)</f>
        <v/>
      </c>
      <c r="BI127" s="4395">
        <f>IFERROR(IF((time+time_cap)&lt;BI$2, 0,IF(AND(time+1&gt;=BJ$2, $E127&lt;BJ$2), IF($I127= "I", $J127/($F127-$E127+1), $J127/(($F127*($F127+1)/2)-(($E127-1)*($E127-1+1)/2))*BI$2), 0)+IF(IF(time+1&gt;=BJ$2, $K127/time_cap/(time+1)*BI$2, 0) = 0, $K127/(time_cap),0)),0)</f>
        <v/>
      </c>
      <c r="BJ127" s="4395">
        <f>IFERROR(IF((time+time_cap)&lt;BJ$2, 0,IF(AND(time+1&gt;=BK$2, $E127&lt;BK$2), IF($I127= "I", $J127/($F127-$E127+1), $J127/(($F127*($F127+1)/2)-(($E127-1)*($E127-1+1)/2))*BJ$2), 0)+IF(IF(time+1&gt;=BK$2, $K127/time_cap/(time+1)*BJ$2, 0) = 0, $K127/(time_cap),0)),0)</f>
        <v/>
      </c>
      <c r="BK127" s="4395" t="n"/>
      <c r="BL127" s="4395" t="n"/>
      <c r="BM127" s="4395" t="n"/>
      <c r="BN127" s="4395" t="n"/>
      <c r="BO127" s="4395" t="n"/>
      <c r="BP127" s="4395" t="n"/>
      <c r="BQ127" s="4395" t="n"/>
      <c r="BR127" s="4395" t="n"/>
      <c r="BS127" s="4395" t="n"/>
      <c r="BT127" s="4395" t="n"/>
      <c r="BU127" s="4395" t="n"/>
      <c r="BV127" s="4395" t="n"/>
      <c r="BW127" s="4395" t="n"/>
      <c r="BX127" s="4395" t="n"/>
      <c r="BY127" s="4395" t="n"/>
      <c r="BZ127" s="4395" t="n"/>
      <c r="CA127" s="4395" t="n"/>
      <c r="CB127" s="4395" t="n"/>
      <c r="CC127" s="4395" t="n"/>
      <c r="CD127" s="4395" t="n"/>
      <c r="CE127" s="4395" t="n"/>
      <c r="CF127" s="4395" t="n"/>
      <c r="CG127" s="4395" t="n"/>
      <c r="CH127" s="4395" t="n"/>
      <c r="CI127" s="4395" t="n"/>
      <c r="CJ127" s="4395" t="n"/>
      <c r="CK127" s="4395" t="n"/>
      <c r="CL127" s="4395" t="n"/>
      <c r="CM127" s="4395" t="n"/>
      <c r="CN127" s="4395" t="n"/>
      <c r="CO127" s="4395" t="n"/>
      <c r="CP127" s="4395" t="n"/>
      <c r="CQ127" s="4395" t="n"/>
      <c r="CR127" s="4395" t="n"/>
      <c r="CS127" s="4395" t="n"/>
      <c r="CT127" s="4395" t="n"/>
      <c r="CU127" s="4395" t="n"/>
      <c r="CV127" s="4395" t="n"/>
      <c r="CW127" s="4395" t="n"/>
      <c r="CX127" s="4395" t="n"/>
      <c r="CY127" s="4395" t="n"/>
      <c r="CZ127" s="4395" t="n"/>
      <c r="DA127" s="4395" t="n"/>
      <c r="DB127" s="4395" t="n"/>
      <c r="DC127" s="4395" t="n"/>
      <c r="DD127" s="4395" t="n"/>
      <c r="DE127" s="4395" t="n"/>
      <c r="DF127" s="4395" t="n"/>
      <c r="DG127" s="4395" t="n"/>
      <c r="DH127" s="4395" t="n"/>
    </row>
    <row r="128" ht="16" customHeight="1">
      <c r="A128" t="inlineStr">
        <is>
          <t>Inland wetlands - A/R</t>
        </is>
      </c>
      <c r="C128">
        <f>'6.Inland wetlands'!C50</f>
        <v/>
      </c>
      <c r="D128">
        <f>'6.Inland wetlands'!AG50+'6.Inland wetlands'!AG62</f>
        <v/>
      </c>
      <c r="E128">
        <f>IF('6.Inland wetlands'!BS51&lt;&gt;0,'6.Inland wetlands'!BS51,'6.Inland wetlands'!BR51)</f>
        <v/>
      </c>
      <c r="F128">
        <f>time</f>
        <v/>
      </c>
      <c r="G128" s="4395">
        <f>'6.Inland wetlands'!O50</f>
        <v/>
      </c>
      <c r="H128" s="4395">
        <f>'6.Inland wetlands'!Q50</f>
        <v/>
      </c>
      <c r="I128" s="4395">
        <f>IF(OR(H128="I", G128="I"), "I", IF(OR(H128="E", G128="E"), "E", "D"))</f>
        <v/>
      </c>
      <c r="J128" s="4395">
        <f>((D128/(time_cap+((F128-E128+1)*VLOOKUP(I128,list!$I$48:$K$50,3, FALSE))))*(F128-E128+1)*VLOOKUP(I128,list!$I$48:$K$50,3, FALSE))</f>
        <v/>
      </c>
      <c r="K128" s="4395">
        <f>((D128/(time_cap+((F128-E128+1)*VLOOKUP(I128,list!$I$48:$K$50,3, FALSE))))*time_cap)</f>
        <v/>
      </c>
      <c r="M128" s="4395">
        <f>IFERROR(IF((time+time_cap)&lt;M$2, 0,IF(AND(time+1&gt;=N$2, $E128&lt;N$2), IF($I128= "I", $J128/($F128-$E128+1), $J128/(($F128*($F128+1)/2)-(($E128-1)*($E128-1+1)/2))*M$2), 0)+IF(IF(time+1&gt;=N$2, $K128/time_cap/(time+1)*M$2, 0) = 0, $K128/(time_cap),0)),0)</f>
        <v/>
      </c>
      <c r="N128" s="4395">
        <f>IFERROR(IF((time+time_cap)&lt;N$2, 0,IF(AND(time+1&gt;=O$2, $E128&lt;O$2), IF($I128= "I", $J128/($F128-$E128+1), $J128/(($F128*($F128+1)/2)-(($E128-1)*($E128-1+1)/2))*N$2), 0)+IF(IF(time+1&gt;=O$2, $K128/time_cap/(time+1)*N$2, 0) = 0, $K128/(time_cap),0)),0)</f>
        <v/>
      </c>
      <c r="O128" s="4395">
        <f>IFERROR(IF((time+time_cap)&lt;O$2, 0,IF(AND(time+1&gt;=P$2, $E128&lt;P$2), IF($I128= "I", $J128/($F128-$E128+1), $J128/(($F128*($F128+1)/2)-(($E128-1)*($E128-1+1)/2))*O$2), 0)+IF(IF(time+1&gt;=P$2, $K128/time_cap/(time+1)*O$2, 0) = 0, $K128/(time_cap),0)),0)</f>
        <v/>
      </c>
      <c r="P128" s="4395">
        <f>IFERROR(IF((time+time_cap)&lt;P$2, 0,IF(AND(time+1&gt;=Q$2, $E128&lt;Q$2), IF($I128= "I", $J128/($F128-$E128+1), $J128/(($F128*($F128+1)/2)-(($E128-1)*($E128-1+1)/2))*P$2), 0)+IF(IF(time+1&gt;=Q$2, $K128/time_cap/(time+1)*P$2, 0) = 0, $K128/(time_cap),0)),0)</f>
        <v/>
      </c>
      <c r="Q128" s="4395">
        <f>IFERROR(IF((time+time_cap)&lt;Q$2, 0,IF(AND(time+1&gt;=R$2, $E128&lt;R$2), IF($I128= "I", $J128/($F128-$E128+1), $J128/(($F128*($F128+1)/2)-(($E128-1)*($E128-1+1)/2))*Q$2), 0)+IF(IF(time+1&gt;=R$2, $K128/time_cap/(time+1)*Q$2, 0) = 0, $K128/(time_cap),0)),0)</f>
        <v/>
      </c>
      <c r="R128" s="4395">
        <f>IFERROR(IF((time+time_cap)&lt;R$2, 0,IF(AND(time+1&gt;=S$2, $E128&lt;S$2), IF($I128= "I", $J128/($F128-$E128+1), $J128/(($F128*($F128+1)/2)-(($E128-1)*($E128-1+1)/2))*R$2), 0)+IF(IF(time+1&gt;=S$2, $K128/time_cap/(time+1)*R$2, 0) = 0, $K128/(time_cap),0)),0)</f>
        <v/>
      </c>
      <c r="S128" s="4395">
        <f>IFERROR(IF((time+time_cap)&lt;S$2, 0,IF(AND(time+1&gt;=T$2, $E128&lt;T$2), IF($I128= "I", $J128/($F128-$E128+1), $J128/(($F128*($F128+1)/2)-(($E128-1)*($E128-1+1)/2))*S$2), 0)+IF(IF(time+1&gt;=T$2, $K128/time_cap/(time+1)*S$2, 0) = 0, $K128/(time_cap),0)),0)</f>
        <v/>
      </c>
      <c r="T128" s="4395">
        <f>IFERROR(IF((time+time_cap)&lt;T$2, 0,IF(AND(time+1&gt;=U$2, $E128&lt;U$2), IF($I128= "I", $J128/($F128-$E128+1), $J128/(($F128*($F128+1)/2)-(($E128-1)*($E128-1+1)/2))*T$2), 0)+IF(IF(time+1&gt;=U$2, $K128/time_cap/(time+1)*T$2, 0) = 0, $K128/(time_cap),0)),0)</f>
        <v/>
      </c>
      <c r="U128" s="4395">
        <f>IFERROR(IF((time+time_cap)&lt;U$2, 0,IF(AND(time+1&gt;=V$2, $E128&lt;V$2), IF($I128= "I", $J128/($F128-$E128+1), $J128/(($F128*($F128+1)/2)-(($E128-1)*($E128-1+1)/2))*U$2), 0)+IF(IF(time+1&gt;=V$2, $K128/time_cap/(time+1)*U$2, 0) = 0, $K128/(time_cap),0)),0)</f>
        <v/>
      </c>
      <c r="V128" s="4395">
        <f>IFERROR(IF((time+time_cap)&lt;V$2, 0,IF(AND(time+1&gt;=W$2, $E128&lt;W$2), IF($I128= "I", $J128/($F128-$E128+1), $J128/(($F128*($F128+1)/2)-(($E128-1)*($E128-1+1)/2))*V$2), 0)+IF(IF(time+1&gt;=W$2, $K128/time_cap/(time+1)*V$2, 0) = 0, $K128/(time_cap),0)),0)</f>
        <v/>
      </c>
      <c r="W128" s="4395">
        <f>IFERROR(IF((time+time_cap)&lt;W$2, 0,IF(AND(time+1&gt;=X$2, $E128&lt;X$2), IF($I128= "I", $J128/($F128-$E128+1), $J128/(($F128*($F128+1)/2)-(($E128-1)*($E128-1+1)/2))*W$2), 0)+IF(IF(time+1&gt;=X$2, $K128/time_cap/(time+1)*W$2, 0) = 0, $K128/(time_cap),0)),0)</f>
        <v/>
      </c>
      <c r="X128" s="4395">
        <f>IFERROR(IF((time+time_cap)&lt;X$2, 0,IF(AND(time+1&gt;=Y$2, $E128&lt;Y$2), IF($I128= "I", $J128/($F128-$E128+1), $J128/(($F128*($F128+1)/2)-(($E128-1)*($E128-1+1)/2))*X$2), 0)+IF(IF(time+1&gt;=Y$2, $K128/time_cap/(time+1)*X$2, 0) = 0, $K128/(time_cap),0)),0)</f>
        <v/>
      </c>
      <c r="Y128" s="4395">
        <f>IFERROR(IF((time+time_cap)&lt;Y$2, 0,IF(AND(time+1&gt;=Z$2, $E128&lt;Z$2), IF($I128= "I", $J128/($F128-$E128+1), $J128/(($F128*($F128+1)/2)-(($E128-1)*($E128-1+1)/2))*Y$2), 0)+IF(IF(time+1&gt;=Z$2, $K128/time_cap/(time+1)*Y$2, 0) = 0, $K128/(time_cap),0)),0)</f>
        <v/>
      </c>
      <c r="Z128" s="4395">
        <f>IFERROR(IF((time+time_cap)&lt;Z$2, 0,IF(AND(time+1&gt;=AA$2, $E128&lt;AA$2), IF($I128= "I", $J128/($F128-$E128+1), $J128/(($F128*($F128+1)/2)-(($E128-1)*($E128-1+1)/2))*Z$2), 0)+IF(IF(time+1&gt;=AA$2, $K128/time_cap/(time+1)*Z$2, 0) = 0, $K128/(time_cap),0)),0)</f>
        <v/>
      </c>
      <c r="AA128" s="4395">
        <f>IFERROR(IF((time+time_cap)&lt;AA$2, 0,IF(AND(time+1&gt;=AB$2, $E128&lt;AB$2), IF($I128= "I", $J128/($F128-$E128+1), $J128/(($F128*($F128+1)/2)-(($E128-1)*($E128-1+1)/2))*AA$2), 0)+IF(IF(time+1&gt;=AB$2, $K128/time_cap/(time+1)*AA$2, 0) = 0, $K128/(time_cap),0)),0)</f>
        <v/>
      </c>
      <c r="AB128" s="4395">
        <f>IFERROR(IF((time+time_cap)&lt;AB$2, 0,IF(AND(time+1&gt;=AC$2, $E128&lt;AC$2), IF($I128= "I", $J128/($F128-$E128+1), $J128/(($F128*($F128+1)/2)-(($E128-1)*($E128-1+1)/2))*AB$2), 0)+IF(IF(time+1&gt;=AC$2, $K128/time_cap/(time+1)*AB$2, 0) = 0, $K128/(time_cap),0)),0)</f>
        <v/>
      </c>
      <c r="AC128" s="4395">
        <f>IFERROR(IF((time+time_cap)&lt;AC$2, 0,IF(AND(time+1&gt;=AD$2, $E128&lt;AD$2), IF($I128= "I", $J128/($F128-$E128+1), $J128/(($F128*($F128+1)/2)-(($E128-1)*($E128-1+1)/2))*AC$2), 0)+IF(IF(time+1&gt;=AD$2, $K128/time_cap/(time+1)*AC$2, 0) = 0, $K128/(time_cap),0)),0)</f>
        <v/>
      </c>
      <c r="AD128" s="4395">
        <f>IFERROR(IF((time+time_cap)&lt;AD$2, 0,IF(AND(time+1&gt;=AE$2, $E128&lt;AE$2), IF($I128= "I", $J128/($F128-$E128+1), $J128/(($F128*($F128+1)/2)-(($E128-1)*($E128-1+1)/2))*AD$2), 0)+IF(IF(time+1&gt;=AE$2, $K128/time_cap/(time+1)*AD$2, 0) = 0, $K128/(time_cap),0)),0)</f>
        <v/>
      </c>
      <c r="AE128" s="4395">
        <f>IFERROR(IF((time+time_cap)&lt;AE$2, 0,IF(AND(time+1&gt;=AF$2, $E128&lt;AF$2), IF($I128= "I", $J128/($F128-$E128+1), $J128/(($F128*($F128+1)/2)-(($E128-1)*($E128-1+1)/2))*AE$2), 0)+IF(IF(time+1&gt;=AF$2, $K128/time_cap/(time+1)*AE$2, 0) = 0, $K128/(time_cap),0)),0)</f>
        <v/>
      </c>
      <c r="AF128" s="4395">
        <f>IFERROR(IF((time+time_cap)&lt;AF$2, 0,IF(AND(time+1&gt;=AG$2, $E128&lt;AG$2), IF($I128= "I", $J128/($F128-$E128+1), $J128/(($F128*($F128+1)/2)-(($E128-1)*($E128-1+1)/2))*AF$2), 0)+IF(IF(time+1&gt;=AG$2, $K128/time_cap/(time+1)*AF$2, 0) = 0, $K128/(time_cap),0)),0)</f>
        <v/>
      </c>
      <c r="AG128" s="4395">
        <f>IFERROR(IF((time+time_cap)&lt;AG$2, 0,IF(AND(time+1&gt;=AH$2, $E128&lt;AH$2), IF($I128= "I", $J128/($F128-$E128+1), $J128/(($F128*($F128+1)/2)-(($E128-1)*($E128-1+1)/2))*AG$2), 0)+IF(IF(time+1&gt;=AH$2, $K128/time_cap/(time+1)*AG$2, 0) = 0, $K128/(time_cap),0)),0)</f>
        <v/>
      </c>
      <c r="AH128" s="4395">
        <f>IFERROR(IF((time+time_cap)&lt;AH$2, 0,IF(AND(time+1&gt;=AI$2, $E128&lt;AI$2), IF($I128= "I", $J128/($F128-$E128+1), $J128/(($F128*($F128+1)/2)-(($E128-1)*($E128-1+1)/2))*AH$2), 0)+IF(IF(time+1&gt;=AI$2, $K128/time_cap/(time+1)*AH$2, 0) = 0, $K128/(time_cap),0)),0)</f>
        <v/>
      </c>
      <c r="AI128" s="4395">
        <f>IFERROR(IF((time+time_cap)&lt;AI$2, 0,IF(AND(time+1&gt;=AJ$2, $E128&lt;AJ$2), IF($I128= "I", $J128/($F128-$E128+1), $J128/(($F128*($F128+1)/2)-(($E128-1)*($E128-1+1)/2))*AI$2), 0)+IF(IF(time+1&gt;=AJ$2, $K128/time_cap/(time+1)*AI$2, 0) = 0, $K128/(time_cap),0)),0)</f>
        <v/>
      </c>
      <c r="AJ128" s="4395">
        <f>IFERROR(IF((time+time_cap)&lt;AJ$2, 0,IF(AND(time+1&gt;=AK$2, $E128&lt;AK$2), IF($I128= "I", $J128/($F128-$E128+1), $J128/(($F128*($F128+1)/2)-(($E128-1)*($E128-1+1)/2))*AJ$2), 0)+IF(IF(time+1&gt;=AK$2, $K128/time_cap/(time+1)*AJ$2, 0) = 0, $K128/(time_cap),0)),0)</f>
        <v/>
      </c>
      <c r="AK128" s="4395">
        <f>IFERROR(IF((time+time_cap)&lt;AK$2, 0,IF(AND(time+1&gt;=AL$2, $E128&lt;AL$2), IF($I128= "I", $J128/($F128-$E128+1), $J128/(($F128*($F128+1)/2)-(($E128-1)*($E128-1+1)/2))*AK$2), 0)+IF(IF(time+1&gt;=AL$2, $K128/time_cap/(time+1)*AK$2, 0) = 0, $K128/(time_cap),0)),0)</f>
        <v/>
      </c>
      <c r="AL128" s="4395">
        <f>IFERROR(IF((time+time_cap)&lt;AL$2, 0,IF(AND(time+1&gt;=AM$2, $E128&lt;AM$2), IF($I128= "I", $J128/($F128-$E128+1), $J128/(($F128*($F128+1)/2)-(($E128-1)*($E128-1+1)/2))*AL$2), 0)+IF(IF(time+1&gt;=AM$2, $K128/time_cap/(time+1)*AL$2, 0) = 0, $K128/(time_cap),0)),0)</f>
        <v/>
      </c>
      <c r="AM128" s="4395">
        <f>IFERROR(IF((time+time_cap)&lt;AM$2, 0,IF(AND(time+1&gt;=AN$2, $E128&lt;AN$2), IF($I128= "I", $J128/($F128-$E128+1), $J128/(($F128*($F128+1)/2)-(($E128-1)*($E128-1+1)/2))*AM$2), 0)+IF(IF(time+1&gt;=AN$2, $K128/time_cap/(time+1)*AM$2, 0) = 0, $K128/(time_cap),0)),0)</f>
        <v/>
      </c>
      <c r="AN128" s="4395">
        <f>IFERROR(IF((time+time_cap)&lt;AN$2, 0,IF(AND(time+1&gt;=AO$2, $E128&lt;AO$2), IF($I128= "I", $J128/($F128-$E128+1), $J128/(($F128*($F128+1)/2)-(($E128-1)*($E128-1+1)/2))*AN$2), 0)+IF(IF(time+1&gt;=AO$2, $K128/time_cap/(time+1)*AN$2, 0) = 0, $K128/(time_cap),0)),0)</f>
        <v/>
      </c>
      <c r="AO128" s="4395">
        <f>IFERROR(IF((time+time_cap)&lt;AO$2, 0,IF(AND(time+1&gt;=AP$2, $E128&lt;AP$2), IF($I128= "I", $J128/($F128-$E128+1), $J128/(($F128*($F128+1)/2)-(($E128-1)*($E128-1+1)/2))*AO$2), 0)+IF(IF(time+1&gt;=AP$2, $K128/time_cap/(time+1)*AO$2, 0) = 0, $K128/(time_cap),0)),0)</f>
        <v/>
      </c>
      <c r="AP128" s="4395">
        <f>IFERROR(IF((time+time_cap)&lt;AP$2, 0,IF(AND(time+1&gt;=AQ$2, $E128&lt;AQ$2), IF($I128= "I", $J128/($F128-$E128+1), $J128/(($F128*($F128+1)/2)-(($E128-1)*($E128-1+1)/2))*AP$2), 0)+IF(IF(time+1&gt;=AQ$2, $K128/time_cap/(time+1)*AP$2, 0) = 0, $K128/(time_cap),0)),0)</f>
        <v/>
      </c>
      <c r="AQ128" s="4395">
        <f>IFERROR(IF((time+time_cap)&lt;AQ$2, 0,IF(AND(time+1&gt;=AR$2, $E128&lt;AR$2), IF($I128= "I", $J128/($F128-$E128+1), $J128/(($F128*($F128+1)/2)-(($E128-1)*($E128-1+1)/2))*AQ$2), 0)+IF(IF(time+1&gt;=AR$2, $K128/time_cap/(time+1)*AQ$2, 0) = 0, $K128/(time_cap),0)),0)</f>
        <v/>
      </c>
      <c r="AR128" s="4395">
        <f>IFERROR(IF((time+time_cap)&lt;AR$2, 0,IF(AND(time+1&gt;=AS$2, $E128&lt;AS$2), IF($I128= "I", $J128/($F128-$E128+1), $J128/(($F128*($F128+1)/2)-(($E128-1)*($E128-1+1)/2))*AR$2), 0)+IF(IF(time+1&gt;=AS$2, $K128/time_cap/(time+1)*AR$2, 0) = 0, $K128/(time_cap),0)),0)</f>
        <v/>
      </c>
      <c r="AS128" s="4395">
        <f>IFERROR(IF((time+time_cap)&lt;AS$2, 0,IF(AND(time+1&gt;=AT$2, $E128&lt;AT$2), IF($I128= "I", $J128/($F128-$E128+1), $J128/(($F128*($F128+1)/2)-(($E128-1)*($E128-1+1)/2))*AS$2), 0)+IF(IF(time+1&gt;=AT$2, $K128/time_cap/(time+1)*AS$2, 0) = 0, $K128/(time_cap),0)),0)</f>
        <v/>
      </c>
      <c r="AT128" s="4395">
        <f>IFERROR(IF((time+time_cap)&lt;AT$2, 0,IF(AND(time+1&gt;=AU$2, $E128&lt;AU$2), IF($I128= "I", $J128/($F128-$E128+1), $J128/(($F128*($F128+1)/2)-(($E128-1)*($E128-1+1)/2))*AT$2), 0)+IF(IF(time+1&gt;=AU$2, $K128/time_cap/(time+1)*AT$2, 0) = 0, $K128/(time_cap),0)),0)</f>
        <v/>
      </c>
      <c r="AU128" s="4395">
        <f>IFERROR(IF((time+time_cap)&lt;AU$2, 0,IF(AND(time+1&gt;=AV$2, $E128&lt;AV$2), IF($I128= "I", $J128/($F128-$E128+1), $J128/(($F128*($F128+1)/2)-(($E128-1)*($E128-1+1)/2))*AU$2), 0)+IF(IF(time+1&gt;=AV$2, $K128/time_cap/(time+1)*AU$2, 0) = 0, $K128/(time_cap),0)),0)</f>
        <v/>
      </c>
      <c r="AV128" s="4395">
        <f>IFERROR(IF((time+time_cap)&lt;AV$2, 0,IF(AND(time+1&gt;=AW$2, $E128&lt;AW$2), IF($I128= "I", $J128/($F128-$E128+1), $J128/(($F128*($F128+1)/2)-(($E128-1)*($E128-1+1)/2))*AV$2), 0)+IF(IF(time+1&gt;=AW$2, $K128/time_cap/(time+1)*AV$2, 0) = 0, $K128/(time_cap),0)),0)</f>
        <v/>
      </c>
      <c r="AW128" s="4395">
        <f>IFERROR(IF((time+time_cap)&lt;AW$2, 0,IF(AND(time+1&gt;=AX$2, $E128&lt;AX$2), IF($I128= "I", $J128/($F128-$E128+1), $J128/(($F128*($F128+1)/2)-(($E128-1)*($E128-1+1)/2))*AW$2), 0)+IF(IF(time+1&gt;=AX$2, $K128/time_cap/(time+1)*AW$2, 0) = 0, $K128/(time_cap),0)),0)</f>
        <v/>
      </c>
      <c r="AX128" s="4395">
        <f>IFERROR(IF((time+time_cap)&lt;AX$2, 0,IF(AND(time+1&gt;=AY$2, $E128&lt;AY$2), IF($I128= "I", $J128/($F128-$E128+1), $J128/(($F128*($F128+1)/2)-(($E128-1)*($E128-1+1)/2))*AX$2), 0)+IF(IF(time+1&gt;=AY$2, $K128/time_cap/(time+1)*AX$2, 0) = 0, $K128/(time_cap),0)),0)</f>
        <v/>
      </c>
      <c r="AY128" s="4395">
        <f>IFERROR(IF((time+time_cap)&lt;AY$2, 0,IF(AND(time+1&gt;=AZ$2, $E128&lt;AZ$2), IF($I128= "I", $J128/($F128-$E128+1), $J128/(($F128*($F128+1)/2)-(($E128-1)*($E128-1+1)/2))*AY$2), 0)+IF(IF(time+1&gt;=AZ$2, $K128/time_cap/(time+1)*AY$2, 0) = 0, $K128/(time_cap),0)),0)</f>
        <v/>
      </c>
      <c r="AZ128" s="4395">
        <f>IFERROR(IF((time+time_cap)&lt;AZ$2, 0,IF(AND(time+1&gt;=BA$2, $E128&lt;BA$2), IF($I128= "I", $J128/($F128-$E128+1), $J128/(($F128*($F128+1)/2)-(($E128-1)*($E128-1+1)/2))*AZ$2), 0)+IF(IF(time+1&gt;=BA$2, $K128/time_cap/(time+1)*AZ$2, 0) = 0, $K128/(time_cap),0)),0)</f>
        <v/>
      </c>
      <c r="BA128" s="4395">
        <f>IFERROR(IF((time+time_cap)&lt;BA$2, 0,IF(AND(time+1&gt;=BB$2, $E128&lt;BB$2), IF($I128= "I", $J128/($F128-$E128+1), $J128/(($F128*($F128+1)/2)-(($E128-1)*($E128-1+1)/2))*BA$2), 0)+IF(IF(time+1&gt;=BB$2, $K128/time_cap/(time+1)*BA$2, 0) = 0, $K128/(time_cap),0)),0)</f>
        <v/>
      </c>
      <c r="BB128" s="4395">
        <f>IFERROR(IF((time+time_cap)&lt;BB$2, 0,IF(AND(time+1&gt;=BC$2, $E128&lt;BC$2), IF($I128= "I", $J128/($F128-$E128+1), $J128/(($F128*($F128+1)/2)-(($E128-1)*($E128-1+1)/2))*BB$2), 0)+IF(IF(time+1&gt;=BC$2, $K128/time_cap/(time+1)*BB$2, 0) = 0, $K128/(time_cap),0)),0)</f>
        <v/>
      </c>
      <c r="BC128" s="4395">
        <f>IFERROR(IF((time+time_cap)&lt;BC$2, 0,IF(AND(time+1&gt;=BD$2, $E128&lt;BD$2), IF($I128= "I", $J128/($F128-$E128+1), $J128/(($F128*($F128+1)/2)-(($E128-1)*($E128-1+1)/2))*BC$2), 0)+IF(IF(time+1&gt;=BD$2, $K128/time_cap/(time+1)*BC$2, 0) = 0, $K128/(time_cap),0)),0)</f>
        <v/>
      </c>
      <c r="BD128" s="4395">
        <f>IFERROR(IF((time+time_cap)&lt;BD$2, 0,IF(AND(time+1&gt;=BE$2, $E128&lt;BE$2), IF($I128= "I", $J128/($F128-$E128+1), $J128/(($F128*($F128+1)/2)-(($E128-1)*($E128-1+1)/2))*BD$2), 0)+IF(IF(time+1&gt;=BE$2, $K128/time_cap/(time+1)*BD$2, 0) = 0, $K128/(time_cap),0)),0)</f>
        <v/>
      </c>
      <c r="BE128" s="4395">
        <f>IFERROR(IF((time+time_cap)&lt;BE$2, 0,IF(AND(time+1&gt;=BF$2, $E128&lt;BF$2), IF($I128= "I", $J128/($F128-$E128+1), $J128/(($F128*($F128+1)/2)-(($E128-1)*($E128-1+1)/2))*BE$2), 0)+IF(IF(time+1&gt;=BF$2, $K128/time_cap/(time+1)*BE$2, 0) = 0, $K128/(time_cap),0)),0)</f>
        <v/>
      </c>
      <c r="BF128" s="4395">
        <f>IFERROR(IF((time+time_cap)&lt;BF$2, 0,IF(AND(time+1&gt;=BG$2, $E128&lt;BG$2), IF($I128= "I", $J128/($F128-$E128+1), $J128/(($F128*($F128+1)/2)-(($E128-1)*($E128-1+1)/2))*BF$2), 0)+IF(IF(time+1&gt;=BG$2, $K128/time_cap/(time+1)*BF$2, 0) = 0, $K128/(time_cap),0)),0)</f>
        <v/>
      </c>
      <c r="BG128" s="4395">
        <f>IFERROR(IF((time+time_cap)&lt;BG$2, 0,IF(AND(time+1&gt;=BH$2, $E128&lt;BH$2), IF($I128= "I", $J128/($F128-$E128+1), $J128/(($F128*($F128+1)/2)-(($E128-1)*($E128-1+1)/2))*BG$2), 0)+IF(IF(time+1&gt;=BH$2, $K128/time_cap/(time+1)*BG$2, 0) = 0, $K128/(time_cap),0)),0)</f>
        <v/>
      </c>
      <c r="BH128" s="4395">
        <f>IFERROR(IF((time+time_cap)&lt;BH$2, 0,IF(AND(time+1&gt;=BI$2, $E128&lt;BI$2), IF($I128= "I", $J128/($F128-$E128+1), $J128/(($F128*($F128+1)/2)-(($E128-1)*($E128-1+1)/2))*BH$2), 0)+IF(IF(time+1&gt;=BI$2, $K128/time_cap/(time+1)*BH$2, 0) = 0, $K128/(time_cap),0)),0)</f>
        <v/>
      </c>
      <c r="BI128" s="4395">
        <f>IFERROR(IF((time+time_cap)&lt;BI$2, 0,IF(AND(time+1&gt;=BJ$2, $E128&lt;BJ$2), IF($I128= "I", $J128/($F128-$E128+1), $J128/(($F128*($F128+1)/2)-(($E128-1)*($E128-1+1)/2))*BI$2), 0)+IF(IF(time+1&gt;=BJ$2, $K128/time_cap/(time+1)*BI$2, 0) = 0, $K128/(time_cap),0)),0)</f>
        <v/>
      </c>
      <c r="BJ128" s="4395">
        <f>IFERROR(IF((time+time_cap)&lt;BJ$2, 0,IF(AND(time+1&gt;=BK$2, $E128&lt;BK$2), IF($I128= "I", $J128/($F128-$E128+1), $J128/(($F128*($F128+1)/2)-(($E128-1)*($E128-1+1)/2))*BJ$2), 0)+IF(IF(time+1&gt;=BK$2, $K128/time_cap/(time+1)*BJ$2, 0) = 0, $K128/(time_cap),0)),0)</f>
        <v/>
      </c>
      <c r="BK128" s="4395" t="n"/>
      <c r="BL128" s="4395" t="n"/>
      <c r="BM128" s="4395" t="n"/>
      <c r="BN128" s="4395" t="n"/>
      <c r="BO128" s="4395" t="n"/>
      <c r="BP128" s="4395" t="n"/>
      <c r="BQ128" s="4395" t="n"/>
      <c r="BR128" s="4395" t="n"/>
      <c r="BS128" s="4395" t="n"/>
      <c r="BT128" s="4395" t="n"/>
      <c r="BU128" s="4395" t="n"/>
      <c r="BV128" s="4395" t="n"/>
      <c r="BW128" s="4395" t="n"/>
      <c r="BX128" s="4395" t="n"/>
      <c r="BY128" s="4395" t="n"/>
      <c r="BZ128" s="4395" t="n"/>
      <c r="CA128" s="4395" t="n"/>
      <c r="CB128" s="4395" t="n"/>
      <c r="CC128" s="4395" t="n"/>
      <c r="CD128" s="4395" t="n"/>
      <c r="CE128" s="4395" t="n"/>
      <c r="CF128" s="4395" t="n"/>
      <c r="CG128" s="4395" t="n"/>
      <c r="CH128" s="4395" t="n"/>
      <c r="CI128" s="4395" t="n"/>
      <c r="CJ128" s="4395" t="n"/>
      <c r="CK128" s="4395" t="n"/>
      <c r="CL128" s="4395" t="n"/>
      <c r="CM128" s="4395" t="n"/>
      <c r="CN128" s="4395" t="n"/>
      <c r="CO128" s="4395" t="n"/>
      <c r="CP128" s="4395" t="n"/>
      <c r="CQ128" s="4395" t="n"/>
      <c r="CR128" s="4395" t="n"/>
      <c r="CS128" s="4395" t="n"/>
      <c r="CT128" s="4395" t="n"/>
      <c r="CU128" s="4395" t="n"/>
      <c r="CV128" s="4395" t="n"/>
      <c r="CW128" s="4395" t="n"/>
      <c r="CX128" s="4395" t="n"/>
      <c r="CY128" s="4395" t="n"/>
      <c r="CZ128" s="4395" t="n"/>
      <c r="DA128" s="4395" t="n"/>
      <c r="DB128" s="4395" t="n"/>
      <c r="DC128" s="4395" t="n"/>
      <c r="DD128" s="4395" t="n"/>
      <c r="DE128" s="4395" t="n"/>
      <c r="DF128" s="4395" t="n"/>
      <c r="DG128" s="4395" t="n"/>
      <c r="DH128" s="4395" t="n"/>
    </row>
    <row r="129" ht="16" customHeight="1">
      <c r="A129" t="inlineStr">
        <is>
          <t>Inland wetlands - A/R</t>
        </is>
      </c>
      <c r="C129">
        <f>'6.Inland wetlands'!C51</f>
        <v/>
      </c>
      <c r="D129">
        <f>'6.Inland wetlands'!AG51+'6.Inland wetlands'!AG63</f>
        <v/>
      </c>
      <c r="E129">
        <f>IF('6.Inland wetlands'!BS52&lt;&gt;0,'6.Inland wetlands'!BS52,'6.Inland wetlands'!BR52)</f>
        <v/>
      </c>
      <c r="F129">
        <f>time</f>
        <v/>
      </c>
      <c r="G129" s="4395">
        <f>'6.Inland wetlands'!O51</f>
        <v/>
      </c>
      <c r="H129" s="4395">
        <f>'6.Inland wetlands'!Q51</f>
        <v/>
      </c>
      <c r="I129" s="4395">
        <f>IF(OR(H129="I", G129="I"), "I", IF(OR(H129="E", G129="E"), "E", "D"))</f>
        <v/>
      </c>
      <c r="J129" s="4395">
        <f>((D129/(time_cap+((F129-E129+1)*VLOOKUP(I129,list!$I$48:$K$50,3, FALSE))))*(F129-E129+1)*VLOOKUP(I129,list!$I$48:$K$50,3, FALSE))</f>
        <v/>
      </c>
      <c r="K129" s="4395">
        <f>((D129/(time_cap+((F129-E129+1)*VLOOKUP(I129,list!$I$48:$K$50,3, FALSE))))*time_cap)</f>
        <v/>
      </c>
      <c r="M129" s="4395">
        <f>IFERROR(IF((time+time_cap)&lt;M$2, 0,IF(AND(time+1&gt;=N$2, $E129&lt;N$2), IF($I129= "I", $J129/($F129-$E129+1), $J129/(($F129*($F129+1)/2)-(($E129-1)*($E129-1+1)/2))*M$2), 0)+IF(IF(time+1&gt;=N$2, $K129/time_cap/(time+1)*M$2, 0) = 0, $K129/(time_cap),0)),0)</f>
        <v/>
      </c>
      <c r="N129" s="4395">
        <f>IFERROR(IF((time+time_cap)&lt;N$2, 0,IF(AND(time+1&gt;=O$2, $E129&lt;O$2), IF($I129= "I", $J129/($F129-$E129+1), $J129/(($F129*($F129+1)/2)-(($E129-1)*($E129-1+1)/2))*N$2), 0)+IF(IF(time+1&gt;=O$2, $K129/time_cap/(time+1)*N$2, 0) = 0, $K129/(time_cap),0)),0)</f>
        <v/>
      </c>
      <c r="O129" s="4395">
        <f>IFERROR(IF((time+time_cap)&lt;O$2, 0,IF(AND(time+1&gt;=P$2, $E129&lt;P$2), IF($I129= "I", $J129/($F129-$E129+1), $J129/(($F129*($F129+1)/2)-(($E129-1)*($E129-1+1)/2))*O$2), 0)+IF(IF(time+1&gt;=P$2, $K129/time_cap/(time+1)*O$2, 0) = 0, $K129/(time_cap),0)),0)</f>
        <v/>
      </c>
      <c r="P129" s="4395">
        <f>IFERROR(IF((time+time_cap)&lt;P$2, 0,IF(AND(time+1&gt;=Q$2, $E129&lt;Q$2), IF($I129= "I", $J129/($F129-$E129+1), $J129/(($F129*($F129+1)/2)-(($E129-1)*($E129-1+1)/2))*P$2), 0)+IF(IF(time+1&gt;=Q$2, $K129/time_cap/(time+1)*P$2, 0) = 0, $K129/(time_cap),0)),0)</f>
        <v/>
      </c>
      <c r="Q129" s="4395">
        <f>IFERROR(IF((time+time_cap)&lt;Q$2, 0,IF(AND(time+1&gt;=R$2, $E129&lt;R$2), IF($I129= "I", $J129/($F129-$E129+1), $J129/(($F129*($F129+1)/2)-(($E129-1)*($E129-1+1)/2))*Q$2), 0)+IF(IF(time+1&gt;=R$2, $K129/time_cap/(time+1)*Q$2, 0) = 0, $K129/(time_cap),0)),0)</f>
        <v/>
      </c>
      <c r="R129" s="4395">
        <f>IFERROR(IF((time+time_cap)&lt;R$2, 0,IF(AND(time+1&gt;=S$2, $E129&lt;S$2), IF($I129= "I", $J129/($F129-$E129+1), $J129/(($F129*($F129+1)/2)-(($E129-1)*($E129-1+1)/2))*R$2), 0)+IF(IF(time+1&gt;=S$2, $K129/time_cap/(time+1)*R$2, 0) = 0, $K129/(time_cap),0)),0)</f>
        <v/>
      </c>
      <c r="S129" s="4395">
        <f>IFERROR(IF((time+time_cap)&lt;S$2, 0,IF(AND(time+1&gt;=T$2, $E129&lt;T$2), IF($I129= "I", $J129/($F129-$E129+1), $J129/(($F129*($F129+1)/2)-(($E129-1)*($E129-1+1)/2))*S$2), 0)+IF(IF(time+1&gt;=T$2, $K129/time_cap/(time+1)*S$2, 0) = 0, $K129/(time_cap),0)),0)</f>
        <v/>
      </c>
      <c r="T129" s="4395">
        <f>IFERROR(IF((time+time_cap)&lt;T$2, 0,IF(AND(time+1&gt;=U$2, $E129&lt;U$2), IF($I129= "I", $J129/($F129-$E129+1), $J129/(($F129*($F129+1)/2)-(($E129-1)*($E129-1+1)/2))*T$2), 0)+IF(IF(time+1&gt;=U$2, $K129/time_cap/(time+1)*T$2, 0) = 0, $K129/(time_cap),0)),0)</f>
        <v/>
      </c>
      <c r="U129" s="4395">
        <f>IFERROR(IF((time+time_cap)&lt;U$2, 0,IF(AND(time+1&gt;=V$2, $E129&lt;V$2), IF($I129= "I", $J129/($F129-$E129+1), $J129/(($F129*($F129+1)/2)-(($E129-1)*($E129-1+1)/2))*U$2), 0)+IF(IF(time+1&gt;=V$2, $K129/time_cap/(time+1)*U$2, 0) = 0, $K129/(time_cap),0)),0)</f>
        <v/>
      </c>
      <c r="V129" s="4395">
        <f>IFERROR(IF((time+time_cap)&lt;V$2, 0,IF(AND(time+1&gt;=W$2, $E129&lt;W$2), IF($I129= "I", $J129/($F129-$E129+1), $J129/(($F129*($F129+1)/2)-(($E129-1)*($E129-1+1)/2))*V$2), 0)+IF(IF(time+1&gt;=W$2, $K129/time_cap/(time+1)*V$2, 0) = 0, $K129/(time_cap),0)),0)</f>
        <v/>
      </c>
      <c r="W129" s="4395">
        <f>IFERROR(IF((time+time_cap)&lt;W$2, 0,IF(AND(time+1&gt;=X$2, $E129&lt;X$2), IF($I129= "I", $J129/($F129-$E129+1), $J129/(($F129*($F129+1)/2)-(($E129-1)*($E129-1+1)/2))*W$2), 0)+IF(IF(time+1&gt;=X$2, $K129/time_cap/(time+1)*W$2, 0) = 0, $K129/(time_cap),0)),0)</f>
        <v/>
      </c>
      <c r="X129" s="4395">
        <f>IFERROR(IF((time+time_cap)&lt;X$2, 0,IF(AND(time+1&gt;=Y$2, $E129&lt;Y$2), IF($I129= "I", $J129/($F129-$E129+1), $J129/(($F129*($F129+1)/2)-(($E129-1)*($E129-1+1)/2))*X$2), 0)+IF(IF(time+1&gt;=Y$2, $K129/time_cap/(time+1)*X$2, 0) = 0, $K129/(time_cap),0)),0)</f>
        <v/>
      </c>
      <c r="Y129" s="4395">
        <f>IFERROR(IF((time+time_cap)&lt;Y$2, 0,IF(AND(time+1&gt;=Z$2, $E129&lt;Z$2), IF($I129= "I", $J129/($F129-$E129+1), $J129/(($F129*($F129+1)/2)-(($E129-1)*($E129-1+1)/2))*Y$2), 0)+IF(IF(time+1&gt;=Z$2, $K129/time_cap/(time+1)*Y$2, 0) = 0, $K129/(time_cap),0)),0)</f>
        <v/>
      </c>
      <c r="Z129" s="4395">
        <f>IFERROR(IF((time+time_cap)&lt;Z$2, 0,IF(AND(time+1&gt;=AA$2, $E129&lt;AA$2), IF($I129= "I", $J129/($F129-$E129+1), $J129/(($F129*($F129+1)/2)-(($E129-1)*($E129-1+1)/2))*Z$2), 0)+IF(IF(time+1&gt;=AA$2, $K129/time_cap/(time+1)*Z$2, 0) = 0, $K129/(time_cap),0)),0)</f>
        <v/>
      </c>
      <c r="AA129" s="4395">
        <f>IFERROR(IF((time+time_cap)&lt;AA$2, 0,IF(AND(time+1&gt;=AB$2, $E129&lt;AB$2), IF($I129= "I", $J129/($F129-$E129+1), $J129/(($F129*($F129+1)/2)-(($E129-1)*($E129-1+1)/2))*AA$2), 0)+IF(IF(time+1&gt;=AB$2, $K129/time_cap/(time+1)*AA$2, 0) = 0, $K129/(time_cap),0)),0)</f>
        <v/>
      </c>
      <c r="AB129" s="4395">
        <f>IFERROR(IF((time+time_cap)&lt;AB$2, 0,IF(AND(time+1&gt;=AC$2, $E129&lt;AC$2), IF($I129= "I", $J129/($F129-$E129+1), $J129/(($F129*($F129+1)/2)-(($E129-1)*($E129-1+1)/2))*AB$2), 0)+IF(IF(time+1&gt;=AC$2, $K129/time_cap/(time+1)*AB$2, 0) = 0, $K129/(time_cap),0)),0)</f>
        <v/>
      </c>
      <c r="AC129" s="4395">
        <f>IFERROR(IF((time+time_cap)&lt;AC$2, 0,IF(AND(time+1&gt;=AD$2, $E129&lt;AD$2), IF($I129= "I", $J129/($F129-$E129+1), $J129/(($F129*($F129+1)/2)-(($E129-1)*($E129-1+1)/2))*AC$2), 0)+IF(IF(time+1&gt;=AD$2, $K129/time_cap/(time+1)*AC$2, 0) = 0, $K129/(time_cap),0)),0)</f>
        <v/>
      </c>
      <c r="AD129" s="4395">
        <f>IFERROR(IF((time+time_cap)&lt;AD$2, 0,IF(AND(time+1&gt;=AE$2, $E129&lt;AE$2), IF($I129= "I", $J129/($F129-$E129+1), $J129/(($F129*($F129+1)/2)-(($E129-1)*($E129-1+1)/2))*AD$2), 0)+IF(IF(time+1&gt;=AE$2, $K129/time_cap/(time+1)*AD$2, 0) = 0, $K129/(time_cap),0)),0)</f>
        <v/>
      </c>
      <c r="AE129" s="4395">
        <f>IFERROR(IF((time+time_cap)&lt;AE$2, 0,IF(AND(time+1&gt;=AF$2, $E129&lt;AF$2), IF($I129= "I", $J129/($F129-$E129+1), $J129/(($F129*($F129+1)/2)-(($E129-1)*($E129-1+1)/2))*AE$2), 0)+IF(IF(time+1&gt;=AF$2, $K129/time_cap/(time+1)*AE$2, 0) = 0, $K129/(time_cap),0)),0)</f>
        <v/>
      </c>
      <c r="AF129" s="4395">
        <f>IFERROR(IF((time+time_cap)&lt;AF$2, 0,IF(AND(time+1&gt;=AG$2, $E129&lt;AG$2), IF($I129= "I", $J129/($F129-$E129+1), $J129/(($F129*($F129+1)/2)-(($E129-1)*($E129-1+1)/2))*AF$2), 0)+IF(IF(time+1&gt;=AG$2, $K129/time_cap/(time+1)*AF$2, 0) = 0, $K129/(time_cap),0)),0)</f>
        <v/>
      </c>
      <c r="AG129" s="4395">
        <f>IFERROR(IF((time+time_cap)&lt;AG$2, 0,IF(AND(time+1&gt;=AH$2, $E129&lt;AH$2), IF($I129= "I", $J129/($F129-$E129+1), $J129/(($F129*($F129+1)/2)-(($E129-1)*($E129-1+1)/2))*AG$2), 0)+IF(IF(time+1&gt;=AH$2, $K129/time_cap/(time+1)*AG$2, 0) = 0, $K129/(time_cap),0)),0)</f>
        <v/>
      </c>
      <c r="AH129" s="4395">
        <f>IFERROR(IF((time+time_cap)&lt;AH$2, 0,IF(AND(time+1&gt;=AI$2, $E129&lt;AI$2), IF($I129= "I", $J129/($F129-$E129+1), $J129/(($F129*($F129+1)/2)-(($E129-1)*($E129-1+1)/2))*AH$2), 0)+IF(IF(time+1&gt;=AI$2, $K129/time_cap/(time+1)*AH$2, 0) = 0, $K129/(time_cap),0)),0)</f>
        <v/>
      </c>
      <c r="AI129" s="4395">
        <f>IFERROR(IF((time+time_cap)&lt;AI$2, 0,IF(AND(time+1&gt;=AJ$2, $E129&lt;AJ$2), IF($I129= "I", $J129/($F129-$E129+1), $J129/(($F129*($F129+1)/2)-(($E129-1)*($E129-1+1)/2))*AI$2), 0)+IF(IF(time+1&gt;=AJ$2, $K129/time_cap/(time+1)*AI$2, 0) = 0, $K129/(time_cap),0)),0)</f>
        <v/>
      </c>
      <c r="AJ129" s="4395">
        <f>IFERROR(IF((time+time_cap)&lt;AJ$2, 0,IF(AND(time+1&gt;=AK$2, $E129&lt;AK$2), IF($I129= "I", $J129/($F129-$E129+1), $J129/(($F129*($F129+1)/2)-(($E129-1)*($E129-1+1)/2))*AJ$2), 0)+IF(IF(time+1&gt;=AK$2, $K129/time_cap/(time+1)*AJ$2, 0) = 0, $K129/(time_cap),0)),0)</f>
        <v/>
      </c>
      <c r="AK129" s="4395">
        <f>IFERROR(IF((time+time_cap)&lt;AK$2, 0,IF(AND(time+1&gt;=AL$2, $E129&lt;AL$2), IF($I129= "I", $J129/($F129-$E129+1), $J129/(($F129*($F129+1)/2)-(($E129-1)*($E129-1+1)/2))*AK$2), 0)+IF(IF(time+1&gt;=AL$2, $K129/time_cap/(time+1)*AK$2, 0) = 0, $K129/(time_cap),0)),0)</f>
        <v/>
      </c>
      <c r="AL129" s="4395">
        <f>IFERROR(IF((time+time_cap)&lt;AL$2, 0,IF(AND(time+1&gt;=AM$2, $E129&lt;AM$2), IF($I129= "I", $J129/($F129-$E129+1), $J129/(($F129*($F129+1)/2)-(($E129-1)*($E129-1+1)/2))*AL$2), 0)+IF(IF(time+1&gt;=AM$2, $K129/time_cap/(time+1)*AL$2, 0) = 0, $K129/(time_cap),0)),0)</f>
        <v/>
      </c>
      <c r="AM129" s="4395">
        <f>IFERROR(IF((time+time_cap)&lt;AM$2, 0,IF(AND(time+1&gt;=AN$2, $E129&lt;AN$2), IF($I129= "I", $J129/($F129-$E129+1), $J129/(($F129*($F129+1)/2)-(($E129-1)*($E129-1+1)/2))*AM$2), 0)+IF(IF(time+1&gt;=AN$2, $K129/time_cap/(time+1)*AM$2, 0) = 0, $K129/(time_cap),0)),0)</f>
        <v/>
      </c>
      <c r="AN129" s="4395">
        <f>IFERROR(IF((time+time_cap)&lt;AN$2, 0,IF(AND(time+1&gt;=AO$2, $E129&lt;AO$2), IF($I129= "I", $J129/($F129-$E129+1), $J129/(($F129*($F129+1)/2)-(($E129-1)*($E129-1+1)/2))*AN$2), 0)+IF(IF(time+1&gt;=AO$2, $K129/time_cap/(time+1)*AN$2, 0) = 0, $K129/(time_cap),0)),0)</f>
        <v/>
      </c>
      <c r="AO129" s="4395">
        <f>IFERROR(IF((time+time_cap)&lt;AO$2, 0,IF(AND(time+1&gt;=AP$2, $E129&lt;AP$2), IF($I129= "I", $J129/($F129-$E129+1), $J129/(($F129*($F129+1)/2)-(($E129-1)*($E129-1+1)/2))*AO$2), 0)+IF(IF(time+1&gt;=AP$2, $K129/time_cap/(time+1)*AO$2, 0) = 0, $K129/(time_cap),0)),0)</f>
        <v/>
      </c>
      <c r="AP129" s="4395">
        <f>IFERROR(IF((time+time_cap)&lt;AP$2, 0,IF(AND(time+1&gt;=AQ$2, $E129&lt;AQ$2), IF($I129= "I", $J129/($F129-$E129+1), $J129/(($F129*($F129+1)/2)-(($E129-1)*($E129-1+1)/2))*AP$2), 0)+IF(IF(time+1&gt;=AQ$2, $K129/time_cap/(time+1)*AP$2, 0) = 0, $K129/(time_cap),0)),0)</f>
        <v/>
      </c>
      <c r="AQ129" s="4395">
        <f>IFERROR(IF((time+time_cap)&lt;AQ$2, 0,IF(AND(time+1&gt;=AR$2, $E129&lt;AR$2), IF($I129= "I", $J129/($F129-$E129+1), $J129/(($F129*($F129+1)/2)-(($E129-1)*($E129-1+1)/2))*AQ$2), 0)+IF(IF(time+1&gt;=AR$2, $K129/time_cap/(time+1)*AQ$2, 0) = 0, $K129/(time_cap),0)),0)</f>
        <v/>
      </c>
      <c r="AR129" s="4395">
        <f>IFERROR(IF((time+time_cap)&lt;AR$2, 0,IF(AND(time+1&gt;=AS$2, $E129&lt;AS$2), IF($I129= "I", $J129/($F129-$E129+1), $J129/(($F129*($F129+1)/2)-(($E129-1)*($E129-1+1)/2))*AR$2), 0)+IF(IF(time+1&gt;=AS$2, $K129/time_cap/(time+1)*AR$2, 0) = 0, $K129/(time_cap),0)),0)</f>
        <v/>
      </c>
      <c r="AS129" s="4395">
        <f>IFERROR(IF((time+time_cap)&lt;AS$2, 0,IF(AND(time+1&gt;=AT$2, $E129&lt;AT$2), IF($I129= "I", $J129/($F129-$E129+1), $J129/(($F129*($F129+1)/2)-(($E129-1)*($E129-1+1)/2))*AS$2), 0)+IF(IF(time+1&gt;=AT$2, $K129/time_cap/(time+1)*AS$2, 0) = 0, $K129/(time_cap),0)),0)</f>
        <v/>
      </c>
      <c r="AT129" s="4395">
        <f>IFERROR(IF((time+time_cap)&lt;AT$2, 0,IF(AND(time+1&gt;=AU$2, $E129&lt;AU$2), IF($I129= "I", $J129/($F129-$E129+1), $J129/(($F129*($F129+1)/2)-(($E129-1)*($E129-1+1)/2))*AT$2), 0)+IF(IF(time+1&gt;=AU$2, $K129/time_cap/(time+1)*AT$2, 0) = 0, $K129/(time_cap),0)),0)</f>
        <v/>
      </c>
      <c r="AU129" s="4395">
        <f>IFERROR(IF((time+time_cap)&lt;AU$2, 0,IF(AND(time+1&gt;=AV$2, $E129&lt;AV$2), IF($I129= "I", $J129/($F129-$E129+1), $J129/(($F129*($F129+1)/2)-(($E129-1)*($E129-1+1)/2))*AU$2), 0)+IF(IF(time+1&gt;=AV$2, $K129/time_cap/(time+1)*AU$2, 0) = 0, $K129/(time_cap),0)),0)</f>
        <v/>
      </c>
      <c r="AV129" s="4395">
        <f>IFERROR(IF((time+time_cap)&lt;AV$2, 0,IF(AND(time+1&gt;=AW$2, $E129&lt;AW$2), IF($I129= "I", $J129/($F129-$E129+1), $J129/(($F129*($F129+1)/2)-(($E129-1)*($E129-1+1)/2))*AV$2), 0)+IF(IF(time+1&gt;=AW$2, $K129/time_cap/(time+1)*AV$2, 0) = 0, $K129/(time_cap),0)),0)</f>
        <v/>
      </c>
      <c r="AW129" s="4395">
        <f>IFERROR(IF((time+time_cap)&lt;AW$2, 0,IF(AND(time+1&gt;=AX$2, $E129&lt;AX$2), IF($I129= "I", $J129/($F129-$E129+1), $J129/(($F129*($F129+1)/2)-(($E129-1)*($E129-1+1)/2))*AW$2), 0)+IF(IF(time+1&gt;=AX$2, $K129/time_cap/(time+1)*AW$2, 0) = 0, $K129/(time_cap),0)),0)</f>
        <v/>
      </c>
      <c r="AX129" s="4395">
        <f>IFERROR(IF((time+time_cap)&lt;AX$2, 0,IF(AND(time+1&gt;=AY$2, $E129&lt;AY$2), IF($I129= "I", $J129/($F129-$E129+1), $J129/(($F129*($F129+1)/2)-(($E129-1)*($E129-1+1)/2))*AX$2), 0)+IF(IF(time+1&gt;=AY$2, $K129/time_cap/(time+1)*AX$2, 0) = 0, $K129/(time_cap),0)),0)</f>
        <v/>
      </c>
      <c r="AY129" s="4395">
        <f>IFERROR(IF((time+time_cap)&lt;AY$2, 0,IF(AND(time+1&gt;=AZ$2, $E129&lt;AZ$2), IF($I129= "I", $J129/($F129-$E129+1), $J129/(($F129*($F129+1)/2)-(($E129-1)*($E129-1+1)/2))*AY$2), 0)+IF(IF(time+1&gt;=AZ$2, $K129/time_cap/(time+1)*AY$2, 0) = 0, $K129/(time_cap),0)),0)</f>
        <v/>
      </c>
      <c r="AZ129" s="4395">
        <f>IFERROR(IF((time+time_cap)&lt;AZ$2, 0,IF(AND(time+1&gt;=BA$2, $E129&lt;BA$2), IF($I129= "I", $J129/($F129-$E129+1), $J129/(($F129*($F129+1)/2)-(($E129-1)*($E129-1+1)/2))*AZ$2), 0)+IF(IF(time+1&gt;=BA$2, $K129/time_cap/(time+1)*AZ$2, 0) = 0, $K129/(time_cap),0)),0)</f>
        <v/>
      </c>
      <c r="BA129" s="4395">
        <f>IFERROR(IF((time+time_cap)&lt;BA$2, 0,IF(AND(time+1&gt;=BB$2, $E129&lt;BB$2), IF($I129= "I", $J129/($F129-$E129+1), $J129/(($F129*($F129+1)/2)-(($E129-1)*($E129-1+1)/2))*BA$2), 0)+IF(IF(time+1&gt;=BB$2, $K129/time_cap/(time+1)*BA$2, 0) = 0, $K129/(time_cap),0)),0)</f>
        <v/>
      </c>
      <c r="BB129" s="4395">
        <f>IFERROR(IF((time+time_cap)&lt;BB$2, 0,IF(AND(time+1&gt;=BC$2, $E129&lt;BC$2), IF($I129= "I", $J129/($F129-$E129+1), $J129/(($F129*($F129+1)/2)-(($E129-1)*($E129-1+1)/2))*BB$2), 0)+IF(IF(time+1&gt;=BC$2, $K129/time_cap/(time+1)*BB$2, 0) = 0, $K129/(time_cap),0)),0)</f>
        <v/>
      </c>
      <c r="BC129" s="4395">
        <f>IFERROR(IF((time+time_cap)&lt;BC$2, 0,IF(AND(time+1&gt;=BD$2, $E129&lt;BD$2), IF($I129= "I", $J129/($F129-$E129+1), $J129/(($F129*($F129+1)/2)-(($E129-1)*($E129-1+1)/2))*BC$2), 0)+IF(IF(time+1&gt;=BD$2, $K129/time_cap/(time+1)*BC$2, 0) = 0, $K129/(time_cap),0)),0)</f>
        <v/>
      </c>
      <c r="BD129" s="4395">
        <f>IFERROR(IF((time+time_cap)&lt;BD$2, 0,IF(AND(time+1&gt;=BE$2, $E129&lt;BE$2), IF($I129= "I", $J129/($F129-$E129+1), $J129/(($F129*($F129+1)/2)-(($E129-1)*($E129-1+1)/2))*BD$2), 0)+IF(IF(time+1&gt;=BE$2, $K129/time_cap/(time+1)*BD$2, 0) = 0, $K129/(time_cap),0)),0)</f>
        <v/>
      </c>
      <c r="BE129" s="4395">
        <f>IFERROR(IF((time+time_cap)&lt;BE$2, 0,IF(AND(time+1&gt;=BF$2, $E129&lt;BF$2), IF($I129= "I", $J129/($F129-$E129+1), $J129/(($F129*($F129+1)/2)-(($E129-1)*($E129-1+1)/2))*BE$2), 0)+IF(IF(time+1&gt;=BF$2, $K129/time_cap/(time+1)*BE$2, 0) = 0, $K129/(time_cap),0)),0)</f>
        <v/>
      </c>
      <c r="BF129" s="4395">
        <f>IFERROR(IF((time+time_cap)&lt;BF$2, 0,IF(AND(time+1&gt;=BG$2, $E129&lt;BG$2), IF($I129= "I", $J129/($F129-$E129+1), $J129/(($F129*($F129+1)/2)-(($E129-1)*($E129-1+1)/2))*BF$2), 0)+IF(IF(time+1&gt;=BG$2, $K129/time_cap/(time+1)*BF$2, 0) = 0, $K129/(time_cap),0)),0)</f>
        <v/>
      </c>
      <c r="BG129" s="4395">
        <f>IFERROR(IF((time+time_cap)&lt;BG$2, 0,IF(AND(time+1&gt;=BH$2, $E129&lt;BH$2), IF($I129= "I", $J129/($F129-$E129+1), $J129/(($F129*($F129+1)/2)-(($E129-1)*($E129-1+1)/2))*BG$2), 0)+IF(IF(time+1&gt;=BH$2, $K129/time_cap/(time+1)*BG$2, 0) = 0, $K129/(time_cap),0)),0)</f>
        <v/>
      </c>
      <c r="BH129" s="4395">
        <f>IFERROR(IF((time+time_cap)&lt;BH$2, 0,IF(AND(time+1&gt;=BI$2, $E129&lt;BI$2), IF($I129= "I", $J129/($F129-$E129+1), $J129/(($F129*($F129+1)/2)-(($E129-1)*($E129-1+1)/2))*BH$2), 0)+IF(IF(time+1&gt;=BI$2, $K129/time_cap/(time+1)*BH$2, 0) = 0, $K129/(time_cap),0)),0)</f>
        <v/>
      </c>
      <c r="BI129" s="4395">
        <f>IFERROR(IF((time+time_cap)&lt;BI$2, 0,IF(AND(time+1&gt;=BJ$2, $E129&lt;BJ$2), IF($I129= "I", $J129/($F129-$E129+1), $J129/(($F129*($F129+1)/2)-(($E129-1)*($E129-1+1)/2))*BI$2), 0)+IF(IF(time+1&gt;=BJ$2, $K129/time_cap/(time+1)*BI$2, 0) = 0, $K129/(time_cap),0)),0)</f>
        <v/>
      </c>
      <c r="BJ129" s="4395">
        <f>IFERROR(IF((time+time_cap)&lt;BJ$2, 0,IF(AND(time+1&gt;=BK$2, $E129&lt;BK$2), IF($I129= "I", $J129/($F129-$E129+1), $J129/(($F129*($F129+1)/2)-(($E129-1)*($E129-1+1)/2))*BJ$2), 0)+IF(IF(time+1&gt;=BK$2, $K129/time_cap/(time+1)*BJ$2, 0) = 0, $K129/(time_cap),0)),0)</f>
        <v/>
      </c>
      <c r="BK129" s="4395" t="n"/>
      <c r="BL129" s="4395" t="n"/>
      <c r="BM129" s="4395" t="n"/>
      <c r="BN129" s="4395" t="n"/>
      <c r="BO129" s="4395" t="n"/>
      <c r="BP129" s="4395" t="n"/>
      <c r="BQ129" s="4395" t="n"/>
      <c r="BR129" s="4395" t="n"/>
      <c r="BS129" s="4395" t="n"/>
      <c r="BT129" s="4395" t="n"/>
      <c r="BU129" s="4395" t="n"/>
      <c r="BV129" s="4395" t="n"/>
      <c r="BW129" s="4395" t="n"/>
      <c r="BX129" s="4395" t="n"/>
      <c r="BY129" s="4395" t="n"/>
      <c r="BZ129" s="4395" t="n"/>
      <c r="CA129" s="4395" t="n"/>
      <c r="CB129" s="4395" t="n"/>
      <c r="CC129" s="4395" t="n"/>
      <c r="CD129" s="4395" t="n"/>
      <c r="CE129" s="4395" t="n"/>
      <c r="CF129" s="4395" t="n"/>
      <c r="CG129" s="4395" t="n"/>
      <c r="CH129" s="4395" t="n"/>
      <c r="CI129" s="4395" t="n"/>
      <c r="CJ129" s="4395" t="n"/>
      <c r="CK129" s="4395" t="n"/>
      <c r="CL129" s="4395" t="n"/>
      <c r="CM129" s="4395" t="n"/>
      <c r="CN129" s="4395" t="n"/>
      <c r="CO129" s="4395" t="n"/>
      <c r="CP129" s="4395" t="n"/>
      <c r="CQ129" s="4395" t="n"/>
      <c r="CR129" s="4395" t="n"/>
      <c r="CS129" s="4395" t="n"/>
      <c r="CT129" s="4395" t="n"/>
      <c r="CU129" s="4395" t="n"/>
      <c r="CV129" s="4395" t="n"/>
      <c r="CW129" s="4395" t="n"/>
      <c r="CX129" s="4395" t="n"/>
      <c r="CY129" s="4395" t="n"/>
      <c r="CZ129" s="4395" t="n"/>
      <c r="DA129" s="4395" t="n"/>
      <c r="DB129" s="4395" t="n"/>
      <c r="DC129" s="4395" t="n"/>
      <c r="DD129" s="4395" t="n"/>
      <c r="DE129" s="4395" t="n"/>
      <c r="DF129" s="4395" t="n"/>
      <c r="DG129" s="4395" t="n"/>
      <c r="DH129" s="4395" t="n"/>
    </row>
    <row r="130" ht="16" customHeight="1">
      <c r="A130" t="inlineStr">
        <is>
          <t>Inland wetlands - OLUC</t>
        </is>
      </c>
      <c r="B130">
        <f>'6.Inland wetlands'!C80</f>
        <v/>
      </c>
      <c r="C130">
        <f>'6.Inland wetlands'!K80</f>
        <v/>
      </c>
      <c r="D130">
        <f>'6.Inland wetlands'!AG80+'6.Inland wetlands'!AG91</f>
        <v/>
      </c>
      <c r="E130">
        <f>IF('6.Inland wetlands'!BI80&lt;&gt;0,'6.Inland wetlands'!BI80,'6.Inland wetlands'!BH80)</f>
        <v/>
      </c>
      <c r="F130">
        <f>time</f>
        <v/>
      </c>
      <c r="G130" s="4395">
        <f>'6.Inland wetlands'!O80</f>
        <v/>
      </c>
      <c r="H130" s="4395">
        <f>'6.Inland wetlands'!Q80</f>
        <v/>
      </c>
      <c r="I130" s="4395">
        <f>IF(OR(H130="I", G130="I"), "I", IF(OR(H130="E", G130="E"), "E", "D"))</f>
        <v/>
      </c>
      <c r="J130" s="4395">
        <f>((D130/(time_cap+((F130-E130+1)*VLOOKUP(I130,list!$I$48:$K$50,3, FALSE))))*(F130-E130+1)*VLOOKUP(I130,list!$I$48:$K$50,3, FALSE))</f>
        <v/>
      </c>
      <c r="K130" s="4395">
        <f>((D130/(time_cap+((F130-E130+1)*VLOOKUP(I130,list!$I$48:$K$50,3, FALSE))))*time_cap)</f>
        <v/>
      </c>
      <c r="M130" s="4395">
        <f>IFERROR(IF((time+time_cap)&lt;M$2, 0,IF(AND(time+1&gt;=N$2, $E130&lt;N$2), IF($I130= "I", $J130/($F130-$E130+1), $J130/(($F130*($F130+1)/2)-(($E130-1)*($E130-1+1)/2))*M$2), 0)+IF(IF(time+1&gt;=N$2, $K130/time_cap/(time+1)*M$2, 0) = 0, $K130/(time_cap),0)),0)</f>
        <v/>
      </c>
      <c r="N130" s="4395">
        <f>IFERROR(IF((time+time_cap)&lt;N$2, 0,IF(AND(time+1&gt;=O$2, $E130&lt;O$2), IF($I130= "I", $J130/($F130-$E130+1), $J130/(($F130*($F130+1)/2)-(($E130-1)*($E130-1+1)/2))*N$2), 0)+IF(IF(time+1&gt;=O$2, $K130/time_cap/(time+1)*N$2, 0) = 0, $K130/(time_cap),0)),0)</f>
        <v/>
      </c>
      <c r="O130" s="4395">
        <f>IFERROR(IF((time+time_cap)&lt;O$2, 0,IF(AND(time+1&gt;=P$2, $E130&lt;P$2), IF($I130= "I", $J130/($F130-$E130+1), $J130/(($F130*($F130+1)/2)-(($E130-1)*($E130-1+1)/2))*O$2), 0)+IF(IF(time+1&gt;=P$2, $K130/time_cap/(time+1)*O$2, 0) = 0, $K130/(time_cap),0)),0)</f>
        <v/>
      </c>
      <c r="P130" s="4395">
        <f>IFERROR(IF((time+time_cap)&lt;P$2, 0,IF(AND(time+1&gt;=Q$2, $E130&lt;Q$2), IF($I130= "I", $J130/($F130-$E130+1), $J130/(($F130*($F130+1)/2)-(($E130-1)*($E130-1+1)/2))*P$2), 0)+IF(IF(time+1&gt;=Q$2, $K130/time_cap/(time+1)*P$2, 0) = 0, $K130/(time_cap),0)),0)</f>
        <v/>
      </c>
      <c r="Q130" s="4395">
        <f>IFERROR(IF((time+time_cap)&lt;Q$2, 0,IF(AND(time+1&gt;=R$2, $E130&lt;R$2), IF($I130= "I", $J130/($F130-$E130+1), $J130/(($F130*($F130+1)/2)-(($E130-1)*($E130-1+1)/2))*Q$2), 0)+IF(IF(time+1&gt;=R$2, $K130/time_cap/(time+1)*Q$2, 0) = 0, $K130/(time_cap),0)),0)</f>
        <v/>
      </c>
      <c r="R130" s="4395">
        <f>IFERROR(IF((time+time_cap)&lt;R$2, 0,IF(AND(time+1&gt;=S$2, $E130&lt;S$2), IF($I130= "I", $J130/($F130-$E130+1), $J130/(($F130*($F130+1)/2)-(($E130-1)*($E130-1+1)/2))*R$2), 0)+IF(IF(time+1&gt;=S$2, $K130/time_cap/(time+1)*R$2, 0) = 0, $K130/(time_cap),0)),0)</f>
        <v/>
      </c>
      <c r="S130" s="4395">
        <f>IFERROR(IF((time+time_cap)&lt;S$2, 0,IF(AND(time+1&gt;=T$2, $E130&lt;T$2), IF($I130= "I", $J130/($F130-$E130+1), $J130/(($F130*($F130+1)/2)-(($E130-1)*($E130-1+1)/2))*S$2), 0)+IF(IF(time+1&gt;=T$2, $K130/time_cap/(time+1)*S$2, 0) = 0, $K130/(time_cap),0)),0)</f>
        <v/>
      </c>
      <c r="T130" s="4395">
        <f>IFERROR(IF((time+time_cap)&lt;T$2, 0,IF(AND(time+1&gt;=U$2, $E130&lt;U$2), IF($I130= "I", $J130/($F130-$E130+1), $J130/(($F130*($F130+1)/2)-(($E130-1)*($E130-1+1)/2))*T$2), 0)+IF(IF(time+1&gt;=U$2, $K130/time_cap/(time+1)*T$2, 0) = 0, $K130/(time_cap),0)),0)</f>
        <v/>
      </c>
      <c r="U130" s="4395">
        <f>IFERROR(IF((time+time_cap)&lt;U$2, 0,IF(AND(time+1&gt;=V$2, $E130&lt;V$2), IF($I130= "I", $J130/($F130-$E130+1), $J130/(($F130*($F130+1)/2)-(($E130-1)*($E130-1+1)/2))*U$2), 0)+IF(IF(time+1&gt;=V$2, $K130/time_cap/(time+1)*U$2, 0) = 0, $K130/(time_cap),0)),0)</f>
        <v/>
      </c>
      <c r="V130" s="4395">
        <f>IFERROR(IF((time+time_cap)&lt;V$2, 0,IF(AND(time+1&gt;=W$2, $E130&lt;W$2), IF($I130= "I", $J130/($F130-$E130+1), $J130/(($F130*($F130+1)/2)-(($E130-1)*($E130-1+1)/2))*V$2), 0)+IF(IF(time+1&gt;=W$2, $K130/time_cap/(time+1)*V$2, 0) = 0, $K130/(time_cap),0)),0)</f>
        <v/>
      </c>
      <c r="W130" s="4395">
        <f>IFERROR(IF((time+time_cap)&lt;W$2, 0,IF(AND(time+1&gt;=X$2, $E130&lt;X$2), IF($I130= "I", $J130/($F130-$E130+1), $J130/(($F130*($F130+1)/2)-(($E130-1)*($E130-1+1)/2))*W$2), 0)+IF(IF(time+1&gt;=X$2, $K130/time_cap/(time+1)*W$2, 0) = 0, $K130/(time_cap),0)),0)</f>
        <v/>
      </c>
      <c r="X130" s="4395">
        <f>IFERROR(IF((time+time_cap)&lt;X$2, 0,IF(AND(time+1&gt;=Y$2, $E130&lt;Y$2), IF($I130= "I", $J130/($F130-$E130+1), $J130/(($F130*($F130+1)/2)-(($E130-1)*($E130-1+1)/2))*X$2), 0)+IF(IF(time+1&gt;=Y$2, $K130/time_cap/(time+1)*X$2, 0) = 0, $K130/(time_cap),0)),0)</f>
        <v/>
      </c>
      <c r="Y130" s="4395">
        <f>IFERROR(IF((time+time_cap)&lt;Y$2, 0,IF(AND(time+1&gt;=Z$2, $E130&lt;Z$2), IF($I130= "I", $J130/($F130-$E130+1), $J130/(($F130*($F130+1)/2)-(($E130-1)*($E130-1+1)/2))*Y$2), 0)+IF(IF(time+1&gt;=Z$2, $K130/time_cap/(time+1)*Y$2, 0) = 0, $K130/(time_cap),0)),0)</f>
        <v/>
      </c>
      <c r="Z130" s="4395">
        <f>IFERROR(IF((time+time_cap)&lt;Z$2, 0,IF(AND(time+1&gt;=AA$2, $E130&lt;AA$2), IF($I130= "I", $J130/($F130-$E130+1), $J130/(($F130*($F130+1)/2)-(($E130-1)*($E130-1+1)/2))*Z$2), 0)+IF(IF(time+1&gt;=AA$2, $K130/time_cap/(time+1)*Z$2, 0) = 0, $K130/(time_cap),0)),0)</f>
        <v/>
      </c>
      <c r="AA130" s="4395">
        <f>IFERROR(IF((time+time_cap)&lt;AA$2, 0,IF(AND(time+1&gt;=AB$2, $E130&lt;AB$2), IF($I130= "I", $J130/($F130-$E130+1), $J130/(($F130*($F130+1)/2)-(($E130-1)*($E130-1+1)/2))*AA$2), 0)+IF(IF(time+1&gt;=AB$2, $K130/time_cap/(time+1)*AA$2, 0) = 0, $K130/(time_cap),0)),0)</f>
        <v/>
      </c>
      <c r="AB130" s="4395">
        <f>IFERROR(IF((time+time_cap)&lt;AB$2, 0,IF(AND(time+1&gt;=AC$2, $E130&lt;AC$2), IF($I130= "I", $J130/($F130-$E130+1), $J130/(($F130*($F130+1)/2)-(($E130-1)*($E130-1+1)/2))*AB$2), 0)+IF(IF(time+1&gt;=AC$2, $K130/time_cap/(time+1)*AB$2, 0) = 0, $K130/(time_cap),0)),0)</f>
        <v/>
      </c>
      <c r="AC130" s="4395">
        <f>IFERROR(IF((time+time_cap)&lt;AC$2, 0,IF(AND(time+1&gt;=AD$2, $E130&lt;AD$2), IF($I130= "I", $J130/($F130-$E130+1), $J130/(($F130*($F130+1)/2)-(($E130-1)*($E130-1+1)/2))*AC$2), 0)+IF(IF(time+1&gt;=AD$2, $K130/time_cap/(time+1)*AC$2, 0) = 0, $K130/(time_cap),0)),0)</f>
        <v/>
      </c>
      <c r="AD130" s="4395">
        <f>IFERROR(IF((time+time_cap)&lt;AD$2, 0,IF(AND(time+1&gt;=AE$2, $E130&lt;AE$2), IF($I130= "I", $J130/($F130-$E130+1), $J130/(($F130*($F130+1)/2)-(($E130-1)*($E130-1+1)/2))*AD$2), 0)+IF(IF(time+1&gt;=AE$2, $K130/time_cap/(time+1)*AD$2, 0) = 0, $K130/(time_cap),0)),0)</f>
        <v/>
      </c>
      <c r="AE130" s="4395">
        <f>IFERROR(IF((time+time_cap)&lt;AE$2, 0,IF(AND(time+1&gt;=AF$2, $E130&lt;AF$2), IF($I130= "I", $J130/($F130-$E130+1), $J130/(($F130*($F130+1)/2)-(($E130-1)*($E130-1+1)/2))*AE$2), 0)+IF(IF(time+1&gt;=AF$2, $K130/time_cap/(time+1)*AE$2, 0) = 0, $K130/(time_cap),0)),0)</f>
        <v/>
      </c>
      <c r="AF130" s="4395">
        <f>IFERROR(IF((time+time_cap)&lt;AF$2, 0,IF(AND(time+1&gt;=AG$2, $E130&lt;AG$2), IF($I130= "I", $J130/($F130-$E130+1), $J130/(($F130*($F130+1)/2)-(($E130-1)*($E130-1+1)/2))*AF$2), 0)+IF(IF(time+1&gt;=AG$2, $K130/time_cap/(time+1)*AF$2, 0) = 0, $K130/(time_cap),0)),0)</f>
        <v/>
      </c>
      <c r="AG130" s="4395">
        <f>IFERROR(IF((time+time_cap)&lt;AG$2, 0,IF(AND(time+1&gt;=AH$2, $E130&lt;AH$2), IF($I130= "I", $J130/($F130-$E130+1), $J130/(($F130*($F130+1)/2)-(($E130-1)*($E130-1+1)/2))*AG$2), 0)+IF(IF(time+1&gt;=AH$2, $K130/time_cap/(time+1)*AG$2, 0) = 0, $K130/(time_cap),0)),0)</f>
        <v/>
      </c>
      <c r="AH130" s="4395">
        <f>IFERROR(IF((time+time_cap)&lt;AH$2, 0,IF(AND(time+1&gt;=AI$2, $E130&lt;AI$2), IF($I130= "I", $J130/($F130-$E130+1), $J130/(($F130*($F130+1)/2)-(($E130-1)*($E130-1+1)/2))*AH$2), 0)+IF(IF(time+1&gt;=AI$2, $K130/time_cap/(time+1)*AH$2, 0) = 0, $K130/(time_cap),0)),0)</f>
        <v/>
      </c>
      <c r="AI130" s="4395">
        <f>IFERROR(IF((time+time_cap)&lt;AI$2, 0,IF(AND(time+1&gt;=AJ$2, $E130&lt;AJ$2), IF($I130= "I", $J130/($F130-$E130+1), $J130/(($F130*($F130+1)/2)-(($E130-1)*($E130-1+1)/2))*AI$2), 0)+IF(IF(time+1&gt;=AJ$2, $K130/time_cap/(time+1)*AI$2, 0) = 0, $K130/(time_cap),0)),0)</f>
        <v/>
      </c>
      <c r="AJ130" s="4395">
        <f>IFERROR(IF((time+time_cap)&lt;AJ$2, 0,IF(AND(time+1&gt;=AK$2, $E130&lt;AK$2), IF($I130= "I", $J130/($F130-$E130+1), $J130/(($F130*($F130+1)/2)-(($E130-1)*($E130-1+1)/2))*AJ$2), 0)+IF(IF(time+1&gt;=AK$2, $K130/time_cap/(time+1)*AJ$2, 0) = 0, $K130/(time_cap),0)),0)</f>
        <v/>
      </c>
      <c r="AK130" s="4395">
        <f>IFERROR(IF((time+time_cap)&lt;AK$2, 0,IF(AND(time+1&gt;=AL$2, $E130&lt;AL$2), IF($I130= "I", $J130/($F130-$E130+1), $J130/(($F130*($F130+1)/2)-(($E130-1)*($E130-1+1)/2))*AK$2), 0)+IF(IF(time+1&gt;=AL$2, $K130/time_cap/(time+1)*AK$2, 0) = 0, $K130/(time_cap),0)),0)</f>
        <v/>
      </c>
      <c r="AL130" s="4395">
        <f>IFERROR(IF((time+time_cap)&lt;AL$2, 0,IF(AND(time+1&gt;=AM$2, $E130&lt;AM$2), IF($I130= "I", $J130/($F130-$E130+1), $J130/(($F130*($F130+1)/2)-(($E130-1)*($E130-1+1)/2))*AL$2), 0)+IF(IF(time+1&gt;=AM$2, $K130/time_cap/(time+1)*AL$2, 0) = 0, $K130/(time_cap),0)),0)</f>
        <v/>
      </c>
      <c r="AM130" s="4395">
        <f>IFERROR(IF((time+time_cap)&lt;AM$2, 0,IF(AND(time+1&gt;=AN$2, $E130&lt;AN$2), IF($I130= "I", $J130/($F130-$E130+1), $J130/(($F130*($F130+1)/2)-(($E130-1)*($E130-1+1)/2))*AM$2), 0)+IF(IF(time+1&gt;=AN$2, $K130/time_cap/(time+1)*AM$2, 0) = 0, $K130/(time_cap),0)),0)</f>
        <v/>
      </c>
      <c r="AN130" s="4395">
        <f>IFERROR(IF((time+time_cap)&lt;AN$2, 0,IF(AND(time+1&gt;=AO$2, $E130&lt;AO$2), IF($I130= "I", $J130/($F130-$E130+1), $J130/(($F130*($F130+1)/2)-(($E130-1)*($E130-1+1)/2))*AN$2), 0)+IF(IF(time+1&gt;=AO$2, $K130/time_cap/(time+1)*AN$2, 0) = 0, $K130/(time_cap),0)),0)</f>
        <v/>
      </c>
      <c r="AO130" s="4395">
        <f>IFERROR(IF((time+time_cap)&lt;AO$2, 0,IF(AND(time+1&gt;=AP$2, $E130&lt;AP$2), IF($I130= "I", $J130/($F130-$E130+1), $J130/(($F130*($F130+1)/2)-(($E130-1)*($E130-1+1)/2))*AO$2), 0)+IF(IF(time+1&gt;=AP$2, $K130/time_cap/(time+1)*AO$2, 0) = 0, $K130/(time_cap),0)),0)</f>
        <v/>
      </c>
      <c r="AP130" s="4395">
        <f>IFERROR(IF((time+time_cap)&lt;AP$2, 0,IF(AND(time+1&gt;=AQ$2, $E130&lt;AQ$2), IF($I130= "I", $J130/($F130-$E130+1), $J130/(($F130*($F130+1)/2)-(($E130-1)*($E130-1+1)/2))*AP$2), 0)+IF(IF(time+1&gt;=AQ$2, $K130/time_cap/(time+1)*AP$2, 0) = 0, $K130/(time_cap),0)),0)</f>
        <v/>
      </c>
      <c r="AQ130" s="4395">
        <f>IFERROR(IF((time+time_cap)&lt;AQ$2, 0,IF(AND(time+1&gt;=AR$2, $E130&lt;AR$2), IF($I130= "I", $J130/($F130-$E130+1), $J130/(($F130*($F130+1)/2)-(($E130-1)*($E130-1+1)/2))*AQ$2), 0)+IF(IF(time+1&gt;=AR$2, $K130/time_cap/(time+1)*AQ$2, 0) = 0, $K130/(time_cap),0)),0)</f>
        <v/>
      </c>
      <c r="AR130" s="4395">
        <f>IFERROR(IF((time+time_cap)&lt;AR$2, 0,IF(AND(time+1&gt;=AS$2, $E130&lt;AS$2), IF($I130= "I", $J130/($F130-$E130+1), $J130/(($F130*($F130+1)/2)-(($E130-1)*($E130-1+1)/2))*AR$2), 0)+IF(IF(time+1&gt;=AS$2, $K130/time_cap/(time+1)*AR$2, 0) = 0, $K130/(time_cap),0)),0)</f>
        <v/>
      </c>
      <c r="AS130" s="4395">
        <f>IFERROR(IF((time+time_cap)&lt;AS$2, 0,IF(AND(time+1&gt;=AT$2, $E130&lt;AT$2), IF($I130= "I", $J130/($F130-$E130+1), $J130/(($F130*($F130+1)/2)-(($E130-1)*($E130-1+1)/2))*AS$2), 0)+IF(IF(time+1&gt;=AT$2, $K130/time_cap/(time+1)*AS$2, 0) = 0, $K130/(time_cap),0)),0)</f>
        <v/>
      </c>
      <c r="AT130" s="4395">
        <f>IFERROR(IF((time+time_cap)&lt;AT$2, 0,IF(AND(time+1&gt;=AU$2, $E130&lt;AU$2), IF($I130= "I", $J130/($F130-$E130+1), $J130/(($F130*($F130+1)/2)-(($E130-1)*($E130-1+1)/2))*AT$2), 0)+IF(IF(time+1&gt;=AU$2, $K130/time_cap/(time+1)*AT$2, 0) = 0, $K130/(time_cap),0)),0)</f>
        <v/>
      </c>
      <c r="AU130" s="4395">
        <f>IFERROR(IF((time+time_cap)&lt;AU$2, 0,IF(AND(time+1&gt;=AV$2, $E130&lt;AV$2), IF($I130= "I", $J130/($F130-$E130+1), $J130/(($F130*($F130+1)/2)-(($E130-1)*($E130-1+1)/2))*AU$2), 0)+IF(IF(time+1&gt;=AV$2, $K130/time_cap/(time+1)*AU$2, 0) = 0, $K130/(time_cap),0)),0)</f>
        <v/>
      </c>
      <c r="AV130" s="4395">
        <f>IFERROR(IF((time+time_cap)&lt;AV$2, 0,IF(AND(time+1&gt;=AW$2, $E130&lt;AW$2), IF($I130= "I", $J130/($F130-$E130+1), $J130/(($F130*($F130+1)/2)-(($E130-1)*($E130-1+1)/2))*AV$2), 0)+IF(IF(time+1&gt;=AW$2, $K130/time_cap/(time+1)*AV$2, 0) = 0, $K130/(time_cap),0)),0)</f>
        <v/>
      </c>
      <c r="AW130" s="4395">
        <f>IFERROR(IF((time+time_cap)&lt;AW$2, 0,IF(AND(time+1&gt;=AX$2, $E130&lt;AX$2), IF($I130= "I", $J130/($F130-$E130+1), $J130/(($F130*($F130+1)/2)-(($E130-1)*($E130-1+1)/2))*AW$2), 0)+IF(IF(time+1&gt;=AX$2, $K130/time_cap/(time+1)*AW$2, 0) = 0, $K130/(time_cap),0)),0)</f>
        <v/>
      </c>
      <c r="AX130" s="4395">
        <f>IFERROR(IF((time+time_cap)&lt;AX$2, 0,IF(AND(time+1&gt;=AY$2, $E130&lt;AY$2), IF($I130= "I", $J130/($F130-$E130+1), $J130/(($F130*($F130+1)/2)-(($E130-1)*($E130-1+1)/2))*AX$2), 0)+IF(IF(time+1&gt;=AY$2, $K130/time_cap/(time+1)*AX$2, 0) = 0, $K130/(time_cap),0)),0)</f>
        <v/>
      </c>
      <c r="AY130" s="4395">
        <f>IFERROR(IF((time+time_cap)&lt;AY$2, 0,IF(AND(time+1&gt;=AZ$2, $E130&lt;AZ$2), IF($I130= "I", $J130/($F130-$E130+1), $J130/(($F130*($F130+1)/2)-(($E130-1)*($E130-1+1)/2))*AY$2), 0)+IF(IF(time+1&gt;=AZ$2, $K130/time_cap/(time+1)*AY$2, 0) = 0, $K130/(time_cap),0)),0)</f>
        <v/>
      </c>
      <c r="AZ130" s="4395">
        <f>IFERROR(IF((time+time_cap)&lt;AZ$2, 0,IF(AND(time+1&gt;=BA$2, $E130&lt;BA$2), IF($I130= "I", $J130/($F130-$E130+1), $J130/(($F130*($F130+1)/2)-(($E130-1)*($E130-1+1)/2))*AZ$2), 0)+IF(IF(time+1&gt;=BA$2, $K130/time_cap/(time+1)*AZ$2, 0) = 0, $K130/(time_cap),0)),0)</f>
        <v/>
      </c>
      <c r="BA130" s="4395">
        <f>IFERROR(IF((time+time_cap)&lt;BA$2, 0,IF(AND(time+1&gt;=BB$2, $E130&lt;BB$2), IF($I130= "I", $J130/($F130-$E130+1), $J130/(($F130*($F130+1)/2)-(($E130-1)*($E130-1+1)/2))*BA$2), 0)+IF(IF(time+1&gt;=BB$2, $K130/time_cap/(time+1)*BA$2, 0) = 0, $K130/(time_cap),0)),0)</f>
        <v/>
      </c>
      <c r="BB130" s="4395">
        <f>IFERROR(IF((time+time_cap)&lt;BB$2, 0,IF(AND(time+1&gt;=BC$2, $E130&lt;BC$2), IF($I130= "I", $J130/($F130-$E130+1), $J130/(($F130*($F130+1)/2)-(($E130-1)*($E130-1+1)/2))*BB$2), 0)+IF(IF(time+1&gt;=BC$2, $K130/time_cap/(time+1)*BB$2, 0) = 0, $K130/(time_cap),0)),0)</f>
        <v/>
      </c>
      <c r="BC130" s="4395">
        <f>IFERROR(IF((time+time_cap)&lt;BC$2, 0,IF(AND(time+1&gt;=BD$2, $E130&lt;BD$2), IF($I130= "I", $J130/($F130-$E130+1), $J130/(($F130*($F130+1)/2)-(($E130-1)*($E130-1+1)/2))*BC$2), 0)+IF(IF(time+1&gt;=BD$2, $K130/time_cap/(time+1)*BC$2, 0) = 0, $K130/(time_cap),0)),0)</f>
        <v/>
      </c>
      <c r="BD130" s="4395">
        <f>IFERROR(IF((time+time_cap)&lt;BD$2, 0,IF(AND(time+1&gt;=BE$2, $E130&lt;BE$2), IF($I130= "I", $J130/($F130-$E130+1), $J130/(($F130*($F130+1)/2)-(($E130-1)*($E130-1+1)/2))*BD$2), 0)+IF(IF(time+1&gt;=BE$2, $K130/time_cap/(time+1)*BD$2, 0) = 0, $K130/(time_cap),0)),0)</f>
        <v/>
      </c>
      <c r="BE130" s="4395">
        <f>IFERROR(IF((time+time_cap)&lt;BE$2, 0,IF(AND(time+1&gt;=BF$2, $E130&lt;BF$2), IF($I130= "I", $J130/($F130-$E130+1), $J130/(($F130*($F130+1)/2)-(($E130-1)*($E130-1+1)/2))*BE$2), 0)+IF(IF(time+1&gt;=BF$2, $K130/time_cap/(time+1)*BE$2, 0) = 0, $K130/(time_cap),0)),0)</f>
        <v/>
      </c>
      <c r="BF130" s="4395">
        <f>IFERROR(IF((time+time_cap)&lt;BF$2, 0,IF(AND(time+1&gt;=BG$2, $E130&lt;BG$2), IF($I130= "I", $J130/($F130-$E130+1), $J130/(($F130*($F130+1)/2)-(($E130-1)*($E130-1+1)/2))*BF$2), 0)+IF(IF(time+1&gt;=BG$2, $K130/time_cap/(time+1)*BF$2, 0) = 0, $K130/(time_cap),0)),0)</f>
        <v/>
      </c>
      <c r="BG130" s="4395">
        <f>IFERROR(IF((time+time_cap)&lt;BG$2, 0,IF(AND(time+1&gt;=BH$2, $E130&lt;BH$2), IF($I130= "I", $J130/($F130-$E130+1), $J130/(($F130*($F130+1)/2)-(($E130-1)*($E130-1+1)/2))*BG$2), 0)+IF(IF(time+1&gt;=BH$2, $K130/time_cap/(time+1)*BG$2, 0) = 0, $K130/(time_cap),0)),0)</f>
        <v/>
      </c>
      <c r="BH130" s="4395">
        <f>IFERROR(IF((time+time_cap)&lt;BH$2, 0,IF(AND(time+1&gt;=BI$2, $E130&lt;BI$2), IF($I130= "I", $J130/($F130-$E130+1), $J130/(($F130*($F130+1)/2)-(($E130-1)*($E130-1+1)/2))*BH$2), 0)+IF(IF(time+1&gt;=BI$2, $K130/time_cap/(time+1)*BH$2, 0) = 0, $K130/(time_cap),0)),0)</f>
        <v/>
      </c>
      <c r="BI130" s="4395">
        <f>IFERROR(IF((time+time_cap)&lt;BI$2, 0,IF(AND(time+1&gt;=BJ$2, $E130&lt;BJ$2), IF($I130= "I", $J130/($F130-$E130+1), $J130/(($F130*($F130+1)/2)-(($E130-1)*($E130-1+1)/2))*BI$2), 0)+IF(IF(time+1&gt;=BJ$2, $K130/time_cap/(time+1)*BI$2, 0) = 0, $K130/(time_cap),0)),0)</f>
        <v/>
      </c>
      <c r="BJ130" s="4395">
        <f>IFERROR(IF((time+time_cap)&lt;BJ$2, 0,IF(AND(time+1&gt;=BK$2, $E130&lt;BK$2), IF($I130= "I", $J130/($F130-$E130+1), $J130/(($F130*($F130+1)/2)-(($E130-1)*($E130-1+1)/2))*BJ$2), 0)+IF(IF(time+1&gt;=BK$2, $K130/time_cap/(time+1)*BJ$2, 0) = 0, $K130/(time_cap),0)),0)</f>
        <v/>
      </c>
      <c r="BK130" s="4395" t="n"/>
      <c r="BL130" s="4395" t="n"/>
      <c r="BM130" s="4395" t="n"/>
      <c r="BN130" s="4395" t="n"/>
      <c r="BO130" s="4395" t="n"/>
      <c r="BP130" s="4395" t="n"/>
      <c r="BQ130" s="4395" t="n"/>
      <c r="BR130" s="4395" t="n"/>
      <c r="BS130" s="4395" t="n"/>
      <c r="BT130" s="4395" t="n"/>
      <c r="BU130" s="4395" t="n"/>
      <c r="BV130" s="4395" t="n"/>
      <c r="BW130" s="4395" t="n"/>
      <c r="BX130" s="4395" t="n"/>
      <c r="BY130" s="4395" t="n"/>
      <c r="BZ130" s="4395" t="n"/>
      <c r="CA130" s="4395" t="n"/>
      <c r="CB130" s="4395" t="n"/>
      <c r="CC130" s="4395" t="n"/>
      <c r="CD130" s="4395" t="n"/>
      <c r="CE130" s="4395" t="n"/>
      <c r="CF130" s="4395" t="n"/>
      <c r="CG130" s="4395" t="n"/>
      <c r="CH130" s="4395" t="n"/>
      <c r="CI130" s="4395" t="n"/>
      <c r="CJ130" s="4395" t="n"/>
      <c r="CK130" s="4395" t="n"/>
      <c r="CL130" s="4395" t="n"/>
      <c r="CM130" s="4395" t="n"/>
      <c r="CN130" s="4395" t="n"/>
      <c r="CO130" s="4395" t="n"/>
      <c r="CP130" s="4395" t="n"/>
      <c r="CQ130" s="4395" t="n"/>
      <c r="CR130" s="4395" t="n"/>
      <c r="CS130" s="4395" t="n"/>
      <c r="CT130" s="4395" t="n"/>
      <c r="CU130" s="4395" t="n"/>
      <c r="CV130" s="4395" t="n"/>
      <c r="CW130" s="4395" t="n"/>
      <c r="CX130" s="4395" t="n"/>
      <c r="CY130" s="4395" t="n"/>
      <c r="CZ130" s="4395" t="n"/>
      <c r="DA130" s="4395" t="n"/>
      <c r="DB130" s="4395" t="n"/>
      <c r="DC130" s="4395" t="n"/>
      <c r="DD130" s="4395" t="n"/>
      <c r="DE130" s="4395" t="n"/>
      <c r="DF130" s="4395" t="n"/>
      <c r="DG130" s="4395" t="n"/>
      <c r="DH130" s="4395" t="n"/>
    </row>
    <row r="131" ht="16" customHeight="1">
      <c r="A131" t="inlineStr">
        <is>
          <t>Inland wetlands - OLUC</t>
        </is>
      </c>
      <c r="B131">
        <f>'6.Inland wetlands'!C81</f>
        <v/>
      </c>
      <c r="C131">
        <f>'6.Inland wetlands'!K81</f>
        <v/>
      </c>
      <c r="D131">
        <f>'6.Inland wetlands'!AG81+'6.Inland wetlands'!AG92</f>
        <v/>
      </c>
      <c r="E131">
        <f>IF('6.Inland wetlands'!BI81&lt;&gt;0,'6.Inland wetlands'!BI81,'6.Inland wetlands'!BH81)</f>
        <v/>
      </c>
      <c r="F131">
        <f>time</f>
        <v/>
      </c>
      <c r="G131" s="4395">
        <f>'6.Inland wetlands'!O81</f>
        <v/>
      </c>
      <c r="H131" s="4395">
        <f>'6.Inland wetlands'!Q81</f>
        <v/>
      </c>
      <c r="I131" s="4395">
        <f>IF(OR(H131="I", G131="I"), "I", IF(OR(H131="E", G131="E"), "E", "D"))</f>
        <v/>
      </c>
      <c r="J131" s="4395">
        <f>((D131/(time_cap+((F131-E131+1)*VLOOKUP(I131,list!$I$48:$K$50,3, FALSE))))*(F131-E131+1)*VLOOKUP(I131,list!$I$48:$K$50,3, FALSE))</f>
        <v/>
      </c>
      <c r="K131" s="4395">
        <f>((D131/(time_cap+((F131-E131+1)*VLOOKUP(I131,list!$I$48:$K$50,3, FALSE))))*time_cap)</f>
        <v/>
      </c>
      <c r="M131" s="4395">
        <f>IFERROR(IF((time+time_cap)&lt;M$2, 0,IF(AND(time+1&gt;=N$2, $E131&lt;N$2), IF($I131= "I", $J131/($F131-$E131+1), $J131/(($F131*($F131+1)/2)-(($E131-1)*($E131-1+1)/2))*M$2), 0)+IF(IF(time+1&gt;=N$2, $K131/time_cap/(time+1)*M$2, 0) = 0, $K131/(time_cap),0)),0)</f>
        <v/>
      </c>
      <c r="N131" s="4395">
        <f>IFERROR(IF((time+time_cap)&lt;N$2, 0,IF(AND(time+1&gt;=O$2, $E131&lt;O$2), IF($I131= "I", $J131/($F131-$E131+1), $J131/(($F131*($F131+1)/2)-(($E131-1)*($E131-1+1)/2))*N$2), 0)+IF(IF(time+1&gt;=O$2, $K131/time_cap/(time+1)*N$2, 0) = 0, $K131/(time_cap),0)),0)</f>
        <v/>
      </c>
      <c r="O131" s="4395">
        <f>IFERROR(IF((time+time_cap)&lt;O$2, 0,IF(AND(time+1&gt;=P$2, $E131&lt;P$2), IF($I131= "I", $J131/($F131-$E131+1), $J131/(($F131*($F131+1)/2)-(($E131-1)*($E131-1+1)/2))*O$2), 0)+IF(IF(time+1&gt;=P$2, $K131/time_cap/(time+1)*O$2, 0) = 0, $K131/(time_cap),0)),0)</f>
        <v/>
      </c>
      <c r="P131" s="4395">
        <f>IFERROR(IF((time+time_cap)&lt;P$2, 0,IF(AND(time+1&gt;=Q$2, $E131&lt;Q$2), IF($I131= "I", $J131/($F131-$E131+1), $J131/(($F131*($F131+1)/2)-(($E131-1)*($E131-1+1)/2))*P$2), 0)+IF(IF(time+1&gt;=Q$2, $K131/time_cap/(time+1)*P$2, 0) = 0, $K131/(time_cap),0)),0)</f>
        <v/>
      </c>
      <c r="Q131" s="4395">
        <f>IFERROR(IF((time+time_cap)&lt;Q$2, 0,IF(AND(time+1&gt;=R$2, $E131&lt;R$2), IF($I131= "I", $J131/($F131-$E131+1), $J131/(($F131*($F131+1)/2)-(($E131-1)*($E131-1+1)/2))*Q$2), 0)+IF(IF(time+1&gt;=R$2, $K131/time_cap/(time+1)*Q$2, 0) = 0, $K131/(time_cap),0)),0)</f>
        <v/>
      </c>
      <c r="R131" s="4395">
        <f>IFERROR(IF((time+time_cap)&lt;R$2, 0,IF(AND(time+1&gt;=S$2, $E131&lt;S$2), IF($I131= "I", $J131/($F131-$E131+1), $J131/(($F131*($F131+1)/2)-(($E131-1)*($E131-1+1)/2))*R$2), 0)+IF(IF(time+1&gt;=S$2, $K131/time_cap/(time+1)*R$2, 0) = 0, $K131/(time_cap),0)),0)</f>
        <v/>
      </c>
      <c r="S131" s="4395">
        <f>IFERROR(IF((time+time_cap)&lt;S$2, 0,IF(AND(time+1&gt;=T$2, $E131&lt;T$2), IF($I131= "I", $J131/($F131-$E131+1), $J131/(($F131*($F131+1)/2)-(($E131-1)*($E131-1+1)/2))*S$2), 0)+IF(IF(time+1&gt;=T$2, $K131/time_cap/(time+1)*S$2, 0) = 0, $K131/(time_cap),0)),0)</f>
        <v/>
      </c>
      <c r="T131" s="4395">
        <f>IFERROR(IF((time+time_cap)&lt;T$2, 0,IF(AND(time+1&gt;=U$2, $E131&lt;U$2), IF($I131= "I", $J131/($F131-$E131+1), $J131/(($F131*($F131+1)/2)-(($E131-1)*($E131-1+1)/2))*T$2), 0)+IF(IF(time+1&gt;=U$2, $K131/time_cap/(time+1)*T$2, 0) = 0, $K131/(time_cap),0)),0)</f>
        <v/>
      </c>
      <c r="U131" s="4395">
        <f>IFERROR(IF((time+time_cap)&lt;U$2, 0,IF(AND(time+1&gt;=V$2, $E131&lt;V$2), IF($I131= "I", $J131/($F131-$E131+1), $J131/(($F131*($F131+1)/2)-(($E131-1)*($E131-1+1)/2))*U$2), 0)+IF(IF(time+1&gt;=V$2, $K131/time_cap/(time+1)*U$2, 0) = 0, $K131/(time_cap),0)),0)</f>
        <v/>
      </c>
      <c r="V131" s="4395">
        <f>IFERROR(IF((time+time_cap)&lt;V$2, 0,IF(AND(time+1&gt;=W$2, $E131&lt;W$2), IF($I131= "I", $J131/($F131-$E131+1), $J131/(($F131*($F131+1)/2)-(($E131-1)*($E131-1+1)/2))*V$2), 0)+IF(IF(time+1&gt;=W$2, $K131/time_cap/(time+1)*V$2, 0) = 0, $K131/(time_cap),0)),0)</f>
        <v/>
      </c>
      <c r="W131" s="4395">
        <f>IFERROR(IF((time+time_cap)&lt;W$2, 0,IF(AND(time+1&gt;=X$2, $E131&lt;X$2), IF($I131= "I", $J131/($F131-$E131+1), $J131/(($F131*($F131+1)/2)-(($E131-1)*($E131-1+1)/2))*W$2), 0)+IF(IF(time+1&gt;=X$2, $K131/time_cap/(time+1)*W$2, 0) = 0, $K131/(time_cap),0)),0)</f>
        <v/>
      </c>
      <c r="X131" s="4395">
        <f>IFERROR(IF((time+time_cap)&lt;X$2, 0,IF(AND(time+1&gt;=Y$2, $E131&lt;Y$2), IF($I131= "I", $J131/($F131-$E131+1), $J131/(($F131*($F131+1)/2)-(($E131-1)*($E131-1+1)/2))*X$2), 0)+IF(IF(time+1&gt;=Y$2, $K131/time_cap/(time+1)*X$2, 0) = 0, $K131/(time_cap),0)),0)</f>
        <v/>
      </c>
      <c r="Y131" s="4395">
        <f>IFERROR(IF((time+time_cap)&lt;Y$2, 0,IF(AND(time+1&gt;=Z$2, $E131&lt;Z$2), IF($I131= "I", $J131/($F131-$E131+1), $J131/(($F131*($F131+1)/2)-(($E131-1)*($E131-1+1)/2))*Y$2), 0)+IF(IF(time+1&gt;=Z$2, $K131/time_cap/(time+1)*Y$2, 0) = 0, $K131/(time_cap),0)),0)</f>
        <v/>
      </c>
      <c r="Z131" s="4395">
        <f>IFERROR(IF((time+time_cap)&lt;Z$2, 0,IF(AND(time+1&gt;=AA$2, $E131&lt;AA$2), IF($I131= "I", $J131/($F131-$E131+1), $J131/(($F131*($F131+1)/2)-(($E131-1)*($E131-1+1)/2))*Z$2), 0)+IF(IF(time+1&gt;=AA$2, $K131/time_cap/(time+1)*Z$2, 0) = 0, $K131/(time_cap),0)),0)</f>
        <v/>
      </c>
      <c r="AA131" s="4395">
        <f>IFERROR(IF((time+time_cap)&lt;AA$2, 0,IF(AND(time+1&gt;=AB$2, $E131&lt;AB$2), IF($I131= "I", $J131/($F131-$E131+1), $J131/(($F131*($F131+1)/2)-(($E131-1)*($E131-1+1)/2))*AA$2), 0)+IF(IF(time+1&gt;=AB$2, $K131/time_cap/(time+1)*AA$2, 0) = 0, $K131/(time_cap),0)),0)</f>
        <v/>
      </c>
      <c r="AB131" s="4395">
        <f>IFERROR(IF((time+time_cap)&lt;AB$2, 0,IF(AND(time+1&gt;=AC$2, $E131&lt;AC$2), IF($I131= "I", $J131/($F131-$E131+1), $J131/(($F131*($F131+1)/2)-(($E131-1)*($E131-1+1)/2))*AB$2), 0)+IF(IF(time+1&gt;=AC$2, $K131/time_cap/(time+1)*AB$2, 0) = 0, $K131/(time_cap),0)),0)</f>
        <v/>
      </c>
      <c r="AC131" s="4395">
        <f>IFERROR(IF((time+time_cap)&lt;AC$2, 0,IF(AND(time+1&gt;=AD$2, $E131&lt;AD$2), IF($I131= "I", $J131/($F131-$E131+1), $J131/(($F131*($F131+1)/2)-(($E131-1)*($E131-1+1)/2))*AC$2), 0)+IF(IF(time+1&gt;=AD$2, $K131/time_cap/(time+1)*AC$2, 0) = 0, $K131/(time_cap),0)),0)</f>
        <v/>
      </c>
      <c r="AD131" s="4395">
        <f>IFERROR(IF((time+time_cap)&lt;AD$2, 0,IF(AND(time+1&gt;=AE$2, $E131&lt;AE$2), IF($I131= "I", $J131/($F131-$E131+1), $J131/(($F131*($F131+1)/2)-(($E131-1)*($E131-1+1)/2))*AD$2), 0)+IF(IF(time+1&gt;=AE$2, $K131/time_cap/(time+1)*AD$2, 0) = 0, $K131/(time_cap),0)),0)</f>
        <v/>
      </c>
      <c r="AE131" s="4395">
        <f>IFERROR(IF((time+time_cap)&lt;AE$2, 0,IF(AND(time+1&gt;=AF$2, $E131&lt;AF$2), IF($I131= "I", $J131/($F131-$E131+1), $J131/(($F131*($F131+1)/2)-(($E131-1)*($E131-1+1)/2))*AE$2), 0)+IF(IF(time+1&gt;=AF$2, $K131/time_cap/(time+1)*AE$2, 0) = 0, $K131/(time_cap),0)),0)</f>
        <v/>
      </c>
      <c r="AF131" s="4395">
        <f>IFERROR(IF((time+time_cap)&lt;AF$2, 0,IF(AND(time+1&gt;=AG$2, $E131&lt;AG$2), IF($I131= "I", $J131/($F131-$E131+1), $J131/(($F131*($F131+1)/2)-(($E131-1)*($E131-1+1)/2))*AF$2), 0)+IF(IF(time+1&gt;=AG$2, $K131/time_cap/(time+1)*AF$2, 0) = 0, $K131/(time_cap),0)),0)</f>
        <v/>
      </c>
      <c r="AG131" s="4395">
        <f>IFERROR(IF((time+time_cap)&lt;AG$2, 0,IF(AND(time+1&gt;=AH$2, $E131&lt;AH$2), IF($I131= "I", $J131/($F131-$E131+1), $J131/(($F131*($F131+1)/2)-(($E131-1)*($E131-1+1)/2))*AG$2), 0)+IF(IF(time+1&gt;=AH$2, $K131/time_cap/(time+1)*AG$2, 0) = 0, $K131/(time_cap),0)),0)</f>
        <v/>
      </c>
      <c r="AH131" s="4395">
        <f>IFERROR(IF((time+time_cap)&lt;AH$2, 0,IF(AND(time+1&gt;=AI$2, $E131&lt;AI$2), IF($I131= "I", $J131/($F131-$E131+1), $J131/(($F131*($F131+1)/2)-(($E131-1)*($E131-1+1)/2))*AH$2), 0)+IF(IF(time+1&gt;=AI$2, $K131/time_cap/(time+1)*AH$2, 0) = 0, $K131/(time_cap),0)),0)</f>
        <v/>
      </c>
      <c r="AI131" s="4395">
        <f>IFERROR(IF((time+time_cap)&lt;AI$2, 0,IF(AND(time+1&gt;=AJ$2, $E131&lt;AJ$2), IF($I131= "I", $J131/($F131-$E131+1), $J131/(($F131*($F131+1)/2)-(($E131-1)*($E131-1+1)/2))*AI$2), 0)+IF(IF(time+1&gt;=AJ$2, $K131/time_cap/(time+1)*AI$2, 0) = 0, $K131/(time_cap),0)),0)</f>
        <v/>
      </c>
      <c r="AJ131" s="4395">
        <f>IFERROR(IF((time+time_cap)&lt;AJ$2, 0,IF(AND(time+1&gt;=AK$2, $E131&lt;AK$2), IF($I131= "I", $J131/($F131-$E131+1), $J131/(($F131*($F131+1)/2)-(($E131-1)*($E131-1+1)/2))*AJ$2), 0)+IF(IF(time+1&gt;=AK$2, $K131/time_cap/(time+1)*AJ$2, 0) = 0, $K131/(time_cap),0)),0)</f>
        <v/>
      </c>
      <c r="AK131" s="4395">
        <f>IFERROR(IF((time+time_cap)&lt;AK$2, 0,IF(AND(time+1&gt;=AL$2, $E131&lt;AL$2), IF($I131= "I", $J131/($F131-$E131+1), $J131/(($F131*($F131+1)/2)-(($E131-1)*($E131-1+1)/2))*AK$2), 0)+IF(IF(time+1&gt;=AL$2, $K131/time_cap/(time+1)*AK$2, 0) = 0, $K131/(time_cap),0)),0)</f>
        <v/>
      </c>
      <c r="AL131" s="4395">
        <f>IFERROR(IF((time+time_cap)&lt;AL$2, 0,IF(AND(time+1&gt;=AM$2, $E131&lt;AM$2), IF($I131= "I", $J131/($F131-$E131+1), $J131/(($F131*($F131+1)/2)-(($E131-1)*($E131-1+1)/2))*AL$2), 0)+IF(IF(time+1&gt;=AM$2, $K131/time_cap/(time+1)*AL$2, 0) = 0, $K131/(time_cap),0)),0)</f>
        <v/>
      </c>
      <c r="AM131" s="4395">
        <f>IFERROR(IF((time+time_cap)&lt;AM$2, 0,IF(AND(time+1&gt;=AN$2, $E131&lt;AN$2), IF($I131= "I", $J131/($F131-$E131+1), $J131/(($F131*($F131+1)/2)-(($E131-1)*($E131-1+1)/2))*AM$2), 0)+IF(IF(time+1&gt;=AN$2, $K131/time_cap/(time+1)*AM$2, 0) = 0, $K131/(time_cap),0)),0)</f>
        <v/>
      </c>
      <c r="AN131" s="4395">
        <f>IFERROR(IF((time+time_cap)&lt;AN$2, 0,IF(AND(time+1&gt;=AO$2, $E131&lt;AO$2), IF($I131= "I", $J131/($F131-$E131+1), $J131/(($F131*($F131+1)/2)-(($E131-1)*($E131-1+1)/2))*AN$2), 0)+IF(IF(time+1&gt;=AO$2, $K131/time_cap/(time+1)*AN$2, 0) = 0, $K131/(time_cap),0)),0)</f>
        <v/>
      </c>
      <c r="AO131" s="4395">
        <f>IFERROR(IF((time+time_cap)&lt;AO$2, 0,IF(AND(time+1&gt;=AP$2, $E131&lt;AP$2), IF($I131= "I", $J131/($F131-$E131+1), $J131/(($F131*($F131+1)/2)-(($E131-1)*($E131-1+1)/2))*AO$2), 0)+IF(IF(time+1&gt;=AP$2, $K131/time_cap/(time+1)*AO$2, 0) = 0, $K131/(time_cap),0)),0)</f>
        <v/>
      </c>
      <c r="AP131" s="4395">
        <f>IFERROR(IF((time+time_cap)&lt;AP$2, 0,IF(AND(time+1&gt;=AQ$2, $E131&lt;AQ$2), IF($I131= "I", $J131/($F131-$E131+1), $J131/(($F131*($F131+1)/2)-(($E131-1)*($E131-1+1)/2))*AP$2), 0)+IF(IF(time+1&gt;=AQ$2, $K131/time_cap/(time+1)*AP$2, 0) = 0, $K131/(time_cap),0)),0)</f>
        <v/>
      </c>
      <c r="AQ131" s="4395">
        <f>IFERROR(IF((time+time_cap)&lt;AQ$2, 0,IF(AND(time+1&gt;=AR$2, $E131&lt;AR$2), IF($I131= "I", $J131/($F131-$E131+1), $J131/(($F131*($F131+1)/2)-(($E131-1)*($E131-1+1)/2))*AQ$2), 0)+IF(IF(time+1&gt;=AR$2, $K131/time_cap/(time+1)*AQ$2, 0) = 0, $K131/(time_cap),0)),0)</f>
        <v/>
      </c>
      <c r="AR131" s="4395">
        <f>IFERROR(IF((time+time_cap)&lt;AR$2, 0,IF(AND(time+1&gt;=AS$2, $E131&lt;AS$2), IF($I131= "I", $J131/($F131-$E131+1), $J131/(($F131*($F131+1)/2)-(($E131-1)*($E131-1+1)/2))*AR$2), 0)+IF(IF(time+1&gt;=AS$2, $K131/time_cap/(time+1)*AR$2, 0) = 0, $K131/(time_cap),0)),0)</f>
        <v/>
      </c>
      <c r="AS131" s="4395">
        <f>IFERROR(IF((time+time_cap)&lt;AS$2, 0,IF(AND(time+1&gt;=AT$2, $E131&lt;AT$2), IF($I131= "I", $J131/($F131-$E131+1), $J131/(($F131*($F131+1)/2)-(($E131-1)*($E131-1+1)/2))*AS$2), 0)+IF(IF(time+1&gt;=AT$2, $K131/time_cap/(time+1)*AS$2, 0) = 0, $K131/(time_cap),0)),0)</f>
        <v/>
      </c>
      <c r="AT131" s="4395">
        <f>IFERROR(IF((time+time_cap)&lt;AT$2, 0,IF(AND(time+1&gt;=AU$2, $E131&lt;AU$2), IF($I131= "I", $J131/($F131-$E131+1), $J131/(($F131*($F131+1)/2)-(($E131-1)*($E131-1+1)/2))*AT$2), 0)+IF(IF(time+1&gt;=AU$2, $K131/time_cap/(time+1)*AT$2, 0) = 0, $K131/(time_cap),0)),0)</f>
        <v/>
      </c>
      <c r="AU131" s="4395">
        <f>IFERROR(IF((time+time_cap)&lt;AU$2, 0,IF(AND(time+1&gt;=AV$2, $E131&lt;AV$2), IF($I131= "I", $J131/($F131-$E131+1), $J131/(($F131*($F131+1)/2)-(($E131-1)*($E131-1+1)/2))*AU$2), 0)+IF(IF(time+1&gt;=AV$2, $K131/time_cap/(time+1)*AU$2, 0) = 0, $K131/(time_cap),0)),0)</f>
        <v/>
      </c>
      <c r="AV131" s="4395">
        <f>IFERROR(IF((time+time_cap)&lt;AV$2, 0,IF(AND(time+1&gt;=AW$2, $E131&lt;AW$2), IF($I131= "I", $J131/($F131-$E131+1), $J131/(($F131*($F131+1)/2)-(($E131-1)*($E131-1+1)/2))*AV$2), 0)+IF(IF(time+1&gt;=AW$2, $K131/time_cap/(time+1)*AV$2, 0) = 0, $K131/(time_cap),0)),0)</f>
        <v/>
      </c>
      <c r="AW131" s="4395">
        <f>IFERROR(IF((time+time_cap)&lt;AW$2, 0,IF(AND(time+1&gt;=AX$2, $E131&lt;AX$2), IF($I131= "I", $J131/($F131-$E131+1), $J131/(($F131*($F131+1)/2)-(($E131-1)*($E131-1+1)/2))*AW$2), 0)+IF(IF(time+1&gt;=AX$2, $K131/time_cap/(time+1)*AW$2, 0) = 0, $K131/(time_cap),0)),0)</f>
        <v/>
      </c>
      <c r="AX131" s="4395">
        <f>IFERROR(IF((time+time_cap)&lt;AX$2, 0,IF(AND(time+1&gt;=AY$2, $E131&lt;AY$2), IF($I131= "I", $J131/($F131-$E131+1), $J131/(($F131*($F131+1)/2)-(($E131-1)*($E131-1+1)/2))*AX$2), 0)+IF(IF(time+1&gt;=AY$2, $K131/time_cap/(time+1)*AX$2, 0) = 0, $K131/(time_cap),0)),0)</f>
        <v/>
      </c>
      <c r="AY131" s="4395">
        <f>IFERROR(IF((time+time_cap)&lt;AY$2, 0,IF(AND(time+1&gt;=AZ$2, $E131&lt;AZ$2), IF($I131= "I", $J131/($F131-$E131+1), $J131/(($F131*($F131+1)/2)-(($E131-1)*($E131-1+1)/2))*AY$2), 0)+IF(IF(time+1&gt;=AZ$2, $K131/time_cap/(time+1)*AY$2, 0) = 0, $K131/(time_cap),0)),0)</f>
        <v/>
      </c>
      <c r="AZ131" s="4395">
        <f>IFERROR(IF((time+time_cap)&lt;AZ$2, 0,IF(AND(time+1&gt;=BA$2, $E131&lt;BA$2), IF($I131= "I", $J131/($F131-$E131+1), $J131/(($F131*($F131+1)/2)-(($E131-1)*($E131-1+1)/2))*AZ$2), 0)+IF(IF(time+1&gt;=BA$2, $K131/time_cap/(time+1)*AZ$2, 0) = 0, $K131/(time_cap),0)),0)</f>
        <v/>
      </c>
      <c r="BA131" s="4395">
        <f>IFERROR(IF((time+time_cap)&lt;BA$2, 0,IF(AND(time+1&gt;=BB$2, $E131&lt;BB$2), IF($I131= "I", $J131/($F131-$E131+1), $J131/(($F131*($F131+1)/2)-(($E131-1)*($E131-1+1)/2))*BA$2), 0)+IF(IF(time+1&gt;=BB$2, $K131/time_cap/(time+1)*BA$2, 0) = 0, $K131/(time_cap),0)),0)</f>
        <v/>
      </c>
      <c r="BB131" s="4395">
        <f>IFERROR(IF((time+time_cap)&lt;BB$2, 0,IF(AND(time+1&gt;=BC$2, $E131&lt;BC$2), IF($I131= "I", $J131/($F131-$E131+1), $J131/(($F131*($F131+1)/2)-(($E131-1)*($E131-1+1)/2))*BB$2), 0)+IF(IF(time+1&gt;=BC$2, $K131/time_cap/(time+1)*BB$2, 0) = 0, $K131/(time_cap),0)),0)</f>
        <v/>
      </c>
      <c r="BC131" s="4395">
        <f>IFERROR(IF((time+time_cap)&lt;BC$2, 0,IF(AND(time+1&gt;=BD$2, $E131&lt;BD$2), IF($I131= "I", $J131/($F131-$E131+1), $J131/(($F131*($F131+1)/2)-(($E131-1)*($E131-1+1)/2))*BC$2), 0)+IF(IF(time+1&gt;=BD$2, $K131/time_cap/(time+1)*BC$2, 0) = 0, $K131/(time_cap),0)),0)</f>
        <v/>
      </c>
      <c r="BD131" s="4395">
        <f>IFERROR(IF((time+time_cap)&lt;BD$2, 0,IF(AND(time+1&gt;=BE$2, $E131&lt;BE$2), IF($I131= "I", $J131/($F131-$E131+1), $J131/(($F131*($F131+1)/2)-(($E131-1)*($E131-1+1)/2))*BD$2), 0)+IF(IF(time+1&gt;=BE$2, $K131/time_cap/(time+1)*BD$2, 0) = 0, $K131/(time_cap),0)),0)</f>
        <v/>
      </c>
      <c r="BE131" s="4395">
        <f>IFERROR(IF((time+time_cap)&lt;BE$2, 0,IF(AND(time+1&gt;=BF$2, $E131&lt;BF$2), IF($I131= "I", $J131/($F131-$E131+1), $J131/(($F131*($F131+1)/2)-(($E131-1)*($E131-1+1)/2))*BE$2), 0)+IF(IF(time+1&gt;=BF$2, $K131/time_cap/(time+1)*BE$2, 0) = 0, $K131/(time_cap),0)),0)</f>
        <v/>
      </c>
      <c r="BF131" s="4395">
        <f>IFERROR(IF((time+time_cap)&lt;BF$2, 0,IF(AND(time+1&gt;=BG$2, $E131&lt;BG$2), IF($I131= "I", $J131/($F131-$E131+1), $J131/(($F131*($F131+1)/2)-(($E131-1)*($E131-1+1)/2))*BF$2), 0)+IF(IF(time+1&gt;=BG$2, $K131/time_cap/(time+1)*BF$2, 0) = 0, $K131/(time_cap),0)),0)</f>
        <v/>
      </c>
      <c r="BG131" s="4395">
        <f>IFERROR(IF((time+time_cap)&lt;BG$2, 0,IF(AND(time+1&gt;=BH$2, $E131&lt;BH$2), IF($I131= "I", $J131/($F131-$E131+1), $J131/(($F131*($F131+1)/2)-(($E131-1)*($E131-1+1)/2))*BG$2), 0)+IF(IF(time+1&gt;=BH$2, $K131/time_cap/(time+1)*BG$2, 0) = 0, $K131/(time_cap),0)),0)</f>
        <v/>
      </c>
      <c r="BH131" s="4395">
        <f>IFERROR(IF((time+time_cap)&lt;BH$2, 0,IF(AND(time+1&gt;=BI$2, $E131&lt;BI$2), IF($I131= "I", $J131/($F131-$E131+1), $J131/(($F131*($F131+1)/2)-(($E131-1)*($E131-1+1)/2))*BH$2), 0)+IF(IF(time+1&gt;=BI$2, $K131/time_cap/(time+1)*BH$2, 0) = 0, $K131/(time_cap),0)),0)</f>
        <v/>
      </c>
      <c r="BI131" s="4395">
        <f>IFERROR(IF((time+time_cap)&lt;BI$2, 0,IF(AND(time+1&gt;=BJ$2, $E131&lt;BJ$2), IF($I131= "I", $J131/($F131-$E131+1), $J131/(($F131*($F131+1)/2)-(($E131-1)*($E131-1+1)/2))*BI$2), 0)+IF(IF(time+1&gt;=BJ$2, $K131/time_cap/(time+1)*BI$2, 0) = 0, $K131/(time_cap),0)),0)</f>
        <v/>
      </c>
      <c r="BJ131" s="4395">
        <f>IFERROR(IF((time+time_cap)&lt;BJ$2, 0,IF(AND(time+1&gt;=BK$2, $E131&lt;BK$2), IF($I131= "I", $J131/($F131-$E131+1), $J131/(($F131*($F131+1)/2)-(($E131-1)*($E131-1+1)/2))*BJ$2), 0)+IF(IF(time+1&gt;=BK$2, $K131/time_cap/(time+1)*BJ$2, 0) = 0, $K131/(time_cap),0)),0)</f>
        <v/>
      </c>
      <c r="BK131" s="4395" t="n"/>
      <c r="BL131" s="4395" t="n"/>
      <c r="BM131" s="4395" t="n"/>
      <c r="BN131" s="4395" t="n"/>
      <c r="BO131" s="4395" t="n"/>
      <c r="BP131" s="4395" t="n"/>
      <c r="BQ131" s="4395" t="n"/>
      <c r="BR131" s="4395" t="n"/>
      <c r="BS131" s="4395" t="n"/>
      <c r="BT131" s="4395" t="n"/>
      <c r="BU131" s="4395" t="n"/>
      <c r="BV131" s="4395" t="n"/>
      <c r="BW131" s="4395" t="n"/>
      <c r="BX131" s="4395" t="n"/>
      <c r="BY131" s="4395" t="n"/>
      <c r="BZ131" s="4395" t="n"/>
      <c r="CA131" s="4395" t="n"/>
      <c r="CB131" s="4395" t="n"/>
      <c r="CC131" s="4395" t="n"/>
      <c r="CD131" s="4395" t="n"/>
      <c r="CE131" s="4395" t="n"/>
      <c r="CF131" s="4395" t="n"/>
      <c r="CG131" s="4395" t="n"/>
      <c r="CH131" s="4395" t="n"/>
      <c r="CI131" s="4395" t="n"/>
      <c r="CJ131" s="4395" t="n"/>
      <c r="CK131" s="4395" t="n"/>
      <c r="CL131" s="4395" t="n"/>
      <c r="CM131" s="4395" t="n"/>
      <c r="CN131" s="4395" t="n"/>
      <c r="CO131" s="4395" t="n"/>
      <c r="CP131" s="4395" t="n"/>
      <c r="CQ131" s="4395" t="n"/>
      <c r="CR131" s="4395" t="n"/>
      <c r="CS131" s="4395" t="n"/>
      <c r="CT131" s="4395" t="n"/>
      <c r="CU131" s="4395" t="n"/>
      <c r="CV131" s="4395" t="n"/>
      <c r="CW131" s="4395" t="n"/>
      <c r="CX131" s="4395" t="n"/>
      <c r="CY131" s="4395" t="n"/>
      <c r="CZ131" s="4395" t="n"/>
      <c r="DA131" s="4395" t="n"/>
      <c r="DB131" s="4395" t="n"/>
      <c r="DC131" s="4395" t="n"/>
      <c r="DD131" s="4395" t="n"/>
      <c r="DE131" s="4395" t="n"/>
      <c r="DF131" s="4395" t="n"/>
      <c r="DG131" s="4395" t="n"/>
      <c r="DH131" s="4395" t="n"/>
    </row>
    <row r="132" ht="16" customHeight="1">
      <c r="A132" t="inlineStr">
        <is>
          <t>Inland wetlands - OLUC</t>
        </is>
      </c>
      <c r="B132">
        <f>'6.Inland wetlands'!C82</f>
        <v/>
      </c>
      <c r="C132">
        <f>'6.Inland wetlands'!K82</f>
        <v/>
      </c>
      <c r="D132">
        <f>'6.Inland wetlands'!AG82+'6.Inland wetlands'!AG93</f>
        <v/>
      </c>
      <c r="E132">
        <f>IF('6.Inland wetlands'!BI82&lt;&gt;0,'6.Inland wetlands'!BI82,'6.Inland wetlands'!BH82)</f>
        <v/>
      </c>
      <c r="F132">
        <f>time</f>
        <v/>
      </c>
      <c r="G132" s="4395">
        <f>'6.Inland wetlands'!O82</f>
        <v/>
      </c>
      <c r="H132" s="4395">
        <f>'6.Inland wetlands'!Q82</f>
        <v/>
      </c>
      <c r="I132" s="4395">
        <f>IF(OR(H132="I", G132="I"), "I", IF(OR(H132="E", G132="E"), "E", "D"))</f>
        <v/>
      </c>
      <c r="J132" s="4395">
        <f>((D132/(time_cap+((F132-E132+1)*VLOOKUP(I132,list!$I$48:$K$50,3, FALSE))))*(F132-E132+1)*VLOOKUP(I132,list!$I$48:$K$50,3, FALSE))</f>
        <v/>
      </c>
      <c r="K132" s="4395">
        <f>((D132/(time_cap+((F132-E132+1)*VLOOKUP(I132,list!$I$48:$K$50,3, FALSE))))*time_cap)</f>
        <v/>
      </c>
      <c r="M132" s="4395">
        <f>IFERROR(IF((time+time_cap)&lt;M$2, 0,IF(AND(time+1&gt;=N$2, $E132&lt;N$2), IF($I132= "I", $J132/($F132-$E132+1), $J132/(($F132*($F132+1)/2)-(($E132-1)*($E132-1+1)/2))*M$2), 0)+IF(IF(time+1&gt;=N$2, $K132/time_cap/(time+1)*M$2, 0) = 0, $K132/(time_cap),0)),0)</f>
        <v/>
      </c>
      <c r="N132" s="4395">
        <f>IFERROR(IF((time+time_cap)&lt;N$2, 0,IF(AND(time+1&gt;=O$2, $E132&lt;O$2), IF($I132= "I", $J132/($F132-$E132+1), $J132/(($F132*($F132+1)/2)-(($E132-1)*($E132-1+1)/2))*N$2), 0)+IF(IF(time+1&gt;=O$2, $K132/time_cap/(time+1)*N$2, 0) = 0, $K132/(time_cap),0)),0)</f>
        <v/>
      </c>
      <c r="O132" s="4395">
        <f>IFERROR(IF((time+time_cap)&lt;O$2, 0,IF(AND(time+1&gt;=P$2, $E132&lt;P$2), IF($I132= "I", $J132/($F132-$E132+1), $J132/(($F132*($F132+1)/2)-(($E132-1)*($E132-1+1)/2))*O$2), 0)+IF(IF(time+1&gt;=P$2, $K132/time_cap/(time+1)*O$2, 0) = 0, $K132/(time_cap),0)),0)</f>
        <v/>
      </c>
      <c r="P132" s="4395">
        <f>IFERROR(IF((time+time_cap)&lt;P$2, 0,IF(AND(time+1&gt;=Q$2, $E132&lt;Q$2), IF($I132= "I", $J132/($F132-$E132+1), $J132/(($F132*($F132+1)/2)-(($E132-1)*($E132-1+1)/2))*P$2), 0)+IF(IF(time+1&gt;=Q$2, $K132/time_cap/(time+1)*P$2, 0) = 0, $K132/(time_cap),0)),0)</f>
        <v/>
      </c>
      <c r="Q132" s="4395">
        <f>IFERROR(IF((time+time_cap)&lt;Q$2, 0,IF(AND(time+1&gt;=R$2, $E132&lt;R$2), IF($I132= "I", $J132/($F132-$E132+1), $J132/(($F132*($F132+1)/2)-(($E132-1)*($E132-1+1)/2))*Q$2), 0)+IF(IF(time+1&gt;=R$2, $K132/time_cap/(time+1)*Q$2, 0) = 0, $K132/(time_cap),0)),0)</f>
        <v/>
      </c>
      <c r="R132" s="4395">
        <f>IFERROR(IF((time+time_cap)&lt;R$2, 0,IF(AND(time+1&gt;=S$2, $E132&lt;S$2), IF($I132= "I", $J132/($F132-$E132+1), $J132/(($F132*($F132+1)/2)-(($E132-1)*($E132-1+1)/2))*R$2), 0)+IF(IF(time+1&gt;=S$2, $K132/time_cap/(time+1)*R$2, 0) = 0, $K132/(time_cap),0)),0)</f>
        <v/>
      </c>
      <c r="S132" s="4395">
        <f>IFERROR(IF((time+time_cap)&lt;S$2, 0,IF(AND(time+1&gt;=T$2, $E132&lt;T$2), IF($I132= "I", $J132/($F132-$E132+1), $J132/(($F132*($F132+1)/2)-(($E132-1)*($E132-1+1)/2))*S$2), 0)+IF(IF(time+1&gt;=T$2, $K132/time_cap/(time+1)*S$2, 0) = 0, $K132/(time_cap),0)),0)</f>
        <v/>
      </c>
      <c r="T132" s="4395">
        <f>IFERROR(IF((time+time_cap)&lt;T$2, 0,IF(AND(time+1&gt;=U$2, $E132&lt;U$2), IF($I132= "I", $J132/($F132-$E132+1), $J132/(($F132*($F132+1)/2)-(($E132-1)*($E132-1+1)/2))*T$2), 0)+IF(IF(time+1&gt;=U$2, $K132/time_cap/(time+1)*T$2, 0) = 0, $K132/(time_cap),0)),0)</f>
        <v/>
      </c>
      <c r="U132" s="4395">
        <f>IFERROR(IF((time+time_cap)&lt;U$2, 0,IF(AND(time+1&gt;=V$2, $E132&lt;V$2), IF($I132= "I", $J132/($F132-$E132+1), $J132/(($F132*($F132+1)/2)-(($E132-1)*($E132-1+1)/2))*U$2), 0)+IF(IF(time+1&gt;=V$2, $K132/time_cap/(time+1)*U$2, 0) = 0, $K132/(time_cap),0)),0)</f>
        <v/>
      </c>
      <c r="V132" s="4395">
        <f>IFERROR(IF((time+time_cap)&lt;V$2, 0,IF(AND(time+1&gt;=W$2, $E132&lt;W$2), IF($I132= "I", $J132/($F132-$E132+1), $J132/(($F132*($F132+1)/2)-(($E132-1)*($E132-1+1)/2))*V$2), 0)+IF(IF(time+1&gt;=W$2, $K132/time_cap/(time+1)*V$2, 0) = 0, $K132/(time_cap),0)),0)</f>
        <v/>
      </c>
      <c r="W132" s="4395">
        <f>IFERROR(IF((time+time_cap)&lt;W$2, 0,IF(AND(time+1&gt;=X$2, $E132&lt;X$2), IF($I132= "I", $J132/($F132-$E132+1), $J132/(($F132*($F132+1)/2)-(($E132-1)*($E132-1+1)/2))*W$2), 0)+IF(IF(time+1&gt;=X$2, $K132/time_cap/(time+1)*W$2, 0) = 0, $K132/(time_cap),0)),0)</f>
        <v/>
      </c>
      <c r="X132" s="4395">
        <f>IFERROR(IF((time+time_cap)&lt;X$2, 0,IF(AND(time+1&gt;=Y$2, $E132&lt;Y$2), IF($I132= "I", $J132/($F132-$E132+1), $J132/(($F132*($F132+1)/2)-(($E132-1)*($E132-1+1)/2))*X$2), 0)+IF(IF(time+1&gt;=Y$2, $K132/time_cap/(time+1)*X$2, 0) = 0, $K132/(time_cap),0)),0)</f>
        <v/>
      </c>
      <c r="Y132" s="4395">
        <f>IFERROR(IF((time+time_cap)&lt;Y$2, 0,IF(AND(time+1&gt;=Z$2, $E132&lt;Z$2), IF($I132= "I", $J132/($F132-$E132+1), $J132/(($F132*($F132+1)/2)-(($E132-1)*($E132-1+1)/2))*Y$2), 0)+IF(IF(time+1&gt;=Z$2, $K132/time_cap/(time+1)*Y$2, 0) = 0, $K132/(time_cap),0)),0)</f>
        <v/>
      </c>
      <c r="Z132" s="4395">
        <f>IFERROR(IF((time+time_cap)&lt;Z$2, 0,IF(AND(time+1&gt;=AA$2, $E132&lt;AA$2), IF($I132= "I", $J132/($F132-$E132+1), $J132/(($F132*($F132+1)/2)-(($E132-1)*($E132-1+1)/2))*Z$2), 0)+IF(IF(time+1&gt;=AA$2, $K132/time_cap/(time+1)*Z$2, 0) = 0, $K132/(time_cap),0)),0)</f>
        <v/>
      </c>
      <c r="AA132" s="4395">
        <f>IFERROR(IF((time+time_cap)&lt;AA$2, 0,IF(AND(time+1&gt;=AB$2, $E132&lt;AB$2), IF($I132= "I", $J132/($F132-$E132+1), $J132/(($F132*($F132+1)/2)-(($E132-1)*($E132-1+1)/2))*AA$2), 0)+IF(IF(time+1&gt;=AB$2, $K132/time_cap/(time+1)*AA$2, 0) = 0, $K132/(time_cap),0)),0)</f>
        <v/>
      </c>
      <c r="AB132" s="4395">
        <f>IFERROR(IF((time+time_cap)&lt;AB$2, 0,IF(AND(time+1&gt;=AC$2, $E132&lt;AC$2), IF($I132= "I", $J132/($F132-$E132+1), $J132/(($F132*($F132+1)/2)-(($E132-1)*($E132-1+1)/2))*AB$2), 0)+IF(IF(time+1&gt;=AC$2, $K132/time_cap/(time+1)*AB$2, 0) = 0, $K132/(time_cap),0)),0)</f>
        <v/>
      </c>
      <c r="AC132" s="4395">
        <f>IFERROR(IF((time+time_cap)&lt;AC$2, 0,IF(AND(time+1&gt;=AD$2, $E132&lt;AD$2), IF($I132= "I", $J132/($F132-$E132+1), $J132/(($F132*($F132+1)/2)-(($E132-1)*($E132-1+1)/2))*AC$2), 0)+IF(IF(time+1&gt;=AD$2, $K132/time_cap/(time+1)*AC$2, 0) = 0, $K132/(time_cap),0)),0)</f>
        <v/>
      </c>
      <c r="AD132" s="4395">
        <f>IFERROR(IF((time+time_cap)&lt;AD$2, 0,IF(AND(time+1&gt;=AE$2, $E132&lt;AE$2), IF($I132= "I", $J132/($F132-$E132+1), $J132/(($F132*($F132+1)/2)-(($E132-1)*($E132-1+1)/2))*AD$2), 0)+IF(IF(time+1&gt;=AE$2, $K132/time_cap/(time+1)*AD$2, 0) = 0, $K132/(time_cap),0)),0)</f>
        <v/>
      </c>
      <c r="AE132" s="4395">
        <f>IFERROR(IF((time+time_cap)&lt;AE$2, 0,IF(AND(time+1&gt;=AF$2, $E132&lt;AF$2), IF($I132= "I", $J132/($F132-$E132+1), $J132/(($F132*($F132+1)/2)-(($E132-1)*($E132-1+1)/2))*AE$2), 0)+IF(IF(time+1&gt;=AF$2, $K132/time_cap/(time+1)*AE$2, 0) = 0, $K132/(time_cap),0)),0)</f>
        <v/>
      </c>
      <c r="AF132" s="4395">
        <f>IFERROR(IF((time+time_cap)&lt;AF$2, 0,IF(AND(time+1&gt;=AG$2, $E132&lt;AG$2), IF($I132= "I", $J132/($F132-$E132+1), $J132/(($F132*($F132+1)/2)-(($E132-1)*($E132-1+1)/2))*AF$2), 0)+IF(IF(time+1&gt;=AG$2, $K132/time_cap/(time+1)*AF$2, 0) = 0, $K132/(time_cap),0)),0)</f>
        <v/>
      </c>
      <c r="AG132" s="4395">
        <f>IFERROR(IF((time+time_cap)&lt;AG$2, 0,IF(AND(time+1&gt;=AH$2, $E132&lt;AH$2), IF($I132= "I", $J132/($F132-$E132+1), $J132/(($F132*($F132+1)/2)-(($E132-1)*($E132-1+1)/2))*AG$2), 0)+IF(IF(time+1&gt;=AH$2, $K132/time_cap/(time+1)*AG$2, 0) = 0, $K132/(time_cap),0)),0)</f>
        <v/>
      </c>
      <c r="AH132" s="4395">
        <f>IFERROR(IF((time+time_cap)&lt;AH$2, 0,IF(AND(time+1&gt;=AI$2, $E132&lt;AI$2), IF($I132= "I", $J132/($F132-$E132+1), $J132/(($F132*($F132+1)/2)-(($E132-1)*($E132-1+1)/2))*AH$2), 0)+IF(IF(time+1&gt;=AI$2, $K132/time_cap/(time+1)*AH$2, 0) = 0, $K132/(time_cap),0)),0)</f>
        <v/>
      </c>
      <c r="AI132" s="4395">
        <f>IFERROR(IF((time+time_cap)&lt;AI$2, 0,IF(AND(time+1&gt;=AJ$2, $E132&lt;AJ$2), IF($I132= "I", $J132/($F132-$E132+1), $J132/(($F132*($F132+1)/2)-(($E132-1)*($E132-1+1)/2))*AI$2), 0)+IF(IF(time+1&gt;=AJ$2, $K132/time_cap/(time+1)*AI$2, 0) = 0, $K132/(time_cap),0)),0)</f>
        <v/>
      </c>
      <c r="AJ132" s="4395">
        <f>IFERROR(IF((time+time_cap)&lt;AJ$2, 0,IF(AND(time+1&gt;=AK$2, $E132&lt;AK$2), IF($I132= "I", $J132/($F132-$E132+1), $J132/(($F132*($F132+1)/2)-(($E132-1)*($E132-1+1)/2))*AJ$2), 0)+IF(IF(time+1&gt;=AK$2, $K132/time_cap/(time+1)*AJ$2, 0) = 0, $K132/(time_cap),0)),0)</f>
        <v/>
      </c>
      <c r="AK132" s="4395">
        <f>IFERROR(IF((time+time_cap)&lt;AK$2, 0,IF(AND(time+1&gt;=AL$2, $E132&lt;AL$2), IF($I132= "I", $J132/($F132-$E132+1), $J132/(($F132*($F132+1)/2)-(($E132-1)*($E132-1+1)/2))*AK$2), 0)+IF(IF(time+1&gt;=AL$2, $K132/time_cap/(time+1)*AK$2, 0) = 0, $K132/(time_cap),0)),0)</f>
        <v/>
      </c>
      <c r="AL132" s="4395">
        <f>IFERROR(IF((time+time_cap)&lt;AL$2, 0,IF(AND(time+1&gt;=AM$2, $E132&lt;AM$2), IF($I132= "I", $J132/($F132-$E132+1), $J132/(($F132*($F132+1)/2)-(($E132-1)*($E132-1+1)/2))*AL$2), 0)+IF(IF(time+1&gt;=AM$2, $K132/time_cap/(time+1)*AL$2, 0) = 0, $K132/(time_cap),0)),0)</f>
        <v/>
      </c>
      <c r="AM132" s="4395">
        <f>IFERROR(IF((time+time_cap)&lt;AM$2, 0,IF(AND(time+1&gt;=AN$2, $E132&lt;AN$2), IF($I132= "I", $J132/($F132-$E132+1), $J132/(($F132*($F132+1)/2)-(($E132-1)*($E132-1+1)/2))*AM$2), 0)+IF(IF(time+1&gt;=AN$2, $K132/time_cap/(time+1)*AM$2, 0) = 0, $K132/(time_cap),0)),0)</f>
        <v/>
      </c>
      <c r="AN132" s="4395">
        <f>IFERROR(IF((time+time_cap)&lt;AN$2, 0,IF(AND(time+1&gt;=AO$2, $E132&lt;AO$2), IF($I132= "I", $J132/($F132-$E132+1), $J132/(($F132*($F132+1)/2)-(($E132-1)*($E132-1+1)/2))*AN$2), 0)+IF(IF(time+1&gt;=AO$2, $K132/time_cap/(time+1)*AN$2, 0) = 0, $K132/(time_cap),0)),0)</f>
        <v/>
      </c>
      <c r="AO132" s="4395">
        <f>IFERROR(IF((time+time_cap)&lt;AO$2, 0,IF(AND(time+1&gt;=AP$2, $E132&lt;AP$2), IF($I132= "I", $J132/($F132-$E132+1), $J132/(($F132*($F132+1)/2)-(($E132-1)*($E132-1+1)/2))*AO$2), 0)+IF(IF(time+1&gt;=AP$2, $K132/time_cap/(time+1)*AO$2, 0) = 0, $K132/(time_cap),0)),0)</f>
        <v/>
      </c>
      <c r="AP132" s="4395">
        <f>IFERROR(IF((time+time_cap)&lt;AP$2, 0,IF(AND(time+1&gt;=AQ$2, $E132&lt;AQ$2), IF($I132= "I", $J132/($F132-$E132+1), $J132/(($F132*($F132+1)/2)-(($E132-1)*($E132-1+1)/2))*AP$2), 0)+IF(IF(time+1&gt;=AQ$2, $K132/time_cap/(time+1)*AP$2, 0) = 0, $K132/(time_cap),0)),0)</f>
        <v/>
      </c>
      <c r="AQ132" s="4395">
        <f>IFERROR(IF((time+time_cap)&lt;AQ$2, 0,IF(AND(time+1&gt;=AR$2, $E132&lt;AR$2), IF($I132= "I", $J132/($F132-$E132+1), $J132/(($F132*($F132+1)/2)-(($E132-1)*($E132-1+1)/2))*AQ$2), 0)+IF(IF(time+1&gt;=AR$2, $K132/time_cap/(time+1)*AQ$2, 0) = 0, $K132/(time_cap),0)),0)</f>
        <v/>
      </c>
      <c r="AR132" s="4395">
        <f>IFERROR(IF((time+time_cap)&lt;AR$2, 0,IF(AND(time+1&gt;=AS$2, $E132&lt;AS$2), IF($I132= "I", $J132/($F132-$E132+1), $J132/(($F132*($F132+1)/2)-(($E132-1)*($E132-1+1)/2))*AR$2), 0)+IF(IF(time+1&gt;=AS$2, $K132/time_cap/(time+1)*AR$2, 0) = 0, $K132/(time_cap),0)),0)</f>
        <v/>
      </c>
      <c r="AS132" s="4395">
        <f>IFERROR(IF((time+time_cap)&lt;AS$2, 0,IF(AND(time+1&gt;=AT$2, $E132&lt;AT$2), IF($I132= "I", $J132/($F132-$E132+1), $J132/(($F132*($F132+1)/2)-(($E132-1)*($E132-1+1)/2))*AS$2), 0)+IF(IF(time+1&gt;=AT$2, $K132/time_cap/(time+1)*AS$2, 0) = 0, $K132/(time_cap),0)),0)</f>
        <v/>
      </c>
      <c r="AT132" s="4395">
        <f>IFERROR(IF((time+time_cap)&lt;AT$2, 0,IF(AND(time+1&gt;=AU$2, $E132&lt;AU$2), IF($I132= "I", $J132/($F132-$E132+1), $J132/(($F132*($F132+1)/2)-(($E132-1)*($E132-1+1)/2))*AT$2), 0)+IF(IF(time+1&gt;=AU$2, $K132/time_cap/(time+1)*AT$2, 0) = 0, $K132/(time_cap),0)),0)</f>
        <v/>
      </c>
      <c r="AU132" s="4395">
        <f>IFERROR(IF((time+time_cap)&lt;AU$2, 0,IF(AND(time+1&gt;=AV$2, $E132&lt;AV$2), IF($I132= "I", $J132/($F132-$E132+1), $J132/(($F132*($F132+1)/2)-(($E132-1)*($E132-1+1)/2))*AU$2), 0)+IF(IF(time+1&gt;=AV$2, $K132/time_cap/(time+1)*AU$2, 0) = 0, $K132/(time_cap),0)),0)</f>
        <v/>
      </c>
      <c r="AV132" s="4395">
        <f>IFERROR(IF((time+time_cap)&lt;AV$2, 0,IF(AND(time+1&gt;=AW$2, $E132&lt;AW$2), IF($I132= "I", $J132/($F132-$E132+1), $J132/(($F132*($F132+1)/2)-(($E132-1)*($E132-1+1)/2))*AV$2), 0)+IF(IF(time+1&gt;=AW$2, $K132/time_cap/(time+1)*AV$2, 0) = 0, $K132/(time_cap),0)),0)</f>
        <v/>
      </c>
      <c r="AW132" s="4395">
        <f>IFERROR(IF((time+time_cap)&lt;AW$2, 0,IF(AND(time+1&gt;=AX$2, $E132&lt;AX$2), IF($I132= "I", $J132/($F132-$E132+1), $J132/(($F132*($F132+1)/2)-(($E132-1)*($E132-1+1)/2))*AW$2), 0)+IF(IF(time+1&gt;=AX$2, $K132/time_cap/(time+1)*AW$2, 0) = 0, $K132/(time_cap),0)),0)</f>
        <v/>
      </c>
      <c r="AX132" s="4395">
        <f>IFERROR(IF((time+time_cap)&lt;AX$2, 0,IF(AND(time+1&gt;=AY$2, $E132&lt;AY$2), IF($I132= "I", $J132/($F132-$E132+1), $J132/(($F132*($F132+1)/2)-(($E132-1)*($E132-1+1)/2))*AX$2), 0)+IF(IF(time+1&gt;=AY$2, $K132/time_cap/(time+1)*AX$2, 0) = 0, $K132/(time_cap),0)),0)</f>
        <v/>
      </c>
      <c r="AY132" s="4395">
        <f>IFERROR(IF((time+time_cap)&lt;AY$2, 0,IF(AND(time+1&gt;=AZ$2, $E132&lt;AZ$2), IF($I132= "I", $J132/($F132-$E132+1), $J132/(($F132*($F132+1)/2)-(($E132-1)*($E132-1+1)/2))*AY$2), 0)+IF(IF(time+1&gt;=AZ$2, $K132/time_cap/(time+1)*AY$2, 0) = 0, $K132/(time_cap),0)),0)</f>
        <v/>
      </c>
      <c r="AZ132" s="4395">
        <f>IFERROR(IF((time+time_cap)&lt;AZ$2, 0,IF(AND(time+1&gt;=BA$2, $E132&lt;BA$2), IF($I132= "I", $J132/($F132-$E132+1), $J132/(($F132*($F132+1)/2)-(($E132-1)*($E132-1+1)/2))*AZ$2), 0)+IF(IF(time+1&gt;=BA$2, $K132/time_cap/(time+1)*AZ$2, 0) = 0, $K132/(time_cap),0)),0)</f>
        <v/>
      </c>
      <c r="BA132" s="4395">
        <f>IFERROR(IF((time+time_cap)&lt;BA$2, 0,IF(AND(time+1&gt;=BB$2, $E132&lt;BB$2), IF($I132= "I", $J132/($F132-$E132+1), $J132/(($F132*($F132+1)/2)-(($E132-1)*($E132-1+1)/2))*BA$2), 0)+IF(IF(time+1&gt;=BB$2, $K132/time_cap/(time+1)*BA$2, 0) = 0, $K132/(time_cap),0)),0)</f>
        <v/>
      </c>
      <c r="BB132" s="4395">
        <f>IFERROR(IF((time+time_cap)&lt;BB$2, 0,IF(AND(time+1&gt;=BC$2, $E132&lt;BC$2), IF($I132= "I", $J132/($F132-$E132+1), $J132/(($F132*($F132+1)/2)-(($E132-1)*($E132-1+1)/2))*BB$2), 0)+IF(IF(time+1&gt;=BC$2, $K132/time_cap/(time+1)*BB$2, 0) = 0, $K132/(time_cap),0)),0)</f>
        <v/>
      </c>
      <c r="BC132" s="4395">
        <f>IFERROR(IF((time+time_cap)&lt;BC$2, 0,IF(AND(time+1&gt;=BD$2, $E132&lt;BD$2), IF($I132= "I", $J132/($F132-$E132+1), $J132/(($F132*($F132+1)/2)-(($E132-1)*($E132-1+1)/2))*BC$2), 0)+IF(IF(time+1&gt;=BD$2, $K132/time_cap/(time+1)*BC$2, 0) = 0, $K132/(time_cap),0)),0)</f>
        <v/>
      </c>
      <c r="BD132" s="4395">
        <f>IFERROR(IF((time+time_cap)&lt;BD$2, 0,IF(AND(time+1&gt;=BE$2, $E132&lt;BE$2), IF($I132= "I", $J132/($F132-$E132+1), $J132/(($F132*($F132+1)/2)-(($E132-1)*($E132-1+1)/2))*BD$2), 0)+IF(IF(time+1&gt;=BE$2, $K132/time_cap/(time+1)*BD$2, 0) = 0, $K132/(time_cap),0)),0)</f>
        <v/>
      </c>
      <c r="BE132" s="4395">
        <f>IFERROR(IF((time+time_cap)&lt;BE$2, 0,IF(AND(time+1&gt;=BF$2, $E132&lt;BF$2), IF($I132= "I", $J132/($F132-$E132+1), $J132/(($F132*($F132+1)/2)-(($E132-1)*($E132-1+1)/2))*BE$2), 0)+IF(IF(time+1&gt;=BF$2, $K132/time_cap/(time+1)*BE$2, 0) = 0, $K132/(time_cap),0)),0)</f>
        <v/>
      </c>
      <c r="BF132" s="4395">
        <f>IFERROR(IF((time+time_cap)&lt;BF$2, 0,IF(AND(time+1&gt;=BG$2, $E132&lt;BG$2), IF($I132= "I", $J132/($F132-$E132+1), $J132/(($F132*($F132+1)/2)-(($E132-1)*($E132-1+1)/2))*BF$2), 0)+IF(IF(time+1&gt;=BG$2, $K132/time_cap/(time+1)*BF$2, 0) = 0, $K132/(time_cap),0)),0)</f>
        <v/>
      </c>
      <c r="BG132" s="4395">
        <f>IFERROR(IF((time+time_cap)&lt;BG$2, 0,IF(AND(time+1&gt;=BH$2, $E132&lt;BH$2), IF($I132= "I", $J132/($F132-$E132+1), $J132/(($F132*($F132+1)/2)-(($E132-1)*($E132-1+1)/2))*BG$2), 0)+IF(IF(time+1&gt;=BH$2, $K132/time_cap/(time+1)*BG$2, 0) = 0, $K132/(time_cap),0)),0)</f>
        <v/>
      </c>
      <c r="BH132" s="4395">
        <f>IFERROR(IF((time+time_cap)&lt;BH$2, 0,IF(AND(time+1&gt;=BI$2, $E132&lt;BI$2), IF($I132= "I", $J132/($F132-$E132+1), $J132/(($F132*($F132+1)/2)-(($E132-1)*($E132-1+1)/2))*BH$2), 0)+IF(IF(time+1&gt;=BI$2, $K132/time_cap/(time+1)*BH$2, 0) = 0, $K132/(time_cap),0)),0)</f>
        <v/>
      </c>
      <c r="BI132" s="4395">
        <f>IFERROR(IF((time+time_cap)&lt;BI$2, 0,IF(AND(time+1&gt;=BJ$2, $E132&lt;BJ$2), IF($I132= "I", $J132/($F132-$E132+1), $J132/(($F132*($F132+1)/2)-(($E132-1)*($E132-1+1)/2))*BI$2), 0)+IF(IF(time+1&gt;=BJ$2, $K132/time_cap/(time+1)*BI$2, 0) = 0, $K132/(time_cap),0)),0)</f>
        <v/>
      </c>
      <c r="BJ132" s="4395">
        <f>IFERROR(IF((time+time_cap)&lt;BJ$2, 0,IF(AND(time+1&gt;=BK$2, $E132&lt;BK$2), IF($I132= "I", $J132/($F132-$E132+1), $J132/(($F132*($F132+1)/2)-(($E132-1)*($E132-1+1)/2))*BJ$2), 0)+IF(IF(time+1&gt;=BK$2, $K132/time_cap/(time+1)*BJ$2, 0) = 0, $K132/(time_cap),0)),0)</f>
        <v/>
      </c>
      <c r="BK132" s="4395" t="n"/>
      <c r="BL132" s="4395" t="n"/>
      <c r="BM132" s="4395" t="n"/>
      <c r="BN132" s="4395" t="n"/>
      <c r="BO132" s="4395" t="n"/>
      <c r="BP132" s="4395" t="n"/>
      <c r="BQ132" s="4395" t="n"/>
      <c r="BR132" s="4395" t="n"/>
      <c r="BS132" s="4395" t="n"/>
      <c r="BT132" s="4395" t="n"/>
      <c r="BU132" s="4395" t="n"/>
      <c r="BV132" s="4395" t="n"/>
      <c r="BW132" s="4395" t="n"/>
      <c r="BX132" s="4395" t="n"/>
      <c r="BY132" s="4395" t="n"/>
      <c r="BZ132" s="4395" t="n"/>
      <c r="CA132" s="4395" t="n"/>
      <c r="CB132" s="4395" t="n"/>
      <c r="CC132" s="4395" t="n"/>
      <c r="CD132" s="4395" t="n"/>
      <c r="CE132" s="4395" t="n"/>
      <c r="CF132" s="4395" t="n"/>
      <c r="CG132" s="4395" t="n"/>
      <c r="CH132" s="4395" t="n"/>
      <c r="CI132" s="4395" t="n"/>
      <c r="CJ132" s="4395" t="n"/>
      <c r="CK132" s="4395" t="n"/>
      <c r="CL132" s="4395" t="n"/>
      <c r="CM132" s="4395" t="n"/>
      <c r="CN132" s="4395" t="n"/>
      <c r="CO132" s="4395" t="n"/>
      <c r="CP132" s="4395" t="n"/>
      <c r="CQ132" s="4395" t="n"/>
      <c r="CR132" s="4395" t="n"/>
      <c r="CS132" s="4395" t="n"/>
      <c r="CT132" s="4395" t="n"/>
      <c r="CU132" s="4395" t="n"/>
      <c r="CV132" s="4395" t="n"/>
      <c r="CW132" s="4395" t="n"/>
      <c r="CX132" s="4395" t="n"/>
      <c r="CY132" s="4395" t="n"/>
      <c r="CZ132" s="4395" t="n"/>
      <c r="DA132" s="4395" t="n"/>
      <c r="DB132" s="4395" t="n"/>
      <c r="DC132" s="4395" t="n"/>
      <c r="DD132" s="4395" t="n"/>
      <c r="DE132" s="4395" t="n"/>
      <c r="DF132" s="4395" t="n"/>
      <c r="DG132" s="4395" t="n"/>
      <c r="DH132" s="4395" t="n"/>
    </row>
    <row r="133" ht="16" customHeight="1">
      <c r="A133" t="inlineStr">
        <is>
          <t>Inland wetlands - OLUC</t>
        </is>
      </c>
      <c r="B133">
        <f>'6.Inland wetlands'!C83</f>
        <v/>
      </c>
      <c r="C133">
        <f>'6.Inland wetlands'!K83</f>
        <v/>
      </c>
      <c r="D133">
        <f>'6.Inland wetlands'!AG83+'6.Inland wetlands'!AG94</f>
        <v/>
      </c>
      <c r="E133">
        <f>IF('6.Inland wetlands'!BI83&lt;&gt;0,'6.Inland wetlands'!BI83,'6.Inland wetlands'!BH83)</f>
        <v/>
      </c>
      <c r="F133">
        <f>time</f>
        <v/>
      </c>
      <c r="G133" s="4395">
        <f>'6.Inland wetlands'!O83</f>
        <v/>
      </c>
      <c r="H133" s="4395">
        <f>'6.Inland wetlands'!Q83</f>
        <v/>
      </c>
      <c r="I133" s="4395">
        <f>IF(OR(H133="I", G133="I"), "I", IF(OR(H133="E", G133="E"), "E", "D"))</f>
        <v/>
      </c>
      <c r="J133" s="4395">
        <f>((D133/(time_cap+((F133-E133+1)*VLOOKUP(I133,list!$I$48:$K$50,3, FALSE))))*(F133-E133+1)*VLOOKUP(I133,list!$I$48:$K$50,3, FALSE))</f>
        <v/>
      </c>
      <c r="K133" s="4395">
        <f>((D133/(time_cap+((F133-E133+1)*VLOOKUP(I133,list!$I$48:$K$50,3, FALSE))))*time_cap)</f>
        <v/>
      </c>
      <c r="M133" s="4395">
        <f>IFERROR(IF((time+time_cap)&lt;M$2, 0,IF(AND(time+1&gt;=N$2, $E133&lt;N$2), IF($I133= "I", $J133/($F133-$E133+1), $J133/(($F133*($F133+1)/2)-(($E133-1)*($E133-1+1)/2))*M$2), 0)+IF(IF(time+1&gt;=N$2, $K133/time_cap/(time+1)*M$2, 0) = 0, $K133/(time_cap),0)),0)</f>
        <v/>
      </c>
      <c r="N133" s="4395">
        <f>IFERROR(IF((time+time_cap)&lt;N$2, 0,IF(AND(time+1&gt;=O$2, $E133&lt;O$2), IF($I133= "I", $J133/($F133-$E133+1), $J133/(($F133*($F133+1)/2)-(($E133-1)*($E133-1+1)/2))*N$2), 0)+IF(IF(time+1&gt;=O$2, $K133/time_cap/(time+1)*N$2, 0) = 0, $K133/(time_cap),0)),0)</f>
        <v/>
      </c>
      <c r="O133" s="4395">
        <f>IFERROR(IF((time+time_cap)&lt;O$2, 0,IF(AND(time+1&gt;=P$2, $E133&lt;P$2), IF($I133= "I", $J133/($F133-$E133+1), $J133/(($F133*($F133+1)/2)-(($E133-1)*($E133-1+1)/2))*O$2), 0)+IF(IF(time+1&gt;=P$2, $K133/time_cap/(time+1)*O$2, 0) = 0, $K133/(time_cap),0)),0)</f>
        <v/>
      </c>
      <c r="P133" s="4395">
        <f>IFERROR(IF((time+time_cap)&lt;P$2, 0,IF(AND(time+1&gt;=Q$2, $E133&lt;Q$2), IF($I133= "I", $J133/($F133-$E133+1), $J133/(($F133*($F133+1)/2)-(($E133-1)*($E133-1+1)/2))*P$2), 0)+IF(IF(time+1&gt;=Q$2, $K133/time_cap/(time+1)*P$2, 0) = 0, $K133/(time_cap),0)),0)</f>
        <v/>
      </c>
      <c r="Q133" s="4395">
        <f>IFERROR(IF((time+time_cap)&lt;Q$2, 0,IF(AND(time+1&gt;=R$2, $E133&lt;R$2), IF($I133= "I", $J133/($F133-$E133+1), $J133/(($F133*($F133+1)/2)-(($E133-1)*($E133-1+1)/2))*Q$2), 0)+IF(IF(time+1&gt;=R$2, $K133/time_cap/(time+1)*Q$2, 0) = 0, $K133/(time_cap),0)),0)</f>
        <v/>
      </c>
      <c r="R133" s="4395">
        <f>IFERROR(IF((time+time_cap)&lt;R$2, 0,IF(AND(time+1&gt;=S$2, $E133&lt;S$2), IF($I133= "I", $J133/($F133-$E133+1), $J133/(($F133*($F133+1)/2)-(($E133-1)*($E133-1+1)/2))*R$2), 0)+IF(IF(time+1&gt;=S$2, $K133/time_cap/(time+1)*R$2, 0) = 0, $K133/(time_cap),0)),0)</f>
        <v/>
      </c>
      <c r="S133" s="4395">
        <f>IFERROR(IF((time+time_cap)&lt;S$2, 0,IF(AND(time+1&gt;=T$2, $E133&lt;T$2), IF($I133= "I", $J133/($F133-$E133+1), $J133/(($F133*($F133+1)/2)-(($E133-1)*($E133-1+1)/2))*S$2), 0)+IF(IF(time+1&gt;=T$2, $K133/time_cap/(time+1)*S$2, 0) = 0, $K133/(time_cap),0)),0)</f>
        <v/>
      </c>
      <c r="T133" s="4395">
        <f>IFERROR(IF((time+time_cap)&lt;T$2, 0,IF(AND(time+1&gt;=U$2, $E133&lt;U$2), IF($I133= "I", $J133/($F133-$E133+1), $J133/(($F133*($F133+1)/2)-(($E133-1)*($E133-1+1)/2))*T$2), 0)+IF(IF(time+1&gt;=U$2, $K133/time_cap/(time+1)*T$2, 0) = 0, $K133/(time_cap),0)),0)</f>
        <v/>
      </c>
      <c r="U133" s="4395">
        <f>IFERROR(IF((time+time_cap)&lt;U$2, 0,IF(AND(time+1&gt;=V$2, $E133&lt;V$2), IF($I133= "I", $J133/($F133-$E133+1), $J133/(($F133*($F133+1)/2)-(($E133-1)*($E133-1+1)/2))*U$2), 0)+IF(IF(time+1&gt;=V$2, $K133/time_cap/(time+1)*U$2, 0) = 0, $K133/(time_cap),0)),0)</f>
        <v/>
      </c>
      <c r="V133" s="4395">
        <f>IFERROR(IF((time+time_cap)&lt;V$2, 0,IF(AND(time+1&gt;=W$2, $E133&lt;W$2), IF($I133= "I", $J133/($F133-$E133+1), $J133/(($F133*($F133+1)/2)-(($E133-1)*($E133-1+1)/2))*V$2), 0)+IF(IF(time+1&gt;=W$2, $K133/time_cap/(time+1)*V$2, 0) = 0, $K133/(time_cap),0)),0)</f>
        <v/>
      </c>
      <c r="W133" s="4395">
        <f>IFERROR(IF((time+time_cap)&lt;W$2, 0,IF(AND(time+1&gt;=X$2, $E133&lt;X$2), IF($I133= "I", $J133/($F133-$E133+1), $J133/(($F133*($F133+1)/2)-(($E133-1)*($E133-1+1)/2))*W$2), 0)+IF(IF(time+1&gt;=X$2, $K133/time_cap/(time+1)*W$2, 0) = 0, $K133/(time_cap),0)),0)</f>
        <v/>
      </c>
      <c r="X133" s="4395">
        <f>IFERROR(IF((time+time_cap)&lt;X$2, 0,IF(AND(time+1&gt;=Y$2, $E133&lt;Y$2), IF($I133= "I", $J133/($F133-$E133+1), $J133/(($F133*($F133+1)/2)-(($E133-1)*($E133-1+1)/2))*X$2), 0)+IF(IF(time+1&gt;=Y$2, $K133/time_cap/(time+1)*X$2, 0) = 0, $K133/(time_cap),0)),0)</f>
        <v/>
      </c>
      <c r="Y133" s="4395">
        <f>IFERROR(IF((time+time_cap)&lt;Y$2, 0,IF(AND(time+1&gt;=Z$2, $E133&lt;Z$2), IF($I133= "I", $J133/($F133-$E133+1), $J133/(($F133*($F133+1)/2)-(($E133-1)*($E133-1+1)/2))*Y$2), 0)+IF(IF(time+1&gt;=Z$2, $K133/time_cap/(time+1)*Y$2, 0) = 0, $K133/(time_cap),0)),0)</f>
        <v/>
      </c>
      <c r="Z133" s="4395">
        <f>IFERROR(IF((time+time_cap)&lt;Z$2, 0,IF(AND(time+1&gt;=AA$2, $E133&lt;AA$2), IF($I133= "I", $J133/($F133-$E133+1), $J133/(($F133*($F133+1)/2)-(($E133-1)*($E133-1+1)/2))*Z$2), 0)+IF(IF(time+1&gt;=AA$2, $K133/time_cap/(time+1)*Z$2, 0) = 0, $K133/(time_cap),0)),0)</f>
        <v/>
      </c>
      <c r="AA133" s="4395">
        <f>IFERROR(IF((time+time_cap)&lt;AA$2, 0,IF(AND(time+1&gt;=AB$2, $E133&lt;AB$2), IF($I133= "I", $J133/($F133-$E133+1), $J133/(($F133*($F133+1)/2)-(($E133-1)*($E133-1+1)/2))*AA$2), 0)+IF(IF(time+1&gt;=AB$2, $K133/time_cap/(time+1)*AA$2, 0) = 0, $K133/(time_cap),0)),0)</f>
        <v/>
      </c>
      <c r="AB133" s="4395">
        <f>IFERROR(IF((time+time_cap)&lt;AB$2, 0,IF(AND(time+1&gt;=AC$2, $E133&lt;AC$2), IF($I133= "I", $J133/($F133-$E133+1), $J133/(($F133*($F133+1)/2)-(($E133-1)*($E133-1+1)/2))*AB$2), 0)+IF(IF(time+1&gt;=AC$2, $K133/time_cap/(time+1)*AB$2, 0) = 0, $K133/(time_cap),0)),0)</f>
        <v/>
      </c>
      <c r="AC133" s="4395">
        <f>IFERROR(IF((time+time_cap)&lt;AC$2, 0,IF(AND(time+1&gt;=AD$2, $E133&lt;AD$2), IF($I133= "I", $J133/($F133-$E133+1), $J133/(($F133*($F133+1)/2)-(($E133-1)*($E133-1+1)/2))*AC$2), 0)+IF(IF(time+1&gt;=AD$2, $K133/time_cap/(time+1)*AC$2, 0) = 0, $K133/(time_cap),0)),0)</f>
        <v/>
      </c>
      <c r="AD133" s="4395">
        <f>IFERROR(IF((time+time_cap)&lt;AD$2, 0,IF(AND(time+1&gt;=AE$2, $E133&lt;AE$2), IF($I133= "I", $J133/($F133-$E133+1), $J133/(($F133*($F133+1)/2)-(($E133-1)*($E133-1+1)/2))*AD$2), 0)+IF(IF(time+1&gt;=AE$2, $K133/time_cap/(time+1)*AD$2, 0) = 0, $K133/(time_cap),0)),0)</f>
        <v/>
      </c>
      <c r="AE133" s="4395">
        <f>IFERROR(IF((time+time_cap)&lt;AE$2, 0,IF(AND(time+1&gt;=AF$2, $E133&lt;AF$2), IF($I133= "I", $J133/($F133-$E133+1), $J133/(($F133*($F133+1)/2)-(($E133-1)*($E133-1+1)/2))*AE$2), 0)+IF(IF(time+1&gt;=AF$2, $K133/time_cap/(time+1)*AE$2, 0) = 0, $K133/(time_cap),0)),0)</f>
        <v/>
      </c>
      <c r="AF133" s="4395">
        <f>IFERROR(IF((time+time_cap)&lt;AF$2, 0,IF(AND(time+1&gt;=AG$2, $E133&lt;AG$2), IF($I133= "I", $J133/($F133-$E133+1), $J133/(($F133*($F133+1)/2)-(($E133-1)*($E133-1+1)/2))*AF$2), 0)+IF(IF(time+1&gt;=AG$2, $K133/time_cap/(time+1)*AF$2, 0) = 0, $K133/(time_cap),0)),0)</f>
        <v/>
      </c>
      <c r="AG133" s="4395">
        <f>IFERROR(IF((time+time_cap)&lt;AG$2, 0,IF(AND(time+1&gt;=AH$2, $E133&lt;AH$2), IF($I133= "I", $J133/($F133-$E133+1), $J133/(($F133*($F133+1)/2)-(($E133-1)*($E133-1+1)/2))*AG$2), 0)+IF(IF(time+1&gt;=AH$2, $K133/time_cap/(time+1)*AG$2, 0) = 0, $K133/(time_cap),0)),0)</f>
        <v/>
      </c>
      <c r="AH133" s="4395">
        <f>IFERROR(IF((time+time_cap)&lt;AH$2, 0,IF(AND(time+1&gt;=AI$2, $E133&lt;AI$2), IF($I133= "I", $J133/($F133-$E133+1), $J133/(($F133*($F133+1)/2)-(($E133-1)*($E133-1+1)/2))*AH$2), 0)+IF(IF(time+1&gt;=AI$2, $K133/time_cap/(time+1)*AH$2, 0) = 0, $K133/(time_cap),0)),0)</f>
        <v/>
      </c>
      <c r="AI133" s="4395">
        <f>IFERROR(IF((time+time_cap)&lt;AI$2, 0,IF(AND(time+1&gt;=AJ$2, $E133&lt;AJ$2), IF($I133= "I", $J133/($F133-$E133+1), $J133/(($F133*($F133+1)/2)-(($E133-1)*($E133-1+1)/2))*AI$2), 0)+IF(IF(time+1&gt;=AJ$2, $K133/time_cap/(time+1)*AI$2, 0) = 0, $K133/(time_cap),0)),0)</f>
        <v/>
      </c>
      <c r="AJ133" s="4395">
        <f>IFERROR(IF((time+time_cap)&lt;AJ$2, 0,IF(AND(time+1&gt;=AK$2, $E133&lt;AK$2), IF($I133= "I", $J133/($F133-$E133+1), $J133/(($F133*($F133+1)/2)-(($E133-1)*($E133-1+1)/2))*AJ$2), 0)+IF(IF(time+1&gt;=AK$2, $K133/time_cap/(time+1)*AJ$2, 0) = 0, $K133/(time_cap),0)),0)</f>
        <v/>
      </c>
      <c r="AK133" s="4395">
        <f>IFERROR(IF((time+time_cap)&lt;AK$2, 0,IF(AND(time+1&gt;=AL$2, $E133&lt;AL$2), IF($I133= "I", $J133/($F133-$E133+1), $J133/(($F133*($F133+1)/2)-(($E133-1)*($E133-1+1)/2))*AK$2), 0)+IF(IF(time+1&gt;=AL$2, $K133/time_cap/(time+1)*AK$2, 0) = 0, $K133/(time_cap),0)),0)</f>
        <v/>
      </c>
      <c r="AL133" s="4395">
        <f>IFERROR(IF((time+time_cap)&lt;AL$2, 0,IF(AND(time+1&gt;=AM$2, $E133&lt;AM$2), IF($I133= "I", $J133/($F133-$E133+1), $J133/(($F133*($F133+1)/2)-(($E133-1)*($E133-1+1)/2))*AL$2), 0)+IF(IF(time+1&gt;=AM$2, $K133/time_cap/(time+1)*AL$2, 0) = 0, $K133/(time_cap),0)),0)</f>
        <v/>
      </c>
      <c r="AM133" s="4395">
        <f>IFERROR(IF((time+time_cap)&lt;AM$2, 0,IF(AND(time+1&gt;=AN$2, $E133&lt;AN$2), IF($I133= "I", $J133/($F133-$E133+1), $J133/(($F133*($F133+1)/2)-(($E133-1)*($E133-1+1)/2))*AM$2), 0)+IF(IF(time+1&gt;=AN$2, $K133/time_cap/(time+1)*AM$2, 0) = 0, $K133/(time_cap),0)),0)</f>
        <v/>
      </c>
      <c r="AN133" s="4395">
        <f>IFERROR(IF((time+time_cap)&lt;AN$2, 0,IF(AND(time+1&gt;=AO$2, $E133&lt;AO$2), IF($I133= "I", $J133/($F133-$E133+1), $J133/(($F133*($F133+1)/2)-(($E133-1)*($E133-1+1)/2))*AN$2), 0)+IF(IF(time+1&gt;=AO$2, $K133/time_cap/(time+1)*AN$2, 0) = 0, $K133/(time_cap),0)),0)</f>
        <v/>
      </c>
      <c r="AO133" s="4395">
        <f>IFERROR(IF((time+time_cap)&lt;AO$2, 0,IF(AND(time+1&gt;=AP$2, $E133&lt;AP$2), IF($I133= "I", $J133/($F133-$E133+1), $J133/(($F133*($F133+1)/2)-(($E133-1)*($E133-1+1)/2))*AO$2), 0)+IF(IF(time+1&gt;=AP$2, $K133/time_cap/(time+1)*AO$2, 0) = 0, $K133/(time_cap),0)),0)</f>
        <v/>
      </c>
      <c r="AP133" s="4395">
        <f>IFERROR(IF((time+time_cap)&lt;AP$2, 0,IF(AND(time+1&gt;=AQ$2, $E133&lt;AQ$2), IF($I133= "I", $J133/($F133-$E133+1), $J133/(($F133*($F133+1)/2)-(($E133-1)*($E133-1+1)/2))*AP$2), 0)+IF(IF(time+1&gt;=AQ$2, $K133/time_cap/(time+1)*AP$2, 0) = 0, $K133/(time_cap),0)),0)</f>
        <v/>
      </c>
      <c r="AQ133" s="4395">
        <f>IFERROR(IF((time+time_cap)&lt;AQ$2, 0,IF(AND(time+1&gt;=AR$2, $E133&lt;AR$2), IF($I133= "I", $J133/($F133-$E133+1), $J133/(($F133*($F133+1)/2)-(($E133-1)*($E133-1+1)/2))*AQ$2), 0)+IF(IF(time+1&gt;=AR$2, $K133/time_cap/(time+1)*AQ$2, 0) = 0, $K133/(time_cap),0)),0)</f>
        <v/>
      </c>
      <c r="AR133" s="4395">
        <f>IFERROR(IF((time+time_cap)&lt;AR$2, 0,IF(AND(time+1&gt;=AS$2, $E133&lt;AS$2), IF($I133= "I", $J133/($F133-$E133+1), $J133/(($F133*($F133+1)/2)-(($E133-1)*($E133-1+1)/2))*AR$2), 0)+IF(IF(time+1&gt;=AS$2, $K133/time_cap/(time+1)*AR$2, 0) = 0, $K133/(time_cap),0)),0)</f>
        <v/>
      </c>
      <c r="AS133" s="4395">
        <f>IFERROR(IF((time+time_cap)&lt;AS$2, 0,IF(AND(time+1&gt;=AT$2, $E133&lt;AT$2), IF($I133= "I", $J133/($F133-$E133+1), $J133/(($F133*($F133+1)/2)-(($E133-1)*($E133-1+1)/2))*AS$2), 0)+IF(IF(time+1&gt;=AT$2, $K133/time_cap/(time+1)*AS$2, 0) = 0, $K133/(time_cap),0)),0)</f>
        <v/>
      </c>
      <c r="AT133" s="4395">
        <f>IFERROR(IF((time+time_cap)&lt;AT$2, 0,IF(AND(time+1&gt;=AU$2, $E133&lt;AU$2), IF($I133= "I", $J133/($F133-$E133+1), $J133/(($F133*($F133+1)/2)-(($E133-1)*($E133-1+1)/2))*AT$2), 0)+IF(IF(time+1&gt;=AU$2, $K133/time_cap/(time+1)*AT$2, 0) = 0, $K133/(time_cap),0)),0)</f>
        <v/>
      </c>
      <c r="AU133" s="4395">
        <f>IFERROR(IF((time+time_cap)&lt;AU$2, 0,IF(AND(time+1&gt;=AV$2, $E133&lt;AV$2), IF($I133= "I", $J133/($F133-$E133+1), $J133/(($F133*($F133+1)/2)-(($E133-1)*($E133-1+1)/2))*AU$2), 0)+IF(IF(time+1&gt;=AV$2, $K133/time_cap/(time+1)*AU$2, 0) = 0, $K133/(time_cap),0)),0)</f>
        <v/>
      </c>
      <c r="AV133" s="4395">
        <f>IFERROR(IF((time+time_cap)&lt;AV$2, 0,IF(AND(time+1&gt;=AW$2, $E133&lt;AW$2), IF($I133= "I", $J133/($F133-$E133+1), $J133/(($F133*($F133+1)/2)-(($E133-1)*($E133-1+1)/2))*AV$2), 0)+IF(IF(time+1&gt;=AW$2, $K133/time_cap/(time+1)*AV$2, 0) = 0, $K133/(time_cap),0)),0)</f>
        <v/>
      </c>
      <c r="AW133" s="4395">
        <f>IFERROR(IF((time+time_cap)&lt;AW$2, 0,IF(AND(time+1&gt;=AX$2, $E133&lt;AX$2), IF($I133= "I", $J133/($F133-$E133+1), $J133/(($F133*($F133+1)/2)-(($E133-1)*($E133-1+1)/2))*AW$2), 0)+IF(IF(time+1&gt;=AX$2, $K133/time_cap/(time+1)*AW$2, 0) = 0, $K133/(time_cap),0)),0)</f>
        <v/>
      </c>
      <c r="AX133" s="4395">
        <f>IFERROR(IF((time+time_cap)&lt;AX$2, 0,IF(AND(time+1&gt;=AY$2, $E133&lt;AY$2), IF($I133= "I", $J133/($F133-$E133+1), $J133/(($F133*($F133+1)/2)-(($E133-1)*($E133-1+1)/2))*AX$2), 0)+IF(IF(time+1&gt;=AY$2, $K133/time_cap/(time+1)*AX$2, 0) = 0, $K133/(time_cap),0)),0)</f>
        <v/>
      </c>
      <c r="AY133" s="4395">
        <f>IFERROR(IF((time+time_cap)&lt;AY$2, 0,IF(AND(time+1&gt;=AZ$2, $E133&lt;AZ$2), IF($I133= "I", $J133/($F133-$E133+1), $J133/(($F133*($F133+1)/2)-(($E133-1)*($E133-1+1)/2))*AY$2), 0)+IF(IF(time+1&gt;=AZ$2, $K133/time_cap/(time+1)*AY$2, 0) = 0, $K133/(time_cap),0)),0)</f>
        <v/>
      </c>
      <c r="AZ133" s="4395">
        <f>IFERROR(IF((time+time_cap)&lt;AZ$2, 0,IF(AND(time+1&gt;=BA$2, $E133&lt;BA$2), IF($I133= "I", $J133/($F133-$E133+1), $J133/(($F133*($F133+1)/2)-(($E133-1)*($E133-1+1)/2))*AZ$2), 0)+IF(IF(time+1&gt;=BA$2, $K133/time_cap/(time+1)*AZ$2, 0) = 0, $K133/(time_cap),0)),0)</f>
        <v/>
      </c>
      <c r="BA133" s="4395">
        <f>IFERROR(IF((time+time_cap)&lt;BA$2, 0,IF(AND(time+1&gt;=BB$2, $E133&lt;BB$2), IF($I133= "I", $J133/($F133-$E133+1), $J133/(($F133*($F133+1)/2)-(($E133-1)*($E133-1+1)/2))*BA$2), 0)+IF(IF(time+1&gt;=BB$2, $K133/time_cap/(time+1)*BA$2, 0) = 0, $K133/(time_cap),0)),0)</f>
        <v/>
      </c>
      <c r="BB133" s="4395">
        <f>IFERROR(IF((time+time_cap)&lt;BB$2, 0,IF(AND(time+1&gt;=BC$2, $E133&lt;BC$2), IF($I133= "I", $J133/($F133-$E133+1), $J133/(($F133*($F133+1)/2)-(($E133-1)*($E133-1+1)/2))*BB$2), 0)+IF(IF(time+1&gt;=BC$2, $K133/time_cap/(time+1)*BB$2, 0) = 0, $K133/(time_cap),0)),0)</f>
        <v/>
      </c>
      <c r="BC133" s="4395">
        <f>IFERROR(IF((time+time_cap)&lt;BC$2, 0,IF(AND(time+1&gt;=BD$2, $E133&lt;BD$2), IF($I133= "I", $J133/($F133-$E133+1), $J133/(($F133*($F133+1)/2)-(($E133-1)*($E133-1+1)/2))*BC$2), 0)+IF(IF(time+1&gt;=BD$2, $K133/time_cap/(time+1)*BC$2, 0) = 0, $K133/(time_cap),0)),0)</f>
        <v/>
      </c>
      <c r="BD133" s="4395">
        <f>IFERROR(IF((time+time_cap)&lt;BD$2, 0,IF(AND(time+1&gt;=BE$2, $E133&lt;BE$2), IF($I133= "I", $J133/($F133-$E133+1), $J133/(($F133*($F133+1)/2)-(($E133-1)*($E133-1+1)/2))*BD$2), 0)+IF(IF(time+1&gt;=BE$2, $K133/time_cap/(time+1)*BD$2, 0) = 0, $K133/(time_cap),0)),0)</f>
        <v/>
      </c>
      <c r="BE133" s="4395">
        <f>IFERROR(IF((time+time_cap)&lt;BE$2, 0,IF(AND(time+1&gt;=BF$2, $E133&lt;BF$2), IF($I133= "I", $J133/($F133-$E133+1), $J133/(($F133*($F133+1)/2)-(($E133-1)*($E133-1+1)/2))*BE$2), 0)+IF(IF(time+1&gt;=BF$2, $K133/time_cap/(time+1)*BE$2, 0) = 0, $K133/(time_cap),0)),0)</f>
        <v/>
      </c>
      <c r="BF133" s="4395">
        <f>IFERROR(IF((time+time_cap)&lt;BF$2, 0,IF(AND(time+1&gt;=BG$2, $E133&lt;BG$2), IF($I133= "I", $J133/($F133-$E133+1), $J133/(($F133*($F133+1)/2)-(($E133-1)*($E133-1+1)/2))*BF$2), 0)+IF(IF(time+1&gt;=BG$2, $K133/time_cap/(time+1)*BF$2, 0) = 0, $K133/(time_cap),0)),0)</f>
        <v/>
      </c>
      <c r="BG133" s="4395">
        <f>IFERROR(IF((time+time_cap)&lt;BG$2, 0,IF(AND(time+1&gt;=BH$2, $E133&lt;BH$2), IF($I133= "I", $J133/($F133-$E133+1), $J133/(($F133*($F133+1)/2)-(($E133-1)*($E133-1+1)/2))*BG$2), 0)+IF(IF(time+1&gt;=BH$2, $K133/time_cap/(time+1)*BG$2, 0) = 0, $K133/(time_cap),0)),0)</f>
        <v/>
      </c>
      <c r="BH133" s="4395">
        <f>IFERROR(IF((time+time_cap)&lt;BH$2, 0,IF(AND(time+1&gt;=BI$2, $E133&lt;BI$2), IF($I133= "I", $J133/($F133-$E133+1), $J133/(($F133*($F133+1)/2)-(($E133-1)*($E133-1+1)/2))*BH$2), 0)+IF(IF(time+1&gt;=BI$2, $K133/time_cap/(time+1)*BH$2, 0) = 0, $K133/(time_cap),0)),0)</f>
        <v/>
      </c>
      <c r="BI133" s="4395">
        <f>IFERROR(IF((time+time_cap)&lt;BI$2, 0,IF(AND(time+1&gt;=BJ$2, $E133&lt;BJ$2), IF($I133= "I", $J133/($F133-$E133+1), $J133/(($F133*($F133+1)/2)-(($E133-1)*($E133-1+1)/2))*BI$2), 0)+IF(IF(time+1&gt;=BJ$2, $K133/time_cap/(time+1)*BI$2, 0) = 0, $K133/(time_cap),0)),0)</f>
        <v/>
      </c>
      <c r="BJ133" s="4395">
        <f>IFERROR(IF((time+time_cap)&lt;BJ$2, 0,IF(AND(time+1&gt;=BK$2, $E133&lt;BK$2), IF($I133= "I", $J133/($F133-$E133+1), $J133/(($F133*($F133+1)/2)-(($E133-1)*($E133-1+1)/2))*BJ$2), 0)+IF(IF(time+1&gt;=BK$2, $K133/time_cap/(time+1)*BJ$2, 0) = 0, $K133/(time_cap),0)),0)</f>
        <v/>
      </c>
      <c r="BK133" s="4395" t="n"/>
      <c r="BL133" s="4395" t="n"/>
      <c r="BM133" s="4395" t="n"/>
      <c r="BN133" s="4395" t="n"/>
      <c r="BO133" s="4395" t="n"/>
      <c r="BP133" s="4395" t="n"/>
      <c r="BQ133" s="4395" t="n"/>
      <c r="BR133" s="4395" t="n"/>
      <c r="BS133" s="4395" t="n"/>
      <c r="BT133" s="4395" t="n"/>
      <c r="BU133" s="4395" t="n"/>
      <c r="BV133" s="4395" t="n"/>
      <c r="BW133" s="4395" t="n"/>
      <c r="BX133" s="4395" t="n"/>
      <c r="BY133" s="4395" t="n"/>
      <c r="BZ133" s="4395" t="n"/>
      <c r="CA133" s="4395" t="n"/>
      <c r="CB133" s="4395" t="n"/>
      <c r="CC133" s="4395" t="n"/>
      <c r="CD133" s="4395" t="n"/>
      <c r="CE133" s="4395" t="n"/>
      <c r="CF133" s="4395" t="n"/>
      <c r="CG133" s="4395" t="n"/>
      <c r="CH133" s="4395" t="n"/>
      <c r="CI133" s="4395" t="n"/>
      <c r="CJ133" s="4395" t="n"/>
      <c r="CK133" s="4395" t="n"/>
      <c r="CL133" s="4395" t="n"/>
      <c r="CM133" s="4395" t="n"/>
      <c r="CN133" s="4395" t="n"/>
      <c r="CO133" s="4395" t="n"/>
      <c r="CP133" s="4395" t="n"/>
      <c r="CQ133" s="4395" t="n"/>
      <c r="CR133" s="4395" t="n"/>
      <c r="CS133" s="4395" t="n"/>
      <c r="CT133" s="4395" t="n"/>
      <c r="CU133" s="4395" t="n"/>
      <c r="CV133" s="4395" t="n"/>
      <c r="CW133" s="4395" t="n"/>
      <c r="CX133" s="4395" t="n"/>
      <c r="CY133" s="4395" t="n"/>
      <c r="CZ133" s="4395" t="n"/>
      <c r="DA133" s="4395" t="n"/>
      <c r="DB133" s="4395" t="n"/>
      <c r="DC133" s="4395" t="n"/>
      <c r="DD133" s="4395" t="n"/>
      <c r="DE133" s="4395" t="n"/>
      <c r="DF133" s="4395" t="n"/>
      <c r="DG133" s="4395" t="n"/>
      <c r="DH133" s="4395" t="n"/>
    </row>
    <row r="134" ht="16" customHeight="1">
      <c r="A134" t="inlineStr">
        <is>
          <t>Inland wetlands - OLUC</t>
        </is>
      </c>
      <c r="B134">
        <f>'6.Inland wetlands'!C84</f>
        <v/>
      </c>
      <c r="C134">
        <f>'6.Inland wetlands'!K84</f>
        <v/>
      </c>
      <c r="D134">
        <f>'6.Inland wetlands'!AG84+'6.Inland wetlands'!AG95</f>
        <v/>
      </c>
      <c r="E134">
        <f>IF('6.Inland wetlands'!BI84&lt;&gt;0,'6.Inland wetlands'!BI84,'6.Inland wetlands'!BH84)</f>
        <v/>
      </c>
      <c r="F134">
        <f>time</f>
        <v/>
      </c>
      <c r="G134" s="4395">
        <f>'6.Inland wetlands'!O84</f>
        <v/>
      </c>
      <c r="H134" s="4395">
        <f>'6.Inland wetlands'!Q84</f>
        <v/>
      </c>
      <c r="I134" s="4395">
        <f>IF(OR(H134="I", G134="I"), "I", IF(OR(H134="E", G134="E"), "E", "D"))</f>
        <v/>
      </c>
      <c r="J134" s="4395">
        <f>((D134/(time_cap+((F134-E134+1)*VLOOKUP(I134,list!$I$48:$K$50,3, FALSE))))*(F134-E134+1)*VLOOKUP(I134,list!$I$48:$K$50,3, FALSE))</f>
        <v/>
      </c>
      <c r="K134" s="4395">
        <f>((D134/(time_cap+((F134-E134+1)*VLOOKUP(I134,list!$I$48:$K$50,3, FALSE))))*time_cap)</f>
        <v/>
      </c>
      <c r="M134" s="4395">
        <f>IFERROR(IF((time+time_cap)&lt;M$2, 0,IF(AND(time+1&gt;=N$2, $E134&lt;N$2), IF($I134= "I", $J134/($F134-$E134+1), $J134/(($F134*($F134+1)/2)-(($E134-1)*($E134-1+1)/2))*M$2), 0)+IF(IF(time+1&gt;=N$2, $K134/time_cap/(time+1)*M$2, 0) = 0, $K134/(time_cap),0)),0)</f>
        <v/>
      </c>
      <c r="N134" s="4395">
        <f>IFERROR(IF((time+time_cap)&lt;N$2, 0,IF(AND(time+1&gt;=O$2, $E134&lt;O$2), IF($I134= "I", $J134/($F134-$E134+1), $J134/(($F134*($F134+1)/2)-(($E134-1)*($E134-1+1)/2))*N$2), 0)+IF(IF(time+1&gt;=O$2, $K134/time_cap/(time+1)*N$2, 0) = 0, $K134/(time_cap),0)),0)</f>
        <v/>
      </c>
      <c r="O134" s="4395">
        <f>IFERROR(IF((time+time_cap)&lt;O$2, 0,IF(AND(time+1&gt;=P$2, $E134&lt;P$2), IF($I134= "I", $J134/($F134-$E134+1), $J134/(($F134*($F134+1)/2)-(($E134-1)*($E134-1+1)/2))*O$2), 0)+IF(IF(time+1&gt;=P$2, $K134/time_cap/(time+1)*O$2, 0) = 0, $K134/(time_cap),0)),0)</f>
        <v/>
      </c>
      <c r="P134" s="4395">
        <f>IFERROR(IF((time+time_cap)&lt;P$2, 0,IF(AND(time+1&gt;=Q$2, $E134&lt;Q$2), IF($I134= "I", $J134/($F134-$E134+1), $J134/(($F134*($F134+1)/2)-(($E134-1)*($E134-1+1)/2))*P$2), 0)+IF(IF(time+1&gt;=Q$2, $K134/time_cap/(time+1)*P$2, 0) = 0, $K134/(time_cap),0)),0)</f>
        <v/>
      </c>
      <c r="Q134" s="4395">
        <f>IFERROR(IF((time+time_cap)&lt;Q$2, 0,IF(AND(time+1&gt;=R$2, $E134&lt;R$2), IF($I134= "I", $J134/($F134-$E134+1), $J134/(($F134*($F134+1)/2)-(($E134-1)*($E134-1+1)/2))*Q$2), 0)+IF(IF(time+1&gt;=R$2, $K134/time_cap/(time+1)*Q$2, 0) = 0, $K134/(time_cap),0)),0)</f>
        <v/>
      </c>
      <c r="R134" s="4395">
        <f>IFERROR(IF((time+time_cap)&lt;R$2, 0,IF(AND(time+1&gt;=S$2, $E134&lt;S$2), IF($I134= "I", $J134/($F134-$E134+1), $J134/(($F134*($F134+1)/2)-(($E134-1)*($E134-1+1)/2))*R$2), 0)+IF(IF(time+1&gt;=S$2, $K134/time_cap/(time+1)*R$2, 0) = 0, $K134/(time_cap),0)),0)</f>
        <v/>
      </c>
      <c r="S134" s="4395">
        <f>IFERROR(IF((time+time_cap)&lt;S$2, 0,IF(AND(time+1&gt;=T$2, $E134&lt;T$2), IF($I134= "I", $J134/($F134-$E134+1), $J134/(($F134*($F134+1)/2)-(($E134-1)*($E134-1+1)/2))*S$2), 0)+IF(IF(time+1&gt;=T$2, $K134/time_cap/(time+1)*S$2, 0) = 0, $K134/(time_cap),0)),0)</f>
        <v/>
      </c>
      <c r="T134" s="4395">
        <f>IFERROR(IF((time+time_cap)&lt;T$2, 0,IF(AND(time+1&gt;=U$2, $E134&lt;U$2), IF($I134= "I", $J134/($F134-$E134+1), $J134/(($F134*($F134+1)/2)-(($E134-1)*($E134-1+1)/2))*T$2), 0)+IF(IF(time+1&gt;=U$2, $K134/time_cap/(time+1)*T$2, 0) = 0, $K134/(time_cap),0)),0)</f>
        <v/>
      </c>
      <c r="U134" s="4395">
        <f>IFERROR(IF((time+time_cap)&lt;U$2, 0,IF(AND(time+1&gt;=V$2, $E134&lt;V$2), IF($I134= "I", $J134/($F134-$E134+1), $J134/(($F134*($F134+1)/2)-(($E134-1)*($E134-1+1)/2))*U$2), 0)+IF(IF(time+1&gt;=V$2, $K134/time_cap/(time+1)*U$2, 0) = 0, $K134/(time_cap),0)),0)</f>
        <v/>
      </c>
      <c r="V134" s="4395">
        <f>IFERROR(IF((time+time_cap)&lt;V$2, 0,IF(AND(time+1&gt;=W$2, $E134&lt;W$2), IF($I134= "I", $J134/($F134-$E134+1), $J134/(($F134*($F134+1)/2)-(($E134-1)*($E134-1+1)/2))*V$2), 0)+IF(IF(time+1&gt;=W$2, $K134/time_cap/(time+1)*V$2, 0) = 0, $K134/(time_cap),0)),0)</f>
        <v/>
      </c>
      <c r="W134" s="4395">
        <f>IFERROR(IF((time+time_cap)&lt;W$2, 0,IF(AND(time+1&gt;=X$2, $E134&lt;X$2), IF($I134= "I", $J134/($F134-$E134+1), $J134/(($F134*($F134+1)/2)-(($E134-1)*($E134-1+1)/2))*W$2), 0)+IF(IF(time+1&gt;=X$2, $K134/time_cap/(time+1)*W$2, 0) = 0, $K134/(time_cap),0)),0)</f>
        <v/>
      </c>
      <c r="X134" s="4395">
        <f>IFERROR(IF((time+time_cap)&lt;X$2, 0,IF(AND(time+1&gt;=Y$2, $E134&lt;Y$2), IF($I134= "I", $J134/($F134-$E134+1), $J134/(($F134*($F134+1)/2)-(($E134-1)*($E134-1+1)/2))*X$2), 0)+IF(IF(time+1&gt;=Y$2, $K134/time_cap/(time+1)*X$2, 0) = 0, $K134/(time_cap),0)),0)</f>
        <v/>
      </c>
      <c r="Y134" s="4395">
        <f>IFERROR(IF((time+time_cap)&lt;Y$2, 0,IF(AND(time+1&gt;=Z$2, $E134&lt;Z$2), IF($I134= "I", $J134/($F134-$E134+1), $J134/(($F134*($F134+1)/2)-(($E134-1)*($E134-1+1)/2))*Y$2), 0)+IF(IF(time+1&gt;=Z$2, $K134/time_cap/(time+1)*Y$2, 0) = 0, $K134/(time_cap),0)),0)</f>
        <v/>
      </c>
      <c r="Z134" s="4395">
        <f>IFERROR(IF((time+time_cap)&lt;Z$2, 0,IF(AND(time+1&gt;=AA$2, $E134&lt;AA$2), IF($I134= "I", $J134/($F134-$E134+1), $J134/(($F134*($F134+1)/2)-(($E134-1)*($E134-1+1)/2))*Z$2), 0)+IF(IF(time+1&gt;=AA$2, $K134/time_cap/(time+1)*Z$2, 0) = 0, $K134/(time_cap),0)),0)</f>
        <v/>
      </c>
      <c r="AA134" s="4395">
        <f>IFERROR(IF((time+time_cap)&lt;AA$2, 0,IF(AND(time+1&gt;=AB$2, $E134&lt;AB$2), IF($I134= "I", $J134/($F134-$E134+1), $J134/(($F134*($F134+1)/2)-(($E134-1)*($E134-1+1)/2))*AA$2), 0)+IF(IF(time+1&gt;=AB$2, $K134/time_cap/(time+1)*AA$2, 0) = 0, $K134/(time_cap),0)),0)</f>
        <v/>
      </c>
      <c r="AB134" s="4395">
        <f>IFERROR(IF((time+time_cap)&lt;AB$2, 0,IF(AND(time+1&gt;=AC$2, $E134&lt;AC$2), IF($I134= "I", $J134/($F134-$E134+1), $J134/(($F134*($F134+1)/2)-(($E134-1)*($E134-1+1)/2))*AB$2), 0)+IF(IF(time+1&gt;=AC$2, $K134/time_cap/(time+1)*AB$2, 0) = 0, $K134/(time_cap),0)),0)</f>
        <v/>
      </c>
      <c r="AC134" s="4395">
        <f>IFERROR(IF((time+time_cap)&lt;AC$2, 0,IF(AND(time+1&gt;=AD$2, $E134&lt;AD$2), IF($I134= "I", $J134/($F134-$E134+1), $J134/(($F134*($F134+1)/2)-(($E134-1)*($E134-1+1)/2))*AC$2), 0)+IF(IF(time+1&gt;=AD$2, $K134/time_cap/(time+1)*AC$2, 0) = 0, $K134/(time_cap),0)),0)</f>
        <v/>
      </c>
      <c r="AD134" s="4395">
        <f>IFERROR(IF((time+time_cap)&lt;AD$2, 0,IF(AND(time+1&gt;=AE$2, $E134&lt;AE$2), IF($I134= "I", $J134/($F134-$E134+1), $J134/(($F134*($F134+1)/2)-(($E134-1)*($E134-1+1)/2))*AD$2), 0)+IF(IF(time+1&gt;=AE$2, $K134/time_cap/(time+1)*AD$2, 0) = 0, $K134/(time_cap),0)),0)</f>
        <v/>
      </c>
      <c r="AE134" s="4395">
        <f>IFERROR(IF((time+time_cap)&lt;AE$2, 0,IF(AND(time+1&gt;=AF$2, $E134&lt;AF$2), IF($I134= "I", $J134/($F134-$E134+1), $J134/(($F134*($F134+1)/2)-(($E134-1)*($E134-1+1)/2))*AE$2), 0)+IF(IF(time+1&gt;=AF$2, $K134/time_cap/(time+1)*AE$2, 0) = 0, $K134/(time_cap),0)),0)</f>
        <v/>
      </c>
      <c r="AF134" s="4395">
        <f>IFERROR(IF((time+time_cap)&lt;AF$2, 0,IF(AND(time+1&gt;=AG$2, $E134&lt;AG$2), IF($I134= "I", $J134/($F134-$E134+1), $J134/(($F134*($F134+1)/2)-(($E134-1)*($E134-1+1)/2))*AF$2), 0)+IF(IF(time+1&gt;=AG$2, $K134/time_cap/(time+1)*AF$2, 0) = 0, $K134/(time_cap),0)),0)</f>
        <v/>
      </c>
      <c r="AG134" s="4395">
        <f>IFERROR(IF((time+time_cap)&lt;AG$2, 0,IF(AND(time+1&gt;=AH$2, $E134&lt;AH$2), IF($I134= "I", $J134/($F134-$E134+1), $J134/(($F134*($F134+1)/2)-(($E134-1)*($E134-1+1)/2))*AG$2), 0)+IF(IF(time+1&gt;=AH$2, $K134/time_cap/(time+1)*AG$2, 0) = 0, $K134/(time_cap),0)),0)</f>
        <v/>
      </c>
      <c r="AH134" s="4395">
        <f>IFERROR(IF((time+time_cap)&lt;AH$2, 0,IF(AND(time+1&gt;=AI$2, $E134&lt;AI$2), IF($I134= "I", $J134/($F134-$E134+1), $J134/(($F134*($F134+1)/2)-(($E134-1)*($E134-1+1)/2))*AH$2), 0)+IF(IF(time+1&gt;=AI$2, $K134/time_cap/(time+1)*AH$2, 0) = 0, $K134/(time_cap),0)),0)</f>
        <v/>
      </c>
      <c r="AI134" s="4395">
        <f>IFERROR(IF((time+time_cap)&lt;AI$2, 0,IF(AND(time+1&gt;=AJ$2, $E134&lt;AJ$2), IF($I134= "I", $J134/($F134-$E134+1), $J134/(($F134*($F134+1)/2)-(($E134-1)*($E134-1+1)/2))*AI$2), 0)+IF(IF(time+1&gt;=AJ$2, $K134/time_cap/(time+1)*AI$2, 0) = 0, $K134/(time_cap),0)),0)</f>
        <v/>
      </c>
      <c r="AJ134" s="4395">
        <f>IFERROR(IF((time+time_cap)&lt;AJ$2, 0,IF(AND(time+1&gt;=AK$2, $E134&lt;AK$2), IF($I134= "I", $J134/($F134-$E134+1), $J134/(($F134*($F134+1)/2)-(($E134-1)*($E134-1+1)/2))*AJ$2), 0)+IF(IF(time+1&gt;=AK$2, $K134/time_cap/(time+1)*AJ$2, 0) = 0, $K134/(time_cap),0)),0)</f>
        <v/>
      </c>
      <c r="AK134" s="4395">
        <f>IFERROR(IF((time+time_cap)&lt;AK$2, 0,IF(AND(time+1&gt;=AL$2, $E134&lt;AL$2), IF($I134= "I", $J134/($F134-$E134+1), $J134/(($F134*($F134+1)/2)-(($E134-1)*($E134-1+1)/2))*AK$2), 0)+IF(IF(time+1&gt;=AL$2, $K134/time_cap/(time+1)*AK$2, 0) = 0, $K134/(time_cap),0)),0)</f>
        <v/>
      </c>
      <c r="AL134" s="4395">
        <f>IFERROR(IF((time+time_cap)&lt;AL$2, 0,IF(AND(time+1&gt;=AM$2, $E134&lt;AM$2), IF($I134= "I", $J134/($F134-$E134+1), $J134/(($F134*($F134+1)/2)-(($E134-1)*($E134-1+1)/2))*AL$2), 0)+IF(IF(time+1&gt;=AM$2, $K134/time_cap/(time+1)*AL$2, 0) = 0, $K134/(time_cap),0)),0)</f>
        <v/>
      </c>
      <c r="AM134" s="4395">
        <f>IFERROR(IF((time+time_cap)&lt;AM$2, 0,IF(AND(time+1&gt;=AN$2, $E134&lt;AN$2), IF($I134= "I", $J134/($F134-$E134+1), $J134/(($F134*($F134+1)/2)-(($E134-1)*($E134-1+1)/2))*AM$2), 0)+IF(IF(time+1&gt;=AN$2, $K134/time_cap/(time+1)*AM$2, 0) = 0, $K134/(time_cap),0)),0)</f>
        <v/>
      </c>
      <c r="AN134" s="4395">
        <f>IFERROR(IF((time+time_cap)&lt;AN$2, 0,IF(AND(time+1&gt;=AO$2, $E134&lt;AO$2), IF($I134= "I", $J134/($F134-$E134+1), $J134/(($F134*($F134+1)/2)-(($E134-1)*($E134-1+1)/2))*AN$2), 0)+IF(IF(time+1&gt;=AO$2, $K134/time_cap/(time+1)*AN$2, 0) = 0, $K134/(time_cap),0)),0)</f>
        <v/>
      </c>
      <c r="AO134" s="4395">
        <f>IFERROR(IF((time+time_cap)&lt;AO$2, 0,IF(AND(time+1&gt;=AP$2, $E134&lt;AP$2), IF($I134= "I", $J134/($F134-$E134+1), $J134/(($F134*($F134+1)/2)-(($E134-1)*($E134-1+1)/2))*AO$2), 0)+IF(IF(time+1&gt;=AP$2, $K134/time_cap/(time+1)*AO$2, 0) = 0, $K134/(time_cap),0)),0)</f>
        <v/>
      </c>
      <c r="AP134" s="4395">
        <f>IFERROR(IF((time+time_cap)&lt;AP$2, 0,IF(AND(time+1&gt;=AQ$2, $E134&lt;AQ$2), IF($I134= "I", $J134/($F134-$E134+1), $J134/(($F134*($F134+1)/2)-(($E134-1)*($E134-1+1)/2))*AP$2), 0)+IF(IF(time+1&gt;=AQ$2, $K134/time_cap/(time+1)*AP$2, 0) = 0, $K134/(time_cap),0)),0)</f>
        <v/>
      </c>
      <c r="AQ134" s="4395">
        <f>IFERROR(IF((time+time_cap)&lt;AQ$2, 0,IF(AND(time+1&gt;=AR$2, $E134&lt;AR$2), IF($I134= "I", $J134/($F134-$E134+1), $J134/(($F134*($F134+1)/2)-(($E134-1)*($E134-1+1)/2))*AQ$2), 0)+IF(IF(time+1&gt;=AR$2, $K134/time_cap/(time+1)*AQ$2, 0) = 0, $K134/(time_cap),0)),0)</f>
        <v/>
      </c>
      <c r="AR134" s="4395">
        <f>IFERROR(IF((time+time_cap)&lt;AR$2, 0,IF(AND(time+1&gt;=AS$2, $E134&lt;AS$2), IF($I134= "I", $J134/($F134-$E134+1), $J134/(($F134*($F134+1)/2)-(($E134-1)*($E134-1+1)/2))*AR$2), 0)+IF(IF(time+1&gt;=AS$2, $K134/time_cap/(time+1)*AR$2, 0) = 0, $K134/(time_cap),0)),0)</f>
        <v/>
      </c>
      <c r="AS134" s="4395">
        <f>IFERROR(IF((time+time_cap)&lt;AS$2, 0,IF(AND(time+1&gt;=AT$2, $E134&lt;AT$2), IF($I134= "I", $J134/($F134-$E134+1), $J134/(($F134*($F134+1)/2)-(($E134-1)*($E134-1+1)/2))*AS$2), 0)+IF(IF(time+1&gt;=AT$2, $K134/time_cap/(time+1)*AS$2, 0) = 0, $K134/(time_cap),0)),0)</f>
        <v/>
      </c>
      <c r="AT134" s="4395">
        <f>IFERROR(IF((time+time_cap)&lt;AT$2, 0,IF(AND(time+1&gt;=AU$2, $E134&lt;AU$2), IF($I134= "I", $J134/($F134-$E134+1), $J134/(($F134*($F134+1)/2)-(($E134-1)*($E134-1+1)/2))*AT$2), 0)+IF(IF(time+1&gt;=AU$2, $K134/time_cap/(time+1)*AT$2, 0) = 0, $K134/(time_cap),0)),0)</f>
        <v/>
      </c>
      <c r="AU134" s="4395">
        <f>IFERROR(IF((time+time_cap)&lt;AU$2, 0,IF(AND(time+1&gt;=AV$2, $E134&lt;AV$2), IF($I134= "I", $J134/($F134-$E134+1), $J134/(($F134*($F134+1)/2)-(($E134-1)*($E134-1+1)/2))*AU$2), 0)+IF(IF(time+1&gt;=AV$2, $K134/time_cap/(time+1)*AU$2, 0) = 0, $K134/(time_cap),0)),0)</f>
        <v/>
      </c>
      <c r="AV134" s="4395">
        <f>IFERROR(IF((time+time_cap)&lt;AV$2, 0,IF(AND(time+1&gt;=AW$2, $E134&lt;AW$2), IF($I134= "I", $J134/($F134-$E134+1), $J134/(($F134*($F134+1)/2)-(($E134-1)*($E134-1+1)/2))*AV$2), 0)+IF(IF(time+1&gt;=AW$2, $K134/time_cap/(time+1)*AV$2, 0) = 0, $K134/(time_cap),0)),0)</f>
        <v/>
      </c>
      <c r="AW134" s="4395">
        <f>IFERROR(IF((time+time_cap)&lt;AW$2, 0,IF(AND(time+1&gt;=AX$2, $E134&lt;AX$2), IF($I134= "I", $J134/($F134-$E134+1), $J134/(($F134*($F134+1)/2)-(($E134-1)*($E134-1+1)/2))*AW$2), 0)+IF(IF(time+1&gt;=AX$2, $K134/time_cap/(time+1)*AW$2, 0) = 0, $K134/(time_cap),0)),0)</f>
        <v/>
      </c>
      <c r="AX134" s="4395">
        <f>IFERROR(IF((time+time_cap)&lt;AX$2, 0,IF(AND(time+1&gt;=AY$2, $E134&lt;AY$2), IF($I134= "I", $J134/($F134-$E134+1), $J134/(($F134*($F134+1)/2)-(($E134-1)*($E134-1+1)/2))*AX$2), 0)+IF(IF(time+1&gt;=AY$2, $K134/time_cap/(time+1)*AX$2, 0) = 0, $K134/(time_cap),0)),0)</f>
        <v/>
      </c>
      <c r="AY134" s="4395">
        <f>IFERROR(IF((time+time_cap)&lt;AY$2, 0,IF(AND(time+1&gt;=AZ$2, $E134&lt;AZ$2), IF($I134= "I", $J134/($F134-$E134+1), $J134/(($F134*($F134+1)/2)-(($E134-1)*($E134-1+1)/2))*AY$2), 0)+IF(IF(time+1&gt;=AZ$2, $K134/time_cap/(time+1)*AY$2, 0) = 0, $K134/(time_cap),0)),0)</f>
        <v/>
      </c>
      <c r="AZ134" s="4395">
        <f>IFERROR(IF((time+time_cap)&lt;AZ$2, 0,IF(AND(time+1&gt;=BA$2, $E134&lt;BA$2), IF($I134= "I", $J134/($F134-$E134+1), $J134/(($F134*($F134+1)/2)-(($E134-1)*($E134-1+1)/2))*AZ$2), 0)+IF(IF(time+1&gt;=BA$2, $K134/time_cap/(time+1)*AZ$2, 0) = 0, $K134/(time_cap),0)),0)</f>
        <v/>
      </c>
      <c r="BA134" s="4395">
        <f>IFERROR(IF((time+time_cap)&lt;BA$2, 0,IF(AND(time+1&gt;=BB$2, $E134&lt;BB$2), IF($I134= "I", $J134/($F134-$E134+1), $J134/(($F134*($F134+1)/2)-(($E134-1)*($E134-1+1)/2))*BA$2), 0)+IF(IF(time+1&gt;=BB$2, $K134/time_cap/(time+1)*BA$2, 0) = 0, $K134/(time_cap),0)),0)</f>
        <v/>
      </c>
      <c r="BB134" s="4395">
        <f>IFERROR(IF((time+time_cap)&lt;BB$2, 0,IF(AND(time+1&gt;=BC$2, $E134&lt;BC$2), IF($I134= "I", $J134/($F134-$E134+1), $J134/(($F134*($F134+1)/2)-(($E134-1)*($E134-1+1)/2))*BB$2), 0)+IF(IF(time+1&gt;=BC$2, $K134/time_cap/(time+1)*BB$2, 0) = 0, $K134/(time_cap),0)),0)</f>
        <v/>
      </c>
      <c r="BC134" s="4395">
        <f>IFERROR(IF((time+time_cap)&lt;BC$2, 0,IF(AND(time+1&gt;=BD$2, $E134&lt;BD$2), IF($I134= "I", $J134/($F134-$E134+1), $J134/(($F134*($F134+1)/2)-(($E134-1)*($E134-1+1)/2))*BC$2), 0)+IF(IF(time+1&gt;=BD$2, $K134/time_cap/(time+1)*BC$2, 0) = 0, $K134/(time_cap),0)),0)</f>
        <v/>
      </c>
      <c r="BD134" s="4395">
        <f>IFERROR(IF((time+time_cap)&lt;BD$2, 0,IF(AND(time+1&gt;=BE$2, $E134&lt;BE$2), IF($I134= "I", $J134/($F134-$E134+1), $J134/(($F134*($F134+1)/2)-(($E134-1)*($E134-1+1)/2))*BD$2), 0)+IF(IF(time+1&gt;=BE$2, $K134/time_cap/(time+1)*BD$2, 0) = 0, $K134/(time_cap),0)),0)</f>
        <v/>
      </c>
      <c r="BE134" s="4395">
        <f>IFERROR(IF((time+time_cap)&lt;BE$2, 0,IF(AND(time+1&gt;=BF$2, $E134&lt;BF$2), IF($I134= "I", $J134/($F134-$E134+1), $J134/(($F134*($F134+1)/2)-(($E134-1)*($E134-1+1)/2))*BE$2), 0)+IF(IF(time+1&gt;=BF$2, $K134/time_cap/(time+1)*BE$2, 0) = 0, $K134/(time_cap),0)),0)</f>
        <v/>
      </c>
      <c r="BF134" s="4395">
        <f>IFERROR(IF((time+time_cap)&lt;BF$2, 0,IF(AND(time+1&gt;=BG$2, $E134&lt;BG$2), IF($I134= "I", $J134/($F134-$E134+1), $J134/(($F134*($F134+1)/2)-(($E134-1)*($E134-1+1)/2))*BF$2), 0)+IF(IF(time+1&gt;=BG$2, $K134/time_cap/(time+1)*BF$2, 0) = 0, $K134/(time_cap),0)),0)</f>
        <v/>
      </c>
      <c r="BG134" s="4395">
        <f>IFERROR(IF((time+time_cap)&lt;BG$2, 0,IF(AND(time+1&gt;=BH$2, $E134&lt;BH$2), IF($I134= "I", $J134/($F134-$E134+1), $J134/(($F134*($F134+1)/2)-(($E134-1)*($E134-1+1)/2))*BG$2), 0)+IF(IF(time+1&gt;=BH$2, $K134/time_cap/(time+1)*BG$2, 0) = 0, $K134/(time_cap),0)),0)</f>
        <v/>
      </c>
      <c r="BH134" s="4395">
        <f>IFERROR(IF((time+time_cap)&lt;BH$2, 0,IF(AND(time+1&gt;=BI$2, $E134&lt;BI$2), IF($I134= "I", $J134/($F134-$E134+1), $J134/(($F134*($F134+1)/2)-(($E134-1)*($E134-1+1)/2))*BH$2), 0)+IF(IF(time+1&gt;=BI$2, $K134/time_cap/(time+1)*BH$2, 0) = 0, $K134/(time_cap),0)),0)</f>
        <v/>
      </c>
      <c r="BI134" s="4395">
        <f>IFERROR(IF((time+time_cap)&lt;BI$2, 0,IF(AND(time+1&gt;=BJ$2, $E134&lt;BJ$2), IF($I134= "I", $J134/($F134-$E134+1), $J134/(($F134*($F134+1)/2)-(($E134-1)*($E134-1+1)/2))*BI$2), 0)+IF(IF(time+1&gt;=BJ$2, $K134/time_cap/(time+1)*BI$2, 0) = 0, $K134/(time_cap),0)),0)</f>
        <v/>
      </c>
      <c r="BJ134" s="4395">
        <f>IFERROR(IF((time+time_cap)&lt;BJ$2, 0,IF(AND(time+1&gt;=BK$2, $E134&lt;BK$2), IF($I134= "I", $J134/($F134-$E134+1), $J134/(($F134*($F134+1)/2)-(($E134-1)*($E134-1+1)/2))*BJ$2), 0)+IF(IF(time+1&gt;=BK$2, $K134/time_cap/(time+1)*BJ$2, 0) = 0, $K134/(time_cap),0)),0)</f>
        <v/>
      </c>
      <c r="BK134" s="4395" t="n"/>
      <c r="BL134" s="4395" t="n"/>
      <c r="BM134" s="4395" t="n"/>
      <c r="BN134" s="4395" t="n"/>
      <c r="BO134" s="4395" t="n"/>
      <c r="BP134" s="4395" t="n"/>
      <c r="BQ134" s="4395" t="n"/>
      <c r="BR134" s="4395" t="n"/>
      <c r="BS134" s="4395" t="n"/>
      <c r="BT134" s="4395" t="n"/>
      <c r="BU134" s="4395" t="n"/>
      <c r="BV134" s="4395" t="n"/>
      <c r="BW134" s="4395" t="n"/>
      <c r="BX134" s="4395" t="n"/>
      <c r="BY134" s="4395" t="n"/>
      <c r="BZ134" s="4395" t="n"/>
      <c r="CA134" s="4395" t="n"/>
      <c r="CB134" s="4395" t="n"/>
      <c r="CC134" s="4395" t="n"/>
      <c r="CD134" s="4395" t="n"/>
      <c r="CE134" s="4395" t="n"/>
      <c r="CF134" s="4395" t="n"/>
      <c r="CG134" s="4395" t="n"/>
      <c r="CH134" s="4395" t="n"/>
      <c r="CI134" s="4395" t="n"/>
      <c r="CJ134" s="4395" t="n"/>
      <c r="CK134" s="4395" t="n"/>
      <c r="CL134" s="4395" t="n"/>
      <c r="CM134" s="4395" t="n"/>
      <c r="CN134" s="4395" t="n"/>
      <c r="CO134" s="4395" t="n"/>
      <c r="CP134" s="4395" t="n"/>
      <c r="CQ134" s="4395" t="n"/>
      <c r="CR134" s="4395" t="n"/>
      <c r="CS134" s="4395" t="n"/>
      <c r="CT134" s="4395" t="n"/>
      <c r="CU134" s="4395" t="n"/>
      <c r="CV134" s="4395" t="n"/>
      <c r="CW134" s="4395" t="n"/>
      <c r="CX134" s="4395" t="n"/>
      <c r="CY134" s="4395" t="n"/>
      <c r="CZ134" s="4395" t="n"/>
      <c r="DA134" s="4395" t="n"/>
      <c r="DB134" s="4395" t="n"/>
      <c r="DC134" s="4395" t="n"/>
      <c r="DD134" s="4395" t="n"/>
      <c r="DE134" s="4395" t="n"/>
      <c r="DF134" s="4395" t="n"/>
      <c r="DG134" s="4395" t="n"/>
      <c r="DH134" s="4395" t="n"/>
    </row>
    <row r="135" ht="16" customHeight="1">
      <c r="A135" t="inlineStr">
        <is>
          <t>Inland wetlands - OLUC</t>
        </is>
      </c>
      <c r="B135">
        <f>'6.Inland wetlands'!C85</f>
        <v/>
      </c>
      <c r="C135">
        <f>'6.Inland wetlands'!K85</f>
        <v/>
      </c>
      <c r="D135">
        <f>'6.Inland wetlands'!AG85+'6.Inland wetlands'!AG96</f>
        <v/>
      </c>
      <c r="E135">
        <f>IF('6.Inland wetlands'!BI85&lt;&gt;0,'6.Inland wetlands'!BI85,'6.Inland wetlands'!BH85)</f>
        <v/>
      </c>
      <c r="F135">
        <f>time</f>
        <v/>
      </c>
      <c r="G135" s="4395">
        <f>'6.Inland wetlands'!O85</f>
        <v/>
      </c>
      <c r="H135" s="4395">
        <f>'6.Inland wetlands'!Q85</f>
        <v/>
      </c>
      <c r="I135" s="4395">
        <f>IF(OR(H135="I", G135="I"), "I", IF(OR(H135="E", G135="E"), "E", "D"))</f>
        <v/>
      </c>
      <c r="J135" s="4395">
        <f>((D135/(time_cap+((F135-E135+1)*VLOOKUP(I135,list!$I$48:$K$50,3, FALSE))))*(F135-E135+1)*VLOOKUP(I135,list!$I$48:$K$50,3, FALSE))</f>
        <v/>
      </c>
      <c r="K135" s="4395">
        <f>((D135/(time_cap+((F135-E135+1)*VLOOKUP(I135,list!$I$48:$K$50,3, FALSE))))*time_cap)</f>
        <v/>
      </c>
      <c r="M135" s="4395">
        <f>IFERROR(IF((time+time_cap)&lt;M$2, 0,IF(AND(time+1&gt;=N$2, $E135&lt;N$2), IF($I135= "I", $J135/($F135-$E135+1), $J135/(($F135*($F135+1)/2)-(($E135-1)*($E135-1+1)/2))*M$2), 0)+IF(IF(time+1&gt;=N$2, $K135/time_cap/(time+1)*M$2, 0) = 0, $K135/(time_cap),0)),0)</f>
        <v/>
      </c>
      <c r="N135" s="4395">
        <f>IFERROR(IF((time+time_cap)&lt;N$2, 0,IF(AND(time+1&gt;=O$2, $E135&lt;O$2), IF($I135= "I", $J135/($F135-$E135+1), $J135/(($F135*($F135+1)/2)-(($E135-1)*($E135-1+1)/2))*N$2), 0)+IF(IF(time+1&gt;=O$2, $K135/time_cap/(time+1)*N$2, 0) = 0, $K135/(time_cap),0)),0)</f>
        <v/>
      </c>
      <c r="O135" s="4395">
        <f>IFERROR(IF((time+time_cap)&lt;O$2, 0,IF(AND(time+1&gt;=P$2, $E135&lt;P$2), IF($I135= "I", $J135/($F135-$E135+1), $J135/(($F135*($F135+1)/2)-(($E135-1)*($E135-1+1)/2))*O$2), 0)+IF(IF(time+1&gt;=P$2, $K135/time_cap/(time+1)*O$2, 0) = 0, $K135/(time_cap),0)),0)</f>
        <v/>
      </c>
      <c r="P135" s="4395">
        <f>IFERROR(IF((time+time_cap)&lt;P$2, 0,IF(AND(time+1&gt;=Q$2, $E135&lt;Q$2), IF($I135= "I", $J135/($F135-$E135+1), $J135/(($F135*($F135+1)/2)-(($E135-1)*($E135-1+1)/2))*P$2), 0)+IF(IF(time+1&gt;=Q$2, $K135/time_cap/(time+1)*P$2, 0) = 0, $K135/(time_cap),0)),0)</f>
        <v/>
      </c>
      <c r="Q135" s="4395">
        <f>IFERROR(IF((time+time_cap)&lt;Q$2, 0,IF(AND(time+1&gt;=R$2, $E135&lt;R$2), IF($I135= "I", $J135/($F135-$E135+1), $J135/(($F135*($F135+1)/2)-(($E135-1)*($E135-1+1)/2))*Q$2), 0)+IF(IF(time+1&gt;=R$2, $K135/time_cap/(time+1)*Q$2, 0) = 0, $K135/(time_cap),0)),0)</f>
        <v/>
      </c>
      <c r="R135" s="4395">
        <f>IFERROR(IF((time+time_cap)&lt;R$2, 0,IF(AND(time+1&gt;=S$2, $E135&lt;S$2), IF($I135= "I", $J135/($F135-$E135+1), $J135/(($F135*($F135+1)/2)-(($E135-1)*($E135-1+1)/2))*R$2), 0)+IF(IF(time+1&gt;=S$2, $K135/time_cap/(time+1)*R$2, 0) = 0, $K135/(time_cap),0)),0)</f>
        <v/>
      </c>
      <c r="S135" s="4395">
        <f>IFERROR(IF((time+time_cap)&lt;S$2, 0,IF(AND(time+1&gt;=T$2, $E135&lt;T$2), IF($I135= "I", $J135/($F135-$E135+1), $J135/(($F135*($F135+1)/2)-(($E135-1)*($E135-1+1)/2))*S$2), 0)+IF(IF(time+1&gt;=T$2, $K135/time_cap/(time+1)*S$2, 0) = 0, $K135/(time_cap),0)),0)</f>
        <v/>
      </c>
      <c r="T135" s="4395">
        <f>IFERROR(IF((time+time_cap)&lt;T$2, 0,IF(AND(time+1&gt;=U$2, $E135&lt;U$2), IF($I135= "I", $J135/($F135-$E135+1), $J135/(($F135*($F135+1)/2)-(($E135-1)*($E135-1+1)/2))*T$2), 0)+IF(IF(time+1&gt;=U$2, $K135/time_cap/(time+1)*T$2, 0) = 0, $K135/(time_cap),0)),0)</f>
        <v/>
      </c>
      <c r="U135" s="4395">
        <f>IFERROR(IF((time+time_cap)&lt;U$2, 0,IF(AND(time+1&gt;=V$2, $E135&lt;V$2), IF($I135= "I", $J135/($F135-$E135+1), $J135/(($F135*($F135+1)/2)-(($E135-1)*($E135-1+1)/2))*U$2), 0)+IF(IF(time+1&gt;=V$2, $K135/time_cap/(time+1)*U$2, 0) = 0, $K135/(time_cap),0)),0)</f>
        <v/>
      </c>
      <c r="V135" s="4395">
        <f>IFERROR(IF((time+time_cap)&lt;V$2, 0,IF(AND(time+1&gt;=W$2, $E135&lt;W$2), IF($I135= "I", $J135/($F135-$E135+1), $J135/(($F135*($F135+1)/2)-(($E135-1)*($E135-1+1)/2))*V$2), 0)+IF(IF(time+1&gt;=W$2, $K135/time_cap/(time+1)*V$2, 0) = 0, $K135/(time_cap),0)),0)</f>
        <v/>
      </c>
      <c r="W135" s="4395">
        <f>IFERROR(IF((time+time_cap)&lt;W$2, 0,IF(AND(time+1&gt;=X$2, $E135&lt;X$2), IF($I135= "I", $J135/($F135-$E135+1), $J135/(($F135*($F135+1)/2)-(($E135-1)*($E135-1+1)/2))*W$2), 0)+IF(IF(time+1&gt;=X$2, $K135/time_cap/(time+1)*W$2, 0) = 0, $K135/(time_cap),0)),0)</f>
        <v/>
      </c>
      <c r="X135" s="4395">
        <f>IFERROR(IF((time+time_cap)&lt;X$2, 0,IF(AND(time+1&gt;=Y$2, $E135&lt;Y$2), IF($I135= "I", $J135/($F135-$E135+1), $J135/(($F135*($F135+1)/2)-(($E135-1)*($E135-1+1)/2))*X$2), 0)+IF(IF(time+1&gt;=Y$2, $K135/time_cap/(time+1)*X$2, 0) = 0, $K135/(time_cap),0)),0)</f>
        <v/>
      </c>
      <c r="Y135" s="4395">
        <f>IFERROR(IF((time+time_cap)&lt;Y$2, 0,IF(AND(time+1&gt;=Z$2, $E135&lt;Z$2), IF($I135= "I", $J135/($F135-$E135+1), $J135/(($F135*($F135+1)/2)-(($E135-1)*($E135-1+1)/2))*Y$2), 0)+IF(IF(time+1&gt;=Z$2, $K135/time_cap/(time+1)*Y$2, 0) = 0, $K135/(time_cap),0)),0)</f>
        <v/>
      </c>
      <c r="Z135" s="4395">
        <f>IFERROR(IF((time+time_cap)&lt;Z$2, 0,IF(AND(time+1&gt;=AA$2, $E135&lt;AA$2), IF($I135= "I", $J135/($F135-$E135+1), $J135/(($F135*($F135+1)/2)-(($E135-1)*($E135-1+1)/2))*Z$2), 0)+IF(IF(time+1&gt;=AA$2, $K135/time_cap/(time+1)*Z$2, 0) = 0, $K135/(time_cap),0)),0)</f>
        <v/>
      </c>
      <c r="AA135" s="4395">
        <f>IFERROR(IF((time+time_cap)&lt;AA$2, 0,IF(AND(time+1&gt;=AB$2, $E135&lt;AB$2), IF($I135= "I", $J135/($F135-$E135+1), $J135/(($F135*($F135+1)/2)-(($E135-1)*($E135-1+1)/2))*AA$2), 0)+IF(IF(time+1&gt;=AB$2, $K135/time_cap/(time+1)*AA$2, 0) = 0, $K135/(time_cap),0)),0)</f>
        <v/>
      </c>
      <c r="AB135" s="4395">
        <f>IFERROR(IF((time+time_cap)&lt;AB$2, 0,IF(AND(time+1&gt;=AC$2, $E135&lt;AC$2), IF($I135= "I", $J135/($F135-$E135+1), $J135/(($F135*($F135+1)/2)-(($E135-1)*($E135-1+1)/2))*AB$2), 0)+IF(IF(time+1&gt;=AC$2, $K135/time_cap/(time+1)*AB$2, 0) = 0, $K135/(time_cap),0)),0)</f>
        <v/>
      </c>
      <c r="AC135" s="4395">
        <f>IFERROR(IF((time+time_cap)&lt;AC$2, 0,IF(AND(time+1&gt;=AD$2, $E135&lt;AD$2), IF($I135= "I", $J135/($F135-$E135+1), $J135/(($F135*($F135+1)/2)-(($E135-1)*($E135-1+1)/2))*AC$2), 0)+IF(IF(time+1&gt;=AD$2, $K135/time_cap/(time+1)*AC$2, 0) = 0, $K135/(time_cap),0)),0)</f>
        <v/>
      </c>
      <c r="AD135" s="4395">
        <f>IFERROR(IF((time+time_cap)&lt;AD$2, 0,IF(AND(time+1&gt;=AE$2, $E135&lt;AE$2), IF($I135= "I", $J135/($F135-$E135+1), $J135/(($F135*($F135+1)/2)-(($E135-1)*($E135-1+1)/2))*AD$2), 0)+IF(IF(time+1&gt;=AE$2, $K135/time_cap/(time+1)*AD$2, 0) = 0, $K135/(time_cap),0)),0)</f>
        <v/>
      </c>
      <c r="AE135" s="4395">
        <f>IFERROR(IF((time+time_cap)&lt;AE$2, 0,IF(AND(time+1&gt;=AF$2, $E135&lt;AF$2), IF($I135= "I", $J135/($F135-$E135+1), $J135/(($F135*($F135+1)/2)-(($E135-1)*($E135-1+1)/2))*AE$2), 0)+IF(IF(time+1&gt;=AF$2, $K135/time_cap/(time+1)*AE$2, 0) = 0, $K135/(time_cap),0)),0)</f>
        <v/>
      </c>
      <c r="AF135" s="4395">
        <f>IFERROR(IF((time+time_cap)&lt;AF$2, 0,IF(AND(time+1&gt;=AG$2, $E135&lt;AG$2), IF($I135= "I", $J135/($F135-$E135+1), $J135/(($F135*($F135+1)/2)-(($E135-1)*($E135-1+1)/2))*AF$2), 0)+IF(IF(time+1&gt;=AG$2, $K135/time_cap/(time+1)*AF$2, 0) = 0, $K135/(time_cap),0)),0)</f>
        <v/>
      </c>
      <c r="AG135" s="4395">
        <f>IFERROR(IF((time+time_cap)&lt;AG$2, 0,IF(AND(time+1&gt;=AH$2, $E135&lt;AH$2), IF($I135= "I", $J135/($F135-$E135+1), $J135/(($F135*($F135+1)/2)-(($E135-1)*($E135-1+1)/2))*AG$2), 0)+IF(IF(time+1&gt;=AH$2, $K135/time_cap/(time+1)*AG$2, 0) = 0, $K135/(time_cap),0)),0)</f>
        <v/>
      </c>
      <c r="AH135" s="4395">
        <f>IFERROR(IF((time+time_cap)&lt;AH$2, 0,IF(AND(time+1&gt;=AI$2, $E135&lt;AI$2), IF($I135= "I", $J135/($F135-$E135+1), $J135/(($F135*($F135+1)/2)-(($E135-1)*($E135-1+1)/2))*AH$2), 0)+IF(IF(time+1&gt;=AI$2, $K135/time_cap/(time+1)*AH$2, 0) = 0, $K135/(time_cap),0)),0)</f>
        <v/>
      </c>
      <c r="AI135" s="4395">
        <f>IFERROR(IF((time+time_cap)&lt;AI$2, 0,IF(AND(time+1&gt;=AJ$2, $E135&lt;AJ$2), IF($I135= "I", $J135/($F135-$E135+1), $J135/(($F135*($F135+1)/2)-(($E135-1)*($E135-1+1)/2))*AI$2), 0)+IF(IF(time+1&gt;=AJ$2, $K135/time_cap/(time+1)*AI$2, 0) = 0, $K135/(time_cap),0)),0)</f>
        <v/>
      </c>
      <c r="AJ135" s="4395">
        <f>IFERROR(IF((time+time_cap)&lt;AJ$2, 0,IF(AND(time+1&gt;=AK$2, $E135&lt;AK$2), IF($I135= "I", $J135/($F135-$E135+1), $J135/(($F135*($F135+1)/2)-(($E135-1)*($E135-1+1)/2))*AJ$2), 0)+IF(IF(time+1&gt;=AK$2, $K135/time_cap/(time+1)*AJ$2, 0) = 0, $K135/(time_cap),0)),0)</f>
        <v/>
      </c>
      <c r="AK135" s="4395">
        <f>IFERROR(IF((time+time_cap)&lt;AK$2, 0,IF(AND(time+1&gt;=AL$2, $E135&lt;AL$2), IF($I135= "I", $J135/($F135-$E135+1), $J135/(($F135*($F135+1)/2)-(($E135-1)*($E135-1+1)/2))*AK$2), 0)+IF(IF(time+1&gt;=AL$2, $K135/time_cap/(time+1)*AK$2, 0) = 0, $K135/(time_cap),0)),0)</f>
        <v/>
      </c>
      <c r="AL135" s="4395">
        <f>IFERROR(IF((time+time_cap)&lt;AL$2, 0,IF(AND(time+1&gt;=AM$2, $E135&lt;AM$2), IF($I135= "I", $J135/($F135-$E135+1), $J135/(($F135*($F135+1)/2)-(($E135-1)*($E135-1+1)/2))*AL$2), 0)+IF(IF(time+1&gt;=AM$2, $K135/time_cap/(time+1)*AL$2, 0) = 0, $K135/(time_cap),0)),0)</f>
        <v/>
      </c>
      <c r="AM135" s="4395">
        <f>IFERROR(IF((time+time_cap)&lt;AM$2, 0,IF(AND(time+1&gt;=AN$2, $E135&lt;AN$2), IF($I135= "I", $J135/($F135-$E135+1), $J135/(($F135*($F135+1)/2)-(($E135-1)*($E135-1+1)/2))*AM$2), 0)+IF(IF(time+1&gt;=AN$2, $K135/time_cap/(time+1)*AM$2, 0) = 0, $K135/(time_cap),0)),0)</f>
        <v/>
      </c>
      <c r="AN135" s="4395">
        <f>IFERROR(IF((time+time_cap)&lt;AN$2, 0,IF(AND(time+1&gt;=AO$2, $E135&lt;AO$2), IF($I135= "I", $J135/($F135-$E135+1), $J135/(($F135*($F135+1)/2)-(($E135-1)*($E135-1+1)/2))*AN$2), 0)+IF(IF(time+1&gt;=AO$2, $K135/time_cap/(time+1)*AN$2, 0) = 0, $K135/(time_cap),0)),0)</f>
        <v/>
      </c>
      <c r="AO135" s="4395">
        <f>IFERROR(IF((time+time_cap)&lt;AO$2, 0,IF(AND(time+1&gt;=AP$2, $E135&lt;AP$2), IF($I135= "I", $J135/($F135-$E135+1), $J135/(($F135*($F135+1)/2)-(($E135-1)*($E135-1+1)/2))*AO$2), 0)+IF(IF(time+1&gt;=AP$2, $K135/time_cap/(time+1)*AO$2, 0) = 0, $K135/(time_cap),0)),0)</f>
        <v/>
      </c>
      <c r="AP135" s="4395">
        <f>IFERROR(IF((time+time_cap)&lt;AP$2, 0,IF(AND(time+1&gt;=AQ$2, $E135&lt;AQ$2), IF($I135= "I", $J135/($F135-$E135+1), $J135/(($F135*($F135+1)/2)-(($E135-1)*($E135-1+1)/2))*AP$2), 0)+IF(IF(time+1&gt;=AQ$2, $K135/time_cap/(time+1)*AP$2, 0) = 0, $K135/(time_cap),0)),0)</f>
        <v/>
      </c>
      <c r="AQ135" s="4395">
        <f>IFERROR(IF((time+time_cap)&lt;AQ$2, 0,IF(AND(time+1&gt;=AR$2, $E135&lt;AR$2), IF($I135= "I", $J135/($F135-$E135+1), $J135/(($F135*($F135+1)/2)-(($E135-1)*($E135-1+1)/2))*AQ$2), 0)+IF(IF(time+1&gt;=AR$2, $K135/time_cap/(time+1)*AQ$2, 0) = 0, $K135/(time_cap),0)),0)</f>
        <v/>
      </c>
      <c r="AR135" s="4395">
        <f>IFERROR(IF((time+time_cap)&lt;AR$2, 0,IF(AND(time+1&gt;=AS$2, $E135&lt;AS$2), IF($I135= "I", $J135/($F135-$E135+1), $J135/(($F135*($F135+1)/2)-(($E135-1)*($E135-1+1)/2))*AR$2), 0)+IF(IF(time+1&gt;=AS$2, $K135/time_cap/(time+1)*AR$2, 0) = 0, $K135/(time_cap),0)),0)</f>
        <v/>
      </c>
      <c r="AS135" s="4395">
        <f>IFERROR(IF((time+time_cap)&lt;AS$2, 0,IF(AND(time+1&gt;=AT$2, $E135&lt;AT$2), IF($I135= "I", $J135/($F135-$E135+1), $J135/(($F135*($F135+1)/2)-(($E135-1)*($E135-1+1)/2))*AS$2), 0)+IF(IF(time+1&gt;=AT$2, $K135/time_cap/(time+1)*AS$2, 0) = 0, $K135/(time_cap),0)),0)</f>
        <v/>
      </c>
      <c r="AT135" s="4395">
        <f>IFERROR(IF((time+time_cap)&lt;AT$2, 0,IF(AND(time+1&gt;=AU$2, $E135&lt;AU$2), IF($I135= "I", $J135/($F135-$E135+1), $J135/(($F135*($F135+1)/2)-(($E135-1)*($E135-1+1)/2))*AT$2), 0)+IF(IF(time+1&gt;=AU$2, $K135/time_cap/(time+1)*AT$2, 0) = 0, $K135/(time_cap),0)),0)</f>
        <v/>
      </c>
      <c r="AU135" s="4395">
        <f>IFERROR(IF((time+time_cap)&lt;AU$2, 0,IF(AND(time+1&gt;=AV$2, $E135&lt;AV$2), IF($I135= "I", $J135/($F135-$E135+1), $J135/(($F135*($F135+1)/2)-(($E135-1)*($E135-1+1)/2))*AU$2), 0)+IF(IF(time+1&gt;=AV$2, $K135/time_cap/(time+1)*AU$2, 0) = 0, $K135/(time_cap),0)),0)</f>
        <v/>
      </c>
      <c r="AV135" s="4395">
        <f>IFERROR(IF((time+time_cap)&lt;AV$2, 0,IF(AND(time+1&gt;=AW$2, $E135&lt;AW$2), IF($I135= "I", $J135/($F135-$E135+1), $J135/(($F135*($F135+1)/2)-(($E135-1)*($E135-1+1)/2))*AV$2), 0)+IF(IF(time+1&gt;=AW$2, $K135/time_cap/(time+1)*AV$2, 0) = 0, $K135/(time_cap),0)),0)</f>
        <v/>
      </c>
      <c r="AW135" s="4395">
        <f>IFERROR(IF((time+time_cap)&lt;AW$2, 0,IF(AND(time+1&gt;=AX$2, $E135&lt;AX$2), IF($I135= "I", $J135/($F135-$E135+1), $J135/(($F135*($F135+1)/2)-(($E135-1)*($E135-1+1)/2))*AW$2), 0)+IF(IF(time+1&gt;=AX$2, $K135/time_cap/(time+1)*AW$2, 0) = 0, $K135/(time_cap),0)),0)</f>
        <v/>
      </c>
      <c r="AX135" s="4395">
        <f>IFERROR(IF((time+time_cap)&lt;AX$2, 0,IF(AND(time+1&gt;=AY$2, $E135&lt;AY$2), IF($I135= "I", $J135/($F135-$E135+1), $J135/(($F135*($F135+1)/2)-(($E135-1)*($E135-1+1)/2))*AX$2), 0)+IF(IF(time+1&gt;=AY$2, $K135/time_cap/(time+1)*AX$2, 0) = 0, $K135/(time_cap),0)),0)</f>
        <v/>
      </c>
      <c r="AY135" s="4395">
        <f>IFERROR(IF((time+time_cap)&lt;AY$2, 0,IF(AND(time+1&gt;=AZ$2, $E135&lt;AZ$2), IF($I135= "I", $J135/($F135-$E135+1), $J135/(($F135*($F135+1)/2)-(($E135-1)*($E135-1+1)/2))*AY$2), 0)+IF(IF(time+1&gt;=AZ$2, $K135/time_cap/(time+1)*AY$2, 0) = 0, $K135/(time_cap),0)),0)</f>
        <v/>
      </c>
      <c r="AZ135" s="4395">
        <f>IFERROR(IF((time+time_cap)&lt;AZ$2, 0,IF(AND(time+1&gt;=BA$2, $E135&lt;BA$2), IF($I135= "I", $J135/($F135-$E135+1), $J135/(($F135*($F135+1)/2)-(($E135-1)*($E135-1+1)/2))*AZ$2), 0)+IF(IF(time+1&gt;=BA$2, $K135/time_cap/(time+1)*AZ$2, 0) = 0, $K135/(time_cap),0)),0)</f>
        <v/>
      </c>
      <c r="BA135" s="4395">
        <f>IFERROR(IF((time+time_cap)&lt;BA$2, 0,IF(AND(time+1&gt;=BB$2, $E135&lt;BB$2), IF($I135= "I", $J135/($F135-$E135+1), $J135/(($F135*($F135+1)/2)-(($E135-1)*($E135-1+1)/2))*BA$2), 0)+IF(IF(time+1&gt;=BB$2, $K135/time_cap/(time+1)*BA$2, 0) = 0, $K135/(time_cap),0)),0)</f>
        <v/>
      </c>
      <c r="BB135" s="4395">
        <f>IFERROR(IF((time+time_cap)&lt;BB$2, 0,IF(AND(time+1&gt;=BC$2, $E135&lt;BC$2), IF($I135= "I", $J135/($F135-$E135+1), $J135/(($F135*($F135+1)/2)-(($E135-1)*($E135-1+1)/2))*BB$2), 0)+IF(IF(time+1&gt;=BC$2, $K135/time_cap/(time+1)*BB$2, 0) = 0, $K135/(time_cap),0)),0)</f>
        <v/>
      </c>
      <c r="BC135" s="4395">
        <f>IFERROR(IF((time+time_cap)&lt;BC$2, 0,IF(AND(time+1&gt;=BD$2, $E135&lt;BD$2), IF($I135= "I", $J135/($F135-$E135+1), $J135/(($F135*($F135+1)/2)-(($E135-1)*($E135-1+1)/2))*BC$2), 0)+IF(IF(time+1&gt;=BD$2, $K135/time_cap/(time+1)*BC$2, 0) = 0, $K135/(time_cap),0)),0)</f>
        <v/>
      </c>
      <c r="BD135" s="4395">
        <f>IFERROR(IF((time+time_cap)&lt;BD$2, 0,IF(AND(time+1&gt;=BE$2, $E135&lt;BE$2), IF($I135= "I", $J135/($F135-$E135+1), $J135/(($F135*($F135+1)/2)-(($E135-1)*($E135-1+1)/2))*BD$2), 0)+IF(IF(time+1&gt;=BE$2, $K135/time_cap/(time+1)*BD$2, 0) = 0, $K135/(time_cap),0)),0)</f>
        <v/>
      </c>
      <c r="BE135" s="4395">
        <f>IFERROR(IF((time+time_cap)&lt;BE$2, 0,IF(AND(time+1&gt;=BF$2, $E135&lt;BF$2), IF($I135= "I", $J135/($F135-$E135+1), $J135/(($F135*($F135+1)/2)-(($E135-1)*($E135-1+1)/2))*BE$2), 0)+IF(IF(time+1&gt;=BF$2, $K135/time_cap/(time+1)*BE$2, 0) = 0, $K135/(time_cap),0)),0)</f>
        <v/>
      </c>
      <c r="BF135" s="4395">
        <f>IFERROR(IF((time+time_cap)&lt;BF$2, 0,IF(AND(time+1&gt;=BG$2, $E135&lt;BG$2), IF($I135= "I", $J135/($F135-$E135+1), $J135/(($F135*($F135+1)/2)-(($E135-1)*($E135-1+1)/2))*BF$2), 0)+IF(IF(time+1&gt;=BG$2, $K135/time_cap/(time+1)*BF$2, 0) = 0, $K135/(time_cap),0)),0)</f>
        <v/>
      </c>
      <c r="BG135" s="4395">
        <f>IFERROR(IF((time+time_cap)&lt;BG$2, 0,IF(AND(time+1&gt;=BH$2, $E135&lt;BH$2), IF($I135= "I", $J135/($F135-$E135+1), $J135/(($F135*($F135+1)/2)-(($E135-1)*($E135-1+1)/2))*BG$2), 0)+IF(IF(time+1&gt;=BH$2, $K135/time_cap/(time+1)*BG$2, 0) = 0, $K135/(time_cap),0)),0)</f>
        <v/>
      </c>
      <c r="BH135" s="4395">
        <f>IFERROR(IF((time+time_cap)&lt;BH$2, 0,IF(AND(time+1&gt;=BI$2, $E135&lt;BI$2), IF($I135= "I", $J135/($F135-$E135+1), $J135/(($F135*($F135+1)/2)-(($E135-1)*($E135-1+1)/2))*BH$2), 0)+IF(IF(time+1&gt;=BI$2, $K135/time_cap/(time+1)*BH$2, 0) = 0, $K135/(time_cap),0)),0)</f>
        <v/>
      </c>
      <c r="BI135" s="4395">
        <f>IFERROR(IF((time+time_cap)&lt;BI$2, 0,IF(AND(time+1&gt;=BJ$2, $E135&lt;BJ$2), IF($I135= "I", $J135/($F135-$E135+1), $J135/(($F135*($F135+1)/2)-(($E135-1)*($E135-1+1)/2))*BI$2), 0)+IF(IF(time+1&gt;=BJ$2, $K135/time_cap/(time+1)*BI$2, 0) = 0, $K135/(time_cap),0)),0)</f>
        <v/>
      </c>
      <c r="BJ135" s="4395">
        <f>IFERROR(IF((time+time_cap)&lt;BJ$2, 0,IF(AND(time+1&gt;=BK$2, $E135&lt;BK$2), IF($I135= "I", $J135/($F135-$E135+1), $J135/(($F135*($F135+1)/2)-(($E135-1)*($E135-1+1)/2))*BJ$2), 0)+IF(IF(time+1&gt;=BK$2, $K135/time_cap/(time+1)*BJ$2, 0) = 0, $K135/(time_cap),0)),0)</f>
        <v/>
      </c>
      <c r="BK135" s="4395" t="n"/>
      <c r="BL135" s="4395" t="n"/>
      <c r="BM135" s="4395" t="n"/>
      <c r="BN135" s="4395" t="n"/>
      <c r="BO135" s="4395" t="n"/>
      <c r="BP135" s="4395" t="n"/>
      <c r="BQ135" s="4395" t="n"/>
      <c r="BR135" s="4395" t="n"/>
      <c r="BS135" s="4395" t="n"/>
      <c r="BT135" s="4395" t="n"/>
      <c r="BU135" s="4395" t="n"/>
      <c r="BV135" s="4395" t="n"/>
      <c r="BW135" s="4395" t="n"/>
      <c r="BX135" s="4395" t="n"/>
      <c r="BY135" s="4395" t="n"/>
      <c r="BZ135" s="4395" t="n"/>
      <c r="CA135" s="4395" t="n"/>
      <c r="CB135" s="4395" t="n"/>
      <c r="CC135" s="4395" t="n"/>
      <c r="CD135" s="4395" t="n"/>
      <c r="CE135" s="4395" t="n"/>
      <c r="CF135" s="4395" t="n"/>
      <c r="CG135" s="4395" t="n"/>
      <c r="CH135" s="4395" t="n"/>
      <c r="CI135" s="4395" t="n"/>
      <c r="CJ135" s="4395" t="n"/>
      <c r="CK135" s="4395" t="n"/>
      <c r="CL135" s="4395" t="n"/>
      <c r="CM135" s="4395" t="n"/>
      <c r="CN135" s="4395" t="n"/>
      <c r="CO135" s="4395" t="n"/>
      <c r="CP135" s="4395" t="n"/>
      <c r="CQ135" s="4395" t="n"/>
      <c r="CR135" s="4395" t="n"/>
      <c r="CS135" s="4395" t="n"/>
      <c r="CT135" s="4395" t="n"/>
      <c r="CU135" s="4395" t="n"/>
      <c r="CV135" s="4395" t="n"/>
      <c r="CW135" s="4395" t="n"/>
      <c r="CX135" s="4395" t="n"/>
      <c r="CY135" s="4395" t="n"/>
      <c r="CZ135" s="4395" t="n"/>
      <c r="DA135" s="4395" t="n"/>
      <c r="DB135" s="4395" t="n"/>
      <c r="DC135" s="4395" t="n"/>
      <c r="DD135" s="4395" t="n"/>
      <c r="DE135" s="4395" t="n"/>
      <c r="DF135" s="4395" t="n"/>
      <c r="DG135" s="4395" t="n"/>
      <c r="DH135" s="4395" t="n"/>
    </row>
    <row r="136" ht="16" customHeight="1">
      <c r="A136" t="inlineStr">
        <is>
          <t>Inland wetlands - forest management</t>
        </is>
      </c>
      <c r="C136">
        <f>'6.Inland wetlands'!C118</f>
        <v/>
      </c>
      <c r="D136">
        <f>'6.Inland wetlands'!AG118+'6.Inland wetlands'!AG129</f>
        <v/>
      </c>
      <c r="E136">
        <f>IF('6.Inland wetlands'!BV118&lt;&gt;0,'6.Inland wetlands'!BV118,'6.Inland wetlands'!BU118)</f>
        <v/>
      </c>
      <c r="F136">
        <f>time</f>
        <v/>
      </c>
      <c r="G136" s="4395">
        <f>'6.Inland wetlands'!O118</f>
        <v/>
      </c>
      <c r="H136" s="4395">
        <f>'6.Inland wetlands'!Q118</f>
        <v/>
      </c>
      <c r="I136" s="4395">
        <f>IF(OR(H136="I", G136="I"), "I", IF(OR(H136="E", G136="E"), "E", "D"))</f>
        <v/>
      </c>
      <c r="J136" s="4395">
        <f>((D136/(time_cap+((F136-E136+1)*VLOOKUP(I136,list!$I$48:$K$50,3, FALSE))))*(F136-E136+1)*VLOOKUP(I136,list!$I$48:$K$50,3, FALSE))</f>
        <v/>
      </c>
      <c r="K136" s="4395">
        <f>((D136/(time_cap+((F136-E136+1)*VLOOKUP(I136,list!$I$48:$K$50,3, FALSE))))*time_cap)</f>
        <v/>
      </c>
      <c r="M136" s="4395">
        <f>IFERROR(IF((time+time_cap)&lt;M$2, 0,IF(AND(time+1&gt;=N$2, $E136&lt;N$2), IF($I136= "I", $J136/($F136-$E136+1), $J136/(($F136*($F136+1)/2)-(($E136-1)*($E136-1+1)/2))*M$2), 0)+IF(IF(time+1&gt;=N$2, $K136/time_cap/(time+1)*M$2, 0) = 0, $K136/(time_cap),0)),0)</f>
        <v/>
      </c>
      <c r="N136" s="4395">
        <f>IFERROR(IF((time+time_cap)&lt;N$2, 0,IF(AND(time+1&gt;=O$2, $E136&lt;O$2), IF($I136= "I", $J136/($F136-$E136+1), $J136/(($F136*($F136+1)/2)-(($E136-1)*($E136-1+1)/2))*N$2), 0)+IF(IF(time+1&gt;=O$2, $K136/time_cap/(time+1)*N$2, 0) = 0, $K136/(time_cap),0)),0)</f>
        <v/>
      </c>
      <c r="O136" s="4395">
        <f>IFERROR(IF((time+time_cap)&lt;O$2, 0,IF(AND(time+1&gt;=P$2, $E136&lt;P$2), IF($I136= "I", $J136/($F136-$E136+1), $J136/(($F136*($F136+1)/2)-(($E136-1)*($E136-1+1)/2))*O$2), 0)+IF(IF(time+1&gt;=P$2, $K136/time_cap/(time+1)*O$2, 0) = 0, $K136/(time_cap),0)),0)</f>
        <v/>
      </c>
      <c r="P136" s="4395">
        <f>IFERROR(IF((time+time_cap)&lt;P$2, 0,IF(AND(time+1&gt;=Q$2, $E136&lt;Q$2), IF($I136= "I", $J136/($F136-$E136+1), $J136/(($F136*($F136+1)/2)-(($E136-1)*($E136-1+1)/2))*P$2), 0)+IF(IF(time+1&gt;=Q$2, $K136/time_cap/(time+1)*P$2, 0) = 0, $K136/(time_cap),0)),0)</f>
        <v/>
      </c>
      <c r="Q136" s="4395">
        <f>IFERROR(IF((time+time_cap)&lt;Q$2, 0,IF(AND(time+1&gt;=R$2, $E136&lt;R$2), IF($I136= "I", $J136/($F136-$E136+1), $J136/(($F136*($F136+1)/2)-(($E136-1)*($E136-1+1)/2))*Q$2), 0)+IF(IF(time+1&gt;=R$2, $K136/time_cap/(time+1)*Q$2, 0) = 0, $K136/(time_cap),0)),0)</f>
        <v/>
      </c>
      <c r="R136" s="4395">
        <f>IFERROR(IF((time+time_cap)&lt;R$2, 0,IF(AND(time+1&gt;=S$2, $E136&lt;S$2), IF($I136= "I", $J136/($F136-$E136+1), $J136/(($F136*($F136+1)/2)-(($E136-1)*($E136-1+1)/2))*R$2), 0)+IF(IF(time+1&gt;=S$2, $K136/time_cap/(time+1)*R$2, 0) = 0, $K136/(time_cap),0)),0)</f>
        <v/>
      </c>
      <c r="S136" s="4395">
        <f>IFERROR(IF((time+time_cap)&lt;S$2, 0,IF(AND(time+1&gt;=T$2, $E136&lt;T$2), IF($I136= "I", $J136/($F136-$E136+1), $J136/(($F136*($F136+1)/2)-(($E136-1)*($E136-1+1)/2))*S$2), 0)+IF(IF(time+1&gt;=T$2, $K136/time_cap/(time+1)*S$2, 0) = 0, $K136/(time_cap),0)),0)</f>
        <v/>
      </c>
      <c r="T136" s="4395">
        <f>IFERROR(IF((time+time_cap)&lt;T$2, 0,IF(AND(time+1&gt;=U$2, $E136&lt;U$2), IF($I136= "I", $J136/($F136-$E136+1), $J136/(($F136*($F136+1)/2)-(($E136-1)*($E136-1+1)/2))*T$2), 0)+IF(IF(time+1&gt;=U$2, $K136/time_cap/(time+1)*T$2, 0) = 0, $K136/(time_cap),0)),0)</f>
        <v/>
      </c>
      <c r="U136" s="4395">
        <f>IFERROR(IF((time+time_cap)&lt;U$2, 0,IF(AND(time+1&gt;=V$2, $E136&lt;V$2), IF($I136= "I", $J136/($F136-$E136+1), $J136/(($F136*($F136+1)/2)-(($E136-1)*($E136-1+1)/2))*U$2), 0)+IF(IF(time+1&gt;=V$2, $K136/time_cap/(time+1)*U$2, 0) = 0, $K136/(time_cap),0)),0)</f>
        <v/>
      </c>
      <c r="V136" s="4395">
        <f>IFERROR(IF((time+time_cap)&lt;V$2, 0,IF(AND(time+1&gt;=W$2, $E136&lt;W$2), IF($I136= "I", $J136/($F136-$E136+1), $J136/(($F136*($F136+1)/2)-(($E136-1)*($E136-1+1)/2))*V$2), 0)+IF(IF(time+1&gt;=W$2, $K136/time_cap/(time+1)*V$2, 0) = 0, $K136/(time_cap),0)),0)</f>
        <v/>
      </c>
      <c r="W136" s="4395">
        <f>IFERROR(IF((time+time_cap)&lt;W$2, 0,IF(AND(time+1&gt;=X$2, $E136&lt;X$2), IF($I136= "I", $J136/($F136-$E136+1), $J136/(($F136*($F136+1)/2)-(($E136-1)*($E136-1+1)/2))*W$2), 0)+IF(IF(time+1&gt;=X$2, $K136/time_cap/(time+1)*W$2, 0) = 0, $K136/(time_cap),0)),0)</f>
        <v/>
      </c>
      <c r="X136" s="4395">
        <f>IFERROR(IF((time+time_cap)&lt;X$2, 0,IF(AND(time+1&gt;=Y$2, $E136&lt;Y$2), IF($I136= "I", $J136/($F136-$E136+1), $J136/(($F136*($F136+1)/2)-(($E136-1)*($E136-1+1)/2))*X$2), 0)+IF(IF(time+1&gt;=Y$2, $K136/time_cap/(time+1)*X$2, 0) = 0, $K136/(time_cap),0)),0)</f>
        <v/>
      </c>
      <c r="Y136" s="4395">
        <f>IFERROR(IF((time+time_cap)&lt;Y$2, 0,IF(AND(time+1&gt;=Z$2, $E136&lt;Z$2), IF($I136= "I", $J136/($F136-$E136+1), $J136/(($F136*($F136+1)/2)-(($E136-1)*($E136-1+1)/2))*Y$2), 0)+IF(IF(time+1&gt;=Z$2, $K136/time_cap/(time+1)*Y$2, 0) = 0, $K136/(time_cap),0)),0)</f>
        <v/>
      </c>
      <c r="Z136" s="4395">
        <f>IFERROR(IF((time+time_cap)&lt;Z$2, 0,IF(AND(time+1&gt;=AA$2, $E136&lt;AA$2), IF($I136= "I", $J136/($F136-$E136+1), $J136/(($F136*($F136+1)/2)-(($E136-1)*($E136-1+1)/2))*Z$2), 0)+IF(IF(time+1&gt;=AA$2, $K136/time_cap/(time+1)*Z$2, 0) = 0, $K136/(time_cap),0)),0)</f>
        <v/>
      </c>
      <c r="AA136" s="4395">
        <f>IFERROR(IF((time+time_cap)&lt;AA$2, 0,IF(AND(time+1&gt;=AB$2, $E136&lt;AB$2), IF($I136= "I", $J136/($F136-$E136+1), $J136/(($F136*($F136+1)/2)-(($E136-1)*($E136-1+1)/2))*AA$2), 0)+IF(IF(time+1&gt;=AB$2, $K136/time_cap/(time+1)*AA$2, 0) = 0, $K136/(time_cap),0)),0)</f>
        <v/>
      </c>
      <c r="AB136" s="4395">
        <f>IFERROR(IF((time+time_cap)&lt;AB$2, 0,IF(AND(time+1&gt;=AC$2, $E136&lt;AC$2), IF($I136= "I", $J136/($F136-$E136+1), $J136/(($F136*($F136+1)/2)-(($E136-1)*($E136-1+1)/2))*AB$2), 0)+IF(IF(time+1&gt;=AC$2, $K136/time_cap/(time+1)*AB$2, 0) = 0, $K136/(time_cap),0)),0)</f>
        <v/>
      </c>
      <c r="AC136" s="4395">
        <f>IFERROR(IF((time+time_cap)&lt;AC$2, 0,IF(AND(time+1&gt;=AD$2, $E136&lt;AD$2), IF($I136= "I", $J136/($F136-$E136+1), $J136/(($F136*($F136+1)/2)-(($E136-1)*($E136-1+1)/2))*AC$2), 0)+IF(IF(time+1&gt;=AD$2, $K136/time_cap/(time+1)*AC$2, 0) = 0, $K136/(time_cap),0)),0)</f>
        <v/>
      </c>
      <c r="AD136" s="4395">
        <f>IFERROR(IF((time+time_cap)&lt;AD$2, 0,IF(AND(time+1&gt;=AE$2, $E136&lt;AE$2), IF($I136= "I", $J136/($F136-$E136+1), $J136/(($F136*($F136+1)/2)-(($E136-1)*($E136-1+1)/2))*AD$2), 0)+IF(IF(time+1&gt;=AE$2, $K136/time_cap/(time+1)*AD$2, 0) = 0, $K136/(time_cap),0)),0)</f>
        <v/>
      </c>
      <c r="AE136" s="4395">
        <f>IFERROR(IF((time+time_cap)&lt;AE$2, 0,IF(AND(time+1&gt;=AF$2, $E136&lt;AF$2), IF($I136= "I", $J136/($F136-$E136+1), $J136/(($F136*($F136+1)/2)-(($E136-1)*($E136-1+1)/2))*AE$2), 0)+IF(IF(time+1&gt;=AF$2, $K136/time_cap/(time+1)*AE$2, 0) = 0, $K136/(time_cap),0)),0)</f>
        <v/>
      </c>
      <c r="AF136" s="4395">
        <f>IFERROR(IF((time+time_cap)&lt;AF$2, 0,IF(AND(time+1&gt;=AG$2, $E136&lt;AG$2), IF($I136= "I", $J136/($F136-$E136+1), $J136/(($F136*($F136+1)/2)-(($E136-1)*($E136-1+1)/2))*AF$2), 0)+IF(IF(time+1&gt;=AG$2, $K136/time_cap/(time+1)*AF$2, 0) = 0, $K136/(time_cap),0)),0)</f>
        <v/>
      </c>
      <c r="AG136" s="4395">
        <f>IFERROR(IF((time+time_cap)&lt;AG$2, 0,IF(AND(time+1&gt;=AH$2, $E136&lt;AH$2), IF($I136= "I", $J136/($F136-$E136+1), $J136/(($F136*($F136+1)/2)-(($E136-1)*($E136-1+1)/2))*AG$2), 0)+IF(IF(time+1&gt;=AH$2, $K136/time_cap/(time+1)*AG$2, 0) = 0, $K136/(time_cap),0)),0)</f>
        <v/>
      </c>
      <c r="AH136" s="4395">
        <f>IFERROR(IF((time+time_cap)&lt;AH$2, 0,IF(AND(time+1&gt;=AI$2, $E136&lt;AI$2), IF($I136= "I", $J136/($F136-$E136+1), $J136/(($F136*($F136+1)/2)-(($E136-1)*($E136-1+1)/2))*AH$2), 0)+IF(IF(time+1&gt;=AI$2, $K136/time_cap/(time+1)*AH$2, 0) = 0, $K136/(time_cap),0)),0)</f>
        <v/>
      </c>
      <c r="AI136" s="4395">
        <f>IFERROR(IF((time+time_cap)&lt;AI$2, 0,IF(AND(time+1&gt;=AJ$2, $E136&lt;AJ$2), IF($I136= "I", $J136/($F136-$E136+1), $J136/(($F136*($F136+1)/2)-(($E136-1)*($E136-1+1)/2))*AI$2), 0)+IF(IF(time+1&gt;=AJ$2, $K136/time_cap/(time+1)*AI$2, 0) = 0, $K136/(time_cap),0)),0)</f>
        <v/>
      </c>
      <c r="AJ136" s="4395">
        <f>IFERROR(IF((time+time_cap)&lt;AJ$2, 0,IF(AND(time+1&gt;=AK$2, $E136&lt;AK$2), IF($I136= "I", $J136/($F136-$E136+1), $J136/(($F136*($F136+1)/2)-(($E136-1)*($E136-1+1)/2))*AJ$2), 0)+IF(IF(time+1&gt;=AK$2, $K136/time_cap/(time+1)*AJ$2, 0) = 0, $K136/(time_cap),0)),0)</f>
        <v/>
      </c>
      <c r="AK136" s="4395">
        <f>IFERROR(IF((time+time_cap)&lt;AK$2, 0,IF(AND(time+1&gt;=AL$2, $E136&lt;AL$2), IF($I136= "I", $J136/($F136-$E136+1), $J136/(($F136*($F136+1)/2)-(($E136-1)*($E136-1+1)/2))*AK$2), 0)+IF(IF(time+1&gt;=AL$2, $K136/time_cap/(time+1)*AK$2, 0) = 0, $K136/(time_cap),0)),0)</f>
        <v/>
      </c>
      <c r="AL136" s="4395">
        <f>IFERROR(IF((time+time_cap)&lt;AL$2, 0,IF(AND(time+1&gt;=AM$2, $E136&lt;AM$2), IF($I136= "I", $J136/($F136-$E136+1), $J136/(($F136*($F136+1)/2)-(($E136-1)*($E136-1+1)/2))*AL$2), 0)+IF(IF(time+1&gt;=AM$2, $K136/time_cap/(time+1)*AL$2, 0) = 0, $K136/(time_cap),0)),0)</f>
        <v/>
      </c>
      <c r="AM136" s="4395">
        <f>IFERROR(IF((time+time_cap)&lt;AM$2, 0,IF(AND(time+1&gt;=AN$2, $E136&lt;AN$2), IF($I136= "I", $J136/($F136-$E136+1), $J136/(($F136*($F136+1)/2)-(($E136-1)*($E136-1+1)/2))*AM$2), 0)+IF(IF(time+1&gt;=AN$2, $K136/time_cap/(time+1)*AM$2, 0) = 0, $K136/(time_cap),0)),0)</f>
        <v/>
      </c>
      <c r="AN136" s="4395">
        <f>IFERROR(IF((time+time_cap)&lt;AN$2, 0,IF(AND(time+1&gt;=AO$2, $E136&lt;AO$2), IF($I136= "I", $J136/($F136-$E136+1), $J136/(($F136*($F136+1)/2)-(($E136-1)*($E136-1+1)/2))*AN$2), 0)+IF(IF(time+1&gt;=AO$2, $K136/time_cap/(time+1)*AN$2, 0) = 0, $K136/(time_cap),0)),0)</f>
        <v/>
      </c>
      <c r="AO136" s="4395">
        <f>IFERROR(IF((time+time_cap)&lt;AO$2, 0,IF(AND(time+1&gt;=AP$2, $E136&lt;AP$2), IF($I136= "I", $J136/($F136-$E136+1), $J136/(($F136*($F136+1)/2)-(($E136-1)*($E136-1+1)/2))*AO$2), 0)+IF(IF(time+1&gt;=AP$2, $K136/time_cap/(time+1)*AO$2, 0) = 0, $K136/(time_cap),0)),0)</f>
        <v/>
      </c>
      <c r="AP136" s="4395">
        <f>IFERROR(IF((time+time_cap)&lt;AP$2, 0,IF(AND(time+1&gt;=AQ$2, $E136&lt;AQ$2), IF($I136= "I", $J136/($F136-$E136+1), $J136/(($F136*($F136+1)/2)-(($E136-1)*($E136-1+1)/2))*AP$2), 0)+IF(IF(time+1&gt;=AQ$2, $K136/time_cap/(time+1)*AP$2, 0) = 0, $K136/(time_cap),0)),0)</f>
        <v/>
      </c>
      <c r="AQ136" s="4395">
        <f>IFERROR(IF((time+time_cap)&lt;AQ$2, 0,IF(AND(time+1&gt;=AR$2, $E136&lt;AR$2), IF($I136= "I", $J136/($F136-$E136+1), $J136/(($F136*($F136+1)/2)-(($E136-1)*($E136-1+1)/2))*AQ$2), 0)+IF(IF(time+1&gt;=AR$2, $K136/time_cap/(time+1)*AQ$2, 0) = 0, $K136/(time_cap),0)),0)</f>
        <v/>
      </c>
      <c r="AR136" s="4395">
        <f>IFERROR(IF((time+time_cap)&lt;AR$2, 0,IF(AND(time+1&gt;=AS$2, $E136&lt;AS$2), IF($I136= "I", $J136/($F136-$E136+1), $J136/(($F136*($F136+1)/2)-(($E136-1)*($E136-1+1)/2))*AR$2), 0)+IF(IF(time+1&gt;=AS$2, $K136/time_cap/(time+1)*AR$2, 0) = 0, $K136/(time_cap),0)),0)</f>
        <v/>
      </c>
      <c r="AS136" s="4395">
        <f>IFERROR(IF((time+time_cap)&lt;AS$2, 0,IF(AND(time+1&gt;=AT$2, $E136&lt;AT$2), IF($I136= "I", $J136/($F136-$E136+1), $J136/(($F136*($F136+1)/2)-(($E136-1)*($E136-1+1)/2))*AS$2), 0)+IF(IF(time+1&gt;=AT$2, $K136/time_cap/(time+1)*AS$2, 0) = 0, $K136/(time_cap),0)),0)</f>
        <v/>
      </c>
      <c r="AT136" s="4395">
        <f>IFERROR(IF((time+time_cap)&lt;AT$2, 0,IF(AND(time+1&gt;=AU$2, $E136&lt;AU$2), IF($I136= "I", $J136/($F136-$E136+1), $J136/(($F136*($F136+1)/2)-(($E136-1)*($E136-1+1)/2))*AT$2), 0)+IF(IF(time+1&gt;=AU$2, $K136/time_cap/(time+1)*AT$2, 0) = 0, $K136/(time_cap),0)),0)</f>
        <v/>
      </c>
      <c r="AU136" s="4395">
        <f>IFERROR(IF((time+time_cap)&lt;AU$2, 0,IF(AND(time+1&gt;=AV$2, $E136&lt;AV$2), IF($I136= "I", $J136/($F136-$E136+1), $J136/(($F136*($F136+1)/2)-(($E136-1)*($E136-1+1)/2))*AU$2), 0)+IF(IF(time+1&gt;=AV$2, $K136/time_cap/(time+1)*AU$2, 0) = 0, $K136/(time_cap),0)),0)</f>
        <v/>
      </c>
      <c r="AV136" s="4395">
        <f>IFERROR(IF((time+time_cap)&lt;AV$2, 0,IF(AND(time+1&gt;=AW$2, $E136&lt;AW$2), IF($I136= "I", $J136/($F136-$E136+1), $J136/(($F136*($F136+1)/2)-(($E136-1)*($E136-1+1)/2))*AV$2), 0)+IF(IF(time+1&gt;=AW$2, $K136/time_cap/(time+1)*AV$2, 0) = 0, $K136/(time_cap),0)),0)</f>
        <v/>
      </c>
      <c r="AW136" s="4395">
        <f>IFERROR(IF((time+time_cap)&lt;AW$2, 0,IF(AND(time+1&gt;=AX$2, $E136&lt;AX$2), IF($I136= "I", $J136/($F136-$E136+1), $J136/(($F136*($F136+1)/2)-(($E136-1)*($E136-1+1)/2))*AW$2), 0)+IF(IF(time+1&gt;=AX$2, $K136/time_cap/(time+1)*AW$2, 0) = 0, $K136/(time_cap),0)),0)</f>
        <v/>
      </c>
      <c r="AX136" s="4395">
        <f>IFERROR(IF((time+time_cap)&lt;AX$2, 0,IF(AND(time+1&gt;=AY$2, $E136&lt;AY$2), IF($I136= "I", $J136/($F136-$E136+1), $J136/(($F136*($F136+1)/2)-(($E136-1)*($E136-1+1)/2))*AX$2), 0)+IF(IF(time+1&gt;=AY$2, $K136/time_cap/(time+1)*AX$2, 0) = 0, $K136/(time_cap),0)),0)</f>
        <v/>
      </c>
      <c r="AY136" s="4395">
        <f>IFERROR(IF((time+time_cap)&lt;AY$2, 0,IF(AND(time+1&gt;=AZ$2, $E136&lt;AZ$2), IF($I136= "I", $J136/($F136-$E136+1), $J136/(($F136*($F136+1)/2)-(($E136-1)*($E136-1+1)/2))*AY$2), 0)+IF(IF(time+1&gt;=AZ$2, $K136/time_cap/(time+1)*AY$2, 0) = 0, $K136/(time_cap),0)),0)</f>
        <v/>
      </c>
      <c r="AZ136" s="4395">
        <f>IFERROR(IF((time+time_cap)&lt;AZ$2, 0,IF(AND(time+1&gt;=BA$2, $E136&lt;BA$2), IF($I136= "I", $J136/($F136-$E136+1), $J136/(($F136*($F136+1)/2)-(($E136-1)*($E136-1+1)/2))*AZ$2), 0)+IF(IF(time+1&gt;=BA$2, $K136/time_cap/(time+1)*AZ$2, 0) = 0, $K136/(time_cap),0)),0)</f>
        <v/>
      </c>
      <c r="BA136" s="4395">
        <f>IFERROR(IF((time+time_cap)&lt;BA$2, 0,IF(AND(time+1&gt;=BB$2, $E136&lt;BB$2), IF($I136= "I", $J136/($F136-$E136+1), $J136/(($F136*($F136+1)/2)-(($E136-1)*($E136-1+1)/2))*BA$2), 0)+IF(IF(time+1&gt;=BB$2, $K136/time_cap/(time+1)*BA$2, 0) = 0, $K136/(time_cap),0)),0)</f>
        <v/>
      </c>
      <c r="BB136" s="4395">
        <f>IFERROR(IF((time+time_cap)&lt;BB$2, 0,IF(AND(time+1&gt;=BC$2, $E136&lt;BC$2), IF($I136= "I", $J136/($F136-$E136+1), $J136/(($F136*($F136+1)/2)-(($E136-1)*($E136-1+1)/2))*BB$2), 0)+IF(IF(time+1&gt;=BC$2, $K136/time_cap/(time+1)*BB$2, 0) = 0, $K136/(time_cap),0)),0)</f>
        <v/>
      </c>
      <c r="BC136" s="4395">
        <f>IFERROR(IF((time+time_cap)&lt;BC$2, 0,IF(AND(time+1&gt;=BD$2, $E136&lt;BD$2), IF($I136= "I", $J136/($F136-$E136+1), $J136/(($F136*($F136+1)/2)-(($E136-1)*($E136-1+1)/2))*BC$2), 0)+IF(IF(time+1&gt;=BD$2, $K136/time_cap/(time+1)*BC$2, 0) = 0, $K136/(time_cap),0)),0)</f>
        <v/>
      </c>
      <c r="BD136" s="4395">
        <f>IFERROR(IF((time+time_cap)&lt;BD$2, 0,IF(AND(time+1&gt;=BE$2, $E136&lt;BE$2), IF($I136= "I", $J136/($F136-$E136+1), $J136/(($F136*($F136+1)/2)-(($E136-1)*($E136-1+1)/2))*BD$2), 0)+IF(IF(time+1&gt;=BE$2, $K136/time_cap/(time+1)*BD$2, 0) = 0, $K136/(time_cap),0)),0)</f>
        <v/>
      </c>
      <c r="BE136" s="4395">
        <f>IFERROR(IF((time+time_cap)&lt;BE$2, 0,IF(AND(time+1&gt;=BF$2, $E136&lt;BF$2), IF($I136= "I", $J136/($F136-$E136+1), $J136/(($F136*($F136+1)/2)-(($E136-1)*($E136-1+1)/2))*BE$2), 0)+IF(IF(time+1&gt;=BF$2, $K136/time_cap/(time+1)*BE$2, 0) = 0, $K136/(time_cap),0)),0)</f>
        <v/>
      </c>
      <c r="BF136" s="4395">
        <f>IFERROR(IF((time+time_cap)&lt;BF$2, 0,IF(AND(time+1&gt;=BG$2, $E136&lt;BG$2), IF($I136= "I", $J136/($F136-$E136+1), $J136/(($F136*($F136+1)/2)-(($E136-1)*($E136-1+1)/2))*BF$2), 0)+IF(IF(time+1&gt;=BG$2, $K136/time_cap/(time+1)*BF$2, 0) = 0, $K136/(time_cap),0)),0)</f>
        <v/>
      </c>
      <c r="BG136" s="4395">
        <f>IFERROR(IF((time+time_cap)&lt;BG$2, 0,IF(AND(time+1&gt;=BH$2, $E136&lt;BH$2), IF($I136= "I", $J136/($F136-$E136+1), $J136/(($F136*($F136+1)/2)-(($E136-1)*($E136-1+1)/2))*BG$2), 0)+IF(IF(time+1&gt;=BH$2, $K136/time_cap/(time+1)*BG$2, 0) = 0, $K136/(time_cap),0)),0)</f>
        <v/>
      </c>
      <c r="BH136" s="4395">
        <f>IFERROR(IF((time+time_cap)&lt;BH$2, 0,IF(AND(time+1&gt;=BI$2, $E136&lt;BI$2), IF($I136= "I", $J136/($F136-$E136+1), $J136/(($F136*($F136+1)/2)-(($E136-1)*($E136-1+1)/2))*BH$2), 0)+IF(IF(time+1&gt;=BI$2, $K136/time_cap/(time+1)*BH$2, 0) = 0, $K136/(time_cap),0)),0)</f>
        <v/>
      </c>
      <c r="BI136" s="4395">
        <f>IFERROR(IF((time+time_cap)&lt;BI$2, 0,IF(AND(time+1&gt;=BJ$2, $E136&lt;BJ$2), IF($I136= "I", $J136/($F136-$E136+1), $J136/(($F136*($F136+1)/2)-(($E136-1)*($E136-1+1)/2))*BI$2), 0)+IF(IF(time+1&gt;=BJ$2, $K136/time_cap/(time+1)*BI$2, 0) = 0, $K136/(time_cap),0)),0)</f>
        <v/>
      </c>
      <c r="BJ136" s="4395">
        <f>IFERROR(IF((time+time_cap)&lt;BJ$2, 0,IF(AND(time+1&gt;=BK$2, $E136&lt;BK$2), IF($I136= "I", $J136/($F136-$E136+1), $J136/(($F136*($F136+1)/2)-(($E136-1)*($E136-1+1)/2))*BJ$2), 0)+IF(IF(time+1&gt;=BK$2, $K136/time_cap/(time+1)*BJ$2, 0) = 0, $K136/(time_cap),0)),0)</f>
        <v/>
      </c>
      <c r="BK136" s="4395" t="n"/>
      <c r="BL136" s="4395" t="n"/>
      <c r="BM136" s="4395" t="n"/>
      <c r="BN136" s="4395" t="n"/>
      <c r="BO136" s="4395" t="n"/>
      <c r="BP136" s="4395" t="n"/>
      <c r="BQ136" s="4395" t="n"/>
      <c r="BR136" s="4395" t="n"/>
      <c r="BS136" s="4395" t="n"/>
      <c r="BT136" s="4395" t="n"/>
      <c r="BU136" s="4395" t="n"/>
      <c r="BV136" s="4395" t="n"/>
      <c r="BW136" s="4395" t="n"/>
      <c r="BX136" s="4395" t="n"/>
      <c r="BY136" s="4395" t="n"/>
      <c r="BZ136" s="4395" t="n"/>
      <c r="CA136" s="4395" t="n"/>
      <c r="CB136" s="4395" t="n"/>
      <c r="CC136" s="4395" t="n"/>
      <c r="CD136" s="4395" t="n"/>
      <c r="CE136" s="4395" t="n"/>
      <c r="CF136" s="4395" t="n"/>
      <c r="CG136" s="4395" t="n"/>
      <c r="CH136" s="4395" t="n"/>
      <c r="CI136" s="4395" t="n"/>
      <c r="CJ136" s="4395" t="n"/>
      <c r="CK136" s="4395" t="n"/>
      <c r="CL136" s="4395" t="n"/>
      <c r="CM136" s="4395" t="n"/>
      <c r="CN136" s="4395" t="n"/>
      <c r="CO136" s="4395" t="n"/>
      <c r="CP136" s="4395" t="n"/>
      <c r="CQ136" s="4395" t="n"/>
      <c r="CR136" s="4395" t="n"/>
      <c r="CS136" s="4395" t="n"/>
      <c r="CT136" s="4395" t="n"/>
      <c r="CU136" s="4395" t="n"/>
      <c r="CV136" s="4395" t="n"/>
      <c r="CW136" s="4395" t="n"/>
      <c r="CX136" s="4395" t="n"/>
      <c r="CY136" s="4395" t="n"/>
      <c r="CZ136" s="4395" t="n"/>
      <c r="DA136" s="4395" t="n"/>
      <c r="DB136" s="4395" t="n"/>
      <c r="DC136" s="4395" t="n"/>
      <c r="DD136" s="4395" t="n"/>
      <c r="DE136" s="4395" t="n"/>
      <c r="DF136" s="4395" t="n"/>
      <c r="DG136" s="4395" t="n"/>
      <c r="DH136" s="4395" t="n"/>
    </row>
    <row r="137" ht="16" customHeight="1">
      <c r="A137" t="inlineStr">
        <is>
          <t>Inland wetlands - forest management</t>
        </is>
      </c>
      <c r="C137">
        <f>'6.Inland wetlands'!C119</f>
        <v/>
      </c>
      <c r="D137">
        <f>'6.Inland wetlands'!AG119+'6.Inland wetlands'!AG130</f>
        <v/>
      </c>
      <c r="E137">
        <f>IF('6.Inland wetlands'!BV119&lt;&gt;0,'6.Inland wetlands'!BV119,'6.Inland wetlands'!BU119)</f>
        <v/>
      </c>
      <c r="F137">
        <f>time</f>
        <v/>
      </c>
      <c r="G137" s="4395">
        <f>'6.Inland wetlands'!O119</f>
        <v/>
      </c>
      <c r="H137" s="4395">
        <f>'6.Inland wetlands'!Q119</f>
        <v/>
      </c>
      <c r="I137" s="4395">
        <f>IF(OR(H137="I", G137="I"), "I", IF(OR(H137="E", G137="E"), "E", "D"))</f>
        <v/>
      </c>
      <c r="J137" s="4395">
        <f>((D137/(time_cap+((F137-E137+1)*VLOOKUP(I137,list!$I$48:$K$50,3, FALSE))))*(F137-E137+1)*VLOOKUP(I137,list!$I$48:$K$50,3, FALSE))</f>
        <v/>
      </c>
      <c r="K137" s="4395">
        <f>((D137/(time_cap+((F137-E137+1)*VLOOKUP(I137,list!$I$48:$K$50,3, FALSE))))*time_cap)</f>
        <v/>
      </c>
      <c r="M137" s="4395">
        <f>IFERROR(IF((time+time_cap)&lt;M$2, 0,IF(AND(time+1&gt;=N$2, $E137&lt;N$2), IF($I137= "I", $J137/($F137-$E137+1), $J137/(($F137*($F137+1)/2)-(($E137-1)*($E137-1+1)/2))*M$2), 0)+IF(IF(time+1&gt;=N$2, $K137/time_cap/(time+1)*M$2, 0) = 0, $K137/(time_cap),0)),0)</f>
        <v/>
      </c>
      <c r="N137" s="4395">
        <f>IFERROR(IF((time+time_cap)&lt;N$2, 0,IF(AND(time+1&gt;=O$2, $E137&lt;O$2), IF($I137= "I", $J137/($F137-$E137+1), $J137/(($F137*($F137+1)/2)-(($E137-1)*($E137-1+1)/2))*N$2), 0)+IF(IF(time+1&gt;=O$2, $K137/time_cap/(time+1)*N$2, 0) = 0, $K137/(time_cap),0)),0)</f>
        <v/>
      </c>
      <c r="O137" s="4395">
        <f>IFERROR(IF((time+time_cap)&lt;O$2, 0,IF(AND(time+1&gt;=P$2, $E137&lt;P$2), IF($I137= "I", $J137/($F137-$E137+1), $J137/(($F137*($F137+1)/2)-(($E137-1)*($E137-1+1)/2))*O$2), 0)+IF(IF(time+1&gt;=P$2, $K137/time_cap/(time+1)*O$2, 0) = 0, $K137/(time_cap),0)),0)</f>
        <v/>
      </c>
      <c r="P137" s="4395">
        <f>IFERROR(IF((time+time_cap)&lt;P$2, 0,IF(AND(time+1&gt;=Q$2, $E137&lt;Q$2), IF($I137= "I", $J137/($F137-$E137+1), $J137/(($F137*($F137+1)/2)-(($E137-1)*($E137-1+1)/2))*P$2), 0)+IF(IF(time+1&gt;=Q$2, $K137/time_cap/(time+1)*P$2, 0) = 0, $K137/(time_cap),0)),0)</f>
        <v/>
      </c>
      <c r="Q137" s="4395">
        <f>IFERROR(IF((time+time_cap)&lt;Q$2, 0,IF(AND(time+1&gt;=R$2, $E137&lt;R$2), IF($I137= "I", $J137/($F137-$E137+1), $J137/(($F137*($F137+1)/2)-(($E137-1)*($E137-1+1)/2))*Q$2), 0)+IF(IF(time+1&gt;=R$2, $K137/time_cap/(time+1)*Q$2, 0) = 0, $K137/(time_cap),0)),0)</f>
        <v/>
      </c>
      <c r="R137" s="4395">
        <f>IFERROR(IF((time+time_cap)&lt;R$2, 0,IF(AND(time+1&gt;=S$2, $E137&lt;S$2), IF($I137= "I", $J137/($F137-$E137+1), $J137/(($F137*($F137+1)/2)-(($E137-1)*($E137-1+1)/2))*R$2), 0)+IF(IF(time+1&gt;=S$2, $K137/time_cap/(time+1)*R$2, 0) = 0, $K137/(time_cap),0)),0)</f>
        <v/>
      </c>
      <c r="S137" s="4395">
        <f>IFERROR(IF((time+time_cap)&lt;S$2, 0,IF(AND(time+1&gt;=T$2, $E137&lt;T$2), IF($I137= "I", $J137/($F137-$E137+1), $J137/(($F137*($F137+1)/2)-(($E137-1)*($E137-1+1)/2))*S$2), 0)+IF(IF(time+1&gt;=T$2, $K137/time_cap/(time+1)*S$2, 0) = 0, $K137/(time_cap),0)),0)</f>
        <v/>
      </c>
      <c r="T137" s="4395">
        <f>IFERROR(IF((time+time_cap)&lt;T$2, 0,IF(AND(time+1&gt;=U$2, $E137&lt;U$2), IF($I137= "I", $J137/($F137-$E137+1), $J137/(($F137*($F137+1)/2)-(($E137-1)*($E137-1+1)/2))*T$2), 0)+IF(IF(time+1&gt;=U$2, $K137/time_cap/(time+1)*T$2, 0) = 0, $K137/(time_cap),0)),0)</f>
        <v/>
      </c>
      <c r="U137" s="4395">
        <f>IFERROR(IF((time+time_cap)&lt;U$2, 0,IF(AND(time+1&gt;=V$2, $E137&lt;V$2), IF($I137= "I", $J137/($F137-$E137+1), $J137/(($F137*($F137+1)/2)-(($E137-1)*($E137-1+1)/2))*U$2), 0)+IF(IF(time+1&gt;=V$2, $K137/time_cap/(time+1)*U$2, 0) = 0, $K137/(time_cap),0)),0)</f>
        <v/>
      </c>
      <c r="V137" s="4395">
        <f>IFERROR(IF((time+time_cap)&lt;V$2, 0,IF(AND(time+1&gt;=W$2, $E137&lt;W$2), IF($I137= "I", $J137/($F137-$E137+1), $J137/(($F137*($F137+1)/2)-(($E137-1)*($E137-1+1)/2))*V$2), 0)+IF(IF(time+1&gt;=W$2, $K137/time_cap/(time+1)*V$2, 0) = 0, $K137/(time_cap),0)),0)</f>
        <v/>
      </c>
      <c r="W137" s="4395">
        <f>IFERROR(IF((time+time_cap)&lt;W$2, 0,IF(AND(time+1&gt;=X$2, $E137&lt;X$2), IF($I137= "I", $J137/($F137-$E137+1), $J137/(($F137*($F137+1)/2)-(($E137-1)*($E137-1+1)/2))*W$2), 0)+IF(IF(time+1&gt;=X$2, $K137/time_cap/(time+1)*W$2, 0) = 0, $K137/(time_cap),0)),0)</f>
        <v/>
      </c>
      <c r="X137" s="4395">
        <f>IFERROR(IF((time+time_cap)&lt;X$2, 0,IF(AND(time+1&gt;=Y$2, $E137&lt;Y$2), IF($I137= "I", $J137/($F137-$E137+1), $J137/(($F137*($F137+1)/2)-(($E137-1)*($E137-1+1)/2))*X$2), 0)+IF(IF(time+1&gt;=Y$2, $K137/time_cap/(time+1)*X$2, 0) = 0, $K137/(time_cap),0)),0)</f>
        <v/>
      </c>
      <c r="Y137" s="4395">
        <f>IFERROR(IF((time+time_cap)&lt;Y$2, 0,IF(AND(time+1&gt;=Z$2, $E137&lt;Z$2), IF($I137= "I", $J137/($F137-$E137+1), $J137/(($F137*($F137+1)/2)-(($E137-1)*($E137-1+1)/2))*Y$2), 0)+IF(IF(time+1&gt;=Z$2, $K137/time_cap/(time+1)*Y$2, 0) = 0, $K137/(time_cap),0)),0)</f>
        <v/>
      </c>
      <c r="Z137" s="4395">
        <f>IFERROR(IF((time+time_cap)&lt;Z$2, 0,IF(AND(time+1&gt;=AA$2, $E137&lt;AA$2), IF($I137= "I", $J137/($F137-$E137+1), $J137/(($F137*($F137+1)/2)-(($E137-1)*($E137-1+1)/2))*Z$2), 0)+IF(IF(time+1&gt;=AA$2, $K137/time_cap/(time+1)*Z$2, 0) = 0, $K137/(time_cap),0)),0)</f>
        <v/>
      </c>
      <c r="AA137" s="4395">
        <f>IFERROR(IF((time+time_cap)&lt;AA$2, 0,IF(AND(time+1&gt;=AB$2, $E137&lt;AB$2), IF($I137= "I", $J137/($F137-$E137+1), $J137/(($F137*($F137+1)/2)-(($E137-1)*($E137-1+1)/2))*AA$2), 0)+IF(IF(time+1&gt;=AB$2, $K137/time_cap/(time+1)*AA$2, 0) = 0, $K137/(time_cap),0)),0)</f>
        <v/>
      </c>
      <c r="AB137" s="4395">
        <f>IFERROR(IF((time+time_cap)&lt;AB$2, 0,IF(AND(time+1&gt;=AC$2, $E137&lt;AC$2), IF($I137= "I", $J137/($F137-$E137+1), $J137/(($F137*($F137+1)/2)-(($E137-1)*($E137-1+1)/2))*AB$2), 0)+IF(IF(time+1&gt;=AC$2, $K137/time_cap/(time+1)*AB$2, 0) = 0, $K137/(time_cap),0)),0)</f>
        <v/>
      </c>
      <c r="AC137" s="4395">
        <f>IFERROR(IF((time+time_cap)&lt;AC$2, 0,IF(AND(time+1&gt;=AD$2, $E137&lt;AD$2), IF($I137= "I", $J137/($F137-$E137+1), $J137/(($F137*($F137+1)/2)-(($E137-1)*($E137-1+1)/2))*AC$2), 0)+IF(IF(time+1&gt;=AD$2, $K137/time_cap/(time+1)*AC$2, 0) = 0, $K137/(time_cap),0)),0)</f>
        <v/>
      </c>
      <c r="AD137" s="4395">
        <f>IFERROR(IF((time+time_cap)&lt;AD$2, 0,IF(AND(time+1&gt;=AE$2, $E137&lt;AE$2), IF($I137= "I", $J137/($F137-$E137+1), $J137/(($F137*($F137+1)/2)-(($E137-1)*($E137-1+1)/2))*AD$2), 0)+IF(IF(time+1&gt;=AE$2, $K137/time_cap/(time+1)*AD$2, 0) = 0, $K137/(time_cap),0)),0)</f>
        <v/>
      </c>
      <c r="AE137" s="4395">
        <f>IFERROR(IF((time+time_cap)&lt;AE$2, 0,IF(AND(time+1&gt;=AF$2, $E137&lt;AF$2), IF($I137= "I", $J137/($F137-$E137+1), $J137/(($F137*($F137+1)/2)-(($E137-1)*($E137-1+1)/2))*AE$2), 0)+IF(IF(time+1&gt;=AF$2, $K137/time_cap/(time+1)*AE$2, 0) = 0, $K137/(time_cap),0)),0)</f>
        <v/>
      </c>
      <c r="AF137" s="4395">
        <f>IFERROR(IF((time+time_cap)&lt;AF$2, 0,IF(AND(time+1&gt;=AG$2, $E137&lt;AG$2), IF($I137= "I", $J137/($F137-$E137+1), $J137/(($F137*($F137+1)/2)-(($E137-1)*($E137-1+1)/2))*AF$2), 0)+IF(IF(time+1&gt;=AG$2, $K137/time_cap/(time+1)*AF$2, 0) = 0, $K137/(time_cap),0)),0)</f>
        <v/>
      </c>
      <c r="AG137" s="4395">
        <f>IFERROR(IF((time+time_cap)&lt;AG$2, 0,IF(AND(time+1&gt;=AH$2, $E137&lt;AH$2), IF($I137= "I", $J137/($F137-$E137+1), $J137/(($F137*($F137+1)/2)-(($E137-1)*($E137-1+1)/2))*AG$2), 0)+IF(IF(time+1&gt;=AH$2, $K137/time_cap/(time+1)*AG$2, 0) = 0, $K137/(time_cap),0)),0)</f>
        <v/>
      </c>
      <c r="AH137" s="4395">
        <f>IFERROR(IF((time+time_cap)&lt;AH$2, 0,IF(AND(time+1&gt;=AI$2, $E137&lt;AI$2), IF($I137= "I", $J137/($F137-$E137+1), $J137/(($F137*($F137+1)/2)-(($E137-1)*($E137-1+1)/2))*AH$2), 0)+IF(IF(time+1&gt;=AI$2, $K137/time_cap/(time+1)*AH$2, 0) = 0, $K137/(time_cap),0)),0)</f>
        <v/>
      </c>
      <c r="AI137" s="4395">
        <f>IFERROR(IF((time+time_cap)&lt;AI$2, 0,IF(AND(time+1&gt;=AJ$2, $E137&lt;AJ$2), IF($I137= "I", $J137/($F137-$E137+1), $J137/(($F137*($F137+1)/2)-(($E137-1)*($E137-1+1)/2))*AI$2), 0)+IF(IF(time+1&gt;=AJ$2, $K137/time_cap/(time+1)*AI$2, 0) = 0, $K137/(time_cap),0)),0)</f>
        <v/>
      </c>
      <c r="AJ137" s="4395">
        <f>IFERROR(IF((time+time_cap)&lt;AJ$2, 0,IF(AND(time+1&gt;=AK$2, $E137&lt;AK$2), IF($I137= "I", $J137/($F137-$E137+1), $J137/(($F137*($F137+1)/2)-(($E137-1)*($E137-1+1)/2))*AJ$2), 0)+IF(IF(time+1&gt;=AK$2, $K137/time_cap/(time+1)*AJ$2, 0) = 0, $K137/(time_cap),0)),0)</f>
        <v/>
      </c>
      <c r="AK137" s="4395">
        <f>IFERROR(IF((time+time_cap)&lt;AK$2, 0,IF(AND(time+1&gt;=AL$2, $E137&lt;AL$2), IF($I137= "I", $J137/($F137-$E137+1), $J137/(($F137*($F137+1)/2)-(($E137-1)*($E137-1+1)/2))*AK$2), 0)+IF(IF(time+1&gt;=AL$2, $K137/time_cap/(time+1)*AK$2, 0) = 0, $K137/(time_cap),0)),0)</f>
        <v/>
      </c>
      <c r="AL137" s="4395">
        <f>IFERROR(IF((time+time_cap)&lt;AL$2, 0,IF(AND(time+1&gt;=AM$2, $E137&lt;AM$2), IF($I137= "I", $J137/($F137-$E137+1), $J137/(($F137*($F137+1)/2)-(($E137-1)*($E137-1+1)/2))*AL$2), 0)+IF(IF(time+1&gt;=AM$2, $K137/time_cap/(time+1)*AL$2, 0) = 0, $K137/(time_cap),0)),0)</f>
        <v/>
      </c>
      <c r="AM137" s="4395">
        <f>IFERROR(IF((time+time_cap)&lt;AM$2, 0,IF(AND(time+1&gt;=AN$2, $E137&lt;AN$2), IF($I137= "I", $J137/($F137-$E137+1), $J137/(($F137*($F137+1)/2)-(($E137-1)*($E137-1+1)/2))*AM$2), 0)+IF(IF(time+1&gt;=AN$2, $K137/time_cap/(time+1)*AM$2, 0) = 0, $K137/(time_cap),0)),0)</f>
        <v/>
      </c>
      <c r="AN137" s="4395">
        <f>IFERROR(IF((time+time_cap)&lt;AN$2, 0,IF(AND(time+1&gt;=AO$2, $E137&lt;AO$2), IF($I137= "I", $J137/($F137-$E137+1), $J137/(($F137*($F137+1)/2)-(($E137-1)*($E137-1+1)/2))*AN$2), 0)+IF(IF(time+1&gt;=AO$2, $K137/time_cap/(time+1)*AN$2, 0) = 0, $K137/(time_cap),0)),0)</f>
        <v/>
      </c>
      <c r="AO137" s="4395">
        <f>IFERROR(IF((time+time_cap)&lt;AO$2, 0,IF(AND(time+1&gt;=AP$2, $E137&lt;AP$2), IF($I137= "I", $J137/($F137-$E137+1), $J137/(($F137*($F137+1)/2)-(($E137-1)*($E137-1+1)/2))*AO$2), 0)+IF(IF(time+1&gt;=AP$2, $K137/time_cap/(time+1)*AO$2, 0) = 0, $K137/(time_cap),0)),0)</f>
        <v/>
      </c>
      <c r="AP137" s="4395">
        <f>IFERROR(IF((time+time_cap)&lt;AP$2, 0,IF(AND(time+1&gt;=AQ$2, $E137&lt;AQ$2), IF($I137= "I", $J137/($F137-$E137+1), $J137/(($F137*($F137+1)/2)-(($E137-1)*($E137-1+1)/2))*AP$2), 0)+IF(IF(time+1&gt;=AQ$2, $K137/time_cap/(time+1)*AP$2, 0) = 0, $K137/(time_cap),0)),0)</f>
        <v/>
      </c>
      <c r="AQ137" s="4395">
        <f>IFERROR(IF((time+time_cap)&lt;AQ$2, 0,IF(AND(time+1&gt;=AR$2, $E137&lt;AR$2), IF($I137= "I", $J137/($F137-$E137+1), $J137/(($F137*($F137+1)/2)-(($E137-1)*($E137-1+1)/2))*AQ$2), 0)+IF(IF(time+1&gt;=AR$2, $K137/time_cap/(time+1)*AQ$2, 0) = 0, $K137/(time_cap),0)),0)</f>
        <v/>
      </c>
      <c r="AR137" s="4395">
        <f>IFERROR(IF((time+time_cap)&lt;AR$2, 0,IF(AND(time+1&gt;=AS$2, $E137&lt;AS$2), IF($I137= "I", $J137/($F137-$E137+1), $J137/(($F137*($F137+1)/2)-(($E137-1)*($E137-1+1)/2))*AR$2), 0)+IF(IF(time+1&gt;=AS$2, $K137/time_cap/(time+1)*AR$2, 0) = 0, $K137/(time_cap),0)),0)</f>
        <v/>
      </c>
      <c r="AS137" s="4395">
        <f>IFERROR(IF((time+time_cap)&lt;AS$2, 0,IF(AND(time+1&gt;=AT$2, $E137&lt;AT$2), IF($I137= "I", $J137/($F137-$E137+1), $J137/(($F137*($F137+1)/2)-(($E137-1)*($E137-1+1)/2))*AS$2), 0)+IF(IF(time+1&gt;=AT$2, $K137/time_cap/(time+1)*AS$2, 0) = 0, $K137/(time_cap),0)),0)</f>
        <v/>
      </c>
      <c r="AT137" s="4395">
        <f>IFERROR(IF((time+time_cap)&lt;AT$2, 0,IF(AND(time+1&gt;=AU$2, $E137&lt;AU$2), IF($I137= "I", $J137/($F137-$E137+1), $J137/(($F137*($F137+1)/2)-(($E137-1)*($E137-1+1)/2))*AT$2), 0)+IF(IF(time+1&gt;=AU$2, $K137/time_cap/(time+1)*AT$2, 0) = 0, $K137/(time_cap),0)),0)</f>
        <v/>
      </c>
      <c r="AU137" s="4395">
        <f>IFERROR(IF((time+time_cap)&lt;AU$2, 0,IF(AND(time+1&gt;=AV$2, $E137&lt;AV$2), IF($I137= "I", $J137/($F137-$E137+1), $J137/(($F137*($F137+1)/2)-(($E137-1)*($E137-1+1)/2))*AU$2), 0)+IF(IF(time+1&gt;=AV$2, $K137/time_cap/(time+1)*AU$2, 0) = 0, $K137/(time_cap),0)),0)</f>
        <v/>
      </c>
      <c r="AV137" s="4395">
        <f>IFERROR(IF((time+time_cap)&lt;AV$2, 0,IF(AND(time+1&gt;=AW$2, $E137&lt;AW$2), IF($I137= "I", $J137/($F137-$E137+1), $J137/(($F137*($F137+1)/2)-(($E137-1)*($E137-1+1)/2))*AV$2), 0)+IF(IF(time+1&gt;=AW$2, $K137/time_cap/(time+1)*AV$2, 0) = 0, $K137/(time_cap),0)),0)</f>
        <v/>
      </c>
      <c r="AW137" s="4395">
        <f>IFERROR(IF((time+time_cap)&lt;AW$2, 0,IF(AND(time+1&gt;=AX$2, $E137&lt;AX$2), IF($I137= "I", $J137/($F137-$E137+1), $J137/(($F137*($F137+1)/2)-(($E137-1)*($E137-1+1)/2))*AW$2), 0)+IF(IF(time+1&gt;=AX$2, $K137/time_cap/(time+1)*AW$2, 0) = 0, $K137/(time_cap),0)),0)</f>
        <v/>
      </c>
      <c r="AX137" s="4395">
        <f>IFERROR(IF((time+time_cap)&lt;AX$2, 0,IF(AND(time+1&gt;=AY$2, $E137&lt;AY$2), IF($I137= "I", $J137/($F137-$E137+1), $J137/(($F137*($F137+1)/2)-(($E137-1)*($E137-1+1)/2))*AX$2), 0)+IF(IF(time+1&gt;=AY$2, $K137/time_cap/(time+1)*AX$2, 0) = 0, $K137/(time_cap),0)),0)</f>
        <v/>
      </c>
      <c r="AY137" s="4395">
        <f>IFERROR(IF((time+time_cap)&lt;AY$2, 0,IF(AND(time+1&gt;=AZ$2, $E137&lt;AZ$2), IF($I137= "I", $J137/($F137-$E137+1), $J137/(($F137*($F137+1)/2)-(($E137-1)*($E137-1+1)/2))*AY$2), 0)+IF(IF(time+1&gt;=AZ$2, $K137/time_cap/(time+1)*AY$2, 0) = 0, $K137/(time_cap),0)),0)</f>
        <v/>
      </c>
      <c r="AZ137" s="4395">
        <f>IFERROR(IF((time+time_cap)&lt;AZ$2, 0,IF(AND(time+1&gt;=BA$2, $E137&lt;BA$2), IF($I137= "I", $J137/($F137-$E137+1), $J137/(($F137*($F137+1)/2)-(($E137-1)*($E137-1+1)/2))*AZ$2), 0)+IF(IF(time+1&gt;=BA$2, $K137/time_cap/(time+1)*AZ$2, 0) = 0, $K137/(time_cap),0)),0)</f>
        <v/>
      </c>
      <c r="BA137" s="4395">
        <f>IFERROR(IF((time+time_cap)&lt;BA$2, 0,IF(AND(time+1&gt;=BB$2, $E137&lt;BB$2), IF($I137= "I", $J137/($F137-$E137+1), $J137/(($F137*($F137+1)/2)-(($E137-1)*($E137-1+1)/2))*BA$2), 0)+IF(IF(time+1&gt;=BB$2, $K137/time_cap/(time+1)*BA$2, 0) = 0, $K137/(time_cap),0)),0)</f>
        <v/>
      </c>
      <c r="BB137" s="4395">
        <f>IFERROR(IF((time+time_cap)&lt;BB$2, 0,IF(AND(time+1&gt;=BC$2, $E137&lt;BC$2), IF($I137= "I", $J137/($F137-$E137+1), $J137/(($F137*($F137+1)/2)-(($E137-1)*($E137-1+1)/2))*BB$2), 0)+IF(IF(time+1&gt;=BC$2, $K137/time_cap/(time+1)*BB$2, 0) = 0, $K137/(time_cap),0)),0)</f>
        <v/>
      </c>
      <c r="BC137" s="4395">
        <f>IFERROR(IF((time+time_cap)&lt;BC$2, 0,IF(AND(time+1&gt;=BD$2, $E137&lt;BD$2), IF($I137= "I", $J137/($F137-$E137+1), $J137/(($F137*($F137+1)/2)-(($E137-1)*($E137-1+1)/2))*BC$2), 0)+IF(IF(time+1&gt;=BD$2, $K137/time_cap/(time+1)*BC$2, 0) = 0, $K137/(time_cap),0)),0)</f>
        <v/>
      </c>
      <c r="BD137" s="4395">
        <f>IFERROR(IF((time+time_cap)&lt;BD$2, 0,IF(AND(time+1&gt;=BE$2, $E137&lt;BE$2), IF($I137= "I", $J137/($F137-$E137+1), $J137/(($F137*($F137+1)/2)-(($E137-1)*($E137-1+1)/2))*BD$2), 0)+IF(IF(time+1&gt;=BE$2, $K137/time_cap/(time+1)*BD$2, 0) = 0, $K137/(time_cap),0)),0)</f>
        <v/>
      </c>
      <c r="BE137" s="4395">
        <f>IFERROR(IF((time+time_cap)&lt;BE$2, 0,IF(AND(time+1&gt;=BF$2, $E137&lt;BF$2), IF($I137= "I", $J137/($F137-$E137+1), $J137/(($F137*($F137+1)/2)-(($E137-1)*($E137-1+1)/2))*BE$2), 0)+IF(IF(time+1&gt;=BF$2, $K137/time_cap/(time+1)*BE$2, 0) = 0, $K137/(time_cap),0)),0)</f>
        <v/>
      </c>
      <c r="BF137" s="4395">
        <f>IFERROR(IF((time+time_cap)&lt;BF$2, 0,IF(AND(time+1&gt;=BG$2, $E137&lt;BG$2), IF($I137= "I", $J137/($F137-$E137+1), $J137/(($F137*($F137+1)/2)-(($E137-1)*($E137-1+1)/2))*BF$2), 0)+IF(IF(time+1&gt;=BG$2, $K137/time_cap/(time+1)*BF$2, 0) = 0, $K137/(time_cap),0)),0)</f>
        <v/>
      </c>
      <c r="BG137" s="4395">
        <f>IFERROR(IF((time+time_cap)&lt;BG$2, 0,IF(AND(time+1&gt;=BH$2, $E137&lt;BH$2), IF($I137= "I", $J137/($F137-$E137+1), $J137/(($F137*($F137+1)/2)-(($E137-1)*($E137-1+1)/2))*BG$2), 0)+IF(IF(time+1&gt;=BH$2, $K137/time_cap/(time+1)*BG$2, 0) = 0, $K137/(time_cap),0)),0)</f>
        <v/>
      </c>
      <c r="BH137" s="4395">
        <f>IFERROR(IF((time+time_cap)&lt;BH$2, 0,IF(AND(time+1&gt;=BI$2, $E137&lt;BI$2), IF($I137= "I", $J137/($F137-$E137+1), $J137/(($F137*($F137+1)/2)-(($E137-1)*($E137-1+1)/2))*BH$2), 0)+IF(IF(time+1&gt;=BI$2, $K137/time_cap/(time+1)*BH$2, 0) = 0, $K137/(time_cap),0)),0)</f>
        <v/>
      </c>
      <c r="BI137" s="4395">
        <f>IFERROR(IF((time+time_cap)&lt;BI$2, 0,IF(AND(time+1&gt;=BJ$2, $E137&lt;BJ$2), IF($I137= "I", $J137/($F137-$E137+1), $J137/(($F137*($F137+1)/2)-(($E137-1)*($E137-1+1)/2))*BI$2), 0)+IF(IF(time+1&gt;=BJ$2, $K137/time_cap/(time+1)*BI$2, 0) = 0, $K137/(time_cap),0)),0)</f>
        <v/>
      </c>
      <c r="BJ137" s="4395">
        <f>IFERROR(IF((time+time_cap)&lt;BJ$2, 0,IF(AND(time+1&gt;=BK$2, $E137&lt;BK$2), IF($I137= "I", $J137/($F137-$E137+1), $J137/(($F137*($F137+1)/2)-(($E137-1)*($E137-1+1)/2))*BJ$2), 0)+IF(IF(time+1&gt;=BK$2, $K137/time_cap/(time+1)*BJ$2, 0) = 0, $K137/(time_cap),0)),0)</f>
        <v/>
      </c>
      <c r="BK137" s="4395" t="n"/>
      <c r="BL137" s="4395" t="n"/>
      <c r="BM137" s="4395" t="n"/>
      <c r="BN137" s="4395" t="n"/>
      <c r="BO137" s="4395" t="n"/>
      <c r="BP137" s="4395" t="n"/>
      <c r="BQ137" s="4395" t="n"/>
      <c r="BR137" s="4395" t="n"/>
      <c r="BS137" s="4395" t="n"/>
      <c r="BT137" s="4395" t="n"/>
      <c r="BU137" s="4395" t="n"/>
      <c r="BV137" s="4395" t="n"/>
      <c r="BW137" s="4395" t="n"/>
      <c r="BX137" s="4395" t="n"/>
      <c r="BY137" s="4395" t="n"/>
      <c r="BZ137" s="4395" t="n"/>
      <c r="CA137" s="4395" t="n"/>
      <c r="CB137" s="4395" t="n"/>
      <c r="CC137" s="4395" t="n"/>
      <c r="CD137" s="4395" t="n"/>
      <c r="CE137" s="4395" t="n"/>
      <c r="CF137" s="4395" t="n"/>
      <c r="CG137" s="4395" t="n"/>
      <c r="CH137" s="4395" t="n"/>
      <c r="CI137" s="4395" t="n"/>
      <c r="CJ137" s="4395" t="n"/>
      <c r="CK137" s="4395" t="n"/>
      <c r="CL137" s="4395" t="n"/>
      <c r="CM137" s="4395" t="n"/>
      <c r="CN137" s="4395" t="n"/>
      <c r="CO137" s="4395" t="n"/>
      <c r="CP137" s="4395" t="n"/>
      <c r="CQ137" s="4395" t="n"/>
      <c r="CR137" s="4395" t="n"/>
      <c r="CS137" s="4395" t="n"/>
      <c r="CT137" s="4395" t="n"/>
      <c r="CU137" s="4395" t="n"/>
      <c r="CV137" s="4395" t="n"/>
      <c r="CW137" s="4395" t="n"/>
      <c r="CX137" s="4395" t="n"/>
      <c r="CY137" s="4395" t="n"/>
      <c r="CZ137" s="4395" t="n"/>
      <c r="DA137" s="4395" t="n"/>
      <c r="DB137" s="4395" t="n"/>
      <c r="DC137" s="4395" t="n"/>
      <c r="DD137" s="4395" t="n"/>
      <c r="DE137" s="4395" t="n"/>
      <c r="DF137" s="4395" t="n"/>
      <c r="DG137" s="4395" t="n"/>
      <c r="DH137" s="4395" t="n"/>
    </row>
    <row r="138" ht="16" customHeight="1">
      <c r="A138" t="inlineStr">
        <is>
          <t>Inland wetlands - forest management</t>
        </is>
      </c>
      <c r="C138">
        <f>'6.Inland wetlands'!C120</f>
        <v/>
      </c>
      <c r="D138">
        <f>'6.Inland wetlands'!AG120+'6.Inland wetlands'!AG131</f>
        <v/>
      </c>
      <c r="E138">
        <f>IF('6.Inland wetlands'!BV120&lt;&gt;0,'6.Inland wetlands'!BV120,'6.Inland wetlands'!BU120)</f>
        <v/>
      </c>
      <c r="F138">
        <f>time</f>
        <v/>
      </c>
      <c r="G138" s="4395">
        <f>'6.Inland wetlands'!O120</f>
        <v/>
      </c>
      <c r="H138" s="4395">
        <f>'6.Inland wetlands'!Q120</f>
        <v/>
      </c>
      <c r="I138" s="4395">
        <f>IF(OR(H138="I", G138="I"), "I", IF(OR(H138="E", G138="E"), "E", "D"))</f>
        <v/>
      </c>
      <c r="J138" s="4395">
        <f>((D138/(time_cap+((F138-E138+1)*VLOOKUP(I138,list!$I$48:$K$50,3, FALSE))))*(F138-E138+1)*VLOOKUP(I138,list!$I$48:$K$50,3, FALSE))</f>
        <v/>
      </c>
      <c r="K138" s="4395">
        <f>((D138/(time_cap+((F138-E138+1)*VLOOKUP(I138,list!$I$48:$K$50,3, FALSE))))*time_cap)</f>
        <v/>
      </c>
      <c r="M138" s="4395">
        <f>IFERROR(IF((time+time_cap)&lt;M$2, 0,IF(AND(time+1&gt;=N$2, $E138&lt;N$2), IF($I138= "I", $J138/($F138-$E138+1), $J138/(($F138*($F138+1)/2)-(($E138-1)*($E138-1+1)/2))*M$2), 0)+IF(IF(time+1&gt;=N$2, $K138/time_cap/(time+1)*M$2, 0) = 0, $K138/(time_cap),0)),0)</f>
        <v/>
      </c>
      <c r="N138" s="4395">
        <f>IFERROR(IF((time+time_cap)&lt;N$2, 0,IF(AND(time+1&gt;=O$2, $E138&lt;O$2), IF($I138= "I", $J138/($F138-$E138+1), $J138/(($F138*($F138+1)/2)-(($E138-1)*($E138-1+1)/2))*N$2), 0)+IF(IF(time+1&gt;=O$2, $K138/time_cap/(time+1)*N$2, 0) = 0, $K138/(time_cap),0)),0)</f>
        <v/>
      </c>
      <c r="O138" s="4395">
        <f>IFERROR(IF((time+time_cap)&lt;O$2, 0,IF(AND(time+1&gt;=P$2, $E138&lt;P$2), IF($I138= "I", $J138/($F138-$E138+1), $J138/(($F138*($F138+1)/2)-(($E138-1)*($E138-1+1)/2))*O$2), 0)+IF(IF(time+1&gt;=P$2, $K138/time_cap/(time+1)*O$2, 0) = 0, $K138/(time_cap),0)),0)</f>
        <v/>
      </c>
      <c r="P138" s="4395">
        <f>IFERROR(IF((time+time_cap)&lt;P$2, 0,IF(AND(time+1&gt;=Q$2, $E138&lt;Q$2), IF($I138= "I", $J138/($F138-$E138+1), $J138/(($F138*($F138+1)/2)-(($E138-1)*($E138-1+1)/2))*P$2), 0)+IF(IF(time+1&gt;=Q$2, $K138/time_cap/(time+1)*P$2, 0) = 0, $K138/(time_cap),0)),0)</f>
        <v/>
      </c>
      <c r="Q138" s="4395">
        <f>IFERROR(IF((time+time_cap)&lt;Q$2, 0,IF(AND(time+1&gt;=R$2, $E138&lt;R$2), IF($I138= "I", $J138/($F138-$E138+1), $J138/(($F138*($F138+1)/2)-(($E138-1)*($E138-1+1)/2))*Q$2), 0)+IF(IF(time+1&gt;=R$2, $K138/time_cap/(time+1)*Q$2, 0) = 0, $K138/(time_cap),0)),0)</f>
        <v/>
      </c>
      <c r="R138" s="4395">
        <f>IFERROR(IF((time+time_cap)&lt;R$2, 0,IF(AND(time+1&gt;=S$2, $E138&lt;S$2), IF($I138= "I", $J138/($F138-$E138+1), $J138/(($F138*($F138+1)/2)-(($E138-1)*($E138-1+1)/2))*R$2), 0)+IF(IF(time+1&gt;=S$2, $K138/time_cap/(time+1)*R$2, 0) = 0, $K138/(time_cap),0)),0)</f>
        <v/>
      </c>
      <c r="S138" s="4395">
        <f>IFERROR(IF((time+time_cap)&lt;S$2, 0,IF(AND(time+1&gt;=T$2, $E138&lt;T$2), IF($I138= "I", $J138/($F138-$E138+1), $J138/(($F138*($F138+1)/2)-(($E138-1)*($E138-1+1)/2))*S$2), 0)+IF(IF(time+1&gt;=T$2, $K138/time_cap/(time+1)*S$2, 0) = 0, $K138/(time_cap),0)),0)</f>
        <v/>
      </c>
      <c r="T138" s="4395">
        <f>IFERROR(IF((time+time_cap)&lt;T$2, 0,IF(AND(time+1&gt;=U$2, $E138&lt;U$2), IF($I138= "I", $J138/($F138-$E138+1), $J138/(($F138*($F138+1)/2)-(($E138-1)*($E138-1+1)/2))*T$2), 0)+IF(IF(time+1&gt;=U$2, $K138/time_cap/(time+1)*T$2, 0) = 0, $K138/(time_cap),0)),0)</f>
        <v/>
      </c>
      <c r="U138" s="4395">
        <f>IFERROR(IF((time+time_cap)&lt;U$2, 0,IF(AND(time+1&gt;=V$2, $E138&lt;V$2), IF($I138= "I", $J138/($F138-$E138+1), $J138/(($F138*($F138+1)/2)-(($E138-1)*($E138-1+1)/2))*U$2), 0)+IF(IF(time+1&gt;=V$2, $K138/time_cap/(time+1)*U$2, 0) = 0, $K138/(time_cap),0)),0)</f>
        <v/>
      </c>
      <c r="V138" s="4395">
        <f>IFERROR(IF((time+time_cap)&lt;V$2, 0,IF(AND(time+1&gt;=W$2, $E138&lt;W$2), IF($I138= "I", $J138/($F138-$E138+1), $J138/(($F138*($F138+1)/2)-(($E138-1)*($E138-1+1)/2))*V$2), 0)+IF(IF(time+1&gt;=W$2, $K138/time_cap/(time+1)*V$2, 0) = 0, $K138/(time_cap),0)),0)</f>
        <v/>
      </c>
      <c r="W138" s="4395">
        <f>IFERROR(IF((time+time_cap)&lt;W$2, 0,IF(AND(time+1&gt;=X$2, $E138&lt;X$2), IF($I138= "I", $J138/($F138-$E138+1), $J138/(($F138*($F138+1)/2)-(($E138-1)*($E138-1+1)/2))*W$2), 0)+IF(IF(time+1&gt;=X$2, $K138/time_cap/(time+1)*W$2, 0) = 0, $K138/(time_cap),0)),0)</f>
        <v/>
      </c>
      <c r="X138" s="4395">
        <f>IFERROR(IF((time+time_cap)&lt;X$2, 0,IF(AND(time+1&gt;=Y$2, $E138&lt;Y$2), IF($I138= "I", $J138/($F138-$E138+1), $J138/(($F138*($F138+1)/2)-(($E138-1)*($E138-1+1)/2))*X$2), 0)+IF(IF(time+1&gt;=Y$2, $K138/time_cap/(time+1)*X$2, 0) = 0, $K138/(time_cap),0)),0)</f>
        <v/>
      </c>
      <c r="Y138" s="4395">
        <f>IFERROR(IF((time+time_cap)&lt;Y$2, 0,IF(AND(time+1&gt;=Z$2, $E138&lt;Z$2), IF($I138= "I", $J138/($F138-$E138+1), $J138/(($F138*($F138+1)/2)-(($E138-1)*($E138-1+1)/2))*Y$2), 0)+IF(IF(time+1&gt;=Z$2, $K138/time_cap/(time+1)*Y$2, 0) = 0, $K138/(time_cap),0)),0)</f>
        <v/>
      </c>
      <c r="Z138" s="4395">
        <f>IFERROR(IF((time+time_cap)&lt;Z$2, 0,IF(AND(time+1&gt;=AA$2, $E138&lt;AA$2), IF($I138= "I", $J138/($F138-$E138+1), $J138/(($F138*($F138+1)/2)-(($E138-1)*($E138-1+1)/2))*Z$2), 0)+IF(IF(time+1&gt;=AA$2, $K138/time_cap/(time+1)*Z$2, 0) = 0, $K138/(time_cap),0)),0)</f>
        <v/>
      </c>
      <c r="AA138" s="4395">
        <f>IFERROR(IF((time+time_cap)&lt;AA$2, 0,IF(AND(time+1&gt;=AB$2, $E138&lt;AB$2), IF($I138= "I", $J138/($F138-$E138+1), $J138/(($F138*($F138+1)/2)-(($E138-1)*($E138-1+1)/2))*AA$2), 0)+IF(IF(time+1&gt;=AB$2, $K138/time_cap/(time+1)*AA$2, 0) = 0, $K138/(time_cap),0)),0)</f>
        <v/>
      </c>
      <c r="AB138" s="4395">
        <f>IFERROR(IF((time+time_cap)&lt;AB$2, 0,IF(AND(time+1&gt;=AC$2, $E138&lt;AC$2), IF($I138= "I", $J138/($F138-$E138+1), $J138/(($F138*($F138+1)/2)-(($E138-1)*($E138-1+1)/2))*AB$2), 0)+IF(IF(time+1&gt;=AC$2, $K138/time_cap/(time+1)*AB$2, 0) = 0, $K138/(time_cap),0)),0)</f>
        <v/>
      </c>
      <c r="AC138" s="4395">
        <f>IFERROR(IF((time+time_cap)&lt;AC$2, 0,IF(AND(time+1&gt;=AD$2, $E138&lt;AD$2), IF($I138= "I", $J138/($F138-$E138+1), $J138/(($F138*($F138+1)/2)-(($E138-1)*($E138-1+1)/2))*AC$2), 0)+IF(IF(time+1&gt;=AD$2, $K138/time_cap/(time+1)*AC$2, 0) = 0, $K138/(time_cap),0)),0)</f>
        <v/>
      </c>
      <c r="AD138" s="4395">
        <f>IFERROR(IF((time+time_cap)&lt;AD$2, 0,IF(AND(time+1&gt;=AE$2, $E138&lt;AE$2), IF($I138= "I", $J138/($F138-$E138+1), $J138/(($F138*($F138+1)/2)-(($E138-1)*($E138-1+1)/2))*AD$2), 0)+IF(IF(time+1&gt;=AE$2, $K138/time_cap/(time+1)*AD$2, 0) = 0, $K138/(time_cap),0)),0)</f>
        <v/>
      </c>
      <c r="AE138" s="4395">
        <f>IFERROR(IF((time+time_cap)&lt;AE$2, 0,IF(AND(time+1&gt;=AF$2, $E138&lt;AF$2), IF($I138= "I", $J138/($F138-$E138+1), $J138/(($F138*($F138+1)/2)-(($E138-1)*($E138-1+1)/2))*AE$2), 0)+IF(IF(time+1&gt;=AF$2, $K138/time_cap/(time+1)*AE$2, 0) = 0, $K138/(time_cap),0)),0)</f>
        <v/>
      </c>
      <c r="AF138" s="4395">
        <f>IFERROR(IF((time+time_cap)&lt;AF$2, 0,IF(AND(time+1&gt;=AG$2, $E138&lt;AG$2), IF($I138= "I", $J138/($F138-$E138+1), $J138/(($F138*($F138+1)/2)-(($E138-1)*($E138-1+1)/2))*AF$2), 0)+IF(IF(time+1&gt;=AG$2, $K138/time_cap/(time+1)*AF$2, 0) = 0, $K138/(time_cap),0)),0)</f>
        <v/>
      </c>
      <c r="AG138" s="4395">
        <f>IFERROR(IF((time+time_cap)&lt;AG$2, 0,IF(AND(time+1&gt;=AH$2, $E138&lt;AH$2), IF($I138= "I", $J138/($F138-$E138+1), $J138/(($F138*($F138+1)/2)-(($E138-1)*($E138-1+1)/2))*AG$2), 0)+IF(IF(time+1&gt;=AH$2, $K138/time_cap/(time+1)*AG$2, 0) = 0, $K138/(time_cap),0)),0)</f>
        <v/>
      </c>
      <c r="AH138" s="4395">
        <f>IFERROR(IF((time+time_cap)&lt;AH$2, 0,IF(AND(time+1&gt;=AI$2, $E138&lt;AI$2), IF($I138= "I", $J138/($F138-$E138+1), $J138/(($F138*($F138+1)/2)-(($E138-1)*($E138-1+1)/2))*AH$2), 0)+IF(IF(time+1&gt;=AI$2, $K138/time_cap/(time+1)*AH$2, 0) = 0, $K138/(time_cap),0)),0)</f>
        <v/>
      </c>
      <c r="AI138" s="4395">
        <f>IFERROR(IF((time+time_cap)&lt;AI$2, 0,IF(AND(time+1&gt;=AJ$2, $E138&lt;AJ$2), IF($I138= "I", $J138/($F138-$E138+1), $J138/(($F138*($F138+1)/2)-(($E138-1)*($E138-1+1)/2))*AI$2), 0)+IF(IF(time+1&gt;=AJ$2, $K138/time_cap/(time+1)*AI$2, 0) = 0, $K138/(time_cap),0)),0)</f>
        <v/>
      </c>
      <c r="AJ138" s="4395">
        <f>IFERROR(IF((time+time_cap)&lt;AJ$2, 0,IF(AND(time+1&gt;=AK$2, $E138&lt;AK$2), IF($I138= "I", $J138/($F138-$E138+1), $J138/(($F138*($F138+1)/2)-(($E138-1)*($E138-1+1)/2))*AJ$2), 0)+IF(IF(time+1&gt;=AK$2, $K138/time_cap/(time+1)*AJ$2, 0) = 0, $K138/(time_cap),0)),0)</f>
        <v/>
      </c>
      <c r="AK138" s="4395">
        <f>IFERROR(IF((time+time_cap)&lt;AK$2, 0,IF(AND(time+1&gt;=AL$2, $E138&lt;AL$2), IF($I138= "I", $J138/($F138-$E138+1), $J138/(($F138*($F138+1)/2)-(($E138-1)*($E138-1+1)/2))*AK$2), 0)+IF(IF(time+1&gt;=AL$2, $K138/time_cap/(time+1)*AK$2, 0) = 0, $K138/(time_cap),0)),0)</f>
        <v/>
      </c>
      <c r="AL138" s="4395">
        <f>IFERROR(IF((time+time_cap)&lt;AL$2, 0,IF(AND(time+1&gt;=AM$2, $E138&lt;AM$2), IF($I138= "I", $J138/($F138-$E138+1), $J138/(($F138*($F138+1)/2)-(($E138-1)*($E138-1+1)/2))*AL$2), 0)+IF(IF(time+1&gt;=AM$2, $K138/time_cap/(time+1)*AL$2, 0) = 0, $K138/(time_cap),0)),0)</f>
        <v/>
      </c>
      <c r="AM138" s="4395">
        <f>IFERROR(IF((time+time_cap)&lt;AM$2, 0,IF(AND(time+1&gt;=AN$2, $E138&lt;AN$2), IF($I138= "I", $J138/($F138-$E138+1), $J138/(($F138*($F138+1)/2)-(($E138-1)*($E138-1+1)/2))*AM$2), 0)+IF(IF(time+1&gt;=AN$2, $K138/time_cap/(time+1)*AM$2, 0) = 0, $K138/(time_cap),0)),0)</f>
        <v/>
      </c>
      <c r="AN138" s="4395">
        <f>IFERROR(IF((time+time_cap)&lt;AN$2, 0,IF(AND(time+1&gt;=AO$2, $E138&lt;AO$2), IF($I138= "I", $J138/($F138-$E138+1), $J138/(($F138*($F138+1)/2)-(($E138-1)*($E138-1+1)/2))*AN$2), 0)+IF(IF(time+1&gt;=AO$2, $K138/time_cap/(time+1)*AN$2, 0) = 0, $K138/(time_cap),0)),0)</f>
        <v/>
      </c>
      <c r="AO138" s="4395">
        <f>IFERROR(IF((time+time_cap)&lt;AO$2, 0,IF(AND(time+1&gt;=AP$2, $E138&lt;AP$2), IF($I138= "I", $J138/($F138-$E138+1), $J138/(($F138*($F138+1)/2)-(($E138-1)*($E138-1+1)/2))*AO$2), 0)+IF(IF(time+1&gt;=AP$2, $K138/time_cap/(time+1)*AO$2, 0) = 0, $K138/(time_cap),0)),0)</f>
        <v/>
      </c>
      <c r="AP138" s="4395">
        <f>IFERROR(IF((time+time_cap)&lt;AP$2, 0,IF(AND(time+1&gt;=AQ$2, $E138&lt;AQ$2), IF($I138= "I", $J138/($F138-$E138+1), $J138/(($F138*($F138+1)/2)-(($E138-1)*($E138-1+1)/2))*AP$2), 0)+IF(IF(time+1&gt;=AQ$2, $K138/time_cap/(time+1)*AP$2, 0) = 0, $K138/(time_cap),0)),0)</f>
        <v/>
      </c>
      <c r="AQ138" s="4395">
        <f>IFERROR(IF((time+time_cap)&lt;AQ$2, 0,IF(AND(time+1&gt;=AR$2, $E138&lt;AR$2), IF($I138= "I", $J138/($F138-$E138+1), $J138/(($F138*($F138+1)/2)-(($E138-1)*($E138-1+1)/2))*AQ$2), 0)+IF(IF(time+1&gt;=AR$2, $K138/time_cap/(time+1)*AQ$2, 0) = 0, $K138/(time_cap),0)),0)</f>
        <v/>
      </c>
      <c r="AR138" s="4395">
        <f>IFERROR(IF((time+time_cap)&lt;AR$2, 0,IF(AND(time+1&gt;=AS$2, $E138&lt;AS$2), IF($I138= "I", $J138/($F138-$E138+1), $J138/(($F138*($F138+1)/2)-(($E138-1)*($E138-1+1)/2))*AR$2), 0)+IF(IF(time+1&gt;=AS$2, $K138/time_cap/(time+1)*AR$2, 0) = 0, $K138/(time_cap),0)),0)</f>
        <v/>
      </c>
      <c r="AS138" s="4395">
        <f>IFERROR(IF((time+time_cap)&lt;AS$2, 0,IF(AND(time+1&gt;=AT$2, $E138&lt;AT$2), IF($I138= "I", $J138/($F138-$E138+1), $J138/(($F138*($F138+1)/2)-(($E138-1)*($E138-1+1)/2))*AS$2), 0)+IF(IF(time+1&gt;=AT$2, $K138/time_cap/(time+1)*AS$2, 0) = 0, $K138/(time_cap),0)),0)</f>
        <v/>
      </c>
      <c r="AT138" s="4395">
        <f>IFERROR(IF((time+time_cap)&lt;AT$2, 0,IF(AND(time+1&gt;=AU$2, $E138&lt;AU$2), IF($I138= "I", $J138/($F138-$E138+1), $J138/(($F138*($F138+1)/2)-(($E138-1)*($E138-1+1)/2))*AT$2), 0)+IF(IF(time+1&gt;=AU$2, $K138/time_cap/(time+1)*AT$2, 0) = 0, $K138/(time_cap),0)),0)</f>
        <v/>
      </c>
      <c r="AU138" s="4395">
        <f>IFERROR(IF((time+time_cap)&lt;AU$2, 0,IF(AND(time+1&gt;=AV$2, $E138&lt;AV$2), IF($I138= "I", $J138/($F138-$E138+1), $J138/(($F138*($F138+1)/2)-(($E138-1)*($E138-1+1)/2))*AU$2), 0)+IF(IF(time+1&gt;=AV$2, $K138/time_cap/(time+1)*AU$2, 0) = 0, $K138/(time_cap),0)),0)</f>
        <v/>
      </c>
      <c r="AV138" s="4395">
        <f>IFERROR(IF((time+time_cap)&lt;AV$2, 0,IF(AND(time+1&gt;=AW$2, $E138&lt;AW$2), IF($I138= "I", $J138/($F138-$E138+1), $J138/(($F138*($F138+1)/2)-(($E138-1)*($E138-1+1)/2))*AV$2), 0)+IF(IF(time+1&gt;=AW$2, $K138/time_cap/(time+1)*AV$2, 0) = 0, $K138/(time_cap),0)),0)</f>
        <v/>
      </c>
      <c r="AW138" s="4395">
        <f>IFERROR(IF((time+time_cap)&lt;AW$2, 0,IF(AND(time+1&gt;=AX$2, $E138&lt;AX$2), IF($I138= "I", $J138/($F138-$E138+1), $J138/(($F138*($F138+1)/2)-(($E138-1)*($E138-1+1)/2))*AW$2), 0)+IF(IF(time+1&gt;=AX$2, $K138/time_cap/(time+1)*AW$2, 0) = 0, $K138/(time_cap),0)),0)</f>
        <v/>
      </c>
      <c r="AX138" s="4395">
        <f>IFERROR(IF((time+time_cap)&lt;AX$2, 0,IF(AND(time+1&gt;=AY$2, $E138&lt;AY$2), IF($I138= "I", $J138/($F138-$E138+1), $J138/(($F138*($F138+1)/2)-(($E138-1)*($E138-1+1)/2))*AX$2), 0)+IF(IF(time+1&gt;=AY$2, $K138/time_cap/(time+1)*AX$2, 0) = 0, $K138/(time_cap),0)),0)</f>
        <v/>
      </c>
      <c r="AY138" s="4395">
        <f>IFERROR(IF((time+time_cap)&lt;AY$2, 0,IF(AND(time+1&gt;=AZ$2, $E138&lt;AZ$2), IF($I138= "I", $J138/($F138-$E138+1), $J138/(($F138*($F138+1)/2)-(($E138-1)*($E138-1+1)/2))*AY$2), 0)+IF(IF(time+1&gt;=AZ$2, $K138/time_cap/(time+1)*AY$2, 0) = 0, $K138/(time_cap),0)),0)</f>
        <v/>
      </c>
      <c r="AZ138" s="4395">
        <f>IFERROR(IF((time+time_cap)&lt;AZ$2, 0,IF(AND(time+1&gt;=BA$2, $E138&lt;BA$2), IF($I138= "I", $J138/($F138-$E138+1), $J138/(($F138*($F138+1)/2)-(($E138-1)*($E138-1+1)/2))*AZ$2), 0)+IF(IF(time+1&gt;=BA$2, $K138/time_cap/(time+1)*AZ$2, 0) = 0, $K138/(time_cap),0)),0)</f>
        <v/>
      </c>
      <c r="BA138" s="4395">
        <f>IFERROR(IF((time+time_cap)&lt;BA$2, 0,IF(AND(time+1&gt;=BB$2, $E138&lt;BB$2), IF($I138= "I", $J138/($F138-$E138+1), $J138/(($F138*($F138+1)/2)-(($E138-1)*($E138-1+1)/2))*BA$2), 0)+IF(IF(time+1&gt;=BB$2, $K138/time_cap/(time+1)*BA$2, 0) = 0, $K138/(time_cap),0)),0)</f>
        <v/>
      </c>
      <c r="BB138" s="4395">
        <f>IFERROR(IF((time+time_cap)&lt;BB$2, 0,IF(AND(time+1&gt;=BC$2, $E138&lt;BC$2), IF($I138= "I", $J138/($F138-$E138+1), $J138/(($F138*($F138+1)/2)-(($E138-1)*($E138-1+1)/2))*BB$2), 0)+IF(IF(time+1&gt;=BC$2, $K138/time_cap/(time+1)*BB$2, 0) = 0, $K138/(time_cap),0)),0)</f>
        <v/>
      </c>
      <c r="BC138" s="4395">
        <f>IFERROR(IF((time+time_cap)&lt;BC$2, 0,IF(AND(time+1&gt;=BD$2, $E138&lt;BD$2), IF($I138= "I", $J138/($F138-$E138+1), $J138/(($F138*($F138+1)/2)-(($E138-1)*($E138-1+1)/2))*BC$2), 0)+IF(IF(time+1&gt;=BD$2, $K138/time_cap/(time+1)*BC$2, 0) = 0, $K138/(time_cap),0)),0)</f>
        <v/>
      </c>
      <c r="BD138" s="4395">
        <f>IFERROR(IF((time+time_cap)&lt;BD$2, 0,IF(AND(time+1&gt;=BE$2, $E138&lt;BE$2), IF($I138= "I", $J138/($F138-$E138+1), $J138/(($F138*($F138+1)/2)-(($E138-1)*($E138-1+1)/2))*BD$2), 0)+IF(IF(time+1&gt;=BE$2, $K138/time_cap/(time+1)*BD$2, 0) = 0, $K138/(time_cap),0)),0)</f>
        <v/>
      </c>
      <c r="BE138" s="4395">
        <f>IFERROR(IF((time+time_cap)&lt;BE$2, 0,IF(AND(time+1&gt;=BF$2, $E138&lt;BF$2), IF($I138= "I", $J138/($F138-$E138+1), $J138/(($F138*($F138+1)/2)-(($E138-1)*($E138-1+1)/2))*BE$2), 0)+IF(IF(time+1&gt;=BF$2, $K138/time_cap/(time+1)*BE$2, 0) = 0, $K138/(time_cap),0)),0)</f>
        <v/>
      </c>
      <c r="BF138" s="4395">
        <f>IFERROR(IF((time+time_cap)&lt;BF$2, 0,IF(AND(time+1&gt;=BG$2, $E138&lt;BG$2), IF($I138= "I", $J138/($F138-$E138+1), $J138/(($F138*($F138+1)/2)-(($E138-1)*($E138-1+1)/2))*BF$2), 0)+IF(IF(time+1&gt;=BG$2, $K138/time_cap/(time+1)*BF$2, 0) = 0, $K138/(time_cap),0)),0)</f>
        <v/>
      </c>
      <c r="BG138" s="4395">
        <f>IFERROR(IF((time+time_cap)&lt;BG$2, 0,IF(AND(time+1&gt;=BH$2, $E138&lt;BH$2), IF($I138= "I", $J138/($F138-$E138+1), $J138/(($F138*($F138+1)/2)-(($E138-1)*($E138-1+1)/2))*BG$2), 0)+IF(IF(time+1&gt;=BH$2, $K138/time_cap/(time+1)*BG$2, 0) = 0, $K138/(time_cap),0)),0)</f>
        <v/>
      </c>
      <c r="BH138" s="4395">
        <f>IFERROR(IF((time+time_cap)&lt;BH$2, 0,IF(AND(time+1&gt;=BI$2, $E138&lt;BI$2), IF($I138= "I", $J138/($F138-$E138+1), $J138/(($F138*($F138+1)/2)-(($E138-1)*($E138-1+1)/2))*BH$2), 0)+IF(IF(time+1&gt;=BI$2, $K138/time_cap/(time+1)*BH$2, 0) = 0, $K138/(time_cap),0)),0)</f>
        <v/>
      </c>
      <c r="BI138" s="4395">
        <f>IFERROR(IF((time+time_cap)&lt;BI$2, 0,IF(AND(time+1&gt;=BJ$2, $E138&lt;BJ$2), IF($I138= "I", $J138/($F138-$E138+1), $J138/(($F138*($F138+1)/2)-(($E138-1)*($E138-1+1)/2))*BI$2), 0)+IF(IF(time+1&gt;=BJ$2, $K138/time_cap/(time+1)*BI$2, 0) = 0, $K138/(time_cap),0)),0)</f>
        <v/>
      </c>
      <c r="BJ138" s="4395">
        <f>IFERROR(IF((time+time_cap)&lt;BJ$2, 0,IF(AND(time+1&gt;=BK$2, $E138&lt;BK$2), IF($I138= "I", $J138/($F138-$E138+1), $J138/(($F138*($F138+1)/2)-(($E138-1)*($E138-1+1)/2))*BJ$2), 0)+IF(IF(time+1&gt;=BK$2, $K138/time_cap/(time+1)*BJ$2, 0) = 0, $K138/(time_cap),0)),0)</f>
        <v/>
      </c>
      <c r="BK138" s="4395" t="n"/>
      <c r="BL138" s="4395" t="n"/>
      <c r="BM138" s="4395" t="n"/>
      <c r="BN138" s="4395" t="n"/>
      <c r="BO138" s="4395" t="n"/>
      <c r="BP138" s="4395" t="n"/>
      <c r="BQ138" s="4395" t="n"/>
      <c r="BR138" s="4395" t="n"/>
      <c r="BS138" s="4395" t="n"/>
      <c r="BT138" s="4395" t="n"/>
      <c r="BU138" s="4395" t="n"/>
      <c r="BV138" s="4395" t="n"/>
      <c r="BW138" s="4395" t="n"/>
      <c r="BX138" s="4395" t="n"/>
      <c r="BY138" s="4395" t="n"/>
      <c r="BZ138" s="4395" t="n"/>
      <c r="CA138" s="4395" t="n"/>
      <c r="CB138" s="4395" t="n"/>
      <c r="CC138" s="4395" t="n"/>
      <c r="CD138" s="4395" t="n"/>
      <c r="CE138" s="4395" t="n"/>
      <c r="CF138" s="4395" t="n"/>
      <c r="CG138" s="4395" t="n"/>
      <c r="CH138" s="4395" t="n"/>
      <c r="CI138" s="4395" t="n"/>
      <c r="CJ138" s="4395" t="n"/>
      <c r="CK138" s="4395" t="n"/>
      <c r="CL138" s="4395" t="n"/>
      <c r="CM138" s="4395" t="n"/>
      <c r="CN138" s="4395" t="n"/>
      <c r="CO138" s="4395" t="n"/>
      <c r="CP138" s="4395" t="n"/>
      <c r="CQ138" s="4395" t="n"/>
      <c r="CR138" s="4395" t="n"/>
      <c r="CS138" s="4395" t="n"/>
      <c r="CT138" s="4395" t="n"/>
      <c r="CU138" s="4395" t="n"/>
      <c r="CV138" s="4395" t="n"/>
      <c r="CW138" s="4395" t="n"/>
      <c r="CX138" s="4395" t="n"/>
      <c r="CY138" s="4395" t="n"/>
      <c r="CZ138" s="4395" t="n"/>
      <c r="DA138" s="4395" t="n"/>
      <c r="DB138" s="4395" t="n"/>
      <c r="DC138" s="4395" t="n"/>
      <c r="DD138" s="4395" t="n"/>
      <c r="DE138" s="4395" t="n"/>
      <c r="DF138" s="4395" t="n"/>
      <c r="DG138" s="4395" t="n"/>
      <c r="DH138" s="4395" t="n"/>
    </row>
    <row r="139" ht="16" customHeight="1">
      <c r="A139" t="inlineStr">
        <is>
          <t>Inland wetlands - forest management</t>
        </is>
      </c>
      <c r="C139">
        <f>'6.Inland wetlands'!C121</f>
        <v/>
      </c>
      <c r="D139">
        <f>'6.Inland wetlands'!AG121+'6.Inland wetlands'!AG132</f>
        <v/>
      </c>
      <c r="E139">
        <f>IF('6.Inland wetlands'!BV121&lt;&gt;0,'6.Inland wetlands'!BV121,'6.Inland wetlands'!BU121)</f>
        <v/>
      </c>
      <c r="F139">
        <f>time</f>
        <v/>
      </c>
      <c r="G139" s="4395">
        <f>'6.Inland wetlands'!O121</f>
        <v/>
      </c>
      <c r="H139" s="4395">
        <f>'6.Inland wetlands'!Q121</f>
        <v/>
      </c>
      <c r="I139" s="4395">
        <f>IF(OR(H139="I", G139="I"), "I", IF(OR(H139="E", G139="E"), "E", "D"))</f>
        <v/>
      </c>
      <c r="J139" s="4395">
        <f>((D139/(time_cap+((F139-E139+1)*VLOOKUP(I139,list!$I$48:$K$50,3, FALSE))))*(F139-E139+1)*VLOOKUP(I139,list!$I$48:$K$50,3, FALSE))</f>
        <v/>
      </c>
      <c r="K139" s="4395">
        <f>((D139/(time_cap+((F139-E139+1)*VLOOKUP(I139,list!$I$48:$K$50,3, FALSE))))*time_cap)</f>
        <v/>
      </c>
      <c r="M139" s="4395">
        <f>IFERROR(IF((time+time_cap)&lt;M$2, 0,IF(AND(time+1&gt;=N$2, $E139&lt;N$2), IF($I139= "I", $J139/($F139-$E139+1), $J139/(($F139*($F139+1)/2)-(($E139-1)*($E139-1+1)/2))*M$2), 0)+IF(IF(time+1&gt;=N$2, $K139/time_cap/(time+1)*M$2, 0) = 0, $K139/(time_cap),0)),0)</f>
        <v/>
      </c>
      <c r="N139" s="4395">
        <f>IFERROR(IF((time+time_cap)&lt;N$2, 0,IF(AND(time+1&gt;=O$2, $E139&lt;O$2), IF($I139= "I", $J139/($F139-$E139+1), $J139/(($F139*($F139+1)/2)-(($E139-1)*($E139-1+1)/2))*N$2), 0)+IF(IF(time+1&gt;=O$2, $K139/time_cap/(time+1)*N$2, 0) = 0, $K139/(time_cap),0)),0)</f>
        <v/>
      </c>
      <c r="O139" s="4395">
        <f>IFERROR(IF((time+time_cap)&lt;O$2, 0,IF(AND(time+1&gt;=P$2, $E139&lt;P$2), IF($I139= "I", $J139/($F139-$E139+1), $J139/(($F139*($F139+1)/2)-(($E139-1)*($E139-1+1)/2))*O$2), 0)+IF(IF(time+1&gt;=P$2, $K139/time_cap/(time+1)*O$2, 0) = 0, $K139/(time_cap),0)),0)</f>
        <v/>
      </c>
      <c r="P139" s="4395">
        <f>IFERROR(IF((time+time_cap)&lt;P$2, 0,IF(AND(time+1&gt;=Q$2, $E139&lt;Q$2), IF($I139= "I", $J139/($F139-$E139+1), $J139/(($F139*($F139+1)/2)-(($E139-1)*($E139-1+1)/2))*P$2), 0)+IF(IF(time+1&gt;=Q$2, $K139/time_cap/(time+1)*P$2, 0) = 0, $K139/(time_cap),0)),0)</f>
        <v/>
      </c>
      <c r="Q139" s="4395">
        <f>IFERROR(IF((time+time_cap)&lt;Q$2, 0,IF(AND(time+1&gt;=R$2, $E139&lt;R$2), IF($I139= "I", $J139/($F139-$E139+1), $J139/(($F139*($F139+1)/2)-(($E139-1)*($E139-1+1)/2))*Q$2), 0)+IF(IF(time+1&gt;=R$2, $K139/time_cap/(time+1)*Q$2, 0) = 0, $K139/(time_cap),0)),0)</f>
        <v/>
      </c>
      <c r="R139" s="4395">
        <f>IFERROR(IF((time+time_cap)&lt;R$2, 0,IF(AND(time+1&gt;=S$2, $E139&lt;S$2), IF($I139= "I", $J139/($F139-$E139+1), $J139/(($F139*($F139+1)/2)-(($E139-1)*($E139-1+1)/2))*R$2), 0)+IF(IF(time+1&gt;=S$2, $K139/time_cap/(time+1)*R$2, 0) = 0, $K139/(time_cap),0)),0)</f>
        <v/>
      </c>
      <c r="S139" s="4395">
        <f>IFERROR(IF((time+time_cap)&lt;S$2, 0,IF(AND(time+1&gt;=T$2, $E139&lt;T$2), IF($I139= "I", $J139/($F139-$E139+1), $J139/(($F139*($F139+1)/2)-(($E139-1)*($E139-1+1)/2))*S$2), 0)+IF(IF(time+1&gt;=T$2, $K139/time_cap/(time+1)*S$2, 0) = 0, $K139/(time_cap),0)),0)</f>
        <v/>
      </c>
      <c r="T139" s="4395">
        <f>IFERROR(IF((time+time_cap)&lt;T$2, 0,IF(AND(time+1&gt;=U$2, $E139&lt;U$2), IF($I139= "I", $J139/($F139-$E139+1), $J139/(($F139*($F139+1)/2)-(($E139-1)*($E139-1+1)/2))*T$2), 0)+IF(IF(time+1&gt;=U$2, $K139/time_cap/(time+1)*T$2, 0) = 0, $K139/(time_cap),0)),0)</f>
        <v/>
      </c>
      <c r="U139" s="4395">
        <f>IFERROR(IF((time+time_cap)&lt;U$2, 0,IF(AND(time+1&gt;=V$2, $E139&lt;V$2), IF($I139= "I", $J139/($F139-$E139+1), $J139/(($F139*($F139+1)/2)-(($E139-1)*($E139-1+1)/2))*U$2), 0)+IF(IF(time+1&gt;=V$2, $K139/time_cap/(time+1)*U$2, 0) = 0, $K139/(time_cap),0)),0)</f>
        <v/>
      </c>
      <c r="V139" s="4395">
        <f>IFERROR(IF((time+time_cap)&lt;V$2, 0,IF(AND(time+1&gt;=W$2, $E139&lt;W$2), IF($I139= "I", $J139/($F139-$E139+1), $J139/(($F139*($F139+1)/2)-(($E139-1)*($E139-1+1)/2))*V$2), 0)+IF(IF(time+1&gt;=W$2, $K139/time_cap/(time+1)*V$2, 0) = 0, $K139/(time_cap),0)),0)</f>
        <v/>
      </c>
      <c r="W139" s="4395">
        <f>IFERROR(IF((time+time_cap)&lt;W$2, 0,IF(AND(time+1&gt;=X$2, $E139&lt;X$2), IF($I139= "I", $J139/($F139-$E139+1), $J139/(($F139*($F139+1)/2)-(($E139-1)*($E139-1+1)/2))*W$2), 0)+IF(IF(time+1&gt;=X$2, $K139/time_cap/(time+1)*W$2, 0) = 0, $K139/(time_cap),0)),0)</f>
        <v/>
      </c>
      <c r="X139" s="4395">
        <f>IFERROR(IF((time+time_cap)&lt;X$2, 0,IF(AND(time+1&gt;=Y$2, $E139&lt;Y$2), IF($I139= "I", $J139/($F139-$E139+1), $J139/(($F139*($F139+1)/2)-(($E139-1)*($E139-1+1)/2))*X$2), 0)+IF(IF(time+1&gt;=Y$2, $K139/time_cap/(time+1)*X$2, 0) = 0, $K139/(time_cap),0)),0)</f>
        <v/>
      </c>
      <c r="Y139" s="4395">
        <f>IFERROR(IF((time+time_cap)&lt;Y$2, 0,IF(AND(time+1&gt;=Z$2, $E139&lt;Z$2), IF($I139= "I", $J139/($F139-$E139+1), $J139/(($F139*($F139+1)/2)-(($E139-1)*($E139-1+1)/2))*Y$2), 0)+IF(IF(time+1&gt;=Z$2, $K139/time_cap/(time+1)*Y$2, 0) = 0, $K139/(time_cap),0)),0)</f>
        <v/>
      </c>
      <c r="Z139" s="4395">
        <f>IFERROR(IF((time+time_cap)&lt;Z$2, 0,IF(AND(time+1&gt;=AA$2, $E139&lt;AA$2), IF($I139= "I", $J139/($F139-$E139+1), $J139/(($F139*($F139+1)/2)-(($E139-1)*($E139-1+1)/2))*Z$2), 0)+IF(IF(time+1&gt;=AA$2, $K139/time_cap/(time+1)*Z$2, 0) = 0, $K139/(time_cap),0)),0)</f>
        <v/>
      </c>
      <c r="AA139" s="4395">
        <f>IFERROR(IF((time+time_cap)&lt;AA$2, 0,IF(AND(time+1&gt;=AB$2, $E139&lt;AB$2), IF($I139= "I", $J139/($F139-$E139+1), $J139/(($F139*($F139+1)/2)-(($E139-1)*($E139-1+1)/2))*AA$2), 0)+IF(IF(time+1&gt;=AB$2, $K139/time_cap/(time+1)*AA$2, 0) = 0, $K139/(time_cap),0)),0)</f>
        <v/>
      </c>
      <c r="AB139" s="4395">
        <f>IFERROR(IF((time+time_cap)&lt;AB$2, 0,IF(AND(time+1&gt;=AC$2, $E139&lt;AC$2), IF($I139= "I", $J139/($F139-$E139+1), $J139/(($F139*($F139+1)/2)-(($E139-1)*($E139-1+1)/2))*AB$2), 0)+IF(IF(time+1&gt;=AC$2, $K139/time_cap/(time+1)*AB$2, 0) = 0, $K139/(time_cap),0)),0)</f>
        <v/>
      </c>
      <c r="AC139" s="4395">
        <f>IFERROR(IF((time+time_cap)&lt;AC$2, 0,IF(AND(time+1&gt;=AD$2, $E139&lt;AD$2), IF($I139= "I", $J139/($F139-$E139+1), $J139/(($F139*($F139+1)/2)-(($E139-1)*($E139-1+1)/2))*AC$2), 0)+IF(IF(time+1&gt;=AD$2, $K139/time_cap/(time+1)*AC$2, 0) = 0, $K139/(time_cap),0)),0)</f>
        <v/>
      </c>
      <c r="AD139" s="4395">
        <f>IFERROR(IF((time+time_cap)&lt;AD$2, 0,IF(AND(time+1&gt;=AE$2, $E139&lt;AE$2), IF($I139= "I", $J139/($F139-$E139+1), $J139/(($F139*($F139+1)/2)-(($E139-1)*($E139-1+1)/2))*AD$2), 0)+IF(IF(time+1&gt;=AE$2, $K139/time_cap/(time+1)*AD$2, 0) = 0, $K139/(time_cap),0)),0)</f>
        <v/>
      </c>
      <c r="AE139" s="4395">
        <f>IFERROR(IF((time+time_cap)&lt;AE$2, 0,IF(AND(time+1&gt;=AF$2, $E139&lt;AF$2), IF($I139= "I", $J139/($F139-$E139+1), $J139/(($F139*($F139+1)/2)-(($E139-1)*($E139-1+1)/2))*AE$2), 0)+IF(IF(time+1&gt;=AF$2, $K139/time_cap/(time+1)*AE$2, 0) = 0, $K139/(time_cap),0)),0)</f>
        <v/>
      </c>
      <c r="AF139" s="4395">
        <f>IFERROR(IF((time+time_cap)&lt;AF$2, 0,IF(AND(time+1&gt;=AG$2, $E139&lt;AG$2), IF($I139= "I", $J139/($F139-$E139+1), $J139/(($F139*($F139+1)/2)-(($E139-1)*($E139-1+1)/2))*AF$2), 0)+IF(IF(time+1&gt;=AG$2, $K139/time_cap/(time+1)*AF$2, 0) = 0, $K139/(time_cap),0)),0)</f>
        <v/>
      </c>
      <c r="AG139" s="4395">
        <f>IFERROR(IF((time+time_cap)&lt;AG$2, 0,IF(AND(time+1&gt;=AH$2, $E139&lt;AH$2), IF($I139= "I", $J139/($F139-$E139+1), $J139/(($F139*($F139+1)/2)-(($E139-1)*($E139-1+1)/2))*AG$2), 0)+IF(IF(time+1&gt;=AH$2, $K139/time_cap/(time+1)*AG$2, 0) = 0, $K139/(time_cap),0)),0)</f>
        <v/>
      </c>
      <c r="AH139" s="4395">
        <f>IFERROR(IF((time+time_cap)&lt;AH$2, 0,IF(AND(time+1&gt;=AI$2, $E139&lt;AI$2), IF($I139= "I", $J139/($F139-$E139+1), $J139/(($F139*($F139+1)/2)-(($E139-1)*($E139-1+1)/2))*AH$2), 0)+IF(IF(time+1&gt;=AI$2, $K139/time_cap/(time+1)*AH$2, 0) = 0, $K139/(time_cap),0)),0)</f>
        <v/>
      </c>
      <c r="AI139" s="4395">
        <f>IFERROR(IF((time+time_cap)&lt;AI$2, 0,IF(AND(time+1&gt;=AJ$2, $E139&lt;AJ$2), IF($I139= "I", $J139/($F139-$E139+1), $J139/(($F139*($F139+1)/2)-(($E139-1)*($E139-1+1)/2))*AI$2), 0)+IF(IF(time+1&gt;=AJ$2, $K139/time_cap/(time+1)*AI$2, 0) = 0, $K139/(time_cap),0)),0)</f>
        <v/>
      </c>
      <c r="AJ139" s="4395">
        <f>IFERROR(IF((time+time_cap)&lt;AJ$2, 0,IF(AND(time+1&gt;=AK$2, $E139&lt;AK$2), IF($I139= "I", $J139/($F139-$E139+1), $J139/(($F139*($F139+1)/2)-(($E139-1)*($E139-1+1)/2))*AJ$2), 0)+IF(IF(time+1&gt;=AK$2, $K139/time_cap/(time+1)*AJ$2, 0) = 0, $K139/(time_cap),0)),0)</f>
        <v/>
      </c>
      <c r="AK139" s="4395">
        <f>IFERROR(IF((time+time_cap)&lt;AK$2, 0,IF(AND(time+1&gt;=AL$2, $E139&lt;AL$2), IF($I139= "I", $J139/($F139-$E139+1), $J139/(($F139*($F139+1)/2)-(($E139-1)*($E139-1+1)/2))*AK$2), 0)+IF(IF(time+1&gt;=AL$2, $K139/time_cap/(time+1)*AK$2, 0) = 0, $K139/(time_cap),0)),0)</f>
        <v/>
      </c>
      <c r="AL139" s="4395">
        <f>IFERROR(IF((time+time_cap)&lt;AL$2, 0,IF(AND(time+1&gt;=AM$2, $E139&lt;AM$2), IF($I139= "I", $J139/($F139-$E139+1), $J139/(($F139*($F139+1)/2)-(($E139-1)*($E139-1+1)/2))*AL$2), 0)+IF(IF(time+1&gt;=AM$2, $K139/time_cap/(time+1)*AL$2, 0) = 0, $K139/(time_cap),0)),0)</f>
        <v/>
      </c>
      <c r="AM139" s="4395">
        <f>IFERROR(IF((time+time_cap)&lt;AM$2, 0,IF(AND(time+1&gt;=AN$2, $E139&lt;AN$2), IF($I139= "I", $J139/($F139-$E139+1), $J139/(($F139*($F139+1)/2)-(($E139-1)*($E139-1+1)/2))*AM$2), 0)+IF(IF(time+1&gt;=AN$2, $K139/time_cap/(time+1)*AM$2, 0) = 0, $K139/(time_cap),0)),0)</f>
        <v/>
      </c>
      <c r="AN139" s="4395">
        <f>IFERROR(IF((time+time_cap)&lt;AN$2, 0,IF(AND(time+1&gt;=AO$2, $E139&lt;AO$2), IF($I139= "I", $J139/($F139-$E139+1), $J139/(($F139*($F139+1)/2)-(($E139-1)*($E139-1+1)/2))*AN$2), 0)+IF(IF(time+1&gt;=AO$2, $K139/time_cap/(time+1)*AN$2, 0) = 0, $K139/(time_cap),0)),0)</f>
        <v/>
      </c>
      <c r="AO139" s="4395">
        <f>IFERROR(IF((time+time_cap)&lt;AO$2, 0,IF(AND(time+1&gt;=AP$2, $E139&lt;AP$2), IF($I139= "I", $J139/($F139-$E139+1), $J139/(($F139*($F139+1)/2)-(($E139-1)*($E139-1+1)/2))*AO$2), 0)+IF(IF(time+1&gt;=AP$2, $K139/time_cap/(time+1)*AO$2, 0) = 0, $K139/(time_cap),0)),0)</f>
        <v/>
      </c>
      <c r="AP139" s="4395">
        <f>IFERROR(IF((time+time_cap)&lt;AP$2, 0,IF(AND(time+1&gt;=AQ$2, $E139&lt;AQ$2), IF($I139= "I", $J139/($F139-$E139+1), $J139/(($F139*($F139+1)/2)-(($E139-1)*($E139-1+1)/2))*AP$2), 0)+IF(IF(time+1&gt;=AQ$2, $K139/time_cap/(time+1)*AP$2, 0) = 0, $K139/(time_cap),0)),0)</f>
        <v/>
      </c>
      <c r="AQ139" s="4395">
        <f>IFERROR(IF((time+time_cap)&lt;AQ$2, 0,IF(AND(time+1&gt;=AR$2, $E139&lt;AR$2), IF($I139= "I", $J139/($F139-$E139+1), $J139/(($F139*($F139+1)/2)-(($E139-1)*($E139-1+1)/2))*AQ$2), 0)+IF(IF(time+1&gt;=AR$2, $K139/time_cap/(time+1)*AQ$2, 0) = 0, $K139/(time_cap),0)),0)</f>
        <v/>
      </c>
      <c r="AR139" s="4395">
        <f>IFERROR(IF((time+time_cap)&lt;AR$2, 0,IF(AND(time+1&gt;=AS$2, $E139&lt;AS$2), IF($I139= "I", $J139/($F139-$E139+1), $J139/(($F139*($F139+1)/2)-(($E139-1)*($E139-1+1)/2))*AR$2), 0)+IF(IF(time+1&gt;=AS$2, $K139/time_cap/(time+1)*AR$2, 0) = 0, $K139/(time_cap),0)),0)</f>
        <v/>
      </c>
      <c r="AS139" s="4395">
        <f>IFERROR(IF((time+time_cap)&lt;AS$2, 0,IF(AND(time+1&gt;=AT$2, $E139&lt;AT$2), IF($I139= "I", $J139/($F139-$E139+1), $J139/(($F139*($F139+1)/2)-(($E139-1)*($E139-1+1)/2))*AS$2), 0)+IF(IF(time+1&gt;=AT$2, $K139/time_cap/(time+1)*AS$2, 0) = 0, $K139/(time_cap),0)),0)</f>
        <v/>
      </c>
      <c r="AT139" s="4395">
        <f>IFERROR(IF((time+time_cap)&lt;AT$2, 0,IF(AND(time+1&gt;=AU$2, $E139&lt;AU$2), IF($I139= "I", $J139/($F139-$E139+1), $J139/(($F139*($F139+1)/2)-(($E139-1)*($E139-1+1)/2))*AT$2), 0)+IF(IF(time+1&gt;=AU$2, $K139/time_cap/(time+1)*AT$2, 0) = 0, $K139/(time_cap),0)),0)</f>
        <v/>
      </c>
      <c r="AU139" s="4395">
        <f>IFERROR(IF((time+time_cap)&lt;AU$2, 0,IF(AND(time+1&gt;=AV$2, $E139&lt;AV$2), IF($I139= "I", $J139/($F139-$E139+1), $J139/(($F139*($F139+1)/2)-(($E139-1)*($E139-1+1)/2))*AU$2), 0)+IF(IF(time+1&gt;=AV$2, $K139/time_cap/(time+1)*AU$2, 0) = 0, $K139/(time_cap),0)),0)</f>
        <v/>
      </c>
      <c r="AV139" s="4395">
        <f>IFERROR(IF((time+time_cap)&lt;AV$2, 0,IF(AND(time+1&gt;=AW$2, $E139&lt;AW$2), IF($I139= "I", $J139/($F139-$E139+1), $J139/(($F139*($F139+1)/2)-(($E139-1)*($E139-1+1)/2))*AV$2), 0)+IF(IF(time+1&gt;=AW$2, $K139/time_cap/(time+1)*AV$2, 0) = 0, $K139/(time_cap),0)),0)</f>
        <v/>
      </c>
      <c r="AW139" s="4395">
        <f>IFERROR(IF((time+time_cap)&lt;AW$2, 0,IF(AND(time+1&gt;=AX$2, $E139&lt;AX$2), IF($I139= "I", $J139/($F139-$E139+1), $J139/(($F139*($F139+1)/2)-(($E139-1)*($E139-1+1)/2))*AW$2), 0)+IF(IF(time+1&gt;=AX$2, $K139/time_cap/(time+1)*AW$2, 0) = 0, $K139/(time_cap),0)),0)</f>
        <v/>
      </c>
      <c r="AX139" s="4395">
        <f>IFERROR(IF((time+time_cap)&lt;AX$2, 0,IF(AND(time+1&gt;=AY$2, $E139&lt;AY$2), IF($I139= "I", $J139/($F139-$E139+1), $J139/(($F139*($F139+1)/2)-(($E139-1)*($E139-1+1)/2))*AX$2), 0)+IF(IF(time+1&gt;=AY$2, $K139/time_cap/(time+1)*AX$2, 0) = 0, $K139/(time_cap),0)),0)</f>
        <v/>
      </c>
      <c r="AY139" s="4395">
        <f>IFERROR(IF((time+time_cap)&lt;AY$2, 0,IF(AND(time+1&gt;=AZ$2, $E139&lt;AZ$2), IF($I139= "I", $J139/($F139-$E139+1), $J139/(($F139*($F139+1)/2)-(($E139-1)*($E139-1+1)/2))*AY$2), 0)+IF(IF(time+1&gt;=AZ$2, $K139/time_cap/(time+1)*AY$2, 0) = 0, $K139/(time_cap),0)),0)</f>
        <v/>
      </c>
      <c r="AZ139" s="4395">
        <f>IFERROR(IF((time+time_cap)&lt;AZ$2, 0,IF(AND(time+1&gt;=BA$2, $E139&lt;BA$2), IF($I139= "I", $J139/($F139-$E139+1), $J139/(($F139*($F139+1)/2)-(($E139-1)*($E139-1+1)/2))*AZ$2), 0)+IF(IF(time+1&gt;=BA$2, $K139/time_cap/(time+1)*AZ$2, 0) = 0, $K139/(time_cap),0)),0)</f>
        <v/>
      </c>
      <c r="BA139" s="4395">
        <f>IFERROR(IF((time+time_cap)&lt;BA$2, 0,IF(AND(time+1&gt;=BB$2, $E139&lt;BB$2), IF($I139= "I", $J139/($F139-$E139+1), $J139/(($F139*($F139+1)/2)-(($E139-1)*($E139-1+1)/2))*BA$2), 0)+IF(IF(time+1&gt;=BB$2, $K139/time_cap/(time+1)*BA$2, 0) = 0, $K139/(time_cap),0)),0)</f>
        <v/>
      </c>
      <c r="BB139" s="4395">
        <f>IFERROR(IF((time+time_cap)&lt;BB$2, 0,IF(AND(time+1&gt;=BC$2, $E139&lt;BC$2), IF($I139= "I", $J139/($F139-$E139+1), $J139/(($F139*($F139+1)/2)-(($E139-1)*($E139-1+1)/2))*BB$2), 0)+IF(IF(time+1&gt;=BC$2, $K139/time_cap/(time+1)*BB$2, 0) = 0, $K139/(time_cap),0)),0)</f>
        <v/>
      </c>
      <c r="BC139" s="4395">
        <f>IFERROR(IF((time+time_cap)&lt;BC$2, 0,IF(AND(time+1&gt;=BD$2, $E139&lt;BD$2), IF($I139= "I", $J139/($F139-$E139+1), $J139/(($F139*($F139+1)/2)-(($E139-1)*($E139-1+1)/2))*BC$2), 0)+IF(IF(time+1&gt;=BD$2, $K139/time_cap/(time+1)*BC$2, 0) = 0, $K139/(time_cap),0)),0)</f>
        <v/>
      </c>
      <c r="BD139" s="4395">
        <f>IFERROR(IF((time+time_cap)&lt;BD$2, 0,IF(AND(time+1&gt;=BE$2, $E139&lt;BE$2), IF($I139= "I", $J139/($F139-$E139+1), $J139/(($F139*($F139+1)/2)-(($E139-1)*($E139-1+1)/2))*BD$2), 0)+IF(IF(time+1&gt;=BE$2, $K139/time_cap/(time+1)*BD$2, 0) = 0, $K139/(time_cap),0)),0)</f>
        <v/>
      </c>
      <c r="BE139" s="4395">
        <f>IFERROR(IF((time+time_cap)&lt;BE$2, 0,IF(AND(time+1&gt;=BF$2, $E139&lt;BF$2), IF($I139= "I", $J139/($F139-$E139+1), $J139/(($F139*($F139+1)/2)-(($E139-1)*($E139-1+1)/2))*BE$2), 0)+IF(IF(time+1&gt;=BF$2, $K139/time_cap/(time+1)*BE$2, 0) = 0, $K139/(time_cap),0)),0)</f>
        <v/>
      </c>
      <c r="BF139" s="4395">
        <f>IFERROR(IF((time+time_cap)&lt;BF$2, 0,IF(AND(time+1&gt;=BG$2, $E139&lt;BG$2), IF($I139= "I", $J139/($F139-$E139+1), $J139/(($F139*($F139+1)/2)-(($E139-1)*($E139-1+1)/2))*BF$2), 0)+IF(IF(time+1&gt;=BG$2, $K139/time_cap/(time+1)*BF$2, 0) = 0, $K139/(time_cap),0)),0)</f>
        <v/>
      </c>
      <c r="BG139" s="4395">
        <f>IFERROR(IF((time+time_cap)&lt;BG$2, 0,IF(AND(time+1&gt;=BH$2, $E139&lt;BH$2), IF($I139= "I", $J139/($F139-$E139+1), $J139/(($F139*($F139+1)/2)-(($E139-1)*($E139-1+1)/2))*BG$2), 0)+IF(IF(time+1&gt;=BH$2, $K139/time_cap/(time+1)*BG$2, 0) = 0, $K139/(time_cap),0)),0)</f>
        <v/>
      </c>
      <c r="BH139" s="4395">
        <f>IFERROR(IF((time+time_cap)&lt;BH$2, 0,IF(AND(time+1&gt;=BI$2, $E139&lt;BI$2), IF($I139= "I", $J139/($F139-$E139+1), $J139/(($F139*($F139+1)/2)-(($E139-1)*($E139-1+1)/2))*BH$2), 0)+IF(IF(time+1&gt;=BI$2, $K139/time_cap/(time+1)*BH$2, 0) = 0, $K139/(time_cap),0)),0)</f>
        <v/>
      </c>
      <c r="BI139" s="4395">
        <f>IFERROR(IF((time+time_cap)&lt;BI$2, 0,IF(AND(time+1&gt;=BJ$2, $E139&lt;BJ$2), IF($I139= "I", $J139/($F139-$E139+1), $J139/(($F139*($F139+1)/2)-(($E139-1)*($E139-1+1)/2))*BI$2), 0)+IF(IF(time+1&gt;=BJ$2, $K139/time_cap/(time+1)*BI$2, 0) = 0, $K139/(time_cap),0)),0)</f>
        <v/>
      </c>
      <c r="BJ139" s="4395">
        <f>IFERROR(IF((time+time_cap)&lt;BJ$2, 0,IF(AND(time+1&gt;=BK$2, $E139&lt;BK$2), IF($I139= "I", $J139/($F139-$E139+1), $J139/(($F139*($F139+1)/2)-(($E139-1)*($E139-1+1)/2))*BJ$2), 0)+IF(IF(time+1&gt;=BK$2, $K139/time_cap/(time+1)*BJ$2, 0) = 0, $K139/(time_cap),0)),0)</f>
        <v/>
      </c>
      <c r="BK139" s="4395" t="n"/>
      <c r="BL139" s="4395" t="n"/>
      <c r="BM139" s="4395" t="n"/>
      <c r="BN139" s="4395" t="n"/>
      <c r="BO139" s="4395" t="n"/>
      <c r="BP139" s="4395" t="n"/>
      <c r="BQ139" s="4395" t="n"/>
      <c r="BR139" s="4395" t="n"/>
      <c r="BS139" s="4395" t="n"/>
      <c r="BT139" s="4395" t="n"/>
      <c r="BU139" s="4395" t="n"/>
      <c r="BV139" s="4395" t="n"/>
      <c r="BW139" s="4395" t="n"/>
      <c r="BX139" s="4395" t="n"/>
      <c r="BY139" s="4395" t="n"/>
      <c r="BZ139" s="4395" t="n"/>
      <c r="CA139" s="4395" t="n"/>
      <c r="CB139" s="4395" t="n"/>
      <c r="CC139" s="4395" t="n"/>
      <c r="CD139" s="4395" t="n"/>
      <c r="CE139" s="4395" t="n"/>
      <c r="CF139" s="4395" t="n"/>
      <c r="CG139" s="4395" t="n"/>
      <c r="CH139" s="4395" t="n"/>
      <c r="CI139" s="4395" t="n"/>
      <c r="CJ139" s="4395" t="n"/>
      <c r="CK139" s="4395" t="n"/>
      <c r="CL139" s="4395" t="n"/>
      <c r="CM139" s="4395" t="n"/>
      <c r="CN139" s="4395" t="n"/>
      <c r="CO139" s="4395" t="n"/>
      <c r="CP139" s="4395" t="n"/>
      <c r="CQ139" s="4395" t="n"/>
      <c r="CR139" s="4395" t="n"/>
      <c r="CS139" s="4395" t="n"/>
      <c r="CT139" s="4395" t="n"/>
      <c r="CU139" s="4395" t="n"/>
      <c r="CV139" s="4395" t="n"/>
      <c r="CW139" s="4395" t="n"/>
      <c r="CX139" s="4395" t="n"/>
      <c r="CY139" s="4395" t="n"/>
      <c r="CZ139" s="4395" t="n"/>
      <c r="DA139" s="4395" t="n"/>
      <c r="DB139" s="4395" t="n"/>
      <c r="DC139" s="4395" t="n"/>
      <c r="DD139" s="4395" t="n"/>
      <c r="DE139" s="4395" t="n"/>
      <c r="DF139" s="4395" t="n"/>
      <c r="DG139" s="4395" t="n"/>
      <c r="DH139" s="4395" t="n"/>
    </row>
    <row r="140" ht="16" customHeight="1">
      <c r="A140" t="inlineStr">
        <is>
          <t>Inland wetlands - forest management</t>
        </is>
      </c>
      <c r="C140">
        <f>'6.Inland wetlands'!C122</f>
        <v/>
      </c>
      <c r="D140">
        <f>'6.Inland wetlands'!AG122+'6.Inland wetlands'!AG133</f>
        <v/>
      </c>
      <c r="E140">
        <f>IF('6.Inland wetlands'!BV122&lt;&gt;0,'6.Inland wetlands'!BV122,'6.Inland wetlands'!BU122)</f>
        <v/>
      </c>
      <c r="F140">
        <f>time</f>
        <v/>
      </c>
      <c r="G140" s="4395">
        <f>'6.Inland wetlands'!O122</f>
        <v/>
      </c>
      <c r="H140" s="4395">
        <f>'6.Inland wetlands'!Q122</f>
        <v/>
      </c>
      <c r="I140" s="4395">
        <f>IF(OR(H140="I", G140="I"), "I", IF(OR(H140="E", G140="E"), "E", "D"))</f>
        <v/>
      </c>
      <c r="J140" s="4395">
        <f>((D140/(time_cap+((F140-E140+1)*VLOOKUP(I140,list!$I$48:$K$50,3, FALSE))))*(F140-E140+1)*VLOOKUP(I140,list!$I$48:$K$50,3, FALSE))</f>
        <v/>
      </c>
      <c r="K140" s="4395">
        <f>((D140/(time_cap+((F140-E140+1)*VLOOKUP(I140,list!$I$48:$K$50,3, FALSE))))*time_cap)</f>
        <v/>
      </c>
      <c r="M140" s="4395">
        <f>IFERROR(IF((time+time_cap)&lt;M$2, 0,IF(AND(time+1&gt;=N$2, $E140&lt;N$2), IF($I140= "I", $J140/($F140-$E140+1), $J140/(($F140*($F140+1)/2)-(($E140-1)*($E140-1+1)/2))*M$2), 0)+IF(IF(time+1&gt;=N$2, $K140/time_cap/(time+1)*M$2, 0) = 0, $K140/(time_cap),0)),0)</f>
        <v/>
      </c>
      <c r="N140" s="4395">
        <f>IFERROR(IF((time+time_cap)&lt;N$2, 0,IF(AND(time+1&gt;=O$2, $E140&lt;O$2), IF($I140= "I", $J140/($F140-$E140+1), $J140/(($F140*($F140+1)/2)-(($E140-1)*($E140-1+1)/2))*N$2), 0)+IF(IF(time+1&gt;=O$2, $K140/time_cap/(time+1)*N$2, 0) = 0, $K140/(time_cap),0)),0)</f>
        <v/>
      </c>
      <c r="O140" s="4395">
        <f>IFERROR(IF((time+time_cap)&lt;O$2, 0,IF(AND(time+1&gt;=P$2, $E140&lt;P$2), IF($I140= "I", $J140/($F140-$E140+1), $J140/(($F140*($F140+1)/2)-(($E140-1)*($E140-1+1)/2))*O$2), 0)+IF(IF(time+1&gt;=P$2, $K140/time_cap/(time+1)*O$2, 0) = 0, $K140/(time_cap),0)),0)</f>
        <v/>
      </c>
      <c r="P140" s="4395">
        <f>IFERROR(IF((time+time_cap)&lt;P$2, 0,IF(AND(time+1&gt;=Q$2, $E140&lt;Q$2), IF($I140= "I", $J140/($F140-$E140+1), $J140/(($F140*($F140+1)/2)-(($E140-1)*($E140-1+1)/2))*P$2), 0)+IF(IF(time+1&gt;=Q$2, $K140/time_cap/(time+1)*P$2, 0) = 0, $K140/(time_cap),0)),0)</f>
        <v/>
      </c>
      <c r="Q140" s="4395">
        <f>IFERROR(IF((time+time_cap)&lt;Q$2, 0,IF(AND(time+1&gt;=R$2, $E140&lt;R$2), IF($I140= "I", $J140/($F140-$E140+1), $J140/(($F140*($F140+1)/2)-(($E140-1)*($E140-1+1)/2))*Q$2), 0)+IF(IF(time+1&gt;=R$2, $K140/time_cap/(time+1)*Q$2, 0) = 0, $K140/(time_cap),0)),0)</f>
        <v/>
      </c>
      <c r="R140" s="4395">
        <f>IFERROR(IF((time+time_cap)&lt;R$2, 0,IF(AND(time+1&gt;=S$2, $E140&lt;S$2), IF($I140= "I", $J140/($F140-$E140+1), $J140/(($F140*($F140+1)/2)-(($E140-1)*($E140-1+1)/2))*R$2), 0)+IF(IF(time+1&gt;=S$2, $K140/time_cap/(time+1)*R$2, 0) = 0, $K140/(time_cap),0)),0)</f>
        <v/>
      </c>
      <c r="S140" s="4395">
        <f>IFERROR(IF((time+time_cap)&lt;S$2, 0,IF(AND(time+1&gt;=T$2, $E140&lt;T$2), IF($I140= "I", $J140/($F140-$E140+1), $J140/(($F140*($F140+1)/2)-(($E140-1)*($E140-1+1)/2))*S$2), 0)+IF(IF(time+1&gt;=T$2, $K140/time_cap/(time+1)*S$2, 0) = 0, $K140/(time_cap),0)),0)</f>
        <v/>
      </c>
      <c r="T140" s="4395">
        <f>IFERROR(IF((time+time_cap)&lt;T$2, 0,IF(AND(time+1&gt;=U$2, $E140&lt;U$2), IF($I140= "I", $J140/($F140-$E140+1), $J140/(($F140*($F140+1)/2)-(($E140-1)*($E140-1+1)/2))*T$2), 0)+IF(IF(time+1&gt;=U$2, $K140/time_cap/(time+1)*T$2, 0) = 0, $K140/(time_cap),0)),0)</f>
        <v/>
      </c>
      <c r="U140" s="4395">
        <f>IFERROR(IF((time+time_cap)&lt;U$2, 0,IF(AND(time+1&gt;=V$2, $E140&lt;V$2), IF($I140= "I", $J140/($F140-$E140+1), $J140/(($F140*($F140+1)/2)-(($E140-1)*($E140-1+1)/2))*U$2), 0)+IF(IF(time+1&gt;=V$2, $K140/time_cap/(time+1)*U$2, 0) = 0, $K140/(time_cap),0)),0)</f>
        <v/>
      </c>
      <c r="V140" s="4395">
        <f>IFERROR(IF((time+time_cap)&lt;V$2, 0,IF(AND(time+1&gt;=W$2, $E140&lt;W$2), IF($I140= "I", $J140/($F140-$E140+1), $J140/(($F140*($F140+1)/2)-(($E140-1)*($E140-1+1)/2))*V$2), 0)+IF(IF(time+1&gt;=W$2, $K140/time_cap/(time+1)*V$2, 0) = 0, $K140/(time_cap),0)),0)</f>
        <v/>
      </c>
      <c r="W140" s="4395">
        <f>IFERROR(IF((time+time_cap)&lt;W$2, 0,IF(AND(time+1&gt;=X$2, $E140&lt;X$2), IF($I140= "I", $J140/($F140-$E140+1), $J140/(($F140*($F140+1)/2)-(($E140-1)*($E140-1+1)/2))*W$2), 0)+IF(IF(time+1&gt;=X$2, $K140/time_cap/(time+1)*W$2, 0) = 0, $K140/(time_cap),0)),0)</f>
        <v/>
      </c>
      <c r="X140" s="4395">
        <f>IFERROR(IF((time+time_cap)&lt;X$2, 0,IF(AND(time+1&gt;=Y$2, $E140&lt;Y$2), IF($I140= "I", $J140/($F140-$E140+1), $J140/(($F140*($F140+1)/2)-(($E140-1)*($E140-1+1)/2))*X$2), 0)+IF(IF(time+1&gt;=Y$2, $K140/time_cap/(time+1)*X$2, 0) = 0, $K140/(time_cap),0)),0)</f>
        <v/>
      </c>
      <c r="Y140" s="4395">
        <f>IFERROR(IF((time+time_cap)&lt;Y$2, 0,IF(AND(time+1&gt;=Z$2, $E140&lt;Z$2), IF($I140= "I", $J140/($F140-$E140+1), $J140/(($F140*($F140+1)/2)-(($E140-1)*($E140-1+1)/2))*Y$2), 0)+IF(IF(time+1&gt;=Z$2, $K140/time_cap/(time+1)*Y$2, 0) = 0, $K140/(time_cap),0)),0)</f>
        <v/>
      </c>
      <c r="Z140" s="4395">
        <f>IFERROR(IF((time+time_cap)&lt;Z$2, 0,IF(AND(time+1&gt;=AA$2, $E140&lt;AA$2), IF($I140= "I", $J140/($F140-$E140+1), $J140/(($F140*($F140+1)/2)-(($E140-1)*($E140-1+1)/2))*Z$2), 0)+IF(IF(time+1&gt;=AA$2, $K140/time_cap/(time+1)*Z$2, 0) = 0, $K140/(time_cap),0)),0)</f>
        <v/>
      </c>
      <c r="AA140" s="4395">
        <f>IFERROR(IF((time+time_cap)&lt;AA$2, 0,IF(AND(time+1&gt;=AB$2, $E140&lt;AB$2), IF($I140= "I", $J140/($F140-$E140+1), $J140/(($F140*($F140+1)/2)-(($E140-1)*($E140-1+1)/2))*AA$2), 0)+IF(IF(time+1&gt;=AB$2, $K140/time_cap/(time+1)*AA$2, 0) = 0, $K140/(time_cap),0)),0)</f>
        <v/>
      </c>
      <c r="AB140" s="4395">
        <f>IFERROR(IF((time+time_cap)&lt;AB$2, 0,IF(AND(time+1&gt;=AC$2, $E140&lt;AC$2), IF($I140= "I", $J140/($F140-$E140+1), $J140/(($F140*($F140+1)/2)-(($E140-1)*($E140-1+1)/2))*AB$2), 0)+IF(IF(time+1&gt;=AC$2, $K140/time_cap/(time+1)*AB$2, 0) = 0, $K140/(time_cap),0)),0)</f>
        <v/>
      </c>
      <c r="AC140" s="4395">
        <f>IFERROR(IF((time+time_cap)&lt;AC$2, 0,IF(AND(time+1&gt;=AD$2, $E140&lt;AD$2), IF($I140= "I", $J140/($F140-$E140+1), $J140/(($F140*($F140+1)/2)-(($E140-1)*($E140-1+1)/2))*AC$2), 0)+IF(IF(time+1&gt;=AD$2, $K140/time_cap/(time+1)*AC$2, 0) = 0, $K140/(time_cap),0)),0)</f>
        <v/>
      </c>
      <c r="AD140" s="4395">
        <f>IFERROR(IF((time+time_cap)&lt;AD$2, 0,IF(AND(time+1&gt;=AE$2, $E140&lt;AE$2), IF($I140= "I", $J140/($F140-$E140+1), $J140/(($F140*($F140+1)/2)-(($E140-1)*($E140-1+1)/2))*AD$2), 0)+IF(IF(time+1&gt;=AE$2, $K140/time_cap/(time+1)*AD$2, 0) = 0, $K140/(time_cap),0)),0)</f>
        <v/>
      </c>
      <c r="AE140" s="4395">
        <f>IFERROR(IF((time+time_cap)&lt;AE$2, 0,IF(AND(time+1&gt;=AF$2, $E140&lt;AF$2), IF($I140= "I", $J140/($F140-$E140+1), $J140/(($F140*($F140+1)/2)-(($E140-1)*($E140-1+1)/2))*AE$2), 0)+IF(IF(time+1&gt;=AF$2, $K140/time_cap/(time+1)*AE$2, 0) = 0, $K140/(time_cap),0)),0)</f>
        <v/>
      </c>
      <c r="AF140" s="4395">
        <f>IFERROR(IF((time+time_cap)&lt;AF$2, 0,IF(AND(time+1&gt;=AG$2, $E140&lt;AG$2), IF($I140= "I", $J140/($F140-$E140+1), $J140/(($F140*($F140+1)/2)-(($E140-1)*($E140-1+1)/2))*AF$2), 0)+IF(IF(time+1&gt;=AG$2, $K140/time_cap/(time+1)*AF$2, 0) = 0, $K140/(time_cap),0)),0)</f>
        <v/>
      </c>
      <c r="AG140" s="4395">
        <f>IFERROR(IF((time+time_cap)&lt;AG$2, 0,IF(AND(time+1&gt;=AH$2, $E140&lt;AH$2), IF($I140= "I", $J140/($F140-$E140+1), $J140/(($F140*($F140+1)/2)-(($E140-1)*($E140-1+1)/2))*AG$2), 0)+IF(IF(time+1&gt;=AH$2, $K140/time_cap/(time+1)*AG$2, 0) = 0, $K140/(time_cap),0)),0)</f>
        <v/>
      </c>
      <c r="AH140" s="4395">
        <f>IFERROR(IF((time+time_cap)&lt;AH$2, 0,IF(AND(time+1&gt;=AI$2, $E140&lt;AI$2), IF($I140= "I", $J140/($F140-$E140+1), $J140/(($F140*($F140+1)/2)-(($E140-1)*($E140-1+1)/2))*AH$2), 0)+IF(IF(time+1&gt;=AI$2, $K140/time_cap/(time+1)*AH$2, 0) = 0, $K140/(time_cap),0)),0)</f>
        <v/>
      </c>
      <c r="AI140" s="4395">
        <f>IFERROR(IF((time+time_cap)&lt;AI$2, 0,IF(AND(time+1&gt;=AJ$2, $E140&lt;AJ$2), IF($I140= "I", $J140/($F140-$E140+1), $J140/(($F140*($F140+1)/2)-(($E140-1)*($E140-1+1)/2))*AI$2), 0)+IF(IF(time+1&gt;=AJ$2, $K140/time_cap/(time+1)*AI$2, 0) = 0, $K140/(time_cap),0)),0)</f>
        <v/>
      </c>
      <c r="AJ140" s="4395">
        <f>IFERROR(IF((time+time_cap)&lt;AJ$2, 0,IF(AND(time+1&gt;=AK$2, $E140&lt;AK$2), IF($I140= "I", $J140/($F140-$E140+1), $J140/(($F140*($F140+1)/2)-(($E140-1)*($E140-1+1)/2))*AJ$2), 0)+IF(IF(time+1&gt;=AK$2, $K140/time_cap/(time+1)*AJ$2, 0) = 0, $K140/(time_cap),0)),0)</f>
        <v/>
      </c>
      <c r="AK140" s="4395">
        <f>IFERROR(IF((time+time_cap)&lt;AK$2, 0,IF(AND(time+1&gt;=AL$2, $E140&lt;AL$2), IF($I140= "I", $J140/($F140-$E140+1), $J140/(($F140*($F140+1)/2)-(($E140-1)*($E140-1+1)/2))*AK$2), 0)+IF(IF(time+1&gt;=AL$2, $K140/time_cap/(time+1)*AK$2, 0) = 0, $K140/(time_cap),0)),0)</f>
        <v/>
      </c>
      <c r="AL140" s="4395">
        <f>IFERROR(IF((time+time_cap)&lt;AL$2, 0,IF(AND(time+1&gt;=AM$2, $E140&lt;AM$2), IF($I140= "I", $J140/($F140-$E140+1), $J140/(($F140*($F140+1)/2)-(($E140-1)*($E140-1+1)/2))*AL$2), 0)+IF(IF(time+1&gt;=AM$2, $K140/time_cap/(time+1)*AL$2, 0) = 0, $K140/(time_cap),0)),0)</f>
        <v/>
      </c>
      <c r="AM140" s="4395">
        <f>IFERROR(IF((time+time_cap)&lt;AM$2, 0,IF(AND(time+1&gt;=AN$2, $E140&lt;AN$2), IF($I140= "I", $J140/($F140-$E140+1), $J140/(($F140*($F140+1)/2)-(($E140-1)*($E140-1+1)/2))*AM$2), 0)+IF(IF(time+1&gt;=AN$2, $K140/time_cap/(time+1)*AM$2, 0) = 0, $K140/(time_cap),0)),0)</f>
        <v/>
      </c>
      <c r="AN140" s="4395">
        <f>IFERROR(IF((time+time_cap)&lt;AN$2, 0,IF(AND(time+1&gt;=AO$2, $E140&lt;AO$2), IF($I140= "I", $J140/($F140-$E140+1), $J140/(($F140*($F140+1)/2)-(($E140-1)*($E140-1+1)/2))*AN$2), 0)+IF(IF(time+1&gt;=AO$2, $K140/time_cap/(time+1)*AN$2, 0) = 0, $K140/(time_cap),0)),0)</f>
        <v/>
      </c>
      <c r="AO140" s="4395">
        <f>IFERROR(IF((time+time_cap)&lt;AO$2, 0,IF(AND(time+1&gt;=AP$2, $E140&lt;AP$2), IF($I140= "I", $J140/($F140-$E140+1), $J140/(($F140*($F140+1)/2)-(($E140-1)*($E140-1+1)/2))*AO$2), 0)+IF(IF(time+1&gt;=AP$2, $K140/time_cap/(time+1)*AO$2, 0) = 0, $K140/(time_cap),0)),0)</f>
        <v/>
      </c>
      <c r="AP140" s="4395">
        <f>IFERROR(IF((time+time_cap)&lt;AP$2, 0,IF(AND(time+1&gt;=AQ$2, $E140&lt;AQ$2), IF($I140= "I", $J140/($F140-$E140+1), $J140/(($F140*($F140+1)/2)-(($E140-1)*($E140-1+1)/2))*AP$2), 0)+IF(IF(time+1&gt;=AQ$2, $K140/time_cap/(time+1)*AP$2, 0) = 0, $K140/(time_cap),0)),0)</f>
        <v/>
      </c>
      <c r="AQ140" s="4395">
        <f>IFERROR(IF((time+time_cap)&lt;AQ$2, 0,IF(AND(time+1&gt;=AR$2, $E140&lt;AR$2), IF($I140= "I", $J140/($F140-$E140+1), $J140/(($F140*($F140+1)/2)-(($E140-1)*($E140-1+1)/2))*AQ$2), 0)+IF(IF(time+1&gt;=AR$2, $K140/time_cap/(time+1)*AQ$2, 0) = 0, $K140/(time_cap),0)),0)</f>
        <v/>
      </c>
      <c r="AR140" s="4395">
        <f>IFERROR(IF((time+time_cap)&lt;AR$2, 0,IF(AND(time+1&gt;=AS$2, $E140&lt;AS$2), IF($I140= "I", $J140/($F140-$E140+1), $J140/(($F140*($F140+1)/2)-(($E140-1)*($E140-1+1)/2))*AR$2), 0)+IF(IF(time+1&gt;=AS$2, $K140/time_cap/(time+1)*AR$2, 0) = 0, $K140/(time_cap),0)),0)</f>
        <v/>
      </c>
      <c r="AS140" s="4395">
        <f>IFERROR(IF((time+time_cap)&lt;AS$2, 0,IF(AND(time+1&gt;=AT$2, $E140&lt;AT$2), IF($I140= "I", $J140/($F140-$E140+1), $J140/(($F140*($F140+1)/2)-(($E140-1)*($E140-1+1)/2))*AS$2), 0)+IF(IF(time+1&gt;=AT$2, $K140/time_cap/(time+1)*AS$2, 0) = 0, $K140/(time_cap),0)),0)</f>
        <v/>
      </c>
      <c r="AT140" s="4395">
        <f>IFERROR(IF((time+time_cap)&lt;AT$2, 0,IF(AND(time+1&gt;=AU$2, $E140&lt;AU$2), IF($I140= "I", $J140/($F140-$E140+1), $J140/(($F140*($F140+1)/2)-(($E140-1)*($E140-1+1)/2))*AT$2), 0)+IF(IF(time+1&gt;=AU$2, $K140/time_cap/(time+1)*AT$2, 0) = 0, $K140/(time_cap),0)),0)</f>
        <v/>
      </c>
      <c r="AU140" s="4395">
        <f>IFERROR(IF((time+time_cap)&lt;AU$2, 0,IF(AND(time+1&gt;=AV$2, $E140&lt;AV$2), IF($I140= "I", $J140/($F140-$E140+1), $J140/(($F140*($F140+1)/2)-(($E140-1)*($E140-1+1)/2))*AU$2), 0)+IF(IF(time+1&gt;=AV$2, $K140/time_cap/(time+1)*AU$2, 0) = 0, $K140/(time_cap),0)),0)</f>
        <v/>
      </c>
      <c r="AV140" s="4395">
        <f>IFERROR(IF((time+time_cap)&lt;AV$2, 0,IF(AND(time+1&gt;=AW$2, $E140&lt;AW$2), IF($I140= "I", $J140/($F140-$E140+1), $J140/(($F140*($F140+1)/2)-(($E140-1)*($E140-1+1)/2))*AV$2), 0)+IF(IF(time+1&gt;=AW$2, $K140/time_cap/(time+1)*AV$2, 0) = 0, $K140/(time_cap),0)),0)</f>
        <v/>
      </c>
      <c r="AW140" s="4395">
        <f>IFERROR(IF((time+time_cap)&lt;AW$2, 0,IF(AND(time+1&gt;=AX$2, $E140&lt;AX$2), IF($I140= "I", $J140/($F140-$E140+1), $J140/(($F140*($F140+1)/2)-(($E140-1)*($E140-1+1)/2))*AW$2), 0)+IF(IF(time+1&gt;=AX$2, $K140/time_cap/(time+1)*AW$2, 0) = 0, $K140/(time_cap),0)),0)</f>
        <v/>
      </c>
      <c r="AX140" s="4395">
        <f>IFERROR(IF((time+time_cap)&lt;AX$2, 0,IF(AND(time+1&gt;=AY$2, $E140&lt;AY$2), IF($I140= "I", $J140/($F140-$E140+1), $J140/(($F140*($F140+1)/2)-(($E140-1)*($E140-1+1)/2))*AX$2), 0)+IF(IF(time+1&gt;=AY$2, $K140/time_cap/(time+1)*AX$2, 0) = 0, $K140/(time_cap),0)),0)</f>
        <v/>
      </c>
      <c r="AY140" s="4395">
        <f>IFERROR(IF((time+time_cap)&lt;AY$2, 0,IF(AND(time+1&gt;=AZ$2, $E140&lt;AZ$2), IF($I140= "I", $J140/($F140-$E140+1), $J140/(($F140*($F140+1)/2)-(($E140-1)*($E140-1+1)/2))*AY$2), 0)+IF(IF(time+1&gt;=AZ$2, $K140/time_cap/(time+1)*AY$2, 0) = 0, $K140/(time_cap),0)),0)</f>
        <v/>
      </c>
      <c r="AZ140" s="4395">
        <f>IFERROR(IF((time+time_cap)&lt;AZ$2, 0,IF(AND(time+1&gt;=BA$2, $E140&lt;BA$2), IF($I140= "I", $J140/($F140-$E140+1), $J140/(($F140*($F140+1)/2)-(($E140-1)*($E140-1+1)/2))*AZ$2), 0)+IF(IF(time+1&gt;=BA$2, $K140/time_cap/(time+1)*AZ$2, 0) = 0, $K140/(time_cap),0)),0)</f>
        <v/>
      </c>
      <c r="BA140" s="4395">
        <f>IFERROR(IF((time+time_cap)&lt;BA$2, 0,IF(AND(time+1&gt;=BB$2, $E140&lt;BB$2), IF($I140= "I", $J140/($F140-$E140+1), $J140/(($F140*($F140+1)/2)-(($E140-1)*($E140-1+1)/2))*BA$2), 0)+IF(IF(time+1&gt;=BB$2, $K140/time_cap/(time+1)*BA$2, 0) = 0, $K140/(time_cap),0)),0)</f>
        <v/>
      </c>
      <c r="BB140" s="4395">
        <f>IFERROR(IF((time+time_cap)&lt;BB$2, 0,IF(AND(time+1&gt;=BC$2, $E140&lt;BC$2), IF($I140= "I", $J140/($F140-$E140+1), $J140/(($F140*($F140+1)/2)-(($E140-1)*($E140-1+1)/2))*BB$2), 0)+IF(IF(time+1&gt;=BC$2, $K140/time_cap/(time+1)*BB$2, 0) = 0, $K140/(time_cap),0)),0)</f>
        <v/>
      </c>
      <c r="BC140" s="4395">
        <f>IFERROR(IF((time+time_cap)&lt;BC$2, 0,IF(AND(time+1&gt;=BD$2, $E140&lt;BD$2), IF($I140= "I", $J140/($F140-$E140+1), $J140/(($F140*($F140+1)/2)-(($E140-1)*($E140-1+1)/2))*BC$2), 0)+IF(IF(time+1&gt;=BD$2, $K140/time_cap/(time+1)*BC$2, 0) = 0, $K140/(time_cap),0)),0)</f>
        <v/>
      </c>
      <c r="BD140" s="4395">
        <f>IFERROR(IF((time+time_cap)&lt;BD$2, 0,IF(AND(time+1&gt;=BE$2, $E140&lt;BE$2), IF($I140= "I", $J140/($F140-$E140+1), $J140/(($F140*($F140+1)/2)-(($E140-1)*($E140-1+1)/2))*BD$2), 0)+IF(IF(time+1&gt;=BE$2, $K140/time_cap/(time+1)*BD$2, 0) = 0, $K140/(time_cap),0)),0)</f>
        <v/>
      </c>
      <c r="BE140" s="4395">
        <f>IFERROR(IF((time+time_cap)&lt;BE$2, 0,IF(AND(time+1&gt;=BF$2, $E140&lt;BF$2), IF($I140= "I", $J140/($F140-$E140+1), $J140/(($F140*($F140+1)/2)-(($E140-1)*($E140-1+1)/2))*BE$2), 0)+IF(IF(time+1&gt;=BF$2, $K140/time_cap/(time+1)*BE$2, 0) = 0, $K140/(time_cap),0)),0)</f>
        <v/>
      </c>
      <c r="BF140" s="4395">
        <f>IFERROR(IF((time+time_cap)&lt;BF$2, 0,IF(AND(time+1&gt;=BG$2, $E140&lt;BG$2), IF($I140= "I", $J140/($F140-$E140+1), $J140/(($F140*($F140+1)/2)-(($E140-1)*($E140-1+1)/2))*BF$2), 0)+IF(IF(time+1&gt;=BG$2, $K140/time_cap/(time+1)*BF$2, 0) = 0, $K140/(time_cap),0)),0)</f>
        <v/>
      </c>
      <c r="BG140" s="4395">
        <f>IFERROR(IF((time+time_cap)&lt;BG$2, 0,IF(AND(time+1&gt;=BH$2, $E140&lt;BH$2), IF($I140= "I", $J140/($F140-$E140+1), $J140/(($F140*($F140+1)/2)-(($E140-1)*($E140-1+1)/2))*BG$2), 0)+IF(IF(time+1&gt;=BH$2, $K140/time_cap/(time+1)*BG$2, 0) = 0, $K140/(time_cap),0)),0)</f>
        <v/>
      </c>
      <c r="BH140" s="4395">
        <f>IFERROR(IF((time+time_cap)&lt;BH$2, 0,IF(AND(time+1&gt;=BI$2, $E140&lt;BI$2), IF($I140= "I", $J140/($F140-$E140+1), $J140/(($F140*($F140+1)/2)-(($E140-1)*($E140-1+1)/2))*BH$2), 0)+IF(IF(time+1&gt;=BI$2, $K140/time_cap/(time+1)*BH$2, 0) = 0, $K140/(time_cap),0)),0)</f>
        <v/>
      </c>
      <c r="BI140" s="4395">
        <f>IFERROR(IF((time+time_cap)&lt;BI$2, 0,IF(AND(time+1&gt;=BJ$2, $E140&lt;BJ$2), IF($I140= "I", $J140/($F140-$E140+1), $J140/(($F140*($F140+1)/2)-(($E140-1)*($E140-1+1)/2))*BI$2), 0)+IF(IF(time+1&gt;=BJ$2, $K140/time_cap/(time+1)*BI$2, 0) = 0, $K140/(time_cap),0)),0)</f>
        <v/>
      </c>
      <c r="BJ140" s="4395">
        <f>IFERROR(IF((time+time_cap)&lt;BJ$2, 0,IF(AND(time+1&gt;=BK$2, $E140&lt;BK$2), IF($I140= "I", $J140/($F140-$E140+1), $J140/(($F140*($F140+1)/2)-(($E140-1)*($E140-1+1)/2))*BJ$2), 0)+IF(IF(time+1&gt;=BK$2, $K140/time_cap/(time+1)*BJ$2, 0) = 0, $K140/(time_cap),0)),0)</f>
        <v/>
      </c>
      <c r="BK140" s="4395" t="n"/>
      <c r="BL140" s="4395" t="n"/>
      <c r="BM140" s="4395" t="n"/>
      <c r="BN140" s="4395" t="n"/>
      <c r="BO140" s="4395" t="n"/>
      <c r="BP140" s="4395" t="n"/>
      <c r="BQ140" s="4395" t="n"/>
      <c r="BR140" s="4395" t="n"/>
      <c r="BS140" s="4395" t="n"/>
      <c r="BT140" s="4395" t="n"/>
      <c r="BU140" s="4395" t="n"/>
      <c r="BV140" s="4395" t="n"/>
      <c r="BW140" s="4395" t="n"/>
      <c r="BX140" s="4395" t="n"/>
      <c r="BY140" s="4395" t="n"/>
      <c r="BZ140" s="4395" t="n"/>
      <c r="CA140" s="4395" t="n"/>
      <c r="CB140" s="4395" t="n"/>
      <c r="CC140" s="4395" t="n"/>
      <c r="CD140" s="4395" t="n"/>
      <c r="CE140" s="4395" t="n"/>
      <c r="CF140" s="4395" t="n"/>
      <c r="CG140" s="4395" t="n"/>
      <c r="CH140" s="4395" t="n"/>
      <c r="CI140" s="4395" t="n"/>
      <c r="CJ140" s="4395" t="n"/>
      <c r="CK140" s="4395" t="n"/>
      <c r="CL140" s="4395" t="n"/>
      <c r="CM140" s="4395" t="n"/>
      <c r="CN140" s="4395" t="n"/>
      <c r="CO140" s="4395" t="n"/>
      <c r="CP140" s="4395" t="n"/>
      <c r="CQ140" s="4395" t="n"/>
      <c r="CR140" s="4395" t="n"/>
      <c r="CS140" s="4395" t="n"/>
      <c r="CT140" s="4395" t="n"/>
      <c r="CU140" s="4395" t="n"/>
      <c r="CV140" s="4395" t="n"/>
      <c r="CW140" s="4395" t="n"/>
      <c r="CX140" s="4395" t="n"/>
      <c r="CY140" s="4395" t="n"/>
      <c r="CZ140" s="4395" t="n"/>
      <c r="DA140" s="4395" t="n"/>
      <c r="DB140" s="4395" t="n"/>
      <c r="DC140" s="4395" t="n"/>
      <c r="DD140" s="4395" t="n"/>
      <c r="DE140" s="4395" t="n"/>
      <c r="DF140" s="4395" t="n"/>
      <c r="DG140" s="4395" t="n"/>
      <c r="DH140" s="4395" t="n"/>
    </row>
    <row r="141" ht="16" customHeight="1">
      <c r="A141" t="inlineStr">
        <is>
          <t>Inland wetlands - forest management</t>
        </is>
      </c>
      <c r="C141">
        <f>'6.Inland wetlands'!C123</f>
        <v/>
      </c>
      <c r="D141">
        <f>'6.Inland wetlands'!AG123+'6.Inland wetlands'!AG134</f>
        <v/>
      </c>
      <c r="E141">
        <f>IF('6.Inland wetlands'!BV123&lt;&gt;0,'6.Inland wetlands'!BV123,'6.Inland wetlands'!BU123)</f>
        <v/>
      </c>
      <c r="F141">
        <f>time</f>
        <v/>
      </c>
      <c r="G141" s="4395">
        <f>'6.Inland wetlands'!O123</f>
        <v/>
      </c>
      <c r="H141" s="4395">
        <f>'6.Inland wetlands'!Q123</f>
        <v/>
      </c>
      <c r="I141" s="4395">
        <f>IF(OR(H141="I", G141="I"), "I", IF(OR(H141="E", G141="E"), "E", "D"))</f>
        <v/>
      </c>
      <c r="J141" s="4395">
        <f>((D141/(time_cap+((F141-E141+1)*VLOOKUP(I141,list!$I$48:$K$50,3, FALSE))))*(F141-E141+1)*VLOOKUP(I141,list!$I$48:$K$50,3, FALSE))</f>
        <v/>
      </c>
      <c r="K141" s="4395">
        <f>((D141/(time_cap+((F141-E141+1)*VLOOKUP(I141,list!$I$48:$K$50,3, FALSE))))*time_cap)</f>
        <v/>
      </c>
      <c r="M141" s="4395">
        <f>IFERROR(IF((time+time_cap)&lt;M$2, 0,IF(AND(time+1&gt;=N$2, $E141&lt;N$2), IF($I141= "I", $J141/($F141-$E141+1), $J141/(($F141*($F141+1)/2)-(($E141-1)*($E141-1+1)/2))*M$2), 0)+IF(IF(time+1&gt;=N$2, $K141/time_cap/(time+1)*M$2, 0) = 0, $K141/(time_cap),0)),0)</f>
        <v/>
      </c>
      <c r="N141" s="4395">
        <f>IFERROR(IF((time+time_cap)&lt;N$2, 0,IF(AND(time+1&gt;=O$2, $E141&lt;O$2), IF($I141= "I", $J141/($F141-$E141+1), $J141/(($F141*($F141+1)/2)-(($E141-1)*($E141-1+1)/2))*N$2), 0)+IF(IF(time+1&gt;=O$2, $K141/time_cap/(time+1)*N$2, 0) = 0, $K141/(time_cap),0)),0)</f>
        <v/>
      </c>
      <c r="O141" s="4395">
        <f>IFERROR(IF((time+time_cap)&lt;O$2, 0,IF(AND(time+1&gt;=P$2, $E141&lt;P$2), IF($I141= "I", $J141/($F141-$E141+1), $J141/(($F141*($F141+1)/2)-(($E141-1)*($E141-1+1)/2))*O$2), 0)+IF(IF(time+1&gt;=P$2, $K141/time_cap/(time+1)*O$2, 0) = 0, $K141/(time_cap),0)),0)</f>
        <v/>
      </c>
      <c r="P141" s="4395">
        <f>IFERROR(IF((time+time_cap)&lt;P$2, 0,IF(AND(time+1&gt;=Q$2, $E141&lt;Q$2), IF($I141= "I", $J141/($F141-$E141+1), $J141/(($F141*($F141+1)/2)-(($E141-1)*($E141-1+1)/2))*P$2), 0)+IF(IF(time+1&gt;=Q$2, $K141/time_cap/(time+1)*P$2, 0) = 0, $K141/(time_cap),0)),0)</f>
        <v/>
      </c>
      <c r="Q141" s="4395">
        <f>IFERROR(IF((time+time_cap)&lt;Q$2, 0,IF(AND(time+1&gt;=R$2, $E141&lt;R$2), IF($I141= "I", $J141/($F141-$E141+1), $J141/(($F141*($F141+1)/2)-(($E141-1)*($E141-1+1)/2))*Q$2), 0)+IF(IF(time+1&gt;=R$2, $K141/time_cap/(time+1)*Q$2, 0) = 0, $K141/(time_cap),0)),0)</f>
        <v/>
      </c>
      <c r="R141" s="4395">
        <f>IFERROR(IF((time+time_cap)&lt;R$2, 0,IF(AND(time+1&gt;=S$2, $E141&lt;S$2), IF($I141= "I", $J141/($F141-$E141+1), $J141/(($F141*($F141+1)/2)-(($E141-1)*($E141-1+1)/2))*R$2), 0)+IF(IF(time+1&gt;=S$2, $K141/time_cap/(time+1)*R$2, 0) = 0, $K141/(time_cap),0)),0)</f>
        <v/>
      </c>
      <c r="S141" s="4395">
        <f>IFERROR(IF((time+time_cap)&lt;S$2, 0,IF(AND(time+1&gt;=T$2, $E141&lt;T$2), IF($I141= "I", $J141/($F141-$E141+1), $J141/(($F141*($F141+1)/2)-(($E141-1)*($E141-1+1)/2))*S$2), 0)+IF(IF(time+1&gt;=T$2, $K141/time_cap/(time+1)*S$2, 0) = 0, $K141/(time_cap),0)),0)</f>
        <v/>
      </c>
      <c r="T141" s="4395">
        <f>IFERROR(IF((time+time_cap)&lt;T$2, 0,IF(AND(time+1&gt;=U$2, $E141&lt;U$2), IF($I141= "I", $J141/($F141-$E141+1), $J141/(($F141*($F141+1)/2)-(($E141-1)*($E141-1+1)/2))*T$2), 0)+IF(IF(time+1&gt;=U$2, $K141/time_cap/(time+1)*T$2, 0) = 0, $K141/(time_cap),0)),0)</f>
        <v/>
      </c>
      <c r="U141" s="4395">
        <f>IFERROR(IF((time+time_cap)&lt;U$2, 0,IF(AND(time+1&gt;=V$2, $E141&lt;V$2), IF($I141= "I", $J141/($F141-$E141+1), $J141/(($F141*($F141+1)/2)-(($E141-1)*($E141-1+1)/2))*U$2), 0)+IF(IF(time+1&gt;=V$2, $K141/time_cap/(time+1)*U$2, 0) = 0, $K141/(time_cap),0)),0)</f>
        <v/>
      </c>
      <c r="V141" s="4395">
        <f>IFERROR(IF((time+time_cap)&lt;V$2, 0,IF(AND(time+1&gt;=W$2, $E141&lt;W$2), IF($I141= "I", $J141/($F141-$E141+1), $J141/(($F141*($F141+1)/2)-(($E141-1)*($E141-1+1)/2))*V$2), 0)+IF(IF(time+1&gt;=W$2, $K141/time_cap/(time+1)*V$2, 0) = 0, $K141/(time_cap),0)),0)</f>
        <v/>
      </c>
      <c r="W141" s="4395">
        <f>IFERROR(IF((time+time_cap)&lt;W$2, 0,IF(AND(time+1&gt;=X$2, $E141&lt;X$2), IF($I141= "I", $J141/($F141-$E141+1), $J141/(($F141*($F141+1)/2)-(($E141-1)*($E141-1+1)/2))*W$2), 0)+IF(IF(time+1&gt;=X$2, $K141/time_cap/(time+1)*W$2, 0) = 0, $K141/(time_cap),0)),0)</f>
        <v/>
      </c>
      <c r="X141" s="4395">
        <f>IFERROR(IF((time+time_cap)&lt;X$2, 0,IF(AND(time+1&gt;=Y$2, $E141&lt;Y$2), IF($I141= "I", $J141/($F141-$E141+1), $J141/(($F141*($F141+1)/2)-(($E141-1)*($E141-1+1)/2))*X$2), 0)+IF(IF(time+1&gt;=Y$2, $K141/time_cap/(time+1)*X$2, 0) = 0, $K141/(time_cap),0)),0)</f>
        <v/>
      </c>
      <c r="Y141" s="4395">
        <f>IFERROR(IF((time+time_cap)&lt;Y$2, 0,IF(AND(time+1&gt;=Z$2, $E141&lt;Z$2), IF($I141= "I", $J141/($F141-$E141+1), $J141/(($F141*($F141+1)/2)-(($E141-1)*($E141-1+1)/2))*Y$2), 0)+IF(IF(time+1&gt;=Z$2, $K141/time_cap/(time+1)*Y$2, 0) = 0, $K141/(time_cap),0)),0)</f>
        <v/>
      </c>
      <c r="Z141" s="4395">
        <f>IFERROR(IF((time+time_cap)&lt;Z$2, 0,IF(AND(time+1&gt;=AA$2, $E141&lt;AA$2), IF($I141= "I", $J141/($F141-$E141+1), $J141/(($F141*($F141+1)/2)-(($E141-1)*($E141-1+1)/2))*Z$2), 0)+IF(IF(time+1&gt;=AA$2, $K141/time_cap/(time+1)*Z$2, 0) = 0, $K141/(time_cap),0)),0)</f>
        <v/>
      </c>
      <c r="AA141" s="4395">
        <f>IFERROR(IF((time+time_cap)&lt;AA$2, 0,IF(AND(time+1&gt;=AB$2, $E141&lt;AB$2), IF($I141= "I", $J141/($F141-$E141+1), $J141/(($F141*($F141+1)/2)-(($E141-1)*($E141-1+1)/2))*AA$2), 0)+IF(IF(time+1&gt;=AB$2, $K141/time_cap/(time+1)*AA$2, 0) = 0, $K141/(time_cap),0)),0)</f>
        <v/>
      </c>
      <c r="AB141" s="4395">
        <f>IFERROR(IF((time+time_cap)&lt;AB$2, 0,IF(AND(time+1&gt;=AC$2, $E141&lt;AC$2), IF($I141= "I", $J141/($F141-$E141+1), $J141/(($F141*($F141+1)/2)-(($E141-1)*($E141-1+1)/2))*AB$2), 0)+IF(IF(time+1&gt;=AC$2, $K141/time_cap/(time+1)*AB$2, 0) = 0, $K141/(time_cap),0)),0)</f>
        <v/>
      </c>
      <c r="AC141" s="4395">
        <f>IFERROR(IF((time+time_cap)&lt;AC$2, 0,IF(AND(time+1&gt;=AD$2, $E141&lt;AD$2), IF($I141= "I", $J141/($F141-$E141+1), $J141/(($F141*($F141+1)/2)-(($E141-1)*($E141-1+1)/2))*AC$2), 0)+IF(IF(time+1&gt;=AD$2, $K141/time_cap/(time+1)*AC$2, 0) = 0, $K141/(time_cap),0)),0)</f>
        <v/>
      </c>
      <c r="AD141" s="4395">
        <f>IFERROR(IF((time+time_cap)&lt;AD$2, 0,IF(AND(time+1&gt;=AE$2, $E141&lt;AE$2), IF($I141= "I", $J141/($F141-$E141+1), $J141/(($F141*($F141+1)/2)-(($E141-1)*($E141-1+1)/2))*AD$2), 0)+IF(IF(time+1&gt;=AE$2, $K141/time_cap/(time+1)*AD$2, 0) = 0, $K141/(time_cap),0)),0)</f>
        <v/>
      </c>
      <c r="AE141" s="4395">
        <f>IFERROR(IF((time+time_cap)&lt;AE$2, 0,IF(AND(time+1&gt;=AF$2, $E141&lt;AF$2), IF($I141= "I", $J141/($F141-$E141+1), $J141/(($F141*($F141+1)/2)-(($E141-1)*($E141-1+1)/2))*AE$2), 0)+IF(IF(time+1&gt;=AF$2, $K141/time_cap/(time+1)*AE$2, 0) = 0, $K141/(time_cap),0)),0)</f>
        <v/>
      </c>
      <c r="AF141" s="4395">
        <f>IFERROR(IF((time+time_cap)&lt;AF$2, 0,IF(AND(time+1&gt;=AG$2, $E141&lt;AG$2), IF($I141= "I", $J141/($F141-$E141+1), $J141/(($F141*($F141+1)/2)-(($E141-1)*($E141-1+1)/2))*AF$2), 0)+IF(IF(time+1&gt;=AG$2, $K141/time_cap/(time+1)*AF$2, 0) = 0, $K141/(time_cap),0)),0)</f>
        <v/>
      </c>
      <c r="AG141" s="4395">
        <f>IFERROR(IF((time+time_cap)&lt;AG$2, 0,IF(AND(time+1&gt;=AH$2, $E141&lt;AH$2), IF($I141= "I", $J141/($F141-$E141+1), $J141/(($F141*($F141+1)/2)-(($E141-1)*($E141-1+1)/2))*AG$2), 0)+IF(IF(time+1&gt;=AH$2, $K141/time_cap/(time+1)*AG$2, 0) = 0, $K141/(time_cap),0)),0)</f>
        <v/>
      </c>
      <c r="AH141" s="4395">
        <f>IFERROR(IF((time+time_cap)&lt;AH$2, 0,IF(AND(time+1&gt;=AI$2, $E141&lt;AI$2), IF($I141= "I", $J141/($F141-$E141+1), $J141/(($F141*($F141+1)/2)-(($E141-1)*($E141-1+1)/2))*AH$2), 0)+IF(IF(time+1&gt;=AI$2, $K141/time_cap/(time+1)*AH$2, 0) = 0, $K141/(time_cap),0)),0)</f>
        <v/>
      </c>
      <c r="AI141" s="4395">
        <f>IFERROR(IF((time+time_cap)&lt;AI$2, 0,IF(AND(time+1&gt;=AJ$2, $E141&lt;AJ$2), IF($I141= "I", $J141/($F141-$E141+1), $J141/(($F141*($F141+1)/2)-(($E141-1)*($E141-1+1)/2))*AI$2), 0)+IF(IF(time+1&gt;=AJ$2, $K141/time_cap/(time+1)*AI$2, 0) = 0, $K141/(time_cap),0)),0)</f>
        <v/>
      </c>
      <c r="AJ141" s="4395">
        <f>IFERROR(IF((time+time_cap)&lt;AJ$2, 0,IF(AND(time+1&gt;=AK$2, $E141&lt;AK$2), IF($I141= "I", $J141/($F141-$E141+1), $J141/(($F141*($F141+1)/2)-(($E141-1)*($E141-1+1)/2))*AJ$2), 0)+IF(IF(time+1&gt;=AK$2, $K141/time_cap/(time+1)*AJ$2, 0) = 0, $K141/(time_cap),0)),0)</f>
        <v/>
      </c>
      <c r="AK141" s="4395">
        <f>IFERROR(IF((time+time_cap)&lt;AK$2, 0,IF(AND(time+1&gt;=AL$2, $E141&lt;AL$2), IF($I141= "I", $J141/($F141-$E141+1), $J141/(($F141*($F141+1)/2)-(($E141-1)*($E141-1+1)/2))*AK$2), 0)+IF(IF(time+1&gt;=AL$2, $K141/time_cap/(time+1)*AK$2, 0) = 0, $K141/(time_cap),0)),0)</f>
        <v/>
      </c>
      <c r="AL141" s="4395">
        <f>IFERROR(IF((time+time_cap)&lt;AL$2, 0,IF(AND(time+1&gt;=AM$2, $E141&lt;AM$2), IF($I141= "I", $J141/($F141-$E141+1), $J141/(($F141*($F141+1)/2)-(($E141-1)*($E141-1+1)/2))*AL$2), 0)+IF(IF(time+1&gt;=AM$2, $K141/time_cap/(time+1)*AL$2, 0) = 0, $K141/(time_cap),0)),0)</f>
        <v/>
      </c>
      <c r="AM141" s="4395">
        <f>IFERROR(IF((time+time_cap)&lt;AM$2, 0,IF(AND(time+1&gt;=AN$2, $E141&lt;AN$2), IF($I141= "I", $J141/($F141-$E141+1), $J141/(($F141*($F141+1)/2)-(($E141-1)*($E141-1+1)/2))*AM$2), 0)+IF(IF(time+1&gt;=AN$2, $K141/time_cap/(time+1)*AM$2, 0) = 0, $K141/(time_cap),0)),0)</f>
        <v/>
      </c>
      <c r="AN141" s="4395">
        <f>IFERROR(IF((time+time_cap)&lt;AN$2, 0,IF(AND(time+1&gt;=AO$2, $E141&lt;AO$2), IF($I141= "I", $J141/($F141-$E141+1), $J141/(($F141*($F141+1)/2)-(($E141-1)*($E141-1+1)/2))*AN$2), 0)+IF(IF(time+1&gt;=AO$2, $K141/time_cap/(time+1)*AN$2, 0) = 0, $K141/(time_cap),0)),0)</f>
        <v/>
      </c>
      <c r="AO141" s="4395">
        <f>IFERROR(IF((time+time_cap)&lt;AO$2, 0,IF(AND(time+1&gt;=AP$2, $E141&lt;AP$2), IF($I141= "I", $J141/($F141-$E141+1), $J141/(($F141*($F141+1)/2)-(($E141-1)*($E141-1+1)/2))*AO$2), 0)+IF(IF(time+1&gt;=AP$2, $K141/time_cap/(time+1)*AO$2, 0) = 0, $K141/(time_cap),0)),0)</f>
        <v/>
      </c>
      <c r="AP141" s="4395">
        <f>IFERROR(IF((time+time_cap)&lt;AP$2, 0,IF(AND(time+1&gt;=AQ$2, $E141&lt;AQ$2), IF($I141= "I", $J141/($F141-$E141+1), $J141/(($F141*($F141+1)/2)-(($E141-1)*($E141-1+1)/2))*AP$2), 0)+IF(IF(time+1&gt;=AQ$2, $K141/time_cap/(time+1)*AP$2, 0) = 0, $K141/(time_cap),0)),0)</f>
        <v/>
      </c>
      <c r="AQ141" s="4395">
        <f>IFERROR(IF((time+time_cap)&lt;AQ$2, 0,IF(AND(time+1&gt;=AR$2, $E141&lt;AR$2), IF($I141= "I", $J141/($F141-$E141+1), $J141/(($F141*($F141+1)/2)-(($E141-1)*($E141-1+1)/2))*AQ$2), 0)+IF(IF(time+1&gt;=AR$2, $K141/time_cap/(time+1)*AQ$2, 0) = 0, $K141/(time_cap),0)),0)</f>
        <v/>
      </c>
      <c r="AR141" s="4395">
        <f>IFERROR(IF((time+time_cap)&lt;AR$2, 0,IF(AND(time+1&gt;=AS$2, $E141&lt;AS$2), IF($I141= "I", $J141/($F141-$E141+1), $J141/(($F141*($F141+1)/2)-(($E141-1)*($E141-1+1)/2))*AR$2), 0)+IF(IF(time+1&gt;=AS$2, $K141/time_cap/(time+1)*AR$2, 0) = 0, $K141/(time_cap),0)),0)</f>
        <v/>
      </c>
      <c r="AS141" s="4395">
        <f>IFERROR(IF((time+time_cap)&lt;AS$2, 0,IF(AND(time+1&gt;=AT$2, $E141&lt;AT$2), IF($I141= "I", $J141/($F141-$E141+1), $J141/(($F141*($F141+1)/2)-(($E141-1)*($E141-1+1)/2))*AS$2), 0)+IF(IF(time+1&gt;=AT$2, $K141/time_cap/(time+1)*AS$2, 0) = 0, $K141/(time_cap),0)),0)</f>
        <v/>
      </c>
      <c r="AT141" s="4395">
        <f>IFERROR(IF((time+time_cap)&lt;AT$2, 0,IF(AND(time+1&gt;=AU$2, $E141&lt;AU$2), IF($I141= "I", $J141/($F141-$E141+1), $J141/(($F141*($F141+1)/2)-(($E141-1)*($E141-1+1)/2))*AT$2), 0)+IF(IF(time+1&gt;=AU$2, $K141/time_cap/(time+1)*AT$2, 0) = 0, $K141/(time_cap),0)),0)</f>
        <v/>
      </c>
      <c r="AU141" s="4395">
        <f>IFERROR(IF((time+time_cap)&lt;AU$2, 0,IF(AND(time+1&gt;=AV$2, $E141&lt;AV$2), IF($I141= "I", $J141/($F141-$E141+1), $J141/(($F141*($F141+1)/2)-(($E141-1)*($E141-1+1)/2))*AU$2), 0)+IF(IF(time+1&gt;=AV$2, $K141/time_cap/(time+1)*AU$2, 0) = 0, $K141/(time_cap),0)),0)</f>
        <v/>
      </c>
      <c r="AV141" s="4395">
        <f>IFERROR(IF((time+time_cap)&lt;AV$2, 0,IF(AND(time+1&gt;=AW$2, $E141&lt;AW$2), IF($I141= "I", $J141/($F141-$E141+1), $J141/(($F141*($F141+1)/2)-(($E141-1)*($E141-1+1)/2))*AV$2), 0)+IF(IF(time+1&gt;=AW$2, $K141/time_cap/(time+1)*AV$2, 0) = 0, $K141/(time_cap),0)),0)</f>
        <v/>
      </c>
      <c r="AW141" s="4395">
        <f>IFERROR(IF((time+time_cap)&lt;AW$2, 0,IF(AND(time+1&gt;=AX$2, $E141&lt;AX$2), IF($I141= "I", $J141/($F141-$E141+1), $J141/(($F141*($F141+1)/2)-(($E141-1)*($E141-1+1)/2))*AW$2), 0)+IF(IF(time+1&gt;=AX$2, $K141/time_cap/(time+1)*AW$2, 0) = 0, $K141/(time_cap),0)),0)</f>
        <v/>
      </c>
      <c r="AX141" s="4395">
        <f>IFERROR(IF((time+time_cap)&lt;AX$2, 0,IF(AND(time+1&gt;=AY$2, $E141&lt;AY$2), IF($I141= "I", $J141/($F141-$E141+1), $J141/(($F141*($F141+1)/2)-(($E141-1)*($E141-1+1)/2))*AX$2), 0)+IF(IF(time+1&gt;=AY$2, $K141/time_cap/(time+1)*AX$2, 0) = 0, $K141/(time_cap),0)),0)</f>
        <v/>
      </c>
      <c r="AY141" s="4395">
        <f>IFERROR(IF((time+time_cap)&lt;AY$2, 0,IF(AND(time+1&gt;=AZ$2, $E141&lt;AZ$2), IF($I141= "I", $J141/($F141-$E141+1), $J141/(($F141*($F141+1)/2)-(($E141-1)*($E141-1+1)/2))*AY$2), 0)+IF(IF(time+1&gt;=AZ$2, $K141/time_cap/(time+1)*AY$2, 0) = 0, $K141/(time_cap),0)),0)</f>
        <v/>
      </c>
      <c r="AZ141" s="4395">
        <f>IFERROR(IF((time+time_cap)&lt;AZ$2, 0,IF(AND(time+1&gt;=BA$2, $E141&lt;BA$2), IF($I141= "I", $J141/($F141-$E141+1), $J141/(($F141*($F141+1)/2)-(($E141-1)*($E141-1+1)/2))*AZ$2), 0)+IF(IF(time+1&gt;=BA$2, $K141/time_cap/(time+1)*AZ$2, 0) = 0, $K141/(time_cap),0)),0)</f>
        <v/>
      </c>
      <c r="BA141" s="4395">
        <f>IFERROR(IF((time+time_cap)&lt;BA$2, 0,IF(AND(time+1&gt;=BB$2, $E141&lt;BB$2), IF($I141= "I", $J141/($F141-$E141+1), $J141/(($F141*($F141+1)/2)-(($E141-1)*($E141-1+1)/2))*BA$2), 0)+IF(IF(time+1&gt;=BB$2, $K141/time_cap/(time+1)*BA$2, 0) = 0, $K141/(time_cap),0)),0)</f>
        <v/>
      </c>
      <c r="BB141" s="4395">
        <f>IFERROR(IF((time+time_cap)&lt;BB$2, 0,IF(AND(time+1&gt;=BC$2, $E141&lt;BC$2), IF($I141= "I", $J141/($F141-$E141+1), $J141/(($F141*($F141+1)/2)-(($E141-1)*($E141-1+1)/2))*BB$2), 0)+IF(IF(time+1&gt;=BC$2, $K141/time_cap/(time+1)*BB$2, 0) = 0, $K141/(time_cap),0)),0)</f>
        <v/>
      </c>
      <c r="BC141" s="4395">
        <f>IFERROR(IF((time+time_cap)&lt;BC$2, 0,IF(AND(time+1&gt;=BD$2, $E141&lt;BD$2), IF($I141= "I", $J141/($F141-$E141+1), $J141/(($F141*($F141+1)/2)-(($E141-1)*($E141-1+1)/2))*BC$2), 0)+IF(IF(time+1&gt;=BD$2, $K141/time_cap/(time+1)*BC$2, 0) = 0, $K141/(time_cap),0)),0)</f>
        <v/>
      </c>
      <c r="BD141" s="4395">
        <f>IFERROR(IF((time+time_cap)&lt;BD$2, 0,IF(AND(time+1&gt;=BE$2, $E141&lt;BE$2), IF($I141= "I", $J141/($F141-$E141+1), $J141/(($F141*($F141+1)/2)-(($E141-1)*($E141-1+1)/2))*BD$2), 0)+IF(IF(time+1&gt;=BE$2, $K141/time_cap/(time+1)*BD$2, 0) = 0, $K141/(time_cap),0)),0)</f>
        <v/>
      </c>
      <c r="BE141" s="4395">
        <f>IFERROR(IF((time+time_cap)&lt;BE$2, 0,IF(AND(time+1&gt;=BF$2, $E141&lt;BF$2), IF($I141= "I", $J141/($F141-$E141+1), $J141/(($F141*($F141+1)/2)-(($E141-1)*($E141-1+1)/2))*BE$2), 0)+IF(IF(time+1&gt;=BF$2, $K141/time_cap/(time+1)*BE$2, 0) = 0, $K141/(time_cap),0)),0)</f>
        <v/>
      </c>
      <c r="BF141" s="4395">
        <f>IFERROR(IF((time+time_cap)&lt;BF$2, 0,IF(AND(time+1&gt;=BG$2, $E141&lt;BG$2), IF($I141= "I", $J141/($F141-$E141+1), $J141/(($F141*($F141+1)/2)-(($E141-1)*($E141-1+1)/2))*BF$2), 0)+IF(IF(time+1&gt;=BG$2, $K141/time_cap/(time+1)*BF$2, 0) = 0, $K141/(time_cap),0)),0)</f>
        <v/>
      </c>
      <c r="BG141" s="4395">
        <f>IFERROR(IF((time+time_cap)&lt;BG$2, 0,IF(AND(time+1&gt;=BH$2, $E141&lt;BH$2), IF($I141= "I", $J141/($F141-$E141+1), $J141/(($F141*($F141+1)/2)-(($E141-1)*($E141-1+1)/2))*BG$2), 0)+IF(IF(time+1&gt;=BH$2, $K141/time_cap/(time+1)*BG$2, 0) = 0, $K141/(time_cap),0)),0)</f>
        <v/>
      </c>
      <c r="BH141" s="4395">
        <f>IFERROR(IF((time+time_cap)&lt;BH$2, 0,IF(AND(time+1&gt;=BI$2, $E141&lt;BI$2), IF($I141= "I", $J141/($F141-$E141+1), $J141/(($F141*($F141+1)/2)-(($E141-1)*($E141-1+1)/2))*BH$2), 0)+IF(IF(time+1&gt;=BI$2, $K141/time_cap/(time+1)*BH$2, 0) = 0, $K141/(time_cap),0)),0)</f>
        <v/>
      </c>
      <c r="BI141" s="4395">
        <f>IFERROR(IF((time+time_cap)&lt;BI$2, 0,IF(AND(time+1&gt;=BJ$2, $E141&lt;BJ$2), IF($I141= "I", $J141/($F141-$E141+1), $J141/(($F141*($F141+1)/2)-(($E141-1)*($E141-1+1)/2))*BI$2), 0)+IF(IF(time+1&gt;=BJ$2, $K141/time_cap/(time+1)*BI$2, 0) = 0, $K141/(time_cap),0)),0)</f>
        <v/>
      </c>
      <c r="BJ141" s="4395">
        <f>IFERROR(IF((time+time_cap)&lt;BJ$2, 0,IF(AND(time+1&gt;=BK$2, $E141&lt;BK$2), IF($I141= "I", $J141/($F141-$E141+1), $J141/(($F141*($F141+1)/2)-(($E141-1)*($E141-1+1)/2))*BJ$2), 0)+IF(IF(time+1&gt;=BK$2, $K141/time_cap/(time+1)*BJ$2, 0) = 0, $K141/(time_cap),0)),0)</f>
        <v/>
      </c>
      <c r="BK141" s="4395" t="n"/>
      <c r="BL141" s="4395" t="n"/>
      <c r="BM141" s="4395" t="n"/>
      <c r="BN141" s="4395" t="n"/>
      <c r="BO141" s="4395" t="n"/>
      <c r="BP141" s="4395" t="n"/>
      <c r="BQ141" s="4395" t="n"/>
      <c r="BR141" s="4395" t="n"/>
      <c r="BS141" s="4395" t="n"/>
      <c r="BT141" s="4395" t="n"/>
      <c r="BU141" s="4395" t="n"/>
      <c r="BV141" s="4395" t="n"/>
      <c r="BW141" s="4395" t="n"/>
      <c r="BX141" s="4395" t="n"/>
      <c r="BY141" s="4395" t="n"/>
      <c r="BZ141" s="4395" t="n"/>
      <c r="CA141" s="4395" t="n"/>
      <c r="CB141" s="4395" t="n"/>
      <c r="CC141" s="4395" t="n"/>
      <c r="CD141" s="4395" t="n"/>
      <c r="CE141" s="4395" t="n"/>
      <c r="CF141" s="4395" t="n"/>
      <c r="CG141" s="4395" t="n"/>
      <c r="CH141" s="4395" t="n"/>
      <c r="CI141" s="4395" t="n"/>
      <c r="CJ141" s="4395" t="n"/>
      <c r="CK141" s="4395" t="n"/>
      <c r="CL141" s="4395" t="n"/>
      <c r="CM141" s="4395" t="n"/>
      <c r="CN141" s="4395" t="n"/>
      <c r="CO141" s="4395" t="n"/>
      <c r="CP141" s="4395" t="n"/>
      <c r="CQ141" s="4395" t="n"/>
      <c r="CR141" s="4395" t="n"/>
      <c r="CS141" s="4395" t="n"/>
      <c r="CT141" s="4395" t="n"/>
      <c r="CU141" s="4395" t="n"/>
      <c r="CV141" s="4395" t="n"/>
      <c r="CW141" s="4395" t="n"/>
      <c r="CX141" s="4395" t="n"/>
      <c r="CY141" s="4395" t="n"/>
      <c r="CZ141" s="4395" t="n"/>
      <c r="DA141" s="4395" t="n"/>
      <c r="DB141" s="4395" t="n"/>
      <c r="DC141" s="4395" t="n"/>
      <c r="DD141" s="4395" t="n"/>
      <c r="DE141" s="4395" t="n"/>
      <c r="DF141" s="4395" t="n"/>
      <c r="DG141" s="4395" t="n"/>
      <c r="DH141" s="4395" t="n"/>
    </row>
    <row r="142" ht="16" customHeight="1">
      <c r="A142" t="inlineStr">
        <is>
          <t>Inland wetlands - land management</t>
        </is>
      </c>
      <c r="B142">
        <f>'6.Inland wetlands'!C150</f>
        <v/>
      </c>
      <c r="C142">
        <f>'6.Inland wetlands'!I150</f>
        <v/>
      </c>
      <c r="D142">
        <f>'6.Inland wetlands'!AG150</f>
        <v/>
      </c>
      <c r="E142">
        <f>IF('6.Inland wetlands'!CA150&lt;&gt;0,'6.Inland wetlands'!CA150,'6.Inland wetlands'!BZ150)</f>
        <v/>
      </c>
      <c r="F142">
        <f>time</f>
        <v/>
      </c>
      <c r="G142" s="4395">
        <f>'6.Inland wetlands'!O150</f>
        <v/>
      </c>
      <c r="H142" s="4395">
        <f>'6.Inland wetlands'!Q150</f>
        <v/>
      </c>
      <c r="I142" s="4395">
        <f>IF(OR(H142="I", G142="I"), "I", IF(OR(H142="E", G142="E"), "E", "D"))</f>
        <v/>
      </c>
      <c r="J142" s="4395">
        <f>((D142/(time_cap+((F142-E142+1)*VLOOKUP(I142,list!$I$48:$K$50,3, FALSE))))*(F142-E142+1)*VLOOKUP(I142,list!$I$48:$K$50,3, FALSE))</f>
        <v/>
      </c>
      <c r="K142" s="4395">
        <f>((D142/(time_cap+((F142-E142+1)*VLOOKUP(I142,list!$I$48:$K$50,3, FALSE))))*time_cap)</f>
        <v/>
      </c>
      <c r="M142" s="4395">
        <f>IFERROR(IF((time+time_cap)&lt;M$2, 0,IF(AND(time+1&gt;=N$2, $E142&lt;N$2), IF($I142= "I", $J142/($F142-$E142+1), $J142/(($F142*($F142+1)/2)-(($E142-1)*($E142-1+1)/2))*M$2), 0)+IF(IF(time+1&gt;=N$2, $K142/time_cap/(time+1)*M$2, 0) = 0, $K142/(time_cap),0)),0)</f>
        <v/>
      </c>
      <c r="N142" s="4395">
        <f>IFERROR(IF((time+time_cap)&lt;N$2, 0,IF(AND(time+1&gt;=O$2, $E142&lt;O$2), IF($I142= "I", $J142/($F142-$E142+1), $J142/(($F142*($F142+1)/2)-(($E142-1)*($E142-1+1)/2))*N$2), 0)+IF(IF(time+1&gt;=O$2, $K142/time_cap/(time+1)*N$2, 0) = 0, $K142/(time_cap),0)),0)</f>
        <v/>
      </c>
      <c r="O142" s="4395">
        <f>IFERROR(IF((time+time_cap)&lt;O$2, 0,IF(AND(time+1&gt;=P$2, $E142&lt;P$2), IF($I142= "I", $J142/($F142-$E142+1), $J142/(($F142*($F142+1)/2)-(($E142-1)*($E142-1+1)/2))*O$2), 0)+IF(IF(time+1&gt;=P$2, $K142/time_cap/(time+1)*O$2, 0) = 0, $K142/(time_cap),0)),0)</f>
        <v/>
      </c>
      <c r="P142" s="4395">
        <f>IFERROR(IF((time+time_cap)&lt;P$2, 0,IF(AND(time+1&gt;=Q$2, $E142&lt;Q$2), IF($I142= "I", $J142/($F142-$E142+1), $J142/(($F142*($F142+1)/2)-(($E142-1)*($E142-1+1)/2))*P$2), 0)+IF(IF(time+1&gt;=Q$2, $K142/time_cap/(time+1)*P$2, 0) = 0, $K142/(time_cap),0)),0)</f>
        <v/>
      </c>
      <c r="Q142" s="4395">
        <f>IFERROR(IF((time+time_cap)&lt;Q$2, 0,IF(AND(time+1&gt;=R$2, $E142&lt;R$2), IF($I142= "I", $J142/($F142-$E142+1), $J142/(($F142*($F142+1)/2)-(($E142-1)*($E142-1+1)/2))*Q$2), 0)+IF(IF(time+1&gt;=R$2, $K142/time_cap/(time+1)*Q$2, 0) = 0, $K142/(time_cap),0)),0)</f>
        <v/>
      </c>
      <c r="R142" s="4395">
        <f>IFERROR(IF((time+time_cap)&lt;R$2, 0,IF(AND(time+1&gt;=S$2, $E142&lt;S$2), IF($I142= "I", $J142/($F142-$E142+1), $J142/(($F142*($F142+1)/2)-(($E142-1)*($E142-1+1)/2))*R$2), 0)+IF(IF(time+1&gt;=S$2, $K142/time_cap/(time+1)*R$2, 0) = 0, $K142/(time_cap),0)),0)</f>
        <v/>
      </c>
      <c r="S142" s="4395">
        <f>IFERROR(IF((time+time_cap)&lt;S$2, 0,IF(AND(time+1&gt;=T$2, $E142&lt;T$2), IF($I142= "I", $J142/($F142-$E142+1), $J142/(($F142*($F142+1)/2)-(($E142-1)*($E142-1+1)/2))*S$2), 0)+IF(IF(time+1&gt;=T$2, $K142/time_cap/(time+1)*S$2, 0) = 0, $K142/(time_cap),0)),0)</f>
        <v/>
      </c>
      <c r="T142" s="4395">
        <f>IFERROR(IF((time+time_cap)&lt;T$2, 0,IF(AND(time+1&gt;=U$2, $E142&lt;U$2), IF($I142= "I", $J142/($F142-$E142+1), $J142/(($F142*($F142+1)/2)-(($E142-1)*($E142-1+1)/2))*T$2), 0)+IF(IF(time+1&gt;=U$2, $K142/time_cap/(time+1)*T$2, 0) = 0, $K142/(time_cap),0)),0)</f>
        <v/>
      </c>
      <c r="U142" s="4395">
        <f>IFERROR(IF((time+time_cap)&lt;U$2, 0,IF(AND(time+1&gt;=V$2, $E142&lt;V$2), IF($I142= "I", $J142/($F142-$E142+1), $J142/(($F142*($F142+1)/2)-(($E142-1)*($E142-1+1)/2))*U$2), 0)+IF(IF(time+1&gt;=V$2, $K142/time_cap/(time+1)*U$2, 0) = 0, $K142/(time_cap),0)),0)</f>
        <v/>
      </c>
      <c r="V142" s="4395">
        <f>IFERROR(IF((time+time_cap)&lt;V$2, 0,IF(AND(time+1&gt;=W$2, $E142&lt;W$2), IF($I142= "I", $J142/($F142-$E142+1), $J142/(($F142*($F142+1)/2)-(($E142-1)*($E142-1+1)/2))*V$2), 0)+IF(IF(time+1&gt;=W$2, $K142/time_cap/(time+1)*V$2, 0) = 0, $K142/(time_cap),0)),0)</f>
        <v/>
      </c>
      <c r="W142" s="4395">
        <f>IFERROR(IF((time+time_cap)&lt;W$2, 0,IF(AND(time+1&gt;=X$2, $E142&lt;X$2), IF($I142= "I", $J142/($F142-$E142+1), $J142/(($F142*($F142+1)/2)-(($E142-1)*($E142-1+1)/2))*W$2), 0)+IF(IF(time+1&gt;=X$2, $K142/time_cap/(time+1)*W$2, 0) = 0, $K142/(time_cap),0)),0)</f>
        <v/>
      </c>
      <c r="X142" s="4395">
        <f>IFERROR(IF((time+time_cap)&lt;X$2, 0,IF(AND(time+1&gt;=Y$2, $E142&lt;Y$2), IF($I142= "I", $J142/($F142-$E142+1), $J142/(($F142*($F142+1)/2)-(($E142-1)*($E142-1+1)/2))*X$2), 0)+IF(IF(time+1&gt;=Y$2, $K142/time_cap/(time+1)*X$2, 0) = 0, $K142/(time_cap),0)),0)</f>
        <v/>
      </c>
      <c r="Y142" s="4395">
        <f>IFERROR(IF((time+time_cap)&lt;Y$2, 0,IF(AND(time+1&gt;=Z$2, $E142&lt;Z$2), IF($I142= "I", $J142/($F142-$E142+1), $J142/(($F142*($F142+1)/2)-(($E142-1)*($E142-1+1)/2))*Y$2), 0)+IF(IF(time+1&gt;=Z$2, $K142/time_cap/(time+1)*Y$2, 0) = 0, $K142/(time_cap),0)),0)</f>
        <v/>
      </c>
      <c r="Z142" s="4395">
        <f>IFERROR(IF((time+time_cap)&lt;Z$2, 0,IF(AND(time+1&gt;=AA$2, $E142&lt;AA$2), IF($I142= "I", $J142/($F142-$E142+1), $J142/(($F142*($F142+1)/2)-(($E142-1)*($E142-1+1)/2))*Z$2), 0)+IF(IF(time+1&gt;=AA$2, $K142/time_cap/(time+1)*Z$2, 0) = 0, $K142/(time_cap),0)),0)</f>
        <v/>
      </c>
      <c r="AA142" s="4395">
        <f>IFERROR(IF((time+time_cap)&lt;AA$2, 0,IF(AND(time+1&gt;=AB$2, $E142&lt;AB$2), IF($I142= "I", $J142/($F142-$E142+1), $J142/(($F142*($F142+1)/2)-(($E142-1)*($E142-1+1)/2))*AA$2), 0)+IF(IF(time+1&gt;=AB$2, $K142/time_cap/(time+1)*AA$2, 0) = 0, $K142/(time_cap),0)),0)</f>
        <v/>
      </c>
      <c r="AB142" s="4395">
        <f>IFERROR(IF((time+time_cap)&lt;AB$2, 0,IF(AND(time+1&gt;=AC$2, $E142&lt;AC$2), IF($I142= "I", $J142/($F142-$E142+1), $J142/(($F142*($F142+1)/2)-(($E142-1)*($E142-1+1)/2))*AB$2), 0)+IF(IF(time+1&gt;=AC$2, $K142/time_cap/(time+1)*AB$2, 0) = 0, $K142/(time_cap),0)),0)</f>
        <v/>
      </c>
      <c r="AC142" s="4395">
        <f>IFERROR(IF((time+time_cap)&lt;AC$2, 0,IF(AND(time+1&gt;=AD$2, $E142&lt;AD$2), IF($I142= "I", $J142/($F142-$E142+1), $J142/(($F142*($F142+1)/2)-(($E142-1)*($E142-1+1)/2))*AC$2), 0)+IF(IF(time+1&gt;=AD$2, $K142/time_cap/(time+1)*AC$2, 0) = 0, $K142/(time_cap),0)),0)</f>
        <v/>
      </c>
      <c r="AD142" s="4395">
        <f>IFERROR(IF((time+time_cap)&lt;AD$2, 0,IF(AND(time+1&gt;=AE$2, $E142&lt;AE$2), IF($I142= "I", $J142/($F142-$E142+1), $J142/(($F142*($F142+1)/2)-(($E142-1)*($E142-1+1)/2))*AD$2), 0)+IF(IF(time+1&gt;=AE$2, $K142/time_cap/(time+1)*AD$2, 0) = 0, $K142/(time_cap),0)),0)</f>
        <v/>
      </c>
      <c r="AE142" s="4395">
        <f>IFERROR(IF((time+time_cap)&lt;AE$2, 0,IF(AND(time+1&gt;=AF$2, $E142&lt;AF$2), IF($I142= "I", $J142/($F142-$E142+1), $J142/(($F142*($F142+1)/2)-(($E142-1)*($E142-1+1)/2))*AE$2), 0)+IF(IF(time+1&gt;=AF$2, $K142/time_cap/(time+1)*AE$2, 0) = 0, $K142/(time_cap),0)),0)</f>
        <v/>
      </c>
      <c r="AF142" s="4395">
        <f>IFERROR(IF((time+time_cap)&lt;AF$2, 0,IF(AND(time+1&gt;=AG$2, $E142&lt;AG$2), IF($I142= "I", $J142/($F142-$E142+1), $J142/(($F142*($F142+1)/2)-(($E142-1)*($E142-1+1)/2))*AF$2), 0)+IF(IF(time+1&gt;=AG$2, $K142/time_cap/(time+1)*AF$2, 0) = 0, $K142/(time_cap),0)),0)</f>
        <v/>
      </c>
      <c r="AG142" s="4395">
        <f>IFERROR(IF((time+time_cap)&lt;AG$2, 0,IF(AND(time+1&gt;=AH$2, $E142&lt;AH$2), IF($I142= "I", $J142/($F142-$E142+1), $J142/(($F142*($F142+1)/2)-(($E142-1)*($E142-1+1)/2))*AG$2), 0)+IF(IF(time+1&gt;=AH$2, $K142/time_cap/(time+1)*AG$2, 0) = 0, $K142/(time_cap),0)),0)</f>
        <v/>
      </c>
      <c r="AH142" s="4395">
        <f>IFERROR(IF((time+time_cap)&lt;AH$2, 0,IF(AND(time+1&gt;=AI$2, $E142&lt;AI$2), IF($I142= "I", $J142/($F142-$E142+1), $J142/(($F142*($F142+1)/2)-(($E142-1)*($E142-1+1)/2))*AH$2), 0)+IF(IF(time+1&gt;=AI$2, $K142/time_cap/(time+1)*AH$2, 0) = 0, $K142/(time_cap),0)),0)</f>
        <v/>
      </c>
      <c r="AI142" s="4395">
        <f>IFERROR(IF((time+time_cap)&lt;AI$2, 0,IF(AND(time+1&gt;=AJ$2, $E142&lt;AJ$2), IF($I142= "I", $J142/($F142-$E142+1), $J142/(($F142*($F142+1)/2)-(($E142-1)*($E142-1+1)/2))*AI$2), 0)+IF(IF(time+1&gt;=AJ$2, $K142/time_cap/(time+1)*AI$2, 0) = 0, $K142/(time_cap),0)),0)</f>
        <v/>
      </c>
      <c r="AJ142" s="4395">
        <f>IFERROR(IF((time+time_cap)&lt;AJ$2, 0,IF(AND(time+1&gt;=AK$2, $E142&lt;AK$2), IF($I142= "I", $J142/($F142-$E142+1), $J142/(($F142*($F142+1)/2)-(($E142-1)*($E142-1+1)/2))*AJ$2), 0)+IF(IF(time+1&gt;=AK$2, $K142/time_cap/(time+1)*AJ$2, 0) = 0, $K142/(time_cap),0)),0)</f>
        <v/>
      </c>
      <c r="AK142" s="4395">
        <f>IFERROR(IF((time+time_cap)&lt;AK$2, 0,IF(AND(time+1&gt;=AL$2, $E142&lt;AL$2), IF($I142= "I", $J142/($F142-$E142+1), $J142/(($F142*($F142+1)/2)-(($E142-1)*($E142-1+1)/2))*AK$2), 0)+IF(IF(time+1&gt;=AL$2, $K142/time_cap/(time+1)*AK$2, 0) = 0, $K142/(time_cap),0)),0)</f>
        <v/>
      </c>
      <c r="AL142" s="4395">
        <f>IFERROR(IF((time+time_cap)&lt;AL$2, 0,IF(AND(time+1&gt;=AM$2, $E142&lt;AM$2), IF($I142= "I", $J142/($F142-$E142+1), $J142/(($F142*($F142+1)/2)-(($E142-1)*($E142-1+1)/2))*AL$2), 0)+IF(IF(time+1&gt;=AM$2, $K142/time_cap/(time+1)*AL$2, 0) = 0, $K142/(time_cap),0)),0)</f>
        <v/>
      </c>
      <c r="AM142" s="4395">
        <f>IFERROR(IF((time+time_cap)&lt;AM$2, 0,IF(AND(time+1&gt;=AN$2, $E142&lt;AN$2), IF($I142= "I", $J142/($F142-$E142+1), $J142/(($F142*($F142+1)/2)-(($E142-1)*($E142-1+1)/2))*AM$2), 0)+IF(IF(time+1&gt;=AN$2, $K142/time_cap/(time+1)*AM$2, 0) = 0, $K142/(time_cap),0)),0)</f>
        <v/>
      </c>
      <c r="AN142" s="4395">
        <f>IFERROR(IF((time+time_cap)&lt;AN$2, 0,IF(AND(time+1&gt;=AO$2, $E142&lt;AO$2), IF($I142= "I", $J142/($F142-$E142+1), $J142/(($F142*($F142+1)/2)-(($E142-1)*($E142-1+1)/2))*AN$2), 0)+IF(IF(time+1&gt;=AO$2, $K142/time_cap/(time+1)*AN$2, 0) = 0, $K142/(time_cap),0)),0)</f>
        <v/>
      </c>
      <c r="AO142" s="4395">
        <f>IFERROR(IF((time+time_cap)&lt;AO$2, 0,IF(AND(time+1&gt;=AP$2, $E142&lt;AP$2), IF($I142= "I", $J142/($F142-$E142+1), $J142/(($F142*($F142+1)/2)-(($E142-1)*($E142-1+1)/2))*AO$2), 0)+IF(IF(time+1&gt;=AP$2, $K142/time_cap/(time+1)*AO$2, 0) = 0, $K142/(time_cap),0)),0)</f>
        <v/>
      </c>
      <c r="AP142" s="4395">
        <f>IFERROR(IF((time+time_cap)&lt;AP$2, 0,IF(AND(time+1&gt;=AQ$2, $E142&lt;AQ$2), IF($I142= "I", $J142/($F142-$E142+1), $J142/(($F142*($F142+1)/2)-(($E142-1)*($E142-1+1)/2))*AP$2), 0)+IF(IF(time+1&gt;=AQ$2, $K142/time_cap/(time+1)*AP$2, 0) = 0, $K142/(time_cap),0)),0)</f>
        <v/>
      </c>
      <c r="AQ142" s="4395">
        <f>IFERROR(IF((time+time_cap)&lt;AQ$2, 0,IF(AND(time+1&gt;=AR$2, $E142&lt;AR$2), IF($I142= "I", $J142/($F142-$E142+1), $J142/(($F142*($F142+1)/2)-(($E142-1)*($E142-1+1)/2))*AQ$2), 0)+IF(IF(time+1&gt;=AR$2, $K142/time_cap/(time+1)*AQ$2, 0) = 0, $K142/(time_cap),0)),0)</f>
        <v/>
      </c>
      <c r="AR142" s="4395">
        <f>IFERROR(IF((time+time_cap)&lt;AR$2, 0,IF(AND(time+1&gt;=AS$2, $E142&lt;AS$2), IF($I142= "I", $J142/($F142-$E142+1), $J142/(($F142*($F142+1)/2)-(($E142-1)*($E142-1+1)/2))*AR$2), 0)+IF(IF(time+1&gt;=AS$2, $K142/time_cap/(time+1)*AR$2, 0) = 0, $K142/(time_cap),0)),0)</f>
        <v/>
      </c>
      <c r="AS142" s="4395">
        <f>IFERROR(IF((time+time_cap)&lt;AS$2, 0,IF(AND(time+1&gt;=AT$2, $E142&lt;AT$2), IF($I142= "I", $J142/($F142-$E142+1), $J142/(($F142*($F142+1)/2)-(($E142-1)*($E142-1+1)/2))*AS$2), 0)+IF(IF(time+1&gt;=AT$2, $K142/time_cap/(time+1)*AS$2, 0) = 0, $K142/(time_cap),0)),0)</f>
        <v/>
      </c>
      <c r="AT142" s="4395">
        <f>IFERROR(IF((time+time_cap)&lt;AT$2, 0,IF(AND(time+1&gt;=AU$2, $E142&lt;AU$2), IF($I142= "I", $J142/($F142-$E142+1), $J142/(($F142*($F142+1)/2)-(($E142-1)*($E142-1+1)/2))*AT$2), 0)+IF(IF(time+1&gt;=AU$2, $K142/time_cap/(time+1)*AT$2, 0) = 0, $K142/(time_cap),0)),0)</f>
        <v/>
      </c>
      <c r="AU142" s="4395">
        <f>IFERROR(IF((time+time_cap)&lt;AU$2, 0,IF(AND(time+1&gt;=AV$2, $E142&lt;AV$2), IF($I142= "I", $J142/($F142-$E142+1), $J142/(($F142*($F142+1)/2)-(($E142-1)*($E142-1+1)/2))*AU$2), 0)+IF(IF(time+1&gt;=AV$2, $K142/time_cap/(time+1)*AU$2, 0) = 0, $K142/(time_cap),0)),0)</f>
        <v/>
      </c>
      <c r="AV142" s="4395">
        <f>IFERROR(IF((time+time_cap)&lt;AV$2, 0,IF(AND(time+1&gt;=AW$2, $E142&lt;AW$2), IF($I142= "I", $J142/($F142-$E142+1), $J142/(($F142*($F142+1)/2)-(($E142-1)*($E142-1+1)/2))*AV$2), 0)+IF(IF(time+1&gt;=AW$2, $K142/time_cap/(time+1)*AV$2, 0) = 0, $K142/(time_cap),0)),0)</f>
        <v/>
      </c>
      <c r="AW142" s="4395">
        <f>IFERROR(IF((time+time_cap)&lt;AW$2, 0,IF(AND(time+1&gt;=AX$2, $E142&lt;AX$2), IF($I142= "I", $J142/($F142-$E142+1), $J142/(($F142*($F142+1)/2)-(($E142-1)*($E142-1+1)/2))*AW$2), 0)+IF(IF(time+1&gt;=AX$2, $K142/time_cap/(time+1)*AW$2, 0) = 0, $K142/(time_cap),0)),0)</f>
        <v/>
      </c>
      <c r="AX142" s="4395">
        <f>IFERROR(IF((time+time_cap)&lt;AX$2, 0,IF(AND(time+1&gt;=AY$2, $E142&lt;AY$2), IF($I142= "I", $J142/($F142-$E142+1), $J142/(($F142*($F142+1)/2)-(($E142-1)*($E142-1+1)/2))*AX$2), 0)+IF(IF(time+1&gt;=AY$2, $K142/time_cap/(time+1)*AX$2, 0) = 0, $K142/(time_cap),0)),0)</f>
        <v/>
      </c>
      <c r="AY142" s="4395">
        <f>IFERROR(IF((time+time_cap)&lt;AY$2, 0,IF(AND(time+1&gt;=AZ$2, $E142&lt;AZ$2), IF($I142= "I", $J142/($F142-$E142+1), $J142/(($F142*($F142+1)/2)-(($E142-1)*($E142-1+1)/2))*AY$2), 0)+IF(IF(time+1&gt;=AZ$2, $K142/time_cap/(time+1)*AY$2, 0) = 0, $K142/(time_cap),0)),0)</f>
        <v/>
      </c>
      <c r="AZ142" s="4395">
        <f>IFERROR(IF((time+time_cap)&lt;AZ$2, 0,IF(AND(time+1&gt;=BA$2, $E142&lt;BA$2), IF($I142= "I", $J142/($F142-$E142+1), $J142/(($F142*($F142+1)/2)-(($E142-1)*($E142-1+1)/2))*AZ$2), 0)+IF(IF(time+1&gt;=BA$2, $K142/time_cap/(time+1)*AZ$2, 0) = 0, $K142/(time_cap),0)),0)</f>
        <v/>
      </c>
      <c r="BA142" s="4395">
        <f>IFERROR(IF((time+time_cap)&lt;BA$2, 0,IF(AND(time+1&gt;=BB$2, $E142&lt;BB$2), IF($I142= "I", $J142/($F142-$E142+1), $J142/(($F142*($F142+1)/2)-(($E142-1)*($E142-1+1)/2))*BA$2), 0)+IF(IF(time+1&gt;=BB$2, $K142/time_cap/(time+1)*BA$2, 0) = 0, $K142/(time_cap),0)),0)</f>
        <v/>
      </c>
      <c r="BB142" s="4395">
        <f>IFERROR(IF((time+time_cap)&lt;BB$2, 0,IF(AND(time+1&gt;=BC$2, $E142&lt;BC$2), IF($I142= "I", $J142/($F142-$E142+1), $J142/(($F142*($F142+1)/2)-(($E142-1)*($E142-1+1)/2))*BB$2), 0)+IF(IF(time+1&gt;=BC$2, $K142/time_cap/(time+1)*BB$2, 0) = 0, $K142/(time_cap),0)),0)</f>
        <v/>
      </c>
      <c r="BC142" s="4395">
        <f>IFERROR(IF((time+time_cap)&lt;BC$2, 0,IF(AND(time+1&gt;=BD$2, $E142&lt;BD$2), IF($I142= "I", $J142/($F142-$E142+1), $J142/(($F142*($F142+1)/2)-(($E142-1)*($E142-1+1)/2))*BC$2), 0)+IF(IF(time+1&gt;=BD$2, $K142/time_cap/(time+1)*BC$2, 0) = 0, $K142/(time_cap),0)),0)</f>
        <v/>
      </c>
      <c r="BD142" s="4395">
        <f>IFERROR(IF((time+time_cap)&lt;BD$2, 0,IF(AND(time+1&gt;=BE$2, $E142&lt;BE$2), IF($I142= "I", $J142/($F142-$E142+1), $J142/(($F142*($F142+1)/2)-(($E142-1)*($E142-1+1)/2))*BD$2), 0)+IF(IF(time+1&gt;=BE$2, $K142/time_cap/(time+1)*BD$2, 0) = 0, $K142/(time_cap),0)),0)</f>
        <v/>
      </c>
      <c r="BE142" s="4395">
        <f>IFERROR(IF((time+time_cap)&lt;BE$2, 0,IF(AND(time+1&gt;=BF$2, $E142&lt;BF$2), IF($I142= "I", $J142/($F142-$E142+1), $J142/(($F142*($F142+1)/2)-(($E142-1)*($E142-1+1)/2))*BE$2), 0)+IF(IF(time+1&gt;=BF$2, $K142/time_cap/(time+1)*BE$2, 0) = 0, $K142/(time_cap),0)),0)</f>
        <v/>
      </c>
      <c r="BF142" s="4395">
        <f>IFERROR(IF((time+time_cap)&lt;BF$2, 0,IF(AND(time+1&gt;=BG$2, $E142&lt;BG$2), IF($I142= "I", $J142/($F142-$E142+1), $J142/(($F142*($F142+1)/2)-(($E142-1)*($E142-1+1)/2))*BF$2), 0)+IF(IF(time+1&gt;=BG$2, $K142/time_cap/(time+1)*BF$2, 0) = 0, $K142/(time_cap),0)),0)</f>
        <v/>
      </c>
      <c r="BG142" s="4395">
        <f>IFERROR(IF((time+time_cap)&lt;BG$2, 0,IF(AND(time+1&gt;=BH$2, $E142&lt;BH$2), IF($I142= "I", $J142/($F142-$E142+1), $J142/(($F142*($F142+1)/2)-(($E142-1)*($E142-1+1)/2))*BG$2), 0)+IF(IF(time+1&gt;=BH$2, $K142/time_cap/(time+1)*BG$2, 0) = 0, $K142/(time_cap),0)),0)</f>
        <v/>
      </c>
      <c r="BH142" s="4395">
        <f>IFERROR(IF((time+time_cap)&lt;BH$2, 0,IF(AND(time+1&gt;=BI$2, $E142&lt;BI$2), IF($I142= "I", $J142/($F142-$E142+1), $J142/(($F142*($F142+1)/2)-(($E142-1)*($E142-1+1)/2))*BH$2), 0)+IF(IF(time+1&gt;=BI$2, $K142/time_cap/(time+1)*BH$2, 0) = 0, $K142/(time_cap),0)),0)</f>
        <v/>
      </c>
      <c r="BI142" s="4395">
        <f>IFERROR(IF((time+time_cap)&lt;BI$2, 0,IF(AND(time+1&gt;=BJ$2, $E142&lt;BJ$2), IF($I142= "I", $J142/($F142-$E142+1), $J142/(($F142*($F142+1)/2)-(($E142-1)*($E142-1+1)/2))*BI$2), 0)+IF(IF(time+1&gt;=BJ$2, $K142/time_cap/(time+1)*BI$2, 0) = 0, $K142/(time_cap),0)),0)</f>
        <v/>
      </c>
      <c r="BJ142" s="4395">
        <f>IFERROR(IF((time+time_cap)&lt;BJ$2, 0,IF(AND(time+1&gt;=BK$2, $E142&lt;BK$2), IF($I142= "I", $J142/($F142-$E142+1), $J142/(($F142*($F142+1)/2)-(($E142-1)*($E142-1+1)/2))*BJ$2), 0)+IF(IF(time+1&gt;=BK$2, $K142/time_cap/(time+1)*BJ$2, 0) = 0, $K142/(time_cap),0)),0)</f>
        <v/>
      </c>
      <c r="BK142" s="4395" t="n"/>
      <c r="BL142" s="4395" t="n"/>
      <c r="BM142" s="4395" t="n"/>
      <c r="BN142" s="4395" t="n"/>
      <c r="BO142" s="4395" t="n"/>
      <c r="BP142" s="4395" t="n"/>
      <c r="BQ142" s="4395" t="n"/>
      <c r="BR142" s="4395" t="n"/>
      <c r="BS142" s="4395" t="n"/>
      <c r="BT142" s="4395" t="n"/>
      <c r="BU142" s="4395" t="n"/>
      <c r="BV142" s="4395" t="n"/>
      <c r="BW142" s="4395" t="n"/>
      <c r="BX142" s="4395" t="n"/>
      <c r="BY142" s="4395" t="n"/>
      <c r="BZ142" s="4395" t="n"/>
      <c r="CA142" s="4395" t="n"/>
      <c r="CB142" s="4395" t="n"/>
      <c r="CC142" s="4395" t="n"/>
      <c r="CD142" s="4395" t="n"/>
      <c r="CE142" s="4395" t="n"/>
      <c r="CF142" s="4395" t="n"/>
      <c r="CG142" s="4395" t="n"/>
      <c r="CH142" s="4395" t="n"/>
      <c r="CI142" s="4395" t="n"/>
      <c r="CJ142" s="4395" t="n"/>
      <c r="CK142" s="4395" t="n"/>
      <c r="CL142" s="4395" t="n"/>
      <c r="CM142" s="4395" t="n"/>
      <c r="CN142" s="4395" t="n"/>
      <c r="CO142" s="4395" t="n"/>
      <c r="CP142" s="4395" t="n"/>
      <c r="CQ142" s="4395" t="n"/>
      <c r="CR142" s="4395" t="n"/>
      <c r="CS142" s="4395" t="n"/>
      <c r="CT142" s="4395" t="n"/>
      <c r="CU142" s="4395" t="n"/>
      <c r="CV142" s="4395" t="n"/>
      <c r="CW142" s="4395" t="n"/>
      <c r="CX142" s="4395" t="n"/>
      <c r="CY142" s="4395" t="n"/>
      <c r="CZ142" s="4395" t="n"/>
      <c r="DA142" s="4395" t="n"/>
      <c r="DB142" s="4395" t="n"/>
      <c r="DC142" s="4395" t="n"/>
      <c r="DD142" s="4395" t="n"/>
      <c r="DE142" s="4395" t="n"/>
      <c r="DF142" s="4395" t="n"/>
      <c r="DG142" s="4395" t="n"/>
      <c r="DH142" s="4395" t="n"/>
    </row>
    <row r="143" ht="16" customHeight="1">
      <c r="A143" t="inlineStr">
        <is>
          <t>Inland wetlands - land management</t>
        </is>
      </c>
      <c r="B143">
        <f>'6.Inland wetlands'!C151</f>
        <v/>
      </c>
      <c r="C143">
        <f>'6.Inland wetlands'!I151</f>
        <v/>
      </c>
      <c r="D143">
        <f>'6.Inland wetlands'!AG151</f>
        <v/>
      </c>
      <c r="E143">
        <f>IF('6.Inland wetlands'!CA151&lt;&gt;0,'6.Inland wetlands'!CA151,'6.Inland wetlands'!BZ151)</f>
        <v/>
      </c>
      <c r="F143">
        <f>time</f>
        <v/>
      </c>
      <c r="G143" s="4395">
        <f>'6.Inland wetlands'!O151</f>
        <v/>
      </c>
      <c r="H143" s="4395">
        <f>'6.Inland wetlands'!Q151</f>
        <v/>
      </c>
      <c r="I143" s="4395">
        <f>IF(OR(H143="I", G143="I"), "I", IF(OR(H143="E", G143="E"), "E", "D"))</f>
        <v/>
      </c>
      <c r="J143" s="4395">
        <f>((D143/(time_cap+((F143-E143+1)*VLOOKUP(I143,list!$I$48:$K$50,3, FALSE))))*(F143-E143+1)*VLOOKUP(I143,list!$I$48:$K$50,3, FALSE))</f>
        <v/>
      </c>
      <c r="K143" s="4395">
        <f>((D143/(time_cap+((F143-E143+1)*VLOOKUP(I143,list!$I$48:$K$50,3, FALSE))))*time_cap)</f>
        <v/>
      </c>
      <c r="M143" s="4395">
        <f>IFERROR(IF((time+time_cap)&lt;M$2, 0,IF(AND(time+1&gt;=N$2, $E143&lt;N$2), IF($I143= "I", $J143/($F143-$E143+1), $J143/(($F143*($F143+1)/2)-(($E143-1)*($E143-1+1)/2))*M$2), 0)+IF(IF(time+1&gt;=N$2, $K143/time_cap/(time+1)*M$2, 0) = 0, $K143/(time_cap),0)),0)</f>
        <v/>
      </c>
      <c r="N143" s="4395">
        <f>IFERROR(IF((time+time_cap)&lt;N$2, 0,IF(AND(time+1&gt;=O$2, $E143&lt;O$2), IF($I143= "I", $J143/($F143-$E143+1), $J143/(($F143*($F143+1)/2)-(($E143-1)*($E143-1+1)/2))*N$2), 0)+IF(IF(time+1&gt;=O$2, $K143/time_cap/(time+1)*N$2, 0) = 0, $K143/(time_cap),0)),0)</f>
        <v/>
      </c>
      <c r="O143" s="4395">
        <f>IFERROR(IF((time+time_cap)&lt;O$2, 0,IF(AND(time+1&gt;=P$2, $E143&lt;P$2), IF($I143= "I", $J143/($F143-$E143+1), $J143/(($F143*($F143+1)/2)-(($E143-1)*($E143-1+1)/2))*O$2), 0)+IF(IF(time+1&gt;=P$2, $K143/time_cap/(time+1)*O$2, 0) = 0, $K143/(time_cap),0)),0)</f>
        <v/>
      </c>
      <c r="P143" s="4395">
        <f>IFERROR(IF((time+time_cap)&lt;P$2, 0,IF(AND(time+1&gt;=Q$2, $E143&lt;Q$2), IF($I143= "I", $J143/($F143-$E143+1), $J143/(($F143*($F143+1)/2)-(($E143-1)*($E143-1+1)/2))*P$2), 0)+IF(IF(time+1&gt;=Q$2, $K143/time_cap/(time+1)*P$2, 0) = 0, $K143/(time_cap),0)),0)</f>
        <v/>
      </c>
      <c r="Q143" s="4395">
        <f>IFERROR(IF((time+time_cap)&lt;Q$2, 0,IF(AND(time+1&gt;=R$2, $E143&lt;R$2), IF($I143= "I", $J143/($F143-$E143+1), $J143/(($F143*($F143+1)/2)-(($E143-1)*($E143-1+1)/2))*Q$2), 0)+IF(IF(time+1&gt;=R$2, $K143/time_cap/(time+1)*Q$2, 0) = 0, $K143/(time_cap),0)),0)</f>
        <v/>
      </c>
      <c r="R143" s="4395">
        <f>IFERROR(IF((time+time_cap)&lt;R$2, 0,IF(AND(time+1&gt;=S$2, $E143&lt;S$2), IF($I143= "I", $J143/($F143-$E143+1), $J143/(($F143*($F143+1)/2)-(($E143-1)*($E143-1+1)/2))*R$2), 0)+IF(IF(time+1&gt;=S$2, $K143/time_cap/(time+1)*R$2, 0) = 0, $K143/(time_cap),0)),0)</f>
        <v/>
      </c>
      <c r="S143" s="4395">
        <f>IFERROR(IF((time+time_cap)&lt;S$2, 0,IF(AND(time+1&gt;=T$2, $E143&lt;T$2), IF($I143= "I", $J143/($F143-$E143+1), $J143/(($F143*($F143+1)/2)-(($E143-1)*($E143-1+1)/2))*S$2), 0)+IF(IF(time+1&gt;=T$2, $K143/time_cap/(time+1)*S$2, 0) = 0, $K143/(time_cap),0)),0)</f>
        <v/>
      </c>
      <c r="T143" s="4395">
        <f>IFERROR(IF((time+time_cap)&lt;T$2, 0,IF(AND(time+1&gt;=U$2, $E143&lt;U$2), IF($I143= "I", $J143/($F143-$E143+1), $J143/(($F143*($F143+1)/2)-(($E143-1)*($E143-1+1)/2))*T$2), 0)+IF(IF(time+1&gt;=U$2, $K143/time_cap/(time+1)*T$2, 0) = 0, $K143/(time_cap),0)),0)</f>
        <v/>
      </c>
      <c r="U143" s="4395">
        <f>IFERROR(IF((time+time_cap)&lt;U$2, 0,IF(AND(time+1&gt;=V$2, $E143&lt;V$2), IF($I143= "I", $J143/($F143-$E143+1), $J143/(($F143*($F143+1)/2)-(($E143-1)*($E143-1+1)/2))*U$2), 0)+IF(IF(time+1&gt;=V$2, $K143/time_cap/(time+1)*U$2, 0) = 0, $K143/(time_cap),0)),0)</f>
        <v/>
      </c>
      <c r="V143" s="4395">
        <f>IFERROR(IF((time+time_cap)&lt;V$2, 0,IF(AND(time+1&gt;=W$2, $E143&lt;W$2), IF($I143= "I", $J143/($F143-$E143+1), $J143/(($F143*($F143+1)/2)-(($E143-1)*($E143-1+1)/2))*V$2), 0)+IF(IF(time+1&gt;=W$2, $K143/time_cap/(time+1)*V$2, 0) = 0, $K143/(time_cap),0)),0)</f>
        <v/>
      </c>
      <c r="W143" s="4395">
        <f>IFERROR(IF((time+time_cap)&lt;W$2, 0,IF(AND(time+1&gt;=X$2, $E143&lt;X$2), IF($I143= "I", $J143/($F143-$E143+1), $J143/(($F143*($F143+1)/2)-(($E143-1)*($E143-1+1)/2))*W$2), 0)+IF(IF(time+1&gt;=X$2, $K143/time_cap/(time+1)*W$2, 0) = 0, $K143/(time_cap),0)),0)</f>
        <v/>
      </c>
      <c r="X143" s="4395">
        <f>IFERROR(IF((time+time_cap)&lt;X$2, 0,IF(AND(time+1&gt;=Y$2, $E143&lt;Y$2), IF($I143= "I", $J143/($F143-$E143+1), $J143/(($F143*($F143+1)/2)-(($E143-1)*($E143-1+1)/2))*X$2), 0)+IF(IF(time+1&gt;=Y$2, $K143/time_cap/(time+1)*X$2, 0) = 0, $K143/(time_cap),0)),0)</f>
        <v/>
      </c>
      <c r="Y143" s="4395">
        <f>IFERROR(IF((time+time_cap)&lt;Y$2, 0,IF(AND(time+1&gt;=Z$2, $E143&lt;Z$2), IF($I143= "I", $J143/($F143-$E143+1), $J143/(($F143*($F143+1)/2)-(($E143-1)*($E143-1+1)/2))*Y$2), 0)+IF(IF(time+1&gt;=Z$2, $K143/time_cap/(time+1)*Y$2, 0) = 0, $K143/(time_cap),0)),0)</f>
        <v/>
      </c>
      <c r="Z143" s="4395">
        <f>IFERROR(IF((time+time_cap)&lt;Z$2, 0,IF(AND(time+1&gt;=AA$2, $E143&lt;AA$2), IF($I143= "I", $J143/($F143-$E143+1), $J143/(($F143*($F143+1)/2)-(($E143-1)*($E143-1+1)/2))*Z$2), 0)+IF(IF(time+1&gt;=AA$2, $K143/time_cap/(time+1)*Z$2, 0) = 0, $K143/(time_cap),0)),0)</f>
        <v/>
      </c>
      <c r="AA143" s="4395">
        <f>IFERROR(IF((time+time_cap)&lt;AA$2, 0,IF(AND(time+1&gt;=AB$2, $E143&lt;AB$2), IF($I143= "I", $J143/($F143-$E143+1), $J143/(($F143*($F143+1)/2)-(($E143-1)*($E143-1+1)/2))*AA$2), 0)+IF(IF(time+1&gt;=AB$2, $K143/time_cap/(time+1)*AA$2, 0) = 0, $K143/(time_cap),0)),0)</f>
        <v/>
      </c>
      <c r="AB143" s="4395">
        <f>IFERROR(IF((time+time_cap)&lt;AB$2, 0,IF(AND(time+1&gt;=AC$2, $E143&lt;AC$2), IF($I143= "I", $J143/($F143-$E143+1), $J143/(($F143*($F143+1)/2)-(($E143-1)*($E143-1+1)/2))*AB$2), 0)+IF(IF(time+1&gt;=AC$2, $K143/time_cap/(time+1)*AB$2, 0) = 0, $K143/(time_cap),0)),0)</f>
        <v/>
      </c>
      <c r="AC143" s="4395">
        <f>IFERROR(IF((time+time_cap)&lt;AC$2, 0,IF(AND(time+1&gt;=AD$2, $E143&lt;AD$2), IF($I143= "I", $J143/($F143-$E143+1), $J143/(($F143*($F143+1)/2)-(($E143-1)*($E143-1+1)/2))*AC$2), 0)+IF(IF(time+1&gt;=AD$2, $K143/time_cap/(time+1)*AC$2, 0) = 0, $K143/(time_cap),0)),0)</f>
        <v/>
      </c>
      <c r="AD143" s="4395">
        <f>IFERROR(IF((time+time_cap)&lt;AD$2, 0,IF(AND(time+1&gt;=AE$2, $E143&lt;AE$2), IF($I143= "I", $J143/($F143-$E143+1), $J143/(($F143*($F143+1)/2)-(($E143-1)*($E143-1+1)/2))*AD$2), 0)+IF(IF(time+1&gt;=AE$2, $K143/time_cap/(time+1)*AD$2, 0) = 0, $K143/(time_cap),0)),0)</f>
        <v/>
      </c>
      <c r="AE143" s="4395">
        <f>IFERROR(IF((time+time_cap)&lt;AE$2, 0,IF(AND(time+1&gt;=AF$2, $E143&lt;AF$2), IF($I143= "I", $J143/($F143-$E143+1), $J143/(($F143*($F143+1)/2)-(($E143-1)*($E143-1+1)/2))*AE$2), 0)+IF(IF(time+1&gt;=AF$2, $K143/time_cap/(time+1)*AE$2, 0) = 0, $K143/(time_cap),0)),0)</f>
        <v/>
      </c>
      <c r="AF143" s="4395">
        <f>IFERROR(IF((time+time_cap)&lt;AF$2, 0,IF(AND(time+1&gt;=AG$2, $E143&lt;AG$2), IF($I143= "I", $J143/($F143-$E143+1), $J143/(($F143*($F143+1)/2)-(($E143-1)*($E143-1+1)/2))*AF$2), 0)+IF(IF(time+1&gt;=AG$2, $K143/time_cap/(time+1)*AF$2, 0) = 0, $K143/(time_cap),0)),0)</f>
        <v/>
      </c>
      <c r="AG143" s="4395">
        <f>IFERROR(IF((time+time_cap)&lt;AG$2, 0,IF(AND(time+1&gt;=AH$2, $E143&lt;AH$2), IF($I143= "I", $J143/($F143-$E143+1), $J143/(($F143*($F143+1)/2)-(($E143-1)*($E143-1+1)/2))*AG$2), 0)+IF(IF(time+1&gt;=AH$2, $K143/time_cap/(time+1)*AG$2, 0) = 0, $K143/(time_cap),0)),0)</f>
        <v/>
      </c>
      <c r="AH143" s="4395">
        <f>IFERROR(IF((time+time_cap)&lt;AH$2, 0,IF(AND(time+1&gt;=AI$2, $E143&lt;AI$2), IF($I143= "I", $J143/($F143-$E143+1), $J143/(($F143*($F143+1)/2)-(($E143-1)*($E143-1+1)/2))*AH$2), 0)+IF(IF(time+1&gt;=AI$2, $K143/time_cap/(time+1)*AH$2, 0) = 0, $K143/(time_cap),0)),0)</f>
        <v/>
      </c>
      <c r="AI143" s="4395">
        <f>IFERROR(IF((time+time_cap)&lt;AI$2, 0,IF(AND(time+1&gt;=AJ$2, $E143&lt;AJ$2), IF($I143= "I", $J143/($F143-$E143+1), $J143/(($F143*($F143+1)/2)-(($E143-1)*($E143-1+1)/2))*AI$2), 0)+IF(IF(time+1&gt;=AJ$2, $K143/time_cap/(time+1)*AI$2, 0) = 0, $K143/(time_cap),0)),0)</f>
        <v/>
      </c>
      <c r="AJ143" s="4395">
        <f>IFERROR(IF((time+time_cap)&lt;AJ$2, 0,IF(AND(time+1&gt;=AK$2, $E143&lt;AK$2), IF($I143= "I", $J143/($F143-$E143+1), $J143/(($F143*($F143+1)/2)-(($E143-1)*($E143-1+1)/2))*AJ$2), 0)+IF(IF(time+1&gt;=AK$2, $K143/time_cap/(time+1)*AJ$2, 0) = 0, $K143/(time_cap),0)),0)</f>
        <v/>
      </c>
      <c r="AK143" s="4395">
        <f>IFERROR(IF((time+time_cap)&lt;AK$2, 0,IF(AND(time+1&gt;=AL$2, $E143&lt;AL$2), IF($I143= "I", $J143/($F143-$E143+1), $J143/(($F143*($F143+1)/2)-(($E143-1)*($E143-1+1)/2))*AK$2), 0)+IF(IF(time+1&gt;=AL$2, $K143/time_cap/(time+1)*AK$2, 0) = 0, $K143/(time_cap),0)),0)</f>
        <v/>
      </c>
      <c r="AL143" s="4395">
        <f>IFERROR(IF((time+time_cap)&lt;AL$2, 0,IF(AND(time+1&gt;=AM$2, $E143&lt;AM$2), IF($I143= "I", $J143/($F143-$E143+1), $J143/(($F143*($F143+1)/2)-(($E143-1)*($E143-1+1)/2))*AL$2), 0)+IF(IF(time+1&gt;=AM$2, $K143/time_cap/(time+1)*AL$2, 0) = 0, $K143/(time_cap),0)),0)</f>
        <v/>
      </c>
      <c r="AM143" s="4395">
        <f>IFERROR(IF((time+time_cap)&lt;AM$2, 0,IF(AND(time+1&gt;=AN$2, $E143&lt;AN$2), IF($I143= "I", $J143/($F143-$E143+1), $J143/(($F143*($F143+1)/2)-(($E143-1)*($E143-1+1)/2))*AM$2), 0)+IF(IF(time+1&gt;=AN$2, $K143/time_cap/(time+1)*AM$2, 0) = 0, $K143/(time_cap),0)),0)</f>
        <v/>
      </c>
      <c r="AN143" s="4395">
        <f>IFERROR(IF((time+time_cap)&lt;AN$2, 0,IF(AND(time+1&gt;=AO$2, $E143&lt;AO$2), IF($I143= "I", $J143/($F143-$E143+1), $J143/(($F143*($F143+1)/2)-(($E143-1)*($E143-1+1)/2))*AN$2), 0)+IF(IF(time+1&gt;=AO$2, $K143/time_cap/(time+1)*AN$2, 0) = 0, $K143/(time_cap),0)),0)</f>
        <v/>
      </c>
      <c r="AO143" s="4395">
        <f>IFERROR(IF((time+time_cap)&lt;AO$2, 0,IF(AND(time+1&gt;=AP$2, $E143&lt;AP$2), IF($I143= "I", $J143/($F143-$E143+1), $J143/(($F143*($F143+1)/2)-(($E143-1)*($E143-1+1)/2))*AO$2), 0)+IF(IF(time+1&gt;=AP$2, $K143/time_cap/(time+1)*AO$2, 0) = 0, $K143/(time_cap),0)),0)</f>
        <v/>
      </c>
      <c r="AP143" s="4395">
        <f>IFERROR(IF((time+time_cap)&lt;AP$2, 0,IF(AND(time+1&gt;=AQ$2, $E143&lt;AQ$2), IF($I143= "I", $J143/($F143-$E143+1), $J143/(($F143*($F143+1)/2)-(($E143-1)*($E143-1+1)/2))*AP$2), 0)+IF(IF(time+1&gt;=AQ$2, $K143/time_cap/(time+1)*AP$2, 0) = 0, $K143/(time_cap),0)),0)</f>
        <v/>
      </c>
      <c r="AQ143" s="4395">
        <f>IFERROR(IF((time+time_cap)&lt;AQ$2, 0,IF(AND(time+1&gt;=AR$2, $E143&lt;AR$2), IF($I143= "I", $J143/($F143-$E143+1), $J143/(($F143*($F143+1)/2)-(($E143-1)*($E143-1+1)/2))*AQ$2), 0)+IF(IF(time+1&gt;=AR$2, $K143/time_cap/(time+1)*AQ$2, 0) = 0, $K143/(time_cap),0)),0)</f>
        <v/>
      </c>
      <c r="AR143" s="4395">
        <f>IFERROR(IF((time+time_cap)&lt;AR$2, 0,IF(AND(time+1&gt;=AS$2, $E143&lt;AS$2), IF($I143= "I", $J143/($F143-$E143+1), $J143/(($F143*($F143+1)/2)-(($E143-1)*($E143-1+1)/2))*AR$2), 0)+IF(IF(time+1&gt;=AS$2, $K143/time_cap/(time+1)*AR$2, 0) = 0, $K143/(time_cap),0)),0)</f>
        <v/>
      </c>
      <c r="AS143" s="4395">
        <f>IFERROR(IF((time+time_cap)&lt;AS$2, 0,IF(AND(time+1&gt;=AT$2, $E143&lt;AT$2), IF($I143= "I", $J143/($F143-$E143+1), $J143/(($F143*($F143+1)/2)-(($E143-1)*($E143-1+1)/2))*AS$2), 0)+IF(IF(time+1&gt;=AT$2, $K143/time_cap/(time+1)*AS$2, 0) = 0, $K143/(time_cap),0)),0)</f>
        <v/>
      </c>
      <c r="AT143" s="4395">
        <f>IFERROR(IF((time+time_cap)&lt;AT$2, 0,IF(AND(time+1&gt;=AU$2, $E143&lt;AU$2), IF($I143= "I", $J143/($F143-$E143+1), $J143/(($F143*($F143+1)/2)-(($E143-1)*($E143-1+1)/2))*AT$2), 0)+IF(IF(time+1&gt;=AU$2, $K143/time_cap/(time+1)*AT$2, 0) = 0, $K143/(time_cap),0)),0)</f>
        <v/>
      </c>
      <c r="AU143" s="4395">
        <f>IFERROR(IF((time+time_cap)&lt;AU$2, 0,IF(AND(time+1&gt;=AV$2, $E143&lt;AV$2), IF($I143= "I", $J143/($F143-$E143+1), $J143/(($F143*($F143+1)/2)-(($E143-1)*($E143-1+1)/2))*AU$2), 0)+IF(IF(time+1&gt;=AV$2, $K143/time_cap/(time+1)*AU$2, 0) = 0, $K143/(time_cap),0)),0)</f>
        <v/>
      </c>
      <c r="AV143" s="4395">
        <f>IFERROR(IF((time+time_cap)&lt;AV$2, 0,IF(AND(time+1&gt;=AW$2, $E143&lt;AW$2), IF($I143= "I", $J143/($F143-$E143+1), $J143/(($F143*($F143+1)/2)-(($E143-1)*($E143-1+1)/2))*AV$2), 0)+IF(IF(time+1&gt;=AW$2, $K143/time_cap/(time+1)*AV$2, 0) = 0, $K143/(time_cap),0)),0)</f>
        <v/>
      </c>
      <c r="AW143" s="4395">
        <f>IFERROR(IF((time+time_cap)&lt;AW$2, 0,IF(AND(time+1&gt;=AX$2, $E143&lt;AX$2), IF($I143= "I", $J143/($F143-$E143+1), $J143/(($F143*($F143+1)/2)-(($E143-1)*($E143-1+1)/2))*AW$2), 0)+IF(IF(time+1&gt;=AX$2, $K143/time_cap/(time+1)*AW$2, 0) = 0, $K143/(time_cap),0)),0)</f>
        <v/>
      </c>
      <c r="AX143" s="4395">
        <f>IFERROR(IF((time+time_cap)&lt;AX$2, 0,IF(AND(time+1&gt;=AY$2, $E143&lt;AY$2), IF($I143= "I", $J143/($F143-$E143+1), $J143/(($F143*($F143+1)/2)-(($E143-1)*($E143-1+1)/2))*AX$2), 0)+IF(IF(time+1&gt;=AY$2, $K143/time_cap/(time+1)*AX$2, 0) = 0, $K143/(time_cap),0)),0)</f>
        <v/>
      </c>
      <c r="AY143" s="4395">
        <f>IFERROR(IF((time+time_cap)&lt;AY$2, 0,IF(AND(time+1&gt;=AZ$2, $E143&lt;AZ$2), IF($I143= "I", $J143/($F143-$E143+1), $J143/(($F143*($F143+1)/2)-(($E143-1)*($E143-1+1)/2))*AY$2), 0)+IF(IF(time+1&gt;=AZ$2, $K143/time_cap/(time+1)*AY$2, 0) = 0, $K143/(time_cap),0)),0)</f>
        <v/>
      </c>
      <c r="AZ143" s="4395">
        <f>IFERROR(IF((time+time_cap)&lt;AZ$2, 0,IF(AND(time+1&gt;=BA$2, $E143&lt;BA$2), IF($I143= "I", $J143/($F143-$E143+1), $J143/(($F143*($F143+1)/2)-(($E143-1)*($E143-1+1)/2))*AZ$2), 0)+IF(IF(time+1&gt;=BA$2, $K143/time_cap/(time+1)*AZ$2, 0) = 0, $K143/(time_cap),0)),0)</f>
        <v/>
      </c>
      <c r="BA143" s="4395">
        <f>IFERROR(IF((time+time_cap)&lt;BA$2, 0,IF(AND(time+1&gt;=BB$2, $E143&lt;BB$2), IF($I143= "I", $J143/($F143-$E143+1), $J143/(($F143*($F143+1)/2)-(($E143-1)*($E143-1+1)/2))*BA$2), 0)+IF(IF(time+1&gt;=BB$2, $K143/time_cap/(time+1)*BA$2, 0) = 0, $K143/(time_cap),0)),0)</f>
        <v/>
      </c>
      <c r="BB143" s="4395">
        <f>IFERROR(IF((time+time_cap)&lt;BB$2, 0,IF(AND(time+1&gt;=BC$2, $E143&lt;BC$2), IF($I143= "I", $J143/($F143-$E143+1), $J143/(($F143*($F143+1)/2)-(($E143-1)*($E143-1+1)/2))*BB$2), 0)+IF(IF(time+1&gt;=BC$2, $K143/time_cap/(time+1)*BB$2, 0) = 0, $K143/(time_cap),0)),0)</f>
        <v/>
      </c>
      <c r="BC143" s="4395">
        <f>IFERROR(IF((time+time_cap)&lt;BC$2, 0,IF(AND(time+1&gt;=BD$2, $E143&lt;BD$2), IF($I143= "I", $J143/($F143-$E143+1), $J143/(($F143*($F143+1)/2)-(($E143-1)*($E143-1+1)/2))*BC$2), 0)+IF(IF(time+1&gt;=BD$2, $K143/time_cap/(time+1)*BC$2, 0) = 0, $K143/(time_cap),0)),0)</f>
        <v/>
      </c>
      <c r="BD143" s="4395">
        <f>IFERROR(IF((time+time_cap)&lt;BD$2, 0,IF(AND(time+1&gt;=BE$2, $E143&lt;BE$2), IF($I143= "I", $J143/($F143-$E143+1), $J143/(($F143*($F143+1)/2)-(($E143-1)*($E143-1+1)/2))*BD$2), 0)+IF(IF(time+1&gt;=BE$2, $K143/time_cap/(time+1)*BD$2, 0) = 0, $K143/(time_cap),0)),0)</f>
        <v/>
      </c>
      <c r="BE143" s="4395">
        <f>IFERROR(IF((time+time_cap)&lt;BE$2, 0,IF(AND(time+1&gt;=BF$2, $E143&lt;BF$2), IF($I143= "I", $J143/($F143-$E143+1), $J143/(($F143*($F143+1)/2)-(($E143-1)*($E143-1+1)/2))*BE$2), 0)+IF(IF(time+1&gt;=BF$2, $K143/time_cap/(time+1)*BE$2, 0) = 0, $K143/(time_cap),0)),0)</f>
        <v/>
      </c>
      <c r="BF143" s="4395">
        <f>IFERROR(IF((time+time_cap)&lt;BF$2, 0,IF(AND(time+1&gt;=BG$2, $E143&lt;BG$2), IF($I143= "I", $J143/($F143-$E143+1), $J143/(($F143*($F143+1)/2)-(($E143-1)*($E143-1+1)/2))*BF$2), 0)+IF(IF(time+1&gt;=BG$2, $K143/time_cap/(time+1)*BF$2, 0) = 0, $K143/(time_cap),0)),0)</f>
        <v/>
      </c>
      <c r="BG143" s="4395">
        <f>IFERROR(IF((time+time_cap)&lt;BG$2, 0,IF(AND(time+1&gt;=BH$2, $E143&lt;BH$2), IF($I143= "I", $J143/($F143-$E143+1), $J143/(($F143*($F143+1)/2)-(($E143-1)*($E143-1+1)/2))*BG$2), 0)+IF(IF(time+1&gt;=BH$2, $K143/time_cap/(time+1)*BG$2, 0) = 0, $K143/(time_cap),0)),0)</f>
        <v/>
      </c>
      <c r="BH143" s="4395">
        <f>IFERROR(IF((time+time_cap)&lt;BH$2, 0,IF(AND(time+1&gt;=BI$2, $E143&lt;BI$2), IF($I143= "I", $J143/($F143-$E143+1), $J143/(($F143*($F143+1)/2)-(($E143-1)*($E143-1+1)/2))*BH$2), 0)+IF(IF(time+1&gt;=BI$2, $K143/time_cap/(time+1)*BH$2, 0) = 0, $K143/(time_cap),0)),0)</f>
        <v/>
      </c>
      <c r="BI143" s="4395">
        <f>IFERROR(IF((time+time_cap)&lt;BI$2, 0,IF(AND(time+1&gt;=BJ$2, $E143&lt;BJ$2), IF($I143= "I", $J143/($F143-$E143+1), $J143/(($F143*($F143+1)/2)-(($E143-1)*($E143-1+1)/2))*BI$2), 0)+IF(IF(time+1&gt;=BJ$2, $K143/time_cap/(time+1)*BI$2, 0) = 0, $K143/(time_cap),0)),0)</f>
        <v/>
      </c>
      <c r="BJ143" s="4395">
        <f>IFERROR(IF((time+time_cap)&lt;BJ$2, 0,IF(AND(time+1&gt;=BK$2, $E143&lt;BK$2), IF($I143= "I", $J143/($F143-$E143+1), $J143/(($F143*($F143+1)/2)-(($E143-1)*($E143-1+1)/2))*BJ$2), 0)+IF(IF(time+1&gt;=BK$2, $K143/time_cap/(time+1)*BJ$2, 0) = 0, $K143/(time_cap),0)),0)</f>
        <v/>
      </c>
      <c r="BK143" s="4395" t="n"/>
      <c r="BL143" s="4395" t="n"/>
      <c r="BM143" s="4395" t="n"/>
      <c r="BN143" s="4395" t="n"/>
      <c r="BO143" s="4395" t="n"/>
      <c r="BP143" s="4395" t="n"/>
      <c r="BQ143" s="4395" t="n"/>
      <c r="BR143" s="4395" t="n"/>
      <c r="BS143" s="4395" t="n"/>
      <c r="BT143" s="4395" t="n"/>
      <c r="BU143" s="4395" t="n"/>
      <c r="BV143" s="4395" t="n"/>
      <c r="BW143" s="4395" t="n"/>
      <c r="BX143" s="4395" t="n"/>
      <c r="BY143" s="4395" t="n"/>
      <c r="BZ143" s="4395" t="n"/>
      <c r="CA143" s="4395" t="n"/>
      <c r="CB143" s="4395" t="n"/>
      <c r="CC143" s="4395" t="n"/>
      <c r="CD143" s="4395" t="n"/>
      <c r="CE143" s="4395" t="n"/>
      <c r="CF143" s="4395" t="n"/>
      <c r="CG143" s="4395" t="n"/>
      <c r="CH143" s="4395" t="n"/>
      <c r="CI143" s="4395" t="n"/>
      <c r="CJ143" s="4395" t="n"/>
      <c r="CK143" s="4395" t="n"/>
      <c r="CL143" s="4395" t="n"/>
      <c r="CM143" s="4395" t="n"/>
      <c r="CN143" s="4395" t="n"/>
      <c r="CO143" s="4395" t="n"/>
      <c r="CP143" s="4395" t="n"/>
      <c r="CQ143" s="4395" t="n"/>
      <c r="CR143" s="4395" t="n"/>
      <c r="CS143" s="4395" t="n"/>
      <c r="CT143" s="4395" t="n"/>
      <c r="CU143" s="4395" t="n"/>
      <c r="CV143" s="4395" t="n"/>
      <c r="CW143" s="4395" t="n"/>
      <c r="CX143" s="4395" t="n"/>
      <c r="CY143" s="4395" t="n"/>
      <c r="CZ143" s="4395" t="n"/>
      <c r="DA143" s="4395" t="n"/>
      <c r="DB143" s="4395" t="n"/>
      <c r="DC143" s="4395" t="n"/>
      <c r="DD143" s="4395" t="n"/>
      <c r="DE143" s="4395" t="n"/>
      <c r="DF143" s="4395" t="n"/>
      <c r="DG143" s="4395" t="n"/>
      <c r="DH143" s="4395" t="n"/>
    </row>
    <row r="144" ht="16" customHeight="1">
      <c r="A144" t="inlineStr">
        <is>
          <t>Inland wetlands - land management</t>
        </is>
      </c>
      <c r="B144">
        <f>'6.Inland wetlands'!C152</f>
        <v/>
      </c>
      <c r="C144">
        <f>'6.Inland wetlands'!I152</f>
        <v/>
      </c>
      <c r="D144">
        <f>'6.Inland wetlands'!AG152</f>
        <v/>
      </c>
      <c r="E144">
        <f>IF('6.Inland wetlands'!CA152&lt;&gt;0,'6.Inland wetlands'!CA152,'6.Inland wetlands'!BZ152)</f>
        <v/>
      </c>
      <c r="F144">
        <f>time</f>
        <v/>
      </c>
      <c r="G144" s="4395">
        <f>'6.Inland wetlands'!O152</f>
        <v/>
      </c>
      <c r="H144" s="4395">
        <f>'6.Inland wetlands'!Q152</f>
        <v/>
      </c>
      <c r="I144" s="4395">
        <f>IF(OR(H144="I", G144="I"), "I", IF(OR(H144="E", G144="E"), "E", "D"))</f>
        <v/>
      </c>
      <c r="J144" s="4395">
        <f>((D144/(time_cap+((F144-E144+1)*VLOOKUP(I144,list!$I$48:$K$50,3, FALSE))))*(F144-E144+1)*VLOOKUP(I144,list!$I$48:$K$50,3, FALSE))</f>
        <v/>
      </c>
      <c r="K144" s="4395">
        <f>((D144/(time_cap+((F144-E144+1)*VLOOKUP(I144,list!$I$48:$K$50,3, FALSE))))*time_cap)</f>
        <v/>
      </c>
      <c r="M144" s="4395">
        <f>IFERROR(IF((time+time_cap)&lt;M$2, 0,IF(AND(time+1&gt;=N$2, $E144&lt;N$2), IF($I144= "I", $J144/($F144-$E144+1), $J144/(($F144*($F144+1)/2)-(($E144-1)*($E144-1+1)/2))*M$2), 0)+IF(IF(time+1&gt;=N$2, $K144/time_cap/(time+1)*M$2, 0) = 0, $K144/(time_cap),0)),0)</f>
        <v/>
      </c>
      <c r="N144" s="4395">
        <f>IFERROR(IF((time+time_cap)&lt;N$2, 0,IF(AND(time+1&gt;=O$2, $E144&lt;O$2), IF($I144= "I", $J144/($F144-$E144+1), $J144/(($F144*($F144+1)/2)-(($E144-1)*($E144-1+1)/2))*N$2), 0)+IF(IF(time+1&gt;=O$2, $K144/time_cap/(time+1)*N$2, 0) = 0, $K144/(time_cap),0)),0)</f>
        <v/>
      </c>
      <c r="O144" s="4395">
        <f>IFERROR(IF((time+time_cap)&lt;O$2, 0,IF(AND(time+1&gt;=P$2, $E144&lt;P$2), IF($I144= "I", $J144/($F144-$E144+1), $J144/(($F144*($F144+1)/2)-(($E144-1)*($E144-1+1)/2))*O$2), 0)+IF(IF(time+1&gt;=P$2, $K144/time_cap/(time+1)*O$2, 0) = 0, $K144/(time_cap),0)),0)</f>
        <v/>
      </c>
      <c r="P144" s="4395">
        <f>IFERROR(IF((time+time_cap)&lt;P$2, 0,IF(AND(time+1&gt;=Q$2, $E144&lt;Q$2), IF($I144= "I", $J144/($F144-$E144+1), $J144/(($F144*($F144+1)/2)-(($E144-1)*($E144-1+1)/2))*P$2), 0)+IF(IF(time+1&gt;=Q$2, $K144/time_cap/(time+1)*P$2, 0) = 0, $K144/(time_cap),0)),0)</f>
        <v/>
      </c>
      <c r="Q144" s="4395">
        <f>IFERROR(IF((time+time_cap)&lt;Q$2, 0,IF(AND(time+1&gt;=R$2, $E144&lt;R$2), IF($I144= "I", $J144/($F144-$E144+1), $J144/(($F144*($F144+1)/2)-(($E144-1)*($E144-1+1)/2))*Q$2), 0)+IF(IF(time+1&gt;=R$2, $K144/time_cap/(time+1)*Q$2, 0) = 0, $K144/(time_cap),0)),0)</f>
        <v/>
      </c>
      <c r="R144" s="4395">
        <f>IFERROR(IF((time+time_cap)&lt;R$2, 0,IF(AND(time+1&gt;=S$2, $E144&lt;S$2), IF($I144= "I", $J144/($F144-$E144+1), $J144/(($F144*($F144+1)/2)-(($E144-1)*($E144-1+1)/2))*R$2), 0)+IF(IF(time+1&gt;=S$2, $K144/time_cap/(time+1)*R$2, 0) = 0, $K144/(time_cap),0)),0)</f>
        <v/>
      </c>
      <c r="S144" s="4395">
        <f>IFERROR(IF((time+time_cap)&lt;S$2, 0,IF(AND(time+1&gt;=T$2, $E144&lt;T$2), IF($I144= "I", $J144/($F144-$E144+1), $J144/(($F144*($F144+1)/2)-(($E144-1)*($E144-1+1)/2))*S$2), 0)+IF(IF(time+1&gt;=T$2, $K144/time_cap/(time+1)*S$2, 0) = 0, $K144/(time_cap),0)),0)</f>
        <v/>
      </c>
      <c r="T144" s="4395">
        <f>IFERROR(IF((time+time_cap)&lt;T$2, 0,IF(AND(time+1&gt;=U$2, $E144&lt;U$2), IF($I144= "I", $J144/($F144-$E144+1), $J144/(($F144*($F144+1)/2)-(($E144-1)*($E144-1+1)/2))*T$2), 0)+IF(IF(time+1&gt;=U$2, $K144/time_cap/(time+1)*T$2, 0) = 0, $K144/(time_cap),0)),0)</f>
        <v/>
      </c>
      <c r="U144" s="4395">
        <f>IFERROR(IF((time+time_cap)&lt;U$2, 0,IF(AND(time+1&gt;=V$2, $E144&lt;V$2), IF($I144= "I", $J144/($F144-$E144+1), $J144/(($F144*($F144+1)/2)-(($E144-1)*($E144-1+1)/2))*U$2), 0)+IF(IF(time+1&gt;=V$2, $K144/time_cap/(time+1)*U$2, 0) = 0, $K144/(time_cap),0)),0)</f>
        <v/>
      </c>
      <c r="V144" s="4395">
        <f>IFERROR(IF((time+time_cap)&lt;V$2, 0,IF(AND(time+1&gt;=W$2, $E144&lt;W$2), IF($I144= "I", $J144/($F144-$E144+1), $J144/(($F144*($F144+1)/2)-(($E144-1)*($E144-1+1)/2))*V$2), 0)+IF(IF(time+1&gt;=W$2, $K144/time_cap/(time+1)*V$2, 0) = 0, $K144/(time_cap),0)),0)</f>
        <v/>
      </c>
      <c r="W144" s="4395">
        <f>IFERROR(IF((time+time_cap)&lt;W$2, 0,IF(AND(time+1&gt;=X$2, $E144&lt;X$2), IF($I144= "I", $J144/($F144-$E144+1), $J144/(($F144*($F144+1)/2)-(($E144-1)*($E144-1+1)/2))*W$2), 0)+IF(IF(time+1&gt;=X$2, $K144/time_cap/(time+1)*W$2, 0) = 0, $K144/(time_cap),0)),0)</f>
        <v/>
      </c>
      <c r="X144" s="4395">
        <f>IFERROR(IF((time+time_cap)&lt;X$2, 0,IF(AND(time+1&gt;=Y$2, $E144&lt;Y$2), IF($I144= "I", $J144/($F144-$E144+1), $J144/(($F144*($F144+1)/2)-(($E144-1)*($E144-1+1)/2))*X$2), 0)+IF(IF(time+1&gt;=Y$2, $K144/time_cap/(time+1)*X$2, 0) = 0, $K144/(time_cap),0)),0)</f>
        <v/>
      </c>
      <c r="Y144" s="4395">
        <f>IFERROR(IF((time+time_cap)&lt;Y$2, 0,IF(AND(time+1&gt;=Z$2, $E144&lt;Z$2), IF($I144= "I", $J144/($F144-$E144+1), $J144/(($F144*($F144+1)/2)-(($E144-1)*($E144-1+1)/2))*Y$2), 0)+IF(IF(time+1&gt;=Z$2, $K144/time_cap/(time+1)*Y$2, 0) = 0, $K144/(time_cap),0)),0)</f>
        <v/>
      </c>
      <c r="Z144" s="4395">
        <f>IFERROR(IF((time+time_cap)&lt;Z$2, 0,IF(AND(time+1&gt;=AA$2, $E144&lt;AA$2), IF($I144= "I", $J144/($F144-$E144+1), $J144/(($F144*($F144+1)/2)-(($E144-1)*($E144-1+1)/2))*Z$2), 0)+IF(IF(time+1&gt;=AA$2, $K144/time_cap/(time+1)*Z$2, 0) = 0, $K144/(time_cap),0)),0)</f>
        <v/>
      </c>
      <c r="AA144" s="4395">
        <f>IFERROR(IF((time+time_cap)&lt;AA$2, 0,IF(AND(time+1&gt;=AB$2, $E144&lt;AB$2), IF($I144= "I", $J144/($F144-$E144+1), $J144/(($F144*($F144+1)/2)-(($E144-1)*($E144-1+1)/2))*AA$2), 0)+IF(IF(time+1&gt;=AB$2, $K144/time_cap/(time+1)*AA$2, 0) = 0, $K144/(time_cap),0)),0)</f>
        <v/>
      </c>
      <c r="AB144" s="4395">
        <f>IFERROR(IF((time+time_cap)&lt;AB$2, 0,IF(AND(time+1&gt;=AC$2, $E144&lt;AC$2), IF($I144= "I", $J144/($F144-$E144+1), $J144/(($F144*($F144+1)/2)-(($E144-1)*($E144-1+1)/2))*AB$2), 0)+IF(IF(time+1&gt;=AC$2, $K144/time_cap/(time+1)*AB$2, 0) = 0, $K144/(time_cap),0)),0)</f>
        <v/>
      </c>
      <c r="AC144" s="4395">
        <f>IFERROR(IF((time+time_cap)&lt;AC$2, 0,IF(AND(time+1&gt;=AD$2, $E144&lt;AD$2), IF($I144= "I", $J144/($F144-$E144+1), $J144/(($F144*($F144+1)/2)-(($E144-1)*($E144-1+1)/2))*AC$2), 0)+IF(IF(time+1&gt;=AD$2, $K144/time_cap/(time+1)*AC$2, 0) = 0, $K144/(time_cap),0)),0)</f>
        <v/>
      </c>
      <c r="AD144" s="4395">
        <f>IFERROR(IF((time+time_cap)&lt;AD$2, 0,IF(AND(time+1&gt;=AE$2, $E144&lt;AE$2), IF($I144= "I", $J144/($F144-$E144+1), $J144/(($F144*($F144+1)/2)-(($E144-1)*($E144-1+1)/2))*AD$2), 0)+IF(IF(time+1&gt;=AE$2, $K144/time_cap/(time+1)*AD$2, 0) = 0, $K144/(time_cap),0)),0)</f>
        <v/>
      </c>
      <c r="AE144" s="4395">
        <f>IFERROR(IF((time+time_cap)&lt;AE$2, 0,IF(AND(time+1&gt;=AF$2, $E144&lt;AF$2), IF($I144= "I", $J144/($F144-$E144+1), $J144/(($F144*($F144+1)/2)-(($E144-1)*($E144-1+1)/2))*AE$2), 0)+IF(IF(time+1&gt;=AF$2, $K144/time_cap/(time+1)*AE$2, 0) = 0, $K144/(time_cap),0)),0)</f>
        <v/>
      </c>
      <c r="AF144" s="4395">
        <f>IFERROR(IF((time+time_cap)&lt;AF$2, 0,IF(AND(time+1&gt;=AG$2, $E144&lt;AG$2), IF($I144= "I", $J144/($F144-$E144+1), $J144/(($F144*($F144+1)/2)-(($E144-1)*($E144-1+1)/2))*AF$2), 0)+IF(IF(time+1&gt;=AG$2, $K144/time_cap/(time+1)*AF$2, 0) = 0, $K144/(time_cap),0)),0)</f>
        <v/>
      </c>
      <c r="AG144" s="4395">
        <f>IFERROR(IF((time+time_cap)&lt;AG$2, 0,IF(AND(time+1&gt;=AH$2, $E144&lt;AH$2), IF($I144= "I", $J144/($F144-$E144+1), $J144/(($F144*($F144+1)/2)-(($E144-1)*($E144-1+1)/2))*AG$2), 0)+IF(IF(time+1&gt;=AH$2, $K144/time_cap/(time+1)*AG$2, 0) = 0, $K144/(time_cap),0)),0)</f>
        <v/>
      </c>
      <c r="AH144" s="4395">
        <f>IFERROR(IF((time+time_cap)&lt;AH$2, 0,IF(AND(time+1&gt;=AI$2, $E144&lt;AI$2), IF($I144= "I", $J144/($F144-$E144+1), $J144/(($F144*($F144+1)/2)-(($E144-1)*($E144-1+1)/2))*AH$2), 0)+IF(IF(time+1&gt;=AI$2, $K144/time_cap/(time+1)*AH$2, 0) = 0, $K144/(time_cap),0)),0)</f>
        <v/>
      </c>
      <c r="AI144" s="4395">
        <f>IFERROR(IF((time+time_cap)&lt;AI$2, 0,IF(AND(time+1&gt;=AJ$2, $E144&lt;AJ$2), IF($I144= "I", $J144/($F144-$E144+1), $J144/(($F144*($F144+1)/2)-(($E144-1)*($E144-1+1)/2))*AI$2), 0)+IF(IF(time+1&gt;=AJ$2, $K144/time_cap/(time+1)*AI$2, 0) = 0, $K144/(time_cap),0)),0)</f>
        <v/>
      </c>
      <c r="AJ144" s="4395">
        <f>IFERROR(IF((time+time_cap)&lt;AJ$2, 0,IF(AND(time+1&gt;=AK$2, $E144&lt;AK$2), IF($I144= "I", $J144/($F144-$E144+1), $J144/(($F144*($F144+1)/2)-(($E144-1)*($E144-1+1)/2))*AJ$2), 0)+IF(IF(time+1&gt;=AK$2, $K144/time_cap/(time+1)*AJ$2, 0) = 0, $K144/(time_cap),0)),0)</f>
        <v/>
      </c>
      <c r="AK144" s="4395">
        <f>IFERROR(IF((time+time_cap)&lt;AK$2, 0,IF(AND(time+1&gt;=AL$2, $E144&lt;AL$2), IF($I144= "I", $J144/($F144-$E144+1), $J144/(($F144*($F144+1)/2)-(($E144-1)*($E144-1+1)/2))*AK$2), 0)+IF(IF(time+1&gt;=AL$2, $K144/time_cap/(time+1)*AK$2, 0) = 0, $K144/(time_cap),0)),0)</f>
        <v/>
      </c>
      <c r="AL144" s="4395">
        <f>IFERROR(IF((time+time_cap)&lt;AL$2, 0,IF(AND(time+1&gt;=AM$2, $E144&lt;AM$2), IF($I144= "I", $J144/($F144-$E144+1), $J144/(($F144*($F144+1)/2)-(($E144-1)*($E144-1+1)/2))*AL$2), 0)+IF(IF(time+1&gt;=AM$2, $K144/time_cap/(time+1)*AL$2, 0) = 0, $K144/(time_cap),0)),0)</f>
        <v/>
      </c>
      <c r="AM144" s="4395">
        <f>IFERROR(IF((time+time_cap)&lt;AM$2, 0,IF(AND(time+1&gt;=AN$2, $E144&lt;AN$2), IF($I144= "I", $J144/($F144-$E144+1), $J144/(($F144*($F144+1)/2)-(($E144-1)*($E144-1+1)/2))*AM$2), 0)+IF(IF(time+1&gt;=AN$2, $K144/time_cap/(time+1)*AM$2, 0) = 0, $K144/(time_cap),0)),0)</f>
        <v/>
      </c>
      <c r="AN144" s="4395">
        <f>IFERROR(IF((time+time_cap)&lt;AN$2, 0,IF(AND(time+1&gt;=AO$2, $E144&lt;AO$2), IF($I144= "I", $J144/($F144-$E144+1), $J144/(($F144*($F144+1)/2)-(($E144-1)*($E144-1+1)/2))*AN$2), 0)+IF(IF(time+1&gt;=AO$2, $K144/time_cap/(time+1)*AN$2, 0) = 0, $K144/(time_cap),0)),0)</f>
        <v/>
      </c>
      <c r="AO144" s="4395">
        <f>IFERROR(IF((time+time_cap)&lt;AO$2, 0,IF(AND(time+1&gt;=AP$2, $E144&lt;AP$2), IF($I144= "I", $J144/($F144-$E144+1), $J144/(($F144*($F144+1)/2)-(($E144-1)*($E144-1+1)/2))*AO$2), 0)+IF(IF(time+1&gt;=AP$2, $K144/time_cap/(time+1)*AO$2, 0) = 0, $K144/(time_cap),0)),0)</f>
        <v/>
      </c>
      <c r="AP144" s="4395">
        <f>IFERROR(IF((time+time_cap)&lt;AP$2, 0,IF(AND(time+1&gt;=AQ$2, $E144&lt;AQ$2), IF($I144= "I", $J144/($F144-$E144+1), $J144/(($F144*($F144+1)/2)-(($E144-1)*($E144-1+1)/2))*AP$2), 0)+IF(IF(time+1&gt;=AQ$2, $K144/time_cap/(time+1)*AP$2, 0) = 0, $K144/(time_cap),0)),0)</f>
        <v/>
      </c>
      <c r="AQ144" s="4395">
        <f>IFERROR(IF((time+time_cap)&lt;AQ$2, 0,IF(AND(time+1&gt;=AR$2, $E144&lt;AR$2), IF($I144= "I", $J144/($F144-$E144+1), $J144/(($F144*($F144+1)/2)-(($E144-1)*($E144-1+1)/2))*AQ$2), 0)+IF(IF(time+1&gt;=AR$2, $K144/time_cap/(time+1)*AQ$2, 0) = 0, $K144/(time_cap),0)),0)</f>
        <v/>
      </c>
      <c r="AR144" s="4395">
        <f>IFERROR(IF((time+time_cap)&lt;AR$2, 0,IF(AND(time+1&gt;=AS$2, $E144&lt;AS$2), IF($I144= "I", $J144/($F144-$E144+1), $J144/(($F144*($F144+1)/2)-(($E144-1)*($E144-1+1)/2))*AR$2), 0)+IF(IF(time+1&gt;=AS$2, $K144/time_cap/(time+1)*AR$2, 0) = 0, $K144/(time_cap),0)),0)</f>
        <v/>
      </c>
      <c r="AS144" s="4395">
        <f>IFERROR(IF((time+time_cap)&lt;AS$2, 0,IF(AND(time+1&gt;=AT$2, $E144&lt;AT$2), IF($I144= "I", $J144/($F144-$E144+1), $J144/(($F144*($F144+1)/2)-(($E144-1)*($E144-1+1)/2))*AS$2), 0)+IF(IF(time+1&gt;=AT$2, $K144/time_cap/(time+1)*AS$2, 0) = 0, $K144/(time_cap),0)),0)</f>
        <v/>
      </c>
      <c r="AT144" s="4395">
        <f>IFERROR(IF((time+time_cap)&lt;AT$2, 0,IF(AND(time+1&gt;=AU$2, $E144&lt;AU$2), IF($I144= "I", $J144/($F144-$E144+1), $J144/(($F144*($F144+1)/2)-(($E144-1)*($E144-1+1)/2))*AT$2), 0)+IF(IF(time+1&gt;=AU$2, $K144/time_cap/(time+1)*AT$2, 0) = 0, $K144/(time_cap),0)),0)</f>
        <v/>
      </c>
      <c r="AU144" s="4395">
        <f>IFERROR(IF((time+time_cap)&lt;AU$2, 0,IF(AND(time+1&gt;=AV$2, $E144&lt;AV$2), IF($I144= "I", $J144/($F144-$E144+1), $J144/(($F144*($F144+1)/2)-(($E144-1)*($E144-1+1)/2))*AU$2), 0)+IF(IF(time+1&gt;=AV$2, $K144/time_cap/(time+1)*AU$2, 0) = 0, $K144/(time_cap),0)),0)</f>
        <v/>
      </c>
      <c r="AV144" s="4395">
        <f>IFERROR(IF((time+time_cap)&lt;AV$2, 0,IF(AND(time+1&gt;=AW$2, $E144&lt;AW$2), IF($I144= "I", $J144/($F144-$E144+1), $J144/(($F144*($F144+1)/2)-(($E144-1)*($E144-1+1)/2))*AV$2), 0)+IF(IF(time+1&gt;=AW$2, $K144/time_cap/(time+1)*AV$2, 0) = 0, $K144/(time_cap),0)),0)</f>
        <v/>
      </c>
      <c r="AW144" s="4395">
        <f>IFERROR(IF((time+time_cap)&lt;AW$2, 0,IF(AND(time+1&gt;=AX$2, $E144&lt;AX$2), IF($I144= "I", $J144/($F144-$E144+1), $J144/(($F144*($F144+1)/2)-(($E144-1)*($E144-1+1)/2))*AW$2), 0)+IF(IF(time+1&gt;=AX$2, $K144/time_cap/(time+1)*AW$2, 0) = 0, $K144/(time_cap),0)),0)</f>
        <v/>
      </c>
      <c r="AX144" s="4395">
        <f>IFERROR(IF((time+time_cap)&lt;AX$2, 0,IF(AND(time+1&gt;=AY$2, $E144&lt;AY$2), IF($I144= "I", $J144/($F144-$E144+1), $J144/(($F144*($F144+1)/2)-(($E144-1)*($E144-1+1)/2))*AX$2), 0)+IF(IF(time+1&gt;=AY$2, $K144/time_cap/(time+1)*AX$2, 0) = 0, $K144/(time_cap),0)),0)</f>
        <v/>
      </c>
      <c r="AY144" s="4395">
        <f>IFERROR(IF((time+time_cap)&lt;AY$2, 0,IF(AND(time+1&gt;=AZ$2, $E144&lt;AZ$2), IF($I144= "I", $J144/($F144-$E144+1), $J144/(($F144*($F144+1)/2)-(($E144-1)*($E144-1+1)/2))*AY$2), 0)+IF(IF(time+1&gt;=AZ$2, $K144/time_cap/(time+1)*AY$2, 0) = 0, $K144/(time_cap),0)),0)</f>
        <v/>
      </c>
      <c r="AZ144" s="4395">
        <f>IFERROR(IF((time+time_cap)&lt;AZ$2, 0,IF(AND(time+1&gt;=BA$2, $E144&lt;BA$2), IF($I144= "I", $J144/($F144-$E144+1), $J144/(($F144*($F144+1)/2)-(($E144-1)*($E144-1+1)/2))*AZ$2), 0)+IF(IF(time+1&gt;=BA$2, $K144/time_cap/(time+1)*AZ$2, 0) = 0, $K144/(time_cap),0)),0)</f>
        <v/>
      </c>
      <c r="BA144" s="4395">
        <f>IFERROR(IF((time+time_cap)&lt;BA$2, 0,IF(AND(time+1&gt;=BB$2, $E144&lt;BB$2), IF($I144= "I", $J144/($F144-$E144+1), $J144/(($F144*($F144+1)/2)-(($E144-1)*($E144-1+1)/2))*BA$2), 0)+IF(IF(time+1&gt;=BB$2, $K144/time_cap/(time+1)*BA$2, 0) = 0, $K144/(time_cap),0)),0)</f>
        <v/>
      </c>
      <c r="BB144" s="4395">
        <f>IFERROR(IF((time+time_cap)&lt;BB$2, 0,IF(AND(time+1&gt;=BC$2, $E144&lt;BC$2), IF($I144= "I", $J144/($F144-$E144+1), $J144/(($F144*($F144+1)/2)-(($E144-1)*($E144-1+1)/2))*BB$2), 0)+IF(IF(time+1&gt;=BC$2, $K144/time_cap/(time+1)*BB$2, 0) = 0, $K144/(time_cap),0)),0)</f>
        <v/>
      </c>
      <c r="BC144" s="4395">
        <f>IFERROR(IF((time+time_cap)&lt;BC$2, 0,IF(AND(time+1&gt;=BD$2, $E144&lt;BD$2), IF($I144= "I", $J144/($F144-$E144+1), $J144/(($F144*($F144+1)/2)-(($E144-1)*($E144-1+1)/2))*BC$2), 0)+IF(IF(time+1&gt;=BD$2, $K144/time_cap/(time+1)*BC$2, 0) = 0, $K144/(time_cap),0)),0)</f>
        <v/>
      </c>
      <c r="BD144" s="4395">
        <f>IFERROR(IF((time+time_cap)&lt;BD$2, 0,IF(AND(time+1&gt;=BE$2, $E144&lt;BE$2), IF($I144= "I", $J144/($F144-$E144+1), $J144/(($F144*($F144+1)/2)-(($E144-1)*($E144-1+1)/2))*BD$2), 0)+IF(IF(time+1&gt;=BE$2, $K144/time_cap/(time+1)*BD$2, 0) = 0, $K144/(time_cap),0)),0)</f>
        <v/>
      </c>
      <c r="BE144" s="4395">
        <f>IFERROR(IF((time+time_cap)&lt;BE$2, 0,IF(AND(time+1&gt;=BF$2, $E144&lt;BF$2), IF($I144= "I", $J144/($F144-$E144+1), $J144/(($F144*($F144+1)/2)-(($E144-1)*($E144-1+1)/2))*BE$2), 0)+IF(IF(time+1&gt;=BF$2, $K144/time_cap/(time+1)*BE$2, 0) = 0, $K144/(time_cap),0)),0)</f>
        <v/>
      </c>
      <c r="BF144" s="4395">
        <f>IFERROR(IF((time+time_cap)&lt;BF$2, 0,IF(AND(time+1&gt;=BG$2, $E144&lt;BG$2), IF($I144= "I", $J144/($F144-$E144+1), $J144/(($F144*($F144+1)/2)-(($E144-1)*($E144-1+1)/2))*BF$2), 0)+IF(IF(time+1&gt;=BG$2, $K144/time_cap/(time+1)*BF$2, 0) = 0, $K144/(time_cap),0)),0)</f>
        <v/>
      </c>
      <c r="BG144" s="4395">
        <f>IFERROR(IF((time+time_cap)&lt;BG$2, 0,IF(AND(time+1&gt;=BH$2, $E144&lt;BH$2), IF($I144= "I", $J144/($F144-$E144+1), $J144/(($F144*($F144+1)/2)-(($E144-1)*($E144-1+1)/2))*BG$2), 0)+IF(IF(time+1&gt;=BH$2, $K144/time_cap/(time+1)*BG$2, 0) = 0, $K144/(time_cap),0)),0)</f>
        <v/>
      </c>
      <c r="BH144" s="4395">
        <f>IFERROR(IF((time+time_cap)&lt;BH$2, 0,IF(AND(time+1&gt;=BI$2, $E144&lt;BI$2), IF($I144= "I", $J144/($F144-$E144+1), $J144/(($F144*($F144+1)/2)-(($E144-1)*($E144-1+1)/2))*BH$2), 0)+IF(IF(time+1&gt;=BI$2, $K144/time_cap/(time+1)*BH$2, 0) = 0, $K144/(time_cap),0)),0)</f>
        <v/>
      </c>
      <c r="BI144" s="4395">
        <f>IFERROR(IF((time+time_cap)&lt;BI$2, 0,IF(AND(time+1&gt;=BJ$2, $E144&lt;BJ$2), IF($I144= "I", $J144/($F144-$E144+1), $J144/(($F144*($F144+1)/2)-(($E144-1)*($E144-1+1)/2))*BI$2), 0)+IF(IF(time+1&gt;=BJ$2, $K144/time_cap/(time+1)*BI$2, 0) = 0, $K144/(time_cap),0)),0)</f>
        <v/>
      </c>
      <c r="BJ144" s="4395">
        <f>IFERROR(IF((time+time_cap)&lt;BJ$2, 0,IF(AND(time+1&gt;=BK$2, $E144&lt;BK$2), IF($I144= "I", $J144/($F144-$E144+1), $J144/(($F144*($F144+1)/2)-(($E144-1)*($E144-1+1)/2))*BJ$2), 0)+IF(IF(time+1&gt;=BK$2, $K144/time_cap/(time+1)*BJ$2, 0) = 0, $K144/(time_cap),0)),0)</f>
        <v/>
      </c>
      <c r="BK144" s="4395" t="n"/>
      <c r="BL144" s="4395" t="n"/>
      <c r="BM144" s="4395" t="n"/>
      <c r="BN144" s="4395" t="n"/>
      <c r="BO144" s="4395" t="n"/>
      <c r="BP144" s="4395" t="n"/>
      <c r="BQ144" s="4395" t="n"/>
      <c r="BR144" s="4395" t="n"/>
      <c r="BS144" s="4395" t="n"/>
      <c r="BT144" s="4395" t="n"/>
      <c r="BU144" s="4395" t="n"/>
      <c r="BV144" s="4395" t="n"/>
      <c r="BW144" s="4395" t="n"/>
      <c r="BX144" s="4395" t="n"/>
      <c r="BY144" s="4395" t="n"/>
      <c r="BZ144" s="4395" t="n"/>
      <c r="CA144" s="4395" t="n"/>
      <c r="CB144" s="4395" t="n"/>
      <c r="CC144" s="4395" t="n"/>
      <c r="CD144" s="4395" t="n"/>
      <c r="CE144" s="4395" t="n"/>
      <c r="CF144" s="4395" t="n"/>
      <c r="CG144" s="4395" t="n"/>
      <c r="CH144" s="4395" t="n"/>
      <c r="CI144" s="4395" t="n"/>
      <c r="CJ144" s="4395" t="n"/>
      <c r="CK144" s="4395" t="n"/>
      <c r="CL144" s="4395" t="n"/>
      <c r="CM144" s="4395" t="n"/>
      <c r="CN144" s="4395" t="n"/>
      <c r="CO144" s="4395" t="n"/>
      <c r="CP144" s="4395" t="n"/>
      <c r="CQ144" s="4395" t="n"/>
      <c r="CR144" s="4395" t="n"/>
      <c r="CS144" s="4395" t="n"/>
      <c r="CT144" s="4395" t="n"/>
      <c r="CU144" s="4395" t="n"/>
      <c r="CV144" s="4395" t="n"/>
      <c r="CW144" s="4395" t="n"/>
      <c r="CX144" s="4395" t="n"/>
      <c r="CY144" s="4395" t="n"/>
      <c r="CZ144" s="4395" t="n"/>
      <c r="DA144" s="4395" t="n"/>
      <c r="DB144" s="4395" t="n"/>
      <c r="DC144" s="4395" t="n"/>
      <c r="DD144" s="4395" t="n"/>
      <c r="DE144" s="4395" t="n"/>
      <c r="DF144" s="4395" t="n"/>
      <c r="DG144" s="4395" t="n"/>
      <c r="DH144" s="4395" t="n"/>
    </row>
    <row r="145" ht="16" customHeight="1">
      <c r="A145" t="inlineStr">
        <is>
          <t>Inland wetlands - land management</t>
        </is>
      </c>
      <c r="B145">
        <f>'6.Inland wetlands'!C153</f>
        <v/>
      </c>
      <c r="C145">
        <f>'6.Inland wetlands'!I153</f>
        <v/>
      </c>
      <c r="D145">
        <f>'6.Inland wetlands'!AG153</f>
        <v/>
      </c>
      <c r="E145">
        <f>IF('6.Inland wetlands'!CA153&lt;&gt;0,'6.Inland wetlands'!CA153,'6.Inland wetlands'!BZ153)</f>
        <v/>
      </c>
      <c r="F145">
        <f>time</f>
        <v/>
      </c>
      <c r="G145" s="4395">
        <f>'6.Inland wetlands'!O153</f>
        <v/>
      </c>
      <c r="H145" s="4395">
        <f>'6.Inland wetlands'!Q153</f>
        <v/>
      </c>
      <c r="I145" s="4395">
        <f>IF(OR(H145="I", G145="I"), "I", IF(OR(H145="E", G145="E"), "E", "D"))</f>
        <v/>
      </c>
      <c r="J145" s="4395">
        <f>((D145/(time_cap+((F145-E145+1)*VLOOKUP(I145,list!$I$48:$K$50,3, FALSE))))*(F145-E145+1)*VLOOKUP(I145,list!$I$48:$K$50,3, FALSE))</f>
        <v/>
      </c>
      <c r="K145" s="4395">
        <f>((D145/(time_cap+((F145-E145+1)*VLOOKUP(I145,list!$I$48:$K$50,3, FALSE))))*time_cap)</f>
        <v/>
      </c>
      <c r="M145" s="4395">
        <f>IFERROR(IF((time+time_cap)&lt;M$2, 0,IF(AND(time+1&gt;=N$2, $E145&lt;N$2), IF($I145= "I", $J145/($F145-$E145+1), $J145/(($F145*($F145+1)/2)-(($E145-1)*($E145-1+1)/2))*M$2), 0)+IF(IF(time+1&gt;=N$2, $K145/time_cap/(time+1)*M$2, 0) = 0, $K145/(time_cap),0)),0)</f>
        <v/>
      </c>
      <c r="N145" s="4395">
        <f>IFERROR(IF((time+time_cap)&lt;N$2, 0,IF(AND(time+1&gt;=O$2, $E145&lt;O$2), IF($I145= "I", $J145/($F145-$E145+1), $J145/(($F145*($F145+1)/2)-(($E145-1)*($E145-1+1)/2))*N$2), 0)+IF(IF(time+1&gt;=O$2, $K145/time_cap/(time+1)*N$2, 0) = 0, $K145/(time_cap),0)),0)</f>
        <v/>
      </c>
      <c r="O145" s="4395">
        <f>IFERROR(IF((time+time_cap)&lt;O$2, 0,IF(AND(time+1&gt;=P$2, $E145&lt;P$2), IF($I145= "I", $J145/($F145-$E145+1), $J145/(($F145*($F145+1)/2)-(($E145-1)*($E145-1+1)/2))*O$2), 0)+IF(IF(time+1&gt;=P$2, $K145/time_cap/(time+1)*O$2, 0) = 0, $K145/(time_cap),0)),0)</f>
        <v/>
      </c>
      <c r="P145" s="4395">
        <f>IFERROR(IF((time+time_cap)&lt;P$2, 0,IF(AND(time+1&gt;=Q$2, $E145&lt;Q$2), IF($I145= "I", $J145/($F145-$E145+1), $J145/(($F145*($F145+1)/2)-(($E145-1)*($E145-1+1)/2))*P$2), 0)+IF(IF(time+1&gt;=Q$2, $K145/time_cap/(time+1)*P$2, 0) = 0, $K145/(time_cap),0)),0)</f>
        <v/>
      </c>
      <c r="Q145" s="4395">
        <f>IFERROR(IF((time+time_cap)&lt;Q$2, 0,IF(AND(time+1&gt;=R$2, $E145&lt;R$2), IF($I145= "I", $J145/($F145-$E145+1), $J145/(($F145*($F145+1)/2)-(($E145-1)*($E145-1+1)/2))*Q$2), 0)+IF(IF(time+1&gt;=R$2, $K145/time_cap/(time+1)*Q$2, 0) = 0, $K145/(time_cap),0)),0)</f>
        <v/>
      </c>
      <c r="R145" s="4395">
        <f>IFERROR(IF((time+time_cap)&lt;R$2, 0,IF(AND(time+1&gt;=S$2, $E145&lt;S$2), IF($I145= "I", $J145/($F145-$E145+1), $J145/(($F145*($F145+1)/2)-(($E145-1)*($E145-1+1)/2))*R$2), 0)+IF(IF(time+1&gt;=S$2, $K145/time_cap/(time+1)*R$2, 0) = 0, $K145/(time_cap),0)),0)</f>
        <v/>
      </c>
      <c r="S145" s="4395">
        <f>IFERROR(IF((time+time_cap)&lt;S$2, 0,IF(AND(time+1&gt;=T$2, $E145&lt;T$2), IF($I145= "I", $J145/($F145-$E145+1), $J145/(($F145*($F145+1)/2)-(($E145-1)*($E145-1+1)/2))*S$2), 0)+IF(IF(time+1&gt;=T$2, $K145/time_cap/(time+1)*S$2, 0) = 0, $K145/(time_cap),0)),0)</f>
        <v/>
      </c>
      <c r="T145" s="4395">
        <f>IFERROR(IF((time+time_cap)&lt;T$2, 0,IF(AND(time+1&gt;=U$2, $E145&lt;U$2), IF($I145= "I", $J145/($F145-$E145+1), $J145/(($F145*($F145+1)/2)-(($E145-1)*($E145-1+1)/2))*T$2), 0)+IF(IF(time+1&gt;=U$2, $K145/time_cap/(time+1)*T$2, 0) = 0, $K145/(time_cap),0)),0)</f>
        <v/>
      </c>
      <c r="U145" s="4395">
        <f>IFERROR(IF((time+time_cap)&lt;U$2, 0,IF(AND(time+1&gt;=V$2, $E145&lt;V$2), IF($I145= "I", $J145/($F145-$E145+1), $J145/(($F145*($F145+1)/2)-(($E145-1)*($E145-1+1)/2))*U$2), 0)+IF(IF(time+1&gt;=V$2, $K145/time_cap/(time+1)*U$2, 0) = 0, $K145/(time_cap),0)),0)</f>
        <v/>
      </c>
      <c r="V145" s="4395">
        <f>IFERROR(IF((time+time_cap)&lt;V$2, 0,IF(AND(time+1&gt;=W$2, $E145&lt;W$2), IF($I145= "I", $J145/($F145-$E145+1), $J145/(($F145*($F145+1)/2)-(($E145-1)*($E145-1+1)/2))*V$2), 0)+IF(IF(time+1&gt;=W$2, $K145/time_cap/(time+1)*V$2, 0) = 0, $K145/(time_cap),0)),0)</f>
        <v/>
      </c>
      <c r="W145" s="4395">
        <f>IFERROR(IF((time+time_cap)&lt;W$2, 0,IF(AND(time+1&gt;=X$2, $E145&lt;X$2), IF($I145= "I", $J145/($F145-$E145+1), $J145/(($F145*($F145+1)/2)-(($E145-1)*($E145-1+1)/2))*W$2), 0)+IF(IF(time+1&gt;=X$2, $K145/time_cap/(time+1)*W$2, 0) = 0, $K145/(time_cap),0)),0)</f>
        <v/>
      </c>
      <c r="X145" s="4395">
        <f>IFERROR(IF((time+time_cap)&lt;X$2, 0,IF(AND(time+1&gt;=Y$2, $E145&lt;Y$2), IF($I145= "I", $J145/($F145-$E145+1), $J145/(($F145*($F145+1)/2)-(($E145-1)*($E145-1+1)/2))*X$2), 0)+IF(IF(time+1&gt;=Y$2, $K145/time_cap/(time+1)*X$2, 0) = 0, $K145/(time_cap),0)),0)</f>
        <v/>
      </c>
      <c r="Y145" s="4395">
        <f>IFERROR(IF((time+time_cap)&lt;Y$2, 0,IF(AND(time+1&gt;=Z$2, $E145&lt;Z$2), IF($I145= "I", $J145/($F145-$E145+1), $J145/(($F145*($F145+1)/2)-(($E145-1)*($E145-1+1)/2))*Y$2), 0)+IF(IF(time+1&gt;=Z$2, $K145/time_cap/(time+1)*Y$2, 0) = 0, $K145/(time_cap),0)),0)</f>
        <v/>
      </c>
      <c r="Z145" s="4395">
        <f>IFERROR(IF((time+time_cap)&lt;Z$2, 0,IF(AND(time+1&gt;=AA$2, $E145&lt;AA$2), IF($I145= "I", $J145/($F145-$E145+1), $J145/(($F145*($F145+1)/2)-(($E145-1)*($E145-1+1)/2))*Z$2), 0)+IF(IF(time+1&gt;=AA$2, $K145/time_cap/(time+1)*Z$2, 0) = 0, $K145/(time_cap),0)),0)</f>
        <v/>
      </c>
      <c r="AA145" s="4395">
        <f>IFERROR(IF((time+time_cap)&lt;AA$2, 0,IF(AND(time+1&gt;=AB$2, $E145&lt;AB$2), IF($I145= "I", $J145/($F145-$E145+1), $J145/(($F145*($F145+1)/2)-(($E145-1)*($E145-1+1)/2))*AA$2), 0)+IF(IF(time+1&gt;=AB$2, $K145/time_cap/(time+1)*AA$2, 0) = 0, $K145/(time_cap),0)),0)</f>
        <v/>
      </c>
      <c r="AB145" s="4395">
        <f>IFERROR(IF((time+time_cap)&lt;AB$2, 0,IF(AND(time+1&gt;=AC$2, $E145&lt;AC$2), IF($I145= "I", $J145/($F145-$E145+1), $J145/(($F145*($F145+1)/2)-(($E145-1)*($E145-1+1)/2))*AB$2), 0)+IF(IF(time+1&gt;=AC$2, $K145/time_cap/(time+1)*AB$2, 0) = 0, $K145/(time_cap),0)),0)</f>
        <v/>
      </c>
      <c r="AC145" s="4395">
        <f>IFERROR(IF((time+time_cap)&lt;AC$2, 0,IF(AND(time+1&gt;=AD$2, $E145&lt;AD$2), IF($I145= "I", $J145/($F145-$E145+1), $J145/(($F145*($F145+1)/2)-(($E145-1)*($E145-1+1)/2))*AC$2), 0)+IF(IF(time+1&gt;=AD$2, $K145/time_cap/(time+1)*AC$2, 0) = 0, $K145/(time_cap),0)),0)</f>
        <v/>
      </c>
      <c r="AD145" s="4395">
        <f>IFERROR(IF((time+time_cap)&lt;AD$2, 0,IF(AND(time+1&gt;=AE$2, $E145&lt;AE$2), IF($I145= "I", $J145/($F145-$E145+1), $J145/(($F145*($F145+1)/2)-(($E145-1)*($E145-1+1)/2))*AD$2), 0)+IF(IF(time+1&gt;=AE$2, $K145/time_cap/(time+1)*AD$2, 0) = 0, $K145/(time_cap),0)),0)</f>
        <v/>
      </c>
      <c r="AE145" s="4395">
        <f>IFERROR(IF((time+time_cap)&lt;AE$2, 0,IF(AND(time+1&gt;=AF$2, $E145&lt;AF$2), IF($I145= "I", $J145/($F145-$E145+1), $J145/(($F145*($F145+1)/2)-(($E145-1)*($E145-1+1)/2))*AE$2), 0)+IF(IF(time+1&gt;=AF$2, $K145/time_cap/(time+1)*AE$2, 0) = 0, $K145/(time_cap),0)),0)</f>
        <v/>
      </c>
      <c r="AF145" s="4395">
        <f>IFERROR(IF((time+time_cap)&lt;AF$2, 0,IF(AND(time+1&gt;=AG$2, $E145&lt;AG$2), IF($I145= "I", $J145/($F145-$E145+1), $J145/(($F145*($F145+1)/2)-(($E145-1)*($E145-1+1)/2))*AF$2), 0)+IF(IF(time+1&gt;=AG$2, $K145/time_cap/(time+1)*AF$2, 0) = 0, $K145/(time_cap),0)),0)</f>
        <v/>
      </c>
      <c r="AG145" s="4395">
        <f>IFERROR(IF((time+time_cap)&lt;AG$2, 0,IF(AND(time+1&gt;=AH$2, $E145&lt;AH$2), IF($I145= "I", $J145/($F145-$E145+1), $J145/(($F145*($F145+1)/2)-(($E145-1)*($E145-1+1)/2))*AG$2), 0)+IF(IF(time+1&gt;=AH$2, $K145/time_cap/(time+1)*AG$2, 0) = 0, $K145/(time_cap),0)),0)</f>
        <v/>
      </c>
      <c r="AH145" s="4395">
        <f>IFERROR(IF((time+time_cap)&lt;AH$2, 0,IF(AND(time+1&gt;=AI$2, $E145&lt;AI$2), IF($I145= "I", $J145/($F145-$E145+1), $J145/(($F145*($F145+1)/2)-(($E145-1)*($E145-1+1)/2))*AH$2), 0)+IF(IF(time+1&gt;=AI$2, $K145/time_cap/(time+1)*AH$2, 0) = 0, $K145/(time_cap),0)),0)</f>
        <v/>
      </c>
      <c r="AI145" s="4395">
        <f>IFERROR(IF((time+time_cap)&lt;AI$2, 0,IF(AND(time+1&gt;=AJ$2, $E145&lt;AJ$2), IF($I145= "I", $J145/($F145-$E145+1), $J145/(($F145*($F145+1)/2)-(($E145-1)*($E145-1+1)/2))*AI$2), 0)+IF(IF(time+1&gt;=AJ$2, $K145/time_cap/(time+1)*AI$2, 0) = 0, $K145/(time_cap),0)),0)</f>
        <v/>
      </c>
      <c r="AJ145" s="4395">
        <f>IFERROR(IF((time+time_cap)&lt;AJ$2, 0,IF(AND(time+1&gt;=AK$2, $E145&lt;AK$2), IF($I145= "I", $J145/($F145-$E145+1), $J145/(($F145*($F145+1)/2)-(($E145-1)*($E145-1+1)/2))*AJ$2), 0)+IF(IF(time+1&gt;=AK$2, $K145/time_cap/(time+1)*AJ$2, 0) = 0, $K145/(time_cap),0)),0)</f>
        <v/>
      </c>
      <c r="AK145" s="4395">
        <f>IFERROR(IF((time+time_cap)&lt;AK$2, 0,IF(AND(time+1&gt;=AL$2, $E145&lt;AL$2), IF($I145= "I", $J145/($F145-$E145+1), $J145/(($F145*($F145+1)/2)-(($E145-1)*($E145-1+1)/2))*AK$2), 0)+IF(IF(time+1&gt;=AL$2, $K145/time_cap/(time+1)*AK$2, 0) = 0, $K145/(time_cap),0)),0)</f>
        <v/>
      </c>
      <c r="AL145" s="4395">
        <f>IFERROR(IF((time+time_cap)&lt;AL$2, 0,IF(AND(time+1&gt;=AM$2, $E145&lt;AM$2), IF($I145= "I", $J145/($F145-$E145+1), $J145/(($F145*($F145+1)/2)-(($E145-1)*($E145-1+1)/2))*AL$2), 0)+IF(IF(time+1&gt;=AM$2, $K145/time_cap/(time+1)*AL$2, 0) = 0, $K145/(time_cap),0)),0)</f>
        <v/>
      </c>
      <c r="AM145" s="4395">
        <f>IFERROR(IF((time+time_cap)&lt;AM$2, 0,IF(AND(time+1&gt;=AN$2, $E145&lt;AN$2), IF($I145= "I", $J145/($F145-$E145+1), $J145/(($F145*($F145+1)/2)-(($E145-1)*($E145-1+1)/2))*AM$2), 0)+IF(IF(time+1&gt;=AN$2, $K145/time_cap/(time+1)*AM$2, 0) = 0, $K145/(time_cap),0)),0)</f>
        <v/>
      </c>
      <c r="AN145" s="4395">
        <f>IFERROR(IF((time+time_cap)&lt;AN$2, 0,IF(AND(time+1&gt;=AO$2, $E145&lt;AO$2), IF($I145= "I", $J145/($F145-$E145+1), $J145/(($F145*($F145+1)/2)-(($E145-1)*($E145-1+1)/2))*AN$2), 0)+IF(IF(time+1&gt;=AO$2, $K145/time_cap/(time+1)*AN$2, 0) = 0, $K145/(time_cap),0)),0)</f>
        <v/>
      </c>
      <c r="AO145" s="4395">
        <f>IFERROR(IF((time+time_cap)&lt;AO$2, 0,IF(AND(time+1&gt;=AP$2, $E145&lt;AP$2), IF($I145= "I", $J145/($F145-$E145+1), $J145/(($F145*($F145+1)/2)-(($E145-1)*($E145-1+1)/2))*AO$2), 0)+IF(IF(time+1&gt;=AP$2, $K145/time_cap/(time+1)*AO$2, 0) = 0, $K145/(time_cap),0)),0)</f>
        <v/>
      </c>
      <c r="AP145" s="4395">
        <f>IFERROR(IF((time+time_cap)&lt;AP$2, 0,IF(AND(time+1&gt;=AQ$2, $E145&lt;AQ$2), IF($I145= "I", $J145/($F145-$E145+1), $J145/(($F145*($F145+1)/2)-(($E145-1)*($E145-1+1)/2))*AP$2), 0)+IF(IF(time+1&gt;=AQ$2, $K145/time_cap/(time+1)*AP$2, 0) = 0, $K145/(time_cap),0)),0)</f>
        <v/>
      </c>
      <c r="AQ145" s="4395">
        <f>IFERROR(IF((time+time_cap)&lt;AQ$2, 0,IF(AND(time+1&gt;=AR$2, $E145&lt;AR$2), IF($I145= "I", $J145/($F145-$E145+1), $J145/(($F145*($F145+1)/2)-(($E145-1)*($E145-1+1)/2))*AQ$2), 0)+IF(IF(time+1&gt;=AR$2, $K145/time_cap/(time+1)*AQ$2, 0) = 0, $K145/(time_cap),0)),0)</f>
        <v/>
      </c>
      <c r="AR145" s="4395">
        <f>IFERROR(IF((time+time_cap)&lt;AR$2, 0,IF(AND(time+1&gt;=AS$2, $E145&lt;AS$2), IF($I145= "I", $J145/($F145-$E145+1), $J145/(($F145*($F145+1)/2)-(($E145-1)*($E145-1+1)/2))*AR$2), 0)+IF(IF(time+1&gt;=AS$2, $K145/time_cap/(time+1)*AR$2, 0) = 0, $K145/(time_cap),0)),0)</f>
        <v/>
      </c>
      <c r="AS145" s="4395">
        <f>IFERROR(IF((time+time_cap)&lt;AS$2, 0,IF(AND(time+1&gt;=AT$2, $E145&lt;AT$2), IF($I145= "I", $J145/($F145-$E145+1), $J145/(($F145*($F145+1)/2)-(($E145-1)*($E145-1+1)/2))*AS$2), 0)+IF(IF(time+1&gt;=AT$2, $K145/time_cap/(time+1)*AS$2, 0) = 0, $K145/(time_cap),0)),0)</f>
        <v/>
      </c>
      <c r="AT145" s="4395">
        <f>IFERROR(IF((time+time_cap)&lt;AT$2, 0,IF(AND(time+1&gt;=AU$2, $E145&lt;AU$2), IF($I145= "I", $J145/($F145-$E145+1), $J145/(($F145*($F145+1)/2)-(($E145-1)*($E145-1+1)/2))*AT$2), 0)+IF(IF(time+1&gt;=AU$2, $K145/time_cap/(time+1)*AT$2, 0) = 0, $K145/(time_cap),0)),0)</f>
        <v/>
      </c>
      <c r="AU145" s="4395">
        <f>IFERROR(IF((time+time_cap)&lt;AU$2, 0,IF(AND(time+1&gt;=AV$2, $E145&lt;AV$2), IF($I145= "I", $J145/($F145-$E145+1), $J145/(($F145*($F145+1)/2)-(($E145-1)*($E145-1+1)/2))*AU$2), 0)+IF(IF(time+1&gt;=AV$2, $K145/time_cap/(time+1)*AU$2, 0) = 0, $K145/(time_cap),0)),0)</f>
        <v/>
      </c>
      <c r="AV145" s="4395">
        <f>IFERROR(IF((time+time_cap)&lt;AV$2, 0,IF(AND(time+1&gt;=AW$2, $E145&lt;AW$2), IF($I145= "I", $J145/($F145-$E145+1), $J145/(($F145*($F145+1)/2)-(($E145-1)*($E145-1+1)/2))*AV$2), 0)+IF(IF(time+1&gt;=AW$2, $K145/time_cap/(time+1)*AV$2, 0) = 0, $K145/(time_cap),0)),0)</f>
        <v/>
      </c>
      <c r="AW145" s="4395">
        <f>IFERROR(IF((time+time_cap)&lt;AW$2, 0,IF(AND(time+1&gt;=AX$2, $E145&lt;AX$2), IF($I145= "I", $J145/($F145-$E145+1), $J145/(($F145*($F145+1)/2)-(($E145-1)*($E145-1+1)/2))*AW$2), 0)+IF(IF(time+1&gt;=AX$2, $K145/time_cap/(time+1)*AW$2, 0) = 0, $K145/(time_cap),0)),0)</f>
        <v/>
      </c>
      <c r="AX145" s="4395">
        <f>IFERROR(IF((time+time_cap)&lt;AX$2, 0,IF(AND(time+1&gt;=AY$2, $E145&lt;AY$2), IF($I145= "I", $J145/($F145-$E145+1), $J145/(($F145*($F145+1)/2)-(($E145-1)*($E145-1+1)/2))*AX$2), 0)+IF(IF(time+1&gt;=AY$2, $K145/time_cap/(time+1)*AX$2, 0) = 0, $K145/(time_cap),0)),0)</f>
        <v/>
      </c>
      <c r="AY145" s="4395">
        <f>IFERROR(IF((time+time_cap)&lt;AY$2, 0,IF(AND(time+1&gt;=AZ$2, $E145&lt;AZ$2), IF($I145= "I", $J145/($F145-$E145+1), $J145/(($F145*($F145+1)/2)-(($E145-1)*($E145-1+1)/2))*AY$2), 0)+IF(IF(time+1&gt;=AZ$2, $K145/time_cap/(time+1)*AY$2, 0) = 0, $K145/(time_cap),0)),0)</f>
        <v/>
      </c>
      <c r="AZ145" s="4395">
        <f>IFERROR(IF((time+time_cap)&lt;AZ$2, 0,IF(AND(time+1&gt;=BA$2, $E145&lt;BA$2), IF($I145= "I", $J145/($F145-$E145+1), $J145/(($F145*($F145+1)/2)-(($E145-1)*($E145-1+1)/2))*AZ$2), 0)+IF(IF(time+1&gt;=BA$2, $K145/time_cap/(time+1)*AZ$2, 0) = 0, $K145/(time_cap),0)),0)</f>
        <v/>
      </c>
      <c r="BA145" s="4395">
        <f>IFERROR(IF((time+time_cap)&lt;BA$2, 0,IF(AND(time+1&gt;=BB$2, $E145&lt;BB$2), IF($I145= "I", $J145/($F145-$E145+1), $J145/(($F145*($F145+1)/2)-(($E145-1)*($E145-1+1)/2))*BA$2), 0)+IF(IF(time+1&gt;=BB$2, $K145/time_cap/(time+1)*BA$2, 0) = 0, $K145/(time_cap),0)),0)</f>
        <v/>
      </c>
      <c r="BB145" s="4395">
        <f>IFERROR(IF((time+time_cap)&lt;BB$2, 0,IF(AND(time+1&gt;=BC$2, $E145&lt;BC$2), IF($I145= "I", $J145/($F145-$E145+1), $J145/(($F145*($F145+1)/2)-(($E145-1)*($E145-1+1)/2))*BB$2), 0)+IF(IF(time+1&gt;=BC$2, $K145/time_cap/(time+1)*BB$2, 0) = 0, $K145/(time_cap),0)),0)</f>
        <v/>
      </c>
      <c r="BC145" s="4395">
        <f>IFERROR(IF((time+time_cap)&lt;BC$2, 0,IF(AND(time+1&gt;=BD$2, $E145&lt;BD$2), IF($I145= "I", $J145/($F145-$E145+1), $J145/(($F145*($F145+1)/2)-(($E145-1)*($E145-1+1)/2))*BC$2), 0)+IF(IF(time+1&gt;=BD$2, $K145/time_cap/(time+1)*BC$2, 0) = 0, $K145/(time_cap),0)),0)</f>
        <v/>
      </c>
      <c r="BD145" s="4395">
        <f>IFERROR(IF((time+time_cap)&lt;BD$2, 0,IF(AND(time+1&gt;=BE$2, $E145&lt;BE$2), IF($I145= "I", $J145/($F145-$E145+1), $J145/(($F145*($F145+1)/2)-(($E145-1)*($E145-1+1)/2))*BD$2), 0)+IF(IF(time+1&gt;=BE$2, $K145/time_cap/(time+1)*BD$2, 0) = 0, $K145/(time_cap),0)),0)</f>
        <v/>
      </c>
      <c r="BE145" s="4395">
        <f>IFERROR(IF((time+time_cap)&lt;BE$2, 0,IF(AND(time+1&gt;=BF$2, $E145&lt;BF$2), IF($I145= "I", $J145/($F145-$E145+1), $J145/(($F145*($F145+1)/2)-(($E145-1)*($E145-1+1)/2))*BE$2), 0)+IF(IF(time+1&gt;=BF$2, $K145/time_cap/(time+1)*BE$2, 0) = 0, $K145/(time_cap),0)),0)</f>
        <v/>
      </c>
      <c r="BF145" s="4395">
        <f>IFERROR(IF((time+time_cap)&lt;BF$2, 0,IF(AND(time+1&gt;=BG$2, $E145&lt;BG$2), IF($I145= "I", $J145/($F145-$E145+1), $J145/(($F145*($F145+1)/2)-(($E145-1)*($E145-1+1)/2))*BF$2), 0)+IF(IF(time+1&gt;=BG$2, $K145/time_cap/(time+1)*BF$2, 0) = 0, $K145/(time_cap),0)),0)</f>
        <v/>
      </c>
      <c r="BG145" s="4395">
        <f>IFERROR(IF((time+time_cap)&lt;BG$2, 0,IF(AND(time+1&gt;=BH$2, $E145&lt;BH$2), IF($I145= "I", $J145/($F145-$E145+1), $J145/(($F145*($F145+1)/2)-(($E145-1)*($E145-1+1)/2))*BG$2), 0)+IF(IF(time+1&gt;=BH$2, $K145/time_cap/(time+1)*BG$2, 0) = 0, $K145/(time_cap),0)),0)</f>
        <v/>
      </c>
      <c r="BH145" s="4395">
        <f>IFERROR(IF((time+time_cap)&lt;BH$2, 0,IF(AND(time+1&gt;=BI$2, $E145&lt;BI$2), IF($I145= "I", $J145/($F145-$E145+1), $J145/(($F145*($F145+1)/2)-(($E145-1)*($E145-1+1)/2))*BH$2), 0)+IF(IF(time+1&gt;=BI$2, $K145/time_cap/(time+1)*BH$2, 0) = 0, $K145/(time_cap),0)),0)</f>
        <v/>
      </c>
      <c r="BI145" s="4395">
        <f>IFERROR(IF((time+time_cap)&lt;BI$2, 0,IF(AND(time+1&gt;=BJ$2, $E145&lt;BJ$2), IF($I145= "I", $J145/($F145-$E145+1), $J145/(($F145*($F145+1)/2)-(($E145-1)*($E145-1+1)/2))*BI$2), 0)+IF(IF(time+1&gt;=BJ$2, $K145/time_cap/(time+1)*BI$2, 0) = 0, $K145/(time_cap),0)),0)</f>
        <v/>
      </c>
      <c r="BJ145" s="4395">
        <f>IFERROR(IF((time+time_cap)&lt;BJ$2, 0,IF(AND(time+1&gt;=BK$2, $E145&lt;BK$2), IF($I145= "I", $J145/($F145-$E145+1), $J145/(($F145*($F145+1)/2)-(($E145-1)*($E145-1+1)/2))*BJ$2), 0)+IF(IF(time+1&gt;=BK$2, $K145/time_cap/(time+1)*BJ$2, 0) = 0, $K145/(time_cap),0)),0)</f>
        <v/>
      </c>
      <c r="BK145" s="4395" t="n"/>
      <c r="BL145" s="4395" t="n"/>
      <c r="BM145" s="4395" t="n"/>
      <c r="BN145" s="4395" t="n"/>
      <c r="BO145" s="4395" t="n"/>
      <c r="BP145" s="4395" t="n"/>
      <c r="BQ145" s="4395" t="n"/>
      <c r="BR145" s="4395" t="n"/>
      <c r="BS145" s="4395" t="n"/>
      <c r="BT145" s="4395" t="n"/>
      <c r="BU145" s="4395" t="n"/>
      <c r="BV145" s="4395" t="n"/>
      <c r="BW145" s="4395" t="n"/>
      <c r="BX145" s="4395" t="n"/>
      <c r="BY145" s="4395" t="n"/>
      <c r="BZ145" s="4395" t="n"/>
      <c r="CA145" s="4395" t="n"/>
      <c r="CB145" s="4395" t="n"/>
      <c r="CC145" s="4395" t="n"/>
      <c r="CD145" s="4395" t="n"/>
      <c r="CE145" s="4395" t="n"/>
      <c r="CF145" s="4395" t="n"/>
      <c r="CG145" s="4395" t="n"/>
      <c r="CH145" s="4395" t="n"/>
      <c r="CI145" s="4395" t="n"/>
      <c r="CJ145" s="4395" t="n"/>
      <c r="CK145" s="4395" t="n"/>
      <c r="CL145" s="4395" t="n"/>
      <c r="CM145" s="4395" t="n"/>
      <c r="CN145" s="4395" t="n"/>
      <c r="CO145" s="4395" t="n"/>
      <c r="CP145" s="4395" t="n"/>
      <c r="CQ145" s="4395" t="n"/>
      <c r="CR145" s="4395" t="n"/>
      <c r="CS145" s="4395" t="n"/>
      <c r="CT145" s="4395" t="n"/>
      <c r="CU145" s="4395" t="n"/>
      <c r="CV145" s="4395" t="n"/>
      <c r="CW145" s="4395" t="n"/>
      <c r="CX145" s="4395" t="n"/>
      <c r="CY145" s="4395" t="n"/>
      <c r="CZ145" s="4395" t="n"/>
      <c r="DA145" s="4395" t="n"/>
      <c r="DB145" s="4395" t="n"/>
      <c r="DC145" s="4395" t="n"/>
      <c r="DD145" s="4395" t="n"/>
      <c r="DE145" s="4395" t="n"/>
      <c r="DF145" s="4395" t="n"/>
      <c r="DG145" s="4395" t="n"/>
      <c r="DH145" s="4395" t="n"/>
    </row>
    <row r="146" ht="16" customHeight="1">
      <c r="A146" t="inlineStr">
        <is>
          <t>Inland wetlands - land management</t>
        </is>
      </c>
      <c r="B146">
        <f>'6.Inland wetlands'!C154</f>
        <v/>
      </c>
      <c r="C146">
        <f>'6.Inland wetlands'!I154</f>
        <v/>
      </c>
      <c r="D146">
        <f>'6.Inland wetlands'!AG154</f>
        <v/>
      </c>
      <c r="E146">
        <f>IF('6.Inland wetlands'!CA154&lt;&gt;0,'6.Inland wetlands'!CA154,'6.Inland wetlands'!BZ154)</f>
        <v/>
      </c>
      <c r="F146">
        <f>time</f>
        <v/>
      </c>
      <c r="G146" s="4395">
        <f>'6.Inland wetlands'!O154</f>
        <v/>
      </c>
      <c r="H146" s="4395">
        <f>'6.Inland wetlands'!Q154</f>
        <v/>
      </c>
      <c r="I146" s="4395">
        <f>IF(OR(H146="I", G146="I"), "I", IF(OR(H146="E", G146="E"), "E", "D"))</f>
        <v/>
      </c>
      <c r="J146" s="4395">
        <f>((D146/(time_cap+((F146-E146+1)*VLOOKUP(I146,list!$I$48:$K$50,3, FALSE))))*(F146-E146+1)*VLOOKUP(I146,list!$I$48:$K$50,3, FALSE))</f>
        <v/>
      </c>
      <c r="K146" s="4395">
        <f>((D146/(time_cap+((F146-E146+1)*VLOOKUP(I146,list!$I$48:$K$50,3, FALSE))))*time_cap)</f>
        <v/>
      </c>
      <c r="M146" s="4395">
        <f>IFERROR(IF((time+time_cap)&lt;M$2, 0,IF(AND(time+1&gt;=N$2, $E146&lt;N$2), IF($I146= "I", $J146/($F146-$E146+1), $J146/(($F146*($F146+1)/2)-(($E146-1)*($E146-1+1)/2))*M$2), 0)+IF(IF(time+1&gt;=N$2, $K146/time_cap/(time+1)*M$2, 0) = 0, $K146/(time_cap),0)),0)</f>
        <v/>
      </c>
      <c r="N146" s="4395">
        <f>IFERROR(IF((time+time_cap)&lt;N$2, 0,IF(AND(time+1&gt;=O$2, $E146&lt;O$2), IF($I146= "I", $J146/($F146-$E146+1), $J146/(($F146*($F146+1)/2)-(($E146-1)*($E146-1+1)/2))*N$2), 0)+IF(IF(time+1&gt;=O$2, $K146/time_cap/(time+1)*N$2, 0) = 0, $K146/(time_cap),0)),0)</f>
        <v/>
      </c>
      <c r="O146" s="4395">
        <f>IFERROR(IF((time+time_cap)&lt;O$2, 0,IF(AND(time+1&gt;=P$2, $E146&lt;P$2), IF($I146= "I", $J146/($F146-$E146+1), $J146/(($F146*($F146+1)/2)-(($E146-1)*($E146-1+1)/2))*O$2), 0)+IF(IF(time+1&gt;=P$2, $K146/time_cap/(time+1)*O$2, 0) = 0, $K146/(time_cap),0)),0)</f>
        <v/>
      </c>
      <c r="P146" s="4395">
        <f>IFERROR(IF((time+time_cap)&lt;P$2, 0,IF(AND(time+1&gt;=Q$2, $E146&lt;Q$2), IF($I146= "I", $J146/($F146-$E146+1), $J146/(($F146*($F146+1)/2)-(($E146-1)*($E146-1+1)/2))*P$2), 0)+IF(IF(time+1&gt;=Q$2, $K146/time_cap/(time+1)*P$2, 0) = 0, $K146/(time_cap),0)),0)</f>
        <v/>
      </c>
      <c r="Q146" s="4395">
        <f>IFERROR(IF((time+time_cap)&lt;Q$2, 0,IF(AND(time+1&gt;=R$2, $E146&lt;R$2), IF($I146= "I", $J146/($F146-$E146+1), $J146/(($F146*($F146+1)/2)-(($E146-1)*($E146-1+1)/2))*Q$2), 0)+IF(IF(time+1&gt;=R$2, $K146/time_cap/(time+1)*Q$2, 0) = 0, $K146/(time_cap),0)),0)</f>
        <v/>
      </c>
      <c r="R146" s="4395">
        <f>IFERROR(IF((time+time_cap)&lt;R$2, 0,IF(AND(time+1&gt;=S$2, $E146&lt;S$2), IF($I146= "I", $J146/($F146-$E146+1), $J146/(($F146*($F146+1)/2)-(($E146-1)*($E146-1+1)/2))*R$2), 0)+IF(IF(time+1&gt;=S$2, $K146/time_cap/(time+1)*R$2, 0) = 0, $K146/(time_cap),0)),0)</f>
        <v/>
      </c>
      <c r="S146" s="4395">
        <f>IFERROR(IF((time+time_cap)&lt;S$2, 0,IF(AND(time+1&gt;=T$2, $E146&lt;T$2), IF($I146= "I", $J146/($F146-$E146+1), $J146/(($F146*($F146+1)/2)-(($E146-1)*($E146-1+1)/2))*S$2), 0)+IF(IF(time+1&gt;=T$2, $K146/time_cap/(time+1)*S$2, 0) = 0, $K146/(time_cap),0)),0)</f>
        <v/>
      </c>
      <c r="T146" s="4395">
        <f>IFERROR(IF((time+time_cap)&lt;T$2, 0,IF(AND(time+1&gt;=U$2, $E146&lt;U$2), IF($I146= "I", $J146/($F146-$E146+1), $J146/(($F146*($F146+1)/2)-(($E146-1)*($E146-1+1)/2))*T$2), 0)+IF(IF(time+1&gt;=U$2, $K146/time_cap/(time+1)*T$2, 0) = 0, $K146/(time_cap),0)),0)</f>
        <v/>
      </c>
      <c r="U146" s="4395">
        <f>IFERROR(IF((time+time_cap)&lt;U$2, 0,IF(AND(time+1&gt;=V$2, $E146&lt;V$2), IF($I146= "I", $J146/($F146-$E146+1), $J146/(($F146*($F146+1)/2)-(($E146-1)*($E146-1+1)/2))*U$2), 0)+IF(IF(time+1&gt;=V$2, $K146/time_cap/(time+1)*U$2, 0) = 0, $K146/(time_cap),0)),0)</f>
        <v/>
      </c>
      <c r="V146" s="4395">
        <f>IFERROR(IF((time+time_cap)&lt;V$2, 0,IF(AND(time+1&gt;=W$2, $E146&lt;W$2), IF($I146= "I", $J146/($F146-$E146+1), $J146/(($F146*($F146+1)/2)-(($E146-1)*($E146-1+1)/2))*V$2), 0)+IF(IF(time+1&gt;=W$2, $K146/time_cap/(time+1)*V$2, 0) = 0, $K146/(time_cap),0)),0)</f>
        <v/>
      </c>
      <c r="W146" s="4395">
        <f>IFERROR(IF((time+time_cap)&lt;W$2, 0,IF(AND(time+1&gt;=X$2, $E146&lt;X$2), IF($I146= "I", $J146/($F146-$E146+1), $J146/(($F146*($F146+1)/2)-(($E146-1)*($E146-1+1)/2))*W$2), 0)+IF(IF(time+1&gt;=X$2, $K146/time_cap/(time+1)*W$2, 0) = 0, $K146/(time_cap),0)),0)</f>
        <v/>
      </c>
      <c r="X146" s="4395">
        <f>IFERROR(IF((time+time_cap)&lt;X$2, 0,IF(AND(time+1&gt;=Y$2, $E146&lt;Y$2), IF($I146= "I", $J146/($F146-$E146+1), $J146/(($F146*($F146+1)/2)-(($E146-1)*($E146-1+1)/2))*X$2), 0)+IF(IF(time+1&gt;=Y$2, $K146/time_cap/(time+1)*X$2, 0) = 0, $K146/(time_cap),0)),0)</f>
        <v/>
      </c>
      <c r="Y146" s="4395">
        <f>IFERROR(IF((time+time_cap)&lt;Y$2, 0,IF(AND(time+1&gt;=Z$2, $E146&lt;Z$2), IF($I146= "I", $J146/($F146-$E146+1), $J146/(($F146*($F146+1)/2)-(($E146-1)*($E146-1+1)/2))*Y$2), 0)+IF(IF(time+1&gt;=Z$2, $K146/time_cap/(time+1)*Y$2, 0) = 0, $K146/(time_cap),0)),0)</f>
        <v/>
      </c>
      <c r="Z146" s="4395">
        <f>IFERROR(IF((time+time_cap)&lt;Z$2, 0,IF(AND(time+1&gt;=AA$2, $E146&lt;AA$2), IF($I146= "I", $J146/($F146-$E146+1), $J146/(($F146*($F146+1)/2)-(($E146-1)*($E146-1+1)/2))*Z$2), 0)+IF(IF(time+1&gt;=AA$2, $K146/time_cap/(time+1)*Z$2, 0) = 0, $K146/(time_cap),0)),0)</f>
        <v/>
      </c>
      <c r="AA146" s="4395">
        <f>IFERROR(IF((time+time_cap)&lt;AA$2, 0,IF(AND(time+1&gt;=AB$2, $E146&lt;AB$2), IF($I146= "I", $J146/($F146-$E146+1), $J146/(($F146*($F146+1)/2)-(($E146-1)*($E146-1+1)/2))*AA$2), 0)+IF(IF(time+1&gt;=AB$2, $K146/time_cap/(time+1)*AA$2, 0) = 0, $K146/(time_cap),0)),0)</f>
        <v/>
      </c>
      <c r="AB146" s="4395">
        <f>IFERROR(IF((time+time_cap)&lt;AB$2, 0,IF(AND(time+1&gt;=AC$2, $E146&lt;AC$2), IF($I146= "I", $J146/($F146-$E146+1), $J146/(($F146*($F146+1)/2)-(($E146-1)*($E146-1+1)/2))*AB$2), 0)+IF(IF(time+1&gt;=AC$2, $K146/time_cap/(time+1)*AB$2, 0) = 0, $K146/(time_cap),0)),0)</f>
        <v/>
      </c>
      <c r="AC146" s="4395">
        <f>IFERROR(IF((time+time_cap)&lt;AC$2, 0,IF(AND(time+1&gt;=AD$2, $E146&lt;AD$2), IF($I146= "I", $J146/($F146-$E146+1), $J146/(($F146*($F146+1)/2)-(($E146-1)*($E146-1+1)/2))*AC$2), 0)+IF(IF(time+1&gt;=AD$2, $K146/time_cap/(time+1)*AC$2, 0) = 0, $K146/(time_cap),0)),0)</f>
        <v/>
      </c>
      <c r="AD146" s="4395">
        <f>IFERROR(IF((time+time_cap)&lt;AD$2, 0,IF(AND(time+1&gt;=AE$2, $E146&lt;AE$2), IF($I146= "I", $J146/($F146-$E146+1), $J146/(($F146*($F146+1)/2)-(($E146-1)*($E146-1+1)/2))*AD$2), 0)+IF(IF(time+1&gt;=AE$2, $K146/time_cap/(time+1)*AD$2, 0) = 0, $K146/(time_cap),0)),0)</f>
        <v/>
      </c>
      <c r="AE146" s="4395">
        <f>IFERROR(IF((time+time_cap)&lt;AE$2, 0,IF(AND(time+1&gt;=AF$2, $E146&lt;AF$2), IF($I146= "I", $J146/($F146-$E146+1), $J146/(($F146*($F146+1)/2)-(($E146-1)*($E146-1+1)/2))*AE$2), 0)+IF(IF(time+1&gt;=AF$2, $K146/time_cap/(time+1)*AE$2, 0) = 0, $K146/(time_cap),0)),0)</f>
        <v/>
      </c>
      <c r="AF146" s="4395">
        <f>IFERROR(IF((time+time_cap)&lt;AF$2, 0,IF(AND(time+1&gt;=AG$2, $E146&lt;AG$2), IF($I146= "I", $J146/($F146-$E146+1), $J146/(($F146*($F146+1)/2)-(($E146-1)*($E146-1+1)/2))*AF$2), 0)+IF(IF(time+1&gt;=AG$2, $K146/time_cap/(time+1)*AF$2, 0) = 0, $K146/(time_cap),0)),0)</f>
        <v/>
      </c>
      <c r="AG146" s="4395">
        <f>IFERROR(IF((time+time_cap)&lt;AG$2, 0,IF(AND(time+1&gt;=AH$2, $E146&lt;AH$2), IF($I146= "I", $J146/($F146-$E146+1), $J146/(($F146*($F146+1)/2)-(($E146-1)*($E146-1+1)/2))*AG$2), 0)+IF(IF(time+1&gt;=AH$2, $K146/time_cap/(time+1)*AG$2, 0) = 0, $K146/(time_cap),0)),0)</f>
        <v/>
      </c>
      <c r="AH146" s="4395">
        <f>IFERROR(IF((time+time_cap)&lt;AH$2, 0,IF(AND(time+1&gt;=AI$2, $E146&lt;AI$2), IF($I146= "I", $J146/($F146-$E146+1), $J146/(($F146*($F146+1)/2)-(($E146-1)*($E146-1+1)/2))*AH$2), 0)+IF(IF(time+1&gt;=AI$2, $K146/time_cap/(time+1)*AH$2, 0) = 0, $K146/(time_cap),0)),0)</f>
        <v/>
      </c>
      <c r="AI146" s="4395">
        <f>IFERROR(IF((time+time_cap)&lt;AI$2, 0,IF(AND(time+1&gt;=AJ$2, $E146&lt;AJ$2), IF($I146= "I", $J146/($F146-$E146+1), $J146/(($F146*($F146+1)/2)-(($E146-1)*($E146-1+1)/2))*AI$2), 0)+IF(IF(time+1&gt;=AJ$2, $K146/time_cap/(time+1)*AI$2, 0) = 0, $K146/(time_cap),0)),0)</f>
        <v/>
      </c>
      <c r="AJ146" s="4395">
        <f>IFERROR(IF((time+time_cap)&lt;AJ$2, 0,IF(AND(time+1&gt;=AK$2, $E146&lt;AK$2), IF($I146= "I", $J146/($F146-$E146+1), $J146/(($F146*($F146+1)/2)-(($E146-1)*($E146-1+1)/2))*AJ$2), 0)+IF(IF(time+1&gt;=AK$2, $K146/time_cap/(time+1)*AJ$2, 0) = 0, $K146/(time_cap),0)),0)</f>
        <v/>
      </c>
      <c r="AK146" s="4395">
        <f>IFERROR(IF((time+time_cap)&lt;AK$2, 0,IF(AND(time+1&gt;=AL$2, $E146&lt;AL$2), IF($I146= "I", $J146/($F146-$E146+1), $J146/(($F146*($F146+1)/2)-(($E146-1)*($E146-1+1)/2))*AK$2), 0)+IF(IF(time+1&gt;=AL$2, $K146/time_cap/(time+1)*AK$2, 0) = 0, $K146/(time_cap),0)),0)</f>
        <v/>
      </c>
      <c r="AL146" s="4395">
        <f>IFERROR(IF((time+time_cap)&lt;AL$2, 0,IF(AND(time+1&gt;=AM$2, $E146&lt;AM$2), IF($I146= "I", $J146/($F146-$E146+1), $J146/(($F146*($F146+1)/2)-(($E146-1)*($E146-1+1)/2))*AL$2), 0)+IF(IF(time+1&gt;=AM$2, $K146/time_cap/(time+1)*AL$2, 0) = 0, $K146/(time_cap),0)),0)</f>
        <v/>
      </c>
      <c r="AM146" s="4395">
        <f>IFERROR(IF((time+time_cap)&lt;AM$2, 0,IF(AND(time+1&gt;=AN$2, $E146&lt;AN$2), IF($I146= "I", $J146/($F146-$E146+1), $J146/(($F146*($F146+1)/2)-(($E146-1)*($E146-1+1)/2))*AM$2), 0)+IF(IF(time+1&gt;=AN$2, $K146/time_cap/(time+1)*AM$2, 0) = 0, $K146/(time_cap),0)),0)</f>
        <v/>
      </c>
      <c r="AN146" s="4395">
        <f>IFERROR(IF((time+time_cap)&lt;AN$2, 0,IF(AND(time+1&gt;=AO$2, $E146&lt;AO$2), IF($I146= "I", $J146/($F146-$E146+1), $J146/(($F146*($F146+1)/2)-(($E146-1)*($E146-1+1)/2))*AN$2), 0)+IF(IF(time+1&gt;=AO$2, $K146/time_cap/(time+1)*AN$2, 0) = 0, $K146/(time_cap),0)),0)</f>
        <v/>
      </c>
      <c r="AO146" s="4395">
        <f>IFERROR(IF((time+time_cap)&lt;AO$2, 0,IF(AND(time+1&gt;=AP$2, $E146&lt;AP$2), IF($I146= "I", $J146/($F146-$E146+1), $J146/(($F146*($F146+1)/2)-(($E146-1)*($E146-1+1)/2))*AO$2), 0)+IF(IF(time+1&gt;=AP$2, $K146/time_cap/(time+1)*AO$2, 0) = 0, $K146/(time_cap),0)),0)</f>
        <v/>
      </c>
      <c r="AP146" s="4395">
        <f>IFERROR(IF((time+time_cap)&lt;AP$2, 0,IF(AND(time+1&gt;=AQ$2, $E146&lt;AQ$2), IF($I146= "I", $J146/($F146-$E146+1), $J146/(($F146*($F146+1)/2)-(($E146-1)*($E146-1+1)/2))*AP$2), 0)+IF(IF(time+1&gt;=AQ$2, $K146/time_cap/(time+1)*AP$2, 0) = 0, $K146/(time_cap),0)),0)</f>
        <v/>
      </c>
      <c r="AQ146" s="4395">
        <f>IFERROR(IF((time+time_cap)&lt;AQ$2, 0,IF(AND(time+1&gt;=AR$2, $E146&lt;AR$2), IF($I146= "I", $J146/($F146-$E146+1), $J146/(($F146*($F146+1)/2)-(($E146-1)*($E146-1+1)/2))*AQ$2), 0)+IF(IF(time+1&gt;=AR$2, $K146/time_cap/(time+1)*AQ$2, 0) = 0, $K146/(time_cap),0)),0)</f>
        <v/>
      </c>
      <c r="AR146" s="4395">
        <f>IFERROR(IF((time+time_cap)&lt;AR$2, 0,IF(AND(time+1&gt;=AS$2, $E146&lt;AS$2), IF($I146= "I", $J146/($F146-$E146+1), $J146/(($F146*($F146+1)/2)-(($E146-1)*($E146-1+1)/2))*AR$2), 0)+IF(IF(time+1&gt;=AS$2, $K146/time_cap/(time+1)*AR$2, 0) = 0, $K146/(time_cap),0)),0)</f>
        <v/>
      </c>
      <c r="AS146" s="4395">
        <f>IFERROR(IF((time+time_cap)&lt;AS$2, 0,IF(AND(time+1&gt;=AT$2, $E146&lt;AT$2), IF($I146= "I", $J146/($F146-$E146+1), $J146/(($F146*($F146+1)/2)-(($E146-1)*($E146-1+1)/2))*AS$2), 0)+IF(IF(time+1&gt;=AT$2, $K146/time_cap/(time+1)*AS$2, 0) = 0, $K146/(time_cap),0)),0)</f>
        <v/>
      </c>
      <c r="AT146" s="4395">
        <f>IFERROR(IF((time+time_cap)&lt;AT$2, 0,IF(AND(time+1&gt;=AU$2, $E146&lt;AU$2), IF($I146= "I", $J146/($F146-$E146+1), $J146/(($F146*($F146+1)/2)-(($E146-1)*($E146-1+1)/2))*AT$2), 0)+IF(IF(time+1&gt;=AU$2, $K146/time_cap/(time+1)*AT$2, 0) = 0, $K146/(time_cap),0)),0)</f>
        <v/>
      </c>
      <c r="AU146" s="4395">
        <f>IFERROR(IF((time+time_cap)&lt;AU$2, 0,IF(AND(time+1&gt;=AV$2, $E146&lt;AV$2), IF($I146= "I", $J146/($F146-$E146+1), $J146/(($F146*($F146+1)/2)-(($E146-1)*($E146-1+1)/2))*AU$2), 0)+IF(IF(time+1&gt;=AV$2, $K146/time_cap/(time+1)*AU$2, 0) = 0, $K146/(time_cap),0)),0)</f>
        <v/>
      </c>
      <c r="AV146" s="4395">
        <f>IFERROR(IF((time+time_cap)&lt;AV$2, 0,IF(AND(time+1&gt;=AW$2, $E146&lt;AW$2), IF($I146= "I", $J146/($F146-$E146+1), $J146/(($F146*($F146+1)/2)-(($E146-1)*($E146-1+1)/2))*AV$2), 0)+IF(IF(time+1&gt;=AW$2, $K146/time_cap/(time+1)*AV$2, 0) = 0, $K146/(time_cap),0)),0)</f>
        <v/>
      </c>
      <c r="AW146" s="4395">
        <f>IFERROR(IF((time+time_cap)&lt;AW$2, 0,IF(AND(time+1&gt;=AX$2, $E146&lt;AX$2), IF($I146= "I", $J146/($F146-$E146+1), $J146/(($F146*($F146+1)/2)-(($E146-1)*($E146-1+1)/2))*AW$2), 0)+IF(IF(time+1&gt;=AX$2, $K146/time_cap/(time+1)*AW$2, 0) = 0, $K146/(time_cap),0)),0)</f>
        <v/>
      </c>
      <c r="AX146" s="4395">
        <f>IFERROR(IF((time+time_cap)&lt;AX$2, 0,IF(AND(time+1&gt;=AY$2, $E146&lt;AY$2), IF($I146= "I", $J146/($F146-$E146+1), $J146/(($F146*($F146+1)/2)-(($E146-1)*($E146-1+1)/2))*AX$2), 0)+IF(IF(time+1&gt;=AY$2, $K146/time_cap/(time+1)*AX$2, 0) = 0, $K146/(time_cap),0)),0)</f>
        <v/>
      </c>
      <c r="AY146" s="4395">
        <f>IFERROR(IF((time+time_cap)&lt;AY$2, 0,IF(AND(time+1&gt;=AZ$2, $E146&lt;AZ$2), IF($I146= "I", $J146/($F146-$E146+1), $J146/(($F146*($F146+1)/2)-(($E146-1)*($E146-1+1)/2))*AY$2), 0)+IF(IF(time+1&gt;=AZ$2, $K146/time_cap/(time+1)*AY$2, 0) = 0, $K146/(time_cap),0)),0)</f>
        <v/>
      </c>
      <c r="AZ146" s="4395">
        <f>IFERROR(IF((time+time_cap)&lt;AZ$2, 0,IF(AND(time+1&gt;=BA$2, $E146&lt;BA$2), IF($I146= "I", $J146/($F146-$E146+1), $J146/(($F146*($F146+1)/2)-(($E146-1)*($E146-1+1)/2))*AZ$2), 0)+IF(IF(time+1&gt;=BA$2, $K146/time_cap/(time+1)*AZ$2, 0) = 0, $K146/(time_cap),0)),0)</f>
        <v/>
      </c>
      <c r="BA146" s="4395">
        <f>IFERROR(IF((time+time_cap)&lt;BA$2, 0,IF(AND(time+1&gt;=BB$2, $E146&lt;BB$2), IF($I146= "I", $J146/($F146-$E146+1), $J146/(($F146*($F146+1)/2)-(($E146-1)*($E146-1+1)/2))*BA$2), 0)+IF(IF(time+1&gt;=BB$2, $K146/time_cap/(time+1)*BA$2, 0) = 0, $K146/(time_cap),0)),0)</f>
        <v/>
      </c>
      <c r="BB146" s="4395">
        <f>IFERROR(IF((time+time_cap)&lt;BB$2, 0,IF(AND(time+1&gt;=BC$2, $E146&lt;BC$2), IF($I146= "I", $J146/($F146-$E146+1), $J146/(($F146*($F146+1)/2)-(($E146-1)*($E146-1+1)/2))*BB$2), 0)+IF(IF(time+1&gt;=BC$2, $K146/time_cap/(time+1)*BB$2, 0) = 0, $K146/(time_cap),0)),0)</f>
        <v/>
      </c>
      <c r="BC146" s="4395">
        <f>IFERROR(IF((time+time_cap)&lt;BC$2, 0,IF(AND(time+1&gt;=BD$2, $E146&lt;BD$2), IF($I146= "I", $J146/($F146-$E146+1), $J146/(($F146*($F146+1)/2)-(($E146-1)*($E146-1+1)/2))*BC$2), 0)+IF(IF(time+1&gt;=BD$2, $K146/time_cap/(time+1)*BC$2, 0) = 0, $K146/(time_cap),0)),0)</f>
        <v/>
      </c>
      <c r="BD146" s="4395">
        <f>IFERROR(IF((time+time_cap)&lt;BD$2, 0,IF(AND(time+1&gt;=BE$2, $E146&lt;BE$2), IF($I146= "I", $J146/($F146-$E146+1), $J146/(($F146*($F146+1)/2)-(($E146-1)*($E146-1+1)/2))*BD$2), 0)+IF(IF(time+1&gt;=BE$2, $K146/time_cap/(time+1)*BD$2, 0) = 0, $K146/(time_cap),0)),0)</f>
        <v/>
      </c>
      <c r="BE146" s="4395">
        <f>IFERROR(IF((time+time_cap)&lt;BE$2, 0,IF(AND(time+1&gt;=BF$2, $E146&lt;BF$2), IF($I146= "I", $J146/($F146-$E146+1), $J146/(($F146*($F146+1)/2)-(($E146-1)*($E146-1+1)/2))*BE$2), 0)+IF(IF(time+1&gt;=BF$2, $K146/time_cap/(time+1)*BE$2, 0) = 0, $K146/(time_cap),0)),0)</f>
        <v/>
      </c>
      <c r="BF146" s="4395">
        <f>IFERROR(IF((time+time_cap)&lt;BF$2, 0,IF(AND(time+1&gt;=BG$2, $E146&lt;BG$2), IF($I146= "I", $J146/($F146-$E146+1), $J146/(($F146*($F146+1)/2)-(($E146-1)*($E146-1+1)/2))*BF$2), 0)+IF(IF(time+1&gt;=BG$2, $K146/time_cap/(time+1)*BF$2, 0) = 0, $K146/(time_cap),0)),0)</f>
        <v/>
      </c>
      <c r="BG146" s="4395">
        <f>IFERROR(IF((time+time_cap)&lt;BG$2, 0,IF(AND(time+1&gt;=BH$2, $E146&lt;BH$2), IF($I146= "I", $J146/($F146-$E146+1), $J146/(($F146*($F146+1)/2)-(($E146-1)*($E146-1+1)/2))*BG$2), 0)+IF(IF(time+1&gt;=BH$2, $K146/time_cap/(time+1)*BG$2, 0) = 0, $K146/(time_cap),0)),0)</f>
        <v/>
      </c>
      <c r="BH146" s="4395">
        <f>IFERROR(IF((time+time_cap)&lt;BH$2, 0,IF(AND(time+1&gt;=BI$2, $E146&lt;BI$2), IF($I146= "I", $J146/($F146-$E146+1), $J146/(($F146*($F146+1)/2)-(($E146-1)*($E146-1+1)/2))*BH$2), 0)+IF(IF(time+1&gt;=BI$2, $K146/time_cap/(time+1)*BH$2, 0) = 0, $K146/(time_cap),0)),0)</f>
        <v/>
      </c>
      <c r="BI146" s="4395">
        <f>IFERROR(IF((time+time_cap)&lt;BI$2, 0,IF(AND(time+1&gt;=BJ$2, $E146&lt;BJ$2), IF($I146= "I", $J146/($F146-$E146+1), $J146/(($F146*($F146+1)/2)-(($E146-1)*($E146-1+1)/2))*BI$2), 0)+IF(IF(time+1&gt;=BJ$2, $K146/time_cap/(time+1)*BI$2, 0) = 0, $K146/(time_cap),0)),0)</f>
        <v/>
      </c>
      <c r="BJ146" s="4395">
        <f>IFERROR(IF((time+time_cap)&lt;BJ$2, 0,IF(AND(time+1&gt;=BK$2, $E146&lt;BK$2), IF($I146= "I", $J146/($F146-$E146+1), $J146/(($F146*($F146+1)/2)-(($E146-1)*($E146-1+1)/2))*BJ$2), 0)+IF(IF(time+1&gt;=BK$2, $K146/time_cap/(time+1)*BJ$2, 0) = 0, $K146/(time_cap),0)),0)</f>
        <v/>
      </c>
      <c r="BK146" s="4395" t="n"/>
      <c r="BL146" s="4395" t="n"/>
      <c r="BM146" s="4395" t="n"/>
      <c r="BN146" s="4395" t="n"/>
      <c r="BO146" s="4395" t="n"/>
      <c r="BP146" s="4395" t="n"/>
      <c r="BQ146" s="4395" t="n"/>
      <c r="BR146" s="4395" t="n"/>
      <c r="BS146" s="4395" t="n"/>
      <c r="BT146" s="4395" t="n"/>
      <c r="BU146" s="4395" t="n"/>
      <c r="BV146" s="4395" t="n"/>
      <c r="BW146" s="4395" t="n"/>
      <c r="BX146" s="4395" t="n"/>
      <c r="BY146" s="4395" t="n"/>
      <c r="BZ146" s="4395" t="n"/>
      <c r="CA146" s="4395" t="n"/>
      <c r="CB146" s="4395" t="n"/>
      <c r="CC146" s="4395" t="n"/>
      <c r="CD146" s="4395" t="n"/>
      <c r="CE146" s="4395" t="n"/>
      <c r="CF146" s="4395" t="n"/>
      <c r="CG146" s="4395" t="n"/>
      <c r="CH146" s="4395" t="n"/>
      <c r="CI146" s="4395" t="n"/>
      <c r="CJ146" s="4395" t="n"/>
      <c r="CK146" s="4395" t="n"/>
      <c r="CL146" s="4395" t="n"/>
      <c r="CM146" s="4395" t="n"/>
      <c r="CN146" s="4395" t="n"/>
      <c r="CO146" s="4395" t="n"/>
      <c r="CP146" s="4395" t="n"/>
      <c r="CQ146" s="4395" t="n"/>
      <c r="CR146" s="4395" t="n"/>
      <c r="CS146" s="4395" t="n"/>
      <c r="CT146" s="4395" t="n"/>
      <c r="CU146" s="4395" t="n"/>
      <c r="CV146" s="4395" t="n"/>
      <c r="CW146" s="4395" t="n"/>
      <c r="CX146" s="4395" t="n"/>
      <c r="CY146" s="4395" t="n"/>
      <c r="CZ146" s="4395" t="n"/>
      <c r="DA146" s="4395" t="n"/>
      <c r="DB146" s="4395" t="n"/>
      <c r="DC146" s="4395" t="n"/>
      <c r="DD146" s="4395" t="n"/>
      <c r="DE146" s="4395" t="n"/>
      <c r="DF146" s="4395" t="n"/>
      <c r="DG146" s="4395" t="n"/>
      <c r="DH146" s="4395" t="n"/>
    </row>
    <row r="147" ht="16" customHeight="1">
      <c r="A147" t="inlineStr">
        <is>
          <t>Inland wetlands - land management</t>
        </is>
      </c>
      <c r="B147">
        <f>'6.Inland wetlands'!C155</f>
        <v/>
      </c>
      <c r="C147">
        <f>'6.Inland wetlands'!I155</f>
        <v/>
      </c>
      <c r="D147">
        <f>'6.Inland wetlands'!AG155</f>
        <v/>
      </c>
      <c r="E147">
        <f>IF('6.Inland wetlands'!CA155&lt;&gt;0,'6.Inland wetlands'!CA155,'6.Inland wetlands'!BZ155)</f>
        <v/>
      </c>
      <c r="F147">
        <f>time</f>
        <v/>
      </c>
      <c r="G147" s="4395">
        <f>'6.Inland wetlands'!O155</f>
        <v/>
      </c>
      <c r="H147" s="4395">
        <f>'6.Inland wetlands'!Q155</f>
        <v/>
      </c>
      <c r="I147" s="4395">
        <f>IF(OR(H147="I", G147="I"), "I", IF(OR(H147="E", G147="E"), "E", "D"))</f>
        <v/>
      </c>
      <c r="J147" s="4395">
        <f>((D147/(time_cap+((F147-E147+1)*VLOOKUP(I147,list!$I$48:$K$50,3, FALSE))))*(F147-E147+1)*VLOOKUP(I147,list!$I$48:$K$50,3, FALSE))</f>
        <v/>
      </c>
      <c r="K147" s="4395">
        <f>((D147/(time_cap+((F147-E147+1)*VLOOKUP(I147,list!$I$48:$K$50,3, FALSE))))*time_cap)</f>
        <v/>
      </c>
      <c r="M147" s="4395">
        <f>IFERROR(IF((time+time_cap)&lt;M$2, 0,IF(AND(time+1&gt;=N$2, $E147&lt;N$2), IF($I147= "I", $J147/($F147-$E147+1), $J147/(($F147*($F147+1)/2)-(($E147-1)*($E147-1+1)/2))*M$2), 0)+IF(IF(time+1&gt;=N$2, $K147/time_cap/(time+1)*M$2, 0) = 0, $K147/(time_cap),0)),0)</f>
        <v/>
      </c>
      <c r="N147" s="4395">
        <f>IFERROR(IF((time+time_cap)&lt;N$2, 0,IF(AND(time+1&gt;=O$2, $E147&lt;O$2), IF($I147= "I", $J147/($F147-$E147+1), $J147/(($F147*($F147+1)/2)-(($E147-1)*($E147-1+1)/2))*N$2), 0)+IF(IF(time+1&gt;=O$2, $K147/time_cap/(time+1)*N$2, 0) = 0, $K147/(time_cap),0)),0)</f>
        <v/>
      </c>
      <c r="O147" s="4395">
        <f>IFERROR(IF((time+time_cap)&lt;O$2, 0,IF(AND(time+1&gt;=P$2, $E147&lt;P$2), IF($I147= "I", $J147/($F147-$E147+1), $J147/(($F147*($F147+1)/2)-(($E147-1)*($E147-1+1)/2))*O$2), 0)+IF(IF(time+1&gt;=P$2, $K147/time_cap/(time+1)*O$2, 0) = 0, $K147/(time_cap),0)),0)</f>
        <v/>
      </c>
      <c r="P147" s="4395">
        <f>IFERROR(IF((time+time_cap)&lt;P$2, 0,IF(AND(time+1&gt;=Q$2, $E147&lt;Q$2), IF($I147= "I", $J147/($F147-$E147+1), $J147/(($F147*($F147+1)/2)-(($E147-1)*($E147-1+1)/2))*P$2), 0)+IF(IF(time+1&gt;=Q$2, $K147/time_cap/(time+1)*P$2, 0) = 0, $K147/(time_cap),0)),0)</f>
        <v/>
      </c>
      <c r="Q147" s="4395">
        <f>IFERROR(IF((time+time_cap)&lt;Q$2, 0,IF(AND(time+1&gt;=R$2, $E147&lt;R$2), IF($I147= "I", $J147/($F147-$E147+1), $J147/(($F147*($F147+1)/2)-(($E147-1)*($E147-1+1)/2))*Q$2), 0)+IF(IF(time+1&gt;=R$2, $K147/time_cap/(time+1)*Q$2, 0) = 0, $K147/(time_cap),0)),0)</f>
        <v/>
      </c>
      <c r="R147" s="4395">
        <f>IFERROR(IF((time+time_cap)&lt;R$2, 0,IF(AND(time+1&gt;=S$2, $E147&lt;S$2), IF($I147= "I", $J147/($F147-$E147+1), $J147/(($F147*($F147+1)/2)-(($E147-1)*($E147-1+1)/2))*R$2), 0)+IF(IF(time+1&gt;=S$2, $K147/time_cap/(time+1)*R$2, 0) = 0, $K147/(time_cap),0)),0)</f>
        <v/>
      </c>
      <c r="S147" s="4395">
        <f>IFERROR(IF((time+time_cap)&lt;S$2, 0,IF(AND(time+1&gt;=T$2, $E147&lt;T$2), IF($I147= "I", $J147/($F147-$E147+1), $J147/(($F147*($F147+1)/2)-(($E147-1)*($E147-1+1)/2))*S$2), 0)+IF(IF(time+1&gt;=T$2, $K147/time_cap/(time+1)*S$2, 0) = 0, $K147/(time_cap),0)),0)</f>
        <v/>
      </c>
      <c r="T147" s="4395">
        <f>IFERROR(IF((time+time_cap)&lt;T$2, 0,IF(AND(time+1&gt;=U$2, $E147&lt;U$2), IF($I147= "I", $J147/($F147-$E147+1), $J147/(($F147*($F147+1)/2)-(($E147-1)*($E147-1+1)/2))*T$2), 0)+IF(IF(time+1&gt;=U$2, $K147/time_cap/(time+1)*T$2, 0) = 0, $K147/(time_cap),0)),0)</f>
        <v/>
      </c>
      <c r="U147" s="4395">
        <f>IFERROR(IF((time+time_cap)&lt;U$2, 0,IF(AND(time+1&gt;=V$2, $E147&lt;V$2), IF($I147= "I", $J147/($F147-$E147+1), $J147/(($F147*($F147+1)/2)-(($E147-1)*($E147-1+1)/2))*U$2), 0)+IF(IF(time+1&gt;=V$2, $K147/time_cap/(time+1)*U$2, 0) = 0, $K147/(time_cap),0)),0)</f>
        <v/>
      </c>
      <c r="V147" s="4395">
        <f>IFERROR(IF((time+time_cap)&lt;V$2, 0,IF(AND(time+1&gt;=W$2, $E147&lt;W$2), IF($I147= "I", $J147/($F147-$E147+1), $J147/(($F147*($F147+1)/2)-(($E147-1)*($E147-1+1)/2))*V$2), 0)+IF(IF(time+1&gt;=W$2, $K147/time_cap/(time+1)*V$2, 0) = 0, $K147/(time_cap),0)),0)</f>
        <v/>
      </c>
      <c r="W147" s="4395">
        <f>IFERROR(IF((time+time_cap)&lt;W$2, 0,IF(AND(time+1&gt;=X$2, $E147&lt;X$2), IF($I147= "I", $J147/($F147-$E147+1), $J147/(($F147*($F147+1)/2)-(($E147-1)*($E147-1+1)/2))*W$2), 0)+IF(IF(time+1&gt;=X$2, $K147/time_cap/(time+1)*W$2, 0) = 0, $K147/(time_cap),0)),0)</f>
        <v/>
      </c>
      <c r="X147" s="4395">
        <f>IFERROR(IF((time+time_cap)&lt;X$2, 0,IF(AND(time+1&gt;=Y$2, $E147&lt;Y$2), IF($I147= "I", $J147/($F147-$E147+1), $J147/(($F147*($F147+1)/2)-(($E147-1)*($E147-1+1)/2))*X$2), 0)+IF(IF(time+1&gt;=Y$2, $K147/time_cap/(time+1)*X$2, 0) = 0, $K147/(time_cap),0)),0)</f>
        <v/>
      </c>
      <c r="Y147" s="4395">
        <f>IFERROR(IF((time+time_cap)&lt;Y$2, 0,IF(AND(time+1&gt;=Z$2, $E147&lt;Z$2), IF($I147= "I", $J147/($F147-$E147+1), $J147/(($F147*($F147+1)/2)-(($E147-1)*($E147-1+1)/2))*Y$2), 0)+IF(IF(time+1&gt;=Z$2, $K147/time_cap/(time+1)*Y$2, 0) = 0, $K147/(time_cap),0)),0)</f>
        <v/>
      </c>
      <c r="Z147" s="4395">
        <f>IFERROR(IF((time+time_cap)&lt;Z$2, 0,IF(AND(time+1&gt;=AA$2, $E147&lt;AA$2), IF($I147= "I", $J147/($F147-$E147+1), $J147/(($F147*($F147+1)/2)-(($E147-1)*($E147-1+1)/2))*Z$2), 0)+IF(IF(time+1&gt;=AA$2, $K147/time_cap/(time+1)*Z$2, 0) = 0, $K147/(time_cap),0)),0)</f>
        <v/>
      </c>
      <c r="AA147" s="4395">
        <f>IFERROR(IF((time+time_cap)&lt;AA$2, 0,IF(AND(time+1&gt;=AB$2, $E147&lt;AB$2), IF($I147= "I", $J147/($F147-$E147+1), $J147/(($F147*($F147+1)/2)-(($E147-1)*($E147-1+1)/2))*AA$2), 0)+IF(IF(time+1&gt;=AB$2, $K147/time_cap/(time+1)*AA$2, 0) = 0, $K147/(time_cap),0)),0)</f>
        <v/>
      </c>
      <c r="AB147" s="4395">
        <f>IFERROR(IF((time+time_cap)&lt;AB$2, 0,IF(AND(time+1&gt;=AC$2, $E147&lt;AC$2), IF($I147= "I", $J147/($F147-$E147+1), $J147/(($F147*($F147+1)/2)-(($E147-1)*($E147-1+1)/2))*AB$2), 0)+IF(IF(time+1&gt;=AC$2, $K147/time_cap/(time+1)*AB$2, 0) = 0, $K147/(time_cap),0)),0)</f>
        <v/>
      </c>
      <c r="AC147" s="4395">
        <f>IFERROR(IF((time+time_cap)&lt;AC$2, 0,IF(AND(time+1&gt;=AD$2, $E147&lt;AD$2), IF($I147= "I", $J147/($F147-$E147+1), $J147/(($F147*($F147+1)/2)-(($E147-1)*($E147-1+1)/2))*AC$2), 0)+IF(IF(time+1&gt;=AD$2, $K147/time_cap/(time+1)*AC$2, 0) = 0, $K147/(time_cap),0)),0)</f>
        <v/>
      </c>
      <c r="AD147" s="4395">
        <f>IFERROR(IF((time+time_cap)&lt;AD$2, 0,IF(AND(time+1&gt;=AE$2, $E147&lt;AE$2), IF($I147= "I", $J147/($F147-$E147+1), $J147/(($F147*($F147+1)/2)-(($E147-1)*($E147-1+1)/2))*AD$2), 0)+IF(IF(time+1&gt;=AE$2, $K147/time_cap/(time+1)*AD$2, 0) = 0, $K147/(time_cap),0)),0)</f>
        <v/>
      </c>
      <c r="AE147" s="4395">
        <f>IFERROR(IF((time+time_cap)&lt;AE$2, 0,IF(AND(time+1&gt;=AF$2, $E147&lt;AF$2), IF($I147= "I", $J147/($F147-$E147+1), $J147/(($F147*($F147+1)/2)-(($E147-1)*($E147-1+1)/2))*AE$2), 0)+IF(IF(time+1&gt;=AF$2, $K147/time_cap/(time+1)*AE$2, 0) = 0, $K147/(time_cap),0)),0)</f>
        <v/>
      </c>
      <c r="AF147" s="4395">
        <f>IFERROR(IF((time+time_cap)&lt;AF$2, 0,IF(AND(time+1&gt;=AG$2, $E147&lt;AG$2), IF($I147= "I", $J147/($F147-$E147+1), $J147/(($F147*($F147+1)/2)-(($E147-1)*($E147-1+1)/2))*AF$2), 0)+IF(IF(time+1&gt;=AG$2, $K147/time_cap/(time+1)*AF$2, 0) = 0, $K147/(time_cap),0)),0)</f>
        <v/>
      </c>
      <c r="AG147" s="4395">
        <f>IFERROR(IF((time+time_cap)&lt;AG$2, 0,IF(AND(time+1&gt;=AH$2, $E147&lt;AH$2), IF($I147= "I", $J147/($F147-$E147+1), $J147/(($F147*($F147+1)/2)-(($E147-1)*($E147-1+1)/2))*AG$2), 0)+IF(IF(time+1&gt;=AH$2, $K147/time_cap/(time+1)*AG$2, 0) = 0, $K147/(time_cap),0)),0)</f>
        <v/>
      </c>
      <c r="AH147" s="4395">
        <f>IFERROR(IF((time+time_cap)&lt;AH$2, 0,IF(AND(time+1&gt;=AI$2, $E147&lt;AI$2), IF($I147= "I", $J147/($F147-$E147+1), $J147/(($F147*($F147+1)/2)-(($E147-1)*($E147-1+1)/2))*AH$2), 0)+IF(IF(time+1&gt;=AI$2, $K147/time_cap/(time+1)*AH$2, 0) = 0, $K147/(time_cap),0)),0)</f>
        <v/>
      </c>
      <c r="AI147" s="4395">
        <f>IFERROR(IF((time+time_cap)&lt;AI$2, 0,IF(AND(time+1&gt;=AJ$2, $E147&lt;AJ$2), IF($I147= "I", $J147/($F147-$E147+1), $J147/(($F147*($F147+1)/2)-(($E147-1)*($E147-1+1)/2))*AI$2), 0)+IF(IF(time+1&gt;=AJ$2, $K147/time_cap/(time+1)*AI$2, 0) = 0, $K147/(time_cap),0)),0)</f>
        <v/>
      </c>
      <c r="AJ147" s="4395">
        <f>IFERROR(IF((time+time_cap)&lt;AJ$2, 0,IF(AND(time+1&gt;=AK$2, $E147&lt;AK$2), IF($I147= "I", $J147/($F147-$E147+1), $J147/(($F147*($F147+1)/2)-(($E147-1)*($E147-1+1)/2))*AJ$2), 0)+IF(IF(time+1&gt;=AK$2, $K147/time_cap/(time+1)*AJ$2, 0) = 0, $K147/(time_cap),0)),0)</f>
        <v/>
      </c>
      <c r="AK147" s="4395">
        <f>IFERROR(IF((time+time_cap)&lt;AK$2, 0,IF(AND(time+1&gt;=AL$2, $E147&lt;AL$2), IF($I147= "I", $J147/($F147-$E147+1), $J147/(($F147*($F147+1)/2)-(($E147-1)*($E147-1+1)/2))*AK$2), 0)+IF(IF(time+1&gt;=AL$2, $K147/time_cap/(time+1)*AK$2, 0) = 0, $K147/(time_cap),0)),0)</f>
        <v/>
      </c>
      <c r="AL147" s="4395">
        <f>IFERROR(IF((time+time_cap)&lt;AL$2, 0,IF(AND(time+1&gt;=AM$2, $E147&lt;AM$2), IF($I147= "I", $J147/($F147-$E147+1), $J147/(($F147*($F147+1)/2)-(($E147-1)*($E147-1+1)/2))*AL$2), 0)+IF(IF(time+1&gt;=AM$2, $K147/time_cap/(time+1)*AL$2, 0) = 0, $K147/(time_cap),0)),0)</f>
        <v/>
      </c>
      <c r="AM147" s="4395">
        <f>IFERROR(IF((time+time_cap)&lt;AM$2, 0,IF(AND(time+1&gt;=AN$2, $E147&lt;AN$2), IF($I147= "I", $J147/($F147-$E147+1), $J147/(($F147*($F147+1)/2)-(($E147-1)*($E147-1+1)/2))*AM$2), 0)+IF(IF(time+1&gt;=AN$2, $K147/time_cap/(time+1)*AM$2, 0) = 0, $K147/(time_cap),0)),0)</f>
        <v/>
      </c>
      <c r="AN147" s="4395">
        <f>IFERROR(IF((time+time_cap)&lt;AN$2, 0,IF(AND(time+1&gt;=AO$2, $E147&lt;AO$2), IF($I147= "I", $J147/($F147-$E147+1), $J147/(($F147*($F147+1)/2)-(($E147-1)*($E147-1+1)/2))*AN$2), 0)+IF(IF(time+1&gt;=AO$2, $K147/time_cap/(time+1)*AN$2, 0) = 0, $K147/(time_cap),0)),0)</f>
        <v/>
      </c>
      <c r="AO147" s="4395">
        <f>IFERROR(IF((time+time_cap)&lt;AO$2, 0,IF(AND(time+1&gt;=AP$2, $E147&lt;AP$2), IF($I147= "I", $J147/($F147-$E147+1), $J147/(($F147*($F147+1)/2)-(($E147-1)*($E147-1+1)/2))*AO$2), 0)+IF(IF(time+1&gt;=AP$2, $K147/time_cap/(time+1)*AO$2, 0) = 0, $K147/(time_cap),0)),0)</f>
        <v/>
      </c>
      <c r="AP147" s="4395">
        <f>IFERROR(IF((time+time_cap)&lt;AP$2, 0,IF(AND(time+1&gt;=AQ$2, $E147&lt;AQ$2), IF($I147= "I", $J147/($F147-$E147+1), $J147/(($F147*($F147+1)/2)-(($E147-1)*($E147-1+1)/2))*AP$2), 0)+IF(IF(time+1&gt;=AQ$2, $K147/time_cap/(time+1)*AP$2, 0) = 0, $K147/(time_cap),0)),0)</f>
        <v/>
      </c>
      <c r="AQ147" s="4395">
        <f>IFERROR(IF((time+time_cap)&lt;AQ$2, 0,IF(AND(time+1&gt;=AR$2, $E147&lt;AR$2), IF($I147= "I", $J147/($F147-$E147+1), $J147/(($F147*($F147+1)/2)-(($E147-1)*($E147-1+1)/2))*AQ$2), 0)+IF(IF(time+1&gt;=AR$2, $K147/time_cap/(time+1)*AQ$2, 0) = 0, $K147/(time_cap),0)),0)</f>
        <v/>
      </c>
      <c r="AR147" s="4395">
        <f>IFERROR(IF((time+time_cap)&lt;AR$2, 0,IF(AND(time+1&gt;=AS$2, $E147&lt;AS$2), IF($I147= "I", $J147/($F147-$E147+1), $J147/(($F147*($F147+1)/2)-(($E147-1)*($E147-1+1)/2))*AR$2), 0)+IF(IF(time+1&gt;=AS$2, $K147/time_cap/(time+1)*AR$2, 0) = 0, $K147/(time_cap),0)),0)</f>
        <v/>
      </c>
      <c r="AS147" s="4395">
        <f>IFERROR(IF((time+time_cap)&lt;AS$2, 0,IF(AND(time+1&gt;=AT$2, $E147&lt;AT$2), IF($I147= "I", $J147/($F147-$E147+1), $J147/(($F147*($F147+1)/2)-(($E147-1)*($E147-1+1)/2))*AS$2), 0)+IF(IF(time+1&gt;=AT$2, $K147/time_cap/(time+1)*AS$2, 0) = 0, $K147/(time_cap),0)),0)</f>
        <v/>
      </c>
      <c r="AT147" s="4395">
        <f>IFERROR(IF((time+time_cap)&lt;AT$2, 0,IF(AND(time+1&gt;=AU$2, $E147&lt;AU$2), IF($I147= "I", $J147/($F147-$E147+1), $J147/(($F147*($F147+1)/2)-(($E147-1)*($E147-1+1)/2))*AT$2), 0)+IF(IF(time+1&gt;=AU$2, $K147/time_cap/(time+1)*AT$2, 0) = 0, $K147/(time_cap),0)),0)</f>
        <v/>
      </c>
      <c r="AU147" s="4395">
        <f>IFERROR(IF((time+time_cap)&lt;AU$2, 0,IF(AND(time+1&gt;=AV$2, $E147&lt;AV$2), IF($I147= "I", $J147/($F147-$E147+1), $J147/(($F147*($F147+1)/2)-(($E147-1)*($E147-1+1)/2))*AU$2), 0)+IF(IF(time+1&gt;=AV$2, $K147/time_cap/(time+1)*AU$2, 0) = 0, $K147/(time_cap),0)),0)</f>
        <v/>
      </c>
      <c r="AV147" s="4395">
        <f>IFERROR(IF((time+time_cap)&lt;AV$2, 0,IF(AND(time+1&gt;=AW$2, $E147&lt;AW$2), IF($I147= "I", $J147/($F147-$E147+1), $J147/(($F147*($F147+1)/2)-(($E147-1)*($E147-1+1)/2))*AV$2), 0)+IF(IF(time+1&gt;=AW$2, $K147/time_cap/(time+1)*AV$2, 0) = 0, $K147/(time_cap),0)),0)</f>
        <v/>
      </c>
      <c r="AW147" s="4395">
        <f>IFERROR(IF((time+time_cap)&lt;AW$2, 0,IF(AND(time+1&gt;=AX$2, $E147&lt;AX$2), IF($I147= "I", $J147/($F147-$E147+1), $J147/(($F147*($F147+1)/2)-(($E147-1)*($E147-1+1)/2))*AW$2), 0)+IF(IF(time+1&gt;=AX$2, $K147/time_cap/(time+1)*AW$2, 0) = 0, $K147/(time_cap),0)),0)</f>
        <v/>
      </c>
      <c r="AX147" s="4395">
        <f>IFERROR(IF((time+time_cap)&lt;AX$2, 0,IF(AND(time+1&gt;=AY$2, $E147&lt;AY$2), IF($I147= "I", $J147/($F147-$E147+1), $J147/(($F147*($F147+1)/2)-(($E147-1)*($E147-1+1)/2))*AX$2), 0)+IF(IF(time+1&gt;=AY$2, $K147/time_cap/(time+1)*AX$2, 0) = 0, $K147/(time_cap),0)),0)</f>
        <v/>
      </c>
      <c r="AY147" s="4395">
        <f>IFERROR(IF((time+time_cap)&lt;AY$2, 0,IF(AND(time+1&gt;=AZ$2, $E147&lt;AZ$2), IF($I147= "I", $J147/($F147-$E147+1), $J147/(($F147*($F147+1)/2)-(($E147-1)*($E147-1+1)/2))*AY$2), 0)+IF(IF(time+1&gt;=AZ$2, $K147/time_cap/(time+1)*AY$2, 0) = 0, $K147/(time_cap),0)),0)</f>
        <v/>
      </c>
      <c r="AZ147" s="4395">
        <f>IFERROR(IF((time+time_cap)&lt;AZ$2, 0,IF(AND(time+1&gt;=BA$2, $E147&lt;BA$2), IF($I147= "I", $J147/($F147-$E147+1), $J147/(($F147*($F147+1)/2)-(($E147-1)*($E147-1+1)/2))*AZ$2), 0)+IF(IF(time+1&gt;=BA$2, $K147/time_cap/(time+1)*AZ$2, 0) = 0, $K147/(time_cap),0)),0)</f>
        <v/>
      </c>
      <c r="BA147" s="4395">
        <f>IFERROR(IF((time+time_cap)&lt;BA$2, 0,IF(AND(time+1&gt;=BB$2, $E147&lt;BB$2), IF($I147= "I", $J147/($F147-$E147+1), $J147/(($F147*($F147+1)/2)-(($E147-1)*($E147-1+1)/2))*BA$2), 0)+IF(IF(time+1&gt;=BB$2, $K147/time_cap/(time+1)*BA$2, 0) = 0, $K147/(time_cap),0)),0)</f>
        <v/>
      </c>
      <c r="BB147" s="4395">
        <f>IFERROR(IF((time+time_cap)&lt;BB$2, 0,IF(AND(time+1&gt;=BC$2, $E147&lt;BC$2), IF($I147= "I", $J147/($F147-$E147+1), $J147/(($F147*($F147+1)/2)-(($E147-1)*($E147-1+1)/2))*BB$2), 0)+IF(IF(time+1&gt;=BC$2, $K147/time_cap/(time+1)*BB$2, 0) = 0, $K147/(time_cap),0)),0)</f>
        <v/>
      </c>
      <c r="BC147" s="4395">
        <f>IFERROR(IF((time+time_cap)&lt;BC$2, 0,IF(AND(time+1&gt;=BD$2, $E147&lt;BD$2), IF($I147= "I", $J147/($F147-$E147+1), $J147/(($F147*($F147+1)/2)-(($E147-1)*($E147-1+1)/2))*BC$2), 0)+IF(IF(time+1&gt;=BD$2, $K147/time_cap/(time+1)*BC$2, 0) = 0, $K147/(time_cap),0)),0)</f>
        <v/>
      </c>
      <c r="BD147" s="4395">
        <f>IFERROR(IF((time+time_cap)&lt;BD$2, 0,IF(AND(time+1&gt;=BE$2, $E147&lt;BE$2), IF($I147= "I", $J147/($F147-$E147+1), $J147/(($F147*($F147+1)/2)-(($E147-1)*($E147-1+1)/2))*BD$2), 0)+IF(IF(time+1&gt;=BE$2, $K147/time_cap/(time+1)*BD$2, 0) = 0, $K147/(time_cap),0)),0)</f>
        <v/>
      </c>
      <c r="BE147" s="4395">
        <f>IFERROR(IF((time+time_cap)&lt;BE$2, 0,IF(AND(time+1&gt;=BF$2, $E147&lt;BF$2), IF($I147= "I", $J147/($F147-$E147+1), $J147/(($F147*($F147+1)/2)-(($E147-1)*($E147-1+1)/2))*BE$2), 0)+IF(IF(time+1&gt;=BF$2, $K147/time_cap/(time+1)*BE$2, 0) = 0, $K147/(time_cap),0)),0)</f>
        <v/>
      </c>
      <c r="BF147" s="4395">
        <f>IFERROR(IF((time+time_cap)&lt;BF$2, 0,IF(AND(time+1&gt;=BG$2, $E147&lt;BG$2), IF($I147= "I", $J147/($F147-$E147+1), $J147/(($F147*($F147+1)/2)-(($E147-1)*($E147-1+1)/2))*BF$2), 0)+IF(IF(time+1&gt;=BG$2, $K147/time_cap/(time+1)*BF$2, 0) = 0, $K147/(time_cap),0)),0)</f>
        <v/>
      </c>
      <c r="BG147" s="4395">
        <f>IFERROR(IF((time+time_cap)&lt;BG$2, 0,IF(AND(time+1&gt;=BH$2, $E147&lt;BH$2), IF($I147= "I", $J147/($F147-$E147+1), $J147/(($F147*($F147+1)/2)-(($E147-1)*($E147-1+1)/2))*BG$2), 0)+IF(IF(time+1&gt;=BH$2, $K147/time_cap/(time+1)*BG$2, 0) = 0, $K147/(time_cap),0)),0)</f>
        <v/>
      </c>
      <c r="BH147" s="4395">
        <f>IFERROR(IF((time+time_cap)&lt;BH$2, 0,IF(AND(time+1&gt;=BI$2, $E147&lt;BI$2), IF($I147= "I", $J147/($F147-$E147+1), $J147/(($F147*($F147+1)/2)-(($E147-1)*($E147-1+1)/2))*BH$2), 0)+IF(IF(time+1&gt;=BI$2, $K147/time_cap/(time+1)*BH$2, 0) = 0, $K147/(time_cap),0)),0)</f>
        <v/>
      </c>
      <c r="BI147" s="4395">
        <f>IFERROR(IF((time+time_cap)&lt;BI$2, 0,IF(AND(time+1&gt;=BJ$2, $E147&lt;BJ$2), IF($I147= "I", $J147/($F147-$E147+1), $J147/(($F147*($F147+1)/2)-(($E147-1)*($E147-1+1)/2))*BI$2), 0)+IF(IF(time+1&gt;=BJ$2, $K147/time_cap/(time+1)*BI$2, 0) = 0, $K147/(time_cap),0)),0)</f>
        <v/>
      </c>
      <c r="BJ147" s="4395">
        <f>IFERROR(IF((time+time_cap)&lt;BJ$2, 0,IF(AND(time+1&gt;=BK$2, $E147&lt;BK$2), IF($I147= "I", $J147/($F147-$E147+1), $J147/(($F147*($F147+1)/2)-(($E147-1)*($E147-1+1)/2))*BJ$2), 0)+IF(IF(time+1&gt;=BK$2, $K147/time_cap/(time+1)*BJ$2, 0) = 0, $K147/(time_cap),0)),0)</f>
        <v/>
      </c>
      <c r="BK147" s="4395" t="n"/>
      <c r="BL147" s="4395" t="n"/>
      <c r="BM147" s="4395" t="n"/>
      <c r="BN147" s="4395" t="n"/>
      <c r="BO147" s="4395" t="n"/>
      <c r="BP147" s="4395" t="n"/>
      <c r="BQ147" s="4395" t="n"/>
      <c r="BR147" s="4395" t="n"/>
      <c r="BS147" s="4395" t="n"/>
      <c r="BT147" s="4395" t="n"/>
      <c r="BU147" s="4395" t="n"/>
      <c r="BV147" s="4395" t="n"/>
      <c r="BW147" s="4395" t="n"/>
      <c r="BX147" s="4395" t="n"/>
      <c r="BY147" s="4395" t="n"/>
      <c r="BZ147" s="4395" t="n"/>
      <c r="CA147" s="4395" t="n"/>
      <c r="CB147" s="4395" t="n"/>
      <c r="CC147" s="4395" t="n"/>
      <c r="CD147" s="4395" t="n"/>
      <c r="CE147" s="4395" t="n"/>
      <c r="CF147" s="4395" t="n"/>
      <c r="CG147" s="4395" t="n"/>
      <c r="CH147" s="4395" t="n"/>
      <c r="CI147" s="4395" t="n"/>
      <c r="CJ147" s="4395" t="n"/>
      <c r="CK147" s="4395" t="n"/>
      <c r="CL147" s="4395" t="n"/>
      <c r="CM147" s="4395" t="n"/>
      <c r="CN147" s="4395" t="n"/>
      <c r="CO147" s="4395" t="n"/>
      <c r="CP147" s="4395" t="n"/>
      <c r="CQ147" s="4395" t="n"/>
      <c r="CR147" s="4395" t="n"/>
      <c r="CS147" s="4395" t="n"/>
      <c r="CT147" s="4395" t="n"/>
      <c r="CU147" s="4395" t="n"/>
      <c r="CV147" s="4395" t="n"/>
      <c r="CW147" s="4395" t="n"/>
      <c r="CX147" s="4395" t="n"/>
      <c r="CY147" s="4395" t="n"/>
      <c r="CZ147" s="4395" t="n"/>
      <c r="DA147" s="4395" t="n"/>
      <c r="DB147" s="4395" t="n"/>
      <c r="DC147" s="4395" t="n"/>
      <c r="DD147" s="4395" t="n"/>
      <c r="DE147" s="4395" t="n"/>
      <c r="DF147" s="4395" t="n"/>
      <c r="DG147" s="4395" t="n"/>
      <c r="DH147" s="4395" t="n"/>
    </row>
    <row r="148" ht="16" customHeight="1">
      <c r="A148" t="inlineStr">
        <is>
          <t>Inland wetlands - peat</t>
        </is>
      </c>
      <c r="B148">
        <f>'6.Inland wetlands'!C176</f>
        <v/>
      </c>
      <c r="C148">
        <f>'6.Inland wetlands'!I176</f>
        <v/>
      </c>
      <c r="D148">
        <f>'6.Inland wetlands'!AH176</f>
        <v/>
      </c>
      <c r="E148">
        <f>IF('6.Inland wetlands'!CA175&lt;&gt;0,'6.Inland wetlands'!CA175,'6.Inland wetlands'!BZ175)</f>
        <v/>
      </c>
      <c r="F148">
        <f>time</f>
        <v/>
      </c>
      <c r="G148" s="4395">
        <f>'6.Inland wetlands'!O176</f>
        <v/>
      </c>
      <c r="H148" s="4395">
        <f>'6.Inland wetlands'!Q176</f>
        <v/>
      </c>
      <c r="I148" s="4395">
        <f>IF(OR(H148="I", G148="I"), "I", IF(OR(H148="E", G148="E"), "E", "D"))</f>
        <v/>
      </c>
      <c r="J148" s="4395">
        <f>((D148/(time_cap+((F148-E148+1)*VLOOKUP(I148,list!$I$48:$K$50,3, FALSE))))*(F148-E148+1)*VLOOKUP(I148,list!$I$48:$K$50,3, FALSE))</f>
        <v/>
      </c>
      <c r="K148" s="4395">
        <f>((D148/(time_cap+((F148-E148+1)*VLOOKUP(I148,list!$I$48:$K$50,3, FALSE))))*time_cap)</f>
        <v/>
      </c>
      <c r="M148" s="4395">
        <f>IFERROR(IF((time+time_cap)&lt;M$2, 0,IF(AND(time+1&gt;=N$2, $E148&lt;N$2), IF($I148= "I", $J148/($F148-$E148+1), $J148/(($F148*($F148+1)/2)-(($E148-1)*($E148-1+1)/2))*M$2), 0)+IF(IF(time+1&gt;=N$2, $K148/time_cap/(time+1)*M$2, 0) = 0, $K148/(time_cap),0)),0)</f>
        <v/>
      </c>
      <c r="N148" s="4395">
        <f>IFERROR(IF((time+time_cap)&lt;N$2, 0,IF(AND(time+1&gt;=O$2, $E148&lt;O$2), IF($I148= "I", $J148/($F148-$E148+1), $J148/(($F148*($F148+1)/2)-(($E148-1)*($E148-1+1)/2))*N$2), 0)+IF(IF(time+1&gt;=O$2, $K148/time_cap/(time+1)*N$2, 0) = 0, $K148/(time_cap),0)),0)</f>
        <v/>
      </c>
      <c r="O148" s="4395">
        <f>IFERROR(IF((time+time_cap)&lt;O$2, 0,IF(AND(time+1&gt;=P$2, $E148&lt;P$2), IF($I148= "I", $J148/($F148-$E148+1), $J148/(($F148*($F148+1)/2)-(($E148-1)*($E148-1+1)/2))*O$2), 0)+IF(IF(time+1&gt;=P$2, $K148/time_cap/(time+1)*O$2, 0) = 0, $K148/(time_cap),0)),0)</f>
        <v/>
      </c>
      <c r="P148" s="4395">
        <f>IFERROR(IF((time+time_cap)&lt;P$2, 0,IF(AND(time+1&gt;=Q$2, $E148&lt;Q$2), IF($I148= "I", $J148/($F148-$E148+1), $J148/(($F148*($F148+1)/2)-(($E148-1)*($E148-1+1)/2))*P$2), 0)+IF(IF(time+1&gt;=Q$2, $K148/time_cap/(time+1)*P$2, 0) = 0, $K148/(time_cap),0)),0)</f>
        <v/>
      </c>
      <c r="Q148" s="4395">
        <f>IFERROR(IF((time+time_cap)&lt;Q$2, 0,IF(AND(time+1&gt;=R$2, $E148&lt;R$2), IF($I148= "I", $J148/($F148-$E148+1), $J148/(($F148*($F148+1)/2)-(($E148-1)*($E148-1+1)/2))*Q$2), 0)+IF(IF(time+1&gt;=R$2, $K148/time_cap/(time+1)*Q$2, 0) = 0, $K148/(time_cap),0)),0)</f>
        <v/>
      </c>
      <c r="R148" s="4395">
        <f>IFERROR(IF((time+time_cap)&lt;R$2, 0,IF(AND(time+1&gt;=S$2, $E148&lt;S$2), IF($I148= "I", $J148/($F148-$E148+1), $J148/(($F148*($F148+1)/2)-(($E148-1)*($E148-1+1)/2))*R$2), 0)+IF(IF(time+1&gt;=S$2, $K148/time_cap/(time+1)*R$2, 0) = 0, $K148/(time_cap),0)),0)</f>
        <v/>
      </c>
      <c r="S148" s="4395">
        <f>IFERROR(IF((time+time_cap)&lt;S$2, 0,IF(AND(time+1&gt;=T$2, $E148&lt;T$2), IF($I148= "I", $J148/($F148-$E148+1), $J148/(($F148*($F148+1)/2)-(($E148-1)*($E148-1+1)/2))*S$2), 0)+IF(IF(time+1&gt;=T$2, $K148/time_cap/(time+1)*S$2, 0) = 0, $K148/(time_cap),0)),0)</f>
        <v/>
      </c>
      <c r="T148" s="4395">
        <f>IFERROR(IF((time+time_cap)&lt;T$2, 0,IF(AND(time+1&gt;=U$2, $E148&lt;U$2), IF($I148= "I", $J148/($F148-$E148+1), $J148/(($F148*($F148+1)/2)-(($E148-1)*($E148-1+1)/2))*T$2), 0)+IF(IF(time+1&gt;=U$2, $K148/time_cap/(time+1)*T$2, 0) = 0, $K148/(time_cap),0)),0)</f>
        <v/>
      </c>
      <c r="U148" s="4395">
        <f>IFERROR(IF((time+time_cap)&lt;U$2, 0,IF(AND(time+1&gt;=V$2, $E148&lt;V$2), IF($I148= "I", $J148/($F148-$E148+1), $J148/(($F148*($F148+1)/2)-(($E148-1)*($E148-1+1)/2))*U$2), 0)+IF(IF(time+1&gt;=V$2, $K148/time_cap/(time+1)*U$2, 0) = 0, $K148/(time_cap),0)),0)</f>
        <v/>
      </c>
      <c r="V148" s="4395">
        <f>IFERROR(IF((time+time_cap)&lt;V$2, 0,IF(AND(time+1&gt;=W$2, $E148&lt;W$2), IF($I148= "I", $J148/($F148-$E148+1), $J148/(($F148*($F148+1)/2)-(($E148-1)*($E148-1+1)/2))*V$2), 0)+IF(IF(time+1&gt;=W$2, $K148/time_cap/(time+1)*V$2, 0) = 0, $K148/(time_cap),0)),0)</f>
        <v/>
      </c>
      <c r="W148" s="4395">
        <f>IFERROR(IF((time+time_cap)&lt;W$2, 0,IF(AND(time+1&gt;=X$2, $E148&lt;X$2), IF($I148= "I", $J148/($F148-$E148+1), $J148/(($F148*($F148+1)/2)-(($E148-1)*($E148-1+1)/2))*W$2), 0)+IF(IF(time+1&gt;=X$2, $K148/time_cap/(time+1)*W$2, 0) = 0, $K148/(time_cap),0)),0)</f>
        <v/>
      </c>
      <c r="X148" s="4395">
        <f>IFERROR(IF((time+time_cap)&lt;X$2, 0,IF(AND(time+1&gt;=Y$2, $E148&lt;Y$2), IF($I148= "I", $J148/($F148-$E148+1), $J148/(($F148*($F148+1)/2)-(($E148-1)*($E148-1+1)/2))*X$2), 0)+IF(IF(time+1&gt;=Y$2, $K148/time_cap/(time+1)*X$2, 0) = 0, $K148/(time_cap),0)),0)</f>
        <v/>
      </c>
      <c r="Y148" s="4395">
        <f>IFERROR(IF((time+time_cap)&lt;Y$2, 0,IF(AND(time+1&gt;=Z$2, $E148&lt;Z$2), IF($I148= "I", $J148/($F148-$E148+1), $J148/(($F148*($F148+1)/2)-(($E148-1)*($E148-1+1)/2))*Y$2), 0)+IF(IF(time+1&gt;=Z$2, $K148/time_cap/(time+1)*Y$2, 0) = 0, $K148/(time_cap),0)),0)</f>
        <v/>
      </c>
      <c r="Z148" s="4395">
        <f>IFERROR(IF((time+time_cap)&lt;Z$2, 0,IF(AND(time+1&gt;=AA$2, $E148&lt;AA$2), IF($I148= "I", $J148/($F148-$E148+1), $J148/(($F148*($F148+1)/2)-(($E148-1)*($E148-1+1)/2))*Z$2), 0)+IF(IF(time+1&gt;=AA$2, $K148/time_cap/(time+1)*Z$2, 0) = 0, $K148/(time_cap),0)),0)</f>
        <v/>
      </c>
      <c r="AA148" s="4395">
        <f>IFERROR(IF((time+time_cap)&lt;AA$2, 0,IF(AND(time+1&gt;=AB$2, $E148&lt;AB$2), IF($I148= "I", $J148/($F148-$E148+1), $J148/(($F148*($F148+1)/2)-(($E148-1)*($E148-1+1)/2))*AA$2), 0)+IF(IF(time+1&gt;=AB$2, $K148/time_cap/(time+1)*AA$2, 0) = 0, $K148/(time_cap),0)),0)</f>
        <v/>
      </c>
      <c r="AB148" s="4395">
        <f>IFERROR(IF((time+time_cap)&lt;AB$2, 0,IF(AND(time+1&gt;=AC$2, $E148&lt;AC$2), IF($I148= "I", $J148/($F148-$E148+1), $J148/(($F148*($F148+1)/2)-(($E148-1)*($E148-1+1)/2))*AB$2), 0)+IF(IF(time+1&gt;=AC$2, $K148/time_cap/(time+1)*AB$2, 0) = 0, $K148/(time_cap),0)),0)</f>
        <v/>
      </c>
      <c r="AC148" s="4395">
        <f>IFERROR(IF((time+time_cap)&lt;AC$2, 0,IF(AND(time+1&gt;=AD$2, $E148&lt;AD$2), IF($I148= "I", $J148/($F148-$E148+1), $J148/(($F148*($F148+1)/2)-(($E148-1)*($E148-1+1)/2))*AC$2), 0)+IF(IF(time+1&gt;=AD$2, $K148/time_cap/(time+1)*AC$2, 0) = 0, $K148/(time_cap),0)),0)</f>
        <v/>
      </c>
      <c r="AD148" s="4395">
        <f>IFERROR(IF((time+time_cap)&lt;AD$2, 0,IF(AND(time+1&gt;=AE$2, $E148&lt;AE$2), IF($I148= "I", $J148/($F148-$E148+1), $J148/(($F148*($F148+1)/2)-(($E148-1)*($E148-1+1)/2))*AD$2), 0)+IF(IF(time+1&gt;=AE$2, $K148/time_cap/(time+1)*AD$2, 0) = 0, $K148/(time_cap),0)),0)</f>
        <v/>
      </c>
      <c r="AE148" s="4395">
        <f>IFERROR(IF((time+time_cap)&lt;AE$2, 0,IF(AND(time+1&gt;=AF$2, $E148&lt;AF$2), IF($I148= "I", $J148/($F148-$E148+1), $J148/(($F148*($F148+1)/2)-(($E148-1)*($E148-1+1)/2))*AE$2), 0)+IF(IF(time+1&gt;=AF$2, $K148/time_cap/(time+1)*AE$2, 0) = 0, $K148/(time_cap),0)),0)</f>
        <v/>
      </c>
      <c r="AF148" s="4395">
        <f>IFERROR(IF((time+time_cap)&lt;AF$2, 0,IF(AND(time+1&gt;=AG$2, $E148&lt;AG$2), IF($I148= "I", $J148/($F148-$E148+1), $J148/(($F148*($F148+1)/2)-(($E148-1)*($E148-1+1)/2))*AF$2), 0)+IF(IF(time+1&gt;=AG$2, $K148/time_cap/(time+1)*AF$2, 0) = 0, $K148/(time_cap),0)),0)</f>
        <v/>
      </c>
      <c r="AG148" s="4395">
        <f>IFERROR(IF((time+time_cap)&lt;AG$2, 0,IF(AND(time+1&gt;=AH$2, $E148&lt;AH$2), IF($I148= "I", $J148/($F148-$E148+1), $J148/(($F148*($F148+1)/2)-(($E148-1)*($E148-1+1)/2))*AG$2), 0)+IF(IF(time+1&gt;=AH$2, $K148/time_cap/(time+1)*AG$2, 0) = 0, $K148/(time_cap),0)),0)</f>
        <v/>
      </c>
      <c r="AH148" s="4395">
        <f>IFERROR(IF((time+time_cap)&lt;AH$2, 0,IF(AND(time+1&gt;=AI$2, $E148&lt;AI$2), IF($I148= "I", $J148/($F148-$E148+1), $J148/(($F148*($F148+1)/2)-(($E148-1)*($E148-1+1)/2))*AH$2), 0)+IF(IF(time+1&gt;=AI$2, $K148/time_cap/(time+1)*AH$2, 0) = 0, $K148/(time_cap),0)),0)</f>
        <v/>
      </c>
      <c r="AI148" s="4395">
        <f>IFERROR(IF((time+time_cap)&lt;AI$2, 0,IF(AND(time+1&gt;=AJ$2, $E148&lt;AJ$2), IF($I148= "I", $J148/($F148-$E148+1), $J148/(($F148*($F148+1)/2)-(($E148-1)*($E148-1+1)/2))*AI$2), 0)+IF(IF(time+1&gt;=AJ$2, $K148/time_cap/(time+1)*AI$2, 0) = 0, $K148/(time_cap),0)),0)</f>
        <v/>
      </c>
      <c r="AJ148" s="4395">
        <f>IFERROR(IF((time+time_cap)&lt;AJ$2, 0,IF(AND(time+1&gt;=AK$2, $E148&lt;AK$2), IF($I148= "I", $J148/($F148-$E148+1), $J148/(($F148*($F148+1)/2)-(($E148-1)*($E148-1+1)/2))*AJ$2), 0)+IF(IF(time+1&gt;=AK$2, $K148/time_cap/(time+1)*AJ$2, 0) = 0, $K148/(time_cap),0)),0)</f>
        <v/>
      </c>
      <c r="AK148" s="4395">
        <f>IFERROR(IF((time+time_cap)&lt;AK$2, 0,IF(AND(time+1&gt;=AL$2, $E148&lt;AL$2), IF($I148= "I", $J148/($F148-$E148+1), $J148/(($F148*($F148+1)/2)-(($E148-1)*($E148-1+1)/2))*AK$2), 0)+IF(IF(time+1&gt;=AL$2, $K148/time_cap/(time+1)*AK$2, 0) = 0, $K148/(time_cap),0)),0)</f>
        <v/>
      </c>
      <c r="AL148" s="4395">
        <f>IFERROR(IF((time+time_cap)&lt;AL$2, 0,IF(AND(time+1&gt;=AM$2, $E148&lt;AM$2), IF($I148= "I", $J148/($F148-$E148+1), $J148/(($F148*($F148+1)/2)-(($E148-1)*($E148-1+1)/2))*AL$2), 0)+IF(IF(time+1&gt;=AM$2, $K148/time_cap/(time+1)*AL$2, 0) = 0, $K148/(time_cap),0)),0)</f>
        <v/>
      </c>
      <c r="AM148" s="4395">
        <f>IFERROR(IF((time+time_cap)&lt;AM$2, 0,IF(AND(time+1&gt;=AN$2, $E148&lt;AN$2), IF($I148= "I", $J148/($F148-$E148+1), $J148/(($F148*($F148+1)/2)-(($E148-1)*($E148-1+1)/2))*AM$2), 0)+IF(IF(time+1&gt;=AN$2, $K148/time_cap/(time+1)*AM$2, 0) = 0, $K148/(time_cap),0)),0)</f>
        <v/>
      </c>
      <c r="AN148" s="4395">
        <f>IFERROR(IF((time+time_cap)&lt;AN$2, 0,IF(AND(time+1&gt;=AO$2, $E148&lt;AO$2), IF($I148= "I", $J148/($F148-$E148+1), $J148/(($F148*($F148+1)/2)-(($E148-1)*($E148-1+1)/2))*AN$2), 0)+IF(IF(time+1&gt;=AO$2, $K148/time_cap/(time+1)*AN$2, 0) = 0, $K148/(time_cap),0)),0)</f>
        <v/>
      </c>
      <c r="AO148" s="4395">
        <f>IFERROR(IF((time+time_cap)&lt;AO$2, 0,IF(AND(time+1&gt;=AP$2, $E148&lt;AP$2), IF($I148= "I", $J148/($F148-$E148+1), $J148/(($F148*($F148+1)/2)-(($E148-1)*($E148-1+1)/2))*AO$2), 0)+IF(IF(time+1&gt;=AP$2, $K148/time_cap/(time+1)*AO$2, 0) = 0, $K148/(time_cap),0)),0)</f>
        <v/>
      </c>
      <c r="AP148" s="4395">
        <f>IFERROR(IF((time+time_cap)&lt;AP$2, 0,IF(AND(time+1&gt;=AQ$2, $E148&lt;AQ$2), IF($I148= "I", $J148/($F148-$E148+1), $J148/(($F148*($F148+1)/2)-(($E148-1)*($E148-1+1)/2))*AP$2), 0)+IF(IF(time+1&gt;=AQ$2, $K148/time_cap/(time+1)*AP$2, 0) = 0, $K148/(time_cap),0)),0)</f>
        <v/>
      </c>
      <c r="AQ148" s="4395">
        <f>IFERROR(IF((time+time_cap)&lt;AQ$2, 0,IF(AND(time+1&gt;=AR$2, $E148&lt;AR$2), IF($I148= "I", $J148/($F148-$E148+1), $J148/(($F148*($F148+1)/2)-(($E148-1)*($E148-1+1)/2))*AQ$2), 0)+IF(IF(time+1&gt;=AR$2, $K148/time_cap/(time+1)*AQ$2, 0) = 0, $K148/(time_cap),0)),0)</f>
        <v/>
      </c>
      <c r="AR148" s="4395">
        <f>IFERROR(IF((time+time_cap)&lt;AR$2, 0,IF(AND(time+1&gt;=AS$2, $E148&lt;AS$2), IF($I148= "I", $J148/($F148-$E148+1), $J148/(($F148*($F148+1)/2)-(($E148-1)*($E148-1+1)/2))*AR$2), 0)+IF(IF(time+1&gt;=AS$2, $K148/time_cap/(time+1)*AR$2, 0) = 0, $K148/(time_cap),0)),0)</f>
        <v/>
      </c>
      <c r="AS148" s="4395">
        <f>IFERROR(IF((time+time_cap)&lt;AS$2, 0,IF(AND(time+1&gt;=AT$2, $E148&lt;AT$2), IF($I148= "I", $J148/($F148-$E148+1), $J148/(($F148*($F148+1)/2)-(($E148-1)*($E148-1+1)/2))*AS$2), 0)+IF(IF(time+1&gt;=AT$2, $K148/time_cap/(time+1)*AS$2, 0) = 0, $K148/(time_cap),0)),0)</f>
        <v/>
      </c>
      <c r="AT148" s="4395">
        <f>IFERROR(IF((time+time_cap)&lt;AT$2, 0,IF(AND(time+1&gt;=AU$2, $E148&lt;AU$2), IF($I148= "I", $J148/($F148-$E148+1), $J148/(($F148*($F148+1)/2)-(($E148-1)*($E148-1+1)/2))*AT$2), 0)+IF(IF(time+1&gt;=AU$2, $K148/time_cap/(time+1)*AT$2, 0) = 0, $K148/(time_cap),0)),0)</f>
        <v/>
      </c>
      <c r="AU148" s="4395">
        <f>IFERROR(IF((time+time_cap)&lt;AU$2, 0,IF(AND(time+1&gt;=AV$2, $E148&lt;AV$2), IF($I148= "I", $J148/($F148-$E148+1), $J148/(($F148*($F148+1)/2)-(($E148-1)*($E148-1+1)/2))*AU$2), 0)+IF(IF(time+1&gt;=AV$2, $K148/time_cap/(time+1)*AU$2, 0) = 0, $K148/(time_cap),0)),0)</f>
        <v/>
      </c>
      <c r="AV148" s="4395">
        <f>IFERROR(IF((time+time_cap)&lt;AV$2, 0,IF(AND(time+1&gt;=AW$2, $E148&lt;AW$2), IF($I148= "I", $J148/($F148-$E148+1), $J148/(($F148*($F148+1)/2)-(($E148-1)*($E148-1+1)/2))*AV$2), 0)+IF(IF(time+1&gt;=AW$2, $K148/time_cap/(time+1)*AV$2, 0) = 0, $K148/(time_cap),0)),0)</f>
        <v/>
      </c>
      <c r="AW148" s="4395">
        <f>IFERROR(IF((time+time_cap)&lt;AW$2, 0,IF(AND(time+1&gt;=AX$2, $E148&lt;AX$2), IF($I148= "I", $J148/($F148-$E148+1), $J148/(($F148*($F148+1)/2)-(($E148-1)*($E148-1+1)/2))*AW$2), 0)+IF(IF(time+1&gt;=AX$2, $K148/time_cap/(time+1)*AW$2, 0) = 0, $K148/(time_cap),0)),0)</f>
        <v/>
      </c>
      <c r="AX148" s="4395">
        <f>IFERROR(IF((time+time_cap)&lt;AX$2, 0,IF(AND(time+1&gt;=AY$2, $E148&lt;AY$2), IF($I148= "I", $J148/($F148-$E148+1), $J148/(($F148*($F148+1)/2)-(($E148-1)*($E148-1+1)/2))*AX$2), 0)+IF(IF(time+1&gt;=AY$2, $K148/time_cap/(time+1)*AX$2, 0) = 0, $K148/(time_cap),0)),0)</f>
        <v/>
      </c>
      <c r="AY148" s="4395">
        <f>IFERROR(IF((time+time_cap)&lt;AY$2, 0,IF(AND(time+1&gt;=AZ$2, $E148&lt;AZ$2), IF($I148= "I", $J148/($F148-$E148+1), $J148/(($F148*($F148+1)/2)-(($E148-1)*($E148-1+1)/2))*AY$2), 0)+IF(IF(time+1&gt;=AZ$2, $K148/time_cap/(time+1)*AY$2, 0) = 0, $K148/(time_cap),0)),0)</f>
        <v/>
      </c>
      <c r="AZ148" s="4395">
        <f>IFERROR(IF((time+time_cap)&lt;AZ$2, 0,IF(AND(time+1&gt;=BA$2, $E148&lt;BA$2), IF($I148= "I", $J148/($F148-$E148+1), $J148/(($F148*($F148+1)/2)-(($E148-1)*($E148-1+1)/2))*AZ$2), 0)+IF(IF(time+1&gt;=BA$2, $K148/time_cap/(time+1)*AZ$2, 0) = 0, $K148/(time_cap),0)),0)</f>
        <v/>
      </c>
      <c r="BA148" s="4395">
        <f>IFERROR(IF((time+time_cap)&lt;BA$2, 0,IF(AND(time+1&gt;=BB$2, $E148&lt;BB$2), IF($I148= "I", $J148/($F148-$E148+1), $J148/(($F148*($F148+1)/2)-(($E148-1)*($E148-1+1)/2))*BA$2), 0)+IF(IF(time+1&gt;=BB$2, $K148/time_cap/(time+1)*BA$2, 0) = 0, $K148/(time_cap),0)),0)</f>
        <v/>
      </c>
      <c r="BB148" s="4395">
        <f>IFERROR(IF((time+time_cap)&lt;BB$2, 0,IF(AND(time+1&gt;=BC$2, $E148&lt;BC$2), IF($I148= "I", $J148/($F148-$E148+1), $J148/(($F148*($F148+1)/2)-(($E148-1)*($E148-1+1)/2))*BB$2), 0)+IF(IF(time+1&gt;=BC$2, $K148/time_cap/(time+1)*BB$2, 0) = 0, $K148/(time_cap),0)),0)</f>
        <v/>
      </c>
      <c r="BC148" s="4395">
        <f>IFERROR(IF((time+time_cap)&lt;BC$2, 0,IF(AND(time+1&gt;=BD$2, $E148&lt;BD$2), IF($I148= "I", $J148/($F148-$E148+1), $J148/(($F148*($F148+1)/2)-(($E148-1)*($E148-1+1)/2))*BC$2), 0)+IF(IF(time+1&gt;=BD$2, $K148/time_cap/(time+1)*BC$2, 0) = 0, $K148/(time_cap),0)),0)</f>
        <v/>
      </c>
      <c r="BD148" s="4395">
        <f>IFERROR(IF((time+time_cap)&lt;BD$2, 0,IF(AND(time+1&gt;=BE$2, $E148&lt;BE$2), IF($I148= "I", $J148/($F148-$E148+1), $J148/(($F148*($F148+1)/2)-(($E148-1)*($E148-1+1)/2))*BD$2), 0)+IF(IF(time+1&gt;=BE$2, $K148/time_cap/(time+1)*BD$2, 0) = 0, $K148/(time_cap),0)),0)</f>
        <v/>
      </c>
      <c r="BE148" s="4395">
        <f>IFERROR(IF((time+time_cap)&lt;BE$2, 0,IF(AND(time+1&gt;=BF$2, $E148&lt;BF$2), IF($I148= "I", $J148/($F148-$E148+1), $J148/(($F148*($F148+1)/2)-(($E148-1)*($E148-1+1)/2))*BE$2), 0)+IF(IF(time+1&gt;=BF$2, $K148/time_cap/(time+1)*BE$2, 0) = 0, $K148/(time_cap),0)),0)</f>
        <v/>
      </c>
      <c r="BF148" s="4395">
        <f>IFERROR(IF((time+time_cap)&lt;BF$2, 0,IF(AND(time+1&gt;=BG$2, $E148&lt;BG$2), IF($I148= "I", $J148/($F148-$E148+1), $J148/(($F148*($F148+1)/2)-(($E148-1)*($E148-1+1)/2))*BF$2), 0)+IF(IF(time+1&gt;=BG$2, $K148/time_cap/(time+1)*BF$2, 0) = 0, $K148/(time_cap),0)),0)</f>
        <v/>
      </c>
      <c r="BG148" s="4395">
        <f>IFERROR(IF((time+time_cap)&lt;BG$2, 0,IF(AND(time+1&gt;=BH$2, $E148&lt;BH$2), IF($I148= "I", $J148/($F148-$E148+1), $J148/(($F148*($F148+1)/2)-(($E148-1)*($E148-1+1)/2))*BG$2), 0)+IF(IF(time+1&gt;=BH$2, $K148/time_cap/(time+1)*BG$2, 0) = 0, $K148/(time_cap),0)),0)</f>
        <v/>
      </c>
      <c r="BH148" s="4395">
        <f>IFERROR(IF((time+time_cap)&lt;BH$2, 0,IF(AND(time+1&gt;=BI$2, $E148&lt;BI$2), IF($I148= "I", $J148/($F148-$E148+1), $J148/(($F148*($F148+1)/2)-(($E148-1)*($E148-1+1)/2))*BH$2), 0)+IF(IF(time+1&gt;=BI$2, $K148/time_cap/(time+1)*BH$2, 0) = 0, $K148/(time_cap),0)),0)</f>
        <v/>
      </c>
      <c r="BI148" s="4395">
        <f>IFERROR(IF((time+time_cap)&lt;BI$2, 0,IF(AND(time+1&gt;=BJ$2, $E148&lt;BJ$2), IF($I148= "I", $J148/($F148-$E148+1), $J148/(($F148*($F148+1)/2)-(($E148-1)*($E148-1+1)/2))*BI$2), 0)+IF(IF(time+1&gt;=BJ$2, $K148/time_cap/(time+1)*BI$2, 0) = 0, $K148/(time_cap),0)),0)</f>
        <v/>
      </c>
      <c r="BJ148" s="4395">
        <f>IFERROR(IF((time+time_cap)&lt;BJ$2, 0,IF(AND(time+1&gt;=BK$2, $E148&lt;BK$2), IF($I148= "I", $J148/($F148-$E148+1), $J148/(($F148*($F148+1)/2)-(($E148-1)*($E148-1+1)/2))*BJ$2), 0)+IF(IF(time+1&gt;=BK$2, $K148/time_cap/(time+1)*BJ$2, 0) = 0, $K148/(time_cap),0)),0)</f>
        <v/>
      </c>
      <c r="BK148" s="4395" t="n"/>
      <c r="BL148" s="4395" t="n"/>
      <c r="BM148" s="4395" t="n"/>
      <c r="BN148" s="4395" t="n"/>
      <c r="BO148" s="4395" t="n"/>
      <c r="BP148" s="4395" t="n"/>
      <c r="BQ148" s="4395" t="n"/>
      <c r="BR148" s="4395" t="n"/>
      <c r="BS148" s="4395" t="n"/>
      <c r="BT148" s="4395" t="n"/>
      <c r="BU148" s="4395" t="n"/>
      <c r="BV148" s="4395" t="n"/>
      <c r="BW148" s="4395" t="n"/>
      <c r="BX148" s="4395" t="n"/>
      <c r="BY148" s="4395" t="n"/>
      <c r="BZ148" s="4395" t="n"/>
      <c r="CA148" s="4395" t="n"/>
      <c r="CB148" s="4395" t="n"/>
      <c r="CC148" s="4395" t="n"/>
      <c r="CD148" s="4395" t="n"/>
      <c r="CE148" s="4395" t="n"/>
      <c r="CF148" s="4395" t="n"/>
      <c r="CG148" s="4395" t="n"/>
      <c r="CH148" s="4395" t="n"/>
      <c r="CI148" s="4395" t="n"/>
      <c r="CJ148" s="4395" t="n"/>
      <c r="CK148" s="4395" t="n"/>
      <c r="CL148" s="4395" t="n"/>
      <c r="CM148" s="4395" t="n"/>
      <c r="CN148" s="4395" t="n"/>
      <c r="CO148" s="4395" t="n"/>
      <c r="CP148" s="4395" t="n"/>
      <c r="CQ148" s="4395" t="n"/>
      <c r="CR148" s="4395" t="n"/>
      <c r="CS148" s="4395" t="n"/>
      <c r="CT148" s="4395" t="n"/>
      <c r="CU148" s="4395" t="n"/>
      <c r="CV148" s="4395" t="n"/>
      <c r="CW148" s="4395" t="n"/>
      <c r="CX148" s="4395" t="n"/>
      <c r="CY148" s="4395" t="n"/>
      <c r="CZ148" s="4395" t="n"/>
      <c r="DA148" s="4395" t="n"/>
      <c r="DB148" s="4395" t="n"/>
      <c r="DC148" s="4395" t="n"/>
      <c r="DD148" s="4395" t="n"/>
      <c r="DE148" s="4395" t="n"/>
      <c r="DF148" s="4395" t="n"/>
      <c r="DG148" s="4395" t="n"/>
      <c r="DH148" s="4395" t="n"/>
    </row>
    <row r="149" ht="16" customHeight="1">
      <c r="A149" t="inlineStr">
        <is>
          <t>Inland wetlands - peat</t>
        </is>
      </c>
      <c r="B149">
        <f>'6.Inland wetlands'!C177</f>
        <v/>
      </c>
      <c r="C149">
        <f>'6.Inland wetlands'!I177</f>
        <v/>
      </c>
      <c r="D149">
        <f>'6.Inland wetlands'!AH177</f>
        <v/>
      </c>
      <c r="E149">
        <f>IF('6.Inland wetlands'!CA176&lt;&gt;0,'6.Inland wetlands'!CA176,'6.Inland wetlands'!BZ176)</f>
        <v/>
      </c>
      <c r="F149">
        <f>time</f>
        <v/>
      </c>
      <c r="G149" s="4395">
        <f>'6.Inland wetlands'!O177</f>
        <v/>
      </c>
      <c r="H149" s="4395">
        <f>'6.Inland wetlands'!Q177</f>
        <v/>
      </c>
      <c r="I149" s="4395">
        <f>IF(OR(H149="I", G149="I"), "I", IF(OR(H149="E", G149="E"), "E", "D"))</f>
        <v/>
      </c>
      <c r="J149" s="4395">
        <f>((D149/(time_cap+((F149-E149+1)*VLOOKUP(I149,list!$I$48:$K$50,3, FALSE))))*(F149-E149+1)*VLOOKUP(I149,list!$I$48:$K$50,3, FALSE))</f>
        <v/>
      </c>
      <c r="K149" s="4395">
        <f>((D149/(time_cap+((F149-E149+1)*VLOOKUP(I149,list!$I$48:$K$50,3, FALSE))))*time_cap)</f>
        <v/>
      </c>
      <c r="M149" s="4395">
        <f>IFERROR(IF((time+time_cap)&lt;M$2, 0,IF(AND(time+1&gt;=N$2, $E149&lt;N$2), IF($I149= "I", $J149/($F149-$E149+1), $J149/(($F149*($F149+1)/2)-(($E149-1)*($E149-1+1)/2))*M$2), 0)+IF(IF(time+1&gt;=N$2, $K149/time_cap/(time+1)*M$2, 0) = 0, $K149/(time_cap),0)),0)</f>
        <v/>
      </c>
      <c r="N149" s="4395">
        <f>IFERROR(IF((time+time_cap)&lt;N$2, 0,IF(AND(time+1&gt;=O$2, $E149&lt;O$2), IF($I149= "I", $J149/($F149-$E149+1), $J149/(($F149*($F149+1)/2)-(($E149-1)*($E149-1+1)/2))*N$2), 0)+IF(IF(time+1&gt;=O$2, $K149/time_cap/(time+1)*N$2, 0) = 0, $K149/(time_cap),0)),0)</f>
        <v/>
      </c>
      <c r="O149" s="4395">
        <f>IFERROR(IF((time+time_cap)&lt;O$2, 0,IF(AND(time+1&gt;=P$2, $E149&lt;P$2), IF($I149= "I", $J149/($F149-$E149+1), $J149/(($F149*($F149+1)/2)-(($E149-1)*($E149-1+1)/2))*O$2), 0)+IF(IF(time+1&gt;=P$2, $K149/time_cap/(time+1)*O$2, 0) = 0, $K149/(time_cap),0)),0)</f>
        <v/>
      </c>
      <c r="P149" s="4395">
        <f>IFERROR(IF((time+time_cap)&lt;P$2, 0,IF(AND(time+1&gt;=Q$2, $E149&lt;Q$2), IF($I149= "I", $J149/($F149-$E149+1), $J149/(($F149*($F149+1)/2)-(($E149-1)*($E149-1+1)/2))*P$2), 0)+IF(IF(time+1&gt;=Q$2, $K149/time_cap/(time+1)*P$2, 0) = 0, $K149/(time_cap),0)),0)</f>
        <v/>
      </c>
      <c r="Q149" s="4395">
        <f>IFERROR(IF((time+time_cap)&lt;Q$2, 0,IF(AND(time+1&gt;=R$2, $E149&lt;R$2), IF($I149= "I", $J149/($F149-$E149+1), $J149/(($F149*($F149+1)/2)-(($E149-1)*($E149-1+1)/2))*Q$2), 0)+IF(IF(time+1&gt;=R$2, $K149/time_cap/(time+1)*Q$2, 0) = 0, $K149/(time_cap),0)),0)</f>
        <v/>
      </c>
      <c r="R149" s="4395">
        <f>IFERROR(IF((time+time_cap)&lt;R$2, 0,IF(AND(time+1&gt;=S$2, $E149&lt;S$2), IF($I149= "I", $J149/($F149-$E149+1), $J149/(($F149*($F149+1)/2)-(($E149-1)*($E149-1+1)/2))*R$2), 0)+IF(IF(time+1&gt;=S$2, $K149/time_cap/(time+1)*R$2, 0) = 0, $K149/(time_cap),0)),0)</f>
        <v/>
      </c>
      <c r="S149" s="4395">
        <f>IFERROR(IF((time+time_cap)&lt;S$2, 0,IF(AND(time+1&gt;=T$2, $E149&lt;T$2), IF($I149= "I", $J149/($F149-$E149+1), $J149/(($F149*($F149+1)/2)-(($E149-1)*($E149-1+1)/2))*S$2), 0)+IF(IF(time+1&gt;=T$2, $K149/time_cap/(time+1)*S$2, 0) = 0, $K149/(time_cap),0)),0)</f>
        <v/>
      </c>
      <c r="T149" s="4395">
        <f>IFERROR(IF((time+time_cap)&lt;T$2, 0,IF(AND(time+1&gt;=U$2, $E149&lt;U$2), IF($I149= "I", $J149/($F149-$E149+1), $J149/(($F149*($F149+1)/2)-(($E149-1)*($E149-1+1)/2))*T$2), 0)+IF(IF(time+1&gt;=U$2, $K149/time_cap/(time+1)*T$2, 0) = 0, $K149/(time_cap),0)),0)</f>
        <v/>
      </c>
      <c r="U149" s="4395">
        <f>IFERROR(IF((time+time_cap)&lt;U$2, 0,IF(AND(time+1&gt;=V$2, $E149&lt;V$2), IF($I149= "I", $J149/($F149-$E149+1), $J149/(($F149*($F149+1)/2)-(($E149-1)*($E149-1+1)/2))*U$2), 0)+IF(IF(time+1&gt;=V$2, $K149/time_cap/(time+1)*U$2, 0) = 0, $K149/(time_cap),0)),0)</f>
        <v/>
      </c>
      <c r="V149" s="4395">
        <f>IFERROR(IF((time+time_cap)&lt;V$2, 0,IF(AND(time+1&gt;=W$2, $E149&lt;W$2), IF($I149= "I", $J149/($F149-$E149+1), $J149/(($F149*($F149+1)/2)-(($E149-1)*($E149-1+1)/2))*V$2), 0)+IF(IF(time+1&gt;=W$2, $K149/time_cap/(time+1)*V$2, 0) = 0, $K149/(time_cap),0)),0)</f>
        <v/>
      </c>
      <c r="W149" s="4395">
        <f>IFERROR(IF((time+time_cap)&lt;W$2, 0,IF(AND(time+1&gt;=X$2, $E149&lt;X$2), IF($I149= "I", $J149/($F149-$E149+1), $J149/(($F149*($F149+1)/2)-(($E149-1)*($E149-1+1)/2))*W$2), 0)+IF(IF(time+1&gt;=X$2, $K149/time_cap/(time+1)*W$2, 0) = 0, $K149/(time_cap),0)),0)</f>
        <v/>
      </c>
      <c r="X149" s="4395">
        <f>IFERROR(IF((time+time_cap)&lt;X$2, 0,IF(AND(time+1&gt;=Y$2, $E149&lt;Y$2), IF($I149= "I", $J149/($F149-$E149+1), $J149/(($F149*($F149+1)/2)-(($E149-1)*($E149-1+1)/2))*X$2), 0)+IF(IF(time+1&gt;=Y$2, $K149/time_cap/(time+1)*X$2, 0) = 0, $K149/(time_cap),0)),0)</f>
        <v/>
      </c>
      <c r="Y149" s="4395">
        <f>IFERROR(IF((time+time_cap)&lt;Y$2, 0,IF(AND(time+1&gt;=Z$2, $E149&lt;Z$2), IF($I149= "I", $J149/($F149-$E149+1), $J149/(($F149*($F149+1)/2)-(($E149-1)*($E149-1+1)/2))*Y$2), 0)+IF(IF(time+1&gt;=Z$2, $K149/time_cap/(time+1)*Y$2, 0) = 0, $K149/(time_cap),0)),0)</f>
        <v/>
      </c>
      <c r="Z149" s="4395">
        <f>IFERROR(IF((time+time_cap)&lt;Z$2, 0,IF(AND(time+1&gt;=AA$2, $E149&lt;AA$2), IF($I149= "I", $J149/($F149-$E149+1), $J149/(($F149*($F149+1)/2)-(($E149-1)*($E149-1+1)/2))*Z$2), 0)+IF(IF(time+1&gt;=AA$2, $K149/time_cap/(time+1)*Z$2, 0) = 0, $K149/(time_cap),0)),0)</f>
        <v/>
      </c>
      <c r="AA149" s="4395">
        <f>IFERROR(IF((time+time_cap)&lt;AA$2, 0,IF(AND(time+1&gt;=AB$2, $E149&lt;AB$2), IF($I149= "I", $J149/($F149-$E149+1), $J149/(($F149*($F149+1)/2)-(($E149-1)*($E149-1+1)/2))*AA$2), 0)+IF(IF(time+1&gt;=AB$2, $K149/time_cap/(time+1)*AA$2, 0) = 0, $K149/(time_cap),0)),0)</f>
        <v/>
      </c>
      <c r="AB149" s="4395">
        <f>IFERROR(IF((time+time_cap)&lt;AB$2, 0,IF(AND(time+1&gt;=AC$2, $E149&lt;AC$2), IF($I149= "I", $J149/($F149-$E149+1), $J149/(($F149*($F149+1)/2)-(($E149-1)*($E149-1+1)/2))*AB$2), 0)+IF(IF(time+1&gt;=AC$2, $K149/time_cap/(time+1)*AB$2, 0) = 0, $K149/(time_cap),0)),0)</f>
        <v/>
      </c>
      <c r="AC149" s="4395">
        <f>IFERROR(IF((time+time_cap)&lt;AC$2, 0,IF(AND(time+1&gt;=AD$2, $E149&lt;AD$2), IF($I149= "I", $J149/($F149-$E149+1), $J149/(($F149*($F149+1)/2)-(($E149-1)*($E149-1+1)/2))*AC$2), 0)+IF(IF(time+1&gt;=AD$2, $K149/time_cap/(time+1)*AC$2, 0) = 0, $K149/(time_cap),0)),0)</f>
        <v/>
      </c>
      <c r="AD149" s="4395">
        <f>IFERROR(IF((time+time_cap)&lt;AD$2, 0,IF(AND(time+1&gt;=AE$2, $E149&lt;AE$2), IF($I149= "I", $J149/($F149-$E149+1), $J149/(($F149*($F149+1)/2)-(($E149-1)*($E149-1+1)/2))*AD$2), 0)+IF(IF(time+1&gt;=AE$2, $K149/time_cap/(time+1)*AD$2, 0) = 0, $K149/(time_cap),0)),0)</f>
        <v/>
      </c>
      <c r="AE149" s="4395">
        <f>IFERROR(IF((time+time_cap)&lt;AE$2, 0,IF(AND(time+1&gt;=AF$2, $E149&lt;AF$2), IF($I149= "I", $J149/($F149-$E149+1), $J149/(($F149*($F149+1)/2)-(($E149-1)*($E149-1+1)/2))*AE$2), 0)+IF(IF(time+1&gt;=AF$2, $K149/time_cap/(time+1)*AE$2, 0) = 0, $K149/(time_cap),0)),0)</f>
        <v/>
      </c>
      <c r="AF149" s="4395">
        <f>IFERROR(IF((time+time_cap)&lt;AF$2, 0,IF(AND(time+1&gt;=AG$2, $E149&lt;AG$2), IF($I149= "I", $J149/($F149-$E149+1), $J149/(($F149*($F149+1)/2)-(($E149-1)*($E149-1+1)/2))*AF$2), 0)+IF(IF(time+1&gt;=AG$2, $K149/time_cap/(time+1)*AF$2, 0) = 0, $K149/(time_cap),0)),0)</f>
        <v/>
      </c>
      <c r="AG149" s="4395">
        <f>IFERROR(IF((time+time_cap)&lt;AG$2, 0,IF(AND(time+1&gt;=AH$2, $E149&lt;AH$2), IF($I149= "I", $J149/($F149-$E149+1), $J149/(($F149*($F149+1)/2)-(($E149-1)*($E149-1+1)/2))*AG$2), 0)+IF(IF(time+1&gt;=AH$2, $K149/time_cap/(time+1)*AG$2, 0) = 0, $K149/(time_cap),0)),0)</f>
        <v/>
      </c>
      <c r="AH149" s="4395">
        <f>IFERROR(IF((time+time_cap)&lt;AH$2, 0,IF(AND(time+1&gt;=AI$2, $E149&lt;AI$2), IF($I149= "I", $J149/($F149-$E149+1), $J149/(($F149*($F149+1)/2)-(($E149-1)*($E149-1+1)/2))*AH$2), 0)+IF(IF(time+1&gt;=AI$2, $K149/time_cap/(time+1)*AH$2, 0) = 0, $K149/(time_cap),0)),0)</f>
        <v/>
      </c>
      <c r="AI149" s="4395">
        <f>IFERROR(IF((time+time_cap)&lt;AI$2, 0,IF(AND(time+1&gt;=AJ$2, $E149&lt;AJ$2), IF($I149= "I", $J149/($F149-$E149+1), $J149/(($F149*($F149+1)/2)-(($E149-1)*($E149-1+1)/2))*AI$2), 0)+IF(IF(time+1&gt;=AJ$2, $K149/time_cap/(time+1)*AI$2, 0) = 0, $K149/(time_cap),0)),0)</f>
        <v/>
      </c>
      <c r="AJ149" s="4395">
        <f>IFERROR(IF((time+time_cap)&lt;AJ$2, 0,IF(AND(time+1&gt;=AK$2, $E149&lt;AK$2), IF($I149= "I", $J149/($F149-$E149+1), $J149/(($F149*($F149+1)/2)-(($E149-1)*($E149-1+1)/2))*AJ$2), 0)+IF(IF(time+1&gt;=AK$2, $K149/time_cap/(time+1)*AJ$2, 0) = 0, $K149/(time_cap),0)),0)</f>
        <v/>
      </c>
      <c r="AK149" s="4395">
        <f>IFERROR(IF((time+time_cap)&lt;AK$2, 0,IF(AND(time+1&gt;=AL$2, $E149&lt;AL$2), IF($I149= "I", $J149/($F149-$E149+1), $J149/(($F149*($F149+1)/2)-(($E149-1)*($E149-1+1)/2))*AK$2), 0)+IF(IF(time+1&gt;=AL$2, $K149/time_cap/(time+1)*AK$2, 0) = 0, $K149/(time_cap),0)),0)</f>
        <v/>
      </c>
      <c r="AL149" s="4395">
        <f>IFERROR(IF((time+time_cap)&lt;AL$2, 0,IF(AND(time+1&gt;=AM$2, $E149&lt;AM$2), IF($I149= "I", $J149/($F149-$E149+1), $J149/(($F149*($F149+1)/2)-(($E149-1)*($E149-1+1)/2))*AL$2), 0)+IF(IF(time+1&gt;=AM$2, $K149/time_cap/(time+1)*AL$2, 0) = 0, $K149/(time_cap),0)),0)</f>
        <v/>
      </c>
      <c r="AM149" s="4395">
        <f>IFERROR(IF((time+time_cap)&lt;AM$2, 0,IF(AND(time+1&gt;=AN$2, $E149&lt;AN$2), IF($I149= "I", $J149/($F149-$E149+1), $J149/(($F149*($F149+1)/2)-(($E149-1)*($E149-1+1)/2))*AM$2), 0)+IF(IF(time+1&gt;=AN$2, $K149/time_cap/(time+1)*AM$2, 0) = 0, $K149/(time_cap),0)),0)</f>
        <v/>
      </c>
      <c r="AN149" s="4395">
        <f>IFERROR(IF((time+time_cap)&lt;AN$2, 0,IF(AND(time+1&gt;=AO$2, $E149&lt;AO$2), IF($I149= "I", $J149/($F149-$E149+1), $J149/(($F149*($F149+1)/2)-(($E149-1)*($E149-1+1)/2))*AN$2), 0)+IF(IF(time+1&gt;=AO$2, $K149/time_cap/(time+1)*AN$2, 0) = 0, $K149/(time_cap),0)),0)</f>
        <v/>
      </c>
      <c r="AO149" s="4395">
        <f>IFERROR(IF((time+time_cap)&lt;AO$2, 0,IF(AND(time+1&gt;=AP$2, $E149&lt;AP$2), IF($I149= "I", $J149/($F149-$E149+1), $J149/(($F149*($F149+1)/2)-(($E149-1)*($E149-1+1)/2))*AO$2), 0)+IF(IF(time+1&gt;=AP$2, $K149/time_cap/(time+1)*AO$2, 0) = 0, $K149/(time_cap),0)),0)</f>
        <v/>
      </c>
      <c r="AP149" s="4395">
        <f>IFERROR(IF((time+time_cap)&lt;AP$2, 0,IF(AND(time+1&gt;=AQ$2, $E149&lt;AQ$2), IF($I149= "I", $J149/($F149-$E149+1), $J149/(($F149*($F149+1)/2)-(($E149-1)*($E149-1+1)/2))*AP$2), 0)+IF(IF(time+1&gt;=AQ$2, $K149/time_cap/(time+1)*AP$2, 0) = 0, $K149/(time_cap),0)),0)</f>
        <v/>
      </c>
      <c r="AQ149" s="4395">
        <f>IFERROR(IF((time+time_cap)&lt;AQ$2, 0,IF(AND(time+1&gt;=AR$2, $E149&lt;AR$2), IF($I149= "I", $J149/($F149-$E149+1), $J149/(($F149*($F149+1)/2)-(($E149-1)*($E149-1+1)/2))*AQ$2), 0)+IF(IF(time+1&gt;=AR$2, $K149/time_cap/(time+1)*AQ$2, 0) = 0, $K149/(time_cap),0)),0)</f>
        <v/>
      </c>
      <c r="AR149" s="4395">
        <f>IFERROR(IF((time+time_cap)&lt;AR$2, 0,IF(AND(time+1&gt;=AS$2, $E149&lt;AS$2), IF($I149= "I", $J149/($F149-$E149+1), $J149/(($F149*($F149+1)/2)-(($E149-1)*($E149-1+1)/2))*AR$2), 0)+IF(IF(time+1&gt;=AS$2, $K149/time_cap/(time+1)*AR$2, 0) = 0, $K149/(time_cap),0)),0)</f>
        <v/>
      </c>
      <c r="AS149" s="4395">
        <f>IFERROR(IF((time+time_cap)&lt;AS$2, 0,IF(AND(time+1&gt;=AT$2, $E149&lt;AT$2), IF($I149= "I", $J149/($F149-$E149+1), $J149/(($F149*($F149+1)/2)-(($E149-1)*($E149-1+1)/2))*AS$2), 0)+IF(IF(time+1&gt;=AT$2, $K149/time_cap/(time+1)*AS$2, 0) = 0, $K149/(time_cap),0)),0)</f>
        <v/>
      </c>
      <c r="AT149" s="4395">
        <f>IFERROR(IF((time+time_cap)&lt;AT$2, 0,IF(AND(time+1&gt;=AU$2, $E149&lt;AU$2), IF($I149= "I", $J149/($F149-$E149+1), $J149/(($F149*($F149+1)/2)-(($E149-1)*($E149-1+1)/2))*AT$2), 0)+IF(IF(time+1&gt;=AU$2, $K149/time_cap/(time+1)*AT$2, 0) = 0, $K149/(time_cap),0)),0)</f>
        <v/>
      </c>
      <c r="AU149" s="4395">
        <f>IFERROR(IF((time+time_cap)&lt;AU$2, 0,IF(AND(time+1&gt;=AV$2, $E149&lt;AV$2), IF($I149= "I", $J149/($F149-$E149+1), $J149/(($F149*($F149+1)/2)-(($E149-1)*($E149-1+1)/2))*AU$2), 0)+IF(IF(time+1&gt;=AV$2, $K149/time_cap/(time+1)*AU$2, 0) = 0, $K149/(time_cap),0)),0)</f>
        <v/>
      </c>
      <c r="AV149" s="4395">
        <f>IFERROR(IF((time+time_cap)&lt;AV$2, 0,IF(AND(time+1&gt;=AW$2, $E149&lt;AW$2), IF($I149= "I", $J149/($F149-$E149+1), $J149/(($F149*($F149+1)/2)-(($E149-1)*($E149-1+1)/2))*AV$2), 0)+IF(IF(time+1&gt;=AW$2, $K149/time_cap/(time+1)*AV$2, 0) = 0, $K149/(time_cap),0)),0)</f>
        <v/>
      </c>
      <c r="AW149" s="4395">
        <f>IFERROR(IF((time+time_cap)&lt;AW$2, 0,IF(AND(time+1&gt;=AX$2, $E149&lt;AX$2), IF($I149= "I", $J149/($F149-$E149+1), $J149/(($F149*($F149+1)/2)-(($E149-1)*($E149-1+1)/2))*AW$2), 0)+IF(IF(time+1&gt;=AX$2, $K149/time_cap/(time+1)*AW$2, 0) = 0, $K149/(time_cap),0)),0)</f>
        <v/>
      </c>
      <c r="AX149" s="4395">
        <f>IFERROR(IF((time+time_cap)&lt;AX$2, 0,IF(AND(time+1&gt;=AY$2, $E149&lt;AY$2), IF($I149= "I", $J149/($F149-$E149+1), $J149/(($F149*($F149+1)/2)-(($E149-1)*($E149-1+1)/2))*AX$2), 0)+IF(IF(time+1&gt;=AY$2, $K149/time_cap/(time+1)*AX$2, 0) = 0, $K149/(time_cap),0)),0)</f>
        <v/>
      </c>
      <c r="AY149" s="4395">
        <f>IFERROR(IF((time+time_cap)&lt;AY$2, 0,IF(AND(time+1&gt;=AZ$2, $E149&lt;AZ$2), IF($I149= "I", $J149/($F149-$E149+1), $J149/(($F149*($F149+1)/2)-(($E149-1)*($E149-1+1)/2))*AY$2), 0)+IF(IF(time+1&gt;=AZ$2, $K149/time_cap/(time+1)*AY$2, 0) = 0, $K149/(time_cap),0)),0)</f>
        <v/>
      </c>
      <c r="AZ149" s="4395">
        <f>IFERROR(IF((time+time_cap)&lt;AZ$2, 0,IF(AND(time+1&gt;=BA$2, $E149&lt;BA$2), IF($I149= "I", $J149/($F149-$E149+1), $J149/(($F149*($F149+1)/2)-(($E149-1)*($E149-1+1)/2))*AZ$2), 0)+IF(IF(time+1&gt;=BA$2, $K149/time_cap/(time+1)*AZ$2, 0) = 0, $K149/(time_cap),0)),0)</f>
        <v/>
      </c>
      <c r="BA149" s="4395">
        <f>IFERROR(IF((time+time_cap)&lt;BA$2, 0,IF(AND(time+1&gt;=BB$2, $E149&lt;BB$2), IF($I149= "I", $J149/($F149-$E149+1), $J149/(($F149*($F149+1)/2)-(($E149-1)*($E149-1+1)/2))*BA$2), 0)+IF(IF(time+1&gt;=BB$2, $K149/time_cap/(time+1)*BA$2, 0) = 0, $K149/(time_cap),0)),0)</f>
        <v/>
      </c>
      <c r="BB149" s="4395">
        <f>IFERROR(IF((time+time_cap)&lt;BB$2, 0,IF(AND(time+1&gt;=BC$2, $E149&lt;BC$2), IF($I149= "I", $J149/($F149-$E149+1), $J149/(($F149*($F149+1)/2)-(($E149-1)*($E149-1+1)/2))*BB$2), 0)+IF(IF(time+1&gt;=BC$2, $K149/time_cap/(time+1)*BB$2, 0) = 0, $K149/(time_cap),0)),0)</f>
        <v/>
      </c>
      <c r="BC149" s="4395">
        <f>IFERROR(IF((time+time_cap)&lt;BC$2, 0,IF(AND(time+1&gt;=BD$2, $E149&lt;BD$2), IF($I149= "I", $J149/($F149-$E149+1), $J149/(($F149*($F149+1)/2)-(($E149-1)*($E149-1+1)/2))*BC$2), 0)+IF(IF(time+1&gt;=BD$2, $K149/time_cap/(time+1)*BC$2, 0) = 0, $K149/(time_cap),0)),0)</f>
        <v/>
      </c>
      <c r="BD149" s="4395">
        <f>IFERROR(IF((time+time_cap)&lt;BD$2, 0,IF(AND(time+1&gt;=BE$2, $E149&lt;BE$2), IF($I149= "I", $J149/($F149-$E149+1), $J149/(($F149*($F149+1)/2)-(($E149-1)*($E149-1+1)/2))*BD$2), 0)+IF(IF(time+1&gt;=BE$2, $K149/time_cap/(time+1)*BD$2, 0) = 0, $K149/(time_cap),0)),0)</f>
        <v/>
      </c>
      <c r="BE149" s="4395">
        <f>IFERROR(IF((time+time_cap)&lt;BE$2, 0,IF(AND(time+1&gt;=BF$2, $E149&lt;BF$2), IF($I149= "I", $J149/($F149-$E149+1), $J149/(($F149*($F149+1)/2)-(($E149-1)*($E149-1+1)/2))*BE$2), 0)+IF(IF(time+1&gt;=BF$2, $K149/time_cap/(time+1)*BE$2, 0) = 0, $K149/(time_cap),0)),0)</f>
        <v/>
      </c>
      <c r="BF149" s="4395">
        <f>IFERROR(IF((time+time_cap)&lt;BF$2, 0,IF(AND(time+1&gt;=BG$2, $E149&lt;BG$2), IF($I149= "I", $J149/($F149-$E149+1), $J149/(($F149*($F149+1)/2)-(($E149-1)*($E149-1+1)/2))*BF$2), 0)+IF(IF(time+1&gt;=BG$2, $K149/time_cap/(time+1)*BF$2, 0) = 0, $K149/(time_cap),0)),0)</f>
        <v/>
      </c>
      <c r="BG149" s="4395">
        <f>IFERROR(IF((time+time_cap)&lt;BG$2, 0,IF(AND(time+1&gt;=BH$2, $E149&lt;BH$2), IF($I149= "I", $J149/($F149-$E149+1), $J149/(($F149*($F149+1)/2)-(($E149-1)*($E149-1+1)/2))*BG$2), 0)+IF(IF(time+1&gt;=BH$2, $K149/time_cap/(time+1)*BG$2, 0) = 0, $K149/(time_cap),0)),0)</f>
        <v/>
      </c>
      <c r="BH149" s="4395">
        <f>IFERROR(IF((time+time_cap)&lt;BH$2, 0,IF(AND(time+1&gt;=BI$2, $E149&lt;BI$2), IF($I149= "I", $J149/($F149-$E149+1), $J149/(($F149*($F149+1)/2)-(($E149-1)*($E149-1+1)/2))*BH$2), 0)+IF(IF(time+1&gt;=BI$2, $K149/time_cap/(time+1)*BH$2, 0) = 0, $K149/(time_cap),0)),0)</f>
        <v/>
      </c>
      <c r="BI149" s="4395">
        <f>IFERROR(IF((time+time_cap)&lt;BI$2, 0,IF(AND(time+1&gt;=BJ$2, $E149&lt;BJ$2), IF($I149= "I", $J149/($F149-$E149+1), $J149/(($F149*($F149+1)/2)-(($E149-1)*($E149-1+1)/2))*BI$2), 0)+IF(IF(time+1&gt;=BJ$2, $K149/time_cap/(time+1)*BI$2, 0) = 0, $K149/(time_cap),0)),0)</f>
        <v/>
      </c>
      <c r="BJ149" s="4395">
        <f>IFERROR(IF((time+time_cap)&lt;BJ$2, 0,IF(AND(time+1&gt;=BK$2, $E149&lt;BK$2), IF($I149= "I", $J149/($F149-$E149+1), $J149/(($F149*($F149+1)/2)-(($E149-1)*($E149-1+1)/2))*BJ$2), 0)+IF(IF(time+1&gt;=BK$2, $K149/time_cap/(time+1)*BJ$2, 0) = 0, $K149/(time_cap),0)),0)</f>
        <v/>
      </c>
      <c r="BK149" s="4395" t="n"/>
      <c r="BL149" s="4395" t="n"/>
      <c r="BM149" s="4395" t="n"/>
      <c r="BN149" s="4395" t="n"/>
      <c r="BO149" s="4395" t="n"/>
      <c r="BP149" s="4395" t="n"/>
      <c r="BQ149" s="4395" t="n"/>
      <c r="BR149" s="4395" t="n"/>
      <c r="BS149" s="4395" t="n"/>
      <c r="BT149" s="4395" t="n"/>
      <c r="BU149" s="4395" t="n"/>
      <c r="BV149" s="4395" t="n"/>
      <c r="BW149" s="4395" t="n"/>
      <c r="BX149" s="4395" t="n"/>
      <c r="BY149" s="4395" t="n"/>
      <c r="BZ149" s="4395" t="n"/>
      <c r="CA149" s="4395" t="n"/>
      <c r="CB149" s="4395" t="n"/>
      <c r="CC149" s="4395" t="n"/>
      <c r="CD149" s="4395" t="n"/>
      <c r="CE149" s="4395" t="n"/>
      <c r="CF149" s="4395" t="n"/>
      <c r="CG149" s="4395" t="n"/>
      <c r="CH149" s="4395" t="n"/>
      <c r="CI149" s="4395" t="n"/>
      <c r="CJ149" s="4395" t="n"/>
      <c r="CK149" s="4395" t="n"/>
      <c r="CL149" s="4395" t="n"/>
      <c r="CM149" s="4395" t="n"/>
      <c r="CN149" s="4395" t="n"/>
      <c r="CO149" s="4395" t="n"/>
      <c r="CP149" s="4395" t="n"/>
      <c r="CQ149" s="4395" t="n"/>
      <c r="CR149" s="4395" t="n"/>
      <c r="CS149" s="4395" t="n"/>
      <c r="CT149" s="4395" t="n"/>
      <c r="CU149" s="4395" t="n"/>
      <c r="CV149" s="4395" t="n"/>
      <c r="CW149" s="4395" t="n"/>
      <c r="CX149" s="4395" t="n"/>
      <c r="CY149" s="4395" t="n"/>
      <c r="CZ149" s="4395" t="n"/>
      <c r="DA149" s="4395" t="n"/>
      <c r="DB149" s="4395" t="n"/>
      <c r="DC149" s="4395" t="n"/>
      <c r="DD149" s="4395" t="n"/>
      <c r="DE149" s="4395" t="n"/>
      <c r="DF149" s="4395" t="n"/>
      <c r="DG149" s="4395" t="n"/>
      <c r="DH149" s="4395" t="n"/>
    </row>
    <row r="150" ht="16" customHeight="1">
      <c r="A150" t="inlineStr">
        <is>
          <t>Inland wetlands - peat</t>
        </is>
      </c>
      <c r="B150">
        <f>'6.Inland wetlands'!C178</f>
        <v/>
      </c>
      <c r="C150">
        <f>'6.Inland wetlands'!I178</f>
        <v/>
      </c>
      <c r="D150">
        <f>'6.Inland wetlands'!AH178</f>
        <v/>
      </c>
      <c r="E150">
        <f>IF('6.Inland wetlands'!CA177&lt;&gt;0,'6.Inland wetlands'!CA177,'6.Inland wetlands'!BZ177)</f>
        <v/>
      </c>
      <c r="F150">
        <f>time</f>
        <v/>
      </c>
      <c r="G150" s="4395">
        <f>'6.Inland wetlands'!O178</f>
        <v/>
      </c>
      <c r="H150" s="4395">
        <f>'6.Inland wetlands'!Q178</f>
        <v/>
      </c>
      <c r="I150" s="4395">
        <f>IF(OR(H150="I", G150="I"), "I", IF(OR(H150="E", G150="E"), "E", "D"))</f>
        <v/>
      </c>
      <c r="J150" s="4395">
        <f>((D150/(time_cap+((F150-E150+1)*VLOOKUP(I150,list!$I$48:$K$50,3, FALSE))))*(F150-E150+1)*VLOOKUP(I150,list!$I$48:$K$50,3, FALSE))</f>
        <v/>
      </c>
      <c r="K150" s="4395">
        <f>((D150/(time_cap+((F150-E150+1)*VLOOKUP(I150,list!$I$48:$K$50,3, FALSE))))*time_cap)</f>
        <v/>
      </c>
      <c r="M150" s="4395">
        <f>IFERROR(IF((time+time_cap)&lt;M$2, 0,IF(AND(time+1&gt;=N$2, $E150&lt;N$2), IF($I150= "I", $J150/($F150-$E150+1), $J150/(($F150*($F150+1)/2)-(($E150-1)*($E150-1+1)/2))*M$2), 0)+IF(IF(time+1&gt;=N$2, $K150/time_cap/(time+1)*M$2, 0) = 0, $K150/(time_cap),0)),0)</f>
        <v/>
      </c>
      <c r="N150" s="4395">
        <f>IFERROR(IF((time+time_cap)&lt;N$2, 0,IF(AND(time+1&gt;=O$2, $E150&lt;O$2), IF($I150= "I", $J150/($F150-$E150+1), $J150/(($F150*($F150+1)/2)-(($E150-1)*($E150-1+1)/2))*N$2), 0)+IF(IF(time+1&gt;=O$2, $K150/time_cap/(time+1)*N$2, 0) = 0, $K150/(time_cap),0)),0)</f>
        <v/>
      </c>
      <c r="O150" s="4395">
        <f>IFERROR(IF((time+time_cap)&lt;O$2, 0,IF(AND(time+1&gt;=P$2, $E150&lt;P$2), IF($I150= "I", $J150/($F150-$E150+1), $J150/(($F150*($F150+1)/2)-(($E150-1)*($E150-1+1)/2))*O$2), 0)+IF(IF(time+1&gt;=P$2, $K150/time_cap/(time+1)*O$2, 0) = 0, $K150/(time_cap),0)),0)</f>
        <v/>
      </c>
      <c r="P150" s="4395">
        <f>IFERROR(IF((time+time_cap)&lt;P$2, 0,IF(AND(time+1&gt;=Q$2, $E150&lt;Q$2), IF($I150= "I", $J150/($F150-$E150+1), $J150/(($F150*($F150+1)/2)-(($E150-1)*($E150-1+1)/2))*P$2), 0)+IF(IF(time+1&gt;=Q$2, $K150/time_cap/(time+1)*P$2, 0) = 0, $K150/(time_cap),0)),0)</f>
        <v/>
      </c>
      <c r="Q150" s="4395">
        <f>IFERROR(IF((time+time_cap)&lt;Q$2, 0,IF(AND(time+1&gt;=R$2, $E150&lt;R$2), IF($I150= "I", $J150/($F150-$E150+1), $J150/(($F150*($F150+1)/2)-(($E150-1)*($E150-1+1)/2))*Q$2), 0)+IF(IF(time+1&gt;=R$2, $K150/time_cap/(time+1)*Q$2, 0) = 0, $K150/(time_cap),0)),0)</f>
        <v/>
      </c>
      <c r="R150" s="4395">
        <f>IFERROR(IF((time+time_cap)&lt;R$2, 0,IF(AND(time+1&gt;=S$2, $E150&lt;S$2), IF($I150= "I", $J150/($F150-$E150+1), $J150/(($F150*($F150+1)/2)-(($E150-1)*($E150-1+1)/2))*R$2), 0)+IF(IF(time+1&gt;=S$2, $K150/time_cap/(time+1)*R$2, 0) = 0, $K150/(time_cap),0)),0)</f>
        <v/>
      </c>
      <c r="S150" s="4395">
        <f>IFERROR(IF((time+time_cap)&lt;S$2, 0,IF(AND(time+1&gt;=T$2, $E150&lt;T$2), IF($I150= "I", $J150/($F150-$E150+1), $J150/(($F150*($F150+1)/2)-(($E150-1)*($E150-1+1)/2))*S$2), 0)+IF(IF(time+1&gt;=T$2, $K150/time_cap/(time+1)*S$2, 0) = 0, $K150/(time_cap),0)),0)</f>
        <v/>
      </c>
      <c r="T150" s="4395">
        <f>IFERROR(IF((time+time_cap)&lt;T$2, 0,IF(AND(time+1&gt;=U$2, $E150&lt;U$2), IF($I150= "I", $J150/($F150-$E150+1), $J150/(($F150*($F150+1)/2)-(($E150-1)*($E150-1+1)/2))*T$2), 0)+IF(IF(time+1&gt;=U$2, $K150/time_cap/(time+1)*T$2, 0) = 0, $K150/(time_cap),0)),0)</f>
        <v/>
      </c>
      <c r="U150" s="4395">
        <f>IFERROR(IF((time+time_cap)&lt;U$2, 0,IF(AND(time+1&gt;=V$2, $E150&lt;V$2), IF($I150= "I", $J150/($F150-$E150+1), $J150/(($F150*($F150+1)/2)-(($E150-1)*($E150-1+1)/2))*U$2), 0)+IF(IF(time+1&gt;=V$2, $K150/time_cap/(time+1)*U$2, 0) = 0, $K150/(time_cap),0)),0)</f>
        <v/>
      </c>
      <c r="V150" s="4395">
        <f>IFERROR(IF((time+time_cap)&lt;V$2, 0,IF(AND(time+1&gt;=W$2, $E150&lt;W$2), IF($I150= "I", $J150/($F150-$E150+1), $J150/(($F150*($F150+1)/2)-(($E150-1)*($E150-1+1)/2))*V$2), 0)+IF(IF(time+1&gt;=W$2, $K150/time_cap/(time+1)*V$2, 0) = 0, $K150/(time_cap),0)),0)</f>
        <v/>
      </c>
      <c r="W150" s="4395">
        <f>IFERROR(IF((time+time_cap)&lt;W$2, 0,IF(AND(time+1&gt;=X$2, $E150&lt;X$2), IF($I150= "I", $J150/($F150-$E150+1), $J150/(($F150*($F150+1)/2)-(($E150-1)*($E150-1+1)/2))*W$2), 0)+IF(IF(time+1&gt;=X$2, $K150/time_cap/(time+1)*W$2, 0) = 0, $K150/(time_cap),0)),0)</f>
        <v/>
      </c>
      <c r="X150" s="4395">
        <f>IFERROR(IF((time+time_cap)&lt;X$2, 0,IF(AND(time+1&gt;=Y$2, $E150&lt;Y$2), IF($I150= "I", $J150/($F150-$E150+1), $J150/(($F150*($F150+1)/2)-(($E150-1)*($E150-1+1)/2))*X$2), 0)+IF(IF(time+1&gt;=Y$2, $K150/time_cap/(time+1)*X$2, 0) = 0, $K150/(time_cap),0)),0)</f>
        <v/>
      </c>
      <c r="Y150" s="4395">
        <f>IFERROR(IF((time+time_cap)&lt;Y$2, 0,IF(AND(time+1&gt;=Z$2, $E150&lt;Z$2), IF($I150= "I", $J150/($F150-$E150+1), $J150/(($F150*($F150+1)/2)-(($E150-1)*($E150-1+1)/2))*Y$2), 0)+IF(IF(time+1&gt;=Z$2, $K150/time_cap/(time+1)*Y$2, 0) = 0, $K150/(time_cap),0)),0)</f>
        <v/>
      </c>
      <c r="Z150" s="4395">
        <f>IFERROR(IF((time+time_cap)&lt;Z$2, 0,IF(AND(time+1&gt;=AA$2, $E150&lt;AA$2), IF($I150= "I", $J150/($F150-$E150+1), $J150/(($F150*($F150+1)/2)-(($E150-1)*($E150-1+1)/2))*Z$2), 0)+IF(IF(time+1&gt;=AA$2, $K150/time_cap/(time+1)*Z$2, 0) = 0, $K150/(time_cap),0)),0)</f>
        <v/>
      </c>
      <c r="AA150" s="4395">
        <f>IFERROR(IF((time+time_cap)&lt;AA$2, 0,IF(AND(time+1&gt;=AB$2, $E150&lt;AB$2), IF($I150= "I", $J150/($F150-$E150+1), $J150/(($F150*($F150+1)/2)-(($E150-1)*($E150-1+1)/2))*AA$2), 0)+IF(IF(time+1&gt;=AB$2, $K150/time_cap/(time+1)*AA$2, 0) = 0, $K150/(time_cap),0)),0)</f>
        <v/>
      </c>
      <c r="AB150" s="4395">
        <f>IFERROR(IF((time+time_cap)&lt;AB$2, 0,IF(AND(time+1&gt;=AC$2, $E150&lt;AC$2), IF($I150= "I", $J150/($F150-$E150+1), $J150/(($F150*($F150+1)/2)-(($E150-1)*($E150-1+1)/2))*AB$2), 0)+IF(IF(time+1&gt;=AC$2, $K150/time_cap/(time+1)*AB$2, 0) = 0, $K150/(time_cap),0)),0)</f>
        <v/>
      </c>
      <c r="AC150" s="4395">
        <f>IFERROR(IF((time+time_cap)&lt;AC$2, 0,IF(AND(time+1&gt;=AD$2, $E150&lt;AD$2), IF($I150= "I", $J150/($F150-$E150+1), $J150/(($F150*($F150+1)/2)-(($E150-1)*($E150-1+1)/2))*AC$2), 0)+IF(IF(time+1&gt;=AD$2, $K150/time_cap/(time+1)*AC$2, 0) = 0, $K150/(time_cap),0)),0)</f>
        <v/>
      </c>
      <c r="AD150" s="4395">
        <f>IFERROR(IF((time+time_cap)&lt;AD$2, 0,IF(AND(time+1&gt;=AE$2, $E150&lt;AE$2), IF($I150= "I", $J150/($F150-$E150+1), $J150/(($F150*($F150+1)/2)-(($E150-1)*($E150-1+1)/2))*AD$2), 0)+IF(IF(time+1&gt;=AE$2, $K150/time_cap/(time+1)*AD$2, 0) = 0, $K150/(time_cap),0)),0)</f>
        <v/>
      </c>
      <c r="AE150" s="4395">
        <f>IFERROR(IF((time+time_cap)&lt;AE$2, 0,IF(AND(time+1&gt;=AF$2, $E150&lt;AF$2), IF($I150= "I", $J150/($F150-$E150+1), $J150/(($F150*($F150+1)/2)-(($E150-1)*($E150-1+1)/2))*AE$2), 0)+IF(IF(time+1&gt;=AF$2, $K150/time_cap/(time+1)*AE$2, 0) = 0, $K150/(time_cap),0)),0)</f>
        <v/>
      </c>
      <c r="AF150" s="4395">
        <f>IFERROR(IF((time+time_cap)&lt;AF$2, 0,IF(AND(time+1&gt;=AG$2, $E150&lt;AG$2), IF($I150= "I", $J150/($F150-$E150+1), $J150/(($F150*($F150+1)/2)-(($E150-1)*($E150-1+1)/2))*AF$2), 0)+IF(IF(time+1&gt;=AG$2, $K150/time_cap/(time+1)*AF$2, 0) = 0, $K150/(time_cap),0)),0)</f>
        <v/>
      </c>
      <c r="AG150" s="4395">
        <f>IFERROR(IF((time+time_cap)&lt;AG$2, 0,IF(AND(time+1&gt;=AH$2, $E150&lt;AH$2), IF($I150= "I", $J150/($F150-$E150+1), $J150/(($F150*($F150+1)/2)-(($E150-1)*($E150-1+1)/2))*AG$2), 0)+IF(IF(time+1&gt;=AH$2, $K150/time_cap/(time+1)*AG$2, 0) = 0, $K150/(time_cap),0)),0)</f>
        <v/>
      </c>
      <c r="AH150" s="4395">
        <f>IFERROR(IF((time+time_cap)&lt;AH$2, 0,IF(AND(time+1&gt;=AI$2, $E150&lt;AI$2), IF($I150= "I", $J150/($F150-$E150+1), $J150/(($F150*($F150+1)/2)-(($E150-1)*($E150-1+1)/2))*AH$2), 0)+IF(IF(time+1&gt;=AI$2, $K150/time_cap/(time+1)*AH$2, 0) = 0, $K150/(time_cap),0)),0)</f>
        <v/>
      </c>
      <c r="AI150" s="4395">
        <f>IFERROR(IF((time+time_cap)&lt;AI$2, 0,IF(AND(time+1&gt;=AJ$2, $E150&lt;AJ$2), IF($I150= "I", $J150/($F150-$E150+1), $J150/(($F150*($F150+1)/2)-(($E150-1)*($E150-1+1)/2))*AI$2), 0)+IF(IF(time+1&gt;=AJ$2, $K150/time_cap/(time+1)*AI$2, 0) = 0, $K150/(time_cap),0)),0)</f>
        <v/>
      </c>
      <c r="AJ150" s="4395">
        <f>IFERROR(IF((time+time_cap)&lt;AJ$2, 0,IF(AND(time+1&gt;=AK$2, $E150&lt;AK$2), IF($I150= "I", $J150/($F150-$E150+1), $J150/(($F150*($F150+1)/2)-(($E150-1)*($E150-1+1)/2))*AJ$2), 0)+IF(IF(time+1&gt;=AK$2, $K150/time_cap/(time+1)*AJ$2, 0) = 0, $K150/(time_cap),0)),0)</f>
        <v/>
      </c>
      <c r="AK150" s="4395">
        <f>IFERROR(IF((time+time_cap)&lt;AK$2, 0,IF(AND(time+1&gt;=AL$2, $E150&lt;AL$2), IF($I150= "I", $J150/($F150-$E150+1), $J150/(($F150*($F150+1)/2)-(($E150-1)*($E150-1+1)/2))*AK$2), 0)+IF(IF(time+1&gt;=AL$2, $K150/time_cap/(time+1)*AK$2, 0) = 0, $K150/(time_cap),0)),0)</f>
        <v/>
      </c>
      <c r="AL150" s="4395">
        <f>IFERROR(IF((time+time_cap)&lt;AL$2, 0,IF(AND(time+1&gt;=AM$2, $E150&lt;AM$2), IF($I150= "I", $J150/($F150-$E150+1), $J150/(($F150*($F150+1)/2)-(($E150-1)*($E150-1+1)/2))*AL$2), 0)+IF(IF(time+1&gt;=AM$2, $K150/time_cap/(time+1)*AL$2, 0) = 0, $K150/(time_cap),0)),0)</f>
        <v/>
      </c>
      <c r="AM150" s="4395">
        <f>IFERROR(IF((time+time_cap)&lt;AM$2, 0,IF(AND(time+1&gt;=AN$2, $E150&lt;AN$2), IF($I150= "I", $J150/($F150-$E150+1), $J150/(($F150*($F150+1)/2)-(($E150-1)*($E150-1+1)/2))*AM$2), 0)+IF(IF(time+1&gt;=AN$2, $K150/time_cap/(time+1)*AM$2, 0) = 0, $K150/(time_cap),0)),0)</f>
        <v/>
      </c>
      <c r="AN150" s="4395">
        <f>IFERROR(IF((time+time_cap)&lt;AN$2, 0,IF(AND(time+1&gt;=AO$2, $E150&lt;AO$2), IF($I150= "I", $J150/($F150-$E150+1), $J150/(($F150*($F150+1)/2)-(($E150-1)*($E150-1+1)/2))*AN$2), 0)+IF(IF(time+1&gt;=AO$2, $K150/time_cap/(time+1)*AN$2, 0) = 0, $K150/(time_cap),0)),0)</f>
        <v/>
      </c>
      <c r="AO150" s="4395">
        <f>IFERROR(IF((time+time_cap)&lt;AO$2, 0,IF(AND(time+1&gt;=AP$2, $E150&lt;AP$2), IF($I150= "I", $J150/($F150-$E150+1), $J150/(($F150*($F150+1)/2)-(($E150-1)*($E150-1+1)/2))*AO$2), 0)+IF(IF(time+1&gt;=AP$2, $K150/time_cap/(time+1)*AO$2, 0) = 0, $K150/(time_cap),0)),0)</f>
        <v/>
      </c>
      <c r="AP150" s="4395">
        <f>IFERROR(IF((time+time_cap)&lt;AP$2, 0,IF(AND(time+1&gt;=AQ$2, $E150&lt;AQ$2), IF($I150= "I", $J150/($F150-$E150+1), $J150/(($F150*($F150+1)/2)-(($E150-1)*($E150-1+1)/2))*AP$2), 0)+IF(IF(time+1&gt;=AQ$2, $K150/time_cap/(time+1)*AP$2, 0) = 0, $K150/(time_cap),0)),0)</f>
        <v/>
      </c>
      <c r="AQ150" s="4395">
        <f>IFERROR(IF((time+time_cap)&lt;AQ$2, 0,IF(AND(time+1&gt;=AR$2, $E150&lt;AR$2), IF($I150= "I", $J150/($F150-$E150+1), $J150/(($F150*($F150+1)/2)-(($E150-1)*($E150-1+1)/2))*AQ$2), 0)+IF(IF(time+1&gt;=AR$2, $K150/time_cap/(time+1)*AQ$2, 0) = 0, $K150/(time_cap),0)),0)</f>
        <v/>
      </c>
      <c r="AR150" s="4395">
        <f>IFERROR(IF((time+time_cap)&lt;AR$2, 0,IF(AND(time+1&gt;=AS$2, $E150&lt;AS$2), IF($I150= "I", $J150/($F150-$E150+1), $J150/(($F150*($F150+1)/2)-(($E150-1)*($E150-1+1)/2))*AR$2), 0)+IF(IF(time+1&gt;=AS$2, $K150/time_cap/(time+1)*AR$2, 0) = 0, $K150/(time_cap),0)),0)</f>
        <v/>
      </c>
      <c r="AS150" s="4395">
        <f>IFERROR(IF((time+time_cap)&lt;AS$2, 0,IF(AND(time+1&gt;=AT$2, $E150&lt;AT$2), IF($I150= "I", $J150/($F150-$E150+1), $J150/(($F150*($F150+1)/2)-(($E150-1)*($E150-1+1)/2))*AS$2), 0)+IF(IF(time+1&gt;=AT$2, $K150/time_cap/(time+1)*AS$2, 0) = 0, $K150/(time_cap),0)),0)</f>
        <v/>
      </c>
      <c r="AT150" s="4395">
        <f>IFERROR(IF((time+time_cap)&lt;AT$2, 0,IF(AND(time+1&gt;=AU$2, $E150&lt;AU$2), IF($I150= "I", $J150/($F150-$E150+1), $J150/(($F150*($F150+1)/2)-(($E150-1)*($E150-1+1)/2))*AT$2), 0)+IF(IF(time+1&gt;=AU$2, $K150/time_cap/(time+1)*AT$2, 0) = 0, $K150/(time_cap),0)),0)</f>
        <v/>
      </c>
      <c r="AU150" s="4395">
        <f>IFERROR(IF((time+time_cap)&lt;AU$2, 0,IF(AND(time+1&gt;=AV$2, $E150&lt;AV$2), IF($I150= "I", $J150/($F150-$E150+1), $J150/(($F150*($F150+1)/2)-(($E150-1)*($E150-1+1)/2))*AU$2), 0)+IF(IF(time+1&gt;=AV$2, $K150/time_cap/(time+1)*AU$2, 0) = 0, $K150/(time_cap),0)),0)</f>
        <v/>
      </c>
      <c r="AV150" s="4395">
        <f>IFERROR(IF((time+time_cap)&lt;AV$2, 0,IF(AND(time+1&gt;=AW$2, $E150&lt;AW$2), IF($I150= "I", $J150/($F150-$E150+1), $J150/(($F150*($F150+1)/2)-(($E150-1)*($E150-1+1)/2))*AV$2), 0)+IF(IF(time+1&gt;=AW$2, $K150/time_cap/(time+1)*AV$2, 0) = 0, $K150/(time_cap),0)),0)</f>
        <v/>
      </c>
      <c r="AW150" s="4395">
        <f>IFERROR(IF((time+time_cap)&lt;AW$2, 0,IF(AND(time+1&gt;=AX$2, $E150&lt;AX$2), IF($I150= "I", $J150/($F150-$E150+1), $J150/(($F150*($F150+1)/2)-(($E150-1)*($E150-1+1)/2))*AW$2), 0)+IF(IF(time+1&gt;=AX$2, $K150/time_cap/(time+1)*AW$2, 0) = 0, $K150/(time_cap),0)),0)</f>
        <v/>
      </c>
      <c r="AX150" s="4395">
        <f>IFERROR(IF((time+time_cap)&lt;AX$2, 0,IF(AND(time+1&gt;=AY$2, $E150&lt;AY$2), IF($I150= "I", $J150/($F150-$E150+1), $J150/(($F150*($F150+1)/2)-(($E150-1)*($E150-1+1)/2))*AX$2), 0)+IF(IF(time+1&gt;=AY$2, $K150/time_cap/(time+1)*AX$2, 0) = 0, $K150/(time_cap),0)),0)</f>
        <v/>
      </c>
      <c r="AY150" s="4395">
        <f>IFERROR(IF((time+time_cap)&lt;AY$2, 0,IF(AND(time+1&gt;=AZ$2, $E150&lt;AZ$2), IF($I150= "I", $J150/($F150-$E150+1), $J150/(($F150*($F150+1)/2)-(($E150-1)*($E150-1+1)/2))*AY$2), 0)+IF(IF(time+1&gt;=AZ$2, $K150/time_cap/(time+1)*AY$2, 0) = 0, $K150/(time_cap),0)),0)</f>
        <v/>
      </c>
      <c r="AZ150" s="4395">
        <f>IFERROR(IF((time+time_cap)&lt;AZ$2, 0,IF(AND(time+1&gt;=BA$2, $E150&lt;BA$2), IF($I150= "I", $J150/($F150-$E150+1), $J150/(($F150*($F150+1)/2)-(($E150-1)*($E150-1+1)/2))*AZ$2), 0)+IF(IF(time+1&gt;=BA$2, $K150/time_cap/(time+1)*AZ$2, 0) = 0, $K150/(time_cap),0)),0)</f>
        <v/>
      </c>
      <c r="BA150" s="4395">
        <f>IFERROR(IF((time+time_cap)&lt;BA$2, 0,IF(AND(time+1&gt;=BB$2, $E150&lt;BB$2), IF($I150= "I", $J150/($F150-$E150+1), $J150/(($F150*($F150+1)/2)-(($E150-1)*($E150-1+1)/2))*BA$2), 0)+IF(IF(time+1&gt;=BB$2, $K150/time_cap/(time+1)*BA$2, 0) = 0, $K150/(time_cap),0)),0)</f>
        <v/>
      </c>
      <c r="BB150" s="4395">
        <f>IFERROR(IF((time+time_cap)&lt;BB$2, 0,IF(AND(time+1&gt;=BC$2, $E150&lt;BC$2), IF($I150= "I", $J150/($F150-$E150+1), $J150/(($F150*($F150+1)/2)-(($E150-1)*($E150-1+1)/2))*BB$2), 0)+IF(IF(time+1&gt;=BC$2, $K150/time_cap/(time+1)*BB$2, 0) = 0, $K150/(time_cap),0)),0)</f>
        <v/>
      </c>
      <c r="BC150" s="4395">
        <f>IFERROR(IF((time+time_cap)&lt;BC$2, 0,IF(AND(time+1&gt;=BD$2, $E150&lt;BD$2), IF($I150= "I", $J150/($F150-$E150+1), $J150/(($F150*($F150+1)/2)-(($E150-1)*($E150-1+1)/2))*BC$2), 0)+IF(IF(time+1&gt;=BD$2, $K150/time_cap/(time+1)*BC$2, 0) = 0, $K150/(time_cap),0)),0)</f>
        <v/>
      </c>
      <c r="BD150" s="4395">
        <f>IFERROR(IF((time+time_cap)&lt;BD$2, 0,IF(AND(time+1&gt;=BE$2, $E150&lt;BE$2), IF($I150= "I", $J150/($F150-$E150+1), $J150/(($F150*($F150+1)/2)-(($E150-1)*($E150-1+1)/2))*BD$2), 0)+IF(IF(time+1&gt;=BE$2, $K150/time_cap/(time+1)*BD$2, 0) = 0, $K150/(time_cap),0)),0)</f>
        <v/>
      </c>
      <c r="BE150" s="4395">
        <f>IFERROR(IF((time+time_cap)&lt;BE$2, 0,IF(AND(time+1&gt;=BF$2, $E150&lt;BF$2), IF($I150= "I", $J150/($F150-$E150+1), $J150/(($F150*($F150+1)/2)-(($E150-1)*($E150-1+1)/2))*BE$2), 0)+IF(IF(time+1&gt;=BF$2, $K150/time_cap/(time+1)*BE$2, 0) = 0, $K150/(time_cap),0)),0)</f>
        <v/>
      </c>
      <c r="BF150" s="4395">
        <f>IFERROR(IF((time+time_cap)&lt;BF$2, 0,IF(AND(time+1&gt;=BG$2, $E150&lt;BG$2), IF($I150= "I", $J150/($F150-$E150+1), $J150/(($F150*($F150+1)/2)-(($E150-1)*($E150-1+1)/2))*BF$2), 0)+IF(IF(time+1&gt;=BG$2, $K150/time_cap/(time+1)*BF$2, 0) = 0, $K150/(time_cap),0)),0)</f>
        <v/>
      </c>
      <c r="BG150" s="4395">
        <f>IFERROR(IF((time+time_cap)&lt;BG$2, 0,IF(AND(time+1&gt;=BH$2, $E150&lt;BH$2), IF($I150= "I", $J150/($F150-$E150+1), $J150/(($F150*($F150+1)/2)-(($E150-1)*($E150-1+1)/2))*BG$2), 0)+IF(IF(time+1&gt;=BH$2, $K150/time_cap/(time+1)*BG$2, 0) = 0, $K150/(time_cap),0)),0)</f>
        <v/>
      </c>
      <c r="BH150" s="4395">
        <f>IFERROR(IF((time+time_cap)&lt;BH$2, 0,IF(AND(time+1&gt;=BI$2, $E150&lt;BI$2), IF($I150= "I", $J150/($F150-$E150+1), $J150/(($F150*($F150+1)/2)-(($E150-1)*($E150-1+1)/2))*BH$2), 0)+IF(IF(time+1&gt;=BI$2, $K150/time_cap/(time+1)*BH$2, 0) = 0, $K150/(time_cap),0)),0)</f>
        <v/>
      </c>
      <c r="BI150" s="4395">
        <f>IFERROR(IF((time+time_cap)&lt;BI$2, 0,IF(AND(time+1&gt;=BJ$2, $E150&lt;BJ$2), IF($I150= "I", $J150/($F150-$E150+1), $J150/(($F150*($F150+1)/2)-(($E150-1)*($E150-1+1)/2))*BI$2), 0)+IF(IF(time+1&gt;=BJ$2, $K150/time_cap/(time+1)*BI$2, 0) = 0, $K150/(time_cap),0)),0)</f>
        <v/>
      </c>
      <c r="BJ150" s="4395">
        <f>IFERROR(IF((time+time_cap)&lt;BJ$2, 0,IF(AND(time+1&gt;=BK$2, $E150&lt;BK$2), IF($I150= "I", $J150/($F150-$E150+1), $J150/(($F150*($F150+1)/2)-(($E150-1)*($E150-1+1)/2))*BJ$2), 0)+IF(IF(time+1&gt;=BK$2, $K150/time_cap/(time+1)*BJ$2, 0) = 0, $K150/(time_cap),0)),0)</f>
        <v/>
      </c>
      <c r="BK150" s="4395" t="n"/>
      <c r="BL150" s="4395" t="n"/>
      <c r="BM150" s="4395" t="n"/>
      <c r="BN150" s="4395" t="n"/>
      <c r="BO150" s="4395" t="n"/>
      <c r="BP150" s="4395" t="n"/>
      <c r="BQ150" s="4395" t="n"/>
      <c r="BR150" s="4395" t="n"/>
      <c r="BS150" s="4395" t="n"/>
      <c r="BT150" s="4395" t="n"/>
      <c r="BU150" s="4395" t="n"/>
      <c r="BV150" s="4395" t="n"/>
      <c r="BW150" s="4395" t="n"/>
      <c r="BX150" s="4395" t="n"/>
      <c r="BY150" s="4395" t="n"/>
      <c r="BZ150" s="4395" t="n"/>
      <c r="CA150" s="4395" t="n"/>
      <c r="CB150" s="4395" t="n"/>
      <c r="CC150" s="4395" t="n"/>
      <c r="CD150" s="4395" t="n"/>
      <c r="CE150" s="4395" t="n"/>
      <c r="CF150" s="4395" t="n"/>
      <c r="CG150" s="4395" t="n"/>
      <c r="CH150" s="4395" t="n"/>
      <c r="CI150" s="4395" t="n"/>
      <c r="CJ150" s="4395" t="n"/>
      <c r="CK150" s="4395" t="n"/>
      <c r="CL150" s="4395" t="n"/>
      <c r="CM150" s="4395" t="n"/>
      <c r="CN150" s="4395" t="n"/>
      <c r="CO150" s="4395" t="n"/>
      <c r="CP150" s="4395" t="n"/>
      <c r="CQ150" s="4395" t="n"/>
      <c r="CR150" s="4395" t="n"/>
      <c r="CS150" s="4395" t="n"/>
      <c r="CT150" s="4395" t="n"/>
      <c r="CU150" s="4395" t="n"/>
      <c r="CV150" s="4395" t="n"/>
      <c r="CW150" s="4395" t="n"/>
      <c r="CX150" s="4395" t="n"/>
      <c r="CY150" s="4395" t="n"/>
      <c r="CZ150" s="4395" t="n"/>
      <c r="DA150" s="4395" t="n"/>
      <c r="DB150" s="4395" t="n"/>
      <c r="DC150" s="4395" t="n"/>
      <c r="DD150" s="4395" t="n"/>
      <c r="DE150" s="4395" t="n"/>
      <c r="DF150" s="4395" t="n"/>
      <c r="DG150" s="4395" t="n"/>
      <c r="DH150" s="4395" t="n"/>
    </row>
    <row r="151" ht="16" customHeight="1">
      <c r="A151" t="inlineStr">
        <is>
          <t>Inland wetlands - peat</t>
        </is>
      </c>
      <c r="B151">
        <f>'6.Inland wetlands'!C179</f>
        <v/>
      </c>
      <c r="C151">
        <f>'6.Inland wetlands'!I179</f>
        <v/>
      </c>
      <c r="D151">
        <f>'6.Inland wetlands'!AH179</f>
        <v/>
      </c>
      <c r="E151">
        <f>IF('6.Inland wetlands'!CA178&lt;&gt;0,'6.Inland wetlands'!CA178,'6.Inland wetlands'!BZ178)</f>
        <v/>
      </c>
      <c r="F151">
        <f>time</f>
        <v/>
      </c>
      <c r="G151" s="4395">
        <f>'6.Inland wetlands'!O179</f>
        <v/>
      </c>
      <c r="H151" s="4395">
        <f>'6.Inland wetlands'!Q179</f>
        <v/>
      </c>
      <c r="I151" s="4395">
        <f>IF(OR(H151="I", G151="I"), "I", IF(OR(H151="E", G151="E"), "E", "D"))</f>
        <v/>
      </c>
      <c r="J151" s="4395">
        <f>((D151/(time_cap+((F151-E151+1)*VLOOKUP(I151,list!$I$48:$K$50,3, FALSE))))*(F151-E151+1)*VLOOKUP(I151,list!$I$48:$K$50,3, FALSE))</f>
        <v/>
      </c>
      <c r="K151" s="4395">
        <f>((D151/(time_cap+((F151-E151+1)*VLOOKUP(I151,list!$I$48:$K$50,3, FALSE))))*time_cap)</f>
        <v/>
      </c>
      <c r="M151" s="4395">
        <f>IFERROR(IF((time+time_cap)&lt;M$2, 0,IF(AND(time+1&gt;=N$2, $E151&lt;N$2), IF($I151= "I", $J151/($F151-$E151+1), $J151/(($F151*($F151+1)/2)-(($E151-1)*($E151-1+1)/2))*M$2), 0)+IF(IF(time+1&gt;=N$2, $K151/time_cap/(time+1)*M$2, 0) = 0, $K151/(time_cap),0)),0)</f>
        <v/>
      </c>
      <c r="N151" s="4395">
        <f>IFERROR(IF((time+time_cap)&lt;N$2, 0,IF(AND(time+1&gt;=O$2, $E151&lt;O$2), IF($I151= "I", $J151/($F151-$E151+1), $J151/(($F151*($F151+1)/2)-(($E151-1)*($E151-1+1)/2))*N$2), 0)+IF(IF(time+1&gt;=O$2, $K151/time_cap/(time+1)*N$2, 0) = 0, $K151/(time_cap),0)),0)</f>
        <v/>
      </c>
      <c r="O151" s="4395">
        <f>IFERROR(IF((time+time_cap)&lt;O$2, 0,IF(AND(time+1&gt;=P$2, $E151&lt;P$2), IF($I151= "I", $J151/($F151-$E151+1), $J151/(($F151*($F151+1)/2)-(($E151-1)*($E151-1+1)/2))*O$2), 0)+IF(IF(time+1&gt;=P$2, $K151/time_cap/(time+1)*O$2, 0) = 0, $K151/(time_cap),0)),0)</f>
        <v/>
      </c>
      <c r="P151" s="4395">
        <f>IFERROR(IF((time+time_cap)&lt;P$2, 0,IF(AND(time+1&gt;=Q$2, $E151&lt;Q$2), IF($I151= "I", $J151/($F151-$E151+1), $J151/(($F151*($F151+1)/2)-(($E151-1)*($E151-1+1)/2))*P$2), 0)+IF(IF(time+1&gt;=Q$2, $K151/time_cap/(time+1)*P$2, 0) = 0, $K151/(time_cap),0)),0)</f>
        <v/>
      </c>
      <c r="Q151" s="4395">
        <f>IFERROR(IF((time+time_cap)&lt;Q$2, 0,IF(AND(time+1&gt;=R$2, $E151&lt;R$2), IF($I151= "I", $J151/($F151-$E151+1), $J151/(($F151*($F151+1)/2)-(($E151-1)*($E151-1+1)/2))*Q$2), 0)+IF(IF(time+1&gt;=R$2, $K151/time_cap/(time+1)*Q$2, 0) = 0, $K151/(time_cap),0)),0)</f>
        <v/>
      </c>
      <c r="R151" s="4395">
        <f>IFERROR(IF((time+time_cap)&lt;R$2, 0,IF(AND(time+1&gt;=S$2, $E151&lt;S$2), IF($I151= "I", $J151/($F151-$E151+1), $J151/(($F151*($F151+1)/2)-(($E151-1)*($E151-1+1)/2))*R$2), 0)+IF(IF(time+1&gt;=S$2, $K151/time_cap/(time+1)*R$2, 0) = 0, $K151/(time_cap),0)),0)</f>
        <v/>
      </c>
      <c r="S151" s="4395">
        <f>IFERROR(IF((time+time_cap)&lt;S$2, 0,IF(AND(time+1&gt;=T$2, $E151&lt;T$2), IF($I151= "I", $J151/($F151-$E151+1), $J151/(($F151*($F151+1)/2)-(($E151-1)*($E151-1+1)/2))*S$2), 0)+IF(IF(time+1&gt;=T$2, $K151/time_cap/(time+1)*S$2, 0) = 0, $K151/(time_cap),0)),0)</f>
        <v/>
      </c>
      <c r="T151" s="4395">
        <f>IFERROR(IF((time+time_cap)&lt;T$2, 0,IF(AND(time+1&gt;=U$2, $E151&lt;U$2), IF($I151= "I", $J151/($F151-$E151+1), $J151/(($F151*($F151+1)/2)-(($E151-1)*($E151-1+1)/2))*T$2), 0)+IF(IF(time+1&gt;=U$2, $K151/time_cap/(time+1)*T$2, 0) = 0, $K151/(time_cap),0)),0)</f>
        <v/>
      </c>
      <c r="U151" s="4395">
        <f>IFERROR(IF((time+time_cap)&lt;U$2, 0,IF(AND(time+1&gt;=V$2, $E151&lt;V$2), IF($I151= "I", $J151/($F151-$E151+1), $J151/(($F151*($F151+1)/2)-(($E151-1)*($E151-1+1)/2))*U$2), 0)+IF(IF(time+1&gt;=V$2, $K151/time_cap/(time+1)*U$2, 0) = 0, $K151/(time_cap),0)),0)</f>
        <v/>
      </c>
      <c r="V151" s="4395">
        <f>IFERROR(IF((time+time_cap)&lt;V$2, 0,IF(AND(time+1&gt;=W$2, $E151&lt;W$2), IF($I151= "I", $J151/($F151-$E151+1), $J151/(($F151*($F151+1)/2)-(($E151-1)*($E151-1+1)/2))*V$2), 0)+IF(IF(time+1&gt;=W$2, $K151/time_cap/(time+1)*V$2, 0) = 0, $K151/(time_cap),0)),0)</f>
        <v/>
      </c>
      <c r="W151" s="4395">
        <f>IFERROR(IF((time+time_cap)&lt;W$2, 0,IF(AND(time+1&gt;=X$2, $E151&lt;X$2), IF($I151= "I", $J151/($F151-$E151+1), $J151/(($F151*($F151+1)/2)-(($E151-1)*($E151-1+1)/2))*W$2), 0)+IF(IF(time+1&gt;=X$2, $K151/time_cap/(time+1)*W$2, 0) = 0, $K151/(time_cap),0)),0)</f>
        <v/>
      </c>
      <c r="X151" s="4395">
        <f>IFERROR(IF((time+time_cap)&lt;X$2, 0,IF(AND(time+1&gt;=Y$2, $E151&lt;Y$2), IF($I151= "I", $J151/($F151-$E151+1), $J151/(($F151*($F151+1)/2)-(($E151-1)*($E151-1+1)/2))*X$2), 0)+IF(IF(time+1&gt;=Y$2, $K151/time_cap/(time+1)*X$2, 0) = 0, $K151/(time_cap),0)),0)</f>
        <v/>
      </c>
      <c r="Y151" s="4395">
        <f>IFERROR(IF((time+time_cap)&lt;Y$2, 0,IF(AND(time+1&gt;=Z$2, $E151&lt;Z$2), IF($I151= "I", $J151/($F151-$E151+1), $J151/(($F151*($F151+1)/2)-(($E151-1)*($E151-1+1)/2))*Y$2), 0)+IF(IF(time+1&gt;=Z$2, $K151/time_cap/(time+1)*Y$2, 0) = 0, $K151/(time_cap),0)),0)</f>
        <v/>
      </c>
      <c r="Z151" s="4395">
        <f>IFERROR(IF((time+time_cap)&lt;Z$2, 0,IF(AND(time+1&gt;=AA$2, $E151&lt;AA$2), IF($I151= "I", $J151/($F151-$E151+1), $J151/(($F151*($F151+1)/2)-(($E151-1)*($E151-1+1)/2))*Z$2), 0)+IF(IF(time+1&gt;=AA$2, $K151/time_cap/(time+1)*Z$2, 0) = 0, $K151/(time_cap),0)),0)</f>
        <v/>
      </c>
      <c r="AA151" s="4395">
        <f>IFERROR(IF((time+time_cap)&lt;AA$2, 0,IF(AND(time+1&gt;=AB$2, $E151&lt;AB$2), IF($I151= "I", $J151/($F151-$E151+1), $J151/(($F151*($F151+1)/2)-(($E151-1)*($E151-1+1)/2))*AA$2), 0)+IF(IF(time+1&gt;=AB$2, $K151/time_cap/(time+1)*AA$2, 0) = 0, $K151/(time_cap),0)),0)</f>
        <v/>
      </c>
      <c r="AB151" s="4395">
        <f>IFERROR(IF((time+time_cap)&lt;AB$2, 0,IF(AND(time+1&gt;=AC$2, $E151&lt;AC$2), IF($I151= "I", $J151/($F151-$E151+1), $J151/(($F151*($F151+1)/2)-(($E151-1)*($E151-1+1)/2))*AB$2), 0)+IF(IF(time+1&gt;=AC$2, $K151/time_cap/(time+1)*AB$2, 0) = 0, $K151/(time_cap),0)),0)</f>
        <v/>
      </c>
      <c r="AC151" s="4395">
        <f>IFERROR(IF((time+time_cap)&lt;AC$2, 0,IF(AND(time+1&gt;=AD$2, $E151&lt;AD$2), IF($I151= "I", $J151/($F151-$E151+1), $J151/(($F151*($F151+1)/2)-(($E151-1)*($E151-1+1)/2))*AC$2), 0)+IF(IF(time+1&gt;=AD$2, $K151/time_cap/(time+1)*AC$2, 0) = 0, $K151/(time_cap),0)),0)</f>
        <v/>
      </c>
      <c r="AD151" s="4395">
        <f>IFERROR(IF((time+time_cap)&lt;AD$2, 0,IF(AND(time+1&gt;=AE$2, $E151&lt;AE$2), IF($I151= "I", $J151/($F151-$E151+1), $J151/(($F151*($F151+1)/2)-(($E151-1)*($E151-1+1)/2))*AD$2), 0)+IF(IF(time+1&gt;=AE$2, $K151/time_cap/(time+1)*AD$2, 0) = 0, $K151/(time_cap),0)),0)</f>
        <v/>
      </c>
      <c r="AE151" s="4395">
        <f>IFERROR(IF((time+time_cap)&lt;AE$2, 0,IF(AND(time+1&gt;=AF$2, $E151&lt;AF$2), IF($I151= "I", $J151/($F151-$E151+1), $J151/(($F151*($F151+1)/2)-(($E151-1)*($E151-1+1)/2))*AE$2), 0)+IF(IF(time+1&gt;=AF$2, $K151/time_cap/(time+1)*AE$2, 0) = 0, $K151/(time_cap),0)),0)</f>
        <v/>
      </c>
      <c r="AF151" s="4395">
        <f>IFERROR(IF((time+time_cap)&lt;AF$2, 0,IF(AND(time+1&gt;=AG$2, $E151&lt;AG$2), IF($I151= "I", $J151/($F151-$E151+1), $J151/(($F151*($F151+1)/2)-(($E151-1)*($E151-1+1)/2))*AF$2), 0)+IF(IF(time+1&gt;=AG$2, $K151/time_cap/(time+1)*AF$2, 0) = 0, $K151/(time_cap),0)),0)</f>
        <v/>
      </c>
      <c r="AG151" s="4395">
        <f>IFERROR(IF((time+time_cap)&lt;AG$2, 0,IF(AND(time+1&gt;=AH$2, $E151&lt;AH$2), IF($I151= "I", $J151/($F151-$E151+1), $J151/(($F151*($F151+1)/2)-(($E151-1)*($E151-1+1)/2))*AG$2), 0)+IF(IF(time+1&gt;=AH$2, $K151/time_cap/(time+1)*AG$2, 0) = 0, $K151/(time_cap),0)),0)</f>
        <v/>
      </c>
      <c r="AH151" s="4395">
        <f>IFERROR(IF((time+time_cap)&lt;AH$2, 0,IF(AND(time+1&gt;=AI$2, $E151&lt;AI$2), IF($I151= "I", $J151/($F151-$E151+1), $J151/(($F151*($F151+1)/2)-(($E151-1)*($E151-1+1)/2))*AH$2), 0)+IF(IF(time+1&gt;=AI$2, $K151/time_cap/(time+1)*AH$2, 0) = 0, $K151/(time_cap),0)),0)</f>
        <v/>
      </c>
      <c r="AI151" s="4395">
        <f>IFERROR(IF((time+time_cap)&lt;AI$2, 0,IF(AND(time+1&gt;=AJ$2, $E151&lt;AJ$2), IF($I151= "I", $J151/($F151-$E151+1), $J151/(($F151*($F151+1)/2)-(($E151-1)*($E151-1+1)/2))*AI$2), 0)+IF(IF(time+1&gt;=AJ$2, $K151/time_cap/(time+1)*AI$2, 0) = 0, $K151/(time_cap),0)),0)</f>
        <v/>
      </c>
      <c r="AJ151" s="4395">
        <f>IFERROR(IF((time+time_cap)&lt;AJ$2, 0,IF(AND(time+1&gt;=AK$2, $E151&lt;AK$2), IF($I151= "I", $J151/($F151-$E151+1), $J151/(($F151*($F151+1)/2)-(($E151-1)*($E151-1+1)/2))*AJ$2), 0)+IF(IF(time+1&gt;=AK$2, $K151/time_cap/(time+1)*AJ$2, 0) = 0, $K151/(time_cap),0)),0)</f>
        <v/>
      </c>
      <c r="AK151" s="4395">
        <f>IFERROR(IF((time+time_cap)&lt;AK$2, 0,IF(AND(time+1&gt;=AL$2, $E151&lt;AL$2), IF($I151= "I", $J151/($F151-$E151+1), $J151/(($F151*($F151+1)/2)-(($E151-1)*($E151-1+1)/2))*AK$2), 0)+IF(IF(time+1&gt;=AL$2, $K151/time_cap/(time+1)*AK$2, 0) = 0, $K151/(time_cap),0)),0)</f>
        <v/>
      </c>
      <c r="AL151" s="4395">
        <f>IFERROR(IF((time+time_cap)&lt;AL$2, 0,IF(AND(time+1&gt;=AM$2, $E151&lt;AM$2), IF($I151= "I", $J151/($F151-$E151+1), $J151/(($F151*($F151+1)/2)-(($E151-1)*($E151-1+1)/2))*AL$2), 0)+IF(IF(time+1&gt;=AM$2, $K151/time_cap/(time+1)*AL$2, 0) = 0, $K151/(time_cap),0)),0)</f>
        <v/>
      </c>
      <c r="AM151" s="4395">
        <f>IFERROR(IF((time+time_cap)&lt;AM$2, 0,IF(AND(time+1&gt;=AN$2, $E151&lt;AN$2), IF($I151= "I", $J151/($F151-$E151+1), $J151/(($F151*($F151+1)/2)-(($E151-1)*($E151-1+1)/2))*AM$2), 0)+IF(IF(time+1&gt;=AN$2, $K151/time_cap/(time+1)*AM$2, 0) = 0, $K151/(time_cap),0)),0)</f>
        <v/>
      </c>
      <c r="AN151" s="4395">
        <f>IFERROR(IF((time+time_cap)&lt;AN$2, 0,IF(AND(time+1&gt;=AO$2, $E151&lt;AO$2), IF($I151= "I", $J151/($F151-$E151+1), $J151/(($F151*($F151+1)/2)-(($E151-1)*($E151-1+1)/2))*AN$2), 0)+IF(IF(time+1&gt;=AO$2, $K151/time_cap/(time+1)*AN$2, 0) = 0, $K151/(time_cap),0)),0)</f>
        <v/>
      </c>
      <c r="AO151" s="4395">
        <f>IFERROR(IF((time+time_cap)&lt;AO$2, 0,IF(AND(time+1&gt;=AP$2, $E151&lt;AP$2), IF($I151= "I", $J151/($F151-$E151+1), $J151/(($F151*($F151+1)/2)-(($E151-1)*($E151-1+1)/2))*AO$2), 0)+IF(IF(time+1&gt;=AP$2, $K151/time_cap/(time+1)*AO$2, 0) = 0, $K151/(time_cap),0)),0)</f>
        <v/>
      </c>
      <c r="AP151" s="4395">
        <f>IFERROR(IF((time+time_cap)&lt;AP$2, 0,IF(AND(time+1&gt;=AQ$2, $E151&lt;AQ$2), IF($I151= "I", $J151/($F151-$E151+1), $J151/(($F151*($F151+1)/2)-(($E151-1)*($E151-1+1)/2))*AP$2), 0)+IF(IF(time+1&gt;=AQ$2, $K151/time_cap/(time+1)*AP$2, 0) = 0, $K151/(time_cap),0)),0)</f>
        <v/>
      </c>
      <c r="AQ151" s="4395">
        <f>IFERROR(IF((time+time_cap)&lt;AQ$2, 0,IF(AND(time+1&gt;=AR$2, $E151&lt;AR$2), IF($I151= "I", $J151/($F151-$E151+1), $J151/(($F151*($F151+1)/2)-(($E151-1)*($E151-1+1)/2))*AQ$2), 0)+IF(IF(time+1&gt;=AR$2, $K151/time_cap/(time+1)*AQ$2, 0) = 0, $K151/(time_cap),0)),0)</f>
        <v/>
      </c>
      <c r="AR151" s="4395">
        <f>IFERROR(IF((time+time_cap)&lt;AR$2, 0,IF(AND(time+1&gt;=AS$2, $E151&lt;AS$2), IF($I151= "I", $J151/($F151-$E151+1), $J151/(($F151*($F151+1)/2)-(($E151-1)*($E151-1+1)/2))*AR$2), 0)+IF(IF(time+1&gt;=AS$2, $K151/time_cap/(time+1)*AR$2, 0) = 0, $K151/(time_cap),0)),0)</f>
        <v/>
      </c>
      <c r="AS151" s="4395">
        <f>IFERROR(IF((time+time_cap)&lt;AS$2, 0,IF(AND(time+1&gt;=AT$2, $E151&lt;AT$2), IF($I151= "I", $J151/($F151-$E151+1), $J151/(($F151*($F151+1)/2)-(($E151-1)*($E151-1+1)/2))*AS$2), 0)+IF(IF(time+1&gt;=AT$2, $K151/time_cap/(time+1)*AS$2, 0) = 0, $K151/(time_cap),0)),0)</f>
        <v/>
      </c>
      <c r="AT151" s="4395">
        <f>IFERROR(IF((time+time_cap)&lt;AT$2, 0,IF(AND(time+1&gt;=AU$2, $E151&lt;AU$2), IF($I151= "I", $J151/($F151-$E151+1), $J151/(($F151*($F151+1)/2)-(($E151-1)*($E151-1+1)/2))*AT$2), 0)+IF(IF(time+1&gt;=AU$2, $K151/time_cap/(time+1)*AT$2, 0) = 0, $K151/(time_cap),0)),0)</f>
        <v/>
      </c>
      <c r="AU151" s="4395">
        <f>IFERROR(IF((time+time_cap)&lt;AU$2, 0,IF(AND(time+1&gt;=AV$2, $E151&lt;AV$2), IF($I151= "I", $J151/($F151-$E151+1), $J151/(($F151*($F151+1)/2)-(($E151-1)*($E151-1+1)/2))*AU$2), 0)+IF(IF(time+1&gt;=AV$2, $K151/time_cap/(time+1)*AU$2, 0) = 0, $K151/(time_cap),0)),0)</f>
        <v/>
      </c>
      <c r="AV151" s="4395">
        <f>IFERROR(IF((time+time_cap)&lt;AV$2, 0,IF(AND(time+1&gt;=AW$2, $E151&lt;AW$2), IF($I151= "I", $J151/($F151-$E151+1), $J151/(($F151*($F151+1)/2)-(($E151-1)*($E151-1+1)/2))*AV$2), 0)+IF(IF(time+1&gt;=AW$2, $K151/time_cap/(time+1)*AV$2, 0) = 0, $K151/(time_cap),0)),0)</f>
        <v/>
      </c>
      <c r="AW151" s="4395">
        <f>IFERROR(IF((time+time_cap)&lt;AW$2, 0,IF(AND(time+1&gt;=AX$2, $E151&lt;AX$2), IF($I151= "I", $J151/($F151-$E151+1), $J151/(($F151*($F151+1)/2)-(($E151-1)*($E151-1+1)/2))*AW$2), 0)+IF(IF(time+1&gt;=AX$2, $K151/time_cap/(time+1)*AW$2, 0) = 0, $K151/(time_cap),0)),0)</f>
        <v/>
      </c>
      <c r="AX151" s="4395">
        <f>IFERROR(IF((time+time_cap)&lt;AX$2, 0,IF(AND(time+1&gt;=AY$2, $E151&lt;AY$2), IF($I151= "I", $J151/($F151-$E151+1), $J151/(($F151*($F151+1)/2)-(($E151-1)*($E151-1+1)/2))*AX$2), 0)+IF(IF(time+1&gt;=AY$2, $K151/time_cap/(time+1)*AX$2, 0) = 0, $K151/(time_cap),0)),0)</f>
        <v/>
      </c>
      <c r="AY151" s="4395">
        <f>IFERROR(IF((time+time_cap)&lt;AY$2, 0,IF(AND(time+1&gt;=AZ$2, $E151&lt;AZ$2), IF($I151= "I", $J151/($F151-$E151+1), $J151/(($F151*($F151+1)/2)-(($E151-1)*($E151-1+1)/2))*AY$2), 0)+IF(IF(time+1&gt;=AZ$2, $K151/time_cap/(time+1)*AY$2, 0) = 0, $K151/(time_cap),0)),0)</f>
        <v/>
      </c>
      <c r="AZ151" s="4395">
        <f>IFERROR(IF((time+time_cap)&lt;AZ$2, 0,IF(AND(time+1&gt;=BA$2, $E151&lt;BA$2), IF($I151= "I", $J151/($F151-$E151+1), $J151/(($F151*($F151+1)/2)-(($E151-1)*($E151-1+1)/2))*AZ$2), 0)+IF(IF(time+1&gt;=BA$2, $K151/time_cap/(time+1)*AZ$2, 0) = 0, $K151/(time_cap),0)),0)</f>
        <v/>
      </c>
      <c r="BA151" s="4395">
        <f>IFERROR(IF((time+time_cap)&lt;BA$2, 0,IF(AND(time+1&gt;=BB$2, $E151&lt;BB$2), IF($I151= "I", $J151/($F151-$E151+1), $J151/(($F151*($F151+1)/2)-(($E151-1)*($E151-1+1)/2))*BA$2), 0)+IF(IF(time+1&gt;=BB$2, $K151/time_cap/(time+1)*BA$2, 0) = 0, $K151/(time_cap),0)),0)</f>
        <v/>
      </c>
      <c r="BB151" s="4395">
        <f>IFERROR(IF((time+time_cap)&lt;BB$2, 0,IF(AND(time+1&gt;=BC$2, $E151&lt;BC$2), IF($I151= "I", $J151/($F151-$E151+1), $J151/(($F151*($F151+1)/2)-(($E151-1)*($E151-1+1)/2))*BB$2), 0)+IF(IF(time+1&gt;=BC$2, $K151/time_cap/(time+1)*BB$2, 0) = 0, $K151/(time_cap),0)),0)</f>
        <v/>
      </c>
      <c r="BC151" s="4395">
        <f>IFERROR(IF((time+time_cap)&lt;BC$2, 0,IF(AND(time+1&gt;=BD$2, $E151&lt;BD$2), IF($I151= "I", $J151/($F151-$E151+1), $J151/(($F151*($F151+1)/2)-(($E151-1)*($E151-1+1)/2))*BC$2), 0)+IF(IF(time+1&gt;=BD$2, $K151/time_cap/(time+1)*BC$2, 0) = 0, $K151/(time_cap),0)),0)</f>
        <v/>
      </c>
      <c r="BD151" s="4395">
        <f>IFERROR(IF((time+time_cap)&lt;BD$2, 0,IF(AND(time+1&gt;=BE$2, $E151&lt;BE$2), IF($I151= "I", $J151/($F151-$E151+1), $J151/(($F151*($F151+1)/2)-(($E151-1)*($E151-1+1)/2))*BD$2), 0)+IF(IF(time+1&gt;=BE$2, $K151/time_cap/(time+1)*BD$2, 0) = 0, $K151/(time_cap),0)),0)</f>
        <v/>
      </c>
      <c r="BE151" s="4395">
        <f>IFERROR(IF((time+time_cap)&lt;BE$2, 0,IF(AND(time+1&gt;=BF$2, $E151&lt;BF$2), IF($I151= "I", $J151/($F151-$E151+1), $J151/(($F151*($F151+1)/2)-(($E151-1)*($E151-1+1)/2))*BE$2), 0)+IF(IF(time+1&gt;=BF$2, $K151/time_cap/(time+1)*BE$2, 0) = 0, $K151/(time_cap),0)),0)</f>
        <v/>
      </c>
      <c r="BF151" s="4395">
        <f>IFERROR(IF((time+time_cap)&lt;BF$2, 0,IF(AND(time+1&gt;=BG$2, $E151&lt;BG$2), IF($I151= "I", $J151/($F151-$E151+1), $J151/(($F151*($F151+1)/2)-(($E151-1)*($E151-1+1)/2))*BF$2), 0)+IF(IF(time+1&gt;=BG$2, $K151/time_cap/(time+1)*BF$2, 0) = 0, $K151/(time_cap),0)),0)</f>
        <v/>
      </c>
      <c r="BG151" s="4395">
        <f>IFERROR(IF((time+time_cap)&lt;BG$2, 0,IF(AND(time+1&gt;=BH$2, $E151&lt;BH$2), IF($I151= "I", $J151/($F151-$E151+1), $J151/(($F151*($F151+1)/2)-(($E151-1)*($E151-1+1)/2))*BG$2), 0)+IF(IF(time+1&gt;=BH$2, $K151/time_cap/(time+1)*BG$2, 0) = 0, $K151/(time_cap),0)),0)</f>
        <v/>
      </c>
      <c r="BH151" s="4395">
        <f>IFERROR(IF((time+time_cap)&lt;BH$2, 0,IF(AND(time+1&gt;=BI$2, $E151&lt;BI$2), IF($I151= "I", $J151/($F151-$E151+1), $J151/(($F151*($F151+1)/2)-(($E151-1)*($E151-1+1)/2))*BH$2), 0)+IF(IF(time+1&gt;=BI$2, $K151/time_cap/(time+1)*BH$2, 0) = 0, $K151/(time_cap),0)),0)</f>
        <v/>
      </c>
      <c r="BI151" s="4395">
        <f>IFERROR(IF((time+time_cap)&lt;BI$2, 0,IF(AND(time+1&gt;=BJ$2, $E151&lt;BJ$2), IF($I151= "I", $J151/($F151-$E151+1), $J151/(($F151*($F151+1)/2)-(($E151-1)*($E151-1+1)/2))*BI$2), 0)+IF(IF(time+1&gt;=BJ$2, $K151/time_cap/(time+1)*BI$2, 0) = 0, $K151/(time_cap),0)),0)</f>
        <v/>
      </c>
      <c r="BJ151" s="4395">
        <f>IFERROR(IF((time+time_cap)&lt;BJ$2, 0,IF(AND(time+1&gt;=BK$2, $E151&lt;BK$2), IF($I151= "I", $J151/($F151-$E151+1), $J151/(($F151*($F151+1)/2)-(($E151-1)*($E151-1+1)/2))*BJ$2), 0)+IF(IF(time+1&gt;=BK$2, $K151/time_cap/(time+1)*BJ$2, 0) = 0, $K151/(time_cap),0)),0)</f>
        <v/>
      </c>
      <c r="BK151" s="4395" t="n"/>
      <c r="BL151" s="4395" t="n"/>
      <c r="BM151" s="4395" t="n"/>
      <c r="BN151" s="4395" t="n"/>
      <c r="BO151" s="4395" t="n"/>
      <c r="BP151" s="4395" t="n"/>
      <c r="BQ151" s="4395" t="n"/>
      <c r="BR151" s="4395" t="n"/>
      <c r="BS151" s="4395" t="n"/>
      <c r="BT151" s="4395" t="n"/>
      <c r="BU151" s="4395" t="n"/>
      <c r="BV151" s="4395" t="n"/>
      <c r="BW151" s="4395" t="n"/>
      <c r="BX151" s="4395" t="n"/>
      <c r="BY151" s="4395" t="n"/>
      <c r="BZ151" s="4395" t="n"/>
      <c r="CA151" s="4395" t="n"/>
      <c r="CB151" s="4395" t="n"/>
      <c r="CC151" s="4395" t="n"/>
      <c r="CD151" s="4395" t="n"/>
      <c r="CE151" s="4395" t="n"/>
      <c r="CF151" s="4395" t="n"/>
      <c r="CG151" s="4395" t="n"/>
      <c r="CH151" s="4395" t="n"/>
      <c r="CI151" s="4395" t="n"/>
      <c r="CJ151" s="4395" t="n"/>
      <c r="CK151" s="4395" t="n"/>
      <c r="CL151" s="4395" t="n"/>
      <c r="CM151" s="4395" t="n"/>
      <c r="CN151" s="4395" t="n"/>
      <c r="CO151" s="4395" t="n"/>
      <c r="CP151" s="4395" t="n"/>
      <c r="CQ151" s="4395" t="n"/>
      <c r="CR151" s="4395" t="n"/>
      <c r="CS151" s="4395" t="n"/>
      <c r="CT151" s="4395" t="n"/>
      <c r="CU151" s="4395" t="n"/>
      <c r="CV151" s="4395" t="n"/>
      <c r="CW151" s="4395" t="n"/>
      <c r="CX151" s="4395" t="n"/>
      <c r="CY151" s="4395" t="n"/>
      <c r="CZ151" s="4395" t="n"/>
      <c r="DA151" s="4395" t="n"/>
      <c r="DB151" s="4395" t="n"/>
      <c r="DC151" s="4395" t="n"/>
      <c r="DD151" s="4395" t="n"/>
      <c r="DE151" s="4395" t="n"/>
      <c r="DF151" s="4395" t="n"/>
      <c r="DG151" s="4395" t="n"/>
      <c r="DH151" s="4395" t="n"/>
    </row>
    <row r="152" ht="16" customHeight="1">
      <c r="A152" t="inlineStr">
        <is>
          <t>Inland wetlands - water</t>
        </is>
      </c>
      <c r="B152">
        <f>'6.Inland wetlands'!C197</f>
        <v/>
      </c>
      <c r="C152">
        <f>'6.Inland wetlands'!I197</f>
        <v/>
      </c>
      <c r="D152">
        <f>'6.Inland wetlands'!AH198</f>
        <v/>
      </c>
      <c r="E152">
        <f>IF('6.Inland wetlands'!CA197&lt;&gt;0,'6.Inland wetlands'!CA197,'6.Inland wetlands'!BZ197)</f>
        <v/>
      </c>
      <c r="F152">
        <f>time</f>
        <v/>
      </c>
      <c r="G152" s="4395">
        <f>'6.Inland wetlands'!O197</f>
        <v/>
      </c>
      <c r="H152" s="4395">
        <f>'6.Inland wetlands'!Q197</f>
        <v/>
      </c>
      <c r="I152" s="4395">
        <f>IF(OR(H152="I", G152="I"), "I", IF(OR(H152="E", G152="E"), "E", "D"))</f>
        <v/>
      </c>
      <c r="J152" s="4395">
        <f>((D152/(time_cap+((F152-E152+1)*VLOOKUP(I152,list!$I$48:$K$50,3, FALSE))))*(F152-E152+1)*VLOOKUP(I152,list!$I$48:$K$50,3, FALSE))</f>
        <v/>
      </c>
      <c r="K152" s="4395">
        <f>((D152/(time_cap+((F152-E152+1)*VLOOKUP(I152,list!$I$48:$K$50,3, FALSE))))*time_cap)</f>
        <v/>
      </c>
      <c r="M152" s="4395">
        <f>IFERROR(IF((time+time_cap)&lt;M$2, 0,IF(AND(time+1&gt;=N$2, $E152&lt;N$2), IF($I152= "I", $J152/($F152-$E152+1), $J152/(($F152*($F152+1)/2)-(($E152-1)*($E152-1+1)/2))*M$2), 0)+IF(IF(time+1&gt;=N$2, $K152/time_cap/(time+1)*M$2, 0) = 0, $K152/(time_cap),0)),0)</f>
        <v/>
      </c>
      <c r="N152" s="4395">
        <f>IFERROR(IF((time+time_cap)&lt;N$2, 0,IF(AND(time+1&gt;=O$2, $E152&lt;O$2), IF($I152= "I", $J152/($F152-$E152+1), $J152/(($F152*($F152+1)/2)-(($E152-1)*($E152-1+1)/2))*N$2), 0)+IF(IF(time+1&gt;=O$2, $K152/time_cap/(time+1)*N$2, 0) = 0, $K152/(time_cap),0)),0)</f>
        <v/>
      </c>
      <c r="O152" s="4395">
        <f>IFERROR(IF((time+time_cap)&lt;O$2, 0,IF(AND(time+1&gt;=P$2, $E152&lt;P$2), IF($I152= "I", $J152/($F152-$E152+1), $J152/(($F152*($F152+1)/2)-(($E152-1)*($E152-1+1)/2))*O$2), 0)+IF(IF(time+1&gt;=P$2, $K152/time_cap/(time+1)*O$2, 0) = 0, $K152/(time_cap),0)),0)</f>
        <v/>
      </c>
      <c r="P152" s="4395">
        <f>IFERROR(IF((time+time_cap)&lt;P$2, 0,IF(AND(time+1&gt;=Q$2, $E152&lt;Q$2), IF($I152= "I", $J152/($F152-$E152+1), $J152/(($F152*($F152+1)/2)-(($E152-1)*($E152-1+1)/2))*P$2), 0)+IF(IF(time+1&gt;=Q$2, $K152/time_cap/(time+1)*P$2, 0) = 0, $K152/(time_cap),0)),0)</f>
        <v/>
      </c>
      <c r="Q152" s="4395">
        <f>IFERROR(IF((time+time_cap)&lt;Q$2, 0,IF(AND(time+1&gt;=R$2, $E152&lt;R$2), IF($I152= "I", $J152/($F152-$E152+1), $J152/(($F152*($F152+1)/2)-(($E152-1)*($E152-1+1)/2))*Q$2), 0)+IF(IF(time+1&gt;=R$2, $K152/time_cap/(time+1)*Q$2, 0) = 0, $K152/(time_cap),0)),0)</f>
        <v/>
      </c>
      <c r="R152" s="4395">
        <f>IFERROR(IF((time+time_cap)&lt;R$2, 0,IF(AND(time+1&gt;=S$2, $E152&lt;S$2), IF($I152= "I", $J152/($F152-$E152+1), $J152/(($F152*($F152+1)/2)-(($E152-1)*($E152-1+1)/2))*R$2), 0)+IF(IF(time+1&gt;=S$2, $K152/time_cap/(time+1)*R$2, 0) = 0, $K152/(time_cap),0)),0)</f>
        <v/>
      </c>
      <c r="S152" s="4395">
        <f>IFERROR(IF((time+time_cap)&lt;S$2, 0,IF(AND(time+1&gt;=T$2, $E152&lt;T$2), IF($I152= "I", $J152/($F152-$E152+1), $J152/(($F152*($F152+1)/2)-(($E152-1)*($E152-1+1)/2))*S$2), 0)+IF(IF(time+1&gt;=T$2, $K152/time_cap/(time+1)*S$2, 0) = 0, $K152/(time_cap),0)),0)</f>
        <v/>
      </c>
      <c r="T152" s="4395">
        <f>IFERROR(IF((time+time_cap)&lt;T$2, 0,IF(AND(time+1&gt;=U$2, $E152&lt;U$2), IF($I152= "I", $J152/($F152-$E152+1), $J152/(($F152*($F152+1)/2)-(($E152-1)*($E152-1+1)/2))*T$2), 0)+IF(IF(time+1&gt;=U$2, $K152/time_cap/(time+1)*T$2, 0) = 0, $K152/(time_cap),0)),0)</f>
        <v/>
      </c>
      <c r="U152" s="4395">
        <f>IFERROR(IF((time+time_cap)&lt;U$2, 0,IF(AND(time+1&gt;=V$2, $E152&lt;V$2), IF($I152= "I", $J152/($F152-$E152+1), $J152/(($F152*($F152+1)/2)-(($E152-1)*($E152-1+1)/2))*U$2), 0)+IF(IF(time+1&gt;=V$2, $K152/time_cap/(time+1)*U$2, 0) = 0, $K152/(time_cap),0)),0)</f>
        <v/>
      </c>
      <c r="V152" s="4395">
        <f>IFERROR(IF((time+time_cap)&lt;V$2, 0,IF(AND(time+1&gt;=W$2, $E152&lt;W$2), IF($I152= "I", $J152/($F152-$E152+1), $J152/(($F152*($F152+1)/2)-(($E152-1)*($E152-1+1)/2))*V$2), 0)+IF(IF(time+1&gt;=W$2, $K152/time_cap/(time+1)*V$2, 0) = 0, $K152/(time_cap),0)),0)</f>
        <v/>
      </c>
      <c r="W152" s="4395">
        <f>IFERROR(IF((time+time_cap)&lt;W$2, 0,IF(AND(time+1&gt;=X$2, $E152&lt;X$2), IF($I152= "I", $J152/($F152-$E152+1), $J152/(($F152*($F152+1)/2)-(($E152-1)*($E152-1+1)/2))*W$2), 0)+IF(IF(time+1&gt;=X$2, $K152/time_cap/(time+1)*W$2, 0) = 0, $K152/(time_cap),0)),0)</f>
        <v/>
      </c>
      <c r="X152" s="4395">
        <f>IFERROR(IF((time+time_cap)&lt;X$2, 0,IF(AND(time+1&gt;=Y$2, $E152&lt;Y$2), IF($I152= "I", $J152/($F152-$E152+1), $J152/(($F152*($F152+1)/2)-(($E152-1)*($E152-1+1)/2))*X$2), 0)+IF(IF(time+1&gt;=Y$2, $K152/time_cap/(time+1)*X$2, 0) = 0, $K152/(time_cap),0)),0)</f>
        <v/>
      </c>
      <c r="Y152" s="4395">
        <f>IFERROR(IF((time+time_cap)&lt;Y$2, 0,IF(AND(time+1&gt;=Z$2, $E152&lt;Z$2), IF($I152= "I", $J152/($F152-$E152+1), $J152/(($F152*($F152+1)/2)-(($E152-1)*($E152-1+1)/2))*Y$2), 0)+IF(IF(time+1&gt;=Z$2, $K152/time_cap/(time+1)*Y$2, 0) = 0, $K152/(time_cap),0)),0)</f>
        <v/>
      </c>
      <c r="Z152" s="4395">
        <f>IFERROR(IF((time+time_cap)&lt;Z$2, 0,IF(AND(time+1&gt;=AA$2, $E152&lt;AA$2), IF($I152= "I", $J152/($F152-$E152+1), $J152/(($F152*($F152+1)/2)-(($E152-1)*($E152-1+1)/2))*Z$2), 0)+IF(IF(time+1&gt;=AA$2, $K152/time_cap/(time+1)*Z$2, 0) = 0, $K152/(time_cap),0)),0)</f>
        <v/>
      </c>
      <c r="AA152" s="4395">
        <f>IFERROR(IF((time+time_cap)&lt;AA$2, 0,IF(AND(time+1&gt;=AB$2, $E152&lt;AB$2), IF($I152= "I", $J152/($F152-$E152+1), $J152/(($F152*($F152+1)/2)-(($E152-1)*($E152-1+1)/2))*AA$2), 0)+IF(IF(time+1&gt;=AB$2, $K152/time_cap/(time+1)*AA$2, 0) = 0, $K152/(time_cap),0)),0)</f>
        <v/>
      </c>
      <c r="AB152" s="4395">
        <f>IFERROR(IF((time+time_cap)&lt;AB$2, 0,IF(AND(time+1&gt;=AC$2, $E152&lt;AC$2), IF($I152= "I", $J152/($F152-$E152+1), $J152/(($F152*($F152+1)/2)-(($E152-1)*($E152-1+1)/2))*AB$2), 0)+IF(IF(time+1&gt;=AC$2, $K152/time_cap/(time+1)*AB$2, 0) = 0, $K152/(time_cap),0)),0)</f>
        <v/>
      </c>
      <c r="AC152" s="4395">
        <f>IFERROR(IF((time+time_cap)&lt;AC$2, 0,IF(AND(time+1&gt;=AD$2, $E152&lt;AD$2), IF($I152= "I", $J152/($F152-$E152+1), $J152/(($F152*($F152+1)/2)-(($E152-1)*($E152-1+1)/2))*AC$2), 0)+IF(IF(time+1&gt;=AD$2, $K152/time_cap/(time+1)*AC$2, 0) = 0, $K152/(time_cap),0)),0)</f>
        <v/>
      </c>
      <c r="AD152" s="4395">
        <f>IFERROR(IF((time+time_cap)&lt;AD$2, 0,IF(AND(time+1&gt;=AE$2, $E152&lt;AE$2), IF($I152= "I", $J152/($F152-$E152+1), $J152/(($F152*($F152+1)/2)-(($E152-1)*($E152-1+1)/2))*AD$2), 0)+IF(IF(time+1&gt;=AE$2, $K152/time_cap/(time+1)*AD$2, 0) = 0, $K152/(time_cap),0)),0)</f>
        <v/>
      </c>
      <c r="AE152" s="4395">
        <f>IFERROR(IF((time+time_cap)&lt;AE$2, 0,IF(AND(time+1&gt;=AF$2, $E152&lt;AF$2), IF($I152= "I", $J152/($F152-$E152+1), $J152/(($F152*($F152+1)/2)-(($E152-1)*($E152-1+1)/2))*AE$2), 0)+IF(IF(time+1&gt;=AF$2, $K152/time_cap/(time+1)*AE$2, 0) = 0, $K152/(time_cap),0)),0)</f>
        <v/>
      </c>
      <c r="AF152" s="4395">
        <f>IFERROR(IF((time+time_cap)&lt;AF$2, 0,IF(AND(time+1&gt;=AG$2, $E152&lt;AG$2), IF($I152= "I", $J152/($F152-$E152+1), $J152/(($F152*($F152+1)/2)-(($E152-1)*($E152-1+1)/2))*AF$2), 0)+IF(IF(time+1&gt;=AG$2, $K152/time_cap/(time+1)*AF$2, 0) = 0, $K152/(time_cap),0)),0)</f>
        <v/>
      </c>
      <c r="AG152" s="4395">
        <f>IFERROR(IF((time+time_cap)&lt;AG$2, 0,IF(AND(time+1&gt;=AH$2, $E152&lt;AH$2), IF($I152= "I", $J152/($F152-$E152+1), $J152/(($F152*($F152+1)/2)-(($E152-1)*($E152-1+1)/2))*AG$2), 0)+IF(IF(time+1&gt;=AH$2, $K152/time_cap/(time+1)*AG$2, 0) = 0, $K152/(time_cap),0)),0)</f>
        <v/>
      </c>
      <c r="AH152" s="4395">
        <f>IFERROR(IF((time+time_cap)&lt;AH$2, 0,IF(AND(time+1&gt;=AI$2, $E152&lt;AI$2), IF($I152= "I", $J152/($F152-$E152+1), $J152/(($F152*($F152+1)/2)-(($E152-1)*($E152-1+1)/2))*AH$2), 0)+IF(IF(time+1&gt;=AI$2, $K152/time_cap/(time+1)*AH$2, 0) = 0, $K152/(time_cap),0)),0)</f>
        <v/>
      </c>
      <c r="AI152" s="4395">
        <f>IFERROR(IF((time+time_cap)&lt;AI$2, 0,IF(AND(time+1&gt;=AJ$2, $E152&lt;AJ$2), IF($I152= "I", $J152/($F152-$E152+1), $J152/(($F152*($F152+1)/2)-(($E152-1)*($E152-1+1)/2))*AI$2), 0)+IF(IF(time+1&gt;=AJ$2, $K152/time_cap/(time+1)*AI$2, 0) = 0, $K152/(time_cap),0)),0)</f>
        <v/>
      </c>
      <c r="AJ152" s="4395">
        <f>IFERROR(IF((time+time_cap)&lt;AJ$2, 0,IF(AND(time+1&gt;=AK$2, $E152&lt;AK$2), IF($I152= "I", $J152/($F152-$E152+1), $J152/(($F152*($F152+1)/2)-(($E152-1)*($E152-1+1)/2))*AJ$2), 0)+IF(IF(time+1&gt;=AK$2, $K152/time_cap/(time+1)*AJ$2, 0) = 0, $K152/(time_cap),0)),0)</f>
        <v/>
      </c>
      <c r="AK152" s="4395">
        <f>IFERROR(IF((time+time_cap)&lt;AK$2, 0,IF(AND(time+1&gt;=AL$2, $E152&lt;AL$2), IF($I152= "I", $J152/($F152-$E152+1), $J152/(($F152*($F152+1)/2)-(($E152-1)*($E152-1+1)/2))*AK$2), 0)+IF(IF(time+1&gt;=AL$2, $K152/time_cap/(time+1)*AK$2, 0) = 0, $K152/(time_cap),0)),0)</f>
        <v/>
      </c>
      <c r="AL152" s="4395">
        <f>IFERROR(IF((time+time_cap)&lt;AL$2, 0,IF(AND(time+1&gt;=AM$2, $E152&lt;AM$2), IF($I152= "I", $J152/($F152-$E152+1), $J152/(($F152*($F152+1)/2)-(($E152-1)*($E152-1+1)/2))*AL$2), 0)+IF(IF(time+1&gt;=AM$2, $K152/time_cap/(time+1)*AL$2, 0) = 0, $K152/(time_cap),0)),0)</f>
        <v/>
      </c>
      <c r="AM152" s="4395">
        <f>IFERROR(IF((time+time_cap)&lt;AM$2, 0,IF(AND(time+1&gt;=AN$2, $E152&lt;AN$2), IF($I152= "I", $J152/($F152-$E152+1), $J152/(($F152*($F152+1)/2)-(($E152-1)*($E152-1+1)/2))*AM$2), 0)+IF(IF(time+1&gt;=AN$2, $K152/time_cap/(time+1)*AM$2, 0) = 0, $K152/(time_cap),0)),0)</f>
        <v/>
      </c>
      <c r="AN152" s="4395">
        <f>IFERROR(IF((time+time_cap)&lt;AN$2, 0,IF(AND(time+1&gt;=AO$2, $E152&lt;AO$2), IF($I152= "I", $J152/($F152-$E152+1), $J152/(($F152*($F152+1)/2)-(($E152-1)*($E152-1+1)/2))*AN$2), 0)+IF(IF(time+1&gt;=AO$2, $K152/time_cap/(time+1)*AN$2, 0) = 0, $K152/(time_cap),0)),0)</f>
        <v/>
      </c>
      <c r="AO152" s="4395">
        <f>IFERROR(IF((time+time_cap)&lt;AO$2, 0,IF(AND(time+1&gt;=AP$2, $E152&lt;AP$2), IF($I152= "I", $J152/($F152-$E152+1), $J152/(($F152*($F152+1)/2)-(($E152-1)*($E152-1+1)/2))*AO$2), 0)+IF(IF(time+1&gt;=AP$2, $K152/time_cap/(time+1)*AO$2, 0) = 0, $K152/(time_cap),0)),0)</f>
        <v/>
      </c>
      <c r="AP152" s="4395">
        <f>IFERROR(IF((time+time_cap)&lt;AP$2, 0,IF(AND(time+1&gt;=AQ$2, $E152&lt;AQ$2), IF($I152= "I", $J152/($F152-$E152+1), $J152/(($F152*($F152+1)/2)-(($E152-1)*($E152-1+1)/2))*AP$2), 0)+IF(IF(time+1&gt;=AQ$2, $K152/time_cap/(time+1)*AP$2, 0) = 0, $K152/(time_cap),0)),0)</f>
        <v/>
      </c>
      <c r="AQ152" s="4395">
        <f>IFERROR(IF((time+time_cap)&lt;AQ$2, 0,IF(AND(time+1&gt;=AR$2, $E152&lt;AR$2), IF($I152= "I", $J152/($F152-$E152+1), $J152/(($F152*($F152+1)/2)-(($E152-1)*($E152-1+1)/2))*AQ$2), 0)+IF(IF(time+1&gt;=AR$2, $K152/time_cap/(time+1)*AQ$2, 0) = 0, $K152/(time_cap),0)),0)</f>
        <v/>
      </c>
      <c r="AR152" s="4395">
        <f>IFERROR(IF((time+time_cap)&lt;AR$2, 0,IF(AND(time+1&gt;=AS$2, $E152&lt;AS$2), IF($I152= "I", $J152/($F152-$E152+1), $J152/(($F152*($F152+1)/2)-(($E152-1)*($E152-1+1)/2))*AR$2), 0)+IF(IF(time+1&gt;=AS$2, $K152/time_cap/(time+1)*AR$2, 0) = 0, $K152/(time_cap),0)),0)</f>
        <v/>
      </c>
      <c r="AS152" s="4395">
        <f>IFERROR(IF((time+time_cap)&lt;AS$2, 0,IF(AND(time+1&gt;=AT$2, $E152&lt;AT$2), IF($I152= "I", $J152/($F152-$E152+1), $J152/(($F152*($F152+1)/2)-(($E152-1)*($E152-1+1)/2))*AS$2), 0)+IF(IF(time+1&gt;=AT$2, $K152/time_cap/(time+1)*AS$2, 0) = 0, $K152/(time_cap),0)),0)</f>
        <v/>
      </c>
      <c r="AT152" s="4395">
        <f>IFERROR(IF((time+time_cap)&lt;AT$2, 0,IF(AND(time+1&gt;=AU$2, $E152&lt;AU$2), IF($I152= "I", $J152/($F152-$E152+1), $J152/(($F152*($F152+1)/2)-(($E152-1)*($E152-1+1)/2))*AT$2), 0)+IF(IF(time+1&gt;=AU$2, $K152/time_cap/(time+1)*AT$2, 0) = 0, $K152/(time_cap),0)),0)</f>
        <v/>
      </c>
      <c r="AU152" s="4395">
        <f>IFERROR(IF((time+time_cap)&lt;AU$2, 0,IF(AND(time+1&gt;=AV$2, $E152&lt;AV$2), IF($I152= "I", $J152/($F152-$E152+1), $J152/(($F152*($F152+1)/2)-(($E152-1)*($E152-1+1)/2))*AU$2), 0)+IF(IF(time+1&gt;=AV$2, $K152/time_cap/(time+1)*AU$2, 0) = 0, $K152/(time_cap),0)),0)</f>
        <v/>
      </c>
      <c r="AV152" s="4395">
        <f>IFERROR(IF((time+time_cap)&lt;AV$2, 0,IF(AND(time+1&gt;=AW$2, $E152&lt;AW$2), IF($I152= "I", $J152/($F152-$E152+1), $J152/(($F152*($F152+1)/2)-(($E152-1)*($E152-1+1)/2))*AV$2), 0)+IF(IF(time+1&gt;=AW$2, $K152/time_cap/(time+1)*AV$2, 0) = 0, $K152/(time_cap),0)),0)</f>
        <v/>
      </c>
      <c r="AW152" s="4395">
        <f>IFERROR(IF((time+time_cap)&lt;AW$2, 0,IF(AND(time+1&gt;=AX$2, $E152&lt;AX$2), IF($I152= "I", $J152/($F152-$E152+1), $J152/(($F152*($F152+1)/2)-(($E152-1)*($E152-1+1)/2))*AW$2), 0)+IF(IF(time+1&gt;=AX$2, $K152/time_cap/(time+1)*AW$2, 0) = 0, $K152/(time_cap),0)),0)</f>
        <v/>
      </c>
      <c r="AX152" s="4395">
        <f>IFERROR(IF((time+time_cap)&lt;AX$2, 0,IF(AND(time+1&gt;=AY$2, $E152&lt;AY$2), IF($I152= "I", $J152/($F152-$E152+1), $J152/(($F152*($F152+1)/2)-(($E152-1)*($E152-1+1)/2))*AX$2), 0)+IF(IF(time+1&gt;=AY$2, $K152/time_cap/(time+1)*AX$2, 0) = 0, $K152/(time_cap),0)),0)</f>
        <v/>
      </c>
      <c r="AY152" s="4395">
        <f>IFERROR(IF((time+time_cap)&lt;AY$2, 0,IF(AND(time+1&gt;=AZ$2, $E152&lt;AZ$2), IF($I152= "I", $J152/($F152-$E152+1), $J152/(($F152*($F152+1)/2)-(($E152-1)*($E152-1+1)/2))*AY$2), 0)+IF(IF(time+1&gt;=AZ$2, $K152/time_cap/(time+1)*AY$2, 0) = 0, $K152/(time_cap),0)),0)</f>
        <v/>
      </c>
      <c r="AZ152" s="4395">
        <f>IFERROR(IF((time+time_cap)&lt;AZ$2, 0,IF(AND(time+1&gt;=BA$2, $E152&lt;BA$2), IF($I152= "I", $J152/($F152-$E152+1), $J152/(($F152*($F152+1)/2)-(($E152-1)*($E152-1+1)/2))*AZ$2), 0)+IF(IF(time+1&gt;=BA$2, $K152/time_cap/(time+1)*AZ$2, 0) = 0, $K152/(time_cap),0)),0)</f>
        <v/>
      </c>
      <c r="BA152" s="4395">
        <f>IFERROR(IF((time+time_cap)&lt;BA$2, 0,IF(AND(time+1&gt;=BB$2, $E152&lt;BB$2), IF($I152= "I", $J152/($F152-$E152+1), $J152/(($F152*($F152+1)/2)-(($E152-1)*($E152-1+1)/2))*BA$2), 0)+IF(IF(time+1&gt;=BB$2, $K152/time_cap/(time+1)*BA$2, 0) = 0, $K152/(time_cap),0)),0)</f>
        <v/>
      </c>
      <c r="BB152" s="4395">
        <f>IFERROR(IF((time+time_cap)&lt;BB$2, 0,IF(AND(time+1&gt;=BC$2, $E152&lt;BC$2), IF($I152= "I", $J152/($F152-$E152+1), $J152/(($F152*($F152+1)/2)-(($E152-1)*($E152-1+1)/2))*BB$2), 0)+IF(IF(time+1&gt;=BC$2, $K152/time_cap/(time+1)*BB$2, 0) = 0, $K152/(time_cap),0)),0)</f>
        <v/>
      </c>
      <c r="BC152" s="4395">
        <f>IFERROR(IF((time+time_cap)&lt;BC$2, 0,IF(AND(time+1&gt;=BD$2, $E152&lt;BD$2), IF($I152= "I", $J152/($F152-$E152+1), $J152/(($F152*($F152+1)/2)-(($E152-1)*($E152-1+1)/2))*BC$2), 0)+IF(IF(time+1&gt;=BD$2, $K152/time_cap/(time+1)*BC$2, 0) = 0, $K152/(time_cap),0)),0)</f>
        <v/>
      </c>
      <c r="BD152" s="4395">
        <f>IFERROR(IF((time+time_cap)&lt;BD$2, 0,IF(AND(time+1&gt;=BE$2, $E152&lt;BE$2), IF($I152= "I", $J152/($F152-$E152+1), $J152/(($F152*($F152+1)/2)-(($E152-1)*($E152-1+1)/2))*BD$2), 0)+IF(IF(time+1&gt;=BE$2, $K152/time_cap/(time+1)*BD$2, 0) = 0, $K152/(time_cap),0)),0)</f>
        <v/>
      </c>
      <c r="BE152" s="4395">
        <f>IFERROR(IF((time+time_cap)&lt;BE$2, 0,IF(AND(time+1&gt;=BF$2, $E152&lt;BF$2), IF($I152= "I", $J152/($F152-$E152+1), $J152/(($F152*($F152+1)/2)-(($E152-1)*($E152-1+1)/2))*BE$2), 0)+IF(IF(time+1&gt;=BF$2, $K152/time_cap/(time+1)*BE$2, 0) = 0, $K152/(time_cap),0)),0)</f>
        <v/>
      </c>
      <c r="BF152" s="4395">
        <f>IFERROR(IF((time+time_cap)&lt;BF$2, 0,IF(AND(time+1&gt;=BG$2, $E152&lt;BG$2), IF($I152= "I", $J152/($F152-$E152+1), $J152/(($F152*($F152+1)/2)-(($E152-1)*($E152-1+1)/2))*BF$2), 0)+IF(IF(time+1&gt;=BG$2, $K152/time_cap/(time+1)*BF$2, 0) = 0, $K152/(time_cap),0)),0)</f>
        <v/>
      </c>
      <c r="BG152" s="4395">
        <f>IFERROR(IF((time+time_cap)&lt;BG$2, 0,IF(AND(time+1&gt;=BH$2, $E152&lt;BH$2), IF($I152= "I", $J152/($F152-$E152+1), $J152/(($F152*($F152+1)/2)-(($E152-1)*($E152-1+1)/2))*BG$2), 0)+IF(IF(time+1&gt;=BH$2, $K152/time_cap/(time+1)*BG$2, 0) = 0, $K152/(time_cap),0)),0)</f>
        <v/>
      </c>
      <c r="BH152" s="4395">
        <f>IFERROR(IF((time+time_cap)&lt;BH$2, 0,IF(AND(time+1&gt;=BI$2, $E152&lt;BI$2), IF($I152= "I", $J152/($F152-$E152+1), $J152/(($F152*($F152+1)/2)-(($E152-1)*($E152-1+1)/2))*BH$2), 0)+IF(IF(time+1&gt;=BI$2, $K152/time_cap/(time+1)*BH$2, 0) = 0, $K152/(time_cap),0)),0)</f>
        <v/>
      </c>
      <c r="BI152" s="4395">
        <f>IFERROR(IF((time+time_cap)&lt;BI$2, 0,IF(AND(time+1&gt;=BJ$2, $E152&lt;BJ$2), IF($I152= "I", $J152/($F152-$E152+1), $J152/(($F152*($F152+1)/2)-(($E152-1)*($E152-1+1)/2))*BI$2), 0)+IF(IF(time+1&gt;=BJ$2, $K152/time_cap/(time+1)*BI$2, 0) = 0, $K152/(time_cap),0)),0)</f>
        <v/>
      </c>
      <c r="BJ152" s="4395">
        <f>IFERROR(IF((time+time_cap)&lt;BJ$2, 0,IF(AND(time+1&gt;=BK$2, $E152&lt;BK$2), IF($I152= "I", $J152/($F152-$E152+1), $J152/(($F152*($F152+1)/2)-(($E152-1)*($E152-1+1)/2))*BJ$2), 0)+IF(IF(time+1&gt;=BK$2, $K152/time_cap/(time+1)*BJ$2, 0) = 0, $K152/(time_cap),0)),0)</f>
        <v/>
      </c>
      <c r="BK152" s="4395" t="n"/>
      <c r="BL152" s="4395" t="n"/>
      <c r="BM152" s="4395" t="n"/>
      <c r="BN152" s="4395" t="n"/>
      <c r="BO152" s="4395" t="n"/>
      <c r="BP152" s="4395" t="n"/>
      <c r="BQ152" s="4395" t="n"/>
      <c r="BR152" s="4395" t="n"/>
      <c r="BS152" s="4395" t="n"/>
      <c r="BT152" s="4395" t="n"/>
      <c r="BU152" s="4395" t="n"/>
      <c r="BV152" s="4395" t="n"/>
      <c r="BW152" s="4395" t="n"/>
      <c r="BX152" s="4395" t="n"/>
      <c r="BY152" s="4395" t="n"/>
      <c r="BZ152" s="4395" t="n"/>
      <c r="CA152" s="4395" t="n"/>
      <c r="CB152" s="4395" t="n"/>
      <c r="CC152" s="4395" t="n"/>
      <c r="CD152" s="4395" t="n"/>
      <c r="CE152" s="4395" t="n"/>
      <c r="CF152" s="4395" t="n"/>
      <c r="CG152" s="4395" t="n"/>
      <c r="CH152" s="4395" t="n"/>
      <c r="CI152" s="4395" t="n"/>
      <c r="CJ152" s="4395" t="n"/>
      <c r="CK152" s="4395" t="n"/>
      <c r="CL152" s="4395" t="n"/>
      <c r="CM152" s="4395" t="n"/>
      <c r="CN152" s="4395" t="n"/>
      <c r="CO152" s="4395" t="n"/>
      <c r="CP152" s="4395" t="n"/>
      <c r="CQ152" s="4395" t="n"/>
      <c r="CR152" s="4395" t="n"/>
      <c r="CS152" s="4395" t="n"/>
      <c r="CT152" s="4395" t="n"/>
      <c r="CU152" s="4395" t="n"/>
      <c r="CV152" s="4395" t="n"/>
      <c r="CW152" s="4395" t="n"/>
      <c r="CX152" s="4395" t="n"/>
      <c r="CY152" s="4395" t="n"/>
      <c r="CZ152" s="4395" t="n"/>
      <c r="DA152" s="4395" t="n"/>
      <c r="DB152" s="4395" t="n"/>
      <c r="DC152" s="4395" t="n"/>
      <c r="DD152" s="4395" t="n"/>
      <c r="DE152" s="4395" t="n"/>
      <c r="DF152" s="4395" t="n"/>
      <c r="DG152" s="4395" t="n"/>
      <c r="DH152" s="4395" t="n"/>
    </row>
    <row r="153" ht="16" customHeight="1">
      <c r="A153" t="inlineStr">
        <is>
          <t>Inland wetlands - water</t>
        </is>
      </c>
      <c r="B153">
        <f>'6.Inland wetlands'!C198</f>
        <v/>
      </c>
      <c r="C153">
        <f>'6.Inland wetlands'!I198</f>
        <v/>
      </c>
      <c r="D153">
        <f>'6.Inland wetlands'!AH199</f>
        <v/>
      </c>
      <c r="E153">
        <f>IF('6.Inland wetlands'!CA198&lt;&gt;0,'6.Inland wetlands'!CA198,'6.Inland wetlands'!BZ198)</f>
        <v/>
      </c>
      <c r="F153">
        <f>time</f>
        <v/>
      </c>
      <c r="G153" s="4395">
        <f>'6.Inland wetlands'!O198</f>
        <v/>
      </c>
      <c r="H153" s="4395">
        <f>'6.Inland wetlands'!Q198</f>
        <v/>
      </c>
      <c r="I153" s="4395">
        <f>IF(OR(H153="I", G153="I"), "I", IF(OR(H153="E", G153="E"), "E", "D"))</f>
        <v/>
      </c>
      <c r="J153" s="4395">
        <f>((D153/(time_cap+((F153-E153+1)*VLOOKUP(I153,list!$I$48:$K$50,3, FALSE))))*(F153-E153+1)*VLOOKUP(I153,list!$I$48:$K$50,3, FALSE))</f>
        <v/>
      </c>
      <c r="K153" s="4395">
        <f>((D153/(time_cap+((F153-E153+1)*VLOOKUP(I153,list!$I$48:$K$50,3, FALSE))))*time_cap)</f>
        <v/>
      </c>
      <c r="M153" s="4395">
        <f>IFERROR(IF((time+time_cap)&lt;M$2, 0,IF(AND(time+1&gt;=N$2, $E153&lt;N$2), IF($I153= "I", $J153/($F153-$E153+1), $J153/(($F153*($F153+1)/2)-(($E153-1)*($E153-1+1)/2))*M$2), 0)+IF(IF(time+1&gt;=N$2, $K153/time_cap/(time+1)*M$2, 0) = 0, $K153/(time_cap),0)),0)</f>
        <v/>
      </c>
      <c r="N153" s="4395">
        <f>IFERROR(IF((time+time_cap)&lt;N$2, 0,IF(AND(time+1&gt;=O$2, $E153&lt;O$2), IF($I153= "I", $J153/($F153-$E153+1), $J153/(($F153*($F153+1)/2)-(($E153-1)*($E153-1+1)/2))*N$2), 0)+IF(IF(time+1&gt;=O$2, $K153/time_cap/(time+1)*N$2, 0) = 0, $K153/(time_cap),0)),0)</f>
        <v/>
      </c>
      <c r="O153" s="4395">
        <f>IFERROR(IF((time+time_cap)&lt;O$2, 0,IF(AND(time+1&gt;=P$2, $E153&lt;P$2), IF($I153= "I", $J153/($F153-$E153+1), $J153/(($F153*($F153+1)/2)-(($E153-1)*($E153-1+1)/2))*O$2), 0)+IF(IF(time+1&gt;=P$2, $K153/time_cap/(time+1)*O$2, 0) = 0, $K153/(time_cap),0)),0)</f>
        <v/>
      </c>
      <c r="P153" s="4395">
        <f>IFERROR(IF((time+time_cap)&lt;P$2, 0,IF(AND(time+1&gt;=Q$2, $E153&lt;Q$2), IF($I153= "I", $J153/($F153-$E153+1), $J153/(($F153*($F153+1)/2)-(($E153-1)*($E153-1+1)/2))*P$2), 0)+IF(IF(time+1&gt;=Q$2, $K153/time_cap/(time+1)*P$2, 0) = 0, $K153/(time_cap),0)),0)</f>
        <v/>
      </c>
      <c r="Q153" s="4395">
        <f>IFERROR(IF((time+time_cap)&lt;Q$2, 0,IF(AND(time+1&gt;=R$2, $E153&lt;R$2), IF($I153= "I", $J153/($F153-$E153+1), $J153/(($F153*($F153+1)/2)-(($E153-1)*($E153-1+1)/2))*Q$2), 0)+IF(IF(time+1&gt;=R$2, $K153/time_cap/(time+1)*Q$2, 0) = 0, $K153/(time_cap),0)),0)</f>
        <v/>
      </c>
      <c r="R153" s="4395">
        <f>IFERROR(IF((time+time_cap)&lt;R$2, 0,IF(AND(time+1&gt;=S$2, $E153&lt;S$2), IF($I153= "I", $J153/($F153-$E153+1), $J153/(($F153*($F153+1)/2)-(($E153-1)*($E153-1+1)/2))*R$2), 0)+IF(IF(time+1&gt;=S$2, $K153/time_cap/(time+1)*R$2, 0) = 0, $K153/(time_cap),0)),0)</f>
        <v/>
      </c>
      <c r="S153" s="4395">
        <f>IFERROR(IF((time+time_cap)&lt;S$2, 0,IF(AND(time+1&gt;=T$2, $E153&lt;T$2), IF($I153= "I", $J153/($F153-$E153+1), $J153/(($F153*($F153+1)/2)-(($E153-1)*($E153-1+1)/2))*S$2), 0)+IF(IF(time+1&gt;=T$2, $K153/time_cap/(time+1)*S$2, 0) = 0, $K153/(time_cap),0)),0)</f>
        <v/>
      </c>
      <c r="T153" s="4395">
        <f>IFERROR(IF((time+time_cap)&lt;T$2, 0,IF(AND(time+1&gt;=U$2, $E153&lt;U$2), IF($I153= "I", $J153/($F153-$E153+1), $J153/(($F153*($F153+1)/2)-(($E153-1)*($E153-1+1)/2))*T$2), 0)+IF(IF(time+1&gt;=U$2, $K153/time_cap/(time+1)*T$2, 0) = 0, $K153/(time_cap),0)),0)</f>
        <v/>
      </c>
      <c r="U153" s="4395">
        <f>IFERROR(IF((time+time_cap)&lt;U$2, 0,IF(AND(time+1&gt;=V$2, $E153&lt;V$2), IF($I153= "I", $J153/($F153-$E153+1), $J153/(($F153*($F153+1)/2)-(($E153-1)*($E153-1+1)/2))*U$2), 0)+IF(IF(time+1&gt;=V$2, $K153/time_cap/(time+1)*U$2, 0) = 0, $K153/(time_cap),0)),0)</f>
        <v/>
      </c>
      <c r="V153" s="4395">
        <f>IFERROR(IF((time+time_cap)&lt;V$2, 0,IF(AND(time+1&gt;=W$2, $E153&lt;W$2), IF($I153= "I", $J153/($F153-$E153+1), $J153/(($F153*($F153+1)/2)-(($E153-1)*($E153-1+1)/2))*V$2), 0)+IF(IF(time+1&gt;=W$2, $K153/time_cap/(time+1)*V$2, 0) = 0, $K153/(time_cap),0)),0)</f>
        <v/>
      </c>
      <c r="W153" s="4395">
        <f>IFERROR(IF((time+time_cap)&lt;W$2, 0,IF(AND(time+1&gt;=X$2, $E153&lt;X$2), IF($I153= "I", $J153/($F153-$E153+1), $J153/(($F153*($F153+1)/2)-(($E153-1)*($E153-1+1)/2))*W$2), 0)+IF(IF(time+1&gt;=X$2, $K153/time_cap/(time+1)*W$2, 0) = 0, $K153/(time_cap),0)),0)</f>
        <v/>
      </c>
      <c r="X153" s="4395">
        <f>IFERROR(IF((time+time_cap)&lt;X$2, 0,IF(AND(time+1&gt;=Y$2, $E153&lt;Y$2), IF($I153= "I", $J153/($F153-$E153+1), $J153/(($F153*($F153+1)/2)-(($E153-1)*($E153-1+1)/2))*X$2), 0)+IF(IF(time+1&gt;=Y$2, $K153/time_cap/(time+1)*X$2, 0) = 0, $K153/(time_cap),0)),0)</f>
        <v/>
      </c>
      <c r="Y153" s="4395">
        <f>IFERROR(IF((time+time_cap)&lt;Y$2, 0,IF(AND(time+1&gt;=Z$2, $E153&lt;Z$2), IF($I153= "I", $J153/($F153-$E153+1), $J153/(($F153*($F153+1)/2)-(($E153-1)*($E153-1+1)/2))*Y$2), 0)+IF(IF(time+1&gt;=Z$2, $K153/time_cap/(time+1)*Y$2, 0) = 0, $K153/(time_cap),0)),0)</f>
        <v/>
      </c>
      <c r="Z153" s="4395">
        <f>IFERROR(IF((time+time_cap)&lt;Z$2, 0,IF(AND(time+1&gt;=AA$2, $E153&lt;AA$2), IF($I153= "I", $J153/($F153-$E153+1), $J153/(($F153*($F153+1)/2)-(($E153-1)*($E153-1+1)/2))*Z$2), 0)+IF(IF(time+1&gt;=AA$2, $K153/time_cap/(time+1)*Z$2, 0) = 0, $K153/(time_cap),0)),0)</f>
        <v/>
      </c>
      <c r="AA153" s="4395">
        <f>IFERROR(IF((time+time_cap)&lt;AA$2, 0,IF(AND(time+1&gt;=AB$2, $E153&lt;AB$2), IF($I153= "I", $J153/($F153-$E153+1), $J153/(($F153*($F153+1)/2)-(($E153-1)*($E153-1+1)/2))*AA$2), 0)+IF(IF(time+1&gt;=AB$2, $K153/time_cap/(time+1)*AA$2, 0) = 0, $K153/(time_cap),0)),0)</f>
        <v/>
      </c>
      <c r="AB153" s="4395">
        <f>IFERROR(IF((time+time_cap)&lt;AB$2, 0,IF(AND(time+1&gt;=AC$2, $E153&lt;AC$2), IF($I153= "I", $J153/($F153-$E153+1), $J153/(($F153*($F153+1)/2)-(($E153-1)*($E153-1+1)/2))*AB$2), 0)+IF(IF(time+1&gt;=AC$2, $K153/time_cap/(time+1)*AB$2, 0) = 0, $K153/(time_cap),0)),0)</f>
        <v/>
      </c>
      <c r="AC153" s="4395">
        <f>IFERROR(IF((time+time_cap)&lt;AC$2, 0,IF(AND(time+1&gt;=AD$2, $E153&lt;AD$2), IF($I153= "I", $J153/($F153-$E153+1), $J153/(($F153*($F153+1)/2)-(($E153-1)*($E153-1+1)/2))*AC$2), 0)+IF(IF(time+1&gt;=AD$2, $K153/time_cap/(time+1)*AC$2, 0) = 0, $K153/(time_cap),0)),0)</f>
        <v/>
      </c>
      <c r="AD153" s="4395">
        <f>IFERROR(IF((time+time_cap)&lt;AD$2, 0,IF(AND(time+1&gt;=AE$2, $E153&lt;AE$2), IF($I153= "I", $J153/($F153-$E153+1), $J153/(($F153*($F153+1)/2)-(($E153-1)*($E153-1+1)/2))*AD$2), 0)+IF(IF(time+1&gt;=AE$2, $K153/time_cap/(time+1)*AD$2, 0) = 0, $K153/(time_cap),0)),0)</f>
        <v/>
      </c>
      <c r="AE153" s="4395">
        <f>IFERROR(IF((time+time_cap)&lt;AE$2, 0,IF(AND(time+1&gt;=AF$2, $E153&lt;AF$2), IF($I153= "I", $J153/($F153-$E153+1), $J153/(($F153*($F153+1)/2)-(($E153-1)*($E153-1+1)/2))*AE$2), 0)+IF(IF(time+1&gt;=AF$2, $K153/time_cap/(time+1)*AE$2, 0) = 0, $K153/(time_cap),0)),0)</f>
        <v/>
      </c>
      <c r="AF153" s="4395">
        <f>IFERROR(IF((time+time_cap)&lt;AF$2, 0,IF(AND(time+1&gt;=AG$2, $E153&lt;AG$2), IF($I153= "I", $J153/($F153-$E153+1), $J153/(($F153*($F153+1)/2)-(($E153-1)*($E153-1+1)/2))*AF$2), 0)+IF(IF(time+1&gt;=AG$2, $K153/time_cap/(time+1)*AF$2, 0) = 0, $K153/(time_cap),0)),0)</f>
        <v/>
      </c>
      <c r="AG153" s="4395">
        <f>IFERROR(IF((time+time_cap)&lt;AG$2, 0,IF(AND(time+1&gt;=AH$2, $E153&lt;AH$2), IF($I153= "I", $J153/($F153-$E153+1), $J153/(($F153*($F153+1)/2)-(($E153-1)*($E153-1+1)/2))*AG$2), 0)+IF(IF(time+1&gt;=AH$2, $K153/time_cap/(time+1)*AG$2, 0) = 0, $K153/(time_cap),0)),0)</f>
        <v/>
      </c>
      <c r="AH153" s="4395">
        <f>IFERROR(IF((time+time_cap)&lt;AH$2, 0,IF(AND(time+1&gt;=AI$2, $E153&lt;AI$2), IF($I153= "I", $J153/($F153-$E153+1), $J153/(($F153*($F153+1)/2)-(($E153-1)*($E153-1+1)/2))*AH$2), 0)+IF(IF(time+1&gt;=AI$2, $K153/time_cap/(time+1)*AH$2, 0) = 0, $K153/(time_cap),0)),0)</f>
        <v/>
      </c>
      <c r="AI153" s="4395">
        <f>IFERROR(IF((time+time_cap)&lt;AI$2, 0,IF(AND(time+1&gt;=AJ$2, $E153&lt;AJ$2), IF($I153= "I", $J153/($F153-$E153+1), $J153/(($F153*($F153+1)/2)-(($E153-1)*($E153-1+1)/2))*AI$2), 0)+IF(IF(time+1&gt;=AJ$2, $K153/time_cap/(time+1)*AI$2, 0) = 0, $K153/(time_cap),0)),0)</f>
        <v/>
      </c>
      <c r="AJ153" s="4395">
        <f>IFERROR(IF((time+time_cap)&lt;AJ$2, 0,IF(AND(time+1&gt;=AK$2, $E153&lt;AK$2), IF($I153= "I", $J153/($F153-$E153+1), $J153/(($F153*($F153+1)/2)-(($E153-1)*($E153-1+1)/2))*AJ$2), 0)+IF(IF(time+1&gt;=AK$2, $K153/time_cap/(time+1)*AJ$2, 0) = 0, $K153/(time_cap),0)),0)</f>
        <v/>
      </c>
      <c r="AK153" s="4395">
        <f>IFERROR(IF((time+time_cap)&lt;AK$2, 0,IF(AND(time+1&gt;=AL$2, $E153&lt;AL$2), IF($I153= "I", $J153/($F153-$E153+1), $J153/(($F153*($F153+1)/2)-(($E153-1)*($E153-1+1)/2))*AK$2), 0)+IF(IF(time+1&gt;=AL$2, $K153/time_cap/(time+1)*AK$2, 0) = 0, $K153/(time_cap),0)),0)</f>
        <v/>
      </c>
      <c r="AL153" s="4395">
        <f>IFERROR(IF((time+time_cap)&lt;AL$2, 0,IF(AND(time+1&gt;=AM$2, $E153&lt;AM$2), IF($I153= "I", $J153/($F153-$E153+1), $J153/(($F153*($F153+1)/2)-(($E153-1)*($E153-1+1)/2))*AL$2), 0)+IF(IF(time+1&gt;=AM$2, $K153/time_cap/(time+1)*AL$2, 0) = 0, $K153/(time_cap),0)),0)</f>
        <v/>
      </c>
      <c r="AM153" s="4395">
        <f>IFERROR(IF((time+time_cap)&lt;AM$2, 0,IF(AND(time+1&gt;=AN$2, $E153&lt;AN$2), IF($I153= "I", $J153/($F153-$E153+1), $J153/(($F153*($F153+1)/2)-(($E153-1)*($E153-1+1)/2))*AM$2), 0)+IF(IF(time+1&gt;=AN$2, $K153/time_cap/(time+1)*AM$2, 0) = 0, $K153/(time_cap),0)),0)</f>
        <v/>
      </c>
      <c r="AN153" s="4395">
        <f>IFERROR(IF((time+time_cap)&lt;AN$2, 0,IF(AND(time+1&gt;=AO$2, $E153&lt;AO$2), IF($I153= "I", $J153/($F153-$E153+1), $J153/(($F153*($F153+1)/2)-(($E153-1)*($E153-1+1)/2))*AN$2), 0)+IF(IF(time+1&gt;=AO$2, $K153/time_cap/(time+1)*AN$2, 0) = 0, $K153/(time_cap),0)),0)</f>
        <v/>
      </c>
      <c r="AO153" s="4395">
        <f>IFERROR(IF((time+time_cap)&lt;AO$2, 0,IF(AND(time+1&gt;=AP$2, $E153&lt;AP$2), IF($I153= "I", $J153/($F153-$E153+1), $J153/(($F153*($F153+1)/2)-(($E153-1)*($E153-1+1)/2))*AO$2), 0)+IF(IF(time+1&gt;=AP$2, $K153/time_cap/(time+1)*AO$2, 0) = 0, $K153/(time_cap),0)),0)</f>
        <v/>
      </c>
      <c r="AP153" s="4395">
        <f>IFERROR(IF((time+time_cap)&lt;AP$2, 0,IF(AND(time+1&gt;=AQ$2, $E153&lt;AQ$2), IF($I153= "I", $J153/($F153-$E153+1), $J153/(($F153*($F153+1)/2)-(($E153-1)*($E153-1+1)/2))*AP$2), 0)+IF(IF(time+1&gt;=AQ$2, $K153/time_cap/(time+1)*AP$2, 0) = 0, $K153/(time_cap),0)),0)</f>
        <v/>
      </c>
      <c r="AQ153" s="4395">
        <f>IFERROR(IF((time+time_cap)&lt;AQ$2, 0,IF(AND(time+1&gt;=AR$2, $E153&lt;AR$2), IF($I153= "I", $J153/($F153-$E153+1), $J153/(($F153*($F153+1)/2)-(($E153-1)*($E153-1+1)/2))*AQ$2), 0)+IF(IF(time+1&gt;=AR$2, $K153/time_cap/(time+1)*AQ$2, 0) = 0, $K153/(time_cap),0)),0)</f>
        <v/>
      </c>
      <c r="AR153" s="4395">
        <f>IFERROR(IF((time+time_cap)&lt;AR$2, 0,IF(AND(time+1&gt;=AS$2, $E153&lt;AS$2), IF($I153= "I", $J153/($F153-$E153+1), $J153/(($F153*($F153+1)/2)-(($E153-1)*($E153-1+1)/2))*AR$2), 0)+IF(IF(time+1&gt;=AS$2, $K153/time_cap/(time+1)*AR$2, 0) = 0, $K153/(time_cap),0)),0)</f>
        <v/>
      </c>
      <c r="AS153" s="4395">
        <f>IFERROR(IF((time+time_cap)&lt;AS$2, 0,IF(AND(time+1&gt;=AT$2, $E153&lt;AT$2), IF($I153= "I", $J153/($F153-$E153+1), $J153/(($F153*($F153+1)/2)-(($E153-1)*($E153-1+1)/2))*AS$2), 0)+IF(IF(time+1&gt;=AT$2, $K153/time_cap/(time+1)*AS$2, 0) = 0, $K153/(time_cap),0)),0)</f>
        <v/>
      </c>
      <c r="AT153" s="4395">
        <f>IFERROR(IF((time+time_cap)&lt;AT$2, 0,IF(AND(time+1&gt;=AU$2, $E153&lt;AU$2), IF($I153= "I", $J153/($F153-$E153+1), $J153/(($F153*($F153+1)/2)-(($E153-1)*($E153-1+1)/2))*AT$2), 0)+IF(IF(time+1&gt;=AU$2, $K153/time_cap/(time+1)*AT$2, 0) = 0, $K153/(time_cap),0)),0)</f>
        <v/>
      </c>
      <c r="AU153" s="4395">
        <f>IFERROR(IF((time+time_cap)&lt;AU$2, 0,IF(AND(time+1&gt;=AV$2, $E153&lt;AV$2), IF($I153= "I", $J153/($F153-$E153+1), $J153/(($F153*($F153+1)/2)-(($E153-1)*($E153-1+1)/2))*AU$2), 0)+IF(IF(time+1&gt;=AV$2, $K153/time_cap/(time+1)*AU$2, 0) = 0, $K153/(time_cap),0)),0)</f>
        <v/>
      </c>
      <c r="AV153" s="4395">
        <f>IFERROR(IF((time+time_cap)&lt;AV$2, 0,IF(AND(time+1&gt;=AW$2, $E153&lt;AW$2), IF($I153= "I", $J153/($F153-$E153+1), $J153/(($F153*($F153+1)/2)-(($E153-1)*($E153-1+1)/2))*AV$2), 0)+IF(IF(time+1&gt;=AW$2, $K153/time_cap/(time+1)*AV$2, 0) = 0, $K153/(time_cap),0)),0)</f>
        <v/>
      </c>
      <c r="AW153" s="4395">
        <f>IFERROR(IF((time+time_cap)&lt;AW$2, 0,IF(AND(time+1&gt;=AX$2, $E153&lt;AX$2), IF($I153= "I", $J153/($F153-$E153+1), $J153/(($F153*($F153+1)/2)-(($E153-1)*($E153-1+1)/2))*AW$2), 0)+IF(IF(time+1&gt;=AX$2, $K153/time_cap/(time+1)*AW$2, 0) = 0, $K153/(time_cap),0)),0)</f>
        <v/>
      </c>
      <c r="AX153" s="4395">
        <f>IFERROR(IF((time+time_cap)&lt;AX$2, 0,IF(AND(time+1&gt;=AY$2, $E153&lt;AY$2), IF($I153= "I", $J153/($F153-$E153+1), $J153/(($F153*($F153+1)/2)-(($E153-1)*($E153-1+1)/2))*AX$2), 0)+IF(IF(time+1&gt;=AY$2, $K153/time_cap/(time+1)*AX$2, 0) = 0, $K153/(time_cap),0)),0)</f>
        <v/>
      </c>
      <c r="AY153" s="4395">
        <f>IFERROR(IF((time+time_cap)&lt;AY$2, 0,IF(AND(time+1&gt;=AZ$2, $E153&lt;AZ$2), IF($I153= "I", $J153/($F153-$E153+1), $J153/(($F153*($F153+1)/2)-(($E153-1)*($E153-1+1)/2))*AY$2), 0)+IF(IF(time+1&gt;=AZ$2, $K153/time_cap/(time+1)*AY$2, 0) = 0, $K153/(time_cap),0)),0)</f>
        <v/>
      </c>
      <c r="AZ153" s="4395">
        <f>IFERROR(IF((time+time_cap)&lt;AZ$2, 0,IF(AND(time+1&gt;=BA$2, $E153&lt;BA$2), IF($I153= "I", $J153/($F153-$E153+1), $J153/(($F153*($F153+1)/2)-(($E153-1)*($E153-1+1)/2))*AZ$2), 0)+IF(IF(time+1&gt;=BA$2, $K153/time_cap/(time+1)*AZ$2, 0) = 0, $K153/(time_cap),0)),0)</f>
        <v/>
      </c>
      <c r="BA153" s="4395">
        <f>IFERROR(IF((time+time_cap)&lt;BA$2, 0,IF(AND(time+1&gt;=BB$2, $E153&lt;BB$2), IF($I153= "I", $J153/($F153-$E153+1), $J153/(($F153*($F153+1)/2)-(($E153-1)*($E153-1+1)/2))*BA$2), 0)+IF(IF(time+1&gt;=BB$2, $K153/time_cap/(time+1)*BA$2, 0) = 0, $K153/(time_cap),0)),0)</f>
        <v/>
      </c>
      <c r="BB153" s="4395">
        <f>IFERROR(IF((time+time_cap)&lt;BB$2, 0,IF(AND(time+1&gt;=BC$2, $E153&lt;BC$2), IF($I153= "I", $J153/($F153-$E153+1), $J153/(($F153*($F153+1)/2)-(($E153-1)*($E153-1+1)/2))*BB$2), 0)+IF(IF(time+1&gt;=BC$2, $K153/time_cap/(time+1)*BB$2, 0) = 0, $K153/(time_cap),0)),0)</f>
        <v/>
      </c>
      <c r="BC153" s="4395">
        <f>IFERROR(IF((time+time_cap)&lt;BC$2, 0,IF(AND(time+1&gt;=BD$2, $E153&lt;BD$2), IF($I153= "I", $J153/($F153-$E153+1), $J153/(($F153*($F153+1)/2)-(($E153-1)*($E153-1+1)/2))*BC$2), 0)+IF(IF(time+1&gt;=BD$2, $K153/time_cap/(time+1)*BC$2, 0) = 0, $K153/(time_cap),0)),0)</f>
        <v/>
      </c>
      <c r="BD153" s="4395">
        <f>IFERROR(IF((time+time_cap)&lt;BD$2, 0,IF(AND(time+1&gt;=BE$2, $E153&lt;BE$2), IF($I153= "I", $J153/($F153-$E153+1), $J153/(($F153*($F153+1)/2)-(($E153-1)*($E153-1+1)/2))*BD$2), 0)+IF(IF(time+1&gt;=BE$2, $K153/time_cap/(time+1)*BD$2, 0) = 0, $K153/(time_cap),0)),0)</f>
        <v/>
      </c>
      <c r="BE153" s="4395">
        <f>IFERROR(IF((time+time_cap)&lt;BE$2, 0,IF(AND(time+1&gt;=BF$2, $E153&lt;BF$2), IF($I153= "I", $J153/($F153-$E153+1), $J153/(($F153*($F153+1)/2)-(($E153-1)*($E153-1+1)/2))*BE$2), 0)+IF(IF(time+1&gt;=BF$2, $K153/time_cap/(time+1)*BE$2, 0) = 0, $K153/(time_cap),0)),0)</f>
        <v/>
      </c>
      <c r="BF153" s="4395">
        <f>IFERROR(IF((time+time_cap)&lt;BF$2, 0,IF(AND(time+1&gt;=BG$2, $E153&lt;BG$2), IF($I153= "I", $J153/($F153-$E153+1), $J153/(($F153*($F153+1)/2)-(($E153-1)*($E153-1+1)/2))*BF$2), 0)+IF(IF(time+1&gt;=BG$2, $K153/time_cap/(time+1)*BF$2, 0) = 0, $K153/(time_cap),0)),0)</f>
        <v/>
      </c>
      <c r="BG153" s="4395">
        <f>IFERROR(IF((time+time_cap)&lt;BG$2, 0,IF(AND(time+1&gt;=BH$2, $E153&lt;BH$2), IF($I153= "I", $J153/($F153-$E153+1), $J153/(($F153*($F153+1)/2)-(($E153-1)*($E153-1+1)/2))*BG$2), 0)+IF(IF(time+1&gt;=BH$2, $K153/time_cap/(time+1)*BG$2, 0) = 0, $K153/(time_cap),0)),0)</f>
        <v/>
      </c>
      <c r="BH153" s="4395">
        <f>IFERROR(IF((time+time_cap)&lt;BH$2, 0,IF(AND(time+1&gt;=BI$2, $E153&lt;BI$2), IF($I153= "I", $J153/($F153-$E153+1), $J153/(($F153*($F153+1)/2)-(($E153-1)*($E153-1+1)/2))*BH$2), 0)+IF(IF(time+1&gt;=BI$2, $K153/time_cap/(time+1)*BH$2, 0) = 0, $K153/(time_cap),0)),0)</f>
        <v/>
      </c>
      <c r="BI153" s="4395">
        <f>IFERROR(IF((time+time_cap)&lt;BI$2, 0,IF(AND(time+1&gt;=BJ$2, $E153&lt;BJ$2), IF($I153= "I", $J153/($F153-$E153+1), $J153/(($F153*($F153+1)/2)-(($E153-1)*($E153-1+1)/2))*BI$2), 0)+IF(IF(time+1&gt;=BJ$2, $K153/time_cap/(time+1)*BI$2, 0) = 0, $K153/(time_cap),0)),0)</f>
        <v/>
      </c>
      <c r="BJ153" s="4395">
        <f>IFERROR(IF((time+time_cap)&lt;BJ$2, 0,IF(AND(time+1&gt;=BK$2, $E153&lt;BK$2), IF($I153= "I", $J153/($F153-$E153+1), $J153/(($F153*($F153+1)/2)-(($E153-1)*($E153-1+1)/2))*BJ$2), 0)+IF(IF(time+1&gt;=BK$2, $K153/time_cap/(time+1)*BJ$2, 0) = 0, $K153/(time_cap),0)),0)</f>
        <v/>
      </c>
      <c r="BK153" s="4395" t="n"/>
      <c r="BL153" s="4395" t="n"/>
      <c r="BM153" s="4395" t="n"/>
      <c r="BN153" s="4395" t="n"/>
      <c r="BO153" s="4395" t="n"/>
      <c r="BP153" s="4395" t="n"/>
      <c r="BQ153" s="4395" t="n"/>
      <c r="BR153" s="4395" t="n"/>
      <c r="BS153" s="4395" t="n"/>
      <c r="BT153" s="4395" t="n"/>
      <c r="BU153" s="4395" t="n"/>
      <c r="BV153" s="4395" t="n"/>
      <c r="BW153" s="4395" t="n"/>
      <c r="BX153" s="4395" t="n"/>
      <c r="BY153" s="4395" t="n"/>
      <c r="BZ153" s="4395" t="n"/>
      <c r="CA153" s="4395" t="n"/>
      <c r="CB153" s="4395" t="n"/>
      <c r="CC153" s="4395" t="n"/>
      <c r="CD153" s="4395" t="n"/>
      <c r="CE153" s="4395" t="n"/>
      <c r="CF153" s="4395" t="n"/>
      <c r="CG153" s="4395" t="n"/>
      <c r="CH153" s="4395" t="n"/>
      <c r="CI153" s="4395" t="n"/>
      <c r="CJ153" s="4395" t="n"/>
      <c r="CK153" s="4395" t="n"/>
      <c r="CL153" s="4395" t="n"/>
      <c r="CM153" s="4395" t="n"/>
      <c r="CN153" s="4395" t="n"/>
      <c r="CO153" s="4395" t="n"/>
      <c r="CP153" s="4395" t="n"/>
      <c r="CQ153" s="4395" t="n"/>
      <c r="CR153" s="4395" t="n"/>
      <c r="CS153" s="4395" t="n"/>
      <c r="CT153" s="4395" t="n"/>
      <c r="CU153" s="4395" t="n"/>
      <c r="CV153" s="4395" t="n"/>
      <c r="CW153" s="4395" t="n"/>
      <c r="CX153" s="4395" t="n"/>
      <c r="CY153" s="4395" t="n"/>
      <c r="CZ153" s="4395" t="n"/>
      <c r="DA153" s="4395" t="n"/>
      <c r="DB153" s="4395" t="n"/>
      <c r="DC153" s="4395" t="n"/>
      <c r="DD153" s="4395" t="n"/>
      <c r="DE153" s="4395" t="n"/>
      <c r="DF153" s="4395" t="n"/>
      <c r="DG153" s="4395" t="n"/>
      <c r="DH153" s="4395" t="n"/>
    </row>
    <row r="154" ht="16" customHeight="1">
      <c r="A154" t="inlineStr">
        <is>
          <t>Inland wetlands - water</t>
        </is>
      </c>
      <c r="B154">
        <f>'6.Inland wetlands'!C199</f>
        <v/>
      </c>
      <c r="C154">
        <f>'6.Inland wetlands'!I199</f>
        <v/>
      </c>
      <c r="D154">
        <f>'6.Inland wetlands'!AH200</f>
        <v/>
      </c>
      <c r="E154">
        <f>IF('6.Inland wetlands'!CA199&lt;&gt;0,'6.Inland wetlands'!CA199,'6.Inland wetlands'!BZ199)</f>
        <v/>
      </c>
      <c r="F154">
        <f>time</f>
        <v/>
      </c>
      <c r="G154" s="4395">
        <f>'6.Inland wetlands'!O199</f>
        <v/>
      </c>
      <c r="H154" s="4395">
        <f>'6.Inland wetlands'!Q199</f>
        <v/>
      </c>
      <c r="I154" s="4395">
        <f>IF(OR(H154="I", G154="I"), "I", IF(OR(H154="E", G154="E"), "E", "D"))</f>
        <v/>
      </c>
      <c r="J154" s="4395">
        <f>((D154/(time_cap+((F154-E154+1)*VLOOKUP(I154,list!$I$48:$K$50,3, FALSE))))*(F154-E154+1)*VLOOKUP(I154,list!$I$48:$K$50,3, FALSE))</f>
        <v/>
      </c>
      <c r="K154" s="4395">
        <f>((D154/(time_cap+((F154-E154+1)*VLOOKUP(I154,list!$I$48:$K$50,3, FALSE))))*time_cap)</f>
        <v/>
      </c>
      <c r="M154" s="4395">
        <f>IFERROR(IF((time+time_cap)&lt;M$2, 0,IF(AND(time+1&gt;=N$2, $E154&lt;N$2), IF($I154= "I", $J154/($F154-$E154+1), $J154/(($F154*($F154+1)/2)-(($E154-1)*($E154-1+1)/2))*M$2), 0)+IF(IF(time+1&gt;=N$2, $K154/time_cap/(time+1)*M$2, 0) = 0, $K154/(time_cap),0)),0)</f>
        <v/>
      </c>
      <c r="N154" s="4395">
        <f>IFERROR(IF((time+time_cap)&lt;N$2, 0,IF(AND(time+1&gt;=O$2, $E154&lt;O$2), IF($I154= "I", $J154/($F154-$E154+1), $J154/(($F154*($F154+1)/2)-(($E154-1)*($E154-1+1)/2))*N$2), 0)+IF(IF(time+1&gt;=O$2, $K154/time_cap/(time+1)*N$2, 0) = 0, $K154/(time_cap),0)),0)</f>
        <v/>
      </c>
      <c r="O154" s="4395">
        <f>IFERROR(IF((time+time_cap)&lt;O$2, 0,IF(AND(time+1&gt;=P$2, $E154&lt;P$2), IF($I154= "I", $J154/($F154-$E154+1), $J154/(($F154*($F154+1)/2)-(($E154-1)*($E154-1+1)/2))*O$2), 0)+IF(IF(time+1&gt;=P$2, $K154/time_cap/(time+1)*O$2, 0) = 0, $K154/(time_cap),0)),0)</f>
        <v/>
      </c>
      <c r="P154" s="4395">
        <f>IFERROR(IF((time+time_cap)&lt;P$2, 0,IF(AND(time+1&gt;=Q$2, $E154&lt;Q$2), IF($I154= "I", $J154/($F154-$E154+1), $J154/(($F154*($F154+1)/2)-(($E154-1)*($E154-1+1)/2))*P$2), 0)+IF(IF(time+1&gt;=Q$2, $K154/time_cap/(time+1)*P$2, 0) = 0, $K154/(time_cap),0)),0)</f>
        <v/>
      </c>
      <c r="Q154" s="4395">
        <f>IFERROR(IF((time+time_cap)&lt;Q$2, 0,IF(AND(time+1&gt;=R$2, $E154&lt;R$2), IF($I154= "I", $J154/($F154-$E154+1), $J154/(($F154*($F154+1)/2)-(($E154-1)*($E154-1+1)/2))*Q$2), 0)+IF(IF(time+1&gt;=R$2, $K154/time_cap/(time+1)*Q$2, 0) = 0, $K154/(time_cap),0)),0)</f>
        <v/>
      </c>
      <c r="R154" s="4395">
        <f>IFERROR(IF((time+time_cap)&lt;R$2, 0,IF(AND(time+1&gt;=S$2, $E154&lt;S$2), IF($I154= "I", $J154/($F154-$E154+1), $J154/(($F154*($F154+1)/2)-(($E154-1)*($E154-1+1)/2))*R$2), 0)+IF(IF(time+1&gt;=S$2, $K154/time_cap/(time+1)*R$2, 0) = 0, $K154/(time_cap),0)),0)</f>
        <v/>
      </c>
      <c r="S154" s="4395">
        <f>IFERROR(IF((time+time_cap)&lt;S$2, 0,IF(AND(time+1&gt;=T$2, $E154&lt;T$2), IF($I154= "I", $J154/($F154-$E154+1), $J154/(($F154*($F154+1)/2)-(($E154-1)*($E154-1+1)/2))*S$2), 0)+IF(IF(time+1&gt;=T$2, $K154/time_cap/(time+1)*S$2, 0) = 0, $K154/(time_cap),0)),0)</f>
        <v/>
      </c>
      <c r="T154" s="4395">
        <f>IFERROR(IF((time+time_cap)&lt;T$2, 0,IF(AND(time+1&gt;=U$2, $E154&lt;U$2), IF($I154= "I", $J154/($F154-$E154+1), $J154/(($F154*($F154+1)/2)-(($E154-1)*($E154-1+1)/2))*T$2), 0)+IF(IF(time+1&gt;=U$2, $K154/time_cap/(time+1)*T$2, 0) = 0, $K154/(time_cap),0)),0)</f>
        <v/>
      </c>
      <c r="U154" s="4395">
        <f>IFERROR(IF((time+time_cap)&lt;U$2, 0,IF(AND(time+1&gt;=V$2, $E154&lt;V$2), IF($I154= "I", $J154/($F154-$E154+1), $J154/(($F154*($F154+1)/2)-(($E154-1)*($E154-1+1)/2))*U$2), 0)+IF(IF(time+1&gt;=V$2, $K154/time_cap/(time+1)*U$2, 0) = 0, $K154/(time_cap),0)),0)</f>
        <v/>
      </c>
      <c r="V154" s="4395">
        <f>IFERROR(IF((time+time_cap)&lt;V$2, 0,IF(AND(time+1&gt;=W$2, $E154&lt;W$2), IF($I154= "I", $J154/($F154-$E154+1), $J154/(($F154*($F154+1)/2)-(($E154-1)*($E154-1+1)/2))*V$2), 0)+IF(IF(time+1&gt;=W$2, $K154/time_cap/(time+1)*V$2, 0) = 0, $K154/(time_cap),0)),0)</f>
        <v/>
      </c>
      <c r="W154" s="4395">
        <f>IFERROR(IF((time+time_cap)&lt;W$2, 0,IF(AND(time+1&gt;=X$2, $E154&lt;X$2), IF($I154= "I", $J154/($F154-$E154+1), $J154/(($F154*($F154+1)/2)-(($E154-1)*($E154-1+1)/2))*W$2), 0)+IF(IF(time+1&gt;=X$2, $K154/time_cap/(time+1)*W$2, 0) = 0, $K154/(time_cap),0)),0)</f>
        <v/>
      </c>
      <c r="X154" s="4395">
        <f>IFERROR(IF((time+time_cap)&lt;X$2, 0,IF(AND(time+1&gt;=Y$2, $E154&lt;Y$2), IF($I154= "I", $J154/($F154-$E154+1), $J154/(($F154*($F154+1)/2)-(($E154-1)*($E154-1+1)/2))*X$2), 0)+IF(IF(time+1&gt;=Y$2, $K154/time_cap/(time+1)*X$2, 0) = 0, $K154/(time_cap),0)),0)</f>
        <v/>
      </c>
      <c r="Y154" s="4395">
        <f>IFERROR(IF((time+time_cap)&lt;Y$2, 0,IF(AND(time+1&gt;=Z$2, $E154&lt;Z$2), IF($I154= "I", $J154/($F154-$E154+1), $J154/(($F154*($F154+1)/2)-(($E154-1)*($E154-1+1)/2))*Y$2), 0)+IF(IF(time+1&gt;=Z$2, $K154/time_cap/(time+1)*Y$2, 0) = 0, $K154/(time_cap),0)),0)</f>
        <v/>
      </c>
      <c r="Z154" s="4395">
        <f>IFERROR(IF((time+time_cap)&lt;Z$2, 0,IF(AND(time+1&gt;=AA$2, $E154&lt;AA$2), IF($I154= "I", $J154/($F154-$E154+1), $J154/(($F154*($F154+1)/2)-(($E154-1)*($E154-1+1)/2))*Z$2), 0)+IF(IF(time+1&gt;=AA$2, $K154/time_cap/(time+1)*Z$2, 0) = 0, $K154/(time_cap),0)),0)</f>
        <v/>
      </c>
      <c r="AA154" s="4395">
        <f>IFERROR(IF((time+time_cap)&lt;AA$2, 0,IF(AND(time+1&gt;=AB$2, $E154&lt;AB$2), IF($I154= "I", $J154/($F154-$E154+1), $J154/(($F154*($F154+1)/2)-(($E154-1)*($E154-1+1)/2))*AA$2), 0)+IF(IF(time+1&gt;=AB$2, $K154/time_cap/(time+1)*AA$2, 0) = 0, $K154/(time_cap),0)),0)</f>
        <v/>
      </c>
      <c r="AB154" s="4395">
        <f>IFERROR(IF((time+time_cap)&lt;AB$2, 0,IF(AND(time+1&gt;=AC$2, $E154&lt;AC$2), IF($I154= "I", $J154/($F154-$E154+1), $J154/(($F154*($F154+1)/2)-(($E154-1)*($E154-1+1)/2))*AB$2), 0)+IF(IF(time+1&gt;=AC$2, $K154/time_cap/(time+1)*AB$2, 0) = 0, $K154/(time_cap),0)),0)</f>
        <v/>
      </c>
      <c r="AC154" s="4395">
        <f>IFERROR(IF((time+time_cap)&lt;AC$2, 0,IF(AND(time+1&gt;=AD$2, $E154&lt;AD$2), IF($I154= "I", $J154/($F154-$E154+1), $J154/(($F154*($F154+1)/2)-(($E154-1)*($E154-1+1)/2))*AC$2), 0)+IF(IF(time+1&gt;=AD$2, $K154/time_cap/(time+1)*AC$2, 0) = 0, $K154/(time_cap),0)),0)</f>
        <v/>
      </c>
      <c r="AD154" s="4395">
        <f>IFERROR(IF((time+time_cap)&lt;AD$2, 0,IF(AND(time+1&gt;=AE$2, $E154&lt;AE$2), IF($I154= "I", $J154/($F154-$E154+1), $J154/(($F154*($F154+1)/2)-(($E154-1)*($E154-1+1)/2))*AD$2), 0)+IF(IF(time+1&gt;=AE$2, $K154/time_cap/(time+1)*AD$2, 0) = 0, $K154/(time_cap),0)),0)</f>
        <v/>
      </c>
      <c r="AE154" s="4395">
        <f>IFERROR(IF((time+time_cap)&lt;AE$2, 0,IF(AND(time+1&gt;=AF$2, $E154&lt;AF$2), IF($I154= "I", $J154/($F154-$E154+1), $J154/(($F154*($F154+1)/2)-(($E154-1)*($E154-1+1)/2))*AE$2), 0)+IF(IF(time+1&gt;=AF$2, $K154/time_cap/(time+1)*AE$2, 0) = 0, $K154/(time_cap),0)),0)</f>
        <v/>
      </c>
      <c r="AF154" s="4395">
        <f>IFERROR(IF((time+time_cap)&lt;AF$2, 0,IF(AND(time+1&gt;=AG$2, $E154&lt;AG$2), IF($I154= "I", $J154/($F154-$E154+1), $J154/(($F154*($F154+1)/2)-(($E154-1)*($E154-1+1)/2))*AF$2), 0)+IF(IF(time+1&gt;=AG$2, $K154/time_cap/(time+1)*AF$2, 0) = 0, $K154/(time_cap),0)),0)</f>
        <v/>
      </c>
      <c r="AG154" s="4395">
        <f>IFERROR(IF((time+time_cap)&lt;AG$2, 0,IF(AND(time+1&gt;=AH$2, $E154&lt;AH$2), IF($I154= "I", $J154/($F154-$E154+1), $J154/(($F154*($F154+1)/2)-(($E154-1)*($E154-1+1)/2))*AG$2), 0)+IF(IF(time+1&gt;=AH$2, $K154/time_cap/(time+1)*AG$2, 0) = 0, $K154/(time_cap),0)),0)</f>
        <v/>
      </c>
      <c r="AH154" s="4395">
        <f>IFERROR(IF((time+time_cap)&lt;AH$2, 0,IF(AND(time+1&gt;=AI$2, $E154&lt;AI$2), IF($I154= "I", $J154/($F154-$E154+1), $J154/(($F154*($F154+1)/2)-(($E154-1)*($E154-1+1)/2))*AH$2), 0)+IF(IF(time+1&gt;=AI$2, $K154/time_cap/(time+1)*AH$2, 0) = 0, $K154/(time_cap),0)),0)</f>
        <v/>
      </c>
      <c r="AI154" s="4395">
        <f>IFERROR(IF((time+time_cap)&lt;AI$2, 0,IF(AND(time+1&gt;=AJ$2, $E154&lt;AJ$2), IF($I154= "I", $J154/($F154-$E154+1), $J154/(($F154*($F154+1)/2)-(($E154-1)*($E154-1+1)/2))*AI$2), 0)+IF(IF(time+1&gt;=AJ$2, $K154/time_cap/(time+1)*AI$2, 0) = 0, $K154/(time_cap),0)),0)</f>
        <v/>
      </c>
      <c r="AJ154" s="4395">
        <f>IFERROR(IF((time+time_cap)&lt;AJ$2, 0,IF(AND(time+1&gt;=AK$2, $E154&lt;AK$2), IF($I154= "I", $J154/($F154-$E154+1), $J154/(($F154*($F154+1)/2)-(($E154-1)*($E154-1+1)/2))*AJ$2), 0)+IF(IF(time+1&gt;=AK$2, $K154/time_cap/(time+1)*AJ$2, 0) = 0, $K154/(time_cap),0)),0)</f>
        <v/>
      </c>
      <c r="AK154" s="4395">
        <f>IFERROR(IF((time+time_cap)&lt;AK$2, 0,IF(AND(time+1&gt;=AL$2, $E154&lt;AL$2), IF($I154= "I", $J154/($F154-$E154+1), $J154/(($F154*($F154+1)/2)-(($E154-1)*($E154-1+1)/2))*AK$2), 0)+IF(IF(time+1&gt;=AL$2, $K154/time_cap/(time+1)*AK$2, 0) = 0, $K154/(time_cap),0)),0)</f>
        <v/>
      </c>
      <c r="AL154" s="4395">
        <f>IFERROR(IF((time+time_cap)&lt;AL$2, 0,IF(AND(time+1&gt;=AM$2, $E154&lt;AM$2), IF($I154= "I", $J154/($F154-$E154+1), $J154/(($F154*($F154+1)/2)-(($E154-1)*($E154-1+1)/2))*AL$2), 0)+IF(IF(time+1&gt;=AM$2, $K154/time_cap/(time+1)*AL$2, 0) = 0, $K154/(time_cap),0)),0)</f>
        <v/>
      </c>
      <c r="AM154" s="4395">
        <f>IFERROR(IF((time+time_cap)&lt;AM$2, 0,IF(AND(time+1&gt;=AN$2, $E154&lt;AN$2), IF($I154= "I", $J154/($F154-$E154+1), $J154/(($F154*($F154+1)/2)-(($E154-1)*($E154-1+1)/2))*AM$2), 0)+IF(IF(time+1&gt;=AN$2, $K154/time_cap/(time+1)*AM$2, 0) = 0, $K154/(time_cap),0)),0)</f>
        <v/>
      </c>
      <c r="AN154" s="4395">
        <f>IFERROR(IF((time+time_cap)&lt;AN$2, 0,IF(AND(time+1&gt;=AO$2, $E154&lt;AO$2), IF($I154= "I", $J154/($F154-$E154+1), $J154/(($F154*($F154+1)/2)-(($E154-1)*($E154-1+1)/2))*AN$2), 0)+IF(IF(time+1&gt;=AO$2, $K154/time_cap/(time+1)*AN$2, 0) = 0, $K154/(time_cap),0)),0)</f>
        <v/>
      </c>
      <c r="AO154" s="4395">
        <f>IFERROR(IF((time+time_cap)&lt;AO$2, 0,IF(AND(time+1&gt;=AP$2, $E154&lt;AP$2), IF($I154= "I", $J154/($F154-$E154+1), $J154/(($F154*($F154+1)/2)-(($E154-1)*($E154-1+1)/2))*AO$2), 0)+IF(IF(time+1&gt;=AP$2, $K154/time_cap/(time+1)*AO$2, 0) = 0, $K154/(time_cap),0)),0)</f>
        <v/>
      </c>
      <c r="AP154" s="4395">
        <f>IFERROR(IF((time+time_cap)&lt;AP$2, 0,IF(AND(time+1&gt;=AQ$2, $E154&lt;AQ$2), IF($I154= "I", $J154/($F154-$E154+1), $J154/(($F154*($F154+1)/2)-(($E154-1)*($E154-1+1)/2))*AP$2), 0)+IF(IF(time+1&gt;=AQ$2, $K154/time_cap/(time+1)*AP$2, 0) = 0, $K154/(time_cap),0)),0)</f>
        <v/>
      </c>
      <c r="AQ154" s="4395">
        <f>IFERROR(IF((time+time_cap)&lt;AQ$2, 0,IF(AND(time+1&gt;=AR$2, $E154&lt;AR$2), IF($I154= "I", $J154/($F154-$E154+1), $J154/(($F154*($F154+1)/2)-(($E154-1)*($E154-1+1)/2))*AQ$2), 0)+IF(IF(time+1&gt;=AR$2, $K154/time_cap/(time+1)*AQ$2, 0) = 0, $K154/(time_cap),0)),0)</f>
        <v/>
      </c>
      <c r="AR154" s="4395">
        <f>IFERROR(IF((time+time_cap)&lt;AR$2, 0,IF(AND(time+1&gt;=AS$2, $E154&lt;AS$2), IF($I154= "I", $J154/($F154-$E154+1), $J154/(($F154*($F154+1)/2)-(($E154-1)*($E154-1+1)/2))*AR$2), 0)+IF(IF(time+1&gt;=AS$2, $K154/time_cap/(time+1)*AR$2, 0) = 0, $K154/(time_cap),0)),0)</f>
        <v/>
      </c>
      <c r="AS154" s="4395">
        <f>IFERROR(IF((time+time_cap)&lt;AS$2, 0,IF(AND(time+1&gt;=AT$2, $E154&lt;AT$2), IF($I154= "I", $J154/($F154-$E154+1), $J154/(($F154*($F154+1)/2)-(($E154-1)*($E154-1+1)/2))*AS$2), 0)+IF(IF(time+1&gt;=AT$2, $K154/time_cap/(time+1)*AS$2, 0) = 0, $K154/(time_cap),0)),0)</f>
        <v/>
      </c>
      <c r="AT154" s="4395">
        <f>IFERROR(IF((time+time_cap)&lt;AT$2, 0,IF(AND(time+1&gt;=AU$2, $E154&lt;AU$2), IF($I154= "I", $J154/($F154-$E154+1), $J154/(($F154*($F154+1)/2)-(($E154-1)*($E154-1+1)/2))*AT$2), 0)+IF(IF(time+1&gt;=AU$2, $K154/time_cap/(time+1)*AT$2, 0) = 0, $K154/(time_cap),0)),0)</f>
        <v/>
      </c>
      <c r="AU154" s="4395">
        <f>IFERROR(IF((time+time_cap)&lt;AU$2, 0,IF(AND(time+1&gt;=AV$2, $E154&lt;AV$2), IF($I154= "I", $J154/($F154-$E154+1), $J154/(($F154*($F154+1)/2)-(($E154-1)*($E154-1+1)/2))*AU$2), 0)+IF(IF(time+1&gt;=AV$2, $K154/time_cap/(time+1)*AU$2, 0) = 0, $K154/(time_cap),0)),0)</f>
        <v/>
      </c>
      <c r="AV154" s="4395">
        <f>IFERROR(IF((time+time_cap)&lt;AV$2, 0,IF(AND(time+1&gt;=AW$2, $E154&lt;AW$2), IF($I154= "I", $J154/($F154-$E154+1), $J154/(($F154*($F154+1)/2)-(($E154-1)*($E154-1+1)/2))*AV$2), 0)+IF(IF(time+1&gt;=AW$2, $K154/time_cap/(time+1)*AV$2, 0) = 0, $K154/(time_cap),0)),0)</f>
        <v/>
      </c>
      <c r="AW154" s="4395">
        <f>IFERROR(IF((time+time_cap)&lt;AW$2, 0,IF(AND(time+1&gt;=AX$2, $E154&lt;AX$2), IF($I154= "I", $J154/($F154-$E154+1), $J154/(($F154*($F154+1)/2)-(($E154-1)*($E154-1+1)/2))*AW$2), 0)+IF(IF(time+1&gt;=AX$2, $K154/time_cap/(time+1)*AW$2, 0) = 0, $K154/(time_cap),0)),0)</f>
        <v/>
      </c>
      <c r="AX154" s="4395">
        <f>IFERROR(IF((time+time_cap)&lt;AX$2, 0,IF(AND(time+1&gt;=AY$2, $E154&lt;AY$2), IF($I154= "I", $J154/($F154-$E154+1), $J154/(($F154*($F154+1)/2)-(($E154-1)*($E154-1+1)/2))*AX$2), 0)+IF(IF(time+1&gt;=AY$2, $K154/time_cap/(time+1)*AX$2, 0) = 0, $K154/(time_cap),0)),0)</f>
        <v/>
      </c>
      <c r="AY154" s="4395">
        <f>IFERROR(IF((time+time_cap)&lt;AY$2, 0,IF(AND(time+1&gt;=AZ$2, $E154&lt;AZ$2), IF($I154= "I", $J154/($F154-$E154+1), $J154/(($F154*($F154+1)/2)-(($E154-1)*($E154-1+1)/2))*AY$2), 0)+IF(IF(time+1&gt;=AZ$2, $K154/time_cap/(time+1)*AY$2, 0) = 0, $K154/(time_cap),0)),0)</f>
        <v/>
      </c>
      <c r="AZ154" s="4395">
        <f>IFERROR(IF((time+time_cap)&lt;AZ$2, 0,IF(AND(time+1&gt;=BA$2, $E154&lt;BA$2), IF($I154= "I", $J154/($F154-$E154+1), $J154/(($F154*($F154+1)/2)-(($E154-1)*($E154-1+1)/2))*AZ$2), 0)+IF(IF(time+1&gt;=BA$2, $K154/time_cap/(time+1)*AZ$2, 0) = 0, $K154/(time_cap),0)),0)</f>
        <v/>
      </c>
      <c r="BA154" s="4395">
        <f>IFERROR(IF((time+time_cap)&lt;BA$2, 0,IF(AND(time+1&gt;=BB$2, $E154&lt;BB$2), IF($I154= "I", $J154/($F154-$E154+1), $J154/(($F154*($F154+1)/2)-(($E154-1)*($E154-1+1)/2))*BA$2), 0)+IF(IF(time+1&gt;=BB$2, $K154/time_cap/(time+1)*BA$2, 0) = 0, $K154/(time_cap),0)),0)</f>
        <v/>
      </c>
      <c r="BB154" s="4395">
        <f>IFERROR(IF((time+time_cap)&lt;BB$2, 0,IF(AND(time+1&gt;=BC$2, $E154&lt;BC$2), IF($I154= "I", $J154/($F154-$E154+1), $J154/(($F154*($F154+1)/2)-(($E154-1)*($E154-1+1)/2))*BB$2), 0)+IF(IF(time+1&gt;=BC$2, $K154/time_cap/(time+1)*BB$2, 0) = 0, $K154/(time_cap),0)),0)</f>
        <v/>
      </c>
      <c r="BC154" s="4395">
        <f>IFERROR(IF((time+time_cap)&lt;BC$2, 0,IF(AND(time+1&gt;=BD$2, $E154&lt;BD$2), IF($I154= "I", $J154/($F154-$E154+1), $J154/(($F154*($F154+1)/2)-(($E154-1)*($E154-1+1)/2))*BC$2), 0)+IF(IF(time+1&gt;=BD$2, $K154/time_cap/(time+1)*BC$2, 0) = 0, $K154/(time_cap),0)),0)</f>
        <v/>
      </c>
      <c r="BD154" s="4395">
        <f>IFERROR(IF((time+time_cap)&lt;BD$2, 0,IF(AND(time+1&gt;=BE$2, $E154&lt;BE$2), IF($I154= "I", $J154/($F154-$E154+1), $J154/(($F154*($F154+1)/2)-(($E154-1)*($E154-1+1)/2))*BD$2), 0)+IF(IF(time+1&gt;=BE$2, $K154/time_cap/(time+1)*BD$2, 0) = 0, $K154/(time_cap),0)),0)</f>
        <v/>
      </c>
      <c r="BE154" s="4395">
        <f>IFERROR(IF((time+time_cap)&lt;BE$2, 0,IF(AND(time+1&gt;=BF$2, $E154&lt;BF$2), IF($I154= "I", $J154/($F154-$E154+1), $J154/(($F154*($F154+1)/2)-(($E154-1)*($E154-1+1)/2))*BE$2), 0)+IF(IF(time+1&gt;=BF$2, $K154/time_cap/(time+1)*BE$2, 0) = 0, $K154/(time_cap),0)),0)</f>
        <v/>
      </c>
      <c r="BF154" s="4395">
        <f>IFERROR(IF((time+time_cap)&lt;BF$2, 0,IF(AND(time+1&gt;=BG$2, $E154&lt;BG$2), IF($I154= "I", $J154/($F154-$E154+1), $J154/(($F154*($F154+1)/2)-(($E154-1)*($E154-1+1)/2))*BF$2), 0)+IF(IF(time+1&gt;=BG$2, $K154/time_cap/(time+1)*BF$2, 0) = 0, $K154/(time_cap),0)),0)</f>
        <v/>
      </c>
      <c r="BG154" s="4395">
        <f>IFERROR(IF((time+time_cap)&lt;BG$2, 0,IF(AND(time+1&gt;=BH$2, $E154&lt;BH$2), IF($I154= "I", $J154/($F154-$E154+1), $J154/(($F154*($F154+1)/2)-(($E154-1)*($E154-1+1)/2))*BG$2), 0)+IF(IF(time+1&gt;=BH$2, $K154/time_cap/(time+1)*BG$2, 0) = 0, $K154/(time_cap),0)),0)</f>
        <v/>
      </c>
      <c r="BH154" s="4395">
        <f>IFERROR(IF((time+time_cap)&lt;BH$2, 0,IF(AND(time+1&gt;=BI$2, $E154&lt;BI$2), IF($I154= "I", $J154/($F154-$E154+1), $J154/(($F154*($F154+1)/2)-(($E154-1)*($E154-1+1)/2))*BH$2), 0)+IF(IF(time+1&gt;=BI$2, $K154/time_cap/(time+1)*BH$2, 0) = 0, $K154/(time_cap),0)),0)</f>
        <v/>
      </c>
      <c r="BI154" s="4395">
        <f>IFERROR(IF((time+time_cap)&lt;BI$2, 0,IF(AND(time+1&gt;=BJ$2, $E154&lt;BJ$2), IF($I154= "I", $J154/($F154-$E154+1), $J154/(($F154*($F154+1)/2)-(($E154-1)*($E154-1+1)/2))*BI$2), 0)+IF(IF(time+1&gt;=BJ$2, $K154/time_cap/(time+1)*BI$2, 0) = 0, $K154/(time_cap),0)),0)</f>
        <v/>
      </c>
      <c r="BJ154" s="4395">
        <f>IFERROR(IF((time+time_cap)&lt;BJ$2, 0,IF(AND(time+1&gt;=BK$2, $E154&lt;BK$2), IF($I154= "I", $J154/($F154-$E154+1), $J154/(($F154*($F154+1)/2)-(($E154-1)*($E154-1+1)/2))*BJ$2), 0)+IF(IF(time+1&gt;=BK$2, $K154/time_cap/(time+1)*BJ$2, 0) = 0, $K154/(time_cap),0)),0)</f>
        <v/>
      </c>
      <c r="BK154" s="4395" t="n"/>
      <c r="BL154" s="4395" t="n"/>
      <c r="BM154" s="4395" t="n"/>
      <c r="BN154" s="4395" t="n"/>
      <c r="BO154" s="4395" t="n"/>
      <c r="BP154" s="4395" t="n"/>
      <c r="BQ154" s="4395" t="n"/>
      <c r="BR154" s="4395" t="n"/>
      <c r="BS154" s="4395" t="n"/>
      <c r="BT154" s="4395" t="n"/>
      <c r="BU154" s="4395" t="n"/>
      <c r="BV154" s="4395" t="n"/>
      <c r="BW154" s="4395" t="n"/>
      <c r="BX154" s="4395" t="n"/>
      <c r="BY154" s="4395" t="n"/>
      <c r="BZ154" s="4395" t="n"/>
      <c r="CA154" s="4395" t="n"/>
      <c r="CB154" s="4395" t="n"/>
      <c r="CC154" s="4395" t="n"/>
      <c r="CD154" s="4395" t="n"/>
      <c r="CE154" s="4395" t="n"/>
      <c r="CF154" s="4395" t="n"/>
      <c r="CG154" s="4395" t="n"/>
      <c r="CH154" s="4395" t="n"/>
      <c r="CI154" s="4395" t="n"/>
      <c r="CJ154" s="4395" t="n"/>
      <c r="CK154" s="4395" t="n"/>
      <c r="CL154" s="4395" t="n"/>
      <c r="CM154" s="4395" t="n"/>
      <c r="CN154" s="4395" t="n"/>
      <c r="CO154" s="4395" t="n"/>
      <c r="CP154" s="4395" t="n"/>
      <c r="CQ154" s="4395" t="n"/>
      <c r="CR154" s="4395" t="n"/>
      <c r="CS154" s="4395" t="n"/>
      <c r="CT154" s="4395" t="n"/>
      <c r="CU154" s="4395" t="n"/>
      <c r="CV154" s="4395" t="n"/>
      <c r="CW154" s="4395" t="n"/>
      <c r="CX154" s="4395" t="n"/>
      <c r="CY154" s="4395" t="n"/>
      <c r="CZ154" s="4395" t="n"/>
      <c r="DA154" s="4395" t="n"/>
      <c r="DB154" s="4395" t="n"/>
      <c r="DC154" s="4395" t="n"/>
      <c r="DD154" s="4395" t="n"/>
      <c r="DE154" s="4395" t="n"/>
      <c r="DF154" s="4395" t="n"/>
      <c r="DG154" s="4395" t="n"/>
      <c r="DH154" s="4395" t="n"/>
    </row>
    <row r="155" ht="16" customHeight="1">
      <c r="A155" t="inlineStr">
        <is>
          <t>Inland wetlands - water</t>
        </is>
      </c>
      <c r="B155">
        <f>'6.Inland wetlands'!C200</f>
        <v/>
      </c>
      <c r="C155">
        <f>'6.Inland wetlands'!I200</f>
        <v/>
      </c>
      <c r="D155">
        <f>'6.Inland wetlands'!AH201</f>
        <v/>
      </c>
      <c r="E155">
        <f>IF('6.Inland wetlands'!CA200&lt;&gt;0,'6.Inland wetlands'!CA200,'6.Inland wetlands'!BZ200)</f>
        <v/>
      </c>
      <c r="F155">
        <f>time</f>
        <v/>
      </c>
      <c r="G155" s="4395">
        <f>'6.Inland wetlands'!O200</f>
        <v/>
      </c>
      <c r="H155" s="4395">
        <f>'6.Inland wetlands'!Q200</f>
        <v/>
      </c>
      <c r="I155" s="4395">
        <f>IF(OR(H155="I", G155="I"), "I", IF(OR(H155="E", G155="E"), "E", "D"))</f>
        <v/>
      </c>
      <c r="J155" s="4395">
        <f>((D155/(time_cap+((F155-E155+1)*VLOOKUP(I155,list!$I$48:$K$50,3, FALSE))))*(F155-E155+1)*VLOOKUP(I155,list!$I$48:$K$50,3, FALSE))</f>
        <v/>
      </c>
      <c r="K155" s="4395">
        <f>((D155/(time_cap+((F155-E155+1)*VLOOKUP(I155,list!$I$48:$K$50,3, FALSE))))*time_cap)</f>
        <v/>
      </c>
      <c r="M155" s="4395">
        <f>IFERROR(IF((time+time_cap)&lt;M$2, 0,IF(AND(time+1&gt;=N$2, $E155&lt;N$2), IF($I155= "I", $J155/($F155-$E155+1), $J155/(($F155*($F155+1)/2)-(($E155-1)*($E155-1+1)/2))*M$2), 0)+IF(IF(time+1&gt;=N$2, $K155/time_cap/(time+1)*M$2, 0) = 0, $K155/(time_cap),0)),0)</f>
        <v/>
      </c>
      <c r="N155" s="4395">
        <f>IFERROR(IF((time+time_cap)&lt;N$2, 0,IF(AND(time+1&gt;=O$2, $E155&lt;O$2), IF($I155= "I", $J155/($F155-$E155+1), $J155/(($F155*($F155+1)/2)-(($E155-1)*($E155-1+1)/2))*N$2), 0)+IF(IF(time+1&gt;=O$2, $K155/time_cap/(time+1)*N$2, 0) = 0, $K155/(time_cap),0)),0)</f>
        <v/>
      </c>
      <c r="O155" s="4395">
        <f>IFERROR(IF((time+time_cap)&lt;O$2, 0,IF(AND(time+1&gt;=P$2, $E155&lt;P$2), IF($I155= "I", $J155/($F155-$E155+1), $J155/(($F155*($F155+1)/2)-(($E155-1)*($E155-1+1)/2))*O$2), 0)+IF(IF(time+1&gt;=P$2, $K155/time_cap/(time+1)*O$2, 0) = 0, $K155/(time_cap),0)),0)</f>
        <v/>
      </c>
      <c r="P155" s="4395">
        <f>IFERROR(IF((time+time_cap)&lt;P$2, 0,IF(AND(time+1&gt;=Q$2, $E155&lt;Q$2), IF($I155= "I", $J155/($F155-$E155+1), $J155/(($F155*($F155+1)/2)-(($E155-1)*($E155-1+1)/2))*P$2), 0)+IF(IF(time+1&gt;=Q$2, $K155/time_cap/(time+1)*P$2, 0) = 0, $K155/(time_cap),0)),0)</f>
        <v/>
      </c>
      <c r="Q155" s="4395">
        <f>IFERROR(IF((time+time_cap)&lt;Q$2, 0,IF(AND(time+1&gt;=R$2, $E155&lt;R$2), IF($I155= "I", $J155/($F155-$E155+1), $J155/(($F155*($F155+1)/2)-(($E155-1)*($E155-1+1)/2))*Q$2), 0)+IF(IF(time+1&gt;=R$2, $K155/time_cap/(time+1)*Q$2, 0) = 0, $K155/(time_cap),0)),0)</f>
        <v/>
      </c>
      <c r="R155" s="4395">
        <f>IFERROR(IF((time+time_cap)&lt;R$2, 0,IF(AND(time+1&gt;=S$2, $E155&lt;S$2), IF($I155= "I", $J155/($F155-$E155+1), $J155/(($F155*($F155+1)/2)-(($E155-1)*($E155-1+1)/2))*R$2), 0)+IF(IF(time+1&gt;=S$2, $K155/time_cap/(time+1)*R$2, 0) = 0, $K155/(time_cap),0)),0)</f>
        <v/>
      </c>
      <c r="S155" s="4395">
        <f>IFERROR(IF((time+time_cap)&lt;S$2, 0,IF(AND(time+1&gt;=T$2, $E155&lt;T$2), IF($I155= "I", $J155/($F155-$E155+1), $J155/(($F155*($F155+1)/2)-(($E155-1)*($E155-1+1)/2))*S$2), 0)+IF(IF(time+1&gt;=T$2, $K155/time_cap/(time+1)*S$2, 0) = 0, $K155/(time_cap),0)),0)</f>
        <v/>
      </c>
      <c r="T155" s="4395">
        <f>IFERROR(IF((time+time_cap)&lt;T$2, 0,IF(AND(time+1&gt;=U$2, $E155&lt;U$2), IF($I155= "I", $J155/($F155-$E155+1), $J155/(($F155*($F155+1)/2)-(($E155-1)*($E155-1+1)/2))*T$2), 0)+IF(IF(time+1&gt;=U$2, $K155/time_cap/(time+1)*T$2, 0) = 0, $K155/(time_cap),0)),0)</f>
        <v/>
      </c>
      <c r="U155" s="4395">
        <f>IFERROR(IF((time+time_cap)&lt;U$2, 0,IF(AND(time+1&gt;=V$2, $E155&lt;V$2), IF($I155= "I", $J155/($F155-$E155+1), $J155/(($F155*($F155+1)/2)-(($E155-1)*($E155-1+1)/2))*U$2), 0)+IF(IF(time+1&gt;=V$2, $K155/time_cap/(time+1)*U$2, 0) = 0, $K155/(time_cap),0)),0)</f>
        <v/>
      </c>
      <c r="V155" s="4395">
        <f>IFERROR(IF((time+time_cap)&lt;V$2, 0,IF(AND(time+1&gt;=W$2, $E155&lt;W$2), IF($I155= "I", $J155/($F155-$E155+1), $J155/(($F155*($F155+1)/2)-(($E155-1)*($E155-1+1)/2))*V$2), 0)+IF(IF(time+1&gt;=W$2, $K155/time_cap/(time+1)*V$2, 0) = 0, $K155/(time_cap),0)),0)</f>
        <v/>
      </c>
      <c r="W155" s="4395">
        <f>IFERROR(IF((time+time_cap)&lt;W$2, 0,IF(AND(time+1&gt;=X$2, $E155&lt;X$2), IF($I155= "I", $J155/($F155-$E155+1), $J155/(($F155*($F155+1)/2)-(($E155-1)*($E155-1+1)/2))*W$2), 0)+IF(IF(time+1&gt;=X$2, $K155/time_cap/(time+1)*W$2, 0) = 0, $K155/(time_cap),0)),0)</f>
        <v/>
      </c>
      <c r="X155" s="4395">
        <f>IFERROR(IF((time+time_cap)&lt;X$2, 0,IF(AND(time+1&gt;=Y$2, $E155&lt;Y$2), IF($I155= "I", $J155/($F155-$E155+1), $J155/(($F155*($F155+1)/2)-(($E155-1)*($E155-1+1)/2))*X$2), 0)+IF(IF(time+1&gt;=Y$2, $K155/time_cap/(time+1)*X$2, 0) = 0, $K155/(time_cap),0)),0)</f>
        <v/>
      </c>
      <c r="Y155" s="4395">
        <f>IFERROR(IF((time+time_cap)&lt;Y$2, 0,IF(AND(time+1&gt;=Z$2, $E155&lt;Z$2), IF($I155= "I", $J155/($F155-$E155+1), $J155/(($F155*($F155+1)/2)-(($E155-1)*($E155-1+1)/2))*Y$2), 0)+IF(IF(time+1&gt;=Z$2, $K155/time_cap/(time+1)*Y$2, 0) = 0, $K155/(time_cap),0)),0)</f>
        <v/>
      </c>
      <c r="Z155" s="4395">
        <f>IFERROR(IF((time+time_cap)&lt;Z$2, 0,IF(AND(time+1&gt;=AA$2, $E155&lt;AA$2), IF($I155= "I", $J155/($F155-$E155+1), $J155/(($F155*($F155+1)/2)-(($E155-1)*($E155-1+1)/2))*Z$2), 0)+IF(IF(time+1&gt;=AA$2, $K155/time_cap/(time+1)*Z$2, 0) = 0, $K155/(time_cap),0)),0)</f>
        <v/>
      </c>
      <c r="AA155" s="4395">
        <f>IFERROR(IF((time+time_cap)&lt;AA$2, 0,IF(AND(time+1&gt;=AB$2, $E155&lt;AB$2), IF($I155= "I", $J155/($F155-$E155+1), $J155/(($F155*($F155+1)/2)-(($E155-1)*($E155-1+1)/2))*AA$2), 0)+IF(IF(time+1&gt;=AB$2, $K155/time_cap/(time+1)*AA$2, 0) = 0, $K155/(time_cap),0)),0)</f>
        <v/>
      </c>
      <c r="AB155" s="4395">
        <f>IFERROR(IF((time+time_cap)&lt;AB$2, 0,IF(AND(time+1&gt;=AC$2, $E155&lt;AC$2), IF($I155= "I", $J155/($F155-$E155+1), $J155/(($F155*($F155+1)/2)-(($E155-1)*($E155-1+1)/2))*AB$2), 0)+IF(IF(time+1&gt;=AC$2, $K155/time_cap/(time+1)*AB$2, 0) = 0, $K155/(time_cap),0)),0)</f>
        <v/>
      </c>
      <c r="AC155" s="4395">
        <f>IFERROR(IF((time+time_cap)&lt;AC$2, 0,IF(AND(time+1&gt;=AD$2, $E155&lt;AD$2), IF($I155= "I", $J155/($F155-$E155+1), $J155/(($F155*($F155+1)/2)-(($E155-1)*($E155-1+1)/2))*AC$2), 0)+IF(IF(time+1&gt;=AD$2, $K155/time_cap/(time+1)*AC$2, 0) = 0, $K155/(time_cap),0)),0)</f>
        <v/>
      </c>
      <c r="AD155" s="4395">
        <f>IFERROR(IF((time+time_cap)&lt;AD$2, 0,IF(AND(time+1&gt;=AE$2, $E155&lt;AE$2), IF($I155= "I", $J155/($F155-$E155+1), $J155/(($F155*($F155+1)/2)-(($E155-1)*($E155-1+1)/2))*AD$2), 0)+IF(IF(time+1&gt;=AE$2, $K155/time_cap/(time+1)*AD$2, 0) = 0, $K155/(time_cap),0)),0)</f>
        <v/>
      </c>
      <c r="AE155" s="4395">
        <f>IFERROR(IF((time+time_cap)&lt;AE$2, 0,IF(AND(time+1&gt;=AF$2, $E155&lt;AF$2), IF($I155= "I", $J155/($F155-$E155+1), $J155/(($F155*($F155+1)/2)-(($E155-1)*($E155-1+1)/2))*AE$2), 0)+IF(IF(time+1&gt;=AF$2, $K155/time_cap/(time+1)*AE$2, 0) = 0, $K155/(time_cap),0)),0)</f>
        <v/>
      </c>
      <c r="AF155" s="4395">
        <f>IFERROR(IF((time+time_cap)&lt;AF$2, 0,IF(AND(time+1&gt;=AG$2, $E155&lt;AG$2), IF($I155= "I", $J155/($F155-$E155+1), $J155/(($F155*($F155+1)/2)-(($E155-1)*($E155-1+1)/2))*AF$2), 0)+IF(IF(time+1&gt;=AG$2, $K155/time_cap/(time+1)*AF$2, 0) = 0, $K155/(time_cap),0)),0)</f>
        <v/>
      </c>
      <c r="AG155" s="4395">
        <f>IFERROR(IF((time+time_cap)&lt;AG$2, 0,IF(AND(time+1&gt;=AH$2, $E155&lt;AH$2), IF($I155= "I", $J155/($F155-$E155+1), $J155/(($F155*($F155+1)/2)-(($E155-1)*($E155-1+1)/2))*AG$2), 0)+IF(IF(time+1&gt;=AH$2, $K155/time_cap/(time+1)*AG$2, 0) = 0, $K155/(time_cap),0)),0)</f>
        <v/>
      </c>
      <c r="AH155" s="4395">
        <f>IFERROR(IF((time+time_cap)&lt;AH$2, 0,IF(AND(time+1&gt;=AI$2, $E155&lt;AI$2), IF($I155= "I", $J155/($F155-$E155+1), $J155/(($F155*($F155+1)/2)-(($E155-1)*($E155-1+1)/2))*AH$2), 0)+IF(IF(time+1&gt;=AI$2, $K155/time_cap/(time+1)*AH$2, 0) = 0, $K155/(time_cap),0)),0)</f>
        <v/>
      </c>
      <c r="AI155" s="4395">
        <f>IFERROR(IF((time+time_cap)&lt;AI$2, 0,IF(AND(time+1&gt;=AJ$2, $E155&lt;AJ$2), IF($I155= "I", $J155/($F155-$E155+1), $J155/(($F155*($F155+1)/2)-(($E155-1)*($E155-1+1)/2))*AI$2), 0)+IF(IF(time+1&gt;=AJ$2, $K155/time_cap/(time+1)*AI$2, 0) = 0, $K155/(time_cap),0)),0)</f>
        <v/>
      </c>
      <c r="AJ155" s="4395">
        <f>IFERROR(IF((time+time_cap)&lt;AJ$2, 0,IF(AND(time+1&gt;=AK$2, $E155&lt;AK$2), IF($I155= "I", $J155/($F155-$E155+1), $J155/(($F155*($F155+1)/2)-(($E155-1)*($E155-1+1)/2))*AJ$2), 0)+IF(IF(time+1&gt;=AK$2, $K155/time_cap/(time+1)*AJ$2, 0) = 0, $K155/(time_cap),0)),0)</f>
        <v/>
      </c>
      <c r="AK155" s="4395">
        <f>IFERROR(IF((time+time_cap)&lt;AK$2, 0,IF(AND(time+1&gt;=AL$2, $E155&lt;AL$2), IF($I155= "I", $J155/($F155-$E155+1), $J155/(($F155*($F155+1)/2)-(($E155-1)*($E155-1+1)/2))*AK$2), 0)+IF(IF(time+1&gt;=AL$2, $K155/time_cap/(time+1)*AK$2, 0) = 0, $K155/(time_cap),0)),0)</f>
        <v/>
      </c>
      <c r="AL155" s="4395">
        <f>IFERROR(IF((time+time_cap)&lt;AL$2, 0,IF(AND(time+1&gt;=AM$2, $E155&lt;AM$2), IF($I155= "I", $J155/($F155-$E155+1), $J155/(($F155*($F155+1)/2)-(($E155-1)*($E155-1+1)/2))*AL$2), 0)+IF(IF(time+1&gt;=AM$2, $K155/time_cap/(time+1)*AL$2, 0) = 0, $K155/(time_cap),0)),0)</f>
        <v/>
      </c>
      <c r="AM155" s="4395">
        <f>IFERROR(IF((time+time_cap)&lt;AM$2, 0,IF(AND(time+1&gt;=AN$2, $E155&lt;AN$2), IF($I155= "I", $J155/($F155-$E155+1), $J155/(($F155*($F155+1)/2)-(($E155-1)*($E155-1+1)/2))*AM$2), 0)+IF(IF(time+1&gt;=AN$2, $K155/time_cap/(time+1)*AM$2, 0) = 0, $K155/(time_cap),0)),0)</f>
        <v/>
      </c>
      <c r="AN155" s="4395">
        <f>IFERROR(IF((time+time_cap)&lt;AN$2, 0,IF(AND(time+1&gt;=AO$2, $E155&lt;AO$2), IF($I155= "I", $J155/($F155-$E155+1), $J155/(($F155*($F155+1)/2)-(($E155-1)*($E155-1+1)/2))*AN$2), 0)+IF(IF(time+1&gt;=AO$2, $K155/time_cap/(time+1)*AN$2, 0) = 0, $K155/(time_cap),0)),0)</f>
        <v/>
      </c>
      <c r="AO155" s="4395">
        <f>IFERROR(IF((time+time_cap)&lt;AO$2, 0,IF(AND(time+1&gt;=AP$2, $E155&lt;AP$2), IF($I155= "I", $J155/($F155-$E155+1), $J155/(($F155*($F155+1)/2)-(($E155-1)*($E155-1+1)/2))*AO$2), 0)+IF(IF(time+1&gt;=AP$2, $K155/time_cap/(time+1)*AO$2, 0) = 0, $K155/(time_cap),0)),0)</f>
        <v/>
      </c>
      <c r="AP155" s="4395">
        <f>IFERROR(IF((time+time_cap)&lt;AP$2, 0,IF(AND(time+1&gt;=AQ$2, $E155&lt;AQ$2), IF($I155= "I", $J155/($F155-$E155+1), $J155/(($F155*($F155+1)/2)-(($E155-1)*($E155-1+1)/2))*AP$2), 0)+IF(IF(time+1&gt;=AQ$2, $K155/time_cap/(time+1)*AP$2, 0) = 0, $K155/(time_cap),0)),0)</f>
        <v/>
      </c>
      <c r="AQ155" s="4395">
        <f>IFERROR(IF((time+time_cap)&lt;AQ$2, 0,IF(AND(time+1&gt;=AR$2, $E155&lt;AR$2), IF($I155= "I", $J155/($F155-$E155+1), $J155/(($F155*($F155+1)/2)-(($E155-1)*($E155-1+1)/2))*AQ$2), 0)+IF(IF(time+1&gt;=AR$2, $K155/time_cap/(time+1)*AQ$2, 0) = 0, $K155/(time_cap),0)),0)</f>
        <v/>
      </c>
      <c r="AR155" s="4395">
        <f>IFERROR(IF((time+time_cap)&lt;AR$2, 0,IF(AND(time+1&gt;=AS$2, $E155&lt;AS$2), IF($I155= "I", $J155/($F155-$E155+1), $J155/(($F155*($F155+1)/2)-(($E155-1)*($E155-1+1)/2))*AR$2), 0)+IF(IF(time+1&gt;=AS$2, $K155/time_cap/(time+1)*AR$2, 0) = 0, $K155/(time_cap),0)),0)</f>
        <v/>
      </c>
      <c r="AS155" s="4395">
        <f>IFERROR(IF((time+time_cap)&lt;AS$2, 0,IF(AND(time+1&gt;=AT$2, $E155&lt;AT$2), IF($I155= "I", $J155/($F155-$E155+1), $J155/(($F155*($F155+1)/2)-(($E155-1)*($E155-1+1)/2))*AS$2), 0)+IF(IF(time+1&gt;=AT$2, $K155/time_cap/(time+1)*AS$2, 0) = 0, $K155/(time_cap),0)),0)</f>
        <v/>
      </c>
      <c r="AT155" s="4395">
        <f>IFERROR(IF((time+time_cap)&lt;AT$2, 0,IF(AND(time+1&gt;=AU$2, $E155&lt;AU$2), IF($I155= "I", $J155/($F155-$E155+1), $J155/(($F155*($F155+1)/2)-(($E155-1)*($E155-1+1)/2))*AT$2), 0)+IF(IF(time+1&gt;=AU$2, $K155/time_cap/(time+1)*AT$2, 0) = 0, $K155/(time_cap),0)),0)</f>
        <v/>
      </c>
      <c r="AU155" s="4395">
        <f>IFERROR(IF((time+time_cap)&lt;AU$2, 0,IF(AND(time+1&gt;=AV$2, $E155&lt;AV$2), IF($I155= "I", $J155/($F155-$E155+1), $J155/(($F155*($F155+1)/2)-(($E155-1)*($E155-1+1)/2))*AU$2), 0)+IF(IF(time+1&gt;=AV$2, $K155/time_cap/(time+1)*AU$2, 0) = 0, $K155/(time_cap),0)),0)</f>
        <v/>
      </c>
      <c r="AV155" s="4395">
        <f>IFERROR(IF((time+time_cap)&lt;AV$2, 0,IF(AND(time+1&gt;=AW$2, $E155&lt;AW$2), IF($I155= "I", $J155/($F155-$E155+1), $J155/(($F155*($F155+1)/2)-(($E155-1)*($E155-1+1)/2))*AV$2), 0)+IF(IF(time+1&gt;=AW$2, $K155/time_cap/(time+1)*AV$2, 0) = 0, $K155/(time_cap),0)),0)</f>
        <v/>
      </c>
      <c r="AW155" s="4395">
        <f>IFERROR(IF((time+time_cap)&lt;AW$2, 0,IF(AND(time+1&gt;=AX$2, $E155&lt;AX$2), IF($I155= "I", $J155/($F155-$E155+1), $J155/(($F155*($F155+1)/2)-(($E155-1)*($E155-1+1)/2))*AW$2), 0)+IF(IF(time+1&gt;=AX$2, $K155/time_cap/(time+1)*AW$2, 0) = 0, $K155/(time_cap),0)),0)</f>
        <v/>
      </c>
      <c r="AX155" s="4395">
        <f>IFERROR(IF((time+time_cap)&lt;AX$2, 0,IF(AND(time+1&gt;=AY$2, $E155&lt;AY$2), IF($I155= "I", $J155/($F155-$E155+1), $J155/(($F155*($F155+1)/2)-(($E155-1)*($E155-1+1)/2))*AX$2), 0)+IF(IF(time+1&gt;=AY$2, $K155/time_cap/(time+1)*AX$2, 0) = 0, $K155/(time_cap),0)),0)</f>
        <v/>
      </c>
      <c r="AY155" s="4395">
        <f>IFERROR(IF((time+time_cap)&lt;AY$2, 0,IF(AND(time+1&gt;=AZ$2, $E155&lt;AZ$2), IF($I155= "I", $J155/($F155-$E155+1), $J155/(($F155*($F155+1)/2)-(($E155-1)*($E155-1+1)/2))*AY$2), 0)+IF(IF(time+1&gt;=AZ$2, $K155/time_cap/(time+1)*AY$2, 0) = 0, $K155/(time_cap),0)),0)</f>
        <v/>
      </c>
      <c r="AZ155" s="4395">
        <f>IFERROR(IF((time+time_cap)&lt;AZ$2, 0,IF(AND(time+1&gt;=BA$2, $E155&lt;BA$2), IF($I155= "I", $J155/($F155-$E155+1), $J155/(($F155*($F155+1)/2)-(($E155-1)*($E155-1+1)/2))*AZ$2), 0)+IF(IF(time+1&gt;=BA$2, $K155/time_cap/(time+1)*AZ$2, 0) = 0, $K155/(time_cap),0)),0)</f>
        <v/>
      </c>
      <c r="BA155" s="4395">
        <f>IFERROR(IF((time+time_cap)&lt;BA$2, 0,IF(AND(time+1&gt;=BB$2, $E155&lt;BB$2), IF($I155= "I", $J155/($F155-$E155+1), $J155/(($F155*($F155+1)/2)-(($E155-1)*($E155-1+1)/2))*BA$2), 0)+IF(IF(time+1&gt;=BB$2, $K155/time_cap/(time+1)*BA$2, 0) = 0, $K155/(time_cap),0)),0)</f>
        <v/>
      </c>
      <c r="BB155" s="4395">
        <f>IFERROR(IF((time+time_cap)&lt;BB$2, 0,IF(AND(time+1&gt;=BC$2, $E155&lt;BC$2), IF($I155= "I", $J155/($F155-$E155+1), $J155/(($F155*($F155+1)/2)-(($E155-1)*($E155-1+1)/2))*BB$2), 0)+IF(IF(time+1&gt;=BC$2, $K155/time_cap/(time+1)*BB$2, 0) = 0, $K155/(time_cap),0)),0)</f>
        <v/>
      </c>
      <c r="BC155" s="4395">
        <f>IFERROR(IF((time+time_cap)&lt;BC$2, 0,IF(AND(time+1&gt;=BD$2, $E155&lt;BD$2), IF($I155= "I", $J155/($F155-$E155+1), $J155/(($F155*($F155+1)/2)-(($E155-1)*($E155-1+1)/2))*BC$2), 0)+IF(IF(time+1&gt;=BD$2, $K155/time_cap/(time+1)*BC$2, 0) = 0, $K155/(time_cap),0)),0)</f>
        <v/>
      </c>
      <c r="BD155" s="4395">
        <f>IFERROR(IF((time+time_cap)&lt;BD$2, 0,IF(AND(time+1&gt;=BE$2, $E155&lt;BE$2), IF($I155= "I", $J155/($F155-$E155+1), $J155/(($F155*($F155+1)/2)-(($E155-1)*($E155-1+1)/2))*BD$2), 0)+IF(IF(time+1&gt;=BE$2, $K155/time_cap/(time+1)*BD$2, 0) = 0, $K155/(time_cap),0)),0)</f>
        <v/>
      </c>
      <c r="BE155" s="4395">
        <f>IFERROR(IF((time+time_cap)&lt;BE$2, 0,IF(AND(time+1&gt;=BF$2, $E155&lt;BF$2), IF($I155= "I", $J155/($F155-$E155+1), $J155/(($F155*($F155+1)/2)-(($E155-1)*($E155-1+1)/2))*BE$2), 0)+IF(IF(time+1&gt;=BF$2, $K155/time_cap/(time+1)*BE$2, 0) = 0, $K155/(time_cap),0)),0)</f>
        <v/>
      </c>
      <c r="BF155" s="4395">
        <f>IFERROR(IF((time+time_cap)&lt;BF$2, 0,IF(AND(time+1&gt;=BG$2, $E155&lt;BG$2), IF($I155= "I", $J155/($F155-$E155+1), $J155/(($F155*($F155+1)/2)-(($E155-1)*($E155-1+1)/2))*BF$2), 0)+IF(IF(time+1&gt;=BG$2, $K155/time_cap/(time+1)*BF$2, 0) = 0, $K155/(time_cap),0)),0)</f>
        <v/>
      </c>
      <c r="BG155" s="4395">
        <f>IFERROR(IF((time+time_cap)&lt;BG$2, 0,IF(AND(time+1&gt;=BH$2, $E155&lt;BH$2), IF($I155= "I", $J155/($F155-$E155+1), $J155/(($F155*($F155+1)/2)-(($E155-1)*($E155-1+1)/2))*BG$2), 0)+IF(IF(time+1&gt;=BH$2, $K155/time_cap/(time+1)*BG$2, 0) = 0, $K155/(time_cap),0)),0)</f>
        <v/>
      </c>
      <c r="BH155" s="4395">
        <f>IFERROR(IF((time+time_cap)&lt;BH$2, 0,IF(AND(time+1&gt;=BI$2, $E155&lt;BI$2), IF($I155= "I", $J155/($F155-$E155+1), $J155/(($F155*($F155+1)/2)-(($E155-1)*($E155-1+1)/2))*BH$2), 0)+IF(IF(time+1&gt;=BI$2, $K155/time_cap/(time+1)*BH$2, 0) = 0, $K155/(time_cap),0)),0)</f>
        <v/>
      </c>
      <c r="BI155" s="4395">
        <f>IFERROR(IF((time+time_cap)&lt;BI$2, 0,IF(AND(time+1&gt;=BJ$2, $E155&lt;BJ$2), IF($I155= "I", $J155/($F155-$E155+1), $J155/(($F155*($F155+1)/2)-(($E155-1)*($E155-1+1)/2))*BI$2), 0)+IF(IF(time+1&gt;=BJ$2, $K155/time_cap/(time+1)*BI$2, 0) = 0, $K155/(time_cap),0)),0)</f>
        <v/>
      </c>
      <c r="BJ155" s="4395">
        <f>IFERROR(IF((time+time_cap)&lt;BJ$2, 0,IF(AND(time+1&gt;=BK$2, $E155&lt;BK$2), IF($I155= "I", $J155/($F155-$E155+1), $J155/(($F155*($F155+1)/2)-(($E155-1)*($E155-1+1)/2))*BJ$2), 0)+IF(IF(time+1&gt;=BK$2, $K155/time_cap/(time+1)*BJ$2, 0) = 0, $K155/(time_cap),0)),0)</f>
        <v/>
      </c>
      <c r="BK155" s="4395" t="n"/>
      <c r="BL155" s="4395" t="n"/>
      <c r="BM155" s="4395" t="n"/>
      <c r="BN155" s="4395" t="n"/>
      <c r="BO155" s="4395" t="n"/>
      <c r="BP155" s="4395" t="n"/>
      <c r="BQ155" s="4395" t="n"/>
      <c r="BR155" s="4395" t="n"/>
      <c r="BS155" s="4395" t="n"/>
      <c r="BT155" s="4395" t="n"/>
      <c r="BU155" s="4395" t="n"/>
      <c r="BV155" s="4395" t="n"/>
      <c r="BW155" s="4395" t="n"/>
      <c r="BX155" s="4395" t="n"/>
      <c r="BY155" s="4395" t="n"/>
      <c r="BZ155" s="4395" t="n"/>
      <c r="CA155" s="4395" t="n"/>
      <c r="CB155" s="4395" t="n"/>
      <c r="CC155" s="4395" t="n"/>
      <c r="CD155" s="4395" t="n"/>
      <c r="CE155" s="4395" t="n"/>
      <c r="CF155" s="4395" t="n"/>
      <c r="CG155" s="4395" t="n"/>
      <c r="CH155" s="4395" t="n"/>
      <c r="CI155" s="4395" t="n"/>
      <c r="CJ155" s="4395" t="n"/>
      <c r="CK155" s="4395" t="n"/>
      <c r="CL155" s="4395" t="n"/>
      <c r="CM155" s="4395" t="n"/>
      <c r="CN155" s="4395" t="n"/>
      <c r="CO155" s="4395" t="n"/>
      <c r="CP155" s="4395" t="n"/>
      <c r="CQ155" s="4395" t="n"/>
      <c r="CR155" s="4395" t="n"/>
      <c r="CS155" s="4395" t="n"/>
      <c r="CT155" s="4395" t="n"/>
      <c r="CU155" s="4395" t="n"/>
      <c r="CV155" s="4395" t="n"/>
      <c r="CW155" s="4395" t="n"/>
      <c r="CX155" s="4395" t="n"/>
      <c r="CY155" s="4395" t="n"/>
      <c r="CZ155" s="4395" t="n"/>
      <c r="DA155" s="4395" t="n"/>
      <c r="DB155" s="4395" t="n"/>
      <c r="DC155" s="4395" t="n"/>
      <c r="DD155" s="4395" t="n"/>
      <c r="DE155" s="4395" t="n"/>
      <c r="DF155" s="4395" t="n"/>
      <c r="DG155" s="4395" t="n"/>
      <c r="DH155" s="4395" t="n"/>
    </row>
    <row r="156" ht="16" customHeight="1">
      <c r="A156" t="inlineStr">
        <is>
          <t>Inland wetlands - water</t>
        </is>
      </c>
      <c r="B156">
        <f>'6.Inland wetlands'!C201</f>
        <v/>
      </c>
      <c r="C156">
        <f>'6.Inland wetlands'!I201</f>
        <v/>
      </c>
      <c r="D156">
        <f>'6.Inland wetlands'!AH202</f>
        <v/>
      </c>
      <c r="E156">
        <f>IF('6.Inland wetlands'!CA201&lt;&gt;0,'6.Inland wetlands'!CA201,'6.Inland wetlands'!BZ201)</f>
        <v/>
      </c>
      <c r="F156">
        <f>time</f>
        <v/>
      </c>
      <c r="G156" s="4395">
        <f>'6.Inland wetlands'!O201</f>
        <v/>
      </c>
      <c r="H156" s="4395">
        <f>'6.Inland wetlands'!Q201</f>
        <v/>
      </c>
      <c r="I156" s="4395">
        <f>IF(OR(H156="I", G156="I"), "I", IF(OR(H156="E", G156="E"), "E", "D"))</f>
        <v/>
      </c>
      <c r="J156" s="4395">
        <f>((D156/(time_cap+((F156-E156+1)*VLOOKUP(I156,list!$I$48:$K$50,3, FALSE))))*(F156-E156+1)*VLOOKUP(I156,list!$I$48:$K$50,3, FALSE))</f>
        <v/>
      </c>
      <c r="K156" s="4395">
        <f>((D156/(time_cap+((F156-E156+1)*VLOOKUP(I156,list!$I$48:$K$50,3, FALSE))))*time_cap)</f>
        <v/>
      </c>
      <c r="M156" s="4395">
        <f>IFERROR(IF((time+time_cap)&lt;M$2, 0,IF(AND(time+1&gt;=N$2, $E156&lt;N$2), IF($I156= "I", $J156/($F156-$E156+1), $J156/(($F156*($F156+1)/2)-(($E156-1)*($E156-1+1)/2))*M$2), 0)+IF(IF(time+1&gt;=N$2, $K156/time_cap/(time+1)*M$2, 0) = 0, $K156/(time_cap),0)),0)</f>
        <v/>
      </c>
      <c r="N156" s="4395">
        <f>IFERROR(IF((time+time_cap)&lt;N$2, 0,IF(AND(time+1&gt;=O$2, $E156&lt;O$2), IF($I156= "I", $J156/($F156-$E156+1), $J156/(($F156*($F156+1)/2)-(($E156-1)*($E156-1+1)/2))*N$2), 0)+IF(IF(time+1&gt;=O$2, $K156/time_cap/(time+1)*N$2, 0) = 0, $K156/(time_cap),0)),0)</f>
        <v/>
      </c>
      <c r="O156" s="4395">
        <f>IFERROR(IF((time+time_cap)&lt;O$2, 0,IF(AND(time+1&gt;=P$2, $E156&lt;P$2), IF($I156= "I", $J156/($F156-$E156+1), $J156/(($F156*($F156+1)/2)-(($E156-1)*($E156-1+1)/2))*O$2), 0)+IF(IF(time+1&gt;=P$2, $K156/time_cap/(time+1)*O$2, 0) = 0, $K156/(time_cap),0)),0)</f>
        <v/>
      </c>
      <c r="P156" s="4395">
        <f>IFERROR(IF((time+time_cap)&lt;P$2, 0,IF(AND(time+1&gt;=Q$2, $E156&lt;Q$2), IF($I156= "I", $J156/($F156-$E156+1), $J156/(($F156*($F156+1)/2)-(($E156-1)*($E156-1+1)/2))*P$2), 0)+IF(IF(time+1&gt;=Q$2, $K156/time_cap/(time+1)*P$2, 0) = 0, $K156/(time_cap),0)),0)</f>
        <v/>
      </c>
      <c r="Q156" s="4395">
        <f>IFERROR(IF((time+time_cap)&lt;Q$2, 0,IF(AND(time+1&gt;=R$2, $E156&lt;R$2), IF($I156= "I", $J156/($F156-$E156+1), $J156/(($F156*($F156+1)/2)-(($E156-1)*($E156-1+1)/2))*Q$2), 0)+IF(IF(time+1&gt;=R$2, $K156/time_cap/(time+1)*Q$2, 0) = 0, $K156/(time_cap),0)),0)</f>
        <v/>
      </c>
      <c r="R156" s="4395">
        <f>IFERROR(IF((time+time_cap)&lt;R$2, 0,IF(AND(time+1&gt;=S$2, $E156&lt;S$2), IF($I156= "I", $J156/($F156-$E156+1), $J156/(($F156*($F156+1)/2)-(($E156-1)*($E156-1+1)/2))*R$2), 0)+IF(IF(time+1&gt;=S$2, $K156/time_cap/(time+1)*R$2, 0) = 0, $K156/(time_cap),0)),0)</f>
        <v/>
      </c>
      <c r="S156" s="4395">
        <f>IFERROR(IF((time+time_cap)&lt;S$2, 0,IF(AND(time+1&gt;=T$2, $E156&lt;T$2), IF($I156= "I", $J156/($F156-$E156+1), $J156/(($F156*($F156+1)/2)-(($E156-1)*($E156-1+1)/2))*S$2), 0)+IF(IF(time+1&gt;=T$2, $K156/time_cap/(time+1)*S$2, 0) = 0, $K156/(time_cap),0)),0)</f>
        <v/>
      </c>
      <c r="T156" s="4395">
        <f>IFERROR(IF((time+time_cap)&lt;T$2, 0,IF(AND(time+1&gt;=U$2, $E156&lt;U$2), IF($I156= "I", $J156/($F156-$E156+1), $J156/(($F156*($F156+1)/2)-(($E156-1)*($E156-1+1)/2))*T$2), 0)+IF(IF(time+1&gt;=U$2, $K156/time_cap/(time+1)*T$2, 0) = 0, $K156/(time_cap),0)),0)</f>
        <v/>
      </c>
      <c r="U156" s="4395">
        <f>IFERROR(IF((time+time_cap)&lt;U$2, 0,IF(AND(time+1&gt;=V$2, $E156&lt;V$2), IF($I156= "I", $J156/($F156-$E156+1), $J156/(($F156*($F156+1)/2)-(($E156-1)*($E156-1+1)/2))*U$2), 0)+IF(IF(time+1&gt;=V$2, $K156/time_cap/(time+1)*U$2, 0) = 0, $K156/(time_cap),0)),0)</f>
        <v/>
      </c>
      <c r="V156" s="4395">
        <f>IFERROR(IF((time+time_cap)&lt;V$2, 0,IF(AND(time+1&gt;=W$2, $E156&lt;W$2), IF($I156= "I", $J156/($F156-$E156+1), $J156/(($F156*($F156+1)/2)-(($E156-1)*($E156-1+1)/2))*V$2), 0)+IF(IF(time+1&gt;=W$2, $K156/time_cap/(time+1)*V$2, 0) = 0, $K156/(time_cap),0)),0)</f>
        <v/>
      </c>
      <c r="W156" s="4395">
        <f>IFERROR(IF((time+time_cap)&lt;W$2, 0,IF(AND(time+1&gt;=X$2, $E156&lt;X$2), IF($I156= "I", $J156/($F156-$E156+1), $J156/(($F156*($F156+1)/2)-(($E156-1)*($E156-1+1)/2))*W$2), 0)+IF(IF(time+1&gt;=X$2, $K156/time_cap/(time+1)*W$2, 0) = 0, $K156/(time_cap),0)),0)</f>
        <v/>
      </c>
      <c r="X156" s="4395">
        <f>IFERROR(IF((time+time_cap)&lt;X$2, 0,IF(AND(time+1&gt;=Y$2, $E156&lt;Y$2), IF($I156= "I", $J156/($F156-$E156+1), $J156/(($F156*($F156+1)/2)-(($E156-1)*($E156-1+1)/2))*X$2), 0)+IF(IF(time+1&gt;=Y$2, $K156/time_cap/(time+1)*X$2, 0) = 0, $K156/(time_cap),0)),0)</f>
        <v/>
      </c>
      <c r="Y156" s="4395">
        <f>IFERROR(IF((time+time_cap)&lt;Y$2, 0,IF(AND(time+1&gt;=Z$2, $E156&lt;Z$2), IF($I156= "I", $J156/($F156-$E156+1), $J156/(($F156*($F156+1)/2)-(($E156-1)*($E156-1+1)/2))*Y$2), 0)+IF(IF(time+1&gt;=Z$2, $K156/time_cap/(time+1)*Y$2, 0) = 0, $K156/(time_cap),0)),0)</f>
        <v/>
      </c>
      <c r="Z156" s="4395">
        <f>IFERROR(IF((time+time_cap)&lt;Z$2, 0,IF(AND(time+1&gt;=AA$2, $E156&lt;AA$2), IF($I156= "I", $J156/($F156-$E156+1), $J156/(($F156*($F156+1)/2)-(($E156-1)*($E156-1+1)/2))*Z$2), 0)+IF(IF(time+1&gt;=AA$2, $K156/time_cap/(time+1)*Z$2, 0) = 0, $K156/(time_cap),0)),0)</f>
        <v/>
      </c>
      <c r="AA156" s="4395">
        <f>IFERROR(IF((time+time_cap)&lt;AA$2, 0,IF(AND(time+1&gt;=AB$2, $E156&lt;AB$2), IF($I156= "I", $J156/($F156-$E156+1), $J156/(($F156*($F156+1)/2)-(($E156-1)*($E156-1+1)/2))*AA$2), 0)+IF(IF(time+1&gt;=AB$2, $K156/time_cap/(time+1)*AA$2, 0) = 0, $K156/(time_cap),0)),0)</f>
        <v/>
      </c>
      <c r="AB156" s="4395">
        <f>IFERROR(IF((time+time_cap)&lt;AB$2, 0,IF(AND(time+1&gt;=AC$2, $E156&lt;AC$2), IF($I156= "I", $J156/($F156-$E156+1), $J156/(($F156*($F156+1)/2)-(($E156-1)*($E156-1+1)/2))*AB$2), 0)+IF(IF(time+1&gt;=AC$2, $K156/time_cap/(time+1)*AB$2, 0) = 0, $K156/(time_cap),0)),0)</f>
        <v/>
      </c>
      <c r="AC156" s="4395">
        <f>IFERROR(IF((time+time_cap)&lt;AC$2, 0,IF(AND(time+1&gt;=AD$2, $E156&lt;AD$2), IF($I156= "I", $J156/($F156-$E156+1), $J156/(($F156*($F156+1)/2)-(($E156-1)*($E156-1+1)/2))*AC$2), 0)+IF(IF(time+1&gt;=AD$2, $K156/time_cap/(time+1)*AC$2, 0) = 0, $K156/(time_cap),0)),0)</f>
        <v/>
      </c>
      <c r="AD156" s="4395">
        <f>IFERROR(IF((time+time_cap)&lt;AD$2, 0,IF(AND(time+1&gt;=AE$2, $E156&lt;AE$2), IF($I156= "I", $J156/($F156-$E156+1), $J156/(($F156*($F156+1)/2)-(($E156-1)*($E156-1+1)/2))*AD$2), 0)+IF(IF(time+1&gt;=AE$2, $K156/time_cap/(time+1)*AD$2, 0) = 0, $K156/(time_cap),0)),0)</f>
        <v/>
      </c>
      <c r="AE156" s="4395">
        <f>IFERROR(IF((time+time_cap)&lt;AE$2, 0,IF(AND(time+1&gt;=AF$2, $E156&lt;AF$2), IF($I156= "I", $J156/($F156-$E156+1), $J156/(($F156*($F156+1)/2)-(($E156-1)*($E156-1+1)/2))*AE$2), 0)+IF(IF(time+1&gt;=AF$2, $K156/time_cap/(time+1)*AE$2, 0) = 0, $K156/(time_cap),0)),0)</f>
        <v/>
      </c>
      <c r="AF156" s="4395">
        <f>IFERROR(IF((time+time_cap)&lt;AF$2, 0,IF(AND(time+1&gt;=AG$2, $E156&lt;AG$2), IF($I156= "I", $J156/($F156-$E156+1), $J156/(($F156*($F156+1)/2)-(($E156-1)*($E156-1+1)/2))*AF$2), 0)+IF(IF(time+1&gt;=AG$2, $K156/time_cap/(time+1)*AF$2, 0) = 0, $K156/(time_cap),0)),0)</f>
        <v/>
      </c>
      <c r="AG156" s="4395">
        <f>IFERROR(IF((time+time_cap)&lt;AG$2, 0,IF(AND(time+1&gt;=AH$2, $E156&lt;AH$2), IF($I156= "I", $J156/($F156-$E156+1), $J156/(($F156*($F156+1)/2)-(($E156-1)*($E156-1+1)/2))*AG$2), 0)+IF(IF(time+1&gt;=AH$2, $K156/time_cap/(time+1)*AG$2, 0) = 0, $K156/(time_cap),0)),0)</f>
        <v/>
      </c>
      <c r="AH156" s="4395">
        <f>IFERROR(IF((time+time_cap)&lt;AH$2, 0,IF(AND(time+1&gt;=AI$2, $E156&lt;AI$2), IF($I156= "I", $J156/($F156-$E156+1), $J156/(($F156*($F156+1)/2)-(($E156-1)*($E156-1+1)/2))*AH$2), 0)+IF(IF(time+1&gt;=AI$2, $K156/time_cap/(time+1)*AH$2, 0) = 0, $K156/(time_cap),0)),0)</f>
        <v/>
      </c>
      <c r="AI156" s="4395">
        <f>IFERROR(IF((time+time_cap)&lt;AI$2, 0,IF(AND(time+1&gt;=AJ$2, $E156&lt;AJ$2), IF($I156= "I", $J156/($F156-$E156+1), $J156/(($F156*($F156+1)/2)-(($E156-1)*($E156-1+1)/2))*AI$2), 0)+IF(IF(time+1&gt;=AJ$2, $K156/time_cap/(time+1)*AI$2, 0) = 0, $K156/(time_cap),0)),0)</f>
        <v/>
      </c>
      <c r="AJ156" s="4395">
        <f>IFERROR(IF((time+time_cap)&lt;AJ$2, 0,IF(AND(time+1&gt;=AK$2, $E156&lt;AK$2), IF($I156= "I", $J156/($F156-$E156+1), $J156/(($F156*($F156+1)/2)-(($E156-1)*($E156-1+1)/2))*AJ$2), 0)+IF(IF(time+1&gt;=AK$2, $K156/time_cap/(time+1)*AJ$2, 0) = 0, $K156/(time_cap),0)),0)</f>
        <v/>
      </c>
      <c r="AK156" s="4395">
        <f>IFERROR(IF((time+time_cap)&lt;AK$2, 0,IF(AND(time+1&gt;=AL$2, $E156&lt;AL$2), IF($I156= "I", $J156/($F156-$E156+1), $J156/(($F156*($F156+1)/2)-(($E156-1)*($E156-1+1)/2))*AK$2), 0)+IF(IF(time+1&gt;=AL$2, $K156/time_cap/(time+1)*AK$2, 0) = 0, $K156/(time_cap),0)),0)</f>
        <v/>
      </c>
      <c r="AL156" s="4395">
        <f>IFERROR(IF((time+time_cap)&lt;AL$2, 0,IF(AND(time+1&gt;=AM$2, $E156&lt;AM$2), IF($I156= "I", $J156/($F156-$E156+1), $J156/(($F156*($F156+1)/2)-(($E156-1)*($E156-1+1)/2))*AL$2), 0)+IF(IF(time+1&gt;=AM$2, $K156/time_cap/(time+1)*AL$2, 0) = 0, $K156/(time_cap),0)),0)</f>
        <v/>
      </c>
      <c r="AM156" s="4395">
        <f>IFERROR(IF((time+time_cap)&lt;AM$2, 0,IF(AND(time+1&gt;=AN$2, $E156&lt;AN$2), IF($I156= "I", $J156/($F156-$E156+1), $J156/(($F156*($F156+1)/2)-(($E156-1)*($E156-1+1)/2))*AM$2), 0)+IF(IF(time+1&gt;=AN$2, $K156/time_cap/(time+1)*AM$2, 0) = 0, $K156/(time_cap),0)),0)</f>
        <v/>
      </c>
      <c r="AN156" s="4395">
        <f>IFERROR(IF((time+time_cap)&lt;AN$2, 0,IF(AND(time+1&gt;=AO$2, $E156&lt;AO$2), IF($I156= "I", $J156/($F156-$E156+1), $J156/(($F156*($F156+1)/2)-(($E156-1)*($E156-1+1)/2))*AN$2), 0)+IF(IF(time+1&gt;=AO$2, $K156/time_cap/(time+1)*AN$2, 0) = 0, $K156/(time_cap),0)),0)</f>
        <v/>
      </c>
      <c r="AO156" s="4395">
        <f>IFERROR(IF((time+time_cap)&lt;AO$2, 0,IF(AND(time+1&gt;=AP$2, $E156&lt;AP$2), IF($I156= "I", $J156/($F156-$E156+1), $J156/(($F156*($F156+1)/2)-(($E156-1)*($E156-1+1)/2))*AO$2), 0)+IF(IF(time+1&gt;=AP$2, $K156/time_cap/(time+1)*AO$2, 0) = 0, $K156/(time_cap),0)),0)</f>
        <v/>
      </c>
      <c r="AP156" s="4395">
        <f>IFERROR(IF((time+time_cap)&lt;AP$2, 0,IF(AND(time+1&gt;=AQ$2, $E156&lt;AQ$2), IF($I156= "I", $J156/($F156-$E156+1), $J156/(($F156*($F156+1)/2)-(($E156-1)*($E156-1+1)/2))*AP$2), 0)+IF(IF(time+1&gt;=AQ$2, $K156/time_cap/(time+1)*AP$2, 0) = 0, $K156/(time_cap),0)),0)</f>
        <v/>
      </c>
      <c r="AQ156" s="4395">
        <f>IFERROR(IF((time+time_cap)&lt;AQ$2, 0,IF(AND(time+1&gt;=AR$2, $E156&lt;AR$2), IF($I156= "I", $J156/($F156-$E156+1), $J156/(($F156*($F156+1)/2)-(($E156-1)*($E156-1+1)/2))*AQ$2), 0)+IF(IF(time+1&gt;=AR$2, $K156/time_cap/(time+1)*AQ$2, 0) = 0, $K156/(time_cap),0)),0)</f>
        <v/>
      </c>
      <c r="AR156" s="4395">
        <f>IFERROR(IF((time+time_cap)&lt;AR$2, 0,IF(AND(time+1&gt;=AS$2, $E156&lt;AS$2), IF($I156= "I", $J156/($F156-$E156+1), $J156/(($F156*($F156+1)/2)-(($E156-1)*($E156-1+1)/2))*AR$2), 0)+IF(IF(time+1&gt;=AS$2, $K156/time_cap/(time+1)*AR$2, 0) = 0, $K156/(time_cap),0)),0)</f>
        <v/>
      </c>
      <c r="AS156" s="4395">
        <f>IFERROR(IF((time+time_cap)&lt;AS$2, 0,IF(AND(time+1&gt;=AT$2, $E156&lt;AT$2), IF($I156= "I", $J156/($F156-$E156+1), $J156/(($F156*($F156+1)/2)-(($E156-1)*($E156-1+1)/2))*AS$2), 0)+IF(IF(time+1&gt;=AT$2, $K156/time_cap/(time+1)*AS$2, 0) = 0, $K156/(time_cap),0)),0)</f>
        <v/>
      </c>
      <c r="AT156" s="4395">
        <f>IFERROR(IF((time+time_cap)&lt;AT$2, 0,IF(AND(time+1&gt;=AU$2, $E156&lt;AU$2), IF($I156= "I", $J156/($F156-$E156+1), $J156/(($F156*($F156+1)/2)-(($E156-1)*($E156-1+1)/2))*AT$2), 0)+IF(IF(time+1&gt;=AU$2, $K156/time_cap/(time+1)*AT$2, 0) = 0, $K156/(time_cap),0)),0)</f>
        <v/>
      </c>
      <c r="AU156" s="4395">
        <f>IFERROR(IF((time+time_cap)&lt;AU$2, 0,IF(AND(time+1&gt;=AV$2, $E156&lt;AV$2), IF($I156= "I", $J156/($F156-$E156+1), $J156/(($F156*($F156+1)/2)-(($E156-1)*($E156-1+1)/2))*AU$2), 0)+IF(IF(time+1&gt;=AV$2, $K156/time_cap/(time+1)*AU$2, 0) = 0, $K156/(time_cap),0)),0)</f>
        <v/>
      </c>
      <c r="AV156" s="4395">
        <f>IFERROR(IF((time+time_cap)&lt;AV$2, 0,IF(AND(time+1&gt;=AW$2, $E156&lt;AW$2), IF($I156= "I", $J156/($F156-$E156+1), $J156/(($F156*($F156+1)/2)-(($E156-1)*($E156-1+1)/2))*AV$2), 0)+IF(IF(time+1&gt;=AW$2, $K156/time_cap/(time+1)*AV$2, 0) = 0, $K156/(time_cap),0)),0)</f>
        <v/>
      </c>
      <c r="AW156" s="4395">
        <f>IFERROR(IF((time+time_cap)&lt;AW$2, 0,IF(AND(time+1&gt;=AX$2, $E156&lt;AX$2), IF($I156= "I", $J156/($F156-$E156+1), $J156/(($F156*($F156+1)/2)-(($E156-1)*($E156-1+1)/2))*AW$2), 0)+IF(IF(time+1&gt;=AX$2, $K156/time_cap/(time+1)*AW$2, 0) = 0, $K156/(time_cap),0)),0)</f>
        <v/>
      </c>
      <c r="AX156" s="4395">
        <f>IFERROR(IF((time+time_cap)&lt;AX$2, 0,IF(AND(time+1&gt;=AY$2, $E156&lt;AY$2), IF($I156= "I", $J156/($F156-$E156+1), $J156/(($F156*($F156+1)/2)-(($E156-1)*($E156-1+1)/2))*AX$2), 0)+IF(IF(time+1&gt;=AY$2, $K156/time_cap/(time+1)*AX$2, 0) = 0, $K156/(time_cap),0)),0)</f>
        <v/>
      </c>
      <c r="AY156" s="4395">
        <f>IFERROR(IF((time+time_cap)&lt;AY$2, 0,IF(AND(time+1&gt;=AZ$2, $E156&lt;AZ$2), IF($I156= "I", $J156/($F156-$E156+1), $J156/(($F156*($F156+1)/2)-(($E156-1)*($E156-1+1)/2))*AY$2), 0)+IF(IF(time+1&gt;=AZ$2, $K156/time_cap/(time+1)*AY$2, 0) = 0, $K156/(time_cap),0)),0)</f>
        <v/>
      </c>
      <c r="AZ156" s="4395">
        <f>IFERROR(IF((time+time_cap)&lt;AZ$2, 0,IF(AND(time+1&gt;=BA$2, $E156&lt;BA$2), IF($I156= "I", $J156/($F156-$E156+1), $J156/(($F156*($F156+1)/2)-(($E156-1)*($E156-1+1)/2))*AZ$2), 0)+IF(IF(time+1&gt;=BA$2, $K156/time_cap/(time+1)*AZ$2, 0) = 0, $K156/(time_cap),0)),0)</f>
        <v/>
      </c>
      <c r="BA156" s="4395">
        <f>IFERROR(IF((time+time_cap)&lt;BA$2, 0,IF(AND(time+1&gt;=BB$2, $E156&lt;BB$2), IF($I156= "I", $J156/($F156-$E156+1), $J156/(($F156*($F156+1)/2)-(($E156-1)*($E156-1+1)/2))*BA$2), 0)+IF(IF(time+1&gt;=BB$2, $K156/time_cap/(time+1)*BA$2, 0) = 0, $K156/(time_cap),0)),0)</f>
        <v/>
      </c>
      <c r="BB156" s="4395">
        <f>IFERROR(IF((time+time_cap)&lt;BB$2, 0,IF(AND(time+1&gt;=BC$2, $E156&lt;BC$2), IF($I156= "I", $J156/($F156-$E156+1), $J156/(($F156*($F156+1)/2)-(($E156-1)*($E156-1+1)/2))*BB$2), 0)+IF(IF(time+1&gt;=BC$2, $K156/time_cap/(time+1)*BB$2, 0) = 0, $K156/(time_cap),0)),0)</f>
        <v/>
      </c>
      <c r="BC156" s="4395">
        <f>IFERROR(IF((time+time_cap)&lt;BC$2, 0,IF(AND(time+1&gt;=BD$2, $E156&lt;BD$2), IF($I156= "I", $J156/($F156-$E156+1), $J156/(($F156*($F156+1)/2)-(($E156-1)*($E156-1+1)/2))*BC$2), 0)+IF(IF(time+1&gt;=BD$2, $K156/time_cap/(time+1)*BC$2, 0) = 0, $K156/(time_cap),0)),0)</f>
        <v/>
      </c>
      <c r="BD156" s="4395">
        <f>IFERROR(IF((time+time_cap)&lt;BD$2, 0,IF(AND(time+1&gt;=BE$2, $E156&lt;BE$2), IF($I156= "I", $J156/($F156-$E156+1), $J156/(($F156*($F156+1)/2)-(($E156-1)*($E156-1+1)/2))*BD$2), 0)+IF(IF(time+1&gt;=BE$2, $K156/time_cap/(time+1)*BD$2, 0) = 0, $K156/(time_cap),0)),0)</f>
        <v/>
      </c>
      <c r="BE156" s="4395">
        <f>IFERROR(IF((time+time_cap)&lt;BE$2, 0,IF(AND(time+1&gt;=BF$2, $E156&lt;BF$2), IF($I156= "I", $J156/($F156-$E156+1), $J156/(($F156*($F156+1)/2)-(($E156-1)*($E156-1+1)/2))*BE$2), 0)+IF(IF(time+1&gt;=BF$2, $K156/time_cap/(time+1)*BE$2, 0) = 0, $K156/(time_cap),0)),0)</f>
        <v/>
      </c>
      <c r="BF156" s="4395">
        <f>IFERROR(IF((time+time_cap)&lt;BF$2, 0,IF(AND(time+1&gt;=BG$2, $E156&lt;BG$2), IF($I156= "I", $J156/($F156-$E156+1), $J156/(($F156*($F156+1)/2)-(($E156-1)*($E156-1+1)/2))*BF$2), 0)+IF(IF(time+1&gt;=BG$2, $K156/time_cap/(time+1)*BF$2, 0) = 0, $K156/(time_cap),0)),0)</f>
        <v/>
      </c>
      <c r="BG156" s="4395">
        <f>IFERROR(IF((time+time_cap)&lt;BG$2, 0,IF(AND(time+1&gt;=BH$2, $E156&lt;BH$2), IF($I156= "I", $J156/($F156-$E156+1), $J156/(($F156*($F156+1)/2)-(($E156-1)*($E156-1+1)/2))*BG$2), 0)+IF(IF(time+1&gt;=BH$2, $K156/time_cap/(time+1)*BG$2, 0) = 0, $K156/(time_cap),0)),0)</f>
        <v/>
      </c>
      <c r="BH156" s="4395">
        <f>IFERROR(IF((time+time_cap)&lt;BH$2, 0,IF(AND(time+1&gt;=BI$2, $E156&lt;BI$2), IF($I156= "I", $J156/($F156-$E156+1), $J156/(($F156*($F156+1)/2)-(($E156-1)*($E156-1+1)/2))*BH$2), 0)+IF(IF(time+1&gt;=BI$2, $K156/time_cap/(time+1)*BH$2, 0) = 0, $K156/(time_cap),0)),0)</f>
        <v/>
      </c>
      <c r="BI156" s="4395">
        <f>IFERROR(IF((time+time_cap)&lt;BI$2, 0,IF(AND(time+1&gt;=BJ$2, $E156&lt;BJ$2), IF($I156= "I", $J156/($F156-$E156+1), $J156/(($F156*($F156+1)/2)-(($E156-1)*($E156-1+1)/2))*BI$2), 0)+IF(IF(time+1&gt;=BJ$2, $K156/time_cap/(time+1)*BI$2, 0) = 0, $K156/(time_cap),0)),0)</f>
        <v/>
      </c>
      <c r="BJ156" s="4395">
        <f>IFERROR(IF((time+time_cap)&lt;BJ$2, 0,IF(AND(time+1&gt;=BK$2, $E156&lt;BK$2), IF($I156= "I", $J156/($F156-$E156+1), $J156/(($F156*($F156+1)/2)-(($E156-1)*($E156-1+1)/2))*BJ$2), 0)+IF(IF(time+1&gt;=BK$2, $K156/time_cap/(time+1)*BJ$2, 0) = 0, $K156/(time_cap),0)),0)</f>
        <v/>
      </c>
      <c r="BK156" s="4395" t="n"/>
      <c r="BL156" s="4395" t="n"/>
      <c r="BM156" s="4395" t="n"/>
      <c r="BN156" s="4395" t="n"/>
      <c r="BO156" s="4395" t="n"/>
      <c r="BP156" s="4395" t="n"/>
      <c r="BQ156" s="4395" t="n"/>
      <c r="BR156" s="4395" t="n"/>
      <c r="BS156" s="4395" t="n"/>
      <c r="BT156" s="4395" t="n"/>
      <c r="BU156" s="4395" t="n"/>
      <c r="BV156" s="4395" t="n"/>
      <c r="BW156" s="4395" t="n"/>
      <c r="BX156" s="4395" t="n"/>
      <c r="BY156" s="4395" t="n"/>
      <c r="BZ156" s="4395" t="n"/>
      <c r="CA156" s="4395" t="n"/>
      <c r="CB156" s="4395" t="n"/>
      <c r="CC156" s="4395" t="n"/>
      <c r="CD156" s="4395" t="n"/>
      <c r="CE156" s="4395" t="n"/>
      <c r="CF156" s="4395" t="n"/>
      <c r="CG156" s="4395" t="n"/>
      <c r="CH156" s="4395" t="n"/>
      <c r="CI156" s="4395" t="n"/>
      <c r="CJ156" s="4395" t="n"/>
      <c r="CK156" s="4395" t="n"/>
      <c r="CL156" s="4395" t="n"/>
      <c r="CM156" s="4395" t="n"/>
      <c r="CN156" s="4395" t="n"/>
      <c r="CO156" s="4395" t="n"/>
      <c r="CP156" s="4395" t="n"/>
      <c r="CQ156" s="4395" t="n"/>
      <c r="CR156" s="4395" t="n"/>
      <c r="CS156" s="4395" t="n"/>
      <c r="CT156" s="4395" t="n"/>
      <c r="CU156" s="4395" t="n"/>
      <c r="CV156" s="4395" t="n"/>
      <c r="CW156" s="4395" t="n"/>
      <c r="CX156" s="4395" t="n"/>
      <c r="CY156" s="4395" t="n"/>
      <c r="CZ156" s="4395" t="n"/>
      <c r="DA156" s="4395" t="n"/>
      <c r="DB156" s="4395" t="n"/>
      <c r="DC156" s="4395" t="n"/>
      <c r="DD156" s="4395" t="n"/>
      <c r="DE156" s="4395" t="n"/>
      <c r="DF156" s="4395" t="n"/>
      <c r="DG156" s="4395" t="n"/>
      <c r="DH156" s="4395" t="n"/>
    </row>
    <row r="157" ht="16" customHeight="1">
      <c r="A157" t="inlineStr">
        <is>
          <t>Inland wetlands - water</t>
        </is>
      </c>
      <c r="B157">
        <f>'6.Inland wetlands'!C202</f>
        <v/>
      </c>
      <c r="C157">
        <f>'6.Inland wetlands'!I202</f>
        <v/>
      </c>
      <c r="D157">
        <f>'6.Inland wetlands'!AH203</f>
        <v/>
      </c>
      <c r="E157">
        <f>IF('6.Inland wetlands'!CA202&lt;&gt;0,'6.Inland wetlands'!CA202,'6.Inland wetlands'!BZ202)</f>
        <v/>
      </c>
      <c r="F157">
        <f>time</f>
        <v/>
      </c>
      <c r="G157" s="4395">
        <f>'6.Inland wetlands'!O202</f>
        <v/>
      </c>
      <c r="H157" s="4395">
        <f>'6.Inland wetlands'!Q202</f>
        <v/>
      </c>
      <c r="I157" s="4395">
        <f>IF(OR(H157="I", G157="I"), "I", IF(OR(H157="E", G157="E"), "E", "D"))</f>
        <v/>
      </c>
      <c r="J157" s="4395">
        <f>((D157/(time_cap+((F157-E157+1)*VLOOKUP(I157,list!$I$48:$K$50,3, FALSE))))*(F157-E157+1)*VLOOKUP(I157,list!$I$48:$K$50,3, FALSE))</f>
        <v/>
      </c>
      <c r="K157" s="4395">
        <f>((D157/(time_cap+((F157-E157+1)*VLOOKUP(I157,list!$I$48:$K$50,3, FALSE))))*time_cap)</f>
        <v/>
      </c>
      <c r="M157" s="4395">
        <f>IFERROR(IF((time+time_cap)&lt;M$2, 0,IF(AND(time+1&gt;=N$2, $E157&lt;N$2), IF($I157= "I", $J157/($F157-$E157+1), $J157/(($F157*($F157+1)/2)-(($E157-1)*($E157-1+1)/2))*M$2), 0)+IF(IF(time+1&gt;=N$2, $K157/time_cap/(time+1)*M$2, 0) = 0, $K157/(time_cap),0)),0)</f>
        <v/>
      </c>
      <c r="N157" s="4395">
        <f>IFERROR(IF((time+time_cap)&lt;N$2, 0,IF(AND(time+1&gt;=O$2, $E157&lt;O$2), IF($I157= "I", $J157/($F157-$E157+1), $J157/(($F157*($F157+1)/2)-(($E157-1)*($E157-1+1)/2))*N$2), 0)+IF(IF(time+1&gt;=O$2, $K157/time_cap/(time+1)*N$2, 0) = 0, $K157/(time_cap),0)),0)</f>
        <v/>
      </c>
      <c r="O157" s="4395">
        <f>IFERROR(IF((time+time_cap)&lt;O$2, 0,IF(AND(time+1&gt;=P$2, $E157&lt;P$2), IF($I157= "I", $J157/($F157-$E157+1), $J157/(($F157*($F157+1)/2)-(($E157-1)*($E157-1+1)/2))*O$2), 0)+IF(IF(time+1&gt;=P$2, $K157/time_cap/(time+1)*O$2, 0) = 0, $K157/(time_cap),0)),0)</f>
        <v/>
      </c>
      <c r="P157" s="4395">
        <f>IFERROR(IF((time+time_cap)&lt;P$2, 0,IF(AND(time+1&gt;=Q$2, $E157&lt;Q$2), IF($I157= "I", $J157/($F157-$E157+1), $J157/(($F157*($F157+1)/2)-(($E157-1)*($E157-1+1)/2))*P$2), 0)+IF(IF(time+1&gt;=Q$2, $K157/time_cap/(time+1)*P$2, 0) = 0, $K157/(time_cap),0)),0)</f>
        <v/>
      </c>
      <c r="Q157" s="4395">
        <f>IFERROR(IF((time+time_cap)&lt;Q$2, 0,IF(AND(time+1&gt;=R$2, $E157&lt;R$2), IF($I157= "I", $J157/($F157-$E157+1), $J157/(($F157*($F157+1)/2)-(($E157-1)*($E157-1+1)/2))*Q$2), 0)+IF(IF(time+1&gt;=R$2, $K157/time_cap/(time+1)*Q$2, 0) = 0, $K157/(time_cap),0)),0)</f>
        <v/>
      </c>
      <c r="R157" s="4395">
        <f>IFERROR(IF((time+time_cap)&lt;R$2, 0,IF(AND(time+1&gt;=S$2, $E157&lt;S$2), IF($I157= "I", $J157/($F157-$E157+1), $J157/(($F157*($F157+1)/2)-(($E157-1)*($E157-1+1)/2))*R$2), 0)+IF(IF(time+1&gt;=S$2, $K157/time_cap/(time+1)*R$2, 0) = 0, $K157/(time_cap),0)),0)</f>
        <v/>
      </c>
      <c r="S157" s="4395">
        <f>IFERROR(IF((time+time_cap)&lt;S$2, 0,IF(AND(time+1&gt;=T$2, $E157&lt;T$2), IF($I157= "I", $J157/($F157-$E157+1), $J157/(($F157*($F157+1)/2)-(($E157-1)*($E157-1+1)/2))*S$2), 0)+IF(IF(time+1&gt;=T$2, $K157/time_cap/(time+1)*S$2, 0) = 0, $K157/(time_cap),0)),0)</f>
        <v/>
      </c>
      <c r="T157" s="4395">
        <f>IFERROR(IF((time+time_cap)&lt;T$2, 0,IF(AND(time+1&gt;=U$2, $E157&lt;U$2), IF($I157= "I", $J157/($F157-$E157+1), $J157/(($F157*($F157+1)/2)-(($E157-1)*($E157-1+1)/2))*T$2), 0)+IF(IF(time+1&gt;=U$2, $K157/time_cap/(time+1)*T$2, 0) = 0, $K157/(time_cap),0)),0)</f>
        <v/>
      </c>
      <c r="U157" s="4395">
        <f>IFERROR(IF((time+time_cap)&lt;U$2, 0,IF(AND(time+1&gt;=V$2, $E157&lt;V$2), IF($I157= "I", $J157/($F157-$E157+1), $J157/(($F157*($F157+1)/2)-(($E157-1)*($E157-1+1)/2))*U$2), 0)+IF(IF(time+1&gt;=V$2, $K157/time_cap/(time+1)*U$2, 0) = 0, $K157/(time_cap),0)),0)</f>
        <v/>
      </c>
      <c r="V157" s="4395">
        <f>IFERROR(IF((time+time_cap)&lt;V$2, 0,IF(AND(time+1&gt;=W$2, $E157&lt;W$2), IF($I157= "I", $J157/($F157-$E157+1), $J157/(($F157*($F157+1)/2)-(($E157-1)*($E157-1+1)/2))*V$2), 0)+IF(IF(time+1&gt;=W$2, $K157/time_cap/(time+1)*V$2, 0) = 0, $K157/(time_cap),0)),0)</f>
        <v/>
      </c>
      <c r="W157" s="4395">
        <f>IFERROR(IF((time+time_cap)&lt;W$2, 0,IF(AND(time+1&gt;=X$2, $E157&lt;X$2), IF($I157= "I", $J157/($F157-$E157+1), $J157/(($F157*($F157+1)/2)-(($E157-1)*($E157-1+1)/2))*W$2), 0)+IF(IF(time+1&gt;=X$2, $K157/time_cap/(time+1)*W$2, 0) = 0, $K157/(time_cap),0)),0)</f>
        <v/>
      </c>
      <c r="X157" s="4395">
        <f>IFERROR(IF((time+time_cap)&lt;X$2, 0,IF(AND(time+1&gt;=Y$2, $E157&lt;Y$2), IF($I157= "I", $J157/($F157-$E157+1), $J157/(($F157*($F157+1)/2)-(($E157-1)*($E157-1+1)/2))*X$2), 0)+IF(IF(time+1&gt;=Y$2, $K157/time_cap/(time+1)*X$2, 0) = 0, $K157/(time_cap),0)),0)</f>
        <v/>
      </c>
      <c r="Y157" s="4395">
        <f>IFERROR(IF((time+time_cap)&lt;Y$2, 0,IF(AND(time+1&gt;=Z$2, $E157&lt;Z$2), IF($I157= "I", $J157/($F157-$E157+1), $J157/(($F157*($F157+1)/2)-(($E157-1)*($E157-1+1)/2))*Y$2), 0)+IF(IF(time+1&gt;=Z$2, $K157/time_cap/(time+1)*Y$2, 0) = 0, $K157/(time_cap),0)),0)</f>
        <v/>
      </c>
      <c r="Z157" s="4395">
        <f>IFERROR(IF((time+time_cap)&lt;Z$2, 0,IF(AND(time+1&gt;=AA$2, $E157&lt;AA$2), IF($I157= "I", $J157/($F157-$E157+1), $J157/(($F157*($F157+1)/2)-(($E157-1)*($E157-1+1)/2))*Z$2), 0)+IF(IF(time+1&gt;=AA$2, $K157/time_cap/(time+1)*Z$2, 0) = 0, $K157/(time_cap),0)),0)</f>
        <v/>
      </c>
      <c r="AA157" s="4395">
        <f>IFERROR(IF((time+time_cap)&lt;AA$2, 0,IF(AND(time+1&gt;=AB$2, $E157&lt;AB$2), IF($I157= "I", $J157/($F157-$E157+1), $J157/(($F157*($F157+1)/2)-(($E157-1)*($E157-1+1)/2))*AA$2), 0)+IF(IF(time+1&gt;=AB$2, $K157/time_cap/(time+1)*AA$2, 0) = 0, $K157/(time_cap),0)),0)</f>
        <v/>
      </c>
      <c r="AB157" s="4395">
        <f>IFERROR(IF((time+time_cap)&lt;AB$2, 0,IF(AND(time+1&gt;=AC$2, $E157&lt;AC$2), IF($I157= "I", $J157/($F157-$E157+1), $J157/(($F157*($F157+1)/2)-(($E157-1)*($E157-1+1)/2))*AB$2), 0)+IF(IF(time+1&gt;=AC$2, $K157/time_cap/(time+1)*AB$2, 0) = 0, $K157/(time_cap),0)),0)</f>
        <v/>
      </c>
      <c r="AC157" s="4395">
        <f>IFERROR(IF((time+time_cap)&lt;AC$2, 0,IF(AND(time+1&gt;=AD$2, $E157&lt;AD$2), IF($I157= "I", $J157/($F157-$E157+1), $J157/(($F157*($F157+1)/2)-(($E157-1)*($E157-1+1)/2))*AC$2), 0)+IF(IF(time+1&gt;=AD$2, $K157/time_cap/(time+1)*AC$2, 0) = 0, $K157/(time_cap),0)),0)</f>
        <v/>
      </c>
      <c r="AD157" s="4395">
        <f>IFERROR(IF((time+time_cap)&lt;AD$2, 0,IF(AND(time+1&gt;=AE$2, $E157&lt;AE$2), IF($I157= "I", $J157/($F157-$E157+1), $J157/(($F157*($F157+1)/2)-(($E157-1)*($E157-1+1)/2))*AD$2), 0)+IF(IF(time+1&gt;=AE$2, $K157/time_cap/(time+1)*AD$2, 0) = 0, $K157/(time_cap),0)),0)</f>
        <v/>
      </c>
      <c r="AE157" s="4395">
        <f>IFERROR(IF((time+time_cap)&lt;AE$2, 0,IF(AND(time+1&gt;=AF$2, $E157&lt;AF$2), IF($I157= "I", $J157/($F157-$E157+1), $J157/(($F157*($F157+1)/2)-(($E157-1)*($E157-1+1)/2))*AE$2), 0)+IF(IF(time+1&gt;=AF$2, $K157/time_cap/(time+1)*AE$2, 0) = 0, $K157/(time_cap),0)),0)</f>
        <v/>
      </c>
      <c r="AF157" s="4395">
        <f>IFERROR(IF((time+time_cap)&lt;AF$2, 0,IF(AND(time+1&gt;=AG$2, $E157&lt;AG$2), IF($I157= "I", $J157/($F157-$E157+1), $J157/(($F157*($F157+1)/2)-(($E157-1)*($E157-1+1)/2))*AF$2), 0)+IF(IF(time+1&gt;=AG$2, $K157/time_cap/(time+1)*AF$2, 0) = 0, $K157/(time_cap),0)),0)</f>
        <v/>
      </c>
      <c r="AG157" s="4395">
        <f>IFERROR(IF((time+time_cap)&lt;AG$2, 0,IF(AND(time+1&gt;=AH$2, $E157&lt;AH$2), IF($I157= "I", $J157/($F157-$E157+1), $J157/(($F157*($F157+1)/2)-(($E157-1)*($E157-1+1)/2))*AG$2), 0)+IF(IF(time+1&gt;=AH$2, $K157/time_cap/(time+1)*AG$2, 0) = 0, $K157/(time_cap),0)),0)</f>
        <v/>
      </c>
      <c r="AH157" s="4395">
        <f>IFERROR(IF((time+time_cap)&lt;AH$2, 0,IF(AND(time+1&gt;=AI$2, $E157&lt;AI$2), IF($I157= "I", $J157/($F157-$E157+1), $J157/(($F157*($F157+1)/2)-(($E157-1)*($E157-1+1)/2))*AH$2), 0)+IF(IF(time+1&gt;=AI$2, $K157/time_cap/(time+1)*AH$2, 0) = 0, $K157/(time_cap),0)),0)</f>
        <v/>
      </c>
      <c r="AI157" s="4395">
        <f>IFERROR(IF((time+time_cap)&lt;AI$2, 0,IF(AND(time+1&gt;=AJ$2, $E157&lt;AJ$2), IF($I157= "I", $J157/($F157-$E157+1), $J157/(($F157*($F157+1)/2)-(($E157-1)*($E157-1+1)/2))*AI$2), 0)+IF(IF(time+1&gt;=AJ$2, $K157/time_cap/(time+1)*AI$2, 0) = 0, $K157/(time_cap),0)),0)</f>
        <v/>
      </c>
      <c r="AJ157" s="4395">
        <f>IFERROR(IF((time+time_cap)&lt;AJ$2, 0,IF(AND(time+1&gt;=AK$2, $E157&lt;AK$2), IF($I157= "I", $J157/($F157-$E157+1), $J157/(($F157*($F157+1)/2)-(($E157-1)*($E157-1+1)/2))*AJ$2), 0)+IF(IF(time+1&gt;=AK$2, $K157/time_cap/(time+1)*AJ$2, 0) = 0, $K157/(time_cap),0)),0)</f>
        <v/>
      </c>
      <c r="AK157" s="4395">
        <f>IFERROR(IF((time+time_cap)&lt;AK$2, 0,IF(AND(time+1&gt;=AL$2, $E157&lt;AL$2), IF($I157= "I", $J157/($F157-$E157+1), $J157/(($F157*($F157+1)/2)-(($E157-1)*($E157-1+1)/2))*AK$2), 0)+IF(IF(time+1&gt;=AL$2, $K157/time_cap/(time+1)*AK$2, 0) = 0, $K157/(time_cap),0)),0)</f>
        <v/>
      </c>
      <c r="AL157" s="4395">
        <f>IFERROR(IF((time+time_cap)&lt;AL$2, 0,IF(AND(time+1&gt;=AM$2, $E157&lt;AM$2), IF($I157= "I", $J157/($F157-$E157+1), $J157/(($F157*($F157+1)/2)-(($E157-1)*($E157-1+1)/2))*AL$2), 0)+IF(IF(time+1&gt;=AM$2, $K157/time_cap/(time+1)*AL$2, 0) = 0, $K157/(time_cap),0)),0)</f>
        <v/>
      </c>
      <c r="AM157" s="4395">
        <f>IFERROR(IF((time+time_cap)&lt;AM$2, 0,IF(AND(time+1&gt;=AN$2, $E157&lt;AN$2), IF($I157= "I", $J157/($F157-$E157+1), $J157/(($F157*($F157+1)/2)-(($E157-1)*($E157-1+1)/2))*AM$2), 0)+IF(IF(time+1&gt;=AN$2, $K157/time_cap/(time+1)*AM$2, 0) = 0, $K157/(time_cap),0)),0)</f>
        <v/>
      </c>
      <c r="AN157" s="4395">
        <f>IFERROR(IF((time+time_cap)&lt;AN$2, 0,IF(AND(time+1&gt;=AO$2, $E157&lt;AO$2), IF($I157= "I", $J157/($F157-$E157+1), $J157/(($F157*($F157+1)/2)-(($E157-1)*($E157-1+1)/2))*AN$2), 0)+IF(IF(time+1&gt;=AO$2, $K157/time_cap/(time+1)*AN$2, 0) = 0, $K157/(time_cap),0)),0)</f>
        <v/>
      </c>
      <c r="AO157" s="4395">
        <f>IFERROR(IF((time+time_cap)&lt;AO$2, 0,IF(AND(time+1&gt;=AP$2, $E157&lt;AP$2), IF($I157= "I", $J157/($F157-$E157+1), $J157/(($F157*($F157+1)/2)-(($E157-1)*($E157-1+1)/2))*AO$2), 0)+IF(IF(time+1&gt;=AP$2, $K157/time_cap/(time+1)*AO$2, 0) = 0, $K157/(time_cap),0)),0)</f>
        <v/>
      </c>
      <c r="AP157" s="4395">
        <f>IFERROR(IF((time+time_cap)&lt;AP$2, 0,IF(AND(time+1&gt;=AQ$2, $E157&lt;AQ$2), IF($I157= "I", $J157/($F157-$E157+1), $J157/(($F157*($F157+1)/2)-(($E157-1)*($E157-1+1)/2))*AP$2), 0)+IF(IF(time+1&gt;=AQ$2, $K157/time_cap/(time+1)*AP$2, 0) = 0, $K157/(time_cap),0)),0)</f>
        <v/>
      </c>
      <c r="AQ157" s="4395">
        <f>IFERROR(IF((time+time_cap)&lt;AQ$2, 0,IF(AND(time+1&gt;=AR$2, $E157&lt;AR$2), IF($I157= "I", $J157/($F157-$E157+1), $J157/(($F157*($F157+1)/2)-(($E157-1)*($E157-1+1)/2))*AQ$2), 0)+IF(IF(time+1&gt;=AR$2, $K157/time_cap/(time+1)*AQ$2, 0) = 0, $K157/(time_cap),0)),0)</f>
        <v/>
      </c>
      <c r="AR157" s="4395">
        <f>IFERROR(IF((time+time_cap)&lt;AR$2, 0,IF(AND(time+1&gt;=AS$2, $E157&lt;AS$2), IF($I157= "I", $J157/($F157-$E157+1), $J157/(($F157*($F157+1)/2)-(($E157-1)*($E157-1+1)/2))*AR$2), 0)+IF(IF(time+1&gt;=AS$2, $K157/time_cap/(time+1)*AR$2, 0) = 0, $K157/(time_cap),0)),0)</f>
        <v/>
      </c>
      <c r="AS157" s="4395">
        <f>IFERROR(IF((time+time_cap)&lt;AS$2, 0,IF(AND(time+1&gt;=AT$2, $E157&lt;AT$2), IF($I157= "I", $J157/($F157-$E157+1), $J157/(($F157*($F157+1)/2)-(($E157-1)*($E157-1+1)/2))*AS$2), 0)+IF(IF(time+1&gt;=AT$2, $K157/time_cap/(time+1)*AS$2, 0) = 0, $K157/(time_cap),0)),0)</f>
        <v/>
      </c>
      <c r="AT157" s="4395">
        <f>IFERROR(IF((time+time_cap)&lt;AT$2, 0,IF(AND(time+1&gt;=AU$2, $E157&lt;AU$2), IF($I157= "I", $J157/($F157-$E157+1), $J157/(($F157*($F157+1)/2)-(($E157-1)*($E157-1+1)/2))*AT$2), 0)+IF(IF(time+1&gt;=AU$2, $K157/time_cap/(time+1)*AT$2, 0) = 0, $K157/(time_cap),0)),0)</f>
        <v/>
      </c>
      <c r="AU157" s="4395">
        <f>IFERROR(IF((time+time_cap)&lt;AU$2, 0,IF(AND(time+1&gt;=AV$2, $E157&lt;AV$2), IF($I157= "I", $J157/($F157-$E157+1), $J157/(($F157*($F157+1)/2)-(($E157-1)*($E157-1+1)/2))*AU$2), 0)+IF(IF(time+1&gt;=AV$2, $K157/time_cap/(time+1)*AU$2, 0) = 0, $K157/(time_cap),0)),0)</f>
        <v/>
      </c>
      <c r="AV157" s="4395">
        <f>IFERROR(IF((time+time_cap)&lt;AV$2, 0,IF(AND(time+1&gt;=AW$2, $E157&lt;AW$2), IF($I157= "I", $J157/($F157-$E157+1), $J157/(($F157*($F157+1)/2)-(($E157-1)*($E157-1+1)/2))*AV$2), 0)+IF(IF(time+1&gt;=AW$2, $K157/time_cap/(time+1)*AV$2, 0) = 0, $K157/(time_cap),0)),0)</f>
        <v/>
      </c>
      <c r="AW157" s="4395">
        <f>IFERROR(IF((time+time_cap)&lt;AW$2, 0,IF(AND(time+1&gt;=AX$2, $E157&lt;AX$2), IF($I157= "I", $J157/($F157-$E157+1), $J157/(($F157*($F157+1)/2)-(($E157-1)*($E157-1+1)/2))*AW$2), 0)+IF(IF(time+1&gt;=AX$2, $K157/time_cap/(time+1)*AW$2, 0) = 0, $K157/(time_cap),0)),0)</f>
        <v/>
      </c>
      <c r="AX157" s="4395">
        <f>IFERROR(IF((time+time_cap)&lt;AX$2, 0,IF(AND(time+1&gt;=AY$2, $E157&lt;AY$2), IF($I157= "I", $J157/($F157-$E157+1), $J157/(($F157*($F157+1)/2)-(($E157-1)*($E157-1+1)/2))*AX$2), 0)+IF(IF(time+1&gt;=AY$2, $K157/time_cap/(time+1)*AX$2, 0) = 0, $K157/(time_cap),0)),0)</f>
        <v/>
      </c>
      <c r="AY157" s="4395">
        <f>IFERROR(IF((time+time_cap)&lt;AY$2, 0,IF(AND(time+1&gt;=AZ$2, $E157&lt;AZ$2), IF($I157= "I", $J157/($F157-$E157+1), $J157/(($F157*($F157+1)/2)-(($E157-1)*($E157-1+1)/2))*AY$2), 0)+IF(IF(time+1&gt;=AZ$2, $K157/time_cap/(time+1)*AY$2, 0) = 0, $K157/(time_cap),0)),0)</f>
        <v/>
      </c>
      <c r="AZ157" s="4395">
        <f>IFERROR(IF((time+time_cap)&lt;AZ$2, 0,IF(AND(time+1&gt;=BA$2, $E157&lt;BA$2), IF($I157= "I", $J157/($F157-$E157+1), $J157/(($F157*($F157+1)/2)-(($E157-1)*($E157-1+1)/2))*AZ$2), 0)+IF(IF(time+1&gt;=BA$2, $K157/time_cap/(time+1)*AZ$2, 0) = 0, $K157/(time_cap),0)),0)</f>
        <v/>
      </c>
      <c r="BA157" s="4395">
        <f>IFERROR(IF((time+time_cap)&lt;BA$2, 0,IF(AND(time+1&gt;=BB$2, $E157&lt;BB$2), IF($I157= "I", $J157/($F157-$E157+1), $J157/(($F157*($F157+1)/2)-(($E157-1)*($E157-1+1)/2))*BA$2), 0)+IF(IF(time+1&gt;=BB$2, $K157/time_cap/(time+1)*BA$2, 0) = 0, $K157/(time_cap),0)),0)</f>
        <v/>
      </c>
      <c r="BB157" s="4395">
        <f>IFERROR(IF((time+time_cap)&lt;BB$2, 0,IF(AND(time+1&gt;=BC$2, $E157&lt;BC$2), IF($I157= "I", $J157/($F157-$E157+1), $J157/(($F157*($F157+1)/2)-(($E157-1)*($E157-1+1)/2))*BB$2), 0)+IF(IF(time+1&gt;=BC$2, $K157/time_cap/(time+1)*BB$2, 0) = 0, $K157/(time_cap),0)),0)</f>
        <v/>
      </c>
      <c r="BC157" s="4395">
        <f>IFERROR(IF((time+time_cap)&lt;BC$2, 0,IF(AND(time+1&gt;=BD$2, $E157&lt;BD$2), IF($I157= "I", $J157/($F157-$E157+1), $J157/(($F157*($F157+1)/2)-(($E157-1)*($E157-1+1)/2))*BC$2), 0)+IF(IF(time+1&gt;=BD$2, $K157/time_cap/(time+1)*BC$2, 0) = 0, $K157/(time_cap),0)),0)</f>
        <v/>
      </c>
      <c r="BD157" s="4395">
        <f>IFERROR(IF((time+time_cap)&lt;BD$2, 0,IF(AND(time+1&gt;=BE$2, $E157&lt;BE$2), IF($I157= "I", $J157/($F157-$E157+1), $J157/(($F157*($F157+1)/2)-(($E157-1)*($E157-1+1)/2))*BD$2), 0)+IF(IF(time+1&gt;=BE$2, $K157/time_cap/(time+1)*BD$2, 0) = 0, $K157/(time_cap),0)),0)</f>
        <v/>
      </c>
      <c r="BE157" s="4395">
        <f>IFERROR(IF((time+time_cap)&lt;BE$2, 0,IF(AND(time+1&gt;=BF$2, $E157&lt;BF$2), IF($I157= "I", $J157/($F157-$E157+1), $J157/(($F157*($F157+1)/2)-(($E157-1)*($E157-1+1)/2))*BE$2), 0)+IF(IF(time+1&gt;=BF$2, $K157/time_cap/(time+1)*BE$2, 0) = 0, $K157/(time_cap),0)),0)</f>
        <v/>
      </c>
      <c r="BF157" s="4395">
        <f>IFERROR(IF((time+time_cap)&lt;BF$2, 0,IF(AND(time+1&gt;=BG$2, $E157&lt;BG$2), IF($I157= "I", $J157/($F157-$E157+1), $J157/(($F157*($F157+1)/2)-(($E157-1)*($E157-1+1)/2))*BF$2), 0)+IF(IF(time+1&gt;=BG$2, $K157/time_cap/(time+1)*BF$2, 0) = 0, $K157/(time_cap),0)),0)</f>
        <v/>
      </c>
      <c r="BG157" s="4395">
        <f>IFERROR(IF((time+time_cap)&lt;BG$2, 0,IF(AND(time+1&gt;=BH$2, $E157&lt;BH$2), IF($I157= "I", $J157/($F157-$E157+1), $J157/(($F157*($F157+1)/2)-(($E157-1)*($E157-1+1)/2))*BG$2), 0)+IF(IF(time+1&gt;=BH$2, $K157/time_cap/(time+1)*BG$2, 0) = 0, $K157/(time_cap),0)),0)</f>
        <v/>
      </c>
      <c r="BH157" s="4395">
        <f>IFERROR(IF((time+time_cap)&lt;BH$2, 0,IF(AND(time+1&gt;=BI$2, $E157&lt;BI$2), IF($I157= "I", $J157/($F157-$E157+1), $J157/(($F157*($F157+1)/2)-(($E157-1)*($E157-1+1)/2))*BH$2), 0)+IF(IF(time+1&gt;=BI$2, $K157/time_cap/(time+1)*BH$2, 0) = 0, $K157/(time_cap),0)),0)</f>
        <v/>
      </c>
      <c r="BI157" s="4395">
        <f>IFERROR(IF((time+time_cap)&lt;BI$2, 0,IF(AND(time+1&gt;=BJ$2, $E157&lt;BJ$2), IF($I157= "I", $J157/($F157-$E157+1), $J157/(($F157*($F157+1)/2)-(($E157-1)*($E157-1+1)/2))*BI$2), 0)+IF(IF(time+1&gt;=BJ$2, $K157/time_cap/(time+1)*BI$2, 0) = 0, $K157/(time_cap),0)),0)</f>
        <v/>
      </c>
      <c r="BJ157" s="4395">
        <f>IFERROR(IF((time+time_cap)&lt;BJ$2, 0,IF(AND(time+1&gt;=BK$2, $E157&lt;BK$2), IF($I157= "I", $J157/($F157-$E157+1), $J157/(($F157*($F157+1)/2)-(($E157-1)*($E157-1+1)/2))*BJ$2), 0)+IF(IF(time+1&gt;=BK$2, $K157/time_cap/(time+1)*BJ$2, 0) = 0, $K157/(time_cap),0)),0)</f>
        <v/>
      </c>
      <c r="BK157" s="4395" t="n"/>
      <c r="BL157" s="4395" t="n"/>
      <c r="BM157" s="4395" t="n"/>
      <c r="BN157" s="4395" t="n"/>
      <c r="BO157" s="4395" t="n"/>
      <c r="BP157" s="4395" t="n"/>
      <c r="BQ157" s="4395" t="n"/>
      <c r="BR157" s="4395" t="n"/>
      <c r="BS157" s="4395" t="n"/>
      <c r="BT157" s="4395" t="n"/>
      <c r="BU157" s="4395" t="n"/>
      <c r="BV157" s="4395" t="n"/>
      <c r="BW157" s="4395" t="n"/>
      <c r="BX157" s="4395" t="n"/>
      <c r="BY157" s="4395" t="n"/>
      <c r="BZ157" s="4395" t="n"/>
      <c r="CA157" s="4395" t="n"/>
      <c r="CB157" s="4395" t="n"/>
      <c r="CC157" s="4395" t="n"/>
      <c r="CD157" s="4395" t="n"/>
      <c r="CE157" s="4395" t="n"/>
      <c r="CF157" s="4395" t="n"/>
      <c r="CG157" s="4395" t="n"/>
      <c r="CH157" s="4395" t="n"/>
      <c r="CI157" s="4395" t="n"/>
      <c r="CJ157" s="4395" t="n"/>
      <c r="CK157" s="4395" t="n"/>
      <c r="CL157" s="4395" t="n"/>
      <c r="CM157" s="4395" t="n"/>
      <c r="CN157" s="4395" t="n"/>
      <c r="CO157" s="4395" t="n"/>
      <c r="CP157" s="4395" t="n"/>
      <c r="CQ157" s="4395" t="n"/>
      <c r="CR157" s="4395" t="n"/>
      <c r="CS157" s="4395" t="n"/>
      <c r="CT157" s="4395" t="n"/>
      <c r="CU157" s="4395" t="n"/>
      <c r="CV157" s="4395" t="n"/>
      <c r="CW157" s="4395" t="n"/>
      <c r="CX157" s="4395" t="n"/>
      <c r="CY157" s="4395" t="n"/>
      <c r="CZ157" s="4395" t="n"/>
      <c r="DA157" s="4395" t="n"/>
      <c r="DB157" s="4395" t="n"/>
      <c r="DC157" s="4395" t="n"/>
      <c r="DD157" s="4395" t="n"/>
      <c r="DE157" s="4395" t="n"/>
      <c r="DF157" s="4395" t="n"/>
      <c r="DG157" s="4395" t="n"/>
      <c r="DH157" s="4395" t="n"/>
    </row>
    <row r="158" ht="16" customHeight="1">
      <c r="A158" t="inlineStr">
        <is>
          <t>Inland wetlands - water</t>
        </is>
      </c>
      <c r="B158">
        <f>'6.Inland wetlands'!C203</f>
        <v/>
      </c>
      <c r="C158">
        <f>'6.Inland wetlands'!I203</f>
        <v/>
      </c>
      <c r="D158">
        <f>'6.Inland wetlands'!AH204</f>
        <v/>
      </c>
      <c r="E158">
        <f>IF('6.Inland wetlands'!CA203&lt;&gt;0,'6.Inland wetlands'!CA203,'6.Inland wetlands'!BZ203)</f>
        <v/>
      </c>
      <c r="F158">
        <f>time</f>
        <v/>
      </c>
      <c r="G158" s="4395">
        <f>'6.Inland wetlands'!O203</f>
        <v/>
      </c>
      <c r="H158" s="4395">
        <f>'6.Inland wetlands'!Q203</f>
        <v/>
      </c>
      <c r="I158" s="4395">
        <f>IF(OR(H158="I", G158="I"), "I", IF(OR(H158="E", G158="E"), "E", "D"))</f>
        <v/>
      </c>
      <c r="J158" s="4395">
        <f>((D158/(time_cap+((F158-E158+1)*VLOOKUP(I158,list!$I$48:$K$50,3, FALSE))))*(F158-E158+1)*VLOOKUP(I158,list!$I$48:$K$50,3, FALSE))</f>
        <v/>
      </c>
      <c r="K158" s="4395">
        <f>((D158/(time_cap+((F158-E158+1)*VLOOKUP(I158,list!$I$48:$K$50,3, FALSE))))*time_cap)</f>
        <v/>
      </c>
      <c r="M158" s="4395">
        <f>IFERROR(IF((time+time_cap)&lt;M$2, 0,IF(AND(time+1&gt;=N$2, $E158&lt;N$2), IF($I158= "I", $J158/($F158-$E158+1), $J158/(($F158*($F158+1)/2)-(($E158-1)*($E158-1+1)/2))*M$2), 0)+IF(IF(time+1&gt;=N$2, $K158/time_cap/(time+1)*M$2, 0) = 0, $K158/(time_cap),0)),0)</f>
        <v/>
      </c>
      <c r="N158" s="4395">
        <f>IFERROR(IF((time+time_cap)&lt;N$2, 0,IF(AND(time+1&gt;=O$2, $E158&lt;O$2), IF($I158= "I", $J158/($F158-$E158+1), $J158/(($F158*($F158+1)/2)-(($E158-1)*($E158-1+1)/2))*N$2), 0)+IF(IF(time+1&gt;=O$2, $K158/time_cap/(time+1)*N$2, 0) = 0, $K158/(time_cap),0)),0)</f>
        <v/>
      </c>
      <c r="O158" s="4395">
        <f>IFERROR(IF((time+time_cap)&lt;O$2, 0,IF(AND(time+1&gt;=P$2, $E158&lt;P$2), IF($I158= "I", $J158/($F158-$E158+1), $J158/(($F158*($F158+1)/2)-(($E158-1)*($E158-1+1)/2))*O$2), 0)+IF(IF(time+1&gt;=P$2, $K158/time_cap/(time+1)*O$2, 0) = 0, $K158/(time_cap),0)),0)</f>
        <v/>
      </c>
      <c r="P158" s="4395">
        <f>IFERROR(IF((time+time_cap)&lt;P$2, 0,IF(AND(time+1&gt;=Q$2, $E158&lt;Q$2), IF($I158= "I", $J158/($F158-$E158+1), $J158/(($F158*($F158+1)/2)-(($E158-1)*($E158-1+1)/2))*P$2), 0)+IF(IF(time+1&gt;=Q$2, $K158/time_cap/(time+1)*P$2, 0) = 0, $K158/(time_cap),0)),0)</f>
        <v/>
      </c>
      <c r="Q158" s="4395">
        <f>IFERROR(IF((time+time_cap)&lt;Q$2, 0,IF(AND(time+1&gt;=R$2, $E158&lt;R$2), IF($I158= "I", $J158/($F158-$E158+1), $J158/(($F158*($F158+1)/2)-(($E158-1)*($E158-1+1)/2))*Q$2), 0)+IF(IF(time+1&gt;=R$2, $K158/time_cap/(time+1)*Q$2, 0) = 0, $K158/(time_cap),0)),0)</f>
        <v/>
      </c>
      <c r="R158" s="4395">
        <f>IFERROR(IF((time+time_cap)&lt;R$2, 0,IF(AND(time+1&gt;=S$2, $E158&lt;S$2), IF($I158= "I", $J158/($F158-$E158+1), $J158/(($F158*($F158+1)/2)-(($E158-1)*($E158-1+1)/2))*R$2), 0)+IF(IF(time+1&gt;=S$2, $K158/time_cap/(time+1)*R$2, 0) = 0, $K158/(time_cap),0)),0)</f>
        <v/>
      </c>
      <c r="S158" s="4395">
        <f>IFERROR(IF((time+time_cap)&lt;S$2, 0,IF(AND(time+1&gt;=T$2, $E158&lt;T$2), IF($I158= "I", $J158/($F158-$E158+1), $J158/(($F158*($F158+1)/2)-(($E158-1)*($E158-1+1)/2))*S$2), 0)+IF(IF(time+1&gt;=T$2, $K158/time_cap/(time+1)*S$2, 0) = 0, $K158/(time_cap),0)),0)</f>
        <v/>
      </c>
      <c r="T158" s="4395">
        <f>IFERROR(IF((time+time_cap)&lt;T$2, 0,IF(AND(time+1&gt;=U$2, $E158&lt;U$2), IF($I158= "I", $J158/($F158-$E158+1), $J158/(($F158*($F158+1)/2)-(($E158-1)*($E158-1+1)/2))*T$2), 0)+IF(IF(time+1&gt;=U$2, $K158/time_cap/(time+1)*T$2, 0) = 0, $K158/(time_cap),0)),0)</f>
        <v/>
      </c>
      <c r="U158" s="4395">
        <f>IFERROR(IF((time+time_cap)&lt;U$2, 0,IF(AND(time+1&gt;=V$2, $E158&lt;V$2), IF($I158= "I", $J158/($F158-$E158+1), $J158/(($F158*($F158+1)/2)-(($E158-1)*($E158-1+1)/2))*U$2), 0)+IF(IF(time+1&gt;=V$2, $K158/time_cap/(time+1)*U$2, 0) = 0, $K158/(time_cap),0)),0)</f>
        <v/>
      </c>
      <c r="V158" s="4395">
        <f>IFERROR(IF((time+time_cap)&lt;V$2, 0,IF(AND(time+1&gt;=W$2, $E158&lt;W$2), IF($I158= "I", $J158/($F158-$E158+1), $J158/(($F158*($F158+1)/2)-(($E158-1)*($E158-1+1)/2))*V$2), 0)+IF(IF(time+1&gt;=W$2, $K158/time_cap/(time+1)*V$2, 0) = 0, $K158/(time_cap),0)),0)</f>
        <v/>
      </c>
      <c r="W158" s="4395">
        <f>IFERROR(IF((time+time_cap)&lt;W$2, 0,IF(AND(time+1&gt;=X$2, $E158&lt;X$2), IF($I158= "I", $J158/($F158-$E158+1), $J158/(($F158*($F158+1)/2)-(($E158-1)*($E158-1+1)/2))*W$2), 0)+IF(IF(time+1&gt;=X$2, $K158/time_cap/(time+1)*W$2, 0) = 0, $K158/(time_cap),0)),0)</f>
        <v/>
      </c>
      <c r="X158" s="4395">
        <f>IFERROR(IF((time+time_cap)&lt;X$2, 0,IF(AND(time+1&gt;=Y$2, $E158&lt;Y$2), IF($I158= "I", $J158/($F158-$E158+1), $J158/(($F158*($F158+1)/2)-(($E158-1)*($E158-1+1)/2))*X$2), 0)+IF(IF(time+1&gt;=Y$2, $K158/time_cap/(time+1)*X$2, 0) = 0, $K158/(time_cap),0)),0)</f>
        <v/>
      </c>
      <c r="Y158" s="4395">
        <f>IFERROR(IF((time+time_cap)&lt;Y$2, 0,IF(AND(time+1&gt;=Z$2, $E158&lt;Z$2), IF($I158= "I", $J158/($F158-$E158+1), $J158/(($F158*($F158+1)/2)-(($E158-1)*($E158-1+1)/2))*Y$2), 0)+IF(IF(time+1&gt;=Z$2, $K158/time_cap/(time+1)*Y$2, 0) = 0, $K158/(time_cap),0)),0)</f>
        <v/>
      </c>
      <c r="Z158" s="4395">
        <f>IFERROR(IF((time+time_cap)&lt;Z$2, 0,IF(AND(time+1&gt;=AA$2, $E158&lt;AA$2), IF($I158= "I", $J158/($F158-$E158+1), $J158/(($F158*($F158+1)/2)-(($E158-1)*($E158-1+1)/2))*Z$2), 0)+IF(IF(time+1&gt;=AA$2, $K158/time_cap/(time+1)*Z$2, 0) = 0, $K158/(time_cap),0)),0)</f>
        <v/>
      </c>
      <c r="AA158" s="4395">
        <f>IFERROR(IF((time+time_cap)&lt;AA$2, 0,IF(AND(time+1&gt;=AB$2, $E158&lt;AB$2), IF($I158= "I", $J158/($F158-$E158+1), $J158/(($F158*($F158+1)/2)-(($E158-1)*($E158-1+1)/2))*AA$2), 0)+IF(IF(time+1&gt;=AB$2, $K158/time_cap/(time+1)*AA$2, 0) = 0, $K158/(time_cap),0)),0)</f>
        <v/>
      </c>
      <c r="AB158" s="4395">
        <f>IFERROR(IF((time+time_cap)&lt;AB$2, 0,IF(AND(time+1&gt;=AC$2, $E158&lt;AC$2), IF($I158= "I", $J158/($F158-$E158+1), $J158/(($F158*($F158+1)/2)-(($E158-1)*($E158-1+1)/2))*AB$2), 0)+IF(IF(time+1&gt;=AC$2, $K158/time_cap/(time+1)*AB$2, 0) = 0, $K158/(time_cap),0)),0)</f>
        <v/>
      </c>
      <c r="AC158" s="4395">
        <f>IFERROR(IF((time+time_cap)&lt;AC$2, 0,IF(AND(time+1&gt;=AD$2, $E158&lt;AD$2), IF($I158= "I", $J158/($F158-$E158+1), $J158/(($F158*($F158+1)/2)-(($E158-1)*($E158-1+1)/2))*AC$2), 0)+IF(IF(time+1&gt;=AD$2, $K158/time_cap/(time+1)*AC$2, 0) = 0, $K158/(time_cap),0)),0)</f>
        <v/>
      </c>
      <c r="AD158" s="4395">
        <f>IFERROR(IF((time+time_cap)&lt;AD$2, 0,IF(AND(time+1&gt;=AE$2, $E158&lt;AE$2), IF($I158= "I", $J158/($F158-$E158+1), $J158/(($F158*($F158+1)/2)-(($E158-1)*($E158-1+1)/2))*AD$2), 0)+IF(IF(time+1&gt;=AE$2, $K158/time_cap/(time+1)*AD$2, 0) = 0, $K158/(time_cap),0)),0)</f>
        <v/>
      </c>
      <c r="AE158" s="4395">
        <f>IFERROR(IF((time+time_cap)&lt;AE$2, 0,IF(AND(time+1&gt;=AF$2, $E158&lt;AF$2), IF($I158= "I", $J158/($F158-$E158+1), $J158/(($F158*($F158+1)/2)-(($E158-1)*($E158-1+1)/2))*AE$2), 0)+IF(IF(time+1&gt;=AF$2, $K158/time_cap/(time+1)*AE$2, 0) = 0, $K158/(time_cap),0)),0)</f>
        <v/>
      </c>
      <c r="AF158" s="4395">
        <f>IFERROR(IF((time+time_cap)&lt;AF$2, 0,IF(AND(time+1&gt;=AG$2, $E158&lt;AG$2), IF($I158= "I", $J158/($F158-$E158+1), $J158/(($F158*($F158+1)/2)-(($E158-1)*($E158-1+1)/2))*AF$2), 0)+IF(IF(time+1&gt;=AG$2, $K158/time_cap/(time+1)*AF$2, 0) = 0, $K158/(time_cap),0)),0)</f>
        <v/>
      </c>
      <c r="AG158" s="4395">
        <f>IFERROR(IF((time+time_cap)&lt;AG$2, 0,IF(AND(time+1&gt;=AH$2, $E158&lt;AH$2), IF($I158= "I", $J158/($F158-$E158+1), $J158/(($F158*($F158+1)/2)-(($E158-1)*($E158-1+1)/2))*AG$2), 0)+IF(IF(time+1&gt;=AH$2, $K158/time_cap/(time+1)*AG$2, 0) = 0, $K158/(time_cap),0)),0)</f>
        <v/>
      </c>
      <c r="AH158" s="4395">
        <f>IFERROR(IF((time+time_cap)&lt;AH$2, 0,IF(AND(time+1&gt;=AI$2, $E158&lt;AI$2), IF($I158= "I", $J158/($F158-$E158+1), $J158/(($F158*($F158+1)/2)-(($E158-1)*($E158-1+1)/2))*AH$2), 0)+IF(IF(time+1&gt;=AI$2, $K158/time_cap/(time+1)*AH$2, 0) = 0, $K158/(time_cap),0)),0)</f>
        <v/>
      </c>
      <c r="AI158" s="4395">
        <f>IFERROR(IF((time+time_cap)&lt;AI$2, 0,IF(AND(time+1&gt;=AJ$2, $E158&lt;AJ$2), IF($I158= "I", $J158/($F158-$E158+1), $J158/(($F158*($F158+1)/2)-(($E158-1)*($E158-1+1)/2))*AI$2), 0)+IF(IF(time+1&gt;=AJ$2, $K158/time_cap/(time+1)*AI$2, 0) = 0, $K158/(time_cap),0)),0)</f>
        <v/>
      </c>
      <c r="AJ158" s="4395">
        <f>IFERROR(IF((time+time_cap)&lt;AJ$2, 0,IF(AND(time+1&gt;=AK$2, $E158&lt;AK$2), IF($I158= "I", $J158/($F158-$E158+1), $J158/(($F158*($F158+1)/2)-(($E158-1)*($E158-1+1)/2))*AJ$2), 0)+IF(IF(time+1&gt;=AK$2, $K158/time_cap/(time+1)*AJ$2, 0) = 0, $K158/(time_cap),0)),0)</f>
        <v/>
      </c>
      <c r="AK158" s="4395">
        <f>IFERROR(IF((time+time_cap)&lt;AK$2, 0,IF(AND(time+1&gt;=AL$2, $E158&lt;AL$2), IF($I158= "I", $J158/($F158-$E158+1), $J158/(($F158*($F158+1)/2)-(($E158-1)*($E158-1+1)/2))*AK$2), 0)+IF(IF(time+1&gt;=AL$2, $K158/time_cap/(time+1)*AK$2, 0) = 0, $K158/(time_cap),0)),0)</f>
        <v/>
      </c>
      <c r="AL158" s="4395">
        <f>IFERROR(IF((time+time_cap)&lt;AL$2, 0,IF(AND(time+1&gt;=AM$2, $E158&lt;AM$2), IF($I158= "I", $J158/($F158-$E158+1), $J158/(($F158*($F158+1)/2)-(($E158-1)*($E158-1+1)/2))*AL$2), 0)+IF(IF(time+1&gt;=AM$2, $K158/time_cap/(time+1)*AL$2, 0) = 0, $K158/(time_cap),0)),0)</f>
        <v/>
      </c>
      <c r="AM158" s="4395">
        <f>IFERROR(IF((time+time_cap)&lt;AM$2, 0,IF(AND(time+1&gt;=AN$2, $E158&lt;AN$2), IF($I158= "I", $J158/($F158-$E158+1), $J158/(($F158*($F158+1)/2)-(($E158-1)*($E158-1+1)/2))*AM$2), 0)+IF(IF(time+1&gt;=AN$2, $K158/time_cap/(time+1)*AM$2, 0) = 0, $K158/(time_cap),0)),0)</f>
        <v/>
      </c>
      <c r="AN158" s="4395">
        <f>IFERROR(IF((time+time_cap)&lt;AN$2, 0,IF(AND(time+1&gt;=AO$2, $E158&lt;AO$2), IF($I158= "I", $J158/($F158-$E158+1), $J158/(($F158*($F158+1)/2)-(($E158-1)*($E158-1+1)/2))*AN$2), 0)+IF(IF(time+1&gt;=AO$2, $K158/time_cap/(time+1)*AN$2, 0) = 0, $K158/(time_cap),0)),0)</f>
        <v/>
      </c>
      <c r="AO158" s="4395">
        <f>IFERROR(IF((time+time_cap)&lt;AO$2, 0,IF(AND(time+1&gt;=AP$2, $E158&lt;AP$2), IF($I158= "I", $J158/($F158-$E158+1), $J158/(($F158*($F158+1)/2)-(($E158-1)*($E158-1+1)/2))*AO$2), 0)+IF(IF(time+1&gt;=AP$2, $K158/time_cap/(time+1)*AO$2, 0) = 0, $K158/(time_cap),0)),0)</f>
        <v/>
      </c>
      <c r="AP158" s="4395">
        <f>IFERROR(IF((time+time_cap)&lt;AP$2, 0,IF(AND(time+1&gt;=AQ$2, $E158&lt;AQ$2), IF($I158= "I", $J158/($F158-$E158+1), $J158/(($F158*($F158+1)/2)-(($E158-1)*($E158-1+1)/2))*AP$2), 0)+IF(IF(time+1&gt;=AQ$2, $K158/time_cap/(time+1)*AP$2, 0) = 0, $K158/(time_cap),0)),0)</f>
        <v/>
      </c>
      <c r="AQ158" s="4395">
        <f>IFERROR(IF((time+time_cap)&lt;AQ$2, 0,IF(AND(time+1&gt;=AR$2, $E158&lt;AR$2), IF($I158= "I", $J158/($F158-$E158+1), $J158/(($F158*($F158+1)/2)-(($E158-1)*($E158-1+1)/2))*AQ$2), 0)+IF(IF(time+1&gt;=AR$2, $K158/time_cap/(time+1)*AQ$2, 0) = 0, $K158/(time_cap),0)),0)</f>
        <v/>
      </c>
      <c r="AR158" s="4395">
        <f>IFERROR(IF((time+time_cap)&lt;AR$2, 0,IF(AND(time+1&gt;=AS$2, $E158&lt;AS$2), IF($I158= "I", $J158/($F158-$E158+1), $J158/(($F158*($F158+1)/2)-(($E158-1)*($E158-1+1)/2))*AR$2), 0)+IF(IF(time+1&gt;=AS$2, $K158/time_cap/(time+1)*AR$2, 0) = 0, $K158/(time_cap),0)),0)</f>
        <v/>
      </c>
      <c r="AS158" s="4395">
        <f>IFERROR(IF((time+time_cap)&lt;AS$2, 0,IF(AND(time+1&gt;=AT$2, $E158&lt;AT$2), IF($I158= "I", $J158/($F158-$E158+1), $J158/(($F158*($F158+1)/2)-(($E158-1)*($E158-1+1)/2))*AS$2), 0)+IF(IF(time+1&gt;=AT$2, $K158/time_cap/(time+1)*AS$2, 0) = 0, $K158/(time_cap),0)),0)</f>
        <v/>
      </c>
      <c r="AT158" s="4395">
        <f>IFERROR(IF((time+time_cap)&lt;AT$2, 0,IF(AND(time+1&gt;=AU$2, $E158&lt;AU$2), IF($I158= "I", $J158/($F158-$E158+1), $J158/(($F158*($F158+1)/2)-(($E158-1)*($E158-1+1)/2))*AT$2), 0)+IF(IF(time+1&gt;=AU$2, $K158/time_cap/(time+1)*AT$2, 0) = 0, $K158/(time_cap),0)),0)</f>
        <v/>
      </c>
      <c r="AU158" s="4395">
        <f>IFERROR(IF((time+time_cap)&lt;AU$2, 0,IF(AND(time+1&gt;=AV$2, $E158&lt;AV$2), IF($I158= "I", $J158/($F158-$E158+1), $J158/(($F158*($F158+1)/2)-(($E158-1)*($E158-1+1)/2))*AU$2), 0)+IF(IF(time+1&gt;=AV$2, $K158/time_cap/(time+1)*AU$2, 0) = 0, $K158/(time_cap),0)),0)</f>
        <v/>
      </c>
      <c r="AV158" s="4395">
        <f>IFERROR(IF((time+time_cap)&lt;AV$2, 0,IF(AND(time+1&gt;=AW$2, $E158&lt;AW$2), IF($I158= "I", $J158/($F158-$E158+1), $J158/(($F158*($F158+1)/2)-(($E158-1)*($E158-1+1)/2))*AV$2), 0)+IF(IF(time+1&gt;=AW$2, $K158/time_cap/(time+1)*AV$2, 0) = 0, $K158/(time_cap),0)),0)</f>
        <v/>
      </c>
      <c r="AW158" s="4395">
        <f>IFERROR(IF((time+time_cap)&lt;AW$2, 0,IF(AND(time+1&gt;=AX$2, $E158&lt;AX$2), IF($I158= "I", $J158/($F158-$E158+1), $J158/(($F158*($F158+1)/2)-(($E158-1)*($E158-1+1)/2))*AW$2), 0)+IF(IF(time+1&gt;=AX$2, $K158/time_cap/(time+1)*AW$2, 0) = 0, $K158/(time_cap),0)),0)</f>
        <v/>
      </c>
      <c r="AX158" s="4395">
        <f>IFERROR(IF((time+time_cap)&lt;AX$2, 0,IF(AND(time+1&gt;=AY$2, $E158&lt;AY$2), IF($I158= "I", $J158/($F158-$E158+1), $J158/(($F158*($F158+1)/2)-(($E158-1)*($E158-1+1)/2))*AX$2), 0)+IF(IF(time+1&gt;=AY$2, $K158/time_cap/(time+1)*AX$2, 0) = 0, $K158/(time_cap),0)),0)</f>
        <v/>
      </c>
      <c r="AY158" s="4395">
        <f>IFERROR(IF((time+time_cap)&lt;AY$2, 0,IF(AND(time+1&gt;=AZ$2, $E158&lt;AZ$2), IF($I158= "I", $J158/($F158-$E158+1), $J158/(($F158*($F158+1)/2)-(($E158-1)*($E158-1+1)/2))*AY$2), 0)+IF(IF(time+1&gt;=AZ$2, $K158/time_cap/(time+1)*AY$2, 0) = 0, $K158/(time_cap),0)),0)</f>
        <v/>
      </c>
      <c r="AZ158" s="4395">
        <f>IFERROR(IF((time+time_cap)&lt;AZ$2, 0,IF(AND(time+1&gt;=BA$2, $E158&lt;BA$2), IF($I158= "I", $J158/($F158-$E158+1), $J158/(($F158*($F158+1)/2)-(($E158-1)*($E158-1+1)/2))*AZ$2), 0)+IF(IF(time+1&gt;=BA$2, $K158/time_cap/(time+1)*AZ$2, 0) = 0, $K158/(time_cap),0)),0)</f>
        <v/>
      </c>
      <c r="BA158" s="4395">
        <f>IFERROR(IF((time+time_cap)&lt;BA$2, 0,IF(AND(time+1&gt;=BB$2, $E158&lt;BB$2), IF($I158= "I", $J158/($F158-$E158+1), $J158/(($F158*($F158+1)/2)-(($E158-1)*($E158-1+1)/2))*BA$2), 0)+IF(IF(time+1&gt;=BB$2, $K158/time_cap/(time+1)*BA$2, 0) = 0, $K158/(time_cap),0)),0)</f>
        <v/>
      </c>
      <c r="BB158" s="4395">
        <f>IFERROR(IF((time+time_cap)&lt;BB$2, 0,IF(AND(time+1&gt;=BC$2, $E158&lt;BC$2), IF($I158= "I", $J158/($F158-$E158+1), $J158/(($F158*($F158+1)/2)-(($E158-1)*($E158-1+1)/2))*BB$2), 0)+IF(IF(time+1&gt;=BC$2, $K158/time_cap/(time+1)*BB$2, 0) = 0, $K158/(time_cap),0)),0)</f>
        <v/>
      </c>
      <c r="BC158" s="4395">
        <f>IFERROR(IF((time+time_cap)&lt;BC$2, 0,IF(AND(time+1&gt;=BD$2, $E158&lt;BD$2), IF($I158= "I", $J158/($F158-$E158+1), $J158/(($F158*($F158+1)/2)-(($E158-1)*($E158-1+1)/2))*BC$2), 0)+IF(IF(time+1&gt;=BD$2, $K158/time_cap/(time+1)*BC$2, 0) = 0, $K158/(time_cap),0)),0)</f>
        <v/>
      </c>
      <c r="BD158" s="4395">
        <f>IFERROR(IF((time+time_cap)&lt;BD$2, 0,IF(AND(time+1&gt;=BE$2, $E158&lt;BE$2), IF($I158= "I", $J158/($F158-$E158+1), $J158/(($F158*($F158+1)/2)-(($E158-1)*($E158-1+1)/2))*BD$2), 0)+IF(IF(time+1&gt;=BE$2, $K158/time_cap/(time+1)*BD$2, 0) = 0, $K158/(time_cap),0)),0)</f>
        <v/>
      </c>
      <c r="BE158" s="4395">
        <f>IFERROR(IF((time+time_cap)&lt;BE$2, 0,IF(AND(time+1&gt;=BF$2, $E158&lt;BF$2), IF($I158= "I", $J158/($F158-$E158+1), $J158/(($F158*($F158+1)/2)-(($E158-1)*($E158-1+1)/2))*BE$2), 0)+IF(IF(time+1&gt;=BF$2, $K158/time_cap/(time+1)*BE$2, 0) = 0, $K158/(time_cap),0)),0)</f>
        <v/>
      </c>
      <c r="BF158" s="4395">
        <f>IFERROR(IF((time+time_cap)&lt;BF$2, 0,IF(AND(time+1&gt;=BG$2, $E158&lt;BG$2), IF($I158= "I", $J158/($F158-$E158+1), $J158/(($F158*($F158+1)/2)-(($E158-1)*($E158-1+1)/2))*BF$2), 0)+IF(IF(time+1&gt;=BG$2, $K158/time_cap/(time+1)*BF$2, 0) = 0, $K158/(time_cap),0)),0)</f>
        <v/>
      </c>
      <c r="BG158" s="4395">
        <f>IFERROR(IF((time+time_cap)&lt;BG$2, 0,IF(AND(time+1&gt;=BH$2, $E158&lt;BH$2), IF($I158= "I", $J158/($F158-$E158+1), $J158/(($F158*($F158+1)/2)-(($E158-1)*($E158-1+1)/2))*BG$2), 0)+IF(IF(time+1&gt;=BH$2, $K158/time_cap/(time+1)*BG$2, 0) = 0, $K158/(time_cap),0)),0)</f>
        <v/>
      </c>
      <c r="BH158" s="4395">
        <f>IFERROR(IF((time+time_cap)&lt;BH$2, 0,IF(AND(time+1&gt;=BI$2, $E158&lt;BI$2), IF($I158= "I", $J158/($F158-$E158+1), $J158/(($F158*($F158+1)/2)-(($E158-1)*($E158-1+1)/2))*BH$2), 0)+IF(IF(time+1&gt;=BI$2, $K158/time_cap/(time+1)*BH$2, 0) = 0, $K158/(time_cap),0)),0)</f>
        <v/>
      </c>
      <c r="BI158" s="4395">
        <f>IFERROR(IF((time+time_cap)&lt;BI$2, 0,IF(AND(time+1&gt;=BJ$2, $E158&lt;BJ$2), IF($I158= "I", $J158/($F158-$E158+1), $J158/(($F158*($F158+1)/2)-(($E158-1)*($E158-1+1)/2))*BI$2), 0)+IF(IF(time+1&gt;=BJ$2, $K158/time_cap/(time+1)*BI$2, 0) = 0, $K158/(time_cap),0)),0)</f>
        <v/>
      </c>
      <c r="BJ158" s="4395">
        <f>IFERROR(IF((time+time_cap)&lt;BJ$2, 0,IF(AND(time+1&gt;=BK$2, $E158&lt;BK$2), IF($I158= "I", $J158/($F158-$E158+1), $J158/(($F158*($F158+1)/2)-(($E158-1)*($E158-1+1)/2))*BJ$2), 0)+IF(IF(time+1&gt;=BK$2, $K158/time_cap/(time+1)*BJ$2, 0) = 0, $K158/(time_cap),0)),0)</f>
        <v/>
      </c>
      <c r="BK158" s="4395" t="n"/>
      <c r="BL158" s="4395" t="n"/>
      <c r="BM158" s="4395" t="n"/>
      <c r="BN158" s="4395" t="n"/>
      <c r="BO158" s="4395" t="n"/>
      <c r="BP158" s="4395" t="n"/>
      <c r="BQ158" s="4395" t="n"/>
      <c r="BR158" s="4395" t="n"/>
      <c r="BS158" s="4395" t="n"/>
      <c r="BT158" s="4395" t="n"/>
      <c r="BU158" s="4395" t="n"/>
      <c r="BV158" s="4395" t="n"/>
      <c r="BW158" s="4395" t="n"/>
      <c r="BX158" s="4395" t="n"/>
      <c r="BY158" s="4395" t="n"/>
      <c r="BZ158" s="4395" t="n"/>
      <c r="CA158" s="4395" t="n"/>
      <c r="CB158" s="4395" t="n"/>
      <c r="CC158" s="4395" t="n"/>
      <c r="CD158" s="4395" t="n"/>
      <c r="CE158" s="4395" t="n"/>
      <c r="CF158" s="4395" t="n"/>
      <c r="CG158" s="4395" t="n"/>
      <c r="CH158" s="4395" t="n"/>
      <c r="CI158" s="4395" t="n"/>
      <c r="CJ158" s="4395" t="n"/>
      <c r="CK158" s="4395" t="n"/>
      <c r="CL158" s="4395" t="n"/>
      <c r="CM158" s="4395" t="n"/>
      <c r="CN158" s="4395" t="n"/>
      <c r="CO158" s="4395" t="n"/>
      <c r="CP158" s="4395" t="n"/>
      <c r="CQ158" s="4395" t="n"/>
      <c r="CR158" s="4395" t="n"/>
      <c r="CS158" s="4395" t="n"/>
      <c r="CT158" s="4395" t="n"/>
      <c r="CU158" s="4395" t="n"/>
      <c r="CV158" s="4395" t="n"/>
      <c r="CW158" s="4395" t="n"/>
      <c r="CX158" s="4395" t="n"/>
      <c r="CY158" s="4395" t="n"/>
      <c r="CZ158" s="4395" t="n"/>
      <c r="DA158" s="4395" t="n"/>
      <c r="DB158" s="4395" t="n"/>
      <c r="DC158" s="4395" t="n"/>
      <c r="DD158" s="4395" t="n"/>
      <c r="DE158" s="4395" t="n"/>
      <c r="DF158" s="4395" t="n"/>
      <c r="DG158" s="4395" t="n"/>
      <c r="DH158" s="4395" t="n"/>
    </row>
    <row r="159" ht="16" customHeight="1">
      <c r="A159" t="inlineStr">
        <is>
          <t>Inland wetlands - water</t>
        </is>
      </c>
      <c r="B159">
        <f>'6.Inland wetlands'!C204</f>
        <v/>
      </c>
      <c r="C159">
        <f>'6.Inland wetlands'!I204</f>
        <v/>
      </c>
      <c r="D159">
        <f>'6.Inland wetlands'!AH205</f>
        <v/>
      </c>
      <c r="E159">
        <f>IF('6.Inland wetlands'!CA204&lt;&gt;0,'6.Inland wetlands'!CA204,'6.Inland wetlands'!BZ204)</f>
        <v/>
      </c>
      <c r="F159">
        <f>time</f>
        <v/>
      </c>
      <c r="G159" s="4395">
        <f>'6.Inland wetlands'!O204</f>
        <v/>
      </c>
      <c r="H159" s="4395">
        <f>'6.Inland wetlands'!Q204</f>
        <v/>
      </c>
      <c r="I159" s="4395">
        <f>IF(OR(H159="I", G159="I"), "I", IF(OR(H159="E", G159="E"), "E", "D"))</f>
        <v/>
      </c>
      <c r="J159" s="4395">
        <f>((D159/(time_cap+((F159-E159+1)*VLOOKUP(I159,list!$I$48:$K$50,3, FALSE))))*(F159-E159+1)*VLOOKUP(I159,list!$I$48:$K$50,3, FALSE))</f>
        <v/>
      </c>
      <c r="K159" s="4395">
        <f>((D159/(time_cap+((F159-E159+1)*VLOOKUP(I159,list!$I$48:$K$50,3, FALSE))))*time_cap)</f>
        <v/>
      </c>
      <c r="M159" s="4395">
        <f>IFERROR(IF((time+time_cap)&lt;M$2, 0,IF(AND(time+1&gt;=N$2, $E159&lt;N$2), IF($I159= "I", $J159/($F159-$E159+1), $J159/(($F159*($F159+1)/2)-(($E159-1)*($E159-1+1)/2))*M$2), 0)+IF(IF(time+1&gt;=N$2, $K159/time_cap/(time+1)*M$2, 0) = 0, $K159/(time_cap),0)),0)</f>
        <v/>
      </c>
      <c r="N159" s="4395">
        <f>IFERROR(IF((time+time_cap)&lt;N$2, 0,IF(AND(time+1&gt;=O$2, $E159&lt;O$2), IF($I159= "I", $J159/($F159-$E159+1), $J159/(($F159*($F159+1)/2)-(($E159-1)*($E159-1+1)/2))*N$2), 0)+IF(IF(time+1&gt;=O$2, $K159/time_cap/(time+1)*N$2, 0) = 0, $K159/(time_cap),0)),0)</f>
        <v/>
      </c>
      <c r="O159" s="4395">
        <f>IFERROR(IF((time+time_cap)&lt;O$2, 0,IF(AND(time+1&gt;=P$2, $E159&lt;P$2), IF($I159= "I", $J159/($F159-$E159+1), $J159/(($F159*($F159+1)/2)-(($E159-1)*($E159-1+1)/2))*O$2), 0)+IF(IF(time+1&gt;=P$2, $K159/time_cap/(time+1)*O$2, 0) = 0, $K159/(time_cap),0)),0)</f>
        <v/>
      </c>
      <c r="P159" s="4395">
        <f>IFERROR(IF((time+time_cap)&lt;P$2, 0,IF(AND(time+1&gt;=Q$2, $E159&lt;Q$2), IF($I159= "I", $J159/($F159-$E159+1), $J159/(($F159*($F159+1)/2)-(($E159-1)*($E159-1+1)/2))*P$2), 0)+IF(IF(time+1&gt;=Q$2, $K159/time_cap/(time+1)*P$2, 0) = 0, $K159/(time_cap),0)),0)</f>
        <v/>
      </c>
      <c r="Q159" s="4395">
        <f>IFERROR(IF((time+time_cap)&lt;Q$2, 0,IF(AND(time+1&gt;=R$2, $E159&lt;R$2), IF($I159= "I", $J159/($F159-$E159+1), $J159/(($F159*($F159+1)/2)-(($E159-1)*($E159-1+1)/2))*Q$2), 0)+IF(IF(time+1&gt;=R$2, $K159/time_cap/(time+1)*Q$2, 0) = 0, $K159/(time_cap),0)),0)</f>
        <v/>
      </c>
      <c r="R159" s="4395">
        <f>IFERROR(IF((time+time_cap)&lt;R$2, 0,IF(AND(time+1&gt;=S$2, $E159&lt;S$2), IF($I159= "I", $J159/($F159-$E159+1), $J159/(($F159*($F159+1)/2)-(($E159-1)*($E159-1+1)/2))*R$2), 0)+IF(IF(time+1&gt;=S$2, $K159/time_cap/(time+1)*R$2, 0) = 0, $K159/(time_cap),0)),0)</f>
        <v/>
      </c>
      <c r="S159" s="4395">
        <f>IFERROR(IF((time+time_cap)&lt;S$2, 0,IF(AND(time+1&gt;=T$2, $E159&lt;T$2), IF($I159= "I", $J159/($F159-$E159+1), $J159/(($F159*($F159+1)/2)-(($E159-1)*($E159-1+1)/2))*S$2), 0)+IF(IF(time+1&gt;=T$2, $K159/time_cap/(time+1)*S$2, 0) = 0, $K159/(time_cap),0)),0)</f>
        <v/>
      </c>
      <c r="T159" s="4395">
        <f>IFERROR(IF((time+time_cap)&lt;T$2, 0,IF(AND(time+1&gt;=U$2, $E159&lt;U$2), IF($I159= "I", $J159/($F159-$E159+1), $J159/(($F159*($F159+1)/2)-(($E159-1)*($E159-1+1)/2))*T$2), 0)+IF(IF(time+1&gt;=U$2, $K159/time_cap/(time+1)*T$2, 0) = 0, $K159/(time_cap),0)),0)</f>
        <v/>
      </c>
      <c r="U159" s="4395">
        <f>IFERROR(IF((time+time_cap)&lt;U$2, 0,IF(AND(time+1&gt;=V$2, $E159&lt;V$2), IF($I159= "I", $J159/($F159-$E159+1), $J159/(($F159*($F159+1)/2)-(($E159-1)*($E159-1+1)/2))*U$2), 0)+IF(IF(time+1&gt;=V$2, $K159/time_cap/(time+1)*U$2, 0) = 0, $K159/(time_cap),0)),0)</f>
        <v/>
      </c>
      <c r="V159" s="4395">
        <f>IFERROR(IF((time+time_cap)&lt;V$2, 0,IF(AND(time+1&gt;=W$2, $E159&lt;W$2), IF($I159= "I", $J159/($F159-$E159+1), $J159/(($F159*($F159+1)/2)-(($E159-1)*($E159-1+1)/2))*V$2), 0)+IF(IF(time+1&gt;=W$2, $K159/time_cap/(time+1)*V$2, 0) = 0, $K159/(time_cap),0)),0)</f>
        <v/>
      </c>
      <c r="W159" s="4395">
        <f>IFERROR(IF((time+time_cap)&lt;W$2, 0,IF(AND(time+1&gt;=X$2, $E159&lt;X$2), IF($I159= "I", $J159/($F159-$E159+1), $J159/(($F159*($F159+1)/2)-(($E159-1)*($E159-1+1)/2))*W$2), 0)+IF(IF(time+1&gt;=X$2, $K159/time_cap/(time+1)*W$2, 0) = 0, $K159/(time_cap),0)),0)</f>
        <v/>
      </c>
      <c r="X159" s="4395">
        <f>IFERROR(IF((time+time_cap)&lt;X$2, 0,IF(AND(time+1&gt;=Y$2, $E159&lt;Y$2), IF($I159= "I", $J159/($F159-$E159+1), $J159/(($F159*($F159+1)/2)-(($E159-1)*($E159-1+1)/2))*X$2), 0)+IF(IF(time+1&gt;=Y$2, $K159/time_cap/(time+1)*X$2, 0) = 0, $K159/(time_cap),0)),0)</f>
        <v/>
      </c>
      <c r="Y159" s="4395">
        <f>IFERROR(IF((time+time_cap)&lt;Y$2, 0,IF(AND(time+1&gt;=Z$2, $E159&lt;Z$2), IF($I159= "I", $J159/($F159-$E159+1), $J159/(($F159*($F159+1)/2)-(($E159-1)*($E159-1+1)/2))*Y$2), 0)+IF(IF(time+1&gt;=Z$2, $K159/time_cap/(time+1)*Y$2, 0) = 0, $K159/(time_cap),0)),0)</f>
        <v/>
      </c>
      <c r="Z159" s="4395">
        <f>IFERROR(IF((time+time_cap)&lt;Z$2, 0,IF(AND(time+1&gt;=AA$2, $E159&lt;AA$2), IF($I159= "I", $J159/($F159-$E159+1), $J159/(($F159*($F159+1)/2)-(($E159-1)*($E159-1+1)/2))*Z$2), 0)+IF(IF(time+1&gt;=AA$2, $K159/time_cap/(time+1)*Z$2, 0) = 0, $K159/(time_cap),0)),0)</f>
        <v/>
      </c>
      <c r="AA159" s="4395">
        <f>IFERROR(IF((time+time_cap)&lt;AA$2, 0,IF(AND(time+1&gt;=AB$2, $E159&lt;AB$2), IF($I159= "I", $J159/($F159-$E159+1), $J159/(($F159*($F159+1)/2)-(($E159-1)*($E159-1+1)/2))*AA$2), 0)+IF(IF(time+1&gt;=AB$2, $K159/time_cap/(time+1)*AA$2, 0) = 0, $K159/(time_cap),0)),0)</f>
        <v/>
      </c>
      <c r="AB159" s="4395">
        <f>IFERROR(IF((time+time_cap)&lt;AB$2, 0,IF(AND(time+1&gt;=AC$2, $E159&lt;AC$2), IF($I159= "I", $J159/($F159-$E159+1), $J159/(($F159*($F159+1)/2)-(($E159-1)*($E159-1+1)/2))*AB$2), 0)+IF(IF(time+1&gt;=AC$2, $K159/time_cap/(time+1)*AB$2, 0) = 0, $K159/(time_cap),0)),0)</f>
        <v/>
      </c>
      <c r="AC159" s="4395">
        <f>IFERROR(IF((time+time_cap)&lt;AC$2, 0,IF(AND(time+1&gt;=AD$2, $E159&lt;AD$2), IF($I159= "I", $J159/($F159-$E159+1), $J159/(($F159*($F159+1)/2)-(($E159-1)*($E159-1+1)/2))*AC$2), 0)+IF(IF(time+1&gt;=AD$2, $K159/time_cap/(time+1)*AC$2, 0) = 0, $K159/(time_cap),0)),0)</f>
        <v/>
      </c>
      <c r="AD159" s="4395">
        <f>IFERROR(IF((time+time_cap)&lt;AD$2, 0,IF(AND(time+1&gt;=AE$2, $E159&lt;AE$2), IF($I159= "I", $J159/($F159-$E159+1), $J159/(($F159*($F159+1)/2)-(($E159-1)*($E159-1+1)/2))*AD$2), 0)+IF(IF(time+1&gt;=AE$2, $K159/time_cap/(time+1)*AD$2, 0) = 0, $K159/(time_cap),0)),0)</f>
        <v/>
      </c>
      <c r="AE159" s="4395">
        <f>IFERROR(IF((time+time_cap)&lt;AE$2, 0,IF(AND(time+1&gt;=AF$2, $E159&lt;AF$2), IF($I159= "I", $J159/($F159-$E159+1), $J159/(($F159*($F159+1)/2)-(($E159-1)*($E159-1+1)/2))*AE$2), 0)+IF(IF(time+1&gt;=AF$2, $K159/time_cap/(time+1)*AE$2, 0) = 0, $K159/(time_cap),0)),0)</f>
        <v/>
      </c>
      <c r="AF159" s="4395">
        <f>IFERROR(IF((time+time_cap)&lt;AF$2, 0,IF(AND(time+1&gt;=AG$2, $E159&lt;AG$2), IF($I159= "I", $J159/($F159-$E159+1), $J159/(($F159*($F159+1)/2)-(($E159-1)*($E159-1+1)/2))*AF$2), 0)+IF(IF(time+1&gt;=AG$2, $K159/time_cap/(time+1)*AF$2, 0) = 0, $K159/(time_cap),0)),0)</f>
        <v/>
      </c>
      <c r="AG159" s="4395">
        <f>IFERROR(IF((time+time_cap)&lt;AG$2, 0,IF(AND(time+1&gt;=AH$2, $E159&lt;AH$2), IF($I159= "I", $J159/($F159-$E159+1), $J159/(($F159*($F159+1)/2)-(($E159-1)*($E159-1+1)/2))*AG$2), 0)+IF(IF(time+1&gt;=AH$2, $K159/time_cap/(time+1)*AG$2, 0) = 0, $K159/(time_cap),0)),0)</f>
        <v/>
      </c>
      <c r="AH159" s="4395">
        <f>IFERROR(IF((time+time_cap)&lt;AH$2, 0,IF(AND(time+1&gt;=AI$2, $E159&lt;AI$2), IF($I159= "I", $J159/($F159-$E159+1), $J159/(($F159*($F159+1)/2)-(($E159-1)*($E159-1+1)/2))*AH$2), 0)+IF(IF(time+1&gt;=AI$2, $K159/time_cap/(time+1)*AH$2, 0) = 0, $K159/(time_cap),0)),0)</f>
        <v/>
      </c>
      <c r="AI159" s="4395">
        <f>IFERROR(IF((time+time_cap)&lt;AI$2, 0,IF(AND(time+1&gt;=AJ$2, $E159&lt;AJ$2), IF($I159= "I", $J159/($F159-$E159+1), $J159/(($F159*($F159+1)/2)-(($E159-1)*($E159-1+1)/2))*AI$2), 0)+IF(IF(time+1&gt;=AJ$2, $K159/time_cap/(time+1)*AI$2, 0) = 0, $K159/(time_cap),0)),0)</f>
        <v/>
      </c>
      <c r="AJ159" s="4395">
        <f>IFERROR(IF((time+time_cap)&lt;AJ$2, 0,IF(AND(time+1&gt;=AK$2, $E159&lt;AK$2), IF($I159= "I", $J159/($F159-$E159+1), $J159/(($F159*($F159+1)/2)-(($E159-1)*($E159-1+1)/2))*AJ$2), 0)+IF(IF(time+1&gt;=AK$2, $K159/time_cap/(time+1)*AJ$2, 0) = 0, $K159/(time_cap),0)),0)</f>
        <v/>
      </c>
      <c r="AK159" s="4395">
        <f>IFERROR(IF((time+time_cap)&lt;AK$2, 0,IF(AND(time+1&gt;=AL$2, $E159&lt;AL$2), IF($I159= "I", $J159/($F159-$E159+1), $J159/(($F159*($F159+1)/2)-(($E159-1)*($E159-1+1)/2))*AK$2), 0)+IF(IF(time+1&gt;=AL$2, $K159/time_cap/(time+1)*AK$2, 0) = 0, $K159/(time_cap),0)),0)</f>
        <v/>
      </c>
      <c r="AL159" s="4395">
        <f>IFERROR(IF((time+time_cap)&lt;AL$2, 0,IF(AND(time+1&gt;=AM$2, $E159&lt;AM$2), IF($I159= "I", $J159/($F159-$E159+1), $J159/(($F159*($F159+1)/2)-(($E159-1)*($E159-1+1)/2))*AL$2), 0)+IF(IF(time+1&gt;=AM$2, $K159/time_cap/(time+1)*AL$2, 0) = 0, $K159/(time_cap),0)),0)</f>
        <v/>
      </c>
      <c r="AM159" s="4395">
        <f>IFERROR(IF((time+time_cap)&lt;AM$2, 0,IF(AND(time+1&gt;=AN$2, $E159&lt;AN$2), IF($I159= "I", $J159/($F159-$E159+1), $J159/(($F159*($F159+1)/2)-(($E159-1)*($E159-1+1)/2))*AM$2), 0)+IF(IF(time+1&gt;=AN$2, $K159/time_cap/(time+1)*AM$2, 0) = 0, $K159/(time_cap),0)),0)</f>
        <v/>
      </c>
      <c r="AN159" s="4395">
        <f>IFERROR(IF((time+time_cap)&lt;AN$2, 0,IF(AND(time+1&gt;=AO$2, $E159&lt;AO$2), IF($I159= "I", $J159/($F159-$E159+1), $J159/(($F159*($F159+1)/2)-(($E159-1)*($E159-1+1)/2))*AN$2), 0)+IF(IF(time+1&gt;=AO$2, $K159/time_cap/(time+1)*AN$2, 0) = 0, $K159/(time_cap),0)),0)</f>
        <v/>
      </c>
      <c r="AO159" s="4395">
        <f>IFERROR(IF((time+time_cap)&lt;AO$2, 0,IF(AND(time+1&gt;=AP$2, $E159&lt;AP$2), IF($I159= "I", $J159/($F159-$E159+1), $J159/(($F159*($F159+1)/2)-(($E159-1)*($E159-1+1)/2))*AO$2), 0)+IF(IF(time+1&gt;=AP$2, $K159/time_cap/(time+1)*AO$2, 0) = 0, $K159/(time_cap),0)),0)</f>
        <v/>
      </c>
      <c r="AP159" s="4395">
        <f>IFERROR(IF((time+time_cap)&lt;AP$2, 0,IF(AND(time+1&gt;=AQ$2, $E159&lt;AQ$2), IF($I159= "I", $J159/($F159-$E159+1), $J159/(($F159*($F159+1)/2)-(($E159-1)*($E159-1+1)/2))*AP$2), 0)+IF(IF(time+1&gt;=AQ$2, $K159/time_cap/(time+1)*AP$2, 0) = 0, $K159/(time_cap),0)),0)</f>
        <v/>
      </c>
      <c r="AQ159" s="4395">
        <f>IFERROR(IF((time+time_cap)&lt;AQ$2, 0,IF(AND(time+1&gt;=AR$2, $E159&lt;AR$2), IF($I159= "I", $J159/($F159-$E159+1), $J159/(($F159*($F159+1)/2)-(($E159-1)*($E159-1+1)/2))*AQ$2), 0)+IF(IF(time+1&gt;=AR$2, $K159/time_cap/(time+1)*AQ$2, 0) = 0, $K159/(time_cap),0)),0)</f>
        <v/>
      </c>
      <c r="AR159" s="4395">
        <f>IFERROR(IF((time+time_cap)&lt;AR$2, 0,IF(AND(time+1&gt;=AS$2, $E159&lt;AS$2), IF($I159= "I", $J159/($F159-$E159+1), $J159/(($F159*($F159+1)/2)-(($E159-1)*($E159-1+1)/2))*AR$2), 0)+IF(IF(time+1&gt;=AS$2, $K159/time_cap/(time+1)*AR$2, 0) = 0, $K159/(time_cap),0)),0)</f>
        <v/>
      </c>
      <c r="AS159" s="4395">
        <f>IFERROR(IF((time+time_cap)&lt;AS$2, 0,IF(AND(time+1&gt;=AT$2, $E159&lt;AT$2), IF($I159= "I", $J159/($F159-$E159+1), $J159/(($F159*($F159+1)/2)-(($E159-1)*($E159-1+1)/2))*AS$2), 0)+IF(IF(time+1&gt;=AT$2, $K159/time_cap/(time+1)*AS$2, 0) = 0, $K159/(time_cap),0)),0)</f>
        <v/>
      </c>
      <c r="AT159" s="4395">
        <f>IFERROR(IF((time+time_cap)&lt;AT$2, 0,IF(AND(time+1&gt;=AU$2, $E159&lt;AU$2), IF($I159= "I", $J159/($F159-$E159+1), $J159/(($F159*($F159+1)/2)-(($E159-1)*($E159-1+1)/2))*AT$2), 0)+IF(IF(time+1&gt;=AU$2, $K159/time_cap/(time+1)*AT$2, 0) = 0, $K159/(time_cap),0)),0)</f>
        <v/>
      </c>
      <c r="AU159" s="4395">
        <f>IFERROR(IF((time+time_cap)&lt;AU$2, 0,IF(AND(time+1&gt;=AV$2, $E159&lt;AV$2), IF($I159= "I", $J159/($F159-$E159+1), $J159/(($F159*($F159+1)/2)-(($E159-1)*($E159-1+1)/2))*AU$2), 0)+IF(IF(time+1&gt;=AV$2, $K159/time_cap/(time+1)*AU$2, 0) = 0, $K159/(time_cap),0)),0)</f>
        <v/>
      </c>
      <c r="AV159" s="4395">
        <f>IFERROR(IF((time+time_cap)&lt;AV$2, 0,IF(AND(time+1&gt;=AW$2, $E159&lt;AW$2), IF($I159= "I", $J159/($F159-$E159+1), $J159/(($F159*($F159+1)/2)-(($E159-1)*($E159-1+1)/2))*AV$2), 0)+IF(IF(time+1&gt;=AW$2, $K159/time_cap/(time+1)*AV$2, 0) = 0, $K159/(time_cap),0)),0)</f>
        <v/>
      </c>
      <c r="AW159" s="4395">
        <f>IFERROR(IF((time+time_cap)&lt;AW$2, 0,IF(AND(time+1&gt;=AX$2, $E159&lt;AX$2), IF($I159= "I", $J159/($F159-$E159+1), $J159/(($F159*($F159+1)/2)-(($E159-1)*($E159-1+1)/2))*AW$2), 0)+IF(IF(time+1&gt;=AX$2, $K159/time_cap/(time+1)*AW$2, 0) = 0, $K159/(time_cap),0)),0)</f>
        <v/>
      </c>
      <c r="AX159" s="4395">
        <f>IFERROR(IF((time+time_cap)&lt;AX$2, 0,IF(AND(time+1&gt;=AY$2, $E159&lt;AY$2), IF($I159= "I", $J159/($F159-$E159+1), $J159/(($F159*($F159+1)/2)-(($E159-1)*($E159-1+1)/2))*AX$2), 0)+IF(IF(time+1&gt;=AY$2, $K159/time_cap/(time+1)*AX$2, 0) = 0, $K159/(time_cap),0)),0)</f>
        <v/>
      </c>
      <c r="AY159" s="4395">
        <f>IFERROR(IF((time+time_cap)&lt;AY$2, 0,IF(AND(time+1&gt;=AZ$2, $E159&lt;AZ$2), IF($I159= "I", $J159/($F159-$E159+1), $J159/(($F159*($F159+1)/2)-(($E159-1)*($E159-1+1)/2))*AY$2), 0)+IF(IF(time+1&gt;=AZ$2, $K159/time_cap/(time+1)*AY$2, 0) = 0, $K159/(time_cap),0)),0)</f>
        <v/>
      </c>
      <c r="AZ159" s="4395">
        <f>IFERROR(IF((time+time_cap)&lt;AZ$2, 0,IF(AND(time+1&gt;=BA$2, $E159&lt;BA$2), IF($I159= "I", $J159/($F159-$E159+1), $J159/(($F159*($F159+1)/2)-(($E159-1)*($E159-1+1)/2))*AZ$2), 0)+IF(IF(time+1&gt;=BA$2, $K159/time_cap/(time+1)*AZ$2, 0) = 0, $K159/(time_cap),0)),0)</f>
        <v/>
      </c>
      <c r="BA159" s="4395">
        <f>IFERROR(IF((time+time_cap)&lt;BA$2, 0,IF(AND(time+1&gt;=BB$2, $E159&lt;BB$2), IF($I159= "I", $J159/($F159-$E159+1), $J159/(($F159*($F159+1)/2)-(($E159-1)*($E159-1+1)/2))*BA$2), 0)+IF(IF(time+1&gt;=BB$2, $K159/time_cap/(time+1)*BA$2, 0) = 0, $K159/(time_cap),0)),0)</f>
        <v/>
      </c>
      <c r="BB159" s="4395">
        <f>IFERROR(IF((time+time_cap)&lt;BB$2, 0,IF(AND(time+1&gt;=BC$2, $E159&lt;BC$2), IF($I159= "I", $J159/($F159-$E159+1), $J159/(($F159*($F159+1)/2)-(($E159-1)*($E159-1+1)/2))*BB$2), 0)+IF(IF(time+1&gt;=BC$2, $K159/time_cap/(time+1)*BB$2, 0) = 0, $K159/(time_cap),0)),0)</f>
        <v/>
      </c>
      <c r="BC159" s="4395">
        <f>IFERROR(IF((time+time_cap)&lt;BC$2, 0,IF(AND(time+1&gt;=BD$2, $E159&lt;BD$2), IF($I159= "I", $J159/($F159-$E159+1), $J159/(($F159*($F159+1)/2)-(($E159-1)*($E159-1+1)/2))*BC$2), 0)+IF(IF(time+1&gt;=BD$2, $K159/time_cap/(time+1)*BC$2, 0) = 0, $K159/(time_cap),0)),0)</f>
        <v/>
      </c>
      <c r="BD159" s="4395">
        <f>IFERROR(IF((time+time_cap)&lt;BD$2, 0,IF(AND(time+1&gt;=BE$2, $E159&lt;BE$2), IF($I159= "I", $J159/($F159-$E159+1), $J159/(($F159*($F159+1)/2)-(($E159-1)*($E159-1+1)/2))*BD$2), 0)+IF(IF(time+1&gt;=BE$2, $K159/time_cap/(time+1)*BD$2, 0) = 0, $K159/(time_cap),0)),0)</f>
        <v/>
      </c>
      <c r="BE159" s="4395">
        <f>IFERROR(IF((time+time_cap)&lt;BE$2, 0,IF(AND(time+1&gt;=BF$2, $E159&lt;BF$2), IF($I159= "I", $J159/($F159-$E159+1), $J159/(($F159*($F159+1)/2)-(($E159-1)*($E159-1+1)/2))*BE$2), 0)+IF(IF(time+1&gt;=BF$2, $K159/time_cap/(time+1)*BE$2, 0) = 0, $K159/(time_cap),0)),0)</f>
        <v/>
      </c>
      <c r="BF159" s="4395">
        <f>IFERROR(IF((time+time_cap)&lt;BF$2, 0,IF(AND(time+1&gt;=BG$2, $E159&lt;BG$2), IF($I159= "I", $J159/($F159-$E159+1), $J159/(($F159*($F159+1)/2)-(($E159-1)*($E159-1+1)/2))*BF$2), 0)+IF(IF(time+1&gt;=BG$2, $K159/time_cap/(time+1)*BF$2, 0) = 0, $K159/(time_cap),0)),0)</f>
        <v/>
      </c>
      <c r="BG159" s="4395">
        <f>IFERROR(IF((time+time_cap)&lt;BG$2, 0,IF(AND(time+1&gt;=BH$2, $E159&lt;BH$2), IF($I159= "I", $J159/($F159-$E159+1), $J159/(($F159*($F159+1)/2)-(($E159-1)*($E159-1+1)/2))*BG$2), 0)+IF(IF(time+1&gt;=BH$2, $K159/time_cap/(time+1)*BG$2, 0) = 0, $K159/(time_cap),0)),0)</f>
        <v/>
      </c>
      <c r="BH159" s="4395">
        <f>IFERROR(IF((time+time_cap)&lt;BH$2, 0,IF(AND(time+1&gt;=BI$2, $E159&lt;BI$2), IF($I159= "I", $J159/($F159-$E159+1), $J159/(($F159*($F159+1)/2)-(($E159-1)*($E159-1+1)/2))*BH$2), 0)+IF(IF(time+1&gt;=BI$2, $K159/time_cap/(time+1)*BH$2, 0) = 0, $K159/(time_cap),0)),0)</f>
        <v/>
      </c>
      <c r="BI159" s="4395">
        <f>IFERROR(IF((time+time_cap)&lt;BI$2, 0,IF(AND(time+1&gt;=BJ$2, $E159&lt;BJ$2), IF($I159= "I", $J159/($F159-$E159+1), $J159/(($F159*($F159+1)/2)-(($E159-1)*($E159-1+1)/2))*BI$2), 0)+IF(IF(time+1&gt;=BJ$2, $K159/time_cap/(time+1)*BI$2, 0) = 0, $K159/(time_cap),0)),0)</f>
        <v/>
      </c>
      <c r="BJ159" s="4395">
        <f>IFERROR(IF((time+time_cap)&lt;BJ$2, 0,IF(AND(time+1&gt;=BK$2, $E159&lt;BK$2), IF($I159= "I", $J159/($F159-$E159+1), $J159/(($F159*($F159+1)/2)-(($E159-1)*($E159-1+1)/2))*BJ$2), 0)+IF(IF(time+1&gt;=BK$2, $K159/time_cap/(time+1)*BJ$2, 0) = 0, $K159/(time_cap),0)),0)</f>
        <v/>
      </c>
      <c r="BK159" s="4395" t="n"/>
      <c r="BL159" s="4395" t="n"/>
      <c r="BM159" s="4395" t="n"/>
      <c r="BN159" s="4395" t="n"/>
      <c r="BO159" s="4395" t="n"/>
      <c r="BP159" s="4395" t="n"/>
      <c r="BQ159" s="4395" t="n"/>
      <c r="BR159" s="4395" t="n"/>
      <c r="BS159" s="4395" t="n"/>
      <c r="BT159" s="4395" t="n"/>
      <c r="BU159" s="4395" t="n"/>
      <c r="BV159" s="4395" t="n"/>
      <c r="BW159" s="4395" t="n"/>
      <c r="BX159" s="4395" t="n"/>
      <c r="BY159" s="4395" t="n"/>
      <c r="BZ159" s="4395" t="n"/>
      <c r="CA159" s="4395" t="n"/>
      <c r="CB159" s="4395" t="n"/>
      <c r="CC159" s="4395" t="n"/>
      <c r="CD159" s="4395" t="n"/>
      <c r="CE159" s="4395" t="n"/>
      <c r="CF159" s="4395" t="n"/>
      <c r="CG159" s="4395" t="n"/>
      <c r="CH159" s="4395" t="n"/>
      <c r="CI159" s="4395" t="n"/>
      <c r="CJ159" s="4395" t="n"/>
      <c r="CK159" s="4395" t="n"/>
      <c r="CL159" s="4395" t="n"/>
      <c r="CM159" s="4395" t="n"/>
      <c r="CN159" s="4395" t="n"/>
      <c r="CO159" s="4395" t="n"/>
      <c r="CP159" s="4395" t="n"/>
      <c r="CQ159" s="4395" t="n"/>
      <c r="CR159" s="4395" t="n"/>
      <c r="CS159" s="4395" t="n"/>
      <c r="CT159" s="4395" t="n"/>
      <c r="CU159" s="4395" t="n"/>
      <c r="CV159" s="4395" t="n"/>
      <c r="CW159" s="4395" t="n"/>
      <c r="CX159" s="4395" t="n"/>
      <c r="CY159" s="4395" t="n"/>
      <c r="CZ159" s="4395" t="n"/>
      <c r="DA159" s="4395" t="n"/>
      <c r="DB159" s="4395" t="n"/>
      <c r="DC159" s="4395" t="n"/>
      <c r="DD159" s="4395" t="n"/>
      <c r="DE159" s="4395" t="n"/>
      <c r="DF159" s="4395" t="n"/>
      <c r="DG159" s="4395" t="n"/>
      <c r="DH159" s="4395" t="n"/>
    </row>
    <row r="160" ht="16" customHeight="1">
      <c r="A160" t="inlineStr">
        <is>
          <t>Coastal wetland - extraction</t>
        </is>
      </c>
      <c r="C160">
        <f>'7.Coastal wetlands'!C11</f>
        <v/>
      </c>
      <c r="D160">
        <f>'7.Coastal wetlands'!AI11</f>
        <v/>
      </c>
      <c r="E160">
        <f>IF('7.Coastal wetlands'!CN11&lt;&gt;0,'7.Coastal wetlands'!CN11,'7.Coastal wetlands'!CM11)</f>
        <v/>
      </c>
      <c r="F160">
        <f>time</f>
        <v/>
      </c>
      <c r="G160" s="4395" t="inlineStr">
        <is>
          <t>D</t>
        </is>
      </c>
      <c r="H160" s="4395" t="inlineStr">
        <is>
          <t>D</t>
        </is>
      </c>
      <c r="I160" s="4395">
        <f>IF(OR(H160="I", G160="I"), "I", IF(OR(H160="E", G160="E"), "E", "D"))</f>
        <v/>
      </c>
      <c r="J160" s="4395">
        <f>((D160/(time_cap+((F160-E160+1)*VLOOKUP(I160,list!$I$48:$K$50,3, FALSE))))*(F160-E160+1)*VLOOKUP(I160,list!$I$48:$K$50,3, FALSE))</f>
        <v/>
      </c>
      <c r="K160" s="4395">
        <f>((D160/(time_cap+((F160-E160+1)*VLOOKUP(I160,list!$I$48:$K$50,3, FALSE))))*time_cap)</f>
        <v/>
      </c>
      <c r="M160" s="4395">
        <f>IFERROR(IF((time+time_cap)&lt;M$2, 0,IF(AND(time+1&gt;=N$2, $E160&lt;N$2), IF($I160= "I", $J160/($F160-$E160+1), $J160/(($F160*($F160+1)/2)-(($E160-1)*($E160-1+1)/2))*M$2), 0)+IF(IF(time+1&gt;=N$2, $K160/time_cap/(time+1)*M$2, 0) = 0, $K160/(time_cap),0)),0)</f>
        <v/>
      </c>
      <c r="N160" s="4395">
        <f>IFERROR(IF((time+time_cap)&lt;N$2, 0,IF(AND(time+1&gt;=O$2, $E160&lt;O$2), IF($I160= "I", $J160/($F160-$E160+1), $J160/(($F160*($F160+1)/2)-(($E160-1)*($E160-1+1)/2))*N$2), 0)+IF(IF(time+1&gt;=O$2, $K160/time_cap/(time+1)*N$2, 0) = 0, $K160/(time_cap),0)),0)</f>
        <v/>
      </c>
      <c r="O160" s="4395">
        <f>IFERROR(IF((time+time_cap)&lt;O$2, 0,IF(AND(time+1&gt;=P$2, $E160&lt;P$2), IF($I160= "I", $J160/($F160-$E160+1), $J160/(($F160*($F160+1)/2)-(($E160-1)*($E160-1+1)/2))*O$2), 0)+IF(IF(time+1&gt;=P$2, $K160/time_cap/(time+1)*O$2, 0) = 0, $K160/(time_cap),0)),0)</f>
        <v/>
      </c>
      <c r="P160" s="4395">
        <f>IFERROR(IF((time+time_cap)&lt;P$2, 0,IF(AND(time+1&gt;=Q$2, $E160&lt;Q$2), IF($I160= "I", $J160/($F160-$E160+1), $J160/(($F160*($F160+1)/2)-(($E160-1)*($E160-1+1)/2))*P$2), 0)+IF(IF(time+1&gt;=Q$2, $K160/time_cap/(time+1)*P$2, 0) = 0, $K160/(time_cap),0)),0)</f>
        <v/>
      </c>
      <c r="Q160" s="4395">
        <f>IFERROR(IF((time+time_cap)&lt;Q$2, 0,IF(AND(time+1&gt;=R$2, $E160&lt;R$2), IF($I160= "I", $J160/($F160-$E160+1), $J160/(($F160*($F160+1)/2)-(($E160-1)*($E160-1+1)/2))*Q$2), 0)+IF(IF(time+1&gt;=R$2, $K160/time_cap/(time+1)*Q$2, 0) = 0, $K160/(time_cap),0)),0)</f>
        <v/>
      </c>
      <c r="R160" s="4395">
        <f>IFERROR(IF((time+time_cap)&lt;R$2, 0,IF(AND(time+1&gt;=S$2, $E160&lt;S$2), IF($I160= "I", $J160/($F160-$E160+1), $J160/(($F160*($F160+1)/2)-(($E160-1)*($E160-1+1)/2))*R$2), 0)+IF(IF(time+1&gt;=S$2, $K160/time_cap/(time+1)*R$2, 0) = 0, $K160/(time_cap),0)),0)</f>
        <v/>
      </c>
      <c r="S160" s="4395">
        <f>IFERROR(IF((time+time_cap)&lt;S$2, 0,IF(AND(time+1&gt;=T$2, $E160&lt;T$2), IF($I160= "I", $J160/($F160-$E160+1), $J160/(($F160*($F160+1)/2)-(($E160-1)*($E160-1+1)/2))*S$2), 0)+IF(IF(time+1&gt;=T$2, $K160/time_cap/(time+1)*S$2, 0) = 0, $K160/(time_cap),0)),0)</f>
        <v/>
      </c>
      <c r="T160" s="4395">
        <f>IFERROR(IF((time+time_cap)&lt;T$2, 0,IF(AND(time+1&gt;=U$2, $E160&lt;U$2), IF($I160= "I", $J160/($F160-$E160+1), $J160/(($F160*($F160+1)/2)-(($E160-1)*($E160-1+1)/2))*T$2), 0)+IF(IF(time+1&gt;=U$2, $K160/time_cap/(time+1)*T$2, 0) = 0, $K160/(time_cap),0)),0)</f>
        <v/>
      </c>
      <c r="U160" s="4395">
        <f>IFERROR(IF((time+time_cap)&lt;U$2, 0,IF(AND(time+1&gt;=V$2, $E160&lt;V$2), IF($I160= "I", $J160/($F160-$E160+1), $J160/(($F160*($F160+1)/2)-(($E160-1)*($E160-1+1)/2))*U$2), 0)+IF(IF(time+1&gt;=V$2, $K160/time_cap/(time+1)*U$2, 0) = 0, $K160/(time_cap),0)),0)</f>
        <v/>
      </c>
      <c r="V160" s="4395">
        <f>IFERROR(IF((time+time_cap)&lt;V$2, 0,IF(AND(time+1&gt;=W$2, $E160&lt;W$2), IF($I160= "I", $J160/($F160-$E160+1), $J160/(($F160*($F160+1)/2)-(($E160-1)*($E160-1+1)/2))*V$2), 0)+IF(IF(time+1&gt;=W$2, $K160/time_cap/(time+1)*V$2, 0) = 0, $K160/(time_cap),0)),0)</f>
        <v/>
      </c>
      <c r="W160" s="4395">
        <f>IFERROR(IF((time+time_cap)&lt;W$2, 0,IF(AND(time+1&gt;=X$2, $E160&lt;X$2), IF($I160= "I", $J160/($F160-$E160+1), $J160/(($F160*($F160+1)/2)-(($E160-1)*($E160-1+1)/2))*W$2), 0)+IF(IF(time+1&gt;=X$2, $K160/time_cap/(time+1)*W$2, 0) = 0, $K160/(time_cap),0)),0)</f>
        <v/>
      </c>
      <c r="X160" s="4395">
        <f>IFERROR(IF((time+time_cap)&lt;X$2, 0,IF(AND(time+1&gt;=Y$2, $E160&lt;Y$2), IF($I160= "I", $J160/($F160-$E160+1), $J160/(($F160*($F160+1)/2)-(($E160-1)*($E160-1+1)/2))*X$2), 0)+IF(IF(time+1&gt;=Y$2, $K160/time_cap/(time+1)*X$2, 0) = 0, $K160/(time_cap),0)),0)</f>
        <v/>
      </c>
      <c r="Y160" s="4395">
        <f>IFERROR(IF((time+time_cap)&lt;Y$2, 0,IF(AND(time+1&gt;=Z$2, $E160&lt;Z$2), IF($I160= "I", $J160/($F160-$E160+1), $J160/(($F160*($F160+1)/2)-(($E160-1)*($E160-1+1)/2))*Y$2), 0)+IF(IF(time+1&gt;=Z$2, $K160/time_cap/(time+1)*Y$2, 0) = 0, $K160/(time_cap),0)),0)</f>
        <v/>
      </c>
      <c r="Z160" s="4395">
        <f>IFERROR(IF((time+time_cap)&lt;Z$2, 0,IF(AND(time+1&gt;=AA$2, $E160&lt;AA$2), IF($I160= "I", $J160/($F160-$E160+1), $J160/(($F160*($F160+1)/2)-(($E160-1)*($E160-1+1)/2))*Z$2), 0)+IF(IF(time+1&gt;=AA$2, $K160/time_cap/(time+1)*Z$2, 0) = 0, $K160/(time_cap),0)),0)</f>
        <v/>
      </c>
      <c r="AA160" s="4395">
        <f>IFERROR(IF((time+time_cap)&lt;AA$2, 0,IF(AND(time+1&gt;=AB$2, $E160&lt;AB$2), IF($I160= "I", $J160/($F160-$E160+1), $J160/(($F160*($F160+1)/2)-(($E160-1)*($E160-1+1)/2))*AA$2), 0)+IF(IF(time+1&gt;=AB$2, $K160/time_cap/(time+1)*AA$2, 0) = 0, $K160/(time_cap),0)),0)</f>
        <v/>
      </c>
      <c r="AB160" s="4395">
        <f>IFERROR(IF((time+time_cap)&lt;AB$2, 0,IF(AND(time+1&gt;=AC$2, $E160&lt;AC$2), IF($I160= "I", $J160/($F160-$E160+1), $J160/(($F160*($F160+1)/2)-(($E160-1)*($E160-1+1)/2))*AB$2), 0)+IF(IF(time+1&gt;=AC$2, $K160/time_cap/(time+1)*AB$2, 0) = 0, $K160/(time_cap),0)),0)</f>
        <v/>
      </c>
      <c r="AC160" s="4395">
        <f>IFERROR(IF((time+time_cap)&lt;AC$2, 0,IF(AND(time+1&gt;=AD$2, $E160&lt;AD$2), IF($I160= "I", $J160/($F160-$E160+1), $J160/(($F160*($F160+1)/2)-(($E160-1)*($E160-1+1)/2))*AC$2), 0)+IF(IF(time+1&gt;=AD$2, $K160/time_cap/(time+1)*AC$2, 0) = 0, $K160/(time_cap),0)),0)</f>
        <v/>
      </c>
      <c r="AD160" s="4395">
        <f>IFERROR(IF((time+time_cap)&lt;AD$2, 0,IF(AND(time+1&gt;=AE$2, $E160&lt;AE$2), IF($I160= "I", $J160/($F160-$E160+1), $J160/(($F160*($F160+1)/2)-(($E160-1)*($E160-1+1)/2))*AD$2), 0)+IF(IF(time+1&gt;=AE$2, $K160/time_cap/(time+1)*AD$2, 0) = 0, $K160/(time_cap),0)),0)</f>
        <v/>
      </c>
      <c r="AE160" s="4395">
        <f>IFERROR(IF((time+time_cap)&lt;AE$2, 0,IF(AND(time+1&gt;=AF$2, $E160&lt;AF$2), IF($I160= "I", $J160/($F160-$E160+1), $J160/(($F160*($F160+1)/2)-(($E160-1)*($E160-1+1)/2))*AE$2), 0)+IF(IF(time+1&gt;=AF$2, $K160/time_cap/(time+1)*AE$2, 0) = 0, $K160/(time_cap),0)),0)</f>
        <v/>
      </c>
      <c r="AF160" s="4395">
        <f>IFERROR(IF((time+time_cap)&lt;AF$2, 0,IF(AND(time+1&gt;=AG$2, $E160&lt;AG$2), IF($I160= "I", $J160/($F160-$E160+1), $J160/(($F160*($F160+1)/2)-(($E160-1)*($E160-1+1)/2))*AF$2), 0)+IF(IF(time+1&gt;=AG$2, $K160/time_cap/(time+1)*AF$2, 0) = 0, $K160/(time_cap),0)),0)</f>
        <v/>
      </c>
      <c r="AG160" s="4395">
        <f>IFERROR(IF((time+time_cap)&lt;AG$2, 0,IF(AND(time+1&gt;=AH$2, $E160&lt;AH$2), IF($I160= "I", $J160/($F160-$E160+1), $J160/(($F160*($F160+1)/2)-(($E160-1)*($E160-1+1)/2))*AG$2), 0)+IF(IF(time+1&gt;=AH$2, $K160/time_cap/(time+1)*AG$2, 0) = 0, $K160/(time_cap),0)),0)</f>
        <v/>
      </c>
      <c r="AH160" s="4395">
        <f>IFERROR(IF((time+time_cap)&lt;AH$2, 0,IF(AND(time+1&gt;=AI$2, $E160&lt;AI$2), IF($I160= "I", $J160/($F160-$E160+1), $J160/(($F160*($F160+1)/2)-(($E160-1)*($E160-1+1)/2))*AH$2), 0)+IF(IF(time+1&gt;=AI$2, $K160/time_cap/(time+1)*AH$2, 0) = 0, $K160/(time_cap),0)),0)</f>
        <v/>
      </c>
      <c r="AI160" s="4395">
        <f>IFERROR(IF((time+time_cap)&lt;AI$2, 0,IF(AND(time+1&gt;=AJ$2, $E160&lt;AJ$2), IF($I160= "I", $J160/($F160-$E160+1), $J160/(($F160*($F160+1)/2)-(($E160-1)*($E160-1+1)/2))*AI$2), 0)+IF(IF(time+1&gt;=AJ$2, $K160/time_cap/(time+1)*AI$2, 0) = 0, $K160/(time_cap),0)),0)</f>
        <v/>
      </c>
      <c r="AJ160" s="4395">
        <f>IFERROR(IF((time+time_cap)&lt;AJ$2, 0,IF(AND(time+1&gt;=AK$2, $E160&lt;AK$2), IF($I160= "I", $J160/($F160-$E160+1), $J160/(($F160*($F160+1)/2)-(($E160-1)*($E160-1+1)/2))*AJ$2), 0)+IF(IF(time+1&gt;=AK$2, $K160/time_cap/(time+1)*AJ$2, 0) = 0, $K160/(time_cap),0)),0)</f>
        <v/>
      </c>
      <c r="AK160" s="4395">
        <f>IFERROR(IF((time+time_cap)&lt;AK$2, 0,IF(AND(time+1&gt;=AL$2, $E160&lt;AL$2), IF($I160= "I", $J160/($F160-$E160+1), $J160/(($F160*($F160+1)/2)-(($E160-1)*($E160-1+1)/2))*AK$2), 0)+IF(IF(time+1&gt;=AL$2, $K160/time_cap/(time+1)*AK$2, 0) = 0, $K160/(time_cap),0)),0)</f>
        <v/>
      </c>
      <c r="AL160" s="4395">
        <f>IFERROR(IF((time+time_cap)&lt;AL$2, 0,IF(AND(time+1&gt;=AM$2, $E160&lt;AM$2), IF($I160= "I", $J160/($F160-$E160+1), $J160/(($F160*($F160+1)/2)-(($E160-1)*($E160-1+1)/2))*AL$2), 0)+IF(IF(time+1&gt;=AM$2, $K160/time_cap/(time+1)*AL$2, 0) = 0, $K160/(time_cap),0)),0)</f>
        <v/>
      </c>
      <c r="AM160" s="4395">
        <f>IFERROR(IF((time+time_cap)&lt;AM$2, 0,IF(AND(time+1&gt;=AN$2, $E160&lt;AN$2), IF($I160= "I", $J160/($F160-$E160+1), $J160/(($F160*($F160+1)/2)-(($E160-1)*($E160-1+1)/2))*AM$2), 0)+IF(IF(time+1&gt;=AN$2, $K160/time_cap/(time+1)*AM$2, 0) = 0, $K160/(time_cap),0)),0)</f>
        <v/>
      </c>
      <c r="AN160" s="4395">
        <f>IFERROR(IF((time+time_cap)&lt;AN$2, 0,IF(AND(time+1&gt;=AO$2, $E160&lt;AO$2), IF($I160= "I", $J160/($F160-$E160+1), $J160/(($F160*($F160+1)/2)-(($E160-1)*($E160-1+1)/2))*AN$2), 0)+IF(IF(time+1&gt;=AO$2, $K160/time_cap/(time+1)*AN$2, 0) = 0, $K160/(time_cap),0)),0)</f>
        <v/>
      </c>
      <c r="AO160" s="4395">
        <f>IFERROR(IF((time+time_cap)&lt;AO$2, 0,IF(AND(time+1&gt;=AP$2, $E160&lt;AP$2), IF($I160= "I", $J160/($F160-$E160+1), $J160/(($F160*($F160+1)/2)-(($E160-1)*($E160-1+1)/2))*AO$2), 0)+IF(IF(time+1&gt;=AP$2, $K160/time_cap/(time+1)*AO$2, 0) = 0, $K160/(time_cap),0)),0)</f>
        <v/>
      </c>
      <c r="AP160" s="4395">
        <f>IFERROR(IF((time+time_cap)&lt;AP$2, 0,IF(AND(time+1&gt;=AQ$2, $E160&lt;AQ$2), IF($I160= "I", $J160/($F160-$E160+1), $J160/(($F160*($F160+1)/2)-(($E160-1)*($E160-1+1)/2))*AP$2), 0)+IF(IF(time+1&gt;=AQ$2, $K160/time_cap/(time+1)*AP$2, 0) = 0, $K160/(time_cap),0)),0)</f>
        <v/>
      </c>
      <c r="AQ160" s="4395">
        <f>IFERROR(IF((time+time_cap)&lt;AQ$2, 0,IF(AND(time+1&gt;=AR$2, $E160&lt;AR$2), IF($I160= "I", $J160/($F160-$E160+1), $J160/(($F160*($F160+1)/2)-(($E160-1)*($E160-1+1)/2))*AQ$2), 0)+IF(IF(time+1&gt;=AR$2, $K160/time_cap/(time+1)*AQ$2, 0) = 0, $K160/(time_cap),0)),0)</f>
        <v/>
      </c>
      <c r="AR160" s="4395">
        <f>IFERROR(IF((time+time_cap)&lt;AR$2, 0,IF(AND(time+1&gt;=AS$2, $E160&lt;AS$2), IF($I160= "I", $J160/($F160-$E160+1), $J160/(($F160*($F160+1)/2)-(($E160-1)*($E160-1+1)/2))*AR$2), 0)+IF(IF(time+1&gt;=AS$2, $K160/time_cap/(time+1)*AR$2, 0) = 0, $K160/(time_cap),0)),0)</f>
        <v/>
      </c>
      <c r="AS160" s="4395">
        <f>IFERROR(IF((time+time_cap)&lt;AS$2, 0,IF(AND(time+1&gt;=AT$2, $E160&lt;AT$2), IF($I160= "I", $J160/($F160-$E160+1), $J160/(($F160*($F160+1)/2)-(($E160-1)*($E160-1+1)/2))*AS$2), 0)+IF(IF(time+1&gt;=AT$2, $K160/time_cap/(time+1)*AS$2, 0) = 0, $K160/(time_cap),0)),0)</f>
        <v/>
      </c>
      <c r="AT160" s="4395">
        <f>IFERROR(IF((time+time_cap)&lt;AT$2, 0,IF(AND(time+1&gt;=AU$2, $E160&lt;AU$2), IF($I160= "I", $J160/($F160-$E160+1), $J160/(($F160*($F160+1)/2)-(($E160-1)*($E160-1+1)/2))*AT$2), 0)+IF(IF(time+1&gt;=AU$2, $K160/time_cap/(time+1)*AT$2, 0) = 0, $K160/(time_cap),0)),0)</f>
        <v/>
      </c>
      <c r="AU160" s="4395">
        <f>IFERROR(IF((time+time_cap)&lt;AU$2, 0,IF(AND(time+1&gt;=AV$2, $E160&lt;AV$2), IF($I160= "I", $J160/($F160-$E160+1), $J160/(($F160*($F160+1)/2)-(($E160-1)*($E160-1+1)/2))*AU$2), 0)+IF(IF(time+1&gt;=AV$2, $K160/time_cap/(time+1)*AU$2, 0) = 0, $K160/(time_cap),0)),0)</f>
        <v/>
      </c>
      <c r="AV160" s="4395">
        <f>IFERROR(IF((time+time_cap)&lt;AV$2, 0,IF(AND(time+1&gt;=AW$2, $E160&lt;AW$2), IF($I160= "I", $J160/($F160-$E160+1), $J160/(($F160*($F160+1)/2)-(($E160-1)*($E160-1+1)/2))*AV$2), 0)+IF(IF(time+1&gt;=AW$2, $K160/time_cap/(time+1)*AV$2, 0) = 0, $K160/(time_cap),0)),0)</f>
        <v/>
      </c>
      <c r="AW160" s="4395">
        <f>IFERROR(IF((time+time_cap)&lt;AW$2, 0,IF(AND(time+1&gt;=AX$2, $E160&lt;AX$2), IF($I160= "I", $J160/($F160-$E160+1), $J160/(($F160*($F160+1)/2)-(($E160-1)*($E160-1+1)/2))*AW$2), 0)+IF(IF(time+1&gt;=AX$2, $K160/time_cap/(time+1)*AW$2, 0) = 0, $K160/(time_cap),0)),0)</f>
        <v/>
      </c>
      <c r="AX160" s="4395">
        <f>IFERROR(IF((time+time_cap)&lt;AX$2, 0,IF(AND(time+1&gt;=AY$2, $E160&lt;AY$2), IF($I160= "I", $J160/($F160-$E160+1), $J160/(($F160*($F160+1)/2)-(($E160-1)*($E160-1+1)/2))*AX$2), 0)+IF(IF(time+1&gt;=AY$2, $K160/time_cap/(time+1)*AX$2, 0) = 0, $K160/(time_cap),0)),0)</f>
        <v/>
      </c>
      <c r="AY160" s="4395">
        <f>IFERROR(IF((time+time_cap)&lt;AY$2, 0,IF(AND(time+1&gt;=AZ$2, $E160&lt;AZ$2), IF($I160= "I", $J160/($F160-$E160+1), $J160/(($F160*($F160+1)/2)-(($E160-1)*($E160-1+1)/2))*AY$2), 0)+IF(IF(time+1&gt;=AZ$2, $K160/time_cap/(time+1)*AY$2, 0) = 0, $K160/(time_cap),0)),0)</f>
        <v/>
      </c>
      <c r="AZ160" s="4395">
        <f>IFERROR(IF((time+time_cap)&lt;AZ$2, 0,IF(AND(time+1&gt;=BA$2, $E160&lt;BA$2), IF($I160= "I", $J160/($F160-$E160+1), $J160/(($F160*($F160+1)/2)-(($E160-1)*($E160-1+1)/2))*AZ$2), 0)+IF(IF(time+1&gt;=BA$2, $K160/time_cap/(time+1)*AZ$2, 0) = 0, $K160/(time_cap),0)),0)</f>
        <v/>
      </c>
      <c r="BA160" s="4395">
        <f>IFERROR(IF((time+time_cap)&lt;BA$2, 0,IF(AND(time+1&gt;=BB$2, $E160&lt;BB$2), IF($I160= "I", $J160/($F160-$E160+1), $J160/(($F160*($F160+1)/2)-(($E160-1)*($E160-1+1)/2))*BA$2), 0)+IF(IF(time+1&gt;=BB$2, $K160/time_cap/(time+1)*BA$2, 0) = 0, $K160/(time_cap),0)),0)</f>
        <v/>
      </c>
      <c r="BB160" s="4395">
        <f>IFERROR(IF((time+time_cap)&lt;BB$2, 0,IF(AND(time+1&gt;=BC$2, $E160&lt;BC$2), IF($I160= "I", $J160/($F160-$E160+1), $J160/(($F160*($F160+1)/2)-(($E160-1)*($E160-1+1)/2))*BB$2), 0)+IF(IF(time+1&gt;=BC$2, $K160/time_cap/(time+1)*BB$2, 0) = 0, $K160/(time_cap),0)),0)</f>
        <v/>
      </c>
      <c r="BC160" s="4395">
        <f>IFERROR(IF((time+time_cap)&lt;BC$2, 0,IF(AND(time+1&gt;=BD$2, $E160&lt;BD$2), IF($I160= "I", $J160/($F160-$E160+1), $J160/(($F160*($F160+1)/2)-(($E160-1)*($E160-1+1)/2))*BC$2), 0)+IF(IF(time+1&gt;=BD$2, $K160/time_cap/(time+1)*BC$2, 0) = 0, $K160/(time_cap),0)),0)</f>
        <v/>
      </c>
      <c r="BD160" s="4395">
        <f>IFERROR(IF((time+time_cap)&lt;BD$2, 0,IF(AND(time+1&gt;=BE$2, $E160&lt;BE$2), IF($I160= "I", $J160/($F160-$E160+1), $J160/(($F160*($F160+1)/2)-(($E160-1)*($E160-1+1)/2))*BD$2), 0)+IF(IF(time+1&gt;=BE$2, $K160/time_cap/(time+1)*BD$2, 0) = 0, $K160/(time_cap),0)),0)</f>
        <v/>
      </c>
      <c r="BE160" s="4395">
        <f>IFERROR(IF((time+time_cap)&lt;BE$2, 0,IF(AND(time+1&gt;=BF$2, $E160&lt;BF$2), IF($I160= "I", $J160/($F160-$E160+1), $J160/(($F160*($F160+1)/2)-(($E160-1)*($E160-1+1)/2))*BE$2), 0)+IF(IF(time+1&gt;=BF$2, $K160/time_cap/(time+1)*BE$2, 0) = 0, $K160/(time_cap),0)),0)</f>
        <v/>
      </c>
      <c r="BF160" s="4395">
        <f>IFERROR(IF((time+time_cap)&lt;BF$2, 0,IF(AND(time+1&gt;=BG$2, $E160&lt;BG$2), IF($I160= "I", $J160/($F160-$E160+1), $J160/(($F160*($F160+1)/2)-(($E160-1)*($E160-1+1)/2))*BF$2), 0)+IF(IF(time+1&gt;=BG$2, $K160/time_cap/(time+1)*BF$2, 0) = 0, $K160/(time_cap),0)),0)</f>
        <v/>
      </c>
      <c r="BG160" s="4395">
        <f>IFERROR(IF((time+time_cap)&lt;BG$2, 0,IF(AND(time+1&gt;=BH$2, $E160&lt;BH$2), IF($I160= "I", $J160/($F160-$E160+1), $J160/(($F160*($F160+1)/2)-(($E160-1)*($E160-1+1)/2))*BG$2), 0)+IF(IF(time+1&gt;=BH$2, $K160/time_cap/(time+1)*BG$2, 0) = 0, $K160/(time_cap),0)),0)</f>
        <v/>
      </c>
      <c r="BH160" s="4395">
        <f>IFERROR(IF((time+time_cap)&lt;BH$2, 0,IF(AND(time+1&gt;=BI$2, $E160&lt;BI$2), IF($I160= "I", $J160/($F160-$E160+1), $J160/(($F160*($F160+1)/2)-(($E160-1)*($E160-1+1)/2))*BH$2), 0)+IF(IF(time+1&gt;=BI$2, $K160/time_cap/(time+1)*BH$2, 0) = 0, $K160/(time_cap),0)),0)</f>
        <v/>
      </c>
      <c r="BI160" s="4395">
        <f>IFERROR(IF((time+time_cap)&lt;BI$2, 0,IF(AND(time+1&gt;=BJ$2, $E160&lt;BJ$2), IF($I160= "I", $J160/($F160-$E160+1), $J160/(($F160*($F160+1)/2)-(($E160-1)*($E160-1+1)/2))*BI$2), 0)+IF(IF(time+1&gt;=BJ$2, $K160/time_cap/(time+1)*BI$2, 0) = 0, $K160/(time_cap),0)),0)</f>
        <v/>
      </c>
      <c r="BJ160" s="4395">
        <f>IFERROR(IF((time+time_cap)&lt;BJ$2, 0,IF(AND(time+1&gt;=BK$2, $E160&lt;BK$2), IF($I160= "I", $J160/($F160-$E160+1), $J160/(($F160*($F160+1)/2)-(($E160-1)*($E160-1+1)/2))*BJ$2), 0)+IF(IF(time+1&gt;=BK$2, $K160/time_cap/(time+1)*BJ$2, 0) = 0, $K160/(time_cap),0)),0)</f>
        <v/>
      </c>
      <c r="BK160" s="4395" t="n"/>
      <c r="BL160" s="4395" t="n"/>
      <c r="BM160" s="4395" t="n"/>
      <c r="BN160" s="4395" t="n"/>
      <c r="BO160" s="4395" t="n"/>
      <c r="BP160" s="4395" t="n"/>
      <c r="BQ160" s="4395" t="n"/>
      <c r="BR160" s="4395" t="n"/>
      <c r="BS160" s="4395" t="n"/>
      <c r="BT160" s="4395" t="n"/>
      <c r="BU160" s="4395" t="n"/>
      <c r="BV160" s="4395" t="n"/>
      <c r="BW160" s="4395" t="n"/>
      <c r="BX160" s="4395" t="n"/>
      <c r="BY160" s="4395" t="n"/>
      <c r="BZ160" s="4395" t="n"/>
      <c r="CA160" s="4395" t="n"/>
      <c r="CB160" s="4395" t="n"/>
      <c r="CC160" s="4395" t="n"/>
      <c r="CD160" s="4395" t="n"/>
      <c r="CE160" s="4395" t="n"/>
      <c r="CF160" s="4395" t="n"/>
      <c r="CG160" s="4395" t="n"/>
      <c r="CH160" s="4395" t="n"/>
      <c r="CI160" s="4395" t="n"/>
      <c r="CJ160" s="4395" t="n"/>
      <c r="CK160" s="4395" t="n"/>
      <c r="CL160" s="4395" t="n"/>
      <c r="CM160" s="4395" t="n"/>
      <c r="CN160" s="4395" t="n"/>
      <c r="CO160" s="4395" t="n"/>
      <c r="CP160" s="4395" t="n"/>
      <c r="CQ160" s="4395" t="n"/>
      <c r="CR160" s="4395" t="n"/>
      <c r="CS160" s="4395" t="n"/>
      <c r="CT160" s="4395" t="n"/>
      <c r="CU160" s="4395" t="n"/>
      <c r="CV160" s="4395" t="n"/>
      <c r="CW160" s="4395" t="n"/>
      <c r="CX160" s="4395" t="n"/>
      <c r="CY160" s="4395" t="n"/>
      <c r="CZ160" s="4395" t="n"/>
      <c r="DA160" s="4395" t="n"/>
      <c r="DB160" s="4395" t="n"/>
      <c r="DC160" s="4395" t="n"/>
      <c r="DD160" s="4395" t="n"/>
      <c r="DE160" s="4395" t="n"/>
      <c r="DF160" s="4395" t="n"/>
      <c r="DG160" s="4395" t="n"/>
      <c r="DH160" s="4395" t="n"/>
    </row>
    <row r="161" ht="16" customHeight="1">
      <c r="A161" t="inlineStr">
        <is>
          <t>Coastal wetland - extraction</t>
        </is>
      </c>
      <c r="C161">
        <f>'7.Coastal wetlands'!C12</f>
        <v/>
      </c>
      <c r="D161">
        <f>'7.Coastal wetlands'!AI12</f>
        <v/>
      </c>
      <c r="E161">
        <f>IF('7.Coastal wetlands'!CN12&lt;&gt;0,'7.Coastal wetlands'!CN12,'7.Coastal wetlands'!CM12)</f>
        <v/>
      </c>
      <c r="F161">
        <f>time</f>
        <v/>
      </c>
      <c r="G161" s="4395" t="inlineStr">
        <is>
          <t>D</t>
        </is>
      </c>
      <c r="H161" s="4395" t="inlineStr">
        <is>
          <t>D</t>
        </is>
      </c>
      <c r="I161" s="4395">
        <f>IF(OR(H161="I", G161="I"), "I", IF(OR(H161="E", G161="E"), "E", "D"))</f>
        <v/>
      </c>
      <c r="J161" s="4395">
        <f>((D161/(time_cap+((F161-E161+1)*VLOOKUP(I161,list!$I$48:$K$50,3, FALSE))))*(F161-E161+1)*VLOOKUP(I161,list!$I$48:$K$50,3, FALSE))</f>
        <v/>
      </c>
      <c r="K161" s="4395">
        <f>((D161/(time_cap+((F161-E161+1)*VLOOKUP(I161,list!$I$48:$K$50,3, FALSE))))*time_cap)</f>
        <v/>
      </c>
      <c r="M161" s="4395">
        <f>IFERROR(IF((time+time_cap)&lt;M$2, 0,IF(AND(time+1&gt;=N$2, $E161&lt;N$2), IF($I161= "I", $J161/($F161-$E161+1), $J161/(($F161*($F161+1)/2)-(($E161-1)*($E161-1+1)/2))*M$2), 0)+IF(IF(time+1&gt;=N$2, $K161/time_cap/(time+1)*M$2, 0) = 0, $K161/(time_cap),0)),0)</f>
        <v/>
      </c>
      <c r="N161" s="4395">
        <f>IFERROR(IF((time+time_cap)&lt;N$2, 0,IF(AND(time+1&gt;=O$2, $E161&lt;O$2), IF($I161= "I", $J161/($F161-$E161+1), $J161/(($F161*($F161+1)/2)-(($E161-1)*($E161-1+1)/2))*N$2), 0)+IF(IF(time+1&gt;=O$2, $K161/time_cap/(time+1)*N$2, 0) = 0, $K161/(time_cap),0)),0)</f>
        <v/>
      </c>
      <c r="O161" s="4395">
        <f>IFERROR(IF((time+time_cap)&lt;O$2, 0,IF(AND(time+1&gt;=P$2, $E161&lt;P$2), IF($I161= "I", $J161/($F161-$E161+1), $J161/(($F161*($F161+1)/2)-(($E161-1)*($E161-1+1)/2))*O$2), 0)+IF(IF(time+1&gt;=P$2, $K161/time_cap/(time+1)*O$2, 0) = 0, $K161/(time_cap),0)),0)</f>
        <v/>
      </c>
      <c r="P161" s="4395">
        <f>IFERROR(IF((time+time_cap)&lt;P$2, 0,IF(AND(time+1&gt;=Q$2, $E161&lt;Q$2), IF($I161= "I", $J161/($F161-$E161+1), $J161/(($F161*($F161+1)/2)-(($E161-1)*($E161-1+1)/2))*P$2), 0)+IF(IF(time+1&gt;=Q$2, $K161/time_cap/(time+1)*P$2, 0) = 0, $K161/(time_cap),0)),0)</f>
        <v/>
      </c>
      <c r="Q161" s="4395">
        <f>IFERROR(IF((time+time_cap)&lt;Q$2, 0,IF(AND(time+1&gt;=R$2, $E161&lt;R$2), IF($I161= "I", $J161/($F161-$E161+1), $J161/(($F161*($F161+1)/2)-(($E161-1)*($E161-1+1)/2))*Q$2), 0)+IF(IF(time+1&gt;=R$2, $K161/time_cap/(time+1)*Q$2, 0) = 0, $K161/(time_cap),0)),0)</f>
        <v/>
      </c>
      <c r="R161" s="4395">
        <f>IFERROR(IF((time+time_cap)&lt;R$2, 0,IF(AND(time+1&gt;=S$2, $E161&lt;S$2), IF($I161= "I", $J161/($F161-$E161+1), $J161/(($F161*($F161+1)/2)-(($E161-1)*($E161-1+1)/2))*R$2), 0)+IF(IF(time+1&gt;=S$2, $K161/time_cap/(time+1)*R$2, 0) = 0, $K161/(time_cap),0)),0)</f>
        <v/>
      </c>
      <c r="S161" s="4395">
        <f>IFERROR(IF((time+time_cap)&lt;S$2, 0,IF(AND(time+1&gt;=T$2, $E161&lt;T$2), IF($I161= "I", $J161/($F161-$E161+1), $J161/(($F161*($F161+1)/2)-(($E161-1)*($E161-1+1)/2))*S$2), 0)+IF(IF(time+1&gt;=T$2, $K161/time_cap/(time+1)*S$2, 0) = 0, $K161/(time_cap),0)),0)</f>
        <v/>
      </c>
      <c r="T161" s="4395">
        <f>IFERROR(IF((time+time_cap)&lt;T$2, 0,IF(AND(time+1&gt;=U$2, $E161&lt;U$2), IF($I161= "I", $J161/($F161-$E161+1), $J161/(($F161*($F161+1)/2)-(($E161-1)*($E161-1+1)/2))*T$2), 0)+IF(IF(time+1&gt;=U$2, $K161/time_cap/(time+1)*T$2, 0) = 0, $K161/(time_cap),0)),0)</f>
        <v/>
      </c>
      <c r="U161" s="4395">
        <f>IFERROR(IF((time+time_cap)&lt;U$2, 0,IF(AND(time+1&gt;=V$2, $E161&lt;V$2), IF($I161= "I", $J161/($F161-$E161+1), $J161/(($F161*($F161+1)/2)-(($E161-1)*($E161-1+1)/2))*U$2), 0)+IF(IF(time+1&gt;=V$2, $K161/time_cap/(time+1)*U$2, 0) = 0, $K161/(time_cap),0)),0)</f>
        <v/>
      </c>
      <c r="V161" s="4395">
        <f>IFERROR(IF((time+time_cap)&lt;V$2, 0,IF(AND(time+1&gt;=W$2, $E161&lt;W$2), IF($I161= "I", $J161/($F161-$E161+1), $J161/(($F161*($F161+1)/2)-(($E161-1)*($E161-1+1)/2))*V$2), 0)+IF(IF(time+1&gt;=W$2, $K161/time_cap/(time+1)*V$2, 0) = 0, $K161/(time_cap),0)),0)</f>
        <v/>
      </c>
      <c r="W161" s="4395">
        <f>IFERROR(IF((time+time_cap)&lt;W$2, 0,IF(AND(time+1&gt;=X$2, $E161&lt;X$2), IF($I161= "I", $J161/($F161-$E161+1), $J161/(($F161*($F161+1)/2)-(($E161-1)*($E161-1+1)/2))*W$2), 0)+IF(IF(time+1&gt;=X$2, $K161/time_cap/(time+1)*W$2, 0) = 0, $K161/(time_cap),0)),0)</f>
        <v/>
      </c>
      <c r="X161" s="4395">
        <f>IFERROR(IF((time+time_cap)&lt;X$2, 0,IF(AND(time+1&gt;=Y$2, $E161&lt;Y$2), IF($I161= "I", $J161/($F161-$E161+1), $J161/(($F161*($F161+1)/2)-(($E161-1)*($E161-1+1)/2))*X$2), 0)+IF(IF(time+1&gt;=Y$2, $K161/time_cap/(time+1)*X$2, 0) = 0, $K161/(time_cap),0)),0)</f>
        <v/>
      </c>
      <c r="Y161" s="4395">
        <f>IFERROR(IF((time+time_cap)&lt;Y$2, 0,IF(AND(time+1&gt;=Z$2, $E161&lt;Z$2), IF($I161= "I", $J161/($F161-$E161+1), $J161/(($F161*($F161+1)/2)-(($E161-1)*($E161-1+1)/2))*Y$2), 0)+IF(IF(time+1&gt;=Z$2, $K161/time_cap/(time+1)*Y$2, 0) = 0, $K161/(time_cap),0)),0)</f>
        <v/>
      </c>
      <c r="Z161" s="4395">
        <f>IFERROR(IF((time+time_cap)&lt;Z$2, 0,IF(AND(time+1&gt;=AA$2, $E161&lt;AA$2), IF($I161= "I", $J161/($F161-$E161+1), $J161/(($F161*($F161+1)/2)-(($E161-1)*($E161-1+1)/2))*Z$2), 0)+IF(IF(time+1&gt;=AA$2, $K161/time_cap/(time+1)*Z$2, 0) = 0, $K161/(time_cap),0)),0)</f>
        <v/>
      </c>
      <c r="AA161" s="4395">
        <f>IFERROR(IF((time+time_cap)&lt;AA$2, 0,IF(AND(time+1&gt;=AB$2, $E161&lt;AB$2), IF($I161= "I", $J161/($F161-$E161+1), $J161/(($F161*($F161+1)/2)-(($E161-1)*($E161-1+1)/2))*AA$2), 0)+IF(IF(time+1&gt;=AB$2, $K161/time_cap/(time+1)*AA$2, 0) = 0, $K161/(time_cap),0)),0)</f>
        <v/>
      </c>
      <c r="AB161" s="4395">
        <f>IFERROR(IF((time+time_cap)&lt;AB$2, 0,IF(AND(time+1&gt;=AC$2, $E161&lt;AC$2), IF($I161= "I", $J161/($F161-$E161+1), $J161/(($F161*($F161+1)/2)-(($E161-1)*($E161-1+1)/2))*AB$2), 0)+IF(IF(time+1&gt;=AC$2, $K161/time_cap/(time+1)*AB$2, 0) = 0, $K161/(time_cap),0)),0)</f>
        <v/>
      </c>
      <c r="AC161" s="4395">
        <f>IFERROR(IF((time+time_cap)&lt;AC$2, 0,IF(AND(time+1&gt;=AD$2, $E161&lt;AD$2), IF($I161= "I", $J161/($F161-$E161+1), $J161/(($F161*($F161+1)/2)-(($E161-1)*($E161-1+1)/2))*AC$2), 0)+IF(IF(time+1&gt;=AD$2, $K161/time_cap/(time+1)*AC$2, 0) = 0, $K161/(time_cap),0)),0)</f>
        <v/>
      </c>
      <c r="AD161" s="4395">
        <f>IFERROR(IF((time+time_cap)&lt;AD$2, 0,IF(AND(time+1&gt;=AE$2, $E161&lt;AE$2), IF($I161= "I", $J161/($F161-$E161+1), $J161/(($F161*($F161+1)/2)-(($E161-1)*($E161-1+1)/2))*AD$2), 0)+IF(IF(time+1&gt;=AE$2, $K161/time_cap/(time+1)*AD$2, 0) = 0, $K161/(time_cap),0)),0)</f>
        <v/>
      </c>
      <c r="AE161" s="4395">
        <f>IFERROR(IF((time+time_cap)&lt;AE$2, 0,IF(AND(time+1&gt;=AF$2, $E161&lt;AF$2), IF($I161= "I", $J161/($F161-$E161+1), $J161/(($F161*($F161+1)/2)-(($E161-1)*($E161-1+1)/2))*AE$2), 0)+IF(IF(time+1&gt;=AF$2, $K161/time_cap/(time+1)*AE$2, 0) = 0, $K161/(time_cap),0)),0)</f>
        <v/>
      </c>
      <c r="AF161" s="4395">
        <f>IFERROR(IF((time+time_cap)&lt;AF$2, 0,IF(AND(time+1&gt;=AG$2, $E161&lt;AG$2), IF($I161= "I", $J161/($F161-$E161+1), $J161/(($F161*($F161+1)/2)-(($E161-1)*($E161-1+1)/2))*AF$2), 0)+IF(IF(time+1&gt;=AG$2, $K161/time_cap/(time+1)*AF$2, 0) = 0, $K161/(time_cap),0)),0)</f>
        <v/>
      </c>
      <c r="AG161" s="4395">
        <f>IFERROR(IF((time+time_cap)&lt;AG$2, 0,IF(AND(time+1&gt;=AH$2, $E161&lt;AH$2), IF($I161= "I", $J161/($F161-$E161+1), $J161/(($F161*($F161+1)/2)-(($E161-1)*($E161-1+1)/2))*AG$2), 0)+IF(IF(time+1&gt;=AH$2, $K161/time_cap/(time+1)*AG$2, 0) = 0, $K161/(time_cap),0)),0)</f>
        <v/>
      </c>
      <c r="AH161" s="4395">
        <f>IFERROR(IF((time+time_cap)&lt;AH$2, 0,IF(AND(time+1&gt;=AI$2, $E161&lt;AI$2), IF($I161= "I", $J161/($F161-$E161+1), $J161/(($F161*($F161+1)/2)-(($E161-1)*($E161-1+1)/2))*AH$2), 0)+IF(IF(time+1&gt;=AI$2, $K161/time_cap/(time+1)*AH$2, 0) = 0, $K161/(time_cap),0)),0)</f>
        <v/>
      </c>
      <c r="AI161" s="4395">
        <f>IFERROR(IF((time+time_cap)&lt;AI$2, 0,IF(AND(time+1&gt;=AJ$2, $E161&lt;AJ$2), IF($I161= "I", $J161/($F161-$E161+1), $J161/(($F161*($F161+1)/2)-(($E161-1)*($E161-1+1)/2))*AI$2), 0)+IF(IF(time+1&gt;=AJ$2, $K161/time_cap/(time+1)*AI$2, 0) = 0, $K161/(time_cap),0)),0)</f>
        <v/>
      </c>
      <c r="AJ161" s="4395">
        <f>IFERROR(IF((time+time_cap)&lt;AJ$2, 0,IF(AND(time+1&gt;=AK$2, $E161&lt;AK$2), IF($I161= "I", $J161/($F161-$E161+1), $J161/(($F161*($F161+1)/2)-(($E161-1)*($E161-1+1)/2))*AJ$2), 0)+IF(IF(time+1&gt;=AK$2, $K161/time_cap/(time+1)*AJ$2, 0) = 0, $K161/(time_cap),0)),0)</f>
        <v/>
      </c>
      <c r="AK161" s="4395">
        <f>IFERROR(IF((time+time_cap)&lt;AK$2, 0,IF(AND(time+1&gt;=AL$2, $E161&lt;AL$2), IF($I161= "I", $J161/($F161-$E161+1), $J161/(($F161*($F161+1)/2)-(($E161-1)*($E161-1+1)/2))*AK$2), 0)+IF(IF(time+1&gt;=AL$2, $K161/time_cap/(time+1)*AK$2, 0) = 0, $K161/(time_cap),0)),0)</f>
        <v/>
      </c>
      <c r="AL161" s="4395">
        <f>IFERROR(IF((time+time_cap)&lt;AL$2, 0,IF(AND(time+1&gt;=AM$2, $E161&lt;AM$2), IF($I161= "I", $J161/($F161-$E161+1), $J161/(($F161*($F161+1)/2)-(($E161-1)*($E161-1+1)/2))*AL$2), 0)+IF(IF(time+1&gt;=AM$2, $K161/time_cap/(time+1)*AL$2, 0) = 0, $K161/(time_cap),0)),0)</f>
        <v/>
      </c>
      <c r="AM161" s="4395">
        <f>IFERROR(IF((time+time_cap)&lt;AM$2, 0,IF(AND(time+1&gt;=AN$2, $E161&lt;AN$2), IF($I161= "I", $J161/($F161-$E161+1), $J161/(($F161*($F161+1)/2)-(($E161-1)*($E161-1+1)/2))*AM$2), 0)+IF(IF(time+1&gt;=AN$2, $K161/time_cap/(time+1)*AM$2, 0) = 0, $K161/(time_cap),0)),0)</f>
        <v/>
      </c>
      <c r="AN161" s="4395">
        <f>IFERROR(IF((time+time_cap)&lt;AN$2, 0,IF(AND(time+1&gt;=AO$2, $E161&lt;AO$2), IF($I161= "I", $J161/($F161-$E161+1), $J161/(($F161*($F161+1)/2)-(($E161-1)*($E161-1+1)/2))*AN$2), 0)+IF(IF(time+1&gt;=AO$2, $K161/time_cap/(time+1)*AN$2, 0) = 0, $K161/(time_cap),0)),0)</f>
        <v/>
      </c>
      <c r="AO161" s="4395">
        <f>IFERROR(IF((time+time_cap)&lt;AO$2, 0,IF(AND(time+1&gt;=AP$2, $E161&lt;AP$2), IF($I161= "I", $J161/($F161-$E161+1), $J161/(($F161*($F161+1)/2)-(($E161-1)*($E161-1+1)/2))*AO$2), 0)+IF(IF(time+1&gt;=AP$2, $K161/time_cap/(time+1)*AO$2, 0) = 0, $K161/(time_cap),0)),0)</f>
        <v/>
      </c>
      <c r="AP161" s="4395">
        <f>IFERROR(IF((time+time_cap)&lt;AP$2, 0,IF(AND(time+1&gt;=AQ$2, $E161&lt;AQ$2), IF($I161= "I", $J161/($F161-$E161+1), $J161/(($F161*($F161+1)/2)-(($E161-1)*($E161-1+1)/2))*AP$2), 0)+IF(IF(time+1&gt;=AQ$2, $K161/time_cap/(time+1)*AP$2, 0) = 0, $K161/(time_cap),0)),0)</f>
        <v/>
      </c>
      <c r="AQ161" s="4395">
        <f>IFERROR(IF((time+time_cap)&lt;AQ$2, 0,IF(AND(time+1&gt;=AR$2, $E161&lt;AR$2), IF($I161= "I", $J161/($F161-$E161+1), $J161/(($F161*($F161+1)/2)-(($E161-1)*($E161-1+1)/2))*AQ$2), 0)+IF(IF(time+1&gt;=AR$2, $K161/time_cap/(time+1)*AQ$2, 0) = 0, $K161/(time_cap),0)),0)</f>
        <v/>
      </c>
      <c r="AR161" s="4395">
        <f>IFERROR(IF((time+time_cap)&lt;AR$2, 0,IF(AND(time+1&gt;=AS$2, $E161&lt;AS$2), IF($I161= "I", $J161/($F161-$E161+1), $J161/(($F161*($F161+1)/2)-(($E161-1)*($E161-1+1)/2))*AR$2), 0)+IF(IF(time+1&gt;=AS$2, $K161/time_cap/(time+1)*AR$2, 0) = 0, $K161/(time_cap),0)),0)</f>
        <v/>
      </c>
      <c r="AS161" s="4395">
        <f>IFERROR(IF((time+time_cap)&lt;AS$2, 0,IF(AND(time+1&gt;=AT$2, $E161&lt;AT$2), IF($I161= "I", $J161/($F161-$E161+1), $J161/(($F161*($F161+1)/2)-(($E161-1)*($E161-1+1)/2))*AS$2), 0)+IF(IF(time+1&gt;=AT$2, $K161/time_cap/(time+1)*AS$2, 0) = 0, $K161/(time_cap),0)),0)</f>
        <v/>
      </c>
      <c r="AT161" s="4395">
        <f>IFERROR(IF((time+time_cap)&lt;AT$2, 0,IF(AND(time+1&gt;=AU$2, $E161&lt;AU$2), IF($I161= "I", $J161/($F161-$E161+1), $J161/(($F161*($F161+1)/2)-(($E161-1)*($E161-1+1)/2))*AT$2), 0)+IF(IF(time+1&gt;=AU$2, $K161/time_cap/(time+1)*AT$2, 0) = 0, $K161/(time_cap),0)),0)</f>
        <v/>
      </c>
      <c r="AU161" s="4395">
        <f>IFERROR(IF((time+time_cap)&lt;AU$2, 0,IF(AND(time+1&gt;=AV$2, $E161&lt;AV$2), IF($I161= "I", $J161/($F161-$E161+1), $J161/(($F161*($F161+1)/2)-(($E161-1)*($E161-1+1)/2))*AU$2), 0)+IF(IF(time+1&gt;=AV$2, $K161/time_cap/(time+1)*AU$2, 0) = 0, $K161/(time_cap),0)),0)</f>
        <v/>
      </c>
      <c r="AV161" s="4395">
        <f>IFERROR(IF((time+time_cap)&lt;AV$2, 0,IF(AND(time+1&gt;=AW$2, $E161&lt;AW$2), IF($I161= "I", $J161/($F161-$E161+1), $J161/(($F161*($F161+1)/2)-(($E161-1)*($E161-1+1)/2))*AV$2), 0)+IF(IF(time+1&gt;=AW$2, $K161/time_cap/(time+1)*AV$2, 0) = 0, $K161/(time_cap),0)),0)</f>
        <v/>
      </c>
      <c r="AW161" s="4395">
        <f>IFERROR(IF((time+time_cap)&lt;AW$2, 0,IF(AND(time+1&gt;=AX$2, $E161&lt;AX$2), IF($I161= "I", $J161/($F161-$E161+1), $J161/(($F161*($F161+1)/2)-(($E161-1)*($E161-1+1)/2))*AW$2), 0)+IF(IF(time+1&gt;=AX$2, $K161/time_cap/(time+1)*AW$2, 0) = 0, $K161/(time_cap),0)),0)</f>
        <v/>
      </c>
      <c r="AX161" s="4395">
        <f>IFERROR(IF((time+time_cap)&lt;AX$2, 0,IF(AND(time+1&gt;=AY$2, $E161&lt;AY$2), IF($I161= "I", $J161/($F161-$E161+1), $J161/(($F161*($F161+1)/2)-(($E161-1)*($E161-1+1)/2))*AX$2), 0)+IF(IF(time+1&gt;=AY$2, $K161/time_cap/(time+1)*AX$2, 0) = 0, $K161/(time_cap),0)),0)</f>
        <v/>
      </c>
      <c r="AY161" s="4395">
        <f>IFERROR(IF((time+time_cap)&lt;AY$2, 0,IF(AND(time+1&gt;=AZ$2, $E161&lt;AZ$2), IF($I161= "I", $J161/($F161-$E161+1), $J161/(($F161*($F161+1)/2)-(($E161-1)*($E161-1+1)/2))*AY$2), 0)+IF(IF(time+1&gt;=AZ$2, $K161/time_cap/(time+1)*AY$2, 0) = 0, $K161/(time_cap),0)),0)</f>
        <v/>
      </c>
      <c r="AZ161" s="4395">
        <f>IFERROR(IF((time+time_cap)&lt;AZ$2, 0,IF(AND(time+1&gt;=BA$2, $E161&lt;BA$2), IF($I161= "I", $J161/($F161-$E161+1), $J161/(($F161*($F161+1)/2)-(($E161-1)*($E161-1+1)/2))*AZ$2), 0)+IF(IF(time+1&gt;=BA$2, $K161/time_cap/(time+1)*AZ$2, 0) = 0, $K161/(time_cap),0)),0)</f>
        <v/>
      </c>
      <c r="BA161" s="4395">
        <f>IFERROR(IF((time+time_cap)&lt;BA$2, 0,IF(AND(time+1&gt;=BB$2, $E161&lt;BB$2), IF($I161= "I", $J161/($F161-$E161+1), $J161/(($F161*($F161+1)/2)-(($E161-1)*($E161-1+1)/2))*BA$2), 0)+IF(IF(time+1&gt;=BB$2, $K161/time_cap/(time+1)*BA$2, 0) = 0, $K161/(time_cap),0)),0)</f>
        <v/>
      </c>
      <c r="BB161" s="4395">
        <f>IFERROR(IF((time+time_cap)&lt;BB$2, 0,IF(AND(time+1&gt;=BC$2, $E161&lt;BC$2), IF($I161= "I", $J161/($F161-$E161+1), $J161/(($F161*($F161+1)/2)-(($E161-1)*($E161-1+1)/2))*BB$2), 0)+IF(IF(time+1&gt;=BC$2, $K161/time_cap/(time+1)*BB$2, 0) = 0, $K161/(time_cap),0)),0)</f>
        <v/>
      </c>
      <c r="BC161" s="4395">
        <f>IFERROR(IF((time+time_cap)&lt;BC$2, 0,IF(AND(time+1&gt;=BD$2, $E161&lt;BD$2), IF($I161= "I", $J161/($F161-$E161+1), $J161/(($F161*($F161+1)/2)-(($E161-1)*($E161-1+1)/2))*BC$2), 0)+IF(IF(time+1&gt;=BD$2, $K161/time_cap/(time+1)*BC$2, 0) = 0, $K161/(time_cap),0)),0)</f>
        <v/>
      </c>
      <c r="BD161" s="4395">
        <f>IFERROR(IF((time+time_cap)&lt;BD$2, 0,IF(AND(time+1&gt;=BE$2, $E161&lt;BE$2), IF($I161= "I", $J161/($F161-$E161+1), $J161/(($F161*($F161+1)/2)-(($E161-1)*($E161-1+1)/2))*BD$2), 0)+IF(IF(time+1&gt;=BE$2, $K161/time_cap/(time+1)*BD$2, 0) = 0, $K161/(time_cap),0)),0)</f>
        <v/>
      </c>
      <c r="BE161" s="4395">
        <f>IFERROR(IF((time+time_cap)&lt;BE$2, 0,IF(AND(time+1&gt;=BF$2, $E161&lt;BF$2), IF($I161= "I", $J161/($F161-$E161+1), $J161/(($F161*($F161+1)/2)-(($E161-1)*($E161-1+1)/2))*BE$2), 0)+IF(IF(time+1&gt;=BF$2, $K161/time_cap/(time+1)*BE$2, 0) = 0, $K161/(time_cap),0)),0)</f>
        <v/>
      </c>
      <c r="BF161" s="4395">
        <f>IFERROR(IF((time+time_cap)&lt;BF$2, 0,IF(AND(time+1&gt;=BG$2, $E161&lt;BG$2), IF($I161= "I", $J161/($F161-$E161+1), $J161/(($F161*($F161+1)/2)-(($E161-1)*($E161-1+1)/2))*BF$2), 0)+IF(IF(time+1&gt;=BG$2, $K161/time_cap/(time+1)*BF$2, 0) = 0, $K161/(time_cap),0)),0)</f>
        <v/>
      </c>
      <c r="BG161" s="4395">
        <f>IFERROR(IF((time+time_cap)&lt;BG$2, 0,IF(AND(time+1&gt;=BH$2, $E161&lt;BH$2), IF($I161= "I", $J161/($F161-$E161+1), $J161/(($F161*($F161+1)/2)-(($E161-1)*($E161-1+1)/2))*BG$2), 0)+IF(IF(time+1&gt;=BH$2, $K161/time_cap/(time+1)*BG$2, 0) = 0, $K161/(time_cap),0)),0)</f>
        <v/>
      </c>
      <c r="BH161" s="4395">
        <f>IFERROR(IF((time+time_cap)&lt;BH$2, 0,IF(AND(time+1&gt;=BI$2, $E161&lt;BI$2), IF($I161= "I", $J161/($F161-$E161+1), $J161/(($F161*($F161+1)/2)-(($E161-1)*($E161-1+1)/2))*BH$2), 0)+IF(IF(time+1&gt;=BI$2, $K161/time_cap/(time+1)*BH$2, 0) = 0, $K161/(time_cap),0)),0)</f>
        <v/>
      </c>
      <c r="BI161" s="4395">
        <f>IFERROR(IF((time+time_cap)&lt;BI$2, 0,IF(AND(time+1&gt;=BJ$2, $E161&lt;BJ$2), IF($I161= "I", $J161/($F161-$E161+1), $J161/(($F161*($F161+1)/2)-(($E161-1)*($E161-1+1)/2))*BI$2), 0)+IF(IF(time+1&gt;=BJ$2, $K161/time_cap/(time+1)*BI$2, 0) = 0, $K161/(time_cap),0)),0)</f>
        <v/>
      </c>
      <c r="BJ161" s="4395">
        <f>IFERROR(IF((time+time_cap)&lt;BJ$2, 0,IF(AND(time+1&gt;=BK$2, $E161&lt;BK$2), IF($I161= "I", $J161/($F161-$E161+1), $J161/(($F161*($F161+1)/2)-(($E161-1)*($E161-1+1)/2))*BJ$2), 0)+IF(IF(time+1&gt;=BK$2, $K161/time_cap/(time+1)*BJ$2, 0) = 0, $K161/(time_cap),0)),0)</f>
        <v/>
      </c>
      <c r="BK161" s="4395" t="n"/>
      <c r="BL161" s="4395" t="n"/>
      <c r="BM161" s="4395" t="n"/>
      <c r="BN161" s="4395" t="n"/>
      <c r="BO161" s="4395" t="n"/>
      <c r="BP161" s="4395" t="n"/>
      <c r="BQ161" s="4395" t="n"/>
      <c r="BR161" s="4395" t="n"/>
      <c r="BS161" s="4395" t="n"/>
      <c r="BT161" s="4395" t="n"/>
      <c r="BU161" s="4395" t="n"/>
      <c r="BV161" s="4395" t="n"/>
      <c r="BW161" s="4395" t="n"/>
      <c r="BX161" s="4395" t="n"/>
      <c r="BY161" s="4395" t="n"/>
      <c r="BZ161" s="4395" t="n"/>
      <c r="CA161" s="4395" t="n"/>
      <c r="CB161" s="4395" t="n"/>
      <c r="CC161" s="4395" t="n"/>
      <c r="CD161" s="4395" t="n"/>
      <c r="CE161" s="4395" t="n"/>
      <c r="CF161" s="4395" t="n"/>
      <c r="CG161" s="4395" t="n"/>
      <c r="CH161" s="4395" t="n"/>
      <c r="CI161" s="4395" t="n"/>
      <c r="CJ161" s="4395" t="n"/>
      <c r="CK161" s="4395" t="n"/>
      <c r="CL161" s="4395" t="n"/>
      <c r="CM161" s="4395" t="n"/>
      <c r="CN161" s="4395" t="n"/>
      <c r="CO161" s="4395" t="n"/>
      <c r="CP161" s="4395" t="n"/>
      <c r="CQ161" s="4395" t="n"/>
      <c r="CR161" s="4395" t="n"/>
      <c r="CS161" s="4395" t="n"/>
      <c r="CT161" s="4395" t="n"/>
      <c r="CU161" s="4395" t="n"/>
      <c r="CV161" s="4395" t="n"/>
      <c r="CW161" s="4395" t="n"/>
      <c r="CX161" s="4395" t="n"/>
      <c r="CY161" s="4395" t="n"/>
      <c r="CZ161" s="4395" t="n"/>
      <c r="DA161" s="4395" t="n"/>
      <c r="DB161" s="4395" t="n"/>
      <c r="DC161" s="4395" t="n"/>
      <c r="DD161" s="4395" t="n"/>
      <c r="DE161" s="4395" t="n"/>
      <c r="DF161" s="4395" t="n"/>
      <c r="DG161" s="4395" t="n"/>
      <c r="DH161" s="4395" t="n"/>
    </row>
    <row r="162" ht="16" customHeight="1">
      <c r="A162" t="inlineStr">
        <is>
          <t>Coastal wetland - extraction</t>
        </is>
      </c>
      <c r="C162">
        <f>'7.Coastal wetlands'!C13</f>
        <v/>
      </c>
      <c r="D162">
        <f>'7.Coastal wetlands'!AI13</f>
        <v/>
      </c>
      <c r="E162">
        <f>IF('7.Coastal wetlands'!CN13&lt;&gt;0,'7.Coastal wetlands'!CN13,'7.Coastal wetlands'!CM13)</f>
        <v/>
      </c>
      <c r="F162">
        <f>time</f>
        <v/>
      </c>
      <c r="G162" s="4395" t="inlineStr">
        <is>
          <t>D</t>
        </is>
      </c>
      <c r="H162" s="4395" t="inlineStr">
        <is>
          <t>D</t>
        </is>
      </c>
      <c r="I162" s="4395">
        <f>IF(OR(H162="I", G162="I"), "I", IF(OR(H162="E", G162="E"), "E", "D"))</f>
        <v/>
      </c>
      <c r="J162" s="4395">
        <f>((D162/(time_cap+((F162-E162+1)*VLOOKUP(I162,list!$I$48:$K$50,3, FALSE))))*(F162-E162+1)*VLOOKUP(I162,list!$I$48:$K$50,3, FALSE))</f>
        <v/>
      </c>
      <c r="K162" s="4395">
        <f>((D162/(time_cap+((F162-E162+1)*VLOOKUP(I162,list!$I$48:$K$50,3, FALSE))))*time_cap)</f>
        <v/>
      </c>
      <c r="M162" s="4395">
        <f>IFERROR(IF((time+time_cap)&lt;M$2, 0,IF(AND(time+1&gt;=N$2, $E162&lt;N$2), IF($I162= "I", $J162/($F162-$E162+1), $J162/(($F162*($F162+1)/2)-(($E162-1)*($E162-1+1)/2))*M$2), 0)+IF(IF(time+1&gt;=N$2, $K162/time_cap/(time+1)*M$2, 0) = 0, $K162/(time_cap),0)),0)</f>
        <v/>
      </c>
      <c r="N162" s="4395">
        <f>IFERROR(IF((time+time_cap)&lt;N$2, 0,IF(AND(time+1&gt;=O$2, $E162&lt;O$2), IF($I162= "I", $J162/($F162-$E162+1), $J162/(($F162*($F162+1)/2)-(($E162-1)*($E162-1+1)/2))*N$2), 0)+IF(IF(time+1&gt;=O$2, $K162/time_cap/(time+1)*N$2, 0) = 0, $K162/(time_cap),0)),0)</f>
        <v/>
      </c>
      <c r="O162" s="4395">
        <f>IFERROR(IF((time+time_cap)&lt;O$2, 0,IF(AND(time+1&gt;=P$2, $E162&lt;P$2), IF($I162= "I", $J162/($F162-$E162+1), $J162/(($F162*($F162+1)/2)-(($E162-1)*($E162-1+1)/2))*O$2), 0)+IF(IF(time+1&gt;=P$2, $K162/time_cap/(time+1)*O$2, 0) = 0, $K162/(time_cap),0)),0)</f>
        <v/>
      </c>
      <c r="P162" s="4395">
        <f>IFERROR(IF((time+time_cap)&lt;P$2, 0,IF(AND(time+1&gt;=Q$2, $E162&lt;Q$2), IF($I162= "I", $J162/($F162-$E162+1), $J162/(($F162*($F162+1)/2)-(($E162-1)*($E162-1+1)/2))*P$2), 0)+IF(IF(time+1&gt;=Q$2, $K162/time_cap/(time+1)*P$2, 0) = 0, $K162/(time_cap),0)),0)</f>
        <v/>
      </c>
      <c r="Q162" s="4395">
        <f>IFERROR(IF((time+time_cap)&lt;Q$2, 0,IF(AND(time+1&gt;=R$2, $E162&lt;R$2), IF($I162= "I", $J162/($F162-$E162+1), $J162/(($F162*($F162+1)/2)-(($E162-1)*($E162-1+1)/2))*Q$2), 0)+IF(IF(time+1&gt;=R$2, $K162/time_cap/(time+1)*Q$2, 0) = 0, $K162/(time_cap),0)),0)</f>
        <v/>
      </c>
      <c r="R162" s="4395">
        <f>IFERROR(IF((time+time_cap)&lt;R$2, 0,IF(AND(time+1&gt;=S$2, $E162&lt;S$2), IF($I162= "I", $J162/($F162-$E162+1), $J162/(($F162*($F162+1)/2)-(($E162-1)*($E162-1+1)/2))*R$2), 0)+IF(IF(time+1&gt;=S$2, $K162/time_cap/(time+1)*R$2, 0) = 0, $K162/(time_cap),0)),0)</f>
        <v/>
      </c>
      <c r="S162" s="4395">
        <f>IFERROR(IF((time+time_cap)&lt;S$2, 0,IF(AND(time+1&gt;=T$2, $E162&lt;T$2), IF($I162= "I", $J162/($F162-$E162+1), $J162/(($F162*($F162+1)/2)-(($E162-1)*($E162-1+1)/2))*S$2), 0)+IF(IF(time+1&gt;=T$2, $K162/time_cap/(time+1)*S$2, 0) = 0, $K162/(time_cap),0)),0)</f>
        <v/>
      </c>
      <c r="T162" s="4395">
        <f>IFERROR(IF((time+time_cap)&lt;T$2, 0,IF(AND(time+1&gt;=U$2, $E162&lt;U$2), IF($I162= "I", $J162/($F162-$E162+1), $J162/(($F162*($F162+1)/2)-(($E162-1)*($E162-1+1)/2))*T$2), 0)+IF(IF(time+1&gt;=U$2, $K162/time_cap/(time+1)*T$2, 0) = 0, $K162/(time_cap),0)),0)</f>
        <v/>
      </c>
      <c r="U162" s="4395">
        <f>IFERROR(IF((time+time_cap)&lt;U$2, 0,IF(AND(time+1&gt;=V$2, $E162&lt;V$2), IF($I162= "I", $J162/($F162-$E162+1), $J162/(($F162*($F162+1)/2)-(($E162-1)*($E162-1+1)/2))*U$2), 0)+IF(IF(time+1&gt;=V$2, $K162/time_cap/(time+1)*U$2, 0) = 0, $K162/(time_cap),0)),0)</f>
        <v/>
      </c>
      <c r="V162" s="4395">
        <f>IFERROR(IF((time+time_cap)&lt;V$2, 0,IF(AND(time+1&gt;=W$2, $E162&lt;W$2), IF($I162= "I", $J162/($F162-$E162+1), $J162/(($F162*($F162+1)/2)-(($E162-1)*($E162-1+1)/2))*V$2), 0)+IF(IF(time+1&gt;=W$2, $K162/time_cap/(time+1)*V$2, 0) = 0, $K162/(time_cap),0)),0)</f>
        <v/>
      </c>
      <c r="W162" s="4395">
        <f>IFERROR(IF((time+time_cap)&lt;W$2, 0,IF(AND(time+1&gt;=X$2, $E162&lt;X$2), IF($I162= "I", $J162/($F162-$E162+1), $J162/(($F162*($F162+1)/2)-(($E162-1)*($E162-1+1)/2))*W$2), 0)+IF(IF(time+1&gt;=X$2, $K162/time_cap/(time+1)*W$2, 0) = 0, $K162/(time_cap),0)),0)</f>
        <v/>
      </c>
      <c r="X162" s="4395">
        <f>IFERROR(IF((time+time_cap)&lt;X$2, 0,IF(AND(time+1&gt;=Y$2, $E162&lt;Y$2), IF($I162= "I", $J162/($F162-$E162+1), $J162/(($F162*($F162+1)/2)-(($E162-1)*($E162-1+1)/2))*X$2), 0)+IF(IF(time+1&gt;=Y$2, $K162/time_cap/(time+1)*X$2, 0) = 0, $K162/(time_cap),0)),0)</f>
        <v/>
      </c>
      <c r="Y162" s="4395">
        <f>IFERROR(IF((time+time_cap)&lt;Y$2, 0,IF(AND(time+1&gt;=Z$2, $E162&lt;Z$2), IF($I162= "I", $J162/($F162-$E162+1), $J162/(($F162*($F162+1)/2)-(($E162-1)*($E162-1+1)/2))*Y$2), 0)+IF(IF(time+1&gt;=Z$2, $K162/time_cap/(time+1)*Y$2, 0) = 0, $K162/(time_cap),0)),0)</f>
        <v/>
      </c>
      <c r="Z162" s="4395">
        <f>IFERROR(IF((time+time_cap)&lt;Z$2, 0,IF(AND(time+1&gt;=AA$2, $E162&lt;AA$2), IF($I162= "I", $J162/($F162-$E162+1), $J162/(($F162*($F162+1)/2)-(($E162-1)*($E162-1+1)/2))*Z$2), 0)+IF(IF(time+1&gt;=AA$2, $K162/time_cap/(time+1)*Z$2, 0) = 0, $K162/(time_cap),0)),0)</f>
        <v/>
      </c>
      <c r="AA162" s="4395">
        <f>IFERROR(IF((time+time_cap)&lt;AA$2, 0,IF(AND(time+1&gt;=AB$2, $E162&lt;AB$2), IF($I162= "I", $J162/($F162-$E162+1), $J162/(($F162*($F162+1)/2)-(($E162-1)*($E162-1+1)/2))*AA$2), 0)+IF(IF(time+1&gt;=AB$2, $K162/time_cap/(time+1)*AA$2, 0) = 0, $K162/(time_cap),0)),0)</f>
        <v/>
      </c>
      <c r="AB162" s="4395">
        <f>IFERROR(IF((time+time_cap)&lt;AB$2, 0,IF(AND(time+1&gt;=AC$2, $E162&lt;AC$2), IF($I162= "I", $J162/($F162-$E162+1), $J162/(($F162*($F162+1)/2)-(($E162-1)*($E162-1+1)/2))*AB$2), 0)+IF(IF(time+1&gt;=AC$2, $K162/time_cap/(time+1)*AB$2, 0) = 0, $K162/(time_cap),0)),0)</f>
        <v/>
      </c>
      <c r="AC162" s="4395">
        <f>IFERROR(IF((time+time_cap)&lt;AC$2, 0,IF(AND(time+1&gt;=AD$2, $E162&lt;AD$2), IF($I162= "I", $J162/($F162-$E162+1), $J162/(($F162*($F162+1)/2)-(($E162-1)*($E162-1+1)/2))*AC$2), 0)+IF(IF(time+1&gt;=AD$2, $K162/time_cap/(time+1)*AC$2, 0) = 0, $K162/(time_cap),0)),0)</f>
        <v/>
      </c>
      <c r="AD162" s="4395">
        <f>IFERROR(IF((time+time_cap)&lt;AD$2, 0,IF(AND(time+1&gt;=AE$2, $E162&lt;AE$2), IF($I162= "I", $J162/($F162-$E162+1), $J162/(($F162*($F162+1)/2)-(($E162-1)*($E162-1+1)/2))*AD$2), 0)+IF(IF(time+1&gt;=AE$2, $K162/time_cap/(time+1)*AD$2, 0) = 0, $K162/(time_cap),0)),0)</f>
        <v/>
      </c>
      <c r="AE162" s="4395">
        <f>IFERROR(IF((time+time_cap)&lt;AE$2, 0,IF(AND(time+1&gt;=AF$2, $E162&lt;AF$2), IF($I162= "I", $J162/($F162-$E162+1), $J162/(($F162*($F162+1)/2)-(($E162-1)*($E162-1+1)/2))*AE$2), 0)+IF(IF(time+1&gt;=AF$2, $K162/time_cap/(time+1)*AE$2, 0) = 0, $K162/(time_cap),0)),0)</f>
        <v/>
      </c>
      <c r="AF162" s="4395">
        <f>IFERROR(IF((time+time_cap)&lt;AF$2, 0,IF(AND(time+1&gt;=AG$2, $E162&lt;AG$2), IF($I162= "I", $J162/($F162-$E162+1), $J162/(($F162*($F162+1)/2)-(($E162-1)*($E162-1+1)/2))*AF$2), 0)+IF(IF(time+1&gt;=AG$2, $K162/time_cap/(time+1)*AF$2, 0) = 0, $K162/(time_cap),0)),0)</f>
        <v/>
      </c>
      <c r="AG162" s="4395">
        <f>IFERROR(IF((time+time_cap)&lt;AG$2, 0,IF(AND(time+1&gt;=AH$2, $E162&lt;AH$2), IF($I162= "I", $J162/($F162-$E162+1), $J162/(($F162*($F162+1)/2)-(($E162-1)*($E162-1+1)/2))*AG$2), 0)+IF(IF(time+1&gt;=AH$2, $K162/time_cap/(time+1)*AG$2, 0) = 0, $K162/(time_cap),0)),0)</f>
        <v/>
      </c>
      <c r="AH162" s="4395">
        <f>IFERROR(IF((time+time_cap)&lt;AH$2, 0,IF(AND(time+1&gt;=AI$2, $E162&lt;AI$2), IF($I162= "I", $J162/($F162-$E162+1), $J162/(($F162*($F162+1)/2)-(($E162-1)*($E162-1+1)/2))*AH$2), 0)+IF(IF(time+1&gt;=AI$2, $K162/time_cap/(time+1)*AH$2, 0) = 0, $K162/(time_cap),0)),0)</f>
        <v/>
      </c>
      <c r="AI162" s="4395">
        <f>IFERROR(IF((time+time_cap)&lt;AI$2, 0,IF(AND(time+1&gt;=AJ$2, $E162&lt;AJ$2), IF($I162= "I", $J162/($F162-$E162+1), $J162/(($F162*($F162+1)/2)-(($E162-1)*($E162-1+1)/2))*AI$2), 0)+IF(IF(time+1&gt;=AJ$2, $K162/time_cap/(time+1)*AI$2, 0) = 0, $K162/(time_cap),0)),0)</f>
        <v/>
      </c>
      <c r="AJ162" s="4395">
        <f>IFERROR(IF((time+time_cap)&lt;AJ$2, 0,IF(AND(time+1&gt;=AK$2, $E162&lt;AK$2), IF($I162= "I", $J162/($F162-$E162+1), $J162/(($F162*($F162+1)/2)-(($E162-1)*($E162-1+1)/2))*AJ$2), 0)+IF(IF(time+1&gt;=AK$2, $K162/time_cap/(time+1)*AJ$2, 0) = 0, $K162/(time_cap),0)),0)</f>
        <v/>
      </c>
      <c r="AK162" s="4395">
        <f>IFERROR(IF((time+time_cap)&lt;AK$2, 0,IF(AND(time+1&gt;=AL$2, $E162&lt;AL$2), IF($I162= "I", $J162/($F162-$E162+1), $J162/(($F162*($F162+1)/2)-(($E162-1)*($E162-1+1)/2))*AK$2), 0)+IF(IF(time+1&gt;=AL$2, $K162/time_cap/(time+1)*AK$2, 0) = 0, $K162/(time_cap),0)),0)</f>
        <v/>
      </c>
      <c r="AL162" s="4395">
        <f>IFERROR(IF((time+time_cap)&lt;AL$2, 0,IF(AND(time+1&gt;=AM$2, $E162&lt;AM$2), IF($I162= "I", $J162/($F162-$E162+1), $J162/(($F162*($F162+1)/2)-(($E162-1)*($E162-1+1)/2))*AL$2), 0)+IF(IF(time+1&gt;=AM$2, $K162/time_cap/(time+1)*AL$2, 0) = 0, $K162/(time_cap),0)),0)</f>
        <v/>
      </c>
      <c r="AM162" s="4395">
        <f>IFERROR(IF((time+time_cap)&lt;AM$2, 0,IF(AND(time+1&gt;=AN$2, $E162&lt;AN$2), IF($I162= "I", $J162/($F162-$E162+1), $J162/(($F162*($F162+1)/2)-(($E162-1)*($E162-1+1)/2))*AM$2), 0)+IF(IF(time+1&gt;=AN$2, $K162/time_cap/(time+1)*AM$2, 0) = 0, $K162/(time_cap),0)),0)</f>
        <v/>
      </c>
      <c r="AN162" s="4395">
        <f>IFERROR(IF((time+time_cap)&lt;AN$2, 0,IF(AND(time+1&gt;=AO$2, $E162&lt;AO$2), IF($I162= "I", $J162/($F162-$E162+1), $J162/(($F162*($F162+1)/2)-(($E162-1)*($E162-1+1)/2))*AN$2), 0)+IF(IF(time+1&gt;=AO$2, $K162/time_cap/(time+1)*AN$2, 0) = 0, $K162/(time_cap),0)),0)</f>
        <v/>
      </c>
      <c r="AO162" s="4395">
        <f>IFERROR(IF((time+time_cap)&lt;AO$2, 0,IF(AND(time+1&gt;=AP$2, $E162&lt;AP$2), IF($I162= "I", $J162/($F162-$E162+1), $J162/(($F162*($F162+1)/2)-(($E162-1)*($E162-1+1)/2))*AO$2), 0)+IF(IF(time+1&gt;=AP$2, $K162/time_cap/(time+1)*AO$2, 0) = 0, $K162/(time_cap),0)),0)</f>
        <v/>
      </c>
      <c r="AP162" s="4395">
        <f>IFERROR(IF((time+time_cap)&lt;AP$2, 0,IF(AND(time+1&gt;=AQ$2, $E162&lt;AQ$2), IF($I162= "I", $J162/($F162-$E162+1), $J162/(($F162*($F162+1)/2)-(($E162-1)*($E162-1+1)/2))*AP$2), 0)+IF(IF(time+1&gt;=AQ$2, $K162/time_cap/(time+1)*AP$2, 0) = 0, $K162/(time_cap),0)),0)</f>
        <v/>
      </c>
      <c r="AQ162" s="4395">
        <f>IFERROR(IF((time+time_cap)&lt;AQ$2, 0,IF(AND(time+1&gt;=AR$2, $E162&lt;AR$2), IF($I162= "I", $J162/($F162-$E162+1), $J162/(($F162*($F162+1)/2)-(($E162-1)*($E162-1+1)/2))*AQ$2), 0)+IF(IF(time+1&gt;=AR$2, $K162/time_cap/(time+1)*AQ$2, 0) = 0, $K162/(time_cap),0)),0)</f>
        <v/>
      </c>
      <c r="AR162" s="4395">
        <f>IFERROR(IF((time+time_cap)&lt;AR$2, 0,IF(AND(time+1&gt;=AS$2, $E162&lt;AS$2), IF($I162= "I", $J162/($F162-$E162+1), $J162/(($F162*($F162+1)/2)-(($E162-1)*($E162-1+1)/2))*AR$2), 0)+IF(IF(time+1&gt;=AS$2, $K162/time_cap/(time+1)*AR$2, 0) = 0, $K162/(time_cap),0)),0)</f>
        <v/>
      </c>
      <c r="AS162" s="4395">
        <f>IFERROR(IF((time+time_cap)&lt;AS$2, 0,IF(AND(time+1&gt;=AT$2, $E162&lt;AT$2), IF($I162= "I", $J162/($F162-$E162+1), $J162/(($F162*($F162+1)/2)-(($E162-1)*($E162-1+1)/2))*AS$2), 0)+IF(IF(time+1&gt;=AT$2, $K162/time_cap/(time+1)*AS$2, 0) = 0, $K162/(time_cap),0)),0)</f>
        <v/>
      </c>
      <c r="AT162" s="4395">
        <f>IFERROR(IF((time+time_cap)&lt;AT$2, 0,IF(AND(time+1&gt;=AU$2, $E162&lt;AU$2), IF($I162= "I", $J162/($F162-$E162+1), $J162/(($F162*($F162+1)/2)-(($E162-1)*($E162-1+1)/2))*AT$2), 0)+IF(IF(time+1&gt;=AU$2, $K162/time_cap/(time+1)*AT$2, 0) = 0, $K162/(time_cap),0)),0)</f>
        <v/>
      </c>
      <c r="AU162" s="4395">
        <f>IFERROR(IF((time+time_cap)&lt;AU$2, 0,IF(AND(time+1&gt;=AV$2, $E162&lt;AV$2), IF($I162= "I", $J162/($F162-$E162+1), $J162/(($F162*($F162+1)/2)-(($E162-1)*($E162-1+1)/2))*AU$2), 0)+IF(IF(time+1&gt;=AV$2, $K162/time_cap/(time+1)*AU$2, 0) = 0, $K162/(time_cap),0)),0)</f>
        <v/>
      </c>
      <c r="AV162" s="4395">
        <f>IFERROR(IF((time+time_cap)&lt;AV$2, 0,IF(AND(time+1&gt;=AW$2, $E162&lt;AW$2), IF($I162= "I", $J162/($F162-$E162+1), $J162/(($F162*($F162+1)/2)-(($E162-1)*($E162-1+1)/2))*AV$2), 0)+IF(IF(time+1&gt;=AW$2, $K162/time_cap/(time+1)*AV$2, 0) = 0, $K162/(time_cap),0)),0)</f>
        <v/>
      </c>
      <c r="AW162" s="4395">
        <f>IFERROR(IF((time+time_cap)&lt;AW$2, 0,IF(AND(time+1&gt;=AX$2, $E162&lt;AX$2), IF($I162= "I", $J162/($F162-$E162+1), $J162/(($F162*($F162+1)/2)-(($E162-1)*($E162-1+1)/2))*AW$2), 0)+IF(IF(time+1&gt;=AX$2, $K162/time_cap/(time+1)*AW$2, 0) = 0, $K162/(time_cap),0)),0)</f>
        <v/>
      </c>
      <c r="AX162" s="4395">
        <f>IFERROR(IF((time+time_cap)&lt;AX$2, 0,IF(AND(time+1&gt;=AY$2, $E162&lt;AY$2), IF($I162= "I", $J162/($F162-$E162+1), $J162/(($F162*($F162+1)/2)-(($E162-1)*($E162-1+1)/2))*AX$2), 0)+IF(IF(time+1&gt;=AY$2, $K162/time_cap/(time+1)*AX$2, 0) = 0, $K162/(time_cap),0)),0)</f>
        <v/>
      </c>
      <c r="AY162" s="4395">
        <f>IFERROR(IF((time+time_cap)&lt;AY$2, 0,IF(AND(time+1&gt;=AZ$2, $E162&lt;AZ$2), IF($I162= "I", $J162/($F162-$E162+1), $J162/(($F162*($F162+1)/2)-(($E162-1)*($E162-1+1)/2))*AY$2), 0)+IF(IF(time+1&gt;=AZ$2, $K162/time_cap/(time+1)*AY$2, 0) = 0, $K162/(time_cap),0)),0)</f>
        <v/>
      </c>
      <c r="AZ162" s="4395">
        <f>IFERROR(IF((time+time_cap)&lt;AZ$2, 0,IF(AND(time+1&gt;=BA$2, $E162&lt;BA$2), IF($I162= "I", $J162/($F162-$E162+1), $J162/(($F162*($F162+1)/2)-(($E162-1)*($E162-1+1)/2))*AZ$2), 0)+IF(IF(time+1&gt;=BA$2, $K162/time_cap/(time+1)*AZ$2, 0) = 0, $K162/(time_cap),0)),0)</f>
        <v/>
      </c>
      <c r="BA162" s="4395">
        <f>IFERROR(IF((time+time_cap)&lt;BA$2, 0,IF(AND(time+1&gt;=BB$2, $E162&lt;BB$2), IF($I162= "I", $J162/($F162-$E162+1), $J162/(($F162*($F162+1)/2)-(($E162-1)*($E162-1+1)/2))*BA$2), 0)+IF(IF(time+1&gt;=BB$2, $K162/time_cap/(time+1)*BA$2, 0) = 0, $K162/(time_cap),0)),0)</f>
        <v/>
      </c>
      <c r="BB162" s="4395">
        <f>IFERROR(IF((time+time_cap)&lt;BB$2, 0,IF(AND(time+1&gt;=BC$2, $E162&lt;BC$2), IF($I162= "I", $J162/($F162-$E162+1), $J162/(($F162*($F162+1)/2)-(($E162-1)*($E162-1+1)/2))*BB$2), 0)+IF(IF(time+1&gt;=BC$2, $K162/time_cap/(time+1)*BB$2, 0) = 0, $K162/(time_cap),0)),0)</f>
        <v/>
      </c>
      <c r="BC162" s="4395">
        <f>IFERROR(IF((time+time_cap)&lt;BC$2, 0,IF(AND(time+1&gt;=BD$2, $E162&lt;BD$2), IF($I162= "I", $J162/($F162-$E162+1), $J162/(($F162*($F162+1)/2)-(($E162-1)*($E162-1+1)/2))*BC$2), 0)+IF(IF(time+1&gt;=BD$2, $K162/time_cap/(time+1)*BC$2, 0) = 0, $K162/(time_cap),0)),0)</f>
        <v/>
      </c>
      <c r="BD162" s="4395">
        <f>IFERROR(IF((time+time_cap)&lt;BD$2, 0,IF(AND(time+1&gt;=BE$2, $E162&lt;BE$2), IF($I162= "I", $J162/($F162-$E162+1), $J162/(($F162*($F162+1)/2)-(($E162-1)*($E162-1+1)/2))*BD$2), 0)+IF(IF(time+1&gt;=BE$2, $K162/time_cap/(time+1)*BD$2, 0) = 0, $K162/(time_cap),0)),0)</f>
        <v/>
      </c>
      <c r="BE162" s="4395">
        <f>IFERROR(IF((time+time_cap)&lt;BE$2, 0,IF(AND(time+1&gt;=BF$2, $E162&lt;BF$2), IF($I162= "I", $J162/($F162-$E162+1), $J162/(($F162*($F162+1)/2)-(($E162-1)*($E162-1+1)/2))*BE$2), 0)+IF(IF(time+1&gt;=BF$2, $K162/time_cap/(time+1)*BE$2, 0) = 0, $K162/(time_cap),0)),0)</f>
        <v/>
      </c>
      <c r="BF162" s="4395">
        <f>IFERROR(IF((time+time_cap)&lt;BF$2, 0,IF(AND(time+1&gt;=BG$2, $E162&lt;BG$2), IF($I162= "I", $J162/($F162-$E162+1), $J162/(($F162*($F162+1)/2)-(($E162-1)*($E162-1+1)/2))*BF$2), 0)+IF(IF(time+1&gt;=BG$2, $K162/time_cap/(time+1)*BF$2, 0) = 0, $K162/(time_cap),0)),0)</f>
        <v/>
      </c>
      <c r="BG162" s="4395">
        <f>IFERROR(IF((time+time_cap)&lt;BG$2, 0,IF(AND(time+1&gt;=BH$2, $E162&lt;BH$2), IF($I162= "I", $J162/($F162-$E162+1), $J162/(($F162*($F162+1)/2)-(($E162-1)*($E162-1+1)/2))*BG$2), 0)+IF(IF(time+1&gt;=BH$2, $K162/time_cap/(time+1)*BG$2, 0) = 0, $K162/(time_cap),0)),0)</f>
        <v/>
      </c>
      <c r="BH162" s="4395">
        <f>IFERROR(IF((time+time_cap)&lt;BH$2, 0,IF(AND(time+1&gt;=BI$2, $E162&lt;BI$2), IF($I162= "I", $J162/($F162-$E162+1), $J162/(($F162*($F162+1)/2)-(($E162-1)*($E162-1+1)/2))*BH$2), 0)+IF(IF(time+1&gt;=BI$2, $K162/time_cap/(time+1)*BH$2, 0) = 0, $K162/(time_cap),0)),0)</f>
        <v/>
      </c>
      <c r="BI162" s="4395">
        <f>IFERROR(IF((time+time_cap)&lt;BI$2, 0,IF(AND(time+1&gt;=BJ$2, $E162&lt;BJ$2), IF($I162= "I", $J162/($F162-$E162+1), $J162/(($F162*($F162+1)/2)-(($E162-1)*($E162-1+1)/2))*BI$2), 0)+IF(IF(time+1&gt;=BJ$2, $K162/time_cap/(time+1)*BI$2, 0) = 0, $K162/(time_cap),0)),0)</f>
        <v/>
      </c>
      <c r="BJ162" s="4395">
        <f>IFERROR(IF((time+time_cap)&lt;BJ$2, 0,IF(AND(time+1&gt;=BK$2, $E162&lt;BK$2), IF($I162= "I", $J162/($F162-$E162+1), $J162/(($F162*($F162+1)/2)-(($E162-1)*($E162-1+1)/2))*BJ$2), 0)+IF(IF(time+1&gt;=BK$2, $K162/time_cap/(time+1)*BJ$2, 0) = 0, $K162/(time_cap),0)),0)</f>
        <v/>
      </c>
      <c r="BK162" s="4395" t="n"/>
      <c r="BL162" s="4395" t="n"/>
      <c r="BM162" s="4395" t="n"/>
      <c r="BN162" s="4395" t="n"/>
      <c r="BO162" s="4395" t="n"/>
      <c r="BP162" s="4395" t="n"/>
      <c r="BQ162" s="4395" t="n"/>
      <c r="BR162" s="4395" t="n"/>
      <c r="BS162" s="4395" t="n"/>
      <c r="BT162" s="4395" t="n"/>
      <c r="BU162" s="4395" t="n"/>
      <c r="BV162" s="4395" t="n"/>
      <c r="BW162" s="4395" t="n"/>
      <c r="BX162" s="4395" t="n"/>
      <c r="BY162" s="4395" t="n"/>
      <c r="BZ162" s="4395" t="n"/>
      <c r="CA162" s="4395" t="n"/>
      <c r="CB162" s="4395" t="n"/>
      <c r="CC162" s="4395" t="n"/>
      <c r="CD162" s="4395" t="n"/>
      <c r="CE162" s="4395" t="n"/>
      <c r="CF162" s="4395" t="n"/>
      <c r="CG162" s="4395" t="n"/>
      <c r="CH162" s="4395" t="n"/>
      <c r="CI162" s="4395" t="n"/>
      <c r="CJ162" s="4395" t="n"/>
      <c r="CK162" s="4395" t="n"/>
      <c r="CL162" s="4395" t="n"/>
      <c r="CM162" s="4395" t="n"/>
      <c r="CN162" s="4395" t="n"/>
      <c r="CO162" s="4395" t="n"/>
      <c r="CP162" s="4395" t="n"/>
      <c r="CQ162" s="4395" t="n"/>
      <c r="CR162" s="4395" t="n"/>
      <c r="CS162" s="4395" t="n"/>
      <c r="CT162" s="4395" t="n"/>
      <c r="CU162" s="4395" t="n"/>
      <c r="CV162" s="4395" t="n"/>
      <c r="CW162" s="4395" t="n"/>
      <c r="CX162" s="4395" t="n"/>
      <c r="CY162" s="4395" t="n"/>
      <c r="CZ162" s="4395" t="n"/>
      <c r="DA162" s="4395" t="n"/>
      <c r="DB162" s="4395" t="n"/>
      <c r="DC162" s="4395" t="n"/>
      <c r="DD162" s="4395" t="n"/>
      <c r="DE162" s="4395" t="n"/>
      <c r="DF162" s="4395" t="n"/>
      <c r="DG162" s="4395" t="n"/>
      <c r="DH162" s="4395" t="n"/>
    </row>
    <row r="163" ht="16" customHeight="1">
      <c r="A163" t="inlineStr">
        <is>
          <t>Coastal wetland - extraction</t>
        </is>
      </c>
      <c r="C163">
        <f>'7.Coastal wetlands'!C14</f>
        <v/>
      </c>
      <c r="D163">
        <f>'7.Coastal wetlands'!AI14</f>
        <v/>
      </c>
      <c r="E163">
        <f>IF('7.Coastal wetlands'!CN14&lt;&gt;0,'7.Coastal wetlands'!CN14,'7.Coastal wetlands'!CM14)</f>
        <v/>
      </c>
      <c r="F163">
        <f>time</f>
        <v/>
      </c>
      <c r="G163" s="4395" t="inlineStr">
        <is>
          <t>D</t>
        </is>
      </c>
      <c r="H163" s="4395" t="inlineStr">
        <is>
          <t>D</t>
        </is>
      </c>
      <c r="I163" s="4395">
        <f>IF(OR(H163="I", G163="I"), "I", IF(OR(H163="E", G163="E"), "E", "D"))</f>
        <v/>
      </c>
      <c r="J163" s="4395">
        <f>((D163/(time_cap+((F163-E163+1)*VLOOKUP(I163,list!$I$48:$K$50,3, FALSE))))*(F163-E163+1)*VLOOKUP(I163,list!$I$48:$K$50,3, FALSE))</f>
        <v/>
      </c>
      <c r="K163" s="4395">
        <f>((D163/(time_cap+((F163-E163+1)*VLOOKUP(I163,list!$I$48:$K$50,3, FALSE))))*time_cap)</f>
        <v/>
      </c>
      <c r="M163" s="4395">
        <f>IFERROR(IF((time+time_cap)&lt;M$2, 0,IF(AND(time+1&gt;=N$2, $E163&lt;N$2), IF($I163= "I", $J163/($F163-$E163+1), $J163/(($F163*($F163+1)/2)-(($E163-1)*($E163-1+1)/2))*M$2), 0)+IF(IF(time+1&gt;=N$2, $K163/time_cap/(time+1)*M$2, 0) = 0, $K163/(time_cap),0)),0)</f>
        <v/>
      </c>
      <c r="N163" s="4395">
        <f>IFERROR(IF((time+time_cap)&lt;N$2, 0,IF(AND(time+1&gt;=O$2, $E163&lt;O$2), IF($I163= "I", $J163/($F163-$E163+1), $J163/(($F163*($F163+1)/2)-(($E163-1)*($E163-1+1)/2))*N$2), 0)+IF(IF(time+1&gt;=O$2, $K163/time_cap/(time+1)*N$2, 0) = 0, $K163/(time_cap),0)),0)</f>
        <v/>
      </c>
      <c r="O163" s="4395">
        <f>IFERROR(IF((time+time_cap)&lt;O$2, 0,IF(AND(time+1&gt;=P$2, $E163&lt;P$2), IF($I163= "I", $J163/($F163-$E163+1), $J163/(($F163*($F163+1)/2)-(($E163-1)*($E163-1+1)/2))*O$2), 0)+IF(IF(time+1&gt;=P$2, $K163/time_cap/(time+1)*O$2, 0) = 0, $K163/(time_cap),0)),0)</f>
        <v/>
      </c>
      <c r="P163" s="4395">
        <f>IFERROR(IF((time+time_cap)&lt;P$2, 0,IF(AND(time+1&gt;=Q$2, $E163&lt;Q$2), IF($I163= "I", $J163/($F163-$E163+1), $J163/(($F163*($F163+1)/2)-(($E163-1)*($E163-1+1)/2))*P$2), 0)+IF(IF(time+1&gt;=Q$2, $K163/time_cap/(time+1)*P$2, 0) = 0, $K163/(time_cap),0)),0)</f>
        <v/>
      </c>
      <c r="Q163" s="4395">
        <f>IFERROR(IF((time+time_cap)&lt;Q$2, 0,IF(AND(time+1&gt;=R$2, $E163&lt;R$2), IF($I163= "I", $J163/($F163-$E163+1), $J163/(($F163*($F163+1)/2)-(($E163-1)*($E163-1+1)/2))*Q$2), 0)+IF(IF(time+1&gt;=R$2, $K163/time_cap/(time+1)*Q$2, 0) = 0, $K163/(time_cap),0)),0)</f>
        <v/>
      </c>
      <c r="R163" s="4395">
        <f>IFERROR(IF((time+time_cap)&lt;R$2, 0,IF(AND(time+1&gt;=S$2, $E163&lt;S$2), IF($I163= "I", $J163/($F163-$E163+1), $J163/(($F163*($F163+1)/2)-(($E163-1)*($E163-1+1)/2))*R$2), 0)+IF(IF(time+1&gt;=S$2, $K163/time_cap/(time+1)*R$2, 0) = 0, $K163/(time_cap),0)),0)</f>
        <v/>
      </c>
      <c r="S163" s="4395">
        <f>IFERROR(IF((time+time_cap)&lt;S$2, 0,IF(AND(time+1&gt;=T$2, $E163&lt;T$2), IF($I163= "I", $J163/($F163-$E163+1), $J163/(($F163*($F163+1)/2)-(($E163-1)*($E163-1+1)/2))*S$2), 0)+IF(IF(time+1&gt;=T$2, $K163/time_cap/(time+1)*S$2, 0) = 0, $K163/(time_cap),0)),0)</f>
        <v/>
      </c>
      <c r="T163" s="4395">
        <f>IFERROR(IF((time+time_cap)&lt;T$2, 0,IF(AND(time+1&gt;=U$2, $E163&lt;U$2), IF($I163= "I", $J163/($F163-$E163+1), $J163/(($F163*($F163+1)/2)-(($E163-1)*($E163-1+1)/2))*T$2), 0)+IF(IF(time+1&gt;=U$2, $K163/time_cap/(time+1)*T$2, 0) = 0, $K163/(time_cap),0)),0)</f>
        <v/>
      </c>
      <c r="U163" s="4395">
        <f>IFERROR(IF((time+time_cap)&lt;U$2, 0,IF(AND(time+1&gt;=V$2, $E163&lt;V$2), IF($I163= "I", $J163/($F163-$E163+1), $J163/(($F163*($F163+1)/2)-(($E163-1)*($E163-1+1)/2))*U$2), 0)+IF(IF(time+1&gt;=V$2, $K163/time_cap/(time+1)*U$2, 0) = 0, $K163/(time_cap),0)),0)</f>
        <v/>
      </c>
      <c r="V163" s="4395">
        <f>IFERROR(IF((time+time_cap)&lt;V$2, 0,IF(AND(time+1&gt;=W$2, $E163&lt;W$2), IF($I163= "I", $J163/($F163-$E163+1), $J163/(($F163*($F163+1)/2)-(($E163-1)*($E163-1+1)/2))*V$2), 0)+IF(IF(time+1&gt;=W$2, $K163/time_cap/(time+1)*V$2, 0) = 0, $K163/(time_cap),0)),0)</f>
        <v/>
      </c>
      <c r="W163" s="4395">
        <f>IFERROR(IF((time+time_cap)&lt;W$2, 0,IF(AND(time+1&gt;=X$2, $E163&lt;X$2), IF($I163= "I", $J163/($F163-$E163+1), $J163/(($F163*($F163+1)/2)-(($E163-1)*($E163-1+1)/2))*W$2), 0)+IF(IF(time+1&gt;=X$2, $K163/time_cap/(time+1)*W$2, 0) = 0, $K163/(time_cap),0)),0)</f>
        <v/>
      </c>
      <c r="X163" s="4395">
        <f>IFERROR(IF((time+time_cap)&lt;X$2, 0,IF(AND(time+1&gt;=Y$2, $E163&lt;Y$2), IF($I163= "I", $J163/($F163-$E163+1), $J163/(($F163*($F163+1)/2)-(($E163-1)*($E163-1+1)/2))*X$2), 0)+IF(IF(time+1&gt;=Y$2, $K163/time_cap/(time+1)*X$2, 0) = 0, $K163/(time_cap),0)),0)</f>
        <v/>
      </c>
      <c r="Y163" s="4395">
        <f>IFERROR(IF((time+time_cap)&lt;Y$2, 0,IF(AND(time+1&gt;=Z$2, $E163&lt;Z$2), IF($I163= "I", $J163/($F163-$E163+1), $J163/(($F163*($F163+1)/2)-(($E163-1)*($E163-1+1)/2))*Y$2), 0)+IF(IF(time+1&gt;=Z$2, $K163/time_cap/(time+1)*Y$2, 0) = 0, $K163/(time_cap),0)),0)</f>
        <v/>
      </c>
      <c r="Z163" s="4395">
        <f>IFERROR(IF((time+time_cap)&lt;Z$2, 0,IF(AND(time+1&gt;=AA$2, $E163&lt;AA$2), IF($I163= "I", $J163/($F163-$E163+1), $J163/(($F163*($F163+1)/2)-(($E163-1)*($E163-1+1)/2))*Z$2), 0)+IF(IF(time+1&gt;=AA$2, $K163/time_cap/(time+1)*Z$2, 0) = 0, $K163/(time_cap),0)),0)</f>
        <v/>
      </c>
      <c r="AA163" s="4395">
        <f>IFERROR(IF((time+time_cap)&lt;AA$2, 0,IF(AND(time+1&gt;=AB$2, $E163&lt;AB$2), IF($I163= "I", $J163/($F163-$E163+1), $J163/(($F163*($F163+1)/2)-(($E163-1)*($E163-1+1)/2))*AA$2), 0)+IF(IF(time+1&gt;=AB$2, $K163/time_cap/(time+1)*AA$2, 0) = 0, $K163/(time_cap),0)),0)</f>
        <v/>
      </c>
      <c r="AB163" s="4395">
        <f>IFERROR(IF((time+time_cap)&lt;AB$2, 0,IF(AND(time+1&gt;=AC$2, $E163&lt;AC$2), IF($I163= "I", $J163/($F163-$E163+1), $J163/(($F163*($F163+1)/2)-(($E163-1)*($E163-1+1)/2))*AB$2), 0)+IF(IF(time+1&gt;=AC$2, $K163/time_cap/(time+1)*AB$2, 0) = 0, $K163/(time_cap),0)),0)</f>
        <v/>
      </c>
      <c r="AC163" s="4395">
        <f>IFERROR(IF((time+time_cap)&lt;AC$2, 0,IF(AND(time+1&gt;=AD$2, $E163&lt;AD$2), IF($I163= "I", $J163/($F163-$E163+1), $J163/(($F163*($F163+1)/2)-(($E163-1)*($E163-1+1)/2))*AC$2), 0)+IF(IF(time+1&gt;=AD$2, $K163/time_cap/(time+1)*AC$2, 0) = 0, $K163/(time_cap),0)),0)</f>
        <v/>
      </c>
      <c r="AD163" s="4395">
        <f>IFERROR(IF((time+time_cap)&lt;AD$2, 0,IF(AND(time+1&gt;=AE$2, $E163&lt;AE$2), IF($I163= "I", $J163/($F163-$E163+1), $J163/(($F163*($F163+1)/2)-(($E163-1)*($E163-1+1)/2))*AD$2), 0)+IF(IF(time+1&gt;=AE$2, $K163/time_cap/(time+1)*AD$2, 0) = 0, $K163/(time_cap),0)),0)</f>
        <v/>
      </c>
      <c r="AE163" s="4395">
        <f>IFERROR(IF((time+time_cap)&lt;AE$2, 0,IF(AND(time+1&gt;=AF$2, $E163&lt;AF$2), IF($I163= "I", $J163/($F163-$E163+1), $J163/(($F163*($F163+1)/2)-(($E163-1)*($E163-1+1)/2))*AE$2), 0)+IF(IF(time+1&gt;=AF$2, $K163/time_cap/(time+1)*AE$2, 0) = 0, $K163/(time_cap),0)),0)</f>
        <v/>
      </c>
      <c r="AF163" s="4395">
        <f>IFERROR(IF((time+time_cap)&lt;AF$2, 0,IF(AND(time+1&gt;=AG$2, $E163&lt;AG$2), IF($I163= "I", $J163/($F163-$E163+1), $J163/(($F163*($F163+1)/2)-(($E163-1)*($E163-1+1)/2))*AF$2), 0)+IF(IF(time+1&gt;=AG$2, $K163/time_cap/(time+1)*AF$2, 0) = 0, $K163/(time_cap),0)),0)</f>
        <v/>
      </c>
      <c r="AG163" s="4395">
        <f>IFERROR(IF((time+time_cap)&lt;AG$2, 0,IF(AND(time+1&gt;=AH$2, $E163&lt;AH$2), IF($I163= "I", $J163/($F163-$E163+1), $J163/(($F163*($F163+1)/2)-(($E163-1)*($E163-1+1)/2))*AG$2), 0)+IF(IF(time+1&gt;=AH$2, $K163/time_cap/(time+1)*AG$2, 0) = 0, $K163/(time_cap),0)),0)</f>
        <v/>
      </c>
      <c r="AH163" s="4395">
        <f>IFERROR(IF((time+time_cap)&lt;AH$2, 0,IF(AND(time+1&gt;=AI$2, $E163&lt;AI$2), IF($I163= "I", $J163/($F163-$E163+1), $J163/(($F163*($F163+1)/2)-(($E163-1)*($E163-1+1)/2))*AH$2), 0)+IF(IF(time+1&gt;=AI$2, $K163/time_cap/(time+1)*AH$2, 0) = 0, $K163/(time_cap),0)),0)</f>
        <v/>
      </c>
      <c r="AI163" s="4395">
        <f>IFERROR(IF((time+time_cap)&lt;AI$2, 0,IF(AND(time+1&gt;=AJ$2, $E163&lt;AJ$2), IF($I163= "I", $J163/($F163-$E163+1), $J163/(($F163*($F163+1)/2)-(($E163-1)*($E163-1+1)/2))*AI$2), 0)+IF(IF(time+1&gt;=AJ$2, $K163/time_cap/(time+1)*AI$2, 0) = 0, $K163/(time_cap),0)),0)</f>
        <v/>
      </c>
      <c r="AJ163" s="4395">
        <f>IFERROR(IF((time+time_cap)&lt;AJ$2, 0,IF(AND(time+1&gt;=AK$2, $E163&lt;AK$2), IF($I163= "I", $J163/($F163-$E163+1), $J163/(($F163*($F163+1)/2)-(($E163-1)*($E163-1+1)/2))*AJ$2), 0)+IF(IF(time+1&gt;=AK$2, $K163/time_cap/(time+1)*AJ$2, 0) = 0, $K163/(time_cap),0)),0)</f>
        <v/>
      </c>
      <c r="AK163" s="4395">
        <f>IFERROR(IF((time+time_cap)&lt;AK$2, 0,IF(AND(time+1&gt;=AL$2, $E163&lt;AL$2), IF($I163= "I", $J163/($F163-$E163+1), $J163/(($F163*($F163+1)/2)-(($E163-1)*($E163-1+1)/2))*AK$2), 0)+IF(IF(time+1&gt;=AL$2, $K163/time_cap/(time+1)*AK$2, 0) = 0, $K163/(time_cap),0)),0)</f>
        <v/>
      </c>
      <c r="AL163" s="4395">
        <f>IFERROR(IF((time+time_cap)&lt;AL$2, 0,IF(AND(time+1&gt;=AM$2, $E163&lt;AM$2), IF($I163= "I", $J163/($F163-$E163+1), $J163/(($F163*($F163+1)/2)-(($E163-1)*($E163-1+1)/2))*AL$2), 0)+IF(IF(time+1&gt;=AM$2, $K163/time_cap/(time+1)*AL$2, 0) = 0, $K163/(time_cap),0)),0)</f>
        <v/>
      </c>
      <c r="AM163" s="4395">
        <f>IFERROR(IF((time+time_cap)&lt;AM$2, 0,IF(AND(time+1&gt;=AN$2, $E163&lt;AN$2), IF($I163= "I", $J163/($F163-$E163+1), $J163/(($F163*($F163+1)/2)-(($E163-1)*($E163-1+1)/2))*AM$2), 0)+IF(IF(time+1&gt;=AN$2, $K163/time_cap/(time+1)*AM$2, 0) = 0, $K163/(time_cap),0)),0)</f>
        <v/>
      </c>
      <c r="AN163" s="4395">
        <f>IFERROR(IF((time+time_cap)&lt;AN$2, 0,IF(AND(time+1&gt;=AO$2, $E163&lt;AO$2), IF($I163= "I", $J163/($F163-$E163+1), $J163/(($F163*($F163+1)/2)-(($E163-1)*($E163-1+1)/2))*AN$2), 0)+IF(IF(time+1&gt;=AO$2, $K163/time_cap/(time+1)*AN$2, 0) = 0, $K163/(time_cap),0)),0)</f>
        <v/>
      </c>
      <c r="AO163" s="4395">
        <f>IFERROR(IF((time+time_cap)&lt;AO$2, 0,IF(AND(time+1&gt;=AP$2, $E163&lt;AP$2), IF($I163= "I", $J163/($F163-$E163+1), $J163/(($F163*($F163+1)/2)-(($E163-1)*($E163-1+1)/2))*AO$2), 0)+IF(IF(time+1&gt;=AP$2, $K163/time_cap/(time+1)*AO$2, 0) = 0, $K163/(time_cap),0)),0)</f>
        <v/>
      </c>
      <c r="AP163" s="4395">
        <f>IFERROR(IF((time+time_cap)&lt;AP$2, 0,IF(AND(time+1&gt;=AQ$2, $E163&lt;AQ$2), IF($I163= "I", $J163/($F163-$E163+1), $J163/(($F163*($F163+1)/2)-(($E163-1)*($E163-1+1)/2))*AP$2), 0)+IF(IF(time+1&gt;=AQ$2, $K163/time_cap/(time+1)*AP$2, 0) = 0, $K163/(time_cap),0)),0)</f>
        <v/>
      </c>
      <c r="AQ163" s="4395">
        <f>IFERROR(IF((time+time_cap)&lt;AQ$2, 0,IF(AND(time+1&gt;=AR$2, $E163&lt;AR$2), IF($I163= "I", $J163/($F163-$E163+1), $J163/(($F163*($F163+1)/2)-(($E163-1)*($E163-1+1)/2))*AQ$2), 0)+IF(IF(time+1&gt;=AR$2, $K163/time_cap/(time+1)*AQ$2, 0) = 0, $K163/(time_cap),0)),0)</f>
        <v/>
      </c>
      <c r="AR163" s="4395">
        <f>IFERROR(IF((time+time_cap)&lt;AR$2, 0,IF(AND(time+1&gt;=AS$2, $E163&lt;AS$2), IF($I163= "I", $J163/($F163-$E163+1), $J163/(($F163*($F163+1)/2)-(($E163-1)*($E163-1+1)/2))*AR$2), 0)+IF(IF(time+1&gt;=AS$2, $K163/time_cap/(time+1)*AR$2, 0) = 0, $K163/(time_cap),0)),0)</f>
        <v/>
      </c>
      <c r="AS163" s="4395">
        <f>IFERROR(IF((time+time_cap)&lt;AS$2, 0,IF(AND(time+1&gt;=AT$2, $E163&lt;AT$2), IF($I163= "I", $J163/($F163-$E163+1), $J163/(($F163*($F163+1)/2)-(($E163-1)*($E163-1+1)/2))*AS$2), 0)+IF(IF(time+1&gt;=AT$2, $K163/time_cap/(time+1)*AS$2, 0) = 0, $K163/(time_cap),0)),0)</f>
        <v/>
      </c>
      <c r="AT163" s="4395">
        <f>IFERROR(IF((time+time_cap)&lt;AT$2, 0,IF(AND(time+1&gt;=AU$2, $E163&lt;AU$2), IF($I163= "I", $J163/($F163-$E163+1), $J163/(($F163*($F163+1)/2)-(($E163-1)*($E163-1+1)/2))*AT$2), 0)+IF(IF(time+1&gt;=AU$2, $K163/time_cap/(time+1)*AT$2, 0) = 0, $K163/(time_cap),0)),0)</f>
        <v/>
      </c>
      <c r="AU163" s="4395">
        <f>IFERROR(IF((time+time_cap)&lt;AU$2, 0,IF(AND(time+1&gt;=AV$2, $E163&lt;AV$2), IF($I163= "I", $J163/($F163-$E163+1), $J163/(($F163*($F163+1)/2)-(($E163-1)*($E163-1+1)/2))*AU$2), 0)+IF(IF(time+1&gt;=AV$2, $K163/time_cap/(time+1)*AU$2, 0) = 0, $K163/(time_cap),0)),0)</f>
        <v/>
      </c>
      <c r="AV163" s="4395">
        <f>IFERROR(IF((time+time_cap)&lt;AV$2, 0,IF(AND(time+1&gt;=AW$2, $E163&lt;AW$2), IF($I163= "I", $J163/($F163-$E163+1), $J163/(($F163*($F163+1)/2)-(($E163-1)*($E163-1+1)/2))*AV$2), 0)+IF(IF(time+1&gt;=AW$2, $K163/time_cap/(time+1)*AV$2, 0) = 0, $K163/(time_cap),0)),0)</f>
        <v/>
      </c>
      <c r="AW163" s="4395">
        <f>IFERROR(IF((time+time_cap)&lt;AW$2, 0,IF(AND(time+1&gt;=AX$2, $E163&lt;AX$2), IF($I163= "I", $J163/($F163-$E163+1), $J163/(($F163*($F163+1)/2)-(($E163-1)*($E163-1+1)/2))*AW$2), 0)+IF(IF(time+1&gt;=AX$2, $K163/time_cap/(time+1)*AW$2, 0) = 0, $K163/(time_cap),0)),0)</f>
        <v/>
      </c>
      <c r="AX163" s="4395">
        <f>IFERROR(IF((time+time_cap)&lt;AX$2, 0,IF(AND(time+1&gt;=AY$2, $E163&lt;AY$2), IF($I163= "I", $J163/($F163-$E163+1), $J163/(($F163*($F163+1)/2)-(($E163-1)*($E163-1+1)/2))*AX$2), 0)+IF(IF(time+1&gt;=AY$2, $K163/time_cap/(time+1)*AX$2, 0) = 0, $K163/(time_cap),0)),0)</f>
        <v/>
      </c>
      <c r="AY163" s="4395">
        <f>IFERROR(IF((time+time_cap)&lt;AY$2, 0,IF(AND(time+1&gt;=AZ$2, $E163&lt;AZ$2), IF($I163= "I", $J163/($F163-$E163+1), $J163/(($F163*($F163+1)/2)-(($E163-1)*($E163-1+1)/2))*AY$2), 0)+IF(IF(time+1&gt;=AZ$2, $K163/time_cap/(time+1)*AY$2, 0) = 0, $K163/(time_cap),0)),0)</f>
        <v/>
      </c>
      <c r="AZ163" s="4395">
        <f>IFERROR(IF((time+time_cap)&lt;AZ$2, 0,IF(AND(time+1&gt;=BA$2, $E163&lt;BA$2), IF($I163= "I", $J163/($F163-$E163+1), $J163/(($F163*($F163+1)/2)-(($E163-1)*($E163-1+1)/2))*AZ$2), 0)+IF(IF(time+1&gt;=BA$2, $K163/time_cap/(time+1)*AZ$2, 0) = 0, $K163/(time_cap),0)),0)</f>
        <v/>
      </c>
      <c r="BA163" s="4395">
        <f>IFERROR(IF((time+time_cap)&lt;BA$2, 0,IF(AND(time+1&gt;=BB$2, $E163&lt;BB$2), IF($I163= "I", $J163/($F163-$E163+1), $J163/(($F163*($F163+1)/2)-(($E163-1)*($E163-1+1)/2))*BA$2), 0)+IF(IF(time+1&gt;=BB$2, $K163/time_cap/(time+1)*BA$2, 0) = 0, $K163/(time_cap),0)),0)</f>
        <v/>
      </c>
      <c r="BB163" s="4395">
        <f>IFERROR(IF((time+time_cap)&lt;BB$2, 0,IF(AND(time+1&gt;=BC$2, $E163&lt;BC$2), IF($I163= "I", $J163/($F163-$E163+1), $J163/(($F163*($F163+1)/2)-(($E163-1)*($E163-1+1)/2))*BB$2), 0)+IF(IF(time+1&gt;=BC$2, $K163/time_cap/(time+1)*BB$2, 0) = 0, $K163/(time_cap),0)),0)</f>
        <v/>
      </c>
      <c r="BC163" s="4395">
        <f>IFERROR(IF((time+time_cap)&lt;BC$2, 0,IF(AND(time+1&gt;=BD$2, $E163&lt;BD$2), IF($I163= "I", $J163/($F163-$E163+1), $J163/(($F163*($F163+1)/2)-(($E163-1)*($E163-1+1)/2))*BC$2), 0)+IF(IF(time+1&gt;=BD$2, $K163/time_cap/(time+1)*BC$2, 0) = 0, $K163/(time_cap),0)),0)</f>
        <v/>
      </c>
      <c r="BD163" s="4395">
        <f>IFERROR(IF((time+time_cap)&lt;BD$2, 0,IF(AND(time+1&gt;=BE$2, $E163&lt;BE$2), IF($I163= "I", $J163/($F163-$E163+1), $J163/(($F163*($F163+1)/2)-(($E163-1)*($E163-1+1)/2))*BD$2), 0)+IF(IF(time+1&gt;=BE$2, $K163/time_cap/(time+1)*BD$2, 0) = 0, $K163/(time_cap),0)),0)</f>
        <v/>
      </c>
      <c r="BE163" s="4395">
        <f>IFERROR(IF((time+time_cap)&lt;BE$2, 0,IF(AND(time+1&gt;=BF$2, $E163&lt;BF$2), IF($I163= "I", $J163/($F163-$E163+1), $J163/(($F163*($F163+1)/2)-(($E163-1)*($E163-1+1)/2))*BE$2), 0)+IF(IF(time+1&gt;=BF$2, $K163/time_cap/(time+1)*BE$2, 0) = 0, $K163/(time_cap),0)),0)</f>
        <v/>
      </c>
      <c r="BF163" s="4395">
        <f>IFERROR(IF((time+time_cap)&lt;BF$2, 0,IF(AND(time+1&gt;=BG$2, $E163&lt;BG$2), IF($I163= "I", $J163/($F163-$E163+1), $J163/(($F163*($F163+1)/2)-(($E163-1)*($E163-1+1)/2))*BF$2), 0)+IF(IF(time+1&gt;=BG$2, $K163/time_cap/(time+1)*BF$2, 0) = 0, $K163/(time_cap),0)),0)</f>
        <v/>
      </c>
      <c r="BG163" s="4395">
        <f>IFERROR(IF((time+time_cap)&lt;BG$2, 0,IF(AND(time+1&gt;=BH$2, $E163&lt;BH$2), IF($I163= "I", $J163/($F163-$E163+1), $J163/(($F163*($F163+1)/2)-(($E163-1)*($E163-1+1)/2))*BG$2), 0)+IF(IF(time+1&gt;=BH$2, $K163/time_cap/(time+1)*BG$2, 0) = 0, $K163/(time_cap),0)),0)</f>
        <v/>
      </c>
      <c r="BH163" s="4395">
        <f>IFERROR(IF((time+time_cap)&lt;BH$2, 0,IF(AND(time+1&gt;=BI$2, $E163&lt;BI$2), IF($I163= "I", $J163/($F163-$E163+1), $J163/(($F163*($F163+1)/2)-(($E163-1)*($E163-1+1)/2))*BH$2), 0)+IF(IF(time+1&gt;=BI$2, $K163/time_cap/(time+1)*BH$2, 0) = 0, $K163/(time_cap),0)),0)</f>
        <v/>
      </c>
      <c r="BI163" s="4395">
        <f>IFERROR(IF((time+time_cap)&lt;BI$2, 0,IF(AND(time+1&gt;=BJ$2, $E163&lt;BJ$2), IF($I163= "I", $J163/($F163-$E163+1), $J163/(($F163*($F163+1)/2)-(($E163-1)*($E163-1+1)/2))*BI$2), 0)+IF(IF(time+1&gt;=BJ$2, $K163/time_cap/(time+1)*BI$2, 0) = 0, $K163/(time_cap),0)),0)</f>
        <v/>
      </c>
      <c r="BJ163" s="4395">
        <f>IFERROR(IF((time+time_cap)&lt;BJ$2, 0,IF(AND(time+1&gt;=BK$2, $E163&lt;BK$2), IF($I163= "I", $J163/($F163-$E163+1), $J163/(($F163*($F163+1)/2)-(($E163-1)*($E163-1+1)/2))*BJ$2), 0)+IF(IF(time+1&gt;=BK$2, $K163/time_cap/(time+1)*BJ$2, 0) = 0, $K163/(time_cap),0)),0)</f>
        <v/>
      </c>
      <c r="BK163" s="4395" t="n"/>
      <c r="BL163" s="4395" t="n"/>
      <c r="BM163" s="4395" t="n"/>
      <c r="BN163" s="4395" t="n"/>
      <c r="BO163" s="4395" t="n"/>
      <c r="BP163" s="4395" t="n"/>
      <c r="BQ163" s="4395" t="n"/>
      <c r="BR163" s="4395" t="n"/>
      <c r="BS163" s="4395" t="n"/>
      <c r="BT163" s="4395" t="n"/>
      <c r="BU163" s="4395" t="n"/>
      <c r="BV163" s="4395" t="n"/>
      <c r="BW163" s="4395" t="n"/>
      <c r="BX163" s="4395" t="n"/>
      <c r="BY163" s="4395" t="n"/>
      <c r="BZ163" s="4395" t="n"/>
      <c r="CA163" s="4395" t="n"/>
      <c r="CB163" s="4395" t="n"/>
      <c r="CC163" s="4395" t="n"/>
      <c r="CD163" s="4395" t="n"/>
      <c r="CE163" s="4395" t="n"/>
      <c r="CF163" s="4395" t="n"/>
      <c r="CG163" s="4395" t="n"/>
      <c r="CH163" s="4395" t="n"/>
      <c r="CI163" s="4395" t="n"/>
      <c r="CJ163" s="4395" t="n"/>
      <c r="CK163" s="4395" t="n"/>
      <c r="CL163" s="4395" t="n"/>
      <c r="CM163" s="4395" t="n"/>
      <c r="CN163" s="4395" t="n"/>
      <c r="CO163" s="4395" t="n"/>
      <c r="CP163" s="4395" t="n"/>
      <c r="CQ163" s="4395" t="n"/>
      <c r="CR163" s="4395" t="n"/>
      <c r="CS163" s="4395" t="n"/>
      <c r="CT163" s="4395" t="n"/>
      <c r="CU163" s="4395" t="n"/>
      <c r="CV163" s="4395" t="n"/>
      <c r="CW163" s="4395" t="n"/>
      <c r="CX163" s="4395" t="n"/>
      <c r="CY163" s="4395" t="n"/>
      <c r="CZ163" s="4395" t="n"/>
      <c r="DA163" s="4395" t="n"/>
      <c r="DB163" s="4395" t="n"/>
      <c r="DC163" s="4395" t="n"/>
      <c r="DD163" s="4395" t="n"/>
      <c r="DE163" s="4395" t="n"/>
      <c r="DF163" s="4395" t="n"/>
      <c r="DG163" s="4395" t="n"/>
      <c r="DH163" s="4395" t="n"/>
    </row>
    <row r="164" ht="16" customHeight="1">
      <c r="A164" t="inlineStr">
        <is>
          <t>Coastal wetland - extraction</t>
        </is>
      </c>
      <c r="C164">
        <f>'7.Coastal wetlands'!C15</f>
        <v/>
      </c>
      <c r="D164">
        <f>'7.Coastal wetlands'!AI15</f>
        <v/>
      </c>
      <c r="E164">
        <f>IF('7.Coastal wetlands'!CN15&lt;&gt;0,'7.Coastal wetlands'!CN15,'7.Coastal wetlands'!CM15)</f>
        <v/>
      </c>
      <c r="F164">
        <f>time</f>
        <v/>
      </c>
      <c r="G164" s="4395" t="inlineStr">
        <is>
          <t>D</t>
        </is>
      </c>
      <c r="H164" s="4395" t="inlineStr">
        <is>
          <t>D</t>
        </is>
      </c>
      <c r="I164" s="4395">
        <f>IF(OR(H164="I", G164="I"), "I", IF(OR(H164="E", G164="E"), "E", "D"))</f>
        <v/>
      </c>
      <c r="J164" s="4395">
        <f>((D164/(time_cap+((F164-E164+1)*VLOOKUP(I164,list!$I$48:$K$50,3, FALSE))))*(F164-E164+1)*VLOOKUP(I164,list!$I$48:$K$50,3, FALSE))</f>
        <v/>
      </c>
      <c r="K164" s="4395">
        <f>((D164/(time_cap+((F164-E164+1)*VLOOKUP(I164,list!$I$48:$K$50,3, FALSE))))*time_cap)</f>
        <v/>
      </c>
      <c r="M164" s="4395">
        <f>IFERROR(IF((time+time_cap)&lt;M$2, 0,IF(AND(time+1&gt;=N$2, $E164&lt;N$2), IF($I164= "I", $J164/($F164-$E164+1), $J164/(($F164*($F164+1)/2)-(($E164-1)*($E164-1+1)/2))*M$2), 0)+IF(IF(time+1&gt;=N$2, $K164/time_cap/(time+1)*M$2, 0) = 0, $K164/(time_cap),0)),0)</f>
        <v/>
      </c>
      <c r="N164" s="4395">
        <f>IFERROR(IF((time+time_cap)&lt;N$2, 0,IF(AND(time+1&gt;=O$2, $E164&lt;O$2), IF($I164= "I", $J164/($F164-$E164+1), $J164/(($F164*($F164+1)/2)-(($E164-1)*($E164-1+1)/2))*N$2), 0)+IF(IF(time+1&gt;=O$2, $K164/time_cap/(time+1)*N$2, 0) = 0, $K164/(time_cap),0)),0)</f>
        <v/>
      </c>
      <c r="O164" s="4395">
        <f>IFERROR(IF((time+time_cap)&lt;O$2, 0,IF(AND(time+1&gt;=P$2, $E164&lt;P$2), IF($I164= "I", $J164/($F164-$E164+1), $J164/(($F164*($F164+1)/2)-(($E164-1)*($E164-1+1)/2))*O$2), 0)+IF(IF(time+1&gt;=P$2, $K164/time_cap/(time+1)*O$2, 0) = 0, $K164/(time_cap),0)),0)</f>
        <v/>
      </c>
      <c r="P164" s="4395">
        <f>IFERROR(IF((time+time_cap)&lt;P$2, 0,IF(AND(time+1&gt;=Q$2, $E164&lt;Q$2), IF($I164= "I", $J164/($F164-$E164+1), $J164/(($F164*($F164+1)/2)-(($E164-1)*($E164-1+1)/2))*P$2), 0)+IF(IF(time+1&gt;=Q$2, $K164/time_cap/(time+1)*P$2, 0) = 0, $K164/(time_cap),0)),0)</f>
        <v/>
      </c>
      <c r="Q164" s="4395">
        <f>IFERROR(IF((time+time_cap)&lt;Q$2, 0,IF(AND(time+1&gt;=R$2, $E164&lt;R$2), IF($I164= "I", $J164/($F164-$E164+1), $J164/(($F164*($F164+1)/2)-(($E164-1)*($E164-1+1)/2))*Q$2), 0)+IF(IF(time+1&gt;=R$2, $K164/time_cap/(time+1)*Q$2, 0) = 0, $K164/(time_cap),0)),0)</f>
        <v/>
      </c>
      <c r="R164" s="4395">
        <f>IFERROR(IF((time+time_cap)&lt;R$2, 0,IF(AND(time+1&gt;=S$2, $E164&lt;S$2), IF($I164= "I", $J164/($F164-$E164+1), $J164/(($F164*($F164+1)/2)-(($E164-1)*($E164-1+1)/2))*R$2), 0)+IF(IF(time+1&gt;=S$2, $K164/time_cap/(time+1)*R$2, 0) = 0, $K164/(time_cap),0)),0)</f>
        <v/>
      </c>
      <c r="S164" s="4395">
        <f>IFERROR(IF((time+time_cap)&lt;S$2, 0,IF(AND(time+1&gt;=T$2, $E164&lt;T$2), IF($I164= "I", $J164/($F164-$E164+1), $J164/(($F164*($F164+1)/2)-(($E164-1)*($E164-1+1)/2))*S$2), 0)+IF(IF(time+1&gt;=T$2, $K164/time_cap/(time+1)*S$2, 0) = 0, $K164/(time_cap),0)),0)</f>
        <v/>
      </c>
      <c r="T164" s="4395">
        <f>IFERROR(IF((time+time_cap)&lt;T$2, 0,IF(AND(time+1&gt;=U$2, $E164&lt;U$2), IF($I164= "I", $J164/($F164-$E164+1), $J164/(($F164*($F164+1)/2)-(($E164-1)*($E164-1+1)/2))*T$2), 0)+IF(IF(time+1&gt;=U$2, $K164/time_cap/(time+1)*T$2, 0) = 0, $K164/(time_cap),0)),0)</f>
        <v/>
      </c>
      <c r="U164" s="4395">
        <f>IFERROR(IF((time+time_cap)&lt;U$2, 0,IF(AND(time+1&gt;=V$2, $E164&lt;V$2), IF($I164= "I", $J164/($F164-$E164+1), $J164/(($F164*($F164+1)/2)-(($E164-1)*($E164-1+1)/2))*U$2), 0)+IF(IF(time+1&gt;=V$2, $K164/time_cap/(time+1)*U$2, 0) = 0, $K164/(time_cap),0)),0)</f>
        <v/>
      </c>
      <c r="V164" s="4395">
        <f>IFERROR(IF((time+time_cap)&lt;V$2, 0,IF(AND(time+1&gt;=W$2, $E164&lt;W$2), IF($I164= "I", $J164/($F164-$E164+1), $J164/(($F164*($F164+1)/2)-(($E164-1)*($E164-1+1)/2))*V$2), 0)+IF(IF(time+1&gt;=W$2, $K164/time_cap/(time+1)*V$2, 0) = 0, $K164/(time_cap),0)),0)</f>
        <v/>
      </c>
      <c r="W164" s="4395">
        <f>IFERROR(IF((time+time_cap)&lt;W$2, 0,IF(AND(time+1&gt;=X$2, $E164&lt;X$2), IF($I164= "I", $J164/($F164-$E164+1), $J164/(($F164*($F164+1)/2)-(($E164-1)*($E164-1+1)/2))*W$2), 0)+IF(IF(time+1&gt;=X$2, $K164/time_cap/(time+1)*W$2, 0) = 0, $K164/(time_cap),0)),0)</f>
        <v/>
      </c>
      <c r="X164" s="4395">
        <f>IFERROR(IF((time+time_cap)&lt;X$2, 0,IF(AND(time+1&gt;=Y$2, $E164&lt;Y$2), IF($I164= "I", $J164/($F164-$E164+1), $J164/(($F164*($F164+1)/2)-(($E164-1)*($E164-1+1)/2))*X$2), 0)+IF(IF(time+1&gt;=Y$2, $K164/time_cap/(time+1)*X$2, 0) = 0, $K164/(time_cap),0)),0)</f>
        <v/>
      </c>
      <c r="Y164" s="4395">
        <f>IFERROR(IF((time+time_cap)&lt;Y$2, 0,IF(AND(time+1&gt;=Z$2, $E164&lt;Z$2), IF($I164= "I", $J164/($F164-$E164+1), $J164/(($F164*($F164+1)/2)-(($E164-1)*($E164-1+1)/2))*Y$2), 0)+IF(IF(time+1&gt;=Z$2, $K164/time_cap/(time+1)*Y$2, 0) = 0, $K164/(time_cap),0)),0)</f>
        <v/>
      </c>
      <c r="Z164" s="4395">
        <f>IFERROR(IF((time+time_cap)&lt;Z$2, 0,IF(AND(time+1&gt;=AA$2, $E164&lt;AA$2), IF($I164= "I", $J164/($F164-$E164+1), $J164/(($F164*($F164+1)/2)-(($E164-1)*($E164-1+1)/2))*Z$2), 0)+IF(IF(time+1&gt;=AA$2, $K164/time_cap/(time+1)*Z$2, 0) = 0, $K164/(time_cap),0)),0)</f>
        <v/>
      </c>
      <c r="AA164" s="4395">
        <f>IFERROR(IF((time+time_cap)&lt;AA$2, 0,IF(AND(time+1&gt;=AB$2, $E164&lt;AB$2), IF($I164= "I", $J164/($F164-$E164+1), $J164/(($F164*($F164+1)/2)-(($E164-1)*($E164-1+1)/2))*AA$2), 0)+IF(IF(time+1&gt;=AB$2, $K164/time_cap/(time+1)*AA$2, 0) = 0, $K164/(time_cap),0)),0)</f>
        <v/>
      </c>
      <c r="AB164" s="4395">
        <f>IFERROR(IF((time+time_cap)&lt;AB$2, 0,IF(AND(time+1&gt;=AC$2, $E164&lt;AC$2), IF($I164= "I", $J164/($F164-$E164+1), $J164/(($F164*($F164+1)/2)-(($E164-1)*($E164-1+1)/2))*AB$2), 0)+IF(IF(time+1&gt;=AC$2, $K164/time_cap/(time+1)*AB$2, 0) = 0, $K164/(time_cap),0)),0)</f>
        <v/>
      </c>
      <c r="AC164" s="4395">
        <f>IFERROR(IF((time+time_cap)&lt;AC$2, 0,IF(AND(time+1&gt;=AD$2, $E164&lt;AD$2), IF($I164= "I", $J164/($F164-$E164+1), $J164/(($F164*($F164+1)/2)-(($E164-1)*($E164-1+1)/2))*AC$2), 0)+IF(IF(time+1&gt;=AD$2, $K164/time_cap/(time+1)*AC$2, 0) = 0, $K164/(time_cap),0)),0)</f>
        <v/>
      </c>
      <c r="AD164" s="4395">
        <f>IFERROR(IF((time+time_cap)&lt;AD$2, 0,IF(AND(time+1&gt;=AE$2, $E164&lt;AE$2), IF($I164= "I", $J164/($F164-$E164+1), $J164/(($F164*($F164+1)/2)-(($E164-1)*($E164-1+1)/2))*AD$2), 0)+IF(IF(time+1&gt;=AE$2, $K164/time_cap/(time+1)*AD$2, 0) = 0, $K164/(time_cap),0)),0)</f>
        <v/>
      </c>
      <c r="AE164" s="4395">
        <f>IFERROR(IF((time+time_cap)&lt;AE$2, 0,IF(AND(time+1&gt;=AF$2, $E164&lt;AF$2), IF($I164= "I", $J164/($F164-$E164+1), $J164/(($F164*($F164+1)/2)-(($E164-1)*($E164-1+1)/2))*AE$2), 0)+IF(IF(time+1&gt;=AF$2, $K164/time_cap/(time+1)*AE$2, 0) = 0, $K164/(time_cap),0)),0)</f>
        <v/>
      </c>
      <c r="AF164" s="4395">
        <f>IFERROR(IF((time+time_cap)&lt;AF$2, 0,IF(AND(time+1&gt;=AG$2, $E164&lt;AG$2), IF($I164= "I", $J164/($F164-$E164+1), $J164/(($F164*($F164+1)/2)-(($E164-1)*($E164-1+1)/2))*AF$2), 0)+IF(IF(time+1&gt;=AG$2, $K164/time_cap/(time+1)*AF$2, 0) = 0, $K164/(time_cap),0)),0)</f>
        <v/>
      </c>
      <c r="AG164" s="4395">
        <f>IFERROR(IF((time+time_cap)&lt;AG$2, 0,IF(AND(time+1&gt;=AH$2, $E164&lt;AH$2), IF($I164= "I", $J164/($F164-$E164+1), $J164/(($F164*($F164+1)/2)-(($E164-1)*($E164-1+1)/2))*AG$2), 0)+IF(IF(time+1&gt;=AH$2, $K164/time_cap/(time+1)*AG$2, 0) = 0, $K164/(time_cap),0)),0)</f>
        <v/>
      </c>
      <c r="AH164" s="4395">
        <f>IFERROR(IF((time+time_cap)&lt;AH$2, 0,IF(AND(time+1&gt;=AI$2, $E164&lt;AI$2), IF($I164= "I", $J164/($F164-$E164+1), $J164/(($F164*($F164+1)/2)-(($E164-1)*($E164-1+1)/2))*AH$2), 0)+IF(IF(time+1&gt;=AI$2, $K164/time_cap/(time+1)*AH$2, 0) = 0, $K164/(time_cap),0)),0)</f>
        <v/>
      </c>
      <c r="AI164" s="4395">
        <f>IFERROR(IF((time+time_cap)&lt;AI$2, 0,IF(AND(time+1&gt;=AJ$2, $E164&lt;AJ$2), IF($I164= "I", $J164/($F164-$E164+1), $J164/(($F164*($F164+1)/2)-(($E164-1)*($E164-1+1)/2))*AI$2), 0)+IF(IF(time+1&gt;=AJ$2, $K164/time_cap/(time+1)*AI$2, 0) = 0, $K164/(time_cap),0)),0)</f>
        <v/>
      </c>
      <c r="AJ164" s="4395">
        <f>IFERROR(IF((time+time_cap)&lt;AJ$2, 0,IF(AND(time+1&gt;=AK$2, $E164&lt;AK$2), IF($I164= "I", $J164/($F164-$E164+1), $J164/(($F164*($F164+1)/2)-(($E164-1)*($E164-1+1)/2))*AJ$2), 0)+IF(IF(time+1&gt;=AK$2, $K164/time_cap/(time+1)*AJ$2, 0) = 0, $K164/(time_cap),0)),0)</f>
        <v/>
      </c>
      <c r="AK164" s="4395">
        <f>IFERROR(IF((time+time_cap)&lt;AK$2, 0,IF(AND(time+1&gt;=AL$2, $E164&lt;AL$2), IF($I164= "I", $J164/($F164-$E164+1), $J164/(($F164*($F164+1)/2)-(($E164-1)*($E164-1+1)/2))*AK$2), 0)+IF(IF(time+1&gt;=AL$2, $K164/time_cap/(time+1)*AK$2, 0) = 0, $K164/(time_cap),0)),0)</f>
        <v/>
      </c>
      <c r="AL164" s="4395">
        <f>IFERROR(IF((time+time_cap)&lt;AL$2, 0,IF(AND(time+1&gt;=AM$2, $E164&lt;AM$2), IF($I164= "I", $J164/($F164-$E164+1), $J164/(($F164*($F164+1)/2)-(($E164-1)*($E164-1+1)/2))*AL$2), 0)+IF(IF(time+1&gt;=AM$2, $K164/time_cap/(time+1)*AL$2, 0) = 0, $K164/(time_cap),0)),0)</f>
        <v/>
      </c>
      <c r="AM164" s="4395">
        <f>IFERROR(IF((time+time_cap)&lt;AM$2, 0,IF(AND(time+1&gt;=AN$2, $E164&lt;AN$2), IF($I164= "I", $J164/($F164-$E164+1), $J164/(($F164*($F164+1)/2)-(($E164-1)*($E164-1+1)/2))*AM$2), 0)+IF(IF(time+1&gt;=AN$2, $K164/time_cap/(time+1)*AM$2, 0) = 0, $K164/(time_cap),0)),0)</f>
        <v/>
      </c>
      <c r="AN164" s="4395">
        <f>IFERROR(IF((time+time_cap)&lt;AN$2, 0,IF(AND(time+1&gt;=AO$2, $E164&lt;AO$2), IF($I164= "I", $J164/($F164-$E164+1), $J164/(($F164*($F164+1)/2)-(($E164-1)*($E164-1+1)/2))*AN$2), 0)+IF(IF(time+1&gt;=AO$2, $K164/time_cap/(time+1)*AN$2, 0) = 0, $K164/(time_cap),0)),0)</f>
        <v/>
      </c>
      <c r="AO164" s="4395">
        <f>IFERROR(IF((time+time_cap)&lt;AO$2, 0,IF(AND(time+1&gt;=AP$2, $E164&lt;AP$2), IF($I164= "I", $J164/($F164-$E164+1), $J164/(($F164*($F164+1)/2)-(($E164-1)*($E164-1+1)/2))*AO$2), 0)+IF(IF(time+1&gt;=AP$2, $K164/time_cap/(time+1)*AO$2, 0) = 0, $K164/(time_cap),0)),0)</f>
        <v/>
      </c>
      <c r="AP164" s="4395">
        <f>IFERROR(IF((time+time_cap)&lt;AP$2, 0,IF(AND(time+1&gt;=AQ$2, $E164&lt;AQ$2), IF($I164= "I", $J164/($F164-$E164+1), $J164/(($F164*($F164+1)/2)-(($E164-1)*($E164-1+1)/2))*AP$2), 0)+IF(IF(time+1&gt;=AQ$2, $K164/time_cap/(time+1)*AP$2, 0) = 0, $K164/(time_cap),0)),0)</f>
        <v/>
      </c>
      <c r="AQ164" s="4395">
        <f>IFERROR(IF((time+time_cap)&lt;AQ$2, 0,IF(AND(time+1&gt;=AR$2, $E164&lt;AR$2), IF($I164= "I", $J164/($F164-$E164+1), $J164/(($F164*($F164+1)/2)-(($E164-1)*($E164-1+1)/2))*AQ$2), 0)+IF(IF(time+1&gt;=AR$2, $K164/time_cap/(time+1)*AQ$2, 0) = 0, $K164/(time_cap),0)),0)</f>
        <v/>
      </c>
      <c r="AR164" s="4395">
        <f>IFERROR(IF((time+time_cap)&lt;AR$2, 0,IF(AND(time+1&gt;=AS$2, $E164&lt;AS$2), IF($I164= "I", $J164/($F164-$E164+1), $J164/(($F164*($F164+1)/2)-(($E164-1)*($E164-1+1)/2))*AR$2), 0)+IF(IF(time+1&gt;=AS$2, $K164/time_cap/(time+1)*AR$2, 0) = 0, $K164/(time_cap),0)),0)</f>
        <v/>
      </c>
      <c r="AS164" s="4395">
        <f>IFERROR(IF((time+time_cap)&lt;AS$2, 0,IF(AND(time+1&gt;=AT$2, $E164&lt;AT$2), IF($I164= "I", $J164/($F164-$E164+1), $J164/(($F164*($F164+1)/2)-(($E164-1)*($E164-1+1)/2))*AS$2), 0)+IF(IF(time+1&gt;=AT$2, $K164/time_cap/(time+1)*AS$2, 0) = 0, $K164/(time_cap),0)),0)</f>
        <v/>
      </c>
      <c r="AT164" s="4395">
        <f>IFERROR(IF((time+time_cap)&lt;AT$2, 0,IF(AND(time+1&gt;=AU$2, $E164&lt;AU$2), IF($I164= "I", $J164/($F164-$E164+1), $J164/(($F164*($F164+1)/2)-(($E164-1)*($E164-1+1)/2))*AT$2), 0)+IF(IF(time+1&gt;=AU$2, $K164/time_cap/(time+1)*AT$2, 0) = 0, $K164/(time_cap),0)),0)</f>
        <v/>
      </c>
      <c r="AU164" s="4395">
        <f>IFERROR(IF((time+time_cap)&lt;AU$2, 0,IF(AND(time+1&gt;=AV$2, $E164&lt;AV$2), IF($I164= "I", $J164/($F164-$E164+1), $J164/(($F164*($F164+1)/2)-(($E164-1)*($E164-1+1)/2))*AU$2), 0)+IF(IF(time+1&gt;=AV$2, $K164/time_cap/(time+1)*AU$2, 0) = 0, $K164/(time_cap),0)),0)</f>
        <v/>
      </c>
      <c r="AV164" s="4395">
        <f>IFERROR(IF((time+time_cap)&lt;AV$2, 0,IF(AND(time+1&gt;=AW$2, $E164&lt;AW$2), IF($I164= "I", $J164/($F164-$E164+1), $J164/(($F164*($F164+1)/2)-(($E164-1)*($E164-1+1)/2))*AV$2), 0)+IF(IF(time+1&gt;=AW$2, $K164/time_cap/(time+1)*AV$2, 0) = 0, $K164/(time_cap),0)),0)</f>
        <v/>
      </c>
      <c r="AW164" s="4395">
        <f>IFERROR(IF((time+time_cap)&lt;AW$2, 0,IF(AND(time+1&gt;=AX$2, $E164&lt;AX$2), IF($I164= "I", $J164/($F164-$E164+1), $J164/(($F164*($F164+1)/2)-(($E164-1)*($E164-1+1)/2))*AW$2), 0)+IF(IF(time+1&gt;=AX$2, $K164/time_cap/(time+1)*AW$2, 0) = 0, $K164/(time_cap),0)),0)</f>
        <v/>
      </c>
      <c r="AX164" s="4395">
        <f>IFERROR(IF((time+time_cap)&lt;AX$2, 0,IF(AND(time+1&gt;=AY$2, $E164&lt;AY$2), IF($I164= "I", $J164/($F164-$E164+1), $J164/(($F164*($F164+1)/2)-(($E164-1)*($E164-1+1)/2))*AX$2), 0)+IF(IF(time+1&gt;=AY$2, $K164/time_cap/(time+1)*AX$2, 0) = 0, $K164/(time_cap),0)),0)</f>
        <v/>
      </c>
      <c r="AY164" s="4395">
        <f>IFERROR(IF((time+time_cap)&lt;AY$2, 0,IF(AND(time+1&gt;=AZ$2, $E164&lt;AZ$2), IF($I164= "I", $J164/($F164-$E164+1), $J164/(($F164*($F164+1)/2)-(($E164-1)*($E164-1+1)/2))*AY$2), 0)+IF(IF(time+1&gt;=AZ$2, $K164/time_cap/(time+1)*AY$2, 0) = 0, $K164/(time_cap),0)),0)</f>
        <v/>
      </c>
      <c r="AZ164" s="4395">
        <f>IFERROR(IF((time+time_cap)&lt;AZ$2, 0,IF(AND(time+1&gt;=BA$2, $E164&lt;BA$2), IF($I164= "I", $J164/($F164-$E164+1), $J164/(($F164*($F164+1)/2)-(($E164-1)*($E164-1+1)/2))*AZ$2), 0)+IF(IF(time+1&gt;=BA$2, $K164/time_cap/(time+1)*AZ$2, 0) = 0, $K164/(time_cap),0)),0)</f>
        <v/>
      </c>
      <c r="BA164" s="4395">
        <f>IFERROR(IF((time+time_cap)&lt;BA$2, 0,IF(AND(time+1&gt;=BB$2, $E164&lt;BB$2), IF($I164= "I", $J164/($F164-$E164+1), $J164/(($F164*($F164+1)/2)-(($E164-1)*($E164-1+1)/2))*BA$2), 0)+IF(IF(time+1&gt;=BB$2, $K164/time_cap/(time+1)*BA$2, 0) = 0, $K164/(time_cap),0)),0)</f>
        <v/>
      </c>
      <c r="BB164" s="4395">
        <f>IFERROR(IF((time+time_cap)&lt;BB$2, 0,IF(AND(time+1&gt;=BC$2, $E164&lt;BC$2), IF($I164= "I", $J164/($F164-$E164+1), $J164/(($F164*($F164+1)/2)-(($E164-1)*($E164-1+1)/2))*BB$2), 0)+IF(IF(time+1&gt;=BC$2, $K164/time_cap/(time+1)*BB$2, 0) = 0, $K164/(time_cap),0)),0)</f>
        <v/>
      </c>
      <c r="BC164" s="4395">
        <f>IFERROR(IF((time+time_cap)&lt;BC$2, 0,IF(AND(time+1&gt;=BD$2, $E164&lt;BD$2), IF($I164= "I", $J164/($F164-$E164+1), $J164/(($F164*($F164+1)/2)-(($E164-1)*($E164-1+1)/2))*BC$2), 0)+IF(IF(time+1&gt;=BD$2, $K164/time_cap/(time+1)*BC$2, 0) = 0, $K164/(time_cap),0)),0)</f>
        <v/>
      </c>
      <c r="BD164" s="4395">
        <f>IFERROR(IF((time+time_cap)&lt;BD$2, 0,IF(AND(time+1&gt;=BE$2, $E164&lt;BE$2), IF($I164= "I", $J164/($F164-$E164+1), $J164/(($F164*($F164+1)/2)-(($E164-1)*($E164-1+1)/2))*BD$2), 0)+IF(IF(time+1&gt;=BE$2, $K164/time_cap/(time+1)*BD$2, 0) = 0, $K164/(time_cap),0)),0)</f>
        <v/>
      </c>
      <c r="BE164" s="4395">
        <f>IFERROR(IF((time+time_cap)&lt;BE$2, 0,IF(AND(time+1&gt;=BF$2, $E164&lt;BF$2), IF($I164= "I", $J164/($F164-$E164+1), $J164/(($F164*($F164+1)/2)-(($E164-1)*($E164-1+1)/2))*BE$2), 0)+IF(IF(time+1&gt;=BF$2, $K164/time_cap/(time+1)*BE$2, 0) = 0, $K164/(time_cap),0)),0)</f>
        <v/>
      </c>
      <c r="BF164" s="4395">
        <f>IFERROR(IF((time+time_cap)&lt;BF$2, 0,IF(AND(time+1&gt;=BG$2, $E164&lt;BG$2), IF($I164= "I", $J164/($F164-$E164+1), $J164/(($F164*($F164+1)/2)-(($E164-1)*($E164-1+1)/2))*BF$2), 0)+IF(IF(time+1&gt;=BG$2, $K164/time_cap/(time+1)*BF$2, 0) = 0, $K164/(time_cap),0)),0)</f>
        <v/>
      </c>
      <c r="BG164" s="4395">
        <f>IFERROR(IF((time+time_cap)&lt;BG$2, 0,IF(AND(time+1&gt;=BH$2, $E164&lt;BH$2), IF($I164= "I", $J164/($F164-$E164+1), $J164/(($F164*($F164+1)/2)-(($E164-1)*($E164-1+1)/2))*BG$2), 0)+IF(IF(time+1&gt;=BH$2, $K164/time_cap/(time+1)*BG$2, 0) = 0, $K164/(time_cap),0)),0)</f>
        <v/>
      </c>
      <c r="BH164" s="4395">
        <f>IFERROR(IF((time+time_cap)&lt;BH$2, 0,IF(AND(time+1&gt;=BI$2, $E164&lt;BI$2), IF($I164= "I", $J164/($F164-$E164+1), $J164/(($F164*($F164+1)/2)-(($E164-1)*($E164-1+1)/2))*BH$2), 0)+IF(IF(time+1&gt;=BI$2, $K164/time_cap/(time+1)*BH$2, 0) = 0, $K164/(time_cap),0)),0)</f>
        <v/>
      </c>
      <c r="BI164" s="4395">
        <f>IFERROR(IF((time+time_cap)&lt;BI$2, 0,IF(AND(time+1&gt;=BJ$2, $E164&lt;BJ$2), IF($I164= "I", $J164/($F164-$E164+1), $J164/(($F164*($F164+1)/2)-(($E164-1)*($E164-1+1)/2))*BI$2), 0)+IF(IF(time+1&gt;=BJ$2, $K164/time_cap/(time+1)*BI$2, 0) = 0, $K164/(time_cap),0)),0)</f>
        <v/>
      </c>
      <c r="BJ164" s="4395">
        <f>IFERROR(IF((time+time_cap)&lt;BJ$2, 0,IF(AND(time+1&gt;=BK$2, $E164&lt;BK$2), IF($I164= "I", $J164/($F164-$E164+1), $J164/(($F164*($F164+1)/2)-(($E164-1)*($E164-1+1)/2))*BJ$2), 0)+IF(IF(time+1&gt;=BK$2, $K164/time_cap/(time+1)*BJ$2, 0) = 0, $K164/(time_cap),0)),0)</f>
        <v/>
      </c>
      <c r="BK164" s="4395" t="n"/>
      <c r="BL164" s="4395" t="n"/>
      <c r="BM164" s="4395" t="n"/>
      <c r="BN164" s="4395" t="n"/>
      <c r="BO164" s="4395" t="n"/>
      <c r="BP164" s="4395" t="n"/>
      <c r="BQ164" s="4395" t="n"/>
      <c r="BR164" s="4395" t="n"/>
      <c r="BS164" s="4395" t="n"/>
      <c r="BT164" s="4395" t="n"/>
      <c r="BU164" s="4395" t="n"/>
      <c r="BV164" s="4395" t="n"/>
      <c r="BW164" s="4395" t="n"/>
      <c r="BX164" s="4395" t="n"/>
      <c r="BY164" s="4395" t="n"/>
      <c r="BZ164" s="4395" t="n"/>
      <c r="CA164" s="4395" t="n"/>
      <c r="CB164" s="4395" t="n"/>
      <c r="CC164" s="4395" t="n"/>
      <c r="CD164" s="4395" t="n"/>
      <c r="CE164" s="4395" t="n"/>
      <c r="CF164" s="4395" t="n"/>
      <c r="CG164" s="4395" t="n"/>
      <c r="CH164" s="4395" t="n"/>
      <c r="CI164" s="4395" t="n"/>
      <c r="CJ164" s="4395" t="n"/>
      <c r="CK164" s="4395" t="n"/>
      <c r="CL164" s="4395" t="n"/>
      <c r="CM164" s="4395" t="n"/>
      <c r="CN164" s="4395" t="n"/>
      <c r="CO164" s="4395" t="n"/>
      <c r="CP164" s="4395" t="n"/>
      <c r="CQ164" s="4395" t="n"/>
      <c r="CR164" s="4395" t="n"/>
      <c r="CS164" s="4395" t="n"/>
      <c r="CT164" s="4395" t="n"/>
      <c r="CU164" s="4395" t="n"/>
      <c r="CV164" s="4395" t="n"/>
      <c r="CW164" s="4395" t="n"/>
      <c r="CX164" s="4395" t="n"/>
      <c r="CY164" s="4395" t="n"/>
      <c r="CZ164" s="4395" t="n"/>
      <c r="DA164" s="4395" t="n"/>
      <c r="DB164" s="4395" t="n"/>
      <c r="DC164" s="4395" t="n"/>
      <c r="DD164" s="4395" t="n"/>
      <c r="DE164" s="4395" t="n"/>
      <c r="DF164" s="4395" t="n"/>
      <c r="DG164" s="4395" t="n"/>
      <c r="DH164" s="4395" t="n"/>
    </row>
    <row r="165" ht="16" customHeight="1">
      <c r="A165" t="inlineStr">
        <is>
          <t>Coastal wetland - extraction</t>
        </is>
      </c>
      <c r="C165">
        <f>'7.Coastal wetlands'!C16</f>
        <v/>
      </c>
      <c r="D165">
        <f>'7.Coastal wetlands'!AI16</f>
        <v/>
      </c>
      <c r="E165">
        <f>IF('7.Coastal wetlands'!CN16&lt;&gt;0,'7.Coastal wetlands'!CN16,'7.Coastal wetlands'!CM16)</f>
        <v/>
      </c>
      <c r="F165">
        <f>time</f>
        <v/>
      </c>
      <c r="G165" s="4395" t="inlineStr">
        <is>
          <t>D</t>
        </is>
      </c>
      <c r="H165" s="4395" t="inlineStr">
        <is>
          <t>D</t>
        </is>
      </c>
      <c r="I165" s="4395">
        <f>IF(OR(H165="I", G165="I"), "I", IF(OR(H165="E", G165="E"), "E", "D"))</f>
        <v/>
      </c>
      <c r="J165" s="4395">
        <f>((D165/(time_cap+((F165-E165+1)*VLOOKUP(I165,list!$I$48:$K$50,3, FALSE))))*(F165-E165+1)*VLOOKUP(I165,list!$I$48:$K$50,3, FALSE))</f>
        <v/>
      </c>
      <c r="K165" s="4395">
        <f>((D165/(time_cap+((F165-E165+1)*VLOOKUP(I165,list!$I$48:$K$50,3, FALSE))))*time_cap)</f>
        <v/>
      </c>
      <c r="M165" s="4395">
        <f>IFERROR(IF((time+time_cap)&lt;M$2, 0,IF(AND(time+1&gt;=N$2, $E165&lt;N$2), IF($I165= "I", $J165/($F165-$E165+1), $J165/(($F165*($F165+1)/2)-(($E165-1)*($E165-1+1)/2))*M$2), 0)+IF(IF(time+1&gt;=N$2, $K165/time_cap/(time+1)*M$2, 0) = 0, $K165/(time_cap),0)),0)</f>
        <v/>
      </c>
      <c r="N165" s="4395">
        <f>IFERROR(IF((time+time_cap)&lt;N$2, 0,IF(AND(time+1&gt;=O$2, $E165&lt;O$2), IF($I165= "I", $J165/($F165-$E165+1), $J165/(($F165*($F165+1)/2)-(($E165-1)*($E165-1+1)/2))*N$2), 0)+IF(IF(time+1&gt;=O$2, $K165/time_cap/(time+1)*N$2, 0) = 0, $K165/(time_cap),0)),0)</f>
        <v/>
      </c>
      <c r="O165" s="4395">
        <f>IFERROR(IF((time+time_cap)&lt;O$2, 0,IF(AND(time+1&gt;=P$2, $E165&lt;P$2), IF($I165= "I", $J165/($F165-$E165+1), $J165/(($F165*($F165+1)/2)-(($E165-1)*($E165-1+1)/2))*O$2), 0)+IF(IF(time+1&gt;=P$2, $K165/time_cap/(time+1)*O$2, 0) = 0, $K165/(time_cap),0)),0)</f>
        <v/>
      </c>
      <c r="P165" s="4395">
        <f>IFERROR(IF((time+time_cap)&lt;P$2, 0,IF(AND(time+1&gt;=Q$2, $E165&lt;Q$2), IF($I165= "I", $J165/($F165-$E165+1), $J165/(($F165*($F165+1)/2)-(($E165-1)*($E165-1+1)/2))*P$2), 0)+IF(IF(time+1&gt;=Q$2, $K165/time_cap/(time+1)*P$2, 0) = 0, $K165/(time_cap),0)),0)</f>
        <v/>
      </c>
      <c r="Q165" s="4395">
        <f>IFERROR(IF((time+time_cap)&lt;Q$2, 0,IF(AND(time+1&gt;=R$2, $E165&lt;R$2), IF($I165= "I", $J165/($F165-$E165+1), $J165/(($F165*($F165+1)/2)-(($E165-1)*($E165-1+1)/2))*Q$2), 0)+IF(IF(time+1&gt;=R$2, $K165/time_cap/(time+1)*Q$2, 0) = 0, $K165/(time_cap),0)),0)</f>
        <v/>
      </c>
      <c r="R165" s="4395">
        <f>IFERROR(IF((time+time_cap)&lt;R$2, 0,IF(AND(time+1&gt;=S$2, $E165&lt;S$2), IF($I165= "I", $J165/($F165-$E165+1), $J165/(($F165*($F165+1)/2)-(($E165-1)*($E165-1+1)/2))*R$2), 0)+IF(IF(time+1&gt;=S$2, $K165/time_cap/(time+1)*R$2, 0) = 0, $K165/(time_cap),0)),0)</f>
        <v/>
      </c>
      <c r="S165" s="4395">
        <f>IFERROR(IF((time+time_cap)&lt;S$2, 0,IF(AND(time+1&gt;=T$2, $E165&lt;T$2), IF($I165= "I", $J165/($F165-$E165+1), $J165/(($F165*($F165+1)/2)-(($E165-1)*($E165-1+1)/2))*S$2), 0)+IF(IF(time+1&gt;=T$2, $K165/time_cap/(time+1)*S$2, 0) = 0, $K165/(time_cap),0)),0)</f>
        <v/>
      </c>
      <c r="T165" s="4395">
        <f>IFERROR(IF((time+time_cap)&lt;T$2, 0,IF(AND(time+1&gt;=U$2, $E165&lt;U$2), IF($I165= "I", $J165/($F165-$E165+1), $J165/(($F165*($F165+1)/2)-(($E165-1)*($E165-1+1)/2))*T$2), 0)+IF(IF(time+1&gt;=U$2, $K165/time_cap/(time+1)*T$2, 0) = 0, $K165/(time_cap),0)),0)</f>
        <v/>
      </c>
      <c r="U165" s="4395">
        <f>IFERROR(IF((time+time_cap)&lt;U$2, 0,IF(AND(time+1&gt;=V$2, $E165&lt;V$2), IF($I165= "I", $J165/($F165-$E165+1), $J165/(($F165*($F165+1)/2)-(($E165-1)*($E165-1+1)/2))*U$2), 0)+IF(IF(time+1&gt;=V$2, $K165/time_cap/(time+1)*U$2, 0) = 0, $K165/(time_cap),0)),0)</f>
        <v/>
      </c>
      <c r="V165" s="4395">
        <f>IFERROR(IF((time+time_cap)&lt;V$2, 0,IF(AND(time+1&gt;=W$2, $E165&lt;W$2), IF($I165= "I", $J165/($F165-$E165+1), $J165/(($F165*($F165+1)/2)-(($E165-1)*($E165-1+1)/2))*V$2), 0)+IF(IF(time+1&gt;=W$2, $K165/time_cap/(time+1)*V$2, 0) = 0, $K165/(time_cap),0)),0)</f>
        <v/>
      </c>
      <c r="W165" s="4395">
        <f>IFERROR(IF((time+time_cap)&lt;W$2, 0,IF(AND(time+1&gt;=X$2, $E165&lt;X$2), IF($I165= "I", $J165/($F165-$E165+1), $J165/(($F165*($F165+1)/2)-(($E165-1)*($E165-1+1)/2))*W$2), 0)+IF(IF(time+1&gt;=X$2, $K165/time_cap/(time+1)*W$2, 0) = 0, $K165/(time_cap),0)),0)</f>
        <v/>
      </c>
      <c r="X165" s="4395">
        <f>IFERROR(IF((time+time_cap)&lt;X$2, 0,IF(AND(time+1&gt;=Y$2, $E165&lt;Y$2), IF($I165= "I", $J165/($F165-$E165+1), $J165/(($F165*($F165+1)/2)-(($E165-1)*($E165-1+1)/2))*X$2), 0)+IF(IF(time+1&gt;=Y$2, $K165/time_cap/(time+1)*X$2, 0) = 0, $K165/(time_cap),0)),0)</f>
        <v/>
      </c>
      <c r="Y165" s="4395">
        <f>IFERROR(IF((time+time_cap)&lt;Y$2, 0,IF(AND(time+1&gt;=Z$2, $E165&lt;Z$2), IF($I165= "I", $J165/($F165-$E165+1), $J165/(($F165*($F165+1)/2)-(($E165-1)*($E165-1+1)/2))*Y$2), 0)+IF(IF(time+1&gt;=Z$2, $K165/time_cap/(time+1)*Y$2, 0) = 0, $K165/(time_cap),0)),0)</f>
        <v/>
      </c>
      <c r="Z165" s="4395">
        <f>IFERROR(IF((time+time_cap)&lt;Z$2, 0,IF(AND(time+1&gt;=AA$2, $E165&lt;AA$2), IF($I165= "I", $J165/($F165-$E165+1), $J165/(($F165*($F165+1)/2)-(($E165-1)*($E165-1+1)/2))*Z$2), 0)+IF(IF(time+1&gt;=AA$2, $K165/time_cap/(time+1)*Z$2, 0) = 0, $K165/(time_cap),0)),0)</f>
        <v/>
      </c>
      <c r="AA165" s="4395">
        <f>IFERROR(IF((time+time_cap)&lt;AA$2, 0,IF(AND(time+1&gt;=AB$2, $E165&lt;AB$2), IF($I165= "I", $J165/($F165-$E165+1), $J165/(($F165*($F165+1)/2)-(($E165-1)*($E165-1+1)/2))*AA$2), 0)+IF(IF(time+1&gt;=AB$2, $K165/time_cap/(time+1)*AA$2, 0) = 0, $K165/(time_cap),0)),0)</f>
        <v/>
      </c>
      <c r="AB165" s="4395">
        <f>IFERROR(IF((time+time_cap)&lt;AB$2, 0,IF(AND(time+1&gt;=AC$2, $E165&lt;AC$2), IF($I165= "I", $J165/($F165-$E165+1), $J165/(($F165*($F165+1)/2)-(($E165-1)*($E165-1+1)/2))*AB$2), 0)+IF(IF(time+1&gt;=AC$2, $K165/time_cap/(time+1)*AB$2, 0) = 0, $K165/(time_cap),0)),0)</f>
        <v/>
      </c>
      <c r="AC165" s="4395">
        <f>IFERROR(IF((time+time_cap)&lt;AC$2, 0,IF(AND(time+1&gt;=AD$2, $E165&lt;AD$2), IF($I165= "I", $J165/($F165-$E165+1), $J165/(($F165*($F165+1)/2)-(($E165-1)*($E165-1+1)/2))*AC$2), 0)+IF(IF(time+1&gt;=AD$2, $K165/time_cap/(time+1)*AC$2, 0) = 0, $K165/(time_cap),0)),0)</f>
        <v/>
      </c>
      <c r="AD165" s="4395">
        <f>IFERROR(IF((time+time_cap)&lt;AD$2, 0,IF(AND(time+1&gt;=AE$2, $E165&lt;AE$2), IF($I165= "I", $J165/($F165-$E165+1), $J165/(($F165*($F165+1)/2)-(($E165-1)*($E165-1+1)/2))*AD$2), 0)+IF(IF(time+1&gt;=AE$2, $K165/time_cap/(time+1)*AD$2, 0) = 0, $K165/(time_cap),0)),0)</f>
        <v/>
      </c>
      <c r="AE165" s="4395">
        <f>IFERROR(IF((time+time_cap)&lt;AE$2, 0,IF(AND(time+1&gt;=AF$2, $E165&lt;AF$2), IF($I165= "I", $J165/($F165-$E165+1), $J165/(($F165*($F165+1)/2)-(($E165-1)*($E165-1+1)/2))*AE$2), 0)+IF(IF(time+1&gt;=AF$2, $K165/time_cap/(time+1)*AE$2, 0) = 0, $K165/(time_cap),0)),0)</f>
        <v/>
      </c>
      <c r="AF165" s="4395">
        <f>IFERROR(IF((time+time_cap)&lt;AF$2, 0,IF(AND(time+1&gt;=AG$2, $E165&lt;AG$2), IF($I165= "I", $J165/($F165-$E165+1), $J165/(($F165*($F165+1)/2)-(($E165-1)*($E165-1+1)/2))*AF$2), 0)+IF(IF(time+1&gt;=AG$2, $K165/time_cap/(time+1)*AF$2, 0) = 0, $K165/(time_cap),0)),0)</f>
        <v/>
      </c>
      <c r="AG165" s="4395">
        <f>IFERROR(IF((time+time_cap)&lt;AG$2, 0,IF(AND(time+1&gt;=AH$2, $E165&lt;AH$2), IF($I165= "I", $J165/($F165-$E165+1), $J165/(($F165*($F165+1)/2)-(($E165-1)*($E165-1+1)/2))*AG$2), 0)+IF(IF(time+1&gt;=AH$2, $K165/time_cap/(time+1)*AG$2, 0) = 0, $K165/(time_cap),0)),0)</f>
        <v/>
      </c>
      <c r="AH165" s="4395">
        <f>IFERROR(IF((time+time_cap)&lt;AH$2, 0,IF(AND(time+1&gt;=AI$2, $E165&lt;AI$2), IF($I165= "I", $J165/($F165-$E165+1), $J165/(($F165*($F165+1)/2)-(($E165-1)*($E165-1+1)/2))*AH$2), 0)+IF(IF(time+1&gt;=AI$2, $K165/time_cap/(time+1)*AH$2, 0) = 0, $K165/(time_cap),0)),0)</f>
        <v/>
      </c>
      <c r="AI165" s="4395">
        <f>IFERROR(IF((time+time_cap)&lt;AI$2, 0,IF(AND(time+1&gt;=AJ$2, $E165&lt;AJ$2), IF($I165= "I", $J165/($F165-$E165+1), $J165/(($F165*($F165+1)/2)-(($E165-1)*($E165-1+1)/2))*AI$2), 0)+IF(IF(time+1&gt;=AJ$2, $K165/time_cap/(time+1)*AI$2, 0) = 0, $K165/(time_cap),0)),0)</f>
        <v/>
      </c>
      <c r="AJ165" s="4395">
        <f>IFERROR(IF((time+time_cap)&lt;AJ$2, 0,IF(AND(time+1&gt;=AK$2, $E165&lt;AK$2), IF($I165= "I", $J165/($F165-$E165+1), $J165/(($F165*($F165+1)/2)-(($E165-1)*($E165-1+1)/2))*AJ$2), 0)+IF(IF(time+1&gt;=AK$2, $K165/time_cap/(time+1)*AJ$2, 0) = 0, $K165/(time_cap),0)),0)</f>
        <v/>
      </c>
      <c r="AK165" s="4395">
        <f>IFERROR(IF((time+time_cap)&lt;AK$2, 0,IF(AND(time+1&gt;=AL$2, $E165&lt;AL$2), IF($I165= "I", $J165/($F165-$E165+1), $J165/(($F165*($F165+1)/2)-(($E165-1)*($E165-1+1)/2))*AK$2), 0)+IF(IF(time+1&gt;=AL$2, $K165/time_cap/(time+1)*AK$2, 0) = 0, $K165/(time_cap),0)),0)</f>
        <v/>
      </c>
      <c r="AL165" s="4395">
        <f>IFERROR(IF((time+time_cap)&lt;AL$2, 0,IF(AND(time+1&gt;=AM$2, $E165&lt;AM$2), IF($I165= "I", $J165/($F165-$E165+1), $J165/(($F165*($F165+1)/2)-(($E165-1)*($E165-1+1)/2))*AL$2), 0)+IF(IF(time+1&gt;=AM$2, $K165/time_cap/(time+1)*AL$2, 0) = 0, $K165/(time_cap),0)),0)</f>
        <v/>
      </c>
      <c r="AM165" s="4395">
        <f>IFERROR(IF((time+time_cap)&lt;AM$2, 0,IF(AND(time+1&gt;=AN$2, $E165&lt;AN$2), IF($I165= "I", $J165/($F165-$E165+1), $J165/(($F165*($F165+1)/2)-(($E165-1)*($E165-1+1)/2))*AM$2), 0)+IF(IF(time+1&gt;=AN$2, $K165/time_cap/(time+1)*AM$2, 0) = 0, $K165/(time_cap),0)),0)</f>
        <v/>
      </c>
      <c r="AN165" s="4395">
        <f>IFERROR(IF((time+time_cap)&lt;AN$2, 0,IF(AND(time+1&gt;=AO$2, $E165&lt;AO$2), IF($I165= "I", $J165/($F165-$E165+1), $J165/(($F165*($F165+1)/2)-(($E165-1)*($E165-1+1)/2))*AN$2), 0)+IF(IF(time+1&gt;=AO$2, $K165/time_cap/(time+1)*AN$2, 0) = 0, $K165/(time_cap),0)),0)</f>
        <v/>
      </c>
      <c r="AO165" s="4395">
        <f>IFERROR(IF((time+time_cap)&lt;AO$2, 0,IF(AND(time+1&gt;=AP$2, $E165&lt;AP$2), IF($I165= "I", $J165/($F165-$E165+1), $J165/(($F165*($F165+1)/2)-(($E165-1)*($E165-1+1)/2))*AO$2), 0)+IF(IF(time+1&gt;=AP$2, $K165/time_cap/(time+1)*AO$2, 0) = 0, $K165/(time_cap),0)),0)</f>
        <v/>
      </c>
      <c r="AP165" s="4395">
        <f>IFERROR(IF((time+time_cap)&lt;AP$2, 0,IF(AND(time+1&gt;=AQ$2, $E165&lt;AQ$2), IF($I165= "I", $J165/($F165-$E165+1), $J165/(($F165*($F165+1)/2)-(($E165-1)*($E165-1+1)/2))*AP$2), 0)+IF(IF(time+1&gt;=AQ$2, $K165/time_cap/(time+1)*AP$2, 0) = 0, $K165/(time_cap),0)),0)</f>
        <v/>
      </c>
      <c r="AQ165" s="4395">
        <f>IFERROR(IF((time+time_cap)&lt;AQ$2, 0,IF(AND(time+1&gt;=AR$2, $E165&lt;AR$2), IF($I165= "I", $J165/($F165-$E165+1), $J165/(($F165*($F165+1)/2)-(($E165-1)*($E165-1+1)/2))*AQ$2), 0)+IF(IF(time+1&gt;=AR$2, $K165/time_cap/(time+1)*AQ$2, 0) = 0, $K165/(time_cap),0)),0)</f>
        <v/>
      </c>
      <c r="AR165" s="4395">
        <f>IFERROR(IF((time+time_cap)&lt;AR$2, 0,IF(AND(time+1&gt;=AS$2, $E165&lt;AS$2), IF($I165= "I", $J165/($F165-$E165+1), $J165/(($F165*($F165+1)/2)-(($E165-1)*($E165-1+1)/2))*AR$2), 0)+IF(IF(time+1&gt;=AS$2, $K165/time_cap/(time+1)*AR$2, 0) = 0, $K165/(time_cap),0)),0)</f>
        <v/>
      </c>
      <c r="AS165" s="4395">
        <f>IFERROR(IF((time+time_cap)&lt;AS$2, 0,IF(AND(time+1&gt;=AT$2, $E165&lt;AT$2), IF($I165= "I", $J165/($F165-$E165+1), $J165/(($F165*($F165+1)/2)-(($E165-1)*($E165-1+1)/2))*AS$2), 0)+IF(IF(time+1&gt;=AT$2, $K165/time_cap/(time+1)*AS$2, 0) = 0, $K165/(time_cap),0)),0)</f>
        <v/>
      </c>
      <c r="AT165" s="4395">
        <f>IFERROR(IF((time+time_cap)&lt;AT$2, 0,IF(AND(time+1&gt;=AU$2, $E165&lt;AU$2), IF($I165= "I", $J165/($F165-$E165+1), $J165/(($F165*($F165+1)/2)-(($E165-1)*($E165-1+1)/2))*AT$2), 0)+IF(IF(time+1&gt;=AU$2, $K165/time_cap/(time+1)*AT$2, 0) = 0, $K165/(time_cap),0)),0)</f>
        <v/>
      </c>
      <c r="AU165" s="4395">
        <f>IFERROR(IF((time+time_cap)&lt;AU$2, 0,IF(AND(time+1&gt;=AV$2, $E165&lt;AV$2), IF($I165= "I", $J165/($F165-$E165+1), $J165/(($F165*($F165+1)/2)-(($E165-1)*($E165-1+1)/2))*AU$2), 0)+IF(IF(time+1&gt;=AV$2, $K165/time_cap/(time+1)*AU$2, 0) = 0, $K165/(time_cap),0)),0)</f>
        <v/>
      </c>
      <c r="AV165" s="4395">
        <f>IFERROR(IF((time+time_cap)&lt;AV$2, 0,IF(AND(time+1&gt;=AW$2, $E165&lt;AW$2), IF($I165= "I", $J165/($F165-$E165+1), $J165/(($F165*($F165+1)/2)-(($E165-1)*($E165-1+1)/2))*AV$2), 0)+IF(IF(time+1&gt;=AW$2, $K165/time_cap/(time+1)*AV$2, 0) = 0, $K165/(time_cap),0)),0)</f>
        <v/>
      </c>
      <c r="AW165" s="4395">
        <f>IFERROR(IF((time+time_cap)&lt;AW$2, 0,IF(AND(time+1&gt;=AX$2, $E165&lt;AX$2), IF($I165= "I", $J165/($F165-$E165+1), $J165/(($F165*($F165+1)/2)-(($E165-1)*($E165-1+1)/2))*AW$2), 0)+IF(IF(time+1&gt;=AX$2, $K165/time_cap/(time+1)*AW$2, 0) = 0, $K165/(time_cap),0)),0)</f>
        <v/>
      </c>
      <c r="AX165" s="4395">
        <f>IFERROR(IF((time+time_cap)&lt;AX$2, 0,IF(AND(time+1&gt;=AY$2, $E165&lt;AY$2), IF($I165= "I", $J165/($F165-$E165+1), $J165/(($F165*($F165+1)/2)-(($E165-1)*($E165-1+1)/2))*AX$2), 0)+IF(IF(time+1&gt;=AY$2, $K165/time_cap/(time+1)*AX$2, 0) = 0, $K165/(time_cap),0)),0)</f>
        <v/>
      </c>
      <c r="AY165" s="4395">
        <f>IFERROR(IF((time+time_cap)&lt;AY$2, 0,IF(AND(time+1&gt;=AZ$2, $E165&lt;AZ$2), IF($I165= "I", $J165/($F165-$E165+1), $J165/(($F165*($F165+1)/2)-(($E165-1)*($E165-1+1)/2))*AY$2), 0)+IF(IF(time+1&gt;=AZ$2, $K165/time_cap/(time+1)*AY$2, 0) = 0, $K165/(time_cap),0)),0)</f>
        <v/>
      </c>
      <c r="AZ165" s="4395">
        <f>IFERROR(IF((time+time_cap)&lt;AZ$2, 0,IF(AND(time+1&gt;=BA$2, $E165&lt;BA$2), IF($I165= "I", $J165/($F165-$E165+1), $J165/(($F165*($F165+1)/2)-(($E165-1)*($E165-1+1)/2))*AZ$2), 0)+IF(IF(time+1&gt;=BA$2, $K165/time_cap/(time+1)*AZ$2, 0) = 0, $K165/(time_cap),0)),0)</f>
        <v/>
      </c>
      <c r="BA165" s="4395">
        <f>IFERROR(IF((time+time_cap)&lt;BA$2, 0,IF(AND(time+1&gt;=BB$2, $E165&lt;BB$2), IF($I165= "I", $J165/($F165-$E165+1), $J165/(($F165*($F165+1)/2)-(($E165-1)*($E165-1+1)/2))*BA$2), 0)+IF(IF(time+1&gt;=BB$2, $K165/time_cap/(time+1)*BA$2, 0) = 0, $K165/(time_cap),0)),0)</f>
        <v/>
      </c>
      <c r="BB165" s="4395">
        <f>IFERROR(IF((time+time_cap)&lt;BB$2, 0,IF(AND(time+1&gt;=BC$2, $E165&lt;BC$2), IF($I165= "I", $J165/($F165-$E165+1), $J165/(($F165*($F165+1)/2)-(($E165-1)*($E165-1+1)/2))*BB$2), 0)+IF(IF(time+1&gt;=BC$2, $K165/time_cap/(time+1)*BB$2, 0) = 0, $K165/(time_cap),0)),0)</f>
        <v/>
      </c>
      <c r="BC165" s="4395">
        <f>IFERROR(IF((time+time_cap)&lt;BC$2, 0,IF(AND(time+1&gt;=BD$2, $E165&lt;BD$2), IF($I165= "I", $J165/($F165-$E165+1), $J165/(($F165*($F165+1)/2)-(($E165-1)*($E165-1+1)/2))*BC$2), 0)+IF(IF(time+1&gt;=BD$2, $K165/time_cap/(time+1)*BC$2, 0) = 0, $K165/(time_cap),0)),0)</f>
        <v/>
      </c>
      <c r="BD165" s="4395">
        <f>IFERROR(IF((time+time_cap)&lt;BD$2, 0,IF(AND(time+1&gt;=BE$2, $E165&lt;BE$2), IF($I165= "I", $J165/($F165-$E165+1), $J165/(($F165*($F165+1)/2)-(($E165-1)*($E165-1+1)/2))*BD$2), 0)+IF(IF(time+1&gt;=BE$2, $K165/time_cap/(time+1)*BD$2, 0) = 0, $K165/(time_cap),0)),0)</f>
        <v/>
      </c>
      <c r="BE165" s="4395">
        <f>IFERROR(IF((time+time_cap)&lt;BE$2, 0,IF(AND(time+1&gt;=BF$2, $E165&lt;BF$2), IF($I165= "I", $J165/($F165-$E165+1), $J165/(($F165*($F165+1)/2)-(($E165-1)*($E165-1+1)/2))*BE$2), 0)+IF(IF(time+1&gt;=BF$2, $K165/time_cap/(time+1)*BE$2, 0) = 0, $K165/(time_cap),0)),0)</f>
        <v/>
      </c>
      <c r="BF165" s="4395">
        <f>IFERROR(IF((time+time_cap)&lt;BF$2, 0,IF(AND(time+1&gt;=BG$2, $E165&lt;BG$2), IF($I165= "I", $J165/($F165-$E165+1), $J165/(($F165*($F165+1)/2)-(($E165-1)*($E165-1+1)/2))*BF$2), 0)+IF(IF(time+1&gt;=BG$2, $K165/time_cap/(time+1)*BF$2, 0) = 0, $K165/(time_cap),0)),0)</f>
        <v/>
      </c>
      <c r="BG165" s="4395">
        <f>IFERROR(IF((time+time_cap)&lt;BG$2, 0,IF(AND(time+1&gt;=BH$2, $E165&lt;BH$2), IF($I165= "I", $J165/($F165-$E165+1), $J165/(($F165*($F165+1)/2)-(($E165-1)*($E165-1+1)/2))*BG$2), 0)+IF(IF(time+1&gt;=BH$2, $K165/time_cap/(time+1)*BG$2, 0) = 0, $K165/(time_cap),0)),0)</f>
        <v/>
      </c>
      <c r="BH165" s="4395">
        <f>IFERROR(IF((time+time_cap)&lt;BH$2, 0,IF(AND(time+1&gt;=BI$2, $E165&lt;BI$2), IF($I165= "I", $J165/($F165-$E165+1), $J165/(($F165*($F165+1)/2)-(($E165-1)*($E165-1+1)/2))*BH$2), 0)+IF(IF(time+1&gt;=BI$2, $K165/time_cap/(time+1)*BH$2, 0) = 0, $K165/(time_cap),0)),0)</f>
        <v/>
      </c>
      <c r="BI165" s="4395">
        <f>IFERROR(IF((time+time_cap)&lt;BI$2, 0,IF(AND(time+1&gt;=BJ$2, $E165&lt;BJ$2), IF($I165= "I", $J165/($F165-$E165+1), $J165/(($F165*($F165+1)/2)-(($E165-1)*($E165-1+1)/2))*BI$2), 0)+IF(IF(time+1&gt;=BJ$2, $K165/time_cap/(time+1)*BI$2, 0) = 0, $K165/(time_cap),0)),0)</f>
        <v/>
      </c>
      <c r="BJ165" s="4395">
        <f>IFERROR(IF((time+time_cap)&lt;BJ$2, 0,IF(AND(time+1&gt;=BK$2, $E165&lt;BK$2), IF($I165= "I", $J165/($F165-$E165+1), $J165/(($F165*($F165+1)/2)-(($E165-1)*($E165-1+1)/2))*BJ$2), 0)+IF(IF(time+1&gt;=BK$2, $K165/time_cap/(time+1)*BJ$2, 0) = 0, $K165/(time_cap),0)),0)</f>
        <v/>
      </c>
      <c r="BK165" s="4395" t="n"/>
      <c r="BL165" s="4395" t="n"/>
      <c r="BM165" s="4395" t="n"/>
      <c r="BN165" s="4395" t="n"/>
      <c r="BO165" s="4395" t="n"/>
      <c r="BP165" s="4395" t="n"/>
      <c r="BQ165" s="4395" t="n"/>
      <c r="BR165" s="4395" t="n"/>
      <c r="BS165" s="4395" t="n"/>
      <c r="BT165" s="4395" t="n"/>
      <c r="BU165" s="4395" t="n"/>
      <c r="BV165" s="4395" t="n"/>
      <c r="BW165" s="4395" t="n"/>
      <c r="BX165" s="4395" t="n"/>
      <c r="BY165" s="4395" t="n"/>
      <c r="BZ165" s="4395" t="n"/>
      <c r="CA165" s="4395" t="n"/>
      <c r="CB165" s="4395" t="n"/>
      <c r="CC165" s="4395" t="n"/>
      <c r="CD165" s="4395" t="n"/>
      <c r="CE165" s="4395" t="n"/>
      <c r="CF165" s="4395" t="n"/>
      <c r="CG165" s="4395" t="n"/>
      <c r="CH165" s="4395" t="n"/>
      <c r="CI165" s="4395" t="n"/>
      <c r="CJ165" s="4395" t="n"/>
      <c r="CK165" s="4395" t="n"/>
      <c r="CL165" s="4395" t="n"/>
      <c r="CM165" s="4395" t="n"/>
      <c r="CN165" s="4395" t="n"/>
      <c r="CO165" s="4395" t="n"/>
      <c r="CP165" s="4395" t="n"/>
      <c r="CQ165" s="4395" t="n"/>
      <c r="CR165" s="4395" t="n"/>
      <c r="CS165" s="4395" t="n"/>
      <c r="CT165" s="4395" t="n"/>
      <c r="CU165" s="4395" t="n"/>
      <c r="CV165" s="4395" t="n"/>
      <c r="CW165" s="4395" t="n"/>
      <c r="CX165" s="4395" t="n"/>
      <c r="CY165" s="4395" t="n"/>
      <c r="CZ165" s="4395" t="n"/>
      <c r="DA165" s="4395" t="n"/>
      <c r="DB165" s="4395" t="n"/>
      <c r="DC165" s="4395" t="n"/>
      <c r="DD165" s="4395" t="n"/>
      <c r="DE165" s="4395" t="n"/>
      <c r="DF165" s="4395" t="n"/>
      <c r="DG165" s="4395" t="n"/>
      <c r="DH165" s="4395" t="n"/>
    </row>
    <row r="166" ht="16" customHeight="1">
      <c r="A166" t="inlineStr">
        <is>
          <t>Coastal wetland - drainage</t>
        </is>
      </c>
      <c r="C166">
        <f>'7.Coastal wetlands'!C29</f>
        <v/>
      </c>
      <c r="D166">
        <f>'7.Coastal wetlands'!AI29</f>
        <v/>
      </c>
      <c r="E166">
        <f>IF('7.Coastal wetlands'!CN29&lt;&gt;0,'7.Coastal wetlands'!CN29,'7.Coastal wetlands'!CM29)</f>
        <v/>
      </c>
      <c r="F166">
        <f>time</f>
        <v/>
      </c>
      <c r="G166" s="4395">
        <f>'7.Coastal wetlands'!I29</f>
        <v/>
      </c>
      <c r="H166" s="4395">
        <f>'7.Coastal wetlands'!K29</f>
        <v/>
      </c>
      <c r="I166" s="4395">
        <f>IF(OR(H166="I", G166="I"), "I", IF(OR(H166="E", G166="E"), "E", "D"))</f>
        <v/>
      </c>
      <c r="J166" s="4395">
        <f>((D166/(time_cap+((F166-E166+1)*VLOOKUP(I166,list!$I$48:$K$50,3, FALSE))))*(F166-E166+1)*VLOOKUP(I166,list!$I$48:$K$50,3, FALSE))</f>
        <v/>
      </c>
      <c r="K166" s="4395">
        <f>((D166/(time_cap+((F166-E166+1)*VLOOKUP(I166,list!$I$48:$K$50,3, FALSE))))*time_cap)</f>
        <v/>
      </c>
      <c r="M166" s="4395">
        <f>IFERROR(IF((time+time_cap)&lt;M$2, 0,IF(AND(time+1&gt;=N$2, $E166&lt;N$2), IF($I166= "I", $J166/($F166-$E166+1), $J166/(($F166*($F166+1)/2)-(($E166-1)*($E166-1+1)/2))*M$2), 0)+IF(IF(time+1&gt;=N$2, $K166/time_cap/(time+1)*M$2, 0) = 0, $K166/(time_cap),0)),0)</f>
        <v/>
      </c>
      <c r="N166" s="4395">
        <f>IFERROR(IF((time+time_cap)&lt;N$2, 0,IF(AND(time+1&gt;=O$2, $E166&lt;O$2), IF($I166= "I", $J166/($F166-$E166+1), $J166/(($F166*($F166+1)/2)-(($E166-1)*($E166-1+1)/2))*N$2), 0)+IF(IF(time+1&gt;=O$2, $K166/time_cap/(time+1)*N$2, 0) = 0, $K166/(time_cap),0)),0)</f>
        <v/>
      </c>
      <c r="O166" s="4395">
        <f>IFERROR(IF((time+time_cap)&lt;O$2, 0,IF(AND(time+1&gt;=P$2, $E166&lt;P$2), IF($I166= "I", $J166/($F166-$E166+1), $J166/(($F166*($F166+1)/2)-(($E166-1)*($E166-1+1)/2))*O$2), 0)+IF(IF(time+1&gt;=P$2, $K166/time_cap/(time+1)*O$2, 0) = 0, $K166/(time_cap),0)),0)</f>
        <v/>
      </c>
      <c r="P166" s="4395">
        <f>IFERROR(IF((time+time_cap)&lt;P$2, 0,IF(AND(time+1&gt;=Q$2, $E166&lt;Q$2), IF($I166= "I", $J166/($F166-$E166+1), $J166/(($F166*($F166+1)/2)-(($E166-1)*($E166-1+1)/2))*P$2), 0)+IF(IF(time+1&gt;=Q$2, $K166/time_cap/(time+1)*P$2, 0) = 0, $K166/(time_cap),0)),0)</f>
        <v/>
      </c>
      <c r="Q166" s="4395">
        <f>IFERROR(IF((time+time_cap)&lt;Q$2, 0,IF(AND(time+1&gt;=R$2, $E166&lt;R$2), IF($I166= "I", $J166/($F166-$E166+1), $J166/(($F166*($F166+1)/2)-(($E166-1)*($E166-1+1)/2))*Q$2), 0)+IF(IF(time+1&gt;=R$2, $K166/time_cap/(time+1)*Q$2, 0) = 0, $K166/(time_cap),0)),0)</f>
        <v/>
      </c>
      <c r="R166" s="4395">
        <f>IFERROR(IF((time+time_cap)&lt;R$2, 0,IF(AND(time+1&gt;=S$2, $E166&lt;S$2), IF($I166= "I", $J166/($F166-$E166+1), $J166/(($F166*($F166+1)/2)-(($E166-1)*($E166-1+1)/2))*R$2), 0)+IF(IF(time+1&gt;=S$2, $K166/time_cap/(time+1)*R$2, 0) = 0, $K166/(time_cap),0)),0)</f>
        <v/>
      </c>
      <c r="S166" s="4395">
        <f>IFERROR(IF((time+time_cap)&lt;S$2, 0,IF(AND(time+1&gt;=T$2, $E166&lt;T$2), IF($I166= "I", $J166/($F166-$E166+1), $J166/(($F166*($F166+1)/2)-(($E166-1)*($E166-1+1)/2))*S$2), 0)+IF(IF(time+1&gt;=T$2, $K166/time_cap/(time+1)*S$2, 0) = 0, $K166/(time_cap),0)),0)</f>
        <v/>
      </c>
      <c r="T166" s="4395">
        <f>IFERROR(IF((time+time_cap)&lt;T$2, 0,IF(AND(time+1&gt;=U$2, $E166&lt;U$2), IF($I166= "I", $J166/($F166-$E166+1), $J166/(($F166*($F166+1)/2)-(($E166-1)*($E166-1+1)/2))*T$2), 0)+IF(IF(time+1&gt;=U$2, $K166/time_cap/(time+1)*T$2, 0) = 0, $K166/(time_cap),0)),0)</f>
        <v/>
      </c>
      <c r="U166" s="4395">
        <f>IFERROR(IF((time+time_cap)&lt;U$2, 0,IF(AND(time+1&gt;=V$2, $E166&lt;V$2), IF($I166= "I", $J166/($F166-$E166+1), $J166/(($F166*($F166+1)/2)-(($E166-1)*($E166-1+1)/2))*U$2), 0)+IF(IF(time+1&gt;=V$2, $K166/time_cap/(time+1)*U$2, 0) = 0, $K166/(time_cap),0)),0)</f>
        <v/>
      </c>
      <c r="V166" s="4395">
        <f>IFERROR(IF((time+time_cap)&lt;V$2, 0,IF(AND(time+1&gt;=W$2, $E166&lt;W$2), IF($I166= "I", $J166/($F166-$E166+1), $J166/(($F166*($F166+1)/2)-(($E166-1)*($E166-1+1)/2))*V$2), 0)+IF(IF(time+1&gt;=W$2, $K166/time_cap/(time+1)*V$2, 0) = 0, $K166/(time_cap),0)),0)</f>
        <v/>
      </c>
      <c r="W166" s="4395">
        <f>IFERROR(IF((time+time_cap)&lt;W$2, 0,IF(AND(time+1&gt;=X$2, $E166&lt;X$2), IF($I166= "I", $J166/($F166-$E166+1), $J166/(($F166*($F166+1)/2)-(($E166-1)*($E166-1+1)/2))*W$2), 0)+IF(IF(time+1&gt;=X$2, $K166/time_cap/(time+1)*W$2, 0) = 0, $K166/(time_cap),0)),0)</f>
        <v/>
      </c>
      <c r="X166" s="4395">
        <f>IFERROR(IF((time+time_cap)&lt;X$2, 0,IF(AND(time+1&gt;=Y$2, $E166&lt;Y$2), IF($I166= "I", $J166/($F166-$E166+1), $J166/(($F166*($F166+1)/2)-(($E166-1)*($E166-1+1)/2))*X$2), 0)+IF(IF(time+1&gt;=Y$2, $K166/time_cap/(time+1)*X$2, 0) = 0, $K166/(time_cap),0)),0)</f>
        <v/>
      </c>
      <c r="Y166" s="4395">
        <f>IFERROR(IF((time+time_cap)&lt;Y$2, 0,IF(AND(time+1&gt;=Z$2, $E166&lt;Z$2), IF($I166= "I", $J166/($F166-$E166+1), $J166/(($F166*($F166+1)/2)-(($E166-1)*($E166-1+1)/2))*Y$2), 0)+IF(IF(time+1&gt;=Z$2, $K166/time_cap/(time+1)*Y$2, 0) = 0, $K166/(time_cap),0)),0)</f>
        <v/>
      </c>
      <c r="Z166" s="4395">
        <f>IFERROR(IF((time+time_cap)&lt;Z$2, 0,IF(AND(time+1&gt;=AA$2, $E166&lt;AA$2), IF($I166= "I", $J166/($F166-$E166+1), $J166/(($F166*($F166+1)/2)-(($E166-1)*($E166-1+1)/2))*Z$2), 0)+IF(IF(time+1&gt;=AA$2, $K166/time_cap/(time+1)*Z$2, 0) = 0, $K166/(time_cap),0)),0)</f>
        <v/>
      </c>
      <c r="AA166" s="4395">
        <f>IFERROR(IF((time+time_cap)&lt;AA$2, 0,IF(AND(time+1&gt;=AB$2, $E166&lt;AB$2), IF($I166= "I", $J166/($F166-$E166+1), $J166/(($F166*($F166+1)/2)-(($E166-1)*($E166-1+1)/2))*AA$2), 0)+IF(IF(time+1&gt;=AB$2, $K166/time_cap/(time+1)*AA$2, 0) = 0, $K166/(time_cap),0)),0)</f>
        <v/>
      </c>
      <c r="AB166" s="4395">
        <f>IFERROR(IF((time+time_cap)&lt;AB$2, 0,IF(AND(time+1&gt;=AC$2, $E166&lt;AC$2), IF($I166= "I", $J166/($F166-$E166+1), $J166/(($F166*($F166+1)/2)-(($E166-1)*($E166-1+1)/2))*AB$2), 0)+IF(IF(time+1&gt;=AC$2, $K166/time_cap/(time+1)*AB$2, 0) = 0, $K166/(time_cap),0)),0)</f>
        <v/>
      </c>
      <c r="AC166" s="4395">
        <f>IFERROR(IF((time+time_cap)&lt;AC$2, 0,IF(AND(time+1&gt;=AD$2, $E166&lt;AD$2), IF($I166= "I", $J166/($F166-$E166+1), $J166/(($F166*($F166+1)/2)-(($E166-1)*($E166-1+1)/2))*AC$2), 0)+IF(IF(time+1&gt;=AD$2, $K166/time_cap/(time+1)*AC$2, 0) = 0, $K166/(time_cap),0)),0)</f>
        <v/>
      </c>
      <c r="AD166" s="4395">
        <f>IFERROR(IF((time+time_cap)&lt;AD$2, 0,IF(AND(time+1&gt;=AE$2, $E166&lt;AE$2), IF($I166= "I", $J166/($F166-$E166+1), $J166/(($F166*($F166+1)/2)-(($E166-1)*($E166-1+1)/2))*AD$2), 0)+IF(IF(time+1&gt;=AE$2, $K166/time_cap/(time+1)*AD$2, 0) = 0, $K166/(time_cap),0)),0)</f>
        <v/>
      </c>
      <c r="AE166" s="4395">
        <f>IFERROR(IF((time+time_cap)&lt;AE$2, 0,IF(AND(time+1&gt;=AF$2, $E166&lt;AF$2), IF($I166= "I", $J166/($F166-$E166+1), $J166/(($F166*($F166+1)/2)-(($E166-1)*($E166-1+1)/2))*AE$2), 0)+IF(IF(time+1&gt;=AF$2, $K166/time_cap/(time+1)*AE$2, 0) = 0, $K166/(time_cap),0)),0)</f>
        <v/>
      </c>
      <c r="AF166" s="4395">
        <f>IFERROR(IF((time+time_cap)&lt;AF$2, 0,IF(AND(time+1&gt;=AG$2, $E166&lt;AG$2), IF($I166= "I", $J166/($F166-$E166+1), $J166/(($F166*($F166+1)/2)-(($E166-1)*($E166-1+1)/2))*AF$2), 0)+IF(IF(time+1&gt;=AG$2, $K166/time_cap/(time+1)*AF$2, 0) = 0, $K166/(time_cap),0)),0)</f>
        <v/>
      </c>
      <c r="AG166" s="4395">
        <f>IFERROR(IF((time+time_cap)&lt;AG$2, 0,IF(AND(time+1&gt;=AH$2, $E166&lt;AH$2), IF($I166= "I", $J166/($F166-$E166+1), $J166/(($F166*($F166+1)/2)-(($E166-1)*($E166-1+1)/2))*AG$2), 0)+IF(IF(time+1&gt;=AH$2, $K166/time_cap/(time+1)*AG$2, 0) = 0, $K166/(time_cap),0)),0)</f>
        <v/>
      </c>
      <c r="AH166" s="4395">
        <f>IFERROR(IF((time+time_cap)&lt;AH$2, 0,IF(AND(time+1&gt;=AI$2, $E166&lt;AI$2), IF($I166= "I", $J166/($F166-$E166+1), $J166/(($F166*($F166+1)/2)-(($E166-1)*($E166-1+1)/2))*AH$2), 0)+IF(IF(time+1&gt;=AI$2, $K166/time_cap/(time+1)*AH$2, 0) = 0, $K166/(time_cap),0)),0)</f>
        <v/>
      </c>
      <c r="AI166" s="4395">
        <f>IFERROR(IF((time+time_cap)&lt;AI$2, 0,IF(AND(time+1&gt;=AJ$2, $E166&lt;AJ$2), IF($I166= "I", $J166/($F166-$E166+1), $J166/(($F166*($F166+1)/2)-(($E166-1)*($E166-1+1)/2))*AI$2), 0)+IF(IF(time+1&gt;=AJ$2, $K166/time_cap/(time+1)*AI$2, 0) = 0, $K166/(time_cap),0)),0)</f>
        <v/>
      </c>
      <c r="AJ166" s="4395">
        <f>IFERROR(IF((time+time_cap)&lt;AJ$2, 0,IF(AND(time+1&gt;=AK$2, $E166&lt;AK$2), IF($I166= "I", $J166/($F166-$E166+1), $J166/(($F166*($F166+1)/2)-(($E166-1)*($E166-1+1)/2))*AJ$2), 0)+IF(IF(time+1&gt;=AK$2, $K166/time_cap/(time+1)*AJ$2, 0) = 0, $K166/(time_cap),0)),0)</f>
        <v/>
      </c>
      <c r="AK166" s="4395">
        <f>IFERROR(IF((time+time_cap)&lt;AK$2, 0,IF(AND(time+1&gt;=AL$2, $E166&lt;AL$2), IF($I166= "I", $J166/($F166-$E166+1), $J166/(($F166*($F166+1)/2)-(($E166-1)*($E166-1+1)/2))*AK$2), 0)+IF(IF(time+1&gt;=AL$2, $K166/time_cap/(time+1)*AK$2, 0) = 0, $K166/(time_cap),0)),0)</f>
        <v/>
      </c>
      <c r="AL166" s="4395">
        <f>IFERROR(IF((time+time_cap)&lt;AL$2, 0,IF(AND(time+1&gt;=AM$2, $E166&lt;AM$2), IF($I166= "I", $J166/($F166-$E166+1), $J166/(($F166*($F166+1)/2)-(($E166-1)*($E166-1+1)/2))*AL$2), 0)+IF(IF(time+1&gt;=AM$2, $K166/time_cap/(time+1)*AL$2, 0) = 0, $K166/(time_cap),0)),0)</f>
        <v/>
      </c>
      <c r="AM166" s="4395">
        <f>IFERROR(IF((time+time_cap)&lt;AM$2, 0,IF(AND(time+1&gt;=AN$2, $E166&lt;AN$2), IF($I166= "I", $J166/($F166-$E166+1), $J166/(($F166*($F166+1)/2)-(($E166-1)*($E166-1+1)/2))*AM$2), 0)+IF(IF(time+1&gt;=AN$2, $K166/time_cap/(time+1)*AM$2, 0) = 0, $K166/(time_cap),0)),0)</f>
        <v/>
      </c>
      <c r="AN166" s="4395">
        <f>IFERROR(IF((time+time_cap)&lt;AN$2, 0,IF(AND(time+1&gt;=AO$2, $E166&lt;AO$2), IF($I166= "I", $J166/($F166-$E166+1), $J166/(($F166*($F166+1)/2)-(($E166-1)*($E166-1+1)/2))*AN$2), 0)+IF(IF(time+1&gt;=AO$2, $K166/time_cap/(time+1)*AN$2, 0) = 0, $K166/(time_cap),0)),0)</f>
        <v/>
      </c>
      <c r="AO166" s="4395">
        <f>IFERROR(IF((time+time_cap)&lt;AO$2, 0,IF(AND(time+1&gt;=AP$2, $E166&lt;AP$2), IF($I166= "I", $J166/($F166-$E166+1), $J166/(($F166*($F166+1)/2)-(($E166-1)*($E166-1+1)/2))*AO$2), 0)+IF(IF(time+1&gt;=AP$2, $K166/time_cap/(time+1)*AO$2, 0) = 0, $K166/(time_cap),0)),0)</f>
        <v/>
      </c>
      <c r="AP166" s="4395">
        <f>IFERROR(IF((time+time_cap)&lt;AP$2, 0,IF(AND(time+1&gt;=AQ$2, $E166&lt;AQ$2), IF($I166= "I", $J166/($F166-$E166+1), $J166/(($F166*($F166+1)/2)-(($E166-1)*($E166-1+1)/2))*AP$2), 0)+IF(IF(time+1&gt;=AQ$2, $K166/time_cap/(time+1)*AP$2, 0) = 0, $K166/(time_cap),0)),0)</f>
        <v/>
      </c>
      <c r="AQ166" s="4395">
        <f>IFERROR(IF((time+time_cap)&lt;AQ$2, 0,IF(AND(time+1&gt;=AR$2, $E166&lt;AR$2), IF($I166= "I", $J166/($F166-$E166+1), $J166/(($F166*($F166+1)/2)-(($E166-1)*($E166-1+1)/2))*AQ$2), 0)+IF(IF(time+1&gt;=AR$2, $K166/time_cap/(time+1)*AQ$2, 0) = 0, $K166/(time_cap),0)),0)</f>
        <v/>
      </c>
      <c r="AR166" s="4395">
        <f>IFERROR(IF((time+time_cap)&lt;AR$2, 0,IF(AND(time+1&gt;=AS$2, $E166&lt;AS$2), IF($I166= "I", $J166/($F166-$E166+1), $J166/(($F166*($F166+1)/2)-(($E166-1)*($E166-1+1)/2))*AR$2), 0)+IF(IF(time+1&gt;=AS$2, $K166/time_cap/(time+1)*AR$2, 0) = 0, $K166/(time_cap),0)),0)</f>
        <v/>
      </c>
      <c r="AS166" s="4395">
        <f>IFERROR(IF((time+time_cap)&lt;AS$2, 0,IF(AND(time+1&gt;=AT$2, $E166&lt;AT$2), IF($I166= "I", $J166/($F166-$E166+1), $J166/(($F166*($F166+1)/2)-(($E166-1)*($E166-1+1)/2))*AS$2), 0)+IF(IF(time+1&gt;=AT$2, $K166/time_cap/(time+1)*AS$2, 0) = 0, $K166/(time_cap),0)),0)</f>
        <v/>
      </c>
      <c r="AT166" s="4395">
        <f>IFERROR(IF((time+time_cap)&lt;AT$2, 0,IF(AND(time+1&gt;=AU$2, $E166&lt;AU$2), IF($I166= "I", $J166/($F166-$E166+1), $J166/(($F166*($F166+1)/2)-(($E166-1)*($E166-1+1)/2))*AT$2), 0)+IF(IF(time+1&gt;=AU$2, $K166/time_cap/(time+1)*AT$2, 0) = 0, $K166/(time_cap),0)),0)</f>
        <v/>
      </c>
      <c r="AU166" s="4395">
        <f>IFERROR(IF((time+time_cap)&lt;AU$2, 0,IF(AND(time+1&gt;=AV$2, $E166&lt;AV$2), IF($I166= "I", $J166/($F166-$E166+1), $J166/(($F166*($F166+1)/2)-(($E166-1)*($E166-1+1)/2))*AU$2), 0)+IF(IF(time+1&gt;=AV$2, $K166/time_cap/(time+1)*AU$2, 0) = 0, $K166/(time_cap),0)),0)</f>
        <v/>
      </c>
      <c r="AV166" s="4395">
        <f>IFERROR(IF((time+time_cap)&lt;AV$2, 0,IF(AND(time+1&gt;=AW$2, $E166&lt;AW$2), IF($I166= "I", $J166/($F166-$E166+1), $J166/(($F166*($F166+1)/2)-(($E166-1)*($E166-1+1)/2))*AV$2), 0)+IF(IF(time+1&gt;=AW$2, $K166/time_cap/(time+1)*AV$2, 0) = 0, $K166/(time_cap),0)),0)</f>
        <v/>
      </c>
      <c r="AW166" s="4395">
        <f>IFERROR(IF((time+time_cap)&lt;AW$2, 0,IF(AND(time+1&gt;=AX$2, $E166&lt;AX$2), IF($I166= "I", $J166/($F166-$E166+1), $J166/(($F166*($F166+1)/2)-(($E166-1)*($E166-1+1)/2))*AW$2), 0)+IF(IF(time+1&gt;=AX$2, $K166/time_cap/(time+1)*AW$2, 0) = 0, $K166/(time_cap),0)),0)</f>
        <v/>
      </c>
      <c r="AX166" s="4395">
        <f>IFERROR(IF((time+time_cap)&lt;AX$2, 0,IF(AND(time+1&gt;=AY$2, $E166&lt;AY$2), IF($I166= "I", $J166/($F166-$E166+1), $J166/(($F166*($F166+1)/2)-(($E166-1)*($E166-1+1)/2))*AX$2), 0)+IF(IF(time+1&gt;=AY$2, $K166/time_cap/(time+1)*AX$2, 0) = 0, $K166/(time_cap),0)),0)</f>
        <v/>
      </c>
      <c r="AY166" s="4395">
        <f>IFERROR(IF((time+time_cap)&lt;AY$2, 0,IF(AND(time+1&gt;=AZ$2, $E166&lt;AZ$2), IF($I166= "I", $J166/($F166-$E166+1), $J166/(($F166*($F166+1)/2)-(($E166-1)*($E166-1+1)/2))*AY$2), 0)+IF(IF(time+1&gt;=AZ$2, $K166/time_cap/(time+1)*AY$2, 0) = 0, $K166/(time_cap),0)),0)</f>
        <v/>
      </c>
      <c r="AZ166" s="4395">
        <f>IFERROR(IF((time+time_cap)&lt;AZ$2, 0,IF(AND(time+1&gt;=BA$2, $E166&lt;BA$2), IF($I166= "I", $J166/($F166-$E166+1), $J166/(($F166*($F166+1)/2)-(($E166-1)*($E166-1+1)/2))*AZ$2), 0)+IF(IF(time+1&gt;=BA$2, $K166/time_cap/(time+1)*AZ$2, 0) = 0, $K166/(time_cap),0)),0)</f>
        <v/>
      </c>
      <c r="BA166" s="4395">
        <f>IFERROR(IF((time+time_cap)&lt;BA$2, 0,IF(AND(time+1&gt;=BB$2, $E166&lt;BB$2), IF($I166= "I", $J166/($F166-$E166+1), $J166/(($F166*($F166+1)/2)-(($E166-1)*($E166-1+1)/2))*BA$2), 0)+IF(IF(time+1&gt;=BB$2, $K166/time_cap/(time+1)*BA$2, 0) = 0, $K166/(time_cap),0)),0)</f>
        <v/>
      </c>
      <c r="BB166" s="4395">
        <f>IFERROR(IF((time+time_cap)&lt;BB$2, 0,IF(AND(time+1&gt;=BC$2, $E166&lt;BC$2), IF($I166= "I", $J166/($F166-$E166+1), $J166/(($F166*($F166+1)/2)-(($E166-1)*($E166-1+1)/2))*BB$2), 0)+IF(IF(time+1&gt;=BC$2, $K166/time_cap/(time+1)*BB$2, 0) = 0, $K166/(time_cap),0)),0)</f>
        <v/>
      </c>
      <c r="BC166" s="4395">
        <f>IFERROR(IF((time+time_cap)&lt;BC$2, 0,IF(AND(time+1&gt;=BD$2, $E166&lt;BD$2), IF($I166= "I", $J166/($F166-$E166+1), $J166/(($F166*($F166+1)/2)-(($E166-1)*($E166-1+1)/2))*BC$2), 0)+IF(IF(time+1&gt;=BD$2, $K166/time_cap/(time+1)*BC$2, 0) = 0, $K166/(time_cap),0)),0)</f>
        <v/>
      </c>
      <c r="BD166" s="4395">
        <f>IFERROR(IF((time+time_cap)&lt;BD$2, 0,IF(AND(time+1&gt;=BE$2, $E166&lt;BE$2), IF($I166= "I", $J166/($F166-$E166+1), $J166/(($F166*($F166+1)/2)-(($E166-1)*($E166-1+1)/2))*BD$2), 0)+IF(IF(time+1&gt;=BE$2, $K166/time_cap/(time+1)*BD$2, 0) = 0, $K166/(time_cap),0)),0)</f>
        <v/>
      </c>
      <c r="BE166" s="4395">
        <f>IFERROR(IF((time+time_cap)&lt;BE$2, 0,IF(AND(time+1&gt;=BF$2, $E166&lt;BF$2), IF($I166= "I", $J166/($F166-$E166+1), $J166/(($F166*($F166+1)/2)-(($E166-1)*($E166-1+1)/2))*BE$2), 0)+IF(IF(time+1&gt;=BF$2, $K166/time_cap/(time+1)*BE$2, 0) = 0, $K166/(time_cap),0)),0)</f>
        <v/>
      </c>
      <c r="BF166" s="4395">
        <f>IFERROR(IF((time+time_cap)&lt;BF$2, 0,IF(AND(time+1&gt;=BG$2, $E166&lt;BG$2), IF($I166= "I", $J166/($F166-$E166+1), $J166/(($F166*($F166+1)/2)-(($E166-1)*($E166-1+1)/2))*BF$2), 0)+IF(IF(time+1&gt;=BG$2, $K166/time_cap/(time+1)*BF$2, 0) = 0, $K166/(time_cap),0)),0)</f>
        <v/>
      </c>
      <c r="BG166" s="4395">
        <f>IFERROR(IF((time+time_cap)&lt;BG$2, 0,IF(AND(time+1&gt;=BH$2, $E166&lt;BH$2), IF($I166= "I", $J166/($F166-$E166+1), $J166/(($F166*($F166+1)/2)-(($E166-1)*($E166-1+1)/2))*BG$2), 0)+IF(IF(time+1&gt;=BH$2, $K166/time_cap/(time+1)*BG$2, 0) = 0, $K166/(time_cap),0)),0)</f>
        <v/>
      </c>
      <c r="BH166" s="4395">
        <f>IFERROR(IF((time+time_cap)&lt;BH$2, 0,IF(AND(time+1&gt;=BI$2, $E166&lt;BI$2), IF($I166= "I", $J166/($F166-$E166+1), $J166/(($F166*($F166+1)/2)-(($E166-1)*($E166-1+1)/2))*BH$2), 0)+IF(IF(time+1&gt;=BI$2, $K166/time_cap/(time+1)*BH$2, 0) = 0, $K166/(time_cap),0)),0)</f>
        <v/>
      </c>
      <c r="BI166" s="4395">
        <f>IFERROR(IF((time+time_cap)&lt;BI$2, 0,IF(AND(time+1&gt;=BJ$2, $E166&lt;BJ$2), IF($I166= "I", $J166/($F166-$E166+1), $J166/(($F166*($F166+1)/2)-(($E166-1)*($E166-1+1)/2))*BI$2), 0)+IF(IF(time+1&gt;=BJ$2, $K166/time_cap/(time+1)*BI$2, 0) = 0, $K166/(time_cap),0)),0)</f>
        <v/>
      </c>
      <c r="BJ166" s="4395">
        <f>IFERROR(IF((time+time_cap)&lt;BJ$2, 0,IF(AND(time+1&gt;=BK$2, $E166&lt;BK$2), IF($I166= "I", $J166/($F166-$E166+1), $J166/(($F166*($F166+1)/2)-(($E166-1)*($E166-1+1)/2))*BJ$2), 0)+IF(IF(time+1&gt;=BK$2, $K166/time_cap/(time+1)*BJ$2, 0) = 0, $K166/(time_cap),0)),0)</f>
        <v/>
      </c>
      <c r="BK166" s="4395" t="n"/>
      <c r="BL166" s="4395" t="n"/>
      <c r="BM166" s="4395" t="n"/>
      <c r="BN166" s="4395" t="n"/>
      <c r="BO166" s="4395" t="n"/>
      <c r="BP166" s="4395" t="n"/>
      <c r="BQ166" s="4395" t="n"/>
      <c r="BR166" s="4395" t="n"/>
      <c r="BS166" s="4395" t="n"/>
      <c r="BT166" s="4395" t="n"/>
      <c r="BU166" s="4395" t="n"/>
      <c r="BV166" s="4395" t="n"/>
      <c r="BW166" s="4395" t="n"/>
      <c r="BX166" s="4395" t="n"/>
      <c r="BY166" s="4395" t="n"/>
      <c r="BZ166" s="4395" t="n"/>
      <c r="CA166" s="4395" t="n"/>
      <c r="CB166" s="4395" t="n"/>
      <c r="CC166" s="4395" t="n"/>
      <c r="CD166" s="4395" t="n"/>
      <c r="CE166" s="4395" t="n"/>
      <c r="CF166" s="4395" t="n"/>
      <c r="CG166" s="4395" t="n"/>
      <c r="CH166" s="4395" t="n"/>
      <c r="CI166" s="4395" t="n"/>
      <c r="CJ166" s="4395" t="n"/>
      <c r="CK166" s="4395" t="n"/>
      <c r="CL166" s="4395" t="n"/>
      <c r="CM166" s="4395" t="n"/>
      <c r="CN166" s="4395" t="n"/>
      <c r="CO166" s="4395" t="n"/>
      <c r="CP166" s="4395" t="n"/>
      <c r="CQ166" s="4395" t="n"/>
      <c r="CR166" s="4395" t="n"/>
      <c r="CS166" s="4395" t="n"/>
      <c r="CT166" s="4395" t="n"/>
      <c r="CU166" s="4395" t="n"/>
      <c r="CV166" s="4395" t="n"/>
      <c r="CW166" s="4395" t="n"/>
      <c r="CX166" s="4395" t="n"/>
      <c r="CY166" s="4395" t="n"/>
      <c r="CZ166" s="4395" t="n"/>
      <c r="DA166" s="4395" t="n"/>
      <c r="DB166" s="4395" t="n"/>
      <c r="DC166" s="4395" t="n"/>
      <c r="DD166" s="4395" t="n"/>
      <c r="DE166" s="4395" t="n"/>
      <c r="DF166" s="4395" t="n"/>
      <c r="DG166" s="4395" t="n"/>
      <c r="DH166" s="4395" t="n"/>
    </row>
    <row r="167" ht="16" customHeight="1">
      <c r="A167" t="inlineStr">
        <is>
          <t>Coastal wetland - drainage</t>
        </is>
      </c>
      <c r="C167">
        <f>'7.Coastal wetlands'!C30</f>
        <v/>
      </c>
      <c r="D167">
        <f>'7.Coastal wetlands'!AI30</f>
        <v/>
      </c>
      <c r="E167">
        <f>IF('7.Coastal wetlands'!CN30&lt;&gt;0,'7.Coastal wetlands'!CN30,'7.Coastal wetlands'!CM30)</f>
        <v/>
      </c>
      <c r="F167">
        <f>time</f>
        <v/>
      </c>
      <c r="G167" s="4395">
        <f>'7.Coastal wetlands'!I30</f>
        <v/>
      </c>
      <c r="H167" s="4395">
        <f>'7.Coastal wetlands'!K30</f>
        <v/>
      </c>
      <c r="I167" s="4395">
        <f>IF(OR(H167="I", G167="I"), "I", IF(OR(H167="E", G167="E"), "E", "D"))</f>
        <v/>
      </c>
      <c r="J167" s="4395">
        <f>((D167/(time_cap+((F167-E167+1)*VLOOKUP(I167,list!$I$48:$K$50,3, FALSE))))*(F167-E167+1)*VLOOKUP(I167,list!$I$48:$K$50,3, FALSE))</f>
        <v/>
      </c>
      <c r="K167" s="4395">
        <f>((D167/(time_cap+((F167-E167+1)*VLOOKUP(I167,list!$I$48:$K$50,3, FALSE))))*time_cap)</f>
        <v/>
      </c>
      <c r="M167" s="4395">
        <f>IFERROR(IF((time+time_cap)&lt;M$2, 0,IF(AND(time+1&gt;=N$2, $E167&lt;N$2), IF($I167= "I", $J167/($F167-$E167+1), $J167/(($F167*($F167+1)/2)-(($E167-1)*($E167-1+1)/2))*M$2), 0)+IF(IF(time+1&gt;=N$2, $K167/time_cap/(time+1)*M$2, 0) = 0, $K167/(time_cap),0)),0)</f>
        <v/>
      </c>
      <c r="N167" s="4395">
        <f>IFERROR(IF((time+time_cap)&lt;N$2, 0,IF(AND(time+1&gt;=O$2, $E167&lt;O$2), IF($I167= "I", $J167/($F167-$E167+1), $J167/(($F167*($F167+1)/2)-(($E167-1)*($E167-1+1)/2))*N$2), 0)+IF(IF(time+1&gt;=O$2, $K167/time_cap/(time+1)*N$2, 0) = 0, $K167/(time_cap),0)),0)</f>
        <v/>
      </c>
      <c r="O167" s="4395">
        <f>IFERROR(IF((time+time_cap)&lt;O$2, 0,IF(AND(time+1&gt;=P$2, $E167&lt;P$2), IF($I167= "I", $J167/($F167-$E167+1), $J167/(($F167*($F167+1)/2)-(($E167-1)*($E167-1+1)/2))*O$2), 0)+IF(IF(time+1&gt;=P$2, $K167/time_cap/(time+1)*O$2, 0) = 0, $K167/(time_cap),0)),0)</f>
        <v/>
      </c>
      <c r="P167" s="4395">
        <f>IFERROR(IF((time+time_cap)&lt;P$2, 0,IF(AND(time+1&gt;=Q$2, $E167&lt;Q$2), IF($I167= "I", $J167/($F167-$E167+1), $J167/(($F167*($F167+1)/2)-(($E167-1)*($E167-1+1)/2))*P$2), 0)+IF(IF(time+1&gt;=Q$2, $K167/time_cap/(time+1)*P$2, 0) = 0, $K167/(time_cap),0)),0)</f>
        <v/>
      </c>
      <c r="Q167" s="4395">
        <f>IFERROR(IF((time+time_cap)&lt;Q$2, 0,IF(AND(time+1&gt;=R$2, $E167&lt;R$2), IF($I167= "I", $J167/($F167-$E167+1), $J167/(($F167*($F167+1)/2)-(($E167-1)*($E167-1+1)/2))*Q$2), 0)+IF(IF(time+1&gt;=R$2, $K167/time_cap/(time+1)*Q$2, 0) = 0, $K167/(time_cap),0)),0)</f>
        <v/>
      </c>
      <c r="R167" s="4395">
        <f>IFERROR(IF((time+time_cap)&lt;R$2, 0,IF(AND(time+1&gt;=S$2, $E167&lt;S$2), IF($I167= "I", $J167/($F167-$E167+1), $J167/(($F167*($F167+1)/2)-(($E167-1)*($E167-1+1)/2))*R$2), 0)+IF(IF(time+1&gt;=S$2, $K167/time_cap/(time+1)*R$2, 0) = 0, $K167/(time_cap),0)),0)</f>
        <v/>
      </c>
      <c r="S167" s="4395">
        <f>IFERROR(IF((time+time_cap)&lt;S$2, 0,IF(AND(time+1&gt;=T$2, $E167&lt;T$2), IF($I167= "I", $J167/($F167-$E167+1), $J167/(($F167*($F167+1)/2)-(($E167-1)*($E167-1+1)/2))*S$2), 0)+IF(IF(time+1&gt;=T$2, $K167/time_cap/(time+1)*S$2, 0) = 0, $K167/(time_cap),0)),0)</f>
        <v/>
      </c>
      <c r="T167" s="4395">
        <f>IFERROR(IF((time+time_cap)&lt;T$2, 0,IF(AND(time+1&gt;=U$2, $E167&lt;U$2), IF($I167= "I", $J167/($F167-$E167+1), $J167/(($F167*($F167+1)/2)-(($E167-1)*($E167-1+1)/2))*T$2), 0)+IF(IF(time+1&gt;=U$2, $K167/time_cap/(time+1)*T$2, 0) = 0, $K167/(time_cap),0)),0)</f>
        <v/>
      </c>
      <c r="U167" s="4395">
        <f>IFERROR(IF((time+time_cap)&lt;U$2, 0,IF(AND(time+1&gt;=V$2, $E167&lt;V$2), IF($I167= "I", $J167/($F167-$E167+1), $J167/(($F167*($F167+1)/2)-(($E167-1)*($E167-1+1)/2))*U$2), 0)+IF(IF(time+1&gt;=V$2, $K167/time_cap/(time+1)*U$2, 0) = 0, $K167/(time_cap),0)),0)</f>
        <v/>
      </c>
      <c r="V167" s="4395">
        <f>IFERROR(IF((time+time_cap)&lt;V$2, 0,IF(AND(time+1&gt;=W$2, $E167&lt;W$2), IF($I167= "I", $J167/($F167-$E167+1), $J167/(($F167*($F167+1)/2)-(($E167-1)*($E167-1+1)/2))*V$2), 0)+IF(IF(time+1&gt;=W$2, $K167/time_cap/(time+1)*V$2, 0) = 0, $K167/(time_cap),0)),0)</f>
        <v/>
      </c>
      <c r="W167" s="4395">
        <f>IFERROR(IF((time+time_cap)&lt;W$2, 0,IF(AND(time+1&gt;=X$2, $E167&lt;X$2), IF($I167= "I", $J167/($F167-$E167+1), $J167/(($F167*($F167+1)/2)-(($E167-1)*($E167-1+1)/2))*W$2), 0)+IF(IF(time+1&gt;=X$2, $K167/time_cap/(time+1)*W$2, 0) = 0, $K167/(time_cap),0)),0)</f>
        <v/>
      </c>
      <c r="X167" s="4395">
        <f>IFERROR(IF((time+time_cap)&lt;X$2, 0,IF(AND(time+1&gt;=Y$2, $E167&lt;Y$2), IF($I167= "I", $J167/($F167-$E167+1), $J167/(($F167*($F167+1)/2)-(($E167-1)*($E167-1+1)/2))*X$2), 0)+IF(IF(time+1&gt;=Y$2, $K167/time_cap/(time+1)*X$2, 0) = 0, $K167/(time_cap),0)),0)</f>
        <v/>
      </c>
      <c r="Y167" s="4395">
        <f>IFERROR(IF((time+time_cap)&lt;Y$2, 0,IF(AND(time+1&gt;=Z$2, $E167&lt;Z$2), IF($I167= "I", $J167/($F167-$E167+1), $J167/(($F167*($F167+1)/2)-(($E167-1)*($E167-1+1)/2))*Y$2), 0)+IF(IF(time+1&gt;=Z$2, $K167/time_cap/(time+1)*Y$2, 0) = 0, $K167/(time_cap),0)),0)</f>
        <v/>
      </c>
      <c r="Z167" s="4395">
        <f>IFERROR(IF((time+time_cap)&lt;Z$2, 0,IF(AND(time+1&gt;=AA$2, $E167&lt;AA$2), IF($I167= "I", $J167/($F167-$E167+1), $J167/(($F167*($F167+1)/2)-(($E167-1)*($E167-1+1)/2))*Z$2), 0)+IF(IF(time+1&gt;=AA$2, $K167/time_cap/(time+1)*Z$2, 0) = 0, $K167/(time_cap),0)),0)</f>
        <v/>
      </c>
      <c r="AA167" s="4395">
        <f>IFERROR(IF((time+time_cap)&lt;AA$2, 0,IF(AND(time+1&gt;=AB$2, $E167&lt;AB$2), IF($I167= "I", $J167/($F167-$E167+1), $J167/(($F167*($F167+1)/2)-(($E167-1)*($E167-1+1)/2))*AA$2), 0)+IF(IF(time+1&gt;=AB$2, $K167/time_cap/(time+1)*AA$2, 0) = 0, $K167/(time_cap),0)),0)</f>
        <v/>
      </c>
      <c r="AB167" s="4395">
        <f>IFERROR(IF((time+time_cap)&lt;AB$2, 0,IF(AND(time+1&gt;=AC$2, $E167&lt;AC$2), IF($I167= "I", $J167/($F167-$E167+1), $J167/(($F167*($F167+1)/2)-(($E167-1)*($E167-1+1)/2))*AB$2), 0)+IF(IF(time+1&gt;=AC$2, $K167/time_cap/(time+1)*AB$2, 0) = 0, $K167/(time_cap),0)),0)</f>
        <v/>
      </c>
      <c r="AC167" s="4395">
        <f>IFERROR(IF((time+time_cap)&lt;AC$2, 0,IF(AND(time+1&gt;=AD$2, $E167&lt;AD$2), IF($I167= "I", $J167/($F167-$E167+1), $J167/(($F167*($F167+1)/2)-(($E167-1)*($E167-1+1)/2))*AC$2), 0)+IF(IF(time+1&gt;=AD$2, $K167/time_cap/(time+1)*AC$2, 0) = 0, $K167/(time_cap),0)),0)</f>
        <v/>
      </c>
      <c r="AD167" s="4395">
        <f>IFERROR(IF((time+time_cap)&lt;AD$2, 0,IF(AND(time+1&gt;=AE$2, $E167&lt;AE$2), IF($I167= "I", $J167/($F167-$E167+1), $J167/(($F167*($F167+1)/2)-(($E167-1)*($E167-1+1)/2))*AD$2), 0)+IF(IF(time+1&gt;=AE$2, $K167/time_cap/(time+1)*AD$2, 0) = 0, $K167/(time_cap),0)),0)</f>
        <v/>
      </c>
      <c r="AE167" s="4395">
        <f>IFERROR(IF((time+time_cap)&lt;AE$2, 0,IF(AND(time+1&gt;=AF$2, $E167&lt;AF$2), IF($I167= "I", $J167/($F167-$E167+1), $J167/(($F167*($F167+1)/2)-(($E167-1)*($E167-1+1)/2))*AE$2), 0)+IF(IF(time+1&gt;=AF$2, $K167/time_cap/(time+1)*AE$2, 0) = 0, $K167/(time_cap),0)),0)</f>
        <v/>
      </c>
      <c r="AF167" s="4395">
        <f>IFERROR(IF((time+time_cap)&lt;AF$2, 0,IF(AND(time+1&gt;=AG$2, $E167&lt;AG$2), IF($I167= "I", $J167/($F167-$E167+1), $J167/(($F167*($F167+1)/2)-(($E167-1)*($E167-1+1)/2))*AF$2), 0)+IF(IF(time+1&gt;=AG$2, $K167/time_cap/(time+1)*AF$2, 0) = 0, $K167/(time_cap),0)),0)</f>
        <v/>
      </c>
      <c r="AG167" s="4395">
        <f>IFERROR(IF((time+time_cap)&lt;AG$2, 0,IF(AND(time+1&gt;=AH$2, $E167&lt;AH$2), IF($I167= "I", $J167/($F167-$E167+1), $J167/(($F167*($F167+1)/2)-(($E167-1)*($E167-1+1)/2))*AG$2), 0)+IF(IF(time+1&gt;=AH$2, $K167/time_cap/(time+1)*AG$2, 0) = 0, $K167/(time_cap),0)),0)</f>
        <v/>
      </c>
      <c r="AH167" s="4395">
        <f>IFERROR(IF((time+time_cap)&lt;AH$2, 0,IF(AND(time+1&gt;=AI$2, $E167&lt;AI$2), IF($I167= "I", $J167/($F167-$E167+1), $J167/(($F167*($F167+1)/2)-(($E167-1)*($E167-1+1)/2))*AH$2), 0)+IF(IF(time+1&gt;=AI$2, $K167/time_cap/(time+1)*AH$2, 0) = 0, $K167/(time_cap),0)),0)</f>
        <v/>
      </c>
      <c r="AI167" s="4395">
        <f>IFERROR(IF((time+time_cap)&lt;AI$2, 0,IF(AND(time+1&gt;=AJ$2, $E167&lt;AJ$2), IF($I167= "I", $J167/($F167-$E167+1), $J167/(($F167*($F167+1)/2)-(($E167-1)*($E167-1+1)/2))*AI$2), 0)+IF(IF(time+1&gt;=AJ$2, $K167/time_cap/(time+1)*AI$2, 0) = 0, $K167/(time_cap),0)),0)</f>
        <v/>
      </c>
      <c r="AJ167" s="4395">
        <f>IFERROR(IF((time+time_cap)&lt;AJ$2, 0,IF(AND(time+1&gt;=AK$2, $E167&lt;AK$2), IF($I167= "I", $J167/($F167-$E167+1), $J167/(($F167*($F167+1)/2)-(($E167-1)*($E167-1+1)/2))*AJ$2), 0)+IF(IF(time+1&gt;=AK$2, $K167/time_cap/(time+1)*AJ$2, 0) = 0, $K167/(time_cap),0)),0)</f>
        <v/>
      </c>
      <c r="AK167" s="4395">
        <f>IFERROR(IF((time+time_cap)&lt;AK$2, 0,IF(AND(time+1&gt;=AL$2, $E167&lt;AL$2), IF($I167= "I", $J167/($F167-$E167+1), $J167/(($F167*($F167+1)/2)-(($E167-1)*($E167-1+1)/2))*AK$2), 0)+IF(IF(time+1&gt;=AL$2, $K167/time_cap/(time+1)*AK$2, 0) = 0, $K167/(time_cap),0)),0)</f>
        <v/>
      </c>
      <c r="AL167" s="4395">
        <f>IFERROR(IF((time+time_cap)&lt;AL$2, 0,IF(AND(time+1&gt;=AM$2, $E167&lt;AM$2), IF($I167= "I", $J167/($F167-$E167+1), $J167/(($F167*($F167+1)/2)-(($E167-1)*($E167-1+1)/2))*AL$2), 0)+IF(IF(time+1&gt;=AM$2, $K167/time_cap/(time+1)*AL$2, 0) = 0, $K167/(time_cap),0)),0)</f>
        <v/>
      </c>
      <c r="AM167" s="4395">
        <f>IFERROR(IF((time+time_cap)&lt;AM$2, 0,IF(AND(time+1&gt;=AN$2, $E167&lt;AN$2), IF($I167= "I", $J167/($F167-$E167+1), $J167/(($F167*($F167+1)/2)-(($E167-1)*($E167-1+1)/2))*AM$2), 0)+IF(IF(time+1&gt;=AN$2, $K167/time_cap/(time+1)*AM$2, 0) = 0, $K167/(time_cap),0)),0)</f>
        <v/>
      </c>
      <c r="AN167" s="4395">
        <f>IFERROR(IF((time+time_cap)&lt;AN$2, 0,IF(AND(time+1&gt;=AO$2, $E167&lt;AO$2), IF($I167= "I", $J167/($F167-$E167+1), $J167/(($F167*($F167+1)/2)-(($E167-1)*($E167-1+1)/2))*AN$2), 0)+IF(IF(time+1&gt;=AO$2, $K167/time_cap/(time+1)*AN$2, 0) = 0, $K167/(time_cap),0)),0)</f>
        <v/>
      </c>
      <c r="AO167" s="4395">
        <f>IFERROR(IF((time+time_cap)&lt;AO$2, 0,IF(AND(time+1&gt;=AP$2, $E167&lt;AP$2), IF($I167= "I", $J167/($F167-$E167+1), $J167/(($F167*($F167+1)/2)-(($E167-1)*($E167-1+1)/2))*AO$2), 0)+IF(IF(time+1&gt;=AP$2, $K167/time_cap/(time+1)*AO$2, 0) = 0, $K167/(time_cap),0)),0)</f>
        <v/>
      </c>
      <c r="AP167" s="4395">
        <f>IFERROR(IF((time+time_cap)&lt;AP$2, 0,IF(AND(time+1&gt;=AQ$2, $E167&lt;AQ$2), IF($I167= "I", $J167/($F167-$E167+1), $J167/(($F167*($F167+1)/2)-(($E167-1)*($E167-1+1)/2))*AP$2), 0)+IF(IF(time+1&gt;=AQ$2, $K167/time_cap/(time+1)*AP$2, 0) = 0, $K167/(time_cap),0)),0)</f>
        <v/>
      </c>
      <c r="AQ167" s="4395">
        <f>IFERROR(IF((time+time_cap)&lt;AQ$2, 0,IF(AND(time+1&gt;=AR$2, $E167&lt;AR$2), IF($I167= "I", $J167/($F167-$E167+1), $J167/(($F167*($F167+1)/2)-(($E167-1)*($E167-1+1)/2))*AQ$2), 0)+IF(IF(time+1&gt;=AR$2, $K167/time_cap/(time+1)*AQ$2, 0) = 0, $K167/(time_cap),0)),0)</f>
        <v/>
      </c>
      <c r="AR167" s="4395">
        <f>IFERROR(IF((time+time_cap)&lt;AR$2, 0,IF(AND(time+1&gt;=AS$2, $E167&lt;AS$2), IF($I167= "I", $J167/($F167-$E167+1), $J167/(($F167*($F167+1)/2)-(($E167-1)*($E167-1+1)/2))*AR$2), 0)+IF(IF(time+1&gt;=AS$2, $K167/time_cap/(time+1)*AR$2, 0) = 0, $K167/(time_cap),0)),0)</f>
        <v/>
      </c>
      <c r="AS167" s="4395">
        <f>IFERROR(IF((time+time_cap)&lt;AS$2, 0,IF(AND(time+1&gt;=AT$2, $E167&lt;AT$2), IF($I167= "I", $J167/($F167-$E167+1), $J167/(($F167*($F167+1)/2)-(($E167-1)*($E167-1+1)/2))*AS$2), 0)+IF(IF(time+1&gt;=AT$2, $K167/time_cap/(time+1)*AS$2, 0) = 0, $K167/(time_cap),0)),0)</f>
        <v/>
      </c>
      <c r="AT167" s="4395">
        <f>IFERROR(IF((time+time_cap)&lt;AT$2, 0,IF(AND(time+1&gt;=AU$2, $E167&lt;AU$2), IF($I167= "I", $J167/($F167-$E167+1), $J167/(($F167*($F167+1)/2)-(($E167-1)*($E167-1+1)/2))*AT$2), 0)+IF(IF(time+1&gt;=AU$2, $K167/time_cap/(time+1)*AT$2, 0) = 0, $K167/(time_cap),0)),0)</f>
        <v/>
      </c>
      <c r="AU167" s="4395">
        <f>IFERROR(IF((time+time_cap)&lt;AU$2, 0,IF(AND(time+1&gt;=AV$2, $E167&lt;AV$2), IF($I167= "I", $J167/($F167-$E167+1), $J167/(($F167*($F167+1)/2)-(($E167-1)*($E167-1+1)/2))*AU$2), 0)+IF(IF(time+1&gt;=AV$2, $K167/time_cap/(time+1)*AU$2, 0) = 0, $K167/(time_cap),0)),0)</f>
        <v/>
      </c>
      <c r="AV167" s="4395">
        <f>IFERROR(IF((time+time_cap)&lt;AV$2, 0,IF(AND(time+1&gt;=AW$2, $E167&lt;AW$2), IF($I167= "I", $J167/($F167-$E167+1), $J167/(($F167*($F167+1)/2)-(($E167-1)*($E167-1+1)/2))*AV$2), 0)+IF(IF(time+1&gt;=AW$2, $K167/time_cap/(time+1)*AV$2, 0) = 0, $K167/(time_cap),0)),0)</f>
        <v/>
      </c>
      <c r="AW167" s="4395">
        <f>IFERROR(IF((time+time_cap)&lt;AW$2, 0,IF(AND(time+1&gt;=AX$2, $E167&lt;AX$2), IF($I167= "I", $J167/($F167-$E167+1), $J167/(($F167*($F167+1)/2)-(($E167-1)*($E167-1+1)/2))*AW$2), 0)+IF(IF(time+1&gt;=AX$2, $K167/time_cap/(time+1)*AW$2, 0) = 0, $K167/(time_cap),0)),0)</f>
        <v/>
      </c>
      <c r="AX167" s="4395">
        <f>IFERROR(IF((time+time_cap)&lt;AX$2, 0,IF(AND(time+1&gt;=AY$2, $E167&lt;AY$2), IF($I167= "I", $J167/($F167-$E167+1), $J167/(($F167*($F167+1)/2)-(($E167-1)*($E167-1+1)/2))*AX$2), 0)+IF(IF(time+1&gt;=AY$2, $K167/time_cap/(time+1)*AX$2, 0) = 0, $K167/(time_cap),0)),0)</f>
        <v/>
      </c>
      <c r="AY167" s="4395">
        <f>IFERROR(IF((time+time_cap)&lt;AY$2, 0,IF(AND(time+1&gt;=AZ$2, $E167&lt;AZ$2), IF($I167= "I", $J167/($F167-$E167+1), $J167/(($F167*($F167+1)/2)-(($E167-1)*($E167-1+1)/2))*AY$2), 0)+IF(IF(time+1&gt;=AZ$2, $K167/time_cap/(time+1)*AY$2, 0) = 0, $K167/(time_cap),0)),0)</f>
        <v/>
      </c>
      <c r="AZ167" s="4395">
        <f>IFERROR(IF((time+time_cap)&lt;AZ$2, 0,IF(AND(time+1&gt;=BA$2, $E167&lt;BA$2), IF($I167= "I", $J167/($F167-$E167+1), $J167/(($F167*($F167+1)/2)-(($E167-1)*($E167-1+1)/2))*AZ$2), 0)+IF(IF(time+1&gt;=BA$2, $K167/time_cap/(time+1)*AZ$2, 0) = 0, $K167/(time_cap),0)),0)</f>
        <v/>
      </c>
      <c r="BA167" s="4395">
        <f>IFERROR(IF((time+time_cap)&lt;BA$2, 0,IF(AND(time+1&gt;=BB$2, $E167&lt;BB$2), IF($I167= "I", $J167/($F167-$E167+1), $J167/(($F167*($F167+1)/2)-(($E167-1)*($E167-1+1)/2))*BA$2), 0)+IF(IF(time+1&gt;=BB$2, $K167/time_cap/(time+1)*BA$2, 0) = 0, $K167/(time_cap),0)),0)</f>
        <v/>
      </c>
      <c r="BB167" s="4395">
        <f>IFERROR(IF((time+time_cap)&lt;BB$2, 0,IF(AND(time+1&gt;=BC$2, $E167&lt;BC$2), IF($I167= "I", $J167/($F167-$E167+1), $J167/(($F167*($F167+1)/2)-(($E167-1)*($E167-1+1)/2))*BB$2), 0)+IF(IF(time+1&gt;=BC$2, $K167/time_cap/(time+1)*BB$2, 0) = 0, $K167/(time_cap),0)),0)</f>
        <v/>
      </c>
      <c r="BC167" s="4395">
        <f>IFERROR(IF((time+time_cap)&lt;BC$2, 0,IF(AND(time+1&gt;=BD$2, $E167&lt;BD$2), IF($I167= "I", $J167/($F167-$E167+1), $J167/(($F167*($F167+1)/2)-(($E167-1)*($E167-1+1)/2))*BC$2), 0)+IF(IF(time+1&gt;=BD$2, $K167/time_cap/(time+1)*BC$2, 0) = 0, $K167/(time_cap),0)),0)</f>
        <v/>
      </c>
      <c r="BD167" s="4395">
        <f>IFERROR(IF((time+time_cap)&lt;BD$2, 0,IF(AND(time+1&gt;=BE$2, $E167&lt;BE$2), IF($I167= "I", $J167/($F167-$E167+1), $J167/(($F167*($F167+1)/2)-(($E167-1)*($E167-1+1)/2))*BD$2), 0)+IF(IF(time+1&gt;=BE$2, $K167/time_cap/(time+1)*BD$2, 0) = 0, $K167/(time_cap),0)),0)</f>
        <v/>
      </c>
      <c r="BE167" s="4395">
        <f>IFERROR(IF((time+time_cap)&lt;BE$2, 0,IF(AND(time+1&gt;=BF$2, $E167&lt;BF$2), IF($I167= "I", $J167/($F167-$E167+1), $J167/(($F167*($F167+1)/2)-(($E167-1)*($E167-1+1)/2))*BE$2), 0)+IF(IF(time+1&gt;=BF$2, $K167/time_cap/(time+1)*BE$2, 0) = 0, $K167/(time_cap),0)),0)</f>
        <v/>
      </c>
      <c r="BF167" s="4395">
        <f>IFERROR(IF((time+time_cap)&lt;BF$2, 0,IF(AND(time+1&gt;=BG$2, $E167&lt;BG$2), IF($I167= "I", $J167/($F167-$E167+1), $J167/(($F167*($F167+1)/2)-(($E167-1)*($E167-1+1)/2))*BF$2), 0)+IF(IF(time+1&gt;=BG$2, $K167/time_cap/(time+1)*BF$2, 0) = 0, $K167/(time_cap),0)),0)</f>
        <v/>
      </c>
      <c r="BG167" s="4395">
        <f>IFERROR(IF((time+time_cap)&lt;BG$2, 0,IF(AND(time+1&gt;=BH$2, $E167&lt;BH$2), IF($I167= "I", $J167/($F167-$E167+1), $J167/(($F167*($F167+1)/2)-(($E167-1)*($E167-1+1)/2))*BG$2), 0)+IF(IF(time+1&gt;=BH$2, $K167/time_cap/(time+1)*BG$2, 0) = 0, $K167/(time_cap),0)),0)</f>
        <v/>
      </c>
      <c r="BH167" s="4395">
        <f>IFERROR(IF((time+time_cap)&lt;BH$2, 0,IF(AND(time+1&gt;=BI$2, $E167&lt;BI$2), IF($I167= "I", $J167/($F167-$E167+1), $J167/(($F167*($F167+1)/2)-(($E167-1)*($E167-1+1)/2))*BH$2), 0)+IF(IF(time+1&gt;=BI$2, $K167/time_cap/(time+1)*BH$2, 0) = 0, $K167/(time_cap),0)),0)</f>
        <v/>
      </c>
      <c r="BI167" s="4395">
        <f>IFERROR(IF((time+time_cap)&lt;BI$2, 0,IF(AND(time+1&gt;=BJ$2, $E167&lt;BJ$2), IF($I167= "I", $J167/($F167-$E167+1), $J167/(($F167*($F167+1)/2)-(($E167-1)*($E167-1+1)/2))*BI$2), 0)+IF(IF(time+1&gt;=BJ$2, $K167/time_cap/(time+1)*BI$2, 0) = 0, $K167/(time_cap),0)),0)</f>
        <v/>
      </c>
      <c r="BJ167" s="4395">
        <f>IFERROR(IF((time+time_cap)&lt;BJ$2, 0,IF(AND(time+1&gt;=BK$2, $E167&lt;BK$2), IF($I167= "I", $J167/($F167-$E167+1), $J167/(($F167*($F167+1)/2)-(($E167-1)*($E167-1+1)/2))*BJ$2), 0)+IF(IF(time+1&gt;=BK$2, $K167/time_cap/(time+1)*BJ$2, 0) = 0, $K167/(time_cap),0)),0)</f>
        <v/>
      </c>
      <c r="BK167" s="4395" t="n"/>
      <c r="BL167" s="4395" t="n"/>
      <c r="BM167" s="4395" t="n"/>
      <c r="BN167" s="4395" t="n"/>
      <c r="BO167" s="4395" t="n"/>
      <c r="BP167" s="4395" t="n"/>
      <c r="BQ167" s="4395" t="n"/>
      <c r="BR167" s="4395" t="n"/>
      <c r="BS167" s="4395" t="n"/>
      <c r="BT167" s="4395" t="n"/>
      <c r="BU167" s="4395" t="n"/>
      <c r="BV167" s="4395" t="n"/>
      <c r="BW167" s="4395" t="n"/>
      <c r="BX167" s="4395" t="n"/>
      <c r="BY167" s="4395" t="n"/>
      <c r="BZ167" s="4395" t="n"/>
      <c r="CA167" s="4395" t="n"/>
      <c r="CB167" s="4395" t="n"/>
      <c r="CC167" s="4395" t="n"/>
      <c r="CD167" s="4395" t="n"/>
      <c r="CE167" s="4395" t="n"/>
      <c r="CF167" s="4395" t="n"/>
      <c r="CG167" s="4395" t="n"/>
      <c r="CH167" s="4395" t="n"/>
      <c r="CI167" s="4395" t="n"/>
      <c r="CJ167" s="4395" t="n"/>
      <c r="CK167" s="4395" t="n"/>
      <c r="CL167" s="4395" t="n"/>
      <c r="CM167" s="4395" t="n"/>
      <c r="CN167" s="4395" t="n"/>
      <c r="CO167" s="4395" t="n"/>
      <c r="CP167" s="4395" t="n"/>
      <c r="CQ167" s="4395" t="n"/>
      <c r="CR167" s="4395" t="n"/>
      <c r="CS167" s="4395" t="n"/>
      <c r="CT167" s="4395" t="n"/>
      <c r="CU167" s="4395" t="n"/>
      <c r="CV167" s="4395" t="n"/>
      <c r="CW167" s="4395" t="n"/>
      <c r="CX167" s="4395" t="n"/>
      <c r="CY167" s="4395" t="n"/>
      <c r="CZ167" s="4395" t="n"/>
      <c r="DA167" s="4395" t="n"/>
      <c r="DB167" s="4395" t="n"/>
      <c r="DC167" s="4395" t="n"/>
      <c r="DD167" s="4395" t="n"/>
      <c r="DE167" s="4395" t="n"/>
      <c r="DF167" s="4395" t="n"/>
      <c r="DG167" s="4395" t="n"/>
      <c r="DH167" s="4395" t="n"/>
    </row>
    <row r="168" ht="16" customHeight="1">
      <c r="A168" t="inlineStr">
        <is>
          <t>Coastal wetland - drainage</t>
        </is>
      </c>
      <c r="C168">
        <f>'7.Coastal wetlands'!C31</f>
        <v/>
      </c>
      <c r="D168">
        <f>'7.Coastal wetlands'!AI31</f>
        <v/>
      </c>
      <c r="E168">
        <f>IF('7.Coastal wetlands'!CN31&lt;&gt;0,'7.Coastal wetlands'!CN31,'7.Coastal wetlands'!CM31)</f>
        <v/>
      </c>
      <c r="F168">
        <f>time</f>
        <v/>
      </c>
      <c r="G168" s="4395">
        <f>'7.Coastal wetlands'!I31</f>
        <v/>
      </c>
      <c r="H168" s="4395">
        <f>'7.Coastal wetlands'!K31</f>
        <v/>
      </c>
      <c r="I168" s="4395">
        <f>IF(OR(H168="I", G168="I"), "I", IF(OR(H168="E", G168="E"), "E", "D"))</f>
        <v/>
      </c>
      <c r="J168" s="4395">
        <f>((D168/(time_cap+((F168-E168+1)*VLOOKUP(I168,list!$I$48:$K$50,3, FALSE))))*(F168-E168+1)*VLOOKUP(I168,list!$I$48:$K$50,3, FALSE))</f>
        <v/>
      </c>
      <c r="K168" s="4395">
        <f>((D168/(time_cap+((F168-E168+1)*VLOOKUP(I168,list!$I$48:$K$50,3, FALSE))))*time_cap)</f>
        <v/>
      </c>
      <c r="M168" s="4395">
        <f>IFERROR(IF((time+time_cap)&lt;M$2, 0,IF(AND(time+1&gt;=N$2, $E168&lt;N$2), IF($I168= "I", $J168/($F168-$E168+1), $J168/(($F168*($F168+1)/2)-(($E168-1)*($E168-1+1)/2))*M$2), 0)+IF(IF(time+1&gt;=N$2, $K168/time_cap/(time+1)*M$2, 0) = 0, $K168/(time_cap),0)),0)</f>
        <v/>
      </c>
      <c r="N168" s="4395">
        <f>IFERROR(IF((time+time_cap)&lt;N$2, 0,IF(AND(time+1&gt;=O$2, $E168&lt;O$2), IF($I168= "I", $J168/($F168-$E168+1), $J168/(($F168*($F168+1)/2)-(($E168-1)*($E168-1+1)/2))*N$2), 0)+IF(IF(time+1&gt;=O$2, $K168/time_cap/(time+1)*N$2, 0) = 0, $K168/(time_cap),0)),0)</f>
        <v/>
      </c>
      <c r="O168" s="4395">
        <f>IFERROR(IF((time+time_cap)&lt;O$2, 0,IF(AND(time+1&gt;=P$2, $E168&lt;P$2), IF($I168= "I", $J168/($F168-$E168+1), $J168/(($F168*($F168+1)/2)-(($E168-1)*($E168-1+1)/2))*O$2), 0)+IF(IF(time+1&gt;=P$2, $K168/time_cap/(time+1)*O$2, 0) = 0, $K168/(time_cap),0)),0)</f>
        <v/>
      </c>
      <c r="P168" s="4395">
        <f>IFERROR(IF((time+time_cap)&lt;P$2, 0,IF(AND(time+1&gt;=Q$2, $E168&lt;Q$2), IF($I168= "I", $J168/($F168-$E168+1), $J168/(($F168*($F168+1)/2)-(($E168-1)*($E168-1+1)/2))*P$2), 0)+IF(IF(time+1&gt;=Q$2, $K168/time_cap/(time+1)*P$2, 0) = 0, $K168/(time_cap),0)),0)</f>
        <v/>
      </c>
      <c r="Q168" s="4395">
        <f>IFERROR(IF((time+time_cap)&lt;Q$2, 0,IF(AND(time+1&gt;=R$2, $E168&lt;R$2), IF($I168= "I", $J168/($F168-$E168+1), $J168/(($F168*($F168+1)/2)-(($E168-1)*($E168-1+1)/2))*Q$2), 0)+IF(IF(time+1&gt;=R$2, $K168/time_cap/(time+1)*Q$2, 0) = 0, $K168/(time_cap),0)),0)</f>
        <v/>
      </c>
      <c r="R168" s="4395">
        <f>IFERROR(IF((time+time_cap)&lt;R$2, 0,IF(AND(time+1&gt;=S$2, $E168&lt;S$2), IF($I168= "I", $J168/($F168-$E168+1), $J168/(($F168*($F168+1)/2)-(($E168-1)*($E168-1+1)/2))*R$2), 0)+IF(IF(time+1&gt;=S$2, $K168/time_cap/(time+1)*R$2, 0) = 0, $K168/(time_cap),0)),0)</f>
        <v/>
      </c>
      <c r="S168" s="4395">
        <f>IFERROR(IF((time+time_cap)&lt;S$2, 0,IF(AND(time+1&gt;=T$2, $E168&lt;T$2), IF($I168= "I", $J168/($F168-$E168+1), $J168/(($F168*($F168+1)/2)-(($E168-1)*($E168-1+1)/2))*S$2), 0)+IF(IF(time+1&gt;=T$2, $K168/time_cap/(time+1)*S$2, 0) = 0, $K168/(time_cap),0)),0)</f>
        <v/>
      </c>
      <c r="T168" s="4395">
        <f>IFERROR(IF((time+time_cap)&lt;T$2, 0,IF(AND(time+1&gt;=U$2, $E168&lt;U$2), IF($I168= "I", $J168/($F168-$E168+1), $J168/(($F168*($F168+1)/2)-(($E168-1)*($E168-1+1)/2))*T$2), 0)+IF(IF(time+1&gt;=U$2, $K168/time_cap/(time+1)*T$2, 0) = 0, $K168/(time_cap),0)),0)</f>
        <v/>
      </c>
      <c r="U168" s="4395">
        <f>IFERROR(IF((time+time_cap)&lt;U$2, 0,IF(AND(time+1&gt;=V$2, $E168&lt;V$2), IF($I168= "I", $J168/($F168-$E168+1), $J168/(($F168*($F168+1)/2)-(($E168-1)*($E168-1+1)/2))*U$2), 0)+IF(IF(time+1&gt;=V$2, $K168/time_cap/(time+1)*U$2, 0) = 0, $K168/(time_cap),0)),0)</f>
        <v/>
      </c>
      <c r="V168" s="4395">
        <f>IFERROR(IF((time+time_cap)&lt;V$2, 0,IF(AND(time+1&gt;=W$2, $E168&lt;W$2), IF($I168= "I", $J168/($F168-$E168+1), $J168/(($F168*($F168+1)/2)-(($E168-1)*($E168-1+1)/2))*V$2), 0)+IF(IF(time+1&gt;=W$2, $K168/time_cap/(time+1)*V$2, 0) = 0, $K168/(time_cap),0)),0)</f>
        <v/>
      </c>
      <c r="W168" s="4395">
        <f>IFERROR(IF((time+time_cap)&lt;W$2, 0,IF(AND(time+1&gt;=X$2, $E168&lt;X$2), IF($I168= "I", $J168/($F168-$E168+1), $J168/(($F168*($F168+1)/2)-(($E168-1)*($E168-1+1)/2))*W$2), 0)+IF(IF(time+1&gt;=X$2, $K168/time_cap/(time+1)*W$2, 0) = 0, $K168/(time_cap),0)),0)</f>
        <v/>
      </c>
      <c r="X168" s="4395">
        <f>IFERROR(IF((time+time_cap)&lt;X$2, 0,IF(AND(time+1&gt;=Y$2, $E168&lt;Y$2), IF($I168= "I", $J168/($F168-$E168+1), $J168/(($F168*($F168+1)/2)-(($E168-1)*($E168-1+1)/2))*X$2), 0)+IF(IF(time+1&gt;=Y$2, $K168/time_cap/(time+1)*X$2, 0) = 0, $K168/(time_cap),0)),0)</f>
        <v/>
      </c>
      <c r="Y168" s="4395">
        <f>IFERROR(IF((time+time_cap)&lt;Y$2, 0,IF(AND(time+1&gt;=Z$2, $E168&lt;Z$2), IF($I168= "I", $J168/($F168-$E168+1), $J168/(($F168*($F168+1)/2)-(($E168-1)*($E168-1+1)/2))*Y$2), 0)+IF(IF(time+1&gt;=Z$2, $K168/time_cap/(time+1)*Y$2, 0) = 0, $K168/(time_cap),0)),0)</f>
        <v/>
      </c>
      <c r="Z168" s="4395">
        <f>IFERROR(IF((time+time_cap)&lt;Z$2, 0,IF(AND(time+1&gt;=AA$2, $E168&lt;AA$2), IF($I168= "I", $J168/($F168-$E168+1), $J168/(($F168*($F168+1)/2)-(($E168-1)*($E168-1+1)/2))*Z$2), 0)+IF(IF(time+1&gt;=AA$2, $K168/time_cap/(time+1)*Z$2, 0) = 0, $K168/(time_cap),0)),0)</f>
        <v/>
      </c>
      <c r="AA168" s="4395">
        <f>IFERROR(IF((time+time_cap)&lt;AA$2, 0,IF(AND(time+1&gt;=AB$2, $E168&lt;AB$2), IF($I168= "I", $J168/($F168-$E168+1), $J168/(($F168*($F168+1)/2)-(($E168-1)*($E168-1+1)/2))*AA$2), 0)+IF(IF(time+1&gt;=AB$2, $K168/time_cap/(time+1)*AA$2, 0) = 0, $K168/(time_cap),0)),0)</f>
        <v/>
      </c>
      <c r="AB168" s="4395">
        <f>IFERROR(IF((time+time_cap)&lt;AB$2, 0,IF(AND(time+1&gt;=AC$2, $E168&lt;AC$2), IF($I168= "I", $J168/($F168-$E168+1), $J168/(($F168*($F168+1)/2)-(($E168-1)*($E168-1+1)/2))*AB$2), 0)+IF(IF(time+1&gt;=AC$2, $K168/time_cap/(time+1)*AB$2, 0) = 0, $K168/(time_cap),0)),0)</f>
        <v/>
      </c>
      <c r="AC168" s="4395">
        <f>IFERROR(IF((time+time_cap)&lt;AC$2, 0,IF(AND(time+1&gt;=AD$2, $E168&lt;AD$2), IF($I168= "I", $J168/($F168-$E168+1), $J168/(($F168*($F168+1)/2)-(($E168-1)*($E168-1+1)/2))*AC$2), 0)+IF(IF(time+1&gt;=AD$2, $K168/time_cap/(time+1)*AC$2, 0) = 0, $K168/(time_cap),0)),0)</f>
        <v/>
      </c>
      <c r="AD168" s="4395">
        <f>IFERROR(IF((time+time_cap)&lt;AD$2, 0,IF(AND(time+1&gt;=AE$2, $E168&lt;AE$2), IF($I168= "I", $J168/($F168-$E168+1), $J168/(($F168*($F168+1)/2)-(($E168-1)*($E168-1+1)/2))*AD$2), 0)+IF(IF(time+1&gt;=AE$2, $K168/time_cap/(time+1)*AD$2, 0) = 0, $K168/(time_cap),0)),0)</f>
        <v/>
      </c>
      <c r="AE168" s="4395">
        <f>IFERROR(IF((time+time_cap)&lt;AE$2, 0,IF(AND(time+1&gt;=AF$2, $E168&lt;AF$2), IF($I168= "I", $J168/($F168-$E168+1), $J168/(($F168*($F168+1)/2)-(($E168-1)*($E168-1+1)/2))*AE$2), 0)+IF(IF(time+1&gt;=AF$2, $K168/time_cap/(time+1)*AE$2, 0) = 0, $K168/(time_cap),0)),0)</f>
        <v/>
      </c>
      <c r="AF168" s="4395">
        <f>IFERROR(IF((time+time_cap)&lt;AF$2, 0,IF(AND(time+1&gt;=AG$2, $E168&lt;AG$2), IF($I168= "I", $J168/($F168-$E168+1), $J168/(($F168*($F168+1)/2)-(($E168-1)*($E168-1+1)/2))*AF$2), 0)+IF(IF(time+1&gt;=AG$2, $K168/time_cap/(time+1)*AF$2, 0) = 0, $K168/(time_cap),0)),0)</f>
        <v/>
      </c>
      <c r="AG168" s="4395">
        <f>IFERROR(IF((time+time_cap)&lt;AG$2, 0,IF(AND(time+1&gt;=AH$2, $E168&lt;AH$2), IF($I168= "I", $J168/($F168-$E168+1), $J168/(($F168*($F168+1)/2)-(($E168-1)*($E168-1+1)/2))*AG$2), 0)+IF(IF(time+1&gt;=AH$2, $K168/time_cap/(time+1)*AG$2, 0) = 0, $K168/(time_cap),0)),0)</f>
        <v/>
      </c>
      <c r="AH168" s="4395">
        <f>IFERROR(IF((time+time_cap)&lt;AH$2, 0,IF(AND(time+1&gt;=AI$2, $E168&lt;AI$2), IF($I168= "I", $J168/($F168-$E168+1), $J168/(($F168*($F168+1)/2)-(($E168-1)*($E168-1+1)/2))*AH$2), 0)+IF(IF(time+1&gt;=AI$2, $K168/time_cap/(time+1)*AH$2, 0) = 0, $K168/(time_cap),0)),0)</f>
        <v/>
      </c>
      <c r="AI168" s="4395">
        <f>IFERROR(IF((time+time_cap)&lt;AI$2, 0,IF(AND(time+1&gt;=AJ$2, $E168&lt;AJ$2), IF($I168= "I", $J168/($F168-$E168+1), $J168/(($F168*($F168+1)/2)-(($E168-1)*($E168-1+1)/2))*AI$2), 0)+IF(IF(time+1&gt;=AJ$2, $K168/time_cap/(time+1)*AI$2, 0) = 0, $K168/(time_cap),0)),0)</f>
        <v/>
      </c>
      <c r="AJ168" s="4395">
        <f>IFERROR(IF((time+time_cap)&lt;AJ$2, 0,IF(AND(time+1&gt;=AK$2, $E168&lt;AK$2), IF($I168= "I", $J168/($F168-$E168+1), $J168/(($F168*($F168+1)/2)-(($E168-1)*($E168-1+1)/2))*AJ$2), 0)+IF(IF(time+1&gt;=AK$2, $K168/time_cap/(time+1)*AJ$2, 0) = 0, $K168/(time_cap),0)),0)</f>
        <v/>
      </c>
      <c r="AK168" s="4395">
        <f>IFERROR(IF((time+time_cap)&lt;AK$2, 0,IF(AND(time+1&gt;=AL$2, $E168&lt;AL$2), IF($I168= "I", $J168/($F168-$E168+1), $J168/(($F168*($F168+1)/2)-(($E168-1)*($E168-1+1)/2))*AK$2), 0)+IF(IF(time+1&gt;=AL$2, $K168/time_cap/(time+1)*AK$2, 0) = 0, $K168/(time_cap),0)),0)</f>
        <v/>
      </c>
      <c r="AL168" s="4395">
        <f>IFERROR(IF((time+time_cap)&lt;AL$2, 0,IF(AND(time+1&gt;=AM$2, $E168&lt;AM$2), IF($I168= "I", $J168/($F168-$E168+1), $J168/(($F168*($F168+1)/2)-(($E168-1)*($E168-1+1)/2))*AL$2), 0)+IF(IF(time+1&gt;=AM$2, $K168/time_cap/(time+1)*AL$2, 0) = 0, $K168/(time_cap),0)),0)</f>
        <v/>
      </c>
      <c r="AM168" s="4395">
        <f>IFERROR(IF((time+time_cap)&lt;AM$2, 0,IF(AND(time+1&gt;=AN$2, $E168&lt;AN$2), IF($I168= "I", $J168/($F168-$E168+1), $J168/(($F168*($F168+1)/2)-(($E168-1)*($E168-1+1)/2))*AM$2), 0)+IF(IF(time+1&gt;=AN$2, $K168/time_cap/(time+1)*AM$2, 0) = 0, $K168/(time_cap),0)),0)</f>
        <v/>
      </c>
      <c r="AN168" s="4395">
        <f>IFERROR(IF((time+time_cap)&lt;AN$2, 0,IF(AND(time+1&gt;=AO$2, $E168&lt;AO$2), IF($I168= "I", $J168/($F168-$E168+1), $J168/(($F168*($F168+1)/2)-(($E168-1)*($E168-1+1)/2))*AN$2), 0)+IF(IF(time+1&gt;=AO$2, $K168/time_cap/(time+1)*AN$2, 0) = 0, $K168/(time_cap),0)),0)</f>
        <v/>
      </c>
      <c r="AO168" s="4395">
        <f>IFERROR(IF((time+time_cap)&lt;AO$2, 0,IF(AND(time+1&gt;=AP$2, $E168&lt;AP$2), IF($I168= "I", $J168/($F168-$E168+1), $J168/(($F168*($F168+1)/2)-(($E168-1)*($E168-1+1)/2))*AO$2), 0)+IF(IF(time+1&gt;=AP$2, $K168/time_cap/(time+1)*AO$2, 0) = 0, $K168/(time_cap),0)),0)</f>
        <v/>
      </c>
      <c r="AP168" s="4395">
        <f>IFERROR(IF((time+time_cap)&lt;AP$2, 0,IF(AND(time+1&gt;=AQ$2, $E168&lt;AQ$2), IF($I168= "I", $J168/($F168-$E168+1), $J168/(($F168*($F168+1)/2)-(($E168-1)*($E168-1+1)/2))*AP$2), 0)+IF(IF(time+1&gt;=AQ$2, $K168/time_cap/(time+1)*AP$2, 0) = 0, $K168/(time_cap),0)),0)</f>
        <v/>
      </c>
      <c r="AQ168" s="4395">
        <f>IFERROR(IF((time+time_cap)&lt;AQ$2, 0,IF(AND(time+1&gt;=AR$2, $E168&lt;AR$2), IF($I168= "I", $J168/($F168-$E168+1), $J168/(($F168*($F168+1)/2)-(($E168-1)*($E168-1+1)/2))*AQ$2), 0)+IF(IF(time+1&gt;=AR$2, $K168/time_cap/(time+1)*AQ$2, 0) = 0, $K168/(time_cap),0)),0)</f>
        <v/>
      </c>
      <c r="AR168" s="4395">
        <f>IFERROR(IF((time+time_cap)&lt;AR$2, 0,IF(AND(time+1&gt;=AS$2, $E168&lt;AS$2), IF($I168= "I", $J168/($F168-$E168+1), $J168/(($F168*($F168+1)/2)-(($E168-1)*($E168-1+1)/2))*AR$2), 0)+IF(IF(time+1&gt;=AS$2, $K168/time_cap/(time+1)*AR$2, 0) = 0, $K168/(time_cap),0)),0)</f>
        <v/>
      </c>
      <c r="AS168" s="4395">
        <f>IFERROR(IF((time+time_cap)&lt;AS$2, 0,IF(AND(time+1&gt;=AT$2, $E168&lt;AT$2), IF($I168= "I", $J168/($F168-$E168+1), $J168/(($F168*($F168+1)/2)-(($E168-1)*($E168-1+1)/2))*AS$2), 0)+IF(IF(time+1&gt;=AT$2, $K168/time_cap/(time+1)*AS$2, 0) = 0, $K168/(time_cap),0)),0)</f>
        <v/>
      </c>
      <c r="AT168" s="4395">
        <f>IFERROR(IF((time+time_cap)&lt;AT$2, 0,IF(AND(time+1&gt;=AU$2, $E168&lt;AU$2), IF($I168= "I", $J168/($F168-$E168+1), $J168/(($F168*($F168+1)/2)-(($E168-1)*($E168-1+1)/2))*AT$2), 0)+IF(IF(time+1&gt;=AU$2, $K168/time_cap/(time+1)*AT$2, 0) = 0, $K168/(time_cap),0)),0)</f>
        <v/>
      </c>
      <c r="AU168" s="4395">
        <f>IFERROR(IF((time+time_cap)&lt;AU$2, 0,IF(AND(time+1&gt;=AV$2, $E168&lt;AV$2), IF($I168= "I", $J168/($F168-$E168+1), $J168/(($F168*($F168+1)/2)-(($E168-1)*($E168-1+1)/2))*AU$2), 0)+IF(IF(time+1&gt;=AV$2, $K168/time_cap/(time+1)*AU$2, 0) = 0, $K168/(time_cap),0)),0)</f>
        <v/>
      </c>
      <c r="AV168" s="4395">
        <f>IFERROR(IF((time+time_cap)&lt;AV$2, 0,IF(AND(time+1&gt;=AW$2, $E168&lt;AW$2), IF($I168= "I", $J168/($F168-$E168+1), $J168/(($F168*($F168+1)/2)-(($E168-1)*($E168-1+1)/2))*AV$2), 0)+IF(IF(time+1&gt;=AW$2, $K168/time_cap/(time+1)*AV$2, 0) = 0, $K168/(time_cap),0)),0)</f>
        <v/>
      </c>
      <c r="AW168" s="4395">
        <f>IFERROR(IF((time+time_cap)&lt;AW$2, 0,IF(AND(time+1&gt;=AX$2, $E168&lt;AX$2), IF($I168= "I", $J168/($F168-$E168+1), $J168/(($F168*($F168+1)/2)-(($E168-1)*($E168-1+1)/2))*AW$2), 0)+IF(IF(time+1&gt;=AX$2, $K168/time_cap/(time+1)*AW$2, 0) = 0, $K168/(time_cap),0)),0)</f>
        <v/>
      </c>
      <c r="AX168" s="4395">
        <f>IFERROR(IF((time+time_cap)&lt;AX$2, 0,IF(AND(time+1&gt;=AY$2, $E168&lt;AY$2), IF($I168= "I", $J168/($F168-$E168+1), $J168/(($F168*($F168+1)/2)-(($E168-1)*($E168-1+1)/2))*AX$2), 0)+IF(IF(time+1&gt;=AY$2, $K168/time_cap/(time+1)*AX$2, 0) = 0, $K168/(time_cap),0)),0)</f>
        <v/>
      </c>
      <c r="AY168" s="4395">
        <f>IFERROR(IF((time+time_cap)&lt;AY$2, 0,IF(AND(time+1&gt;=AZ$2, $E168&lt;AZ$2), IF($I168= "I", $J168/($F168-$E168+1), $J168/(($F168*($F168+1)/2)-(($E168-1)*($E168-1+1)/2))*AY$2), 0)+IF(IF(time+1&gt;=AZ$2, $K168/time_cap/(time+1)*AY$2, 0) = 0, $K168/(time_cap),0)),0)</f>
        <v/>
      </c>
      <c r="AZ168" s="4395">
        <f>IFERROR(IF((time+time_cap)&lt;AZ$2, 0,IF(AND(time+1&gt;=BA$2, $E168&lt;BA$2), IF($I168= "I", $J168/($F168-$E168+1), $J168/(($F168*($F168+1)/2)-(($E168-1)*($E168-1+1)/2))*AZ$2), 0)+IF(IF(time+1&gt;=BA$2, $K168/time_cap/(time+1)*AZ$2, 0) = 0, $K168/(time_cap),0)),0)</f>
        <v/>
      </c>
      <c r="BA168" s="4395">
        <f>IFERROR(IF((time+time_cap)&lt;BA$2, 0,IF(AND(time+1&gt;=BB$2, $E168&lt;BB$2), IF($I168= "I", $J168/($F168-$E168+1), $J168/(($F168*($F168+1)/2)-(($E168-1)*($E168-1+1)/2))*BA$2), 0)+IF(IF(time+1&gt;=BB$2, $K168/time_cap/(time+1)*BA$2, 0) = 0, $K168/(time_cap),0)),0)</f>
        <v/>
      </c>
      <c r="BB168" s="4395">
        <f>IFERROR(IF((time+time_cap)&lt;BB$2, 0,IF(AND(time+1&gt;=BC$2, $E168&lt;BC$2), IF($I168= "I", $J168/($F168-$E168+1), $J168/(($F168*($F168+1)/2)-(($E168-1)*($E168-1+1)/2))*BB$2), 0)+IF(IF(time+1&gt;=BC$2, $K168/time_cap/(time+1)*BB$2, 0) = 0, $K168/(time_cap),0)),0)</f>
        <v/>
      </c>
      <c r="BC168" s="4395">
        <f>IFERROR(IF((time+time_cap)&lt;BC$2, 0,IF(AND(time+1&gt;=BD$2, $E168&lt;BD$2), IF($I168= "I", $J168/($F168-$E168+1), $J168/(($F168*($F168+1)/2)-(($E168-1)*($E168-1+1)/2))*BC$2), 0)+IF(IF(time+1&gt;=BD$2, $K168/time_cap/(time+1)*BC$2, 0) = 0, $K168/(time_cap),0)),0)</f>
        <v/>
      </c>
      <c r="BD168" s="4395">
        <f>IFERROR(IF((time+time_cap)&lt;BD$2, 0,IF(AND(time+1&gt;=BE$2, $E168&lt;BE$2), IF($I168= "I", $J168/($F168-$E168+1), $J168/(($F168*($F168+1)/2)-(($E168-1)*($E168-1+1)/2))*BD$2), 0)+IF(IF(time+1&gt;=BE$2, $K168/time_cap/(time+1)*BD$2, 0) = 0, $K168/(time_cap),0)),0)</f>
        <v/>
      </c>
      <c r="BE168" s="4395">
        <f>IFERROR(IF((time+time_cap)&lt;BE$2, 0,IF(AND(time+1&gt;=BF$2, $E168&lt;BF$2), IF($I168= "I", $J168/($F168-$E168+1), $J168/(($F168*($F168+1)/2)-(($E168-1)*($E168-1+1)/2))*BE$2), 0)+IF(IF(time+1&gt;=BF$2, $K168/time_cap/(time+1)*BE$2, 0) = 0, $K168/(time_cap),0)),0)</f>
        <v/>
      </c>
      <c r="BF168" s="4395">
        <f>IFERROR(IF((time+time_cap)&lt;BF$2, 0,IF(AND(time+1&gt;=BG$2, $E168&lt;BG$2), IF($I168= "I", $J168/($F168-$E168+1), $J168/(($F168*($F168+1)/2)-(($E168-1)*($E168-1+1)/2))*BF$2), 0)+IF(IF(time+1&gt;=BG$2, $K168/time_cap/(time+1)*BF$2, 0) = 0, $K168/(time_cap),0)),0)</f>
        <v/>
      </c>
      <c r="BG168" s="4395">
        <f>IFERROR(IF((time+time_cap)&lt;BG$2, 0,IF(AND(time+1&gt;=BH$2, $E168&lt;BH$2), IF($I168= "I", $J168/($F168-$E168+1), $J168/(($F168*($F168+1)/2)-(($E168-1)*($E168-1+1)/2))*BG$2), 0)+IF(IF(time+1&gt;=BH$2, $K168/time_cap/(time+1)*BG$2, 0) = 0, $K168/(time_cap),0)),0)</f>
        <v/>
      </c>
      <c r="BH168" s="4395">
        <f>IFERROR(IF((time+time_cap)&lt;BH$2, 0,IF(AND(time+1&gt;=BI$2, $E168&lt;BI$2), IF($I168= "I", $J168/($F168-$E168+1), $J168/(($F168*($F168+1)/2)-(($E168-1)*($E168-1+1)/2))*BH$2), 0)+IF(IF(time+1&gt;=BI$2, $K168/time_cap/(time+1)*BH$2, 0) = 0, $K168/(time_cap),0)),0)</f>
        <v/>
      </c>
      <c r="BI168" s="4395">
        <f>IFERROR(IF((time+time_cap)&lt;BI$2, 0,IF(AND(time+1&gt;=BJ$2, $E168&lt;BJ$2), IF($I168= "I", $J168/($F168-$E168+1), $J168/(($F168*($F168+1)/2)-(($E168-1)*($E168-1+1)/2))*BI$2), 0)+IF(IF(time+1&gt;=BJ$2, $K168/time_cap/(time+1)*BI$2, 0) = 0, $K168/(time_cap),0)),0)</f>
        <v/>
      </c>
      <c r="BJ168" s="4395">
        <f>IFERROR(IF((time+time_cap)&lt;BJ$2, 0,IF(AND(time+1&gt;=BK$2, $E168&lt;BK$2), IF($I168= "I", $J168/($F168-$E168+1), $J168/(($F168*($F168+1)/2)-(($E168-1)*($E168-1+1)/2))*BJ$2), 0)+IF(IF(time+1&gt;=BK$2, $K168/time_cap/(time+1)*BJ$2, 0) = 0, $K168/(time_cap),0)),0)</f>
        <v/>
      </c>
      <c r="BK168" s="4395" t="n"/>
      <c r="BL168" s="4395" t="n"/>
      <c r="BM168" s="4395" t="n"/>
      <c r="BN168" s="4395" t="n"/>
      <c r="BO168" s="4395" t="n"/>
      <c r="BP168" s="4395" t="n"/>
      <c r="BQ168" s="4395" t="n"/>
      <c r="BR168" s="4395" t="n"/>
      <c r="BS168" s="4395" t="n"/>
      <c r="BT168" s="4395" t="n"/>
      <c r="BU168" s="4395" t="n"/>
      <c r="BV168" s="4395" t="n"/>
      <c r="BW168" s="4395" t="n"/>
      <c r="BX168" s="4395" t="n"/>
      <c r="BY168" s="4395" t="n"/>
      <c r="BZ168" s="4395" t="n"/>
      <c r="CA168" s="4395" t="n"/>
      <c r="CB168" s="4395" t="n"/>
      <c r="CC168" s="4395" t="n"/>
      <c r="CD168" s="4395" t="n"/>
      <c r="CE168" s="4395" t="n"/>
      <c r="CF168" s="4395" t="n"/>
      <c r="CG168" s="4395" t="n"/>
      <c r="CH168" s="4395" t="n"/>
      <c r="CI168" s="4395" t="n"/>
      <c r="CJ168" s="4395" t="n"/>
      <c r="CK168" s="4395" t="n"/>
      <c r="CL168" s="4395" t="n"/>
      <c r="CM168" s="4395" t="n"/>
      <c r="CN168" s="4395" t="n"/>
      <c r="CO168" s="4395" t="n"/>
      <c r="CP168" s="4395" t="n"/>
      <c r="CQ168" s="4395" t="n"/>
      <c r="CR168" s="4395" t="n"/>
      <c r="CS168" s="4395" t="n"/>
      <c r="CT168" s="4395" t="n"/>
      <c r="CU168" s="4395" t="n"/>
      <c r="CV168" s="4395" t="n"/>
      <c r="CW168" s="4395" t="n"/>
      <c r="CX168" s="4395" t="n"/>
      <c r="CY168" s="4395" t="n"/>
      <c r="CZ168" s="4395" t="n"/>
      <c r="DA168" s="4395" t="n"/>
      <c r="DB168" s="4395" t="n"/>
      <c r="DC168" s="4395" t="n"/>
      <c r="DD168" s="4395" t="n"/>
      <c r="DE168" s="4395" t="n"/>
      <c r="DF168" s="4395" t="n"/>
      <c r="DG168" s="4395" t="n"/>
      <c r="DH168" s="4395" t="n"/>
    </row>
    <row r="169" ht="16" customHeight="1">
      <c r="A169" t="inlineStr">
        <is>
          <t>Coastal wetland - drainage</t>
        </is>
      </c>
      <c r="C169">
        <f>'7.Coastal wetlands'!C32</f>
        <v/>
      </c>
      <c r="D169">
        <f>'7.Coastal wetlands'!AI32</f>
        <v/>
      </c>
      <c r="E169">
        <f>IF('7.Coastal wetlands'!CN32&lt;&gt;0,'7.Coastal wetlands'!CN32,'7.Coastal wetlands'!CM32)</f>
        <v/>
      </c>
      <c r="F169">
        <f>time</f>
        <v/>
      </c>
      <c r="G169" s="4395">
        <f>'7.Coastal wetlands'!I32</f>
        <v/>
      </c>
      <c r="H169" s="4395">
        <f>'7.Coastal wetlands'!K32</f>
        <v/>
      </c>
      <c r="I169" s="4395">
        <f>IF(OR(H169="I", G169="I"), "I", IF(OR(H169="E", G169="E"), "E", "D"))</f>
        <v/>
      </c>
      <c r="J169" s="4395">
        <f>((D169/(time_cap+((F169-E169+1)*VLOOKUP(I169,list!$I$48:$K$50,3, FALSE))))*(F169-E169+1)*VLOOKUP(I169,list!$I$48:$K$50,3, FALSE))</f>
        <v/>
      </c>
      <c r="K169" s="4395">
        <f>((D169/(time_cap+((F169-E169+1)*VLOOKUP(I169,list!$I$48:$K$50,3, FALSE))))*time_cap)</f>
        <v/>
      </c>
      <c r="M169" s="4395">
        <f>IFERROR(IF((time+time_cap)&lt;M$2, 0,IF(AND(time+1&gt;=N$2, $E169&lt;N$2), IF($I169= "I", $J169/($F169-$E169+1), $J169/(($F169*($F169+1)/2)-(($E169-1)*($E169-1+1)/2))*M$2), 0)+IF(IF(time+1&gt;=N$2, $K169/time_cap/(time+1)*M$2, 0) = 0, $K169/(time_cap),0)),0)</f>
        <v/>
      </c>
      <c r="N169" s="4395">
        <f>IFERROR(IF((time+time_cap)&lt;N$2, 0,IF(AND(time+1&gt;=O$2, $E169&lt;O$2), IF($I169= "I", $J169/($F169-$E169+1), $J169/(($F169*($F169+1)/2)-(($E169-1)*($E169-1+1)/2))*N$2), 0)+IF(IF(time+1&gt;=O$2, $K169/time_cap/(time+1)*N$2, 0) = 0, $K169/(time_cap),0)),0)</f>
        <v/>
      </c>
      <c r="O169" s="4395">
        <f>IFERROR(IF((time+time_cap)&lt;O$2, 0,IF(AND(time+1&gt;=P$2, $E169&lt;P$2), IF($I169= "I", $J169/($F169-$E169+1), $J169/(($F169*($F169+1)/2)-(($E169-1)*($E169-1+1)/2))*O$2), 0)+IF(IF(time+1&gt;=P$2, $K169/time_cap/(time+1)*O$2, 0) = 0, $K169/(time_cap),0)),0)</f>
        <v/>
      </c>
      <c r="P169" s="4395">
        <f>IFERROR(IF((time+time_cap)&lt;P$2, 0,IF(AND(time+1&gt;=Q$2, $E169&lt;Q$2), IF($I169= "I", $J169/($F169-$E169+1), $J169/(($F169*($F169+1)/2)-(($E169-1)*($E169-1+1)/2))*P$2), 0)+IF(IF(time+1&gt;=Q$2, $K169/time_cap/(time+1)*P$2, 0) = 0, $K169/(time_cap),0)),0)</f>
        <v/>
      </c>
      <c r="Q169" s="4395">
        <f>IFERROR(IF((time+time_cap)&lt;Q$2, 0,IF(AND(time+1&gt;=R$2, $E169&lt;R$2), IF($I169= "I", $J169/($F169-$E169+1), $J169/(($F169*($F169+1)/2)-(($E169-1)*($E169-1+1)/2))*Q$2), 0)+IF(IF(time+1&gt;=R$2, $K169/time_cap/(time+1)*Q$2, 0) = 0, $K169/(time_cap),0)),0)</f>
        <v/>
      </c>
      <c r="R169" s="4395">
        <f>IFERROR(IF((time+time_cap)&lt;R$2, 0,IF(AND(time+1&gt;=S$2, $E169&lt;S$2), IF($I169= "I", $J169/($F169-$E169+1), $J169/(($F169*($F169+1)/2)-(($E169-1)*($E169-1+1)/2))*R$2), 0)+IF(IF(time+1&gt;=S$2, $K169/time_cap/(time+1)*R$2, 0) = 0, $K169/(time_cap),0)),0)</f>
        <v/>
      </c>
      <c r="S169" s="4395">
        <f>IFERROR(IF((time+time_cap)&lt;S$2, 0,IF(AND(time+1&gt;=T$2, $E169&lt;T$2), IF($I169= "I", $J169/($F169-$E169+1), $J169/(($F169*($F169+1)/2)-(($E169-1)*($E169-1+1)/2))*S$2), 0)+IF(IF(time+1&gt;=T$2, $K169/time_cap/(time+1)*S$2, 0) = 0, $K169/(time_cap),0)),0)</f>
        <v/>
      </c>
      <c r="T169" s="4395">
        <f>IFERROR(IF((time+time_cap)&lt;T$2, 0,IF(AND(time+1&gt;=U$2, $E169&lt;U$2), IF($I169= "I", $J169/($F169-$E169+1), $J169/(($F169*($F169+1)/2)-(($E169-1)*($E169-1+1)/2))*T$2), 0)+IF(IF(time+1&gt;=U$2, $K169/time_cap/(time+1)*T$2, 0) = 0, $K169/(time_cap),0)),0)</f>
        <v/>
      </c>
      <c r="U169" s="4395">
        <f>IFERROR(IF((time+time_cap)&lt;U$2, 0,IF(AND(time+1&gt;=V$2, $E169&lt;V$2), IF($I169= "I", $J169/($F169-$E169+1), $J169/(($F169*($F169+1)/2)-(($E169-1)*($E169-1+1)/2))*U$2), 0)+IF(IF(time+1&gt;=V$2, $K169/time_cap/(time+1)*U$2, 0) = 0, $K169/(time_cap),0)),0)</f>
        <v/>
      </c>
      <c r="V169" s="4395">
        <f>IFERROR(IF((time+time_cap)&lt;V$2, 0,IF(AND(time+1&gt;=W$2, $E169&lt;W$2), IF($I169= "I", $J169/($F169-$E169+1), $J169/(($F169*($F169+1)/2)-(($E169-1)*($E169-1+1)/2))*V$2), 0)+IF(IF(time+1&gt;=W$2, $K169/time_cap/(time+1)*V$2, 0) = 0, $K169/(time_cap),0)),0)</f>
        <v/>
      </c>
      <c r="W169" s="4395">
        <f>IFERROR(IF((time+time_cap)&lt;W$2, 0,IF(AND(time+1&gt;=X$2, $E169&lt;X$2), IF($I169= "I", $J169/($F169-$E169+1), $J169/(($F169*($F169+1)/2)-(($E169-1)*($E169-1+1)/2))*W$2), 0)+IF(IF(time+1&gt;=X$2, $K169/time_cap/(time+1)*W$2, 0) = 0, $K169/(time_cap),0)),0)</f>
        <v/>
      </c>
      <c r="X169" s="4395">
        <f>IFERROR(IF((time+time_cap)&lt;X$2, 0,IF(AND(time+1&gt;=Y$2, $E169&lt;Y$2), IF($I169= "I", $J169/($F169-$E169+1), $J169/(($F169*($F169+1)/2)-(($E169-1)*($E169-1+1)/2))*X$2), 0)+IF(IF(time+1&gt;=Y$2, $K169/time_cap/(time+1)*X$2, 0) = 0, $K169/(time_cap),0)),0)</f>
        <v/>
      </c>
      <c r="Y169" s="4395">
        <f>IFERROR(IF((time+time_cap)&lt;Y$2, 0,IF(AND(time+1&gt;=Z$2, $E169&lt;Z$2), IF($I169= "I", $J169/($F169-$E169+1), $J169/(($F169*($F169+1)/2)-(($E169-1)*($E169-1+1)/2))*Y$2), 0)+IF(IF(time+1&gt;=Z$2, $K169/time_cap/(time+1)*Y$2, 0) = 0, $K169/(time_cap),0)),0)</f>
        <v/>
      </c>
      <c r="Z169" s="4395">
        <f>IFERROR(IF((time+time_cap)&lt;Z$2, 0,IF(AND(time+1&gt;=AA$2, $E169&lt;AA$2), IF($I169= "I", $J169/($F169-$E169+1), $J169/(($F169*($F169+1)/2)-(($E169-1)*($E169-1+1)/2))*Z$2), 0)+IF(IF(time+1&gt;=AA$2, $K169/time_cap/(time+1)*Z$2, 0) = 0, $K169/(time_cap),0)),0)</f>
        <v/>
      </c>
      <c r="AA169" s="4395">
        <f>IFERROR(IF((time+time_cap)&lt;AA$2, 0,IF(AND(time+1&gt;=AB$2, $E169&lt;AB$2), IF($I169= "I", $J169/($F169-$E169+1), $J169/(($F169*($F169+1)/2)-(($E169-1)*($E169-1+1)/2))*AA$2), 0)+IF(IF(time+1&gt;=AB$2, $K169/time_cap/(time+1)*AA$2, 0) = 0, $K169/(time_cap),0)),0)</f>
        <v/>
      </c>
      <c r="AB169" s="4395">
        <f>IFERROR(IF((time+time_cap)&lt;AB$2, 0,IF(AND(time+1&gt;=AC$2, $E169&lt;AC$2), IF($I169= "I", $J169/($F169-$E169+1), $J169/(($F169*($F169+1)/2)-(($E169-1)*($E169-1+1)/2))*AB$2), 0)+IF(IF(time+1&gt;=AC$2, $K169/time_cap/(time+1)*AB$2, 0) = 0, $K169/(time_cap),0)),0)</f>
        <v/>
      </c>
      <c r="AC169" s="4395">
        <f>IFERROR(IF((time+time_cap)&lt;AC$2, 0,IF(AND(time+1&gt;=AD$2, $E169&lt;AD$2), IF($I169= "I", $J169/($F169-$E169+1), $J169/(($F169*($F169+1)/2)-(($E169-1)*($E169-1+1)/2))*AC$2), 0)+IF(IF(time+1&gt;=AD$2, $K169/time_cap/(time+1)*AC$2, 0) = 0, $K169/(time_cap),0)),0)</f>
        <v/>
      </c>
      <c r="AD169" s="4395">
        <f>IFERROR(IF((time+time_cap)&lt;AD$2, 0,IF(AND(time+1&gt;=AE$2, $E169&lt;AE$2), IF($I169= "I", $J169/($F169-$E169+1), $J169/(($F169*($F169+1)/2)-(($E169-1)*($E169-1+1)/2))*AD$2), 0)+IF(IF(time+1&gt;=AE$2, $K169/time_cap/(time+1)*AD$2, 0) = 0, $K169/(time_cap),0)),0)</f>
        <v/>
      </c>
      <c r="AE169" s="4395">
        <f>IFERROR(IF((time+time_cap)&lt;AE$2, 0,IF(AND(time+1&gt;=AF$2, $E169&lt;AF$2), IF($I169= "I", $J169/($F169-$E169+1), $J169/(($F169*($F169+1)/2)-(($E169-1)*($E169-1+1)/2))*AE$2), 0)+IF(IF(time+1&gt;=AF$2, $K169/time_cap/(time+1)*AE$2, 0) = 0, $K169/(time_cap),0)),0)</f>
        <v/>
      </c>
      <c r="AF169" s="4395">
        <f>IFERROR(IF((time+time_cap)&lt;AF$2, 0,IF(AND(time+1&gt;=AG$2, $E169&lt;AG$2), IF($I169= "I", $J169/($F169-$E169+1), $J169/(($F169*($F169+1)/2)-(($E169-1)*($E169-1+1)/2))*AF$2), 0)+IF(IF(time+1&gt;=AG$2, $K169/time_cap/(time+1)*AF$2, 0) = 0, $K169/(time_cap),0)),0)</f>
        <v/>
      </c>
      <c r="AG169" s="4395">
        <f>IFERROR(IF((time+time_cap)&lt;AG$2, 0,IF(AND(time+1&gt;=AH$2, $E169&lt;AH$2), IF($I169= "I", $J169/($F169-$E169+1), $J169/(($F169*($F169+1)/2)-(($E169-1)*($E169-1+1)/2))*AG$2), 0)+IF(IF(time+1&gt;=AH$2, $K169/time_cap/(time+1)*AG$2, 0) = 0, $K169/(time_cap),0)),0)</f>
        <v/>
      </c>
      <c r="AH169" s="4395">
        <f>IFERROR(IF((time+time_cap)&lt;AH$2, 0,IF(AND(time+1&gt;=AI$2, $E169&lt;AI$2), IF($I169= "I", $J169/($F169-$E169+1), $J169/(($F169*($F169+1)/2)-(($E169-1)*($E169-1+1)/2))*AH$2), 0)+IF(IF(time+1&gt;=AI$2, $K169/time_cap/(time+1)*AH$2, 0) = 0, $K169/(time_cap),0)),0)</f>
        <v/>
      </c>
      <c r="AI169" s="4395">
        <f>IFERROR(IF((time+time_cap)&lt;AI$2, 0,IF(AND(time+1&gt;=AJ$2, $E169&lt;AJ$2), IF($I169= "I", $J169/($F169-$E169+1), $J169/(($F169*($F169+1)/2)-(($E169-1)*($E169-1+1)/2))*AI$2), 0)+IF(IF(time+1&gt;=AJ$2, $K169/time_cap/(time+1)*AI$2, 0) = 0, $K169/(time_cap),0)),0)</f>
        <v/>
      </c>
      <c r="AJ169" s="4395">
        <f>IFERROR(IF((time+time_cap)&lt;AJ$2, 0,IF(AND(time+1&gt;=AK$2, $E169&lt;AK$2), IF($I169= "I", $J169/($F169-$E169+1), $J169/(($F169*($F169+1)/2)-(($E169-1)*($E169-1+1)/2))*AJ$2), 0)+IF(IF(time+1&gt;=AK$2, $K169/time_cap/(time+1)*AJ$2, 0) = 0, $K169/(time_cap),0)),0)</f>
        <v/>
      </c>
      <c r="AK169" s="4395">
        <f>IFERROR(IF((time+time_cap)&lt;AK$2, 0,IF(AND(time+1&gt;=AL$2, $E169&lt;AL$2), IF($I169= "I", $J169/($F169-$E169+1), $J169/(($F169*($F169+1)/2)-(($E169-1)*($E169-1+1)/2))*AK$2), 0)+IF(IF(time+1&gt;=AL$2, $K169/time_cap/(time+1)*AK$2, 0) = 0, $K169/(time_cap),0)),0)</f>
        <v/>
      </c>
      <c r="AL169" s="4395">
        <f>IFERROR(IF((time+time_cap)&lt;AL$2, 0,IF(AND(time+1&gt;=AM$2, $E169&lt;AM$2), IF($I169= "I", $J169/($F169-$E169+1), $J169/(($F169*($F169+1)/2)-(($E169-1)*($E169-1+1)/2))*AL$2), 0)+IF(IF(time+1&gt;=AM$2, $K169/time_cap/(time+1)*AL$2, 0) = 0, $K169/(time_cap),0)),0)</f>
        <v/>
      </c>
      <c r="AM169" s="4395">
        <f>IFERROR(IF((time+time_cap)&lt;AM$2, 0,IF(AND(time+1&gt;=AN$2, $E169&lt;AN$2), IF($I169= "I", $J169/($F169-$E169+1), $J169/(($F169*($F169+1)/2)-(($E169-1)*($E169-1+1)/2))*AM$2), 0)+IF(IF(time+1&gt;=AN$2, $K169/time_cap/(time+1)*AM$2, 0) = 0, $K169/(time_cap),0)),0)</f>
        <v/>
      </c>
      <c r="AN169" s="4395">
        <f>IFERROR(IF((time+time_cap)&lt;AN$2, 0,IF(AND(time+1&gt;=AO$2, $E169&lt;AO$2), IF($I169= "I", $J169/($F169-$E169+1), $J169/(($F169*($F169+1)/2)-(($E169-1)*($E169-1+1)/2))*AN$2), 0)+IF(IF(time+1&gt;=AO$2, $K169/time_cap/(time+1)*AN$2, 0) = 0, $K169/(time_cap),0)),0)</f>
        <v/>
      </c>
      <c r="AO169" s="4395">
        <f>IFERROR(IF((time+time_cap)&lt;AO$2, 0,IF(AND(time+1&gt;=AP$2, $E169&lt;AP$2), IF($I169= "I", $J169/($F169-$E169+1), $J169/(($F169*($F169+1)/2)-(($E169-1)*($E169-1+1)/2))*AO$2), 0)+IF(IF(time+1&gt;=AP$2, $K169/time_cap/(time+1)*AO$2, 0) = 0, $K169/(time_cap),0)),0)</f>
        <v/>
      </c>
      <c r="AP169" s="4395">
        <f>IFERROR(IF((time+time_cap)&lt;AP$2, 0,IF(AND(time+1&gt;=AQ$2, $E169&lt;AQ$2), IF($I169= "I", $J169/($F169-$E169+1), $J169/(($F169*($F169+1)/2)-(($E169-1)*($E169-1+1)/2))*AP$2), 0)+IF(IF(time+1&gt;=AQ$2, $K169/time_cap/(time+1)*AP$2, 0) = 0, $K169/(time_cap),0)),0)</f>
        <v/>
      </c>
      <c r="AQ169" s="4395">
        <f>IFERROR(IF((time+time_cap)&lt;AQ$2, 0,IF(AND(time+1&gt;=AR$2, $E169&lt;AR$2), IF($I169= "I", $J169/($F169-$E169+1), $J169/(($F169*($F169+1)/2)-(($E169-1)*($E169-1+1)/2))*AQ$2), 0)+IF(IF(time+1&gt;=AR$2, $K169/time_cap/(time+1)*AQ$2, 0) = 0, $K169/(time_cap),0)),0)</f>
        <v/>
      </c>
      <c r="AR169" s="4395">
        <f>IFERROR(IF((time+time_cap)&lt;AR$2, 0,IF(AND(time+1&gt;=AS$2, $E169&lt;AS$2), IF($I169= "I", $J169/($F169-$E169+1), $J169/(($F169*($F169+1)/2)-(($E169-1)*($E169-1+1)/2))*AR$2), 0)+IF(IF(time+1&gt;=AS$2, $K169/time_cap/(time+1)*AR$2, 0) = 0, $K169/(time_cap),0)),0)</f>
        <v/>
      </c>
      <c r="AS169" s="4395">
        <f>IFERROR(IF((time+time_cap)&lt;AS$2, 0,IF(AND(time+1&gt;=AT$2, $E169&lt;AT$2), IF($I169= "I", $J169/($F169-$E169+1), $J169/(($F169*($F169+1)/2)-(($E169-1)*($E169-1+1)/2))*AS$2), 0)+IF(IF(time+1&gt;=AT$2, $K169/time_cap/(time+1)*AS$2, 0) = 0, $K169/(time_cap),0)),0)</f>
        <v/>
      </c>
      <c r="AT169" s="4395">
        <f>IFERROR(IF((time+time_cap)&lt;AT$2, 0,IF(AND(time+1&gt;=AU$2, $E169&lt;AU$2), IF($I169= "I", $J169/($F169-$E169+1), $J169/(($F169*($F169+1)/2)-(($E169-1)*($E169-1+1)/2))*AT$2), 0)+IF(IF(time+1&gt;=AU$2, $K169/time_cap/(time+1)*AT$2, 0) = 0, $K169/(time_cap),0)),0)</f>
        <v/>
      </c>
      <c r="AU169" s="4395">
        <f>IFERROR(IF((time+time_cap)&lt;AU$2, 0,IF(AND(time+1&gt;=AV$2, $E169&lt;AV$2), IF($I169= "I", $J169/($F169-$E169+1), $J169/(($F169*($F169+1)/2)-(($E169-1)*($E169-1+1)/2))*AU$2), 0)+IF(IF(time+1&gt;=AV$2, $K169/time_cap/(time+1)*AU$2, 0) = 0, $K169/(time_cap),0)),0)</f>
        <v/>
      </c>
      <c r="AV169" s="4395">
        <f>IFERROR(IF((time+time_cap)&lt;AV$2, 0,IF(AND(time+1&gt;=AW$2, $E169&lt;AW$2), IF($I169= "I", $J169/($F169-$E169+1), $J169/(($F169*($F169+1)/2)-(($E169-1)*($E169-1+1)/2))*AV$2), 0)+IF(IF(time+1&gt;=AW$2, $K169/time_cap/(time+1)*AV$2, 0) = 0, $K169/(time_cap),0)),0)</f>
        <v/>
      </c>
      <c r="AW169" s="4395">
        <f>IFERROR(IF((time+time_cap)&lt;AW$2, 0,IF(AND(time+1&gt;=AX$2, $E169&lt;AX$2), IF($I169= "I", $J169/($F169-$E169+1), $J169/(($F169*($F169+1)/2)-(($E169-1)*($E169-1+1)/2))*AW$2), 0)+IF(IF(time+1&gt;=AX$2, $K169/time_cap/(time+1)*AW$2, 0) = 0, $K169/(time_cap),0)),0)</f>
        <v/>
      </c>
      <c r="AX169" s="4395">
        <f>IFERROR(IF((time+time_cap)&lt;AX$2, 0,IF(AND(time+1&gt;=AY$2, $E169&lt;AY$2), IF($I169= "I", $J169/($F169-$E169+1), $J169/(($F169*($F169+1)/2)-(($E169-1)*($E169-1+1)/2))*AX$2), 0)+IF(IF(time+1&gt;=AY$2, $K169/time_cap/(time+1)*AX$2, 0) = 0, $K169/(time_cap),0)),0)</f>
        <v/>
      </c>
      <c r="AY169" s="4395">
        <f>IFERROR(IF((time+time_cap)&lt;AY$2, 0,IF(AND(time+1&gt;=AZ$2, $E169&lt;AZ$2), IF($I169= "I", $J169/($F169-$E169+1), $J169/(($F169*($F169+1)/2)-(($E169-1)*($E169-1+1)/2))*AY$2), 0)+IF(IF(time+1&gt;=AZ$2, $K169/time_cap/(time+1)*AY$2, 0) = 0, $K169/(time_cap),0)),0)</f>
        <v/>
      </c>
      <c r="AZ169" s="4395">
        <f>IFERROR(IF((time+time_cap)&lt;AZ$2, 0,IF(AND(time+1&gt;=BA$2, $E169&lt;BA$2), IF($I169= "I", $J169/($F169-$E169+1), $J169/(($F169*($F169+1)/2)-(($E169-1)*($E169-1+1)/2))*AZ$2), 0)+IF(IF(time+1&gt;=BA$2, $K169/time_cap/(time+1)*AZ$2, 0) = 0, $K169/(time_cap),0)),0)</f>
        <v/>
      </c>
      <c r="BA169" s="4395">
        <f>IFERROR(IF((time+time_cap)&lt;BA$2, 0,IF(AND(time+1&gt;=BB$2, $E169&lt;BB$2), IF($I169= "I", $J169/($F169-$E169+1), $J169/(($F169*($F169+1)/2)-(($E169-1)*($E169-1+1)/2))*BA$2), 0)+IF(IF(time+1&gt;=BB$2, $K169/time_cap/(time+1)*BA$2, 0) = 0, $K169/(time_cap),0)),0)</f>
        <v/>
      </c>
      <c r="BB169" s="4395">
        <f>IFERROR(IF((time+time_cap)&lt;BB$2, 0,IF(AND(time+1&gt;=BC$2, $E169&lt;BC$2), IF($I169= "I", $J169/($F169-$E169+1), $J169/(($F169*($F169+1)/2)-(($E169-1)*($E169-1+1)/2))*BB$2), 0)+IF(IF(time+1&gt;=BC$2, $K169/time_cap/(time+1)*BB$2, 0) = 0, $K169/(time_cap),0)),0)</f>
        <v/>
      </c>
      <c r="BC169" s="4395">
        <f>IFERROR(IF((time+time_cap)&lt;BC$2, 0,IF(AND(time+1&gt;=BD$2, $E169&lt;BD$2), IF($I169= "I", $J169/($F169-$E169+1), $J169/(($F169*($F169+1)/2)-(($E169-1)*($E169-1+1)/2))*BC$2), 0)+IF(IF(time+1&gt;=BD$2, $K169/time_cap/(time+1)*BC$2, 0) = 0, $K169/(time_cap),0)),0)</f>
        <v/>
      </c>
      <c r="BD169" s="4395">
        <f>IFERROR(IF((time+time_cap)&lt;BD$2, 0,IF(AND(time+1&gt;=BE$2, $E169&lt;BE$2), IF($I169= "I", $J169/($F169-$E169+1), $J169/(($F169*($F169+1)/2)-(($E169-1)*($E169-1+1)/2))*BD$2), 0)+IF(IF(time+1&gt;=BE$2, $K169/time_cap/(time+1)*BD$2, 0) = 0, $K169/(time_cap),0)),0)</f>
        <v/>
      </c>
      <c r="BE169" s="4395">
        <f>IFERROR(IF((time+time_cap)&lt;BE$2, 0,IF(AND(time+1&gt;=BF$2, $E169&lt;BF$2), IF($I169= "I", $J169/($F169-$E169+1), $J169/(($F169*($F169+1)/2)-(($E169-1)*($E169-1+1)/2))*BE$2), 0)+IF(IF(time+1&gt;=BF$2, $K169/time_cap/(time+1)*BE$2, 0) = 0, $K169/(time_cap),0)),0)</f>
        <v/>
      </c>
      <c r="BF169" s="4395">
        <f>IFERROR(IF((time+time_cap)&lt;BF$2, 0,IF(AND(time+1&gt;=BG$2, $E169&lt;BG$2), IF($I169= "I", $J169/($F169-$E169+1), $J169/(($F169*($F169+1)/2)-(($E169-1)*($E169-1+1)/2))*BF$2), 0)+IF(IF(time+1&gt;=BG$2, $K169/time_cap/(time+1)*BF$2, 0) = 0, $K169/(time_cap),0)),0)</f>
        <v/>
      </c>
      <c r="BG169" s="4395">
        <f>IFERROR(IF((time+time_cap)&lt;BG$2, 0,IF(AND(time+1&gt;=BH$2, $E169&lt;BH$2), IF($I169= "I", $J169/($F169-$E169+1), $J169/(($F169*($F169+1)/2)-(($E169-1)*($E169-1+1)/2))*BG$2), 0)+IF(IF(time+1&gt;=BH$2, $K169/time_cap/(time+1)*BG$2, 0) = 0, $K169/(time_cap),0)),0)</f>
        <v/>
      </c>
      <c r="BH169" s="4395">
        <f>IFERROR(IF((time+time_cap)&lt;BH$2, 0,IF(AND(time+1&gt;=BI$2, $E169&lt;BI$2), IF($I169= "I", $J169/($F169-$E169+1), $J169/(($F169*($F169+1)/2)-(($E169-1)*($E169-1+1)/2))*BH$2), 0)+IF(IF(time+1&gt;=BI$2, $K169/time_cap/(time+1)*BH$2, 0) = 0, $K169/(time_cap),0)),0)</f>
        <v/>
      </c>
      <c r="BI169" s="4395">
        <f>IFERROR(IF((time+time_cap)&lt;BI$2, 0,IF(AND(time+1&gt;=BJ$2, $E169&lt;BJ$2), IF($I169= "I", $J169/($F169-$E169+1), $J169/(($F169*($F169+1)/2)-(($E169-1)*($E169-1+1)/2))*BI$2), 0)+IF(IF(time+1&gt;=BJ$2, $K169/time_cap/(time+1)*BI$2, 0) = 0, $K169/(time_cap),0)),0)</f>
        <v/>
      </c>
      <c r="BJ169" s="4395">
        <f>IFERROR(IF((time+time_cap)&lt;BJ$2, 0,IF(AND(time+1&gt;=BK$2, $E169&lt;BK$2), IF($I169= "I", $J169/($F169-$E169+1), $J169/(($F169*($F169+1)/2)-(($E169-1)*($E169-1+1)/2))*BJ$2), 0)+IF(IF(time+1&gt;=BK$2, $K169/time_cap/(time+1)*BJ$2, 0) = 0, $K169/(time_cap),0)),0)</f>
        <v/>
      </c>
      <c r="BK169" s="4395" t="n"/>
      <c r="BL169" s="4395" t="n"/>
      <c r="BM169" s="4395" t="n"/>
      <c r="BN169" s="4395" t="n"/>
      <c r="BO169" s="4395" t="n"/>
      <c r="BP169" s="4395" t="n"/>
      <c r="BQ169" s="4395" t="n"/>
      <c r="BR169" s="4395" t="n"/>
      <c r="BS169" s="4395" t="n"/>
      <c r="BT169" s="4395" t="n"/>
      <c r="BU169" s="4395" t="n"/>
      <c r="BV169" s="4395" t="n"/>
      <c r="BW169" s="4395" t="n"/>
      <c r="BX169" s="4395" t="n"/>
      <c r="BY169" s="4395" t="n"/>
      <c r="BZ169" s="4395" t="n"/>
      <c r="CA169" s="4395" t="n"/>
      <c r="CB169" s="4395" t="n"/>
      <c r="CC169" s="4395" t="n"/>
      <c r="CD169" s="4395" t="n"/>
      <c r="CE169" s="4395" t="n"/>
      <c r="CF169" s="4395" t="n"/>
      <c r="CG169" s="4395" t="n"/>
      <c r="CH169" s="4395" t="n"/>
      <c r="CI169" s="4395" t="n"/>
      <c r="CJ169" s="4395" t="n"/>
      <c r="CK169" s="4395" t="n"/>
      <c r="CL169" s="4395" t="n"/>
      <c r="CM169" s="4395" t="n"/>
      <c r="CN169" s="4395" t="n"/>
      <c r="CO169" s="4395" t="n"/>
      <c r="CP169" s="4395" t="n"/>
      <c r="CQ169" s="4395" t="n"/>
      <c r="CR169" s="4395" t="n"/>
      <c r="CS169" s="4395" t="n"/>
      <c r="CT169" s="4395" t="n"/>
      <c r="CU169" s="4395" t="n"/>
      <c r="CV169" s="4395" t="n"/>
      <c r="CW169" s="4395" t="n"/>
      <c r="CX169" s="4395" t="n"/>
      <c r="CY169" s="4395" t="n"/>
      <c r="CZ169" s="4395" t="n"/>
      <c r="DA169" s="4395" t="n"/>
      <c r="DB169" s="4395" t="n"/>
      <c r="DC169" s="4395" t="n"/>
      <c r="DD169" s="4395" t="n"/>
      <c r="DE169" s="4395" t="n"/>
      <c r="DF169" s="4395" t="n"/>
      <c r="DG169" s="4395" t="n"/>
      <c r="DH169" s="4395" t="n"/>
    </row>
    <row r="170" ht="16" customHeight="1">
      <c r="A170" t="inlineStr">
        <is>
          <t>Coastal wetland - drainage</t>
        </is>
      </c>
      <c r="C170">
        <f>'7.Coastal wetlands'!C33</f>
        <v/>
      </c>
      <c r="D170">
        <f>'7.Coastal wetlands'!AI33</f>
        <v/>
      </c>
      <c r="E170">
        <f>IF('7.Coastal wetlands'!CN33&lt;&gt;0,'7.Coastal wetlands'!CN33,'7.Coastal wetlands'!CM33)</f>
        <v/>
      </c>
      <c r="F170">
        <f>time</f>
        <v/>
      </c>
      <c r="G170" s="4395">
        <f>'7.Coastal wetlands'!I33</f>
        <v/>
      </c>
      <c r="H170" s="4395">
        <f>'7.Coastal wetlands'!K33</f>
        <v/>
      </c>
      <c r="I170" s="4395">
        <f>IF(OR(H170="I", G170="I"), "I", IF(OR(H170="E", G170="E"), "E", "D"))</f>
        <v/>
      </c>
      <c r="J170" s="4395">
        <f>((D170/(time_cap+((F170-E170+1)*VLOOKUP(I170,list!$I$48:$K$50,3, FALSE))))*(F170-E170+1)*VLOOKUP(I170,list!$I$48:$K$50,3, FALSE))</f>
        <v/>
      </c>
      <c r="K170" s="4395">
        <f>((D170/(time_cap+((F170-E170+1)*VLOOKUP(I170,list!$I$48:$K$50,3, FALSE))))*time_cap)</f>
        <v/>
      </c>
      <c r="M170" s="4395">
        <f>IFERROR(IF((time+time_cap)&lt;M$2, 0,IF(AND(time+1&gt;=N$2, $E170&lt;N$2), IF($I170= "I", $J170/($F170-$E170+1), $J170/(($F170*($F170+1)/2)-(($E170-1)*($E170-1+1)/2))*M$2), 0)+IF(IF(time+1&gt;=N$2, $K170/time_cap/(time+1)*M$2, 0) = 0, $K170/(time_cap),0)),0)</f>
        <v/>
      </c>
      <c r="N170" s="4395">
        <f>IFERROR(IF((time+time_cap)&lt;N$2, 0,IF(AND(time+1&gt;=O$2, $E170&lt;O$2), IF($I170= "I", $J170/($F170-$E170+1), $J170/(($F170*($F170+1)/2)-(($E170-1)*($E170-1+1)/2))*N$2), 0)+IF(IF(time+1&gt;=O$2, $K170/time_cap/(time+1)*N$2, 0) = 0, $K170/(time_cap),0)),0)</f>
        <v/>
      </c>
      <c r="O170" s="4395">
        <f>IFERROR(IF((time+time_cap)&lt;O$2, 0,IF(AND(time+1&gt;=P$2, $E170&lt;P$2), IF($I170= "I", $J170/($F170-$E170+1), $J170/(($F170*($F170+1)/2)-(($E170-1)*($E170-1+1)/2))*O$2), 0)+IF(IF(time+1&gt;=P$2, $K170/time_cap/(time+1)*O$2, 0) = 0, $K170/(time_cap),0)),0)</f>
        <v/>
      </c>
      <c r="P170" s="4395">
        <f>IFERROR(IF((time+time_cap)&lt;P$2, 0,IF(AND(time+1&gt;=Q$2, $E170&lt;Q$2), IF($I170= "I", $J170/($F170-$E170+1), $J170/(($F170*($F170+1)/2)-(($E170-1)*($E170-1+1)/2))*P$2), 0)+IF(IF(time+1&gt;=Q$2, $K170/time_cap/(time+1)*P$2, 0) = 0, $K170/(time_cap),0)),0)</f>
        <v/>
      </c>
      <c r="Q170" s="4395">
        <f>IFERROR(IF((time+time_cap)&lt;Q$2, 0,IF(AND(time+1&gt;=R$2, $E170&lt;R$2), IF($I170= "I", $J170/($F170-$E170+1), $J170/(($F170*($F170+1)/2)-(($E170-1)*($E170-1+1)/2))*Q$2), 0)+IF(IF(time+1&gt;=R$2, $K170/time_cap/(time+1)*Q$2, 0) = 0, $K170/(time_cap),0)),0)</f>
        <v/>
      </c>
      <c r="R170" s="4395">
        <f>IFERROR(IF((time+time_cap)&lt;R$2, 0,IF(AND(time+1&gt;=S$2, $E170&lt;S$2), IF($I170= "I", $J170/($F170-$E170+1), $J170/(($F170*($F170+1)/2)-(($E170-1)*($E170-1+1)/2))*R$2), 0)+IF(IF(time+1&gt;=S$2, $K170/time_cap/(time+1)*R$2, 0) = 0, $K170/(time_cap),0)),0)</f>
        <v/>
      </c>
      <c r="S170" s="4395">
        <f>IFERROR(IF((time+time_cap)&lt;S$2, 0,IF(AND(time+1&gt;=T$2, $E170&lt;T$2), IF($I170= "I", $J170/($F170-$E170+1), $J170/(($F170*($F170+1)/2)-(($E170-1)*($E170-1+1)/2))*S$2), 0)+IF(IF(time+1&gt;=T$2, $K170/time_cap/(time+1)*S$2, 0) = 0, $K170/(time_cap),0)),0)</f>
        <v/>
      </c>
      <c r="T170" s="4395">
        <f>IFERROR(IF((time+time_cap)&lt;T$2, 0,IF(AND(time+1&gt;=U$2, $E170&lt;U$2), IF($I170= "I", $J170/($F170-$E170+1), $J170/(($F170*($F170+1)/2)-(($E170-1)*($E170-1+1)/2))*T$2), 0)+IF(IF(time+1&gt;=U$2, $K170/time_cap/(time+1)*T$2, 0) = 0, $K170/(time_cap),0)),0)</f>
        <v/>
      </c>
      <c r="U170" s="4395">
        <f>IFERROR(IF((time+time_cap)&lt;U$2, 0,IF(AND(time+1&gt;=V$2, $E170&lt;V$2), IF($I170= "I", $J170/($F170-$E170+1), $J170/(($F170*($F170+1)/2)-(($E170-1)*($E170-1+1)/2))*U$2), 0)+IF(IF(time+1&gt;=V$2, $K170/time_cap/(time+1)*U$2, 0) = 0, $K170/(time_cap),0)),0)</f>
        <v/>
      </c>
      <c r="V170" s="4395">
        <f>IFERROR(IF((time+time_cap)&lt;V$2, 0,IF(AND(time+1&gt;=W$2, $E170&lt;W$2), IF($I170= "I", $J170/($F170-$E170+1), $J170/(($F170*($F170+1)/2)-(($E170-1)*($E170-1+1)/2))*V$2), 0)+IF(IF(time+1&gt;=W$2, $K170/time_cap/(time+1)*V$2, 0) = 0, $K170/(time_cap),0)),0)</f>
        <v/>
      </c>
      <c r="W170" s="4395">
        <f>IFERROR(IF((time+time_cap)&lt;W$2, 0,IF(AND(time+1&gt;=X$2, $E170&lt;X$2), IF($I170= "I", $J170/($F170-$E170+1), $J170/(($F170*($F170+1)/2)-(($E170-1)*($E170-1+1)/2))*W$2), 0)+IF(IF(time+1&gt;=X$2, $K170/time_cap/(time+1)*W$2, 0) = 0, $K170/(time_cap),0)),0)</f>
        <v/>
      </c>
      <c r="X170" s="4395">
        <f>IFERROR(IF((time+time_cap)&lt;X$2, 0,IF(AND(time+1&gt;=Y$2, $E170&lt;Y$2), IF($I170= "I", $J170/($F170-$E170+1), $J170/(($F170*($F170+1)/2)-(($E170-1)*($E170-1+1)/2))*X$2), 0)+IF(IF(time+1&gt;=Y$2, $K170/time_cap/(time+1)*X$2, 0) = 0, $K170/(time_cap),0)),0)</f>
        <v/>
      </c>
      <c r="Y170" s="4395">
        <f>IFERROR(IF((time+time_cap)&lt;Y$2, 0,IF(AND(time+1&gt;=Z$2, $E170&lt;Z$2), IF($I170= "I", $J170/($F170-$E170+1), $J170/(($F170*($F170+1)/2)-(($E170-1)*($E170-1+1)/2))*Y$2), 0)+IF(IF(time+1&gt;=Z$2, $K170/time_cap/(time+1)*Y$2, 0) = 0, $K170/(time_cap),0)),0)</f>
        <v/>
      </c>
      <c r="Z170" s="4395">
        <f>IFERROR(IF((time+time_cap)&lt;Z$2, 0,IF(AND(time+1&gt;=AA$2, $E170&lt;AA$2), IF($I170= "I", $J170/($F170-$E170+1), $J170/(($F170*($F170+1)/2)-(($E170-1)*($E170-1+1)/2))*Z$2), 0)+IF(IF(time+1&gt;=AA$2, $K170/time_cap/(time+1)*Z$2, 0) = 0, $K170/(time_cap),0)),0)</f>
        <v/>
      </c>
      <c r="AA170" s="4395">
        <f>IFERROR(IF((time+time_cap)&lt;AA$2, 0,IF(AND(time+1&gt;=AB$2, $E170&lt;AB$2), IF($I170= "I", $J170/($F170-$E170+1), $J170/(($F170*($F170+1)/2)-(($E170-1)*($E170-1+1)/2))*AA$2), 0)+IF(IF(time+1&gt;=AB$2, $K170/time_cap/(time+1)*AA$2, 0) = 0, $K170/(time_cap),0)),0)</f>
        <v/>
      </c>
      <c r="AB170" s="4395">
        <f>IFERROR(IF((time+time_cap)&lt;AB$2, 0,IF(AND(time+1&gt;=AC$2, $E170&lt;AC$2), IF($I170= "I", $J170/($F170-$E170+1), $J170/(($F170*($F170+1)/2)-(($E170-1)*($E170-1+1)/2))*AB$2), 0)+IF(IF(time+1&gt;=AC$2, $K170/time_cap/(time+1)*AB$2, 0) = 0, $K170/(time_cap),0)),0)</f>
        <v/>
      </c>
      <c r="AC170" s="4395">
        <f>IFERROR(IF((time+time_cap)&lt;AC$2, 0,IF(AND(time+1&gt;=AD$2, $E170&lt;AD$2), IF($I170= "I", $J170/($F170-$E170+1), $J170/(($F170*($F170+1)/2)-(($E170-1)*($E170-1+1)/2))*AC$2), 0)+IF(IF(time+1&gt;=AD$2, $K170/time_cap/(time+1)*AC$2, 0) = 0, $K170/(time_cap),0)),0)</f>
        <v/>
      </c>
      <c r="AD170" s="4395">
        <f>IFERROR(IF((time+time_cap)&lt;AD$2, 0,IF(AND(time+1&gt;=AE$2, $E170&lt;AE$2), IF($I170= "I", $J170/($F170-$E170+1), $J170/(($F170*($F170+1)/2)-(($E170-1)*($E170-1+1)/2))*AD$2), 0)+IF(IF(time+1&gt;=AE$2, $K170/time_cap/(time+1)*AD$2, 0) = 0, $K170/(time_cap),0)),0)</f>
        <v/>
      </c>
      <c r="AE170" s="4395">
        <f>IFERROR(IF((time+time_cap)&lt;AE$2, 0,IF(AND(time+1&gt;=AF$2, $E170&lt;AF$2), IF($I170= "I", $J170/($F170-$E170+1), $J170/(($F170*($F170+1)/2)-(($E170-1)*($E170-1+1)/2))*AE$2), 0)+IF(IF(time+1&gt;=AF$2, $K170/time_cap/(time+1)*AE$2, 0) = 0, $K170/(time_cap),0)),0)</f>
        <v/>
      </c>
      <c r="AF170" s="4395">
        <f>IFERROR(IF((time+time_cap)&lt;AF$2, 0,IF(AND(time+1&gt;=AG$2, $E170&lt;AG$2), IF($I170= "I", $J170/($F170-$E170+1), $J170/(($F170*($F170+1)/2)-(($E170-1)*($E170-1+1)/2))*AF$2), 0)+IF(IF(time+1&gt;=AG$2, $K170/time_cap/(time+1)*AF$2, 0) = 0, $K170/(time_cap),0)),0)</f>
        <v/>
      </c>
      <c r="AG170" s="4395">
        <f>IFERROR(IF((time+time_cap)&lt;AG$2, 0,IF(AND(time+1&gt;=AH$2, $E170&lt;AH$2), IF($I170= "I", $J170/($F170-$E170+1), $J170/(($F170*($F170+1)/2)-(($E170-1)*($E170-1+1)/2))*AG$2), 0)+IF(IF(time+1&gt;=AH$2, $K170/time_cap/(time+1)*AG$2, 0) = 0, $K170/(time_cap),0)),0)</f>
        <v/>
      </c>
      <c r="AH170" s="4395">
        <f>IFERROR(IF((time+time_cap)&lt;AH$2, 0,IF(AND(time+1&gt;=AI$2, $E170&lt;AI$2), IF($I170= "I", $J170/($F170-$E170+1), $J170/(($F170*($F170+1)/2)-(($E170-1)*($E170-1+1)/2))*AH$2), 0)+IF(IF(time+1&gt;=AI$2, $K170/time_cap/(time+1)*AH$2, 0) = 0, $K170/(time_cap),0)),0)</f>
        <v/>
      </c>
      <c r="AI170" s="4395">
        <f>IFERROR(IF((time+time_cap)&lt;AI$2, 0,IF(AND(time+1&gt;=AJ$2, $E170&lt;AJ$2), IF($I170= "I", $J170/($F170-$E170+1), $J170/(($F170*($F170+1)/2)-(($E170-1)*($E170-1+1)/2))*AI$2), 0)+IF(IF(time+1&gt;=AJ$2, $K170/time_cap/(time+1)*AI$2, 0) = 0, $K170/(time_cap),0)),0)</f>
        <v/>
      </c>
      <c r="AJ170" s="4395">
        <f>IFERROR(IF((time+time_cap)&lt;AJ$2, 0,IF(AND(time+1&gt;=AK$2, $E170&lt;AK$2), IF($I170= "I", $J170/($F170-$E170+1), $J170/(($F170*($F170+1)/2)-(($E170-1)*($E170-1+1)/2))*AJ$2), 0)+IF(IF(time+1&gt;=AK$2, $K170/time_cap/(time+1)*AJ$2, 0) = 0, $K170/(time_cap),0)),0)</f>
        <v/>
      </c>
      <c r="AK170" s="4395">
        <f>IFERROR(IF((time+time_cap)&lt;AK$2, 0,IF(AND(time+1&gt;=AL$2, $E170&lt;AL$2), IF($I170= "I", $J170/($F170-$E170+1), $J170/(($F170*($F170+1)/2)-(($E170-1)*($E170-1+1)/2))*AK$2), 0)+IF(IF(time+1&gt;=AL$2, $K170/time_cap/(time+1)*AK$2, 0) = 0, $K170/(time_cap),0)),0)</f>
        <v/>
      </c>
      <c r="AL170" s="4395">
        <f>IFERROR(IF((time+time_cap)&lt;AL$2, 0,IF(AND(time+1&gt;=AM$2, $E170&lt;AM$2), IF($I170= "I", $J170/($F170-$E170+1), $J170/(($F170*($F170+1)/2)-(($E170-1)*($E170-1+1)/2))*AL$2), 0)+IF(IF(time+1&gt;=AM$2, $K170/time_cap/(time+1)*AL$2, 0) = 0, $K170/(time_cap),0)),0)</f>
        <v/>
      </c>
      <c r="AM170" s="4395">
        <f>IFERROR(IF((time+time_cap)&lt;AM$2, 0,IF(AND(time+1&gt;=AN$2, $E170&lt;AN$2), IF($I170= "I", $J170/($F170-$E170+1), $J170/(($F170*($F170+1)/2)-(($E170-1)*($E170-1+1)/2))*AM$2), 0)+IF(IF(time+1&gt;=AN$2, $K170/time_cap/(time+1)*AM$2, 0) = 0, $K170/(time_cap),0)),0)</f>
        <v/>
      </c>
      <c r="AN170" s="4395">
        <f>IFERROR(IF((time+time_cap)&lt;AN$2, 0,IF(AND(time+1&gt;=AO$2, $E170&lt;AO$2), IF($I170= "I", $J170/($F170-$E170+1), $J170/(($F170*($F170+1)/2)-(($E170-1)*($E170-1+1)/2))*AN$2), 0)+IF(IF(time+1&gt;=AO$2, $K170/time_cap/(time+1)*AN$2, 0) = 0, $K170/(time_cap),0)),0)</f>
        <v/>
      </c>
      <c r="AO170" s="4395">
        <f>IFERROR(IF((time+time_cap)&lt;AO$2, 0,IF(AND(time+1&gt;=AP$2, $E170&lt;AP$2), IF($I170= "I", $J170/($F170-$E170+1), $J170/(($F170*($F170+1)/2)-(($E170-1)*($E170-1+1)/2))*AO$2), 0)+IF(IF(time+1&gt;=AP$2, $K170/time_cap/(time+1)*AO$2, 0) = 0, $K170/(time_cap),0)),0)</f>
        <v/>
      </c>
      <c r="AP170" s="4395">
        <f>IFERROR(IF((time+time_cap)&lt;AP$2, 0,IF(AND(time+1&gt;=AQ$2, $E170&lt;AQ$2), IF($I170= "I", $J170/($F170-$E170+1), $J170/(($F170*($F170+1)/2)-(($E170-1)*($E170-1+1)/2))*AP$2), 0)+IF(IF(time+1&gt;=AQ$2, $K170/time_cap/(time+1)*AP$2, 0) = 0, $K170/(time_cap),0)),0)</f>
        <v/>
      </c>
      <c r="AQ170" s="4395">
        <f>IFERROR(IF((time+time_cap)&lt;AQ$2, 0,IF(AND(time+1&gt;=AR$2, $E170&lt;AR$2), IF($I170= "I", $J170/($F170-$E170+1), $J170/(($F170*($F170+1)/2)-(($E170-1)*($E170-1+1)/2))*AQ$2), 0)+IF(IF(time+1&gt;=AR$2, $K170/time_cap/(time+1)*AQ$2, 0) = 0, $K170/(time_cap),0)),0)</f>
        <v/>
      </c>
      <c r="AR170" s="4395">
        <f>IFERROR(IF((time+time_cap)&lt;AR$2, 0,IF(AND(time+1&gt;=AS$2, $E170&lt;AS$2), IF($I170= "I", $J170/($F170-$E170+1), $J170/(($F170*($F170+1)/2)-(($E170-1)*($E170-1+1)/2))*AR$2), 0)+IF(IF(time+1&gt;=AS$2, $K170/time_cap/(time+1)*AR$2, 0) = 0, $K170/(time_cap),0)),0)</f>
        <v/>
      </c>
      <c r="AS170" s="4395">
        <f>IFERROR(IF((time+time_cap)&lt;AS$2, 0,IF(AND(time+1&gt;=AT$2, $E170&lt;AT$2), IF($I170= "I", $J170/($F170-$E170+1), $J170/(($F170*($F170+1)/2)-(($E170-1)*($E170-1+1)/2))*AS$2), 0)+IF(IF(time+1&gt;=AT$2, $K170/time_cap/(time+1)*AS$2, 0) = 0, $K170/(time_cap),0)),0)</f>
        <v/>
      </c>
      <c r="AT170" s="4395">
        <f>IFERROR(IF((time+time_cap)&lt;AT$2, 0,IF(AND(time+1&gt;=AU$2, $E170&lt;AU$2), IF($I170= "I", $J170/($F170-$E170+1), $J170/(($F170*($F170+1)/2)-(($E170-1)*($E170-1+1)/2))*AT$2), 0)+IF(IF(time+1&gt;=AU$2, $K170/time_cap/(time+1)*AT$2, 0) = 0, $K170/(time_cap),0)),0)</f>
        <v/>
      </c>
      <c r="AU170" s="4395">
        <f>IFERROR(IF((time+time_cap)&lt;AU$2, 0,IF(AND(time+1&gt;=AV$2, $E170&lt;AV$2), IF($I170= "I", $J170/($F170-$E170+1), $J170/(($F170*($F170+1)/2)-(($E170-1)*($E170-1+1)/2))*AU$2), 0)+IF(IF(time+1&gt;=AV$2, $K170/time_cap/(time+1)*AU$2, 0) = 0, $K170/(time_cap),0)),0)</f>
        <v/>
      </c>
      <c r="AV170" s="4395">
        <f>IFERROR(IF((time+time_cap)&lt;AV$2, 0,IF(AND(time+1&gt;=AW$2, $E170&lt;AW$2), IF($I170= "I", $J170/($F170-$E170+1), $J170/(($F170*($F170+1)/2)-(($E170-1)*($E170-1+1)/2))*AV$2), 0)+IF(IF(time+1&gt;=AW$2, $K170/time_cap/(time+1)*AV$2, 0) = 0, $K170/(time_cap),0)),0)</f>
        <v/>
      </c>
      <c r="AW170" s="4395">
        <f>IFERROR(IF((time+time_cap)&lt;AW$2, 0,IF(AND(time+1&gt;=AX$2, $E170&lt;AX$2), IF($I170= "I", $J170/($F170-$E170+1), $J170/(($F170*($F170+1)/2)-(($E170-1)*($E170-1+1)/2))*AW$2), 0)+IF(IF(time+1&gt;=AX$2, $K170/time_cap/(time+1)*AW$2, 0) = 0, $K170/(time_cap),0)),0)</f>
        <v/>
      </c>
      <c r="AX170" s="4395">
        <f>IFERROR(IF((time+time_cap)&lt;AX$2, 0,IF(AND(time+1&gt;=AY$2, $E170&lt;AY$2), IF($I170= "I", $J170/($F170-$E170+1), $J170/(($F170*($F170+1)/2)-(($E170-1)*($E170-1+1)/2))*AX$2), 0)+IF(IF(time+1&gt;=AY$2, $K170/time_cap/(time+1)*AX$2, 0) = 0, $K170/(time_cap),0)),0)</f>
        <v/>
      </c>
      <c r="AY170" s="4395">
        <f>IFERROR(IF((time+time_cap)&lt;AY$2, 0,IF(AND(time+1&gt;=AZ$2, $E170&lt;AZ$2), IF($I170= "I", $J170/($F170-$E170+1), $J170/(($F170*($F170+1)/2)-(($E170-1)*($E170-1+1)/2))*AY$2), 0)+IF(IF(time+1&gt;=AZ$2, $K170/time_cap/(time+1)*AY$2, 0) = 0, $K170/(time_cap),0)),0)</f>
        <v/>
      </c>
      <c r="AZ170" s="4395">
        <f>IFERROR(IF((time+time_cap)&lt;AZ$2, 0,IF(AND(time+1&gt;=BA$2, $E170&lt;BA$2), IF($I170= "I", $J170/($F170-$E170+1), $J170/(($F170*($F170+1)/2)-(($E170-1)*($E170-1+1)/2))*AZ$2), 0)+IF(IF(time+1&gt;=BA$2, $K170/time_cap/(time+1)*AZ$2, 0) = 0, $K170/(time_cap),0)),0)</f>
        <v/>
      </c>
      <c r="BA170" s="4395">
        <f>IFERROR(IF((time+time_cap)&lt;BA$2, 0,IF(AND(time+1&gt;=BB$2, $E170&lt;BB$2), IF($I170= "I", $J170/($F170-$E170+1), $J170/(($F170*($F170+1)/2)-(($E170-1)*($E170-1+1)/2))*BA$2), 0)+IF(IF(time+1&gt;=BB$2, $K170/time_cap/(time+1)*BA$2, 0) = 0, $K170/(time_cap),0)),0)</f>
        <v/>
      </c>
      <c r="BB170" s="4395">
        <f>IFERROR(IF((time+time_cap)&lt;BB$2, 0,IF(AND(time+1&gt;=BC$2, $E170&lt;BC$2), IF($I170= "I", $J170/($F170-$E170+1), $J170/(($F170*($F170+1)/2)-(($E170-1)*($E170-1+1)/2))*BB$2), 0)+IF(IF(time+1&gt;=BC$2, $K170/time_cap/(time+1)*BB$2, 0) = 0, $K170/(time_cap),0)),0)</f>
        <v/>
      </c>
      <c r="BC170" s="4395">
        <f>IFERROR(IF((time+time_cap)&lt;BC$2, 0,IF(AND(time+1&gt;=BD$2, $E170&lt;BD$2), IF($I170= "I", $J170/($F170-$E170+1), $J170/(($F170*($F170+1)/2)-(($E170-1)*($E170-1+1)/2))*BC$2), 0)+IF(IF(time+1&gt;=BD$2, $K170/time_cap/(time+1)*BC$2, 0) = 0, $K170/(time_cap),0)),0)</f>
        <v/>
      </c>
      <c r="BD170" s="4395">
        <f>IFERROR(IF((time+time_cap)&lt;BD$2, 0,IF(AND(time+1&gt;=BE$2, $E170&lt;BE$2), IF($I170= "I", $J170/($F170-$E170+1), $J170/(($F170*($F170+1)/2)-(($E170-1)*($E170-1+1)/2))*BD$2), 0)+IF(IF(time+1&gt;=BE$2, $K170/time_cap/(time+1)*BD$2, 0) = 0, $K170/(time_cap),0)),0)</f>
        <v/>
      </c>
      <c r="BE170" s="4395">
        <f>IFERROR(IF((time+time_cap)&lt;BE$2, 0,IF(AND(time+1&gt;=BF$2, $E170&lt;BF$2), IF($I170= "I", $J170/($F170-$E170+1), $J170/(($F170*($F170+1)/2)-(($E170-1)*($E170-1+1)/2))*BE$2), 0)+IF(IF(time+1&gt;=BF$2, $K170/time_cap/(time+1)*BE$2, 0) = 0, $K170/(time_cap),0)),0)</f>
        <v/>
      </c>
      <c r="BF170" s="4395">
        <f>IFERROR(IF((time+time_cap)&lt;BF$2, 0,IF(AND(time+1&gt;=BG$2, $E170&lt;BG$2), IF($I170= "I", $J170/($F170-$E170+1), $J170/(($F170*($F170+1)/2)-(($E170-1)*($E170-1+1)/2))*BF$2), 0)+IF(IF(time+1&gt;=BG$2, $K170/time_cap/(time+1)*BF$2, 0) = 0, $K170/(time_cap),0)),0)</f>
        <v/>
      </c>
      <c r="BG170" s="4395">
        <f>IFERROR(IF((time+time_cap)&lt;BG$2, 0,IF(AND(time+1&gt;=BH$2, $E170&lt;BH$2), IF($I170= "I", $J170/($F170-$E170+1), $J170/(($F170*($F170+1)/2)-(($E170-1)*($E170-1+1)/2))*BG$2), 0)+IF(IF(time+1&gt;=BH$2, $K170/time_cap/(time+1)*BG$2, 0) = 0, $K170/(time_cap),0)),0)</f>
        <v/>
      </c>
      <c r="BH170" s="4395">
        <f>IFERROR(IF((time+time_cap)&lt;BH$2, 0,IF(AND(time+1&gt;=BI$2, $E170&lt;BI$2), IF($I170= "I", $J170/($F170-$E170+1), $J170/(($F170*($F170+1)/2)-(($E170-1)*($E170-1+1)/2))*BH$2), 0)+IF(IF(time+1&gt;=BI$2, $K170/time_cap/(time+1)*BH$2, 0) = 0, $K170/(time_cap),0)),0)</f>
        <v/>
      </c>
      <c r="BI170" s="4395">
        <f>IFERROR(IF((time+time_cap)&lt;BI$2, 0,IF(AND(time+1&gt;=BJ$2, $E170&lt;BJ$2), IF($I170= "I", $J170/($F170-$E170+1), $J170/(($F170*($F170+1)/2)-(($E170-1)*($E170-1+1)/2))*BI$2), 0)+IF(IF(time+1&gt;=BJ$2, $K170/time_cap/(time+1)*BI$2, 0) = 0, $K170/(time_cap),0)),0)</f>
        <v/>
      </c>
      <c r="BJ170" s="4395">
        <f>IFERROR(IF((time+time_cap)&lt;BJ$2, 0,IF(AND(time+1&gt;=BK$2, $E170&lt;BK$2), IF($I170= "I", $J170/($F170-$E170+1), $J170/(($F170*($F170+1)/2)-(($E170-1)*($E170-1+1)/2))*BJ$2), 0)+IF(IF(time+1&gt;=BK$2, $K170/time_cap/(time+1)*BJ$2, 0) = 0, $K170/(time_cap),0)),0)</f>
        <v/>
      </c>
      <c r="BK170" s="4395" t="n"/>
      <c r="BL170" s="4395" t="n"/>
      <c r="BM170" s="4395" t="n"/>
      <c r="BN170" s="4395" t="n"/>
      <c r="BO170" s="4395" t="n"/>
      <c r="BP170" s="4395" t="n"/>
      <c r="BQ170" s="4395" t="n"/>
      <c r="BR170" s="4395" t="n"/>
      <c r="BS170" s="4395" t="n"/>
      <c r="BT170" s="4395" t="n"/>
      <c r="BU170" s="4395" t="n"/>
      <c r="BV170" s="4395" t="n"/>
      <c r="BW170" s="4395" t="n"/>
      <c r="BX170" s="4395" t="n"/>
      <c r="BY170" s="4395" t="n"/>
      <c r="BZ170" s="4395" t="n"/>
      <c r="CA170" s="4395" t="n"/>
      <c r="CB170" s="4395" t="n"/>
      <c r="CC170" s="4395" t="n"/>
      <c r="CD170" s="4395" t="n"/>
      <c r="CE170" s="4395" t="n"/>
      <c r="CF170" s="4395" t="n"/>
      <c r="CG170" s="4395" t="n"/>
      <c r="CH170" s="4395" t="n"/>
      <c r="CI170" s="4395" t="n"/>
      <c r="CJ170" s="4395" t="n"/>
      <c r="CK170" s="4395" t="n"/>
      <c r="CL170" s="4395" t="n"/>
      <c r="CM170" s="4395" t="n"/>
      <c r="CN170" s="4395" t="n"/>
      <c r="CO170" s="4395" t="n"/>
      <c r="CP170" s="4395" t="n"/>
      <c r="CQ170" s="4395" t="n"/>
      <c r="CR170" s="4395" t="n"/>
      <c r="CS170" s="4395" t="n"/>
      <c r="CT170" s="4395" t="n"/>
      <c r="CU170" s="4395" t="n"/>
      <c r="CV170" s="4395" t="n"/>
      <c r="CW170" s="4395" t="n"/>
      <c r="CX170" s="4395" t="n"/>
      <c r="CY170" s="4395" t="n"/>
      <c r="CZ170" s="4395" t="n"/>
      <c r="DA170" s="4395" t="n"/>
      <c r="DB170" s="4395" t="n"/>
      <c r="DC170" s="4395" t="n"/>
      <c r="DD170" s="4395" t="n"/>
      <c r="DE170" s="4395" t="n"/>
      <c r="DF170" s="4395" t="n"/>
      <c r="DG170" s="4395" t="n"/>
      <c r="DH170" s="4395" t="n"/>
    </row>
    <row r="171" ht="16" customHeight="1">
      <c r="A171" t="inlineStr">
        <is>
          <t>Coastal wetland - drainage</t>
        </is>
      </c>
      <c r="C171">
        <f>'7.Coastal wetlands'!C34</f>
        <v/>
      </c>
      <c r="D171">
        <f>'7.Coastal wetlands'!AI34</f>
        <v/>
      </c>
      <c r="E171">
        <f>IF('7.Coastal wetlands'!CN34&lt;&gt;0,'7.Coastal wetlands'!CN34,'7.Coastal wetlands'!CM34)</f>
        <v/>
      </c>
      <c r="F171">
        <f>time</f>
        <v/>
      </c>
      <c r="G171" s="4395">
        <f>'7.Coastal wetlands'!I34</f>
        <v/>
      </c>
      <c r="H171" s="4395">
        <f>'7.Coastal wetlands'!K34</f>
        <v/>
      </c>
      <c r="I171" s="4395">
        <f>IF(OR(H171="I", G171="I"), "I", IF(OR(H171="E", G171="E"), "E", "D"))</f>
        <v/>
      </c>
      <c r="J171" s="4395">
        <f>((D171/(time_cap+((F171-E171+1)*VLOOKUP(I171,list!$I$48:$K$50,3, FALSE))))*(F171-E171+1)*VLOOKUP(I171,list!$I$48:$K$50,3, FALSE))</f>
        <v/>
      </c>
      <c r="K171" s="4395">
        <f>((D171/(time_cap+((F171-E171+1)*VLOOKUP(I171,list!$I$48:$K$50,3, FALSE))))*time_cap)</f>
        <v/>
      </c>
      <c r="M171" s="4395">
        <f>IFERROR(IF((time+time_cap)&lt;M$2, 0,IF(AND(time+1&gt;=N$2, $E171&lt;N$2), IF($I171= "I", $J171/($F171-$E171+1), $J171/(($F171*($F171+1)/2)-(($E171-1)*($E171-1+1)/2))*M$2), 0)+IF(IF(time+1&gt;=N$2, $K171/time_cap/(time+1)*M$2, 0) = 0, $K171/(time_cap),0)),0)</f>
        <v/>
      </c>
      <c r="N171" s="4395">
        <f>IFERROR(IF((time+time_cap)&lt;N$2, 0,IF(AND(time+1&gt;=O$2, $E171&lt;O$2), IF($I171= "I", $J171/($F171-$E171+1), $J171/(($F171*($F171+1)/2)-(($E171-1)*($E171-1+1)/2))*N$2), 0)+IF(IF(time+1&gt;=O$2, $K171/time_cap/(time+1)*N$2, 0) = 0, $K171/(time_cap),0)),0)</f>
        <v/>
      </c>
      <c r="O171" s="4395">
        <f>IFERROR(IF((time+time_cap)&lt;O$2, 0,IF(AND(time+1&gt;=P$2, $E171&lt;P$2), IF($I171= "I", $J171/($F171-$E171+1), $J171/(($F171*($F171+1)/2)-(($E171-1)*($E171-1+1)/2))*O$2), 0)+IF(IF(time+1&gt;=P$2, $K171/time_cap/(time+1)*O$2, 0) = 0, $K171/(time_cap),0)),0)</f>
        <v/>
      </c>
      <c r="P171" s="4395">
        <f>IFERROR(IF((time+time_cap)&lt;P$2, 0,IF(AND(time+1&gt;=Q$2, $E171&lt;Q$2), IF($I171= "I", $J171/($F171-$E171+1), $J171/(($F171*($F171+1)/2)-(($E171-1)*($E171-1+1)/2))*P$2), 0)+IF(IF(time+1&gt;=Q$2, $K171/time_cap/(time+1)*P$2, 0) = 0, $K171/(time_cap),0)),0)</f>
        <v/>
      </c>
      <c r="Q171" s="4395">
        <f>IFERROR(IF((time+time_cap)&lt;Q$2, 0,IF(AND(time+1&gt;=R$2, $E171&lt;R$2), IF($I171= "I", $J171/($F171-$E171+1), $J171/(($F171*($F171+1)/2)-(($E171-1)*($E171-1+1)/2))*Q$2), 0)+IF(IF(time+1&gt;=R$2, $K171/time_cap/(time+1)*Q$2, 0) = 0, $K171/(time_cap),0)),0)</f>
        <v/>
      </c>
      <c r="R171" s="4395">
        <f>IFERROR(IF((time+time_cap)&lt;R$2, 0,IF(AND(time+1&gt;=S$2, $E171&lt;S$2), IF($I171= "I", $J171/($F171-$E171+1), $J171/(($F171*($F171+1)/2)-(($E171-1)*($E171-1+1)/2))*R$2), 0)+IF(IF(time+1&gt;=S$2, $K171/time_cap/(time+1)*R$2, 0) = 0, $K171/(time_cap),0)),0)</f>
        <v/>
      </c>
      <c r="S171" s="4395">
        <f>IFERROR(IF((time+time_cap)&lt;S$2, 0,IF(AND(time+1&gt;=T$2, $E171&lt;T$2), IF($I171= "I", $J171/($F171-$E171+1), $J171/(($F171*($F171+1)/2)-(($E171-1)*($E171-1+1)/2))*S$2), 0)+IF(IF(time+1&gt;=T$2, $K171/time_cap/(time+1)*S$2, 0) = 0, $K171/(time_cap),0)),0)</f>
        <v/>
      </c>
      <c r="T171" s="4395">
        <f>IFERROR(IF((time+time_cap)&lt;T$2, 0,IF(AND(time+1&gt;=U$2, $E171&lt;U$2), IF($I171= "I", $J171/($F171-$E171+1), $J171/(($F171*($F171+1)/2)-(($E171-1)*($E171-1+1)/2))*T$2), 0)+IF(IF(time+1&gt;=U$2, $K171/time_cap/(time+1)*T$2, 0) = 0, $K171/(time_cap),0)),0)</f>
        <v/>
      </c>
      <c r="U171" s="4395">
        <f>IFERROR(IF((time+time_cap)&lt;U$2, 0,IF(AND(time+1&gt;=V$2, $E171&lt;V$2), IF($I171= "I", $J171/($F171-$E171+1), $J171/(($F171*($F171+1)/2)-(($E171-1)*($E171-1+1)/2))*U$2), 0)+IF(IF(time+1&gt;=V$2, $K171/time_cap/(time+1)*U$2, 0) = 0, $K171/(time_cap),0)),0)</f>
        <v/>
      </c>
      <c r="V171" s="4395">
        <f>IFERROR(IF((time+time_cap)&lt;V$2, 0,IF(AND(time+1&gt;=W$2, $E171&lt;W$2), IF($I171= "I", $J171/($F171-$E171+1), $J171/(($F171*($F171+1)/2)-(($E171-1)*($E171-1+1)/2))*V$2), 0)+IF(IF(time+1&gt;=W$2, $K171/time_cap/(time+1)*V$2, 0) = 0, $K171/(time_cap),0)),0)</f>
        <v/>
      </c>
      <c r="W171" s="4395">
        <f>IFERROR(IF((time+time_cap)&lt;W$2, 0,IF(AND(time+1&gt;=X$2, $E171&lt;X$2), IF($I171= "I", $J171/($F171-$E171+1), $J171/(($F171*($F171+1)/2)-(($E171-1)*($E171-1+1)/2))*W$2), 0)+IF(IF(time+1&gt;=X$2, $K171/time_cap/(time+1)*W$2, 0) = 0, $K171/(time_cap),0)),0)</f>
        <v/>
      </c>
      <c r="X171" s="4395">
        <f>IFERROR(IF((time+time_cap)&lt;X$2, 0,IF(AND(time+1&gt;=Y$2, $E171&lt;Y$2), IF($I171= "I", $J171/($F171-$E171+1), $J171/(($F171*($F171+1)/2)-(($E171-1)*($E171-1+1)/2))*X$2), 0)+IF(IF(time+1&gt;=Y$2, $K171/time_cap/(time+1)*X$2, 0) = 0, $K171/(time_cap),0)),0)</f>
        <v/>
      </c>
      <c r="Y171" s="4395">
        <f>IFERROR(IF((time+time_cap)&lt;Y$2, 0,IF(AND(time+1&gt;=Z$2, $E171&lt;Z$2), IF($I171= "I", $J171/($F171-$E171+1), $J171/(($F171*($F171+1)/2)-(($E171-1)*($E171-1+1)/2))*Y$2), 0)+IF(IF(time+1&gt;=Z$2, $K171/time_cap/(time+1)*Y$2, 0) = 0, $K171/(time_cap),0)),0)</f>
        <v/>
      </c>
      <c r="Z171" s="4395">
        <f>IFERROR(IF((time+time_cap)&lt;Z$2, 0,IF(AND(time+1&gt;=AA$2, $E171&lt;AA$2), IF($I171= "I", $J171/($F171-$E171+1), $J171/(($F171*($F171+1)/2)-(($E171-1)*($E171-1+1)/2))*Z$2), 0)+IF(IF(time+1&gt;=AA$2, $K171/time_cap/(time+1)*Z$2, 0) = 0, $K171/(time_cap),0)),0)</f>
        <v/>
      </c>
      <c r="AA171" s="4395">
        <f>IFERROR(IF((time+time_cap)&lt;AA$2, 0,IF(AND(time+1&gt;=AB$2, $E171&lt;AB$2), IF($I171= "I", $J171/($F171-$E171+1), $J171/(($F171*($F171+1)/2)-(($E171-1)*($E171-1+1)/2))*AA$2), 0)+IF(IF(time+1&gt;=AB$2, $K171/time_cap/(time+1)*AA$2, 0) = 0, $K171/(time_cap),0)),0)</f>
        <v/>
      </c>
      <c r="AB171" s="4395">
        <f>IFERROR(IF((time+time_cap)&lt;AB$2, 0,IF(AND(time+1&gt;=AC$2, $E171&lt;AC$2), IF($I171= "I", $J171/($F171-$E171+1), $J171/(($F171*($F171+1)/2)-(($E171-1)*($E171-1+1)/2))*AB$2), 0)+IF(IF(time+1&gt;=AC$2, $K171/time_cap/(time+1)*AB$2, 0) = 0, $K171/(time_cap),0)),0)</f>
        <v/>
      </c>
      <c r="AC171" s="4395">
        <f>IFERROR(IF((time+time_cap)&lt;AC$2, 0,IF(AND(time+1&gt;=AD$2, $E171&lt;AD$2), IF($I171= "I", $J171/($F171-$E171+1), $J171/(($F171*($F171+1)/2)-(($E171-1)*($E171-1+1)/2))*AC$2), 0)+IF(IF(time+1&gt;=AD$2, $K171/time_cap/(time+1)*AC$2, 0) = 0, $K171/(time_cap),0)),0)</f>
        <v/>
      </c>
      <c r="AD171" s="4395">
        <f>IFERROR(IF((time+time_cap)&lt;AD$2, 0,IF(AND(time+1&gt;=AE$2, $E171&lt;AE$2), IF($I171= "I", $J171/($F171-$E171+1), $J171/(($F171*($F171+1)/2)-(($E171-1)*($E171-1+1)/2))*AD$2), 0)+IF(IF(time+1&gt;=AE$2, $K171/time_cap/(time+1)*AD$2, 0) = 0, $K171/(time_cap),0)),0)</f>
        <v/>
      </c>
      <c r="AE171" s="4395">
        <f>IFERROR(IF((time+time_cap)&lt;AE$2, 0,IF(AND(time+1&gt;=AF$2, $E171&lt;AF$2), IF($I171= "I", $J171/($F171-$E171+1), $J171/(($F171*($F171+1)/2)-(($E171-1)*($E171-1+1)/2))*AE$2), 0)+IF(IF(time+1&gt;=AF$2, $K171/time_cap/(time+1)*AE$2, 0) = 0, $K171/(time_cap),0)),0)</f>
        <v/>
      </c>
      <c r="AF171" s="4395">
        <f>IFERROR(IF((time+time_cap)&lt;AF$2, 0,IF(AND(time+1&gt;=AG$2, $E171&lt;AG$2), IF($I171= "I", $J171/($F171-$E171+1), $J171/(($F171*($F171+1)/2)-(($E171-1)*($E171-1+1)/2))*AF$2), 0)+IF(IF(time+1&gt;=AG$2, $K171/time_cap/(time+1)*AF$2, 0) = 0, $K171/(time_cap),0)),0)</f>
        <v/>
      </c>
      <c r="AG171" s="4395">
        <f>IFERROR(IF((time+time_cap)&lt;AG$2, 0,IF(AND(time+1&gt;=AH$2, $E171&lt;AH$2), IF($I171= "I", $J171/($F171-$E171+1), $J171/(($F171*($F171+1)/2)-(($E171-1)*($E171-1+1)/2))*AG$2), 0)+IF(IF(time+1&gt;=AH$2, $K171/time_cap/(time+1)*AG$2, 0) = 0, $K171/(time_cap),0)),0)</f>
        <v/>
      </c>
      <c r="AH171" s="4395">
        <f>IFERROR(IF((time+time_cap)&lt;AH$2, 0,IF(AND(time+1&gt;=AI$2, $E171&lt;AI$2), IF($I171= "I", $J171/($F171-$E171+1), $J171/(($F171*($F171+1)/2)-(($E171-1)*($E171-1+1)/2))*AH$2), 0)+IF(IF(time+1&gt;=AI$2, $K171/time_cap/(time+1)*AH$2, 0) = 0, $K171/(time_cap),0)),0)</f>
        <v/>
      </c>
      <c r="AI171" s="4395">
        <f>IFERROR(IF((time+time_cap)&lt;AI$2, 0,IF(AND(time+1&gt;=AJ$2, $E171&lt;AJ$2), IF($I171= "I", $J171/($F171-$E171+1), $J171/(($F171*($F171+1)/2)-(($E171-1)*($E171-1+1)/2))*AI$2), 0)+IF(IF(time+1&gt;=AJ$2, $K171/time_cap/(time+1)*AI$2, 0) = 0, $K171/(time_cap),0)),0)</f>
        <v/>
      </c>
      <c r="AJ171" s="4395">
        <f>IFERROR(IF((time+time_cap)&lt;AJ$2, 0,IF(AND(time+1&gt;=AK$2, $E171&lt;AK$2), IF($I171= "I", $J171/($F171-$E171+1), $J171/(($F171*($F171+1)/2)-(($E171-1)*($E171-1+1)/2))*AJ$2), 0)+IF(IF(time+1&gt;=AK$2, $K171/time_cap/(time+1)*AJ$2, 0) = 0, $K171/(time_cap),0)),0)</f>
        <v/>
      </c>
      <c r="AK171" s="4395">
        <f>IFERROR(IF((time+time_cap)&lt;AK$2, 0,IF(AND(time+1&gt;=AL$2, $E171&lt;AL$2), IF($I171= "I", $J171/($F171-$E171+1), $J171/(($F171*($F171+1)/2)-(($E171-1)*($E171-1+1)/2))*AK$2), 0)+IF(IF(time+1&gt;=AL$2, $K171/time_cap/(time+1)*AK$2, 0) = 0, $K171/(time_cap),0)),0)</f>
        <v/>
      </c>
      <c r="AL171" s="4395">
        <f>IFERROR(IF((time+time_cap)&lt;AL$2, 0,IF(AND(time+1&gt;=AM$2, $E171&lt;AM$2), IF($I171= "I", $J171/($F171-$E171+1), $J171/(($F171*($F171+1)/2)-(($E171-1)*($E171-1+1)/2))*AL$2), 0)+IF(IF(time+1&gt;=AM$2, $K171/time_cap/(time+1)*AL$2, 0) = 0, $K171/(time_cap),0)),0)</f>
        <v/>
      </c>
      <c r="AM171" s="4395">
        <f>IFERROR(IF((time+time_cap)&lt;AM$2, 0,IF(AND(time+1&gt;=AN$2, $E171&lt;AN$2), IF($I171= "I", $J171/($F171-$E171+1), $J171/(($F171*($F171+1)/2)-(($E171-1)*($E171-1+1)/2))*AM$2), 0)+IF(IF(time+1&gt;=AN$2, $K171/time_cap/(time+1)*AM$2, 0) = 0, $K171/(time_cap),0)),0)</f>
        <v/>
      </c>
      <c r="AN171" s="4395">
        <f>IFERROR(IF((time+time_cap)&lt;AN$2, 0,IF(AND(time+1&gt;=AO$2, $E171&lt;AO$2), IF($I171= "I", $J171/($F171-$E171+1), $J171/(($F171*($F171+1)/2)-(($E171-1)*($E171-1+1)/2))*AN$2), 0)+IF(IF(time+1&gt;=AO$2, $K171/time_cap/(time+1)*AN$2, 0) = 0, $K171/(time_cap),0)),0)</f>
        <v/>
      </c>
      <c r="AO171" s="4395">
        <f>IFERROR(IF((time+time_cap)&lt;AO$2, 0,IF(AND(time+1&gt;=AP$2, $E171&lt;AP$2), IF($I171= "I", $J171/($F171-$E171+1), $J171/(($F171*($F171+1)/2)-(($E171-1)*($E171-1+1)/2))*AO$2), 0)+IF(IF(time+1&gt;=AP$2, $K171/time_cap/(time+1)*AO$2, 0) = 0, $K171/(time_cap),0)),0)</f>
        <v/>
      </c>
      <c r="AP171" s="4395">
        <f>IFERROR(IF((time+time_cap)&lt;AP$2, 0,IF(AND(time+1&gt;=AQ$2, $E171&lt;AQ$2), IF($I171= "I", $J171/($F171-$E171+1), $J171/(($F171*($F171+1)/2)-(($E171-1)*($E171-1+1)/2))*AP$2), 0)+IF(IF(time+1&gt;=AQ$2, $K171/time_cap/(time+1)*AP$2, 0) = 0, $K171/(time_cap),0)),0)</f>
        <v/>
      </c>
      <c r="AQ171" s="4395">
        <f>IFERROR(IF((time+time_cap)&lt;AQ$2, 0,IF(AND(time+1&gt;=AR$2, $E171&lt;AR$2), IF($I171= "I", $J171/($F171-$E171+1), $J171/(($F171*($F171+1)/2)-(($E171-1)*($E171-1+1)/2))*AQ$2), 0)+IF(IF(time+1&gt;=AR$2, $K171/time_cap/(time+1)*AQ$2, 0) = 0, $K171/(time_cap),0)),0)</f>
        <v/>
      </c>
      <c r="AR171" s="4395">
        <f>IFERROR(IF((time+time_cap)&lt;AR$2, 0,IF(AND(time+1&gt;=AS$2, $E171&lt;AS$2), IF($I171= "I", $J171/($F171-$E171+1), $J171/(($F171*($F171+1)/2)-(($E171-1)*($E171-1+1)/2))*AR$2), 0)+IF(IF(time+1&gt;=AS$2, $K171/time_cap/(time+1)*AR$2, 0) = 0, $K171/(time_cap),0)),0)</f>
        <v/>
      </c>
      <c r="AS171" s="4395">
        <f>IFERROR(IF((time+time_cap)&lt;AS$2, 0,IF(AND(time+1&gt;=AT$2, $E171&lt;AT$2), IF($I171= "I", $J171/($F171-$E171+1), $J171/(($F171*($F171+1)/2)-(($E171-1)*($E171-1+1)/2))*AS$2), 0)+IF(IF(time+1&gt;=AT$2, $K171/time_cap/(time+1)*AS$2, 0) = 0, $K171/(time_cap),0)),0)</f>
        <v/>
      </c>
      <c r="AT171" s="4395">
        <f>IFERROR(IF((time+time_cap)&lt;AT$2, 0,IF(AND(time+1&gt;=AU$2, $E171&lt;AU$2), IF($I171= "I", $J171/($F171-$E171+1), $J171/(($F171*($F171+1)/2)-(($E171-1)*($E171-1+1)/2))*AT$2), 0)+IF(IF(time+1&gt;=AU$2, $K171/time_cap/(time+1)*AT$2, 0) = 0, $K171/(time_cap),0)),0)</f>
        <v/>
      </c>
      <c r="AU171" s="4395">
        <f>IFERROR(IF((time+time_cap)&lt;AU$2, 0,IF(AND(time+1&gt;=AV$2, $E171&lt;AV$2), IF($I171= "I", $J171/($F171-$E171+1), $J171/(($F171*($F171+1)/2)-(($E171-1)*($E171-1+1)/2))*AU$2), 0)+IF(IF(time+1&gt;=AV$2, $K171/time_cap/(time+1)*AU$2, 0) = 0, $K171/(time_cap),0)),0)</f>
        <v/>
      </c>
      <c r="AV171" s="4395">
        <f>IFERROR(IF((time+time_cap)&lt;AV$2, 0,IF(AND(time+1&gt;=AW$2, $E171&lt;AW$2), IF($I171= "I", $J171/($F171-$E171+1), $J171/(($F171*($F171+1)/2)-(($E171-1)*($E171-1+1)/2))*AV$2), 0)+IF(IF(time+1&gt;=AW$2, $K171/time_cap/(time+1)*AV$2, 0) = 0, $K171/(time_cap),0)),0)</f>
        <v/>
      </c>
      <c r="AW171" s="4395">
        <f>IFERROR(IF((time+time_cap)&lt;AW$2, 0,IF(AND(time+1&gt;=AX$2, $E171&lt;AX$2), IF($I171= "I", $J171/($F171-$E171+1), $J171/(($F171*($F171+1)/2)-(($E171-1)*($E171-1+1)/2))*AW$2), 0)+IF(IF(time+1&gt;=AX$2, $K171/time_cap/(time+1)*AW$2, 0) = 0, $K171/(time_cap),0)),0)</f>
        <v/>
      </c>
      <c r="AX171" s="4395">
        <f>IFERROR(IF((time+time_cap)&lt;AX$2, 0,IF(AND(time+1&gt;=AY$2, $E171&lt;AY$2), IF($I171= "I", $J171/($F171-$E171+1), $J171/(($F171*($F171+1)/2)-(($E171-1)*($E171-1+1)/2))*AX$2), 0)+IF(IF(time+1&gt;=AY$2, $K171/time_cap/(time+1)*AX$2, 0) = 0, $K171/(time_cap),0)),0)</f>
        <v/>
      </c>
      <c r="AY171" s="4395">
        <f>IFERROR(IF((time+time_cap)&lt;AY$2, 0,IF(AND(time+1&gt;=AZ$2, $E171&lt;AZ$2), IF($I171= "I", $J171/($F171-$E171+1), $J171/(($F171*($F171+1)/2)-(($E171-1)*($E171-1+1)/2))*AY$2), 0)+IF(IF(time+1&gt;=AZ$2, $K171/time_cap/(time+1)*AY$2, 0) = 0, $K171/(time_cap),0)),0)</f>
        <v/>
      </c>
      <c r="AZ171" s="4395">
        <f>IFERROR(IF((time+time_cap)&lt;AZ$2, 0,IF(AND(time+1&gt;=BA$2, $E171&lt;BA$2), IF($I171= "I", $J171/($F171-$E171+1), $J171/(($F171*($F171+1)/2)-(($E171-1)*($E171-1+1)/2))*AZ$2), 0)+IF(IF(time+1&gt;=BA$2, $K171/time_cap/(time+1)*AZ$2, 0) = 0, $K171/(time_cap),0)),0)</f>
        <v/>
      </c>
      <c r="BA171" s="4395">
        <f>IFERROR(IF((time+time_cap)&lt;BA$2, 0,IF(AND(time+1&gt;=BB$2, $E171&lt;BB$2), IF($I171= "I", $J171/($F171-$E171+1), $J171/(($F171*($F171+1)/2)-(($E171-1)*($E171-1+1)/2))*BA$2), 0)+IF(IF(time+1&gt;=BB$2, $K171/time_cap/(time+1)*BA$2, 0) = 0, $K171/(time_cap),0)),0)</f>
        <v/>
      </c>
      <c r="BB171" s="4395">
        <f>IFERROR(IF((time+time_cap)&lt;BB$2, 0,IF(AND(time+1&gt;=BC$2, $E171&lt;BC$2), IF($I171= "I", $J171/($F171-$E171+1), $J171/(($F171*($F171+1)/2)-(($E171-1)*($E171-1+1)/2))*BB$2), 0)+IF(IF(time+1&gt;=BC$2, $K171/time_cap/(time+1)*BB$2, 0) = 0, $K171/(time_cap),0)),0)</f>
        <v/>
      </c>
      <c r="BC171" s="4395">
        <f>IFERROR(IF((time+time_cap)&lt;BC$2, 0,IF(AND(time+1&gt;=BD$2, $E171&lt;BD$2), IF($I171= "I", $J171/($F171-$E171+1), $J171/(($F171*($F171+1)/2)-(($E171-1)*($E171-1+1)/2))*BC$2), 0)+IF(IF(time+1&gt;=BD$2, $K171/time_cap/(time+1)*BC$2, 0) = 0, $K171/(time_cap),0)),0)</f>
        <v/>
      </c>
      <c r="BD171" s="4395">
        <f>IFERROR(IF((time+time_cap)&lt;BD$2, 0,IF(AND(time+1&gt;=BE$2, $E171&lt;BE$2), IF($I171= "I", $J171/($F171-$E171+1), $J171/(($F171*($F171+1)/2)-(($E171-1)*($E171-1+1)/2))*BD$2), 0)+IF(IF(time+1&gt;=BE$2, $K171/time_cap/(time+1)*BD$2, 0) = 0, $K171/(time_cap),0)),0)</f>
        <v/>
      </c>
      <c r="BE171" s="4395">
        <f>IFERROR(IF((time+time_cap)&lt;BE$2, 0,IF(AND(time+1&gt;=BF$2, $E171&lt;BF$2), IF($I171= "I", $J171/($F171-$E171+1), $J171/(($F171*($F171+1)/2)-(($E171-1)*($E171-1+1)/2))*BE$2), 0)+IF(IF(time+1&gt;=BF$2, $K171/time_cap/(time+1)*BE$2, 0) = 0, $K171/(time_cap),0)),0)</f>
        <v/>
      </c>
      <c r="BF171" s="4395">
        <f>IFERROR(IF((time+time_cap)&lt;BF$2, 0,IF(AND(time+1&gt;=BG$2, $E171&lt;BG$2), IF($I171= "I", $J171/($F171-$E171+1), $J171/(($F171*($F171+1)/2)-(($E171-1)*($E171-1+1)/2))*BF$2), 0)+IF(IF(time+1&gt;=BG$2, $K171/time_cap/(time+1)*BF$2, 0) = 0, $K171/(time_cap),0)),0)</f>
        <v/>
      </c>
      <c r="BG171" s="4395">
        <f>IFERROR(IF((time+time_cap)&lt;BG$2, 0,IF(AND(time+1&gt;=BH$2, $E171&lt;BH$2), IF($I171= "I", $J171/($F171-$E171+1), $J171/(($F171*($F171+1)/2)-(($E171-1)*($E171-1+1)/2))*BG$2), 0)+IF(IF(time+1&gt;=BH$2, $K171/time_cap/(time+1)*BG$2, 0) = 0, $K171/(time_cap),0)),0)</f>
        <v/>
      </c>
      <c r="BH171" s="4395">
        <f>IFERROR(IF((time+time_cap)&lt;BH$2, 0,IF(AND(time+1&gt;=BI$2, $E171&lt;BI$2), IF($I171= "I", $J171/($F171-$E171+1), $J171/(($F171*($F171+1)/2)-(($E171-1)*($E171-1+1)/2))*BH$2), 0)+IF(IF(time+1&gt;=BI$2, $K171/time_cap/(time+1)*BH$2, 0) = 0, $K171/(time_cap),0)),0)</f>
        <v/>
      </c>
      <c r="BI171" s="4395">
        <f>IFERROR(IF((time+time_cap)&lt;BI$2, 0,IF(AND(time+1&gt;=BJ$2, $E171&lt;BJ$2), IF($I171= "I", $J171/($F171-$E171+1), $J171/(($F171*($F171+1)/2)-(($E171-1)*($E171-1+1)/2))*BI$2), 0)+IF(IF(time+1&gt;=BJ$2, $K171/time_cap/(time+1)*BI$2, 0) = 0, $K171/(time_cap),0)),0)</f>
        <v/>
      </c>
      <c r="BJ171" s="4395">
        <f>IFERROR(IF((time+time_cap)&lt;BJ$2, 0,IF(AND(time+1&gt;=BK$2, $E171&lt;BK$2), IF($I171= "I", $J171/($F171-$E171+1), $J171/(($F171*($F171+1)/2)-(($E171-1)*($E171-1+1)/2))*BJ$2), 0)+IF(IF(time+1&gt;=BK$2, $K171/time_cap/(time+1)*BJ$2, 0) = 0, $K171/(time_cap),0)),0)</f>
        <v/>
      </c>
      <c r="BK171" s="4395" t="n"/>
      <c r="BL171" s="4395" t="n"/>
      <c r="BM171" s="4395" t="n"/>
      <c r="BN171" s="4395" t="n"/>
      <c r="BO171" s="4395" t="n"/>
      <c r="BP171" s="4395" t="n"/>
      <c r="BQ171" s="4395" t="n"/>
      <c r="BR171" s="4395" t="n"/>
      <c r="BS171" s="4395" t="n"/>
      <c r="BT171" s="4395" t="n"/>
      <c r="BU171" s="4395" t="n"/>
      <c r="BV171" s="4395" t="n"/>
      <c r="BW171" s="4395" t="n"/>
      <c r="BX171" s="4395" t="n"/>
      <c r="BY171" s="4395" t="n"/>
      <c r="BZ171" s="4395" t="n"/>
      <c r="CA171" s="4395" t="n"/>
      <c r="CB171" s="4395" t="n"/>
      <c r="CC171" s="4395" t="n"/>
      <c r="CD171" s="4395" t="n"/>
      <c r="CE171" s="4395" t="n"/>
      <c r="CF171" s="4395" t="n"/>
      <c r="CG171" s="4395" t="n"/>
      <c r="CH171" s="4395" t="n"/>
      <c r="CI171" s="4395" t="n"/>
      <c r="CJ171" s="4395" t="n"/>
      <c r="CK171" s="4395" t="n"/>
      <c r="CL171" s="4395" t="n"/>
      <c r="CM171" s="4395" t="n"/>
      <c r="CN171" s="4395" t="n"/>
      <c r="CO171" s="4395" t="n"/>
      <c r="CP171" s="4395" t="n"/>
      <c r="CQ171" s="4395" t="n"/>
      <c r="CR171" s="4395" t="n"/>
      <c r="CS171" s="4395" t="n"/>
      <c r="CT171" s="4395" t="n"/>
      <c r="CU171" s="4395" t="n"/>
      <c r="CV171" s="4395" t="n"/>
      <c r="CW171" s="4395" t="n"/>
      <c r="CX171" s="4395" t="n"/>
      <c r="CY171" s="4395" t="n"/>
      <c r="CZ171" s="4395" t="n"/>
      <c r="DA171" s="4395" t="n"/>
      <c r="DB171" s="4395" t="n"/>
      <c r="DC171" s="4395" t="n"/>
      <c r="DD171" s="4395" t="n"/>
      <c r="DE171" s="4395" t="n"/>
      <c r="DF171" s="4395" t="n"/>
      <c r="DG171" s="4395" t="n"/>
      <c r="DH171" s="4395" t="n"/>
    </row>
    <row r="172" ht="16" customHeight="1">
      <c r="A172" t="inlineStr">
        <is>
          <t>Coastal wetland - rewetting</t>
        </is>
      </c>
      <c r="C172">
        <f>'7.Coastal wetlands'!C46</f>
        <v/>
      </c>
      <c r="D172">
        <f>'7.Coastal wetlands'!AI46</f>
        <v/>
      </c>
      <c r="E172">
        <f>IF('7.Coastal wetlands'!CN46&lt;&gt;0,'7.Coastal wetlands'!CN46,'7.Coastal wetlands'!CM46)</f>
        <v/>
      </c>
      <c r="F172">
        <f>time</f>
        <v/>
      </c>
      <c r="G172" s="4395">
        <f>'7.Coastal wetlands'!I46</f>
        <v/>
      </c>
      <c r="H172" s="4395">
        <f>'7.Coastal wetlands'!K46</f>
        <v/>
      </c>
      <c r="I172" s="4395">
        <f>IF(OR(H172="I", G172="I"), "I", IF(OR(H172="E", G172="E"), "E", "D"))</f>
        <v/>
      </c>
      <c r="J172" s="4395">
        <f>((D172/(time_cap+((F172-E172+1)*VLOOKUP(I172,list!$I$48:$K$50,3, FALSE))))*(F172-E172+1)*VLOOKUP(I172,list!$I$48:$K$50,3, FALSE))</f>
        <v/>
      </c>
      <c r="K172" s="4395">
        <f>((D172/(time_cap+((F172-E172+1)*VLOOKUP(I172,list!$I$48:$K$50,3, FALSE))))*time_cap)</f>
        <v/>
      </c>
      <c r="M172" s="4395">
        <f>IFERROR(IF((time+time_cap)&lt;M$2, 0,IF(AND(time+1&gt;=N$2, $E172&lt;N$2), IF($I172= "I", $J172/($F172-$E172+1), $J172/(($F172*($F172+1)/2)-(($E172-1)*($E172-1+1)/2))*M$2), 0)+IF(IF(time+1&gt;=N$2, $K172/time_cap/(time+1)*M$2, 0) = 0, $K172/(time_cap),0)),0)</f>
        <v/>
      </c>
      <c r="N172" s="4395">
        <f>IFERROR(IF((time+time_cap)&lt;N$2, 0,IF(AND(time+1&gt;=O$2, $E172&lt;O$2), IF($I172= "I", $J172/($F172-$E172+1), $J172/(($F172*($F172+1)/2)-(($E172-1)*($E172-1+1)/2))*N$2), 0)+IF(IF(time+1&gt;=O$2, $K172/time_cap/(time+1)*N$2, 0) = 0, $K172/(time_cap),0)),0)</f>
        <v/>
      </c>
      <c r="O172" s="4395">
        <f>IFERROR(IF((time+time_cap)&lt;O$2, 0,IF(AND(time+1&gt;=P$2, $E172&lt;P$2), IF($I172= "I", $J172/($F172-$E172+1), $J172/(($F172*($F172+1)/2)-(($E172-1)*($E172-1+1)/2))*O$2), 0)+IF(IF(time+1&gt;=P$2, $K172/time_cap/(time+1)*O$2, 0) = 0, $K172/(time_cap),0)),0)</f>
        <v/>
      </c>
      <c r="P172" s="4395">
        <f>IFERROR(IF((time+time_cap)&lt;P$2, 0,IF(AND(time+1&gt;=Q$2, $E172&lt;Q$2), IF($I172= "I", $J172/($F172-$E172+1), $J172/(($F172*($F172+1)/2)-(($E172-1)*($E172-1+1)/2))*P$2), 0)+IF(IF(time+1&gt;=Q$2, $K172/time_cap/(time+1)*P$2, 0) = 0, $K172/(time_cap),0)),0)</f>
        <v/>
      </c>
      <c r="Q172" s="4395">
        <f>IFERROR(IF((time+time_cap)&lt;Q$2, 0,IF(AND(time+1&gt;=R$2, $E172&lt;R$2), IF($I172= "I", $J172/($F172-$E172+1), $J172/(($F172*($F172+1)/2)-(($E172-1)*($E172-1+1)/2))*Q$2), 0)+IF(IF(time+1&gt;=R$2, $K172/time_cap/(time+1)*Q$2, 0) = 0, $K172/(time_cap),0)),0)</f>
        <v/>
      </c>
      <c r="R172" s="4395">
        <f>IFERROR(IF((time+time_cap)&lt;R$2, 0,IF(AND(time+1&gt;=S$2, $E172&lt;S$2), IF($I172= "I", $J172/($F172-$E172+1), $J172/(($F172*($F172+1)/2)-(($E172-1)*($E172-1+1)/2))*R$2), 0)+IF(IF(time+1&gt;=S$2, $K172/time_cap/(time+1)*R$2, 0) = 0, $K172/(time_cap),0)),0)</f>
        <v/>
      </c>
      <c r="S172" s="4395">
        <f>IFERROR(IF((time+time_cap)&lt;S$2, 0,IF(AND(time+1&gt;=T$2, $E172&lt;T$2), IF($I172= "I", $J172/($F172-$E172+1), $J172/(($F172*($F172+1)/2)-(($E172-1)*($E172-1+1)/2))*S$2), 0)+IF(IF(time+1&gt;=T$2, $K172/time_cap/(time+1)*S$2, 0) = 0, $K172/(time_cap),0)),0)</f>
        <v/>
      </c>
      <c r="T172" s="4395">
        <f>IFERROR(IF((time+time_cap)&lt;T$2, 0,IF(AND(time+1&gt;=U$2, $E172&lt;U$2), IF($I172= "I", $J172/($F172-$E172+1), $J172/(($F172*($F172+1)/2)-(($E172-1)*($E172-1+1)/2))*T$2), 0)+IF(IF(time+1&gt;=U$2, $K172/time_cap/(time+1)*T$2, 0) = 0, $K172/(time_cap),0)),0)</f>
        <v/>
      </c>
      <c r="U172" s="4395">
        <f>IFERROR(IF((time+time_cap)&lt;U$2, 0,IF(AND(time+1&gt;=V$2, $E172&lt;V$2), IF($I172= "I", $J172/($F172-$E172+1), $J172/(($F172*($F172+1)/2)-(($E172-1)*($E172-1+1)/2))*U$2), 0)+IF(IF(time+1&gt;=V$2, $K172/time_cap/(time+1)*U$2, 0) = 0, $K172/(time_cap),0)),0)</f>
        <v/>
      </c>
      <c r="V172" s="4395">
        <f>IFERROR(IF((time+time_cap)&lt;V$2, 0,IF(AND(time+1&gt;=W$2, $E172&lt;W$2), IF($I172= "I", $J172/($F172-$E172+1), $J172/(($F172*($F172+1)/2)-(($E172-1)*($E172-1+1)/2))*V$2), 0)+IF(IF(time+1&gt;=W$2, $K172/time_cap/(time+1)*V$2, 0) = 0, $K172/(time_cap),0)),0)</f>
        <v/>
      </c>
      <c r="W172" s="4395">
        <f>IFERROR(IF((time+time_cap)&lt;W$2, 0,IF(AND(time+1&gt;=X$2, $E172&lt;X$2), IF($I172= "I", $J172/($F172-$E172+1), $J172/(($F172*($F172+1)/2)-(($E172-1)*($E172-1+1)/2))*W$2), 0)+IF(IF(time+1&gt;=X$2, $K172/time_cap/(time+1)*W$2, 0) = 0, $K172/(time_cap),0)),0)</f>
        <v/>
      </c>
      <c r="X172" s="4395">
        <f>IFERROR(IF((time+time_cap)&lt;X$2, 0,IF(AND(time+1&gt;=Y$2, $E172&lt;Y$2), IF($I172= "I", $J172/($F172-$E172+1), $J172/(($F172*($F172+1)/2)-(($E172-1)*($E172-1+1)/2))*X$2), 0)+IF(IF(time+1&gt;=Y$2, $K172/time_cap/(time+1)*X$2, 0) = 0, $K172/(time_cap),0)),0)</f>
        <v/>
      </c>
      <c r="Y172" s="4395">
        <f>IFERROR(IF((time+time_cap)&lt;Y$2, 0,IF(AND(time+1&gt;=Z$2, $E172&lt;Z$2), IF($I172= "I", $J172/($F172-$E172+1), $J172/(($F172*($F172+1)/2)-(($E172-1)*($E172-1+1)/2))*Y$2), 0)+IF(IF(time+1&gt;=Z$2, $K172/time_cap/(time+1)*Y$2, 0) = 0, $K172/(time_cap),0)),0)</f>
        <v/>
      </c>
      <c r="Z172" s="4395">
        <f>IFERROR(IF((time+time_cap)&lt;Z$2, 0,IF(AND(time+1&gt;=AA$2, $E172&lt;AA$2), IF($I172= "I", $J172/($F172-$E172+1), $J172/(($F172*($F172+1)/2)-(($E172-1)*($E172-1+1)/2))*Z$2), 0)+IF(IF(time+1&gt;=AA$2, $K172/time_cap/(time+1)*Z$2, 0) = 0, $K172/(time_cap),0)),0)</f>
        <v/>
      </c>
      <c r="AA172" s="4395">
        <f>IFERROR(IF((time+time_cap)&lt;AA$2, 0,IF(AND(time+1&gt;=AB$2, $E172&lt;AB$2), IF($I172= "I", $J172/($F172-$E172+1), $J172/(($F172*($F172+1)/2)-(($E172-1)*($E172-1+1)/2))*AA$2), 0)+IF(IF(time+1&gt;=AB$2, $K172/time_cap/(time+1)*AA$2, 0) = 0, $K172/(time_cap),0)),0)</f>
        <v/>
      </c>
      <c r="AB172" s="4395">
        <f>IFERROR(IF((time+time_cap)&lt;AB$2, 0,IF(AND(time+1&gt;=AC$2, $E172&lt;AC$2), IF($I172= "I", $J172/($F172-$E172+1), $J172/(($F172*($F172+1)/2)-(($E172-1)*($E172-1+1)/2))*AB$2), 0)+IF(IF(time+1&gt;=AC$2, $K172/time_cap/(time+1)*AB$2, 0) = 0, $K172/(time_cap),0)),0)</f>
        <v/>
      </c>
      <c r="AC172" s="4395">
        <f>IFERROR(IF((time+time_cap)&lt;AC$2, 0,IF(AND(time+1&gt;=AD$2, $E172&lt;AD$2), IF($I172= "I", $J172/($F172-$E172+1), $J172/(($F172*($F172+1)/2)-(($E172-1)*($E172-1+1)/2))*AC$2), 0)+IF(IF(time+1&gt;=AD$2, $K172/time_cap/(time+1)*AC$2, 0) = 0, $K172/(time_cap),0)),0)</f>
        <v/>
      </c>
      <c r="AD172" s="4395">
        <f>IFERROR(IF((time+time_cap)&lt;AD$2, 0,IF(AND(time+1&gt;=AE$2, $E172&lt;AE$2), IF($I172= "I", $J172/($F172-$E172+1), $J172/(($F172*($F172+1)/2)-(($E172-1)*($E172-1+1)/2))*AD$2), 0)+IF(IF(time+1&gt;=AE$2, $K172/time_cap/(time+1)*AD$2, 0) = 0, $K172/(time_cap),0)),0)</f>
        <v/>
      </c>
      <c r="AE172" s="4395">
        <f>IFERROR(IF((time+time_cap)&lt;AE$2, 0,IF(AND(time+1&gt;=AF$2, $E172&lt;AF$2), IF($I172= "I", $J172/($F172-$E172+1), $J172/(($F172*($F172+1)/2)-(($E172-1)*($E172-1+1)/2))*AE$2), 0)+IF(IF(time+1&gt;=AF$2, $K172/time_cap/(time+1)*AE$2, 0) = 0, $K172/(time_cap),0)),0)</f>
        <v/>
      </c>
      <c r="AF172" s="4395">
        <f>IFERROR(IF((time+time_cap)&lt;AF$2, 0,IF(AND(time+1&gt;=AG$2, $E172&lt;AG$2), IF($I172= "I", $J172/($F172-$E172+1), $J172/(($F172*($F172+1)/2)-(($E172-1)*($E172-1+1)/2))*AF$2), 0)+IF(IF(time+1&gt;=AG$2, $K172/time_cap/(time+1)*AF$2, 0) = 0, $K172/(time_cap),0)),0)</f>
        <v/>
      </c>
      <c r="AG172" s="4395">
        <f>IFERROR(IF((time+time_cap)&lt;AG$2, 0,IF(AND(time+1&gt;=AH$2, $E172&lt;AH$2), IF($I172= "I", $J172/($F172-$E172+1), $J172/(($F172*($F172+1)/2)-(($E172-1)*($E172-1+1)/2))*AG$2), 0)+IF(IF(time+1&gt;=AH$2, $K172/time_cap/(time+1)*AG$2, 0) = 0, $K172/(time_cap),0)),0)</f>
        <v/>
      </c>
      <c r="AH172" s="4395">
        <f>IFERROR(IF((time+time_cap)&lt;AH$2, 0,IF(AND(time+1&gt;=AI$2, $E172&lt;AI$2), IF($I172= "I", $J172/($F172-$E172+1), $J172/(($F172*($F172+1)/2)-(($E172-1)*($E172-1+1)/2))*AH$2), 0)+IF(IF(time+1&gt;=AI$2, $K172/time_cap/(time+1)*AH$2, 0) = 0, $K172/(time_cap),0)),0)</f>
        <v/>
      </c>
      <c r="AI172" s="4395">
        <f>IFERROR(IF((time+time_cap)&lt;AI$2, 0,IF(AND(time+1&gt;=AJ$2, $E172&lt;AJ$2), IF($I172= "I", $J172/($F172-$E172+1), $J172/(($F172*($F172+1)/2)-(($E172-1)*($E172-1+1)/2))*AI$2), 0)+IF(IF(time+1&gt;=AJ$2, $K172/time_cap/(time+1)*AI$2, 0) = 0, $K172/(time_cap),0)),0)</f>
        <v/>
      </c>
      <c r="AJ172" s="4395">
        <f>IFERROR(IF((time+time_cap)&lt;AJ$2, 0,IF(AND(time+1&gt;=AK$2, $E172&lt;AK$2), IF($I172= "I", $J172/($F172-$E172+1), $J172/(($F172*($F172+1)/2)-(($E172-1)*($E172-1+1)/2))*AJ$2), 0)+IF(IF(time+1&gt;=AK$2, $K172/time_cap/(time+1)*AJ$2, 0) = 0, $K172/(time_cap),0)),0)</f>
        <v/>
      </c>
      <c r="AK172" s="4395">
        <f>IFERROR(IF((time+time_cap)&lt;AK$2, 0,IF(AND(time+1&gt;=AL$2, $E172&lt;AL$2), IF($I172= "I", $J172/($F172-$E172+1), $J172/(($F172*($F172+1)/2)-(($E172-1)*($E172-1+1)/2))*AK$2), 0)+IF(IF(time+1&gt;=AL$2, $K172/time_cap/(time+1)*AK$2, 0) = 0, $K172/(time_cap),0)),0)</f>
        <v/>
      </c>
      <c r="AL172" s="4395">
        <f>IFERROR(IF((time+time_cap)&lt;AL$2, 0,IF(AND(time+1&gt;=AM$2, $E172&lt;AM$2), IF($I172= "I", $J172/($F172-$E172+1), $J172/(($F172*($F172+1)/2)-(($E172-1)*($E172-1+1)/2))*AL$2), 0)+IF(IF(time+1&gt;=AM$2, $K172/time_cap/(time+1)*AL$2, 0) = 0, $K172/(time_cap),0)),0)</f>
        <v/>
      </c>
      <c r="AM172" s="4395">
        <f>IFERROR(IF((time+time_cap)&lt;AM$2, 0,IF(AND(time+1&gt;=AN$2, $E172&lt;AN$2), IF($I172= "I", $J172/($F172-$E172+1), $J172/(($F172*($F172+1)/2)-(($E172-1)*($E172-1+1)/2))*AM$2), 0)+IF(IF(time+1&gt;=AN$2, $K172/time_cap/(time+1)*AM$2, 0) = 0, $K172/(time_cap),0)),0)</f>
        <v/>
      </c>
      <c r="AN172" s="4395">
        <f>IFERROR(IF((time+time_cap)&lt;AN$2, 0,IF(AND(time+1&gt;=AO$2, $E172&lt;AO$2), IF($I172= "I", $J172/($F172-$E172+1), $J172/(($F172*($F172+1)/2)-(($E172-1)*($E172-1+1)/2))*AN$2), 0)+IF(IF(time+1&gt;=AO$2, $K172/time_cap/(time+1)*AN$2, 0) = 0, $K172/(time_cap),0)),0)</f>
        <v/>
      </c>
      <c r="AO172" s="4395">
        <f>IFERROR(IF((time+time_cap)&lt;AO$2, 0,IF(AND(time+1&gt;=AP$2, $E172&lt;AP$2), IF($I172= "I", $J172/($F172-$E172+1), $J172/(($F172*($F172+1)/2)-(($E172-1)*($E172-1+1)/2))*AO$2), 0)+IF(IF(time+1&gt;=AP$2, $K172/time_cap/(time+1)*AO$2, 0) = 0, $K172/(time_cap),0)),0)</f>
        <v/>
      </c>
      <c r="AP172" s="4395">
        <f>IFERROR(IF((time+time_cap)&lt;AP$2, 0,IF(AND(time+1&gt;=AQ$2, $E172&lt;AQ$2), IF($I172= "I", $J172/($F172-$E172+1), $J172/(($F172*($F172+1)/2)-(($E172-1)*($E172-1+1)/2))*AP$2), 0)+IF(IF(time+1&gt;=AQ$2, $K172/time_cap/(time+1)*AP$2, 0) = 0, $K172/(time_cap),0)),0)</f>
        <v/>
      </c>
      <c r="AQ172" s="4395">
        <f>IFERROR(IF((time+time_cap)&lt;AQ$2, 0,IF(AND(time+1&gt;=AR$2, $E172&lt;AR$2), IF($I172= "I", $J172/($F172-$E172+1), $J172/(($F172*($F172+1)/2)-(($E172-1)*($E172-1+1)/2))*AQ$2), 0)+IF(IF(time+1&gt;=AR$2, $K172/time_cap/(time+1)*AQ$2, 0) = 0, $K172/(time_cap),0)),0)</f>
        <v/>
      </c>
      <c r="AR172" s="4395">
        <f>IFERROR(IF((time+time_cap)&lt;AR$2, 0,IF(AND(time+1&gt;=AS$2, $E172&lt;AS$2), IF($I172= "I", $J172/($F172-$E172+1), $J172/(($F172*($F172+1)/2)-(($E172-1)*($E172-1+1)/2))*AR$2), 0)+IF(IF(time+1&gt;=AS$2, $K172/time_cap/(time+1)*AR$2, 0) = 0, $K172/(time_cap),0)),0)</f>
        <v/>
      </c>
      <c r="AS172" s="4395">
        <f>IFERROR(IF((time+time_cap)&lt;AS$2, 0,IF(AND(time+1&gt;=AT$2, $E172&lt;AT$2), IF($I172= "I", $J172/($F172-$E172+1), $J172/(($F172*($F172+1)/2)-(($E172-1)*($E172-1+1)/2))*AS$2), 0)+IF(IF(time+1&gt;=AT$2, $K172/time_cap/(time+1)*AS$2, 0) = 0, $K172/(time_cap),0)),0)</f>
        <v/>
      </c>
      <c r="AT172" s="4395">
        <f>IFERROR(IF((time+time_cap)&lt;AT$2, 0,IF(AND(time+1&gt;=AU$2, $E172&lt;AU$2), IF($I172= "I", $J172/($F172-$E172+1), $J172/(($F172*($F172+1)/2)-(($E172-1)*($E172-1+1)/2))*AT$2), 0)+IF(IF(time+1&gt;=AU$2, $K172/time_cap/(time+1)*AT$2, 0) = 0, $K172/(time_cap),0)),0)</f>
        <v/>
      </c>
      <c r="AU172" s="4395">
        <f>IFERROR(IF((time+time_cap)&lt;AU$2, 0,IF(AND(time+1&gt;=AV$2, $E172&lt;AV$2), IF($I172= "I", $J172/($F172-$E172+1), $J172/(($F172*($F172+1)/2)-(($E172-1)*($E172-1+1)/2))*AU$2), 0)+IF(IF(time+1&gt;=AV$2, $K172/time_cap/(time+1)*AU$2, 0) = 0, $K172/(time_cap),0)),0)</f>
        <v/>
      </c>
      <c r="AV172" s="4395">
        <f>IFERROR(IF((time+time_cap)&lt;AV$2, 0,IF(AND(time+1&gt;=AW$2, $E172&lt;AW$2), IF($I172= "I", $J172/($F172-$E172+1), $J172/(($F172*($F172+1)/2)-(($E172-1)*($E172-1+1)/2))*AV$2), 0)+IF(IF(time+1&gt;=AW$2, $K172/time_cap/(time+1)*AV$2, 0) = 0, $K172/(time_cap),0)),0)</f>
        <v/>
      </c>
      <c r="AW172" s="4395">
        <f>IFERROR(IF((time+time_cap)&lt;AW$2, 0,IF(AND(time+1&gt;=AX$2, $E172&lt;AX$2), IF($I172= "I", $J172/($F172-$E172+1), $J172/(($F172*($F172+1)/2)-(($E172-1)*($E172-1+1)/2))*AW$2), 0)+IF(IF(time+1&gt;=AX$2, $K172/time_cap/(time+1)*AW$2, 0) = 0, $K172/(time_cap),0)),0)</f>
        <v/>
      </c>
      <c r="AX172" s="4395">
        <f>IFERROR(IF((time+time_cap)&lt;AX$2, 0,IF(AND(time+1&gt;=AY$2, $E172&lt;AY$2), IF($I172= "I", $J172/($F172-$E172+1), $J172/(($F172*($F172+1)/2)-(($E172-1)*($E172-1+1)/2))*AX$2), 0)+IF(IF(time+1&gt;=AY$2, $K172/time_cap/(time+1)*AX$2, 0) = 0, $K172/(time_cap),0)),0)</f>
        <v/>
      </c>
      <c r="AY172" s="4395">
        <f>IFERROR(IF((time+time_cap)&lt;AY$2, 0,IF(AND(time+1&gt;=AZ$2, $E172&lt;AZ$2), IF($I172= "I", $J172/($F172-$E172+1), $J172/(($F172*($F172+1)/2)-(($E172-1)*($E172-1+1)/2))*AY$2), 0)+IF(IF(time+1&gt;=AZ$2, $K172/time_cap/(time+1)*AY$2, 0) = 0, $K172/(time_cap),0)),0)</f>
        <v/>
      </c>
      <c r="AZ172" s="4395">
        <f>IFERROR(IF((time+time_cap)&lt;AZ$2, 0,IF(AND(time+1&gt;=BA$2, $E172&lt;BA$2), IF($I172= "I", $J172/($F172-$E172+1), $J172/(($F172*($F172+1)/2)-(($E172-1)*($E172-1+1)/2))*AZ$2), 0)+IF(IF(time+1&gt;=BA$2, $K172/time_cap/(time+1)*AZ$2, 0) = 0, $K172/(time_cap),0)),0)</f>
        <v/>
      </c>
      <c r="BA172" s="4395">
        <f>IFERROR(IF((time+time_cap)&lt;BA$2, 0,IF(AND(time+1&gt;=BB$2, $E172&lt;BB$2), IF($I172= "I", $J172/($F172-$E172+1), $J172/(($F172*($F172+1)/2)-(($E172-1)*($E172-1+1)/2))*BA$2), 0)+IF(IF(time+1&gt;=BB$2, $K172/time_cap/(time+1)*BA$2, 0) = 0, $K172/(time_cap),0)),0)</f>
        <v/>
      </c>
      <c r="BB172" s="4395">
        <f>IFERROR(IF((time+time_cap)&lt;BB$2, 0,IF(AND(time+1&gt;=BC$2, $E172&lt;BC$2), IF($I172= "I", $J172/($F172-$E172+1), $J172/(($F172*($F172+1)/2)-(($E172-1)*($E172-1+1)/2))*BB$2), 0)+IF(IF(time+1&gt;=BC$2, $K172/time_cap/(time+1)*BB$2, 0) = 0, $K172/(time_cap),0)),0)</f>
        <v/>
      </c>
      <c r="BC172" s="4395">
        <f>IFERROR(IF((time+time_cap)&lt;BC$2, 0,IF(AND(time+1&gt;=BD$2, $E172&lt;BD$2), IF($I172= "I", $J172/($F172-$E172+1), $J172/(($F172*($F172+1)/2)-(($E172-1)*($E172-1+1)/2))*BC$2), 0)+IF(IF(time+1&gt;=BD$2, $K172/time_cap/(time+1)*BC$2, 0) = 0, $K172/(time_cap),0)),0)</f>
        <v/>
      </c>
      <c r="BD172" s="4395">
        <f>IFERROR(IF((time+time_cap)&lt;BD$2, 0,IF(AND(time+1&gt;=BE$2, $E172&lt;BE$2), IF($I172= "I", $J172/($F172-$E172+1), $J172/(($F172*($F172+1)/2)-(($E172-1)*($E172-1+1)/2))*BD$2), 0)+IF(IF(time+1&gt;=BE$2, $K172/time_cap/(time+1)*BD$2, 0) = 0, $K172/(time_cap),0)),0)</f>
        <v/>
      </c>
      <c r="BE172" s="4395">
        <f>IFERROR(IF((time+time_cap)&lt;BE$2, 0,IF(AND(time+1&gt;=BF$2, $E172&lt;BF$2), IF($I172= "I", $J172/($F172-$E172+1), $J172/(($F172*($F172+1)/2)-(($E172-1)*($E172-1+1)/2))*BE$2), 0)+IF(IF(time+1&gt;=BF$2, $K172/time_cap/(time+1)*BE$2, 0) = 0, $K172/(time_cap),0)),0)</f>
        <v/>
      </c>
      <c r="BF172" s="4395">
        <f>IFERROR(IF((time+time_cap)&lt;BF$2, 0,IF(AND(time+1&gt;=BG$2, $E172&lt;BG$2), IF($I172= "I", $J172/($F172-$E172+1), $J172/(($F172*($F172+1)/2)-(($E172-1)*($E172-1+1)/2))*BF$2), 0)+IF(IF(time+1&gt;=BG$2, $K172/time_cap/(time+1)*BF$2, 0) = 0, $K172/(time_cap),0)),0)</f>
        <v/>
      </c>
      <c r="BG172" s="4395">
        <f>IFERROR(IF((time+time_cap)&lt;BG$2, 0,IF(AND(time+1&gt;=BH$2, $E172&lt;BH$2), IF($I172= "I", $J172/($F172-$E172+1), $J172/(($F172*($F172+1)/2)-(($E172-1)*($E172-1+1)/2))*BG$2), 0)+IF(IF(time+1&gt;=BH$2, $K172/time_cap/(time+1)*BG$2, 0) = 0, $K172/(time_cap),0)),0)</f>
        <v/>
      </c>
      <c r="BH172" s="4395">
        <f>IFERROR(IF((time+time_cap)&lt;BH$2, 0,IF(AND(time+1&gt;=BI$2, $E172&lt;BI$2), IF($I172= "I", $J172/($F172-$E172+1), $J172/(($F172*($F172+1)/2)-(($E172-1)*($E172-1+1)/2))*BH$2), 0)+IF(IF(time+1&gt;=BI$2, $K172/time_cap/(time+1)*BH$2, 0) = 0, $K172/(time_cap),0)),0)</f>
        <v/>
      </c>
      <c r="BI172" s="4395">
        <f>IFERROR(IF((time+time_cap)&lt;BI$2, 0,IF(AND(time+1&gt;=BJ$2, $E172&lt;BJ$2), IF($I172= "I", $J172/($F172-$E172+1), $J172/(($F172*($F172+1)/2)-(($E172-1)*($E172-1+1)/2))*BI$2), 0)+IF(IF(time+1&gt;=BJ$2, $K172/time_cap/(time+1)*BI$2, 0) = 0, $K172/(time_cap),0)),0)</f>
        <v/>
      </c>
      <c r="BJ172" s="4395">
        <f>IFERROR(IF((time+time_cap)&lt;BJ$2, 0,IF(AND(time+1&gt;=BK$2, $E172&lt;BK$2), IF($I172= "I", $J172/($F172-$E172+1), $J172/(($F172*($F172+1)/2)-(($E172-1)*($E172-1+1)/2))*BJ$2), 0)+IF(IF(time+1&gt;=BK$2, $K172/time_cap/(time+1)*BJ$2, 0) = 0, $K172/(time_cap),0)),0)</f>
        <v/>
      </c>
      <c r="BK172" s="4395" t="n"/>
      <c r="BL172" s="4395" t="n"/>
      <c r="BM172" s="4395" t="n"/>
      <c r="BN172" s="4395" t="n"/>
      <c r="BO172" s="4395" t="n"/>
      <c r="BP172" s="4395" t="n"/>
      <c r="BQ172" s="4395" t="n"/>
      <c r="BR172" s="4395" t="n"/>
      <c r="BS172" s="4395" t="n"/>
      <c r="BT172" s="4395" t="n"/>
      <c r="BU172" s="4395" t="n"/>
      <c r="BV172" s="4395" t="n"/>
      <c r="BW172" s="4395" t="n"/>
      <c r="BX172" s="4395" t="n"/>
      <c r="BY172" s="4395" t="n"/>
      <c r="BZ172" s="4395" t="n"/>
      <c r="CA172" s="4395" t="n"/>
      <c r="CB172" s="4395" t="n"/>
      <c r="CC172" s="4395" t="n"/>
      <c r="CD172" s="4395" t="n"/>
      <c r="CE172" s="4395" t="n"/>
      <c r="CF172" s="4395" t="n"/>
      <c r="CG172" s="4395" t="n"/>
      <c r="CH172" s="4395" t="n"/>
      <c r="CI172" s="4395" t="n"/>
      <c r="CJ172" s="4395" t="n"/>
      <c r="CK172" s="4395" t="n"/>
      <c r="CL172" s="4395" t="n"/>
      <c r="CM172" s="4395" t="n"/>
      <c r="CN172" s="4395" t="n"/>
      <c r="CO172" s="4395" t="n"/>
      <c r="CP172" s="4395" t="n"/>
      <c r="CQ172" s="4395" t="n"/>
      <c r="CR172" s="4395" t="n"/>
      <c r="CS172" s="4395" t="n"/>
      <c r="CT172" s="4395" t="n"/>
      <c r="CU172" s="4395" t="n"/>
      <c r="CV172" s="4395" t="n"/>
      <c r="CW172" s="4395" t="n"/>
      <c r="CX172" s="4395" t="n"/>
      <c r="CY172" s="4395" t="n"/>
      <c r="CZ172" s="4395" t="n"/>
      <c r="DA172" s="4395" t="n"/>
      <c r="DB172" s="4395" t="n"/>
      <c r="DC172" s="4395" t="n"/>
      <c r="DD172" s="4395" t="n"/>
      <c r="DE172" s="4395" t="n"/>
      <c r="DF172" s="4395" t="n"/>
      <c r="DG172" s="4395" t="n"/>
      <c r="DH172" s="4395" t="n"/>
    </row>
    <row r="173" ht="16" customHeight="1">
      <c r="A173" t="inlineStr">
        <is>
          <t>Coastal wetland - rewetting</t>
        </is>
      </c>
      <c r="C173">
        <f>'7.Coastal wetlands'!C47</f>
        <v/>
      </c>
      <c r="D173">
        <f>'7.Coastal wetlands'!AI47</f>
        <v/>
      </c>
      <c r="E173">
        <f>IF('7.Coastal wetlands'!CN47&lt;&gt;0,'7.Coastal wetlands'!CN47,'7.Coastal wetlands'!CM47)</f>
        <v/>
      </c>
      <c r="F173">
        <f>time</f>
        <v/>
      </c>
      <c r="G173" s="4395">
        <f>'7.Coastal wetlands'!I47</f>
        <v/>
      </c>
      <c r="H173" s="4395">
        <f>'7.Coastal wetlands'!K47</f>
        <v/>
      </c>
      <c r="I173" s="4395">
        <f>IF(OR(H173="I", G173="I"), "I", IF(OR(H173="E", G173="E"), "E", "D"))</f>
        <v/>
      </c>
      <c r="J173" s="4395">
        <f>((D173/(time_cap+((F173-E173+1)*VLOOKUP(I173,list!$I$48:$K$50,3, FALSE))))*(F173-E173+1)*VLOOKUP(I173,list!$I$48:$K$50,3, FALSE))</f>
        <v/>
      </c>
      <c r="K173" s="4395">
        <f>((D173/(time_cap+((F173-E173+1)*VLOOKUP(I173,list!$I$48:$K$50,3, FALSE))))*time_cap)</f>
        <v/>
      </c>
      <c r="M173" s="4395">
        <f>IFERROR(IF((time+time_cap)&lt;M$2, 0,IF(AND(time+1&gt;=N$2, $E173&lt;N$2), IF($I173= "I", $J173/($F173-$E173+1), $J173/(($F173*($F173+1)/2)-(($E173-1)*($E173-1+1)/2))*M$2), 0)+IF(IF(time+1&gt;=N$2, $K173/time_cap/(time+1)*M$2, 0) = 0, $K173/(time_cap),0)),0)</f>
        <v/>
      </c>
      <c r="N173" s="4395">
        <f>IFERROR(IF((time+time_cap)&lt;N$2, 0,IF(AND(time+1&gt;=O$2, $E173&lt;O$2), IF($I173= "I", $J173/($F173-$E173+1), $J173/(($F173*($F173+1)/2)-(($E173-1)*($E173-1+1)/2))*N$2), 0)+IF(IF(time+1&gt;=O$2, $K173/time_cap/(time+1)*N$2, 0) = 0, $K173/(time_cap),0)),0)</f>
        <v/>
      </c>
      <c r="O173" s="4395">
        <f>IFERROR(IF((time+time_cap)&lt;O$2, 0,IF(AND(time+1&gt;=P$2, $E173&lt;P$2), IF($I173= "I", $J173/($F173-$E173+1), $J173/(($F173*($F173+1)/2)-(($E173-1)*($E173-1+1)/2))*O$2), 0)+IF(IF(time+1&gt;=P$2, $K173/time_cap/(time+1)*O$2, 0) = 0, $K173/(time_cap),0)),0)</f>
        <v/>
      </c>
      <c r="P173" s="4395">
        <f>IFERROR(IF((time+time_cap)&lt;P$2, 0,IF(AND(time+1&gt;=Q$2, $E173&lt;Q$2), IF($I173= "I", $J173/($F173-$E173+1), $J173/(($F173*($F173+1)/2)-(($E173-1)*($E173-1+1)/2))*P$2), 0)+IF(IF(time+1&gt;=Q$2, $K173/time_cap/(time+1)*P$2, 0) = 0, $K173/(time_cap),0)),0)</f>
        <v/>
      </c>
      <c r="Q173" s="4395">
        <f>IFERROR(IF((time+time_cap)&lt;Q$2, 0,IF(AND(time+1&gt;=R$2, $E173&lt;R$2), IF($I173= "I", $J173/($F173-$E173+1), $J173/(($F173*($F173+1)/2)-(($E173-1)*($E173-1+1)/2))*Q$2), 0)+IF(IF(time+1&gt;=R$2, $K173/time_cap/(time+1)*Q$2, 0) = 0, $K173/(time_cap),0)),0)</f>
        <v/>
      </c>
      <c r="R173" s="4395">
        <f>IFERROR(IF((time+time_cap)&lt;R$2, 0,IF(AND(time+1&gt;=S$2, $E173&lt;S$2), IF($I173= "I", $J173/($F173-$E173+1), $J173/(($F173*($F173+1)/2)-(($E173-1)*($E173-1+1)/2))*R$2), 0)+IF(IF(time+1&gt;=S$2, $K173/time_cap/(time+1)*R$2, 0) = 0, $K173/(time_cap),0)),0)</f>
        <v/>
      </c>
      <c r="S173" s="4395">
        <f>IFERROR(IF((time+time_cap)&lt;S$2, 0,IF(AND(time+1&gt;=T$2, $E173&lt;T$2), IF($I173= "I", $J173/($F173-$E173+1), $J173/(($F173*($F173+1)/2)-(($E173-1)*($E173-1+1)/2))*S$2), 0)+IF(IF(time+1&gt;=T$2, $K173/time_cap/(time+1)*S$2, 0) = 0, $K173/(time_cap),0)),0)</f>
        <v/>
      </c>
      <c r="T173" s="4395">
        <f>IFERROR(IF((time+time_cap)&lt;T$2, 0,IF(AND(time+1&gt;=U$2, $E173&lt;U$2), IF($I173= "I", $J173/($F173-$E173+1), $J173/(($F173*($F173+1)/2)-(($E173-1)*($E173-1+1)/2))*T$2), 0)+IF(IF(time+1&gt;=U$2, $K173/time_cap/(time+1)*T$2, 0) = 0, $K173/(time_cap),0)),0)</f>
        <v/>
      </c>
      <c r="U173" s="4395">
        <f>IFERROR(IF((time+time_cap)&lt;U$2, 0,IF(AND(time+1&gt;=V$2, $E173&lt;V$2), IF($I173= "I", $J173/($F173-$E173+1), $J173/(($F173*($F173+1)/2)-(($E173-1)*($E173-1+1)/2))*U$2), 0)+IF(IF(time+1&gt;=V$2, $K173/time_cap/(time+1)*U$2, 0) = 0, $K173/(time_cap),0)),0)</f>
        <v/>
      </c>
      <c r="V173" s="4395">
        <f>IFERROR(IF((time+time_cap)&lt;V$2, 0,IF(AND(time+1&gt;=W$2, $E173&lt;W$2), IF($I173= "I", $J173/($F173-$E173+1), $J173/(($F173*($F173+1)/2)-(($E173-1)*($E173-1+1)/2))*V$2), 0)+IF(IF(time+1&gt;=W$2, $K173/time_cap/(time+1)*V$2, 0) = 0, $K173/(time_cap),0)),0)</f>
        <v/>
      </c>
      <c r="W173" s="4395">
        <f>IFERROR(IF((time+time_cap)&lt;W$2, 0,IF(AND(time+1&gt;=X$2, $E173&lt;X$2), IF($I173= "I", $J173/($F173-$E173+1), $J173/(($F173*($F173+1)/2)-(($E173-1)*($E173-1+1)/2))*W$2), 0)+IF(IF(time+1&gt;=X$2, $K173/time_cap/(time+1)*W$2, 0) = 0, $K173/(time_cap),0)),0)</f>
        <v/>
      </c>
      <c r="X173" s="4395">
        <f>IFERROR(IF((time+time_cap)&lt;X$2, 0,IF(AND(time+1&gt;=Y$2, $E173&lt;Y$2), IF($I173= "I", $J173/($F173-$E173+1), $J173/(($F173*($F173+1)/2)-(($E173-1)*($E173-1+1)/2))*X$2), 0)+IF(IF(time+1&gt;=Y$2, $K173/time_cap/(time+1)*X$2, 0) = 0, $K173/(time_cap),0)),0)</f>
        <v/>
      </c>
      <c r="Y173" s="4395">
        <f>IFERROR(IF((time+time_cap)&lt;Y$2, 0,IF(AND(time+1&gt;=Z$2, $E173&lt;Z$2), IF($I173= "I", $J173/($F173-$E173+1), $J173/(($F173*($F173+1)/2)-(($E173-1)*($E173-1+1)/2))*Y$2), 0)+IF(IF(time+1&gt;=Z$2, $K173/time_cap/(time+1)*Y$2, 0) = 0, $K173/(time_cap),0)),0)</f>
        <v/>
      </c>
      <c r="Z173" s="4395">
        <f>IFERROR(IF((time+time_cap)&lt;Z$2, 0,IF(AND(time+1&gt;=AA$2, $E173&lt;AA$2), IF($I173= "I", $J173/($F173-$E173+1), $J173/(($F173*($F173+1)/2)-(($E173-1)*($E173-1+1)/2))*Z$2), 0)+IF(IF(time+1&gt;=AA$2, $K173/time_cap/(time+1)*Z$2, 0) = 0, $K173/(time_cap),0)),0)</f>
        <v/>
      </c>
      <c r="AA173" s="4395">
        <f>IFERROR(IF((time+time_cap)&lt;AA$2, 0,IF(AND(time+1&gt;=AB$2, $E173&lt;AB$2), IF($I173= "I", $J173/($F173-$E173+1), $J173/(($F173*($F173+1)/2)-(($E173-1)*($E173-1+1)/2))*AA$2), 0)+IF(IF(time+1&gt;=AB$2, $K173/time_cap/(time+1)*AA$2, 0) = 0, $K173/(time_cap),0)),0)</f>
        <v/>
      </c>
      <c r="AB173" s="4395">
        <f>IFERROR(IF((time+time_cap)&lt;AB$2, 0,IF(AND(time+1&gt;=AC$2, $E173&lt;AC$2), IF($I173= "I", $J173/($F173-$E173+1), $J173/(($F173*($F173+1)/2)-(($E173-1)*($E173-1+1)/2))*AB$2), 0)+IF(IF(time+1&gt;=AC$2, $K173/time_cap/(time+1)*AB$2, 0) = 0, $K173/(time_cap),0)),0)</f>
        <v/>
      </c>
      <c r="AC173" s="4395">
        <f>IFERROR(IF((time+time_cap)&lt;AC$2, 0,IF(AND(time+1&gt;=AD$2, $E173&lt;AD$2), IF($I173= "I", $J173/($F173-$E173+1), $J173/(($F173*($F173+1)/2)-(($E173-1)*($E173-1+1)/2))*AC$2), 0)+IF(IF(time+1&gt;=AD$2, $K173/time_cap/(time+1)*AC$2, 0) = 0, $K173/(time_cap),0)),0)</f>
        <v/>
      </c>
      <c r="AD173" s="4395">
        <f>IFERROR(IF((time+time_cap)&lt;AD$2, 0,IF(AND(time+1&gt;=AE$2, $E173&lt;AE$2), IF($I173= "I", $J173/($F173-$E173+1), $J173/(($F173*($F173+1)/2)-(($E173-1)*($E173-1+1)/2))*AD$2), 0)+IF(IF(time+1&gt;=AE$2, $K173/time_cap/(time+1)*AD$2, 0) = 0, $K173/(time_cap),0)),0)</f>
        <v/>
      </c>
      <c r="AE173" s="4395">
        <f>IFERROR(IF((time+time_cap)&lt;AE$2, 0,IF(AND(time+1&gt;=AF$2, $E173&lt;AF$2), IF($I173= "I", $J173/($F173-$E173+1), $J173/(($F173*($F173+1)/2)-(($E173-1)*($E173-1+1)/2))*AE$2), 0)+IF(IF(time+1&gt;=AF$2, $K173/time_cap/(time+1)*AE$2, 0) = 0, $K173/(time_cap),0)),0)</f>
        <v/>
      </c>
      <c r="AF173" s="4395">
        <f>IFERROR(IF((time+time_cap)&lt;AF$2, 0,IF(AND(time+1&gt;=AG$2, $E173&lt;AG$2), IF($I173= "I", $J173/($F173-$E173+1), $J173/(($F173*($F173+1)/2)-(($E173-1)*($E173-1+1)/2))*AF$2), 0)+IF(IF(time+1&gt;=AG$2, $K173/time_cap/(time+1)*AF$2, 0) = 0, $K173/(time_cap),0)),0)</f>
        <v/>
      </c>
      <c r="AG173" s="4395">
        <f>IFERROR(IF((time+time_cap)&lt;AG$2, 0,IF(AND(time+1&gt;=AH$2, $E173&lt;AH$2), IF($I173= "I", $J173/($F173-$E173+1), $J173/(($F173*($F173+1)/2)-(($E173-1)*($E173-1+1)/2))*AG$2), 0)+IF(IF(time+1&gt;=AH$2, $K173/time_cap/(time+1)*AG$2, 0) = 0, $K173/(time_cap),0)),0)</f>
        <v/>
      </c>
      <c r="AH173" s="4395">
        <f>IFERROR(IF((time+time_cap)&lt;AH$2, 0,IF(AND(time+1&gt;=AI$2, $E173&lt;AI$2), IF($I173= "I", $J173/($F173-$E173+1), $J173/(($F173*($F173+1)/2)-(($E173-1)*($E173-1+1)/2))*AH$2), 0)+IF(IF(time+1&gt;=AI$2, $K173/time_cap/(time+1)*AH$2, 0) = 0, $K173/(time_cap),0)),0)</f>
        <v/>
      </c>
      <c r="AI173" s="4395">
        <f>IFERROR(IF((time+time_cap)&lt;AI$2, 0,IF(AND(time+1&gt;=AJ$2, $E173&lt;AJ$2), IF($I173= "I", $J173/($F173-$E173+1), $J173/(($F173*($F173+1)/2)-(($E173-1)*($E173-1+1)/2))*AI$2), 0)+IF(IF(time+1&gt;=AJ$2, $K173/time_cap/(time+1)*AI$2, 0) = 0, $K173/(time_cap),0)),0)</f>
        <v/>
      </c>
      <c r="AJ173" s="4395">
        <f>IFERROR(IF((time+time_cap)&lt;AJ$2, 0,IF(AND(time+1&gt;=AK$2, $E173&lt;AK$2), IF($I173= "I", $J173/($F173-$E173+1), $J173/(($F173*($F173+1)/2)-(($E173-1)*($E173-1+1)/2))*AJ$2), 0)+IF(IF(time+1&gt;=AK$2, $K173/time_cap/(time+1)*AJ$2, 0) = 0, $K173/(time_cap),0)),0)</f>
        <v/>
      </c>
      <c r="AK173" s="4395">
        <f>IFERROR(IF((time+time_cap)&lt;AK$2, 0,IF(AND(time+1&gt;=AL$2, $E173&lt;AL$2), IF($I173= "I", $J173/($F173-$E173+1), $J173/(($F173*($F173+1)/2)-(($E173-1)*($E173-1+1)/2))*AK$2), 0)+IF(IF(time+1&gt;=AL$2, $K173/time_cap/(time+1)*AK$2, 0) = 0, $K173/(time_cap),0)),0)</f>
        <v/>
      </c>
      <c r="AL173" s="4395">
        <f>IFERROR(IF((time+time_cap)&lt;AL$2, 0,IF(AND(time+1&gt;=AM$2, $E173&lt;AM$2), IF($I173= "I", $J173/($F173-$E173+1), $J173/(($F173*($F173+1)/2)-(($E173-1)*($E173-1+1)/2))*AL$2), 0)+IF(IF(time+1&gt;=AM$2, $K173/time_cap/(time+1)*AL$2, 0) = 0, $K173/(time_cap),0)),0)</f>
        <v/>
      </c>
      <c r="AM173" s="4395">
        <f>IFERROR(IF((time+time_cap)&lt;AM$2, 0,IF(AND(time+1&gt;=AN$2, $E173&lt;AN$2), IF($I173= "I", $J173/($F173-$E173+1), $J173/(($F173*($F173+1)/2)-(($E173-1)*($E173-1+1)/2))*AM$2), 0)+IF(IF(time+1&gt;=AN$2, $K173/time_cap/(time+1)*AM$2, 0) = 0, $K173/(time_cap),0)),0)</f>
        <v/>
      </c>
      <c r="AN173" s="4395">
        <f>IFERROR(IF((time+time_cap)&lt;AN$2, 0,IF(AND(time+1&gt;=AO$2, $E173&lt;AO$2), IF($I173= "I", $J173/($F173-$E173+1), $J173/(($F173*($F173+1)/2)-(($E173-1)*($E173-1+1)/2))*AN$2), 0)+IF(IF(time+1&gt;=AO$2, $K173/time_cap/(time+1)*AN$2, 0) = 0, $K173/(time_cap),0)),0)</f>
        <v/>
      </c>
      <c r="AO173" s="4395">
        <f>IFERROR(IF((time+time_cap)&lt;AO$2, 0,IF(AND(time+1&gt;=AP$2, $E173&lt;AP$2), IF($I173= "I", $J173/($F173-$E173+1), $J173/(($F173*($F173+1)/2)-(($E173-1)*($E173-1+1)/2))*AO$2), 0)+IF(IF(time+1&gt;=AP$2, $K173/time_cap/(time+1)*AO$2, 0) = 0, $K173/(time_cap),0)),0)</f>
        <v/>
      </c>
      <c r="AP173" s="4395">
        <f>IFERROR(IF((time+time_cap)&lt;AP$2, 0,IF(AND(time+1&gt;=AQ$2, $E173&lt;AQ$2), IF($I173= "I", $J173/($F173-$E173+1), $J173/(($F173*($F173+1)/2)-(($E173-1)*($E173-1+1)/2))*AP$2), 0)+IF(IF(time+1&gt;=AQ$2, $K173/time_cap/(time+1)*AP$2, 0) = 0, $K173/(time_cap),0)),0)</f>
        <v/>
      </c>
      <c r="AQ173" s="4395">
        <f>IFERROR(IF((time+time_cap)&lt;AQ$2, 0,IF(AND(time+1&gt;=AR$2, $E173&lt;AR$2), IF($I173= "I", $J173/($F173-$E173+1), $J173/(($F173*($F173+1)/2)-(($E173-1)*($E173-1+1)/2))*AQ$2), 0)+IF(IF(time+1&gt;=AR$2, $K173/time_cap/(time+1)*AQ$2, 0) = 0, $K173/(time_cap),0)),0)</f>
        <v/>
      </c>
      <c r="AR173" s="4395">
        <f>IFERROR(IF((time+time_cap)&lt;AR$2, 0,IF(AND(time+1&gt;=AS$2, $E173&lt;AS$2), IF($I173= "I", $J173/($F173-$E173+1), $J173/(($F173*($F173+1)/2)-(($E173-1)*($E173-1+1)/2))*AR$2), 0)+IF(IF(time+1&gt;=AS$2, $K173/time_cap/(time+1)*AR$2, 0) = 0, $K173/(time_cap),0)),0)</f>
        <v/>
      </c>
      <c r="AS173" s="4395">
        <f>IFERROR(IF((time+time_cap)&lt;AS$2, 0,IF(AND(time+1&gt;=AT$2, $E173&lt;AT$2), IF($I173= "I", $J173/($F173-$E173+1), $J173/(($F173*($F173+1)/2)-(($E173-1)*($E173-1+1)/2))*AS$2), 0)+IF(IF(time+1&gt;=AT$2, $K173/time_cap/(time+1)*AS$2, 0) = 0, $K173/(time_cap),0)),0)</f>
        <v/>
      </c>
      <c r="AT173" s="4395">
        <f>IFERROR(IF((time+time_cap)&lt;AT$2, 0,IF(AND(time+1&gt;=AU$2, $E173&lt;AU$2), IF($I173= "I", $J173/($F173-$E173+1), $J173/(($F173*($F173+1)/2)-(($E173-1)*($E173-1+1)/2))*AT$2), 0)+IF(IF(time+1&gt;=AU$2, $K173/time_cap/(time+1)*AT$2, 0) = 0, $K173/(time_cap),0)),0)</f>
        <v/>
      </c>
      <c r="AU173" s="4395">
        <f>IFERROR(IF((time+time_cap)&lt;AU$2, 0,IF(AND(time+1&gt;=AV$2, $E173&lt;AV$2), IF($I173= "I", $J173/($F173-$E173+1), $J173/(($F173*($F173+1)/2)-(($E173-1)*($E173-1+1)/2))*AU$2), 0)+IF(IF(time+1&gt;=AV$2, $K173/time_cap/(time+1)*AU$2, 0) = 0, $K173/(time_cap),0)),0)</f>
        <v/>
      </c>
      <c r="AV173" s="4395">
        <f>IFERROR(IF((time+time_cap)&lt;AV$2, 0,IF(AND(time+1&gt;=AW$2, $E173&lt;AW$2), IF($I173= "I", $J173/($F173-$E173+1), $J173/(($F173*($F173+1)/2)-(($E173-1)*($E173-1+1)/2))*AV$2), 0)+IF(IF(time+1&gt;=AW$2, $K173/time_cap/(time+1)*AV$2, 0) = 0, $K173/(time_cap),0)),0)</f>
        <v/>
      </c>
      <c r="AW173" s="4395">
        <f>IFERROR(IF((time+time_cap)&lt;AW$2, 0,IF(AND(time+1&gt;=AX$2, $E173&lt;AX$2), IF($I173= "I", $J173/($F173-$E173+1), $J173/(($F173*($F173+1)/2)-(($E173-1)*($E173-1+1)/2))*AW$2), 0)+IF(IF(time+1&gt;=AX$2, $K173/time_cap/(time+1)*AW$2, 0) = 0, $K173/(time_cap),0)),0)</f>
        <v/>
      </c>
      <c r="AX173" s="4395">
        <f>IFERROR(IF((time+time_cap)&lt;AX$2, 0,IF(AND(time+1&gt;=AY$2, $E173&lt;AY$2), IF($I173= "I", $J173/($F173-$E173+1), $J173/(($F173*($F173+1)/2)-(($E173-1)*($E173-1+1)/2))*AX$2), 0)+IF(IF(time+1&gt;=AY$2, $K173/time_cap/(time+1)*AX$2, 0) = 0, $K173/(time_cap),0)),0)</f>
        <v/>
      </c>
      <c r="AY173" s="4395">
        <f>IFERROR(IF((time+time_cap)&lt;AY$2, 0,IF(AND(time+1&gt;=AZ$2, $E173&lt;AZ$2), IF($I173= "I", $J173/($F173-$E173+1), $J173/(($F173*($F173+1)/2)-(($E173-1)*($E173-1+1)/2))*AY$2), 0)+IF(IF(time+1&gt;=AZ$2, $K173/time_cap/(time+1)*AY$2, 0) = 0, $K173/(time_cap),0)),0)</f>
        <v/>
      </c>
      <c r="AZ173" s="4395">
        <f>IFERROR(IF((time+time_cap)&lt;AZ$2, 0,IF(AND(time+1&gt;=BA$2, $E173&lt;BA$2), IF($I173= "I", $J173/($F173-$E173+1), $J173/(($F173*($F173+1)/2)-(($E173-1)*($E173-1+1)/2))*AZ$2), 0)+IF(IF(time+1&gt;=BA$2, $K173/time_cap/(time+1)*AZ$2, 0) = 0, $K173/(time_cap),0)),0)</f>
        <v/>
      </c>
      <c r="BA173" s="4395">
        <f>IFERROR(IF((time+time_cap)&lt;BA$2, 0,IF(AND(time+1&gt;=BB$2, $E173&lt;BB$2), IF($I173= "I", $J173/($F173-$E173+1), $J173/(($F173*($F173+1)/2)-(($E173-1)*($E173-1+1)/2))*BA$2), 0)+IF(IF(time+1&gt;=BB$2, $K173/time_cap/(time+1)*BA$2, 0) = 0, $K173/(time_cap),0)),0)</f>
        <v/>
      </c>
      <c r="BB173" s="4395">
        <f>IFERROR(IF((time+time_cap)&lt;BB$2, 0,IF(AND(time+1&gt;=BC$2, $E173&lt;BC$2), IF($I173= "I", $J173/($F173-$E173+1), $J173/(($F173*($F173+1)/2)-(($E173-1)*($E173-1+1)/2))*BB$2), 0)+IF(IF(time+1&gt;=BC$2, $K173/time_cap/(time+1)*BB$2, 0) = 0, $K173/(time_cap),0)),0)</f>
        <v/>
      </c>
      <c r="BC173" s="4395">
        <f>IFERROR(IF((time+time_cap)&lt;BC$2, 0,IF(AND(time+1&gt;=BD$2, $E173&lt;BD$2), IF($I173= "I", $J173/($F173-$E173+1), $J173/(($F173*($F173+1)/2)-(($E173-1)*($E173-1+1)/2))*BC$2), 0)+IF(IF(time+1&gt;=BD$2, $K173/time_cap/(time+1)*BC$2, 0) = 0, $K173/(time_cap),0)),0)</f>
        <v/>
      </c>
      <c r="BD173" s="4395">
        <f>IFERROR(IF((time+time_cap)&lt;BD$2, 0,IF(AND(time+1&gt;=BE$2, $E173&lt;BE$2), IF($I173= "I", $J173/($F173-$E173+1), $J173/(($F173*($F173+1)/2)-(($E173-1)*($E173-1+1)/2))*BD$2), 0)+IF(IF(time+1&gt;=BE$2, $K173/time_cap/(time+1)*BD$2, 0) = 0, $K173/(time_cap),0)),0)</f>
        <v/>
      </c>
      <c r="BE173" s="4395">
        <f>IFERROR(IF((time+time_cap)&lt;BE$2, 0,IF(AND(time+1&gt;=BF$2, $E173&lt;BF$2), IF($I173= "I", $J173/($F173-$E173+1), $J173/(($F173*($F173+1)/2)-(($E173-1)*($E173-1+1)/2))*BE$2), 0)+IF(IF(time+1&gt;=BF$2, $K173/time_cap/(time+1)*BE$2, 0) = 0, $K173/(time_cap),0)),0)</f>
        <v/>
      </c>
      <c r="BF173" s="4395">
        <f>IFERROR(IF((time+time_cap)&lt;BF$2, 0,IF(AND(time+1&gt;=BG$2, $E173&lt;BG$2), IF($I173= "I", $J173/($F173-$E173+1), $J173/(($F173*($F173+1)/2)-(($E173-1)*($E173-1+1)/2))*BF$2), 0)+IF(IF(time+1&gt;=BG$2, $K173/time_cap/(time+1)*BF$2, 0) = 0, $K173/(time_cap),0)),0)</f>
        <v/>
      </c>
      <c r="BG173" s="4395">
        <f>IFERROR(IF((time+time_cap)&lt;BG$2, 0,IF(AND(time+1&gt;=BH$2, $E173&lt;BH$2), IF($I173= "I", $J173/($F173-$E173+1), $J173/(($F173*($F173+1)/2)-(($E173-1)*($E173-1+1)/2))*BG$2), 0)+IF(IF(time+1&gt;=BH$2, $K173/time_cap/(time+1)*BG$2, 0) = 0, $K173/(time_cap),0)),0)</f>
        <v/>
      </c>
      <c r="BH173" s="4395">
        <f>IFERROR(IF((time+time_cap)&lt;BH$2, 0,IF(AND(time+1&gt;=BI$2, $E173&lt;BI$2), IF($I173= "I", $J173/($F173-$E173+1), $J173/(($F173*($F173+1)/2)-(($E173-1)*($E173-1+1)/2))*BH$2), 0)+IF(IF(time+1&gt;=BI$2, $K173/time_cap/(time+1)*BH$2, 0) = 0, $K173/(time_cap),0)),0)</f>
        <v/>
      </c>
      <c r="BI173" s="4395">
        <f>IFERROR(IF((time+time_cap)&lt;BI$2, 0,IF(AND(time+1&gt;=BJ$2, $E173&lt;BJ$2), IF($I173= "I", $J173/($F173-$E173+1), $J173/(($F173*($F173+1)/2)-(($E173-1)*($E173-1+1)/2))*BI$2), 0)+IF(IF(time+1&gt;=BJ$2, $K173/time_cap/(time+1)*BI$2, 0) = 0, $K173/(time_cap),0)),0)</f>
        <v/>
      </c>
      <c r="BJ173" s="4395">
        <f>IFERROR(IF((time+time_cap)&lt;BJ$2, 0,IF(AND(time+1&gt;=BK$2, $E173&lt;BK$2), IF($I173= "I", $J173/($F173-$E173+1), $J173/(($F173*($F173+1)/2)-(($E173-1)*($E173-1+1)/2))*BJ$2), 0)+IF(IF(time+1&gt;=BK$2, $K173/time_cap/(time+1)*BJ$2, 0) = 0, $K173/(time_cap),0)),0)</f>
        <v/>
      </c>
      <c r="BK173" s="4395" t="n"/>
      <c r="BL173" s="4395" t="n"/>
      <c r="BM173" s="4395" t="n"/>
      <c r="BN173" s="4395" t="n"/>
      <c r="BO173" s="4395" t="n"/>
      <c r="BP173" s="4395" t="n"/>
      <c r="BQ173" s="4395" t="n"/>
      <c r="BR173" s="4395" t="n"/>
      <c r="BS173" s="4395" t="n"/>
      <c r="BT173" s="4395" t="n"/>
      <c r="BU173" s="4395" t="n"/>
      <c r="BV173" s="4395" t="n"/>
      <c r="BW173" s="4395" t="n"/>
      <c r="BX173" s="4395" t="n"/>
      <c r="BY173" s="4395" t="n"/>
      <c r="BZ173" s="4395" t="n"/>
      <c r="CA173" s="4395" t="n"/>
      <c r="CB173" s="4395" t="n"/>
      <c r="CC173" s="4395" t="n"/>
      <c r="CD173" s="4395" t="n"/>
      <c r="CE173" s="4395" t="n"/>
      <c r="CF173" s="4395" t="n"/>
      <c r="CG173" s="4395" t="n"/>
      <c r="CH173" s="4395" t="n"/>
      <c r="CI173" s="4395" t="n"/>
      <c r="CJ173" s="4395" t="n"/>
      <c r="CK173" s="4395" t="n"/>
      <c r="CL173" s="4395" t="n"/>
      <c r="CM173" s="4395" t="n"/>
      <c r="CN173" s="4395" t="n"/>
      <c r="CO173" s="4395" t="n"/>
      <c r="CP173" s="4395" t="n"/>
      <c r="CQ173" s="4395" t="n"/>
      <c r="CR173" s="4395" t="n"/>
      <c r="CS173" s="4395" t="n"/>
      <c r="CT173" s="4395" t="n"/>
      <c r="CU173" s="4395" t="n"/>
      <c r="CV173" s="4395" t="n"/>
      <c r="CW173" s="4395" t="n"/>
      <c r="CX173" s="4395" t="n"/>
      <c r="CY173" s="4395" t="n"/>
      <c r="CZ173" s="4395" t="n"/>
      <c r="DA173" s="4395" t="n"/>
      <c r="DB173" s="4395" t="n"/>
      <c r="DC173" s="4395" t="n"/>
      <c r="DD173" s="4395" t="n"/>
      <c r="DE173" s="4395" t="n"/>
      <c r="DF173" s="4395" t="n"/>
      <c r="DG173" s="4395" t="n"/>
      <c r="DH173" s="4395" t="n"/>
    </row>
    <row r="174" ht="16" customHeight="1">
      <c r="A174" t="inlineStr">
        <is>
          <t>Coastal wetland - rewetting</t>
        </is>
      </c>
      <c r="C174">
        <f>'7.Coastal wetlands'!C48</f>
        <v/>
      </c>
      <c r="D174">
        <f>'7.Coastal wetlands'!AI48</f>
        <v/>
      </c>
      <c r="E174">
        <f>IF('7.Coastal wetlands'!CN48&lt;&gt;0,'7.Coastal wetlands'!CN48,'7.Coastal wetlands'!CM48)</f>
        <v/>
      </c>
      <c r="F174">
        <f>time</f>
        <v/>
      </c>
      <c r="G174" s="4395">
        <f>'7.Coastal wetlands'!I48</f>
        <v/>
      </c>
      <c r="H174" s="4395">
        <f>'7.Coastal wetlands'!K48</f>
        <v/>
      </c>
      <c r="I174" s="4395">
        <f>IF(OR(H174="I", G174="I"), "I", IF(OR(H174="E", G174="E"), "E", "D"))</f>
        <v/>
      </c>
      <c r="J174" s="4395">
        <f>((D174/(time_cap+((F174-E174+1)*VLOOKUP(I174,list!$I$48:$K$50,3, FALSE))))*(F174-E174+1)*VLOOKUP(I174,list!$I$48:$K$50,3, FALSE))</f>
        <v/>
      </c>
      <c r="K174" s="4395">
        <f>((D174/(time_cap+((F174-E174+1)*VLOOKUP(I174,list!$I$48:$K$50,3, FALSE))))*time_cap)</f>
        <v/>
      </c>
      <c r="M174" s="4395">
        <f>IFERROR(IF((time+time_cap)&lt;M$2, 0,IF(AND(time+1&gt;=N$2, $E174&lt;N$2), IF($I174= "I", $J174/($F174-$E174+1), $J174/(($F174*($F174+1)/2)-(($E174-1)*($E174-1+1)/2))*M$2), 0)+IF(IF(time+1&gt;=N$2, $K174/time_cap/(time+1)*M$2, 0) = 0, $K174/(time_cap),0)),0)</f>
        <v/>
      </c>
      <c r="N174" s="4395">
        <f>IFERROR(IF((time+time_cap)&lt;N$2, 0,IF(AND(time+1&gt;=O$2, $E174&lt;O$2), IF($I174= "I", $J174/($F174-$E174+1), $J174/(($F174*($F174+1)/2)-(($E174-1)*($E174-1+1)/2))*N$2), 0)+IF(IF(time+1&gt;=O$2, $K174/time_cap/(time+1)*N$2, 0) = 0, $K174/(time_cap),0)),0)</f>
        <v/>
      </c>
      <c r="O174" s="4395">
        <f>IFERROR(IF((time+time_cap)&lt;O$2, 0,IF(AND(time+1&gt;=P$2, $E174&lt;P$2), IF($I174= "I", $J174/($F174-$E174+1), $J174/(($F174*($F174+1)/2)-(($E174-1)*($E174-1+1)/2))*O$2), 0)+IF(IF(time+1&gt;=P$2, $K174/time_cap/(time+1)*O$2, 0) = 0, $K174/(time_cap),0)),0)</f>
        <v/>
      </c>
      <c r="P174" s="4395">
        <f>IFERROR(IF((time+time_cap)&lt;P$2, 0,IF(AND(time+1&gt;=Q$2, $E174&lt;Q$2), IF($I174= "I", $J174/($F174-$E174+1), $J174/(($F174*($F174+1)/2)-(($E174-1)*($E174-1+1)/2))*P$2), 0)+IF(IF(time+1&gt;=Q$2, $K174/time_cap/(time+1)*P$2, 0) = 0, $K174/(time_cap),0)),0)</f>
        <v/>
      </c>
      <c r="Q174" s="4395">
        <f>IFERROR(IF((time+time_cap)&lt;Q$2, 0,IF(AND(time+1&gt;=R$2, $E174&lt;R$2), IF($I174= "I", $J174/($F174-$E174+1), $J174/(($F174*($F174+1)/2)-(($E174-1)*($E174-1+1)/2))*Q$2), 0)+IF(IF(time+1&gt;=R$2, $K174/time_cap/(time+1)*Q$2, 0) = 0, $K174/(time_cap),0)),0)</f>
        <v/>
      </c>
      <c r="R174" s="4395">
        <f>IFERROR(IF((time+time_cap)&lt;R$2, 0,IF(AND(time+1&gt;=S$2, $E174&lt;S$2), IF($I174= "I", $J174/($F174-$E174+1), $J174/(($F174*($F174+1)/2)-(($E174-1)*($E174-1+1)/2))*R$2), 0)+IF(IF(time+1&gt;=S$2, $K174/time_cap/(time+1)*R$2, 0) = 0, $K174/(time_cap),0)),0)</f>
        <v/>
      </c>
      <c r="S174" s="4395">
        <f>IFERROR(IF((time+time_cap)&lt;S$2, 0,IF(AND(time+1&gt;=T$2, $E174&lt;T$2), IF($I174= "I", $J174/($F174-$E174+1), $J174/(($F174*($F174+1)/2)-(($E174-1)*($E174-1+1)/2))*S$2), 0)+IF(IF(time+1&gt;=T$2, $K174/time_cap/(time+1)*S$2, 0) = 0, $K174/(time_cap),0)),0)</f>
        <v/>
      </c>
      <c r="T174" s="4395">
        <f>IFERROR(IF((time+time_cap)&lt;T$2, 0,IF(AND(time+1&gt;=U$2, $E174&lt;U$2), IF($I174= "I", $J174/($F174-$E174+1), $J174/(($F174*($F174+1)/2)-(($E174-1)*($E174-1+1)/2))*T$2), 0)+IF(IF(time+1&gt;=U$2, $K174/time_cap/(time+1)*T$2, 0) = 0, $K174/(time_cap),0)),0)</f>
        <v/>
      </c>
      <c r="U174" s="4395">
        <f>IFERROR(IF((time+time_cap)&lt;U$2, 0,IF(AND(time+1&gt;=V$2, $E174&lt;V$2), IF($I174= "I", $J174/($F174-$E174+1), $J174/(($F174*($F174+1)/2)-(($E174-1)*($E174-1+1)/2))*U$2), 0)+IF(IF(time+1&gt;=V$2, $K174/time_cap/(time+1)*U$2, 0) = 0, $K174/(time_cap),0)),0)</f>
        <v/>
      </c>
      <c r="V174" s="4395">
        <f>IFERROR(IF((time+time_cap)&lt;V$2, 0,IF(AND(time+1&gt;=W$2, $E174&lt;W$2), IF($I174= "I", $J174/($F174-$E174+1), $J174/(($F174*($F174+1)/2)-(($E174-1)*($E174-1+1)/2))*V$2), 0)+IF(IF(time+1&gt;=W$2, $K174/time_cap/(time+1)*V$2, 0) = 0, $K174/(time_cap),0)),0)</f>
        <v/>
      </c>
      <c r="W174" s="4395">
        <f>IFERROR(IF((time+time_cap)&lt;W$2, 0,IF(AND(time+1&gt;=X$2, $E174&lt;X$2), IF($I174= "I", $J174/($F174-$E174+1), $J174/(($F174*($F174+1)/2)-(($E174-1)*($E174-1+1)/2))*W$2), 0)+IF(IF(time+1&gt;=X$2, $K174/time_cap/(time+1)*W$2, 0) = 0, $K174/(time_cap),0)),0)</f>
        <v/>
      </c>
      <c r="X174" s="4395">
        <f>IFERROR(IF((time+time_cap)&lt;X$2, 0,IF(AND(time+1&gt;=Y$2, $E174&lt;Y$2), IF($I174= "I", $J174/($F174-$E174+1), $J174/(($F174*($F174+1)/2)-(($E174-1)*($E174-1+1)/2))*X$2), 0)+IF(IF(time+1&gt;=Y$2, $K174/time_cap/(time+1)*X$2, 0) = 0, $K174/(time_cap),0)),0)</f>
        <v/>
      </c>
      <c r="Y174" s="4395">
        <f>IFERROR(IF((time+time_cap)&lt;Y$2, 0,IF(AND(time+1&gt;=Z$2, $E174&lt;Z$2), IF($I174= "I", $J174/($F174-$E174+1), $J174/(($F174*($F174+1)/2)-(($E174-1)*($E174-1+1)/2))*Y$2), 0)+IF(IF(time+1&gt;=Z$2, $K174/time_cap/(time+1)*Y$2, 0) = 0, $K174/(time_cap),0)),0)</f>
        <v/>
      </c>
      <c r="Z174" s="4395">
        <f>IFERROR(IF((time+time_cap)&lt;Z$2, 0,IF(AND(time+1&gt;=AA$2, $E174&lt;AA$2), IF($I174= "I", $J174/($F174-$E174+1), $J174/(($F174*($F174+1)/2)-(($E174-1)*($E174-1+1)/2))*Z$2), 0)+IF(IF(time+1&gt;=AA$2, $K174/time_cap/(time+1)*Z$2, 0) = 0, $K174/(time_cap),0)),0)</f>
        <v/>
      </c>
      <c r="AA174" s="4395">
        <f>IFERROR(IF((time+time_cap)&lt;AA$2, 0,IF(AND(time+1&gt;=AB$2, $E174&lt;AB$2), IF($I174= "I", $J174/($F174-$E174+1), $J174/(($F174*($F174+1)/2)-(($E174-1)*($E174-1+1)/2))*AA$2), 0)+IF(IF(time+1&gt;=AB$2, $K174/time_cap/(time+1)*AA$2, 0) = 0, $K174/(time_cap),0)),0)</f>
        <v/>
      </c>
      <c r="AB174" s="4395">
        <f>IFERROR(IF((time+time_cap)&lt;AB$2, 0,IF(AND(time+1&gt;=AC$2, $E174&lt;AC$2), IF($I174= "I", $J174/($F174-$E174+1), $J174/(($F174*($F174+1)/2)-(($E174-1)*($E174-1+1)/2))*AB$2), 0)+IF(IF(time+1&gt;=AC$2, $K174/time_cap/(time+1)*AB$2, 0) = 0, $K174/(time_cap),0)),0)</f>
        <v/>
      </c>
      <c r="AC174" s="4395">
        <f>IFERROR(IF((time+time_cap)&lt;AC$2, 0,IF(AND(time+1&gt;=AD$2, $E174&lt;AD$2), IF($I174= "I", $J174/($F174-$E174+1), $J174/(($F174*($F174+1)/2)-(($E174-1)*($E174-1+1)/2))*AC$2), 0)+IF(IF(time+1&gt;=AD$2, $K174/time_cap/(time+1)*AC$2, 0) = 0, $K174/(time_cap),0)),0)</f>
        <v/>
      </c>
      <c r="AD174" s="4395">
        <f>IFERROR(IF((time+time_cap)&lt;AD$2, 0,IF(AND(time+1&gt;=AE$2, $E174&lt;AE$2), IF($I174= "I", $J174/($F174-$E174+1), $J174/(($F174*($F174+1)/2)-(($E174-1)*($E174-1+1)/2))*AD$2), 0)+IF(IF(time+1&gt;=AE$2, $K174/time_cap/(time+1)*AD$2, 0) = 0, $K174/(time_cap),0)),0)</f>
        <v/>
      </c>
      <c r="AE174" s="4395">
        <f>IFERROR(IF((time+time_cap)&lt;AE$2, 0,IF(AND(time+1&gt;=AF$2, $E174&lt;AF$2), IF($I174= "I", $J174/($F174-$E174+1), $J174/(($F174*($F174+1)/2)-(($E174-1)*($E174-1+1)/2))*AE$2), 0)+IF(IF(time+1&gt;=AF$2, $K174/time_cap/(time+1)*AE$2, 0) = 0, $K174/(time_cap),0)),0)</f>
        <v/>
      </c>
      <c r="AF174" s="4395">
        <f>IFERROR(IF((time+time_cap)&lt;AF$2, 0,IF(AND(time+1&gt;=AG$2, $E174&lt;AG$2), IF($I174= "I", $J174/($F174-$E174+1), $J174/(($F174*($F174+1)/2)-(($E174-1)*($E174-1+1)/2))*AF$2), 0)+IF(IF(time+1&gt;=AG$2, $K174/time_cap/(time+1)*AF$2, 0) = 0, $K174/(time_cap),0)),0)</f>
        <v/>
      </c>
      <c r="AG174" s="4395">
        <f>IFERROR(IF((time+time_cap)&lt;AG$2, 0,IF(AND(time+1&gt;=AH$2, $E174&lt;AH$2), IF($I174= "I", $J174/($F174-$E174+1), $J174/(($F174*($F174+1)/2)-(($E174-1)*($E174-1+1)/2))*AG$2), 0)+IF(IF(time+1&gt;=AH$2, $K174/time_cap/(time+1)*AG$2, 0) = 0, $K174/(time_cap),0)),0)</f>
        <v/>
      </c>
      <c r="AH174" s="4395">
        <f>IFERROR(IF((time+time_cap)&lt;AH$2, 0,IF(AND(time+1&gt;=AI$2, $E174&lt;AI$2), IF($I174= "I", $J174/($F174-$E174+1), $J174/(($F174*($F174+1)/2)-(($E174-1)*($E174-1+1)/2))*AH$2), 0)+IF(IF(time+1&gt;=AI$2, $K174/time_cap/(time+1)*AH$2, 0) = 0, $K174/(time_cap),0)),0)</f>
        <v/>
      </c>
      <c r="AI174" s="4395">
        <f>IFERROR(IF((time+time_cap)&lt;AI$2, 0,IF(AND(time+1&gt;=AJ$2, $E174&lt;AJ$2), IF($I174= "I", $J174/($F174-$E174+1), $J174/(($F174*($F174+1)/2)-(($E174-1)*($E174-1+1)/2))*AI$2), 0)+IF(IF(time+1&gt;=AJ$2, $K174/time_cap/(time+1)*AI$2, 0) = 0, $K174/(time_cap),0)),0)</f>
        <v/>
      </c>
      <c r="AJ174" s="4395">
        <f>IFERROR(IF((time+time_cap)&lt;AJ$2, 0,IF(AND(time+1&gt;=AK$2, $E174&lt;AK$2), IF($I174= "I", $J174/($F174-$E174+1), $J174/(($F174*($F174+1)/2)-(($E174-1)*($E174-1+1)/2))*AJ$2), 0)+IF(IF(time+1&gt;=AK$2, $K174/time_cap/(time+1)*AJ$2, 0) = 0, $K174/(time_cap),0)),0)</f>
        <v/>
      </c>
      <c r="AK174" s="4395">
        <f>IFERROR(IF((time+time_cap)&lt;AK$2, 0,IF(AND(time+1&gt;=AL$2, $E174&lt;AL$2), IF($I174= "I", $J174/($F174-$E174+1), $J174/(($F174*($F174+1)/2)-(($E174-1)*($E174-1+1)/2))*AK$2), 0)+IF(IF(time+1&gt;=AL$2, $K174/time_cap/(time+1)*AK$2, 0) = 0, $K174/(time_cap),0)),0)</f>
        <v/>
      </c>
      <c r="AL174" s="4395">
        <f>IFERROR(IF((time+time_cap)&lt;AL$2, 0,IF(AND(time+1&gt;=AM$2, $E174&lt;AM$2), IF($I174= "I", $J174/($F174-$E174+1), $J174/(($F174*($F174+1)/2)-(($E174-1)*($E174-1+1)/2))*AL$2), 0)+IF(IF(time+1&gt;=AM$2, $K174/time_cap/(time+1)*AL$2, 0) = 0, $K174/(time_cap),0)),0)</f>
        <v/>
      </c>
      <c r="AM174" s="4395">
        <f>IFERROR(IF((time+time_cap)&lt;AM$2, 0,IF(AND(time+1&gt;=AN$2, $E174&lt;AN$2), IF($I174= "I", $J174/($F174-$E174+1), $J174/(($F174*($F174+1)/2)-(($E174-1)*($E174-1+1)/2))*AM$2), 0)+IF(IF(time+1&gt;=AN$2, $K174/time_cap/(time+1)*AM$2, 0) = 0, $K174/(time_cap),0)),0)</f>
        <v/>
      </c>
      <c r="AN174" s="4395">
        <f>IFERROR(IF((time+time_cap)&lt;AN$2, 0,IF(AND(time+1&gt;=AO$2, $E174&lt;AO$2), IF($I174= "I", $J174/($F174-$E174+1), $J174/(($F174*($F174+1)/2)-(($E174-1)*($E174-1+1)/2))*AN$2), 0)+IF(IF(time+1&gt;=AO$2, $K174/time_cap/(time+1)*AN$2, 0) = 0, $K174/(time_cap),0)),0)</f>
        <v/>
      </c>
      <c r="AO174" s="4395">
        <f>IFERROR(IF((time+time_cap)&lt;AO$2, 0,IF(AND(time+1&gt;=AP$2, $E174&lt;AP$2), IF($I174= "I", $J174/($F174-$E174+1), $J174/(($F174*($F174+1)/2)-(($E174-1)*($E174-1+1)/2))*AO$2), 0)+IF(IF(time+1&gt;=AP$2, $K174/time_cap/(time+1)*AO$2, 0) = 0, $K174/(time_cap),0)),0)</f>
        <v/>
      </c>
      <c r="AP174" s="4395">
        <f>IFERROR(IF((time+time_cap)&lt;AP$2, 0,IF(AND(time+1&gt;=AQ$2, $E174&lt;AQ$2), IF($I174= "I", $J174/($F174-$E174+1), $J174/(($F174*($F174+1)/2)-(($E174-1)*($E174-1+1)/2))*AP$2), 0)+IF(IF(time+1&gt;=AQ$2, $K174/time_cap/(time+1)*AP$2, 0) = 0, $K174/(time_cap),0)),0)</f>
        <v/>
      </c>
      <c r="AQ174" s="4395">
        <f>IFERROR(IF((time+time_cap)&lt;AQ$2, 0,IF(AND(time+1&gt;=AR$2, $E174&lt;AR$2), IF($I174= "I", $J174/($F174-$E174+1), $J174/(($F174*($F174+1)/2)-(($E174-1)*($E174-1+1)/2))*AQ$2), 0)+IF(IF(time+1&gt;=AR$2, $K174/time_cap/(time+1)*AQ$2, 0) = 0, $K174/(time_cap),0)),0)</f>
        <v/>
      </c>
      <c r="AR174" s="4395">
        <f>IFERROR(IF((time+time_cap)&lt;AR$2, 0,IF(AND(time+1&gt;=AS$2, $E174&lt;AS$2), IF($I174= "I", $J174/($F174-$E174+1), $J174/(($F174*($F174+1)/2)-(($E174-1)*($E174-1+1)/2))*AR$2), 0)+IF(IF(time+1&gt;=AS$2, $K174/time_cap/(time+1)*AR$2, 0) = 0, $K174/(time_cap),0)),0)</f>
        <v/>
      </c>
      <c r="AS174" s="4395">
        <f>IFERROR(IF((time+time_cap)&lt;AS$2, 0,IF(AND(time+1&gt;=AT$2, $E174&lt;AT$2), IF($I174= "I", $J174/($F174-$E174+1), $J174/(($F174*($F174+1)/2)-(($E174-1)*($E174-1+1)/2))*AS$2), 0)+IF(IF(time+1&gt;=AT$2, $K174/time_cap/(time+1)*AS$2, 0) = 0, $K174/(time_cap),0)),0)</f>
        <v/>
      </c>
      <c r="AT174" s="4395">
        <f>IFERROR(IF((time+time_cap)&lt;AT$2, 0,IF(AND(time+1&gt;=AU$2, $E174&lt;AU$2), IF($I174= "I", $J174/($F174-$E174+1), $J174/(($F174*($F174+1)/2)-(($E174-1)*($E174-1+1)/2))*AT$2), 0)+IF(IF(time+1&gt;=AU$2, $K174/time_cap/(time+1)*AT$2, 0) = 0, $K174/(time_cap),0)),0)</f>
        <v/>
      </c>
      <c r="AU174" s="4395">
        <f>IFERROR(IF((time+time_cap)&lt;AU$2, 0,IF(AND(time+1&gt;=AV$2, $E174&lt;AV$2), IF($I174= "I", $J174/($F174-$E174+1), $J174/(($F174*($F174+1)/2)-(($E174-1)*($E174-1+1)/2))*AU$2), 0)+IF(IF(time+1&gt;=AV$2, $K174/time_cap/(time+1)*AU$2, 0) = 0, $K174/(time_cap),0)),0)</f>
        <v/>
      </c>
      <c r="AV174" s="4395">
        <f>IFERROR(IF((time+time_cap)&lt;AV$2, 0,IF(AND(time+1&gt;=AW$2, $E174&lt;AW$2), IF($I174= "I", $J174/($F174-$E174+1), $J174/(($F174*($F174+1)/2)-(($E174-1)*($E174-1+1)/2))*AV$2), 0)+IF(IF(time+1&gt;=AW$2, $K174/time_cap/(time+1)*AV$2, 0) = 0, $K174/(time_cap),0)),0)</f>
        <v/>
      </c>
      <c r="AW174" s="4395">
        <f>IFERROR(IF((time+time_cap)&lt;AW$2, 0,IF(AND(time+1&gt;=AX$2, $E174&lt;AX$2), IF($I174= "I", $J174/($F174-$E174+1), $J174/(($F174*($F174+1)/2)-(($E174-1)*($E174-1+1)/2))*AW$2), 0)+IF(IF(time+1&gt;=AX$2, $K174/time_cap/(time+1)*AW$2, 0) = 0, $K174/(time_cap),0)),0)</f>
        <v/>
      </c>
      <c r="AX174" s="4395">
        <f>IFERROR(IF((time+time_cap)&lt;AX$2, 0,IF(AND(time+1&gt;=AY$2, $E174&lt;AY$2), IF($I174= "I", $J174/($F174-$E174+1), $J174/(($F174*($F174+1)/2)-(($E174-1)*($E174-1+1)/2))*AX$2), 0)+IF(IF(time+1&gt;=AY$2, $K174/time_cap/(time+1)*AX$2, 0) = 0, $K174/(time_cap),0)),0)</f>
        <v/>
      </c>
      <c r="AY174" s="4395">
        <f>IFERROR(IF((time+time_cap)&lt;AY$2, 0,IF(AND(time+1&gt;=AZ$2, $E174&lt;AZ$2), IF($I174= "I", $J174/($F174-$E174+1), $J174/(($F174*($F174+1)/2)-(($E174-1)*($E174-1+1)/2))*AY$2), 0)+IF(IF(time+1&gt;=AZ$2, $K174/time_cap/(time+1)*AY$2, 0) = 0, $K174/(time_cap),0)),0)</f>
        <v/>
      </c>
      <c r="AZ174" s="4395">
        <f>IFERROR(IF((time+time_cap)&lt;AZ$2, 0,IF(AND(time+1&gt;=BA$2, $E174&lt;BA$2), IF($I174= "I", $J174/($F174-$E174+1), $J174/(($F174*($F174+1)/2)-(($E174-1)*($E174-1+1)/2))*AZ$2), 0)+IF(IF(time+1&gt;=BA$2, $K174/time_cap/(time+1)*AZ$2, 0) = 0, $K174/(time_cap),0)),0)</f>
        <v/>
      </c>
      <c r="BA174" s="4395">
        <f>IFERROR(IF((time+time_cap)&lt;BA$2, 0,IF(AND(time+1&gt;=BB$2, $E174&lt;BB$2), IF($I174= "I", $J174/($F174-$E174+1), $J174/(($F174*($F174+1)/2)-(($E174-1)*($E174-1+1)/2))*BA$2), 0)+IF(IF(time+1&gt;=BB$2, $K174/time_cap/(time+1)*BA$2, 0) = 0, $K174/(time_cap),0)),0)</f>
        <v/>
      </c>
      <c r="BB174" s="4395">
        <f>IFERROR(IF((time+time_cap)&lt;BB$2, 0,IF(AND(time+1&gt;=BC$2, $E174&lt;BC$2), IF($I174= "I", $J174/($F174-$E174+1), $J174/(($F174*($F174+1)/2)-(($E174-1)*($E174-1+1)/2))*BB$2), 0)+IF(IF(time+1&gt;=BC$2, $K174/time_cap/(time+1)*BB$2, 0) = 0, $K174/(time_cap),0)),0)</f>
        <v/>
      </c>
      <c r="BC174" s="4395">
        <f>IFERROR(IF((time+time_cap)&lt;BC$2, 0,IF(AND(time+1&gt;=BD$2, $E174&lt;BD$2), IF($I174= "I", $J174/($F174-$E174+1), $J174/(($F174*($F174+1)/2)-(($E174-1)*($E174-1+1)/2))*BC$2), 0)+IF(IF(time+1&gt;=BD$2, $K174/time_cap/(time+1)*BC$2, 0) = 0, $K174/(time_cap),0)),0)</f>
        <v/>
      </c>
      <c r="BD174" s="4395">
        <f>IFERROR(IF((time+time_cap)&lt;BD$2, 0,IF(AND(time+1&gt;=BE$2, $E174&lt;BE$2), IF($I174= "I", $J174/($F174-$E174+1), $J174/(($F174*($F174+1)/2)-(($E174-1)*($E174-1+1)/2))*BD$2), 0)+IF(IF(time+1&gt;=BE$2, $K174/time_cap/(time+1)*BD$2, 0) = 0, $K174/(time_cap),0)),0)</f>
        <v/>
      </c>
      <c r="BE174" s="4395">
        <f>IFERROR(IF((time+time_cap)&lt;BE$2, 0,IF(AND(time+1&gt;=BF$2, $E174&lt;BF$2), IF($I174= "I", $J174/($F174-$E174+1), $J174/(($F174*($F174+1)/2)-(($E174-1)*($E174-1+1)/2))*BE$2), 0)+IF(IF(time+1&gt;=BF$2, $K174/time_cap/(time+1)*BE$2, 0) = 0, $K174/(time_cap),0)),0)</f>
        <v/>
      </c>
      <c r="BF174" s="4395">
        <f>IFERROR(IF((time+time_cap)&lt;BF$2, 0,IF(AND(time+1&gt;=BG$2, $E174&lt;BG$2), IF($I174= "I", $J174/($F174-$E174+1), $J174/(($F174*($F174+1)/2)-(($E174-1)*($E174-1+1)/2))*BF$2), 0)+IF(IF(time+1&gt;=BG$2, $K174/time_cap/(time+1)*BF$2, 0) = 0, $K174/(time_cap),0)),0)</f>
        <v/>
      </c>
      <c r="BG174" s="4395">
        <f>IFERROR(IF((time+time_cap)&lt;BG$2, 0,IF(AND(time+1&gt;=BH$2, $E174&lt;BH$2), IF($I174= "I", $J174/($F174-$E174+1), $J174/(($F174*($F174+1)/2)-(($E174-1)*($E174-1+1)/2))*BG$2), 0)+IF(IF(time+1&gt;=BH$2, $K174/time_cap/(time+1)*BG$2, 0) = 0, $K174/(time_cap),0)),0)</f>
        <v/>
      </c>
      <c r="BH174" s="4395">
        <f>IFERROR(IF((time+time_cap)&lt;BH$2, 0,IF(AND(time+1&gt;=BI$2, $E174&lt;BI$2), IF($I174= "I", $J174/($F174-$E174+1), $J174/(($F174*($F174+1)/2)-(($E174-1)*($E174-1+1)/2))*BH$2), 0)+IF(IF(time+1&gt;=BI$2, $K174/time_cap/(time+1)*BH$2, 0) = 0, $K174/(time_cap),0)),0)</f>
        <v/>
      </c>
      <c r="BI174" s="4395">
        <f>IFERROR(IF((time+time_cap)&lt;BI$2, 0,IF(AND(time+1&gt;=BJ$2, $E174&lt;BJ$2), IF($I174= "I", $J174/($F174-$E174+1), $J174/(($F174*($F174+1)/2)-(($E174-1)*($E174-1+1)/2))*BI$2), 0)+IF(IF(time+1&gt;=BJ$2, $K174/time_cap/(time+1)*BI$2, 0) = 0, $K174/(time_cap),0)),0)</f>
        <v/>
      </c>
      <c r="BJ174" s="4395">
        <f>IFERROR(IF((time+time_cap)&lt;BJ$2, 0,IF(AND(time+1&gt;=BK$2, $E174&lt;BK$2), IF($I174= "I", $J174/($F174-$E174+1), $J174/(($F174*($F174+1)/2)-(($E174-1)*($E174-1+1)/2))*BJ$2), 0)+IF(IF(time+1&gt;=BK$2, $K174/time_cap/(time+1)*BJ$2, 0) = 0, $K174/(time_cap),0)),0)</f>
        <v/>
      </c>
      <c r="BK174" s="4395" t="n"/>
      <c r="BL174" s="4395" t="n"/>
      <c r="BM174" s="4395" t="n"/>
      <c r="BN174" s="4395" t="n"/>
      <c r="BO174" s="4395" t="n"/>
      <c r="BP174" s="4395" t="n"/>
      <c r="BQ174" s="4395" t="n"/>
      <c r="BR174" s="4395" t="n"/>
      <c r="BS174" s="4395" t="n"/>
      <c r="BT174" s="4395" t="n"/>
      <c r="BU174" s="4395" t="n"/>
      <c r="BV174" s="4395" t="n"/>
      <c r="BW174" s="4395" t="n"/>
      <c r="BX174" s="4395" t="n"/>
      <c r="BY174" s="4395" t="n"/>
      <c r="BZ174" s="4395" t="n"/>
      <c r="CA174" s="4395" t="n"/>
      <c r="CB174" s="4395" t="n"/>
      <c r="CC174" s="4395" t="n"/>
      <c r="CD174" s="4395" t="n"/>
      <c r="CE174" s="4395" t="n"/>
      <c r="CF174" s="4395" t="n"/>
      <c r="CG174" s="4395" t="n"/>
      <c r="CH174" s="4395" t="n"/>
      <c r="CI174" s="4395" t="n"/>
      <c r="CJ174" s="4395" t="n"/>
      <c r="CK174" s="4395" t="n"/>
      <c r="CL174" s="4395" t="n"/>
      <c r="CM174" s="4395" t="n"/>
      <c r="CN174" s="4395" t="n"/>
      <c r="CO174" s="4395" t="n"/>
      <c r="CP174" s="4395" t="n"/>
      <c r="CQ174" s="4395" t="n"/>
      <c r="CR174" s="4395" t="n"/>
      <c r="CS174" s="4395" t="n"/>
      <c r="CT174" s="4395" t="n"/>
      <c r="CU174" s="4395" t="n"/>
      <c r="CV174" s="4395" t="n"/>
      <c r="CW174" s="4395" t="n"/>
      <c r="CX174" s="4395" t="n"/>
      <c r="CY174" s="4395" t="n"/>
      <c r="CZ174" s="4395" t="n"/>
      <c r="DA174" s="4395" t="n"/>
      <c r="DB174" s="4395" t="n"/>
      <c r="DC174" s="4395" t="n"/>
      <c r="DD174" s="4395" t="n"/>
      <c r="DE174" s="4395" t="n"/>
      <c r="DF174" s="4395" t="n"/>
      <c r="DG174" s="4395" t="n"/>
      <c r="DH174" s="4395" t="n"/>
    </row>
    <row r="175" ht="16" customHeight="1">
      <c r="A175" t="inlineStr">
        <is>
          <t>Coastal wetland - rewetting</t>
        </is>
      </c>
      <c r="C175">
        <f>'7.Coastal wetlands'!C49</f>
        <v/>
      </c>
      <c r="D175">
        <f>'7.Coastal wetlands'!AI49</f>
        <v/>
      </c>
      <c r="E175">
        <f>IF('7.Coastal wetlands'!CN49&lt;&gt;0,'7.Coastal wetlands'!CN49,'7.Coastal wetlands'!CM49)</f>
        <v/>
      </c>
      <c r="F175">
        <f>time</f>
        <v/>
      </c>
      <c r="G175" s="4395">
        <f>'7.Coastal wetlands'!I49</f>
        <v/>
      </c>
      <c r="H175" s="4395">
        <f>'7.Coastal wetlands'!K49</f>
        <v/>
      </c>
      <c r="I175" s="4395">
        <f>IF(OR(H175="I", G175="I"), "I", IF(OR(H175="E", G175="E"), "E", "D"))</f>
        <v/>
      </c>
      <c r="J175" s="4395">
        <f>((D175/(time_cap+((F175-E175+1)*VLOOKUP(I175,list!$I$48:$K$50,3, FALSE))))*(F175-E175+1)*VLOOKUP(I175,list!$I$48:$K$50,3, FALSE))</f>
        <v/>
      </c>
      <c r="K175" s="4395">
        <f>((D175/(time_cap+((F175-E175+1)*VLOOKUP(I175,list!$I$48:$K$50,3, FALSE))))*time_cap)</f>
        <v/>
      </c>
      <c r="M175" s="4395">
        <f>IFERROR(IF((time+time_cap)&lt;M$2, 0,IF(AND(time+1&gt;=N$2, $E175&lt;N$2), IF($I175= "I", $J175/($F175-$E175+1), $J175/(($F175*($F175+1)/2)-(($E175-1)*($E175-1+1)/2))*M$2), 0)+IF(IF(time+1&gt;=N$2, $K175/time_cap/(time+1)*M$2, 0) = 0, $K175/(time_cap),0)),0)</f>
        <v/>
      </c>
      <c r="N175" s="4395">
        <f>IFERROR(IF((time+time_cap)&lt;N$2, 0,IF(AND(time+1&gt;=O$2, $E175&lt;O$2), IF($I175= "I", $J175/($F175-$E175+1), $J175/(($F175*($F175+1)/2)-(($E175-1)*($E175-1+1)/2))*N$2), 0)+IF(IF(time+1&gt;=O$2, $K175/time_cap/(time+1)*N$2, 0) = 0, $K175/(time_cap),0)),0)</f>
        <v/>
      </c>
      <c r="O175" s="4395">
        <f>IFERROR(IF((time+time_cap)&lt;O$2, 0,IF(AND(time+1&gt;=P$2, $E175&lt;P$2), IF($I175= "I", $J175/($F175-$E175+1), $J175/(($F175*($F175+1)/2)-(($E175-1)*($E175-1+1)/2))*O$2), 0)+IF(IF(time+1&gt;=P$2, $K175/time_cap/(time+1)*O$2, 0) = 0, $K175/(time_cap),0)),0)</f>
        <v/>
      </c>
      <c r="P175" s="4395">
        <f>IFERROR(IF((time+time_cap)&lt;P$2, 0,IF(AND(time+1&gt;=Q$2, $E175&lt;Q$2), IF($I175= "I", $J175/($F175-$E175+1), $J175/(($F175*($F175+1)/2)-(($E175-1)*($E175-1+1)/2))*P$2), 0)+IF(IF(time+1&gt;=Q$2, $K175/time_cap/(time+1)*P$2, 0) = 0, $K175/(time_cap),0)),0)</f>
        <v/>
      </c>
      <c r="Q175" s="4395">
        <f>IFERROR(IF((time+time_cap)&lt;Q$2, 0,IF(AND(time+1&gt;=R$2, $E175&lt;R$2), IF($I175= "I", $J175/($F175-$E175+1), $J175/(($F175*($F175+1)/2)-(($E175-1)*($E175-1+1)/2))*Q$2), 0)+IF(IF(time+1&gt;=R$2, $K175/time_cap/(time+1)*Q$2, 0) = 0, $K175/(time_cap),0)),0)</f>
        <v/>
      </c>
      <c r="R175" s="4395">
        <f>IFERROR(IF((time+time_cap)&lt;R$2, 0,IF(AND(time+1&gt;=S$2, $E175&lt;S$2), IF($I175= "I", $J175/($F175-$E175+1), $J175/(($F175*($F175+1)/2)-(($E175-1)*($E175-1+1)/2))*R$2), 0)+IF(IF(time+1&gt;=S$2, $K175/time_cap/(time+1)*R$2, 0) = 0, $K175/(time_cap),0)),0)</f>
        <v/>
      </c>
      <c r="S175" s="4395">
        <f>IFERROR(IF((time+time_cap)&lt;S$2, 0,IF(AND(time+1&gt;=T$2, $E175&lt;T$2), IF($I175= "I", $J175/($F175-$E175+1), $J175/(($F175*($F175+1)/2)-(($E175-1)*($E175-1+1)/2))*S$2), 0)+IF(IF(time+1&gt;=T$2, $K175/time_cap/(time+1)*S$2, 0) = 0, $K175/(time_cap),0)),0)</f>
        <v/>
      </c>
      <c r="T175" s="4395">
        <f>IFERROR(IF((time+time_cap)&lt;T$2, 0,IF(AND(time+1&gt;=U$2, $E175&lt;U$2), IF($I175= "I", $J175/($F175-$E175+1), $J175/(($F175*($F175+1)/2)-(($E175-1)*($E175-1+1)/2))*T$2), 0)+IF(IF(time+1&gt;=U$2, $K175/time_cap/(time+1)*T$2, 0) = 0, $K175/(time_cap),0)),0)</f>
        <v/>
      </c>
      <c r="U175" s="4395">
        <f>IFERROR(IF((time+time_cap)&lt;U$2, 0,IF(AND(time+1&gt;=V$2, $E175&lt;V$2), IF($I175= "I", $J175/($F175-$E175+1), $J175/(($F175*($F175+1)/2)-(($E175-1)*($E175-1+1)/2))*U$2), 0)+IF(IF(time+1&gt;=V$2, $K175/time_cap/(time+1)*U$2, 0) = 0, $K175/(time_cap),0)),0)</f>
        <v/>
      </c>
      <c r="V175" s="4395">
        <f>IFERROR(IF((time+time_cap)&lt;V$2, 0,IF(AND(time+1&gt;=W$2, $E175&lt;W$2), IF($I175= "I", $J175/($F175-$E175+1), $J175/(($F175*($F175+1)/2)-(($E175-1)*($E175-1+1)/2))*V$2), 0)+IF(IF(time+1&gt;=W$2, $K175/time_cap/(time+1)*V$2, 0) = 0, $K175/(time_cap),0)),0)</f>
        <v/>
      </c>
      <c r="W175" s="4395">
        <f>IFERROR(IF((time+time_cap)&lt;W$2, 0,IF(AND(time+1&gt;=X$2, $E175&lt;X$2), IF($I175= "I", $J175/($F175-$E175+1), $J175/(($F175*($F175+1)/2)-(($E175-1)*($E175-1+1)/2))*W$2), 0)+IF(IF(time+1&gt;=X$2, $K175/time_cap/(time+1)*W$2, 0) = 0, $K175/(time_cap),0)),0)</f>
        <v/>
      </c>
      <c r="X175" s="4395">
        <f>IFERROR(IF((time+time_cap)&lt;X$2, 0,IF(AND(time+1&gt;=Y$2, $E175&lt;Y$2), IF($I175= "I", $J175/($F175-$E175+1), $J175/(($F175*($F175+1)/2)-(($E175-1)*($E175-1+1)/2))*X$2), 0)+IF(IF(time+1&gt;=Y$2, $K175/time_cap/(time+1)*X$2, 0) = 0, $K175/(time_cap),0)),0)</f>
        <v/>
      </c>
      <c r="Y175" s="4395">
        <f>IFERROR(IF((time+time_cap)&lt;Y$2, 0,IF(AND(time+1&gt;=Z$2, $E175&lt;Z$2), IF($I175= "I", $J175/($F175-$E175+1), $J175/(($F175*($F175+1)/2)-(($E175-1)*($E175-1+1)/2))*Y$2), 0)+IF(IF(time+1&gt;=Z$2, $K175/time_cap/(time+1)*Y$2, 0) = 0, $K175/(time_cap),0)),0)</f>
        <v/>
      </c>
      <c r="Z175" s="4395">
        <f>IFERROR(IF((time+time_cap)&lt;Z$2, 0,IF(AND(time+1&gt;=AA$2, $E175&lt;AA$2), IF($I175= "I", $J175/($F175-$E175+1), $J175/(($F175*($F175+1)/2)-(($E175-1)*($E175-1+1)/2))*Z$2), 0)+IF(IF(time+1&gt;=AA$2, $K175/time_cap/(time+1)*Z$2, 0) = 0, $K175/(time_cap),0)),0)</f>
        <v/>
      </c>
      <c r="AA175" s="4395">
        <f>IFERROR(IF((time+time_cap)&lt;AA$2, 0,IF(AND(time+1&gt;=AB$2, $E175&lt;AB$2), IF($I175= "I", $J175/($F175-$E175+1), $J175/(($F175*($F175+1)/2)-(($E175-1)*($E175-1+1)/2))*AA$2), 0)+IF(IF(time+1&gt;=AB$2, $K175/time_cap/(time+1)*AA$2, 0) = 0, $K175/(time_cap),0)),0)</f>
        <v/>
      </c>
      <c r="AB175" s="4395">
        <f>IFERROR(IF((time+time_cap)&lt;AB$2, 0,IF(AND(time+1&gt;=AC$2, $E175&lt;AC$2), IF($I175= "I", $J175/($F175-$E175+1), $J175/(($F175*($F175+1)/2)-(($E175-1)*($E175-1+1)/2))*AB$2), 0)+IF(IF(time+1&gt;=AC$2, $K175/time_cap/(time+1)*AB$2, 0) = 0, $K175/(time_cap),0)),0)</f>
        <v/>
      </c>
      <c r="AC175" s="4395">
        <f>IFERROR(IF((time+time_cap)&lt;AC$2, 0,IF(AND(time+1&gt;=AD$2, $E175&lt;AD$2), IF($I175= "I", $J175/($F175-$E175+1), $J175/(($F175*($F175+1)/2)-(($E175-1)*($E175-1+1)/2))*AC$2), 0)+IF(IF(time+1&gt;=AD$2, $K175/time_cap/(time+1)*AC$2, 0) = 0, $K175/(time_cap),0)),0)</f>
        <v/>
      </c>
      <c r="AD175" s="4395">
        <f>IFERROR(IF((time+time_cap)&lt;AD$2, 0,IF(AND(time+1&gt;=AE$2, $E175&lt;AE$2), IF($I175= "I", $J175/($F175-$E175+1), $J175/(($F175*($F175+1)/2)-(($E175-1)*($E175-1+1)/2))*AD$2), 0)+IF(IF(time+1&gt;=AE$2, $K175/time_cap/(time+1)*AD$2, 0) = 0, $K175/(time_cap),0)),0)</f>
        <v/>
      </c>
      <c r="AE175" s="4395">
        <f>IFERROR(IF((time+time_cap)&lt;AE$2, 0,IF(AND(time+1&gt;=AF$2, $E175&lt;AF$2), IF($I175= "I", $J175/($F175-$E175+1), $J175/(($F175*($F175+1)/2)-(($E175-1)*($E175-1+1)/2))*AE$2), 0)+IF(IF(time+1&gt;=AF$2, $K175/time_cap/(time+1)*AE$2, 0) = 0, $K175/(time_cap),0)),0)</f>
        <v/>
      </c>
      <c r="AF175" s="4395">
        <f>IFERROR(IF((time+time_cap)&lt;AF$2, 0,IF(AND(time+1&gt;=AG$2, $E175&lt;AG$2), IF($I175= "I", $J175/($F175-$E175+1), $J175/(($F175*($F175+1)/2)-(($E175-1)*($E175-1+1)/2))*AF$2), 0)+IF(IF(time+1&gt;=AG$2, $K175/time_cap/(time+1)*AF$2, 0) = 0, $K175/(time_cap),0)),0)</f>
        <v/>
      </c>
      <c r="AG175" s="4395">
        <f>IFERROR(IF((time+time_cap)&lt;AG$2, 0,IF(AND(time+1&gt;=AH$2, $E175&lt;AH$2), IF($I175= "I", $J175/($F175-$E175+1), $J175/(($F175*($F175+1)/2)-(($E175-1)*($E175-1+1)/2))*AG$2), 0)+IF(IF(time+1&gt;=AH$2, $K175/time_cap/(time+1)*AG$2, 0) = 0, $K175/(time_cap),0)),0)</f>
        <v/>
      </c>
      <c r="AH175" s="4395">
        <f>IFERROR(IF((time+time_cap)&lt;AH$2, 0,IF(AND(time+1&gt;=AI$2, $E175&lt;AI$2), IF($I175= "I", $J175/($F175-$E175+1), $J175/(($F175*($F175+1)/2)-(($E175-1)*($E175-1+1)/2))*AH$2), 0)+IF(IF(time+1&gt;=AI$2, $K175/time_cap/(time+1)*AH$2, 0) = 0, $K175/(time_cap),0)),0)</f>
        <v/>
      </c>
      <c r="AI175" s="4395">
        <f>IFERROR(IF((time+time_cap)&lt;AI$2, 0,IF(AND(time+1&gt;=AJ$2, $E175&lt;AJ$2), IF($I175= "I", $J175/($F175-$E175+1), $J175/(($F175*($F175+1)/2)-(($E175-1)*($E175-1+1)/2))*AI$2), 0)+IF(IF(time+1&gt;=AJ$2, $K175/time_cap/(time+1)*AI$2, 0) = 0, $K175/(time_cap),0)),0)</f>
        <v/>
      </c>
      <c r="AJ175" s="4395">
        <f>IFERROR(IF((time+time_cap)&lt;AJ$2, 0,IF(AND(time+1&gt;=AK$2, $E175&lt;AK$2), IF($I175= "I", $J175/($F175-$E175+1), $J175/(($F175*($F175+1)/2)-(($E175-1)*($E175-1+1)/2))*AJ$2), 0)+IF(IF(time+1&gt;=AK$2, $K175/time_cap/(time+1)*AJ$2, 0) = 0, $K175/(time_cap),0)),0)</f>
        <v/>
      </c>
      <c r="AK175" s="4395">
        <f>IFERROR(IF((time+time_cap)&lt;AK$2, 0,IF(AND(time+1&gt;=AL$2, $E175&lt;AL$2), IF($I175= "I", $J175/($F175-$E175+1), $J175/(($F175*($F175+1)/2)-(($E175-1)*($E175-1+1)/2))*AK$2), 0)+IF(IF(time+1&gt;=AL$2, $K175/time_cap/(time+1)*AK$2, 0) = 0, $K175/(time_cap),0)),0)</f>
        <v/>
      </c>
      <c r="AL175" s="4395">
        <f>IFERROR(IF((time+time_cap)&lt;AL$2, 0,IF(AND(time+1&gt;=AM$2, $E175&lt;AM$2), IF($I175= "I", $J175/($F175-$E175+1), $J175/(($F175*($F175+1)/2)-(($E175-1)*($E175-1+1)/2))*AL$2), 0)+IF(IF(time+1&gt;=AM$2, $K175/time_cap/(time+1)*AL$2, 0) = 0, $K175/(time_cap),0)),0)</f>
        <v/>
      </c>
      <c r="AM175" s="4395">
        <f>IFERROR(IF((time+time_cap)&lt;AM$2, 0,IF(AND(time+1&gt;=AN$2, $E175&lt;AN$2), IF($I175= "I", $J175/($F175-$E175+1), $J175/(($F175*($F175+1)/2)-(($E175-1)*($E175-1+1)/2))*AM$2), 0)+IF(IF(time+1&gt;=AN$2, $K175/time_cap/(time+1)*AM$2, 0) = 0, $K175/(time_cap),0)),0)</f>
        <v/>
      </c>
      <c r="AN175" s="4395">
        <f>IFERROR(IF((time+time_cap)&lt;AN$2, 0,IF(AND(time+1&gt;=AO$2, $E175&lt;AO$2), IF($I175= "I", $J175/($F175-$E175+1), $J175/(($F175*($F175+1)/2)-(($E175-1)*($E175-1+1)/2))*AN$2), 0)+IF(IF(time+1&gt;=AO$2, $K175/time_cap/(time+1)*AN$2, 0) = 0, $K175/(time_cap),0)),0)</f>
        <v/>
      </c>
      <c r="AO175" s="4395">
        <f>IFERROR(IF((time+time_cap)&lt;AO$2, 0,IF(AND(time+1&gt;=AP$2, $E175&lt;AP$2), IF($I175= "I", $J175/($F175-$E175+1), $J175/(($F175*($F175+1)/2)-(($E175-1)*($E175-1+1)/2))*AO$2), 0)+IF(IF(time+1&gt;=AP$2, $K175/time_cap/(time+1)*AO$2, 0) = 0, $K175/(time_cap),0)),0)</f>
        <v/>
      </c>
      <c r="AP175" s="4395">
        <f>IFERROR(IF((time+time_cap)&lt;AP$2, 0,IF(AND(time+1&gt;=AQ$2, $E175&lt;AQ$2), IF($I175= "I", $J175/($F175-$E175+1), $J175/(($F175*($F175+1)/2)-(($E175-1)*($E175-1+1)/2))*AP$2), 0)+IF(IF(time+1&gt;=AQ$2, $K175/time_cap/(time+1)*AP$2, 0) = 0, $K175/(time_cap),0)),0)</f>
        <v/>
      </c>
      <c r="AQ175" s="4395">
        <f>IFERROR(IF((time+time_cap)&lt;AQ$2, 0,IF(AND(time+1&gt;=AR$2, $E175&lt;AR$2), IF($I175= "I", $J175/($F175-$E175+1), $J175/(($F175*($F175+1)/2)-(($E175-1)*($E175-1+1)/2))*AQ$2), 0)+IF(IF(time+1&gt;=AR$2, $K175/time_cap/(time+1)*AQ$2, 0) = 0, $K175/(time_cap),0)),0)</f>
        <v/>
      </c>
      <c r="AR175" s="4395">
        <f>IFERROR(IF((time+time_cap)&lt;AR$2, 0,IF(AND(time+1&gt;=AS$2, $E175&lt;AS$2), IF($I175= "I", $J175/($F175-$E175+1), $J175/(($F175*($F175+1)/2)-(($E175-1)*($E175-1+1)/2))*AR$2), 0)+IF(IF(time+1&gt;=AS$2, $K175/time_cap/(time+1)*AR$2, 0) = 0, $K175/(time_cap),0)),0)</f>
        <v/>
      </c>
      <c r="AS175" s="4395">
        <f>IFERROR(IF((time+time_cap)&lt;AS$2, 0,IF(AND(time+1&gt;=AT$2, $E175&lt;AT$2), IF($I175= "I", $J175/($F175-$E175+1), $J175/(($F175*($F175+1)/2)-(($E175-1)*($E175-1+1)/2))*AS$2), 0)+IF(IF(time+1&gt;=AT$2, $K175/time_cap/(time+1)*AS$2, 0) = 0, $K175/(time_cap),0)),0)</f>
        <v/>
      </c>
      <c r="AT175" s="4395">
        <f>IFERROR(IF((time+time_cap)&lt;AT$2, 0,IF(AND(time+1&gt;=AU$2, $E175&lt;AU$2), IF($I175= "I", $J175/($F175-$E175+1), $J175/(($F175*($F175+1)/2)-(($E175-1)*($E175-1+1)/2))*AT$2), 0)+IF(IF(time+1&gt;=AU$2, $K175/time_cap/(time+1)*AT$2, 0) = 0, $K175/(time_cap),0)),0)</f>
        <v/>
      </c>
      <c r="AU175" s="4395">
        <f>IFERROR(IF((time+time_cap)&lt;AU$2, 0,IF(AND(time+1&gt;=AV$2, $E175&lt;AV$2), IF($I175= "I", $J175/($F175-$E175+1), $J175/(($F175*($F175+1)/2)-(($E175-1)*($E175-1+1)/2))*AU$2), 0)+IF(IF(time+1&gt;=AV$2, $K175/time_cap/(time+1)*AU$2, 0) = 0, $K175/(time_cap),0)),0)</f>
        <v/>
      </c>
      <c r="AV175" s="4395">
        <f>IFERROR(IF((time+time_cap)&lt;AV$2, 0,IF(AND(time+1&gt;=AW$2, $E175&lt;AW$2), IF($I175= "I", $J175/($F175-$E175+1), $J175/(($F175*($F175+1)/2)-(($E175-1)*($E175-1+1)/2))*AV$2), 0)+IF(IF(time+1&gt;=AW$2, $K175/time_cap/(time+1)*AV$2, 0) = 0, $K175/(time_cap),0)),0)</f>
        <v/>
      </c>
      <c r="AW175" s="4395">
        <f>IFERROR(IF((time+time_cap)&lt;AW$2, 0,IF(AND(time+1&gt;=AX$2, $E175&lt;AX$2), IF($I175= "I", $J175/($F175-$E175+1), $J175/(($F175*($F175+1)/2)-(($E175-1)*($E175-1+1)/2))*AW$2), 0)+IF(IF(time+1&gt;=AX$2, $K175/time_cap/(time+1)*AW$2, 0) = 0, $K175/(time_cap),0)),0)</f>
        <v/>
      </c>
      <c r="AX175" s="4395">
        <f>IFERROR(IF((time+time_cap)&lt;AX$2, 0,IF(AND(time+1&gt;=AY$2, $E175&lt;AY$2), IF($I175= "I", $J175/($F175-$E175+1), $J175/(($F175*($F175+1)/2)-(($E175-1)*($E175-1+1)/2))*AX$2), 0)+IF(IF(time+1&gt;=AY$2, $K175/time_cap/(time+1)*AX$2, 0) = 0, $K175/(time_cap),0)),0)</f>
        <v/>
      </c>
      <c r="AY175" s="4395">
        <f>IFERROR(IF((time+time_cap)&lt;AY$2, 0,IF(AND(time+1&gt;=AZ$2, $E175&lt;AZ$2), IF($I175= "I", $J175/($F175-$E175+1), $J175/(($F175*($F175+1)/2)-(($E175-1)*($E175-1+1)/2))*AY$2), 0)+IF(IF(time+1&gt;=AZ$2, $K175/time_cap/(time+1)*AY$2, 0) = 0, $K175/(time_cap),0)),0)</f>
        <v/>
      </c>
      <c r="AZ175" s="4395">
        <f>IFERROR(IF((time+time_cap)&lt;AZ$2, 0,IF(AND(time+1&gt;=BA$2, $E175&lt;BA$2), IF($I175= "I", $J175/($F175-$E175+1), $J175/(($F175*($F175+1)/2)-(($E175-1)*($E175-1+1)/2))*AZ$2), 0)+IF(IF(time+1&gt;=BA$2, $K175/time_cap/(time+1)*AZ$2, 0) = 0, $K175/(time_cap),0)),0)</f>
        <v/>
      </c>
      <c r="BA175" s="4395">
        <f>IFERROR(IF((time+time_cap)&lt;BA$2, 0,IF(AND(time+1&gt;=BB$2, $E175&lt;BB$2), IF($I175= "I", $J175/($F175-$E175+1), $J175/(($F175*($F175+1)/2)-(($E175-1)*($E175-1+1)/2))*BA$2), 0)+IF(IF(time+1&gt;=BB$2, $K175/time_cap/(time+1)*BA$2, 0) = 0, $K175/(time_cap),0)),0)</f>
        <v/>
      </c>
      <c r="BB175" s="4395">
        <f>IFERROR(IF((time+time_cap)&lt;BB$2, 0,IF(AND(time+1&gt;=BC$2, $E175&lt;BC$2), IF($I175= "I", $J175/($F175-$E175+1), $J175/(($F175*($F175+1)/2)-(($E175-1)*($E175-1+1)/2))*BB$2), 0)+IF(IF(time+1&gt;=BC$2, $K175/time_cap/(time+1)*BB$2, 0) = 0, $K175/(time_cap),0)),0)</f>
        <v/>
      </c>
      <c r="BC175" s="4395">
        <f>IFERROR(IF((time+time_cap)&lt;BC$2, 0,IF(AND(time+1&gt;=BD$2, $E175&lt;BD$2), IF($I175= "I", $J175/($F175-$E175+1), $J175/(($F175*($F175+1)/2)-(($E175-1)*($E175-1+1)/2))*BC$2), 0)+IF(IF(time+1&gt;=BD$2, $K175/time_cap/(time+1)*BC$2, 0) = 0, $K175/(time_cap),0)),0)</f>
        <v/>
      </c>
      <c r="BD175" s="4395">
        <f>IFERROR(IF((time+time_cap)&lt;BD$2, 0,IF(AND(time+1&gt;=BE$2, $E175&lt;BE$2), IF($I175= "I", $J175/($F175-$E175+1), $J175/(($F175*($F175+1)/2)-(($E175-1)*($E175-1+1)/2))*BD$2), 0)+IF(IF(time+1&gt;=BE$2, $K175/time_cap/(time+1)*BD$2, 0) = 0, $K175/(time_cap),0)),0)</f>
        <v/>
      </c>
      <c r="BE175" s="4395">
        <f>IFERROR(IF((time+time_cap)&lt;BE$2, 0,IF(AND(time+1&gt;=BF$2, $E175&lt;BF$2), IF($I175= "I", $J175/($F175-$E175+1), $J175/(($F175*($F175+1)/2)-(($E175-1)*($E175-1+1)/2))*BE$2), 0)+IF(IF(time+1&gt;=BF$2, $K175/time_cap/(time+1)*BE$2, 0) = 0, $K175/(time_cap),0)),0)</f>
        <v/>
      </c>
      <c r="BF175" s="4395">
        <f>IFERROR(IF((time+time_cap)&lt;BF$2, 0,IF(AND(time+1&gt;=BG$2, $E175&lt;BG$2), IF($I175= "I", $J175/($F175-$E175+1), $J175/(($F175*($F175+1)/2)-(($E175-1)*($E175-1+1)/2))*BF$2), 0)+IF(IF(time+1&gt;=BG$2, $K175/time_cap/(time+1)*BF$2, 0) = 0, $K175/(time_cap),0)),0)</f>
        <v/>
      </c>
      <c r="BG175" s="4395">
        <f>IFERROR(IF((time+time_cap)&lt;BG$2, 0,IF(AND(time+1&gt;=BH$2, $E175&lt;BH$2), IF($I175= "I", $J175/($F175-$E175+1), $J175/(($F175*($F175+1)/2)-(($E175-1)*($E175-1+1)/2))*BG$2), 0)+IF(IF(time+1&gt;=BH$2, $K175/time_cap/(time+1)*BG$2, 0) = 0, $K175/(time_cap),0)),0)</f>
        <v/>
      </c>
      <c r="BH175" s="4395">
        <f>IFERROR(IF((time+time_cap)&lt;BH$2, 0,IF(AND(time+1&gt;=BI$2, $E175&lt;BI$2), IF($I175= "I", $J175/($F175-$E175+1), $J175/(($F175*($F175+1)/2)-(($E175-1)*($E175-1+1)/2))*BH$2), 0)+IF(IF(time+1&gt;=BI$2, $K175/time_cap/(time+1)*BH$2, 0) = 0, $K175/(time_cap),0)),0)</f>
        <v/>
      </c>
      <c r="BI175" s="4395">
        <f>IFERROR(IF((time+time_cap)&lt;BI$2, 0,IF(AND(time+1&gt;=BJ$2, $E175&lt;BJ$2), IF($I175= "I", $J175/($F175-$E175+1), $J175/(($F175*($F175+1)/2)-(($E175-1)*($E175-1+1)/2))*BI$2), 0)+IF(IF(time+1&gt;=BJ$2, $K175/time_cap/(time+1)*BI$2, 0) = 0, $K175/(time_cap),0)),0)</f>
        <v/>
      </c>
      <c r="BJ175" s="4395">
        <f>IFERROR(IF((time+time_cap)&lt;BJ$2, 0,IF(AND(time+1&gt;=BK$2, $E175&lt;BK$2), IF($I175= "I", $J175/($F175-$E175+1), $J175/(($F175*($F175+1)/2)-(($E175-1)*($E175-1+1)/2))*BJ$2), 0)+IF(IF(time+1&gt;=BK$2, $K175/time_cap/(time+1)*BJ$2, 0) = 0, $K175/(time_cap),0)),0)</f>
        <v/>
      </c>
      <c r="BK175" s="4395" t="n"/>
      <c r="BL175" s="4395" t="n"/>
      <c r="BM175" s="4395" t="n"/>
      <c r="BN175" s="4395" t="n"/>
      <c r="BO175" s="4395" t="n"/>
      <c r="BP175" s="4395" t="n"/>
      <c r="BQ175" s="4395" t="n"/>
      <c r="BR175" s="4395" t="n"/>
      <c r="BS175" s="4395" t="n"/>
      <c r="BT175" s="4395" t="n"/>
      <c r="BU175" s="4395" t="n"/>
      <c r="BV175" s="4395" t="n"/>
      <c r="BW175" s="4395" t="n"/>
      <c r="BX175" s="4395" t="n"/>
      <c r="BY175" s="4395" t="n"/>
      <c r="BZ175" s="4395" t="n"/>
      <c r="CA175" s="4395" t="n"/>
      <c r="CB175" s="4395" t="n"/>
      <c r="CC175" s="4395" t="n"/>
      <c r="CD175" s="4395" t="n"/>
      <c r="CE175" s="4395" t="n"/>
      <c r="CF175" s="4395" t="n"/>
      <c r="CG175" s="4395" t="n"/>
      <c r="CH175" s="4395" t="n"/>
      <c r="CI175" s="4395" t="n"/>
      <c r="CJ175" s="4395" t="n"/>
      <c r="CK175" s="4395" t="n"/>
      <c r="CL175" s="4395" t="n"/>
      <c r="CM175" s="4395" t="n"/>
      <c r="CN175" s="4395" t="n"/>
      <c r="CO175" s="4395" t="n"/>
      <c r="CP175" s="4395" t="n"/>
      <c r="CQ175" s="4395" t="n"/>
      <c r="CR175" s="4395" t="n"/>
      <c r="CS175" s="4395" t="n"/>
      <c r="CT175" s="4395" t="n"/>
      <c r="CU175" s="4395" t="n"/>
      <c r="CV175" s="4395" t="n"/>
      <c r="CW175" s="4395" t="n"/>
      <c r="CX175" s="4395" t="n"/>
      <c r="CY175" s="4395" t="n"/>
      <c r="CZ175" s="4395" t="n"/>
      <c r="DA175" s="4395" t="n"/>
      <c r="DB175" s="4395" t="n"/>
      <c r="DC175" s="4395" t="n"/>
      <c r="DD175" s="4395" t="n"/>
      <c r="DE175" s="4395" t="n"/>
      <c r="DF175" s="4395" t="n"/>
      <c r="DG175" s="4395" t="n"/>
      <c r="DH175" s="4395" t="n"/>
    </row>
    <row r="176" ht="16" customHeight="1">
      <c r="A176" t="inlineStr">
        <is>
          <t>Coastal wetland - rewetting</t>
        </is>
      </c>
      <c r="C176">
        <f>'7.Coastal wetlands'!C50</f>
        <v/>
      </c>
      <c r="D176">
        <f>'7.Coastal wetlands'!AI50</f>
        <v/>
      </c>
      <c r="E176">
        <f>IF('7.Coastal wetlands'!CN50&lt;&gt;0,'7.Coastal wetlands'!CN50,'7.Coastal wetlands'!CM50)</f>
        <v/>
      </c>
      <c r="F176">
        <f>time</f>
        <v/>
      </c>
      <c r="G176" s="4395">
        <f>'7.Coastal wetlands'!I50</f>
        <v/>
      </c>
      <c r="H176" s="4395">
        <f>'7.Coastal wetlands'!K50</f>
        <v/>
      </c>
      <c r="I176" s="4395">
        <f>IF(OR(H176="I", G176="I"), "I", IF(OR(H176="E", G176="E"), "E", "D"))</f>
        <v/>
      </c>
      <c r="J176" s="4395">
        <f>((D176/(time_cap+((F176-E176+1)*VLOOKUP(I176,list!$I$48:$K$50,3, FALSE))))*(F176-E176+1)*VLOOKUP(I176,list!$I$48:$K$50,3, FALSE))</f>
        <v/>
      </c>
      <c r="K176" s="4395">
        <f>((D176/(time_cap+((F176-E176+1)*VLOOKUP(I176,list!$I$48:$K$50,3, FALSE))))*time_cap)</f>
        <v/>
      </c>
      <c r="M176" s="4395">
        <f>IFERROR(IF((time+time_cap)&lt;M$2, 0,IF(AND(time+1&gt;=N$2, $E176&lt;N$2), IF($I176= "I", $J176/($F176-$E176+1), $J176/(($F176*($F176+1)/2)-(($E176-1)*($E176-1+1)/2))*M$2), 0)+IF(IF(time+1&gt;=N$2, $K176/time_cap/(time+1)*M$2, 0) = 0, $K176/(time_cap),0)),0)</f>
        <v/>
      </c>
      <c r="N176" s="4395">
        <f>IFERROR(IF((time+time_cap)&lt;N$2, 0,IF(AND(time+1&gt;=O$2, $E176&lt;O$2), IF($I176= "I", $J176/($F176-$E176+1), $J176/(($F176*($F176+1)/2)-(($E176-1)*($E176-1+1)/2))*N$2), 0)+IF(IF(time+1&gt;=O$2, $K176/time_cap/(time+1)*N$2, 0) = 0, $K176/(time_cap),0)),0)</f>
        <v/>
      </c>
      <c r="O176" s="4395">
        <f>IFERROR(IF((time+time_cap)&lt;O$2, 0,IF(AND(time+1&gt;=P$2, $E176&lt;P$2), IF($I176= "I", $J176/($F176-$E176+1), $J176/(($F176*($F176+1)/2)-(($E176-1)*($E176-1+1)/2))*O$2), 0)+IF(IF(time+1&gt;=P$2, $K176/time_cap/(time+1)*O$2, 0) = 0, $K176/(time_cap),0)),0)</f>
        <v/>
      </c>
      <c r="P176" s="4395">
        <f>IFERROR(IF((time+time_cap)&lt;P$2, 0,IF(AND(time+1&gt;=Q$2, $E176&lt;Q$2), IF($I176= "I", $J176/($F176-$E176+1), $J176/(($F176*($F176+1)/2)-(($E176-1)*($E176-1+1)/2))*P$2), 0)+IF(IF(time+1&gt;=Q$2, $K176/time_cap/(time+1)*P$2, 0) = 0, $K176/(time_cap),0)),0)</f>
        <v/>
      </c>
      <c r="Q176" s="4395">
        <f>IFERROR(IF((time+time_cap)&lt;Q$2, 0,IF(AND(time+1&gt;=R$2, $E176&lt;R$2), IF($I176= "I", $J176/($F176-$E176+1), $J176/(($F176*($F176+1)/2)-(($E176-1)*($E176-1+1)/2))*Q$2), 0)+IF(IF(time+1&gt;=R$2, $K176/time_cap/(time+1)*Q$2, 0) = 0, $K176/(time_cap),0)),0)</f>
        <v/>
      </c>
      <c r="R176" s="4395">
        <f>IFERROR(IF((time+time_cap)&lt;R$2, 0,IF(AND(time+1&gt;=S$2, $E176&lt;S$2), IF($I176= "I", $J176/($F176-$E176+1), $J176/(($F176*($F176+1)/2)-(($E176-1)*($E176-1+1)/2))*R$2), 0)+IF(IF(time+1&gt;=S$2, $K176/time_cap/(time+1)*R$2, 0) = 0, $K176/(time_cap),0)),0)</f>
        <v/>
      </c>
      <c r="S176" s="4395">
        <f>IFERROR(IF((time+time_cap)&lt;S$2, 0,IF(AND(time+1&gt;=T$2, $E176&lt;T$2), IF($I176= "I", $J176/($F176-$E176+1), $J176/(($F176*($F176+1)/2)-(($E176-1)*($E176-1+1)/2))*S$2), 0)+IF(IF(time+1&gt;=T$2, $K176/time_cap/(time+1)*S$2, 0) = 0, $K176/(time_cap),0)),0)</f>
        <v/>
      </c>
      <c r="T176" s="4395">
        <f>IFERROR(IF((time+time_cap)&lt;T$2, 0,IF(AND(time+1&gt;=U$2, $E176&lt;U$2), IF($I176= "I", $J176/($F176-$E176+1), $J176/(($F176*($F176+1)/2)-(($E176-1)*($E176-1+1)/2))*T$2), 0)+IF(IF(time+1&gt;=U$2, $K176/time_cap/(time+1)*T$2, 0) = 0, $K176/(time_cap),0)),0)</f>
        <v/>
      </c>
      <c r="U176" s="4395">
        <f>IFERROR(IF((time+time_cap)&lt;U$2, 0,IF(AND(time+1&gt;=V$2, $E176&lt;V$2), IF($I176= "I", $J176/($F176-$E176+1), $J176/(($F176*($F176+1)/2)-(($E176-1)*($E176-1+1)/2))*U$2), 0)+IF(IF(time+1&gt;=V$2, $K176/time_cap/(time+1)*U$2, 0) = 0, $K176/(time_cap),0)),0)</f>
        <v/>
      </c>
      <c r="V176" s="4395">
        <f>IFERROR(IF((time+time_cap)&lt;V$2, 0,IF(AND(time+1&gt;=W$2, $E176&lt;W$2), IF($I176= "I", $J176/($F176-$E176+1), $J176/(($F176*($F176+1)/2)-(($E176-1)*($E176-1+1)/2))*V$2), 0)+IF(IF(time+1&gt;=W$2, $K176/time_cap/(time+1)*V$2, 0) = 0, $K176/(time_cap),0)),0)</f>
        <v/>
      </c>
      <c r="W176" s="4395">
        <f>IFERROR(IF((time+time_cap)&lt;W$2, 0,IF(AND(time+1&gt;=X$2, $E176&lt;X$2), IF($I176= "I", $J176/($F176-$E176+1), $J176/(($F176*($F176+1)/2)-(($E176-1)*($E176-1+1)/2))*W$2), 0)+IF(IF(time+1&gt;=X$2, $K176/time_cap/(time+1)*W$2, 0) = 0, $K176/(time_cap),0)),0)</f>
        <v/>
      </c>
      <c r="X176" s="4395">
        <f>IFERROR(IF((time+time_cap)&lt;X$2, 0,IF(AND(time+1&gt;=Y$2, $E176&lt;Y$2), IF($I176= "I", $J176/($F176-$E176+1), $J176/(($F176*($F176+1)/2)-(($E176-1)*($E176-1+1)/2))*X$2), 0)+IF(IF(time+1&gt;=Y$2, $K176/time_cap/(time+1)*X$2, 0) = 0, $K176/(time_cap),0)),0)</f>
        <v/>
      </c>
      <c r="Y176" s="4395">
        <f>IFERROR(IF((time+time_cap)&lt;Y$2, 0,IF(AND(time+1&gt;=Z$2, $E176&lt;Z$2), IF($I176= "I", $J176/($F176-$E176+1), $J176/(($F176*($F176+1)/2)-(($E176-1)*($E176-1+1)/2))*Y$2), 0)+IF(IF(time+1&gt;=Z$2, $K176/time_cap/(time+1)*Y$2, 0) = 0, $K176/(time_cap),0)),0)</f>
        <v/>
      </c>
      <c r="Z176" s="4395">
        <f>IFERROR(IF((time+time_cap)&lt;Z$2, 0,IF(AND(time+1&gt;=AA$2, $E176&lt;AA$2), IF($I176= "I", $J176/($F176-$E176+1), $J176/(($F176*($F176+1)/2)-(($E176-1)*($E176-1+1)/2))*Z$2), 0)+IF(IF(time+1&gt;=AA$2, $K176/time_cap/(time+1)*Z$2, 0) = 0, $K176/(time_cap),0)),0)</f>
        <v/>
      </c>
      <c r="AA176" s="4395">
        <f>IFERROR(IF((time+time_cap)&lt;AA$2, 0,IF(AND(time+1&gt;=AB$2, $E176&lt;AB$2), IF($I176= "I", $J176/($F176-$E176+1), $J176/(($F176*($F176+1)/2)-(($E176-1)*($E176-1+1)/2))*AA$2), 0)+IF(IF(time+1&gt;=AB$2, $K176/time_cap/(time+1)*AA$2, 0) = 0, $K176/(time_cap),0)),0)</f>
        <v/>
      </c>
      <c r="AB176" s="4395">
        <f>IFERROR(IF((time+time_cap)&lt;AB$2, 0,IF(AND(time+1&gt;=AC$2, $E176&lt;AC$2), IF($I176= "I", $J176/($F176-$E176+1), $J176/(($F176*($F176+1)/2)-(($E176-1)*($E176-1+1)/2))*AB$2), 0)+IF(IF(time+1&gt;=AC$2, $K176/time_cap/(time+1)*AB$2, 0) = 0, $K176/(time_cap),0)),0)</f>
        <v/>
      </c>
      <c r="AC176" s="4395">
        <f>IFERROR(IF((time+time_cap)&lt;AC$2, 0,IF(AND(time+1&gt;=AD$2, $E176&lt;AD$2), IF($I176= "I", $J176/($F176-$E176+1), $J176/(($F176*($F176+1)/2)-(($E176-1)*($E176-1+1)/2))*AC$2), 0)+IF(IF(time+1&gt;=AD$2, $K176/time_cap/(time+1)*AC$2, 0) = 0, $K176/(time_cap),0)),0)</f>
        <v/>
      </c>
      <c r="AD176" s="4395">
        <f>IFERROR(IF((time+time_cap)&lt;AD$2, 0,IF(AND(time+1&gt;=AE$2, $E176&lt;AE$2), IF($I176= "I", $J176/($F176-$E176+1), $J176/(($F176*($F176+1)/2)-(($E176-1)*($E176-1+1)/2))*AD$2), 0)+IF(IF(time+1&gt;=AE$2, $K176/time_cap/(time+1)*AD$2, 0) = 0, $K176/(time_cap),0)),0)</f>
        <v/>
      </c>
      <c r="AE176" s="4395">
        <f>IFERROR(IF((time+time_cap)&lt;AE$2, 0,IF(AND(time+1&gt;=AF$2, $E176&lt;AF$2), IF($I176= "I", $J176/($F176-$E176+1), $J176/(($F176*($F176+1)/2)-(($E176-1)*($E176-1+1)/2))*AE$2), 0)+IF(IF(time+1&gt;=AF$2, $K176/time_cap/(time+1)*AE$2, 0) = 0, $K176/(time_cap),0)),0)</f>
        <v/>
      </c>
      <c r="AF176" s="4395">
        <f>IFERROR(IF((time+time_cap)&lt;AF$2, 0,IF(AND(time+1&gt;=AG$2, $E176&lt;AG$2), IF($I176= "I", $J176/($F176-$E176+1), $J176/(($F176*($F176+1)/2)-(($E176-1)*($E176-1+1)/2))*AF$2), 0)+IF(IF(time+1&gt;=AG$2, $K176/time_cap/(time+1)*AF$2, 0) = 0, $K176/(time_cap),0)),0)</f>
        <v/>
      </c>
      <c r="AG176" s="4395">
        <f>IFERROR(IF((time+time_cap)&lt;AG$2, 0,IF(AND(time+1&gt;=AH$2, $E176&lt;AH$2), IF($I176= "I", $J176/($F176-$E176+1), $J176/(($F176*($F176+1)/2)-(($E176-1)*($E176-1+1)/2))*AG$2), 0)+IF(IF(time+1&gt;=AH$2, $K176/time_cap/(time+1)*AG$2, 0) = 0, $K176/(time_cap),0)),0)</f>
        <v/>
      </c>
      <c r="AH176" s="4395">
        <f>IFERROR(IF((time+time_cap)&lt;AH$2, 0,IF(AND(time+1&gt;=AI$2, $E176&lt;AI$2), IF($I176= "I", $J176/($F176-$E176+1), $J176/(($F176*($F176+1)/2)-(($E176-1)*($E176-1+1)/2))*AH$2), 0)+IF(IF(time+1&gt;=AI$2, $K176/time_cap/(time+1)*AH$2, 0) = 0, $K176/(time_cap),0)),0)</f>
        <v/>
      </c>
      <c r="AI176" s="4395">
        <f>IFERROR(IF((time+time_cap)&lt;AI$2, 0,IF(AND(time+1&gt;=AJ$2, $E176&lt;AJ$2), IF($I176= "I", $J176/($F176-$E176+1), $J176/(($F176*($F176+1)/2)-(($E176-1)*($E176-1+1)/2))*AI$2), 0)+IF(IF(time+1&gt;=AJ$2, $K176/time_cap/(time+1)*AI$2, 0) = 0, $K176/(time_cap),0)),0)</f>
        <v/>
      </c>
      <c r="AJ176" s="4395">
        <f>IFERROR(IF((time+time_cap)&lt;AJ$2, 0,IF(AND(time+1&gt;=AK$2, $E176&lt;AK$2), IF($I176= "I", $J176/($F176-$E176+1), $J176/(($F176*($F176+1)/2)-(($E176-1)*($E176-1+1)/2))*AJ$2), 0)+IF(IF(time+1&gt;=AK$2, $K176/time_cap/(time+1)*AJ$2, 0) = 0, $K176/(time_cap),0)),0)</f>
        <v/>
      </c>
      <c r="AK176" s="4395">
        <f>IFERROR(IF((time+time_cap)&lt;AK$2, 0,IF(AND(time+1&gt;=AL$2, $E176&lt;AL$2), IF($I176= "I", $J176/($F176-$E176+1), $J176/(($F176*($F176+1)/2)-(($E176-1)*($E176-1+1)/2))*AK$2), 0)+IF(IF(time+1&gt;=AL$2, $K176/time_cap/(time+1)*AK$2, 0) = 0, $K176/(time_cap),0)),0)</f>
        <v/>
      </c>
      <c r="AL176" s="4395">
        <f>IFERROR(IF((time+time_cap)&lt;AL$2, 0,IF(AND(time+1&gt;=AM$2, $E176&lt;AM$2), IF($I176= "I", $J176/($F176-$E176+1), $J176/(($F176*($F176+1)/2)-(($E176-1)*($E176-1+1)/2))*AL$2), 0)+IF(IF(time+1&gt;=AM$2, $K176/time_cap/(time+1)*AL$2, 0) = 0, $K176/(time_cap),0)),0)</f>
        <v/>
      </c>
      <c r="AM176" s="4395">
        <f>IFERROR(IF((time+time_cap)&lt;AM$2, 0,IF(AND(time+1&gt;=AN$2, $E176&lt;AN$2), IF($I176= "I", $J176/($F176-$E176+1), $J176/(($F176*($F176+1)/2)-(($E176-1)*($E176-1+1)/2))*AM$2), 0)+IF(IF(time+1&gt;=AN$2, $K176/time_cap/(time+1)*AM$2, 0) = 0, $K176/(time_cap),0)),0)</f>
        <v/>
      </c>
      <c r="AN176" s="4395">
        <f>IFERROR(IF((time+time_cap)&lt;AN$2, 0,IF(AND(time+1&gt;=AO$2, $E176&lt;AO$2), IF($I176= "I", $J176/($F176-$E176+1), $J176/(($F176*($F176+1)/2)-(($E176-1)*($E176-1+1)/2))*AN$2), 0)+IF(IF(time+1&gt;=AO$2, $K176/time_cap/(time+1)*AN$2, 0) = 0, $K176/(time_cap),0)),0)</f>
        <v/>
      </c>
      <c r="AO176" s="4395">
        <f>IFERROR(IF((time+time_cap)&lt;AO$2, 0,IF(AND(time+1&gt;=AP$2, $E176&lt;AP$2), IF($I176= "I", $J176/($F176-$E176+1), $J176/(($F176*($F176+1)/2)-(($E176-1)*($E176-1+1)/2))*AO$2), 0)+IF(IF(time+1&gt;=AP$2, $K176/time_cap/(time+1)*AO$2, 0) = 0, $K176/(time_cap),0)),0)</f>
        <v/>
      </c>
      <c r="AP176" s="4395">
        <f>IFERROR(IF((time+time_cap)&lt;AP$2, 0,IF(AND(time+1&gt;=AQ$2, $E176&lt;AQ$2), IF($I176= "I", $J176/($F176-$E176+1), $J176/(($F176*($F176+1)/2)-(($E176-1)*($E176-1+1)/2))*AP$2), 0)+IF(IF(time+1&gt;=AQ$2, $K176/time_cap/(time+1)*AP$2, 0) = 0, $K176/(time_cap),0)),0)</f>
        <v/>
      </c>
      <c r="AQ176" s="4395">
        <f>IFERROR(IF((time+time_cap)&lt;AQ$2, 0,IF(AND(time+1&gt;=AR$2, $E176&lt;AR$2), IF($I176= "I", $J176/($F176-$E176+1), $J176/(($F176*($F176+1)/2)-(($E176-1)*($E176-1+1)/2))*AQ$2), 0)+IF(IF(time+1&gt;=AR$2, $K176/time_cap/(time+1)*AQ$2, 0) = 0, $K176/(time_cap),0)),0)</f>
        <v/>
      </c>
      <c r="AR176" s="4395">
        <f>IFERROR(IF((time+time_cap)&lt;AR$2, 0,IF(AND(time+1&gt;=AS$2, $E176&lt;AS$2), IF($I176= "I", $J176/($F176-$E176+1), $J176/(($F176*($F176+1)/2)-(($E176-1)*($E176-1+1)/2))*AR$2), 0)+IF(IF(time+1&gt;=AS$2, $K176/time_cap/(time+1)*AR$2, 0) = 0, $K176/(time_cap),0)),0)</f>
        <v/>
      </c>
      <c r="AS176" s="4395">
        <f>IFERROR(IF((time+time_cap)&lt;AS$2, 0,IF(AND(time+1&gt;=AT$2, $E176&lt;AT$2), IF($I176= "I", $J176/($F176-$E176+1), $J176/(($F176*($F176+1)/2)-(($E176-1)*($E176-1+1)/2))*AS$2), 0)+IF(IF(time+1&gt;=AT$2, $K176/time_cap/(time+1)*AS$2, 0) = 0, $K176/(time_cap),0)),0)</f>
        <v/>
      </c>
      <c r="AT176" s="4395">
        <f>IFERROR(IF((time+time_cap)&lt;AT$2, 0,IF(AND(time+1&gt;=AU$2, $E176&lt;AU$2), IF($I176= "I", $J176/($F176-$E176+1), $J176/(($F176*($F176+1)/2)-(($E176-1)*($E176-1+1)/2))*AT$2), 0)+IF(IF(time+1&gt;=AU$2, $K176/time_cap/(time+1)*AT$2, 0) = 0, $K176/(time_cap),0)),0)</f>
        <v/>
      </c>
      <c r="AU176" s="4395">
        <f>IFERROR(IF((time+time_cap)&lt;AU$2, 0,IF(AND(time+1&gt;=AV$2, $E176&lt;AV$2), IF($I176= "I", $J176/($F176-$E176+1), $J176/(($F176*($F176+1)/2)-(($E176-1)*($E176-1+1)/2))*AU$2), 0)+IF(IF(time+1&gt;=AV$2, $K176/time_cap/(time+1)*AU$2, 0) = 0, $K176/(time_cap),0)),0)</f>
        <v/>
      </c>
      <c r="AV176" s="4395">
        <f>IFERROR(IF((time+time_cap)&lt;AV$2, 0,IF(AND(time+1&gt;=AW$2, $E176&lt;AW$2), IF($I176= "I", $J176/($F176-$E176+1), $J176/(($F176*($F176+1)/2)-(($E176-1)*($E176-1+1)/2))*AV$2), 0)+IF(IF(time+1&gt;=AW$2, $K176/time_cap/(time+1)*AV$2, 0) = 0, $K176/(time_cap),0)),0)</f>
        <v/>
      </c>
      <c r="AW176" s="4395">
        <f>IFERROR(IF((time+time_cap)&lt;AW$2, 0,IF(AND(time+1&gt;=AX$2, $E176&lt;AX$2), IF($I176= "I", $J176/($F176-$E176+1), $J176/(($F176*($F176+1)/2)-(($E176-1)*($E176-1+1)/2))*AW$2), 0)+IF(IF(time+1&gt;=AX$2, $K176/time_cap/(time+1)*AW$2, 0) = 0, $K176/(time_cap),0)),0)</f>
        <v/>
      </c>
      <c r="AX176" s="4395">
        <f>IFERROR(IF((time+time_cap)&lt;AX$2, 0,IF(AND(time+1&gt;=AY$2, $E176&lt;AY$2), IF($I176= "I", $J176/($F176-$E176+1), $J176/(($F176*($F176+1)/2)-(($E176-1)*($E176-1+1)/2))*AX$2), 0)+IF(IF(time+1&gt;=AY$2, $K176/time_cap/(time+1)*AX$2, 0) = 0, $K176/(time_cap),0)),0)</f>
        <v/>
      </c>
      <c r="AY176" s="4395">
        <f>IFERROR(IF((time+time_cap)&lt;AY$2, 0,IF(AND(time+1&gt;=AZ$2, $E176&lt;AZ$2), IF($I176= "I", $J176/($F176-$E176+1), $J176/(($F176*($F176+1)/2)-(($E176-1)*($E176-1+1)/2))*AY$2), 0)+IF(IF(time+1&gt;=AZ$2, $K176/time_cap/(time+1)*AY$2, 0) = 0, $K176/(time_cap),0)),0)</f>
        <v/>
      </c>
      <c r="AZ176" s="4395">
        <f>IFERROR(IF((time+time_cap)&lt;AZ$2, 0,IF(AND(time+1&gt;=BA$2, $E176&lt;BA$2), IF($I176= "I", $J176/($F176-$E176+1), $J176/(($F176*($F176+1)/2)-(($E176-1)*($E176-1+1)/2))*AZ$2), 0)+IF(IF(time+1&gt;=BA$2, $K176/time_cap/(time+1)*AZ$2, 0) = 0, $K176/(time_cap),0)),0)</f>
        <v/>
      </c>
      <c r="BA176" s="4395">
        <f>IFERROR(IF((time+time_cap)&lt;BA$2, 0,IF(AND(time+1&gt;=BB$2, $E176&lt;BB$2), IF($I176= "I", $J176/($F176-$E176+1), $J176/(($F176*($F176+1)/2)-(($E176-1)*($E176-1+1)/2))*BA$2), 0)+IF(IF(time+1&gt;=BB$2, $K176/time_cap/(time+1)*BA$2, 0) = 0, $K176/(time_cap),0)),0)</f>
        <v/>
      </c>
      <c r="BB176" s="4395">
        <f>IFERROR(IF((time+time_cap)&lt;BB$2, 0,IF(AND(time+1&gt;=BC$2, $E176&lt;BC$2), IF($I176= "I", $J176/($F176-$E176+1), $J176/(($F176*($F176+1)/2)-(($E176-1)*($E176-1+1)/2))*BB$2), 0)+IF(IF(time+1&gt;=BC$2, $K176/time_cap/(time+1)*BB$2, 0) = 0, $K176/(time_cap),0)),0)</f>
        <v/>
      </c>
      <c r="BC176" s="4395">
        <f>IFERROR(IF((time+time_cap)&lt;BC$2, 0,IF(AND(time+1&gt;=BD$2, $E176&lt;BD$2), IF($I176= "I", $J176/($F176-$E176+1), $J176/(($F176*($F176+1)/2)-(($E176-1)*($E176-1+1)/2))*BC$2), 0)+IF(IF(time+1&gt;=BD$2, $K176/time_cap/(time+1)*BC$2, 0) = 0, $K176/(time_cap),0)),0)</f>
        <v/>
      </c>
      <c r="BD176" s="4395">
        <f>IFERROR(IF((time+time_cap)&lt;BD$2, 0,IF(AND(time+1&gt;=BE$2, $E176&lt;BE$2), IF($I176= "I", $J176/($F176-$E176+1), $J176/(($F176*($F176+1)/2)-(($E176-1)*($E176-1+1)/2))*BD$2), 0)+IF(IF(time+1&gt;=BE$2, $K176/time_cap/(time+1)*BD$2, 0) = 0, $K176/(time_cap),0)),0)</f>
        <v/>
      </c>
      <c r="BE176" s="4395">
        <f>IFERROR(IF((time+time_cap)&lt;BE$2, 0,IF(AND(time+1&gt;=BF$2, $E176&lt;BF$2), IF($I176= "I", $J176/($F176-$E176+1), $J176/(($F176*($F176+1)/2)-(($E176-1)*($E176-1+1)/2))*BE$2), 0)+IF(IF(time+1&gt;=BF$2, $K176/time_cap/(time+1)*BE$2, 0) = 0, $K176/(time_cap),0)),0)</f>
        <v/>
      </c>
      <c r="BF176" s="4395">
        <f>IFERROR(IF((time+time_cap)&lt;BF$2, 0,IF(AND(time+1&gt;=BG$2, $E176&lt;BG$2), IF($I176= "I", $J176/($F176-$E176+1), $J176/(($F176*($F176+1)/2)-(($E176-1)*($E176-1+1)/2))*BF$2), 0)+IF(IF(time+1&gt;=BG$2, $K176/time_cap/(time+1)*BF$2, 0) = 0, $K176/(time_cap),0)),0)</f>
        <v/>
      </c>
      <c r="BG176" s="4395">
        <f>IFERROR(IF((time+time_cap)&lt;BG$2, 0,IF(AND(time+1&gt;=BH$2, $E176&lt;BH$2), IF($I176= "I", $J176/($F176-$E176+1), $J176/(($F176*($F176+1)/2)-(($E176-1)*($E176-1+1)/2))*BG$2), 0)+IF(IF(time+1&gt;=BH$2, $K176/time_cap/(time+1)*BG$2, 0) = 0, $K176/(time_cap),0)),0)</f>
        <v/>
      </c>
      <c r="BH176" s="4395">
        <f>IFERROR(IF((time+time_cap)&lt;BH$2, 0,IF(AND(time+1&gt;=BI$2, $E176&lt;BI$2), IF($I176= "I", $J176/($F176-$E176+1), $J176/(($F176*($F176+1)/2)-(($E176-1)*($E176-1+1)/2))*BH$2), 0)+IF(IF(time+1&gt;=BI$2, $K176/time_cap/(time+1)*BH$2, 0) = 0, $K176/(time_cap),0)),0)</f>
        <v/>
      </c>
      <c r="BI176" s="4395">
        <f>IFERROR(IF((time+time_cap)&lt;BI$2, 0,IF(AND(time+1&gt;=BJ$2, $E176&lt;BJ$2), IF($I176= "I", $J176/($F176-$E176+1), $J176/(($F176*($F176+1)/2)-(($E176-1)*($E176-1+1)/2))*BI$2), 0)+IF(IF(time+1&gt;=BJ$2, $K176/time_cap/(time+1)*BI$2, 0) = 0, $K176/(time_cap),0)),0)</f>
        <v/>
      </c>
      <c r="BJ176" s="4395">
        <f>IFERROR(IF((time+time_cap)&lt;BJ$2, 0,IF(AND(time+1&gt;=BK$2, $E176&lt;BK$2), IF($I176= "I", $J176/($F176-$E176+1), $J176/(($F176*($F176+1)/2)-(($E176-1)*($E176-1+1)/2))*BJ$2), 0)+IF(IF(time+1&gt;=BK$2, $K176/time_cap/(time+1)*BJ$2, 0) = 0, $K176/(time_cap),0)),0)</f>
        <v/>
      </c>
      <c r="BK176" s="4395" t="n"/>
      <c r="BL176" s="4395" t="n"/>
      <c r="BM176" s="4395" t="n"/>
      <c r="BN176" s="4395" t="n"/>
      <c r="BO176" s="4395" t="n"/>
      <c r="BP176" s="4395" t="n"/>
      <c r="BQ176" s="4395" t="n"/>
      <c r="BR176" s="4395" t="n"/>
      <c r="BS176" s="4395" t="n"/>
      <c r="BT176" s="4395" t="n"/>
      <c r="BU176" s="4395" t="n"/>
      <c r="BV176" s="4395" t="n"/>
      <c r="BW176" s="4395" t="n"/>
      <c r="BX176" s="4395" t="n"/>
      <c r="BY176" s="4395" t="n"/>
      <c r="BZ176" s="4395" t="n"/>
      <c r="CA176" s="4395" t="n"/>
      <c r="CB176" s="4395" t="n"/>
      <c r="CC176" s="4395" t="n"/>
      <c r="CD176" s="4395" t="n"/>
      <c r="CE176" s="4395" t="n"/>
      <c r="CF176" s="4395" t="n"/>
      <c r="CG176" s="4395" t="n"/>
      <c r="CH176" s="4395" t="n"/>
      <c r="CI176" s="4395" t="n"/>
      <c r="CJ176" s="4395" t="n"/>
      <c r="CK176" s="4395" t="n"/>
      <c r="CL176" s="4395" t="n"/>
      <c r="CM176" s="4395" t="n"/>
      <c r="CN176" s="4395" t="n"/>
      <c r="CO176" s="4395" t="n"/>
      <c r="CP176" s="4395" t="n"/>
      <c r="CQ176" s="4395" t="n"/>
      <c r="CR176" s="4395" t="n"/>
      <c r="CS176" s="4395" t="n"/>
      <c r="CT176" s="4395" t="n"/>
      <c r="CU176" s="4395" t="n"/>
      <c r="CV176" s="4395" t="n"/>
      <c r="CW176" s="4395" t="n"/>
      <c r="CX176" s="4395" t="n"/>
      <c r="CY176" s="4395" t="n"/>
      <c r="CZ176" s="4395" t="n"/>
      <c r="DA176" s="4395" t="n"/>
      <c r="DB176" s="4395" t="n"/>
      <c r="DC176" s="4395" t="n"/>
      <c r="DD176" s="4395" t="n"/>
      <c r="DE176" s="4395" t="n"/>
      <c r="DF176" s="4395" t="n"/>
      <c r="DG176" s="4395" t="n"/>
      <c r="DH176" s="4395" t="n"/>
    </row>
    <row r="177" ht="16" customHeight="1">
      <c r="A177" t="inlineStr">
        <is>
          <t>Coastal wetland - rewetting</t>
        </is>
      </c>
      <c r="C177">
        <f>'7.Coastal wetlands'!C51</f>
        <v/>
      </c>
      <c r="D177">
        <f>'7.Coastal wetlands'!AI51</f>
        <v/>
      </c>
      <c r="E177">
        <f>IF('7.Coastal wetlands'!CN51&lt;&gt;0,'7.Coastal wetlands'!CN51,'7.Coastal wetlands'!CM51)</f>
        <v/>
      </c>
      <c r="F177">
        <f>time</f>
        <v/>
      </c>
      <c r="G177" s="4395">
        <f>'7.Coastal wetlands'!I51</f>
        <v/>
      </c>
      <c r="H177" s="4395">
        <f>'7.Coastal wetlands'!K51</f>
        <v/>
      </c>
      <c r="I177" s="4395">
        <f>IF(OR(H177="I", G177="I"), "I", IF(OR(H177="E", G177="E"), "E", "D"))</f>
        <v/>
      </c>
      <c r="J177" s="4395">
        <f>((D177/(time_cap+((F177-E177+1)*VLOOKUP(I177,list!$I$48:$K$50,3, FALSE))))*(F177-E177+1)*VLOOKUP(I177,list!$I$48:$K$50,3, FALSE))</f>
        <v/>
      </c>
      <c r="K177" s="4395">
        <f>((D177/(time_cap+((F177-E177+1)*VLOOKUP(I177,list!$I$48:$K$50,3, FALSE))))*time_cap)</f>
        <v/>
      </c>
      <c r="M177" s="4395">
        <f>IFERROR(IF((time+time_cap)&lt;M$2, 0,IF(AND(time+1&gt;=N$2, $E177&lt;N$2), IF($I177= "I", $J177/($F177-$E177+1), $J177/(($F177*($F177+1)/2)-(($E177-1)*($E177-1+1)/2))*M$2), 0)+IF(IF(time+1&gt;=N$2, $K177/time_cap/(time+1)*M$2, 0) = 0, $K177/(time_cap),0)),0)</f>
        <v/>
      </c>
      <c r="N177" s="4395">
        <f>IFERROR(IF((time+time_cap)&lt;N$2, 0,IF(AND(time+1&gt;=O$2, $E177&lt;O$2), IF($I177= "I", $J177/($F177-$E177+1), $J177/(($F177*($F177+1)/2)-(($E177-1)*($E177-1+1)/2))*N$2), 0)+IF(IF(time+1&gt;=O$2, $K177/time_cap/(time+1)*N$2, 0) = 0, $K177/(time_cap),0)),0)</f>
        <v/>
      </c>
      <c r="O177" s="4395">
        <f>IFERROR(IF((time+time_cap)&lt;O$2, 0,IF(AND(time+1&gt;=P$2, $E177&lt;P$2), IF($I177= "I", $J177/($F177-$E177+1), $J177/(($F177*($F177+1)/2)-(($E177-1)*($E177-1+1)/2))*O$2), 0)+IF(IF(time+1&gt;=P$2, $K177/time_cap/(time+1)*O$2, 0) = 0, $K177/(time_cap),0)),0)</f>
        <v/>
      </c>
      <c r="P177" s="4395">
        <f>IFERROR(IF((time+time_cap)&lt;P$2, 0,IF(AND(time+1&gt;=Q$2, $E177&lt;Q$2), IF($I177= "I", $J177/($F177-$E177+1), $J177/(($F177*($F177+1)/2)-(($E177-1)*($E177-1+1)/2))*P$2), 0)+IF(IF(time+1&gt;=Q$2, $K177/time_cap/(time+1)*P$2, 0) = 0, $K177/(time_cap),0)),0)</f>
        <v/>
      </c>
      <c r="Q177" s="4395">
        <f>IFERROR(IF((time+time_cap)&lt;Q$2, 0,IF(AND(time+1&gt;=R$2, $E177&lt;R$2), IF($I177= "I", $J177/($F177-$E177+1), $J177/(($F177*($F177+1)/2)-(($E177-1)*($E177-1+1)/2))*Q$2), 0)+IF(IF(time+1&gt;=R$2, $K177/time_cap/(time+1)*Q$2, 0) = 0, $K177/(time_cap),0)),0)</f>
        <v/>
      </c>
      <c r="R177" s="4395">
        <f>IFERROR(IF((time+time_cap)&lt;R$2, 0,IF(AND(time+1&gt;=S$2, $E177&lt;S$2), IF($I177= "I", $J177/($F177-$E177+1), $J177/(($F177*($F177+1)/2)-(($E177-1)*($E177-1+1)/2))*R$2), 0)+IF(IF(time+1&gt;=S$2, $K177/time_cap/(time+1)*R$2, 0) = 0, $K177/(time_cap),0)),0)</f>
        <v/>
      </c>
      <c r="S177" s="4395">
        <f>IFERROR(IF((time+time_cap)&lt;S$2, 0,IF(AND(time+1&gt;=T$2, $E177&lt;T$2), IF($I177= "I", $J177/($F177-$E177+1), $J177/(($F177*($F177+1)/2)-(($E177-1)*($E177-1+1)/2))*S$2), 0)+IF(IF(time+1&gt;=T$2, $K177/time_cap/(time+1)*S$2, 0) = 0, $K177/(time_cap),0)),0)</f>
        <v/>
      </c>
      <c r="T177" s="4395">
        <f>IFERROR(IF((time+time_cap)&lt;T$2, 0,IF(AND(time+1&gt;=U$2, $E177&lt;U$2), IF($I177= "I", $J177/($F177-$E177+1), $J177/(($F177*($F177+1)/2)-(($E177-1)*($E177-1+1)/2))*T$2), 0)+IF(IF(time+1&gt;=U$2, $K177/time_cap/(time+1)*T$2, 0) = 0, $K177/(time_cap),0)),0)</f>
        <v/>
      </c>
      <c r="U177" s="4395">
        <f>IFERROR(IF((time+time_cap)&lt;U$2, 0,IF(AND(time+1&gt;=V$2, $E177&lt;V$2), IF($I177= "I", $J177/($F177-$E177+1), $J177/(($F177*($F177+1)/2)-(($E177-1)*($E177-1+1)/2))*U$2), 0)+IF(IF(time+1&gt;=V$2, $K177/time_cap/(time+1)*U$2, 0) = 0, $K177/(time_cap),0)),0)</f>
        <v/>
      </c>
      <c r="V177" s="4395">
        <f>IFERROR(IF((time+time_cap)&lt;V$2, 0,IF(AND(time+1&gt;=W$2, $E177&lt;W$2), IF($I177= "I", $J177/($F177-$E177+1), $J177/(($F177*($F177+1)/2)-(($E177-1)*($E177-1+1)/2))*V$2), 0)+IF(IF(time+1&gt;=W$2, $K177/time_cap/(time+1)*V$2, 0) = 0, $K177/(time_cap),0)),0)</f>
        <v/>
      </c>
      <c r="W177" s="4395">
        <f>IFERROR(IF((time+time_cap)&lt;W$2, 0,IF(AND(time+1&gt;=X$2, $E177&lt;X$2), IF($I177= "I", $J177/($F177-$E177+1), $J177/(($F177*($F177+1)/2)-(($E177-1)*($E177-1+1)/2))*W$2), 0)+IF(IF(time+1&gt;=X$2, $K177/time_cap/(time+1)*W$2, 0) = 0, $K177/(time_cap),0)),0)</f>
        <v/>
      </c>
      <c r="X177" s="4395">
        <f>IFERROR(IF((time+time_cap)&lt;X$2, 0,IF(AND(time+1&gt;=Y$2, $E177&lt;Y$2), IF($I177= "I", $J177/($F177-$E177+1), $J177/(($F177*($F177+1)/2)-(($E177-1)*($E177-1+1)/2))*X$2), 0)+IF(IF(time+1&gt;=Y$2, $K177/time_cap/(time+1)*X$2, 0) = 0, $K177/(time_cap),0)),0)</f>
        <v/>
      </c>
      <c r="Y177" s="4395">
        <f>IFERROR(IF((time+time_cap)&lt;Y$2, 0,IF(AND(time+1&gt;=Z$2, $E177&lt;Z$2), IF($I177= "I", $J177/($F177-$E177+1), $J177/(($F177*($F177+1)/2)-(($E177-1)*($E177-1+1)/2))*Y$2), 0)+IF(IF(time+1&gt;=Z$2, $K177/time_cap/(time+1)*Y$2, 0) = 0, $K177/(time_cap),0)),0)</f>
        <v/>
      </c>
      <c r="Z177" s="4395">
        <f>IFERROR(IF((time+time_cap)&lt;Z$2, 0,IF(AND(time+1&gt;=AA$2, $E177&lt;AA$2), IF($I177= "I", $J177/($F177-$E177+1), $J177/(($F177*($F177+1)/2)-(($E177-1)*($E177-1+1)/2))*Z$2), 0)+IF(IF(time+1&gt;=AA$2, $K177/time_cap/(time+1)*Z$2, 0) = 0, $K177/(time_cap),0)),0)</f>
        <v/>
      </c>
      <c r="AA177" s="4395">
        <f>IFERROR(IF((time+time_cap)&lt;AA$2, 0,IF(AND(time+1&gt;=AB$2, $E177&lt;AB$2), IF($I177= "I", $J177/($F177-$E177+1), $J177/(($F177*($F177+1)/2)-(($E177-1)*($E177-1+1)/2))*AA$2), 0)+IF(IF(time+1&gt;=AB$2, $K177/time_cap/(time+1)*AA$2, 0) = 0, $K177/(time_cap),0)),0)</f>
        <v/>
      </c>
      <c r="AB177" s="4395">
        <f>IFERROR(IF((time+time_cap)&lt;AB$2, 0,IF(AND(time+1&gt;=AC$2, $E177&lt;AC$2), IF($I177= "I", $J177/($F177-$E177+1), $J177/(($F177*($F177+1)/2)-(($E177-1)*($E177-1+1)/2))*AB$2), 0)+IF(IF(time+1&gt;=AC$2, $K177/time_cap/(time+1)*AB$2, 0) = 0, $K177/(time_cap),0)),0)</f>
        <v/>
      </c>
      <c r="AC177" s="4395">
        <f>IFERROR(IF((time+time_cap)&lt;AC$2, 0,IF(AND(time+1&gt;=AD$2, $E177&lt;AD$2), IF($I177= "I", $J177/($F177-$E177+1), $J177/(($F177*($F177+1)/2)-(($E177-1)*($E177-1+1)/2))*AC$2), 0)+IF(IF(time+1&gt;=AD$2, $K177/time_cap/(time+1)*AC$2, 0) = 0, $K177/(time_cap),0)),0)</f>
        <v/>
      </c>
      <c r="AD177" s="4395">
        <f>IFERROR(IF((time+time_cap)&lt;AD$2, 0,IF(AND(time+1&gt;=AE$2, $E177&lt;AE$2), IF($I177= "I", $J177/($F177-$E177+1), $J177/(($F177*($F177+1)/2)-(($E177-1)*($E177-1+1)/2))*AD$2), 0)+IF(IF(time+1&gt;=AE$2, $K177/time_cap/(time+1)*AD$2, 0) = 0, $K177/(time_cap),0)),0)</f>
        <v/>
      </c>
      <c r="AE177" s="4395">
        <f>IFERROR(IF((time+time_cap)&lt;AE$2, 0,IF(AND(time+1&gt;=AF$2, $E177&lt;AF$2), IF($I177= "I", $J177/($F177-$E177+1), $J177/(($F177*($F177+1)/2)-(($E177-1)*($E177-1+1)/2))*AE$2), 0)+IF(IF(time+1&gt;=AF$2, $K177/time_cap/(time+1)*AE$2, 0) = 0, $K177/(time_cap),0)),0)</f>
        <v/>
      </c>
      <c r="AF177" s="4395">
        <f>IFERROR(IF((time+time_cap)&lt;AF$2, 0,IF(AND(time+1&gt;=AG$2, $E177&lt;AG$2), IF($I177= "I", $J177/($F177-$E177+1), $J177/(($F177*($F177+1)/2)-(($E177-1)*($E177-1+1)/2))*AF$2), 0)+IF(IF(time+1&gt;=AG$2, $K177/time_cap/(time+1)*AF$2, 0) = 0, $K177/(time_cap),0)),0)</f>
        <v/>
      </c>
      <c r="AG177" s="4395">
        <f>IFERROR(IF((time+time_cap)&lt;AG$2, 0,IF(AND(time+1&gt;=AH$2, $E177&lt;AH$2), IF($I177= "I", $J177/($F177-$E177+1), $J177/(($F177*($F177+1)/2)-(($E177-1)*($E177-1+1)/2))*AG$2), 0)+IF(IF(time+1&gt;=AH$2, $K177/time_cap/(time+1)*AG$2, 0) = 0, $K177/(time_cap),0)),0)</f>
        <v/>
      </c>
      <c r="AH177" s="4395">
        <f>IFERROR(IF((time+time_cap)&lt;AH$2, 0,IF(AND(time+1&gt;=AI$2, $E177&lt;AI$2), IF($I177= "I", $J177/($F177-$E177+1), $J177/(($F177*($F177+1)/2)-(($E177-1)*($E177-1+1)/2))*AH$2), 0)+IF(IF(time+1&gt;=AI$2, $K177/time_cap/(time+1)*AH$2, 0) = 0, $K177/(time_cap),0)),0)</f>
        <v/>
      </c>
      <c r="AI177" s="4395">
        <f>IFERROR(IF((time+time_cap)&lt;AI$2, 0,IF(AND(time+1&gt;=AJ$2, $E177&lt;AJ$2), IF($I177= "I", $J177/($F177-$E177+1), $J177/(($F177*($F177+1)/2)-(($E177-1)*($E177-1+1)/2))*AI$2), 0)+IF(IF(time+1&gt;=AJ$2, $K177/time_cap/(time+1)*AI$2, 0) = 0, $K177/(time_cap),0)),0)</f>
        <v/>
      </c>
      <c r="AJ177" s="4395">
        <f>IFERROR(IF((time+time_cap)&lt;AJ$2, 0,IF(AND(time+1&gt;=AK$2, $E177&lt;AK$2), IF($I177= "I", $J177/($F177-$E177+1), $J177/(($F177*($F177+1)/2)-(($E177-1)*($E177-1+1)/2))*AJ$2), 0)+IF(IF(time+1&gt;=AK$2, $K177/time_cap/(time+1)*AJ$2, 0) = 0, $K177/(time_cap),0)),0)</f>
        <v/>
      </c>
      <c r="AK177" s="4395">
        <f>IFERROR(IF((time+time_cap)&lt;AK$2, 0,IF(AND(time+1&gt;=AL$2, $E177&lt;AL$2), IF($I177= "I", $J177/($F177-$E177+1), $J177/(($F177*($F177+1)/2)-(($E177-1)*($E177-1+1)/2))*AK$2), 0)+IF(IF(time+1&gt;=AL$2, $K177/time_cap/(time+1)*AK$2, 0) = 0, $K177/(time_cap),0)),0)</f>
        <v/>
      </c>
      <c r="AL177" s="4395">
        <f>IFERROR(IF((time+time_cap)&lt;AL$2, 0,IF(AND(time+1&gt;=AM$2, $E177&lt;AM$2), IF($I177= "I", $J177/($F177-$E177+1), $J177/(($F177*($F177+1)/2)-(($E177-1)*($E177-1+1)/2))*AL$2), 0)+IF(IF(time+1&gt;=AM$2, $K177/time_cap/(time+1)*AL$2, 0) = 0, $K177/(time_cap),0)),0)</f>
        <v/>
      </c>
      <c r="AM177" s="4395">
        <f>IFERROR(IF((time+time_cap)&lt;AM$2, 0,IF(AND(time+1&gt;=AN$2, $E177&lt;AN$2), IF($I177= "I", $J177/($F177-$E177+1), $J177/(($F177*($F177+1)/2)-(($E177-1)*($E177-1+1)/2))*AM$2), 0)+IF(IF(time+1&gt;=AN$2, $K177/time_cap/(time+1)*AM$2, 0) = 0, $K177/(time_cap),0)),0)</f>
        <v/>
      </c>
      <c r="AN177" s="4395">
        <f>IFERROR(IF((time+time_cap)&lt;AN$2, 0,IF(AND(time+1&gt;=AO$2, $E177&lt;AO$2), IF($I177= "I", $J177/($F177-$E177+1), $J177/(($F177*($F177+1)/2)-(($E177-1)*($E177-1+1)/2))*AN$2), 0)+IF(IF(time+1&gt;=AO$2, $K177/time_cap/(time+1)*AN$2, 0) = 0, $K177/(time_cap),0)),0)</f>
        <v/>
      </c>
      <c r="AO177" s="4395">
        <f>IFERROR(IF((time+time_cap)&lt;AO$2, 0,IF(AND(time+1&gt;=AP$2, $E177&lt;AP$2), IF($I177= "I", $J177/($F177-$E177+1), $J177/(($F177*($F177+1)/2)-(($E177-1)*($E177-1+1)/2))*AO$2), 0)+IF(IF(time+1&gt;=AP$2, $K177/time_cap/(time+1)*AO$2, 0) = 0, $K177/(time_cap),0)),0)</f>
        <v/>
      </c>
      <c r="AP177" s="4395">
        <f>IFERROR(IF((time+time_cap)&lt;AP$2, 0,IF(AND(time+1&gt;=AQ$2, $E177&lt;AQ$2), IF($I177= "I", $J177/($F177-$E177+1), $J177/(($F177*($F177+1)/2)-(($E177-1)*($E177-1+1)/2))*AP$2), 0)+IF(IF(time+1&gt;=AQ$2, $K177/time_cap/(time+1)*AP$2, 0) = 0, $K177/(time_cap),0)),0)</f>
        <v/>
      </c>
      <c r="AQ177" s="4395">
        <f>IFERROR(IF((time+time_cap)&lt;AQ$2, 0,IF(AND(time+1&gt;=AR$2, $E177&lt;AR$2), IF($I177= "I", $J177/($F177-$E177+1), $J177/(($F177*($F177+1)/2)-(($E177-1)*($E177-1+1)/2))*AQ$2), 0)+IF(IF(time+1&gt;=AR$2, $K177/time_cap/(time+1)*AQ$2, 0) = 0, $K177/(time_cap),0)),0)</f>
        <v/>
      </c>
      <c r="AR177" s="4395">
        <f>IFERROR(IF((time+time_cap)&lt;AR$2, 0,IF(AND(time+1&gt;=AS$2, $E177&lt;AS$2), IF($I177= "I", $J177/($F177-$E177+1), $J177/(($F177*($F177+1)/2)-(($E177-1)*($E177-1+1)/2))*AR$2), 0)+IF(IF(time+1&gt;=AS$2, $K177/time_cap/(time+1)*AR$2, 0) = 0, $K177/(time_cap),0)),0)</f>
        <v/>
      </c>
      <c r="AS177" s="4395">
        <f>IFERROR(IF((time+time_cap)&lt;AS$2, 0,IF(AND(time+1&gt;=AT$2, $E177&lt;AT$2), IF($I177= "I", $J177/($F177-$E177+1), $J177/(($F177*($F177+1)/2)-(($E177-1)*($E177-1+1)/2))*AS$2), 0)+IF(IF(time+1&gt;=AT$2, $K177/time_cap/(time+1)*AS$2, 0) = 0, $K177/(time_cap),0)),0)</f>
        <v/>
      </c>
      <c r="AT177" s="4395">
        <f>IFERROR(IF((time+time_cap)&lt;AT$2, 0,IF(AND(time+1&gt;=AU$2, $E177&lt;AU$2), IF($I177= "I", $J177/($F177-$E177+1), $J177/(($F177*($F177+1)/2)-(($E177-1)*($E177-1+1)/2))*AT$2), 0)+IF(IF(time+1&gt;=AU$2, $K177/time_cap/(time+1)*AT$2, 0) = 0, $K177/(time_cap),0)),0)</f>
        <v/>
      </c>
      <c r="AU177" s="4395">
        <f>IFERROR(IF((time+time_cap)&lt;AU$2, 0,IF(AND(time+1&gt;=AV$2, $E177&lt;AV$2), IF($I177= "I", $J177/($F177-$E177+1), $J177/(($F177*($F177+1)/2)-(($E177-1)*($E177-1+1)/2))*AU$2), 0)+IF(IF(time+1&gt;=AV$2, $K177/time_cap/(time+1)*AU$2, 0) = 0, $K177/(time_cap),0)),0)</f>
        <v/>
      </c>
      <c r="AV177" s="4395">
        <f>IFERROR(IF((time+time_cap)&lt;AV$2, 0,IF(AND(time+1&gt;=AW$2, $E177&lt;AW$2), IF($I177= "I", $J177/($F177-$E177+1), $J177/(($F177*($F177+1)/2)-(($E177-1)*($E177-1+1)/2))*AV$2), 0)+IF(IF(time+1&gt;=AW$2, $K177/time_cap/(time+1)*AV$2, 0) = 0, $K177/(time_cap),0)),0)</f>
        <v/>
      </c>
      <c r="AW177" s="4395">
        <f>IFERROR(IF((time+time_cap)&lt;AW$2, 0,IF(AND(time+1&gt;=AX$2, $E177&lt;AX$2), IF($I177= "I", $J177/($F177-$E177+1), $J177/(($F177*($F177+1)/2)-(($E177-1)*($E177-1+1)/2))*AW$2), 0)+IF(IF(time+1&gt;=AX$2, $K177/time_cap/(time+1)*AW$2, 0) = 0, $K177/(time_cap),0)),0)</f>
        <v/>
      </c>
      <c r="AX177" s="4395">
        <f>IFERROR(IF((time+time_cap)&lt;AX$2, 0,IF(AND(time+1&gt;=AY$2, $E177&lt;AY$2), IF($I177= "I", $J177/($F177-$E177+1), $J177/(($F177*($F177+1)/2)-(($E177-1)*($E177-1+1)/2))*AX$2), 0)+IF(IF(time+1&gt;=AY$2, $K177/time_cap/(time+1)*AX$2, 0) = 0, $K177/(time_cap),0)),0)</f>
        <v/>
      </c>
      <c r="AY177" s="4395">
        <f>IFERROR(IF((time+time_cap)&lt;AY$2, 0,IF(AND(time+1&gt;=AZ$2, $E177&lt;AZ$2), IF($I177= "I", $J177/($F177-$E177+1), $J177/(($F177*($F177+1)/2)-(($E177-1)*($E177-1+1)/2))*AY$2), 0)+IF(IF(time+1&gt;=AZ$2, $K177/time_cap/(time+1)*AY$2, 0) = 0, $K177/(time_cap),0)),0)</f>
        <v/>
      </c>
      <c r="AZ177" s="4395">
        <f>IFERROR(IF((time+time_cap)&lt;AZ$2, 0,IF(AND(time+1&gt;=BA$2, $E177&lt;BA$2), IF($I177= "I", $J177/($F177-$E177+1), $J177/(($F177*($F177+1)/2)-(($E177-1)*($E177-1+1)/2))*AZ$2), 0)+IF(IF(time+1&gt;=BA$2, $K177/time_cap/(time+1)*AZ$2, 0) = 0, $K177/(time_cap),0)),0)</f>
        <v/>
      </c>
      <c r="BA177" s="4395">
        <f>IFERROR(IF((time+time_cap)&lt;BA$2, 0,IF(AND(time+1&gt;=BB$2, $E177&lt;BB$2), IF($I177= "I", $J177/($F177-$E177+1), $J177/(($F177*($F177+1)/2)-(($E177-1)*($E177-1+1)/2))*BA$2), 0)+IF(IF(time+1&gt;=BB$2, $K177/time_cap/(time+1)*BA$2, 0) = 0, $K177/(time_cap),0)),0)</f>
        <v/>
      </c>
      <c r="BB177" s="4395">
        <f>IFERROR(IF((time+time_cap)&lt;BB$2, 0,IF(AND(time+1&gt;=BC$2, $E177&lt;BC$2), IF($I177= "I", $J177/($F177-$E177+1), $J177/(($F177*($F177+1)/2)-(($E177-1)*($E177-1+1)/2))*BB$2), 0)+IF(IF(time+1&gt;=BC$2, $K177/time_cap/(time+1)*BB$2, 0) = 0, $K177/(time_cap),0)),0)</f>
        <v/>
      </c>
      <c r="BC177" s="4395">
        <f>IFERROR(IF((time+time_cap)&lt;BC$2, 0,IF(AND(time+1&gt;=BD$2, $E177&lt;BD$2), IF($I177= "I", $J177/($F177-$E177+1), $J177/(($F177*($F177+1)/2)-(($E177-1)*($E177-1+1)/2))*BC$2), 0)+IF(IF(time+1&gt;=BD$2, $K177/time_cap/(time+1)*BC$2, 0) = 0, $K177/(time_cap),0)),0)</f>
        <v/>
      </c>
      <c r="BD177" s="4395">
        <f>IFERROR(IF((time+time_cap)&lt;BD$2, 0,IF(AND(time+1&gt;=BE$2, $E177&lt;BE$2), IF($I177= "I", $J177/($F177-$E177+1), $J177/(($F177*($F177+1)/2)-(($E177-1)*($E177-1+1)/2))*BD$2), 0)+IF(IF(time+1&gt;=BE$2, $K177/time_cap/(time+1)*BD$2, 0) = 0, $K177/(time_cap),0)),0)</f>
        <v/>
      </c>
      <c r="BE177" s="4395">
        <f>IFERROR(IF((time+time_cap)&lt;BE$2, 0,IF(AND(time+1&gt;=BF$2, $E177&lt;BF$2), IF($I177= "I", $J177/($F177-$E177+1), $J177/(($F177*($F177+1)/2)-(($E177-1)*($E177-1+1)/2))*BE$2), 0)+IF(IF(time+1&gt;=BF$2, $K177/time_cap/(time+1)*BE$2, 0) = 0, $K177/(time_cap),0)),0)</f>
        <v/>
      </c>
      <c r="BF177" s="4395">
        <f>IFERROR(IF((time+time_cap)&lt;BF$2, 0,IF(AND(time+1&gt;=BG$2, $E177&lt;BG$2), IF($I177= "I", $J177/($F177-$E177+1), $J177/(($F177*($F177+1)/2)-(($E177-1)*($E177-1+1)/2))*BF$2), 0)+IF(IF(time+1&gt;=BG$2, $K177/time_cap/(time+1)*BF$2, 0) = 0, $K177/(time_cap),0)),0)</f>
        <v/>
      </c>
      <c r="BG177" s="4395">
        <f>IFERROR(IF((time+time_cap)&lt;BG$2, 0,IF(AND(time+1&gt;=BH$2, $E177&lt;BH$2), IF($I177= "I", $J177/($F177-$E177+1), $J177/(($F177*($F177+1)/2)-(($E177-1)*($E177-1+1)/2))*BG$2), 0)+IF(IF(time+1&gt;=BH$2, $K177/time_cap/(time+1)*BG$2, 0) = 0, $K177/(time_cap),0)),0)</f>
        <v/>
      </c>
      <c r="BH177" s="4395">
        <f>IFERROR(IF((time+time_cap)&lt;BH$2, 0,IF(AND(time+1&gt;=BI$2, $E177&lt;BI$2), IF($I177= "I", $J177/($F177-$E177+1), $J177/(($F177*($F177+1)/2)-(($E177-1)*($E177-1+1)/2))*BH$2), 0)+IF(IF(time+1&gt;=BI$2, $K177/time_cap/(time+1)*BH$2, 0) = 0, $K177/(time_cap),0)),0)</f>
        <v/>
      </c>
      <c r="BI177" s="4395">
        <f>IFERROR(IF((time+time_cap)&lt;BI$2, 0,IF(AND(time+1&gt;=BJ$2, $E177&lt;BJ$2), IF($I177= "I", $J177/($F177-$E177+1), $J177/(($F177*($F177+1)/2)-(($E177-1)*($E177-1+1)/2))*BI$2), 0)+IF(IF(time+1&gt;=BJ$2, $K177/time_cap/(time+1)*BI$2, 0) = 0, $K177/(time_cap),0)),0)</f>
        <v/>
      </c>
      <c r="BJ177" s="4395">
        <f>IFERROR(IF((time+time_cap)&lt;BJ$2, 0,IF(AND(time+1&gt;=BK$2, $E177&lt;BK$2), IF($I177= "I", $J177/($F177-$E177+1), $J177/(($F177*($F177+1)/2)-(($E177-1)*($E177-1+1)/2))*BJ$2), 0)+IF(IF(time+1&gt;=BK$2, $K177/time_cap/(time+1)*BJ$2, 0) = 0, $K177/(time_cap),0)),0)</f>
        <v/>
      </c>
      <c r="BK177" s="4395" t="n"/>
      <c r="BL177" s="4395" t="n"/>
      <c r="BM177" s="4395" t="n"/>
      <c r="BN177" s="4395" t="n"/>
      <c r="BO177" s="4395" t="n"/>
      <c r="BP177" s="4395" t="n"/>
      <c r="BQ177" s="4395" t="n"/>
      <c r="BR177" s="4395" t="n"/>
      <c r="BS177" s="4395" t="n"/>
      <c r="BT177" s="4395" t="n"/>
      <c r="BU177" s="4395" t="n"/>
      <c r="BV177" s="4395" t="n"/>
      <c r="BW177" s="4395" t="n"/>
      <c r="BX177" s="4395" t="n"/>
      <c r="BY177" s="4395" t="n"/>
      <c r="BZ177" s="4395" t="n"/>
      <c r="CA177" s="4395" t="n"/>
      <c r="CB177" s="4395" t="n"/>
      <c r="CC177" s="4395" t="n"/>
      <c r="CD177" s="4395" t="n"/>
      <c r="CE177" s="4395" t="n"/>
      <c r="CF177" s="4395" t="n"/>
      <c r="CG177" s="4395" t="n"/>
      <c r="CH177" s="4395" t="n"/>
      <c r="CI177" s="4395" t="n"/>
      <c r="CJ177" s="4395" t="n"/>
      <c r="CK177" s="4395" t="n"/>
      <c r="CL177" s="4395" t="n"/>
      <c r="CM177" s="4395" t="n"/>
      <c r="CN177" s="4395" t="n"/>
      <c r="CO177" s="4395" t="n"/>
      <c r="CP177" s="4395" t="n"/>
      <c r="CQ177" s="4395" t="n"/>
      <c r="CR177" s="4395" t="n"/>
      <c r="CS177" s="4395" t="n"/>
      <c r="CT177" s="4395" t="n"/>
      <c r="CU177" s="4395" t="n"/>
      <c r="CV177" s="4395" t="n"/>
      <c r="CW177" s="4395" t="n"/>
      <c r="CX177" s="4395" t="n"/>
      <c r="CY177" s="4395" t="n"/>
      <c r="CZ177" s="4395" t="n"/>
      <c r="DA177" s="4395" t="n"/>
      <c r="DB177" s="4395" t="n"/>
      <c r="DC177" s="4395" t="n"/>
      <c r="DD177" s="4395" t="n"/>
      <c r="DE177" s="4395" t="n"/>
      <c r="DF177" s="4395" t="n"/>
      <c r="DG177" s="4395" t="n"/>
      <c r="DH177" s="4395" t="n"/>
    </row>
    <row r="178" ht="16" customHeight="1">
      <c r="A178" t="inlineStr">
        <is>
          <t>Coastal wetland - water</t>
        </is>
      </c>
      <c r="C178">
        <f>'7.Coastal wetlands'!C65</f>
        <v/>
      </c>
      <c r="D178">
        <f>'7.Coastal wetlands'!AI65</f>
        <v/>
      </c>
      <c r="E178">
        <f>IF('7.Coastal wetlands'!CN65&lt;&gt;0,'7.Coastal wetlands'!CN65,'7.Coastal wetlands'!CM65)</f>
        <v/>
      </c>
      <c r="F178">
        <f>time</f>
        <v/>
      </c>
      <c r="G178" s="4395">
        <f>'7.Coastal wetlands'!O65</f>
        <v/>
      </c>
      <c r="H178" s="4395">
        <f>'7.Coastal wetlands'!Q65</f>
        <v/>
      </c>
      <c r="I178" s="4395">
        <f>IF(OR(H178="I", G178="I"), "I", IF(OR(H178="E", G178="E"), "E", "D"))</f>
        <v/>
      </c>
      <c r="J178" s="4395">
        <f>((D178/(time_cap+((F178-E178+1)*VLOOKUP(I178,list!$I$48:$K$50,3, FALSE))))*(F178-E178+1)*VLOOKUP(I178,list!$I$48:$K$50,3, FALSE))</f>
        <v/>
      </c>
      <c r="K178" s="4395">
        <f>((D178/(time_cap+((F178-E178+1)*VLOOKUP(I178,list!$I$48:$K$50,3, FALSE))))*time_cap)</f>
        <v/>
      </c>
      <c r="M178" s="4395">
        <f>IFERROR(IF((time+time_cap)&lt;M$2, 0,IF(AND(time+1&gt;=N$2, $E178&lt;N$2), IF($I178= "I", $J178/($F178-$E178+1), $J178/(($F178*($F178+1)/2)-(($E178-1)*($E178-1+1)/2))*M$2), 0)+IF(IF(time+1&gt;=N$2, $K178/time_cap/(time+1)*M$2, 0) = 0, $K178/(time_cap),0)),0)</f>
        <v/>
      </c>
      <c r="N178" s="4395">
        <f>IFERROR(IF((time+time_cap)&lt;N$2, 0,IF(AND(time+1&gt;=O$2, $E178&lt;O$2), IF($I178= "I", $J178/($F178-$E178+1), $J178/(($F178*($F178+1)/2)-(($E178-1)*($E178-1+1)/2))*N$2), 0)+IF(IF(time+1&gt;=O$2, $K178/time_cap/(time+1)*N$2, 0) = 0, $K178/(time_cap),0)),0)</f>
        <v/>
      </c>
      <c r="O178" s="4395">
        <f>IFERROR(IF((time+time_cap)&lt;O$2, 0,IF(AND(time+1&gt;=P$2, $E178&lt;P$2), IF($I178= "I", $J178/($F178-$E178+1), $J178/(($F178*($F178+1)/2)-(($E178-1)*($E178-1+1)/2))*O$2), 0)+IF(IF(time+1&gt;=P$2, $K178/time_cap/(time+1)*O$2, 0) = 0, $K178/(time_cap),0)),0)</f>
        <v/>
      </c>
      <c r="P178" s="4395">
        <f>IFERROR(IF((time+time_cap)&lt;P$2, 0,IF(AND(time+1&gt;=Q$2, $E178&lt;Q$2), IF($I178= "I", $J178/($F178-$E178+1), $J178/(($F178*($F178+1)/2)-(($E178-1)*($E178-1+1)/2))*P$2), 0)+IF(IF(time+1&gt;=Q$2, $K178/time_cap/(time+1)*P$2, 0) = 0, $K178/(time_cap),0)),0)</f>
        <v/>
      </c>
      <c r="Q178" s="4395">
        <f>IFERROR(IF((time+time_cap)&lt;Q$2, 0,IF(AND(time+1&gt;=R$2, $E178&lt;R$2), IF($I178= "I", $J178/($F178-$E178+1), $J178/(($F178*($F178+1)/2)-(($E178-1)*($E178-1+1)/2))*Q$2), 0)+IF(IF(time+1&gt;=R$2, $K178/time_cap/(time+1)*Q$2, 0) = 0, $K178/(time_cap),0)),0)</f>
        <v/>
      </c>
      <c r="R178" s="4395">
        <f>IFERROR(IF((time+time_cap)&lt;R$2, 0,IF(AND(time+1&gt;=S$2, $E178&lt;S$2), IF($I178= "I", $J178/($F178-$E178+1), $J178/(($F178*($F178+1)/2)-(($E178-1)*($E178-1+1)/2))*R$2), 0)+IF(IF(time+1&gt;=S$2, $K178/time_cap/(time+1)*R$2, 0) = 0, $K178/(time_cap),0)),0)</f>
        <v/>
      </c>
      <c r="S178" s="4395">
        <f>IFERROR(IF((time+time_cap)&lt;S$2, 0,IF(AND(time+1&gt;=T$2, $E178&lt;T$2), IF($I178= "I", $J178/($F178-$E178+1), $J178/(($F178*($F178+1)/2)-(($E178-1)*($E178-1+1)/2))*S$2), 0)+IF(IF(time+1&gt;=T$2, $K178/time_cap/(time+1)*S$2, 0) = 0, $K178/(time_cap),0)),0)</f>
        <v/>
      </c>
      <c r="T178" s="4395">
        <f>IFERROR(IF((time+time_cap)&lt;T$2, 0,IF(AND(time+1&gt;=U$2, $E178&lt;U$2), IF($I178= "I", $J178/($F178-$E178+1), $J178/(($F178*($F178+1)/2)-(($E178-1)*($E178-1+1)/2))*T$2), 0)+IF(IF(time+1&gt;=U$2, $K178/time_cap/(time+1)*T$2, 0) = 0, $K178/(time_cap),0)),0)</f>
        <v/>
      </c>
      <c r="U178" s="4395">
        <f>IFERROR(IF((time+time_cap)&lt;U$2, 0,IF(AND(time+1&gt;=V$2, $E178&lt;V$2), IF($I178= "I", $J178/($F178-$E178+1), $J178/(($F178*($F178+1)/2)-(($E178-1)*($E178-1+1)/2))*U$2), 0)+IF(IF(time+1&gt;=V$2, $K178/time_cap/(time+1)*U$2, 0) = 0, $K178/(time_cap),0)),0)</f>
        <v/>
      </c>
      <c r="V178" s="4395">
        <f>IFERROR(IF((time+time_cap)&lt;V$2, 0,IF(AND(time+1&gt;=W$2, $E178&lt;W$2), IF($I178= "I", $J178/($F178-$E178+1), $J178/(($F178*($F178+1)/2)-(($E178-1)*($E178-1+1)/2))*V$2), 0)+IF(IF(time+1&gt;=W$2, $K178/time_cap/(time+1)*V$2, 0) = 0, $K178/(time_cap),0)),0)</f>
        <v/>
      </c>
      <c r="W178" s="4395">
        <f>IFERROR(IF((time+time_cap)&lt;W$2, 0,IF(AND(time+1&gt;=X$2, $E178&lt;X$2), IF($I178= "I", $J178/($F178-$E178+1), $J178/(($F178*($F178+1)/2)-(($E178-1)*($E178-1+1)/2))*W$2), 0)+IF(IF(time+1&gt;=X$2, $K178/time_cap/(time+1)*W$2, 0) = 0, $K178/(time_cap),0)),0)</f>
        <v/>
      </c>
      <c r="X178" s="4395">
        <f>IFERROR(IF((time+time_cap)&lt;X$2, 0,IF(AND(time+1&gt;=Y$2, $E178&lt;Y$2), IF($I178= "I", $J178/($F178-$E178+1), $J178/(($F178*($F178+1)/2)-(($E178-1)*($E178-1+1)/2))*X$2), 0)+IF(IF(time+1&gt;=Y$2, $K178/time_cap/(time+1)*X$2, 0) = 0, $K178/(time_cap),0)),0)</f>
        <v/>
      </c>
      <c r="Y178" s="4395">
        <f>IFERROR(IF((time+time_cap)&lt;Y$2, 0,IF(AND(time+1&gt;=Z$2, $E178&lt;Z$2), IF($I178= "I", $J178/($F178-$E178+1), $J178/(($F178*($F178+1)/2)-(($E178-1)*($E178-1+1)/2))*Y$2), 0)+IF(IF(time+1&gt;=Z$2, $K178/time_cap/(time+1)*Y$2, 0) = 0, $K178/(time_cap),0)),0)</f>
        <v/>
      </c>
      <c r="Z178" s="4395">
        <f>IFERROR(IF((time+time_cap)&lt;Z$2, 0,IF(AND(time+1&gt;=AA$2, $E178&lt;AA$2), IF($I178= "I", $J178/($F178-$E178+1), $J178/(($F178*($F178+1)/2)-(($E178-1)*($E178-1+1)/2))*Z$2), 0)+IF(IF(time+1&gt;=AA$2, $K178/time_cap/(time+1)*Z$2, 0) = 0, $K178/(time_cap),0)),0)</f>
        <v/>
      </c>
      <c r="AA178" s="4395">
        <f>IFERROR(IF((time+time_cap)&lt;AA$2, 0,IF(AND(time+1&gt;=AB$2, $E178&lt;AB$2), IF($I178= "I", $J178/($F178-$E178+1), $J178/(($F178*($F178+1)/2)-(($E178-1)*($E178-1+1)/2))*AA$2), 0)+IF(IF(time+1&gt;=AB$2, $K178/time_cap/(time+1)*AA$2, 0) = 0, $K178/(time_cap),0)),0)</f>
        <v/>
      </c>
      <c r="AB178" s="4395">
        <f>IFERROR(IF((time+time_cap)&lt;AB$2, 0,IF(AND(time+1&gt;=AC$2, $E178&lt;AC$2), IF($I178= "I", $J178/($F178-$E178+1), $J178/(($F178*($F178+1)/2)-(($E178-1)*($E178-1+1)/2))*AB$2), 0)+IF(IF(time+1&gt;=AC$2, $K178/time_cap/(time+1)*AB$2, 0) = 0, $K178/(time_cap),0)),0)</f>
        <v/>
      </c>
      <c r="AC178" s="4395">
        <f>IFERROR(IF((time+time_cap)&lt;AC$2, 0,IF(AND(time+1&gt;=AD$2, $E178&lt;AD$2), IF($I178= "I", $J178/($F178-$E178+1), $J178/(($F178*($F178+1)/2)-(($E178-1)*($E178-1+1)/2))*AC$2), 0)+IF(IF(time+1&gt;=AD$2, $K178/time_cap/(time+1)*AC$2, 0) = 0, $K178/(time_cap),0)),0)</f>
        <v/>
      </c>
      <c r="AD178" s="4395">
        <f>IFERROR(IF((time+time_cap)&lt;AD$2, 0,IF(AND(time+1&gt;=AE$2, $E178&lt;AE$2), IF($I178= "I", $J178/($F178-$E178+1), $J178/(($F178*($F178+1)/2)-(($E178-1)*($E178-1+1)/2))*AD$2), 0)+IF(IF(time+1&gt;=AE$2, $K178/time_cap/(time+1)*AD$2, 0) = 0, $K178/(time_cap),0)),0)</f>
        <v/>
      </c>
      <c r="AE178" s="4395">
        <f>IFERROR(IF((time+time_cap)&lt;AE$2, 0,IF(AND(time+1&gt;=AF$2, $E178&lt;AF$2), IF($I178= "I", $J178/($F178-$E178+1), $J178/(($F178*($F178+1)/2)-(($E178-1)*($E178-1+1)/2))*AE$2), 0)+IF(IF(time+1&gt;=AF$2, $K178/time_cap/(time+1)*AE$2, 0) = 0, $K178/(time_cap),0)),0)</f>
        <v/>
      </c>
      <c r="AF178" s="4395">
        <f>IFERROR(IF((time+time_cap)&lt;AF$2, 0,IF(AND(time+1&gt;=AG$2, $E178&lt;AG$2), IF($I178= "I", $J178/($F178-$E178+1), $J178/(($F178*($F178+1)/2)-(($E178-1)*($E178-1+1)/2))*AF$2), 0)+IF(IF(time+1&gt;=AG$2, $K178/time_cap/(time+1)*AF$2, 0) = 0, $K178/(time_cap),0)),0)</f>
        <v/>
      </c>
      <c r="AG178" s="4395">
        <f>IFERROR(IF((time+time_cap)&lt;AG$2, 0,IF(AND(time+1&gt;=AH$2, $E178&lt;AH$2), IF($I178= "I", $J178/($F178-$E178+1), $J178/(($F178*($F178+1)/2)-(($E178-1)*($E178-1+1)/2))*AG$2), 0)+IF(IF(time+1&gt;=AH$2, $K178/time_cap/(time+1)*AG$2, 0) = 0, $K178/(time_cap),0)),0)</f>
        <v/>
      </c>
      <c r="AH178" s="4395">
        <f>IFERROR(IF((time+time_cap)&lt;AH$2, 0,IF(AND(time+1&gt;=AI$2, $E178&lt;AI$2), IF($I178= "I", $J178/($F178-$E178+1), $J178/(($F178*($F178+1)/2)-(($E178-1)*($E178-1+1)/2))*AH$2), 0)+IF(IF(time+1&gt;=AI$2, $K178/time_cap/(time+1)*AH$2, 0) = 0, $K178/(time_cap),0)),0)</f>
        <v/>
      </c>
      <c r="AI178" s="4395">
        <f>IFERROR(IF((time+time_cap)&lt;AI$2, 0,IF(AND(time+1&gt;=AJ$2, $E178&lt;AJ$2), IF($I178= "I", $J178/($F178-$E178+1), $J178/(($F178*($F178+1)/2)-(($E178-1)*($E178-1+1)/2))*AI$2), 0)+IF(IF(time+1&gt;=AJ$2, $K178/time_cap/(time+1)*AI$2, 0) = 0, $K178/(time_cap),0)),0)</f>
        <v/>
      </c>
      <c r="AJ178" s="4395">
        <f>IFERROR(IF((time+time_cap)&lt;AJ$2, 0,IF(AND(time+1&gt;=AK$2, $E178&lt;AK$2), IF($I178= "I", $J178/($F178-$E178+1), $J178/(($F178*($F178+1)/2)-(($E178-1)*($E178-1+1)/2))*AJ$2), 0)+IF(IF(time+1&gt;=AK$2, $K178/time_cap/(time+1)*AJ$2, 0) = 0, $K178/(time_cap),0)),0)</f>
        <v/>
      </c>
      <c r="AK178" s="4395">
        <f>IFERROR(IF((time+time_cap)&lt;AK$2, 0,IF(AND(time+1&gt;=AL$2, $E178&lt;AL$2), IF($I178= "I", $J178/($F178-$E178+1), $J178/(($F178*($F178+1)/2)-(($E178-1)*($E178-1+1)/2))*AK$2), 0)+IF(IF(time+1&gt;=AL$2, $K178/time_cap/(time+1)*AK$2, 0) = 0, $K178/(time_cap),0)),0)</f>
        <v/>
      </c>
      <c r="AL178" s="4395">
        <f>IFERROR(IF((time+time_cap)&lt;AL$2, 0,IF(AND(time+1&gt;=AM$2, $E178&lt;AM$2), IF($I178= "I", $J178/($F178-$E178+1), $J178/(($F178*($F178+1)/2)-(($E178-1)*($E178-1+1)/2))*AL$2), 0)+IF(IF(time+1&gt;=AM$2, $K178/time_cap/(time+1)*AL$2, 0) = 0, $K178/(time_cap),0)),0)</f>
        <v/>
      </c>
      <c r="AM178" s="4395">
        <f>IFERROR(IF((time+time_cap)&lt;AM$2, 0,IF(AND(time+1&gt;=AN$2, $E178&lt;AN$2), IF($I178= "I", $J178/($F178-$E178+1), $J178/(($F178*($F178+1)/2)-(($E178-1)*($E178-1+1)/2))*AM$2), 0)+IF(IF(time+1&gt;=AN$2, $K178/time_cap/(time+1)*AM$2, 0) = 0, $K178/(time_cap),0)),0)</f>
        <v/>
      </c>
      <c r="AN178" s="4395">
        <f>IFERROR(IF((time+time_cap)&lt;AN$2, 0,IF(AND(time+1&gt;=AO$2, $E178&lt;AO$2), IF($I178= "I", $J178/($F178-$E178+1), $J178/(($F178*($F178+1)/2)-(($E178-1)*($E178-1+1)/2))*AN$2), 0)+IF(IF(time+1&gt;=AO$2, $K178/time_cap/(time+1)*AN$2, 0) = 0, $K178/(time_cap),0)),0)</f>
        <v/>
      </c>
      <c r="AO178" s="4395">
        <f>IFERROR(IF((time+time_cap)&lt;AO$2, 0,IF(AND(time+1&gt;=AP$2, $E178&lt;AP$2), IF($I178= "I", $J178/($F178-$E178+1), $J178/(($F178*($F178+1)/2)-(($E178-1)*($E178-1+1)/2))*AO$2), 0)+IF(IF(time+1&gt;=AP$2, $K178/time_cap/(time+1)*AO$2, 0) = 0, $K178/(time_cap),0)),0)</f>
        <v/>
      </c>
      <c r="AP178" s="4395">
        <f>IFERROR(IF((time+time_cap)&lt;AP$2, 0,IF(AND(time+1&gt;=AQ$2, $E178&lt;AQ$2), IF($I178= "I", $J178/($F178-$E178+1), $J178/(($F178*($F178+1)/2)-(($E178-1)*($E178-1+1)/2))*AP$2), 0)+IF(IF(time+1&gt;=AQ$2, $K178/time_cap/(time+1)*AP$2, 0) = 0, $K178/(time_cap),0)),0)</f>
        <v/>
      </c>
      <c r="AQ178" s="4395">
        <f>IFERROR(IF((time+time_cap)&lt;AQ$2, 0,IF(AND(time+1&gt;=AR$2, $E178&lt;AR$2), IF($I178= "I", $J178/($F178-$E178+1), $J178/(($F178*($F178+1)/2)-(($E178-1)*($E178-1+1)/2))*AQ$2), 0)+IF(IF(time+1&gt;=AR$2, $K178/time_cap/(time+1)*AQ$2, 0) = 0, $K178/(time_cap),0)),0)</f>
        <v/>
      </c>
      <c r="AR178" s="4395">
        <f>IFERROR(IF((time+time_cap)&lt;AR$2, 0,IF(AND(time+1&gt;=AS$2, $E178&lt;AS$2), IF($I178= "I", $J178/($F178-$E178+1), $J178/(($F178*($F178+1)/2)-(($E178-1)*($E178-1+1)/2))*AR$2), 0)+IF(IF(time+1&gt;=AS$2, $K178/time_cap/(time+1)*AR$2, 0) = 0, $K178/(time_cap),0)),0)</f>
        <v/>
      </c>
      <c r="AS178" s="4395">
        <f>IFERROR(IF((time+time_cap)&lt;AS$2, 0,IF(AND(time+1&gt;=AT$2, $E178&lt;AT$2), IF($I178= "I", $J178/($F178-$E178+1), $J178/(($F178*($F178+1)/2)-(($E178-1)*($E178-1+1)/2))*AS$2), 0)+IF(IF(time+1&gt;=AT$2, $K178/time_cap/(time+1)*AS$2, 0) = 0, $K178/(time_cap),0)),0)</f>
        <v/>
      </c>
      <c r="AT178" s="4395">
        <f>IFERROR(IF((time+time_cap)&lt;AT$2, 0,IF(AND(time+1&gt;=AU$2, $E178&lt;AU$2), IF($I178= "I", $J178/($F178-$E178+1), $J178/(($F178*($F178+1)/2)-(($E178-1)*($E178-1+1)/2))*AT$2), 0)+IF(IF(time+1&gt;=AU$2, $K178/time_cap/(time+1)*AT$2, 0) = 0, $K178/(time_cap),0)),0)</f>
        <v/>
      </c>
      <c r="AU178" s="4395">
        <f>IFERROR(IF((time+time_cap)&lt;AU$2, 0,IF(AND(time+1&gt;=AV$2, $E178&lt;AV$2), IF($I178= "I", $J178/($F178-$E178+1), $J178/(($F178*($F178+1)/2)-(($E178-1)*($E178-1+1)/2))*AU$2), 0)+IF(IF(time+1&gt;=AV$2, $K178/time_cap/(time+1)*AU$2, 0) = 0, $K178/(time_cap),0)),0)</f>
        <v/>
      </c>
      <c r="AV178" s="4395">
        <f>IFERROR(IF((time+time_cap)&lt;AV$2, 0,IF(AND(time+1&gt;=AW$2, $E178&lt;AW$2), IF($I178= "I", $J178/($F178-$E178+1), $J178/(($F178*($F178+1)/2)-(($E178-1)*($E178-1+1)/2))*AV$2), 0)+IF(IF(time+1&gt;=AW$2, $K178/time_cap/(time+1)*AV$2, 0) = 0, $K178/(time_cap),0)),0)</f>
        <v/>
      </c>
      <c r="AW178" s="4395">
        <f>IFERROR(IF((time+time_cap)&lt;AW$2, 0,IF(AND(time+1&gt;=AX$2, $E178&lt;AX$2), IF($I178= "I", $J178/($F178-$E178+1), $J178/(($F178*($F178+1)/2)-(($E178-1)*($E178-1+1)/2))*AW$2), 0)+IF(IF(time+1&gt;=AX$2, $K178/time_cap/(time+1)*AW$2, 0) = 0, $K178/(time_cap),0)),0)</f>
        <v/>
      </c>
      <c r="AX178" s="4395">
        <f>IFERROR(IF((time+time_cap)&lt;AX$2, 0,IF(AND(time+1&gt;=AY$2, $E178&lt;AY$2), IF($I178= "I", $J178/($F178-$E178+1), $J178/(($F178*($F178+1)/2)-(($E178-1)*($E178-1+1)/2))*AX$2), 0)+IF(IF(time+1&gt;=AY$2, $K178/time_cap/(time+1)*AX$2, 0) = 0, $K178/(time_cap),0)),0)</f>
        <v/>
      </c>
      <c r="AY178" s="4395">
        <f>IFERROR(IF((time+time_cap)&lt;AY$2, 0,IF(AND(time+1&gt;=AZ$2, $E178&lt;AZ$2), IF($I178= "I", $J178/($F178-$E178+1), $J178/(($F178*($F178+1)/2)-(($E178-1)*($E178-1+1)/2))*AY$2), 0)+IF(IF(time+1&gt;=AZ$2, $K178/time_cap/(time+1)*AY$2, 0) = 0, $K178/(time_cap),0)),0)</f>
        <v/>
      </c>
      <c r="AZ178" s="4395">
        <f>IFERROR(IF((time+time_cap)&lt;AZ$2, 0,IF(AND(time+1&gt;=BA$2, $E178&lt;BA$2), IF($I178= "I", $J178/($F178-$E178+1), $J178/(($F178*($F178+1)/2)-(($E178-1)*($E178-1+1)/2))*AZ$2), 0)+IF(IF(time+1&gt;=BA$2, $K178/time_cap/(time+1)*AZ$2, 0) = 0, $K178/(time_cap),0)),0)</f>
        <v/>
      </c>
      <c r="BA178" s="4395">
        <f>IFERROR(IF((time+time_cap)&lt;BA$2, 0,IF(AND(time+1&gt;=BB$2, $E178&lt;BB$2), IF($I178= "I", $J178/($F178-$E178+1), $J178/(($F178*($F178+1)/2)-(($E178-1)*($E178-1+1)/2))*BA$2), 0)+IF(IF(time+1&gt;=BB$2, $K178/time_cap/(time+1)*BA$2, 0) = 0, $K178/(time_cap),0)),0)</f>
        <v/>
      </c>
      <c r="BB178" s="4395">
        <f>IFERROR(IF((time+time_cap)&lt;BB$2, 0,IF(AND(time+1&gt;=BC$2, $E178&lt;BC$2), IF($I178= "I", $J178/($F178-$E178+1), $J178/(($F178*($F178+1)/2)-(($E178-1)*($E178-1+1)/2))*BB$2), 0)+IF(IF(time+1&gt;=BC$2, $K178/time_cap/(time+1)*BB$2, 0) = 0, $K178/(time_cap),0)),0)</f>
        <v/>
      </c>
      <c r="BC178" s="4395">
        <f>IFERROR(IF((time+time_cap)&lt;BC$2, 0,IF(AND(time+1&gt;=BD$2, $E178&lt;BD$2), IF($I178= "I", $J178/($F178-$E178+1), $J178/(($F178*($F178+1)/2)-(($E178-1)*($E178-1+1)/2))*BC$2), 0)+IF(IF(time+1&gt;=BD$2, $K178/time_cap/(time+1)*BC$2, 0) = 0, $K178/(time_cap),0)),0)</f>
        <v/>
      </c>
      <c r="BD178" s="4395">
        <f>IFERROR(IF((time+time_cap)&lt;BD$2, 0,IF(AND(time+1&gt;=BE$2, $E178&lt;BE$2), IF($I178= "I", $J178/($F178-$E178+1), $J178/(($F178*($F178+1)/2)-(($E178-1)*($E178-1+1)/2))*BD$2), 0)+IF(IF(time+1&gt;=BE$2, $K178/time_cap/(time+1)*BD$2, 0) = 0, $K178/(time_cap),0)),0)</f>
        <v/>
      </c>
      <c r="BE178" s="4395">
        <f>IFERROR(IF((time+time_cap)&lt;BE$2, 0,IF(AND(time+1&gt;=BF$2, $E178&lt;BF$2), IF($I178= "I", $J178/($F178-$E178+1), $J178/(($F178*($F178+1)/2)-(($E178-1)*($E178-1+1)/2))*BE$2), 0)+IF(IF(time+1&gt;=BF$2, $K178/time_cap/(time+1)*BE$2, 0) = 0, $K178/(time_cap),0)),0)</f>
        <v/>
      </c>
      <c r="BF178" s="4395">
        <f>IFERROR(IF((time+time_cap)&lt;BF$2, 0,IF(AND(time+1&gt;=BG$2, $E178&lt;BG$2), IF($I178= "I", $J178/($F178-$E178+1), $J178/(($F178*($F178+1)/2)-(($E178-1)*($E178-1+1)/2))*BF$2), 0)+IF(IF(time+1&gt;=BG$2, $K178/time_cap/(time+1)*BF$2, 0) = 0, $K178/(time_cap),0)),0)</f>
        <v/>
      </c>
      <c r="BG178" s="4395">
        <f>IFERROR(IF((time+time_cap)&lt;BG$2, 0,IF(AND(time+1&gt;=BH$2, $E178&lt;BH$2), IF($I178= "I", $J178/($F178-$E178+1), $J178/(($F178*($F178+1)/2)-(($E178-1)*($E178-1+1)/2))*BG$2), 0)+IF(IF(time+1&gt;=BH$2, $K178/time_cap/(time+1)*BG$2, 0) = 0, $K178/(time_cap),0)),0)</f>
        <v/>
      </c>
      <c r="BH178" s="4395">
        <f>IFERROR(IF((time+time_cap)&lt;BH$2, 0,IF(AND(time+1&gt;=BI$2, $E178&lt;BI$2), IF($I178= "I", $J178/($F178-$E178+1), $J178/(($F178*($F178+1)/2)-(($E178-1)*($E178-1+1)/2))*BH$2), 0)+IF(IF(time+1&gt;=BI$2, $K178/time_cap/(time+1)*BH$2, 0) = 0, $K178/(time_cap),0)),0)</f>
        <v/>
      </c>
      <c r="BI178" s="4395">
        <f>IFERROR(IF((time+time_cap)&lt;BI$2, 0,IF(AND(time+1&gt;=BJ$2, $E178&lt;BJ$2), IF($I178= "I", $J178/($F178-$E178+1), $J178/(($F178*($F178+1)/2)-(($E178-1)*($E178-1+1)/2))*BI$2), 0)+IF(IF(time+1&gt;=BJ$2, $K178/time_cap/(time+1)*BI$2, 0) = 0, $K178/(time_cap),0)),0)</f>
        <v/>
      </c>
      <c r="BJ178" s="4395">
        <f>IFERROR(IF((time+time_cap)&lt;BJ$2, 0,IF(AND(time+1&gt;=BK$2, $E178&lt;BK$2), IF($I178= "I", $J178/($F178-$E178+1), $J178/(($F178*($F178+1)/2)-(($E178-1)*($E178-1+1)/2))*BJ$2), 0)+IF(IF(time+1&gt;=BK$2, $K178/time_cap/(time+1)*BJ$2, 0) = 0, $K178/(time_cap),0)),0)</f>
        <v/>
      </c>
      <c r="BK178" s="4395" t="n"/>
      <c r="BL178" s="4395" t="n"/>
      <c r="BM178" s="4395" t="n"/>
      <c r="BN178" s="4395" t="n"/>
      <c r="BO178" s="4395" t="n"/>
      <c r="BP178" s="4395" t="n"/>
      <c r="BQ178" s="4395" t="n"/>
      <c r="BR178" s="4395" t="n"/>
      <c r="BS178" s="4395" t="n"/>
      <c r="BT178" s="4395" t="n"/>
      <c r="BU178" s="4395" t="n"/>
      <c r="BV178" s="4395" t="n"/>
      <c r="BW178" s="4395" t="n"/>
      <c r="BX178" s="4395" t="n"/>
      <c r="BY178" s="4395" t="n"/>
      <c r="BZ178" s="4395" t="n"/>
      <c r="CA178" s="4395" t="n"/>
      <c r="CB178" s="4395" t="n"/>
      <c r="CC178" s="4395" t="n"/>
      <c r="CD178" s="4395" t="n"/>
      <c r="CE178" s="4395" t="n"/>
      <c r="CF178" s="4395" t="n"/>
      <c r="CG178" s="4395" t="n"/>
      <c r="CH178" s="4395" t="n"/>
      <c r="CI178" s="4395" t="n"/>
      <c r="CJ178" s="4395" t="n"/>
      <c r="CK178" s="4395" t="n"/>
      <c r="CL178" s="4395" t="n"/>
      <c r="CM178" s="4395" t="n"/>
      <c r="CN178" s="4395" t="n"/>
      <c r="CO178" s="4395" t="n"/>
      <c r="CP178" s="4395" t="n"/>
      <c r="CQ178" s="4395" t="n"/>
      <c r="CR178" s="4395" t="n"/>
      <c r="CS178" s="4395" t="n"/>
      <c r="CT178" s="4395" t="n"/>
      <c r="CU178" s="4395" t="n"/>
      <c r="CV178" s="4395" t="n"/>
      <c r="CW178" s="4395" t="n"/>
      <c r="CX178" s="4395" t="n"/>
      <c r="CY178" s="4395" t="n"/>
      <c r="CZ178" s="4395" t="n"/>
      <c r="DA178" s="4395" t="n"/>
      <c r="DB178" s="4395" t="n"/>
      <c r="DC178" s="4395" t="n"/>
      <c r="DD178" s="4395" t="n"/>
      <c r="DE178" s="4395" t="n"/>
      <c r="DF178" s="4395" t="n"/>
      <c r="DG178" s="4395" t="n"/>
      <c r="DH178" s="4395" t="n"/>
    </row>
    <row r="179" ht="16" customHeight="1">
      <c r="A179" t="inlineStr">
        <is>
          <t>Coastal wetland - water</t>
        </is>
      </c>
      <c r="C179">
        <f>'7.Coastal wetlands'!C66</f>
        <v/>
      </c>
      <c r="D179">
        <f>'7.Coastal wetlands'!AI66</f>
        <v/>
      </c>
      <c r="E179">
        <f>IF('7.Coastal wetlands'!CN66&lt;&gt;0,'7.Coastal wetlands'!CN66,'7.Coastal wetlands'!CM66)</f>
        <v/>
      </c>
      <c r="F179">
        <f>time</f>
        <v/>
      </c>
      <c r="G179" s="4395">
        <f>'7.Coastal wetlands'!O66</f>
        <v/>
      </c>
      <c r="H179" s="4395">
        <f>'7.Coastal wetlands'!Q66</f>
        <v/>
      </c>
      <c r="I179" s="4395">
        <f>IF(OR(H179="I", G179="I"), "I", IF(OR(H179="E", G179="E"), "E", "D"))</f>
        <v/>
      </c>
      <c r="J179" s="4395">
        <f>((D179/(time_cap+((F179-E179+1)*VLOOKUP(I179,list!$I$48:$K$50,3, FALSE))))*(F179-E179+1)*VLOOKUP(I179,list!$I$48:$K$50,3, FALSE))</f>
        <v/>
      </c>
      <c r="K179" s="4395">
        <f>((D179/(time_cap+((F179-E179+1)*VLOOKUP(I179,list!$I$48:$K$50,3, FALSE))))*time_cap)</f>
        <v/>
      </c>
      <c r="M179" s="4395">
        <f>IFERROR(IF((time+time_cap)&lt;M$2, 0,IF(AND(time+1&gt;=N$2, $E179&lt;N$2), IF($I179= "I", $J179/($F179-$E179+1), $J179/(($F179*($F179+1)/2)-(($E179-1)*($E179-1+1)/2))*M$2), 0)+IF(IF(time+1&gt;=N$2, $K179/time_cap/(time+1)*M$2, 0) = 0, $K179/(time_cap),0)),0)</f>
        <v/>
      </c>
      <c r="N179" s="4395">
        <f>IFERROR(IF((time+time_cap)&lt;N$2, 0,IF(AND(time+1&gt;=O$2, $E179&lt;O$2), IF($I179= "I", $J179/($F179-$E179+1), $J179/(($F179*($F179+1)/2)-(($E179-1)*($E179-1+1)/2))*N$2), 0)+IF(IF(time+1&gt;=O$2, $K179/time_cap/(time+1)*N$2, 0) = 0, $K179/(time_cap),0)),0)</f>
        <v/>
      </c>
      <c r="O179" s="4395">
        <f>IFERROR(IF((time+time_cap)&lt;O$2, 0,IF(AND(time+1&gt;=P$2, $E179&lt;P$2), IF($I179= "I", $J179/($F179-$E179+1), $J179/(($F179*($F179+1)/2)-(($E179-1)*($E179-1+1)/2))*O$2), 0)+IF(IF(time+1&gt;=P$2, $K179/time_cap/(time+1)*O$2, 0) = 0, $K179/(time_cap),0)),0)</f>
        <v/>
      </c>
      <c r="P179" s="4395">
        <f>IFERROR(IF((time+time_cap)&lt;P$2, 0,IF(AND(time+1&gt;=Q$2, $E179&lt;Q$2), IF($I179= "I", $J179/($F179-$E179+1), $J179/(($F179*($F179+1)/2)-(($E179-1)*($E179-1+1)/2))*P$2), 0)+IF(IF(time+1&gt;=Q$2, $K179/time_cap/(time+1)*P$2, 0) = 0, $K179/(time_cap),0)),0)</f>
        <v/>
      </c>
      <c r="Q179" s="4395">
        <f>IFERROR(IF((time+time_cap)&lt;Q$2, 0,IF(AND(time+1&gt;=R$2, $E179&lt;R$2), IF($I179= "I", $J179/($F179-$E179+1), $J179/(($F179*($F179+1)/2)-(($E179-1)*($E179-1+1)/2))*Q$2), 0)+IF(IF(time+1&gt;=R$2, $K179/time_cap/(time+1)*Q$2, 0) = 0, $K179/(time_cap),0)),0)</f>
        <v/>
      </c>
      <c r="R179" s="4395">
        <f>IFERROR(IF((time+time_cap)&lt;R$2, 0,IF(AND(time+1&gt;=S$2, $E179&lt;S$2), IF($I179= "I", $J179/($F179-$E179+1), $J179/(($F179*($F179+1)/2)-(($E179-1)*($E179-1+1)/2))*R$2), 0)+IF(IF(time+1&gt;=S$2, $K179/time_cap/(time+1)*R$2, 0) = 0, $K179/(time_cap),0)),0)</f>
        <v/>
      </c>
      <c r="S179" s="4395">
        <f>IFERROR(IF((time+time_cap)&lt;S$2, 0,IF(AND(time+1&gt;=T$2, $E179&lt;T$2), IF($I179= "I", $J179/($F179-$E179+1), $J179/(($F179*($F179+1)/2)-(($E179-1)*($E179-1+1)/2))*S$2), 0)+IF(IF(time+1&gt;=T$2, $K179/time_cap/(time+1)*S$2, 0) = 0, $K179/(time_cap),0)),0)</f>
        <v/>
      </c>
      <c r="T179" s="4395">
        <f>IFERROR(IF((time+time_cap)&lt;T$2, 0,IF(AND(time+1&gt;=U$2, $E179&lt;U$2), IF($I179= "I", $J179/($F179-$E179+1), $J179/(($F179*($F179+1)/2)-(($E179-1)*($E179-1+1)/2))*T$2), 0)+IF(IF(time+1&gt;=U$2, $K179/time_cap/(time+1)*T$2, 0) = 0, $K179/(time_cap),0)),0)</f>
        <v/>
      </c>
      <c r="U179" s="4395">
        <f>IFERROR(IF((time+time_cap)&lt;U$2, 0,IF(AND(time+1&gt;=V$2, $E179&lt;V$2), IF($I179= "I", $J179/($F179-$E179+1), $J179/(($F179*($F179+1)/2)-(($E179-1)*($E179-1+1)/2))*U$2), 0)+IF(IF(time+1&gt;=V$2, $K179/time_cap/(time+1)*U$2, 0) = 0, $K179/(time_cap),0)),0)</f>
        <v/>
      </c>
      <c r="V179" s="4395">
        <f>IFERROR(IF((time+time_cap)&lt;V$2, 0,IF(AND(time+1&gt;=W$2, $E179&lt;W$2), IF($I179= "I", $J179/($F179-$E179+1), $J179/(($F179*($F179+1)/2)-(($E179-1)*($E179-1+1)/2))*V$2), 0)+IF(IF(time+1&gt;=W$2, $K179/time_cap/(time+1)*V$2, 0) = 0, $K179/(time_cap),0)),0)</f>
        <v/>
      </c>
      <c r="W179" s="4395">
        <f>IFERROR(IF((time+time_cap)&lt;W$2, 0,IF(AND(time+1&gt;=X$2, $E179&lt;X$2), IF($I179= "I", $J179/($F179-$E179+1), $J179/(($F179*($F179+1)/2)-(($E179-1)*($E179-1+1)/2))*W$2), 0)+IF(IF(time+1&gt;=X$2, $K179/time_cap/(time+1)*W$2, 0) = 0, $K179/(time_cap),0)),0)</f>
        <v/>
      </c>
      <c r="X179" s="4395">
        <f>IFERROR(IF((time+time_cap)&lt;X$2, 0,IF(AND(time+1&gt;=Y$2, $E179&lt;Y$2), IF($I179= "I", $J179/($F179-$E179+1), $J179/(($F179*($F179+1)/2)-(($E179-1)*($E179-1+1)/2))*X$2), 0)+IF(IF(time+1&gt;=Y$2, $K179/time_cap/(time+1)*X$2, 0) = 0, $K179/(time_cap),0)),0)</f>
        <v/>
      </c>
      <c r="Y179" s="4395">
        <f>IFERROR(IF((time+time_cap)&lt;Y$2, 0,IF(AND(time+1&gt;=Z$2, $E179&lt;Z$2), IF($I179= "I", $J179/($F179-$E179+1), $J179/(($F179*($F179+1)/2)-(($E179-1)*($E179-1+1)/2))*Y$2), 0)+IF(IF(time+1&gt;=Z$2, $K179/time_cap/(time+1)*Y$2, 0) = 0, $K179/(time_cap),0)),0)</f>
        <v/>
      </c>
      <c r="Z179" s="4395">
        <f>IFERROR(IF((time+time_cap)&lt;Z$2, 0,IF(AND(time+1&gt;=AA$2, $E179&lt;AA$2), IF($I179= "I", $J179/($F179-$E179+1), $J179/(($F179*($F179+1)/2)-(($E179-1)*($E179-1+1)/2))*Z$2), 0)+IF(IF(time+1&gt;=AA$2, $K179/time_cap/(time+1)*Z$2, 0) = 0, $K179/(time_cap),0)),0)</f>
        <v/>
      </c>
      <c r="AA179" s="4395">
        <f>IFERROR(IF((time+time_cap)&lt;AA$2, 0,IF(AND(time+1&gt;=AB$2, $E179&lt;AB$2), IF($I179= "I", $J179/($F179-$E179+1), $J179/(($F179*($F179+1)/2)-(($E179-1)*($E179-1+1)/2))*AA$2), 0)+IF(IF(time+1&gt;=AB$2, $K179/time_cap/(time+1)*AA$2, 0) = 0, $K179/(time_cap),0)),0)</f>
        <v/>
      </c>
      <c r="AB179" s="4395">
        <f>IFERROR(IF((time+time_cap)&lt;AB$2, 0,IF(AND(time+1&gt;=AC$2, $E179&lt;AC$2), IF($I179= "I", $J179/($F179-$E179+1), $J179/(($F179*($F179+1)/2)-(($E179-1)*($E179-1+1)/2))*AB$2), 0)+IF(IF(time+1&gt;=AC$2, $K179/time_cap/(time+1)*AB$2, 0) = 0, $K179/(time_cap),0)),0)</f>
        <v/>
      </c>
      <c r="AC179" s="4395">
        <f>IFERROR(IF((time+time_cap)&lt;AC$2, 0,IF(AND(time+1&gt;=AD$2, $E179&lt;AD$2), IF($I179= "I", $J179/($F179-$E179+1), $J179/(($F179*($F179+1)/2)-(($E179-1)*($E179-1+1)/2))*AC$2), 0)+IF(IF(time+1&gt;=AD$2, $K179/time_cap/(time+1)*AC$2, 0) = 0, $K179/(time_cap),0)),0)</f>
        <v/>
      </c>
      <c r="AD179" s="4395">
        <f>IFERROR(IF((time+time_cap)&lt;AD$2, 0,IF(AND(time+1&gt;=AE$2, $E179&lt;AE$2), IF($I179= "I", $J179/($F179-$E179+1), $J179/(($F179*($F179+1)/2)-(($E179-1)*($E179-1+1)/2))*AD$2), 0)+IF(IF(time+1&gt;=AE$2, $K179/time_cap/(time+1)*AD$2, 0) = 0, $K179/(time_cap),0)),0)</f>
        <v/>
      </c>
      <c r="AE179" s="4395">
        <f>IFERROR(IF((time+time_cap)&lt;AE$2, 0,IF(AND(time+1&gt;=AF$2, $E179&lt;AF$2), IF($I179= "I", $J179/($F179-$E179+1), $J179/(($F179*($F179+1)/2)-(($E179-1)*($E179-1+1)/2))*AE$2), 0)+IF(IF(time+1&gt;=AF$2, $K179/time_cap/(time+1)*AE$2, 0) = 0, $K179/(time_cap),0)),0)</f>
        <v/>
      </c>
      <c r="AF179" s="4395">
        <f>IFERROR(IF((time+time_cap)&lt;AF$2, 0,IF(AND(time+1&gt;=AG$2, $E179&lt;AG$2), IF($I179= "I", $J179/($F179-$E179+1), $J179/(($F179*($F179+1)/2)-(($E179-1)*($E179-1+1)/2))*AF$2), 0)+IF(IF(time+1&gt;=AG$2, $K179/time_cap/(time+1)*AF$2, 0) = 0, $K179/(time_cap),0)),0)</f>
        <v/>
      </c>
      <c r="AG179" s="4395">
        <f>IFERROR(IF((time+time_cap)&lt;AG$2, 0,IF(AND(time+1&gt;=AH$2, $E179&lt;AH$2), IF($I179= "I", $J179/($F179-$E179+1), $J179/(($F179*($F179+1)/2)-(($E179-1)*($E179-1+1)/2))*AG$2), 0)+IF(IF(time+1&gt;=AH$2, $K179/time_cap/(time+1)*AG$2, 0) = 0, $K179/(time_cap),0)),0)</f>
        <v/>
      </c>
      <c r="AH179" s="4395">
        <f>IFERROR(IF((time+time_cap)&lt;AH$2, 0,IF(AND(time+1&gt;=AI$2, $E179&lt;AI$2), IF($I179= "I", $J179/($F179-$E179+1), $J179/(($F179*($F179+1)/2)-(($E179-1)*($E179-1+1)/2))*AH$2), 0)+IF(IF(time+1&gt;=AI$2, $K179/time_cap/(time+1)*AH$2, 0) = 0, $K179/(time_cap),0)),0)</f>
        <v/>
      </c>
      <c r="AI179" s="4395">
        <f>IFERROR(IF((time+time_cap)&lt;AI$2, 0,IF(AND(time+1&gt;=AJ$2, $E179&lt;AJ$2), IF($I179= "I", $J179/($F179-$E179+1), $J179/(($F179*($F179+1)/2)-(($E179-1)*($E179-1+1)/2))*AI$2), 0)+IF(IF(time+1&gt;=AJ$2, $K179/time_cap/(time+1)*AI$2, 0) = 0, $K179/(time_cap),0)),0)</f>
        <v/>
      </c>
      <c r="AJ179" s="4395">
        <f>IFERROR(IF((time+time_cap)&lt;AJ$2, 0,IF(AND(time+1&gt;=AK$2, $E179&lt;AK$2), IF($I179= "I", $J179/($F179-$E179+1), $J179/(($F179*($F179+1)/2)-(($E179-1)*($E179-1+1)/2))*AJ$2), 0)+IF(IF(time+1&gt;=AK$2, $K179/time_cap/(time+1)*AJ$2, 0) = 0, $K179/(time_cap),0)),0)</f>
        <v/>
      </c>
      <c r="AK179" s="4395">
        <f>IFERROR(IF((time+time_cap)&lt;AK$2, 0,IF(AND(time+1&gt;=AL$2, $E179&lt;AL$2), IF($I179= "I", $J179/($F179-$E179+1), $J179/(($F179*($F179+1)/2)-(($E179-1)*($E179-1+1)/2))*AK$2), 0)+IF(IF(time+1&gt;=AL$2, $K179/time_cap/(time+1)*AK$2, 0) = 0, $K179/(time_cap),0)),0)</f>
        <v/>
      </c>
      <c r="AL179" s="4395">
        <f>IFERROR(IF((time+time_cap)&lt;AL$2, 0,IF(AND(time+1&gt;=AM$2, $E179&lt;AM$2), IF($I179= "I", $J179/($F179-$E179+1), $J179/(($F179*($F179+1)/2)-(($E179-1)*($E179-1+1)/2))*AL$2), 0)+IF(IF(time+1&gt;=AM$2, $K179/time_cap/(time+1)*AL$2, 0) = 0, $K179/(time_cap),0)),0)</f>
        <v/>
      </c>
      <c r="AM179" s="4395">
        <f>IFERROR(IF((time+time_cap)&lt;AM$2, 0,IF(AND(time+1&gt;=AN$2, $E179&lt;AN$2), IF($I179= "I", $J179/($F179-$E179+1), $J179/(($F179*($F179+1)/2)-(($E179-1)*($E179-1+1)/2))*AM$2), 0)+IF(IF(time+1&gt;=AN$2, $K179/time_cap/(time+1)*AM$2, 0) = 0, $K179/(time_cap),0)),0)</f>
        <v/>
      </c>
      <c r="AN179" s="4395">
        <f>IFERROR(IF((time+time_cap)&lt;AN$2, 0,IF(AND(time+1&gt;=AO$2, $E179&lt;AO$2), IF($I179= "I", $J179/($F179-$E179+1), $J179/(($F179*($F179+1)/2)-(($E179-1)*($E179-1+1)/2))*AN$2), 0)+IF(IF(time+1&gt;=AO$2, $K179/time_cap/(time+1)*AN$2, 0) = 0, $K179/(time_cap),0)),0)</f>
        <v/>
      </c>
      <c r="AO179" s="4395">
        <f>IFERROR(IF((time+time_cap)&lt;AO$2, 0,IF(AND(time+1&gt;=AP$2, $E179&lt;AP$2), IF($I179= "I", $J179/($F179-$E179+1), $J179/(($F179*($F179+1)/2)-(($E179-1)*($E179-1+1)/2))*AO$2), 0)+IF(IF(time+1&gt;=AP$2, $K179/time_cap/(time+1)*AO$2, 0) = 0, $K179/(time_cap),0)),0)</f>
        <v/>
      </c>
      <c r="AP179" s="4395">
        <f>IFERROR(IF((time+time_cap)&lt;AP$2, 0,IF(AND(time+1&gt;=AQ$2, $E179&lt;AQ$2), IF($I179= "I", $J179/($F179-$E179+1), $J179/(($F179*($F179+1)/2)-(($E179-1)*($E179-1+1)/2))*AP$2), 0)+IF(IF(time+1&gt;=AQ$2, $K179/time_cap/(time+1)*AP$2, 0) = 0, $K179/(time_cap),0)),0)</f>
        <v/>
      </c>
      <c r="AQ179" s="4395">
        <f>IFERROR(IF((time+time_cap)&lt;AQ$2, 0,IF(AND(time+1&gt;=AR$2, $E179&lt;AR$2), IF($I179= "I", $J179/($F179-$E179+1), $J179/(($F179*($F179+1)/2)-(($E179-1)*($E179-1+1)/2))*AQ$2), 0)+IF(IF(time+1&gt;=AR$2, $K179/time_cap/(time+1)*AQ$2, 0) = 0, $K179/(time_cap),0)),0)</f>
        <v/>
      </c>
      <c r="AR179" s="4395">
        <f>IFERROR(IF((time+time_cap)&lt;AR$2, 0,IF(AND(time+1&gt;=AS$2, $E179&lt;AS$2), IF($I179= "I", $J179/($F179-$E179+1), $J179/(($F179*($F179+1)/2)-(($E179-1)*($E179-1+1)/2))*AR$2), 0)+IF(IF(time+1&gt;=AS$2, $K179/time_cap/(time+1)*AR$2, 0) = 0, $K179/(time_cap),0)),0)</f>
        <v/>
      </c>
      <c r="AS179" s="4395">
        <f>IFERROR(IF((time+time_cap)&lt;AS$2, 0,IF(AND(time+1&gt;=AT$2, $E179&lt;AT$2), IF($I179= "I", $J179/($F179-$E179+1), $J179/(($F179*($F179+1)/2)-(($E179-1)*($E179-1+1)/2))*AS$2), 0)+IF(IF(time+1&gt;=AT$2, $K179/time_cap/(time+1)*AS$2, 0) = 0, $K179/(time_cap),0)),0)</f>
        <v/>
      </c>
      <c r="AT179" s="4395">
        <f>IFERROR(IF((time+time_cap)&lt;AT$2, 0,IF(AND(time+1&gt;=AU$2, $E179&lt;AU$2), IF($I179= "I", $J179/($F179-$E179+1), $J179/(($F179*($F179+1)/2)-(($E179-1)*($E179-1+1)/2))*AT$2), 0)+IF(IF(time+1&gt;=AU$2, $K179/time_cap/(time+1)*AT$2, 0) = 0, $K179/(time_cap),0)),0)</f>
        <v/>
      </c>
      <c r="AU179" s="4395">
        <f>IFERROR(IF((time+time_cap)&lt;AU$2, 0,IF(AND(time+1&gt;=AV$2, $E179&lt;AV$2), IF($I179= "I", $J179/($F179-$E179+1), $J179/(($F179*($F179+1)/2)-(($E179-1)*($E179-1+1)/2))*AU$2), 0)+IF(IF(time+1&gt;=AV$2, $K179/time_cap/(time+1)*AU$2, 0) = 0, $K179/(time_cap),0)),0)</f>
        <v/>
      </c>
      <c r="AV179" s="4395">
        <f>IFERROR(IF((time+time_cap)&lt;AV$2, 0,IF(AND(time+1&gt;=AW$2, $E179&lt;AW$2), IF($I179= "I", $J179/($F179-$E179+1), $J179/(($F179*($F179+1)/2)-(($E179-1)*($E179-1+1)/2))*AV$2), 0)+IF(IF(time+1&gt;=AW$2, $K179/time_cap/(time+1)*AV$2, 0) = 0, $K179/(time_cap),0)),0)</f>
        <v/>
      </c>
      <c r="AW179" s="4395">
        <f>IFERROR(IF((time+time_cap)&lt;AW$2, 0,IF(AND(time+1&gt;=AX$2, $E179&lt;AX$2), IF($I179= "I", $J179/($F179-$E179+1), $J179/(($F179*($F179+1)/2)-(($E179-1)*($E179-1+1)/2))*AW$2), 0)+IF(IF(time+1&gt;=AX$2, $K179/time_cap/(time+1)*AW$2, 0) = 0, $K179/(time_cap),0)),0)</f>
        <v/>
      </c>
      <c r="AX179" s="4395">
        <f>IFERROR(IF((time+time_cap)&lt;AX$2, 0,IF(AND(time+1&gt;=AY$2, $E179&lt;AY$2), IF($I179= "I", $J179/($F179-$E179+1), $J179/(($F179*($F179+1)/2)-(($E179-1)*($E179-1+1)/2))*AX$2), 0)+IF(IF(time+1&gt;=AY$2, $K179/time_cap/(time+1)*AX$2, 0) = 0, $K179/(time_cap),0)),0)</f>
        <v/>
      </c>
      <c r="AY179" s="4395">
        <f>IFERROR(IF((time+time_cap)&lt;AY$2, 0,IF(AND(time+1&gt;=AZ$2, $E179&lt;AZ$2), IF($I179= "I", $J179/($F179-$E179+1), $J179/(($F179*($F179+1)/2)-(($E179-1)*($E179-1+1)/2))*AY$2), 0)+IF(IF(time+1&gt;=AZ$2, $K179/time_cap/(time+1)*AY$2, 0) = 0, $K179/(time_cap),0)),0)</f>
        <v/>
      </c>
      <c r="AZ179" s="4395">
        <f>IFERROR(IF((time+time_cap)&lt;AZ$2, 0,IF(AND(time+1&gt;=BA$2, $E179&lt;BA$2), IF($I179= "I", $J179/($F179-$E179+1), $J179/(($F179*($F179+1)/2)-(($E179-1)*($E179-1+1)/2))*AZ$2), 0)+IF(IF(time+1&gt;=BA$2, $K179/time_cap/(time+1)*AZ$2, 0) = 0, $K179/(time_cap),0)),0)</f>
        <v/>
      </c>
      <c r="BA179" s="4395">
        <f>IFERROR(IF((time+time_cap)&lt;BA$2, 0,IF(AND(time+1&gt;=BB$2, $E179&lt;BB$2), IF($I179= "I", $J179/($F179-$E179+1), $J179/(($F179*($F179+1)/2)-(($E179-1)*($E179-1+1)/2))*BA$2), 0)+IF(IF(time+1&gt;=BB$2, $K179/time_cap/(time+1)*BA$2, 0) = 0, $K179/(time_cap),0)),0)</f>
        <v/>
      </c>
      <c r="BB179" s="4395">
        <f>IFERROR(IF((time+time_cap)&lt;BB$2, 0,IF(AND(time+1&gt;=BC$2, $E179&lt;BC$2), IF($I179= "I", $J179/($F179-$E179+1), $J179/(($F179*($F179+1)/2)-(($E179-1)*($E179-1+1)/2))*BB$2), 0)+IF(IF(time+1&gt;=BC$2, $K179/time_cap/(time+1)*BB$2, 0) = 0, $K179/(time_cap),0)),0)</f>
        <v/>
      </c>
      <c r="BC179" s="4395">
        <f>IFERROR(IF((time+time_cap)&lt;BC$2, 0,IF(AND(time+1&gt;=BD$2, $E179&lt;BD$2), IF($I179= "I", $J179/($F179-$E179+1), $J179/(($F179*($F179+1)/2)-(($E179-1)*($E179-1+1)/2))*BC$2), 0)+IF(IF(time+1&gt;=BD$2, $K179/time_cap/(time+1)*BC$2, 0) = 0, $K179/(time_cap),0)),0)</f>
        <v/>
      </c>
      <c r="BD179" s="4395">
        <f>IFERROR(IF((time+time_cap)&lt;BD$2, 0,IF(AND(time+1&gt;=BE$2, $E179&lt;BE$2), IF($I179= "I", $J179/($F179-$E179+1), $J179/(($F179*($F179+1)/2)-(($E179-1)*($E179-1+1)/2))*BD$2), 0)+IF(IF(time+1&gt;=BE$2, $K179/time_cap/(time+1)*BD$2, 0) = 0, $K179/(time_cap),0)),0)</f>
        <v/>
      </c>
      <c r="BE179" s="4395">
        <f>IFERROR(IF((time+time_cap)&lt;BE$2, 0,IF(AND(time+1&gt;=BF$2, $E179&lt;BF$2), IF($I179= "I", $J179/($F179-$E179+1), $J179/(($F179*($F179+1)/2)-(($E179-1)*($E179-1+1)/2))*BE$2), 0)+IF(IF(time+1&gt;=BF$2, $K179/time_cap/(time+1)*BE$2, 0) = 0, $K179/(time_cap),0)),0)</f>
        <v/>
      </c>
      <c r="BF179" s="4395">
        <f>IFERROR(IF((time+time_cap)&lt;BF$2, 0,IF(AND(time+1&gt;=BG$2, $E179&lt;BG$2), IF($I179= "I", $J179/($F179-$E179+1), $J179/(($F179*($F179+1)/2)-(($E179-1)*($E179-1+1)/2))*BF$2), 0)+IF(IF(time+1&gt;=BG$2, $K179/time_cap/(time+1)*BF$2, 0) = 0, $K179/(time_cap),0)),0)</f>
        <v/>
      </c>
      <c r="BG179" s="4395">
        <f>IFERROR(IF((time+time_cap)&lt;BG$2, 0,IF(AND(time+1&gt;=BH$2, $E179&lt;BH$2), IF($I179= "I", $J179/($F179-$E179+1), $J179/(($F179*($F179+1)/2)-(($E179-1)*($E179-1+1)/2))*BG$2), 0)+IF(IF(time+1&gt;=BH$2, $K179/time_cap/(time+1)*BG$2, 0) = 0, $K179/(time_cap),0)),0)</f>
        <v/>
      </c>
      <c r="BH179" s="4395">
        <f>IFERROR(IF((time+time_cap)&lt;BH$2, 0,IF(AND(time+1&gt;=BI$2, $E179&lt;BI$2), IF($I179= "I", $J179/($F179-$E179+1), $J179/(($F179*($F179+1)/2)-(($E179-1)*($E179-1+1)/2))*BH$2), 0)+IF(IF(time+1&gt;=BI$2, $K179/time_cap/(time+1)*BH$2, 0) = 0, $K179/(time_cap),0)),0)</f>
        <v/>
      </c>
      <c r="BI179" s="4395">
        <f>IFERROR(IF((time+time_cap)&lt;BI$2, 0,IF(AND(time+1&gt;=BJ$2, $E179&lt;BJ$2), IF($I179= "I", $J179/($F179-$E179+1), $J179/(($F179*($F179+1)/2)-(($E179-1)*($E179-1+1)/2))*BI$2), 0)+IF(IF(time+1&gt;=BJ$2, $K179/time_cap/(time+1)*BI$2, 0) = 0, $K179/(time_cap),0)),0)</f>
        <v/>
      </c>
      <c r="BJ179" s="4395">
        <f>IFERROR(IF((time+time_cap)&lt;BJ$2, 0,IF(AND(time+1&gt;=BK$2, $E179&lt;BK$2), IF($I179= "I", $J179/($F179-$E179+1), $J179/(($F179*($F179+1)/2)-(($E179-1)*($E179-1+1)/2))*BJ$2), 0)+IF(IF(time+1&gt;=BK$2, $K179/time_cap/(time+1)*BJ$2, 0) = 0, $K179/(time_cap),0)),0)</f>
        <v/>
      </c>
      <c r="BK179" s="4395" t="n"/>
      <c r="BL179" s="4395" t="n"/>
      <c r="BM179" s="4395" t="n"/>
      <c r="BN179" s="4395" t="n"/>
      <c r="BO179" s="4395" t="n"/>
      <c r="BP179" s="4395" t="n"/>
      <c r="BQ179" s="4395" t="n"/>
      <c r="BR179" s="4395" t="n"/>
      <c r="BS179" s="4395" t="n"/>
      <c r="BT179" s="4395" t="n"/>
      <c r="BU179" s="4395" t="n"/>
      <c r="BV179" s="4395" t="n"/>
      <c r="BW179" s="4395" t="n"/>
      <c r="BX179" s="4395" t="n"/>
      <c r="BY179" s="4395" t="n"/>
      <c r="BZ179" s="4395" t="n"/>
      <c r="CA179" s="4395" t="n"/>
      <c r="CB179" s="4395" t="n"/>
      <c r="CC179" s="4395" t="n"/>
      <c r="CD179" s="4395" t="n"/>
      <c r="CE179" s="4395" t="n"/>
      <c r="CF179" s="4395" t="n"/>
      <c r="CG179" s="4395" t="n"/>
      <c r="CH179" s="4395" t="n"/>
      <c r="CI179" s="4395" t="n"/>
      <c r="CJ179" s="4395" t="n"/>
      <c r="CK179" s="4395" t="n"/>
      <c r="CL179" s="4395" t="n"/>
      <c r="CM179" s="4395" t="n"/>
      <c r="CN179" s="4395" t="n"/>
      <c r="CO179" s="4395" t="n"/>
      <c r="CP179" s="4395" t="n"/>
      <c r="CQ179" s="4395" t="n"/>
      <c r="CR179" s="4395" t="n"/>
      <c r="CS179" s="4395" t="n"/>
      <c r="CT179" s="4395" t="n"/>
      <c r="CU179" s="4395" t="n"/>
      <c r="CV179" s="4395" t="n"/>
      <c r="CW179" s="4395" t="n"/>
      <c r="CX179" s="4395" t="n"/>
      <c r="CY179" s="4395" t="n"/>
      <c r="CZ179" s="4395" t="n"/>
      <c r="DA179" s="4395" t="n"/>
      <c r="DB179" s="4395" t="n"/>
      <c r="DC179" s="4395" t="n"/>
      <c r="DD179" s="4395" t="n"/>
      <c r="DE179" s="4395" t="n"/>
      <c r="DF179" s="4395" t="n"/>
      <c r="DG179" s="4395" t="n"/>
      <c r="DH179" s="4395" t="n"/>
    </row>
    <row r="180" ht="16" customHeight="1">
      <c r="A180" t="inlineStr">
        <is>
          <t>Coastal wetland - water</t>
        </is>
      </c>
      <c r="C180">
        <f>'7.Coastal wetlands'!C67</f>
        <v/>
      </c>
      <c r="D180">
        <f>'7.Coastal wetlands'!AI67</f>
        <v/>
      </c>
      <c r="E180">
        <f>IF('7.Coastal wetlands'!CN67&lt;&gt;0,'7.Coastal wetlands'!CN67,'7.Coastal wetlands'!CM67)</f>
        <v/>
      </c>
      <c r="F180">
        <f>time</f>
        <v/>
      </c>
      <c r="G180" s="4395">
        <f>'7.Coastal wetlands'!O67</f>
        <v/>
      </c>
      <c r="H180" s="4395">
        <f>'7.Coastal wetlands'!Q67</f>
        <v/>
      </c>
      <c r="I180" s="4395">
        <f>IF(OR(H180="I", G180="I"), "I", IF(OR(H180="E", G180="E"), "E", "D"))</f>
        <v/>
      </c>
      <c r="J180" s="4395">
        <f>((D180/(time_cap+((F180-E180+1)*VLOOKUP(I180,list!$I$48:$K$50,3, FALSE))))*(F180-E180+1)*VLOOKUP(I180,list!$I$48:$K$50,3, FALSE))</f>
        <v/>
      </c>
      <c r="K180" s="4395">
        <f>((D180/(time_cap+((F180-E180+1)*VLOOKUP(I180,list!$I$48:$K$50,3, FALSE))))*time_cap)</f>
        <v/>
      </c>
      <c r="M180" s="4395">
        <f>IFERROR(IF((time+time_cap)&lt;M$2, 0,IF(AND(time+1&gt;=N$2, $E180&lt;N$2), IF($I180= "I", $J180/($F180-$E180+1), $J180/(($F180*($F180+1)/2)-(($E180-1)*($E180-1+1)/2))*M$2), 0)+IF(IF(time+1&gt;=N$2, $K180/time_cap/(time+1)*M$2, 0) = 0, $K180/(time_cap),0)),0)</f>
        <v/>
      </c>
      <c r="N180" s="4395">
        <f>IFERROR(IF((time+time_cap)&lt;N$2, 0,IF(AND(time+1&gt;=O$2, $E180&lt;O$2), IF($I180= "I", $J180/($F180-$E180+1), $J180/(($F180*($F180+1)/2)-(($E180-1)*($E180-1+1)/2))*N$2), 0)+IF(IF(time+1&gt;=O$2, $K180/time_cap/(time+1)*N$2, 0) = 0, $K180/(time_cap),0)),0)</f>
        <v/>
      </c>
      <c r="O180" s="4395">
        <f>IFERROR(IF((time+time_cap)&lt;O$2, 0,IF(AND(time+1&gt;=P$2, $E180&lt;P$2), IF($I180= "I", $J180/($F180-$E180+1), $J180/(($F180*($F180+1)/2)-(($E180-1)*($E180-1+1)/2))*O$2), 0)+IF(IF(time+1&gt;=P$2, $K180/time_cap/(time+1)*O$2, 0) = 0, $K180/(time_cap),0)),0)</f>
        <v/>
      </c>
      <c r="P180" s="4395">
        <f>IFERROR(IF((time+time_cap)&lt;P$2, 0,IF(AND(time+1&gt;=Q$2, $E180&lt;Q$2), IF($I180= "I", $J180/($F180-$E180+1), $J180/(($F180*($F180+1)/2)-(($E180-1)*($E180-1+1)/2))*P$2), 0)+IF(IF(time+1&gt;=Q$2, $K180/time_cap/(time+1)*P$2, 0) = 0, $K180/(time_cap),0)),0)</f>
        <v/>
      </c>
      <c r="Q180" s="4395">
        <f>IFERROR(IF((time+time_cap)&lt;Q$2, 0,IF(AND(time+1&gt;=R$2, $E180&lt;R$2), IF($I180= "I", $J180/($F180-$E180+1), $J180/(($F180*($F180+1)/2)-(($E180-1)*($E180-1+1)/2))*Q$2), 0)+IF(IF(time+1&gt;=R$2, $K180/time_cap/(time+1)*Q$2, 0) = 0, $K180/(time_cap),0)),0)</f>
        <v/>
      </c>
      <c r="R180" s="4395">
        <f>IFERROR(IF((time+time_cap)&lt;R$2, 0,IF(AND(time+1&gt;=S$2, $E180&lt;S$2), IF($I180= "I", $J180/($F180-$E180+1), $J180/(($F180*($F180+1)/2)-(($E180-1)*($E180-1+1)/2))*R$2), 0)+IF(IF(time+1&gt;=S$2, $K180/time_cap/(time+1)*R$2, 0) = 0, $K180/(time_cap),0)),0)</f>
        <v/>
      </c>
      <c r="S180" s="4395">
        <f>IFERROR(IF((time+time_cap)&lt;S$2, 0,IF(AND(time+1&gt;=T$2, $E180&lt;T$2), IF($I180= "I", $J180/($F180-$E180+1), $J180/(($F180*($F180+1)/2)-(($E180-1)*($E180-1+1)/2))*S$2), 0)+IF(IF(time+1&gt;=T$2, $K180/time_cap/(time+1)*S$2, 0) = 0, $K180/(time_cap),0)),0)</f>
        <v/>
      </c>
      <c r="T180" s="4395">
        <f>IFERROR(IF((time+time_cap)&lt;T$2, 0,IF(AND(time+1&gt;=U$2, $E180&lt;U$2), IF($I180= "I", $J180/($F180-$E180+1), $J180/(($F180*($F180+1)/2)-(($E180-1)*($E180-1+1)/2))*T$2), 0)+IF(IF(time+1&gt;=U$2, $K180/time_cap/(time+1)*T$2, 0) = 0, $K180/(time_cap),0)),0)</f>
        <v/>
      </c>
      <c r="U180" s="4395">
        <f>IFERROR(IF((time+time_cap)&lt;U$2, 0,IF(AND(time+1&gt;=V$2, $E180&lt;V$2), IF($I180= "I", $J180/($F180-$E180+1), $J180/(($F180*($F180+1)/2)-(($E180-1)*($E180-1+1)/2))*U$2), 0)+IF(IF(time+1&gt;=V$2, $K180/time_cap/(time+1)*U$2, 0) = 0, $K180/(time_cap),0)),0)</f>
        <v/>
      </c>
      <c r="V180" s="4395">
        <f>IFERROR(IF((time+time_cap)&lt;V$2, 0,IF(AND(time+1&gt;=W$2, $E180&lt;W$2), IF($I180= "I", $J180/($F180-$E180+1), $J180/(($F180*($F180+1)/2)-(($E180-1)*($E180-1+1)/2))*V$2), 0)+IF(IF(time+1&gt;=W$2, $K180/time_cap/(time+1)*V$2, 0) = 0, $K180/(time_cap),0)),0)</f>
        <v/>
      </c>
      <c r="W180" s="4395">
        <f>IFERROR(IF((time+time_cap)&lt;W$2, 0,IF(AND(time+1&gt;=X$2, $E180&lt;X$2), IF($I180= "I", $J180/($F180-$E180+1), $J180/(($F180*($F180+1)/2)-(($E180-1)*($E180-1+1)/2))*W$2), 0)+IF(IF(time+1&gt;=X$2, $K180/time_cap/(time+1)*W$2, 0) = 0, $K180/(time_cap),0)),0)</f>
        <v/>
      </c>
      <c r="X180" s="4395">
        <f>IFERROR(IF((time+time_cap)&lt;X$2, 0,IF(AND(time+1&gt;=Y$2, $E180&lt;Y$2), IF($I180= "I", $J180/($F180-$E180+1), $J180/(($F180*($F180+1)/2)-(($E180-1)*($E180-1+1)/2))*X$2), 0)+IF(IF(time+1&gt;=Y$2, $K180/time_cap/(time+1)*X$2, 0) = 0, $K180/(time_cap),0)),0)</f>
        <v/>
      </c>
      <c r="Y180" s="4395">
        <f>IFERROR(IF((time+time_cap)&lt;Y$2, 0,IF(AND(time+1&gt;=Z$2, $E180&lt;Z$2), IF($I180= "I", $J180/($F180-$E180+1), $J180/(($F180*($F180+1)/2)-(($E180-1)*($E180-1+1)/2))*Y$2), 0)+IF(IF(time+1&gt;=Z$2, $K180/time_cap/(time+1)*Y$2, 0) = 0, $K180/(time_cap),0)),0)</f>
        <v/>
      </c>
      <c r="Z180" s="4395">
        <f>IFERROR(IF((time+time_cap)&lt;Z$2, 0,IF(AND(time+1&gt;=AA$2, $E180&lt;AA$2), IF($I180= "I", $J180/($F180-$E180+1), $J180/(($F180*($F180+1)/2)-(($E180-1)*($E180-1+1)/2))*Z$2), 0)+IF(IF(time+1&gt;=AA$2, $K180/time_cap/(time+1)*Z$2, 0) = 0, $K180/(time_cap),0)),0)</f>
        <v/>
      </c>
      <c r="AA180" s="4395">
        <f>IFERROR(IF((time+time_cap)&lt;AA$2, 0,IF(AND(time+1&gt;=AB$2, $E180&lt;AB$2), IF($I180= "I", $J180/($F180-$E180+1), $J180/(($F180*($F180+1)/2)-(($E180-1)*($E180-1+1)/2))*AA$2), 0)+IF(IF(time+1&gt;=AB$2, $K180/time_cap/(time+1)*AA$2, 0) = 0, $K180/(time_cap),0)),0)</f>
        <v/>
      </c>
      <c r="AB180" s="4395">
        <f>IFERROR(IF((time+time_cap)&lt;AB$2, 0,IF(AND(time+1&gt;=AC$2, $E180&lt;AC$2), IF($I180= "I", $J180/($F180-$E180+1), $J180/(($F180*($F180+1)/2)-(($E180-1)*($E180-1+1)/2))*AB$2), 0)+IF(IF(time+1&gt;=AC$2, $K180/time_cap/(time+1)*AB$2, 0) = 0, $K180/(time_cap),0)),0)</f>
        <v/>
      </c>
      <c r="AC180" s="4395">
        <f>IFERROR(IF((time+time_cap)&lt;AC$2, 0,IF(AND(time+1&gt;=AD$2, $E180&lt;AD$2), IF($I180= "I", $J180/($F180-$E180+1), $J180/(($F180*($F180+1)/2)-(($E180-1)*($E180-1+1)/2))*AC$2), 0)+IF(IF(time+1&gt;=AD$2, $K180/time_cap/(time+1)*AC$2, 0) = 0, $K180/(time_cap),0)),0)</f>
        <v/>
      </c>
      <c r="AD180" s="4395">
        <f>IFERROR(IF((time+time_cap)&lt;AD$2, 0,IF(AND(time+1&gt;=AE$2, $E180&lt;AE$2), IF($I180= "I", $J180/($F180-$E180+1), $J180/(($F180*($F180+1)/2)-(($E180-1)*($E180-1+1)/2))*AD$2), 0)+IF(IF(time+1&gt;=AE$2, $K180/time_cap/(time+1)*AD$2, 0) = 0, $K180/(time_cap),0)),0)</f>
        <v/>
      </c>
      <c r="AE180" s="4395">
        <f>IFERROR(IF((time+time_cap)&lt;AE$2, 0,IF(AND(time+1&gt;=AF$2, $E180&lt;AF$2), IF($I180= "I", $J180/($F180-$E180+1), $J180/(($F180*($F180+1)/2)-(($E180-1)*($E180-1+1)/2))*AE$2), 0)+IF(IF(time+1&gt;=AF$2, $K180/time_cap/(time+1)*AE$2, 0) = 0, $K180/(time_cap),0)),0)</f>
        <v/>
      </c>
      <c r="AF180" s="4395">
        <f>IFERROR(IF((time+time_cap)&lt;AF$2, 0,IF(AND(time+1&gt;=AG$2, $E180&lt;AG$2), IF($I180= "I", $J180/($F180-$E180+1), $J180/(($F180*($F180+1)/2)-(($E180-1)*($E180-1+1)/2))*AF$2), 0)+IF(IF(time+1&gt;=AG$2, $K180/time_cap/(time+1)*AF$2, 0) = 0, $K180/(time_cap),0)),0)</f>
        <v/>
      </c>
      <c r="AG180" s="4395">
        <f>IFERROR(IF((time+time_cap)&lt;AG$2, 0,IF(AND(time+1&gt;=AH$2, $E180&lt;AH$2), IF($I180= "I", $J180/($F180-$E180+1), $J180/(($F180*($F180+1)/2)-(($E180-1)*($E180-1+1)/2))*AG$2), 0)+IF(IF(time+1&gt;=AH$2, $K180/time_cap/(time+1)*AG$2, 0) = 0, $K180/(time_cap),0)),0)</f>
        <v/>
      </c>
      <c r="AH180" s="4395">
        <f>IFERROR(IF((time+time_cap)&lt;AH$2, 0,IF(AND(time+1&gt;=AI$2, $E180&lt;AI$2), IF($I180= "I", $J180/($F180-$E180+1), $J180/(($F180*($F180+1)/2)-(($E180-1)*($E180-1+1)/2))*AH$2), 0)+IF(IF(time+1&gt;=AI$2, $K180/time_cap/(time+1)*AH$2, 0) = 0, $K180/(time_cap),0)),0)</f>
        <v/>
      </c>
      <c r="AI180" s="4395">
        <f>IFERROR(IF((time+time_cap)&lt;AI$2, 0,IF(AND(time+1&gt;=AJ$2, $E180&lt;AJ$2), IF($I180= "I", $J180/($F180-$E180+1), $J180/(($F180*($F180+1)/2)-(($E180-1)*($E180-1+1)/2))*AI$2), 0)+IF(IF(time+1&gt;=AJ$2, $K180/time_cap/(time+1)*AI$2, 0) = 0, $K180/(time_cap),0)),0)</f>
        <v/>
      </c>
      <c r="AJ180" s="4395">
        <f>IFERROR(IF((time+time_cap)&lt;AJ$2, 0,IF(AND(time+1&gt;=AK$2, $E180&lt;AK$2), IF($I180= "I", $J180/($F180-$E180+1), $J180/(($F180*($F180+1)/2)-(($E180-1)*($E180-1+1)/2))*AJ$2), 0)+IF(IF(time+1&gt;=AK$2, $K180/time_cap/(time+1)*AJ$2, 0) = 0, $K180/(time_cap),0)),0)</f>
        <v/>
      </c>
      <c r="AK180" s="4395">
        <f>IFERROR(IF((time+time_cap)&lt;AK$2, 0,IF(AND(time+1&gt;=AL$2, $E180&lt;AL$2), IF($I180= "I", $J180/($F180-$E180+1), $J180/(($F180*($F180+1)/2)-(($E180-1)*($E180-1+1)/2))*AK$2), 0)+IF(IF(time+1&gt;=AL$2, $K180/time_cap/(time+1)*AK$2, 0) = 0, $K180/(time_cap),0)),0)</f>
        <v/>
      </c>
      <c r="AL180" s="4395">
        <f>IFERROR(IF((time+time_cap)&lt;AL$2, 0,IF(AND(time+1&gt;=AM$2, $E180&lt;AM$2), IF($I180= "I", $J180/($F180-$E180+1), $J180/(($F180*($F180+1)/2)-(($E180-1)*($E180-1+1)/2))*AL$2), 0)+IF(IF(time+1&gt;=AM$2, $K180/time_cap/(time+1)*AL$2, 0) = 0, $K180/(time_cap),0)),0)</f>
        <v/>
      </c>
      <c r="AM180" s="4395">
        <f>IFERROR(IF((time+time_cap)&lt;AM$2, 0,IF(AND(time+1&gt;=AN$2, $E180&lt;AN$2), IF($I180= "I", $J180/($F180-$E180+1), $J180/(($F180*($F180+1)/2)-(($E180-1)*($E180-1+1)/2))*AM$2), 0)+IF(IF(time+1&gt;=AN$2, $K180/time_cap/(time+1)*AM$2, 0) = 0, $K180/(time_cap),0)),0)</f>
        <v/>
      </c>
      <c r="AN180" s="4395">
        <f>IFERROR(IF((time+time_cap)&lt;AN$2, 0,IF(AND(time+1&gt;=AO$2, $E180&lt;AO$2), IF($I180= "I", $J180/($F180-$E180+1), $J180/(($F180*($F180+1)/2)-(($E180-1)*($E180-1+1)/2))*AN$2), 0)+IF(IF(time+1&gt;=AO$2, $K180/time_cap/(time+1)*AN$2, 0) = 0, $K180/(time_cap),0)),0)</f>
        <v/>
      </c>
      <c r="AO180" s="4395">
        <f>IFERROR(IF((time+time_cap)&lt;AO$2, 0,IF(AND(time+1&gt;=AP$2, $E180&lt;AP$2), IF($I180= "I", $J180/($F180-$E180+1), $J180/(($F180*($F180+1)/2)-(($E180-1)*($E180-1+1)/2))*AO$2), 0)+IF(IF(time+1&gt;=AP$2, $K180/time_cap/(time+1)*AO$2, 0) = 0, $K180/(time_cap),0)),0)</f>
        <v/>
      </c>
      <c r="AP180" s="4395">
        <f>IFERROR(IF((time+time_cap)&lt;AP$2, 0,IF(AND(time+1&gt;=AQ$2, $E180&lt;AQ$2), IF($I180= "I", $J180/($F180-$E180+1), $J180/(($F180*($F180+1)/2)-(($E180-1)*($E180-1+1)/2))*AP$2), 0)+IF(IF(time+1&gt;=AQ$2, $K180/time_cap/(time+1)*AP$2, 0) = 0, $K180/(time_cap),0)),0)</f>
        <v/>
      </c>
      <c r="AQ180" s="4395">
        <f>IFERROR(IF((time+time_cap)&lt;AQ$2, 0,IF(AND(time+1&gt;=AR$2, $E180&lt;AR$2), IF($I180= "I", $J180/($F180-$E180+1), $J180/(($F180*($F180+1)/2)-(($E180-1)*($E180-1+1)/2))*AQ$2), 0)+IF(IF(time+1&gt;=AR$2, $K180/time_cap/(time+1)*AQ$2, 0) = 0, $K180/(time_cap),0)),0)</f>
        <v/>
      </c>
      <c r="AR180" s="4395">
        <f>IFERROR(IF((time+time_cap)&lt;AR$2, 0,IF(AND(time+1&gt;=AS$2, $E180&lt;AS$2), IF($I180= "I", $J180/($F180-$E180+1), $J180/(($F180*($F180+1)/2)-(($E180-1)*($E180-1+1)/2))*AR$2), 0)+IF(IF(time+1&gt;=AS$2, $K180/time_cap/(time+1)*AR$2, 0) = 0, $K180/(time_cap),0)),0)</f>
        <v/>
      </c>
      <c r="AS180" s="4395">
        <f>IFERROR(IF((time+time_cap)&lt;AS$2, 0,IF(AND(time+1&gt;=AT$2, $E180&lt;AT$2), IF($I180= "I", $J180/($F180-$E180+1), $J180/(($F180*($F180+1)/2)-(($E180-1)*($E180-1+1)/2))*AS$2), 0)+IF(IF(time+1&gt;=AT$2, $K180/time_cap/(time+1)*AS$2, 0) = 0, $K180/(time_cap),0)),0)</f>
        <v/>
      </c>
      <c r="AT180" s="4395">
        <f>IFERROR(IF((time+time_cap)&lt;AT$2, 0,IF(AND(time+1&gt;=AU$2, $E180&lt;AU$2), IF($I180= "I", $J180/($F180-$E180+1), $J180/(($F180*($F180+1)/2)-(($E180-1)*($E180-1+1)/2))*AT$2), 0)+IF(IF(time+1&gt;=AU$2, $K180/time_cap/(time+1)*AT$2, 0) = 0, $K180/(time_cap),0)),0)</f>
        <v/>
      </c>
      <c r="AU180" s="4395">
        <f>IFERROR(IF((time+time_cap)&lt;AU$2, 0,IF(AND(time+1&gt;=AV$2, $E180&lt;AV$2), IF($I180= "I", $J180/($F180-$E180+1), $J180/(($F180*($F180+1)/2)-(($E180-1)*($E180-1+1)/2))*AU$2), 0)+IF(IF(time+1&gt;=AV$2, $K180/time_cap/(time+1)*AU$2, 0) = 0, $K180/(time_cap),0)),0)</f>
        <v/>
      </c>
      <c r="AV180" s="4395">
        <f>IFERROR(IF((time+time_cap)&lt;AV$2, 0,IF(AND(time+1&gt;=AW$2, $E180&lt;AW$2), IF($I180= "I", $J180/($F180-$E180+1), $J180/(($F180*($F180+1)/2)-(($E180-1)*($E180-1+1)/2))*AV$2), 0)+IF(IF(time+1&gt;=AW$2, $K180/time_cap/(time+1)*AV$2, 0) = 0, $K180/(time_cap),0)),0)</f>
        <v/>
      </c>
      <c r="AW180" s="4395">
        <f>IFERROR(IF((time+time_cap)&lt;AW$2, 0,IF(AND(time+1&gt;=AX$2, $E180&lt;AX$2), IF($I180= "I", $J180/($F180-$E180+1), $J180/(($F180*($F180+1)/2)-(($E180-1)*($E180-1+1)/2))*AW$2), 0)+IF(IF(time+1&gt;=AX$2, $K180/time_cap/(time+1)*AW$2, 0) = 0, $K180/(time_cap),0)),0)</f>
        <v/>
      </c>
      <c r="AX180" s="4395">
        <f>IFERROR(IF((time+time_cap)&lt;AX$2, 0,IF(AND(time+1&gt;=AY$2, $E180&lt;AY$2), IF($I180= "I", $J180/($F180-$E180+1), $J180/(($F180*($F180+1)/2)-(($E180-1)*($E180-1+1)/2))*AX$2), 0)+IF(IF(time+1&gt;=AY$2, $K180/time_cap/(time+1)*AX$2, 0) = 0, $K180/(time_cap),0)),0)</f>
        <v/>
      </c>
      <c r="AY180" s="4395">
        <f>IFERROR(IF((time+time_cap)&lt;AY$2, 0,IF(AND(time+1&gt;=AZ$2, $E180&lt;AZ$2), IF($I180= "I", $J180/($F180-$E180+1), $J180/(($F180*($F180+1)/2)-(($E180-1)*($E180-1+1)/2))*AY$2), 0)+IF(IF(time+1&gt;=AZ$2, $K180/time_cap/(time+1)*AY$2, 0) = 0, $K180/(time_cap),0)),0)</f>
        <v/>
      </c>
      <c r="AZ180" s="4395">
        <f>IFERROR(IF((time+time_cap)&lt;AZ$2, 0,IF(AND(time+1&gt;=BA$2, $E180&lt;BA$2), IF($I180= "I", $J180/($F180-$E180+1), $J180/(($F180*($F180+1)/2)-(($E180-1)*($E180-1+1)/2))*AZ$2), 0)+IF(IF(time+1&gt;=BA$2, $K180/time_cap/(time+1)*AZ$2, 0) = 0, $K180/(time_cap),0)),0)</f>
        <v/>
      </c>
      <c r="BA180" s="4395">
        <f>IFERROR(IF((time+time_cap)&lt;BA$2, 0,IF(AND(time+1&gt;=BB$2, $E180&lt;BB$2), IF($I180= "I", $J180/($F180-$E180+1), $J180/(($F180*($F180+1)/2)-(($E180-1)*($E180-1+1)/2))*BA$2), 0)+IF(IF(time+1&gt;=BB$2, $K180/time_cap/(time+1)*BA$2, 0) = 0, $K180/(time_cap),0)),0)</f>
        <v/>
      </c>
      <c r="BB180" s="4395">
        <f>IFERROR(IF((time+time_cap)&lt;BB$2, 0,IF(AND(time+1&gt;=BC$2, $E180&lt;BC$2), IF($I180= "I", $J180/($F180-$E180+1), $J180/(($F180*($F180+1)/2)-(($E180-1)*($E180-1+1)/2))*BB$2), 0)+IF(IF(time+1&gt;=BC$2, $K180/time_cap/(time+1)*BB$2, 0) = 0, $K180/(time_cap),0)),0)</f>
        <v/>
      </c>
      <c r="BC180" s="4395">
        <f>IFERROR(IF((time+time_cap)&lt;BC$2, 0,IF(AND(time+1&gt;=BD$2, $E180&lt;BD$2), IF($I180= "I", $J180/($F180-$E180+1), $J180/(($F180*($F180+1)/2)-(($E180-1)*($E180-1+1)/2))*BC$2), 0)+IF(IF(time+1&gt;=BD$2, $K180/time_cap/(time+1)*BC$2, 0) = 0, $K180/(time_cap),0)),0)</f>
        <v/>
      </c>
      <c r="BD180" s="4395">
        <f>IFERROR(IF((time+time_cap)&lt;BD$2, 0,IF(AND(time+1&gt;=BE$2, $E180&lt;BE$2), IF($I180= "I", $J180/($F180-$E180+1), $J180/(($F180*($F180+1)/2)-(($E180-1)*($E180-1+1)/2))*BD$2), 0)+IF(IF(time+1&gt;=BE$2, $K180/time_cap/(time+1)*BD$2, 0) = 0, $K180/(time_cap),0)),0)</f>
        <v/>
      </c>
      <c r="BE180" s="4395">
        <f>IFERROR(IF((time+time_cap)&lt;BE$2, 0,IF(AND(time+1&gt;=BF$2, $E180&lt;BF$2), IF($I180= "I", $J180/($F180-$E180+1), $J180/(($F180*($F180+1)/2)-(($E180-1)*($E180-1+1)/2))*BE$2), 0)+IF(IF(time+1&gt;=BF$2, $K180/time_cap/(time+1)*BE$2, 0) = 0, $K180/(time_cap),0)),0)</f>
        <v/>
      </c>
      <c r="BF180" s="4395">
        <f>IFERROR(IF((time+time_cap)&lt;BF$2, 0,IF(AND(time+1&gt;=BG$2, $E180&lt;BG$2), IF($I180= "I", $J180/($F180-$E180+1), $J180/(($F180*($F180+1)/2)-(($E180-1)*($E180-1+1)/2))*BF$2), 0)+IF(IF(time+1&gt;=BG$2, $K180/time_cap/(time+1)*BF$2, 0) = 0, $K180/(time_cap),0)),0)</f>
        <v/>
      </c>
      <c r="BG180" s="4395">
        <f>IFERROR(IF((time+time_cap)&lt;BG$2, 0,IF(AND(time+1&gt;=BH$2, $E180&lt;BH$2), IF($I180= "I", $J180/($F180-$E180+1), $J180/(($F180*($F180+1)/2)-(($E180-1)*($E180-1+1)/2))*BG$2), 0)+IF(IF(time+1&gt;=BH$2, $K180/time_cap/(time+1)*BG$2, 0) = 0, $K180/(time_cap),0)),0)</f>
        <v/>
      </c>
      <c r="BH180" s="4395">
        <f>IFERROR(IF((time+time_cap)&lt;BH$2, 0,IF(AND(time+1&gt;=BI$2, $E180&lt;BI$2), IF($I180= "I", $J180/($F180-$E180+1), $J180/(($F180*($F180+1)/2)-(($E180-1)*($E180-1+1)/2))*BH$2), 0)+IF(IF(time+1&gt;=BI$2, $K180/time_cap/(time+1)*BH$2, 0) = 0, $K180/(time_cap),0)),0)</f>
        <v/>
      </c>
      <c r="BI180" s="4395">
        <f>IFERROR(IF((time+time_cap)&lt;BI$2, 0,IF(AND(time+1&gt;=BJ$2, $E180&lt;BJ$2), IF($I180= "I", $J180/($F180-$E180+1), $J180/(($F180*($F180+1)/2)-(($E180-1)*($E180-1+1)/2))*BI$2), 0)+IF(IF(time+1&gt;=BJ$2, $K180/time_cap/(time+1)*BI$2, 0) = 0, $K180/(time_cap),0)),0)</f>
        <v/>
      </c>
      <c r="BJ180" s="4395">
        <f>IFERROR(IF((time+time_cap)&lt;BJ$2, 0,IF(AND(time+1&gt;=BK$2, $E180&lt;BK$2), IF($I180= "I", $J180/($F180-$E180+1), $J180/(($F180*($F180+1)/2)-(($E180-1)*($E180-1+1)/2))*BJ$2), 0)+IF(IF(time+1&gt;=BK$2, $K180/time_cap/(time+1)*BJ$2, 0) = 0, $K180/(time_cap),0)),0)</f>
        <v/>
      </c>
      <c r="BK180" s="4395" t="n"/>
      <c r="BL180" s="4395" t="n"/>
      <c r="BM180" s="4395" t="n"/>
      <c r="BN180" s="4395" t="n"/>
      <c r="BO180" s="4395" t="n"/>
      <c r="BP180" s="4395" t="n"/>
      <c r="BQ180" s="4395" t="n"/>
      <c r="BR180" s="4395" t="n"/>
      <c r="BS180" s="4395" t="n"/>
      <c r="BT180" s="4395" t="n"/>
      <c r="BU180" s="4395" t="n"/>
      <c r="BV180" s="4395" t="n"/>
      <c r="BW180" s="4395" t="n"/>
      <c r="BX180" s="4395" t="n"/>
      <c r="BY180" s="4395" t="n"/>
      <c r="BZ180" s="4395" t="n"/>
      <c r="CA180" s="4395" t="n"/>
      <c r="CB180" s="4395" t="n"/>
      <c r="CC180" s="4395" t="n"/>
      <c r="CD180" s="4395" t="n"/>
      <c r="CE180" s="4395" t="n"/>
      <c r="CF180" s="4395" t="n"/>
      <c r="CG180" s="4395" t="n"/>
      <c r="CH180" s="4395" t="n"/>
      <c r="CI180" s="4395" t="n"/>
      <c r="CJ180" s="4395" t="n"/>
      <c r="CK180" s="4395" t="n"/>
      <c r="CL180" s="4395" t="n"/>
      <c r="CM180" s="4395" t="n"/>
      <c r="CN180" s="4395" t="n"/>
      <c r="CO180" s="4395" t="n"/>
      <c r="CP180" s="4395" t="n"/>
      <c r="CQ180" s="4395" t="n"/>
      <c r="CR180" s="4395" t="n"/>
      <c r="CS180" s="4395" t="n"/>
      <c r="CT180" s="4395" t="n"/>
      <c r="CU180" s="4395" t="n"/>
      <c r="CV180" s="4395" t="n"/>
      <c r="CW180" s="4395" t="n"/>
      <c r="CX180" s="4395" t="n"/>
      <c r="CY180" s="4395" t="n"/>
      <c r="CZ180" s="4395" t="n"/>
      <c r="DA180" s="4395" t="n"/>
      <c r="DB180" s="4395" t="n"/>
      <c r="DC180" s="4395" t="n"/>
      <c r="DD180" s="4395" t="n"/>
      <c r="DE180" s="4395" t="n"/>
      <c r="DF180" s="4395" t="n"/>
      <c r="DG180" s="4395" t="n"/>
      <c r="DH180" s="4395" t="n"/>
    </row>
    <row r="181" ht="16" customHeight="1">
      <c r="A181" t="inlineStr">
        <is>
          <t>Coastal wetland - water</t>
        </is>
      </c>
      <c r="C181">
        <f>'7.Coastal wetlands'!C68</f>
        <v/>
      </c>
      <c r="D181">
        <f>'7.Coastal wetlands'!AI68</f>
        <v/>
      </c>
      <c r="E181">
        <f>IF('7.Coastal wetlands'!CN68&lt;&gt;0,'7.Coastal wetlands'!CN68,'7.Coastal wetlands'!CM68)</f>
        <v/>
      </c>
      <c r="F181">
        <f>time</f>
        <v/>
      </c>
      <c r="G181" s="4395">
        <f>'7.Coastal wetlands'!O68</f>
        <v/>
      </c>
      <c r="H181" s="4395">
        <f>'7.Coastal wetlands'!Q68</f>
        <v/>
      </c>
      <c r="I181" s="4395">
        <f>IF(OR(H181="I", G181="I"), "I", IF(OR(H181="E", G181="E"), "E", "D"))</f>
        <v/>
      </c>
      <c r="J181" s="4395">
        <f>((D181/(time_cap+((F181-E181+1)*VLOOKUP(I181,list!$I$48:$K$50,3, FALSE))))*(F181-E181+1)*VLOOKUP(I181,list!$I$48:$K$50,3, FALSE))</f>
        <v/>
      </c>
      <c r="K181" s="4395">
        <f>((D181/(time_cap+((F181-E181+1)*VLOOKUP(I181,list!$I$48:$K$50,3, FALSE))))*time_cap)</f>
        <v/>
      </c>
      <c r="M181" s="4395">
        <f>IFERROR(IF((time+time_cap)&lt;M$2, 0,IF(AND(time+1&gt;=N$2, $E181&lt;N$2), IF($I181= "I", $J181/($F181-$E181+1), $J181/(($F181*($F181+1)/2)-(($E181-1)*($E181-1+1)/2))*M$2), 0)+IF(IF(time+1&gt;=N$2, $K181/time_cap/(time+1)*M$2, 0) = 0, $K181/(time_cap),0)),0)</f>
        <v/>
      </c>
      <c r="N181" s="4395">
        <f>IFERROR(IF((time+time_cap)&lt;N$2, 0,IF(AND(time+1&gt;=O$2, $E181&lt;O$2), IF($I181= "I", $J181/($F181-$E181+1), $J181/(($F181*($F181+1)/2)-(($E181-1)*($E181-1+1)/2))*N$2), 0)+IF(IF(time+1&gt;=O$2, $K181/time_cap/(time+1)*N$2, 0) = 0, $K181/(time_cap),0)),0)</f>
        <v/>
      </c>
      <c r="O181" s="4395">
        <f>IFERROR(IF((time+time_cap)&lt;O$2, 0,IF(AND(time+1&gt;=P$2, $E181&lt;P$2), IF($I181= "I", $J181/($F181-$E181+1), $J181/(($F181*($F181+1)/2)-(($E181-1)*($E181-1+1)/2))*O$2), 0)+IF(IF(time+1&gt;=P$2, $K181/time_cap/(time+1)*O$2, 0) = 0, $K181/(time_cap),0)),0)</f>
        <v/>
      </c>
      <c r="P181" s="4395">
        <f>IFERROR(IF((time+time_cap)&lt;P$2, 0,IF(AND(time+1&gt;=Q$2, $E181&lt;Q$2), IF($I181= "I", $J181/($F181-$E181+1), $J181/(($F181*($F181+1)/2)-(($E181-1)*($E181-1+1)/2))*P$2), 0)+IF(IF(time+1&gt;=Q$2, $K181/time_cap/(time+1)*P$2, 0) = 0, $K181/(time_cap),0)),0)</f>
        <v/>
      </c>
      <c r="Q181" s="4395">
        <f>IFERROR(IF((time+time_cap)&lt;Q$2, 0,IF(AND(time+1&gt;=R$2, $E181&lt;R$2), IF($I181= "I", $J181/($F181-$E181+1), $J181/(($F181*($F181+1)/2)-(($E181-1)*($E181-1+1)/2))*Q$2), 0)+IF(IF(time+1&gt;=R$2, $K181/time_cap/(time+1)*Q$2, 0) = 0, $K181/(time_cap),0)),0)</f>
        <v/>
      </c>
      <c r="R181" s="4395">
        <f>IFERROR(IF((time+time_cap)&lt;R$2, 0,IF(AND(time+1&gt;=S$2, $E181&lt;S$2), IF($I181= "I", $J181/($F181-$E181+1), $J181/(($F181*($F181+1)/2)-(($E181-1)*($E181-1+1)/2))*R$2), 0)+IF(IF(time+1&gt;=S$2, $K181/time_cap/(time+1)*R$2, 0) = 0, $K181/(time_cap),0)),0)</f>
        <v/>
      </c>
      <c r="S181" s="4395">
        <f>IFERROR(IF((time+time_cap)&lt;S$2, 0,IF(AND(time+1&gt;=T$2, $E181&lt;T$2), IF($I181= "I", $J181/($F181-$E181+1), $J181/(($F181*($F181+1)/2)-(($E181-1)*($E181-1+1)/2))*S$2), 0)+IF(IF(time+1&gt;=T$2, $K181/time_cap/(time+1)*S$2, 0) = 0, $K181/(time_cap),0)),0)</f>
        <v/>
      </c>
      <c r="T181" s="4395">
        <f>IFERROR(IF((time+time_cap)&lt;T$2, 0,IF(AND(time+1&gt;=U$2, $E181&lt;U$2), IF($I181= "I", $J181/($F181-$E181+1), $J181/(($F181*($F181+1)/2)-(($E181-1)*($E181-1+1)/2))*T$2), 0)+IF(IF(time+1&gt;=U$2, $K181/time_cap/(time+1)*T$2, 0) = 0, $K181/(time_cap),0)),0)</f>
        <v/>
      </c>
      <c r="U181" s="4395">
        <f>IFERROR(IF((time+time_cap)&lt;U$2, 0,IF(AND(time+1&gt;=V$2, $E181&lt;V$2), IF($I181= "I", $J181/($F181-$E181+1), $J181/(($F181*($F181+1)/2)-(($E181-1)*($E181-1+1)/2))*U$2), 0)+IF(IF(time+1&gt;=V$2, $K181/time_cap/(time+1)*U$2, 0) = 0, $K181/(time_cap),0)),0)</f>
        <v/>
      </c>
      <c r="V181" s="4395">
        <f>IFERROR(IF((time+time_cap)&lt;V$2, 0,IF(AND(time+1&gt;=W$2, $E181&lt;W$2), IF($I181= "I", $J181/($F181-$E181+1), $J181/(($F181*($F181+1)/2)-(($E181-1)*($E181-1+1)/2))*V$2), 0)+IF(IF(time+1&gt;=W$2, $K181/time_cap/(time+1)*V$2, 0) = 0, $K181/(time_cap),0)),0)</f>
        <v/>
      </c>
      <c r="W181" s="4395">
        <f>IFERROR(IF((time+time_cap)&lt;W$2, 0,IF(AND(time+1&gt;=X$2, $E181&lt;X$2), IF($I181= "I", $J181/($F181-$E181+1), $J181/(($F181*($F181+1)/2)-(($E181-1)*($E181-1+1)/2))*W$2), 0)+IF(IF(time+1&gt;=X$2, $K181/time_cap/(time+1)*W$2, 0) = 0, $K181/(time_cap),0)),0)</f>
        <v/>
      </c>
      <c r="X181" s="4395">
        <f>IFERROR(IF((time+time_cap)&lt;X$2, 0,IF(AND(time+1&gt;=Y$2, $E181&lt;Y$2), IF($I181= "I", $J181/($F181-$E181+1), $J181/(($F181*($F181+1)/2)-(($E181-1)*($E181-1+1)/2))*X$2), 0)+IF(IF(time+1&gt;=Y$2, $K181/time_cap/(time+1)*X$2, 0) = 0, $K181/(time_cap),0)),0)</f>
        <v/>
      </c>
      <c r="Y181" s="4395">
        <f>IFERROR(IF((time+time_cap)&lt;Y$2, 0,IF(AND(time+1&gt;=Z$2, $E181&lt;Z$2), IF($I181= "I", $J181/($F181-$E181+1), $J181/(($F181*($F181+1)/2)-(($E181-1)*($E181-1+1)/2))*Y$2), 0)+IF(IF(time+1&gt;=Z$2, $K181/time_cap/(time+1)*Y$2, 0) = 0, $K181/(time_cap),0)),0)</f>
        <v/>
      </c>
      <c r="Z181" s="4395">
        <f>IFERROR(IF((time+time_cap)&lt;Z$2, 0,IF(AND(time+1&gt;=AA$2, $E181&lt;AA$2), IF($I181= "I", $J181/($F181-$E181+1), $J181/(($F181*($F181+1)/2)-(($E181-1)*($E181-1+1)/2))*Z$2), 0)+IF(IF(time+1&gt;=AA$2, $K181/time_cap/(time+1)*Z$2, 0) = 0, $K181/(time_cap),0)),0)</f>
        <v/>
      </c>
      <c r="AA181" s="4395">
        <f>IFERROR(IF((time+time_cap)&lt;AA$2, 0,IF(AND(time+1&gt;=AB$2, $E181&lt;AB$2), IF($I181= "I", $J181/($F181-$E181+1), $J181/(($F181*($F181+1)/2)-(($E181-1)*($E181-1+1)/2))*AA$2), 0)+IF(IF(time+1&gt;=AB$2, $K181/time_cap/(time+1)*AA$2, 0) = 0, $K181/(time_cap),0)),0)</f>
        <v/>
      </c>
      <c r="AB181" s="4395">
        <f>IFERROR(IF((time+time_cap)&lt;AB$2, 0,IF(AND(time+1&gt;=AC$2, $E181&lt;AC$2), IF($I181= "I", $J181/($F181-$E181+1), $J181/(($F181*($F181+1)/2)-(($E181-1)*($E181-1+1)/2))*AB$2), 0)+IF(IF(time+1&gt;=AC$2, $K181/time_cap/(time+1)*AB$2, 0) = 0, $K181/(time_cap),0)),0)</f>
        <v/>
      </c>
      <c r="AC181" s="4395">
        <f>IFERROR(IF((time+time_cap)&lt;AC$2, 0,IF(AND(time+1&gt;=AD$2, $E181&lt;AD$2), IF($I181= "I", $J181/($F181-$E181+1), $J181/(($F181*($F181+1)/2)-(($E181-1)*($E181-1+1)/2))*AC$2), 0)+IF(IF(time+1&gt;=AD$2, $K181/time_cap/(time+1)*AC$2, 0) = 0, $K181/(time_cap),0)),0)</f>
        <v/>
      </c>
      <c r="AD181" s="4395">
        <f>IFERROR(IF((time+time_cap)&lt;AD$2, 0,IF(AND(time+1&gt;=AE$2, $E181&lt;AE$2), IF($I181= "I", $J181/($F181-$E181+1), $J181/(($F181*($F181+1)/2)-(($E181-1)*($E181-1+1)/2))*AD$2), 0)+IF(IF(time+1&gt;=AE$2, $K181/time_cap/(time+1)*AD$2, 0) = 0, $K181/(time_cap),0)),0)</f>
        <v/>
      </c>
      <c r="AE181" s="4395">
        <f>IFERROR(IF((time+time_cap)&lt;AE$2, 0,IF(AND(time+1&gt;=AF$2, $E181&lt;AF$2), IF($I181= "I", $J181/($F181-$E181+1), $J181/(($F181*($F181+1)/2)-(($E181-1)*($E181-1+1)/2))*AE$2), 0)+IF(IF(time+1&gt;=AF$2, $K181/time_cap/(time+1)*AE$2, 0) = 0, $K181/(time_cap),0)),0)</f>
        <v/>
      </c>
      <c r="AF181" s="4395">
        <f>IFERROR(IF((time+time_cap)&lt;AF$2, 0,IF(AND(time+1&gt;=AG$2, $E181&lt;AG$2), IF($I181= "I", $J181/($F181-$E181+1), $J181/(($F181*($F181+1)/2)-(($E181-1)*($E181-1+1)/2))*AF$2), 0)+IF(IF(time+1&gt;=AG$2, $K181/time_cap/(time+1)*AF$2, 0) = 0, $K181/(time_cap),0)),0)</f>
        <v/>
      </c>
      <c r="AG181" s="4395">
        <f>IFERROR(IF((time+time_cap)&lt;AG$2, 0,IF(AND(time+1&gt;=AH$2, $E181&lt;AH$2), IF($I181= "I", $J181/($F181-$E181+1), $J181/(($F181*($F181+1)/2)-(($E181-1)*($E181-1+1)/2))*AG$2), 0)+IF(IF(time+1&gt;=AH$2, $K181/time_cap/(time+1)*AG$2, 0) = 0, $K181/(time_cap),0)),0)</f>
        <v/>
      </c>
      <c r="AH181" s="4395">
        <f>IFERROR(IF((time+time_cap)&lt;AH$2, 0,IF(AND(time+1&gt;=AI$2, $E181&lt;AI$2), IF($I181= "I", $J181/($F181-$E181+1), $J181/(($F181*($F181+1)/2)-(($E181-1)*($E181-1+1)/2))*AH$2), 0)+IF(IF(time+1&gt;=AI$2, $K181/time_cap/(time+1)*AH$2, 0) = 0, $K181/(time_cap),0)),0)</f>
        <v/>
      </c>
      <c r="AI181" s="4395">
        <f>IFERROR(IF((time+time_cap)&lt;AI$2, 0,IF(AND(time+1&gt;=AJ$2, $E181&lt;AJ$2), IF($I181= "I", $J181/($F181-$E181+1), $J181/(($F181*($F181+1)/2)-(($E181-1)*($E181-1+1)/2))*AI$2), 0)+IF(IF(time+1&gt;=AJ$2, $K181/time_cap/(time+1)*AI$2, 0) = 0, $K181/(time_cap),0)),0)</f>
        <v/>
      </c>
      <c r="AJ181" s="4395">
        <f>IFERROR(IF((time+time_cap)&lt;AJ$2, 0,IF(AND(time+1&gt;=AK$2, $E181&lt;AK$2), IF($I181= "I", $J181/($F181-$E181+1), $J181/(($F181*($F181+1)/2)-(($E181-1)*($E181-1+1)/2))*AJ$2), 0)+IF(IF(time+1&gt;=AK$2, $K181/time_cap/(time+1)*AJ$2, 0) = 0, $K181/(time_cap),0)),0)</f>
        <v/>
      </c>
      <c r="AK181" s="4395">
        <f>IFERROR(IF((time+time_cap)&lt;AK$2, 0,IF(AND(time+1&gt;=AL$2, $E181&lt;AL$2), IF($I181= "I", $J181/($F181-$E181+1), $J181/(($F181*($F181+1)/2)-(($E181-1)*($E181-1+1)/2))*AK$2), 0)+IF(IF(time+1&gt;=AL$2, $K181/time_cap/(time+1)*AK$2, 0) = 0, $K181/(time_cap),0)),0)</f>
        <v/>
      </c>
      <c r="AL181" s="4395">
        <f>IFERROR(IF((time+time_cap)&lt;AL$2, 0,IF(AND(time+1&gt;=AM$2, $E181&lt;AM$2), IF($I181= "I", $J181/($F181-$E181+1), $J181/(($F181*($F181+1)/2)-(($E181-1)*($E181-1+1)/2))*AL$2), 0)+IF(IF(time+1&gt;=AM$2, $K181/time_cap/(time+1)*AL$2, 0) = 0, $K181/(time_cap),0)),0)</f>
        <v/>
      </c>
      <c r="AM181" s="4395">
        <f>IFERROR(IF((time+time_cap)&lt;AM$2, 0,IF(AND(time+1&gt;=AN$2, $E181&lt;AN$2), IF($I181= "I", $J181/($F181-$E181+1), $J181/(($F181*($F181+1)/2)-(($E181-1)*($E181-1+1)/2))*AM$2), 0)+IF(IF(time+1&gt;=AN$2, $K181/time_cap/(time+1)*AM$2, 0) = 0, $K181/(time_cap),0)),0)</f>
        <v/>
      </c>
      <c r="AN181" s="4395">
        <f>IFERROR(IF((time+time_cap)&lt;AN$2, 0,IF(AND(time+1&gt;=AO$2, $E181&lt;AO$2), IF($I181= "I", $J181/($F181-$E181+1), $J181/(($F181*($F181+1)/2)-(($E181-1)*($E181-1+1)/2))*AN$2), 0)+IF(IF(time+1&gt;=AO$2, $K181/time_cap/(time+1)*AN$2, 0) = 0, $K181/(time_cap),0)),0)</f>
        <v/>
      </c>
      <c r="AO181" s="4395">
        <f>IFERROR(IF((time+time_cap)&lt;AO$2, 0,IF(AND(time+1&gt;=AP$2, $E181&lt;AP$2), IF($I181= "I", $J181/($F181-$E181+1), $J181/(($F181*($F181+1)/2)-(($E181-1)*($E181-1+1)/2))*AO$2), 0)+IF(IF(time+1&gt;=AP$2, $K181/time_cap/(time+1)*AO$2, 0) = 0, $K181/(time_cap),0)),0)</f>
        <v/>
      </c>
      <c r="AP181" s="4395">
        <f>IFERROR(IF((time+time_cap)&lt;AP$2, 0,IF(AND(time+1&gt;=AQ$2, $E181&lt;AQ$2), IF($I181= "I", $J181/($F181-$E181+1), $J181/(($F181*($F181+1)/2)-(($E181-1)*($E181-1+1)/2))*AP$2), 0)+IF(IF(time+1&gt;=AQ$2, $K181/time_cap/(time+1)*AP$2, 0) = 0, $K181/(time_cap),0)),0)</f>
        <v/>
      </c>
      <c r="AQ181" s="4395">
        <f>IFERROR(IF((time+time_cap)&lt;AQ$2, 0,IF(AND(time+1&gt;=AR$2, $E181&lt;AR$2), IF($I181= "I", $J181/($F181-$E181+1), $J181/(($F181*($F181+1)/2)-(($E181-1)*($E181-1+1)/2))*AQ$2), 0)+IF(IF(time+1&gt;=AR$2, $K181/time_cap/(time+1)*AQ$2, 0) = 0, $K181/(time_cap),0)),0)</f>
        <v/>
      </c>
      <c r="AR181" s="4395">
        <f>IFERROR(IF((time+time_cap)&lt;AR$2, 0,IF(AND(time+1&gt;=AS$2, $E181&lt;AS$2), IF($I181= "I", $J181/($F181-$E181+1), $J181/(($F181*($F181+1)/2)-(($E181-1)*($E181-1+1)/2))*AR$2), 0)+IF(IF(time+1&gt;=AS$2, $K181/time_cap/(time+1)*AR$2, 0) = 0, $K181/(time_cap),0)),0)</f>
        <v/>
      </c>
      <c r="AS181" s="4395">
        <f>IFERROR(IF((time+time_cap)&lt;AS$2, 0,IF(AND(time+1&gt;=AT$2, $E181&lt;AT$2), IF($I181= "I", $J181/($F181-$E181+1), $J181/(($F181*($F181+1)/2)-(($E181-1)*($E181-1+1)/2))*AS$2), 0)+IF(IF(time+1&gt;=AT$2, $K181/time_cap/(time+1)*AS$2, 0) = 0, $K181/(time_cap),0)),0)</f>
        <v/>
      </c>
      <c r="AT181" s="4395">
        <f>IFERROR(IF((time+time_cap)&lt;AT$2, 0,IF(AND(time+1&gt;=AU$2, $E181&lt;AU$2), IF($I181= "I", $J181/($F181-$E181+1), $J181/(($F181*($F181+1)/2)-(($E181-1)*($E181-1+1)/2))*AT$2), 0)+IF(IF(time+1&gt;=AU$2, $K181/time_cap/(time+1)*AT$2, 0) = 0, $K181/(time_cap),0)),0)</f>
        <v/>
      </c>
      <c r="AU181" s="4395">
        <f>IFERROR(IF((time+time_cap)&lt;AU$2, 0,IF(AND(time+1&gt;=AV$2, $E181&lt;AV$2), IF($I181= "I", $J181/($F181-$E181+1), $J181/(($F181*($F181+1)/2)-(($E181-1)*($E181-1+1)/2))*AU$2), 0)+IF(IF(time+1&gt;=AV$2, $K181/time_cap/(time+1)*AU$2, 0) = 0, $K181/(time_cap),0)),0)</f>
        <v/>
      </c>
      <c r="AV181" s="4395">
        <f>IFERROR(IF((time+time_cap)&lt;AV$2, 0,IF(AND(time+1&gt;=AW$2, $E181&lt;AW$2), IF($I181= "I", $J181/($F181-$E181+1), $J181/(($F181*($F181+1)/2)-(($E181-1)*($E181-1+1)/2))*AV$2), 0)+IF(IF(time+1&gt;=AW$2, $K181/time_cap/(time+1)*AV$2, 0) = 0, $K181/(time_cap),0)),0)</f>
        <v/>
      </c>
      <c r="AW181" s="4395">
        <f>IFERROR(IF((time+time_cap)&lt;AW$2, 0,IF(AND(time+1&gt;=AX$2, $E181&lt;AX$2), IF($I181= "I", $J181/($F181-$E181+1), $J181/(($F181*($F181+1)/2)-(($E181-1)*($E181-1+1)/2))*AW$2), 0)+IF(IF(time+1&gt;=AX$2, $K181/time_cap/(time+1)*AW$2, 0) = 0, $K181/(time_cap),0)),0)</f>
        <v/>
      </c>
      <c r="AX181" s="4395">
        <f>IFERROR(IF((time+time_cap)&lt;AX$2, 0,IF(AND(time+1&gt;=AY$2, $E181&lt;AY$2), IF($I181= "I", $J181/($F181-$E181+1), $J181/(($F181*($F181+1)/2)-(($E181-1)*($E181-1+1)/2))*AX$2), 0)+IF(IF(time+1&gt;=AY$2, $K181/time_cap/(time+1)*AX$2, 0) = 0, $K181/(time_cap),0)),0)</f>
        <v/>
      </c>
      <c r="AY181" s="4395">
        <f>IFERROR(IF((time+time_cap)&lt;AY$2, 0,IF(AND(time+1&gt;=AZ$2, $E181&lt;AZ$2), IF($I181= "I", $J181/($F181-$E181+1), $J181/(($F181*($F181+1)/2)-(($E181-1)*($E181-1+1)/2))*AY$2), 0)+IF(IF(time+1&gt;=AZ$2, $K181/time_cap/(time+1)*AY$2, 0) = 0, $K181/(time_cap),0)),0)</f>
        <v/>
      </c>
      <c r="AZ181" s="4395">
        <f>IFERROR(IF((time+time_cap)&lt;AZ$2, 0,IF(AND(time+1&gt;=BA$2, $E181&lt;BA$2), IF($I181= "I", $J181/($F181-$E181+1), $J181/(($F181*($F181+1)/2)-(($E181-1)*($E181-1+1)/2))*AZ$2), 0)+IF(IF(time+1&gt;=BA$2, $K181/time_cap/(time+1)*AZ$2, 0) = 0, $K181/(time_cap),0)),0)</f>
        <v/>
      </c>
      <c r="BA181" s="4395">
        <f>IFERROR(IF((time+time_cap)&lt;BA$2, 0,IF(AND(time+1&gt;=BB$2, $E181&lt;BB$2), IF($I181= "I", $J181/($F181-$E181+1), $J181/(($F181*($F181+1)/2)-(($E181-1)*($E181-1+1)/2))*BA$2), 0)+IF(IF(time+1&gt;=BB$2, $K181/time_cap/(time+1)*BA$2, 0) = 0, $K181/(time_cap),0)),0)</f>
        <v/>
      </c>
      <c r="BB181" s="4395">
        <f>IFERROR(IF((time+time_cap)&lt;BB$2, 0,IF(AND(time+1&gt;=BC$2, $E181&lt;BC$2), IF($I181= "I", $J181/($F181-$E181+1), $J181/(($F181*($F181+1)/2)-(($E181-1)*($E181-1+1)/2))*BB$2), 0)+IF(IF(time+1&gt;=BC$2, $K181/time_cap/(time+1)*BB$2, 0) = 0, $K181/(time_cap),0)),0)</f>
        <v/>
      </c>
      <c r="BC181" s="4395">
        <f>IFERROR(IF((time+time_cap)&lt;BC$2, 0,IF(AND(time+1&gt;=BD$2, $E181&lt;BD$2), IF($I181= "I", $J181/($F181-$E181+1), $J181/(($F181*($F181+1)/2)-(($E181-1)*($E181-1+1)/2))*BC$2), 0)+IF(IF(time+1&gt;=BD$2, $K181/time_cap/(time+1)*BC$2, 0) = 0, $K181/(time_cap),0)),0)</f>
        <v/>
      </c>
      <c r="BD181" s="4395">
        <f>IFERROR(IF((time+time_cap)&lt;BD$2, 0,IF(AND(time+1&gt;=BE$2, $E181&lt;BE$2), IF($I181= "I", $J181/($F181-$E181+1), $J181/(($F181*($F181+1)/2)-(($E181-1)*($E181-1+1)/2))*BD$2), 0)+IF(IF(time+1&gt;=BE$2, $K181/time_cap/(time+1)*BD$2, 0) = 0, $K181/(time_cap),0)),0)</f>
        <v/>
      </c>
      <c r="BE181" s="4395">
        <f>IFERROR(IF((time+time_cap)&lt;BE$2, 0,IF(AND(time+1&gt;=BF$2, $E181&lt;BF$2), IF($I181= "I", $J181/($F181-$E181+1), $J181/(($F181*($F181+1)/2)-(($E181-1)*($E181-1+1)/2))*BE$2), 0)+IF(IF(time+1&gt;=BF$2, $K181/time_cap/(time+1)*BE$2, 0) = 0, $K181/(time_cap),0)),0)</f>
        <v/>
      </c>
      <c r="BF181" s="4395">
        <f>IFERROR(IF((time+time_cap)&lt;BF$2, 0,IF(AND(time+1&gt;=BG$2, $E181&lt;BG$2), IF($I181= "I", $J181/($F181-$E181+1), $J181/(($F181*($F181+1)/2)-(($E181-1)*($E181-1+1)/2))*BF$2), 0)+IF(IF(time+1&gt;=BG$2, $K181/time_cap/(time+1)*BF$2, 0) = 0, $K181/(time_cap),0)),0)</f>
        <v/>
      </c>
      <c r="BG181" s="4395">
        <f>IFERROR(IF((time+time_cap)&lt;BG$2, 0,IF(AND(time+1&gt;=BH$2, $E181&lt;BH$2), IF($I181= "I", $J181/($F181-$E181+1), $J181/(($F181*($F181+1)/2)-(($E181-1)*($E181-1+1)/2))*BG$2), 0)+IF(IF(time+1&gt;=BH$2, $K181/time_cap/(time+1)*BG$2, 0) = 0, $K181/(time_cap),0)),0)</f>
        <v/>
      </c>
      <c r="BH181" s="4395">
        <f>IFERROR(IF((time+time_cap)&lt;BH$2, 0,IF(AND(time+1&gt;=BI$2, $E181&lt;BI$2), IF($I181= "I", $J181/($F181-$E181+1), $J181/(($F181*($F181+1)/2)-(($E181-1)*($E181-1+1)/2))*BH$2), 0)+IF(IF(time+1&gt;=BI$2, $K181/time_cap/(time+1)*BH$2, 0) = 0, $K181/(time_cap),0)),0)</f>
        <v/>
      </c>
      <c r="BI181" s="4395">
        <f>IFERROR(IF((time+time_cap)&lt;BI$2, 0,IF(AND(time+1&gt;=BJ$2, $E181&lt;BJ$2), IF($I181= "I", $J181/($F181-$E181+1), $J181/(($F181*($F181+1)/2)-(($E181-1)*($E181-1+1)/2))*BI$2), 0)+IF(IF(time+1&gt;=BJ$2, $K181/time_cap/(time+1)*BI$2, 0) = 0, $K181/(time_cap),0)),0)</f>
        <v/>
      </c>
      <c r="BJ181" s="4395">
        <f>IFERROR(IF((time+time_cap)&lt;BJ$2, 0,IF(AND(time+1&gt;=BK$2, $E181&lt;BK$2), IF($I181= "I", $J181/($F181-$E181+1), $J181/(($F181*($F181+1)/2)-(($E181-1)*($E181-1+1)/2))*BJ$2), 0)+IF(IF(time+1&gt;=BK$2, $K181/time_cap/(time+1)*BJ$2, 0) = 0, $K181/(time_cap),0)),0)</f>
        <v/>
      </c>
      <c r="BK181" s="4395" t="n"/>
      <c r="BL181" s="4395" t="n"/>
      <c r="BM181" s="4395" t="n"/>
      <c r="BN181" s="4395" t="n"/>
      <c r="BO181" s="4395" t="n"/>
      <c r="BP181" s="4395" t="n"/>
      <c r="BQ181" s="4395" t="n"/>
      <c r="BR181" s="4395" t="n"/>
      <c r="BS181" s="4395" t="n"/>
      <c r="BT181" s="4395" t="n"/>
      <c r="BU181" s="4395" t="n"/>
      <c r="BV181" s="4395" t="n"/>
      <c r="BW181" s="4395" t="n"/>
      <c r="BX181" s="4395" t="n"/>
      <c r="BY181" s="4395" t="n"/>
      <c r="BZ181" s="4395" t="n"/>
      <c r="CA181" s="4395" t="n"/>
      <c r="CB181" s="4395" t="n"/>
      <c r="CC181" s="4395" t="n"/>
      <c r="CD181" s="4395" t="n"/>
      <c r="CE181" s="4395" t="n"/>
      <c r="CF181" s="4395" t="n"/>
      <c r="CG181" s="4395" t="n"/>
      <c r="CH181" s="4395" t="n"/>
      <c r="CI181" s="4395" t="n"/>
      <c r="CJ181" s="4395" t="n"/>
      <c r="CK181" s="4395" t="n"/>
      <c r="CL181" s="4395" t="n"/>
      <c r="CM181" s="4395" t="n"/>
      <c r="CN181" s="4395" t="n"/>
      <c r="CO181" s="4395" t="n"/>
      <c r="CP181" s="4395" t="n"/>
      <c r="CQ181" s="4395" t="n"/>
      <c r="CR181" s="4395" t="n"/>
      <c r="CS181" s="4395" t="n"/>
      <c r="CT181" s="4395" t="n"/>
      <c r="CU181" s="4395" t="n"/>
      <c r="CV181" s="4395" t="n"/>
      <c r="CW181" s="4395" t="n"/>
      <c r="CX181" s="4395" t="n"/>
      <c r="CY181" s="4395" t="n"/>
      <c r="CZ181" s="4395" t="n"/>
      <c r="DA181" s="4395" t="n"/>
      <c r="DB181" s="4395" t="n"/>
      <c r="DC181" s="4395" t="n"/>
      <c r="DD181" s="4395" t="n"/>
      <c r="DE181" s="4395" t="n"/>
      <c r="DF181" s="4395" t="n"/>
      <c r="DG181" s="4395" t="n"/>
      <c r="DH181" s="4395" t="n"/>
    </row>
    <row r="182" ht="16" customHeight="1">
      <c r="A182" t="inlineStr">
        <is>
          <t>Coastal wetland - water</t>
        </is>
      </c>
      <c r="C182">
        <f>'7.Coastal wetlands'!C69</f>
        <v/>
      </c>
      <c r="D182">
        <f>'7.Coastal wetlands'!AI69</f>
        <v/>
      </c>
      <c r="E182">
        <f>IF('7.Coastal wetlands'!CN69&lt;&gt;0,'7.Coastal wetlands'!CN69,'7.Coastal wetlands'!CM69)</f>
        <v/>
      </c>
      <c r="F182">
        <f>time</f>
        <v/>
      </c>
      <c r="G182" s="4395">
        <f>'7.Coastal wetlands'!O69</f>
        <v/>
      </c>
      <c r="H182" s="4395">
        <f>'7.Coastal wetlands'!Q69</f>
        <v/>
      </c>
      <c r="I182" s="4395">
        <f>IF(OR(H182="I", G182="I"), "I", IF(OR(H182="E", G182="E"), "E", "D"))</f>
        <v/>
      </c>
      <c r="J182" s="4395">
        <f>((D182/(time_cap+((F182-E182+1)*VLOOKUP(I182,list!$I$48:$K$50,3, FALSE))))*(F182-E182+1)*VLOOKUP(I182,list!$I$48:$K$50,3, FALSE))</f>
        <v/>
      </c>
      <c r="K182" s="4395">
        <f>((D182/(time_cap+((F182-E182+1)*VLOOKUP(I182,list!$I$48:$K$50,3, FALSE))))*time_cap)</f>
        <v/>
      </c>
      <c r="M182" s="4395">
        <f>IFERROR(IF((time+time_cap)&lt;M$2, 0,IF(AND(time+1&gt;=N$2, $E182&lt;N$2), IF($I182= "I", $J182/($F182-$E182+1), $J182/(($F182*($F182+1)/2)-(($E182-1)*($E182-1+1)/2))*M$2), 0)+IF(IF(time+1&gt;=N$2, $K182/time_cap/(time+1)*M$2, 0) = 0, $K182/(time_cap),0)),0)</f>
        <v/>
      </c>
      <c r="N182" s="4395">
        <f>IFERROR(IF((time+time_cap)&lt;N$2, 0,IF(AND(time+1&gt;=O$2, $E182&lt;O$2), IF($I182= "I", $J182/($F182-$E182+1), $J182/(($F182*($F182+1)/2)-(($E182-1)*($E182-1+1)/2))*N$2), 0)+IF(IF(time+1&gt;=O$2, $K182/time_cap/(time+1)*N$2, 0) = 0, $K182/(time_cap),0)),0)</f>
        <v/>
      </c>
      <c r="O182" s="4395">
        <f>IFERROR(IF((time+time_cap)&lt;O$2, 0,IF(AND(time+1&gt;=P$2, $E182&lt;P$2), IF($I182= "I", $J182/($F182-$E182+1), $J182/(($F182*($F182+1)/2)-(($E182-1)*($E182-1+1)/2))*O$2), 0)+IF(IF(time+1&gt;=P$2, $K182/time_cap/(time+1)*O$2, 0) = 0, $K182/(time_cap),0)),0)</f>
        <v/>
      </c>
      <c r="P182" s="4395">
        <f>IFERROR(IF((time+time_cap)&lt;P$2, 0,IF(AND(time+1&gt;=Q$2, $E182&lt;Q$2), IF($I182= "I", $J182/($F182-$E182+1), $J182/(($F182*($F182+1)/2)-(($E182-1)*($E182-1+1)/2))*P$2), 0)+IF(IF(time+1&gt;=Q$2, $K182/time_cap/(time+1)*P$2, 0) = 0, $K182/(time_cap),0)),0)</f>
        <v/>
      </c>
      <c r="Q182" s="4395">
        <f>IFERROR(IF((time+time_cap)&lt;Q$2, 0,IF(AND(time+1&gt;=R$2, $E182&lt;R$2), IF($I182= "I", $J182/($F182-$E182+1), $J182/(($F182*($F182+1)/2)-(($E182-1)*($E182-1+1)/2))*Q$2), 0)+IF(IF(time+1&gt;=R$2, $K182/time_cap/(time+1)*Q$2, 0) = 0, $K182/(time_cap),0)),0)</f>
        <v/>
      </c>
      <c r="R182" s="4395">
        <f>IFERROR(IF((time+time_cap)&lt;R$2, 0,IF(AND(time+1&gt;=S$2, $E182&lt;S$2), IF($I182= "I", $J182/($F182-$E182+1), $J182/(($F182*($F182+1)/2)-(($E182-1)*($E182-1+1)/2))*R$2), 0)+IF(IF(time+1&gt;=S$2, $K182/time_cap/(time+1)*R$2, 0) = 0, $K182/(time_cap),0)),0)</f>
        <v/>
      </c>
      <c r="S182" s="4395">
        <f>IFERROR(IF((time+time_cap)&lt;S$2, 0,IF(AND(time+1&gt;=T$2, $E182&lt;T$2), IF($I182= "I", $J182/($F182-$E182+1), $J182/(($F182*($F182+1)/2)-(($E182-1)*($E182-1+1)/2))*S$2), 0)+IF(IF(time+1&gt;=T$2, $K182/time_cap/(time+1)*S$2, 0) = 0, $K182/(time_cap),0)),0)</f>
        <v/>
      </c>
      <c r="T182" s="4395">
        <f>IFERROR(IF((time+time_cap)&lt;T$2, 0,IF(AND(time+1&gt;=U$2, $E182&lt;U$2), IF($I182= "I", $J182/($F182-$E182+1), $J182/(($F182*($F182+1)/2)-(($E182-1)*($E182-1+1)/2))*T$2), 0)+IF(IF(time+1&gt;=U$2, $K182/time_cap/(time+1)*T$2, 0) = 0, $K182/(time_cap),0)),0)</f>
        <v/>
      </c>
      <c r="U182" s="4395">
        <f>IFERROR(IF((time+time_cap)&lt;U$2, 0,IF(AND(time+1&gt;=V$2, $E182&lt;V$2), IF($I182= "I", $J182/($F182-$E182+1), $J182/(($F182*($F182+1)/2)-(($E182-1)*($E182-1+1)/2))*U$2), 0)+IF(IF(time+1&gt;=V$2, $K182/time_cap/(time+1)*U$2, 0) = 0, $K182/(time_cap),0)),0)</f>
        <v/>
      </c>
      <c r="V182" s="4395">
        <f>IFERROR(IF((time+time_cap)&lt;V$2, 0,IF(AND(time+1&gt;=W$2, $E182&lt;W$2), IF($I182= "I", $J182/($F182-$E182+1), $J182/(($F182*($F182+1)/2)-(($E182-1)*($E182-1+1)/2))*V$2), 0)+IF(IF(time+1&gt;=W$2, $K182/time_cap/(time+1)*V$2, 0) = 0, $K182/(time_cap),0)),0)</f>
        <v/>
      </c>
      <c r="W182" s="4395">
        <f>IFERROR(IF((time+time_cap)&lt;W$2, 0,IF(AND(time+1&gt;=X$2, $E182&lt;X$2), IF($I182= "I", $J182/($F182-$E182+1), $J182/(($F182*($F182+1)/2)-(($E182-1)*($E182-1+1)/2))*W$2), 0)+IF(IF(time+1&gt;=X$2, $K182/time_cap/(time+1)*W$2, 0) = 0, $K182/(time_cap),0)),0)</f>
        <v/>
      </c>
      <c r="X182" s="4395">
        <f>IFERROR(IF((time+time_cap)&lt;X$2, 0,IF(AND(time+1&gt;=Y$2, $E182&lt;Y$2), IF($I182= "I", $J182/($F182-$E182+1), $J182/(($F182*($F182+1)/2)-(($E182-1)*($E182-1+1)/2))*X$2), 0)+IF(IF(time+1&gt;=Y$2, $K182/time_cap/(time+1)*X$2, 0) = 0, $K182/(time_cap),0)),0)</f>
        <v/>
      </c>
      <c r="Y182" s="4395">
        <f>IFERROR(IF((time+time_cap)&lt;Y$2, 0,IF(AND(time+1&gt;=Z$2, $E182&lt;Z$2), IF($I182= "I", $J182/($F182-$E182+1), $J182/(($F182*($F182+1)/2)-(($E182-1)*($E182-1+1)/2))*Y$2), 0)+IF(IF(time+1&gt;=Z$2, $K182/time_cap/(time+1)*Y$2, 0) = 0, $K182/(time_cap),0)),0)</f>
        <v/>
      </c>
      <c r="Z182" s="4395">
        <f>IFERROR(IF((time+time_cap)&lt;Z$2, 0,IF(AND(time+1&gt;=AA$2, $E182&lt;AA$2), IF($I182= "I", $J182/($F182-$E182+1), $J182/(($F182*($F182+1)/2)-(($E182-1)*($E182-1+1)/2))*Z$2), 0)+IF(IF(time+1&gt;=AA$2, $K182/time_cap/(time+1)*Z$2, 0) = 0, $K182/(time_cap),0)),0)</f>
        <v/>
      </c>
      <c r="AA182" s="4395">
        <f>IFERROR(IF((time+time_cap)&lt;AA$2, 0,IF(AND(time+1&gt;=AB$2, $E182&lt;AB$2), IF($I182= "I", $J182/($F182-$E182+1), $J182/(($F182*($F182+1)/2)-(($E182-1)*($E182-1+1)/2))*AA$2), 0)+IF(IF(time+1&gt;=AB$2, $K182/time_cap/(time+1)*AA$2, 0) = 0, $K182/(time_cap),0)),0)</f>
        <v/>
      </c>
      <c r="AB182" s="4395">
        <f>IFERROR(IF((time+time_cap)&lt;AB$2, 0,IF(AND(time+1&gt;=AC$2, $E182&lt;AC$2), IF($I182= "I", $J182/($F182-$E182+1), $J182/(($F182*($F182+1)/2)-(($E182-1)*($E182-1+1)/2))*AB$2), 0)+IF(IF(time+1&gt;=AC$2, $K182/time_cap/(time+1)*AB$2, 0) = 0, $K182/(time_cap),0)),0)</f>
        <v/>
      </c>
      <c r="AC182" s="4395">
        <f>IFERROR(IF((time+time_cap)&lt;AC$2, 0,IF(AND(time+1&gt;=AD$2, $E182&lt;AD$2), IF($I182= "I", $J182/($F182-$E182+1), $J182/(($F182*($F182+1)/2)-(($E182-1)*($E182-1+1)/2))*AC$2), 0)+IF(IF(time+1&gt;=AD$2, $K182/time_cap/(time+1)*AC$2, 0) = 0, $K182/(time_cap),0)),0)</f>
        <v/>
      </c>
      <c r="AD182" s="4395">
        <f>IFERROR(IF((time+time_cap)&lt;AD$2, 0,IF(AND(time+1&gt;=AE$2, $E182&lt;AE$2), IF($I182= "I", $J182/($F182-$E182+1), $J182/(($F182*($F182+1)/2)-(($E182-1)*($E182-1+1)/2))*AD$2), 0)+IF(IF(time+1&gt;=AE$2, $K182/time_cap/(time+1)*AD$2, 0) = 0, $K182/(time_cap),0)),0)</f>
        <v/>
      </c>
      <c r="AE182" s="4395">
        <f>IFERROR(IF((time+time_cap)&lt;AE$2, 0,IF(AND(time+1&gt;=AF$2, $E182&lt;AF$2), IF($I182= "I", $J182/($F182-$E182+1), $J182/(($F182*($F182+1)/2)-(($E182-1)*($E182-1+1)/2))*AE$2), 0)+IF(IF(time+1&gt;=AF$2, $K182/time_cap/(time+1)*AE$2, 0) = 0, $K182/(time_cap),0)),0)</f>
        <v/>
      </c>
      <c r="AF182" s="4395">
        <f>IFERROR(IF((time+time_cap)&lt;AF$2, 0,IF(AND(time+1&gt;=AG$2, $E182&lt;AG$2), IF($I182= "I", $J182/($F182-$E182+1), $J182/(($F182*($F182+1)/2)-(($E182-1)*($E182-1+1)/2))*AF$2), 0)+IF(IF(time+1&gt;=AG$2, $K182/time_cap/(time+1)*AF$2, 0) = 0, $K182/(time_cap),0)),0)</f>
        <v/>
      </c>
      <c r="AG182" s="4395">
        <f>IFERROR(IF((time+time_cap)&lt;AG$2, 0,IF(AND(time+1&gt;=AH$2, $E182&lt;AH$2), IF($I182= "I", $J182/($F182-$E182+1), $J182/(($F182*($F182+1)/2)-(($E182-1)*($E182-1+1)/2))*AG$2), 0)+IF(IF(time+1&gt;=AH$2, $K182/time_cap/(time+1)*AG$2, 0) = 0, $K182/(time_cap),0)),0)</f>
        <v/>
      </c>
      <c r="AH182" s="4395">
        <f>IFERROR(IF((time+time_cap)&lt;AH$2, 0,IF(AND(time+1&gt;=AI$2, $E182&lt;AI$2), IF($I182= "I", $J182/($F182-$E182+1), $J182/(($F182*($F182+1)/2)-(($E182-1)*($E182-1+1)/2))*AH$2), 0)+IF(IF(time+1&gt;=AI$2, $K182/time_cap/(time+1)*AH$2, 0) = 0, $K182/(time_cap),0)),0)</f>
        <v/>
      </c>
      <c r="AI182" s="4395">
        <f>IFERROR(IF((time+time_cap)&lt;AI$2, 0,IF(AND(time+1&gt;=AJ$2, $E182&lt;AJ$2), IF($I182= "I", $J182/($F182-$E182+1), $J182/(($F182*($F182+1)/2)-(($E182-1)*($E182-1+1)/2))*AI$2), 0)+IF(IF(time+1&gt;=AJ$2, $K182/time_cap/(time+1)*AI$2, 0) = 0, $K182/(time_cap),0)),0)</f>
        <v/>
      </c>
      <c r="AJ182" s="4395">
        <f>IFERROR(IF((time+time_cap)&lt;AJ$2, 0,IF(AND(time+1&gt;=AK$2, $E182&lt;AK$2), IF($I182= "I", $J182/($F182-$E182+1), $J182/(($F182*($F182+1)/2)-(($E182-1)*($E182-1+1)/2))*AJ$2), 0)+IF(IF(time+1&gt;=AK$2, $K182/time_cap/(time+1)*AJ$2, 0) = 0, $K182/(time_cap),0)),0)</f>
        <v/>
      </c>
      <c r="AK182" s="4395">
        <f>IFERROR(IF((time+time_cap)&lt;AK$2, 0,IF(AND(time+1&gt;=AL$2, $E182&lt;AL$2), IF($I182= "I", $J182/($F182-$E182+1), $J182/(($F182*($F182+1)/2)-(($E182-1)*($E182-1+1)/2))*AK$2), 0)+IF(IF(time+1&gt;=AL$2, $K182/time_cap/(time+1)*AK$2, 0) = 0, $K182/(time_cap),0)),0)</f>
        <v/>
      </c>
      <c r="AL182" s="4395">
        <f>IFERROR(IF((time+time_cap)&lt;AL$2, 0,IF(AND(time+1&gt;=AM$2, $E182&lt;AM$2), IF($I182= "I", $J182/($F182-$E182+1), $J182/(($F182*($F182+1)/2)-(($E182-1)*($E182-1+1)/2))*AL$2), 0)+IF(IF(time+1&gt;=AM$2, $K182/time_cap/(time+1)*AL$2, 0) = 0, $K182/(time_cap),0)),0)</f>
        <v/>
      </c>
      <c r="AM182" s="4395">
        <f>IFERROR(IF((time+time_cap)&lt;AM$2, 0,IF(AND(time+1&gt;=AN$2, $E182&lt;AN$2), IF($I182= "I", $J182/($F182-$E182+1), $J182/(($F182*($F182+1)/2)-(($E182-1)*($E182-1+1)/2))*AM$2), 0)+IF(IF(time+1&gt;=AN$2, $K182/time_cap/(time+1)*AM$2, 0) = 0, $K182/(time_cap),0)),0)</f>
        <v/>
      </c>
      <c r="AN182" s="4395">
        <f>IFERROR(IF((time+time_cap)&lt;AN$2, 0,IF(AND(time+1&gt;=AO$2, $E182&lt;AO$2), IF($I182= "I", $J182/($F182-$E182+1), $J182/(($F182*($F182+1)/2)-(($E182-1)*($E182-1+1)/2))*AN$2), 0)+IF(IF(time+1&gt;=AO$2, $K182/time_cap/(time+1)*AN$2, 0) = 0, $K182/(time_cap),0)),0)</f>
        <v/>
      </c>
      <c r="AO182" s="4395">
        <f>IFERROR(IF((time+time_cap)&lt;AO$2, 0,IF(AND(time+1&gt;=AP$2, $E182&lt;AP$2), IF($I182= "I", $J182/($F182-$E182+1), $J182/(($F182*($F182+1)/2)-(($E182-1)*($E182-1+1)/2))*AO$2), 0)+IF(IF(time+1&gt;=AP$2, $K182/time_cap/(time+1)*AO$2, 0) = 0, $K182/(time_cap),0)),0)</f>
        <v/>
      </c>
      <c r="AP182" s="4395">
        <f>IFERROR(IF((time+time_cap)&lt;AP$2, 0,IF(AND(time+1&gt;=AQ$2, $E182&lt;AQ$2), IF($I182= "I", $J182/($F182-$E182+1), $J182/(($F182*($F182+1)/2)-(($E182-1)*($E182-1+1)/2))*AP$2), 0)+IF(IF(time+1&gt;=AQ$2, $K182/time_cap/(time+1)*AP$2, 0) = 0, $K182/(time_cap),0)),0)</f>
        <v/>
      </c>
      <c r="AQ182" s="4395">
        <f>IFERROR(IF((time+time_cap)&lt;AQ$2, 0,IF(AND(time+1&gt;=AR$2, $E182&lt;AR$2), IF($I182= "I", $J182/($F182-$E182+1), $J182/(($F182*($F182+1)/2)-(($E182-1)*($E182-1+1)/2))*AQ$2), 0)+IF(IF(time+1&gt;=AR$2, $K182/time_cap/(time+1)*AQ$2, 0) = 0, $K182/(time_cap),0)),0)</f>
        <v/>
      </c>
      <c r="AR182" s="4395">
        <f>IFERROR(IF((time+time_cap)&lt;AR$2, 0,IF(AND(time+1&gt;=AS$2, $E182&lt;AS$2), IF($I182= "I", $J182/($F182-$E182+1), $J182/(($F182*($F182+1)/2)-(($E182-1)*($E182-1+1)/2))*AR$2), 0)+IF(IF(time+1&gt;=AS$2, $K182/time_cap/(time+1)*AR$2, 0) = 0, $K182/(time_cap),0)),0)</f>
        <v/>
      </c>
      <c r="AS182" s="4395">
        <f>IFERROR(IF((time+time_cap)&lt;AS$2, 0,IF(AND(time+1&gt;=AT$2, $E182&lt;AT$2), IF($I182= "I", $J182/($F182-$E182+1), $J182/(($F182*($F182+1)/2)-(($E182-1)*($E182-1+1)/2))*AS$2), 0)+IF(IF(time+1&gt;=AT$2, $K182/time_cap/(time+1)*AS$2, 0) = 0, $K182/(time_cap),0)),0)</f>
        <v/>
      </c>
      <c r="AT182" s="4395">
        <f>IFERROR(IF((time+time_cap)&lt;AT$2, 0,IF(AND(time+1&gt;=AU$2, $E182&lt;AU$2), IF($I182= "I", $J182/($F182-$E182+1), $J182/(($F182*($F182+1)/2)-(($E182-1)*($E182-1+1)/2))*AT$2), 0)+IF(IF(time+1&gt;=AU$2, $K182/time_cap/(time+1)*AT$2, 0) = 0, $K182/(time_cap),0)),0)</f>
        <v/>
      </c>
      <c r="AU182" s="4395">
        <f>IFERROR(IF((time+time_cap)&lt;AU$2, 0,IF(AND(time+1&gt;=AV$2, $E182&lt;AV$2), IF($I182= "I", $J182/($F182-$E182+1), $J182/(($F182*($F182+1)/2)-(($E182-1)*($E182-1+1)/2))*AU$2), 0)+IF(IF(time+1&gt;=AV$2, $K182/time_cap/(time+1)*AU$2, 0) = 0, $K182/(time_cap),0)),0)</f>
        <v/>
      </c>
      <c r="AV182" s="4395">
        <f>IFERROR(IF((time+time_cap)&lt;AV$2, 0,IF(AND(time+1&gt;=AW$2, $E182&lt;AW$2), IF($I182= "I", $J182/($F182-$E182+1), $J182/(($F182*($F182+1)/2)-(($E182-1)*($E182-1+1)/2))*AV$2), 0)+IF(IF(time+1&gt;=AW$2, $K182/time_cap/(time+1)*AV$2, 0) = 0, $K182/(time_cap),0)),0)</f>
        <v/>
      </c>
      <c r="AW182" s="4395">
        <f>IFERROR(IF((time+time_cap)&lt;AW$2, 0,IF(AND(time+1&gt;=AX$2, $E182&lt;AX$2), IF($I182= "I", $J182/($F182-$E182+1), $J182/(($F182*($F182+1)/2)-(($E182-1)*($E182-1+1)/2))*AW$2), 0)+IF(IF(time+1&gt;=AX$2, $K182/time_cap/(time+1)*AW$2, 0) = 0, $K182/(time_cap),0)),0)</f>
        <v/>
      </c>
      <c r="AX182" s="4395">
        <f>IFERROR(IF((time+time_cap)&lt;AX$2, 0,IF(AND(time+1&gt;=AY$2, $E182&lt;AY$2), IF($I182= "I", $J182/($F182-$E182+1), $J182/(($F182*($F182+1)/2)-(($E182-1)*($E182-1+1)/2))*AX$2), 0)+IF(IF(time+1&gt;=AY$2, $K182/time_cap/(time+1)*AX$2, 0) = 0, $K182/(time_cap),0)),0)</f>
        <v/>
      </c>
      <c r="AY182" s="4395">
        <f>IFERROR(IF((time+time_cap)&lt;AY$2, 0,IF(AND(time+1&gt;=AZ$2, $E182&lt;AZ$2), IF($I182= "I", $J182/($F182-$E182+1), $J182/(($F182*($F182+1)/2)-(($E182-1)*($E182-1+1)/2))*AY$2), 0)+IF(IF(time+1&gt;=AZ$2, $K182/time_cap/(time+1)*AY$2, 0) = 0, $K182/(time_cap),0)),0)</f>
        <v/>
      </c>
      <c r="AZ182" s="4395">
        <f>IFERROR(IF((time+time_cap)&lt;AZ$2, 0,IF(AND(time+1&gt;=BA$2, $E182&lt;BA$2), IF($I182= "I", $J182/($F182-$E182+1), $J182/(($F182*($F182+1)/2)-(($E182-1)*($E182-1+1)/2))*AZ$2), 0)+IF(IF(time+1&gt;=BA$2, $K182/time_cap/(time+1)*AZ$2, 0) = 0, $K182/(time_cap),0)),0)</f>
        <v/>
      </c>
      <c r="BA182" s="4395">
        <f>IFERROR(IF((time+time_cap)&lt;BA$2, 0,IF(AND(time+1&gt;=BB$2, $E182&lt;BB$2), IF($I182= "I", $J182/($F182-$E182+1), $J182/(($F182*($F182+1)/2)-(($E182-1)*($E182-1+1)/2))*BA$2), 0)+IF(IF(time+1&gt;=BB$2, $K182/time_cap/(time+1)*BA$2, 0) = 0, $K182/(time_cap),0)),0)</f>
        <v/>
      </c>
      <c r="BB182" s="4395">
        <f>IFERROR(IF((time+time_cap)&lt;BB$2, 0,IF(AND(time+1&gt;=BC$2, $E182&lt;BC$2), IF($I182= "I", $J182/($F182-$E182+1), $J182/(($F182*($F182+1)/2)-(($E182-1)*($E182-1+1)/2))*BB$2), 0)+IF(IF(time+1&gt;=BC$2, $K182/time_cap/(time+1)*BB$2, 0) = 0, $K182/(time_cap),0)),0)</f>
        <v/>
      </c>
      <c r="BC182" s="4395">
        <f>IFERROR(IF((time+time_cap)&lt;BC$2, 0,IF(AND(time+1&gt;=BD$2, $E182&lt;BD$2), IF($I182= "I", $J182/($F182-$E182+1), $J182/(($F182*($F182+1)/2)-(($E182-1)*($E182-1+1)/2))*BC$2), 0)+IF(IF(time+1&gt;=BD$2, $K182/time_cap/(time+1)*BC$2, 0) = 0, $K182/(time_cap),0)),0)</f>
        <v/>
      </c>
      <c r="BD182" s="4395">
        <f>IFERROR(IF((time+time_cap)&lt;BD$2, 0,IF(AND(time+1&gt;=BE$2, $E182&lt;BE$2), IF($I182= "I", $J182/($F182-$E182+1), $J182/(($F182*($F182+1)/2)-(($E182-1)*($E182-1+1)/2))*BD$2), 0)+IF(IF(time+1&gt;=BE$2, $K182/time_cap/(time+1)*BD$2, 0) = 0, $K182/(time_cap),0)),0)</f>
        <v/>
      </c>
      <c r="BE182" s="4395">
        <f>IFERROR(IF((time+time_cap)&lt;BE$2, 0,IF(AND(time+1&gt;=BF$2, $E182&lt;BF$2), IF($I182= "I", $J182/($F182-$E182+1), $J182/(($F182*($F182+1)/2)-(($E182-1)*($E182-1+1)/2))*BE$2), 0)+IF(IF(time+1&gt;=BF$2, $K182/time_cap/(time+1)*BE$2, 0) = 0, $K182/(time_cap),0)),0)</f>
        <v/>
      </c>
      <c r="BF182" s="4395">
        <f>IFERROR(IF((time+time_cap)&lt;BF$2, 0,IF(AND(time+1&gt;=BG$2, $E182&lt;BG$2), IF($I182= "I", $J182/($F182-$E182+1), $J182/(($F182*($F182+1)/2)-(($E182-1)*($E182-1+1)/2))*BF$2), 0)+IF(IF(time+1&gt;=BG$2, $K182/time_cap/(time+1)*BF$2, 0) = 0, $K182/(time_cap),0)),0)</f>
        <v/>
      </c>
      <c r="BG182" s="4395">
        <f>IFERROR(IF((time+time_cap)&lt;BG$2, 0,IF(AND(time+1&gt;=BH$2, $E182&lt;BH$2), IF($I182= "I", $J182/($F182-$E182+1), $J182/(($F182*($F182+1)/2)-(($E182-1)*($E182-1+1)/2))*BG$2), 0)+IF(IF(time+1&gt;=BH$2, $K182/time_cap/(time+1)*BG$2, 0) = 0, $K182/(time_cap),0)),0)</f>
        <v/>
      </c>
      <c r="BH182" s="4395">
        <f>IFERROR(IF((time+time_cap)&lt;BH$2, 0,IF(AND(time+1&gt;=BI$2, $E182&lt;BI$2), IF($I182= "I", $J182/($F182-$E182+1), $J182/(($F182*($F182+1)/2)-(($E182-1)*($E182-1+1)/2))*BH$2), 0)+IF(IF(time+1&gt;=BI$2, $K182/time_cap/(time+1)*BH$2, 0) = 0, $K182/(time_cap),0)),0)</f>
        <v/>
      </c>
      <c r="BI182" s="4395">
        <f>IFERROR(IF((time+time_cap)&lt;BI$2, 0,IF(AND(time+1&gt;=BJ$2, $E182&lt;BJ$2), IF($I182= "I", $J182/($F182-$E182+1), $J182/(($F182*($F182+1)/2)-(($E182-1)*($E182-1+1)/2))*BI$2), 0)+IF(IF(time+1&gt;=BJ$2, $K182/time_cap/(time+1)*BI$2, 0) = 0, $K182/(time_cap),0)),0)</f>
        <v/>
      </c>
      <c r="BJ182" s="4395">
        <f>IFERROR(IF((time+time_cap)&lt;BJ$2, 0,IF(AND(time+1&gt;=BK$2, $E182&lt;BK$2), IF($I182= "I", $J182/($F182-$E182+1), $J182/(($F182*($F182+1)/2)-(($E182-1)*($E182-1+1)/2))*BJ$2), 0)+IF(IF(time+1&gt;=BK$2, $K182/time_cap/(time+1)*BJ$2, 0) = 0, $K182/(time_cap),0)),0)</f>
        <v/>
      </c>
      <c r="BK182" s="4395" t="n"/>
      <c r="BL182" s="4395" t="n"/>
      <c r="BM182" s="4395" t="n"/>
      <c r="BN182" s="4395" t="n"/>
      <c r="BO182" s="4395" t="n"/>
      <c r="BP182" s="4395" t="n"/>
      <c r="BQ182" s="4395" t="n"/>
      <c r="BR182" s="4395" t="n"/>
      <c r="BS182" s="4395" t="n"/>
      <c r="BT182" s="4395" t="n"/>
      <c r="BU182" s="4395" t="n"/>
      <c r="BV182" s="4395" t="n"/>
      <c r="BW182" s="4395" t="n"/>
      <c r="BX182" s="4395" t="n"/>
      <c r="BY182" s="4395" t="n"/>
      <c r="BZ182" s="4395" t="n"/>
      <c r="CA182" s="4395" t="n"/>
      <c r="CB182" s="4395" t="n"/>
      <c r="CC182" s="4395" t="n"/>
      <c r="CD182" s="4395" t="n"/>
      <c r="CE182" s="4395" t="n"/>
      <c r="CF182" s="4395" t="n"/>
      <c r="CG182" s="4395" t="n"/>
      <c r="CH182" s="4395" t="n"/>
      <c r="CI182" s="4395" t="n"/>
      <c r="CJ182" s="4395" t="n"/>
      <c r="CK182" s="4395" t="n"/>
      <c r="CL182" s="4395" t="n"/>
      <c r="CM182" s="4395" t="n"/>
      <c r="CN182" s="4395" t="n"/>
      <c r="CO182" s="4395" t="n"/>
      <c r="CP182" s="4395" t="n"/>
      <c r="CQ182" s="4395" t="n"/>
      <c r="CR182" s="4395" t="n"/>
      <c r="CS182" s="4395" t="n"/>
      <c r="CT182" s="4395" t="n"/>
      <c r="CU182" s="4395" t="n"/>
      <c r="CV182" s="4395" t="n"/>
      <c r="CW182" s="4395" t="n"/>
      <c r="CX182" s="4395" t="n"/>
      <c r="CY182" s="4395" t="n"/>
      <c r="CZ182" s="4395" t="n"/>
      <c r="DA182" s="4395" t="n"/>
      <c r="DB182" s="4395" t="n"/>
      <c r="DC182" s="4395" t="n"/>
      <c r="DD182" s="4395" t="n"/>
      <c r="DE182" s="4395" t="n"/>
      <c r="DF182" s="4395" t="n"/>
      <c r="DG182" s="4395" t="n"/>
      <c r="DH182" s="4395" t="n"/>
    </row>
    <row r="183" ht="16" customHeight="1">
      <c r="A183" t="inlineStr">
        <is>
          <t>Coastal wetland - water</t>
        </is>
      </c>
      <c r="C183">
        <f>'7.Coastal wetlands'!C70</f>
        <v/>
      </c>
      <c r="D183">
        <f>'7.Coastal wetlands'!AI70</f>
        <v/>
      </c>
      <c r="E183">
        <f>IF('7.Coastal wetlands'!CN70&lt;&gt;0,'7.Coastal wetlands'!CN70,'7.Coastal wetlands'!CM70)</f>
        <v/>
      </c>
      <c r="F183">
        <f>time</f>
        <v/>
      </c>
      <c r="G183" s="4395">
        <f>'7.Coastal wetlands'!O70</f>
        <v/>
      </c>
      <c r="H183" s="4395">
        <f>'7.Coastal wetlands'!Q70</f>
        <v/>
      </c>
      <c r="I183" s="4395">
        <f>IF(OR(H183="I", G183="I"), "I", IF(OR(H183="E", G183="E"), "E", "D"))</f>
        <v/>
      </c>
      <c r="J183" s="4395">
        <f>((D183/(time_cap+((F183-E183+1)*VLOOKUP(I183,list!$I$48:$K$50,3, FALSE))))*(F183-E183+1)*VLOOKUP(I183,list!$I$48:$K$50,3, FALSE))</f>
        <v/>
      </c>
      <c r="K183" s="4395">
        <f>((D183/(time_cap+((F183-E183+1)*VLOOKUP(I183,list!$I$48:$K$50,3, FALSE))))*time_cap)</f>
        <v/>
      </c>
      <c r="M183" s="4395">
        <f>IFERROR(IF((time+time_cap)&lt;M$2, 0,IF(AND(time+1&gt;=N$2, $E183&lt;N$2), IF($I183= "I", $J183/($F183-$E183+1), $J183/(($F183*($F183+1)/2)-(($E183-1)*($E183-1+1)/2))*M$2), 0)+IF(IF(time+1&gt;=N$2, $K183/time_cap/(time+1)*M$2, 0) = 0, $K183/(time_cap),0)),0)</f>
        <v/>
      </c>
      <c r="N183" s="4395">
        <f>IFERROR(IF((time+time_cap)&lt;N$2, 0,IF(AND(time+1&gt;=O$2, $E183&lt;O$2), IF($I183= "I", $J183/($F183-$E183+1), $J183/(($F183*($F183+1)/2)-(($E183-1)*($E183-1+1)/2))*N$2), 0)+IF(IF(time+1&gt;=O$2, $K183/time_cap/(time+1)*N$2, 0) = 0, $K183/(time_cap),0)),0)</f>
        <v/>
      </c>
      <c r="O183" s="4395">
        <f>IFERROR(IF((time+time_cap)&lt;O$2, 0,IF(AND(time+1&gt;=P$2, $E183&lt;P$2), IF($I183= "I", $J183/($F183-$E183+1), $J183/(($F183*($F183+1)/2)-(($E183-1)*($E183-1+1)/2))*O$2), 0)+IF(IF(time+1&gt;=P$2, $K183/time_cap/(time+1)*O$2, 0) = 0, $K183/(time_cap),0)),0)</f>
        <v/>
      </c>
      <c r="P183" s="4395">
        <f>IFERROR(IF((time+time_cap)&lt;P$2, 0,IF(AND(time+1&gt;=Q$2, $E183&lt;Q$2), IF($I183= "I", $J183/($F183-$E183+1), $J183/(($F183*($F183+1)/2)-(($E183-1)*($E183-1+1)/2))*P$2), 0)+IF(IF(time+1&gt;=Q$2, $K183/time_cap/(time+1)*P$2, 0) = 0, $K183/(time_cap),0)),0)</f>
        <v/>
      </c>
      <c r="Q183" s="4395">
        <f>IFERROR(IF((time+time_cap)&lt;Q$2, 0,IF(AND(time+1&gt;=R$2, $E183&lt;R$2), IF($I183= "I", $J183/($F183-$E183+1), $J183/(($F183*($F183+1)/2)-(($E183-1)*($E183-1+1)/2))*Q$2), 0)+IF(IF(time+1&gt;=R$2, $K183/time_cap/(time+1)*Q$2, 0) = 0, $K183/(time_cap),0)),0)</f>
        <v/>
      </c>
      <c r="R183" s="4395">
        <f>IFERROR(IF((time+time_cap)&lt;R$2, 0,IF(AND(time+1&gt;=S$2, $E183&lt;S$2), IF($I183= "I", $J183/($F183-$E183+1), $J183/(($F183*($F183+1)/2)-(($E183-1)*($E183-1+1)/2))*R$2), 0)+IF(IF(time+1&gt;=S$2, $K183/time_cap/(time+1)*R$2, 0) = 0, $K183/(time_cap),0)),0)</f>
        <v/>
      </c>
      <c r="S183" s="4395">
        <f>IFERROR(IF((time+time_cap)&lt;S$2, 0,IF(AND(time+1&gt;=T$2, $E183&lt;T$2), IF($I183= "I", $J183/($F183-$E183+1), $J183/(($F183*($F183+1)/2)-(($E183-1)*($E183-1+1)/2))*S$2), 0)+IF(IF(time+1&gt;=T$2, $K183/time_cap/(time+1)*S$2, 0) = 0, $K183/(time_cap),0)),0)</f>
        <v/>
      </c>
      <c r="T183" s="4395">
        <f>IFERROR(IF((time+time_cap)&lt;T$2, 0,IF(AND(time+1&gt;=U$2, $E183&lt;U$2), IF($I183= "I", $J183/($F183-$E183+1), $J183/(($F183*($F183+1)/2)-(($E183-1)*($E183-1+1)/2))*T$2), 0)+IF(IF(time+1&gt;=U$2, $K183/time_cap/(time+1)*T$2, 0) = 0, $K183/(time_cap),0)),0)</f>
        <v/>
      </c>
      <c r="U183" s="4395">
        <f>IFERROR(IF((time+time_cap)&lt;U$2, 0,IF(AND(time+1&gt;=V$2, $E183&lt;V$2), IF($I183= "I", $J183/($F183-$E183+1), $J183/(($F183*($F183+1)/2)-(($E183-1)*($E183-1+1)/2))*U$2), 0)+IF(IF(time+1&gt;=V$2, $K183/time_cap/(time+1)*U$2, 0) = 0, $K183/(time_cap),0)),0)</f>
        <v/>
      </c>
      <c r="V183" s="4395">
        <f>IFERROR(IF((time+time_cap)&lt;V$2, 0,IF(AND(time+1&gt;=W$2, $E183&lt;W$2), IF($I183= "I", $J183/($F183-$E183+1), $J183/(($F183*($F183+1)/2)-(($E183-1)*($E183-1+1)/2))*V$2), 0)+IF(IF(time+1&gt;=W$2, $K183/time_cap/(time+1)*V$2, 0) = 0, $K183/(time_cap),0)),0)</f>
        <v/>
      </c>
      <c r="W183" s="4395">
        <f>IFERROR(IF((time+time_cap)&lt;W$2, 0,IF(AND(time+1&gt;=X$2, $E183&lt;X$2), IF($I183= "I", $J183/($F183-$E183+1), $J183/(($F183*($F183+1)/2)-(($E183-1)*($E183-1+1)/2))*W$2), 0)+IF(IF(time+1&gt;=X$2, $K183/time_cap/(time+1)*W$2, 0) = 0, $K183/(time_cap),0)),0)</f>
        <v/>
      </c>
      <c r="X183" s="4395">
        <f>IFERROR(IF((time+time_cap)&lt;X$2, 0,IF(AND(time+1&gt;=Y$2, $E183&lt;Y$2), IF($I183= "I", $J183/($F183-$E183+1), $J183/(($F183*($F183+1)/2)-(($E183-1)*($E183-1+1)/2))*X$2), 0)+IF(IF(time+1&gt;=Y$2, $K183/time_cap/(time+1)*X$2, 0) = 0, $K183/(time_cap),0)),0)</f>
        <v/>
      </c>
      <c r="Y183" s="4395">
        <f>IFERROR(IF((time+time_cap)&lt;Y$2, 0,IF(AND(time+1&gt;=Z$2, $E183&lt;Z$2), IF($I183= "I", $J183/($F183-$E183+1), $J183/(($F183*($F183+1)/2)-(($E183-1)*($E183-1+1)/2))*Y$2), 0)+IF(IF(time+1&gt;=Z$2, $K183/time_cap/(time+1)*Y$2, 0) = 0, $K183/(time_cap),0)),0)</f>
        <v/>
      </c>
      <c r="Z183" s="4395">
        <f>IFERROR(IF((time+time_cap)&lt;Z$2, 0,IF(AND(time+1&gt;=AA$2, $E183&lt;AA$2), IF($I183= "I", $J183/($F183-$E183+1), $J183/(($F183*($F183+1)/2)-(($E183-1)*($E183-1+1)/2))*Z$2), 0)+IF(IF(time+1&gt;=AA$2, $K183/time_cap/(time+1)*Z$2, 0) = 0, $K183/(time_cap),0)),0)</f>
        <v/>
      </c>
      <c r="AA183" s="4395">
        <f>IFERROR(IF((time+time_cap)&lt;AA$2, 0,IF(AND(time+1&gt;=AB$2, $E183&lt;AB$2), IF($I183= "I", $J183/($F183-$E183+1), $J183/(($F183*($F183+1)/2)-(($E183-1)*($E183-1+1)/2))*AA$2), 0)+IF(IF(time+1&gt;=AB$2, $K183/time_cap/(time+1)*AA$2, 0) = 0, $K183/(time_cap),0)),0)</f>
        <v/>
      </c>
      <c r="AB183" s="4395">
        <f>IFERROR(IF((time+time_cap)&lt;AB$2, 0,IF(AND(time+1&gt;=AC$2, $E183&lt;AC$2), IF($I183= "I", $J183/($F183-$E183+1), $J183/(($F183*($F183+1)/2)-(($E183-1)*($E183-1+1)/2))*AB$2), 0)+IF(IF(time+1&gt;=AC$2, $K183/time_cap/(time+1)*AB$2, 0) = 0, $K183/(time_cap),0)),0)</f>
        <v/>
      </c>
      <c r="AC183" s="4395">
        <f>IFERROR(IF((time+time_cap)&lt;AC$2, 0,IF(AND(time+1&gt;=AD$2, $E183&lt;AD$2), IF($I183= "I", $J183/($F183-$E183+1), $J183/(($F183*($F183+1)/2)-(($E183-1)*($E183-1+1)/2))*AC$2), 0)+IF(IF(time+1&gt;=AD$2, $K183/time_cap/(time+1)*AC$2, 0) = 0, $K183/(time_cap),0)),0)</f>
        <v/>
      </c>
      <c r="AD183" s="4395">
        <f>IFERROR(IF((time+time_cap)&lt;AD$2, 0,IF(AND(time+1&gt;=AE$2, $E183&lt;AE$2), IF($I183= "I", $J183/($F183-$E183+1), $J183/(($F183*($F183+1)/2)-(($E183-1)*($E183-1+1)/2))*AD$2), 0)+IF(IF(time+1&gt;=AE$2, $K183/time_cap/(time+1)*AD$2, 0) = 0, $K183/(time_cap),0)),0)</f>
        <v/>
      </c>
      <c r="AE183" s="4395">
        <f>IFERROR(IF((time+time_cap)&lt;AE$2, 0,IF(AND(time+1&gt;=AF$2, $E183&lt;AF$2), IF($I183= "I", $J183/($F183-$E183+1), $J183/(($F183*($F183+1)/2)-(($E183-1)*($E183-1+1)/2))*AE$2), 0)+IF(IF(time+1&gt;=AF$2, $K183/time_cap/(time+1)*AE$2, 0) = 0, $K183/(time_cap),0)),0)</f>
        <v/>
      </c>
      <c r="AF183" s="4395">
        <f>IFERROR(IF((time+time_cap)&lt;AF$2, 0,IF(AND(time+1&gt;=AG$2, $E183&lt;AG$2), IF($I183= "I", $J183/($F183-$E183+1), $J183/(($F183*($F183+1)/2)-(($E183-1)*($E183-1+1)/2))*AF$2), 0)+IF(IF(time+1&gt;=AG$2, $K183/time_cap/(time+1)*AF$2, 0) = 0, $K183/(time_cap),0)),0)</f>
        <v/>
      </c>
      <c r="AG183" s="4395">
        <f>IFERROR(IF((time+time_cap)&lt;AG$2, 0,IF(AND(time+1&gt;=AH$2, $E183&lt;AH$2), IF($I183= "I", $J183/($F183-$E183+1), $J183/(($F183*($F183+1)/2)-(($E183-1)*($E183-1+1)/2))*AG$2), 0)+IF(IF(time+1&gt;=AH$2, $K183/time_cap/(time+1)*AG$2, 0) = 0, $K183/(time_cap),0)),0)</f>
        <v/>
      </c>
      <c r="AH183" s="4395">
        <f>IFERROR(IF((time+time_cap)&lt;AH$2, 0,IF(AND(time+1&gt;=AI$2, $E183&lt;AI$2), IF($I183= "I", $J183/($F183-$E183+1), $J183/(($F183*($F183+1)/2)-(($E183-1)*($E183-1+1)/2))*AH$2), 0)+IF(IF(time+1&gt;=AI$2, $K183/time_cap/(time+1)*AH$2, 0) = 0, $K183/(time_cap),0)),0)</f>
        <v/>
      </c>
      <c r="AI183" s="4395">
        <f>IFERROR(IF((time+time_cap)&lt;AI$2, 0,IF(AND(time+1&gt;=AJ$2, $E183&lt;AJ$2), IF($I183= "I", $J183/($F183-$E183+1), $J183/(($F183*($F183+1)/2)-(($E183-1)*($E183-1+1)/2))*AI$2), 0)+IF(IF(time+1&gt;=AJ$2, $K183/time_cap/(time+1)*AI$2, 0) = 0, $K183/(time_cap),0)),0)</f>
        <v/>
      </c>
      <c r="AJ183" s="4395">
        <f>IFERROR(IF((time+time_cap)&lt;AJ$2, 0,IF(AND(time+1&gt;=AK$2, $E183&lt;AK$2), IF($I183= "I", $J183/($F183-$E183+1), $J183/(($F183*($F183+1)/2)-(($E183-1)*($E183-1+1)/2))*AJ$2), 0)+IF(IF(time+1&gt;=AK$2, $K183/time_cap/(time+1)*AJ$2, 0) = 0, $K183/(time_cap),0)),0)</f>
        <v/>
      </c>
      <c r="AK183" s="4395">
        <f>IFERROR(IF((time+time_cap)&lt;AK$2, 0,IF(AND(time+1&gt;=AL$2, $E183&lt;AL$2), IF($I183= "I", $J183/($F183-$E183+1), $J183/(($F183*($F183+1)/2)-(($E183-1)*($E183-1+1)/2))*AK$2), 0)+IF(IF(time+1&gt;=AL$2, $K183/time_cap/(time+1)*AK$2, 0) = 0, $K183/(time_cap),0)),0)</f>
        <v/>
      </c>
      <c r="AL183" s="4395">
        <f>IFERROR(IF((time+time_cap)&lt;AL$2, 0,IF(AND(time+1&gt;=AM$2, $E183&lt;AM$2), IF($I183= "I", $J183/($F183-$E183+1), $J183/(($F183*($F183+1)/2)-(($E183-1)*($E183-1+1)/2))*AL$2), 0)+IF(IF(time+1&gt;=AM$2, $K183/time_cap/(time+1)*AL$2, 0) = 0, $K183/(time_cap),0)),0)</f>
        <v/>
      </c>
      <c r="AM183" s="4395">
        <f>IFERROR(IF((time+time_cap)&lt;AM$2, 0,IF(AND(time+1&gt;=AN$2, $E183&lt;AN$2), IF($I183= "I", $J183/($F183-$E183+1), $J183/(($F183*($F183+1)/2)-(($E183-1)*($E183-1+1)/2))*AM$2), 0)+IF(IF(time+1&gt;=AN$2, $K183/time_cap/(time+1)*AM$2, 0) = 0, $K183/(time_cap),0)),0)</f>
        <v/>
      </c>
      <c r="AN183" s="4395">
        <f>IFERROR(IF((time+time_cap)&lt;AN$2, 0,IF(AND(time+1&gt;=AO$2, $E183&lt;AO$2), IF($I183= "I", $J183/($F183-$E183+1), $J183/(($F183*($F183+1)/2)-(($E183-1)*($E183-1+1)/2))*AN$2), 0)+IF(IF(time+1&gt;=AO$2, $K183/time_cap/(time+1)*AN$2, 0) = 0, $K183/(time_cap),0)),0)</f>
        <v/>
      </c>
      <c r="AO183" s="4395">
        <f>IFERROR(IF((time+time_cap)&lt;AO$2, 0,IF(AND(time+1&gt;=AP$2, $E183&lt;AP$2), IF($I183= "I", $J183/($F183-$E183+1), $J183/(($F183*($F183+1)/2)-(($E183-1)*($E183-1+1)/2))*AO$2), 0)+IF(IF(time+1&gt;=AP$2, $K183/time_cap/(time+1)*AO$2, 0) = 0, $K183/(time_cap),0)),0)</f>
        <v/>
      </c>
      <c r="AP183" s="4395">
        <f>IFERROR(IF((time+time_cap)&lt;AP$2, 0,IF(AND(time+1&gt;=AQ$2, $E183&lt;AQ$2), IF($I183= "I", $J183/($F183-$E183+1), $J183/(($F183*($F183+1)/2)-(($E183-1)*($E183-1+1)/2))*AP$2), 0)+IF(IF(time+1&gt;=AQ$2, $K183/time_cap/(time+1)*AP$2, 0) = 0, $K183/(time_cap),0)),0)</f>
        <v/>
      </c>
      <c r="AQ183" s="4395">
        <f>IFERROR(IF((time+time_cap)&lt;AQ$2, 0,IF(AND(time+1&gt;=AR$2, $E183&lt;AR$2), IF($I183= "I", $J183/($F183-$E183+1), $J183/(($F183*($F183+1)/2)-(($E183-1)*($E183-1+1)/2))*AQ$2), 0)+IF(IF(time+1&gt;=AR$2, $K183/time_cap/(time+1)*AQ$2, 0) = 0, $K183/(time_cap),0)),0)</f>
        <v/>
      </c>
      <c r="AR183" s="4395">
        <f>IFERROR(IF((time+time_cap)&lt;AR$2, 0,IF(AND(time+1&gt;=AS$2, $E183&lt;AS$2), IF($I183= "I", $J183/($F183-$E183+1), $J183/(($F183*($F183+1)/2)-(($E183-1)*($E183-1+1)/2))*AR$2), 0)+IF(IF(time+1&gt;=AS$2, $K183/time_cap/(time+1)*AR$2, 0) = 0, $K183/(time_cap),0)),0)</f>
        <v/>
      </c>
      <c r="AS183" s="4395">
        <f>IFERROR(IF((time+time_cap)&lt;AS$2, 0,IF(AND(time+1&gt;=AT$2, $E183&lt;AT$2), IF($I183= "I", $J183/($F183-$E183+1), $J183/(($F183*($F183+1)/2)-(($E183-1)*($E183-1+1)/2))*AS$2), 0)+IF(IF(time+1&gt;=AT$2, $K183/time_cap/(time+1)*AS$2, 0) = 0, $K183/(time_cap),0)),0)</f>
        <v/>
      </c>
      <c r="AT183" s="4395">
        <f>IFERROR(IF((time+time_cap)&lt;AT$2, 0,IF(AND(time+1&gt;=AU$2, $E183&lt;AU$2), IF($I183= "I", $J183/($F183-$E183+1), $J183/(($F183*($F183+1)/2)-(($E183-1)*($E183-1+1)/2))*AT$2), 0)+IF(IF(time+1&gt;=AU$2, $K183/time_cap/(time+1)*AT$2, 0) = 0, $K183/(time_cap),0)),0)</f>
        <v/>
      </c>
      <c r="AU183" s="4395">
        <f>IFERROR(IF((time+time_cap)&lt;AU$2, 0,IF(AND(time+1&gt;=AV$2, $E183&lt;AV$2), IF($I183= "I", $J183/($F183-$E183+1), $J183/(($F183*($F183+1)/2)-(($E183-1)*($E183-1+1)/2))*AU$2), 0)+IF(IF(time+1&gt;=AV$2, $K183/time_cap/(time+1)*AU$2, 0) = 0, $K183/(time_cap),0)),0)</f>
        <v/>
      </c>
      <c r="AV183" s="4395">
        <f>IFERROR(IF((time+time_cap)&lt;AV$2, 0,IF(AND(time+1&gt;=AW$2, $E183&lt;AW$2), IF($I183= "I", $J183/($F183-$E183+1), $J183/(($F183*($F183+1)/2)-(($E183-1)*($E183-1+1)/2))*AV$2), 0)+IF(IF(time+1&gt;=AW$2, $K183/time_cap/(time+1)*AV$2, 0) = 0, $K183/(time_cap),0)),0)</f>
        <v/>
      </c>
      <c r="AW183" s="4395">
        <f>IFERROR(IF((time+time_cap)&lt;AW$2, 0,IF(AND(time+1&gt;=AX$2, $E183&lt;AX$2), IF($I183= "I", $J183/($F183-$E183+1), $J183/(($F183*($F183+1)/2)-(($E183-1)*($E183-1+1)/2))*AW$2), 0)+IF(IF(time+1&gt;=AX$2, $K183/time_cap/(time+1)*AW$2, 0) = 0, $K183/(time_cap),0)),0)</f>
        <v/>
      </c>
      <c r="AX183" s="4395">
        <f>IFERROR(IF((time+time_cap)&lt;AX$2, 0,IF(AND(time+1&gt;=AY$2, $E183&lt;AY$2), IF($I183= "I", $J183/($F183-$E183+1), $J183/(($F183*($F183+1)/2)-(($E183-1)*($E183-1+1)/2))*AX$2), 0)+IF(IF(time+1&gt;=AY$2, $K183/time_cap/(time+1)*AX$2, 0) = 0, $K183/(time_cap),0)),0)</f>
        <v/>
      </c>
      <c r="AY183" s="4395">
        <f>IFERROR(IF((time+time_cap)&lt;AY$2, 0,IF(AND(time+1&gt;=AZ$2, $E183&lt;AZ$2), IF($I183= "I", $J183/($F183-$E183+1), $J183/(($F183*($F183+1)/2)-(($E183-1)*($E183-1+1)/2))*AY$2), 0)+IF(IF(time+1&gt;=AZ$2, $K183/time_cap/(time+1)*AY$2, 0) = 0, $K183/(time_cap),0)),0)</f>
        <v/>
      </c>
      <c r="AZ183" s="4395">
        <f>IFERROR(IF((time+time_cap)&lt;AZ$2, 0,IF(AND(time+1&gt;=BA$2, $E183&lt;BA$2), IF($I183= "I", $J183/($F183-$E183+1), $J183/(($F183*($F183+1)/2)-(($E183-1)*($E183-1+1)/2))*AZ$2), 0)+IF(IF(time+1&gt;=BA$2, $K183/time_cap/(time+1)*AZ$2, 0) = 0, $K183/(time_cap),0)),0)</f>
        <v/>
      </c>
      <c r="BA183" s="4395">
        <f>IFERROR(IF((time+time_cap)&lt;BA$2, 0,IF(AND(time+1&gt;=BB$2, $E183&lt;BB$2), IF($I183= "I", $J183/($F183-$E183+1), $J183/(($F183*($F183+1)/2)-(($E183-1)*($E183-1+1)/2))*BA$2), 0)+IF(IF(time+1&gt;=BB$2, $K183/time_cap/(time+1)*BA$2, 0) = 0, $K183/(time_cap),0)),0)</f>
        <v/>
      </c>
      <c r="BB183" s="4395">
        <f>IFERROR(IF((time+time_cap)&lt;BB$2, 0,IF(AND(time+1&gt;=BC$2, $E183&lt;BC$2), IF($I183= "I", $J183/($F183-$E183+1), $J183/(($F183*($F183+1)/2)-(($E183-1)*($E183-1+1)/2))*BB$2), 0)+IF(IF(time+1&gt;=BC$2, $K183/time_cap/(time+1)*BB$2, 0) = 0, $K183/(time_cap),0)),0)</f>
        <v/>
      </c>
      <c r="BC183" s="4395">
        <f>IFERROR(IF((time+time_cap)&lt;BC$2, 0,IF(AND(time+1&gt;=BD$2, $E183&lt;BD$2), IF($I183= "I", $J183/($F183-$E183+1), $J183/(($F183*($F183+1)/2)-(($E183-1)*($E183-1+1)/2))*BC$2), 0)+IF(IF(time+1&gt;=BD$2, $K183/time_cap/(time+1)*BC$2, 0) = 0, $K183/(time_cap),0)),0)</f>
        <v/>
      </c>
      <c r="BD183" s="4395">
        <f>IFERROR(IF((time+time_cap)&lt;BD$2, 0,IF(AND(time+1&gt;=BE$2, $E183&lt;BE$2), IF($I183= "I", $J183/($F183-$E183+1), $J183/(($F183*($F183+1)/2)-(($E183-1)*($E183-1+1)/2))*BD$2), 0)+IF(IF(time+1&gt;=BE$2, $K183/time_cap/(time+1)*BD$2, 0) = 0, $K183/(time_cap),0)),0)</f>
        <v/>
      </c>
      <c r="BE183" s="4395">
        <f>IFERROR(IF((time+time_cap)&lt;BE$2, 0,IF(AND(time+1&gt;=BF$2, $E183&lt;BF$2), IF($I183= "I", $J183/($F183-$E183+1), $J183/(($F183*($F183+1)/2)-(($E183-1)*($E183-1+1)/2))*BE$2), 0)+IF(IF(time+1&gt;=BF$2, $K183/time_cap/(time+1)*BE$2, 0) = 0, $K183/(time_cap),0)),0)</f>
        <v/>
      </c>
      <c r="BF183" s="4395">
        <f>IFERROR(IF((time+time_cap)&lt;BF$2, 0,IF(AND(time+1&gt;=BG$2, $E183&lt;BG$2), IF($I183= "I", $J183/($F183-$E183+1), $J183/(($F183*($F183+1)/2)-(($E183-1)*($E183-1+1)/2))*BF$2), 0)+IF(IF(time+1&gt;=BG$2, $K183/time_cap/(time+1)*BF$2, 0) = 0, $K183/(time_cap),0)),0)</f>
        <v/>
      </c>
      <c r="BG183" s="4395">
        <f>IFERROR(IF((time+time_cap)&lt;BG$2, 0,IF(AND(time+1&gt;=BH$2, $E183&lt;BH$2), IF($I183= "I", $J183/($F183-$E183+1), $J183/(($F183*($F183+1)/2)-(($E183-1)*($E183-1+1)/2))*BG$2), 0)+IF(IF(time+1&gt;=BH$2, $K183/time_cap/(time+1)*BG$2, 0) = 0, $K183/(time_cap),0)),0)</f>
        <v/>
      </c>
      <c r="BH183" s="4395">
        <f>IFERROR(IF((time+time_cap)&lt;BH$2, 0,IF(AND(time+1&gt;=BI$2, $E183&lt;BI$2), IF($I183= "I", $J183/($F183-$E183+1), $J183/(($F183*($F183+1)/2)-(($E183-1)*($E183-1+1)/2))*BH$2), 0)+IF(IF(time+1&gt;=BI$2, $K183/time_cap/(time+1)*BH$2, 0) = 0, $K183/(time_cap),0)),0)</f>
        <v/>
      </c>
      <c r="BI183" s="4395">
        <f>IFERROR(IF((time+time_cap)&lt;BI$2, 0,IF(AND(time+1&gt;=BJ$2, $E183&lt;BJ$2), IF($I183= "I", $J183/($F183-$E183+1), $J183/(($F183*($F183+1)/2)-(($E183-1)*($E183-1+1)/2))*BI$2), 0)+IF(IF(time+1&gt;=BJ$2, $K183/time_cap/(time+1)*BI$2, 0) = 0, $K183/(time_cap),0)),0)</f>
        <v/>
      </c>
      <c r="BJ183" s="4395">
        <f>IFERROR(IF((time+time_cap)&lt;BJ$2, 0,IF(AND(time+1&gt;=BK$2, $E183&lt;BK$2), IF($I183= "I", $J183/($F183-$E183+1), $J183/(($F183*($F183+1)/2)-(($E183-1)*($E183-1+1)/2))*BJ$2), 0)+IF(IF(time+1&gt;=BK$2, $K183/time_cap/(time+1)*BJ$2, 0) = 0, $K183/(time_cap),0)),0)</f>
        <v/>
      </c>
      <c r="BK183" s="4395" t="n"/>
      <c r="BL183" s="4395" t="n"/>
      <c r="BM183" s="4395" t="n"/>
      <c r="BN183" s="4395" t="n"/>
      <c r="BO183" s="4395" t="n"/>
      <c r="BP183" s="4395" t="n"/>
      <c r="BQ183" s="4395" t="n"/>
      <c r="BR183" s="4395" t="n"/>
      <c r="BS183" s="4395" t="n"/>
      <c r="BT183" s="4395" t="n"/>
      <c r="BU183" s="4395" t="n"/>
      <c r="BV183" s="4395" t="n"/>
      <c r="BW183" s="4395" t="n"/>
      <c r="BX183" s="4395" t="n"/>
      <c r="BY183" s="4395" t="n"/>
      <c r="BZ183" s="4395" t="n"/>
      <c r="CA183" s="4395" t="n"/>
      <c r="CB183" s="4395" t="n"/>
      <c r="CC183" s="4395" t="n"/>
      <c r="CD183" s="4395" t="n"/>
      <c r="CE183" s="4395" t="n"/>
      <c r="CF183" s="4395" t="n"/>
      <c r="CG183" s="4395" t="n"/>
      <c r="CH183" s="4395" t="n"/>
      <c r="CI183" s="4395" t="n"/>
      <c r="CJ183" s="4395" t="n"/>
      <c r="CK183" s="4395" t="n"/>
      <c r="CL183" s="4395" t="n"/>
      <c r="CM183" s="4395" t="n"/>
      <c r="CN183" s="4395" t="n"/>
      <c r="CO183" s="4395" t="n"/>
      <c r="CP183" s="4395" t="n"/>
      <c r="CQ183" s="4395" t="n"/>
      <c r="CR183" s="4395" t="n"/>
      <c r="CS183" s="4395" t="n"/>
      <c r="CT183" s="4395" t="n"/>
      <c r="CU183" s="4395" t="n"/>
      <c r="CV183" s="4395" t="n"/>
      <c r="CW183" s="4395" t="n"/>
      <c r="CX183" s="4395" t="n"/>
      <c r="CY183" s="4395" t="n"/>
      <c r="CZ183" s="4395" t="n"/>
      <c r="DA183" s="4395" t="n"/>
      <c r="DB183" s="4395" t="n"/>
      <c r="DC183" s="4395" t="n"/>
      <c r="DD183" s="4395" t="n"/>
      <c r="DE183" s="4395" t="n"/>
      <c r="DF183" s="4395" t="n"/>
      <c r="DG183" s="4395" t="n"/>
      <c r="DH183" s="4395" t="n"/>
    </row>
    <row r="184" ht="16" customHeight="1">
      <c r="A184" t="inlineStr">
        <is>
          <t>Small scale fisheries</t>
        </is>
      </c>
      <c r="C184">
        <f>'8. Fisheries and aquaculture'!C13</f>
        <v/>
      </c>
      <c r="D184">
        <f>IFERROR('8. Fisheries and aquaculture'!AI13+(('8. Fisheries and aquaculture'!$AI$22+'8. Fisheries and aquaculture'!$AI$26)/SUM('8. Fisheries and aquaculture'!$AI$13:$AI$18)*'8. Fisheries and aquaculture'!AI13), 0)</f>
        <v/>
      </c>
      <c r="E184">
        <f>IF('8. Fisheries and aquaculture'!CN13&lt;&gt;0,'8. Fisheries and aquaculture'!CN13,'8. Fisheries and aquaculture'!CM13)</f>
        <v/>
      </c>
      <c r="F184">
        <f>time</f>
        <v/>
      </c>
      <c r="G184" s="4395">
        <f>'8. Fisheries and aquaculture'!AA13</f>
        <v/>
      </c>
      <c r="H184" s="4395">
        <f>'8. Fisheries and aquaculture'!AC13</f>
        <v/>
      </c>
      <c r="I184" s="4395">
        <f>IF(OR(H184="I", G184="I"), "I", IF(OR(H184="E", G184="E"), "E", "D"))</f>
        <v/>
      </c>
      <c r="J184" s="4395">
        <f>((D184/(time_cap+((F184-E184+1)*VLOOKUP(I184,list!$I$48:$K$50,3, FALSE))))*(F184-E184+1)*VLOOKUP(I184,list!$I$48:$K$50,3, FALSE))</f>
        <v/>
      </c>
      <c r="K184" s="4395">
        <f>((D184/(time_cap+((F184-E184+1)*VLOOKUP(I184,list!$I$48:$K$50,3, FALSE))))*time_cap)</f>
        <v/>
      </c>
      <c r="M184" s="4395">
        <f>IFERROR(IF((time+time_cap)&lt;M$2, 0,IF(AND(time+1&gt;=N$2, $E184&lt;N$2), IF($I184= "I", $J184/($F184-$E184+1), $J184/(($F184*($F184+1)/2)-(($E184-1)*($E184-1+1)/2))*M$2), 0)+IF(IF(time+1&gt;=N$2, $K184/time_cap/(time+1)*M$2, 0) = 0, $K184/(time_cap),0)),0)</f>
        <v/>
      </c>
      <c r="N184" s="4395">
        <f>IFERROR(IF((time+time_cap)&lt;N$2, 0,IF(AND(time+1&gt;=O$2, $E184&lt;O$2), IF($I184= "I", $J184/($F184-$E184+1), $J184/(($F184*($F184+1)/2)-(($E184-1)*($E184-1+1)/2))*N$2), 0)+IF(IF(time+1&gt;=O$2, $K184/time_cap/(time+1)*N$2, 0) = 0, $K184/(time_cap),0)),0)</f>
        <v/>
      </c>
      <c r="O184" s="4395">
        <f>IFERROR(IF((time+time_cap)&lt;O$2, 0,IF(AND(time+1&gt;=P$2, $E184&lt;P$2), IF($I184= "I", $J184/($F184-$E184+1), $J184/(($F184*($F184+1)/2)-(($E184-1)*($E184-1+1)/2))*O$2), 0)+IF(IF(time+1&gt;=P$2, $K184/time_cap/(time+1)*O$2, 0) = 0, $K184/(time_cap),0)),0)</f>
        <v/>
      </c>
      <c r="P184" s="4395">
        <f>IFERROR(IF((time+time_cap)&lt;P$2, 0,IF(AND(time+1&gt;=Q$2, $E184&lt;Q$2), IF($I184= "I", $J184/($F184-$E184+1), $J184/(($F184*($F184+1)/2)-(($E184-1)*($E184-1+1)/2))*P$2), 0)+IF(IF(time+1&gt;=Q$2, $K184/time_cap/(time+1)*P$2, 0) = 0, $K184/(time_cap),0)),0)</f>
        <v/>
      </c>
      <c r="Q184" s="4395">
        <f>IFERROR(IF((time+time_cap)&lt;Q$2, 0,IF(AND(time+1&gt;=R$2, $E184&lt;R$2), IF($I184= "I", $J184/($F184-$E184+1), $J184/(($F184*($F184+1)/2)-(($E184-1)*($E184-1+1)/2))*Q$2), 0)+IF(IF(time+1&gt;=R$2, $K184/time_cap/(time+1)*Q$2, 0) = 0, $K184/(time_cap),0)),0)</f>
        <v/>
      </c>
      <c r="R184" s="4395">
        <f>IFERROR(IF((time+time_cap)&lt;R$2, 0,IF(AND(time+1&gt;=S$2, $E184&lt;S$2), IF($I184= "I", $J184/($F184-$E184+1), $J184/(($F184*($F184+1)/2)-(($E184-1)*($E184-1+1)/2))*R$2), 0)+IF(IF(time+1&gt;=S$2, $K184/time_cap/(time+1)*R$2, 0) = 0, $K184/(time_cap),0)),0)</f>
        <v/>
      </c>
      <c r="S184" s="4395">
        <f>IFERROR(IF((time+time_cap)&lt;S$2, 0,IF(AND(time+1&gt;=T$2, $E184&lt;T$2), IF($I184= "I", $J184/($F184-$E184+1), $J184/(($F184*($F184+1)/2)-(($E184-1)*($E184-1+1)/2))*S$2), 0)+IF(IF(time+1&gt;=T$2, $K184/time_cap/(time+1)*S$2, 0) = 0, $K184/(time_cap),0)),0)</f>
        <v/>
      </c>
      <c r="T184" s="4395">
        <f>IFERROR(IF((time+time_cap)&lt;T$2, 0,IF(AND(time+1&gt;=U$2, $E184&lt;U$2), IF($I184= "I", $J184/($F184-$E184+1), $J184/(($F184*($F184+1)/2)-(($E184-1)*($E184-1+1)/2))*T$2), 0)+IF(IF(time+1&gt;=U$2, $K184/time_cap/(time+1)*T$2, 0) = 0, $K184/(time_cap),0)),0)</f>
        <v/>
      </c>
      <c r="U184" s="4395">
        <f>IFERROR(IF((time+time_cap)&lt;U$2, 0,IF(AND(time+1&gt;=V$2, $E184&lt;V$2), IF($I184= "I", $J184/($F184-$E184+1), $J184/(($F184*($F184+1)/2)-(($E184-1)*($E184-1+1)/2))*U$2), 0)+IF(IF(time+1&gt;=V$2, $K184/time_cap/(time+1)*U$2, 0) = 0, $K184/(time_cap),0)),0)</f>
        <v/>
      </c>
      <c r="V184" s="4395">
        <f>IFERROR(IF((time+time_cap)&lt;V$2, 0,IF(AND(time+1&gt;=W$2, $E184&lt;W$2), IF($I184= "I", $J184/($F184-$E184+1), $J184/(($F184*($F184+1)/2)-(($E184-1)*($E184-1+1)/2))*V$2), 0)+IF(IF(time+1&gt;=W$2, $K184/time_cap/(time+1)*V$2, 0) = 0, $K184/(time_cap),0)),0)</f>
        <v/>
      </c>
      <c r="W184" s="4395">
        <f>IFERROR(IF((time+time_cap)&lt;W$2, 0,IF(AND(time+1&gt;=X$2, $E184&lt;X$2), IF($I184= "I", $J184/($F184-$E184+1), $J184/(($F184*($F184+1)/2)-(($E184-1)*($E184-1+1)/2))*W$2), 0)+IF(IF(time+1&gt;=X$2, $K184/time_cap/(time+1)*W$2, 0) = 0, $K184/(time_cap),0)),0)</f>
        <v/>
      </c>
      <c r="X184" s="4395">
        <f>IFERROR(IF((time+time_cap)&lt;X$2, 0,IF(AND(time+1&gt;=Y$2, $E184&lt;Y$2), IF($I184= "I", $J184/($F184-$E184+1), $J184/(($F184*($F184+1)/2)-(($E184-1)*($E184-1+1)/2))*X$2), 0)+IF(IF(time+1&gt;=Y$2, $K184/time_cap/(time+1)*X$2, 0) = 0, $K184/(time_cap),0)),0)</f>
        <v/>
      </c>
      <c r="Y184" s="4395">
        <f>IFERROR(IF((time+time_cap)&lt;Y$2, 0,IF(AND(time+1&gt;=Z$2, $E184&lt;Z$2), IF($I184= "I", $J184/($F184-$E184+1), $J184/(($F184*($F184+1)/2)-(($E184-1)*($E184-1+1)/2))*Y$2), 0)+IF(IF(time+1&gt;=Z$2, $K184/time_cap/(time+1)*Y$2, 0) = 0, $K184/(time_cap),0)),0)</f>
        <v/>
      </c>
      <c r="Z184" s="4395">
        <f>IFERROR(IF((time+time_cap)&lt;Z$2, 0,IF(AND(time+1&gt;=AA$2, $E184&lt;AA$2), IF($I184= "I", $J184/($F184-$E184+1), $J184/(($F184*($F184+1)/2)-(($E184-1)*($E184-1+1)/2))*Z$2), 0)+IF(IF(time+1&gt;=AA$2, $K184/time_cap/(time+1)*Z$2, 0) = 0, $K184/(time_cap),0)),0)</f>
        <v/>
      </c>
      <c r="AA184" s="4395">
        <f>IFERROR(IF((time+time_cap)&lt;AA$2, 0,IF(AND(time+1&gt;=AB$2, $E184&lt;AB$2), IF($I184= "I", $J184/($F184-$E184+1), $J184/(($F184*($F184+1)/2)-(($E184-1)*($E184-1+1)/2))*AA$2), 0)+IF(IF(time+1&gt;=AB$2, $K184/time_cap/(time+1)*AA$2, 0) = 0, $K184/(time_cap),0)),0)</f>
        <v/>
      </c>
      <c r="AB184" s="4395">
        <f>IFERROR(IF((time+time_cap)&lt;AB$2, 0,IF(AND(time+1&gt;=AC$2, $E184&lt;AC$2), IF($I184= "I", $J184/($F184-$E184+1), $J184/(($F184*($F184+1)/2)-(($E184-1)*($E184-1+1)/2))*AB$2), 0)+IF(IF(time+1&gt;=AC$2, $K184/time_cap/(time+1)*AB$2, 0) = 0, $K184/(time_cap),0)),0)</f>
        <v/>
      </c>
      <c r="AC184" s="4395">
        <f>IFERROR(IF((time+time_cap)&lt;AC$2, 0,IF(AND(time+1&gt;=AD$2, $E184&lt;AD$2), IF($I184= "I", $J184/($F184-$E184+1), $J184/(($F184*($F184+1)/2)-(($E184-1)*($E184-1+1)/2))*AC$2), 0)+IF(IF(time+1&gt;=AD$2, $K184/time_cap/(time+1)*AC$2, 0) = 0, $K184/(time_cap),0)),0)</f>
        <v/>
      </c>
      <c r="AD184" s="4395">
        <f>IFERROR(IF((time+time_cap)&lt;AD$2, 0,IF(AND(time+1&gt;=AE$2, $E184&lt;AE$2), IF($I184= "I", $J184/($F184-$E184+1), $J184/(($F184*($F184+1)/2)-(($E184-1)*($E184-1+1)/2))*AD$2), 0)+IF(IF(time+1&gt;=AE$2, $K184/time_cap/(time+1)*AD$2, 0) = 0, $K184/(time_cap),0)),0)</f>
        <v/>
      </c>
      <c r="AE184" s="4395">
        <f>IFERROR(IF((time+time_cap)&lt;AE$2, 0,IF(AND(time+1&gt;=AF$2, $E184&lt;AF$2), IF($I184= "I", $J184/($F184-$E184+1), $J184/(($F184*($F184+1)/2)-(($E184-1)*($E184-1+1)/2))*AE$2), 0)+IF(IF(time+1&gt;=AF$2, $K184/time_cap/(time+1)*AE$2, 0) = 0, $K184/(time_cap),0)),0)</f>
        <v/>
      </c>
      <c r="AF184" s="4395">
        <f>IFERROR(IF((time+time_cap)&lt;AF$2, 0,IF(AND(time+1&gt;=AG$2, $E184&lt;AG$2), IF($I184= "I", $J184/($F184-$E184+1), $J184/(($F184*($F184+1)/2)-(($E184-1)*($E184-1+1)/2))*AF$2), 0)+IF(IF(time+1&gt;=AG$2, $K184/time_cap/(time+1)*AF$2, 0) = 0, $K184/(time_cap),0)),0)</f>
        <v/>
      </c>
      <c r="AG184" s="4395">
        <f>IFERROR(IF((time+time_cap)&lt;AG$2, 0,IF(AND(time+1&gt;=AH$2, $E184&lt;AH$2), IF($I184= "I", $J184/($F184-$E184+1), $J184/(($F184*($F184+1)/2)-(($E184-1)*($E184-1+1)/2))*AG$2), 0)+IF(IF(time+1&gt;=AH$2, $K184/time_cap/(time+1)*AG$2, 0) = 0, $K184/(time_cap),0)),0)</f>
        <v/>
      </c>
      <c r="AH184" s="4395">
        <f>IFERROR(IF((time+time_cap)&lt;AH$2, 0,IF(AND(time+1&gt;=AI$2, $E184&lt;AI$2), IF($I184= "I", $J184/($F184-$E184+1), $J184/(($F184*($F184+1)/2)-(($E184-1)*($E184-1+1)/2))*AH$2), 0)+IF(IF(time+1&gt;=AI$2, $K184/time_cap/(time+1)*AH$2, 0) = 0, $K184/(time_cap),0)),0)</f>
        <v/>
      </c>
      <c r="AI184" s="4395">
        <f>IFERROR(IF((time+time_cap)&lt;AI$2, 0,IF(AND(time+1&gt;=AJ$2, $E184&lt;AJ$2), IF($I184= "I", $J184/($F184-$E184+1), $J184/(($F184*($F184+1)/2)-(($E184-1)*($E184-1+1)/2))*AI$2), 0)+IF(IF(time+1&gt;=AJ$2, $K184/time_cap/(time+1)*AI$2, 0) = 0, $K184/(time_cap),0)),0)</f>
        <v/>
      </c>
      <c r="AJ184" s="4395">
        <f>IFERROR(IF((time+time_cap)&lt;AJ$2, 0,IF(AND(time+1&gt;=AK$2, $E184&lt;AK$2), IF($I184= "I", $J184/($F184-$E184+1), $J184/(($F184*($F184+1)/2)-(($E184-1)*($E184-1+1)/2))*AJ$2), 0)+IF(IF(time+1&gt;=AK$2, $K184/time_cap/(time+1)*AJ$2, 0) = 0, $K184/(time_cap),0)),0)</f>
        <v/>
      </c>
      <c r="AK184" s="4395">
        <f>IFERROR(IF((time+time_cap)&lt;AK$2, 0,IF(AND(time+1&gt;=AL$2, $E184&lt;AL$2), IF($I184= "I", $J184/($F184-$E184+1), $J184/(($F184*($F184+1)/2)-(($E184-1)*($E184-1+1)/2))*AK$2), 0)+IF(IF(time+1&gt;=AL$2, $K184/time_cap/(time+1)*AK$2, 0) = 0, $K184/(time_cap),0)),0)</f>
        <v/>
      </c>
      <c r="AL184" s="4395">
        <f>IFERROR(IF((time+time_cap)&lt;AL$2, 0,IF(AND(time+1&gt;=AM$2, $E184&lt;AM$2), IF($I184= "I", $J184/($F184-$E184+1), $J184/(($F184*($F184+1)/2)-(($E184-1)*($E184-1+1)/2))*AL$2), 0)+IF(IF(time+1&gt;=AM$2, $K184/time_cap/(time+1)*AL$2, 0) = 0, $K184/(time_cap),0)),0)</f>
        <v/>
      </c>
      <c r="AM184" s="4395">
        <f>IFERROR(IF((time+time_cap)&lt;AM$2, 0,IF(AND(time+1&gt;=AN$2, $E184&lt;AN$2), IF($I184= "I", $J184/($F184-$E184+1), $J184/(($F184*($F184+1)/2)-(($E184-1)*($E184-1+1)/2))*AM$2), 0)+IF(IF(time+1&gt;=AN$2, $K184/time_cap/(time+1)*AM$2, 0) = 0, $K184/(time_cap),0)),0)</f>
        <v/>
      </c>
      <c r="AN184" s="4395">
        <f>IFERROR(IF((time+time_cap)&lt;AN$2, 0,IF(AND(time+1&gt;=AO$2, $E184&lt;AO$2), IF($I184= "I", $J184/($F184-$E184+1), $J184/(($F184*($F184+1)/2)-(($E184-1)*($E184-1+1)/2))*AN$2), 0)+IF(IF(time+1&gt;=AO$2, $K184/time_cap/(time+1)*AN$2, 0) = 0, $K184/(time_cap),0)),0)</f>
        <v/>
      </c>
      <c r="AO184" s="4395">
        <f>IFERROR(IF((time+time_cap)&lt;AO$2, 0,IF(AND(time+1&gt;=AP$2, $E184&lt;AP$2), IF($I184= "I", $J184/($F184-$E184+1), $J184/(($F184*($F184+1)/2)-(($E184-1)*($E184-1+1)/2))*AO$2), 0)+IF(IF(time+1&gt;=AP$2, $K184/time_cap/(time+1)*AO$2, 0) = 0, $K184/(time_cap),0)),0)</f>
        <v/>
      </c>
      <c r="AP184" s="4395">
        <f>IFERROR(IF((time+time_cap)&lt;AP$2, 0,IF(AND(time+1&gt;=AQ$2, $E184&lt;AQ$2), IF($I184= "I", $J184/($F184-$E184+1), $J184/(($F184*($F184+1)/2)-(($E184-1)*($E184-1+1)/2))*AP$2), 0)+IF(IF(time+1&gt;=AQ$2, $K184/time_cap/(time+1)*AP$2, 0) = 0, $K184/(time_cap),0)),0)</f>
        <v/>
      </c>
      <c r="AQ184" s="4395">
        <f>IFERROR(IF((time+time_cap)&lt;AQ$2, 0,IF(AND(time+1&gt;=AR$2, $E184&lt;AR$2), IF($I184= "I", $J184/($F184-$E184+1), $J184/(($F184*($F184+1)/2)-(($E184-1)*($E184-1+1)/2))*AQ$2), 0)+IF(IF(time+1&gt;=AR$2, $K184/time_cap/(time+1)*AQ$2, 0) = 0, $K184/(time_cap),0)),0)</f>
        <v/>
      </c>
      <c r="AR184" s="4395">
        <f>IFERROR(IF((time+time_cap)&lt;AR$2, 0,IF(AND(time+1&gt;=AS$2, $E184&lt;AS$2), IF($I184= "I", $J184/($F184-$E184+1), $J184/(($F184*($F184+1)/2)-(($E184-1)*($E184-1+1)/2))*AR$2), 0)+IF(IF(time+1&gt;=AS$2, $K184/time_cap/(time+1)*AR$2, 0) = 0, $K184/(time_cap),0)),0)</f>
        <v/>
      </c>
      <c r="AS184" s="4395">
        <f>IFERROR(IF((time+time_cap)&lt;AS$2, 0,IF(AND(time+1&gt;=AT$2, $E184&lt;AT$2), IF($I184= "I", $J184/($F184-$E184+1), $J184/(($F184*($F184+1)/2)-(($E184-1)*($E184-1+1)/2))*AS$2), 0)+IF(IF(time+1&gt;=AT$2, $K184/time_cap/(time+1)*AS$2, 0) = 0, $K184/(time_cap),0)),0)</f>
        <v/>
      </c>
      <c r="AT184" s="4395">
        <f>IFERROR(IF((time+time_cap)&lt;AT$2, 0,IF(AND(time+1&gt;=AU$2, $E184&lt;AU$2), IF($I184= "I", $J184/($F184-$E184+1), $J184/(($F184*($F184+1)/2)-(($E184-1)*($E184-1+1)/2))*AT$2), 0)+IF(IF(time+1&gt;=AU$2, $K184/time_cap/(time+1)*AT$2, 0) = 0, $K184/(time_cap),0)),0)</f>
        <v/>
      </c>
      <c r="AU184" s="4395">
        <f>IFERROR(IF((time+time_cap)&lt;AU$2, 0,IF(AND(time+1&gt;=AV$2, $E184&lt;AV$2), IF($I184= "I", $J184/($F184-$E184+1), $J184/(($F184*($F184+1)/2)-(($E184-1)*($E184-1+1)/2))*AU$2), 0)+IF(IF(time+1&gt;=AV$2, $K184/time_cap/(time+1)*AU$2, 0) = 0, $K184/(time_cap),0)),0)</f>
        <v/>
      </c>
      <c r="AV184" s="4395">
        <f>IFERROR(IF((time+time_cap)&lt;AV$2, 0,IF(AND(time+1&gt;=AW$2, $E184&lt;AW$2), IF($I184= "I", $J184/($F184-$E184+1), $J184/(($F184*($F184+1)/2)-(($E184-1)*($E184-1+1)/2))*AV$2), 0)+IF(IF(time+1&gt;=AW$2, $K184/time_cap/(time+1)*AV$2, 0) = 0, $K184/(time_cap),0)),0)</f>
        <v/>
      </c>
      <c r="AW184" s="4395">
        <f>IFERROR(IF((time+time_cap)&lt;AW$2, 0,IF(AND(time+1&gt;=AX$2, $E184&lt;AX$2), IF($I184= "I", $J184/($F184-$E184+1), $J184/(($F184*($F184+1)/2)-(($E184-1)*($E184-1+1)/2))*AW$2), 0)+IF(IF(time+1&gt;=AX$2, $K184/time_cap/(time+1)*AW$2, 0) = 0, $K184/(time_cap),0)),0)</f>
        <v/>
      </c>
      <c r="AX184" s="4395">
        <f>IFERROR(IF((time+time_cap)&lt;AX$2, 0,IF(AND(time+1&gt;=AY$2, $E184&lt;AY$2), IF($I184= "I", $J184/($F184-$E184+1), $J184/(($F184*($F184+1)/2)-(($E184-1)*($E184-1+1)/2))*AX$2), 0)+IF(IF(time+1&gt;=AY$2, $K184/time_cap/(time+1)*AX$2, 0) = 0, $K184/(time_cap),0)),0)</f>
        <v/>
      </c>
      <c r="AY184" s="4395">
        <f>IFERROR(IF((time+time_cap)&lt;AY$2, 0,IF(AND(time+1&gt;=AZ$2, $E184&lt;AZ$2), IF($I184= "I", $J184/($F184-$E184+1), $J184/(($F184*($F184+1)/2)-(($E184-1)*($E184-1+1)/2))*AY$2), 0)+IF(IF(time+1&gt;=AZ$2, $K184/time_cap/(time+1)*AY$2, 0) = 0, $K184/(time_cap),0)),0)</f>
        <v/>
      </c>
      <c r="AZ184" s="4395">
        <f>IFERROR(IF((time+time_cap)&lt;AZ$2, 0,IF(AND(time+1&gt;=BA$2, $E184&lt;BA$2), IF($I184= "I", $J184/($F184-$E184+1), $J184/(($F184*($F184+1)/2)-(($E184-1)*($E184-1+1)/2))*AZ$2), 0)+IF(IF(time+1&gt;=BA$2, $K184/time_cap/(time+1)*AZ$2, 0) = 0, $K184/(time_cap),0)),0)</f>
        <v/>
      </c>
      <c r="BA184" s="4395">
        <f>IFERROR(IF((time+time_cap)&lt;BA$2, 0,IF(AND(time+1&gt;=BB$2, $E184&lt;BB$2), IF($I184= "I", $J184/($F184-$E184+1), $J184/(($F184*($F184+1)/2)-(($E184-1)*($E184-1+1)/2))*BA$2), 0)+IF(IF(time+1&gt;=BB$2, $K184/time_cap/(time+1)*BA$2, 0) = 0, $K184/(time_cap),0)),0)</f>
        <v/>
      </c>
      <c r="BB184" s="4395">
        <f>IFERROR(IF((time+time_cap)&lt;BB$2, 0,IF(AND(time+1&gt;=BC$2, $E184&lt;BC$2), IF($I184= "I", $J184/($F184-$E184+1), $J184/(($F184*($F184+1)/2)-(($E184-1)*($E184-1+1)/2))*BB$2), 0)+IF(IF(time+1&gt;=BC$2, $K184/time_cap/(time+1)*BB$2, 0) = 0, $K184/(time_cap),0)),0)</f>
        <v/>
      </c>
      <c r="BC184" s="4395">
        <f>IFERROR(IF((time+time_cap)&lt;BC$2, 0,IF(AND(time+1&gt;=BD$2, $E184&lt;BD$2), IF($I184= "I", $J184/($F184-$E184+1), $J184/(($F184*($F184+1)/2)-(($E184-1)*($E184-1+1)/2))*BC$2), 0)+IF(IF(time+1&gt;=BD$2, $K184/time_cap/(time+1)*BC$2, 0) = 0, $K184/(time_cap),0)),0)</f>
        <v/>
      </c>
      <c r="BD184" s="4395">
        <f>IFERROR(IF((time+time_cap)&lt;BD$2, 0,IF(AND(time+1&gt;=BE$2, $E184&lt;BE$2), IF($I184= "I", $J184/($F184-$E184+1), $J184/(($F184*($F184+1)/2)-(($E184-1)*($E184-1+1)/2))*BD$2), 0)+IF(IF(time+1&gt;=BE$2, $K184/time_cap/(time+1)*BD$2, 0) = 0, $K184/(time_cap),0)),0)</f>
        <v/>
      </c>
      <c r="BE184" s="4395">
        <f>IFERROR(IF((time+time_cap)&lt;BE$2, 0,IF(AND(time+1&gt;=BF$2, $E184&lt;BF$2), IF($I184= "I", $J184/($F184-$E184+1), $J184/(($F184*($F184+1)/2)-(($E184-1)*($E184-1+1)/2))*BE$2), 0)+IF(IF(time+1&gt;=BF$2, $K184/time_cap/(time+1)*BE$2, 0) = 0, $K184/(time_cap),0)),0)</f>
        <v/>
      </c>
      <c r="BF184" s="4395">
        <f>IFERROR(IF((time+time_cap)&lt;BF$2, 0,IF(AND(time+1&gt;=BG$2, $E184&lt;BG$2), IF($I184= "I", $J184/($F184-$E184+1), $J184/(($F184*($F184+1)/2)-(($E184-1)*($E184-1+1)/2))*BF$2), 0)+IF(IF(time+1&gt;=BG$2, $K184/time_cap/(time+1)*BF$2, 0) = 0, $K184/(time_cap),0)),0)</f>
        <v/>
      </c>
      <c r="BG184" s="4395">
        <f>IFERROR(IF((time+time_cap)&lt;BG$2, 0,IF(AND(time+1&gt;=BH$2, $E184&lt;BH$2), IF($I184= "I", $J184/($F184-$E184+1), $J184/(($F184*($F184+1)/2)-(($E184-1)*($E184-1+1)/2))*BG$2), 0)+IF(IF(time+1&gt;=BH$2, $K184/time_cap/(time+1)*BG$2, 0) = 0, $K184/(time_cap),0)),0)</f>
        <v/>
      </c>
      <c r="BH184" s="4395">
        <f>IFERROR(IF((time+time_cap)&lt;BH$2, 0,IF(AND(time+1&gt;=BI$2, $E184&lt;BI$2), IF($I184= "I", $J184/($F184-$E184+1), $J184/(($F184*($F184+1)/2)-(($E184-1)*($E184-1+1)/2))*BH$2), 0)+IF(IF(time+1&gt;=BI$2, $K184/time_cap/(time+1)*BH$2, 0) = 0, $K184/(time_cap),0)),0)</f>
        <v/>
      </c>
      <c r="BI184" s="4395">
        <f>IFERROR(IF((time+time_cap)&lt;BI$2, 0,IF(AND(time+1&gt;=BJ$2, $E184&lt;BJ$2), IF($I184= "I", $J184/($F184-$E184+1), $J184/(($F184*($F184+1)/2)-(($E184-1)*($E184-1+1)/2))*BI$2), 0)+IF(IF(time+1&gt;=BJ$2, $K184/time_cap/(time+1)*BI$2, 0) = 0, $K184/(time_cap),0)),0)</f>
        <v/>
      </c>
      <c r="BJ184" s="4395">
        <f>IFERROR(IF((time+time_cap)&lt;BJ$2, 0,IF(AND(time+1&gt;=BK$2, $E184&lt;BK$2), IF($I184= "I", $J184/($F184-$E184+1), $J184/(($F184*($F184+1)/2)-(($E184-1)*($E184-1+1)/2))*BJ$2), 0)+IF(IF(time+1&gt;=BK$2, $K184/time_cap/(time+1)*BJ$2, 0) = 0, $K184/(time_cap),0)),0)</f>
        <v/>
      </c>
      <c r="BK184" s="4395" t="n"/>
      <c r="BL184" s="4395" t="n"/>
      <c r="BM184" s="4395" t="n"/>
      <c r="BN184" s="4395" t="n"/>
      <c r="BO184" s="4395" t="n"/>
      <c r="BP184" s="4395" t="n"/>
      <c r="BQ184" s="4395" t="n"/>
      <c r="BR184" s="4395" t="n"/>
      <c r="BS184" s="4395" t="n"/>
      <c r="BT184" s="4395" t="n"/>
      <c r="BU184" s="4395" t="n"/>
      <c r="BV184" s="4395" t="n"/>
      <c r="BW184" s="4395" t="n"/>
      <c r="BX184" s="4395" t="n"/>
      <c r="BY184" s="4395" t="n"/>
      <c r="BZ184" s="4395" t="n"/>
      <c r="CA184" s="4395" t="n"/>
      <c r="CB184" s="4395" t="n"/>
      <c r="CC184" s="4395" t="n"/>
      <c r="CD184" s="4395" t="n"/>
      <c r="CE184" s="4395" t="n"/>
      <c r="CF184" s="4395" t="n"/>
      <c r="CG184" s="4395" t="n"/>
      <c r="CH184" s="4395" t="n"/>
      <c r="CI184" s="4395" t="n"/>
      <c r="CJ184" s="4395" t="n"/>
      <c r="CK184" s="4395" t="n"/>
      <c r="CL184" s="4395" t="n"/>
      <c r="CM184" s="4395" t="n"/>
      <c r="CN184" s="4395" t="n"/>
      <c r="CO184" s="4395" t="n"/>
      <c r="CP184" s="4395" t="n"/>
      <c r="CQ184" s="4395" t="n"/>
      <c r="CR184" s="4395" t="n"/>
      <c r="CS184" s="4395" t="n"/>
      <c r="CT184" s="4395" t="n"/>
      <c r="CU184" s="4395" t="n"/>
      <c r="CV184" s="4395" t="n"/>
      <c r="CW184" s="4395" t="n"/>
      <c r="CX184" s="4395" t="n"/>
      <c r="CY184" s="4395" t="n"/>
      <c r="CZ184" s="4395" t="n"/>
      <c r="DA184" s="4395" t="n"/>
      <c r="DB184" s="4395" t="n"/>
      <c r="DC184" s="4395" t="n"/>
      <c r="DD184" s="4395" t="n"/>
      <c r="DE184" s="4395" t="n"/>
      <c r="DF184" s="4395" t="n"/>
      <c r="DG184" s="4395" t="n"/>
      <c r="DH184" s="4395" t="n"/>
    </row>
    <row r="185" ht="16" customHeight="1">
      <c r="A185" t="inlineStr">
        <is>
          <t>Small scale fisheries</t>
        </is>
      </c>
      <c r="C185">
        <f>'8. Fisheries and aquaculture'!C14</f>
        <v/>
      </c>
      <c r="D185">
        <f>IFERROR('8. Fisheries and aquaculture'!AI14+(('8. Fisheries and aquaculture'!$AI$22+'8. Fisheries and aquaculture'!$AI$26)/SUM('8. Fisheries and aquaculture'!$AI$13:$AI$18)*'8. Fisheries and aquaculture'!AI14), 0)</f>
        <v/>
      </c>
      <c r="E185">
        <f>IF('8. Fisheries and aquaculture'!CN14&lt;&gt;0,'8. Fisheries and aquaculture'!CN14,'8. Fisheries and aquaculture'!CM14)</f>
        <v/>
      </c>
      <c r="F185">
        <f>time</f>
        <v/>
      </c>
      <c r="G185" s="4395">
        <f>'8. Fisheries and aquaculture'!AA14</f>
        <v/>
      </c>
      <c r="H185" s="4395">
        <f>'8. Fisheries and aquaculture'!AC14</f>
        <v/>
      </c>
      <c r="I185" s="4395">
        <f>IF(OR(H185="I", G185="I"), "I", IF(OR(H185="E", G185="E"), "E", "D"))</f>
        <v/>
      </c>
      <c r="J185" s="4395">
        <f>((D185/(time_cap+((F185-E185+1)*VLOOKUP(I185,list!$I$48:$K$50,3, FALSE))))*(F185-E185+1)*VLOOKUP(I185,list!$I$48:$K$50,3, FALSE))</f>
        <v/>
      </c>
      <c r="K185" s="4395">
        <f>((D185/(time_cap+((F185-E185+1)*VLOOKUP(I185,list!$I$48:$K$50,3, FALSE))))*time_cap)</f>
        <v/>
      </c>
      <c r="M185" s="4395">
        <f>IFERROR(IF((time+time_cap)&lt;M$2, 0,IF(AND(time+1&gt;=N$2, $E185&lt;N$2), IF($I185= "I", $J185/($F185-$E185+1), $J185/(($F185*($F185+1)/2)-(($E185-1)*($E185-1+1)/2))*M$2), 0)+IF(IF(time+1&gt;=N$2, $K185/time_cap/(time+1)*M$2, 0) = 0, $K185/(time_cap),0)),0)</f>
        <v/>
      </c>
      <c r="N185" s="4395">
        <f>IFERROR(IF((time+time_cap)&lt;N$2, 0,IF(AND(time+1&gt;=O$2, $E185&lt;O$2), IF($I185= "I", $J185/($F185-$E185+1), $J185/(($F185*($F185+1)/2)-(($E185-1)*($E185-1+1)/2))*N$2), 0)+IF(IF(time+1&gt;=O$2, $K185/time_cap/(time+1)*N$2, 0) = 0, $K185/(time_cap),0)),0)</f>
        <v/>
      </c>
      <c r="O185" s="4395">
        <f>IFERROR(IF((time+time_cap)&lt;O$2, 0,IF(AND(time+1&gt;=P$2, $E185&lt;P$2), IF($I185= "I", $J185/($F185-$E185+1), $J185/(($F185*($F185+1)/2)-(($E185-1)*($E185-1+1)/2))*O$2), 0)+IF(IF(time+1&gt;=P$2, $K185/time_cap/(time+1)*O$2, 0) = 0, $K185/(time_cap),0)),0)</f>
        <v/>
      </c>
      <c r="P185" s="4395">
        <f>IFERROR(IF((time+time_cap)&lt;P$2, 0,IF(AND(time+1&gt;=Q$2, $E185&lt;Q$2), IF($I185= "I", $J185/($F185-$E185+1), $J185/(($F185*($F185+1)/2)-(($E185-1)*($E185-1+1)/2))*P$2), 0)+IF(IF(time+1&gt;=Q$2, $K185/time_cap/(time+1)*P$2, 0) = 0, $K185/(time_cap),0)),0)</f>
        <v/>
      </c>
      <c r="Q185" s="4395">
        <f>IFERROR(IF((time+time_cap)&lt;Q$2, 0,IF(AND(time+1&gt;=R$2, $E185&lt;R$2), IF($I185= "I", $J185/($F185-$E185+1), $J185/(($F185*($F185+1)/2)-(($E185-1)*($E185-1+1)/2))*Q$2), 0)+IF(IF(time+1&gt;=R$2, $K185/time_cap/(time+1)*Q$2, 0) = 0, $K185/(time_cap),0)),0)</f>
        <v/>
      </c>
      <c r="R185" s="4395">
        <f>IFERROR(IF((time+time_cap)&lt;R$2, 0,IF(AND(time+1&gt;=S$2, $E185&lt;S$2), IF($I185= "I", $J185/($F185-$E185+1), $J185/(($F185*($F185+1)/2)-(($E185-1)*($E185-1+1)/2))*R$2), 0)+IF(IF(time+1&gt;=S$2, $K185/time_cap/(time+1)*R$2, 0) = 0, $K185/(time_cap),0)),0)</f>
        <v/>
      </c>
      <c r="S185" s="4395">
        <f>IFERROR(IF((time+time_cap)&lt;S$2, 0,IF(AND(time+1&gt;=T$2, $E185&lt;T$2), IF($I185= "I", $J185/($F185-$E185+1), $J185/(($F185*($F185+1)/2)-(($E185-1)*($E185-1+1)/2))*S$2), 0)+IF(IF(time+1&gt;=T$2, $K185/time_cap/(time+1)*S$2, 0) = 0, $K185/(time_cap),0)),0)</f>
        <v/>
      </c>
      <c r="T185" s="4395">
        <f>IFERROR(IF((time+time_cap)&lt;T$2, 0,IF(AND(time+1&gt;=U$2, $E185&lt;U$2), IF($I185= "I", $J185/($F185-$E185+1), $J185/(($F185*($F185+1)/2)-(($E185-1)*($E185-1+1)/2))*T$2), 0)+IF(IF(time+1&gt;=U$2, $K185/time_cap/(time+1)*T$2, 0) = 0, $K185/(time_cap),0)),0)</f>
        <v/>
      </c>
      <c r="U185" s="4395">
        <f>IFERROR(IF((time+time_cap)&lt;U$2, 0,IF(AND(time+1&gt;=V$2, $E185&lt;V$2), IF($I185= "I", $J185/($F185-$E185+1), $J185/(($F185*($F185+1)/2)-(($E185-1)*($E185-1+1)/2))*U$2), 0)+IF(IF(time+1&gt;=V$2, $K185/time_cap/(time+1)*U$2, 0) = 0, $K185/(time_cap),0)),0)</f>
        <v/>
      </c>
      <c r="V185" s="4395">
        <f>IFERROR(IF((time+time_cap)&lt;V$2, 0,IF(AND(time+1&gt;=W$2, $E185&lt;W$2), IF($I185= "I", $J185/($F185-$E185+1), $J185/(($F185*($F185+1)/2)-(($E185-1)*($E185-1+1)/2))*V$2), 0)+IF(IF(time+1&gt;=W$2, $K185/time_cap/(time+1)*V$2, 0) = 0, $K185/(time_cap),0)),0)</f>
        <v/>
      </c>
      <c r="W185" s="4395">
        <f>IFERROR(IF((time+time_cap)&lt;W$2, 0,IF(AND(time+1&gt;=X$2, $E185&lt;X$2), IF($I185= "I", $J185/($F185-$E185+1), $J185/(($F185*($F185+1)/2)-(($E185-1)*($E185-1+1)/2))*W$2), 0)+IF(IF(time+1&gt;=X$2, $K185/time_cap/(time+1)*W$2, 0) = 0, $K185/(time_cap),0)),0)</f>
        <v/>
      </c>
      <c r="X185" s="4395">
        <f>IFERROR(IF((time+time_cap)&lt;X$2, 0,IF(AND(time+1&gt;=Y$2, $E185&lt;Y$2), IF($I185= "I", $J185/($F185-$E185+1), $J185/(($F185*($F185+1)/2)-(($E185-1)*($E185-1+1)/2))*X$2), 0)+IF(IF(time+1&gt;=Y$2, $K185/time_cap/(time+1)*X$2, 0) = 0, $K185/(time_cap),0)),0)</f>
        <v/>
      </c>
      <c r="Y185" s="4395">
        <f>IFERROR(IF((time+time_cap)&lt;Y$2, 0,IF(AND(time+1&gt;=Z$2, $E185&lt;Z$2), IF($I185= "I", $J185/($F185-$E185+1), $J185/(($F185*($F185+1)/2)-(($E185-1)*($E185-1+1)/2))*Y$2), 0)+IF(IF(time+1&gt;=Z$2, $K185/time_cap/(time+1)*Y$2, 0) = 0, $K185/(time_cap),0)),0)</f>
        <v/>
      </c>
      <c r="Z185" s="4395">
        <f>IFERROR(IF((time+time_cap)&lt;Z$2, 0,IF(AND(time+1&gt;=AA$2, $E185&lt;AA$2), IF($I185= "I", $J185/($F185-$E185+1), $J185/(($F185*($F185+1)/2)-(($E185-1)*($E185-1+1)/2))*Z$2), 0)+IF(IF(time+1&gt;=AA$2, $K185/time_cap/(time+1)*Z$2, 0) = 0, $K185/(time_cap),0)),0)</f>
        <v/>
      </c>
      <c r="AA185" s="4395">
        <f>IFERROR(IF((time+time_cap)&lt;AA$2, 0,IF(AND(time+1&gt;=AB$2, $E185&lt;AB$2), IF($I185= "I", $J185/($F185-$E185+1), $J185/(($F185*($F185+1)/2)-(($E185-1)*($E185-1+1)/2))*AA$2), 0)+IF(IF(time+1&gt;=AB$2, $K185/time_cap/(time+1)*AA$2, 0) = 0, $K185/(time_cap),0)),0)</f>
        <v/>
      </c>
      <c r="AB185" s="4395">
        <f>IFERROR(IF((time+time_cap)&lt;AB$2, 0,IF(AND(time+1&gt;=AC$2, $E185&lt;AC$2), IF($I185= "I", $J185/($F185-$E185+1), $J185/(($F185*($F185+1)/2)-(($E185-1)*($E185-1+1)/2))*AB$2), 0)+IF(IF(time+1&gt;=AC$2, $K185/time_cap/(time+1)*AB$2, 0) = 0, $K185/(time_cap),0)),0)</f>
        <v/>
      </c>
      <c r="AC185" s="4395">
        <f>IFERROR(IF((time+time_cap)&lt;AC$2, 0,IF(AND(time+1&gt;=AD$2, $E185&lt;AD$2), IF($I185= "I", $J185/($F185-$E185+1), $J185/(($F185*($F185+1)/2)-(($E185-1)*($E185-1+1)/2))*AC$2), 0)+IF(IF(time+1&gt;=AD$2, $K185/time_cap/(time+1)*AC$2, 0) = 0, $K185/(time_cap),0)),0)</f>
        <v/>
      </c>
      <c r="AD185" s="4395">
        <f>IFERROR(IF((time+time_cap)&lt;AD$2, 0,IF(AND(time+1&gt;=AE$2, $E185&lt;AE$2), IF($I185= "I", $J185/($F185-$E185+1), $J185/(($F185*($F185+1)/2)-(($E185-1)*($E185-1+1)/2))*AD$2), 0)+IF(IF(time+1&gt;=AE$2, $K185/time_cap/(time+1)*AD$2, 0) = 0, $K185/(time_cap),0)),0)</f>
        <v/>
      </c>
      <c r="AE185" s="4395">
        <f>IFERROR(IF((time+time_cap)&lt;AE$2, 0,IF(AND(time+1&gt;=AF$2, $E185&lt;AF$2), IF($I185= "I", $J185/($F185-$E185+1), $J185/(($F185*($F185+1)/2)-(($E185-1)*($E185-1+1)/2))*AE$2), 0)+IF(IF(time+1&gt;=AF$2, $K185/time_cap/(time+1)*AE$2, 0) = 0, $K185/(time_cap),0)),0)</f>
        <v/>
      </c>
      <c r="AF185" s="4395">
        <f>IFERROR(IF((time+time_cap)&lt;AF$2, 0,IF(AND(time+1&gt;=AG$2, $E185&lt;AG$2), IF($I185= "I", $J185/($F185-$E185+1), $J185/(($F185*($F185+1)/2)-(($E185-1)*($E185-1+1)/2))*AF$2), 0)+IF(IF(time+1&gt;=AG$2, $K185/time_cap/(time+1)*AF$2, 0) = 0, $K185/(time_cap),0)),0)</f>
        <v/>
      </c>
      <c r="AG185" s="4395">
        <f>IFERROR(IF((time+time_cap)&lt;AG$2, 0,IF(AND(time+1&gt;=AH$2, $E185&lt;AH$2), IF($I185= "I", $J185/($F185-$E185+1), $J185/(($F185*($F185+1)/2)-(($E185-1)*($E185-1+1)/2))*AG$2), 0)+IF(IF(time+1&gt;=AH$2, $K185/time_cap/(time+1)*AG$2, 0) = 0, $K185/(time_cap),0)),0)</f>
        <v/>
      </c>
      <c r="AH185" s="4395">
        <f>IFERROR(IF((time+time_cap)&lt;AH$2, 0,IF(AND(time+1&gt;=AI$2, $E185&lt;AI$2), IF($I185= "I", $J185/($F185-$E185+1), $J185/(($F185*($F185+1)/2)-(($E185-1)*($E185-1+1)/2))*AH$2), 0)+IF(IF(time+1&gt;=AI$2, $K185/time_cap/(time+1)*AH$2, 0) = 0, $K185/(time_cap),0)),0)</f>
        <v/>
      </c>
      <c r="AI185" s="4395">
        <f>IFERROR(IF((time+time_cap)&lt;AI$2, 0,IF(AND(time+1&gt;=AJ$2, $E185&lt;AJ$2), IF($I185= "I", $J185/($F185-$E185+1), $J185/(($F185*($F185+1)/2)-(($E185-1)*($E185-1+1)/2))*AI$2), 0)+IF(IF(time+1&gt;=AJ$2, $K185/time_cap/(time+1)*AI$2, 0) = 0, $K185/(time_cap),0)),0)</f>
        <v/>
      </c>
      <c r="AJ185" s="4395">
        <f>IFERROR(IF((time+time_cap)&lt;AJ$2, 0,IF(AND(time+1&gt;=AK$2, $E185&lt;AK$2), IF($I185= "I", $J185/($F185-$E185+1), $J185/(($F185*($F185+1)/2)-(($E185-1)*($E185-1+1)/2))*AJ$2), 0)+IF(IF(time+1&gt;=AK$2, $K185/time_cap/(time+1)*AJ$2, 0) = 0, $K185/(time_cap),0)),0)</f>
        <v/>
      </c>
      <c r="AK185" s="4395">
        <f>IFERROR(IF((time+time_cap)&lt;AK$2, 0,IF(AND(time+1&gt;=AL$2, $E185&lt;AL$2), IF($I185= "I", $J185/($F185-$E185+1), $J185/(($F185*($F185+1)/2)-(($E185-1)*($E185-1+1)/2))*AK$2), 0)+IF(IF(time+1&gt;=AL$2, $K185/time_cap/(time+1)*AK$2, 0) = 0, $K185/(time_cap),0)),0)</f>
        <v/>
      </c>
      <c r="AL185" s="4395">
        <f>IFERROR(IF((time+time_cap)&lt;AL$2, 0,IF(AND(time+1&gt;=AM$2, $E185&lt;AM$2), IF($I185= "I", $J185/($F185-$E185+1), $J185/(($F185*($F185+1)/2)-(($E185-1)*($E185-1+1)/2))*AL$2), 0)+IF(IF(time+1&gt;=AM$2, $K185/time_cap/(time+1)*AL$2, 0) = 0, $K185/(time_cap),0)),0)</f>
        <v/>
      </c>
      <c r="AM185" s="4395">
        <f>IFERROR(IF((time+time_cap)&lt;AM$2, 0,IF(AND(time+1&gt;=AN$2, $E185&lt;AN$2), IF($I185= "I", $J185/($F185-$E185+1), $J185/(($F185*($F185+1)/2)-(($E185-1)*($E185-1+1)/2))*AM$2), 0)+IF(IF(time+1&gt;=AN$2, $K185/time_cap/(time+1)*AM$2, 0) = 0, $K185/(time_cap),0)),0)</f>
        <v/>
      </c>
      <c r="AN185" s="4395">
        <f>IFERROR(IF((time+time_cap)&lt;AN$2, 0,IF(AND(time+1&gt;=AO$2, $E185&lt;AO$2), IF($I185= "I", $J185/($F185-$E185+1), $J185/(($F185*($F185+1)/2)-(($E185-1)*($E185-1+1)/2))*AN$2), 0)+IF(IF(time+1&gt;=AO$2, $K185/time_cap/(time+1)*AN$2, 0) = 0, $K185/(time_cap),0)),0)</f>
        <v/>
      </c>
      <c r="AO185" s="4395">
        <f>IFERROR(IF((time+time_cap)&lt;AO$2, 0,IF(AND(time+1&gt;=AP$2, $E185&lt;AP$2), IF($I185= "I", $J185/($F185-$E185+1), $J185/(($F185*($F185+1)/2)-(($E185-1)*($E185-1+1)/2))*AO$2), 0)+IF(IF(time+1&gt;=AP$2, $K185/time_cap/(time+1)*AO$2, 0) = 0, $K185/(time_cap),0)),0)</f>
        <v/>
      </c>
      <c r="AP185" s="4395">
        <f>IFERROR(IF((time+time_cap)&lt;AP$2, 0,IF(AND(time+1&gt;=AQ$2, $E185&lt;AQ$2), IF($I185= "I", $J185/($F185-$E185+1), $J185/(($F185*($F185+1)/2)-(($E185-1)*($E185-1+1)/2))*AP$2), 0)+IF(IF(time+1&gt;=AQ$2, $K185/time_cap/(time+1)*AP$2, 0) = 0, $K185/(time_cap),0)),0)</f>
        <v/>
      </c>
      <c r="AQ185" s="4395">
        <f>IFERROR(IF((time+time_cap)&lt;AQ$2, 0,IF(AND(time+1&gt;=AR$2, $E185&lt;AR$2), IF($I185= "I", $J185/($F185-$E185+1), $J185/(($F185*($F185+1)/2)-(($E185-1)*($E185-1+1)/2))*AQ$2), 0)+IF(IF(time+1&gt;=AR$2, $K185/time_cap/(time+1)*AQ$2, 0) = 0, $K185/(time_cap),0)),0)</f>
        <v/>
      </c>
      <c r="AR185" s="4395">
        <f>IFERROR(IF((time+time_cap)&lt;AR$2, 0,IF(AND(time+1&gt;=AS$2, $E185&lt;AS$2), IF($I185= "I", $J185/($F185-$E185+1), $J185/(($F185*($F185+1)/2)-(($E185-1)*($E185-1+1)/2))*AR$2), 0)+IF(IF(time+1&gt;=AS$2, $K185/time_cap/(time+1)*AR$2, 0) = 0, $K185/(time_cap),0)),0)</f>
        <v/>
      </c>
      <c r="AS185" s="4395">
        <f>IFERROR(IF((time+time_cap)&lt;AS$2, 0,IF(AND(time+1&gt;=AT$2, $E185&lt;AT$2), IF($I185= "I", $J185/($F185-$E185+1), $J185/(($F185*($F185+1)/2)-(($E185-1)*($E185-1+1)/2))*AS$2), 0)+IF(IF(time+1&gt;=AT$2, $K185/time_cap/(time+1)*AS$2, 0) = 0, $K185/(time_cap),0)),0)</f>
        <v/>
      </c>
      <c r="AT185" s="4395">
        <f>IFERROR(IF((time+time_cap)&lt;AT$2, 0,IF(AND(time+1&gt;=AU$2, $E185&lt;AU$2), IF($I185= "I", $J185/($F185-$E185+1), $J185/(($F185*($F185+1)/2)-(($E185-1)*($E185-1+1)/2))*AT$2), 0)+IF(IF(time+1&gt;=AU$2, $K185/time_cap/(time+1)*AT$2, 0) = 0, $K185/(time_cap),0)),0)</f>
        <v/>
      </c>
      <c r="AU185" s="4395">
        <f>IFERROR(IF((time+time_cap)&lt;AU$2, 0,IF(AND(time+1&gt;=AV$2, $E185&lt;AV$2), IF($I185= "I", $J185/($F185-$E185+1), $J185/(($F185*($F185+1)/2)-(($E185-1)*($E185-1+1)/2))*AU$2), 0)+IF(IF(time+1&gt;=AV$2, $K185/time_cap/(time+1)*AU$2, 0) = 0, $K185/(time_cap),0)),0)</f>
        <v/>
      </c>
      <c r="AV185" s="4395">
        <f>IFERROR(IF((time+time_cap)&lt;AV$2, 0,IF(AND(time+1&gt;=AW$2, $E185&lt;AW$2), IF($I185= "I", $J185/($F185-$E185+1), $J185/(($F185*($F185+1)/2)-(($E185-1)*($E185-1+1)/2))*AV$2), 0)+IF(IF(time+1&gt;=AW$2, $K185/time_cap/(time+1)*AV$2, 0) = 0, $K185/(time_cap),0)),0)</f>
        <v/>
      </c>
      <c r="AW185" s="4395">
        <f>IFERROR(IF((time+time_cap)&lt;AW$2, 0,IF(AND(time+1&gt;=AX$2, $E185&lt;AX$2), IF($I185= "I", $J185/($F185-$E185+1), $J185/(($F185*($F185+1)/2)-(($E185-1)*($E185-1+1)/2))*AW$2), 0)+IF(IF(time+1&gt;=AX$2, $K185/time_cap/(time+1)*AW$2, 0) = 0, $K185/(time_cap),0)),0)</f>
        <v/>
      </c>
      <c r="AX185" s="4395">
        <f>IFERROR(IF((time+time_cap)&lt;AX$2, 0,IF(AND(time+1&gt;=AY$2, $E185&lt;AY$2), IF($I185= "I", $J185/($F185-$E185+1), $J185/(($F185*($F185+1)/2)-(($E185-1)*($E185-1+1)/2))*AX$2), 0)+IF(IF(time+1&gt;=AY$2, $K185/time_cap/(time+1)*AX$2, 0) = 0, $K185/(time_cap),0)),0)</f>
        <v/>
      </c>
      <c r="AY185" s="4395">
        <f>IFERROR(IF((time+time_cap)&lt;AY$2, 0,IF(AND(time+1&gt;=AZ$2, $E185&lt;AZ$2), IF($I185= "I", $J185/($F185-$E185+1), $J185/(($F185*($F185+1)/2)-(($E185-1)*($E185-1+1)/2))*AY$2), 0)+IF(IF(time+1&gt;=AZ$2, $K185/time_cap/(time+1)*AY$2, 0) = 0, $K185/(time_cap),0)),0)</f>
        <v/>
      </c>
      <c r="AZ185" s="4395">
        <f>IFERROR(IF((time+time_cap)&lt;AZ$2, 0,IF(AND(time+1&gt;=BA$2, $E185&lt;BA$2), IF($I185= "I", $J185/($F185-$E185+1), $J185/(($F185*($F185+1)/2)-(($E185-1)*($E185-1+1)/2))*AZ$2), 0)+IF(IF(time+1&gt;=BA$2, $K185/time_cap/(time+1)*AZ$2, 0) = 0, $K185/(time_cap),0)),0)</f>
        <v/>
      </c>
      <c r="BA185" s="4395">
        <f>IFERROR(IF((time+time_cap)&lt;BA$2, 0,IF(AND(time+1&gt;=BB$2, $E185&lt;BB$2), IF($I185= "I", $J185/($F185-$E185+1), $J185/(($F185*($F185+1)/2)-(($E185-1)*($E185-1+1)/2))*BA$2), 0)+IF(IF(time+1&gt;=BB$2, $K185/time_cap/(time+1)*BA$2, 0) = 0, $K185/(time_cap),0)),0)</f>
        <v/>
      </c>
      <c r="BB185" s="4395">
        <f>IFERROR(IF((time+time_cap)&lt;BB$2, 0,IF(AND(time+1&gt;=BC$2, $E185&lt;BC$2), IF($I185= "I", $J185/($F185-$E185+1), $J185/(($F185*($F185+1)/2)-(($E185-1)*($E185-1+1)/2))*BB$2), 0)+IF(IF(time+1&gt;=BC$2, $K185/time_cap/(time+1)*BB$2, 0) = 0, $K185/(time_cap),0)),0)</f>
        <v/>
      </c>
      <c r="BC185" s="4395">
        <f>IFERROR(IF((time+time_cap)&lt;BC$2, 0,IF(AND(time+1&gt;=BD$2, $E185&lt;BD$2), IF($I185= "I", $J185/($F185-$E185+1), $J185/(($F185*($F185+1)/2)-(($E185-1)*($E185-1+1)/2))*BC$2), 0)+IF(IF(time+1&gt;=BD$2, $K185/time_cap/(time+1)*BC$2, 0) = 0, $K185/(time_cap),0)),0)</f>
        <v/>
      </c>
      <c r="BD185" s="4395">
        <f>IFERROR(IF((time+time_cap)&lt;BD$2, 0,IF(AND(time+1&gt;=BE$2, $E185&lt;BE$2), IF($I185= "I", $J185/($F185-$E185+1), $J185/(($F185*($F185+1)/2)-(($E185-1)*($E185-1+1)/2))*BD$2), 0)+IF(IF(time+1&gt;=BE$2, $K185/time_cap/(time+1)*BD$2, 0) = 0, $K185/(time_cap),0)),0)</f>
        <v/>
      </c>
      <c r="BE185" s="4395">
        <f>IFERROR(IF((time+time_cap)&lt;BE$2, 0,IF(AND(time+1&gt;=BF$2, $E185&lt;BF$2), IF($I185= "I", $J185/($F185-$E185+1), $J185/(($F185*($F185+1)/2)-(($E185-1)*($E185-1+1)/2))*BE$2), 0)+IF(IF(time+1&gt;=BF$2, $K185/time_cap/(time+1)*BE$2, 0) = 0, $K185/(time_cap),0)),0)</f>
        <v/>
      </c>
      <c r="BF185" s="4395">
        <f>IFERROR(IF((time+time_cap)&lt;BF$2, 0,IF(AND(time+1&gt;=BG$2, $E185&lt;BG$2), IF($I185= "I", $J185/($F185-$E185+1), $J185/(($F185*($F185+1)/2)-(($E185-1)*($E185-1+1)/2))*BF$2), 0)+IF(IF(time+1&gt;=BG$2, $K185/time_cap/(time+1)*BF$2, 0) = 0, $K185/(time_cap),0)),0)</f>
        <v/>
      </c>
      <c r="BG185" s="4395">
        <f>IFERROR(IF((time+time_cap)&lt;BG$2, 0,IF(AND(time+1&gt;=BH$2, $E185&lt;BH$2), IF($I185= "I", $J185/($F185-$E185+1), $J185/(($F185*($F185+1)/2)-(($E185-1)*($E185-1+1)/2))*BG$2), 0)+IF(IF(time+1&gt;=BH$2, $K185/time_cap/(time+1)*BG$2, 0) = 0, $K185/(time_cap),0)),0)</f>
        <v/>
      </c>
      <c r="BH185" s="4395">
        <f>IFERROR(IF((time+time_cap)&lt;BH$2, 0,IF(AND(time+1&gt;=BI$2, $E185&lt;BI$2), IF($I185= "I", $J185/($F185-$E185+1), $J185/(($F185*($F185+1)/2)-(($E185-1)*($E185-1+1)/2))*BH$2), 0)+IF(IF(time+1&gt;=BI$2, $K185/time_cap/(time+1)*BH$2, 0) = 0, $K185/(time_cap),0)),0)</f>
        <v/>
      </c>
      <c r="BI185" s="4395">
        <f>IFERROR(IF((time+time_cap)&lt;BI$2, 0,IF(AND(time+1&gt;=BJ$2, $E185&lt;BJ$2), IF($I185= "I", $J185/($F185-$E185+1), $J185/(($F185*($F185+1)/2)-(($E185-1)*($E185-1+1)/2))*BI$2), 0)+IF(IF(time+1&gt;=BJ$2, $K185/time_cap/(time+1)*BI$2, 0) = 0, $K185/(time_cap),0)),0)</f>
        <v/>
      </c>
      <c r="BJ185" s="4395">
        <f>IFERROR(IF((time+time_cap)&lt;BJ$2, 0,IF(AND(time+1&gt;=BK$2, $E185&lt;BK$2), IF($I185= "I", $J185/($F185-$E185+1), $J185/(($F185*($F185+1)/2)-(($E185-1)*($E185-1+1)/2))*BJ$2), 0)+IF(IF(time+1&gt;=BK$2, $K185/time_cap/(time+1)*BJ$2, 0) = 0, $K185/(time_cap),0)),0)</f>
        <v/>
      </c>
      <c r="BK185" s="4395" t="n"/>
      <c r="BL185" s="4395" t="n"/>
      <c r="BM185" s="4395" t="n"/>
      <c r="BN185" s="4395" t="n"/>
      <c r="BO185" s="4395" t="n"/>
      <c r="BP185" s="4395" t="n"/>
      <c r="BQ185" s="4395" t="n"/>
      <c r="BR185" s="4395" t="n"/>
      <c r="BS185" s="4395" t="n"/>
      <c r="BT185" s="4395" t="n"/>
      <c r="BU185" s="4395" t="n"/>
      <c r="BV185" s="4395" t="n"/>
      <c r="BW185" s="4395" t="n"/>
      <c r="BX185" s="4395" t="n"/>
      <c r="BY185" s="4395" t="n"/>
      <c r="BZ185" s="4395" t="n"/>
      <c r="CA185" s="4395" t="n"/>
      <c r="CB185" s="4395" t="n"/>
      <c r="CC185" s="4395" t="n"/>
      <c r="CD185" s="4395" t="n"/>
      <c r="CE185" s="4395" t="n"/>
      <c r="CF185" s="4395" t="n"/>
      <c r="CG185" s="4395" t="n"/>
      <c r="CH185" s="4395" t="n"/>
      <c r="CI185" s="4395" t="n"/>
      <c r="CJ185" s="4395" t="n"/>
      <c r="CK185" s="4395" t="n"/>
      <c r="CL185" s="4395" t="n"/>
      <c r="CM185" s="4395" t="n"/>
      <c r="CN185" s="4395" t="n"/>
      <c r="CO185" s="4395" t="n"/>
      <c r="CP185" s="4395" t="n"/>
      <c r="CQ185" s="4395" t="n"/>
      <c r="CR185" s="4395" t="n"/>
      <c r="CS185" s="4395" t="n"/>
      <c r="CT185" s="4395" t="n"/>
      <c r="CU185" s="4395" t="n"/>
      <c r="CV185" s="4395" t="n"/>
      <c r="CW185" s="4395" t="n"/>
      <c r="CX185" s="4395" t="n"/>
      <c r="CY185" s="4395" t="n"/>
      <c r="CZ185" s="4395" t="n"/>
      <c r="DA185" s="4395" t="n"/>
      <c r="DB185" s="4395" t="n"/>
      <c r="DC185" s="4395" t="n"/>
      <c r="DD185" s="4395" t="n"/>
      <c r="DE185" s="4395" t="n"/>
      <c r="DF185" s="4395" t="n"/>
      <c r="DG185" s="4395" t="n"/>
      <c r="DH185" s="4395" t="n"/>
    </row>
    <row r="186" ht="16" customHeight="1">
      <c r="A186" t="inlineStr">
        <is>
          <t>Small scale fisheries</t>
        </is>
      </c>
      <c r="C186">
        <f>'8. Fisheries and aquaculture'!C15</f>
        <v/>
      </c>
      <c r="D186">
        <f>IFERROR('8. Fisheries and aquaculture'!AI15+(('8. Fisheries and aquaculture'!$AI$22+'8. Fisheries and aquaculture'!$AI$26)/SUM('8. Fisheries and aquaculture'!$AI$13:$AI$18)*'8. Fisheries and aquaculture'!AI15), 0)</f>
        <v/>
      </c>
      <c r="E186">
        <f>IF('8. Fisheries and aquaculture'!CN15&lt;&gt;0,'8. Fisheries and aquaculture'!CN15,'8. Fisheries and aquaculture'!CM15)</f>
        <v/>
      </c>
      <c r="F186">
        <f>time</f>
        <v/>
      </c>
      <c r="G186" s="4395">
        <f>'8. Fisheries and aquaculture'!AA15</f>
        <v/>
      </c>
      <c r="H186" s="4395">
        <f>'8. Fisheries and aquaculture'!AC15</f>
        <v/>
      </c>
      <c r="I186" s="4395">
        <f>IF(OR(H186="I", G186="I"), "I", IF(OR(H186="E", G186="E"), "E", "D"))</f>
        <v/>
      </c>
      <c r="J186" s="4395">
        <f>((D186/(time_cap+((F186-E186+1)*VLOOKUP(I186,list!$I$48:$K$50,3, FALSE))))*(F186-E186+1)*VLOOKUP(I186,list!$I$48:$K$50,3, FALSE))</f>
        <v/>
      </c>
      <c r="K186" s="4395">
        <f>((D186/(time_cap+((F186-E186+1)*VLOOKUP(I186,list!$I$48:$K$50,3, FALSE))))*time_cap)</f>
        <v/>
      </c>
      <c r="M186" s="4395">
        <f>IFERROR(IF((time+time_cap)&lt;M$2, 0,IF(AND(time+1&gt;=N$2, $E186&lt;N$2), IF($I186= "I", $J186/($F186-$E186+1), $J186/(($F186*($F186+1)/2)-(($E186-1)*($E186-1+1)/2))*M$2), 0)+IF(IF(time+1&gt;=N$2, $K186/time_cap/(time+1)*M$2, 0) = 0, $K186/(time_cap),0)),0)</f>
        <v/>
      </c>
      <c r="N186" s="4395">
        <f>IFERROR(IF((time+time_cap)&lt;N$2, 0,IF(AND(time+1&gt;=O$2, $E186&lt;O$2), IF($I186= "I", $J186/($F186-$E186+1), $J186/(($F186*($F186+1)/2)-(($E186-1)*($E186-1+1)/2))*N$2), 0)+IF(IF(time+1&gt;=O$2, $K186/time_cap/(time+1)*N$2, 0) = 0, $K186/(time_cap),0)),0)</f>
        <v/>
      </c>
      <c r="O186" s="4395">
        <f>IFERROR(IF((time+time_cap)&lt;O$2, 0,IF(AND(time+1&gt;=P$2, $E186&lt;P$2), IF($I186= "I", $J186/($F186-$E186+1), $J186/(($F186*($F186+1)/2)-(($E186-1)*($E186-1+1)/2))*O$2), 0)+IF(IF(time+1&gt;=P$2, $K186/time_cap/(time+1)*O$2, 0) = 0, $K186/(time_cap),0)),0)</f>
        <v/>
      </c>
      <c r="P186" s="4395">
        <f>IFERROR(IF((time+time_cap)&lt;P$2, 0,IF(AND(time+1&gt;=Q$2, $E186&lt;Q$2), IF($I186= "I", $J186/($F186-$E186+1), $J186/(($F186*($F186+1)/2)-(($E186-1)*($E186-1+1)/2))*P$2), 0)+IF(IF(time+1&gt;=Q$2, $K186/time_cap/(time+1)*P$2, 0) = 0, $K186/(time_cap),0)),0)</f>
        <v/>
      </c>
      <c r="Q186" s="4395">
        <f>IFERROR(IF((time+time_cap)&lt;Q$2, 0,IF(AND(time+1&gt;=R$2, $E186&lt;R$2), IF($I186= "I", $J186/($F186-$E186+1), $J186/(($F186*($F186+1)/2)-(($E186-1)*($E186-1+1)/2))*Q$2), 0)+IF(IF(time+1&gt;=R$2, $K186/time_cap/(time+1)*Q$2, 0) = 0, $K186/(time_cap),0)),0)</f>
        <v/>
      </c>
      <c r="R186" s="4395">
        <f>IFERROR(IF((time+time_cap)&lt;R$2, 0,IF(AND(time+1&gt;=S$2, $E186&lt;S$2), IF($I186= "I", $J186/($F186-$E186+1), $J186/(($F186*($F186+1)/2)-(($E186-1)*($E186-1+1)/2))*R$2), 0)+IF(IF(time+1&gt;=S$2, $K186/time_cap/(time+1)*R$2, 0) = 0, $K186/(time_cap),0)),0)</f>
        <v/>
      </c>
      <c r="S186" s="4395">
        <f>IFERROR(IF((time+time_cap)&lt;S$2, 0,IF(AND(time+1&gt;=T$2, $E186&lt;T$2), IF($I186= "I", $J186/($F186-$E186+1), $J186/(($F186*($F186+1)/2)-(($E186-1)*($E186-1+1)/2))*S$2), 0)+IF(IF(time+1&gt;=T$2, $K186/time_cap/(time+1)*S$2, 0) = 0, $K186/(time_cap),0)),0)</f>
        <v/>
      </c>
      <c r="T186" s="4395">
        <f>IFERROR(IF((time+time_cap)&lt;T$2, 0,IF(AND(time+1&gt;=U$2, $E186&lt;U$2), IF($I186= "I", $J186/($F186-$E186+1), $J186/(($F186*($F186+1)/2)-(($E186-1)*($E186-1+1)/2))*T$2), 0)+IF(IF(time+1&gt;=U$2, $K186/time_cap/(time+1)*T$2, 0) = 0, $K186/(time_cap),0)),0)</f>
        <v/>
      </c>
      <c r="U186" s="4395">
        <f>IFERROR(IF((time+time_cap)&lt;U$2, 0,IF(AND(time+1&gt;=V$2, $E186&lt;V$2), IF($I186= "I", $J186/($F186-$E186+1), $J186/(($F186*($F186+1)/2)-(($E186-1)*($E186-1+1)/2))*U$2), 0)+IF(IF(time+1&gt;=V$2, $K186/time_cap/(time+1)*U$2, 0) = 0, $K186/(time_cap),0)),0)</f>
        <v/>
      </c>
      <c r="V186" s="4395">
        <f>IFERROR(IF((time+time_cap)&lt;V$2, 0,IF(AND(time+1&gt;=W$2, $E186&lt;W$2), IF($I186= "I", $J186/($F186-$E186+1), $J186/(($F186*($F186+1)/2)-(($E186-1)*($E186-1+1)/2))*V$2), 0)+IF(IF(time+1&gt;=W$2, $K186/time_cap/(time+1)*V$2, 0) = 0, $K186/(time_cap),0)),0)</f>
        <v/>
      </c>
      <c r="W186" s="4395">
        <f>IFERROR(IF((time+time_cap)&lt;W$2, 0,IF(AND(time+1&gt;=X$2, $E186&lt;X$2), IF($I186= "I", $J186/($F186-$E186+1), $J186/(($F186*($F186+1)/2)-(($E186-1)*($E186-1+1)/2))*W$2), 0)+IF(IF(time+1&gt;=X$2, $K186/time_cap/(time+1)*W$2, 0) = 0, $K186/(time_cap),0)),0)</f>
        <v/>
      </c>
      <c r="X186" s="4395">
        <f>IFERROR(IF((time+time_cap)&lt;X$2, 0,IF(AND(time+1&gt;=Y$2, $E186&lt;Y$2), IF($I186= "I", $J186/($F186-$E186+1), $J186/(($F186*($F186+1)/2)-(($E186-1)*($E186-1+1)/2))*X$2), 0)+IF(IF(time+1&gt;=Y$2, $K186/time_cap/(time+1)*X$2, 0) = 0, $K186/(time_cap),0)),0)</f>
        <v/>
      </c>
      <c r="Y186" s="4395">
        <f>IFERROR(IF((time+time_cap)&lt;Y$2, 0,IF(AND(time+1&gt;=Z$2, $E186&lt;Z$2), IF($I186= "I", $J186/($F186-$E186+1), $J186/(($F186*($F186+1)/2)-(($E186-1)*($E186-1+1)/2))*Y$2), 0)+IF(IF(time+1&gt;=Z$2, $K186/time_cap/(time+1)*Y$2, 0) = 0, $K186/(time_cap),0)),0)</f>
        <v/>
      </c>
      <c r="Z186" s="4395">
        <f>IFERROR(IF((time+time_cap)&lt;Z$2, 0,IF(AND(time+1&gt;=AA$2, $E186&lt;AA$2), IF($I186= "I", $J186/($F186-$E186+1), $J186/(($F186*($F186+1)/2)-(($E186-1)*($E186-1+1)/2))*Z$2), 0)+IF(IF(time+1&gt;=AA$2, $K186/time_cap/(time+1)*Z$2, 0) = 0, $K186/(time_cap),0)),0)</f>
        <v/>
      </c>
      <c r="AA186" s="4395">
        <f>IFERROR(IF((time+time_cap)&lt;AA$2, 0,IF(AND(time+1&gt;=AB$2, $E186&lt;AB$2), IF($I186= "I", $J186/($F186-$E186+1), $J186/(($F186*($F186+1)/2)-(($E186-1)*($E186-1+1)/2))*AA$2), 0)+IF(IF(time+1&gt;=AB$2, $K186/time_cap/(time+1)*AA$2, 0) = 0, $K186/(time_cap),0)),0)</f>
        <v/>
      </c>
      <c r="AB186" s="4395">
        <f>IFERROR(IF((time+time_cap)&lt;AB$2, 0,IF(AND(time+1&gt;=AC$2, $E186&lt;AC$2), IF($I186= "I", $J186/($F186-$E186+1), $J186/(($F186*($F186+1)/2)-(($E186-1)*($E186-1+1)/2))*AB$2), 0)+IF(IF(time+1&gt;=AC$2, $K186/time_cap/(time+1)*AB$2, 0) = 0, $K186/(time_cap),0)),0)</f>
        <v/>
      </c>
      <c r="AC186" s="4395">
        <f>IFERROR(IF((time+time_cap)&lt;AC$2, 0,IF(AND(time+1&gt;=AD$2, $E186&lt;AD$2), IF($I186= "I", $J186/($F186-$E186+1), $J186/(($F186*($F186+1)/2)-(($E186-1)*($E186-1+1)/2))*AC$2), 0)+IF(IF(time+1&gt;=AD$2, $K186/time_cap/(time+1)*AC$2, 0) = 0, $K186/(time_cap),0)),0)</f>
        <v/>
      </c>
      <c r="AD186" s="4395">
        <f>IFERROR(IF((time+time_cap)&lt;AD$2, 0,IF(AND(time+1&gt;=AE$2, $E186&lt;AE$2), IF($I186= "I", $J186/($F186-$E186+1), $J186/(($F186*($F186+1)/2)-(($E186-1)*($E186-1+1)/2))*AD$2), 0)+IF(IF(time+1&gt;=AE$2, $K186/time_cap/(time+1)*AD$2, 0) = 0, $K186/(time_cap),0)),0)</f>
        <v/>
      </c>
      <c r="AE186" s="4395">
        <f>IFERROR(IF((time+time_cap)&lt;AE$2, 0,IF(AND(time+1&gt;=AF$2, $E186&lt;AF$2), IF($I186= "I", $J186/($F186-$E186+1), $J186/(($F186*($F186+1)/2)-(($E186-1)*($E186-1+1)/2))*AE$2), 0)+IF(IF(time+1&gt;=AF$2, $K186/time_cap/(time+1)*AE$2, 0) = 0, $K186/(time_cap),0)),0)</f>
        <v/>
      </c>
      <c r="AF186" s="4395">
        <f>IFERROR(IF((time+time_cap)&lt;AF$2, 0,IF(AND(time+1&gt;=AG$2, $E186&lt;AG$2), IF($I186= "I", $J186/($F186-$E186+1), $J186/(($F186*($F186+1)/2)-(($E186-1)*($E186-1+1)/2))*AF$2), 0)+IF(IF(time+1&gt;=AG$2, $K186/time_cap/(time+1)*AF$2, 0) = 0, $K186/(time_cap),0)),0)</f>
        <v/>
      </c>
      <c r="AG186" s="4395">
        <f>IFERROR(IF((time+time_cap)&lt;AG$2, 0,IF(AND(time+1&gt;=AH$2, $E186&lt;AH$2), IF($I186= "I", $J186/($F186-$E186+1), $J186/(($F186*($F186+1)/2)-(($E186-1)*($E186-1+1)/2))*AG$2), 0)+IF(IF(time+1&gt;=AH$2, $K186/time_cap/(time+1)*AG$2, 0) = 0, $K186/(time_cap),0)),0)</f>
        <v/>
      </c>
      <c r="AH186" s="4395">
        <f>IFERROR(IF((time+time_cap)&lt;AH$2, 0,IF(AND(time+1&gt;=AI$2, $E186&lt;AI$2), IF($I186= "I", $J186/($F186-$E186+1), $J186/(($F186*($F186+1)/2)-(($E186-1)*($E186-1+1)/2))*AH$2), 0)+IF(IF(time+1&gt;=AI$2, $K186/time_cap/(time+1)*AH$2, 0) = 0, $K186/(time_cap),0)),0)</f>
        <v/>
      </c>
      <c r="AI186" s="4395">
        <f>IFERROR(IF((time+time_cap)&lt;AI$2, 0,IF(AND(time+1&gt;=AJ$2, $E186&lt;AJ$2), IF($I186= "I", $J186/($F186-$E186+1), $J186/(($F186*($F186+1)/2)-(($E186-1)*($E186-1+1)/2))*AI$2), 0)+IF(IF(time+1&gt;=AJ$2, $K186/time_cap/(time+1)*AI$2, 0) = 0, $K186/(time_cap),0)),0)</f>
        <v/>
      </c>
      <c r="AJ186" s="4395">
        <f>IFERROR(IF((time+time_cap)&lt;AJ$2, 0,IF(AND(time+1&gt;=AK$2, $E186&lt;AK$2), IF($I186= "I", $J186/($F186-$E186+1), $J186/(($F186*($F186+1)/2)-(($E186-1)*($E186-1+1)/2))*AJ$2), 0)+IF(IF(time+1&gt;=AK$2, $K186/time_cap/(time+1)*AJ$2, 0) = 0, $K186/(time_cap),0)),0)</f>
        <v/>
      </c>
      <c r="AK186" s="4395">
        <f>IFERROR(IF((time+time_cap)&lt;AK$2, 0,IF(AND(time+1&gt;=AL$2, $E186&lt;AL$2), IF($I186= "I", $J186/($F186-$E186+1), $J186/(($F186*($F186+1)/2)-(($E186-1)*($E186-1+1)/2))*AK$2), 0)+IF(IF(time+1&gt;=AL$2, $K186/time_cap/(time+1)*AK$2, 0) = 0, $K186/(time_cap),0)),0)</f>
        <v/>
      </c>
      <c r="AL186" s="4395">
        <f>IFERROR(IF((time+time_cap)&lt;AL$2, 0,IF(AND(time+1&gt;=AM$2, $E186&lt;AM$2), IF($I186= "I", $J186/($F186-$E186+1), $J186/(($F186*($F186+1)/2)-(($E186-1)*($E186-1+1)/2))*AL$2), 0)+IF(IF(time+1&gt;=AM$2, $K186/time_cap/(time+1)*AL$2, 0) = 0, $K186/(time_cap),0)),0)</f>
        <v/>
      </c>
      <c r="AM186" s="4395">
        <f>IFERROR(IF((time+time_cap)&lt;AM$2, 0,IF(AND(time+1&gt;=AN$2, $E186&lt;AN$2), IF($I186= "I", $J186/($F186-$E186+1), $J186/(($F186*($F186+1)/2)-(($E186-1)*($E186-1+1)/2))*AM$2), 0)+IF(IF(time+1&gt;=AN$2, $K186/time_cap/(time+1)*AM$2, 0) = 0, $K186/(time_cap),0)),0)</f>
        <v/>
      </c>
      <c r="AN186" s="4395">
        <f>IFERROR(IF((time+time_cap)&lt;AN$2, 0,IF(AND(time+1&gt;=AO$2, $E186&lt;AO$2), IF($I186= "I", $J186/($F186-$E186+1), $J186/(($F186*($F186+1)/2)-(($E186-1)*($E186-1+1)/2))*AN$2), 0)+IF(IF(time+1&gt;=AO$2, $K186/time_cap/(time+1)*AN$2, 0) = 0, $K186/(time_cap),0)),0)</f>
        <v/>
      </c>
      <c r="AO186" s="4395">
        <f>IFERROR(IF((time+time_cap)&lt;AO$2, 0,IF(AND(time+1&gt;=AP$2, $E186&lt;AP$2), IF($I186= "I", $J186/($F186-$E186+1), $J186/(($F186*($F186+1)/2)-(($E186-1)*($E186-1+1)/2))*AO$2), 0)+IF(IF(time+1&gt;=AP$2, $K186/time_cap/(time+1)*AO$2, 0) = 0, $K186/(time_cap),0)),0)</f>
        <v/>
      </c>
      <c r="AP186" s="4395">
        <f>IFERROR(IF((time+time_cap)&lt;AP$2, 0,IF(AND(time+1&gt;=AQ$2, $E186&lt;AQ$2), IF($I186= "I", $J186/($F186-$E186+1), $J186/(($F186*($F186+1)/2)-(($E186-1)*($E186-1+1)/2))*AP$2), 0)+IF(IF(time+1&gt;=AQ$2, $K186/time_cap/(time+1)*AP$2, 0) = 0, $K186/(time_cap),0)),0)</f>
        <v/>
      </c>
      <c r="AQ186" s="4395">
        <f>IFERROR(IF((time+time_cap)&lt;AQ$2, 0,IF(AND(time+1&gt;=AR$2, $E186&lt;AR$2), IF($I186= "I", $J186/($F186-$E186+1), $J186/(($F186*($F186+1)/2)-(($E186-1)*($E186-1+1)/2))*AQ$2), 0)+IF(IF(time+1&gt;=AR$2, $K186/time_cap/(time+1)*AQ$2, 0) = 0, $K186/(time_cap),0)),0)</f>
        <v/>
      </c>
      <c r="AR186" s="4395">
        <f>IFERROR(IF((time+time_cap)&lt;AR$2, 0,IF(AND(time+1&gt;=AS$2, $E186&lt;AS$2), IF($I186= "I", $J186/($F186-$E186+1), $J186/(($F186*($F186+1)/2)-(($E186-1)*($E186-1+1)/2))*AR$2), 0)+IF(IF(time+1&gt;=AS$2, $K186/time_cap/(time+1)*AR$2, 0) = 0, $K186/(time_cap),0)),0)</f>
        <v/>
      </c>
      <c r="AS186" s="4395">
        <f>IFERROR(IF((time+time_cap)&lt;AS$2, 0,IF(AND(time+1&gt;=AT$2, $E186&lt;AT$2), IF($I186= "I", $J186/($F186-$E186+1), $J186/(($F186*($F186+1)/2)-(($E186-1)*($E186-1+1)/2))*AS$2), 0)+IF(IF(time+1&gt;=AT$2, $K186/time_cap/(time+1)*AS$2, 0) = 0, $K186/(time_cap),0)),0)</f>
        <v/>
      </c>
      <c r="AT186" s="4395">
        <f>IFERROR(IF((time+time_cap)&lt;AT$2, 0,IF(AND(time+1&gt;=AU$2, $E186&lt;AU$2), IF($I186= "I", $J186/($F186-$E186+1), $J186/(($F186*($F186+1)/2)-(($E186-1)*($E186-1+1)/2))*AT$2), 0)+IF(IF(time+1&gt;=AU$2, $K186/time_cap/(time+1)*AT$2, 0) = 0, $K186/(time_cap),0)),0)</f>
        <v/>
      </c>
      <c r="AU186" s="4395">
        <f>IFERROR(IF((time+time_cap)&lt;AU$2, 0,IF(AND(time+1&gt;=AV$2, $E186&lt;AV$2), IF($I186= "I", $J186/($F186-$E186+1), $J186/(($F186*($F186+1)/2)-(($E186-1)*($E186-1+1)/2))*AU$2), 0)+IF(IF(time+1&gt;=AV$2, $K186/time_cap/(time+1)*AU$2, 0) = 0, $K186/(time_cap),0)),0)</f>
        <v/>
      </c>
      <c r="AV186" s="4395">
        <f>IFERROR(IF((time+time_cap)&lt;AV$2, 0,IF(AND(time+1&gt;=AW$2, $E186&lt;AW$2), IF($I186= "I", $J186/($F186-$E186+1), $J186/(($F186*($F186+1)/2)-(($E186-1)*($E186-1+1)/2))*AV$2), 0)+IF(IF(time+1&gt;=AW$2, $K186/time_cap/(time+1)*AV$2, 0) = 0, $K186/(time_cap),0)),0)</f>
        <v/>
      </c>
      <c r="AW186" s="4395">
        <f>IFERROR(IF((time+time_cap)&lt;AW$2, 0,IF(AND(time+1&gt;=AX$2, $E186&lt;AX$2), IF($I186= "I", $J186/($F186-$E186+1), $J186/(($F186*($F186+1)/2)-(($E186-1)*($E186-1+1)/2))*AW$2), 0)+IF(IF(time+1&gt;=AX$2, $K186/time_cap/(time+1)*AW$2, 0) = 0, $K186/(time_cap),0)),0)</f>
        <v/>
      </c>
      <c r="AX186" s="4395">
        <f>IFERROR(IF((time+time_cap)&lt;AX$2, 0,IF(AND(time+1&gt;=AY$2, $E186&lt;AY$2), IF($I186= "I", $J186/($F186-$E186+1), $J186/(($F186*($F186+1)/2)-(($E186-1)*($E186-1+1)/2))*AX$2), 0)+IF(IF(time+1&gt;=AY$2, $K186/time_cap/(time+1)*AX$2, 0) = 0, $K186/(time_cap),0)),0)</f>
        <v/>
      </c>
      <c r="AY186" s="4395">
        <f>IFERROR(IF((time+time_cap)&lt;AY$2, 0,IF(AND(time+1&gt;=AZ$2, $E186&lt;AZ$2), IF($I186= "I", $J186/($F186-$E186+1), $J186/(($F186*($F186+1)/2)-(($E186-1)*($E186-1+1)/2))*AY$2), 0)+IF(IF(time+1&gt;=AZ$2, $K186/time_cap/(time+1)*AY$2, 0) = 0, $K186/(time_cap),0)),0)</f>
        <v/>
      </c>
      <c r="AZ186" s="4395">
        <f>IFERROR(IF((time+time_cap)&lt;AZ$2, 0,IF(AND(time+1&gt;=BA$2, $E186&lt;BA$2), IF($I186= "I", $J186/($F186-$E186+1), $J186/(($F186*($F186+1)/2)-(($E186-1)*($E186-1+1)/2))*AZ$2), 0)+IF(IF(time+1&gt;=BA$2, $K186/time_cap/(time+1)*AZ$2, 0) = 0, $K186/(time_cap),0)),0)</f>
        <v/>
      </c>
      <c r="BA186" s="4395">
        <f>IFERROR(IF((time+time_cap)&lt;BA$2, 0,IF(AND(time+1&gt;=BB$2, $E186&lt;BB$2), IF($I186= "I", $J186/($F186-$E186+1), $J186/(($F186*($F186+1)/2)-(($E186-1)*($E186-1+1)/2))*BA$2), 0)+IF(IF(time+1&gt;=BB$2, $K186/time_cap/(time+1)*BA$2, 0) = 0, $K186/(time_cap),0)),0)</f>
        <v/>
      </c>
      <c r="BB186" s="4395">
        <f>IFERROR(IF((time+time_cap)&lt;BB$2, 0,IF(AND(time+1&gt;=BC$2, $E186&lt;BC$2), IF($I186= "I", $J186/($F186-$E186+1), $J186/(($F186*($F186+1)/2)-(($E186-1)*($E186-1+1)/2))*BB$2), 0)+IF(IF(time+1&gt;=BC$2, $K186/time_cap/(time+1)*BB$2, 0) = 0, $K186/(time_cap),0)),0)</f>
        <v/>
      </c>
      <c r="BC186" s="4395">
        <f>IFERROR(IF((time+time_cap)&lt;BC$2, 0,IF(AND(time+1&gt;=BD$2, $E186&lt;BD$2), IF($I186= "I", $J186/($F186-$E186+1), $J186/(($F186*($F186+1)/2)-(($E186-1)*($E186-1+1)/2))*BC$2), 0)+IF(IF(time+1&gt;=BD$2, $K186/time_cap/(time+1)*BC$2, 0) = 0, $K186/(time_cap),0)),0)</f>
        <v/>
      </c>
      <c r="BD186" s="4395">
        <f>IFERROR(IF((time+time_cap)&lt;BD$2, 0,IF(AND(time+1&gt;=BE$2, $E186&lt;BE$2), IF($I186= "I", $J186/($F186-$E186+1), $J186/(($F186*($F186+1)/2)-(($E186-1)*($E186-1+1)/2))*BD$2), 0)+IF(IF(time+1&gt;=BE$2, $K186/time_cap/(time+1)*BD$2, 0) = 0, $K186/(time_cap),0)),0)</f>
        <v/>
      </c>
      <c r="BE186" s="4395">
        <f>IFERROR(IF((time+time_cap)&lt;BE$2, 0,IF(AND(time+1&gt;=BF$2, $E186&lt;BF$2), IF($I186= "I", $J186/($F186-$E186+1), $J186/(($F186*($F186+1)/2)-(($E186-1)*($E186-1+1)/2))*BE$2), 0)+IF(IF(time+1&gt;=BF$2, $K186/time_cap/(time+1)*BE$2, 0) = 0, $K186/(time_cap),0)),0)</f>
        <v/>
      </c>
      <c r="BF186" s="4395">
        <f>IFERROR(IF((time+time_cap)&lt;BF$2, 0,IF(AND(time+1&gt;=BG$2, $E186&lt;BG$2), IF($I186= "I", $J186/($F186-$E186+1), $J186/(($F186*($F186+1)/2)-(($E186-1)*($E186-1+1)/2))*BF$2), 0)+IF(IF(time+1&gt;=BG$2, $K186/time_cap/(time+1)*BF$2, 0) = 0, $K186/(time_cap),0)),0)</f>
        <v/>
      </c>
      <c r="BG186" s="4395">
        <f>IFERROR(IF((time+time_cap)&lt;BG$2, 0,IF(AND(time+1&gt;=BH$2, $E186&lt;BH$2), IF($I186= "I", $J186/($F186-$E186+1), $J186/(($F186*($F186+1)/2)-(($E186-1)*($E186-1+1)/2))*BG$2), 0)+IF(IF(time+1&gt;=BH$2, $K186/time_cap/(time+1)*BG$2, 0) = 0, $K186/(time_cap),0)),0)</f>
        <v/>
      </c>
      <c r="BH186" s="4395">
        <f>IFERROR(IF((time+time_cap)&lt;BH$2, 0,IF(AND(time+1&gt;=BI$2, $E186&lt;BI$2), IF($I186= "I", $J186/($F186-$E186+1), $J186/(($F186*($F186+1)/2)-(($E186-1)*($E186-1+1)/2))*BH$2), 0)+IF(IF(time+1&gt;=BI$2, $K186/time_cap/(time+1)*BH$2, 0) = 0, $K186/(time_cap),0)),0)</f>
        <v/>
      </c>
      <c r="BI186" s="4395">
        <f>IFERROR(IF((time+time_cap)&lt;BI$2, 0,IF(AND(time+1&gt;=BJ$2, $E186&lt;BJ$2), IF($I186= "I", $J186/($F186-$E186+1), $J186/(($F186*($F186+1)/2)-(($E186-1)*($E186-1+1)/2))*BI$2), 0)+IF(IF(time+1&gt;=BJ$2, $K186/time_cap/(time+1)*BI$2, 0) = 0, $K186/(time_cap),0)),0)</f>
        <v/>
      </c>
      <c r="BJ186" s="4395">
        <f>IFERROR(IF((time+time_cap)&lt;BJ$2, 0,IF(AND(time+1&gt;=BK$2, $E186&lt;BK$2), IF($I186= "I", $J186/($F186-$E186+1), $J186/(($F186*($F186+1)/2)-(($E186-1)*($E186-1+1)/2))*BJ$2), 0)+IF(IF(time+1&gt;=BK$2, $K186/time_cap/(time+1)*BJ$2, 0) = 0, $K186/(time_cap),0)),0)</f>
        <v/>
      </c>
      <c r="BK186" s="4395" t="n"/>
      <c r="BL186" s="4395" t="n"/>
      <c r="BM186" s="4395" t="n"/>
      <c r="BN186" s="4395" t="n"/>
      <c r="BO186" s="4395" t="n"/>
      <c r="BP186" s="4395" t="n"/>
      <c r="BQ186" s="4395" t="n"/>
      <c r="BR186" s="4395" t="n"/>
      <c r="BS186" s="4395" t="n"/>
      <c r="BT186" s="4395" t="n"/>
      <c r="BU186" s="4395" t="n"/>
      <c r="BV186" s="4395" t="n"/>
      <c r="BW186" s="4395" t="n"/>
      <c r="BX186" s="4395" t="n"/>
      <c r="BY186" s="4395" t="n"/>
      <c r="BZ186" s="4395" t="n"/>
      <c r="CA186" s="4395" t="n"/>
      <c r="CB186" s="4395" t="n"/>
      <c r="CC186" s="4395" t="n"/>
      <c r="CD186" s="4395" t="n"/>
      <c r="CE186" s="4395" t="n"/>
      <c r="CF186" s="4395" t="n"/>
      <c r="CG186" s="4395" t="n"/>
      <c r="CH186" s="4395" t="n"/>
      <c r="CI186" s="4395" t="n"/>
      <c r="CJ186" s="4395" t="n"/>
      <c r="CK186" s="4395" t="n"/>
      <c r="CL186" s="4395" t="n"/>
      <c r="CM186" s="4395" t="n"/>
      <c r="CN186" s="4395" t="n"/>
      <c r="CO186" s="4395" t="n"/>
      <c r="CP186" s="4395" t="n"/>
      <c r="CQ186" s="4395" t="n"/>
      <c r="CR186" s="4395" t="n"/>
      <c r="CS186" s="4395" t="n"/>
      <c r="CT186" s="4395" t="n"/>
      <c r="CU186" s="4395" t="n"/>
      <c r="CV186" s="4395" t="n"/>
      <c r="CW186" s="4395" t="n"/>
      <c r="CX186" s="4395" t="n"/>
      <c r="CY186" s="4395" t="n"/>
      <c r="CZ186" s="4395" t="n"/>
      <c r="DA186" s="4395" t="n"/>
      <c r="DB186" s="4395" t="n"/>
      <c r="DC186" s="4395" t="n"/>
      <c r="DD186" s="4395" t="n"/>
      <c r="DE186" s="4395" t="n"/>
      <c r="DF186" s="4395" t="n"/>
      <c r="DG186" s="4395" t="n"/>
      <c r="DH186" s="4395" t="n"/>
    </row>
    <row r="187" ht="16" customHeight="1">
      <c r="A187" t="inlineStr">
        <is>
          <t>Small scale fisheries</t>
        </is>
      </c>
      <c r="C187">
        <f>'8. Fisheries and aquaculture'!C16</f>
        <v/>
      </c>
      <c r="D187">
        <f>IFERROR('8. Fisheries and aquaculture'!AI16+(('8. Fisheries and aquaculture'!$AI$22+'8. Fisheries and aquaculture'!$AI$26)/SUM('8. Fisheries and aquaculture'!$AI$13:$AI$18)*'8. Fisheries and aquaculture'!AI16), 0)</f>
        <v/>
      </c>
      <c r="E187">
        <f>IF('8. Fisheries and aquaculture'!CN16&lt;&gt;0,'8. Fisheries and aquaculture'!CN16,'8. Fisheries and aquaculture'!CM16)</f>
        <v/>
      </c>
      <c r="F187">
        <f>time</f>
        <v/>
      </c>
      <c r="G187" s="4395">
        <f>'8. Fisheries and aquaculture'!AA16</f>
        <v/>
      </c>
      <c r="H187" s="4395">
        <f>'8. Fisheries and aquaculture'!AC16</f>
        <v/>
      </c>
      <c r="I187" s="4395">
        <f>IF(OR(H187="I", G187="I"), "I", IF(OR(H187="E", G187="E"), "E", "D"))</f>
        <v/>
      </c>
      <c r="J187" s="4395">
        <f>((D187/(time_cap+((F187-E187+1)*VLOOKUP(I187,list!$I$48:$K$50,3, FALSE))))*(F187-E187+1)*VLOOKUP(I187,list!$I$48:$K$50,3, FALSE))</f>
        <v/>
      </c>
      <c r="K187" s="4395">
        <f>((D187/(time_cap+((F187-E187+1)*VLOOKUP(I187,list!$I$48:$K$50,3, FALSE))))*time_cap)</f>
        <v/>
      </c>
      <c r="M187" s="4395">
        <f>IFERROR(IF((time+time_cap)&lt;M$2, 0,IF(AND(time+1&gt;=N$2, $E187&lt;N$2), IF($I187= "I", $J187/($F187-$E187+1), $J187/(($F187*($F187+1)/2)-(($E187-1)*($E187-1+1)/2))*M$2), 0)+IF(IF(time+1&gt;=N$2, $K187/time_cap/(time+1)*M$2, 0) = 0, $K187/(time_cap),0)),0)</f>
        <v/>
      </c>
      <c r="N187" s="4395">
        <f>IFERROR(IF((time+time_cap)&lt;N$2, 0,IF(AND(time+1&gt;=O$2, $E187&lt;O$2), IF($I187= "I", $J187/($F187-$E187+1), $J187/(($F187*($F187+1)/2)-(($E187-1)*($E187-1+1)/2))*N$2), 0)+IF(IF(time+1&gt;=O$2, $K187/time_cap/(time+1)*N$2, 0) = 0, $K187/(time_cap),0)),0)</f>
        <v/>
      </c>
      <c r="O187" s="4395">
        <f>IFERROR(IF((time+time_cap)&lt;O$2, 0,IF(AND(time+1&gt;=P$2, $E187&lt;P$2), IF($I187= "I", $J187/($F187-$E187+1), $J187/(($F187*($F187+1)/2)-(($E187-1)*($E187-1+1)/2))*O$2), 0)+IF(IF(time+1&gt;=P$2, $K187/time_cap/(time+1)*O$2, 0) = 0, $K187/(time_cap),0)),0)</f>
        <v/>
      </c>
      <c r="P187" s="4395">
        <f>IFERROR(IF((time+time_cap)&lt;P$2, 0,IF(AND(time+1&gt;=Q$2, $E187&lt;Q$2), IF($I187= "I", $J187/($F187-$E187+1), $J187/(($F187*($F187+1)/2)-(($E187-1)*($E187-1+1)/2))*P$2), 0)+IF(IF(time+1&gt;=Q$2, $K187/time_cap/(time+1)*P$2, 0) = 0, $K187/(time_cap),0)),0)</f>
        <v/>
      </c>
      <c r="Q187" s="4395">
        <f>IFERROR(IF((time+time_cap)&lt;Q$2, 0,IF(AND(time+1&gt;=R$2, $E187&lt;R$2), IF($I187= "I", $J187/($F187-$E187+1), $J187/(($F187*($F187+1)/2)-(($E187-1)*($E187-1+1)/2))*Q$2), 0)+IF(IF(time+1&gt;=R$2, $K187/time_cap/(time+1)*Q$2, 0) = 0, $K187/(time_cap),0)),0)</f>
        <v/>
      </c>
      <c r="R187" s="4395">
        <f>IFERROR(IF((time+time_cap)&lt;R$2, 0,IF(AND(time+1&gt;=S$2, $E187&lt;S$2), IF($I187= "I", $J187/($F187-$E187+1), $J187/(($F187*($F187+1)/2)-(($E187-1)*($E187-1+1)/2))*R$2), 0)+IF(IF(time+1&gt;=S$2, $K187/time_cap/(time+1)*R$2, 0) = 0, $K187/(time_cap),0)),0)</f>
        <v/>
      </c>
      <c r="S187" s="4395">
        <f>IFERROR(IF((time+time_cap)&lt;S$2, 0,IF(AND(time+1&gt;=T$2, $E187&lt;T$2), IF($I187= "I", $J187/($F187-$E187+1), $J187/(($F187*($F187+1)/2)-(($E187-1)*($E187-1+1)/2))*S$2), 0)+IF(IF(time+1&gt;=T$2, $K187/time_cap/(time+1)*S$2, 0) = 0, $K187/(time_cap),0)),0)</f>
        <v/>
      </c>
      <c r="T187" s="4395">
        <f>IFERROR(IF((time+time_cap)&lt;T$2, 0,IF(AND(time+1&gt;=U$2, $E187&lt;U$2), IF($I187= "I", $J187/($F187-$E187+1), $J187/(($F187*($F187+1)/2)-(($E187-1)*($E187-1+1)/2))*T$2), 0)+IF(IF(time+1&gt;=U$2, $K187/time_cap/(time+1)*T$2, 0) = 0, $K187/(time_cap),0)),0)</f>
        <v/>
      </c>
      <c r="U187" s="4395">
        <f>IFERROR(IF((time+time_cap)&lt;U$2, 0,IF(AND(time+1&gt;=V$2, $E187&lt;V$2), IF($I187= "I", $J187/($F187-$E187+1), $J187/(($F187*($F187+1)/2)-(($E187-1)*($E187-1+1)/2))*U$2), 0)+IF(IF(time+1&gt;=V$2, $K187/time_cap/(time+1)*U$2, 0) = 0, $K187/(time_cap),0)),0)</f>
        <v/>
      </c>
      <c r="V187" s="4395">
        <f>IFERROR(IF((time+time_cap)&lt;V$2, 0,IF(AND(time+1&gt;=W$2, $E187&lt;W$2), IF($I187= "I", $J187/($F187-$E187+1), $J187/(($F187*($F187+1)/2)-(($E187-1)*($E187-1+1)/2))*V$2), 0)+IF(IF(time+1&gt;=W$2, $K187/time_cap/(time+1)*V$2, 0) = 0, $K187/(time_cap),0)),0)</f>
        <v/>
      </c>
      <c r="W187" s="4395">
        <f>IFERROR(IF((time+time_cap)&lt;W$2, 0,IF(AND(time+1&gt;=X$2, $E187&lt;X$2), IF($I187= "I", $J187/($F187-$E187+1), $J187/(($F187*($F187+1)/2)-(($E187-1)*($E187-1+1)/2))*W$2), 0)+IF(IF(time+1&gt;=X$2, $K187/time_cap/(time+1)*W$2, 0) = 0, $K187/(time_cap),0)),0)</f>
        <v/>
      </c>
      <c r="X187" s="4395">
        <f>IFERROR(IF((time+time_cap)&lt;X$2, 0,IF(AND(time+1&gt;=Y$2, $E187&lt;Y$2), IF($I187= "I", $J187/($F187-$E187+1), $J187/(($F187*($F187+1)/2)-(($E187-1)*($E187-1+1)/2))*X$2), 0)+IF(IF(time+1&gt;=Y$2, $K187/time_cap/(time+1)*X$2, 0) = 0, $K187/(time_cap),0)),0)</f>
        <v/>
      </c>
      <c r="Y187" s="4395">
        <f>IFERROR(IF((time+time_cap)&lt;Y$2, 0,IF(AND(time+1&gt;=Z$2, $E187&lt;Z$2), IF($I187= "I", $J187/($F187-$E187+1), $J187/(($F187*($F187+1)/2)-(($E187-1)*($E187-1+1)/2))*Y$2), 0)+IF(IF(time+1&gt;=Z$2, $K187/time_cap/(time+1)*Y$2, 0) = 0, $K187/(time_cap),0)),0)</f>
        <v/>
      </c>
      <c r="Z187" s="4395">
        <f>IFERROR(IF((time+time_cap)&lt;Z$2, 0,IF(AND(time+1&gt;=AA$2, $E187&lt;AA$2), IF($I187= "I", $J187/($F187-$E187+1), $J187/(($F187*($F187+1)/2)-(($E187-1)*($E187-1+1)/2))*Z$2), 0)+IF(IF(time+1&gt;=AA$2, $K187/time_cap/(time+1)*Z$2, 0) = 0, $K187/(time_cap),0)),0)</f>
        <v/>
      </c>
      <c r="AA187" s="4395">
        <f>IFERROR(IF((time+time_cap)&lt;AA$2, 0,IF(AND(time+1&gt;=AB$2, $E187&lt;AB$2), IF($I187= "I", $J187/($F187-$E187+1), $J187/(($F187*($F187+1)/2)-(($E187-1)*($E187-1+1)/2))*AA$2), 0)+IF(IF(time+1&gt;=AB$2, $K187/time_cap/(time+1)*AA$2, 0) = 0, $K187/(time_cap),0)),0)</f>
        <v/>
      </c>
      <c r="AB187" s="4395">
        <f>IFERROR(IF((time+time_cap)&lt;AB$2, 0,IF(AND(time+1&gt;=AC$2, $E187&lt;AC$2), IF($I187= "I", $J187/($F187-$E187+1), $J187/(($F187*($F187+1)/2)-(($E187-1)*($E187-1+1)/2))*AB$2), 0)+IF(IF(time+1&gt;=AC$2, $K187/time_cap/(time+1)*AB$2, 0) = 0, $K187/(time_cap),0)),0)</f>
        <v/>
      </c>
      <c r="AC187" s="4395">
        <f>IFERROR(IF((time+time_cap)&lt;AC$2, 0,IF(AND(time+1&gt;=AD$2, $E187&lt;AD$2), IF($I187= "I", $J187/($F187-$E187+1), $J187/(($F187*($F187+1)/2)-(($E187-1)*($E187-1+1)/2))*AC$2), 0)+IF(IF(time+1&gt;=AD$2, $K187/time_cap/(time+1)*AC$2, 0) = 0, $K187/(time_cap),0)),0)</f>
        <v/>
      </c>
      <c r="AD187" s="4395">
        <f>IFERROR(IF((time+time_cap)&lt;AD$2, 0,IF(AND(time+1&gt;=AE$2, $E187&lt;AE$2), IF($I187= "I", $J187/($F187-$E187+1), $J187/(($F187*($F187+1)/2)-(($E187-1)*($E187-1+1)/2))*AD$2), 0)+IF(IF(time+1&gt;=AE$2, $K187/time_cap/(time+1)*AD$2, 0) = 0, $K187/(time_cap),0)),0)</f>
        <v/>
      </c>
      <c r="AE187" s="4395">
        <f>IFERROR(IF((time+time_cap)&lt;AE$2, 0,IF(AND(time+1&gt;=AF$2, $E187&lt;AF$2), IF($I187= "I", $J187/($F187-$E187+1), $J187/(($F187*($F187+1)/2)-(($E187-1)*($E187-1+1)/2))*AE$2), 0)+IF(IF(time+1&gt;=AF$2, $K187/time_cap/(time+1)*AE$2, 0) = 0, $K187/(time_cap),0)),0)</f>
        <v/>
      </c>
      <c r="AF187" s="4395">
        <f>IFERROR(IF((time+time_cap)&lt;AF$2, 0,IF(AND(time+1&gt;=AG$2, $E187&lt;AG$2), IF($I187= "I", $J187/($F187-$E187+1), $J187/(($F187*($F187+1)/2)-(($E187-1)*($E187-1+1)/2))*AF$2), 0)+IF(IF(time+1&gt;=AG$2, $K187/time_cap/(time+1)*AF$2, 0) = 0, $K187/(time_cap),0)),0)</f>
        <v/>
      </c>
      <c r="AG187" s="4395">
        <f>IFERROR(IF((time+time_cap)&lt;AG$2, 0,IF(AND(time+1&gt;=AH$2, $E187&lt;AH$2), IF($I187= "I", $J187/($F187-$E187+1), $J187/(($F187*($F187+1)/2)-(($E187-1)*($E187-1+1)/2))*AG$2), 0)+IF(IF(time+1&gt;=AH$2, $K187/time_cap/(time+1)*AG$2, 0) = 0, $K187/(time_cap),0)),0)</f>
        <v/>
      </c>
      <c r="AH187" s="4395">
        <f>IFERROR(IF((time+time_cap)&lt;AH$2, 0,IF(AND(time+1&gt;=AI$2, $E187&lt;AI$2), IF($I187= "I", $J187/($F187-$E187+1), $J187/(($F187*($F187+1)/2)-(($E187-1)*($E187-1+1)/2))*AH$2), 0)+IF(IF(time+1&gt;=AI$2, $K187/time_cap/(time+1)*AH$2, 0) = 0, $K187/(time_cap),0)),0)</f>
        <v/>
      </c>
      <c r="AI187" s="4395">
        <f>IFERROR(IF((time+time_cap)&lt;AI$2, 0,IF(AND(time+1&gt;=AJ$2, $E187&lt;AJ$2), IF($I187= "I", $J187/($F187-$E187+1), $J187/(($F187*($F187+1)/2)-(($E187-1)*($E187-1+1)/2))*AI$2), 0)+IF(IF(time+1&gt;=AJ$2, $K187/time_cap/(time+1)*AI$2, 0) = 0, $K187/(time_cap),0)),0)</f>
        <v/>
      </c>
      <c r="AJ187" s="4395">
        <f>IFERROR(IF((time+time_cap)&lt;AJ$2, 0,IF(AND(time+1&gt;=AK$2, $E187&lt;AK$2), IF($I187= "I", $J187/($F187-$E187+1), $J187/(($F187*($F187+1)/2)-(($E187-1)*($E187-1+1)/2))*AJ$2), 0)+IF(IF(time+1&gt;=AK$2, $K187/time_cap/(time+1)*AJ$2, 0) = 0, $K187/(time_cap),0)),0)</f>
        <v/>
      </c>
      <c r="AK187" s="4395">
        <f>IFERROR(IF((time+time_cap)&lt;AK$2, 0,IF(AND(time+1&gt;=AL$2, $E187&lt;AL$2), IF($I187= "I", $J187/($F187-$E187+1), $J187/(($F187*($F187+1)/2)-(($E187-1)*($E187-1+1)/2))*AK$2), 0)+IF(IF(time+1&gt;=AL$2, $K187/time_cap/(time+1)*AK$2, 0) = 0, $K187/(time_cap),0)),0)</f>
        <v/>
      </c>
      <c r="AL187" s="4395">
        <f>IFERROR(IF((time+time_cap)&lt;AL$2, 0,IF(AND(time+1&gt;=AM$2, $E187&lt;AM$2), IF($I187= "I", $J187/($F187-$E187+1), $J187/(($F187*($F187+1)/2)-(($E187-1)*($E187-1+1)/2))*AL$2), 0)+IF(IF(time+1&gt;=AM$2, $K187/time_cap/(time+1)*AL$2, 0) = 0, $K187/(time_cap),0)),0)</f>
        <v/>
      </c>
      <c r="AM187" s="4395">
        <f>IFERROR(IF((time+time_cap)&lt;AM$2, 0,IF(AND(time+1&gt;=AN$2, $E187&lt;AN$2), IF($I187= "I", $J187/($F187-$E187+1), $J187/(($F187*($F187+1)/2)-(($E187-1)*($E187-1+1)/2))*AM$2), 0)+IF(IF(time+1&gt;=AN$2, $K187/time_cap/(time+1)*AM$2, 0) = 0, $K187/(time_cap),0)),0)</f>
        <v/>
      </c>
      <c r="AN187" s="4395">
        <f>IFERROR(IF((time+time_cap)&lt;AN$2, 0,IF(AND(time+1&gt;=AO$2, $E187&lt;AO$2), IF($I187= "I", $J187/($F187-$E187+1), $J187/(($F187*($F187+1)/2)-(($E187-1)*($E187-1+1)/2))*AN$2), 0)+IF(IF(time+1&gt;=AO$2, $K187/time_cap/(time+1)*AN$2, 0) = 0, $K187/(time_cap),0)),0)</f>
        <v/>
      </c>
      <c r="AO187" s="4395">
        <f>IFERROR(IF((time+time_cap)&lt;AO$2, 0,IF(AND(time+1&gt;=AP$2, $E187&lt;AP$2), IF($I187= "I", $J187/($F187-$E187+1), $J187/(($F187*($F187+1)/2)-(($E187-1)*($E187-1+1)/2))*AO$2), 0)+IF(IF(time+1&gt;=AP$2, $K187/time_cap/(time+1)*AO$2, 0) = 0, $K187/(time_cap),0)),0)</f>
        <v/>
      </c>
      <c r="AP187" s="4395">
        <f>IFERROR(IF((time+time_cap)&lt;AP$2, 0,IF(AND(time+1&gt;=AQ$2, $E187&lt;AQ$2), IF($I187= "I", $J187/($F187-$E187+1), $J187/(($F187*($F187+1)/2)-(($E187-1)*($E187-1+1)/2))*AP$2), 0)+IF(IF(time+1&gt;=AQ$2, $K187/time_cap/(time+1)*AP$2, 0) = 0, $K187/(time_cap),0)),0)</f>
        <v/>
      </c>
      <c r="AQ187" s="4395">
        <f>IFERROR(IF((time+time_cap)&lt;AQ$2, 0,IF(AND(time+1&gt;=AR$2, $E187&lt;AR$2), IF($I187= "I", $J187/($F187-$E187+1), $J187/(($F187*($F187+1)/2)-(($E187-1)*($E187-1+1)/2))*AQ$2), 0)+IF(IF(time+1&gt;=AR$2, $K187/time_cap/(time+1)*AQ$2, 0) = 0, $K187/(time_cap),0)),0)</f>
        <v/>
      </c>
      <c r="AR187" s="4395">
        <f>IFERROR(IF((time+time_cap)&lt;AR$2, 0,IF(AND(time+1&gt;=AS$2, $E187&lt;AS$2), IF($I187= "I", $J187/($F187-$E187+1), $J187/(($F187*($F187+1)/2)-(($E187-1)*($E187-1+1)/2))*AR$2), 0)+IF(IF(time+1&gt;=AS$2, $K187/time_cap/(time+1)*AR$2, 0) = 0, $K187/(time_cap),0)),0)</f>
        <v/>
      </c>
      <c r="AS187" s="4395">
        <f>IFERROR(IF((time+time_cap)&lt;AS$2, 0,IF(AND(time+1&gt;=AT$2, $E187&lt;AT$2), IF($I187= "I", $J187/($F187-$E187+1), $J187/(($F187*($F187+1)/2)-(($E187-1)*($E187-1+1)/2))*AS$2), 0)+IF(IF(time+1&gt;=AT$2, $K187/time_cap/(time+1)*AS$2, 0) = 0, $K187/(time_cap),0)),0)</f>
        <v/>
      </c>
      <c r="AT187" s="4395">
        <f>IFERROR(IF((time+time_cap)&lt;AT$2, 0,IF(AND(time+1&gt;=AU$2, $E187&lt;AU$2), IF($I187= "I", $J187/($F187-$E187+1), $J187/(($F187*($F187+1)/2)-(($E187-1)*($E187-1+1)/2))*AT$2), 0)+IF(IF(time+1&gt;=AU$2, $K187/time_cap/(time+1)*AT$2, 0) = 0, $K187/(time_cap),0)),0)</f>
        <v/>
      </c>
      <c r="AU187" s="4395">
        <f>IFERROR(IF((time+time_cap)&lt;AU$2, 0,IF(AND(time+1&gt;=AV$2, $E187&lt;AV$2), IF($I187= "I", $J187/($F187-$E187+1), $J187/(($F187*($F187+1)/2)-(($E187-1)*($E187-1+1)/2))*AU$2), 0)+IF(IF(time+1&gt;=AV$2, $K187/time_cap/(time+1)*AU$2, 0) = 0, $K187/(time_cap),0)),0)</f>
        <v/>
      </c>
      <c r="AV187" s="4395">
        <f>IFERROR(IF((time+time_cap)&lt;AV$2, 0,IF(AND(time+1&gt;=AW$2, $E187&lt;AW$2), IF($I187= "I", $J187/($F187-$E187+1), $J187/(($F187*($F187+1)/2)-(($E187-1)*($E187-1+1)/2))*AV$2), 0)+IF(IF(time+1&gt;=AW$2, $K187/time_cap/(time+1)*AV$2, 0) = 0, $K187/(time_cap),0)),0)</f>
        <v/>
      </c>
      <c r="AW187" s="4395">
        <f>IFERROR(IF((time+time_cap)&lt;AW$2, 0,IF(AND(time+1&gt;=AX$2, $E187&lt;AX$2), IF($I187= "I", $J187/($F187-$E187+1), $J187/(($F187*($F187+1)/2)-(($E187-1)*($E187-1+1)/2))*AW$2), 0)+IF(IF(time+1&gt;=AX$2, $K187/time_cap/(time+1)*AW$2, 0) = 0, $K187/(time_cap),0)),0)</f>
        <v/>
      </c>
      <c r="AX187" s="4395">
        <f>IFERROR(IF((time+time_cap)&lt;AX$2, 0,IF(AND(time+1&gt;=AY$2, $E187&lt;AY$2), IF($I187= "I", $J187/($F187-$E187+1), $J187/(($F187*($F187+1)/2)-(($E187-1)*($E187-1+1)/2))*AX$2), 0)+IF(IF(time+1&gt;=AY$2, $K187/time_cap/(time+1)*AX$2, 0) = 0, $K187/(time_cap),0)),0)</f>
        <v/>
      </c>
      <c r="AY187" s="4395">
        <f>IFERROR(IF((time+time_cap)&lt;AY$2, 0,IF(AND(time+1&gt;=AZ$2, $E187&lt;AZ$2), IF($I187= "I", $J187/($F187-$E187+1), $J187/(($F187*($F187+1)/2)-(($E187-1)*($E187-1+1)/2))*AY$2), 0)+IF(IF(time+1&gt;=AZ$2, $K187/time_cap/(time+1)*AY$2, 0) = 0, $K187/(time_cap),0)),0)</f>
        <v/>
      </c>
      <c r="AZ187" s="4395">
        <f>IFERROR(IF((time+time_cap)&lt;AZ$2, 0,IF(AND(time+1&gt;=BA$2, $E187&lt;BA$2), IF($I187= "I", $J187/($F187-$E187+1), $J187/(($F187*($F187+1)/2)-(($E187-1)*($E187-1+1)/2))*AZ$2), 0)+IF(IF(time+1&gt;=BA$2, $K187/time_cap/(time+1)*AZ$2, 0) = 0, $K187/(time_cap),0)),0)</f>
        <v/>
      </c>
      <c r="BA187" s="4395">
        <f>IFERROR(IF((time+time_cap)&lt;BA$2, 0,IF(AND(time+1&gt;=BB$2, $E187&lt;BB$2), IF($I187= "I", $J187/($F187-$E187+1), $J187/(($F187*($F187+1)/2)-(($E187-1)*($E187-1+1)/2))*BA$2), 0)+IF(IF(time+1&gt;=BB$2, $K187/time_cap/(time+1)*BA$2, 0) = 0, $K187/(time_cap),0)),0)</f>
        <v/>
      </c>
      <c r="BB187" s="4395">
        <f>IFERROR(IF((time+time_cap)&lt;BB$2, 0,IF(AND(time+1&gt;=BC$2, $E187&lt;BC$2), IF($I187= "I", $J187/($F187-$E187+1), $J187/(($F187*($F187+1)/2)-(($E187-1)*($E187-1+1)/2))*BB$2), 0)+IF(IF(time+1&gt;=BC$2, $K187/time_cap/(time+1)*BB$2, 0) = 0, $K187/(time_cap),0)),0)</f>
        <v/>
      </c>
      <c r="BC187" s="4395">
        <f>IFERROR(IF((time+time_cap)&lt;BC$2, 0,IF(AND(time+1&gt;=BD$2, $E187&lt;BD$2), IF($I187= "I", $J187/($F187-$E187+1), $J187/(($F187*($F187+1)/2)-(($E187-1)*($E187-1+1)/2))*BC$2), 0)+IF(IF(time+1&gt;=BD$2, $K187/time_cap/(time+1)*BC$2, 0) = 0, $K187/(time_cap),0)),0)</f>
        <v/>
      </c>
      <c r="BD187" s="4395">
        <f>IFERROR(IF((time+time_cap)&lt;BD$2, 0,IF(AND(time+1&gt;=BE$2, $E187&lt;BE$2), IF($I187= "I", $J187/($F187-$E187+1), $J187/(($F187*($F187+1)/2)-(($E187-1)*($E187-1+1)/2))*BD$2), 0)+IF(IF(time+1&gt;=BE$2, $K187/time_cap/(time+1)*BD$2, 0) = 0, $K187/(time_cap),0)),0)</f>
        <v/>
      </c>
      <c r="BE187" s="4395">
        <f>IFERROR(IF((time+time_cap)&lt;BE$2, 0,IF(AND(time+1&gt;=BF$2, $E187&lt;BF$2), IF($I187= "I", $J187/($F187-$E187+1), $J187/(($F187*($F187+1)/2)-(($E187-1)*($E187-1+1)/2))*BE$2), 0)+IF(IF(time+1&gt;=BF$2, $K187/time_cap/(time+1)*BE$2, 0) = 0, $K187/(time_cap),0)),0)</f>
        <v/>
      </c>
      <c r="BF187" s="4395">
        <f>IFERROR(IF((time+time_cap)&lt;BF$2, 0,IF(AND(time+1&gt;=BG$2, $E187&lt;BG$2), IF($I187= "I", $J187/($F187-$E187+1), $J187/(($F187*($F187+1)/2)-(($E187-1)*($E187-1+1)/2))*BF$2), 0)+IF(IF(time+1&gt;=BG$2, $K187/time_cap/(time+1)*BF$2, 0) = 0, $K187/(time_cap),0)),0)</f>
        <v/>
      </c>
      <c r="BG187" s="4395">
        <f>IFERROR(IF((time+time_cap)&lt;BG$2, 0,IF(AND(time+1&gt;=BH$2, $E187&lt;BH$2), IF($I187= "I", $J187/($F187-$E187+1), $J187/(($F187*($F187+1)/2)-(($E187-1)*($E187-1+1)/2))*BG$2), 0)+IF(IF(time+1&gt;=BH$2, $K187/time_cap/(time+1)*BG$2, 0) = 0, $K187/(time_cap),0)),0)</f>
        <v/>
      </c>
      <c r="BH187" s="4395">
        <f>IFERROR(IF((time+time_cap)&lt;BH$2, 0,IF(AND(time+1&gt;=BI$2, $E187&lt;BI$2), IF($I187= "I", $J187/($F187-$E187+1), $J187/(($F187*($F187+1)/2)-(($E187-1)*($E187-1+1)/2))*BH$2), 0)+IF(IF(time+1&gt;=BI$2, $K187/time_cap/(time+1)*BH$2, 0) = 0, $K187/(time_cap),0)),0)</f>
        <v/>
      </c>
      <c r="BI187" s="4395">
        <f>IFERROR(IF((time+time_cap)&lt;BI$2, 0,IF(AND(time+1&gt;=BJ$2, $E187&lt;BJ$2), IF($I187= "I", $J187/($F187-$E187+1), $J187/(($F187*($F187+1)/2)-(($E187-1)*($E187-1+1)/2))*BI$2), 0)+IF(IF(time+1&gt;=BJ$2, $K187/time_cap/(time+1)*BI$2, 0) = 0, $K187/(time_cap),0)),0)</f>
        <v/>
      </c>
      <c r="BJ187" s="4395">
        <f>IFERROR(IF((time+time_cap)&lt;BJ$2, 0,IF(AND(time+1&gt;=BK$2, $E187&lt;BK$2), IF($I187= "I", $J187/($F187-$E187+1), $J187/(($F187*($F187+1)/2)-(($E187-1)*($E187-1+1)/2))*BJ$2), 0)+IF(IF(time+1&gt;=BK$2, $K187/time_cap/(time+1)*BJ$2, 0) = 0, $K187/(time_cap),0)),0)</f>
        <v/>
      </c>
      <c r="BK187" s="4395" t="n"/>
      <c r="BL187" s="4395" t="n"/>
      <c r="BM187" s="4395" t="n"/>
      <c r="BN187" s="4395" t="n"/>
      <c r="BO187" s="4395" t="n"/>
      <c r="BP187" s="4395" t="n"/>
      <c r="BQ187" s="4395" t="n"/>
      <c r="BR187" s="4395" t="n"/>
      <c r="BS187" s="4395" t="n"/>
      <c r="BT187" s="4395" t="n"/>
      <c r="BU187" s="4395" t="n"/>
      <c r="BV187" s="4395" t="n"/>
      <c r="BW187" s="4395" t="n"/>
      <c r="BX187" s="4395" t="n"/>
      <c r="BY187" s="4395" t="n"/>
      <c r="BZ187" s="4395" t="n"/>
      <c r="CA187" s="4395" t="n"/>
      <c r="CB187" s="4395" t="n"/>
      <c r="CC187" s="4395" t="n"/>
      <c r="CD187" s="4395" t="n"/>
      <c r="CE187" s="4395" t="n"/>
      <c r="CF187" s="4395" t="n"/>
      <c r="CG187" s="4395" t="n"/>
      <c r="CH187" s="4395" t="n"/>
      <c r="CI187" s="4395" t="n"/>
      <c r="CJ187" s="4395" t="n"/>
      <c r="CK187" s="4395" t="n"/>
      <c r="CL187" s="4395" t="n"/>
      <c r="CM187" s="4395" t="n"/>
      <c r="CN187" s="4395" t="n"/>
      <c r="CO187" s="4395" t="n"/>
      <c r="CP187" s="4395" t="n"/>
      <c r="CQ187" s="4395" t="n"/>
      <c r="CR187" s="4395" t="n"/>
      <c r="CS187" s="4395" t="n"/>
      <c r="CT187" s="4395" t="n"/>
      <c r="CU187" s="4395" t="n"/>
      <c r="CV187" s="4395" t="n"/>
      <c r="CW187" s="4395" t="n"/>
      <c r="CX187" s="4395" t="n"/>
      <c r="CY187" s="4395" t="n"/>
      <c r="CZ187" s="4395" t="n"/>
      <c r="DA187" s="4395" t="n"/>
      <c r="DB187" s="4395" t="n"/>
      <c r="DC187" s="4395" t="n"/>
      <c r="DD187" s="4395" t="n"/>
      <c r="DE187" s="4395" t="n"/>
      <c r="DF187" s="4395" t="n"/>
      <c r="DG187" s="4395" t="n"/>
      <c r="DH187" s="4395" t="n"/>
    </row>
    <row r="188" ht="16" customHeight="1">
      <c r="A188" t="inlineStr">
        <is>
          <t>Small scale fisheries</t>
        </is>
      </c>
      <c r="C188">
        <f>'8. Fisheries and aquaculture'!C17</f>
        <v/>
      </c>
      <c r="D188">
        <f>IFERROR('8. Fisheries and aquaculture'!AI17+(('8. Fisheries and aquaculture'!$AI$22+'8. Fisheries and aquaculture'!$AI$26)/SUM('8. Fisheries and aquaculture'!$AI$13:$AI$18)*'8. Fisheries and aquaculture'!AI17), 0)</f>
        <v/>
      </c>
      <c r="E188">
        <f>IF('8. Fisheries and aquaculture'!CN17&lt;&gt;0,'8. Fisheries and aquaculture'!CN17,'8. Fisheries and aquaculture'!CM17)</f>
        <v/>
      </c>
      <c r="F188">
        <f>time</f>
        <v/>
      </c>
      <c r="G188" s="4395">
        <f>'8. Fisheries and aquaculture'!AA17</f>
        <v/>
      </c>
      <c r="H188" s="4395">
        <f>'8. Fisheries and aquaculture'!AC17</f>
        <v/>
      </c>
      <c r="I188" s="4395">
        <f>IF(OR(H188="I", G188="I"), "I", IF(OR(H188="E", G188="E"), "E", "D"))</f>
        <v/>
      </c>
      <c r="J188" s="4395">
        <f>((D188/(time_cap+((F188-E188+1)*VLOOKUP(I188,list!$I$48:$K$50,3, FALSE))))*(F188-E188+1)*VLOOKUP(I188,list!$I$48:$K$50,3, FALSE))</f>
        <v/>
      </c>
      <c r="K188" s="4395">
        <f>((D188/(time_cap+((F188-E188+1)*VLOOKUP(I188,list!$I$48:$K$50,3, FALSE))))*time_cap)</f>
        <v/>
      </c>
      <c r="M188" s="4395">
        <f>IFERROR(IF((time+time_cap)&lt;M$2, 0,IF(AND(time+1&gt;=N$2, $E188&lt;N$2), IF($I188= "I", $J188/($F188-$E188+1), $J188/(($F188*($F188+1)/2)-(($E188-1)*($E188-1+1)/2))*M$2), 0)+IF(IF(time+1&gt;=N$2, $K188/time_cap/(time+1)*M$2, 0) = 0, $K188/(time_cap),0)),0)</f>
        <v/>
      </c>
      <c r="N188" s="4395">
        <f>IFERROR(IF((time+time_cap)&lt;N$2, 0,IF(AND(time+1&gt;=O$2, $E188&lt;O$2), IF($I188= "I", $J188/($F188-$E188+1), $J188/(($F188*($F188+1)/2)-(($E188-1)*($E188-1+1)/2))*N$2), 0)+IF(IF(time+1&gt;=O$2, $K188/time_cap/(time+1)*N$2, 0) = 0, $K188/(time_cap),0)),0)</f>
        <v/>
      </c>
      <c r="O188" s="4395">
        <f>IFERROR(IF((time+time_cap)&lt;O$2, 0,IF(AND(time+1&gt;=P$2, $E188&lt;P$2), IF($I188= "I", $J188/($F188-$E188+1), $J188/(($F188*($F188+1)/2)-(($E188-1)*($E188-1+1)/2))*O$2), 0)+IF(IF(time+1&gt;=P$2, $K188/time_cap/(time+1)*O$2, 0) = 0, $K188/(time_cap),0)),0)</f>
        <v/>
      </c>
      <c r="P188" s="4395">
        <f>IFERROR(IF((time+time_cap)&lt;P$2, 0,IF(AND(time+1&gt;=Q$2, $E188&lt;Q$2), IF($I188= "I", $J188/($F188-$E188+1), $J188/(($F188*($F188+1)/2)-(($E188-1)*($E188-1+1)/2))*P$2), 0)+IF(IF(time+1&gt;=Q$2, $K188/time_cap/(time+1)*P$2, 0) = 0, $K188/(time_cap),0)),0)</f>
        <v/>
      </c>
      <c r="Q188" s="4395">
        <f>IFERROR(IF((time+time_cap)&lt;Q$2, 0,IF(AND(time+1&gt;=R$2, $E188&lt;R$2), IF($I188= "I", $J188/($F188-$E188+1), $J188/(($F188*($F188+1)/2)-(($E188-1)*($E188-1+1)/2))*Q$2), 0)+IF(IF(time+1&gt;=R$2, $K188/time_cap/(time+1)*Q$2, 0) = 0, $K188/(time_cap),0)),0)</f>
        <v/>
      </c>
      <c r="R188" s="4395">
        <f>IFERROR(IF((time+time_cap)&lt;R$2, 0,IF(AND(time+1&gt;=S$2, $E188&lt;S$2), IF($I188= "I", $J188/($F188-$E188+1), $J188/(($F188*($F188+1)/2)-(($E188-1)*($E188-1+1)/2))*R$2), 0)+IF(IF(time+1&gt;=S$2, $K188/time_cap/(time+1)*R$2, 0) = 0, $K188/(time_cap),0)),0)</f>
        <v/>
      </c>
      <c r="S188" s="4395">
        <f>IFERROR(IF((time+time_cap)&lt;S$2, 0,IF(AND(time+1&gt;=T$2, $E188&lt;T$2), IF($I188= "I", $J188/($F188-$E188+1), $J188/(($F188*($F188+1)/2)-(($E188-1)*($E188-1+1)/2))*S$2), 0)+IF(IF(time+1&gt;=T$2, $K188/time_cap/(time+1)*S$2, 0) = 0, $K188/(time_cap),0)),0)</f>
        <v/>
      </c>
      <c r="T188" s="4395">
        <f>IFERROR(IF((time+time_cap)&lt;T$2, 0,IF(AND(time+1&gt;=U$2, $E188&lt;U$2), IF($I188= "I", $J188/($F188-$E188+1), $J188/(($F188*($F188+1)/2)-(($E188-1)*($E188-1+1)/2))*T$2), 0)+IF(IF(time+1&gt;=U$2, $K188/time_cap/(time+1)*T$2, 0) = 0, $K188/(time_cap),0)),0)</f>
        <v/>
      </c>
      <c r="U188" s="4395">
        <f>IFERROR(IF((time+time_cap)&lt;U$2, 0,IF(AND(time+1&gt;=V$2, $E188&lt;V$2), IF($I188= "I", $J188/($F188-$E188+1), $J188/(($F188*($F188+1)/2)-(($E188-1)*($E188-1+1)/2))*U$2), 0)+IF(IF(time+1&gt;=V$2, $K188/time_cap/(time+1)*U$2, 0) = 0, $K188/(time_cap),0)),0)</f>
        <v/>
      </c>
      <c r="V188" s="4395">
        <f>IFERROR(IF((time+time_cap)&lt;V$2, 0,IF(AND(time+1&gt;=W$2, $E188&lt;W$2), IF($I188= "I", $J188/($F188-$E188+1), $J188/(($F188*($F188+1)/2)-(($E188-1)*($E188-1+1)/2))*V$2), 0)+IF(IF(time+1&gt;=W$2, $K188/time_cap/(time+1)*V$2, 0) = 0, $K188/(time_cap),0)),0)</f>
        <v/>
      </c>
      <c r="W188" s="4395">
        <f>IFERROR(IF((time+time_cap)&lt;W$2, 0,IF(AND(time+1&gt;=X$2, $E188&lt;X$2), IF($I188= "I", $J188/($F188-$E188+1), $J188/(($F188*($F188+1)/2)-(($E188-1)*($E188-1+1)/2))*W$2), 0)+IF(IF(time+1&gt;=X$2, $K188/time_cap/(time+1)*W$2, 0) = 0, $K188/(time_cap),0)),0)</f>
        <v/>
      </c>
      <c r="X188" s="4395">
        <f>IFERROR(IF((time+time_cap)&lt;X$2, 0,IF(AND(time+1&gt;=Y$2, $E188&lt;Y$2), IF($I188= "I", $J188/($F188-$E188+1), $J188/(($F188*($F188+1)/2)-(($E188-1)*($E188-1+1)/2))*X$2), 0)+IF(IF(time+1&gt;=Y$2, $K188/time_cap/(time+1)*X$2, 0) = 0, $K188/(time_cap),0)),0)</f>
        <v/>
      </c>
      <c r="Y188" s="4395">
        <f>IFERROR(IF((time+time_cap)&lt;Y$2, 0,IF(AND(time+1&gt;=Z$2, $E188&lt;Z$2), IF($I188= "I", $J188/($F188-$E188+1), $J188/(($F188*($F188+1)/2)-(($E188-1)*($E188-1+1)/2))*Y$2), 0)+IF(IF(time+1&gt;=Z$2, $K188/time_cap/(time+1)*Y$2, 0) = 0, $K188/(time_cap),0)),0)</f>
        <v/>
      </c>
      <c r="Z188" s="4395">
        <f>IFERROR(IF((time+time_cap)&lt;Z$2, 0,IF(AND(time+1&gt;=AA$2, $E188&lt;AA$2), IF($I188= "I", $J188/($F188-$E188+1), $J188/(($F188*($F188+1)/2)-(($E188-1)*($E188-1+1)/2))*Z$2), 0)+IF(IF(time+1&gt;=AA$2, $K188/time_cap/(time+1)*Z$2, 0) = 0, $K188/(time_cap),0)),0)</f>
        <v/>
      </c>
      <c r="AA188" s="4395">
        <f>IFERROR(IF((time+time_cap)&lt;AA$2, 0,IF(AND(time+1&gt;=AB$2, $E188&lt;AB$2), IF($I188= "I", $J188/($F188-$E188+1), $J188/(($F188*($F188+1)/2)-(($E188-1)*($E188-1+1)/2))*AA$2), 0)+IF(IF(time+1&gt;=AB$2, $K188/time_cap/(time+1)*AA$2, 0) = 0, $K188/(time_cap),0)),0)</f>
        <v/>
      </c>
      <c r="AB188" s="4395">
        <f>IFERROR(IF((time+time_cap)&lt;AB$2, 0,IF(AND(time+1&gt;=AC$2, $E188&lt;AC$2), IF($I188= "I", $J188/($F188-$E188+1), $J188/(($F188*($F188+1)/2)-(($E188-1)*($E188-1+1)/2))*AB$2), 0)+IF(IF(time+1&gt;=AC$2, $K188/time_cap/(time+1)*AB$2, 0) = 0, $K188/(time_cap),0)),0)</f>
        <v/>
      </c>
      <c r="AC188" s="4395">
        <f>IFERROR(IF((time+time_cap)&lt;AC$2, 0,IF(AND(time+1&gt;=AD$2, $E188&lt;AD$2), IF($I188= "I", $J188/($F188-$E188+1), $J188/(($F188*($F188+1)/2)-(($E188-1)*($E188-1+1)/2))*AC$2), 0)+IF(IF(time+1&gt;=AD$2, $K188/time_cap/(time+1)*AC$2, 0) = 0, $K188/(time_cap),0)),0)</f>
        <v/>
      </c>
      <c r="AD188" s="4395">
        <f>IFERROR(IF((time+time_cap)&lt;AD$2, 0,IF(AND(time+1&gt;=AE$2, $E188&lt;AE$2), IF($I188= "I", $J188/($F188-$E188+1), $J188/(($F188*($F188+1)/2)-(($E188-1)*($E188-1+1)/2))*AD$2), 0)+IF(IF(time+1&gt;=AE$2, $K188/time_cap/(time+1)*AD$2, 0) = 0, $K188/(time_cap),0)),0)</f>
        <v/>
      </c>
      <c r="AE188" s="4395">
        <f>IFERROR(IF((time+time_cap)&lt;AE$2, 0,IF(AND(time+1&gt;=AF$2, $E188&lt;AF$2), IF($I188= "I", $J188/($F188-$E188+1), $J188/(($F188*($F188+1)/2)-(($E188-1)*($E188-1+1)/2))*AE$2), 0)+IF(IF(time+1&gt;=AF$2, $K188/time_cap/(time+1)*AE$2, 0) = 0, $K188/(time_cap),0)),0)</f>
        <v/>
      </c>
      <c r="AF188" s="4395">
        <f>IFERROR(IF((time+time_cap)&lt;AF$2, 0,IF(AND(time+1&gt;=AG$2, $E188&lt;AG$2), IF($I188= "I", $J188/($F188-$E188+1), $J188/(($F188*($F188+1)/2)-(($E188-1)*($E188-1+1)/2))*AF$2), 0)+IF(IF(time+1&gt;=AG$2, $K188/time_cap/(time+1)*AF$2, 0) = 0, $K188/(time_cap),0)),0)</f>
        <v/>
      </c>
      <c r="AG188" s="4395">
        <f>IFERROR(IF((time+time_cap)&lt;AG$2, 0,IF(AND(time+1&gt;=AH$2, $E188&lt;AH$2), IF($I188= "I", $J188/($F188-$E188+1), $J188/(($F188*($F188+1)/2)-(($E188-1)*($E188-1+1)/2))*AG$2), 0)+IF(IF(time+1&gt;=AH$2, $K188/time_cap/(time+1)*AG$2, 0) = 0, $K188/(time_cap),0)),0)</f>
        <v/>
      </c>
      <c r="AH188" s="4395">
        <f>IFERROR(IF((time+time_cap)&lt;AH$2, 0,IF(AND(time+1&gt;=AI$2, $E188&lt;AI$2), IF($I188= "I", $J188/($F188-$E188+1), $J188/(($F188*($F188+1)/2)-(($E188-1)*($E188-1+1)/2))*AH$2), 0)+IF(IF(time+1&gt;=AI$2, $K188/time_cap/(time+1)*AH$2, 0) = 0, $K188/(time_cap),0)),0)</f>
        <v/>
      </c>
      <c r="AI188" s="4395">
        <f>IFERROR(IF((time+time_cap)&lt;AI$2, 0,IF(AND(time+1&gt;=AJ$2, $E188&lt;AJ$2), IF($I188= "I", $J188/($F188-$E188+1), $J188/(($F188*($F188+1)/2)-(($E188-1)*($E188-1+1)/2))*AI$2), 0)+IF(IF(time+1&gt;=AJ$2, $K188/time_cap/(time+1)*AI$2, 0) = 0, $K188/(time_cap),0)),0)</f>
        <v/>
      </c>
      <c r="AJ188" s="4395">
        <f>IFERROR(IF((time+time_cap)&lt;AJ$2, 0,IF(AND(time+1&gt;=AK$2, $E188&lt;AK$2), IF($I188= "I", $J188/($F188-$E188+1), $J188/(($F188*($F188+1)/2)-(($E188-1)*($E188-1+1)/2))*AJ$2), 0)+IF(IF(time+1&gt;=AK$2, $K188/time_cap/(time+1)*AJ$2, 0) = 0, $K188/(time_cap),0)),0)</f>
        <v/>
      </c>
      <c r="AK188" s="4395">
        <f>IFERROR(IF((time+time_cap)&lt;AK$2, 0,IF(AND(time+1&gt;=AL$2, $E188&lt;AL$2), IF($I188= "I", $J188/($F188-$E188+1), $J188/(($F188*($F188+1)/2)-(($E188-1)*($E188-1+1)/2))*AK$2), 0)+IF(IF(time+1&gt;=AL$2, $K188/time_cap/(time+1)*AK$2, 0) = 0, $K188/(time_cap),0)),0)</f>
        <v/>
      </c>
      <c r="AL188" s="4395">
        <f>IFERROR(IF((time+time_cap)&lt;AL$2, 0,IF(AND(time+1&gt;=AM$2, $E188&lt;AM$2), IF($I188= "I", $J188/($F188-$E188+1), $J188/(($F188*($F188+1)/2)-(($E188-1)*($E188-1+1)/2))*AL$2), 0)+IF(IF(time+1&gt;=AM$2, $K188/time_cap/(time+1)*AL$2, 0) = 0, $K188/(time_cap),0)),0)</f>
        <v/>
      </c>
      <c r="AM188" s="4395">
        <f>IFERROR(IF((time+time_cap)&lt;AM$2, 0,IF(AND(time+1&gt;=AN$2, $E188&lt;AN$2), IF($I188= "I", $J188/($F188-$E188+1), $J188/(($F188*($F188+1)/2)-(($E188-1)*($E188-1+1)/2))*AM$2), 0)+IF(IF(time+1&gt;=AN$2, $K188/time_cap/(time+1)*AM$2, 0) = 0, $K188/(time_cap),0)),0)</f>
        <v/>
      </c>
      <c r="AN188" s="4395">
        <f>IFERROR(IF((time+time_cap)&lt;AN$2, 0,IF(AND(time+1&gt;=AO$2, $E188&lt;AO$2), IF($I188= "I", $J188/($F188-$E188+1), $J188/(($F188*($F188+1)/2)-(($E188-1)*($E188-1+1)/2))*AN$2), 0)+IF(IF(time+1&gt;=AO$2, $K188/time_cap/(time+1)*AN$2, 0) = 0, $K188/(time_cap),0)),0)</f>
        <v/>
      </c>
      <c r="AO188" s="4395">
        <f>IFERROR(IF((time+time_cap)&lt;AO$2, 0,IF(AND(time+1&gt;=AP$2, $E188&lt;AP$2), IF($I188= "I", $J188/($F188-$E188+1), $J188/(($F188*($F188+1)/2)-(($E188-1)*($E188-1+1)/2))*AO$2), 0)+IF(IF(time+1&gt;=AP$2, $K188/time_cap/(time+1)*AO$2, 0) = 0, $K188/(time_cap),0)),0)</f>
        <v/>
      </c>
      <c r="AP188" s="4395">
        <f>IFERROR(IF((time+time_cap)&lt;AP$2, 0,IF(AND(time+1&gt;=AQ$2, $E188&lt;AQ$2), IF($I188= "I", $J188/($F188-$E188+1), $J188/(($F188*($F188+1)/2)-(($E188-1)*($E188-1+1)/2))*AP$2), 0)+IF(IF(time+1&gt;=AQ$2, $K188/time_cap/(time+1)*AP$2, 0) = 0, $K188/(time_cap),0)),0)</f>
        <v/>
      </c>
      <c r="AQ188" s="4395">
        <f>IFERROR(IF((time+time_cap)&lt;AQ$2, 0,IF(AND(time+1&gt;=AR$2, $E188&lt;AR$2), IF($I188= "I", $J188/($F188-$E188+1), $J188/(($F188*($F188+1)/2)-(($E188-1)*($E188-1+1)/2))*AQ$2), 0)+IF(IF(time+1&gt;=AR$2, $K188/time_cap/(time+1)*AQ$2, 0) = 0, $K188/(time_cap),0)),0)</f>
        <v/>
      </c>
      <c r="AR188" s="4395">
        <f>IFERROR(IF((time+time_cap)&lt;AR$2, 0,IF(AND(time+1&gt;=AS$2, $E188&lt;AS$2), IF($I188= "I", $J188/($F188-$E188+1), $J188/(($F188*($F188+1)/2)-(($E188-1)*($E188-1+1)/2))*AR$2), 0)+IF(IF(time+1&gt;=AS$2, $K188/time_cap/(time+1)*AR$2, 0) = 0, $K188/(time_cap),0)),0)</f>
        <v/>
      </c>
      <c r="AS188" s="4395">
        <f>IFERROR(IF((time+time_cap)&lt;AS$2, 0,IF(AND(time+1&gt;=AT$2, $E188&lt;AT$2), IF($I188= "I", $J188/($F188-$E188+1), $J188/(($F188*($F188+1)/2)-(($E188-1)*($E188-1+1)/2))*AS$2), 0)+IF(IF(time+1&gt;=AT$2, $K188/time_cap/(time+1)*AS$2, 0) = 0, $K188/(time_cap),0)),0)</f>
        <v/>
      </c>
      <c r="AT188" s="4395">
        <f>IFERROR(IF((time+time_cap)&lt;AT$2, 0,IF(AND(time+1&gt;=AU$2, $E188&lt;AU$2), IF($I188= "I", $J188/($F188-$E188+1), $J188/(($F188*($F188+1)/2)-(($E188-1)*($E188-1+1)/2))*AT$2), 0)+IF(IF(time+1&gt;=AU$2, $K188/time_cap/(time+1)*AT$2, 0) = 0, $K188/(time_cap),0)),0)</f>
        <v/>
      </c>
      <c r="AU188" s="4395">
        <f>IFERROR(IF((time+time_cap)&lt;AU$2, 0,IF(AND(time+1&gt;=AV$2, $E188&lt;AV$2), IF($I188= "I", $J188/($F188-$E188+1), $J188/(($F188*($F188+1)/2)-(($E188-1)*($E188-1+1)/2))*AU$2), 0)+IF(IF(time+1&gt;=AV$2, $K188/time_cap/(time+1)*AU$2, 0) = 0, $K188/(time_cap),0)),0)</f>
        <v/>
      </c>
      <c r="AV188" s="4395">
        <f>IFERROR(IF((time+time_cap)&lt;AV$2, 0,IF(AND(time+1&gt;=AW$2, $E188&lt;AW$2), IF($I188= "I", $J188/($F188-$E188+1), $J188/(($F188*($F188+1)/2)-(($E188-1)*($E188-1+1)/2))*AV$2), 0)+IF(IF(time+1&gt;=AW$2, $K188/time_cap/(time+1)*AV$2, 0) = 0, $K188/(time_cap),0)),0)</f>
        <v/>
      </c>
      <c r="AW188" s="4395">
        <f>IFERROR(IF((time+time_cap)&lt;AW$2, 0,IF(AND(time+1&gt;=AX$2, $E188&lt;AX$2), IF($I188= "I", $J188/($F188-$E188+1), $J188/(($F188*($F188+1)/2)-(($E188-1)*($E188-1+1)/2))*AW$2), 0)+IF(IF(time+1&gt;=AX$2, $K188/time_cap/(time+1)*AW$2, 0) = 0, $K188/(time_cap),0)),0)</f>
        <v/>
      </c>
      <c r="AX188" s="4395">
        <f>IFERROR(IF((time+time_cap)&lt;AX$2, 0,IF(AND(time+1&gt;=AY$2, $E188&lt;AY$2), IF($I188= "I", $J188/($F188-$E188+1), $J188/(($F188*($F188+1)/2)-(($E188-1)*($E188-1+1)/2))*AX$2), 0)+IF(IF(time+1&gt;=AY$2, $K188/time_cap/(time+1)*AX$2, 0) = 0, $K188/(time_cap),0)),0)</f>
        <v/>
      </c>
      <c r="AY188" s="4395">
        <f>IFERROR(IF((time+time_cap)&lt;AY$2, 0,IF(AND(time+1&gt;=AZ$2, $E188&lt;AZ$2), IF($I188= "I", $J188/($F188-$E188+1), $J188/(($F188*($F188+1)/2)-(($E188-1)*($E188-1+1)/2))*AY$2), 0)+IF(IF(time+1&gt;=AZ$2, $K188/time_cap/(time+1)*AY$2, 0) = 0, $K188/(time_cap),0)),0)</f>
        <v/>
      </c>
      <c r="AZ188" s="4395">
        <f>IFERROR(IF((time+time_cap)&lt;AZ$2, 0,IF(AND(time+1&gt;=BA$2, $E188&lt;BA$2), IF($I188= "I", $J188/($F188-$E188+1), $J188/(($F188*($F188+1)/2)-(($E188-1)*($E188-1+1)/2))*AZ$2), 0)+IF(IF(time+1&gt;=BA$2, $K188/time_cap/(time+1)*AZ$2, 0) = 0, $K188/(time_cap),0)),0)</f>
        <v/>
      </c>
      <c r="BA188" s="4395">
        <f>IFERROR(IF((time+time_cap)&lt;BA$2, 0,IF(AND(time+1&gt;=BB$2, $E188&lt;BB$2), IF($I188= "I", $J188/($F188-$E188+1), $J188/(($F188*($F188+1)/2)-(($E188-1)*($E188-1+1)/2))*BA$2), 0)+IF(IF(time+1&gt;=BB$2, $K188/time_cap/(time+1)*BA$2, 0) = 0, $K188/(time_cap),0)),0)</f>
        <v/>
      </c>
      <c r="BB188" s="4395">
        <f>IFERROR(IF((time+time_cap)&lt;BB$2, 0,IF(AND(time+1&gt;=BC$2, $E188&lt;BC$2), IF($I188= "I", $J188/($F188-$E188+1), $J188/(($F188*($F188+1)/2)-(($E188-1)*($E188-1+1)/2))*BB$2), 0)+IF(IF(time+1&gt;=BC$2, $K188/time_cap/(time+1)*BB$2, 0) = 0, $K188/(time_cap),0)),0)</f>
        <v/>
      </c>
      <c r="BC188" s="4395">
        <f>IFERROR(IF((time+time_cap)&lt;BC$2, 0,IF(AND(time+1&gt;=BD$2, $E188&lt;BD$2), IF($I188= "I", $J188/($F188-$E188+1), $J188/(($F188*($F188+1)/2)-(($E188-1)*($E188-1+1)/2))*BC$2), 0)+IF(IF(time+1&gt;=BD$2, $K188/time_cap/(time+1)*BC$2, 0) = 0, $K188/(time_cap),0)),0)</f>
        <v/>
      </c>
      <c r="BD188" s="4395">
        <f>IFERROR(IF((time+time_cap)&lt;BD$2, 0,IF(AND(time+1&gt;=BE$2, $E188&lt;BE$2), IF($I188= "I", $J188/($F188-$E188+1), $J188/(($F188*($F188+1)/2)-(($E188-1)*($E188-1+1)/2))*BD$2), 0)+IF(IF(time+1&gt;=BE$2, $K188/time_cap/(time+1)*BD$2, 0) = 0, $K188/(time_cap),0)),0)</f>
        <v/>
      </c>
      <c r="BE188" s="4395">
        <f>IFERROR(IF((time+time_cap)&lt;BE$2, 0,IF(AND(time+1&gt;=BF$2, $E188&lt;BF$2), IF($I188= "I", $J188/($F188-$E188+1), $J188/(($F188*($F188+1)/2)-(($E188-1)*($E188-1+1)/2))*BE$2), 0)+IF(IF(time+1&gt;=BF$2, $K188/time_cap/(time+1)*BE$2, 0) = 0, $K188/(time_cap),0)),0)</f>
        <v/>
      </c>
      <c r="BF188" s="4395">
        <f>IFERROR(IF((time+time_cap)&lt;BF$2, 0,IF(AND(time+1&gt;=BG$2, $E188&lt;BG$2), IF($I188= "I", $J188/($F188-$E188+1), $J188/(($F188*($F188+1)/2)-(($E188-1)*($E188-1+1)/2))*BF$2), 0)+IF(IF(time+1&gt;=BG$2, $K188/time_cap/(time+1)*BF$2, 0) = 0, $K188/(time_cap),0)),0)</f>
        <v/>
      </c>
      <c r="BG188" s="4395">
        <f>IFERROR(IF((time+time_cap)&lt;BG$2, 0,IF(AND(time+1&gt;=BH$2, $E188&lt;BH$2), IF($I188= "I", $J188/($F188-$E188+1), $J188/(($F188*($F188+1)/2)-(($E188-1)*($E188-1+1)/2))*BG$2), 0)+IF(IF(time+1&gt;=BH$2, $K188/time_cap/(time+1)*BG$2, 0) = 0, $K188/(time_cap),0)),0)</f>
        <v/>
      </c>
      <c r="BH188" s="4395">
        <f>IFERROR(IF((time+time_cap)&lt;BH$2, 0,IF(AND(time+1&gt;=BI$2, $E188&lt;BI$2), IF($I188= "I", $J188/($F188-$E188+1), $J188/(($F188*($F188+1)/2)-(($E188-1)*($E188-1+1)/2))*BH$2), 0)+IF(IF(time+1&gt;=BI$2, $K188/time_cap/(time+1)*BH$2, 0) = 0, $K188/(time_cap),0)),0)</f>
        <v/>
      </c>
      <c r="BI188" s="4395">
        <f>IFERROR(IF((time+time_cap)&lt;BI$2, 0,IF(AND(time+1&gt;=BJ$2, $E188&lt;BJ$2), IF($I188= "I", $J188/($F188-$E188+1), $J188/(($F188*($F188+1)/2)-(($E188-1)*($E188-1+1)/2))*BI$2), 0)+IF(IF(time+1&gt;=BJ$2, $K188/time_cap/(time+1)*BI$2, 0) = 0, $K188/(time_cap),0)),0)</f>
        <v/>
      </c>
      <c r="BJ188" s="4395">
        <f>IFERROR(IF((time+time_cap)&lt;BJ$2, 0,IF(AND(time+1&gt;=BK$2, $E188&lt;BK$2), IF($I188= "I", $J188/($F188-$E188+1), $J188/(($F188*($F188+1)/2)-(($E188-1)*($E188-1+1)/2))*BJ$2), 0)+IF(IF(time+1&gt;=BK$2, $K188/time_cap/(time+1)*BJ$2, 0) = 0, $K188/(time_cap),0)),0)</f>
        <v/>
      </c>
      <c r="BK188" s="4395" t="n"/>
      <c r="BL188" s="4395" t="n"/>
      <c r="BM188" s="4395" t="n"/>
      <c r="BN188" s="4395" t="n"/>
      <c r="BO188" s="4395" t="n"/>
      <c r="BP188" s="4395" t="n"/>
      <c r="BQ188" s="4395" t="n"/>
      <c r="BR188" s="4395" t="n"/>
      <c r="BS188" s="4395" t="n"/>
      <c r="BT188" s="4395" t="n"/>
      <c r="BU188" s="4395" t="n"/>
      <c r="BV188" s="4395" t="n"/>
      <c r="BW188" s="4395" t="n"/>
      <c r="BX188" s="4395" t="n"/>
      <c r="BY188" s="4395" t="n"/>
      <c r="BZ188" s="4395" t="n"/>
      <c r="CA188" s="4395" t="n"/>
      <c r="CB188" s="4395" t="n"/>
      <c r="CC188" s="4395" t="n"/>
      <c r="CD188" s="4395" t="n"/>
      <c r="CE188" s="4395" t="n"/>
      <c r="CF188" s="4395" t="n"/>
      <c r="CG188" s="4395" t="n"/>
      <c r="CH188" s="4395" t="n"/>
      <c r="CI188" s="4395" t="n"/>
      <c r="CJ188" s="4395" t="n"/>
      <c r="CK188" s="4395" t="n"/>
      <c r="CL188" s="4395" t="n"/>
      <c r="CM188" s="4395" t="n"/>
      <c r="CN188" s="4395" t="n"/>
      <c r="CO188" s="4395" t="n"/>
      <c r="CP188" s="4395" t="n"/>
      <c r="CQ188" s="4395" t="n"/>
      <c r="CR188" s="4395" t="n"/>
      <c r="CS188" s="4395" t="n"/>
      <c r="CT188" s="4395" t="n"/>
      <c r="CU188" s="4395" t="n"/>
      <c r="CV188" s="4395" t="n"/>
      <c r="CW188" s="4395" t="n"/>
      <c r="CX188" s="4395" t="n"/>
      <c r="CY188" s="4395" t="n"/>
      <c r="CZ188" s="4395" t="n"/>
      <c r="DA188" s="4395" t="n"/>
      <c r="DB188" s="4395" t="n"/>
      <c r="DC188" s="4395" t="n"/>
      <c r="DD188" s="4395" t="n"/>
      <c r="DE188" s="4395" t="n"/>
      <c r="DF188" s="4395" t="n"/>
      <c r="DG188" s="4395" t="n"/>
      <c r="DH188" s="4395" t="n"/>
    </row>
    <row r="189" ht="16" customHeight="1">
      <c r="A189" t="inlineStr">
        <is>
          <t>Small scale fisheries</t>
        </is>
      </c>
      <c r="C189">
        <f>'8. Fisheries and aquaculture'!C18</f>
        <v/>
      </c>
      <c r="D189">
        <f>IFERROR('8. Fisheries and aquaculture'!AI18+(('8. Fisheries and aquaculture'!$AI$22+'8. Fisheries and aquaculture'!$AI$26)/SUM('8. Fisheries and aquaculture'!$AI$13:$AI$18)*'8. Fisheries and aquaculture'!AI18), 0)</f>
        <v/>
      </c>
      <c r="E189">
        <f>IF('8. Fisheries and aquaculture'!CN18&lt;&gt;0,'8. Fisheries and aquaculture'!CN18,'8. Fisheries and aquaculture'!CM18)</f>
        <v/>
      </c>
      <c r="F189">
        <f>time</f>
        <v/>
      </c>
      <c r="G189" s="4395">
        <f>'8. Fisheries and aquaculture'!AA18</f>
        <v/>
      </c>
      <c r="H189" s="4395">
        <f>'8. Fisheries and aquaculture'!AC18</f>
        <v/>
      </c>
      <c r="I189" s="4395">
        <f>IF(OR(H189="I", G189="I"), "I", IF(OR(H189="E", G189="E"), "E", "D"))</f>
        <v/>
      </c>
      <c r="J189" s="4395">
        <f>((D189/(time_cap+((F189-E189+1)*VLOOKUP(I189,list!$I$48:$K$50,3, FALSE))))*(F189-E189+1)*VLOOKUP(I189,list!$I$48:$K$50,3, FALSE))</f>
        <v/>
      </c>
      <c r="K189" s="4395">
        <f>((D189/(time_cap+((F189-E189+1)*VLOOKUP(I189,list!$I$48:$K$50,3, FALSE))))*time_cap)</f>
        <v/>
      </c>
      <c r="M189" s="4395">
        <f>IFERROR(IF((time+time_cap)&lt;M$2, 0,IF(AND(time+1&gt;=N$2, $E189&lt;N$2), IF($I189= "I", $J189/($F189-$E189+1), $J189/(($F189*($F189+1)/2)-(($E189-1)*($E189-1+1)/2))*M$2), 0)+IF(IF(time+1&gt;=N$2, $K189/time_cap/(time+1)*M$2, 0) = 0, $K189/(time_cap),0)),0)</f>
        <v/>
      </c>
      <c r="N189" s="4395">
        <f>IFERROR(IF((time+time_cap)&lt;N$2, 0,IF(AND(time+1&gt;=O$2, $E189&lt;O$2), IF($I189= "I", $J189/($F189-$E189+1), $J189/(($F189*($F189+1)/2)-(($E189-1)*($E189-1+1)/2))*N$2), 0)+IF(IF(time+1&gt;=O$2, $K189/time_cap/(time+1)*N$2, 0) = 0, $K189/(time_cap),0)),0)</f>
        <v/>
      </c>
      <c r="O189" s="4395">
        <f>IFERROR(IF((time+time_cap)&lt;O$2, 0,IF(AND(time+1&gt;=P$2, $E189&lt;P$2), IF($I189= "I", $J189/($F189-$E189+1), $J189/(($F189*($F189+1)/2)-(($E189-1)*($E189-1+1)/2))*O$2), 0)+IF(IF(time+1&gt;=P$2, $K189/time_cap/(time+1)*O$2, 0) = 0, $K189/(time_cap),0)),0)</f>
        <v/>
      </c>
      <c r="P189" s="4395">
        <f>IFERROR(IF((time+time_cap)&lt;P$2, 0,IF(AND(time+1&gt;=Q$2, $E189&lt;Q$2), IF($I189= "I", $J189/($F189-$E189+1), $J189/(($F189*($F189+1)/2)-(($E189-1)*($E189-1+1)/2))*P$2), 0)+IF(IF(time+1&gt;=Q$2, $K189/time_cap/(time+1)*P$2, 0) = 0, $K189/(time_cap),0)),0)</f>
        <v/>
      </c>
      <c r="Q189" s="4395">
        <f>IFERROR(IF((time+time_cap)&lt;Q$2, 0,IF(AND(time+1&gt;=R$2, $E189&lt;R$2), IF($I189= "I", $J189/($F189-$E189+1), $J189/(($F189*($F189+1)/2)-(($E189-1)*($E189-1+1)/2))*Q$2), 0)+IF(IF(time+1&gt;=R$2, $K189/time_cap/(time+1)*Q$2, 0) = 0, $K189/(time_cap),0)),0)</f>
        <v/>
      </c>
      <c r="R189" s="4395">
        <f>IFERROR(IF((time+time_cap)&lt;R$2, 0,IF(AND(time+1&gt;=S$2, $E189&lt;S$2), IF($I189= "I", $J189/($F189-$E189+1), $J189/(($F189*($F189+1)/2)-(($E189-1)*($E189-1+1)/2))*R$2), 0)+IF(IF(time+1&gt;=S$2, $K189/time_cap/(time+1)*R$2, 0) = 0, $K189/(time_cap),0)),0)</f>
        <v/>
      </c>
      <c r="S189" s="4395">
        <f>IFERROR(IF((time+time_cap)&lt;S$2, 0,IF(AND(time+1&gt;=T$2, $E189&lt;T$2), IF($I189= "I", $J189/($F189-$E189+1), $J189/(($F189*($F189+1)/2)-(($E189-1)*($E189-1+1)/2))*S$2), 0)+IF(IF(time+1&gt;=T$2, $K189/time_cap/(time+1)*S$2, 0) = 0, $K189/(time_cap),0)),0)</f>
        <v/>
      </c>
      <c r="T189" s="4395">
        <f>IFERROR(IF((time+time_cap)&lt;T$2, 0,IF(AND(time+1&gt;=U$2, $E189&lt;U$2), IF($I189= "I", $J189/($F189-$E189+1), $J189/(($F189*($F189+1)/2)-(($E189-1)*($E189-1+1)/2))*T$2), 0)+IF(IF(time+1&gt;=U$2, $K189/time_cap/(time+1)*T$2, 0) = 0, $K189/(time_cap),0)),0)</f>
        <v/>
      </c>
      <c r="U189" s="4395">
        <f>IFERROR(IF((time+time_cap)&lt;U$2, 0,IF(AND(time+1&gt;=V$2, $E189&lt;V$2), IF($I189= "I", $J189/($F189-$E189+1), $J189/(($F189*($F189+1)/2)-(($E189-1)*($E189-1+1)/2))*U$2), 0)+IF(IF(time+1&gt;=V$2, $K189/time_cap/(time+1)*U$2, 0) = 0, $K189/(time_cap),0)),0)</f>
        <v/>
      </c>
      <c r="V189" s="4395">
        <f>IFERROR(IF((time+time_cap)&lt;V$2, 0,IF(AND(time+1&gt;=W$2, $E189&lt;W$2), IF($I189= "I", $J189/($F189-$E189+1), $J189/(($F189*($F189+1)/2)-(($E189-1)*($E189-1+1)/2))*V$2), 0)+IF(IF(time+1&gt;=W$2, $K189/time_cap/(time+1)*V$2, 0) = 0, $K189/(time_cap),0)),0)</f>
        <v/>
      </c>
      <c r="W189" s="4395">
        <f>IFERROR(IF((time+time_cap)&lt;W$2, 0,IF(AND(time+1&gt;=X$2, $E189&lt;X$2), IF($I189= "I", $J189/($F189-$E189+1), $J189/(($F189*($F189+1)/2)-(($E189-1)*($E189-1+1)/2))*W$2), 0)+IF(IF(time+1&gt;=X$2, $K189/time_cap/(time+1)*W$2, 0) = 0, $K189/(time_cap),0)),0)</f>
        <v/>
      </c>
      <c r="X189" s="4395">
        <f>IFERROR(IF((time+time_cap)&lt;X$2, 0,IF(AND(time+1&gt;=Y$2, $E189&lt;Y$2), IF($I189= "I", $J189/($F189-$E189+1), $J189/(($F189*($F189+1)/2)-(($E189-1)*($E189-1+1)/2))*X$2), 0)+IF(IF(time+1&gt;=Y$2, $K189/time_cap/(time+1)*X$2, 0) = 0, $K189/(time_cap),0)),0)</f>
        <v/>
      </c>
      <c r="Y189" s="4395">
        <f>IFERROR(IF((time+time_cap)&lt;Y$2, 0,IF(AND(time+1&gt;=Z$2, $E189&lt;Z$2), IF($I189= "I", $J189/($F189-$E189+1), $J189/(($F189*($F189+1)/2)-(($E189-1)*($E189-1+1)/2))*Y$2), 0)+IF(IF(time+1&gt;=Z$2, $K189/time_cap/(time+1)*Y$2, 0) = 0, $K189/(time_cap),0)),0)</f>
        <v/>
      </c>
      <c r="Z189" s="4395">
        <f>IFERROR(IF((time+time_cap)&lt;Z$2, 0,IF(AND(time+1&gt;=AA$2, $E189&lt;AA$2), IF($I189= "I", $J189/($F189-$E189+1), $J189/(($F189*($F189+1)/2)-(($E189-1)*($E189-1+1)/2))*Z$2), 0)+IF(IF(time+1&gt;=AA$2, $K189/time_cap/(time+1)*Z$2, 0) = 0, $K189/(time_cap),0)),0)</f>
        <v/>
      </c>
      <c r="AA189" s="4395">
        <f>IFERROR(IF((time+time_cap)&lt;AA$2, 0,IF(AND(time+1&gt;=AB$2, $E189&lt;AB$2), IF($I189= "I", $J189/($F189-$E189+1), $J189/(($F189*($F189+1)/2)-(($E189-1)*($E189-1+1)/2))*AA$2), 0)+IF(IF(time+1&gt;=AB$2, $K189/time_cap/(time+1)*AA$2, 0) = 0, $K189/(time_cap),0)),0)</f>
        <v/>
      </c>
      <c r="AB189" s="4395">
        <f>IFERROR(IF((time+time_cap)&lt;AB$2, 0,IF(AND(time+1&gt;=AC$2, $E189&lt;AC$2), IF($I189= "I", $J189/($F189-$E189+1), $J189/(($F189*($F189+1)/2)-(($E189-1)*($E189-1+1)/2))*AB$2), 0)+IF(IF(time+1&gt;=AC$2, $K189/time_cap/(time+1)*AB$2, 0) = 0, $K189/(time_cap),0)),0)</f>
        <v/>
      </c>
      <c r="AC189" s="4395">
        <f>IFERROR(IF((time+time_cap)&lt;AC$2, 0,IF(AND(time+1&gt;=AD$2, $E189&lt;AD$2), IF($I189= "I", $J189/($F189-$E189+1), $J189/(($F189*($F189+1)/2)-(($E189-1)*($E189-1+1)/2))*AC$2), 0)+IF(IF(time+1&gt;=AD$2, $K189/time_cap/(time+1)*AC$2, 0) = 0, $K189/(time_cap),0)),0)</f>
        <v/>
      </c>
      <c r="AD189" s="4395">
        <f>IFERROR(IF((time+time_cap)&lt;AD$2, 0,IF(AND(time+1&gt;=AE$2, $E189&lt;AE$2), IF($I189= "I", $J189/($F189-$E189+1), $J189/(($F189*($F189+1)/2)-(($E189-1)*($E189-1+1)/2))*AD$2), 0)+IF(IF(time+1&gt;=AE$2, $K189/time_cap/(time+1)*AD$2, 0) = 0, $K189/(time_cap),0)),0)</f>
        <v/>
      </c>
      <c r="AE189" s="4395">
        <f>IFERROR(IF((time+time_cap)&lt;AE$2, 0,IF(AND(time+1&gt;=AF$2, $E189&lt;AF$2), IF($I189= "I", $J189/($F189-$E189+1), $J189/(($F189*($F189+1)/2)-(($E189-1)*($E189-1+1)/2))*AE$2), 0)+IF(IF(time+1&gt;=AF$2, $K189/time_cap/(time+1)*AE$2, 0) = 0, $K189/(time_cap),0)),0)</f>
        <v/>
      </c>
      <c r="AF189" s="4395">
        <f>IFERROR(IF((time+time_cap)&lt;AF$2, 0,IF(AND(time+1&gt;=AG$2, $E189&lt;AG$2), IF($I189= "I", $J189/($F189-$E189+1), $J189/(($F189*($F189+1)/2)-(($E189-1)*($E189-1+1)/2))*AF$2), 0)+IF(IF(time+1&gt;=AG$2, $K189/time_cap/(time+1)*AF$2, 0) = 0, $K189/(time_cap),0)),0)</f>
        <v/>
      </c>
      <c r="AG189" s="4395">
        <f>IFERROR(IF((time+time_cap)&lt;AG$2, 0,IF(AND(time+1&gt;=AH$2, $E189&lt;AH$2), IF($I189= "I", $J189/($F189-$E189+1), $J189/(($F189*($F189+1)/2)-(($E189-1)*($E189-1+1)/2))*AG$2), 0)+IF(IF(time+1&gt;=AH$2, $K189/time_cap/(time+1)*AG$2, 0) = 0, $K189/(time_cap),0)),0)</f>
        <v/>
      </c>
      <c r="AH189" s="4395">
        <f>IFERROR(IF((time+time_cap)&lt;AH$2, 0,IF(AND(time+1&gt;=AI$2, $E189&lt;AI$2), IF($I189= "I", $J189/($F189-$E189+1), $J189/(($F189*($F189+1)/2)-(($E189-1)*($E189-1+1)/2))*AH$2), 0)+IF(IF(time+1&gt;=AI$2, $K189/time_cap/(time+1)*AH$2, 0) = 0, $K189/(time_cap),0)),0)</f>
        <v/>
      </c>
      <c r="AI189" s="4395">
        <f>IFERROR(IF((time+time_cap)&lt;AI$2, 0,IF(AND(time+1&gt;=AJ$2, $E189&lt;AJ$2), IF($I189= "I", $J189/($F189-$E189+1), $J189/(($F189*($F189+1)/2)-(($E189-1)*($E189-1+1)/2))*AI$2), 0)+IF(IF(time+1&gt;=AJ$2, $K189/time_cap/(time+1)*AI$2, 0) = 0, $K189/(time_cap),0)),0)</f>
        <v/>
      </c>
      <c r="AJ189" s="4395">
        <f>IFERROR(IF((time+time_cap)&lt;AJ$2, 0,IF(AND(time+1&gt;=AK$2, $E189&lt;AK$2), IF($I189= "I", $J189/($F189-$E189+1), $J189/(($F189*($F189+1)/2)-(($E189-1)*($E189-1+1)/2))*AJ$2), 0)+IF(IF(time+1&gt;=AK$2, $K189/time_cap/(time+1)*AJ$2, 0) = 0, $K189/(time_cap),0)),0)</f>
        <v/>
      </c>
      <c r="AK189" s="4395">
        <f>IFERROR(IF((time+time_cap)&lt;AK$2, 0,IF(AND(time+1&gt;=AL$2, $E189&lt;AL$2), IF($I189= "I", $J189/($F189-$E189+1), $J189/(($F189*($F189+1)/2)-(($E189-1)*($E189-1+1)/2))*AK$2), 0)+IF(IF(time+1&gt;=AL$2, $K189/time_cap/(time+1)*AK$2, 0) = 0, $K189/(time_cap),0)),0)</f>
        <v/>
      </c>
      <c r="AL189" s="4395">
        <f>IFERROR(IF((time+time_cap)&lt;AL$2, 0,IF(AND(time+1&gt;=AM$2, $E189&lt;AM$2), IF($I189= "I", $J189/($F189-$E189+1), $J189/(($F189*($F189+1)/2)-(($E189-1)*($E189-1+1)/2))*AL$2), 0)+IF(IF(time+1&gt;=AM$2, $K189/time_cap/(time+1)*AL$2, 0) = 0, $K189/(time_cap),0)),0)</f>
        <v/>
      </c>
      <c r="AM189" s="4395">
        <f>IFERROR(IF((time+time_cap)&lt;AM$2, 0,IF(AND(time+1&gt;=AN$2, $E189&lt;AN$2), IF($I189= "I", $J189/($F189-$E189+1), $J189/(($F189*($F189+1)/2)-(($E189-1)*($E189-1+1)/2))*AM$2), 0)+IF(IF(time+1&gt;=AN$2, $K189/time_cap/(time+1)*AM$2, 0) = 0, $K189/(time_cap),0)),0)</f>
        <v/>
      </c>
      <c r="AN189" s="4395">
        <f>IFERROR(IF((time+time_cap)&lt;AN$2, 0,IF(AND(time+1&gt;=AO$2, $E189&lt;AO$2), IF($I189= "I", $J189/($F189-$E189+1), $J189/(($F189*($F189+1)/2)-(($E189-1)*($E189-1+1)/2))*AN$2), 0)+IF(IF(time+1&gt;=AO$2, $K189/time_cap/(time+1)*AN$2, 0) = 0, $K189/(time_cap),0)),0)</f>
        <v/>
      </c>
      <c r="AO189" s="4395">
        <f>IFERROR(IF((time+time_cap)&lt;AO$2, 0,IF(AND(time+1&gt;=AP$2, $E189&lt;AP$2), IF($I189= "I", $J189/($F189-$E189+1), $J189/(($F189*($F189+1)/2)-(($E189-1)*($E189-1+1)/2))*AO$2), 0)+IF(IF(time+1&gt;=AP$2, $K189/time_cap/(time+1)*AO$2, 0) = 0, $K189/(time_cap),0)),0)</f>
        <v/>
      </c>
      <c r="AP189" s="4395">
        <f>IFERROR(IF((time+time_cap)&lt;AP$2, 0,IF(AND(time+1&gt;=AQ$2, $E189&lt;AQ$2), IF($I189= "I", $J189/($F189-$E189+1), $J189/(($F189*($F189+1)/2)-(($E189-1)*($E189-1+1)/2))*AP$2), 0)+IF(IF(time+1&gt;=AQ$2, $K189/time_cap/(time+1)*AP$2, 0) = 0, $K189/(time_cap),0)),0)</f>
        <v/>
      </c>
      <c r="AQ189" s="4395">
        <f>IFERROR(IF((time+time_cap)&lt;AQ$2, 0,IF(AND(time+1&gt;=AR$2, $E189&lt;AR$2), IF($I189= "I", $J189/($F189-$E189+1), $J189/(($F189*($F189+1)/2)-(($E189-1)*($E189-1+1)/2))*AQ$2), 0)+IF(IF(time+1&gt;=AR$2, $K189/time_cap/(time+1)*AQ$2, 0) = 0, $K189/(time_cap),0)),0)</f>
        <v/>
      </c>
      <c r="AR189" s="4395">
        <f>IFERROR(IF((time+time_cap)&lt;AR$2, 0,IF(AND(time+1&gt;=AS$2, $E189&lt;AS$2), IF($I189= "I", $J189/($F189-$E189+1), $J189/(($F189*($F189+1)/2)-(($E189-1)*($E189-1+1)/2))*AR$2), 0)+IF(IF(time+1&gt;=AS$2, $K189/time_cap/(time+1)*AR$2, 0) = 0, $K189/(time_cap),0)),0)</f>
        <v/>
      </c>
      <c r="AS189" s="4395">
        <f>IFERROR(IF((time+time_cap)&lt;AS$2, 0,IF(AND(time+1&gt;=AT$2, $E189&lt;AT$2), IF($I189= "I", $J189/($F189-$E189+1), $J189/(($F189*($F189+1)/2)-(($E189-1)*($E189-1+1)/2))*AS$2), 0)+IF(IF(time+1&gt;=AT$2, $K189/time_cap/(time+1)*AS$2, 0) = 0, $K189/(time_cap),0)),0)</f>
        <v/>
      </c>
      <c r="AT189" s="4395">
        <f>IFERROR(IF((time+time_cap)&lt;AT$2, 0,IF(AND(time+1&gt;=AU$2, $E189&lt;AU$2), IF($I189= "I", $J189/($F189-$E189+1), $J189/(($F189*($F189+1)/2)-(($E189-1)*($E189-1+1)/2))*AT$2), 0)+IF(IF(time+1&gt;=AU$2, $K189/time_cap/(time+1)*AT$2, 0) = 0, $K189/(time_cap),0)),0)</f>
        <v/>
      </c>
      <c r="AU189" s="4395">
        <f>IFERROR(IF((time+time_cap)&lt;AU$2, 0,IF(AND(time+1&gt;=AV$2, $E189&lt;AV$2), IF($I189= "I", $J189/($F189-$E189+1), $J189/(($F189*($F189+1)/2)-(($E189-1)*($E189-1+1)/2))*AU$2), 0)+IF(IF(time+1&gt;=AV$2, $K189/time_cap/(time+1)*AU$2, 0) = 0, $K189/(time_cap),0)),0)</f>
        <v/>
      </c>
      <c r="AV189" s="4395">
        <f>IFERROR(IF((time+time_cap)&lt;AV$2, 0,IF(AND(time+1&gt;=AW$2, $E189&lt;AW$2), IF($I189= "I", $J189/($F189-$E189+1), $J189/(($F189*($F189+1)/2)-(($E189-1)*($E189-1+1)/2))*AV$2), 0)+IF(IF(time+1&gt;=AW$2, $K189/time_cap/(time+1)*AV$2, 0) = 0, $K189/(time_cap),0)),0)</f>
        <v/>
      </c>
      <c r="AW189" s="4395">
        <f>IFERROR(IF((time+time_cap)&lt;AW$2, 0,IF(AND(time+1&gt;=AX$2, $E189&lt;AX$2), IF($I189= "I", $J189/($F189-$E189+1), $J189/(($F189*($F189+1)/2)-(($E189-1)*($E189-1+1)/2))*AW$2), 0)+IF(IF(time+1&gt;=AX$2, $K189/time_cap/(time+1)*AW$2, 0) = 0, $K189/(time_cap),0)),0)</f>
        <v/>
      </c>
      <c r="AX189" s="4395">
        <f>IFERROR(IF((time+time_cap)&lt;AX$2, 0,IF(AND(time+1&gt;=AY$2, $E189&lt;AY$2), IF($I189= "I", $J189/($F189-$E189+1), $J189/(($F189*($F189+1)/2)-(($E189-1)*($E189-1+1)/2))*AX$2), 0)+IF(IF(time+1&gt;=AY$2, $K189/time_cap/(time+1)*AX$2, 0) = 0, $K189/(time_cap),0)),0)</f>
        <v/>
      </c>
      <c r="AY189" s="4395">
        <f>IFERROR(IF((time+time_cap)&lt;AY$2, 0,IF(AND(time+1&gt;=AZ$2, $E189&lt;AZ$2), IF($I189= "I", $J189/($F189-$E189+1), $J189/(($F189*($F189+1)/2)-(($E189-1)*($E189-1+1)/2))*AY$2), 0)+IF(IF(time+1&gt;=AZ$2, $K189/time_cap/(time+1)*AY$2, 0) = 0, $K189/(time_cap),0)),0)</f>
        <v/>
      </c>
      <c r="AZ189" s="4395">
        <f>IFERROR(IF((time+time_cap)&lt;AZ$2, 0,IF(AND(time+1&gt;=BA$2, $E189&lt;BA$2), IF($I189= "I", $J189/($F189-$E189+1), $J189/(($F189*($F189+1)/2)-(($E189-1)*($E189-1+1)/2))*AZ$2), 0)+IF(IF(time+1&gt;=BA$2, $K189/time_cap/(time+1)*AZ$2, 0) = 0, $K189/(time_cap),0)),0)</f>
        <v/>
      </c>
      <c r="BA189" s="4395">
        <f>IFERROR(IF((time+time_cap)&lt;BA$2, 0,IF(AND(time+1&gt;=BB$2, $E189&lt;BB$2), IF($I189= "I", $J189/($F189-$E189+1), $J189/(($F189*($F189+1)/2)-(($E189-1)*($E189-1+1)/2))*BA$2), 0)+IF(IF(time+1&gt;=BB$2, $K189/time_cap/(time+1)*BA$2, 0) = 0, $K189/(time_cap),0)),0)</f>
        <v/>
      </c>
      <c r="BB189" s="4395">
        <f>IFERROR(IF((time+time_cap)&lt;BB$2, 0,IF(AND(time+1&gt;=BC$2, $E189&lt;BC$2), IF($I189= "I", $J189/($F189-$E189+1), $J189/(($F189*($F189+1)/2)-(($E189-1)*($E189-1+1)/2))*BB$2), 0)+IF(IF(time+1&gt;=BC$2, $K189/time_cap/(time+1)*BB$2, 0) = 0, $K189/(time_cap),0)),0)</f>
        <v/>
      </c>
      <c r="BC189" s="4395">
        <f>IFERROR(IF((time+time_cap)&lt;BC$2, 0,IF(AND(time+1&gt;=BD$2, $E189&lt;BD$2), IF($I189= "I", $J189/($F189-$E189+1), $J189/(($F189*($F189+1)/2)-(($E189-1)*($E189-1+1)/2))*BC$2), 0)+IF(IF(time+1&gt;=BD$2, $K189/time_cap/(time+1)*BC$2, 0) = 0, $K189/(time_cap),0)),0)</f>
        <v/>
      </c>
      <c r="BD189" s="4395">
        <f>IFERROR(IF((time+time_cap)&lt;BD$2, 0,IF(AND(time+1&gt;=BE$2, $E189&lt;BE$2), IF($I189= "I", $J189/($F189-$E189+1), $J189/(($F189*($F189+1)/2)-(($E189-1)*($E189-1+1)/2))*BD$2), 0)+IF(IF(time+1&gt;=BE$2, $K189/time_cap/(time+1)*BD$2, 0) = 0, $K189/(time_cap),0)),0)</f>
        <v/>
      </c>
      <c r="BE189" s="4395">
        <f>IFERROR(IF((time+time_cap)&lt;BE$2, 0,IF(AND(time+1&gt;=BF$2, $E189&lt;BF$2), IF($I189= "I", $J189/($F189-$E189+1), $J189/(($F189*($F189+1)/2)-(($E189-1)*($E189-1+1)/2))*BE$2), 0)+IF(IF(time+1&gt;=BF$2, $K189/time_cap/(time+1)*BE$2, 0) = 0, $K189/(time_cap),0)),0)</f>
        <v/>
      </c>
      <c r="BF189" s="4395">
        <f>IFERROR(IF((time+time_cap)&lt;BF$2, 0,IF(AND(time+1&gt;=BG$2, $E189&lt;BG$2), IF($I189= "I", $J189/($F189-$E189+1), $J189/(($F189*($F189+1)/2)-(($E189-1)*($E189-1+1)/2))*BF$2), 0)+IF(IF(time+1&gt;=BG$2, $K189/time_cap/(time+1)*BF$2, 0) = 0, $K189/(time_cap),0)),0)</f>
        <v/>
      </c>
      <c r="BG189" s="4395">
        <f>IFERROR(IF((time+time_cap)&lt;BG$2, 0,IF(AND(time+1&gt;=BH$2, $E189&lt;BH$2), IF($I189= "I", $J189/($F189-$E189+1), $J189/(($F189*($F189+1)/2)-(($E189-1)*($E189-1+1)/2))*BG$2), 0)+IF(IF(time+1&gt;=BH$2, $K189/time_cap/(time+1)*BG$2, 0) = 0, $K189/(time_cap),0)),0)</f>
        <v/>
      </c>
      <c r="BH189" s="4395">
        <f>IFERROR(IF((time+time_cap)&lt;BH$2, 0,IF(AND(time+1&gt;=BI$2, $E189&lt;BI$2), IF($I189= "I", $J189/($F189-$E189+1), $J189/(($F189*($F189+1)/2)-(($E189-1)*($E189-1+1)/2))*BH$2), 0)+IF(IF(time+1&gt;=BI$2, $K189/time_cap/(time+1)*BH$2, 0) = 0, $K189/(time_cap),0)),0)</f>
        <v/>
      </c>
      <c r="BI189" s="4395">
        <f>IFERROR(IF((time+time_cap)&lt;BI$2, 0,IF(AND(time+1&gt;=BJ$2, $E189&lt;BJ$2), IF($I189= "I", $J189/($F189-$E189+1), $J189/(($F189*($F189+1)/2)-(($E189-1)*($E189-1+1)/2))*BI$2), 0)+IF(IF(time+1&gt;=BJ$2, $K189/time_cap/(time+1)*BI$2, 0) = 0, $K189/(time_cap),0)),0)</f>
        <v/>
      </c>
      <c r="BJ189" s="4395">
        <f>IFERROR(IF((time+time_cap)&lt;BJ$2, 0,IF(AND(time+1&gt;=BK$2, $E189&lt;BK$2), IF($I189= "I", $J189/($F189-$E189+1), $J189/(($F189*($F189+1)/2)-(($E189-1)*($E189-1+1)/2))*BJ$2), 0)+IF(IF(time+1&gt;=BK$2, $K189/time_cap/(time+1)*BJ$2, 0) = 0, $K189/(time_cap),0)),0)</f>
        <v/>
      </c>
      <c r="BK189" s="4395" t="n"/>
      <c r="BL189" s="4395" t="n"/>
      <c r="BM189" s="4395" t="n"/>
      <c r="BN189" s="4395" t="n"/>
      <c r="BO189" s="4395" t="n"/>
      <c r="BP189" s="4395" t="n"/>
      <c r="BQ189" s="4395" t="n"/>
      <c r="BR189" s="4395" t="n"/>
      <c r="BS189" s="4395" t="n"/>
      <c r="BT189" s="4395" t="n"/>
      <c r="BU189" s="4395" t="n"/>
      <c r="BV189" s="4395" t="n"/>
      <c r="BW189" s="4395" t="n"/>
      <c r="BX189" s="4395" t="n"/>
      <c r="BY189" s="4395" t="n"/>
      <c r="BZ189" s="4395" t="n"/>
      <c r="CA189" s="4395" t="n"/>
      <c r="CB189" s="4395" t="n"/>
      <c r="CC189" s="4395" t="n"/>
      <c r="CD189" s="4395" t="n"/>
      <c r="CE189" s="4395" t="n"/>
      <c r="CF189" s="4395" t="n"/>
      <c r="CG189" s="4395" t="n"/>
      <c r="CH189" s="4395" t="n"/>
      <c r="CI189" s="4395" t="n"/>
      <c r="CJ189" s="4395" t="n"/>
      <c r="CK189" s="4395" t="n"/>
      <c r="CL189" s="4395" t="n"/>
      <c r="CM189" s="4395" t="n"/>
      <c r="CN189" s="4395" t="n"/>
      <c r="CO189" s="4395" t="n"/>
      <c r="CP189" s="4395" t="n"/>
      <c r="CQ189" s="4395" t="n"/>
      <c r="CR189" s="4395" t="n"/>
      <c r="CS189" s="4395" t="n"/>
      <c r="CT189" s="4395" t="n"/>
      <c r="CU189" s="4395" t="n"/>
      <c r="CV189" s="4395" t="n"/>
      <c r="CW189" s="4395" t="n"/>
      <c r="CX189" s="4395" t="n"/>
      <c r="CY189" s="4395" t="n"/>
      <c r="CZ189" s="4395" t="n"/>
      <c r="DA189" s="4395" t="n"/>
      <c r="DB189" s="4395" t="n"/>
      <c r="DC189" s="4395" t="n"/>
      <c r="DD189" s="4395" t="n"/>
      <c r="DE189" s="4395" t="n"/>
      <c r="DF189" s="4395" t="n"/>
      <c r="DG189" s="4395" t="n"/>
      <c r="DH189" s="4395" t="n"/>
    </row>
    <row r="190" ht="16" customHeight="1">
      <c r="A190" t="inlineStr">
        <is>
          <t>Large scale fisheries</t>
        </is>
      </c>
      <c r="C190">
        <f>'8. Fisheries and aquaculture'!C44</f>
        <v/>
      </c>
      <c r="D190">
        <f>IFERROR('8. Fisheries and aquaculture'!AI44+(('8. Fisheries and aquaculture'!$AI$53+'8. Fisheries and aquaculture'!$AI$57)/SUM('8. Fisheries and aquaculture'!$AI$44:$AI$49)*'8. Fisheries and aquaculture'!AI44), 0)</f>
        <v/>
      </c>
      <c r="E190">
        <f>IF('8. Fisheries and aquaculture'!CN44&lt;&gt;0,'8. Fisheries and aquaculture'!CN44,'8. Fisheries and aquaculture'!CM44)</f>
        <v/>
      </c>
      <c r="F190">
        <f>time</f>
        <v/>
      </c>
      <c r="G190" s="4395">
        <f>'8. Fisheries and aquaculture'!AA44</f>
        <v/>
      </c>
      <c r="H190" s="4395">
        <f>'8. Fisheries and aquaculture'!AC44</f>
        <v/>
      </c>
      <c r="I190" s="4395">
        <f>IF(OR(H190="I", G190="I"), "I", IF(OR(H190="E", G190="E"), "E", "D"))</f>
        <v/>
      </c>
      <c r="J190" s="4395">
        <f>((D190/(time_cap+((F190-E190+1)*VLOOKUP(I190,list!$I$48:$K$50,3, FALSE))))*(F190-E190+1)*VLOOKUP(I190,list!$I$48:$K$50,3, FALSE))</f>
        <v/>
      </c>
      <c r="K190" s="4395">
        <f>((D190/(time_cap+((F190-E190+1)*VLOOKUP(I190,list!$I$48:$K$50,3, FALSE))))*time_cap)</f>
        <v/>
      </c>
      <c r="M190" s="4395">
        <f>IFERROR(IF((time+time_cap)&lt;M$2, 0,IF(AND(time+1&gt;=N$2, $E190&lt;N$2), IF($I190= "I", $J190/($F190-$E190+1), $J190/(($F190*($F190+1)/2)-(($E190-1)*($E190-1+1)/2))*M$2), 0)+IF(IF(time+1&gt;=N$2, $K190/time_cap/(time+1)*M$2, 0) = 0, $K190/(time_cap),0)),0)</f>
        <v/>
      </c>
      <c r="N190" s="4395">
        <f>IFERROR(IF((time+time_cap)&lt;N$2, 0,IF(AND(time+1&gt;=O$2, $E190&lt;O$2), IF($I190= "I", $J190/($F190-$E190+1), $J190/(($F190*($F190+1)/2)-(($E190-1)*($E190-1+1)/2))*N$2), 0)+IF(IF(time+1&gt;=O$2, $K190/time_cap/(time+1)*N$2, 0) = 0, $K190/(time_cap),0)),0)</f>
        <v/>
      </c>
      <c r="O190" s="4395">
        <f>IFERROR(IF((time+time_cap)&lt;O$2, 0,IF(AND(time+1&gt;=P$2, $E190&lt;P$2), IF($I190= "I", $J190/($F190-$E190+1), $J190/(($F190*($F190+1)/2)-(($E190-1)*($E190-1+1)/2))*O$2), 0)+IF(IF(time+1&gt;=P$2, $K190/time_cap/(time+1)*O$2, 0) = 0, $K190/(time_cap),0)),0)</f>
        <v/>
      </c>
      <c r="P190" s="4395">
        <f>IFERROR(IF((time+time_cap)&lt;P$2, 0,IF(AND(time+1&gt;=Q$2, $E190&lt;Q$2), IF($I190= "I", $J190/($F190-$E190+1), $J190/(($F190*($F190+1)/2)-(($E190-1)*($E190-1+1)/2))*P$2), 0)+IF(IF(time+1&gt;=Q$2, $K190/time_cap/(time+1)*P$2, 0) = 0, $K190/(time_cap),0)),0)</f>
        <v/>
      </c>
      <c r="Q190" s="4395">
        <f>IFERROR(IF((time+time_cap)&lt;Q$2, 0,IF(AND(time+1&gt;=R$2, $E190&lt;R$2), IF($I190= "I", $J190/($F190-$E190+1), $J190/(($F190*($F190+1)/2)-(($E190-1)*($E190-1+1)/2))*Q$2), 0)+IF(IF(time+1&gt;=R$2, $K190/time_cap/(time+1)*Q$2, 0) = 0, $K190/(time_cap),0)),0)</f>
        <v/>
      </c>
      <c r="R190" s="4395">
        <f>IFERROR(IF((time+time_cap)&lt;R$2, 0,IF(AND(time+1&gt;=S$2, $E190&lt;S$2), IF($I190= "I", $J190/($F190-$E190+1), $J190/(($F190*($F190+1)/2)-(($E190-1)*($E190-1+1)/2))*R$2), 0)+IF(IF(time+1&gt;=S$2, $K190/time_cap/(time+1)*R$2, 0) = 0, $K190/(time_cap),0)),0)</f>
        <v/>
      </c>
      <c r="S190" s="4395">
        <f>IFERROR(IF((time+time_cap)&lt;S$2, 0,IF(AND(time+1&gt;=T$2, $E190&lt;T$2), IF($I190= "I", $J190/($F190-$E190+1), $J190/(($F190*($F190+1)/2)-(($E190-1)*($E190-1+1)/2))*S$2), 0)+IF(IF(time+1&gt;=T$2, $K190/time_cap/(time+1)*S$2, 0) = 0, $K190/(time_cap),0)),0)</f>
        <v/>
      </c>
      <c r="T190" s="4395">
        <f>IFERROR(IF((time+time_cap)&lt;T$2, 0,IF(AND(time+1&gt;=U$2, $E190&lt;U$2), IF($I190= "I", $J190/($F190-$E190+1), $J190/(($F190*($F190+1)/2)-(($E190-1)*($E190-1+1)/2))*T$2), 0)+IF(IF(time+1&gt;=U$2, $K190/time_cap/(time+1)*T$2, 0) = 0, $K190/(time_cap),0)),0)</f>
        <v/>
      </c>
      <c r="U190" s="4395">
        <f>IFERROR(IF((time+time_cap)&lt;U$2, 0,IF(AND(time+1&gt;=V$2, $E190&lt;V$2), IF($I190= "I", $J190/($F190-$E190+1), $J190/(($F190*($F190+1)/2)-(($E190-1)*($E190-1+1)/2))*U$2), 0)+IF(IF(time+1&gt;=V$2, $K190/time_cap/(time+1)*U$2, 0) = 0, $K190/(time_cap),0)),0)</f>
        <v/>
      </c>
      <c r="V190" s="4395">
        <f>IFERROR(IF((time+time_cap)&lt;V$2, 0,IF(AND(time+1&gt;=W$2, $E190&lt;W$2), IF($I190= "I", $J190/($F190-$E190+1), $J190/(($F190*($F190+1)/2)-(($E190-1)*($E190-1+1)/2))*V$2), 0)+IF(IF(time+1&gt;=W$2, $K190/time_cap/(time+1)*V$2, 0) = 0, $K190/(time_cap),0)),0)</f>
        <v/>
      </c>
      <c r="W190" s="4395">
        <f>IFERROR(IF((time+time_cap)&lt;W$2, 0,IF(AND(time+1&gt;=X$2, $E190&lt;X$2), IF($I190= "I", $J190/($F190-$E190+1), $J190/(($F190*($F190+1)/2)-(($E190-1)*($E190-1+1)/2))*W$2), 0)+IF(IF(time+1&gt;=X$2, $K190/time_cap/(time+1)*W$2, 0) = 0, $K190/(time_cap),0)),0)</f>
        <v/>
      </c>
      <c r="X190" s="4395">
        <f>IFERROR(IF((time+time_cap)&lt;X$2, 0,IF(AND(time+1&gt;=Y$2, $E190&lt;Y$2), IF($I190= "I", $J190/($F190-$E190+1), $J190/(($F190*($F190+1)/2)-(($E190-1)*($E190-1+1)/2))*X$2), 0)+IF(IF(time+1&gt;=Y$2, $K190/time_cap/(time+1)*X$2, 0) = 0, $K190/(time_cap),0)),0)</f>
        <v/>
      </c>
      <c r="Y190" s="4395">
        <f>IFERROR(IF((time+time_cap)&lt;Y$2, 0,IF(AND(time+1&gt;=Z$2, $E190&lt;Z$2), IF($I190= "I", $J190/($F190-$E190+1), $J190/(($F190*($F190+1)/2)-(($E190-1)*($E190-1+1)/2))*Y$2), 0)+IF(IF(time+1&gt;=Z$2, $K190/time_cap/(time+1)*Y$2, 0) = 0, $K190/(time_cap),0)),0)</f>
        <v/>
      </c>
      <c r="Z190" s="4395">
        <f>IFERROR(IF((time+time_cap)&lt;Z$2, 0,IF(AND(time+1&gt;=AA$2, $E190&lt;AA$2), IF($I190= "I", $J190/($F190-$E190+1), $J190/(($F190*($F190+1)/2)-(($E190-1)*($E190-1+1)/2))*Z$2), 0)+IF(IF(time+1&gt;=AA$2, $K190/time_cap/(time+1)*Z$2, 0) = 0, $K190/(time_cap),0)),0)</f>
        <v/>
      </c>
      <c r="AA190" s="4395">
        <f>IFERROR(IF((time+time_cap)&lt;AA$2, 0,IF(AND(time+1&gt;=AB$2, $E190&lt;AB$2), IF($I190= "I", $J190/($F190-$E190+1), $J190/(($F190*($F190+1)/2)-(($E190-1)*($E190-1+1)/2))*AA$2), 0)+IF(IF(time+1&gt;=AB$2, $K190/time_cap/(time+1)*AA$2, 0) = 0, $K190/(time_cap),0)),0)</f>
        <v/>
      </c>
      <c r="AB190" s="4395">
        <f>IFERROR(IF((time+time_cap)&lt;AB$2, 0,IF(AND(time+1&gt;=AC$2, $E190&lt;AC$2), IF($I190= "I", $J190/($F190-$E190+1), $J190/(($F190*($F190+1)/2)-(($E190-1)*($E190-1+1)/2))*AB$2), 0)+IF(IF(time+1&gt;=AC$2, $K190/time_cap/(time+1)*AB$2, 0) = 0, $K190/(time_cap),0)),0)</f>
        <v/>
      </c>
      <c r="AC190" s="4395">
        <f>IFERROR(IF((time+time_cap)&lt;AC$2, 0,IF(AND(time+1&gt;=AD$2, $E190&lt;AD$2), IF($I190= "I", $J190/($F190-$E190+1), $J190/(($F190*($F190+1)/2)-(($E190-1)*($E190-1+1)/2))*AC$2), 0)+IF(IF(time+1&gt;=AD$2, $K190/time_cap/(time+1)*AC$2, 0) = 0, $K190/(time_cap),0)),0)</f>
        <v/>
      </c>
      <c r="AD190" s="4395">
        <f>IFERROR(IF((time+time_cap)&lt;AD$2, 0,IF(AND(time+1&gt;=AE$2, $E190&lt;AE$2), IF($I190= "I", $J190/($F190-$E190+1), $J190/(($F190*($F190+1)/2)-(($E190-1)*($E190-1+1)/2))*AD$2), 0)+IF(IF(time+1&gt;=AE$2, $K190/time_cap/(time+1)*AD$2, 0) = 0, $K190/(time_cap),0)),0)</f>
        <v/>
      </c>
      <c r="AE190" s="4395">
        <f>IFERROR(IF((time+time_cap)&lt;AE$2, 0,IF(AND(time+1&gt;=AF$2, $E190&lt;AF$2), IF($I190= "I", $J190/($F190-$E190+1), $J190/(($F190*($F190+1)/2)-(($E190-1)*($E190-1+1)/2))*AE$2), 0)+IF(IF(time+1&gt;=AF$2, $K190/time_cap/(time+1)*AE$2, 0) = 0, $K190/(time_cap),0)),0)</f>
        <v/>
      </c>
      <c r="AF190" s="4395">
        <f>IFERROR(IF((time+time_cap)&lt;AF$2, 0,IF(AND(time+1&gt;=AG$2, $E190&lt;AG$2), IF($I190= "I", $J190/($F190-$E190+1), $J190/(($F190*($F190+1)/2)-(($E190-1)*($E190-1+1)/2))*AF$2), 0)+IF(IF(time+1&gt;=AG$2, $K190/time_cap/(time+1)*AF$2, 0) = 0, $K190/(time_cap),0)),0)</f>
        <v/>
      </c>
      <c r="AG190" s="4395">
        <f>IFERROR(IF((time+time_cap)&lt;AG$2, 0,IF(AND(time+1&gt;=AH$2, $E190&lt;AH$2), IF($I190= "I", $J190/($F190-$E190+1), $J190/(($F190*($F190+1)/2)-(($E190-1)*($E190-1+1)/2))*AG$2), 0)+IF(IF(time+1&gt;=AH$2, $K190/time_cap/(time+1)*AG$2, 0) = 0, $K190/(time_cap),0)),0)</f>
        <v/>
      </c>
      <c r="AH190" s="4395">
        <f>IFERROR(IF((time+time_cap)&lt;AH$2, 0,IF(AND(time+1&gt;=AI$2, $E190&lt;AI$2), IF($I190= "I", $J190/($F190-$E190+1), $J190/(($F190*($F190+1)/2)-(($E190-1)*($E190-1+1)/2))*AH$2), 0)+IF(IF(time+1&gt;=AI$2, $K190/time_cap/(time+1)*AH$2, 0) = 0, $K190/(time_cap),0)),0)</f>
        <v/>
      </c>
      <c r="AI190" s="4395">
        <f>IFERROR(IF((time+time_cap)&lt;AI$2, 0,IF(AND(time+1&gt;=AJ$2, $E190&lt;AJ$2), IF($I190= "I", $J190/($F190-$E190+1), $J190/(($F190*($F190+1)/2)-(($E190-1)*($E190-1+1)/2))*AI$2), 0)+IF(IF(time+1&gt;=AJ$2, $K190/time_cap/(time+1)*AI$2, 0) = 0, $K190/(time_cap),0)),0)</f>
        <v/>
      </c>
      <c r="AJ190" s="4395">
        <f>IFERROR(IF((time+time_cap)&lt;AJ$2, 0,IF(AND(time+1&gt;=AK$2, $E190&lt;AK$2), IF($I190= "I", $J190/($F190-$E190+1), $J190/(($F190*($F190+1)/2)-(($E190-1)*($E190-1+1)/2))*AJ$2), 0)+IF(IF(time+1&gt;=AK$2, $K190/time_cap/(time+1)*AJ$2, 0) = 0, $K190/(time_cap),0)),0)</f>
        <v/>
      </c>
      <c r="AK190" s="4395">
        <f>IFERROR(IF((time+time_cap)&lt;AK$2, 0,IF(AND(time+1&gt;=AL$2, $E190&lt;AL$2), IF($I190= "I", $J190/($F190-$E190+1), $J190/(($F190*($F190+1)/2)-(($E190-1)*($E190-1+1)/2))*AK$2), 0)+IF(IF(time+1&gt;=AL$2, $K190/time_cap/(time+1)*AK$2, 0) = 0, $K190/(time_cap),0)),0)</f>
        <v/>
      </c>
      <c r="AL190" s="4395">
        <f>IFERROR(IF((time+time_cap)&lt;AL$2, 0,IF(AND(time+1&gt;=AM$2, $E190&lt;AM$2), IF($I190= "I", $J190/($F190-$E190+1), $J190/(($F190*($F190+1)/2)-(($E190-1)*($E190-1+1)/2))*AL$2), 0)+IF(IF(time+1&gt;=AM$2, $K190/time_cap/(time+1)*AL$2, 0) = 0, $K190/(time_cap),0)),0)</f>
        <v/>
      </c>
      <c r="AM190" s="4395">
        <f>IFERROR(IF((time+time_cap)&lt;AM$2, 0,IF(AND(time+1&gt;=AN$2, $E190&lt;AN$2), IF($I190= "I", $J190/($F190-$E190+1), $J190/(($F190*($F190+1)/2)-(($E190-1)*($E190-1+1)/2))*AM$2), 0)+IF(IF(time+1&gt;=AN$2, $K190/time_cap/(time+1)*AM$2, 0) = 0, $K190/(time_cap),0)),0)</f>
        <v/>
      </c>
      <c r="AN190" s="4395">
        <f>IFERROR(IF((time+time_cap)&lt;AN$2, 0,IF(AND(time+1&gt;=AO$2, $E190&lt;AO$2), IF($I190= "I", $J190/($F190-$E190+1), $J190/(($F190*($F190+1)/2)-(($E190-1)*($E190-1+1)/2))*AN$2), 0)+IF(IF(time+1&gt;=AO$2, $K190/time_cap/(time+1)*AN$2, 0) = 0, $K190/(time_cap),0)),0)</f>
        <v/>
      </c>
      <c r="AO190" s="4395">
        <f>IFERROR(IF((time+time_cap)&lt;AO$2, 0,IF(AND(time+1&gt;=AP$2, $E190&lt;AP$2), IF($I190= "I", $J190/($F190-$E190+1), $J190/(($F190*($F190+1)/2)-(($E190-1)*($E190-1+1)/2))*AO$2), 0)+IF(IF(time+1&gt;=AP$2, $K190/time_cap/(time+1)*AO$2, 0) = 0, $K190/(time_cap),0)),0)</f>
        <v/>
      </c>
      <c r="AP190" s="4395">
        <f>IFERROR(IF((time+time_cap)&lt;AP$2, 0,IF(AND(time+1&gt;=AQ$2, $E190&lt;AQ$2), IF($I190= "I", $J190/($F190-$E190+1), $J190/(($F190*($F190+1)/2)-(($E190-1)*($E190-1+1)/2))*AP$2), 0)+IF(IF(time+1&gt;=AQ$2, $K190/time_cap/(time+1)*AP$2, 0) = 0, $K190/(time_cap),0)),0)</f>
        <v/>
      </c>
      <c r="AQ190" s="4395">
        <f>IFERROR(IF((time+time_cap)&lt;AQ$2, 0,IF(AND(time+1&gt;=AR$2, $E190&lt;AR$2), IF($I190= "I", $J190/($F190-$E190+1), $J190/(($F190*($F190+1)/2)-(($E190-1)*($E190-1+1)/2))*AQ$2), 0)+IF(IF(time+1&gt;=AR$2, $K190/time_cap/(time+1)*AQ$2, 0) = 0, $K190/(time_cap),0)),0)</f>
        <v/>
      </c>
      <c r="AR190" s="4395">
        <f>IFERROR(IF((time+time_cap)&lt;AR$2, 0,IF(AND(time+1&gt;=AS$2, $E190&lt;AS$2), IF($I190= "I", $J190/($F190-$E190+1), $J190/(($F190*($F190+1)/2)-(($E190-1)*($E190-1+1)/2))*AR$2), 0)+IF(IF(time+1&gt;=AS$2, $K190/time_cap/(time+1)*AR$2, 0) = 0, $K190/(time_cap),0)),0)</f>
        <v/>
      </c>
      <c r="AS190" s="4395">
        <f>IFERROR(IF((time+time_cap)&lt;AS$2, 0,IF(AND(time+1&gt;=AT$2, $E190&lt;AT$2), IF($I190= "I", $J190/($F190-$E190+1), $J190/(($F190*($F190+1)/2)-(($E190-1)*($E190-1+1)/2))*AS$2), 0)+IF(IF(time+1&gt;=AT$2, $K190/time_cap/(time+1)*AS$2, 0) = 0, $K190/(time_cap),0)),0)</f>
        <v/>
      </c>
      <c r="AT190" s="4395">
        <f>IFERROR(IF((time+time_cap)&lt;AT$2, 0,IF(AND(time+1&gt;=AU$2, $E190&lt;AU$2), IF($I190= "I", $J190/($F190-$E190+1), $J190/(($F190*($F190+1)/2)-(($E190-1)*($E190-1+1)/2))*AT$2), 0)+IF(IF(time+1&gt;=AU$2, $K190/time_cap/(time+1)*AT$2, 0) = 0, $K190/(time_cap),0)),0)</f>
        <v/>
      </c>
      <c r="AU190" s="4395">
        <f>IFERROR(IF((time+time_cap)&lt;AU$2, 0,IF(AND(time+1&gt;=AV$2, $E190&lt;AV$2), IF($I190= "I", $J190/($F190-$E190+1), $J190/(($F190*($F190+1)/2)-(($E190-1)*($E190-1+1)/2))*AU$2), 0)+IF(IF(time+1&gt;=AV$2, $K190/time_cap/(time+1)*AU$2, 0) = 0, $K190/(time_cap),0)),0)</f>
        <v/>
      </c>
      <c r="AV190" s="4395">
        <f>IFERROR(IF((time+time_cap)&lt;AV$2, 0,IF(AND(time+1&gt;=AW$2, $E190&lt;AW$2), IF($I190= "I", $J190/($F190-$E190+1), $J190/(($F190*($F190+1)/2)-(($E190-1)*($E190-1+1)/2))*AV$2), 0)+IF(IF(time+1&gt;=AW$2, $K190/time_cap/(time+1)*AV$2, 0) = 0, $K190/(time_cap),0)),0)</f>
        <v/>
      </c>
      <c r="AW190" s="4395">
        <f>IFERROR(IF((time+time_cap)&lt;AW$2, 0,IF(AND(time+1&gt;=AX$2, $E190&lt;AX$2), IF($I190= "I", $J190/($F190-$E190+1), $J190/(($F190*($F190+1)/2)-(($E190-1)*($E190-1+1)/2))*AW$2), 0)+IF(IF(time+1&gt;=AX$2, $K190/time_cap/(time+1)*AW$2, 0) = 0, $K190/(time_cap),0)),0)</f>
        <v/>
      </c>
      <c r="AX190" s="4395">
        <f>IFERROR(IF((time+time_cap)&lt;AX$2, 0,IF(AND(time+1&gt;=AY$2, $E190&lt;AY$2), IF($I190= "I", $J190/($F190-$E190+1), $J190/(($F190*($F190+1)/2)-(($E190-1)*($E190-1+1)/2))*AX$2), 0)+IF(IF(time+1&gt;=AY$2, $K190/time_cap/(time+1)*AX$2, 0) = 0, $K190/(time_cap),0)),0)</f>
        <v/>
      </c>
      <c r="AY190" s="4395">
        <f>IFERROR(IF((time+time_cap)&lt;AY$2, 0,IF(AND(time+1&gt;=AZ$2, $E190&lt;AZ$2), IF($I190= "I", $J190/($F190-$E190+1), $J190/(($F190*($F190+1)/2)-(($E190-1)*($E190-1+1)/2))*AY$2), 0)+IF(IF(time+1&gt;=AZ$2, $K190/time_cap/(time+1)*AY$2, 0) = 0, $K190/(time_cap),0)),0)</f>
        <v/>
      </c>
      <c r="AZ190" s="4395">
        <f>IFERROR(IF((time+time_cap)&lt;AZ$2, 0,IF(AND(time+1&gt;=BA$2, $E190&lt;BA$2), IF($I190= "I", $J190/($F190-$E190+1), $J190/(($F190*($F190+1)/2)-(($E190-1)*($E190-1+1)/2))*AZ$2), 0)+IF(IF(time+1&gt;=BA$2, $K190/time_cap/(time+1)*AZ$2, 0) = 0, $K190/(time_cap),0)),0)</f>
        <v/>
      </c>
      <c r="BA190" s="4395">
        <f>IFERROR(IF((time+time_cap)&lt;BA$2, 0,IF(AND(time+1&gt;=BB$2, $E190&lt;BB$2), IF($I190= "I", $J190/($F190-$E190+1), $J190/(($F190*($F190+1)/2)-(($E190-1)*($E190-1+1)/2))*BA$2), 0)+IF(IF(time+1&gt;=BB$2, $K190/time_cap/(time+1)*BA$2, 0) = 0, $K190/(time_cap),0)),0)</f>
        <v/>
      </c>
      <c r="BB190" s="4395">
        <f>IFERROR(IF((time+time_cap)&lt;BB$2, 0,IF(AND(time+1&gt;=BC$2, $E190&lt;BC$2), IF($I190= "I", $J190/($F190-$E190+1), $J190/(($F190*($F190+1)/2)-(($E190-1)*($E190-1+1)/2))*BB$2), 0)+IF(IF(time+1&gt;=BC$2, $K190/time_cap/(time+1)*BB$2, 0) = 0, $K190/(time_cap),0)),0)</f>
        <v/>
      </c>
      <c r="BC190" s="4395">
        <f>IFERROR(IF((time+time_cap)&lt;BC$2, 0,IF(AND(time+1&gt;=BD$2, $E190&lt;BD$2), IF($I190= "I", $J190/($F190-$E190+1), $J190/(($F190*($F190+1)/2)-(($E190-1)*($E190-1+1)/2))*BC$2), 0)+IF(IF(time+1&gt;=BD$2, $K190/time_cap/(time+1)*BC$2, 0) = 0, $K190/(time_cap),0)),0)</f>
        <v/>
      </c>
      <c r="BD190" s="4395">
        <f>IFERROR(IF((time+time_cap)&lt;BD$2, 0,IF(AND(time+1&gt;=BE$2, $E190&lt;BE$2), IF($I190= "I", $J190/($F190-$E190+1), $J190/(($F190*($F190+1)/2)-(($E190-1)*($E190-1+1)/2))*BD$2), 0)+IF(IF(time+1&gt;=BE$2, $K190/time_cap/(time+1)*BD$2, 0) = 0, $K190/(time_cap),0)),0)</f>
        <v/>
      </c>
      <c r="BE190" s="4395">
        <f>IFERROR(IF((time+time_cap)&lt;BE$2, 0,IF(AND(time+1&gt;=BF$2, $E190&lt;BF$2), IF($I190= "I", $J190/($F190-$E190+1), $J190/(($F190*($F190+1)/2)-(($E190-1)*($E190-1+1)/2))*BE$2), 0)+IF(IF(time+1&gt;=BF$2, $K190/time_cap/(time+1)*BE$2, 0) = 0, $K190/(time_cap),0)),0)</f>
        <v/>
      </c>
      <c r="BF190" s="4395">
        <f>IFERROR(IF((time+time_cap)&lt;BF$2, 0,IF(AND(time+1&gt;=BG$2, $E190&lt;BG$2), IF($I190= "I", $J190/($F190-$E190+1), $J190/(($F190*($F190+1)/2)-(($E190-1)*($E190-1+1)/2))*BF$2), 0)+IF(IF(time+1&gt;=BG$2, $K190/time_cap/(time+1)*BF$2, 0) = 0, $K190/(time_cap),0)),0)</f>
        <v/>
      </c>
      <c r="BG190" s="4395">
        <f>IFERROR(IF((time+time_cap)&lt;BG$2, 0,IF(AND(time+1&gt;=BH$2, $E190&lt;BH$2), IF($I190= "I", $J190/($F190-$E190+1), $J190/(($F190*($F190+1)/2)-(($E190-1)*($E190-1+1)/2))*BG$2), 0)+IF(IF(time+1&gt;=BH$2, $K190/time_cap/(time+1)*BG$2, 0) = 0, $K190/(time_cap),0)),0)</f>
        <v/>
      </c>
      <c r="BH190" s="4395">
        <f>IFERROR(IF((time+time_cap)&lt;BH$2, 0,IF(AND(time+1&gt;=BI$2, $E190&lt;BI$2), IF($I190= "I", $J190/($F190-$E190+1), $J190/(($F190*($F190+1)/2)-(($E190-1)*($E190-1+1)/2))*BH$2), 0)+IF(IF(time+1&gt;=BI$2, $K190/time_cap/(time+1)*BH$2, 0) = 0, $K190/(time_cap),0)),0)</f>
        <v/>
      </c>
      <c r="BI190" s="4395">
        <f>IFERROR(IF((time+time_cap)&lt;BI$2, 0,IF(AND(time+1&gt;=BJ$2, $E190&lt;BJ$2), IF($I190= "I", $J190/($F190-$E190+1), $J190/(($F190*($F190+1)/2)-(($E190-1)*($E190-1+1)/2))*BI$2), 0)+IF(IF(time+1&gt;=BJ$2, $K190/time_cap/(time+1)*BI$2, 0) = 0, $K190/(time_cap),0)),0)</f>
        <v/>
      </c>
      <c r="BJ190" s="4395">
        <f>IFERROR(IF((time+time_cap)&lt;BJ$2, 0,IF(AND(time+1&gt;=BK$2, $E190&lt;BK$2), IF($I190= "I", $J190/($F190-$E190+1), $J190/(($F190*($F190+1)/2)-(($E190-1)*($E190-1+1)/2))*BJ$2), 0)+IF(IF(time+1&gt;=BK$2, $K190/time_cap/(time+1)*BJ$2, 0) = 0, $K190/(time_cap),0)),0)</f>
        <v/>
      </c>
      <c r="BK190" s="4395" t="n"/>
      <c r="BL190" s="4395" t="n"/>
      <c r="BM190" s="4395" t="n"/>
      <c r="BN190" s="4395" t="n"/>
      <c r="BO190" s="4395" t="n"/>
      <c r="BP190" s="4395" t="n"/>
      <c r="BQ190" s="4395" t="n"/>
      <c r="BR190" s="4395" t="n"/>
      <c r="BS190" s="4395" t="n"/>
      <c r="BT190" s="4395" t="n"/>
      <c r="BU190" s="4395" t="n"/>
      <c r="BV190" s="4395" t="n"/>
      <c r="BW190" s="4395" t="n"/>
      <c r="BX190" s="4395" t="n"/>
      <c r="BY190" s="4395" t="n"/>
      <c r="BZ190" s="4395" t="n"/>
      <c r="CA190" s="4395" t="n"/>
      <c r="CB190" s="4395" t="n"/>
      <c r="CC190" s="4395" t="n"/>
      <c r="CD190" s="4395" t="n"/>
      <c r="CE190" s="4395" t="n"/>
      <c r="CF190" s="4395" t="n"/>
      <c r="CG190" s="4395" t="n"/>
      <c r="CH190" s="4395" t="n"/>
      <c r="CI190" s="4395" t="n"/>
      <c r="CJ190" s="4395" t="n"/>
      <c r="CK190" s="4395" t="n"/>
      <c r="CL190" s="4395" t="n"/>
      <c r="CM190" s="4395" t="n"/>
      <c r="CN190" s="4395" t="n"/>
      <c r="CO190" s="4395" t="n"/>
      <c r="CP190" s="4395" t="n"/>
      <c r="CQ190" s="4395" t="n"/>
      <c r="CR190" s="4395" t="n"/>
      <c r="CS190" s="4395" t="n"/>
      <c r="CT190" s="4395" t="n"/>
      <c r="CU190" s="4395" t="n"/>
      <c r="CV190" s="4395" t="n"/>
      <c r="CW190" s="4395" t="n"/>
      <c r="CX190" s="4395" t="n"/>
      <c r="CY190" s="4395" t="n"/>
      <c r="CZ190" s="4395" t="n"/>
      <c r="DA190" s="4395" t="n"/>
      <c r="DB190" s="4395" t="n"/>
      <c r="DC190" s="4395" t="n"/>
      <c r="DD190" s="4395" t="n"/>
      <c r="DE190" s="4395" t="n"/>
      <c r="DF190" s="4395" t="n"/>
      <c r="DG190" s="4395" t="n"/>
      <c r="DH190" s="4395" t="n"/>
    </row>
    <row r="191" ht="16" customHeight="1">
      <c r="A191" t="inlineStr">
        <is>
          <t>Large scale fisheries</t>
        </is>
      </c>
      <c r="C191">
        <f>'8. Fisheries and aquaculture'!C45</f>
        <v/>
      </c>
      <c r="D191">
        <f>IFERROR('8. Fisheries and aquaculture'!AI45+(('8. Fisheries and aquaculture'!$AI$53+'8. Fisheries and aquaculture'!$AI$57)/SUM('8. Fisheries and aquaculture'!$AI$44:$AI$49)*'8. Fisheries and aquaculture'!AI45), 0)</f>
        <v/>
      </c>
      <c r="E191">
        <f>IF('8. Fisheries and aquaculture'!CN45&lt;&gt;0,'8. Fisheries and aquaculture'!CN45,'8. Fisheries and aquaculture'!CM45)</f>
        <v/>
      </c>
      <c r="F191">
        <f>time</f>
        <v/>
      </c>
      <c r="G191" s="4395">
        <f>'8. Fisheries and aquaculture'!AA45</f>
        <v/>
      </c>
      <c r="H191" s="4395">
        <f>'8. Fisheries and aquaculture'!AC45</f>
        <v/>
      </c>
      <c r="I191" s="4395">
        <f>IF(OR(H191="I", G191="I"), "I", IF(OR(H191="E", G191="E"), "E", "D"))</f>
        <v/>
      </c>
      <c r="J191" s="4395">
        <f>((D191/(time_cap+((F191-E191+1)*VLOOKUP(I191,list!$I$48:$K$50,3, FALSE))))*(F191-E191+1)*VLOOKUP(I191,list!$I$48:$K$50,3, FALSE))</f>
        <v/>
      </c>
      <c r="K191" s="4395">
        <f>((D191/(time_cap+((F191-E191+1)*VLOOKUP(I191,list!$I$48:$K$50,3, FALSE))))*time_cap)</f>
        <v/>
      </c>
      <c r="M191" s="4395">
        <f>IFERROR(IF((time+time_cap)&lt;M$2, 0,IF(AND(time+1&gt;=N$2, $E191&lt;N$2), IF($I191= "I", $J191/($F191-$E191+1), $J191/(($F191*($F191+1)/2)-(($E191-1)*($E191-1+1)/2))*M$2), 0)+IF(IF(time+1&gt;=N$2, $K191/time_cap/(time+1)*M$2, 0) = 0, $K191/(time_cap),0)),0)</f>
        <v/>
      </c>
      <c r="N191" s="4395">
        <f>IFERROR(IF((time+time_cap)&lt;N$2, 0,IF(AND(time+1&gt;=O$2, $E191&lt;O$2), IF($I191= "I", $J191/($F191-$E191+1), $J191/(($F191*($F191+1)/2)-(($E191-1)*($E191-1+1)/2))*N$2), 0)+IF(IF(time+1&gt;=O$2, $K191/time_cap/(time+1)*N$2, 0) = 0, $K191/(time_cap),0)),0)</f>
        <v/>
      </c>
      <c r="O191" s="4395">
        <f>IFERROR(IF((time+time_cap)&lt;O$2, 0,IF(AND(time+1&gt;=P$2, $E191&lt;P$2), IF($I191= "I", $J191/($F191-$E191+1), $J191/(($F191*($F191+1)/2)-(($E191-1)*($E191-1+1)/2))*O$2), 0)+IF(IF(time+1&gt;=P$2, $K191/time_cap/(time+1)*O$2, 0) = 0, $K191/(time_cap),0)),0)</f>
        <v/>
      </c>
      <c r="P191" s="4395">
        <f>IFERROR(IF((time+time_cap)&lt;P$2, 0,IF(AND(time+1&gt;=Q$2, $E191&lt;Q$2), IF($I191= "I", $J191/($F191-$E191+1), $J191/(($F191*($F191+1)/2)-(($E191-1)*($E191-1+1)/2))*P$2), 0)+IF(IF(time+1&gt;=Q$2, $K191/time_cap/(time+1)*P$2, 0) = 0, $K191/(time_cap),0)),0)</f>
        <v/>
      </c>
      <c r="Q191" s="4395">
        <f>IFERROR(IF((time+time_cap)&lt;Q$2, 0,IF(AND(time+1&gt;=R$2, $E191&lt;R$2), IF($I191= "I", $J191/($F191-$E191+1), $J191/(($F191*($F191+1)/2)-(($E191-1)*($E191-1+1)/2))*Q$2), 0)+IF(IF(time+1&gt;=R$2, $K191/time_cap/(time+1)*Q$2, 0) = 0, $K191/(time_cap),0)),0)</f>
        <v/>
      </c>
      <c r="R191" s="4395">
        <f>IFERROR(IF((time+time_cap)&lt;R$2, 0,IF(AND(time+1&gt;=S$2, $E191&lt;S$2), IF($I191= "I", $J191/($F191-$E191+1), $J191/(($F191*($F191+1)/2)-(($E191-1)*($E191-1+1)/2))*R$2), 0)+IF(IF(time+1&gt;=S$2, $K191/time_cap/(time+1)*R$2, 0) = 0, $K191/(time_cap),0)),0)</f>
        <v/>
      </c>
      <c r="S191" s="4395">
        <f>IFERROR(IF((time+time_cap)&lt;S$2, 0,IF(AND(time+1&gt;=T$2, $E191&lt;T$2), IF($I191= "I", $J191/($F191-$E191+1), $J191/(($F191*($F191+1)/2)-(($E191-1)*($E191-1+1)/2))*S$2), 0)+IF(IF(time+1&gt;=T$2, $K191/time_cap/(time+1)*S$2, 0) = 0, $K191/(time_cap),0)),0)</f>
        <v/>
      </c>
      <c r="T191" s="4395">
        <f>IFERROR(IF((time+time_cap)&lt;T$2, 0,IF(AND(time+1&gt;=U$2, $E191&lt;U$2), IF($I191= "I", $J191/($F191-$E191+1), $J191/(($F191*($F191+1)/2)-(($E191-1)*($E191-1+1)/2))*T$2), 0)+IF(IF(time+1&gt;=U$2, $K191/time_cap/(time+1)*T$2, 0) = 0, $K191/(time_cap),0)),0)</f>
        <v/>
      </c>
      <c r="U191" s="4395">
        <f>IFERROR(IF((time+time_cap)&lt;U$2, 0,IF(AND(time+1&gt;=V$2, $E191&lt;V$2), IF($I191= "I", $J191/($F191-$E191+1), $J191/(($F191*($F191+1)/2)-(($E191-1)*($E191-1+1)/2))*U$2), 0)+IF(IF(time+1&gt;=V$2, $K191/time_cap/(time+1)*U$2, 0) = 0, $K191/(time_cap),0)),0)</f>
        <v/>
      </c>
      <c r="V191" s="4395">
        <f>IFERROR(IF((time+time_cap)&lt;V$2, 0,IF(AND(time+1&gt;=W$2, $E191&lt;W$2), IF($I191= "I", $J191/($F191-$E191+1), $J191/(($F191*($F191+1)/2)-(($E191-1)*($E191-1+1)/2))*V$2), 0)+IF(IF(time+1&gt;=W$2, $K191/time_cap/(time+1)*V$2, 0) = 0, $K191/(time_cap),0)),0)</f>
        <v/>
      </c>
      <c r="W191" s="4395">
        <f>IFERROR(IF((time+time_cap)&lt;W$2, 0,IF(AND(time+1&gt;=X$2, $E191&lt;X$2), IF($I191= "I", $J191/($F191-$E191+1), $J191/(($F191*($F191+1)/2)-(($E191-1)*($E191-1+1)/2))*W$2), 0)+IF(IF(time+1&gt;=X$2, $K191/time_cap/(time+1)*W$2, 0) = 0, $K191/(time_cap),0)),0)</f>
        <v/>
      </c>
      <c r="X191" s="4395">
        <f>IFERROR(IF((time+time_cap)&lt;X$2, 0,IF(AND(time+1&gt;=Y$2, $E191&lt;Y$2), IF($I191= "I", $J191/($F191-$E191+1), $J191/(($F191*($F191+1)/2)-(($E191-1)*($E191-1+1)/2))*X$2), 0)+IF(IF(time+1&gt;=Y$2, $K191/time_cap/(time+1)*X$2, 0) = 0, $K191/(time_cap),0)),0)</f>
        <v/>
      </c>
      <c r="Y191" s="4395">
        <f>IFERROR(IF((time+time_cap)&lt;Y$2, 0,IF(AND(time+1&gt;=Z$2, $E191&lt;Z$2), IF($I191= "I", $J191/($F191-$E191+1), $J191/(($F191*($F191+1)/2)-(($E191-1)*($E191-1+1)/2))*Y$2), 0)+IF(IF(time+1&gt;=Z$2, $K191/time_cap/(time+1)*Y$2, 0) = 0, $K191/(time_cap),0)),0)</f>
        <v/>
      </c>
      <c r="Z191" s="4395">
        <f>IFERROR(IF((time+time_cap)&lt;Z$2, 0,IF(AND(time+1&gt;=AA$2, $E191&lt;AA$2), IF($I191= "I", $J191/($F191-$E191+1), $J191/(($F191*($F191+1)/2)-(($E191-1)*($E191-1+1)/2))*Z$2), 0)+IF(IF(time+1&gt;=AA$2, $K191/time_cap/(time+1)*Z$2, 0) = 0, $K191/(time_cap),0)),0)</f>
        <v/>
      </c>
      <c r="AA191" s="4395">
        <f>IFERROR(IF((time+time_cap)&lt;AA$2, 0,IF(AND(time+1&gt;=AB$2, $E191&lt;AB$2), IF($I191= "I", $J191/($F191-$E191+1), $J191/(($F191*($F191+1)/2)-(($E191-1)*($E191-1+1)/2))*AA$2), 0)+IF(IF(time+1&gt;=AB$2, $K191/time_cap/(time+1)*AA$2, 0) = 0, $K191/(time_cap),0)),0)</f>
        <v/>
      </c>
      <c r="AB191" s="4395">
        <f>IFERROR(IF((time+time_cap)&lt;AB$2, 0,IF(AND(time+1&gt;=AC$2, $E191&lt;AC$2), IF($I191= "I", $J191/($F191-$E191+1), $J191/(($F191*($F191+1)/2)-(($E191-1)*($E191-1+1)/2))*AB$2), 0)+IF(IF(time+1&gt;=AC$2, $K191/time_cap/(time+1)*AB$2, 0) = 0, $K191/(time_cap),0)),0)</f>
        <v/>
      </c>
      <c r="AC191" s="4395">
        <f>IFERROR(IF((time+time_cap)&lt;AC$2, 0,IF(AND(time+1&gt;=AD$2, $E191&lt;AD$2), IF($I191= "I", $J191/($F191-$E191+1), $J191/(($F191*($F191+1)/2)-(($E191-1)*($E191-1+1)/2))*AC$2), 0)+IF(IF(time+1&gt;=AD$2, $K191/time_cap/(time+1)*AC$2, 0) = 0, $K191/(time_cap),0)),0)</f>
        <v/>
      </c>
      <c r="AD191" s="4395">
        <f>IFERROR(IF((time+time_cap)&lt;AD$2, 0,IF(AND(time+1&gt;=AE$2, $E191&lt;AE$2), IF($I191= "I", $J191/($F191-$E191+1), $J191/(($F191*($F191+1)/2)-(($E191-1)*($E191-1+1)/2))*AD$2), 0)+IF(IF(time+1&gt;=AE$2, $K191/time_cap/(time+1)*AD$2, 0) = 0, $K191/(time_cap),0)),0)</f>
        <v/>
      </c>
      <c r="AE191" s="4395">
        <f>IFERROR(IF((time+time_cap)&lt;AE$2, 0,IF(AND(time+1&gt;=AF$2, $E191&lt;AF$2), IF($I191= "I", $J191/($F191-$E191+1), $J191/(($F191*($F191+1)/2)-(($E191-1)*($E191-1+1)/2))*AE$2), 0)+IF(IF(time+1&gt;=AF$2, $K191/time_cap/(time+1)*AE$2, 0) = 0, $K191/(time_cap),0)),0)</f>
        <v/>
      </c>
      <c r="AF191" s="4395">
        <f>IFERROR(IF((time+time_cap)&lt;AF$2, 0,IF(AND(time+1&gt;=AG$2, $E191&lt;AG$2), IF($I191= "I", $J191/($F191-$E191+1), $J191/(($F191*($F191+1)/2)-(($E191-1)*($E191-1+1)/2))*AF$2), 0)+IF(IF(time+1&gt;=AG$2, $K191/time_cap/(time+1)*AF$2, 0) = 0, $K191/(time_cap),0)),0)</f>
        <v/>
      </c>
      <c r="AG191" s="4395">
        <f>IFERROR(IF((time+time_cap)&lt;AG$2, 0,IF(AND(time+1&gt;=AH$2, $E191&lt;AH$2), IF($I191= "I", $J191/($F191-$E191+1), $J191/(($F191*($F191+1)/2)-(($E191-1)*($E191-1+1)/2))*AG$2), 0)+IF(IF(time+1&gt;=AH$2, $K191/time_cap/(time+1)*AG$2, 0) = 0, $K191/(time_cap),0)),0)</f>
        <v/>
      </c>
      <c r="AH191" s="4395">
        <f>IFERROR(IF((time+time_cap)&lt;AH$2, 0,IF(AND(time+1&gt;=AI$2, $E191&lt;AI$2), IF($I191= "I", $J191/($F191-$E191+1), $J191/(($F191*($F191+1)/2)-(($E191-1)*($E191-1+1)/2))*AH$2), 0)+IF(IF(time+1&gt;=AI$2, $K191/time_cap/(time+1)*AH$2, 0) = 0, $K191/(time_cap),0)),0)</f>
        <v/>
      </c>
      <c r="AI191" s="4395">
        <f>IFERROR(IF((time+time_cap)&lt;AI$2, 0,IF(AND(time+1&gt;=AJ$2, $E191&lt;AJ$2), IF($I191= "I", $J191/($F191-$E191+1), $J191/(($F191*($F191+1)/2)-(($E191-1)*($E191-1+1)/2))*AI$2), 0)+IF(IF(time+1&gt;=AJ$2, $K191/time_cap/(time+1)*AI$2, 0) = 0, $K191/(time_cap),0)),0)</f>
        <v/>
      </c>
      <c r="AJ191" s="4395">
        <f>IFERROR(IF((time+time_cap)&lt;AJ$2, 0,IF(AND(time+1&gt;=AK$2, $E191&lt;AK$2), IF($I191= "I", $J191/($F191-$E191+1), $J191/(($F191*($F191+1)/2)-(($E191-1)*($E191-1+1)/2))*AJ$2), 0)+IF(IF(time+1&gt;=AK$2, $K191/time_cap/(time+1)*AJ$2, 0) = 0, $K191/(time_cap),0)),0)</f>
        <v/>
      </c>
      <c r="AK191" s="4395">
        <f>IFERROR(IF((time+time_cap)&lt;AK$2, 0,IF(AND(time+1&gt;=AL$2, $E191&lt;AL$2), IF($I191= "I", $J191/($F191-$E191+1), $J191/(($F191*($F191+1)/2)-(($E191-1)*($E191-1+1)/2))*AK$2), 0)+IF(IF(time+1&gt;=AL$2, $K191/time_cap/(time+1)*AK$2, 0) = 0, $K191/(time_cap),0)),0)</f>
        <v/>
      </c>
      <c r="AL191" s="4395">
        <f>IFERROR(IF((time+time_cap)&lt;AL$2, 0,IF(AND(time+1&gt;=AM$2, $E191&lt;AM$2), IF($I191= "I", $J191/($F191-$E191+1), $J191/(($F191*($F191+1)/2)-(($E191-1)*($E191-1+1)/2))*AL$2), 0)+IF(IF(time+1&gt;=AM$2, $K191/time_cap/(time+1)*AL$2, 0) = 0, $K191/(time_cap),0)),0)</f>
        <v/>
      </c>
      <c r="AM191" s="4395">
        <f>IFERROR(IF((time+time_cap)&lt;AM$2, 0,IF(AND(time+1&gt;=AN$2, $E191&lt;AN$2), IF($I191= "I", $J191/($F191-$E191+1), $J191/(($F191*($F191+1)/2)-(($E191-1)*($E191-1+1)/2))*AM$2), 0)+IF(IF(time+1&gt;=AN$2, $K191/time_cap/(time+1)*AM$2, 0) = 0, $K191/(time_cap),0)),0)</f>
        <v/>
      </c>
      <c r="AN191" s="4395">
        <f>IFERROR(IF((time+time_cap)&lt;AN$2, 0,IF(AND(time+1&gt;=AO$2, $E191&lt;AO$2), IF($I191= "I", $J191/($F191-$E191+1), $J191/(($F191*($F191+1)/2)-(($E191-1)*($E191-1+1)/2))*AN$2), 0)+IF(IF(time+1&gt;=AO$2, $K191/time_cap/(time+1)*AN$2, 0) = 0, $K191/(time_cap),0)),0)</f>
        <v/>
      </c>
      <c r="AO191" s="4395">
        <f>IFERROR(IF((time+time_cap)&lt;AO$2, 0,IF(AND(time+1&gt;=AP$2, $E191&lt;AP$2), IF($I191= "I", $J191/($F191-$E191+1), $J191/(($F191*($F191+1)/2)-(($E191-1)*($E191-1+1)/2))*AO$2), 0)+IF(IF(time+1&gt;=AP$2, $K191/time_cap/(time+1)*AO$2, 0) = 0, $K191/(time_cap),0)),0)</f>
        <v/>
      </c>
      <c r="AP191" s="4395">
        <f>IFERROR(IF((time+time_cap)&lt;AP$2, 0,IF(AND(time+1&gt;=AQ$2, $E191&lt;AQ$2), IF($I191= "I", $J191/($F191-$E191+1), $J191/(($F191*($F191+1)/2)-(($E191-1)*($E191-1+1)/2))*AP$2), 0)+IF(IF(time+1&gt;=AQ$2, $K191/time_cap/(time+1)*AP$2, 0) = 0, $K191/(time_cap),0)),0)</f>
        <v/>
      </c>
      <c r="AQ191" s="4395">
        <f>IFERROR(IF((time+time_cap)&lt;AQ$2, 0,IF(AND(time+1&gt;=AR$2, $E191&lt;AR$2), IF($I191= "I", $J191/($F191-$E191+1), $J191/(($F191*($F191+1)/2)-(($E191-1)*($E191-1+1)/2))*AQ$2), 0)+IF(IF(time+1&gt;=AR$2, $K191/time_cap/(time+1)*AQ$2, 0) = 0, $K191/(time_cap),0)),0)</f>
        <v/>
      </c>
      <c r="AR191" s="4395">
        <f>IFERROR(IF((time+time_cap)&lt;AR$2, 0,IF(AND(time+1&gt;=AS$2, $E191&lt;AS$2), IF($I191= "I", $J191/($F191-$E191+1), $J191/(($F191*($F191+1)/2)-(($E191-1)*($E191-1+1)/2))*AR$2), 0)+IF(IF(time+1&gt;=AS$2, $K191/time_cap/(time+1)*AR$2, 0) = 0, $K191/(time_cap),0)),0)</f>
        <v/>
      </c>
      <c r="AS191" s="4395">
        <f>IFERROR(IF((time+time_cap)&lt;AS$2, 0,IF(AND(time+1&gt;=AT$2, $E191&lt;AT$2), IF($I191= "I", $J191/($F191-$E191+1), $J191/(($F191*($F191+1)/2)-(($E191-1)*($E191-1+1)/2))*AS$2), 0)+IF(IF(time+1&gt;=AT$2, $K191/time_cap/(time+1)*AS$2, 0) = 0, $K191/(time_cap),0)),0)</f>
        <v/>
      </c>
      <c r="AT191" s="4395">
        <f>IFERROR(IF((time+time_cap)&lt;AT$2, 0,IF(AND(time+1&gt;=AU$2, $E191&lt;AU$2), IF($I191= "I", $J191/($F191-$E191+1), $J191/(($F191*($F191+1)/2)-(($E191-1)*($E191-1+1)/2))*AT$2), 0)+IF(IF(time+1&gt;=AU$2, $K191/time_cap/(time+1)*AT$2, 0) = 0, $K191/(time_cap),0)),0)</f>
        <v/>
      </c>
      <c r="AU191" s="4395">
        <f>IFERROR(IF((time+time_cap)&lt;AU$2, 0,IF(AND(time+1&gt;=AV$2, $E191&lt;AV$2), IF($I191= "I", $J191/($F191-$E191+1), $J191/(($F191*($F191+1)/2)-(($E191-1)*($E191-1+1)/2))*AU$2), 0)+IF(IF(time+1&gt;=AV$2, $K191/time_cap/(time+1)*AU$2, 0) = 0, $K191/(time_cap),0)),0)</f>
        <v/>
      </c>
      <c r="AV191" s="4395">
        <f>IFERROR(IF((time+time_cap)&lt;AV$2, 0,IF(AND(time+1&gt;=AW$2, $E191&lt;AW$2), IF($I191= "I", $J191/($F191-$E191+1), $J191/(($F191*($F191+1)/2)-(($E191-1)*($E191-1+1)/2))*AV$2), 0)+IF(IF(time+1&gt;=AW$2, $K191/time_cap/(time+1)*AV$2, 0) = 0, $K191/(time_cap),0)),0)</f>
        <v/>
      </c>
      <c r="AW191" s="4395">
        <f>IFERROR(IF((time+time_cap)&lt;AW$2, 0,IF(AND(time+1&gt;=AX$2, $E191&lt;AX$2), IF($I191= "I", $J191/($F191-$E191+1), $J191/(($F191*($F191+1)/2)-(($E191-1)*($E191-1+1)/2))*AW$2), 0)+IF(IF(time+1&gt;=AX$2, $K191/time_cap/(time+1)*AW$2, 0) = 0, $K191/(time_cap),0)),0)</f>
        <v/>
      </c>
      <c r="AX191" s="4395">
        <f>IFERROR(IF((time+time_cap)&lt;AX$2, 0,IF(AND(time+1&gt;=AY$2, $E191&lt;AY$2), IF($I191= "I", $J191/($F191-$E191+1), $J191/(($F191*($F191+1)/2)-(($E191-1)*($E191-1+1)/2))*AX$2), 0)+IF(IF(time+1&gt;=AY$2, $K191/time_cap/(time+1)*AX$2, 0) = 0, $K191/(time_cap),0)),0)</f>
        <v/>
      </c>
      <c r="AY191" s="4395">
        <f>IFERROR(IF((time+time_cap)&lt;AY$2, 0,IF(AND(time+1&gt;=AZ$2, $E191&lt;AZ$2), IF($I191= "I", $J191/($F191-$E191+1), $J191/(($F191*($F191+1)/2)-(($E191-1)*($E191-1+1)/2))*AY$2), 0)+IF(IF(time+1&gt;=AZ$2, $K191/time_cap/(time+1)*AY$2, 0) = 0, $K191/(time_cap),0)),0)</f>
        <v/>
      </c>
      <c r="AZ191" s="4395">
        <f>IFERROR(IF((time+time_cap)&lt;AZ$2, 0,IF(AND(time+1&gt;=BA$2, $E191&lt;BA$2), IF($I191= "I", $J191/($F191-$E191+1), $J191/(($F191*($F191+1)/2)-(($E191-1)*($E191-1+1)/2))*AZ$2), 0)+IF(IF(time+1&gt;=BA$2, $K191/time_cap/(time+1)*AZ$2, 0) = 0, $K191/(time_cap),0)),0)</f>
        <v/>
      </c>
      <c r="BA191" s="4395">
        <f>IFERROR(IF((time+time_cap)&lt;BA$2, 0,IF(AND(time+1&gt;=BB$2, $E191&lt;BB$2), IF($I191= "I", $J191/($F191-$E191+1), $J191/(($F191*($F191+1)/2)-(($E191-1)*($E191-1+1)/2))*BA$2), 0)+IF(IF(time+1&gt;=BB$2, $K191/time_cap/(time+1)*BA$2, 0) = 0, $K191/(time_cap),0)),0)</f>
        <v/>
      </c>
      <c r="BB191" s="4395">
        <f>IFERROR(IF((time+time_cap)&lt;BB$2, 0,IF(AND(time+1&gt;=BC$2, $E191&lt;BC$2), IF($I191= "I", $J191/($F191-$E191+1), $J191/(($F191*($F191+1)/2)-(($E191-1)*($E191-1+1)/2))*BB$2), 0)+IF(IF(time+1&gt;=BC$2, $K191/time_cap/(time+1)*BB$2, 0) = 0, $K191/(time_cap),0)),0)</f>
        <v/>
      </c>
      <c r="BC191" s="4395">
        <f>IFERROR(IF((time+time_cap)&lt;BC$2, 0,IF(AND(time+1&gt;=BD$2, $E191&lt;BD$2), IF($I191= "I", $J191/($F191-$E191+1), $J191/(($F191*($F191+1)/2)-(($E191-1)*($E191-1+1)/2))*BC$2), 0)+IF(IF(time+1&gt;=BD$2, $K191/time_cap/(time+1)*BC$2, 0) = 0, $K191/(time_cap),0)),0)</f>
        <v/>
      </c>
      <c r="BD191" s="4395">
        <f>IFERROR(IF((time+time_cap)&lt;BD$2, 0,IF(AND(time+1&gt;=BE$2, $E191&lt;BE$2), IF($I191= "I", $J191/($F191-$E191+1), $J191/(($F191*($F191+1)/2)-(($E191-1)*($E191-1+1)/2))*BD$2), 0)+IF(IF(time+1&gt;=BE$2, $K191/time_cap/(time+1)*BD$2, 0) = 0, $K191/(time_cap),0)),0)</f>
        <v/>
      </c>
      <c r="BE191" s="4395">
        <f>IFERROR(IF((time+time_cap)&lt;BE$2, 0,IF(AND(time+1&gt;=BF$2, $E191&lt;BF$2), IF($I191= "I", $J191/($F191-$E191+1), $J191/(($F191*($F191+1)/2)-(($E191-1)*($E191-1+1)/2))*BE$2), 0)+IF(IF(time+1&gt;=BF$2, $K191/time_cap/(time+1)*BE$2, 0) = 0, $K191/(time_cap),0)),0)</f>
        <v/>
      </c>
      <c r="BF191" s="4395">
        <f>IFERROR(IF((time+time_cap)&lt;BF$2, 0,IF(AND(time+1&gt;=BG$2, $E191&lt;BG$2), IF($I191= "I", $J191/($F191-$E191+1), $J191/(($F191*($F191+1)/2)-(($E191-1)*($E191-1+1)/2))*BF$2), 0)+IF(IF(time+1&gt;=BG$2, $K191/time_cap/(time+1)*BF$2, 0) = 0, $K191/(time_cap),0)),0)</f>
        <v/>
      </c>
      <c r="BG191" s="4395">
        <f>IFERROR(IF((time+time_cap)&lt;BG$2, 0,IF(AND(time+1&gt;=BH$2, $E191&lt;BH$2), IF($I191= "I", $J191/($F191-$E191+1), $J191/(($F191*($F191+1)/2)-(($E191-1)*($E191-1+1)/2))*BG$2), 0)+IF(IF(time+1&gt;=BH$2, $K191/time_cap/(time+1)*BG$2, 0) = 0, $K191/(time_cap),0)),0)</f>
        <v/>
      </c>
      <c r="BH191" s="4395">
        <f>IFERROR(IF((time+time_cap)&lt;BH$2, 0,IF(AND(time+1&gt;=BI$2, $E191&lt;BI$2), IF($I191= "I", $J191/($F191-$E191+1), $J191/(($F191*($F191+1)/2)-(($E191-1)*($E191-1+1)/2))*BH$2), 0)+IF(IF(time+1&gt;=BI$2, $K191/time_cap/(time+1)*BH$2, 0) = 0, $K191/(time_cap),0)),0)</f>
        <v/>
      </c>
      <c r="BI191" s="4395">
        <f>IFERROR(IF((time+time_cap)&lt;BI$2, 0,IF(AND(time+1&gt;=BJ$2, $E191&lt;BJ$2), IF($I191= "I", $J191/($F191-$E191+1), $J191/(($F191*($F191+1)/2)-(($E191-1)*($E191-1+1)/2))*BI$2), 0)+IF(IF(time+1&gt;=BJ$2, $K191/time_cap/(time+1)*BI$2, 0) = 0, $K191/(time_cap),0)),0)</f>
        <v/>
      </c>
      <c r="BJ191" s="4395">
        <f>IFERROR(IF((time+time_cap)&lt;BJ$2, 0,IF(AND(time+1&gt;=BK$2, $E191&lt;BK$2), IF($I191= "I", $J191/($F191-$E191+1), $J191/(($F191*($F191+1)/2)-(($E191-1)*($E191-1+1)/2))*BJ$2), 0)+IF(IF(time+1&gt;=BK$2, $K191/time_cap/(time+1)*BJ$2, 0) = 0, $K191/(time_cap),0)),0)</f>
        <v/>
      </c>
      <c r="BK191" s="4395" t="n"/>
      <c r="BL191" s="4395" t="n"/>
      <c r="BM191" s="4395" t="n"/>
      <c r="BN191" s="4395" t="n"/>
      <c r="BO191" s="4395" t="n"/>
      <c r="BP191" s="4395" t="n"/>
      <c r="BQ191" s="4395" t="n"/>
      <c r="BR191" s="4395" t="n"/>
      <c r="BS191" s="4395" t="n"/>
      <c r="BT191" s="4395" t="n"/>
      <c r="BU191" s="4395" t="n"/>
      <c r="BV191" s="4395" t="n"/>
      <c r="BW191" s="4395" t="n"/>
      <c r="BX191" s="4395" t="n"/>
      <c r="BY191" s="4395" t="n"/>
      <c r="BZ191" s="4395" t="n"/>
      <c r="CA191" s="4395" t="n"/>
      <c r="CB191" s="4395" t="n"/>
      <c r="CC191" s="4395" t="n"/>
      <c r="CD191" s="4395" t="n"/>
      <c r="CE191" s="4395" t="n"/>
      <c r="CF191" s="4395" t="n"/>
      <c r="CG191" s="4395" t="n"/>
      <c r="CH191" s="4395" t="n"/>
      <c r="CI191" s="4395" t="n"/>
      <c r="CJ191" s="4395" t="n"/>
      <c r="CK191" s="4395" t="n"/>
      <c r="CL191" s="4395" t="n"/>
      <c r="CM191" s="4395" t="n"/>
      <c r="CN191" s="4395" t="n"/>
      <c r="CO191" s="4395" t="n"/>
      <c r="CP191" s="4395" t="n"/>
      <c r="CQ191" s="4395" t="n"/>
      <c r="CR191" s="4395" t="n"/>
      <c r="CS191" s="4395" t="n"/>
      <c r="CT191" s="4395" t="n"/>
      <c r="CU191" s="4395" t="n"/>
      <c r="CV191" s="4395" t="n"/>
      <c r="CW191" s="4395" t="n"/>
      <c r="CX191" s="4395" t="n"/>
      <c r="CY191" s="4395" t="n"/>
      <c r="CZ191" s="4395" t="n"/>
      <c r="DA191" s="4395" t="n"/>
      <c r="DB191" s="4395" t="n"/>
      <c r="DC191" s="4395" t="n"/>
      <c r="DD191" s="4395" t="n"/>
      <c r="DE191" s="4395" t="n"/>
      <c r="DF191" s="4395" t="n"/>
      <c r="DG191" s="4395" t="n"/>
      <c r="DH191" s="4395" t="n"/>
    </row>
    <row r="192" ht="16" customHeight="1">
      <c r="A192" t="inlineStr">
        <is>
          <t>Large scale fisheries</t>
        </is>
      </c>
      <c r="C192">
        <f>'8. Fisheries and aquaculture'!C46</f>
        <v/>
      </c>
      <c r="D192">
        <f>IFERROR('8. Fisheries and aquaculture'!AI46+(('8. Fisheries and aquaculture'!$AI$53+'8. Fisheries and aquaculture'!$AI$57)/SUM('8. Fisheries and aquaculture'!$AI$44:$AI$49)*'8. Fisheries and aquaculture'!AI46), 0)</f>
        <v/>
      </c>
      <c r="E192">
        <f>IF('8. Fisheries and aquaculture'!CN46&lt;&gt;0,'8. Fisheries and aquaculture'!CN46,'8. Fisheries and aquaculture'!CM46)</f>
        <v/>
      </c>
      <c r="F192">
        <f>time</f>
        <v/>
      </c>
      <c r="G192" s="4395">
        <f>'8. Fisheries and aquaculture'!AA46</f>
        <v/>
      </c>
      <c r="H192" s="4395">
        <f>'8. Fisheries and aquaculture'!AC46</f>
        <v/>
      </c>
      <c r="I192" s="4395">
        <f>IF(OR(H192="I", G192="I"), "I", IF(OR(H192="E", G192="E"), "E", "D"))</f>
        <v/>
      </c>
      <c r="J192" s="4395">
        <f>((D192/(time_cap+((F192-E192+1)*VLOOKUP(I192,list!$I$48:$K$50,3, FALSE))))*(F192-E192+1)*VLOOKUP(I192,list!$I$48:$K$50,3, FALSE))</f>
        <v/>
      </c>
      <c r="K192" s="4395">
        <f>((D192/(time_cap+((F192-E192+1)*VLOOKUP(I192,list!$I$48:$K$50,3, FALSE))))*time_cap)</f>
        <v/>
      </c>
      <c r="M192" s="4395">
        <f>IFERROR(IF((time+time_cap)&lt;M$2, 0,IF(AND(time+1&gt;=N$2, $E192&lt;N$2), IF($I192= "I", $J192/($F192-$E192+1), $J192/(($F192*($F192+1)/2)-(($E192-1)*($E192-1+1)/2))*M$2), 0)+IF(IF(time+1&gt;=N$2, $K192/time_cap/(time+1)*M$2, 0) = 0, $K192/(time_cap),0)),0)</f>
        <v/>
      </c>
      <c r="N192" s="4395">
        <f>IFERROR(IF((time+time_cap)&lt;N$2, 0,IF(AND(time+1&gt;=O$2, $E192&lt;O$2), IF($I192= "I", $J192/($F192-$E192+1), $J192/(($F192*($F192+1)/2)-(($E192-1)*($E192-1+1)/2))*N$2), 0)+IF(IF(time+1&gt;=O$2, $K192/time_cap/(time+1)*N$2, 0) = 0, $K192/(time_cap),0)),0)</f>
        <v/>
      </c>
      <c r="O192" s="4395">
        <f>IFERROR(IF((time+time_cap)&lt;O$2, 0,IF(AND(time+1&gt;=P$2, $E192&lt;P$2), IF($I192= "I", $J192/($F192-$E192+1), $J192/(($F192*($F192+1)/2)-(($E192-1)*($E192-1+1)/2))*O$2), 0)+IF(IF(time+1&gt;=P$2, $K192/time_cap/(time+1)*O$2, 0) = 0, $K192/(time_cap),0)),0)</f>
        <v/>
      </c>
      <c r="P192" s="4395">
        <f>IFERROR(IF((time+time_cap)&lt;P$2, 0,IF(AND(time+1&gt;=Q$2, $E192&lt;Q$2), IF($I192= "I", $J192/($F192-$E192+1), $J192/(($F192*($F192+1)/2)-(($E192-1)*($E192-1+1)/2))*P$2), 0)+IF(IF(time+1&gt;=Q$2, $K192/time_cap/(time+1)*P$2, 0) = 0, $K192/(time_cap),0)),0)</f>
        <v/>
      </c>
      <c r="Q192" s="4395">
        <f>IFERROR(IF((time+time_cap)&lt;Q$2, 0,IF(AND(time+1&gt;=R$2, $E192&lt;R$2), IF($I192= "I", $J192/($F192-$E192+1), $J192/(($F192*($F192+1)/2)-(($E192-1)*($E192-1+1)/2))*Q$2), 0)+IF(IF(time+1&gt;=R$2, $K192/time_cap/(time+1)*Q$2, 0) = 0, $K192/(time_cap),0)),0)</f>
        <v/>
      </c>
      <c r="R192" s="4395">
        <f>IFERROR(IF((time+time_cap)&lt;R$2, 0,IF(AND(time+1&gt;=S$2, $E192&lt;S$2), IF($I192= "I", $J192/($F192-$E192+1), $J192/(($F192*($F192+1)/2)-(($E192-1)*($E192-1+1)/2))*R$2), 0)+IF(IF(time+1&gt;=S$2, $K192/time_cap/(time+1)*R$2, 0) = 0, $K192/(time_cap),0)),0)</f>
        <v/>
      </c>
      <c r="S192" s="4395">
        <f>IFERROR(IF((time+time_cap)&lt;S$2, 0,IF(AND(time+1&gt;=T$2, $E192&lt;T$2), IF($I192= "I", $J192/($F192-$E192+1), $J192/(($F192*($F192+1)/2)-(($E192-1)*($E192-1+1)/2))*S$2), 0)+IF(IF(time+1&gt;=T$2, $K192/time_cap/(time+1)*S$2, 0) = 0, $K192/(time_cap),0)),0)</f>
        <v/>
      </c>
      <c r="T192" s="4395">
        <f>IFERROR(IF((time+time_cap)&lt;T$2, 0,IF(AND(time+1&gt;=U$2, $E192&lt;U$2), IF($I192= "I", $J192/($F192-$E192+1), $J192/(($F192*($F192+1)/2)-(($E192-1)*($E192-1+1)/2))*T$2), 0)+IF(IF(time+1&gt;=U$2, $K192/time_cap/(time+1)*T$2, 0) = 0, $K192/(time_cap),0)),0)</f>
        <v/>
      </c>
      <c r="U192" s="4395">
        <f>IFERROR(IF((time+time_cap)&lt;U$2, 0,IF(AND(time+1&gt;=V$2, $E192&lt;V$2), IF($I192= "I", $J192/($F192-$E192+1), $J192/(($F192*($F192+1)/2)-(($E192-1)*($E192-1+1)/2))*U$2), 0)+IF(IF(time+1&gt;=V$2, $K192/time_cap/(time+1)*U$2, 0) = 0, $K192/(time_cap),0)),0)</f>
        <v/>
      </c>
      <c r="V192" s="4395">
        <f>IFERROR(IF((time+time_cap)&lt;V$2, 0,IF(AND(time+1&gt;=W$2, $E192&lt;W$2), IF($I192= "I", $J192/($F192-$E192+1), $J192/(($F192*($F192+1)/2)-(($E192-1)*($E192-1+1)/2))*V$2), 0)+IF(IF(time+1&gt;=W$2, $K192/time_cap/(time+1)*V$2, 0) = 0, $K192/(time_cap),0)),0)</f>
        <v/>
      </c>
      <c r="W192" s="4395">
        <f>IFERROR(IF((time+time_cap)&lt;W$2, 0,IF(AND(time+1&gt;=X$2, $E192&lt;X$2), IF($I192= "I", $J192/($F192-$E192+1), $J192/(($F192*($F192+1)/2)-(($E192-1)*($E192-1+1)/2))*W$2), 0)+IF(IF(time+1&gt;=X$2, $K192/time_cap/(time+1)*W$2, 0) = 0, $K192/(time_cap),0)),0)</f>
        <v/>
      </c>
      <c r="X192" s="4395">
        <f>IFERROR(IF((time+time_cap)&lt;X$2, 0,IF(AND(time+1&gt;=Y$2, $E192&lt;Y$2), IF($I192= "I", $J192/($F192-$E192+1), $J192/(($F192*($F192+1)/2)-(($E192-1)*($E192-1+1)/2))*X$2), 0)+IF(IF(time+1&gt;=Y$2, $K192/time_cap/(time+1)*X$2, 0) = 0, $K192/(time_cap),0)),0)</f>
        <v/>
      </c>
      <c r="Y192" s="4395">
        <f>IFERROR(IF((time+time_cap)&lt;Y$2, 0,IF(AND(time+1&gt;=Z$2, $E192&lt;Z$2), IF($I192= "I", $J192/($F192-$E192+1), $J192/(($F192*($F192+1)/2)-(($E192-1)*($E192-1+1)/2))*Y$2), 0)+IF(IF(time+1&gt;=Z$2, $K192/time_cap/(time+1)*Y$2, 0) = 0, $K192/(time_cap),0)),0)</f>
        <v/>
      </c>
      <c r="Z192" s="4395">
        <f>IFERROR(IF((time+time_cap)&lt;Z$2, 0,IF(AND(time+1&gt;=AA$2, $E192&lt;AA$2), IF($I192= "I", $J192/($F192-$E192+1), $J192/(($F192*($F192+1)/2)-(($E192-1)*($E192-1+1)/2))*Z$2), 0)+IF(IF(time+1&gt;=AA$2, $K192/time_cap/(time+1)*Z$2, 0) = 0, $K192/(time_cap),0)),0)</f>
        <v/>
      </c>
      <c r="AA192" s="4395">
        <f>IFERROR(IF((time+time_cap)&lt;AA$2, 0,IF(AND(time+1&gt;=AB$2, $E192&lt;AB$2), IF($I192= "I", $J192/($F192-$E192+1), $J192/(($F192*($F192+1)/2)-(($E192-1)*($E192-1+1)/2))*AA$2), 0)+IF(IF(time+1&gt;=AB$2, $K192/time_cap/(time+1)*AA$2, 0) = 0, $K192/(time_cap),0)),0)</f>
        <v/>
      </c>
      <c r="AB192" s="4395">
        <f>IFERROR(IF((time+time_cap)&lt;AB$2, 0,IF(AND(time+1&gt;=AC$2, $E192&lt;AC$2), IF($I192= "I", $J192/($F192-$E192+1), $J192/(($F192*($F192+1)/2)-(($E192-1)*($E192-1+1)/2))*AB$2), 0)+IF(IF(time+1&gt;=AC$2, $K192/time_cap/(time+1)*AB$2, 0) = 0, $K192/(time_cap),0)),0)</f>
        <v/>
      </c>
      <c r="AC192" s="4395">
        <f>IFERROR(IF((time+time_cap)&lt;AC$2, 0,IF(AND(time+1&gt;=AD$2, $E192&lt;AD$2), IF($I192= "I", $J192/($F192-$E192+1), $J192/(($F192*($F192+1)/2)-(($E192-1)*($E192-1+1)/2))*AC$2), 0)+IF(IF(time+1&gt;=AD$2, $K192/time_cap/(time+1)*AC$2, 0) = 0, $K192/(time_cap),0)),0)</f>
        <v/>
      </c>
      <c r="AD192" s="4395">
        <f>IFERROR(IF((time+time_cap)&lt;AD$2, 0,IF(AND(time+1&gt;=AE$2, $E192&lt;AE$2), IF($I192= "I", $J192/($F192-$E192+1), $J192/(($F192*($F192+1)/2)-(($E192-1)*($E192-1+1)/2))*AD$2), 0)+IF(IF(time+1&gt;=AE$2, $K192/time_cap/(time+1)*AD$2, 0) = 0, $K192/(time_cap),0)),0)</f>
        <v/>
      </c>
      <c r="AE192" s="4395">
        <f>IFERROR(IF((time+time_cap)&lt;AE$2, 0,IF(AND(time+1&gt;=AF$2, $E192&lt;AF$2), IF($I192= "I", $J192/($F192-$E192+1), $J192/(($F192*($F192+1)/2)-(($E192-1)*($E192-1+1)/2))*AE$2), 0)+IF(IF(time+1&gt;=AF$2, $K192/time_cap/(time+1)*AE$2, 0) = 0, $K192/(time_cap),0)),0)</f>
        <v/>
      </c>
      <c r="AF192" s="4395">
        <f>IFERROR(IF((time+time_cap)&lt;AF$2, 0,IF(AND(time+1&gt;=AG$2, $E192&lt;AG$2), IF($I192= "I", $J192/($F192-$E192+1), $J192/(($F192*($F192+1)/2)-(($E192-1)*($E192-1+1)/2))*AF$2), 0)+IF(IF(time+1&gt;=AG$2, $K192/time_cap/(time+1)*AF$2, 0) = 0, $K192/(time_cap),0)),0)</f>
        <v/>
      </c>
      <c r="AG192" s="4395">
        <f>IFERROR(IF((time+time_cap)&lt;AG$2, 0,IF(AND(time+1&gt;=AH$2, $E192&lt;AH$2), IF($I192= "I", $J192/($F192-$E192+1), $J192/(($F192*($F192+1)/2)-(($E192-1)*($E192-1+1)/2))*AG$2), 0)+IF(IF(time+1&gt;=AH$2, $K192/time_cap/(time+1)*AG$2, 0) = 0, $K192/(time_cap),0)),0)</f>
        <v/>
      </c>
      <c r="AH192" s="4395">
        <f>IFERROR(IF((time+time_cap)&lt;AH$2, 0,IF(AND(time+1&gt;=AI$2, $E192&lt;AI$2), IF($I192= "I", $J192/($F192-$E192+1), $J192/(($F192*($F192+1)/2)-(($E192-1)*($E192-1+1)/2))*AH$2), 0)+IF(IF(time+1&gt;=AI$2, $K192/time_cap/(time+1)*AH$2, 0) = 0, $K192/(time_cap),0)),0)</f>
        <v/>
      </c>
      <c r="AI192" s="4395">
        <f>IFERROR(IF((time+time_cap)&lt;AI$2, 0,IF(AND(time+1&gt;=AJ$2, $E192&lt;AJ$2), IF($I192= "I", $J192/($F192-$E192+1), $J192/(($F192*($F192+1)/2)-(($E192-1)*($E192-1+1)/2))*AI$2), 0)+IF(IF(time+1&gt;=AJ$2, $K192/time_cap/(time+1)*AI$2, 0) = 0, $K192/(time_cap),0)),0)</f>
        <v/>
      </c>
      <c r="AJ192" s="4395">
        <f>IFERROR(IF((time+time_cap)&lt;AJ$2, 0,IF(AND(time+1&gt;=AK$2, $E192&lt;AK$2), IF($I192= "I", $J192/($F192-$E192+1), $J192/(($F192*($F192+1)/2)-(($E192-1)*($E192-1+1)/2))*AJ$2), 0)+IF(IF(time+1&gt;=AK$2, $K192/time_cap/(time+1)*AJ$2, 0) = 0, $K192/(time_cap),0)),0)</f>
        <v/>
      </c>
      <c r="AK192" s="4395">
        <f>IFERROR(IF((time+time_cap)&lt;AK$2, 0,IF(AND(time+1&gt;=AL$2, $E192&lt;AL$2), IF($I192= "I", $J192/($F192-$E192+1), $J192/(($F192*($F192+1)/2)-(($E192-1)*($E192-1+1)/2))*AK$2), 0)+IF(IF(time+1&gt;=AL$2, $K192/time_cap/(time+1)*AK$2, 0) = 0, $K192/(time_cap),0)),0)</f>
        <v/>
      </c>
      <c r="AL192" s="4395">
        <f>IFERROR(IF((time+time_cap)&lt;AL$2, 0,IF(AND(time+1&gt;=AM$2, $E192&lt;AM$2), IF($I192= "I", $J192/($F192-$E192+1), $J192/(($F192*($F192+1)/2)-(($E192-1)*($E192-1+1)/2))*AL$2), 0)+IF(IF(time+1&gt;=AM$2, $K192/time_cap/(time+1)*AL$2, 0) = 0, $K192/(time_cap),0)),0)</f>
        <v/>
      </c>
      <c r="AM192" s="4395">
        <f>IFERROR(IF((time+time_cap)&lt;AM$2, 0,IF(AND(time+1&gt;=AN$2, $E192&lt;AN$2), IF($I192= "I", $J192/($F192-$E192+1), $J192/(($F192*($F192+1)/2)-(($E192-1)*($E192-1+1)/2))*AM$2), 0)+IF(IF(time+1&gt;=AN$2, $K192/time_cap/(time+1)*AM$2, 0) = 0, $K192/(time_cap),0)),0)</f>
        <v/>
      </c>
      <c r="AN192" s="4395">
        <f>IFERROR(IF((time+time_cap)&lt;AN$2, 0,IF(AND(time+1&gt;=AO$2, $E192&lt;AO$2), IF($I192= "I", $J192/($F192-$E192+1), $J192/(($F192*($F192+1)/2)-(($E192-1)*($E192-1+1)/2))*AN$2), 0)+IF(IF(time+1&gt;=AO$2, $K192/time_cap/(time+1)*AN$2, 0) = 0, $K192/(time_cap),0)),0)</f>
        <v/>
      </c>
      <c r="AO192" s="4395">
        <f>IFERROR(IF((time+time_cap)&lt;AO$2, 0,IF(AND(time+1&gt;=AP$2, $E192&lt;AP$2), IF($I192= "I", $J192/($F192-$E192+1), $J192/(($F192*($F192+1)/2)-(($E192-1)*($E192-1+1)/2))*AO$2), 0)+IF(IF(time+1&gt;=AP$2, $K192/time_cap/(time+1)*AO$2, 0) = 0, $K192/(time_cap),0)),0)</f>
        <v/>
      </c>
      <c r="AP192" s="4395">
        <f>IFERROR(IF((time+time_cap)&lt;AP$2, 0,IF(AND(time+1&gt;=AQ$2, $E192&lt;AQ$2), IF($I192= "I", $J192/($F192-$E192+1), $J192/(($F192*($F192+1)/2)-(($E192-1)*($E192-1+1)/2))*AP$2), 0)+IF(IF(time+1&gt;=AQ$2, $K192/time_cap/(time+1)*AP$2, 0) = 0, $K192/(time_cap),0)),0)</f>
        <v/>
      </c>
      <c r="AQ192" s="4395">
        <f>IFERROR(IF((time+time_cap)&lt;AQ$2, 0,IF(AND(time+1&gt;=AR$2, $E192&lt;AR$2), IF($I192= "I", $J192/($F192-$E192+1), $J192/(($F192*($F192+1)/2)-(($E192-1)*($E192-1+1)/2))*AQ$2), 0)+IF(IF(time+1&gt;=AR$2, $K192/time_cap/(time+1)*AQ$2, 0) = 0, $K192/(time_cap),0)),0)</f>
        <v/>
      </c>
      <c r="AR192" s="4395">
        <f>IFERROR(IF((time+time_cap)&lt;AR$2, 0,IF(AND(time+1&gt;=AS$2, $E192&lt;AS$2), IF($I192= "I", $J192/($F192-$E192+1), $J192/(($F192*($F192+1)/2)-(($E192-1)*($E192-1+1)/2))*AR$2), 0)+IF(IF(time+1&gt;=AS$2, $K192/time_cap/(time+1)*AR$2, 0) = 0, $K192/(time_cap),0)),0)</f>
        <v/>
      </c>
      <c r="AS192" s="4395">
        <f>IFERROR(IF((time+time_cap)&lt;AS$2, 0,IF(AND(time+1&gt;=AT$2, $E192&lt;AT$2), IF($I192= "I", $J192/($F192-$E192+1), $J192/(($F192*($F192+1)/2)-(($E192-1)*($E192-1+1)/2))*AS$2), 0)+IF(IF(time+1&gt;=AT$2, $K192/time_cap/(time+1)*AS$2, 0) = 0, $K192/(time_cap),0)),0)</f>
        <v/>
      </c>
      <c r="AT192" s="4395">
        <f>IFERROR(IF((time+time_cap)&lt;AT$2, 0,IF(AND(time+1&gt;=AU$2, $E192&lt;AU$2), IF($I192= "I", $J192/($F192-$E192+1), $J192/(($F192*($F192+1)/2)-(($E192-1)*($E192-1+1)/2))*AT$2), 0)+IF(IF(time+1&gt;=AU$2, $K192/time_cap/(time+1)*AT$2, 0) = 0, $K192/(time_cap),0)),0)</f>
        <v/>
      </c>
      <c r="AU192" s="4395">
        <f>IFERROR(IF((time+time_cap)&lt;AU$2, 0,IF(AND(time+1&gt;=AV$2, $E192&lt;AV$2), IF($I192= "I", $J192/($F192-$E192+1), $J192/(($F192*($F192+1)/2)-(($E192-1)*($E192-1+1)/2))*AU$2), 0)+IF(IF(time+1&gt;=AV$2, $K192/time_cap/(time+1)*AU$2, 0) = 0, $K192/(time_cap),0)),0)</f>
        <v/>
      </c>
      <c r="AV192" s="4395">
        <f>IFERROR(IF((time+time_cap)&lt;AV$2, 0,IF(AND(time+1&gt;=AW$2, $E192&lt;AW$2), IF($I192= "I", $J192/($F192-$E192+1), $J192/(($F192*($F192+1)/2)-(($E192-1)*($E192-1+1)/2))*AV$2), 0)+IF(IF(time+1&gt;=AW$2, $K192/time_cap/(time+1)*AV$2, 0) = 0, $K192/(time_cap),0)),0)</f>
        <v/>
      </c>
      <c r="AW192" s="4395">
        <f>IFERROR(IF((time+time_cap)&lt;AW$2, 0,IF(AND(time+1&gt;=AX$2, $E192&lt;AX$2), IF($I192= "I", $J192/($F192-$E192+1), $J192/(($F192*($F192+1)/2)-(($E192-1)*($E192-1+1)/2))*AW$2), 0)+IF(IF(time+1&gt;=AX$2, $K192/time_cap/(time+1)*AW$2, 0) = 0, $K192/(time_cap),0)),0)</f>
        <v/>
      </c>
      <c r="AX192" s="4395">
        <f>IFERROR(IF((time+time_cap)&lt;AX$2, 0,IF(AND(time+1&gt;=AY$2, $E192&lt;AY$2), IF($I192= "I", $J192/($F192-$E192+1), $J192/(($F192*($F192+1)/2)-(($E192-1)*($E192-1+1)/2))*AX$2), 0)+IF(IF(time+1&gt;=AY$2, $K192/time_cap/(time+1)*AX$2, 0) = 0, $K192/(time_cap),0)),0)</f>
        <v/>
      </c>
      <c r="AY192" s="4395">
        <f>IFERROR(IF((time+time_cap)&lt;AY$2, 0,IF(AND(time+1&gt;=AZ$2, $E192&lt;AZ$2), IF($I192= "I", $J192/($F192-$E192+1), $J192/(($F192*($F192+1)/2)-(($E192-1)*($E192-1+1)/2))*AY$2), 0)+IF(IF(time+1&gt;=AZ$2, $K192/time_cap/(time+1)*AY$2, 0) = 0, $K192/(time_cap),0)),0)</f>
        <v/>
      </c>
      <c r="AZ192" s="4395">
        <f>IFERROR(IF((time+time_cap)&lt;AZ$2, 0,IF(AND(time+1&gt;=BA$2, $E192&lt;BA$2), IF($I192= "I", $J192/($F192-$E192+1), $J192/(($F192*($F192+1)/2)-(($E192-1)*($E192-1+1)/2))*AZ$2), 0)+IF(IF(time+1&gt;=BA$2, $K192/time_cap/(time+1)*AZ$2, 0) = 0, $K192/(time_cap),0)),0)</f>
        <v/>
      </c>
      <c r="BA192" s="4395">
        <f>IFERROR(IF((time+time_cap)&lt;BA$2, 0,IF(AND(time+1&gt;=BB$2, $E192&lt;BB$2), IF($I192= "I", $J192/($F192-$E192+1), $J192/(($F192*($F192+1)/2)-(($E192-1)*($E192-1+1)/2))*BA$2), 0)+IF(IF(time+1&gt;=BB$2, $K192/time_cap/(time+1)*BA$2, 0) = 0, $K192/(time_cap),0)),0)</f>
        <v/>
      </c>
      <c r="BB192" s="4395">
        <f>IFERROR(IF((time+time_cap)&lt;BB$2, 0,IF(AND(time+1&gt;=BC$2, $E192&lt;BC$2), IF($I192= "I", $J192/($F192-$E192+1), $J192/(($F192*($F192+1)/2)-(($E192-1)*($E192-1+1)/2))*BB$2), 0)+IF(IF(time+1&gt;=BC$2, $K192/time_cap/(time+1)*BB$2, 0) = 0, $K192/(time_cap),0)),0)</f>
        <v/>
      </c>
      <c r="BC192" s="4395">
        <f>IFERROR(IF((time+time_cap)&lt;BC$2, 0,IF(AND(time+1&gt;=BD$2, $E192&lt;BD$2), IF($I192= "I", $J192/($F192-$E192+1), $J192/(($F192*($F192+1)/2)-(($E192-1)*($E192-1+1)/2))*BC$2), 0)+IF(IF(time+1&gt;=BD$2, $K192/time_cap/(time+1)*BC$2, 0) = 0, $K192/(time_cap),0)),0)</f>
        <v/>
      </c>
      <c r="BD192" s="4395">
        <f>IFERROR(IF((time+time_cap)&lt;BD$2, 0,IF(AND(time+1&gt;=BE$2, $E192&lt;BE$2), IF($I192= "I", $J192/($F192-$E192+1), $J192/(($F192*($F192+1)/2)-(($E192-1)*($E192-1+1)/2))*BD$2), 0)+IF(IF(time+1&gt;=BE$2, $K192/time_cap/(time+1)*BD$2, 0) = 0, $K192/(time_cap),0)),0)</f>
        <v/>
      </c>
      <c r="BE192" s="4395">
        <f>IFERROR(IF((time+time_cap)&lt;BE$2, 0,IF(AND(time+1&gt;=BF$2, $E192&lt;BF$2), IF($I192= "I", $J192/($F192-$E192+1), $J192/(($F192*($F192+1)/2)-(($E192-1)*($E192-1+1)/2))*BE$2), 0)+IF(IF(time+1&gt;=BF$2, $K192/time_cap/(time+1)*BE$2, 0) = 0, $K192/(time_cap),0)),0)</f>
        <v/>
      </c>
      <c r="BF192" s="4395">
        <f>IFERROR(IF((time+time_cap)&lt;BF$2, 0,IF(AND(time+1&gt;=BG$2, $E192&lt;BG$2), IF($I192= "I", $J192/($F192-$E192+1), $J192/(($F192*($F192+1)/2)-(($E192-1)*($E192-1+1)/2))*BF$2), 0)+IF(IF(time+1&gt;=BG$2, $K192/time_cap/(time+1)*BF$2, 0) = 0, $K192/(time_cap),0)),0)</f>
        <v/>
      </c>
      <c r="BG192" s="4395">
        <f>IFERROR(IF((time+time_cap)&lt;BG$2, 0,IF(AND(time+1&gt;=BH$2, $E192&lt;BH$2), IF($I192= "I", $J192/($F192-$E192+1), $J192/(($F192*($F192+1)/2)-(($E192-1)*($E192-1+1)/2))*BG$2), 0)+IF(IF(time+1&gt;=BH$2, $K192/time_cap/(time+1)*BG$2, 0) = 0, $K192/(time_cap),0)),0)</f>
        <v/>
      </c>
      <c r="BH192" s="4395">
        <f>IFERROR(IF((time+time_cap)&lt;BH$2, 0,IF(AND(time+1&gt;=BI$2, $E192&lt;BI$2), IF($I192= "I", $J192/($F192-$E192+1), $J192/(($F192*($F192+1)/2)-(($E192-1)*($E192-1+1)/2))*BH$2), 0)+IF(IF(time+1&gt;=BI$2, $K192/time_cap/(time+1)*BH$2, 0) = 0, $K192/(time_cap),0)),0)</f>
        <v/>
      </c>
      <c r="BI192" s="4395">
        <f>IFERROR(IF((time+time_cap)&lt;BI$2, 0,IF(AND(time+1&gt;=BJ$2, $E192&lt;BJ$2), IF($I192= "I", $J192/($F192-$E192+1), $J192/(($F192*($F192+1)/2)-(($E192-1)*($E192-1+1)/2))*BI$2), 0)+IF(IF(time+1&gt;=BJ$2, $K192/time_cap/(time+1)*BI$2, 0) = 0, $K192/(time_cap),0)),0)</f>
        <v/>
      </c>
      <c r="BJ192" s="4395">
        <f>IFERROR(IF((time+time_cap)&lt;BJ$2, 0,IF(AND(time+1&gt;=BK$2, $E192&lt;BK$2), IF($I192= "I", $J192/($F192-$E192+1), $J192/(($F192*($F192+1)/2)-(($E192-1)*($E192-1+1)/2))*BJ$2), 0)+IF(IF(time+1&gt;=BK$2, $K192/time_cap/(time+1)*BJ$2, 0) = 0, $K192/(time_cap),0)),0)</f>
        <v/>
      </c>
      <c r="BK192" s="4395" t="n"/>
      <c r="BL192" s="4395" t="n"/>
      <c r="BM192" s="4395" t="n"/>
      <c r="BN192" s="4395" t="n"/>
      <c r="BO192" s="4395" t="n"/>
      <c r="BP192" s="4395" t="n"/>
      <c r="BQ192" s="4395" t="n"/>
      <c r="BR192" s="4395" t="n"/>
      <c r="BS192" s="4395" t="n"/>
      <c r="BT192" s="4395" t="n"/>
      <c r="BU192" s="4395" t="n"/>
      <c r="BV192" s="4395" t="n"/>
      <c r="BW192" s="4395" t="n"/>
      <c r="BX192" s="4395" t="n"/>
      <c r="BY192" s="4395" t="n"/>
      <c r="BZ192" s="4395" t="n"/>
      <c r="CA192" s="4395" t="n"/>
      <c r="CB192" s="4395" t="n"/>
      <c r="CC192" s="4395" t="n"/>
      <c r="CD192" s="4395" t="n"/>
      <c r="CE192" s="4395" t="n"/>
      <c r="CF192" s="4395" t="n"/>
      <c r="CG192" s="4395" t="n"/>
      <c r="CH192" s="4395" t="n"/>
      <c r="CI192" s="4395" t="n"/>
      <c r="CJ192" s="4395" t="n"/>
      <c r="CK192" s="4395" t="n"/>
      <c r="CL192" s="4395" t="n"/>
      <c r="CM192" s="4395" t="n"/>
      <c r="CN192" s="4395" t="n"/>
      <c r="CO192" s="4395" t="n"/>
      <c r="CP192" s="4395" t="n"/>
      <c r="CQ192" s="4395" t="n"/>
      <c r="CR192" s="4395" t="n"/>
      <c r="CS192" s="4395" t="n"/>
      <c r="CT192" s="4395" t="n"/>
      <c r="CU192" s="4395" t="n"/>
      <c r="CV192" s="4395" t="n"/>
      <c r="CW192" s="4395" t="n"/>
      <c r="CX192" s="4395" t="n"/>
      <c r="CY192" s="4395" t="n"/>
      <c r="CZ192" s="4395" t="n"/>
      <c r="DA192" s="4395" t="n"/>
      <c r="DB192" s="4395" t="n"/>
      <c r="DC192" s="4395" t="n"/>
      <c r="DD192" s="4395" t="n"/>
      <c r="DE192" s="4395" t="n"/>
      <c r="DF192" s="4395" t="n"/>
      <c r="DG192" s="4395" t="n"/>
      <c r="DH192" s="4395" t="n"/>
    </row>
    <row r="193" ht="16" customHeight="1">
      <c r="A193" t="inlineStr">
        <is>
          <t>Large scale fisheries</t>
        </is>
      </c>
      <c r="C193">
        <f>'8. Fisheries and aquaculture'!C47</f>
        <v/>
      </c>
      <c r="D193">
        <f>IFERROR('8. Fisheries and aquaculture'!AI47+(('8. Fisheries and aquaculture'!$AI$53+'8. Fisheries and aquaculture'!$AI$57)/SUM('8. Fisheries and aquaculture'!$AI$44:$AI$49)*'8. Fisheries and aquaculture'!AI47), 0)</f>
        <v/>
      </c>
      <c r="E193">
        <f>IF('8. Fisheries and aquaculture'!CN47&lt;&gt;0,'8. Fisheries and aquaculture'!CN47,'8. Fisheries and aquaculture'!CM47)</f>
        <v/>
      </c>
      <c r="F193">
        <f>time</f>
        <v/>
      </c>
      <c r="G193" s="4395">
        <f>'8. Fisheries and aquaculture'!AA47</f>
        <v/>
      </c>
      <c r="H193" s="4395">
        <f>'8. Fisheries and aquaculture'!AC47</f>
        <v/>
      </c>
      <c r="I193" s="4395">
        <f>IF(OR(H193="I", G193="I"), "I", IF(OR(H193="E", G193="E"), "E", "D"))</f>
        <v/>
      </c>
      <c r="J193" s="4395">
        <f>((D193/(time_cap+((F193-E193+1)*VLOOKUP(I193,list!$I$48:$K$50,3, FALSE))))*(F193-E193+1)*VLOOKUP(I193,list!$I$48:$K$50,3, FALSE))</f>
        <v/>
      </c>
      <c r="K193" s="4395">
        <f>((D193/(time_cap+((F193-E193+1)*VLOOKUP(I193,list!$I$48:$K$50,3, FALSE))))*time_cap)</f>
        <v/>
      </c>
      <c r="M193" s="4395">
        <f>IFERROR(IF((time+time_cap)&lt;M$2, 0,IF(AND(time+1&gt;=N$2, $E193&lt;N$2), IF($I193= "I", $J193/($F193-$E193+1), $J193/(($F193*($F193+1)/2)-(($E193-1)*($E193-1+1)/2))*M$2), 0)+IF(IF(time+1&gt;=N$2, $K193/time_cap/(time+1)*M$2, 0) = 0, $K193/(time_cap),0)),0)</f>
        <v/>
      </c>
      <c r="N193" s="4395">
        <f>IFERROR(IF((time+time_cap)&lt;N$2, 0,IF(AND(time+1&gt;=O$2, $E193&lt;O$2), IF($I193= "I", $J193/($F193-$E193+1), $J193/(($F193*($F193+1)/2)-(($E193-1)*($E193-1+1)/2))*N$2), 0)+IF(IF(time+1&gt;=O$2, $K193/time_cap/(time+1)*N$2, 0) = 0, $K193/(time_cap),0)),0)</f>
        <v/>
      </c>
      <c r="O193" s="4395">
        <f>IFERROR(IF((time+time_cap)&lt;O$2, 0,IF(AND(time+1&gt;=P$2, $E193&lt;P$2), IF($I193= "I", $J193/($F193-$E193+1), $J193/(($F193*($F193+1)/2)-(($E193-1)*($E193-1+1)/2))*O$2), 0)+IF(IF(time+1&gt;=P$2, $K193/time_cap/(time+1)*O$2, 0) = 0, $K193/(time_cap),0)),0)</f>
        <v/>
      </c>
      <c r="P193" s="4395">
        <f>IFERROR(IF((time+time_cap)&lt;P$2, 0,IF(AND(time+1&gt;=Q$2, $E193&lt;Q$2), IF($I193= "I", $J193/($F193-$E193+1), $J193/(($F193*($F193+1)/2)-(($E193-1)*($E193-1+1)/2))*P$2), 0)+IF(IF(time+1&gt;=Q$2, $K193/time_cap/(time+1)*P$2, 0) = 0, $K193/(time_cap),0)),0)</f>
        <v/>
      </c>
      <c r="Q193" s="4395">
        <f>IFERROR(IF((time+time_cap)&lt;Q$2, 0,IF(AND(time+1&gt;=R$2, $E193&lt;R$2), IF($I193= "I", $J193/($F193-$E193+1), $J193/(($F193*($F193+1)/2)-(($E193-1)*($E193-1+1)/2))*Q$2), 0)+IF(IF(time+1&gt;=R$2, $K193/time_cap/(time+1)*Q$2, 0) = 0, $K193/(time_cap),0)),0)</f>
        <v/>
      </c>
      <c r="R193" s="4395">
        <f>IFERROR(IF((time+time_cap)&lt;R$2, 0,IF(AND(time+1&gt;=S$2, $E193&lt;S$2), IF($I193= "I", $J193/($F193-$E193+1), $J193/(($F193*($F193+1)/2)-(($E193-1)*($E193-1+1)/2))*R$2), 0)+IF(IF(time+1&gt;=S$2, $K193/time_cap/(time+1)*R$2, 0) = 0, $K193/(time_cap),0)),0)</f>
        <v/>
      </c>
      <c r="S193" s="4395">
        <f>IFERROR(IF((time+time_cap)&lt;S$2, 0,IF(AND(time+1&gt;=T$2, $E193&lt;T$2), IF($I193= "I", $J193/($F193-$E193+1), $J193/(($F193*($F193+1)/2)-(($E193-1)*($E193-1+1)/2))*S$2), 0)+IF(IF(time+1&gt;=T$2, $K193/time_cap/(time+1)*S$2, 0) = 0, $K193/(time_cap),0)),0)</f>
        <v/>
      </c>
      <c r="T193" s="4395">
        <f>IFERROR(IF((time+time_cap)&lt;T$2, 0,IF(AND(time+1&gt;=U$2, $E193&lt;U$2), IF($I193= "I", $J193/($F193-$E193+1), $J193/(($F193*($F193+1)/2)-(($E193-1)*($E193-1+1)/2))*T$2), 0)+IF(IF(time+1&gt;=U$2, $K193/time_cap/(time+1)*T$2, 0) = 0, $K193/(time_cap),0)),0)</f>
        <v/>
      </c>
      <c r="U193" s="4395">
        <f>IFERROR(IF((time+time_cap)&lt;U$2, 0,IF(AND(time+1&gt;=V$2, $E193&lt;V$2), IF($I193= "I", $J193/($F193-$E193+1), $J193/(($F193*($F193+1)/2)-(($E193-1)*($E193-1+1)/2))*U$2), 0)+IF(IF(time+1&gt;=V$2, $K193/time_cap/(time+1)*U$2, 0) = 0, $K193/(time_cap),0)),0)</f>
        <v/>
      </c>
      <c r="V193" s="4395">
        <f>IFERROR(IF((time+time_cap)&lt;V$2, 0,IF(AND(time+1&gt;=W$2, $E193&lt;W$2), IF($I193= "I", $J193/($F193-$E193+1), $J193/(($F193*($F193+1)/2)-(($E193-1)*($E193-1+1)/2))*V$2), 0)+IF(IF(time+1&gt;=W$2, $K193/time_cap/(time+1)*V$2, 0) = 0, $K193/(time_cap),0)),0)</f>
        <v/>
      </c>
      <c r="W193" s="4395">
        <f>IFERROR(IF((time+time_cap)&lt;W$2, 0,IF(AND(time+1&gt;=X$2, $E193&lt;X$2), IF($I193= "I", $J193/($F193-$E193+1), $J193/(($F193*($F193+1)/2)-(($E193-1)*($E193-1+1)/2))*W$2), 0)+IF(IF(time+1&gt;=X$2, $K193/time_cap/(time+1)*W$2, 0) = 0, $K193/(time_cap),0)),0)</f>
        <v/>
      </c>
      <c r="X193" s="4395">
        <f>IFERROR(IF((time+time_cap)&lt;X$2, 0,IF(AND(time+1&gt;=Y$2, $E193&lt;Y$2), IF($I193= "I", $J193/($F193-$E193+1), $J193/(($F193*($F193+1)/2)-(($E193-1)*($E193-1+1)/2))*X$2), 0)+IF(IF(time+1&gt;=Y$2, $K193/time_cap/(time+1)*X$2, 0) = 0, $K193/(time_cap),0)),0)</f>
        <v/>
      </c>
      <c r="Y193" s="4395">
        <f>IFERROR(IF((time+time_cap)&lt;Y$2, 0,IF(AND(time+1&gt;=Z$2, $E193&lt;Z$2), IF($I193= "I", $J193/($F193-$E193+1), $J193/(($F193*($F193+1)/2)-(($E193-1)*($E193-1+1)/2))*Y$2), 0)+IF(IF(time+1&gt;=Z$2, $K193/time_cap/(time+1)*Y$2, 0) = 0, $K193/(time_cap),0)),0)</f>
        <v/>
      </c>
      <c r="Z193" s="4395">
        <f>IFERROR(IF((time+time_cap)&lt;Z$2, 0,IF(AND(time+1&gt;=AA$2, $E193&lt;AA$2), IF($I193= "I", $J193/($F193-$E193+1), $J193/(($F193*($F193+1)/2)-(($E193-1)*($E193-1+1)/2))*Z$2), 0)+IF(IF(time+1&gt;=AA$2, $K193/time_cap/(time+1)*Z$2, 0) = 0, $K193/(time_cap),0)),0)</f>
        <v/>
      </c>
      <c r="AA193" s="4395">
        <f>IFERROR(IF((time+time_cap)&lt;AA$2, 0,IF(AND(time+1&gt;=AB$2, $E193&lt;AB$2), IF($I193= "I", $J193/($F193-$E193+1), $J193/(($F193*($F193+1)/2)-(($E193-1)*($E193-1+1)/2))*AA$2), 0)+IF(IF(time+1&gt;=AB$2, $K193/time_cap/(time+1)*AA$2, 0) = 0, $K193/(time_cap),0)),0)</f>
        <v/>
      </c>
      <c r="AB193" s="4395">
        <f>IFERROR(IF((time+time_cap)&lt;AB$2, 0,IF(AND(time+1&gt;=AC$2, $E193&lt;AC$2), IF($I193= "I", $J193/($F193-$E193+1), $J193/(($F193*($F193+1)/2)-(($E193-1)*($E193-1+1)/2))*AB$2), 0)+IF(IF(time+1&gt;=AC$2, $K193/time_cap/(time+1)*AB$2, 0) = 0, $K193/(time_cap),0)),0)</f>
        <v/>
      </c>
      <c r="AC193" s="4395">
        <f>IFERROR(IF((time+time_cap)&lt;AC$2, 0,IF(AND(time+1&gt;=AD$2, $E193&lt;AD$2), IF($I193= "I", $J193/($F193-$E193+1), $J193/(($F193*($F193+1)/2)-(($E193-1)*($E193-1+1)/2))*AC$2), 0)+IF(IF(time+1&gt;=AD$2, $K193/time_cap/(time+1)*AC$2, 0) = 0, $K193/(time_cap),0)),0)</f>
        <v/>
      </c>
      <c r="AD193" s="4395">
        <f>IFERROR(IF((time+time_cap)&lt;AD$2, 0,IF(AND(time+1&gt;=AE$2, $E193&lt;AE$2), IF($I193= "I", $J193/($F193-$E193+1), $J193/(($F193*($F193+1)/2)-(($E193-1)*($E193-1+1)/2))*AD$2), 0)+IF(IF(time+1&gt;=AE$2, $K193/time_cap/(time+1)*AD$2, 0) = 0, $K193/(time_cap),0)),0)</f>
        <v/>
      </c>
      <c r="AE193" s="4395">
        <f>IFERROR(IF((time+time_cap)&lt;AE$2, 0,IF(AND(time+1&gt;=AF$2, $E193&lt;AF$2), IF($I193= "I", $J193/($F193-$E193+1), $J193/(($F193*($F193+1)/2)-(($E193-1)*($E193-1+1)/2))*AE$2), 0)+IF(IF(time+1&gt;=AF$2, $K193/time_cap/(time+1)*AE$2, 0) = 0, $K193/(time_cap),0)),0)</f>
        <v/>
      </c>
      <c r="AF193" s="4395">
        <f>IFERROR(IF((time+time_cap)&lt;AF$2, 0,IF(AND(time+1&gt;=AG$2, $E193&lt;AG$2), IF($I193= "I", $J193/($F193-$E193+1), $J193/(($F193*($F193+1)/2)-(($E193-1)*($E193-1+1)/2))*AF$2), 0)+IF(IF(time+1&gt;=AG$2, $K193/time_cap/(time+1)*AF$2, 0) = 0, $K193/(time_cap),0)),0)</f>
        <v/>
      </c>
      <c r="AG193" s="4395">
        <f>IFERROR(IF((time+time_cap)&lt;AG$2, 0,IF(AND(time+1&gt;=AH$2, $E193&lt;AH$2), IF($I193= "I", $J193/($F193-$E193+1), $J193/(($F193*($F193+1)/2)-(($E193-1)*($E193-1+1)/2))*AG$2), 0)+IF(IF(time+1&gt;=AH$2, $K193/time_cap/(time+1)*AG$2, 0) = 0, $K193/(time_cap),0)),0)</f>
        <v/>
      </c>
      <c r="AH193" s="4395">
        <f>IFERROR(IF((time+time_cap)&lt;AH$2, 0,IF(AND(time+1&gt;=AI$2, $E193&lt;AI$2), IF($I193= "I", $J193/($F193-$E193+1), $J193/(($F193*($F193+1)/2)-(($E193-1)*($E193-1+1)/2))*AH$2), 0)+IF(IF(time+1&gt;=AI$2, $K193/time_cap/(time+1)*AH$2, 0) = 0, $K193/(time_cap),0)),0)</f>
        <v/>
      </c>
      <c r="AI193" s="4395">
        <f>IFERROR(IF((time+time_cap)&lt;AI$2, 0,IF(AND(time+1&gt;=AJ$2, $E193&lt;AJ$2), IF($I193= "I", $J193/($F193-$E193+1), $J193/(($F193*($F193+1)/2)-(($E193-1)*($E193-1+1)/2))*AI$2), 0)+IF(IF(time+1&gt;=AJ$2, $K193/time_cap/(time+1)*AI$2, 0) = 0, $K193/(time_cap),0)),0)</f>
        <v/>
      </c>
      <c r="AJ193" s="4395">
        <f>IFERROR(IF((time+time_cap)&lt;AJ$2, 0,IF(AND(time+1&gt;=AK$2, $E193&lt;AK$2), IF($I193= "I", $J193/($F193-$E193+1), $J193/(($F193*($F193+1)/2)-(($E193-1)*($E193-1+1)/2))*AJ$2), 0)+IF(IF(time+1&gt;=AK$2, $K193/time_cap/(time+1)*AJ$2, 0) = 0, $K193/(time_cap),0)),0)</f>
        <v/>
      </c>
      <c r="AK193" s="4395">
        <f>IFERROR(IF((time+time_cap)&lt;AK$2, 0,IF(AND(time+1&gt;=AL$2, $E193&lt;AL$2), IF($I193= "I", $J193/($F193-$E193+1), $J193/(($F193*($F193+1)/2)-(($E193-1)*($E193-1+1)/2))*AK$2), 0)+IF(IF(time+1&gt;=AL$2, $K193/time_cap/(time+1)*AK$2, 0) = 0, $K193/(time_cap),0)),0)</f>
        <v/>
      </c>
      <c r="AL193" s="4395">
        <f>IFERROR(IF((time+time_cap)&lt;AL$2, 0,IF(AND(time+1&gt;=AM$2, $E193&lt;AM$2), IF($I193= "I", $J193/($F193-$E193+1), $J193/(($F193*($F193+1)/2)-(($E193-1)*($E193-1+1)/2))*AL$2), 0)+IF(IF(time+1&gt;=AM$2, $K193/time_cap/(time+1)*AL$2, 0) = 0, $K193/(time_cap),0)),0)</f>
        <v/>
      </c>
      <c r="AM193" s="4395">
        <f>IFERROR(IF((time+time_cap)&lt;AM$2, 0,IF(AND(time+1&gt;=AN$2, $E193&lt;AN$2), IF($I193= "I", $J193/($F193-$E193+1), $J193/(($F193*($F193+1)/2)-(($E193-1)*($E193-1+1)/2))*AM$2), 0)+IF(IF(time+1&gt;=AN$2, $K193/time_cap/(time+1)*AM$2, 0) = 0, $K193/(time_cap),0)),0)</f>
        <v/>
      </c>
      <c r="AN193" s="4395">
        <f>IFERROR(IF((time+time_cap)&lt;AN$2, 0,IF(AND(time+1&gt;=AO$2, $E193&lt;AO$2), IF($I193= "I", $J193/($F193-$E193+1), $J193/(($F193*($F193+1)/2)-(($E193-1)*($E193-1+1)/2))*AN$2), 0)+IF(IF(time+1&gt;=AO$2, $K193/time_cap/(time+1)*AN$2, 0) = 0, $K193/(time_cap),0)),0)</f>
        <v/>
      </c>
      <c r="AO193" s="4395">
        <f>IFERROR(IF((time+time_cap)&lt;AO$2, 0,IF(AND(time+1&gt;=AP$2, $E193&lt;AP$2), IF($I193= "I", $J193/($F193-$E193+1), $J193/(($F193*($F193+1)/2)-(($E193-1)*($E193-1+1)/2))*AO$2), 0)+IF(IF(time+1&gt;=AP$2, $K193/time_cap/(time+1)*AO$2, 0) = 0, $K193/(time_cap),0)),0)</f>
        <v/>
      </c>
      <c r="AP193" s="4395">
        <f>IFERROR(IF((time+time_cap)&lt;AP$2, 0,IF(AND(time+1&gt;=AQ$2, $E193&lt;AQ$2), IF($I193= "I", $J193/($F193-$E193+1), $J193/(($F193*($F193+1)/2)-(($E193-1)*($E193-1+1)/2))*AP$2), 0)+IF(IF(time+1&gt;=AQ$2, $K193/time_cap/(time+1)*AP$2, 0) = 0, $K193/(time_cap),0)),0)</f>
        <v/>
      </c>
      <c r="AQ193" s="4395">
        <f>IFERROR(IF((time+time_cap)&lt;AQ$2, 0,IF(AND(time+1&gt;=AR$2, $E193&lt;AR$2), IF($I193= "I", $J193/($F193-$E193+1), $J193/(($F193*($F193+1)/2)-(($E193-1)*($E193-1+1)/2))*AQ$2), 0)+IF(IF(time+1&gt;=AR$2, $K193/time_cap/(time+1)*AQ$2, 0) = 0, $K193/(time_cap),0)),0)</f>
        <v/>
      </c>
      <c r="AR193" s="4395">
        <f>IFERROR(IF((time+time_cap)&lt;AR$2, 0,IF(AND(time+1&gt;=AS$2, $E193&lt;AS$2), IF($I193= "I", $J193/($F193-$E193+1), $J193/(($F193*($F193+1)/2)-(($E193-1)*($E193-1+1)/2))*AR$2), 0)+IF(IF(time+1&gt;=AS$2, $K193/time_cap/(time+1)*AR$2, 0) = 0, $K193/(time_cap),0)),0)</f>
        <v/>
      </c>
      <c r="AS193" s="4395">
        <f>IFERROR(IF((time+time_cap)&lt;AS$2, 0,IF(AND(time+1&gt;=AT$2, $E193&lt;AT$2), IF($I193= "I", $J193/($F193-$E193+1), $J193/(($F193*($F193+1)/2)-(($E193-1)*($E193-1+1)/2))*AS$2), 0)+IF(IF(time+1&gt;=AT$2, $K193/time_cap/(time+1)*AS$2, 0) = 0, $K193/(time_cap),0)),0)</f>
        <v/>
      </c>
      <c r="AT193" s="4395">
        <f>IFERROR(IF((time+time_cap)&lt;AT$2, 0,IF(AND(time+1&gt;=AU$2, $E193&lt;AU$2), IF($I193= "I", $J193/($F193-$E193+1), $J193/(($F193*($F193+1)/2)-(($E193-1)*($E193-1+1)/2))*AT$2), 0)+IF(IF(time+1&gt;=AU$2, $K193/time_cap/(time+1)*AT$2, 0) = 0, $K193/(time_cap),0)),0)</f>
        <v/>
      </c>
      <c r="AU193" s="4395">
        <f>IFERROR(IF((time+time_cap)&lt;AU$2, 0,IF(AND(time+1&gt;=AV$2, $E193&lt;AV$2), IF($I193= "I", $J193/($F193-$E193+1), $J193/(($F193*($F193+1)/2)-(($E193-1)*($E193-1+1)/2))*AU$2), 0)+IF(IF(time+1&gt;=AV$2, $K193/time_cap/(time+1)*AU$2, 0) = 0, $K193/(time_cap),0)),0)</f>
        <v/>
      </c>
      <c r="AV193" s="4395">
        <f>IFERROR(IF((time+time_cap)&lt;AV$2, 0,IF(AND(time+1&gt;=AW$2, $E193&lt;AW$2), IF($I193= "I", $J193/($F193-$E193+1), $J193/(($F193*($F193+1)/2)-(($E193-1)*($E193-1+1)/2))*AV$2), 0)+IF(IF(time+1&gt;=AW$2, $K193/time_cap/(time+1)*AV$2, 0) = 0, $K193/(time_cap),0)),0)</f>
        <v/>
      </c>
      <c r="AW193" s="4395">
        <f>IFERROR(IF((time+time_cap)&lt;AW$2, 0,IF(AND(time+1&gt;=AX$2, $E193&lt;AX$2), IF($I193= "I", $J193/($F193-$E193+1), $J193/(($F193*($F193+1)/2)-(($E193-1)*($E193-1+1)/2))*AW$2), 0)+IF(IF(time+1&gt;=AX$2, $K193/time_cap/(time+1)*AW$2, 0) = 0, $K193/(time_cap),0)),0)</f>
        <v/>
      </c>
      <c r="AX193" s="4395">
        <f>IFERROR(IF((time+time_cap)&lt;AX$2, 0,IF(AND(time+1&gt;=AY$2, $E193&lt;AY$2), IF($I193= "I", $J193/($F193-$E193+1), $J193/(($F193*($F193+1)/2)-(($E193-1)*($E193-1+1)/2))*AX$2), 0)+IF(IF(time+1&gt;=AY$2, $K193/time_cap/(time+1)*AX$2, 0) = 0, $K193/(time_cap),0)),0)</f>
        <v/>
      </c>
      <c r="AY193" s="4395">
        <f>IFERROR(IF((time+time_cap)&lt;AY$2, 0,IF(AND(time+1&gt;=AZ$2, $E193&lt;AZ$2), IF($I193= "I", $J193/($F193-$E193+1), $J193/(($F193*($F193+1)/2)-(($E193-1)*($E193-1+1)/2))*AY$2), 0)+IF(IF(time+1&gt;=AZ$2, $K193/time_cap/(time+1)*AY$2, 0) = 0, $K193/(time_cap),0)),0)</f>
        <v/>
      </c>
      <c r="AZ193" s="4395">
        <f>IFERROR(IF((time+time_cap)&lt;AZ$2, 0,IF(AND(time+1&gt;=BA$2, $E193&lt;BA$2), IF($I193= "I", $J193/($F193-$E193+1), $J193/(($F193*($F193+1)/2)-(($E193-1)*($E193-1+1)/2))*AZ$2), 0)+IF(IF(time+1&gt;=BA$2, $K193/time_cap/(time+1)*AZ$2, 0) = 0, $K193/(time_cap),0)),0)</f>
        <v/>
      </c>
      <c r="BA193" s="4395">
        <f>IFERROR(IF((time+time_cap)&lt;BA$2, 0,IF(AND(time+1&gt;=BB$2, $E193&lt;BB$2), IF($I193= "I", $J193/($F193-$E193+1), $J193/(($F193*($F193+1)/2)-(($E193-1)*($E193-1+1)/2))*BA$2), 0)+IF(IF(time+1&gt;=BB$2, $K193/time_cap/(time+1)*BA$2, 0) = 0, $K193/(time_cap),0)),0)</f>
        <v/>
      </c>
      <c r="BB193" s="4395">
        <f>IFERROR(IF((time+time_cap)&lt;BB$2, 0,IF(AND(time+1&gt;=BC$2, $E193&lt;BC$2), IF($I193= "I", $J193/($F193-$E193+1), $J193/(($F193*($F193+1)/2)-(($E193-1)*($E193-1+1)/2))*BB$2), 0)+IF(IF(time+1&gt;=BC$2, $K193/time_cap/(time+1)*BB$2, 0) = 0, $K193/(time_cap),0)),0)</f>
        <v/>
      </c>
      <c r="BC193" s="4395">
        <f>IFERROR(IF((time+time_cap)&lt;BC$2, 0,IF(AND(time+1&gt;=BD$2, $E193&lt;BD$2), IF($I193= "I", $J193/($F193-$E193+1), $J193/(($F193*($F193+1)/2)-(($E193-1)*($E193-1+1)/2))*BC$2), 0)+IF(IF(time+1&gt;=BD$2, $K193/time_cap/(time+1)*BC$2, 0) = 0, $K193/(time_cap),0)),0)</f>
        <v/>
      </c>
      <c r="BD193" s="4395">
        <f>IFERROR(IF((time+time_cap)&lt;BD$2, 0,IF(AND(time+1&gt;=BE$2, $E193&lt;BE$2), IF($I193= "I", $J193/($F193-$E193+1), $J193/(($F193*($F193+1)/2)-(($E193-1)*($E193-1+1)/2))*BD$2), 0)+IF(IF(time+1&gt;=BE$2, $K193/time_cap/(time+1)*BD$2, 0) = 0, $K193/(time_cap),0)),0)</f>
        <v/>
      </c>
      <c r="BE193" s="4395">
        <f>IFERROR(IF((time+time_cap)&lt;BE$2, 0,IF(AND(time+1&gt;=BF$2, $E193&lt;BF$2), IF($I193= "I", $J193/($F193-$E193+1), $J193/(($F193*($F193+1)/2)-(($E193-1)*($E193-1+1)/2))*BE$2), 0)+IF(IF(time+1&gt;=BF$2, $K193/time_cap/(time+1)*BE$2, 0) = 0, $K193/(time_cap),0)),0)</f>
        <v/>
      </c>
      <c r="BF193" s="4395">
        <f>IFERROR(IF((time+time_cap)&lt;BF$2, 0,IF(AND(time+1&gt;=BG$2, $E193&lt;BG$2), IF($I193= "I", $J193/($F193-$E193+1), $J193/(($F193*($F193+1)/2)-(($E193-1)*($E193-1+1)/2))*BF$2), 0)+IF(IF(time+1&gt;=BG$2, $K193/time_cap/(time+1)*BF$2, 0) = 0, $K193/(time_cap),0)),0)</f>
        <v/>
      </c>
      <c r="BG193" s="4395">
        <f>IFERROR(IF((time+time_cap)&lt;BG$2, 0,IF(AND(time+1&gt;=BH$2, $E193&lt;BH$2), IF($I193= "I", $J193/($F193-$E193+1), $J193/(($F193*($F193+1)/2)-(($E193-1)*($E193-1+1)/2))*BG$2), 0)+IF(IF(time+1&gt;=BH$2, $K193/time_cap/(time+1)*BG$2, 0) = 0, $K193/(time_cap),0)),0)</f>
        <v/>
      </c>
      <c r="BH193" s="4395">
        <f>IFERROR(IF((time+time_cap)&lt;BH$2, 0,IF(AND(time+1&gt;=BI$2, $E193&lt;BI$2), IF($I193= "I", $J193/($F193-$E193+1), $J193/(($F193*($F193+1)/2)-(($E193-1)*($E193-1+1)/2))*BH$2), 0)+IF(IF(time+1&gt;=BI$2, $K193/time_cap/(time+1)*BH$2, 0) = 0, $K193/(time_cap),0)),0)</f>
        <v/>
      </c>
      <c r="BI193" s="4395">
        <f>IFERROR(IF((time+time_cap)&lt;BI$2, 0,IF(AND(time+1&gt;=BJ$2, $E193&lt;BJ$2), IF($I193= "I", $J193/($F193-$E193+1), $J193/(($F193*($F193+1)/2)-(($E193-1)*($E193-1+1)/2))*BI$2), 0)+IF(IF(time+1&gt;=BJ$2, $K193/time_cap/(time+1)*BI$2, 0) = 0, $K193/(time_cap),0)),0)</f>
        <v/>
      </c>
      <c r="BJ193" s="4395">
        <f>IFERROR(IF((time+time_cap)&lt;BJ$2, 0,IF(AND(time+1&gt;=BK$2, $E193&lt;BK$2), IF($I193= "I", $J193/($F193-$E193+1), $J193/(($F193*($F193+1)/2)-(($E193-1)*($E193-1+1)/2))*BJ$2), 0)+IF(IF(time+1&gt;=BK$2, $K193/time_cap/(time+1)*BJ$2, 0) = 0, $K193/(time_cap),0)),0)</f>
        <v/>
      </c>
      <c r="BK193" s="4395" t="n"/>
      <c r="BL193" s="4395" t="n"/>
      <c r="BM193" s="4395" t="n"/>
      <c r="BN193" s="4395" t="n"/>
      <c r="BO193" s="4395" t="n"/>
      <c r="BP193" s="4395" t="n"/>
      <c r="BQ193" s="4395" t="n"/>
      <c r="BR193" s="4395" t="n"/>
      <c r="BS193" s="4395" t="n"/>
      <c r="BT193" s="4395" t="n"/>
      <c r="BU193" s="4395" t="n"/>
      <c r="BV193" s="4395" t="n"/>
      <c r="BW193" s="4395" t="n"/>
      <c r="BX193" s="4395" t="n"/>
      <c r="BY193" s="4395" t="n"/>
      <c r="BZ193" s="4395" t="n"/>
      <c r="CA193" s="4395" t="n"/>
      <c r="CB193" s="4395" t="n"/>
      <c r="CC193" s="4395" t="n"/>
      <c r="CD193" s="4395" t="n"/>
      <c r="CE193" s="4395" t="n"/>
      <c r="CF193" s="4395" t="n"/>
      <c r="CG193" s="4395" t="n"/>
      <c r="CH193" s="4395" t="n"/>
      <c r="CI193" s="4395" t="n"/>
      <c r="CJ193" s="4395" t="n"/>
      <c r="CK193" s="4395" t="n"/>
      <c r="CL193" s="4395" t="n"/>
      <c r="CM193" s="4395" t="n"/>
      <c r="CN193" s="4395" t="n"/>
      <c r="CO193" s="4395" t="n"/>
      <c r="CP193" s="4395" t="n"/>
      <c r="CQ193" s="4395" t="n"/>
      <c r="CR193" s="4395" t="n"/>
      <c r="CS193" s="4395" t="n"/>
      <c r="CT193" s="4395" t="n"/>
      <c r="CU193" s="4395" t="n"/>
      <c r="CV193" s="4395" t="n"/>
      <c r="CW193" s="4395" t="n"/>
      <c r="CX193" s="4395" t="n"/>
      <c r="CY193" s="4395" t="n"/>
      <c r="CZ193" s="4395" t="n"/>
      <c r="DA193" s="4395" t="n"/>
      <c r="DB193" s="4395" t="n"/>
      <c r="DC193" s="4395" t="n"/>
      <c r="DD193" s="4395" t="n"/>
      <c r="DE193" s="4395" t="n"/>
      <c r="DF193" s="4395" t="n"/>
      <c r="DG193" s="4395" t="n"/>
      <c r="DH193" s="4395" t="n"/>
    </row>
    <row r="194" ht="16" customHeight="1">
      <c r="A194" t="inlineStr">
        <is>
          <t>Large scale fisheries</t>
        </is>
      </c>
      <c r="C194">
        <f>'8. Fisheries and aquaculture'!C48</f>
        <v/>
      </c>
      <c r="D194">
        <f>IFERROR('8. Fisheries and aquaculture'!AI48+(('8. Fisheries and aquaculture'!$AI$53+'8. Fisheries and aquaculture'!$AI$57)/SUM('8. Fisheries and aquaculture'!$AI$44:$AI$49)*'8. Fisheries and aquaculture'!AI48), 0)</f>
        <v/>
      </c>
      <c r="E194">
        <f>IF('8. Fisheries and aquaculture'!CN48&lt;&gt;0,'8. Fisheries and aquaculture'!CN48,'8. Fisheries and aquaculture'!CM48)</f>
        <v/>
      </c>
      <c r="F194">
        <f>time</f>
        <v/>
      </c>
      <c r="G194" s="4395">
        <f>'8. Fisheries and aquaculture'!AA48</f>
        <v/>
      </c>
      <c r="H194" s="4395">
        <f>'8. Fisheries and aquaculture'!AC48</f>
        <v/>
      </c>
      <c r="I194" s="4395">
        <f>IF(OR(H194="I", G194="I"), "I", IF(OR(H194="E", G194="E"), "E", "D"))</f>
        <v/>
      </c>
      <c r="J194" s="4395">
        <f>((D194/(time_cap+((F194-E194+1)*VLOOKUP(I194,list!$I$48:$K$50,3, FALSE))))*(F194-E194+1)*VLOOKUP(I194,list!$I$48:$K$50,3, FALSE))</f>
        <v/>
      </c>
      <c r="K194" s="4395">
        <f>((D194/(time_cap+((F194-E194+1)*VLOOKUP(I194,list!$I$48:$K$50,3, FALSE))))*time_cap)</f>
        <v/>
      </c>
      <c r="M194" s="4395">
        <f>IFERROR(IF((time+time_cap)&lt;M$2, 0,IF(AND(time+1&gt;=N$2, $E194&lt;N$2), IF($I194= "I", $J194/($F194-$E194+1), $J194/(($F194*($F194+1)/2)-(($E194-1)*($E194-1+1)/2))*M$2), 0)+IF(IF(time+1&gt;=N$2, $K194/time_cap/(time+1)*M$2, 0) = 0, $K194/(time_cap),0)),0)</f>
        <v/>
      </c>
      <c r="N194" s="4395">
        <f>IFERROR(IF((time+time_cap)&lt;N$2, 0,IF(AND(time+1&gt;=O$2, $E194&lt;O$2), IF($I194= "I", $J194/($F194-$E194+1), $J194/(($F194*($F194+1)/2)-(($E194-1)*($E194-1+1)/2))*N$2), 0)+IF(IF(time+1&gt;=O$2, $K194/time_cap/(time+1)*N$2, 0) = 0, $K194/(time_cap),0)),0)</f>
        <v/>
      </c>
      <c r="O194" s="4395">
        <f>IFERROR(IF((time+time_cap)&lt;O$2, 0,IF(AND(time+1&gt;=P$2, $E194&lt;P$2), IF($I194= "I", $J194/($F194-$E194+1), $J194/(($F194*($F194+1)/2)-(($E194-1)*($E194-1+1)/2))*O$2), 0)+IF(IF(time+1&gt;=P$2, $K194/time_cap/(time+1)*O$2, 0) = 0, $K194/(time_cap),0)),0)</f>
        <v/>
      </c>
      <c r="P194" s="4395">
        <f>IFERROR(IF((time+time_cap)&lt;P$2, 0,IF(AND(time+1&gt;=Q$2, $E194&lt;Q$2), IF($I194= "I", $J194/($F194-$E194+1), $J194/(($F194*($F194+1)/2)-(($E194-1)*($E194-1+1)/2))*P$2), 0)+IF(IF(time+1&gt;=Q$2, $K194/time_cap/(time+1)*P$2, 0) = 0, $K194/(time_cap),0)),0)</f>
        <v/>
      </c>
      <c r="Q194" s="4395">
        <f>IFERROR(IF((time+time_cap)&lt;Q$2, 0,IF(AND(time+1&gt;=R$2, $E194&lt;R$2), IF($I194= "I", $J194/($F194-$E194+1), $J194/(($F194*($F194+1)/2)-(($E194-1)*($E194-1+1)/2))*Q$2), 0)+IF(IF(time+1&gt;=R$2, $K194/time_cap/(time+1)*Q$2, 0) = 0, $K194/(time_cap),0)),0)</f>
        <v/>
      </c>
      <c r="R194" s="4395">
        <f>IFERROR(IF((time+time_cap)&lt;R$2, 0,IF(AND(time+1&gt;=S$2, $E194&lt;S$2), IF($I194= "I", $J194/($F194-$E194+1), $J194/(($F194*($F194+1)/2)-(($E194-1)*($E194-1+1)/2))*R$2), 0)+IF(IF(time+1&gt;=S$2, $K194/time_cap/(time+1)*R$2, 0) = 0, $K194/(time_cap),0)),0)</f>
        <v/>
      </c>
      <c r="S194" s="4395">
        <f>IFERROR(IF((time+time_cap)&lt;S$2, 0,IF(AND(time+1&gt;=T$2, $E194&lt;T$2), IF($I194= "I", $J194/($F194-$E194+1), $J194/(($F194*($F194+1)/2)-(($E194-1)*($E194-1+1)/2))*S$2), 0)+IF(IF(time+1&gt;=T$2, $K194/time_cap/(time+1)*S$2, 0) = 0, $K194/(time_cap),0)),0)</f>
        <v/>
      </c>
      <c r="T194" s="4395">
        <f>IFERROR(IF((time+time_cap)&lt;T$2, 0,IF(AND(time+1&gt;=U$2, $E194&lt;U$2), IF($I194= "I", $J194/($F194-$E194+1), $J194/(($F194*($F194+1)/2)-(($E194-1)*($E194-1+1)/2))*T$2), 0)+IF(IF(time+1&gt;=U$2, $K194/time_cap/(time+1)*T$2, 0) = 0, $K194/(time_cap),0)),0)</f>
        <v/>
      </c>
      <c r="U194" s="4395">
        <f>IFERROR(IF((time+time_cap)&lt;U$2, 0,IF(AND(time+1&gt;=V$2, $E194&lt;V$2), IF($I194= "I", $J194/($F194-$E194+1), $J194/(($F194*($F194+1)/2)-(($E194-1)*($E194-1+1)/2))*U$2), 0)+IF(IF(time+1&gt;=V$2, $K194/time_cap/(time+1)*U$2, 0) = 0, $K194/(time_cap),0)),0)</f>
        <v/>
      </c>
      <c r="V194" s="4395">
        <f>IFERROR(IF((time+time_cap)&lt;V$2, 0,IF(AND(time+1&gt;=W$2, $E194&lt;W$2), IF($I194= "I", $J194/($F194-$E194+1), $J194/(($F194*($F194+1)/2)-(($E194-1)*($E194-1+1)/2))*V$2), 0)+IF(IF(time+1&gt;=W$2, $K194/time_cap/(time+1)*V$2, 0) = 0, $K194/(time_cap),0)),0)</f>
        <v/>
      </c>
      <c r="W194" s="4395">
        <f>IFERROR(IF((time+time_cap)&lt;W$2, 0,IF(AND(time+1&gt;=X$2, $E194&lt;X$2), IF($I194= "I", $J194/($F194-$E194+1), $J194/(($F194*($F194+1)/2)-(($E194-1)*($E194-1+1)/2))*W$2), 0)+IF(IF(time+1&gt;=X$2, $K194/time_cap/(time+1)*W$2, 0) = 0, $K194/(time_cap),0)),0)</f>
        <v/>
      </c>
      <c r="X194" s="4395">
        <f>IFERROR(IF((time+time_cap)&lt;X$2, 0,IF(AND(time+1&gt;=Y$2, $E194&lt;Y$2), IF($I194= "I", $J194/($F194-$E194+1), $J194/(($F194*($F194+1)/2)-(($E194-1)*($E194-1+1)/2))*X$2), 0)+IF(IF(time+1&gt;=Y$2, $K194/time_cap/(time+1)*X$2, 0) = 0, $K194/(time_cap),0)),0)</f>
        <v/>
      </c>
      <c r="Y194" s="4395">
        <f>IFERROR(IF((time+time_cap)&lt;Y$2, 0,IF(AND(time+1&gt;=Z$2, $E194&lt;Z$2), IF($I194= "I", $J194/($F194-$E194+1), $J194/(($F194*($F194+1)/2)-(($E194-1)*($E194-1+1)/2))*Y$2), 0)+IF(IF(time+1&gt;=Z$2, $K194/time_cap/(time+1)*Y$2, 0) = 0, $K194/(time_cap),0)),0)</f>
        <v/>
      </c>
      <c r="Z194" s="4395">
        <f>IFERROR(IF((time+time_cap)&lt;Z$2, 0,IF(AND(time+1&gt;=AA$2, $E194&lt;AA$2), IF($I194= "I", $J194/($F194-$E194+1), $J194/(($F194*($F194+1)/2)-(($E194-1)*($E194-1+1)/2))*Z$2), 0)+IF(IF(time+1&gt;=AA$2, $K194/time_cap/(time+1)*Z$2, 0) = 0, $K194/(time_cap),0)),0)</f>
        <v/>
      </c>
      <c r="AA194" s="4395">
        <f>IFERROR(IF((time+time_cap)&lt;AA$2, 0,IF(AND(time+1&gt;=AB$2, $E194&lt;AB$2), IF($I194= "I", $J194/($F194-$E194+1), $J194/(($F194*($F194+1)/2)-(($E194-1)*($E194-1+1)/2))*AA$2), 0)+IF(IF(time+1&gt;=AB$2, $K194/time_cap/(time+1)*AA$2, 0) = 0, $K194/(time_cap),0)),0)</f>
        <v/>
      </c>
      <c r="AB194" s="4395">
        <f>IFERROR(IF((time+time_cap)&lt;AB$2, 0,IF(AND(time+1&gt;=AC$2, $E194&lt;AC$2), IF($I194= "I", $J194/($F194-$E194+1), $J194/(($F194*($F194+1)/2)-(($E194-1)*($E194-1+1)/2))*AB$2), 0)+IF(IF(time+1&gt;=AC$2, $K194/time_cap/(time+1)*AB$2, 0) = 0, $K194/(time_cap),0)),0)</f>
        <v/>
      </c>
      <c r="AC194" s="4395">
        <f>IFERROR(IF((time+time_cap)&lt;AC$2, 0,IF(AND(time+1&gt;=AD$2, $E194&lt;AD$2), IF($I194= "I", $J194/($F194-$E194+1), $J194/(($F194*($F194+1)/2)-(($E194-1)*($E194-1+1)/2))*AC$2), 0)+IF(IF(time+1&gt;=AD$2, $K194/time_cap/(time+1)*AC$2, 0) = 0, $K194/(time_cap),0)),0)</f>
        <v/>
      </c>
      <c r="AD194" s="4395">
        <f>IFERROR(IF((time+time_cap)&lt;AD$2, 0,IF(AND(time+1&gt;=AE$2, $E194&lt;AE$2), IF($I194= "I", $J194/($F194-$E194+1), $J194/(($F194*($F194+1)/2)-(($E194-1)*($E194-1+1)/2))*AD$2), 0)+IF(IF(time+1&gt;=AE$2, $K194/time_cap/(time+1)*AD$2, 0) = 0, $K194/(time_cap),0)),0)</f>
        <v/>
      </c>
      <c r="AE194" s="4395">
        <f>IFERROR(IF((time+time_cap)&lt;AE$2, 0,IF(AND(time+1&gt;=AF$2, $E194&lt;AF$2), IF($I194= "I", $J194/($F194-$E194+1), $J194/(($F194*($F194+1)/2)-(($E194-1)*($E194-1+1)/2))*AE$2), 0)+IF(IF(time+1&gt;=AF$2, $K194/time_cap/(time+1)*AE$2, 0) = 0, $K194/(time_cap),0)),0)</f>
        <v/>
      </c>
      <c r="AF194" s="4395">
        <f>IFERROR(IF((time+time_cap)&lt;AF$2, 0,IF(AND(time+1&gt;=AG$2, $E194&lt;AG$2), IF($I194= "I", $J194/($F194-$E194+1), $J194/(($F194*($F194+1)/2)-(($E194-1)*($E194-1+1)/2))*AF$2), 0)+IF(IF(time+1&gt;=AG$2, $K194/time_cap/(time+1)*AF$2, 0) = 0, $K194/(time_cap),0)),0)</f>
        <v/>
      </c>
      <c r="AG194" s="4395">
        <f>IFERROR(IF((time+time_cap)&lt;AG$2, 0,IF(AND(time+1&gt;=AH$2, $E194&lt;AH$2), IF($I194= "I", $J194/($F194-$E194+1), $J194/(($F194*($F194+1)/2)-(($E194-1)*($E194-1+1)/2))*AG$2), 0)+IF(IF(time+1&gt;=AH$2, $K194/time_cap/(time+1)*AG$2, 0) = 0, $K194/(time_cap),0)),0)</f>
        <v/>
      </c>
      <c r="AH194" s="4395">
        <f>IFERROR(IF((time+time_cap)&lt;AH$2, 0,IF(AND(time+1&gt;=AI$2, $E194&lt;AI$2), IF($I194= "I", $J194/($F194-$E194+1), $J194/(($F194*($F194+1)/2)-(($E194-1)*($E194-1+1)/2))*AH$2), 0)+IF(IF(time+1&gt;=AI$2, $K194/time_cap/(time+1)*AH$2, 0) = 0, $K194/(time_cap),0)),0)</f>
        <v/>
      </c>
      <c r="AI194" s="4395">
        <f>IFERROR(IF((time+time_cap)&lt;AI$2, 0,IF(AND(time+1&gt;=AJ$2, $E194&lt;AJ$2), IF($I194= "I", $J194/($F194-$E194+1), $J194/(($F194*($F194+1)/2)-(($E194-1)*($E194-1+1)/2))*AI$2), 0)+IF(IF(time+1&gt;=AJ$2, $K194/time_cap/(time+1)*AI$2, 0) = 0, $K194/(time_cap),0)),0)</f>
        <v/>
      </c>
      <c r="AJ194" s="4395">
        <f>IFERROR(IF((time+time_cap)&lt;AJ$2, 0,IF(AND(time+1&gt;=AK$2, $E194&lt;AK$2), IF($I194= "I", $J194/($F194-$E194+1), $J194/(($F194*($F194+1)/2)-(($E194-1)*($E194-1+1)/2))*AJ$2), 0)+IF(IF(time+1&gt;=AK$2, $K194/time_cap/(time+1)*AJ$2, 0) = 0, $K194/(time_cap),0)),0)</f>
        <v/>
      </c>
      <c r="AK194" s="4395">
        <f>IFERROR(IF((time+time_cap)&lt;AK$2, 0,IF(AND(time+1&gt;=AL$2, $E194&lt;AL$2), IF($I194= "I", $J194/($F194-$E194+1), $J194/(($F194*($F194+1)/2)-(($E194-1)*($E194-1+1)/2))*AK$2), 0)+IF(IF(time+1&gt;=AL$2, $K194/time_cap/(time+1)*AK$2, 0) = 0, $K194/(time_cap),0)),0)</f>
        <v/>
      </c>
      <c r="AL194" s="4395">
        <f>IFERROR(IF((time+time_cap)&lt;AL$2, 0,IF(AND(time+1&gt;=AM$2, $E194&lt;AM$2), IF($I194= "I", $J194/($F194-$E194+1), $J194/(($F194*($F194+1)/2)-(($E194-1)*($E194-1+1)/2))*AL$2), 0)+IF(IF(time+1&gt;=AM$2, $K194/time_cap/(time+1)*AL$2, 0) = 0, $K194/(time_cap),0)),0)</f>
        <v/>
      </c>
      <c r="AM194" s="4395">
        <f>IFERROR(IF((time+time_cap)&lt;AM$2, 0,IF(AND(time+1&gt;=AN$2, $E194&lt;AN$2), IF($I194= "I", $J194/($F194-$E194+1), $J194/(($F194*($F194+1)/2)-(($E194-1)*($E194-1+1)/2))*AM$2), 0)+IF(IF(time+1&gt;=AN$2, $K194/time_cap/(time+1)*AM$2, 0) = 0, $K194/(time_cap),0)),0)</f>
        <v/>
      </c>
      <c r="AN194" s="4395">
        <f>IFERROR(IF((time+time_cap)&lt;AN$2, 0,IF(AND(time+1&gt;=AO$2, $E194&lt;AO$2), IF($I194= "I", $J194/($F194-$E194+1), $J194/(($F194*($F194+1)/2)-(($E194-1)*($E194-1+1)/2))*AN$2), 0)+IF(IF(time+1&gt;=AO$2, $K194/time_cap/(time+1)*AN$2, 0) = 0, $K194/(time_cap),0)),0)</f>
        <v/>
      </c>
      <c r="AO194" s="4395">
        <f>IFERROR(IF((time+time_cap)&lt;AO$2, 0,IF(AND(time+1&gt;=AP$2, $E194&lt;AP$2), IF($I194= "I", $J194/($F194-$E194+1), $J194/(($F194*($F194+1)/2)-(($E194-1)*($E194-1+1)/2))*AO$2), 0)+IF(IF(time+1&gt;=AP$2, $K194/time_cap/(time+1)*AO$2, 0) = 0, $K194/(time_cap),0)),0)</f>
        <v/>
      </c>
      <c r="AP194" s="4395">
        <f>IFERROR(IF((time+time_cap)&lt;AP$2, 0,IF(AND(time+1&gt;=AQ$2, $E194&lt;AQ$2), IF($I194= "I", $J194/($F194-$E194+1), $J194/(($F194*($F194+1)/2)-(($E194-1)*($E194-1+1)/2))*AP$2), 0)+IF(IF(time+1&gt;=AQ$2, $K194/time_cap/(time+1)*AP$2, 0) = 0, $K194/(time_cap),0)),0)</f>
        <v/>
      </c>
      <c r="AQ194" s="4395">
        <f>IFERROR(IF((time+time_cap)&lt;AQ$2, 0,IF(AND(time+1&gt;=AR$2, $E194&lt;AR$2), IF($I194= "I", $J194/($F194-$E194+1), $J194/(($F194*($F194+1)/2)-(($E194-1)*($E194-1+1)/2))*AQ$2), 0)+IF(IF(time+1&gt;=AR$2, $K194/time_cap/(time+1)*AQ$2, 0) = 0, $K194/(time_cap),0)),0)</f>
        <v/>
      </c>
      <c r="AR194" s="4395">
        <f>IFERROR(IF((time+time_cap)&lt;AR$2, 0,IF(AND(time+1&gt;=AS$2, $E194&lt;AS$2), IF($I194= "I", $J194/($F194-$E194+1), $J194/(($F194*($F194+1)/2)-(($E194-1)*($E194-1+1)/2))*AR$2), 0)+IF(IF(time+1&gt;=AS$2, $K194/time_cap/(time+1)*AR$2, 0) = 0, $K194/(time_cap),0)),0)</f>
        <v/>
      </c>
      <c r="AS194" s="4395">
        <f>IFERROR(IF((time+time_cap)&lt;AS$2, 0,IF(AND(time+1&gt;=AT$2, $E194&lt;AT$2), IF($I194= "I", $J194/($F194-$E194+1), $J194/(($F194*($F194+1)/2)-(($E194-1)*($E194-1+1)/2))*AS$2), 0)+IF(IF(time+1&gt;=AT$2, $K194/time_cap/(time+1)*AS$2, 0) = 0, $K194/(time_cap),0)),0)</f>
        <v/>
      </c>
      <c r="AT194" s="4395">
        <f>IFERROR(IF((time+time_cap)&lt;AT$2, 0,IF(AND(time+1&gt;=AU$2, $E194&lt;AU$2), IF($I194= "I", $J194/($F194-$E194+1), $J194/(($F194*($F194+1)/2)-(($E194-1)*($E194-1+1)/2))*AT$2), 0)+IF(IF(time+1&gt;=AU$2, $K194/time_cap/(time+1)*AT$2, 0) = 0, $K194/(time_cap),0)),0)</f>
        <v/>
      </c>
      <c r="AU194" s="4395">
        <f>IFERROR(IF((time+time_cap)&lt;AU$2, 0,IF(AND(time+1&gt;=AV$2, $E194&lt;AV$2), IF($I194= "I", $J194/($F194-$E194+1), $J194/(($F194*($F194+1)/2)-(($E194-1)*($E194-1+1)/2))*AU$2), 0)+IF(IF(time+1&gt;=AV$2, $K194/time_cap/(time+1)*AU$2, 0) = 0, $K194/(time_cap),0)),0)</f>
        <v/>
      </c>
      <c r="AV194" s="4395">
        <f>IFERROR(IF((time+time_cap)&lt;AV$2, 0,IF(AND(time+1&gt;=AW$2, $E194&lt;AW$2), IF($I194= "I", $J194/($F194-$E194+1), $J194/(($F194*($F194+1)/2)-(($E194-1)*($E194-1+1)/2))*AV$2), 0)+IF(IF(time+1&gt;=AW$2, $K194/time_cap/(time+1)*AV$2, 0) = 0, $K194/(time_cap),0)),0)</f>
        <v/>
      </c>
      <c r="AW194" s="4395">
        <f>IFERROR(IF((time+time_cap)&lt;AW$2, 0,IF(AND(time+1&gt;=AX$2, $E194&lt;AX$2), IF($I194= "I", $J194/($F194-$E194+1), $J194/(($F194*($F194+1)/2)-(($E194-1)*($E194-1+1)/2))*AW$2), 0)+IF(IF(time+1&gt;=AX$2, $K194/time_cap/(time+1)*AW$2, 0) = 0, $K194/(time_cap),0)),0)</f>
        <v/>
      </c>
      <c r="AX194" s="4395">
        <f>IFERROR(IF((time+time_cap)&lt;AX$2, 0,IF(AND(time+1&gt;=AY$2, $E194&lt;AY$2), IF($I194= "I", $J194/($F194-$E194+1), $J194/(($F194*($F194+1)/2)-(($E194-1)*($E194-1+1)/2))*AX$2), 0)+IF(IF(time+1&gt;=AY$2, $K194/time_cap/(time+1)*AX$2, 0) = 0, $K194/(time_cap),0)),0)</f>
        <v/>
      </c>
      <c r="AY194" s="4395">
        <f>IFERROR(IF((time+time_cap)&lt;AY$2, 0,IF(AND(time+1&gt;=AZ$2, $E194&lt;AZ$2), IF($I194= "I", $J194/($F194-$E194+1), $J194/(($F194*($F194+1)/2)-(($E194-1)*($E194-1+1)/2))*AY$2), 0)+IF(IF(time+1&gt;=AZ$2, $K194/time_cap/(time+1)*AY$2, 0) = 0, $K194/(time_cap),0)),0)</f>
        <v/>
      </c>
      <c r="AZ194" s="4395">
        <f>IFERROR(IF((time+time_cap)&lt;AZ$2, 0,IF(AND(time+1&gt;=BA$2, $E194&lt;BA$2), IF($I194= "I", $J194/($F194-$E194+1), $J194/(($F194*($F194+1)/2)-(($E194-1)*($E194-1+1)/2))*AZ$2), 0)+IF(IF(time+1&gt;=BA$2, $K194/time_cap/(time+1)*AZ$2, 0) = 0, $K194/(time_cap),0)),0)</f>
        <v/>
      </c>
      <c r="BA194" s="4395">
        <f>IFERROR(IF((time+time_cap)&lt;BA$2, 0,IF(AND(time+1&gt;=BB$2, $E194&lt;BB$2), IF($I194= "I", $J194/($F194-$E194+1), $J194/(($F194*($F194+1)/2)-(($E194-1)*($E194-1+1)/2))*BA$2), 0)+IF(IF(time+1&gt;=BB$2, $K194/time_cap/(time+1)*BA$2, 0) = 0, $K194/(time_cap),0)),0)</f>
        <v/>
      </c>
      <c r="BB194" s="4395">
        <f>IFERROR(IF((time+time_cap)&lt;BB$2, 0,IF(AND(time+1&gt;=BC$2, $E194&lt;BC$2), IF($I194= "I", $J194/($F194-$E194+1), $J194/(($F194*($F194+1)/2)-(($E194-1)*($E194-1+1)/2))*BB$2), 0)+IF(IF(time+1&gt;=BC$2, $K194/time_cap/(time+1)*BB$2, 0) = 0, $K194/(time_cap),0)),0)</f>
        <v/>
      </c>
      <c r="BC194" s="4395">
        <f>IFERROR(IF((time+time_cap)&lt;BC$2, 0,IF(AND(time+1&gt;=BD$2, $E194&lt;BD$2), IF($I194= "I", $J194/($F194-$E194+1), $J194/(($F194*($F194+1)/2)-(($E194-1)*($E194-1+1)/2))*BC$2), 0)+IF(IF(time+1&gt;=BD$2, $K194/time_cap/(time+1)*BC$2, 0) = 0, $K194/(time_cap),0)),0)</f>
        <v/>
      </c>
      <c r="BD194" s="4395">
        <f>IFERROR(IF((time+time_cap)&lt;BD$2, 0,IF(AND(time+1&gt;=BE$2, $E194&lt;BE$2), IF($I194= "I", $J194/($F194-$E194+1), $J194/(($F194*($F194+1)/2)-(($E194-1)*($E194-1+1)/2))*BD$2), 0)+IF(IF(time+1&gt;=BE$2, $K194/time_cap/(time+1)*BD$2, 0) = 0, $K194/(time_cap),0)),0)</f>
        <v/>
      </c>
      <c r="BE194" s="4395">
        <f>IFERROR(IF((time+time_cap)&lt;BE$2, 0,IF(AND(time+1&gt;=BF$2, $E194&lt;BF$2), IF($I194= "I", $J194/($F194-$E194+1), $J194/(($F194*($F194+1)/2)-(($E194-1)*($E194-1+1)/2))*BE$2), 0)+IF(IF(time+1&gt;=BF$2, $K194/time_cap/(time+1)*BE$2, 0) = 0, $K194/(time_cap),0)),0)</f>
        <v/>
      </c>
      <c r="BF194" s="4395">
        <f>IFERROR(IF((time+time_cap)&lt;BF$2, 0,IF(AND(time+1&gt;=BG$2, $E194&lt;BG$2), IF($I194= "I", $J194/($F194-$E194+1), $J194/(($F194*($F194+1)/2)-(($E194-1)*($E194-1+1)/2))*BF$2), 0)+IF(IF(time+1&gt;=BG$2, $K194/time_cap/(time+1)*BF$2, 0) = 0, $K194/(time_cap),0)),0)</f>
        <v/>
      </c>
      <c r="BG194" s="4395">
        <f>IFERROR(IF((time+time_cap)&lt;BG$2, 0,IF(AND(time+1&gt;=BH$2, $E194&lt;BH$2), IF($I194= "I", $J194/($F194-$E194+1), $J194/(($F194*($F194+1)/2)-(($E194-1)*($E194-1+1)/2))*BG$2), 0)+IF(IF(time+1&gt;=BH$2, $K194/time_cap/(time+1)*BG$2, 0) = 0, $K194/(time_cap),0)),0)</f>
        <v/>
      </c>
      <c r="BH194" s="4395">
        <f>IFERROR(IF((time+time_cap)&lt;BH$2, 0,IF(AND(time+1&gt;=BI$2, $E194&lt;BI$2), IF($I194= "I", $J194/($F194-$E194+1), $J194/(($F194*($F194+1)/2)-(($E194-1)*($E194-1+1)/2))*BH$2), 0)+IF(IF(time+1&gt;=BI$2, $K194/time_cap/(time+1)*BH$2, 0) = 0, $K194/(time_cap),0)),0)</f>
        <v/>
      </c>
      <c r="BI194" s="4395">
        <f>IFERROR(IF((time+time_cap)&lt;BI$2, 0,IF(AND(time+1&gt;=BJ$2, $E194&lt;BJ$2), IF($I194= "I", $J194/($F194-$E194+1), $J194/(($F194*($F194+1)/2)-(($E194-1)*($E194-1+1)/2))*BI$2), 0)+IF(IF(time+1&gt;=BJ$2, $K194/time_cap/(time+1)*BI$2, 0) = 0, $K194/(time_cap),0)),0)</f>
        <v/>
      </c>
      <c r="BJ194" s="4395">
        <f>IFERROR(IF((time+time_cap)&lt;BJ$2, 0,IF(AND(time+1&gt;=BK$2, $E194&lt;BK$2), IF($I194= "I", $J194/($F194-$E194+1), $J194/(($F194*($F194+1)/2)-(($E194-1)*($E194-1+1)/2))*BJ$2), 0)+IF(IF(time+1&gt;=BK$2, $K194/time_cap/(time+1)*BJ$2, 0) = 0, $K194/(time_cap),0)),0)</f>
        <v/>
      </c>
      <c r="BK194" s="4395" t="n"/>
      <c r="BL194" s="4395" t="n"/>
      <c r="BM194" s="4395" t="n"/>
      <c r="BN194" s="4395" t="n"/>
      <c r="BO194" s="4395" t="n"/>
      <c r="BP194" s="4395" t="n"/>
      <c r="BQ194" s="4395" t="n"/>
      <c r="BR194" s="4395" t="n"/>
      <c r="BS194" s="4395" t="n"/>
      <c r="BT194" s="4395" t="n"/>
      <c r="BU194" s="4395" t="n"/>
      <c r="BV194" s="4395" t="n"/>
      <c r="BW194" s="4395" t="n"/>
      <c r="BX194" s="4395" t="n"/>
      <c r="BY194" s="4395" t="n"/>
      <c r="BZ194" s="4395" t="n"/>
      <c r="CA194" s="4395" t="n"/>
      <c r="CB194" s="4395" t="n"/>
      <c r="CC194" s="4395" t="n"/>
      <c r="CD194" s="4395" t="n"/>
      <c r="CE194" s="4395" t="n"/>
      <c r="CF194" s="4395" t="n"/>
      <c r="CG194" s="4395" t="n"/>
      <c r="CH194" s="4395" t="n"/>
      <c r="CI194" s="4395" t="n"/>
      <c r="CJ194" s="4395" t="n"/>
      <c r="CK194" s="4395" t="n"/>
      <c r="CL194" s="4395" t="n"/>
      <c r="CM194" s="4395" t="n"/>
      <c r="CN194" s="4395" t="n"/>
      <c r="CO194" s="4395" t="n"/>
      <c r="CP194" s="4395" t="n"/>
      <c r="CQ194" s="4395" t="n"/>
      <c r="CR194" s="4395" t="n"/>
      <c r="CS194" s="4395" t="n"/>
      <c r="CT194" s="4395" t="n"/>
      <c r="CU194" s="4395" t="n"/>
      <c r="CV194" s="4395" t="n"/>
      <c r="CW194" s="4395" t="n"/>
      <c r="CX194" s="4395" t="n"/>
      <c r="CY194" s="4395" t="n"/>
      <c r="CZ194" s="4395" t="n"/>
      <c r="DA194" s="4395" t="n"/>
      <c r="DB194" s="4395" t="n"/>
      <c r="DC194" s="4395" t="n"/>
      <c r="DD194" s="4395" t="n"/>
      <c r="DE194" s="4395" t="n"/>
      <c r="DF194" s="4395" t="n"/>
      <c r="DG194" s="4395" t="n"/>
      <c r="DH194" s="4395" t="n"/>
    </row>
    <row r="195" ht="16" customHeight="1">
      <c r="A195" t="inlineStr">
        <is>
          <t>Large scale fisheries</t>
        </is>
      </c>
      <c r="C195">
        <f>'8. Fisheries and aquaculture'!C49</f>
        <v/>
      </c>
      <c r="D195">
        <f>IFERROR('8. Fisheries and aquaculture'!AI49+(('8. Fisheries and aquaculture'!$AI$53+'8. Fisheries and aquaculture'!$AI$57)/SUM('8. Fisheries and aquaculture'!$AI$44:$AI$49)*'8. Fisheries and aquaculture'!AI49), 0)</f>
        <v/>
      </c>
      <c r="E195">
        <f>IF('8. Fisheries and aquaculture'!CN49&lt;&gt;0,'8. Fisheries and aquaculture'!CN49,'8. Fisheries and aquaculture'!CM49)</f>
        <v/>
      </c>
      <c r="F195">
        <f>time</f>
        <v/>
      </c>
      <c r="G195" s="4395">
        <f>'8. Fisheries and aquaculture'!AA49</f>
        <v/>
      </c>
      <c r="H195" s="4395">
        <f>'8. Fisheries and aquaculture'!AC49</f>
        <v/>
      </c>
      <c r="I195" s="4395">
        <f>IF(OR(H195="I", G195="I"), "I", IF(OR(H195="E", G195="E"), "E", "D"))</f>
        <v/>
      </c>
      <c r="J195" s="4395">
        <f>((D195/(time_cap+((F195-E195+1)*VLOOKUP(I195,list!$I$48:$K$50,3, FALSE))))*(F195-E195+1)*VLOOKUP(I195,list!$I$48:$K$50,3, FALSE))</f>
        <v/>
      </c>
      <c r="K195" s="4395">
        <f>((D195/(time_cap+((F195-E195+1)*VLOOKUP(I195,list!$I$48:$K$50,3, FALSE))))*time_cap)</f>
        <v/>
      </c>
      <c r="M195" s="4395">
        <f>IFERROR(IF((time+time_cap)&lt;M$2, 0,IF(AND(time+1&gt;=N$2, $E195&lt;N$2), IF($I195= "I", $J195/($F195-$E195+1), $J195/(($F195*($F195+1)/2)-(($E195-1)*($E195-1+1)/2))*M$2), 0)+IF(IF(time+1&gt;=N$2, $K195/time_cap/(time+1)*M$2, 0) = 0, $K195/(time_cap),0)),0)</f>
        <v/>
      </c>
      <c r="N195" s="4395">
        <f>IFERROR(IF((time+time_cap)&lt;N$2, 0,IF(AND(time+1&gt;=O$2, $E195&lt;O$2), IF($I195= "I", $J195/($F195-$E195+1), $J195/(($F195*($F195+1)/2)-(($E195-1)*($E195-1+1)/2))*N$2), 0)+IF(IF(time+1&gt;=O$2, $K195/time_cap/(time+1)*N$2, 0) = 0, $K195/(time_cap),0)),0)</f>
        <v/>
      </c>
      <c r="O195" s="4395">
        <f>IFERROR(IF((time+time_cap)&lt;O$2, 0,IF(AND(time+1&gt;=P$2, $E195&lt;P$2), IF($I195= "I", $J195/($F195-$E195+1), $J195/(($F195*($F195+1)/2)-(($E195-1)*($E195-1+1)/2))*O$2), 0)+IF(IF(time+1&gt;=P$2, $K195/time_cap/(time+1)*O$2, 0) = 0, $K195/(time_cap),0)),0)</f>
        <v/>
      </c>
      <c r="P195" s="4395">
        <f>IFERROR(IF((time+time_cap)&lt;P$2, 0,IF(AND(time+1&gt;=Q$2, $E195&lt;Q$2), IF($I195= "I", $J195/($F195-$E195+1), $J195/(($F195*($F195+1)/2)-(($E195-1)*($E195-1+1)/2))*P$2), 0)+IF(IF(time+1&gt;=Q$2, $K195/time_cap/(time+1)*P$2, 0) = 0, $K195/(time_cap),0)),0)</f>
        <v/>
      </c>
      <c r="Q195" s="4395">
        <f>IFERROR(IF((time+time_cap)&lt;Q$2, 0,IF(AND(time+1&gt;=R$2, $E195&lt;R$2), IF($I195= "I", $J195/($F195-$E195+1), $J195/(($F195*($F195+1)/2)-(($E195-1)*($E195-1+1)/2))*Q$2), 0)+IF(IF(time+1&gt;=R$2, $K195/time_cap/(time+1)*Q$2, 0) = 0, $K195/(time_cap),0)),0)</f>
        <v/>
      </c>
      <c r="R195" s="4395">
        <f>IFERROR(IF((time+time_cap)&lt;R$2, 0,IF(AND(time+1&gt;=S$2, $E195&lt;S$2), IF($I195= "I", $J195/($F195-$E195+1), $J195/(($F195*($F195+1)/2)-(($E195-1)*($E195-1+1)/2))*R$2), 0)+IF(IF(time+1&gt;=S$2, $K195/time_cap/(time+1)*R$2, 0) = 0, $K195/(time_cap),0)),0)</f>
        <v/>
      </c>
      <c r="S195" s="4395">
        <f>IFERROR(IF((time+time_cap)&lt;S$2, 0,IF(AND(time+1&gt;=T$2, $E195&lt;T$2), IF($I195= "I", $J195/($F195-$E195+1), $J195/(($F195*($F195+1)/2)-(($E195-1)*($E195-1+1)/2))*S$2), 0)+IF(IF(time+1&gt;=T$2, $K195/time_cap/(time+1)*S$2, 0) = 0, $K195/(time_cap),0)),0)</f>
        <v/>
      </c>
      <c r="T195" s="4395">
        <f>IFERROR(IF((time+time_cap)&lt;T$2, 0,IF(AND(time+1&gt;=U$2, $E195&lt;U$2), IF($I195= "I", $J195/($F195-$E195+1), $J195/(($F195*($F195+1)/2)-(($E195-1)*($E195-1+1)/2))*T$2), 0)+IF(IF(time+1&gt;=U$2, $K195/time_cap/(time+1)*T$2, 0) = 0, $K195/(time_cap),0)),0)</f>
        <v/>
      </c>
      <c r="U195" s="4395">
        <f>IFERROR(IF((time+time_cap)&lt;U$2, 0,IF(AND(time+1&gt;=V$2, $E195&lt;V$2), IF($I195= "I", $J195/($F195-$E195+1), $J195/(($F195*($F195+1)/2)-(($E195-1)*($E195-1+1)/2))*U$2), 0)+IF(IF(time+1&gt;=V$2, $K195/time_cap/(time+1)*U$2, 0) = 0, $K195/(time_cap),0)),0)</f>
        <v/>
      </c>
      <c r="V195" s="4395">
        <f>IFERROR(IF((time+time_cap)&lt;V$2, 0,IF(AND(time+1&gt;=W$2, $E195&lt;W$2), IF($I195= "I", $J195/($F195-$E195+1), $J195/(($F195*($F195+1)/2)-(($E195-1)*($E195-1+1)/2))*V$2), 0)+IF(IF(time+1&gt;=W$2, $K195/time_cap/(time+1)*V$2, 0) = 0, $K195/(time_cap),0)),0)</f>
        <v/>
      </c>
      <c r="W195" s="4395">
        <f>IFERROR(IF((time+time_cap)&lt;W$2, 0,IF(AND(time+1&gt;=X$2, $E195&lt;X$2), IF($I195= "I", $J195/($F195-$E195+1), $J195/(($F195*($F195+1)/2)-(($E195-1)*($E195-1+1)/2))*W$2), 0)+IF(IF(time+1&gt;=X$2, $K195/time_cap/(time+1)*W$2, 0) = 0, $K195/(time_cap),0)),0)</f>
        <v/>
      </c>
      <c r="X195" s="4395">
        <f>IFERROR(IF((time+time_cap)&lt;X$2, 0,IF(AND(time+1&gt;=Y$2, $E195&lt;Y$2), IF($I195= "I", $J195/($F195-$E195+1), $J195/(($F195*($F195+1)/2)-(($E195-1)*($E195-1+1)/2))*X$2), 0)+IF(IF(time+1&gt;=Y$2, $K195/time_cap/(time+1)*X$2, 0) = 0, $K195/(time_cap),0)),0)</f>
        <v/>
      </c>
      <c r="Y195" s="4395">
        <f>IFERROR(IF((time+time_cap)&lt;Y$2, 0,IF(AND(time+1&gt;=Z$2, $E195&lt;Z$2), IF($I195= "I", $J195/($F195-$E195+1), $J195/(($F195*($F195+1)/2)-(($E195-1)*($E195-1+1)/2))*Y$2), 0)+IF(IF(time+1&gt;=Z$2, $K195/time_cap/(time+1)*Y$2, 0) = 0, $K195/(time_cap),0)),0)</f>
        <v/>
      </c>
      <c r="Z195" s="4395">
        <f>IFERROR(IF((time+time_cap)&lt;Z$2, 0,IF(AND(time+1&gt;=AA$2, $E195&lt;AA$2), IF($I195= "I", $J195/($F195-$E195+1), $J195/(($F195*($F195+1)/2)-(($E195-1)*($E195-1+1)/2))*Z$2), 0)+IF(IF(time+1&gt;=AA$2, $K195/time_cap/(time+1)*Z$2, 0) = 0, $K195/(time_cap),0)),0)</f>
        <v/>
      </c>
      <c r="AA195" s="4395">
        <f>IFERROR(IF((time+time_cap)&lt;AA$2, 0,IF(AND(time+1&gt;=AB$2, $E195&lt;AB$2), IF($I195= "I", $J195/($F195-$E195+1), $J195/(($F195*($F195+1)/2)-(($E195-1)*($E195-1+1)/2))*AA$2), 0)+IF(IF(time+1&gt;=AB$2, $K195/time_cap/(time+1)*AA$2, 0) = 0, $K195/(time_cap),0)),0)</f>
        <v/>
      </c>
      <c r="AB195" s="4395">
        <f>IFERROR(IF((time+time_cap)&lt;AB$2, 0,IF(AND(time+1&gt;=AC$2, $E195&lt;AC$2), IF($I195= "I", $J195/($F195-$E195+1), $J195/(($F195*($F195+1)/2)-(($E195-1)*($E195-1+1)/2))*AB$2), 0)+IF(IF(time+1&gt;=AC$2, $K195/time_cap/(time+1)*AB$2, 0) = 0, $K195/(time_cap),0)),0)</f>
        <v/>
      </c>
      <c r="AC195" s="4395">
        <f>IFERROR(IF((time+time_cap)&lt;AC$2, 0,IF(AND(time+1&gt;=AD$2, $E195&lt;AD$2), IF($I195= "I", $J195/($F195-$E195+1), $J195/(($F195*($F195+1)/2)-(($E195-1)*($E195-1+1)/2))*AC$2), 0)+IF(IF(time+1&gt;=AD$2, $K195/time_cap/(time+1)*AC$2, 0) = 0, $K195/(time_cap),0)),0)</f>
        <v/>
      </c>
      <c r="AD195" s="4395">
        <f>IFERROR(IF((time+time_cap)&lt;AD$2, 0,IF(AND(time+1&gt;=AE$2, $E195&lt;AE$2), IF($I195= "I", $J195/($F195-$E195+1), $J195/(($F195*($F195+1)/2)-(($E195-1)*($E195-1+1)/2))*AD$2), 0)+IF(IF(time+1&gt;=AE$2, $K195/time_cap/(time+1)*AD$2, 0) = 0, $K195/(time_cap),0)),0)</f>
        <v/>
      </c>
      <c r="AE195" s="4395">
        <f>IFERROR(IF((time+time_cap)&lt;AE$2, 0,IF(AND(time+1&gt;=AF$2, $E195&lt;AF$2), IF($I195= "I", $J195/($F195-$E195+1), $J195/(($F195*($F195+1)/2)-(($E195-1)*($E195-1+1)/2))*AE$2), 0)+IF(IF(time+1&gt;=AF$2, $K195/time_cap/(time+1)*AE$2, 0) = 0, $K195/(time_cap),0)),0)</f>
        <v/>
      </c>
      <c r="AF195" s="4395">
        <f>IFERROR(IF((time+time_cap)&lt;AF$2, 0,IF(AND(time+1&gt;=AG$2, $E195&lt;AG$2), IF($I195= "I", $J195/($F195-$E195+1), $J195/(($F195*($F195+1)/2)-(($E195-1)*($E195-1+1)/2))*AF$2), 0)+IF(IF(time+1&gt;=AG$2, $K195/time_cap/(time+1)*AF$2, 0) = 0, $K195/(time_cap),0)),0)</f>
        <v/>
      </c>
      <c r="AG195" s="4395">
        <f>IFERROR(IF((time+time_cap)&lt;AG$2, 0,IF(AND(time+1&gt;=AH$2, $E195&lt;AH$2), IF($I195= "I", $J195/($F195-$E195+1), $J195/(($F195*($F195+1)/2)-(($E195-1)*($E195-1+1)/2))*AG$2), 0)+IF(IF(time+1&gt;=AH$2, $K195/time_cap/(time+1)*AG$2, 0) = 0, $K195/(time_cap),0)),0)</f>
        <v/>
      </c>
      <c r="AH195" s="4395">
        <f>IFERROR(IF((time+time_cap)&lt;AH$2, 0,IF(AND(time+1&gt;=AI$2, $E195&lt;AI$2), IF($I195= "I", $J195/($F195-$E195+1), $J195/(($F195*($F195+1)/2)-(($E195-1)*($E195-1+1)/2))*AH$2), 0)+IF(IF(time+1&gt;=AI$2, $K195/time_cap/(time+1)*AH$2, 0) = 0, $K195/(time_cap),0)),0)</f>
        <v/>
      </c>
      <c r="AI195" s="4395">
        <f>IFERROR(IF((time+time_cap)&lt;AI$2, 0,IF(AND(time+1&gt;=AJ$2, $E195&lt;AJ$2), IF($I195= "I", $J195/($F195-$E195+1), $J195/(($F195*($F195+1)/2)-(($E195-1)*($E195-1+1)/2))*AI$2), 0)+IF(IF(time+1&gt;=AJ$2, $K195/time_cap/(time+1)*AI$2, 0) = 0, $K195/(time_cap),0)),0)</f>
        <v/>
      </c>
      <c r="AJ195" s="4395">
        <f>IFERROR(IF((time+time_cap)&lt;AJ$2, 0,IF(AND(time+1&gt;=AK$2, $E195&lt;AK$2), IF($I195= "I", $J195/($F195-$E195+1), $J195/(($F195*($F195+1)/2)-(($E195-1)*($E195-1+1)/2))*AJ$2), 0)+IF(IF(time+1&gt;=AK$2, $K195/time_cap/(time+1)*AJ$2, 0) = 0, $K195/(time_cap),0)),0)</f>
        <v/>
      </c>
      <c r="AK195" s="4395">
        <f>IFERROR(IF((time+time_cap)&lt;AK$2, 0,IF(AND(time+1&gt;=AL$2, $E195&lt;AL$2), IF($I195= "I", $J195/($F195-$E195+1), $J195/(($F195*($F195+1)/2)-(($E195-1)*($E195-1+1)/2))*AK$2), 0)+IF(IF(time+1&gt;=AL$2, $K195/time_cap/(time+1)*AK$2, 0) = 0, $K195/(time_cap),0)),0)</f>
        <v/>
      </c>
      <c r="AL195" s="4395">
        <f>IFERROR(IF((time+time_cap)&lt;AL$2, 0,IF(AND(time+1&gt;=AM$2, $E195&lt;AM$2), IF($I195= "I", $J195/($F195-$E195+1), $J195/(($F195*($F195+1)/2)-(($E195-1)*($E195-1+1)/2))*AL$2), 0)+IF(IF(time+1&gt;=AM$2, $K195/time_cap/(time+1)*AL$2, 0) = 0, $K195/(time_cap),0)),0)</f>
        <v/>
      </c>
      <c r="AM195" s="4395">
        <f>IFERROR(IF((time+time_cap)&lt;AM$2, 0,IF(AND(time+1&gt;=AN$2, $E195&lt;AN$2), IF($I195= "I", $J195/($F195-$E195+1), $J195/(($F195*($F195+1)/2)-(($E195-1)*($E195-1+1)/2))*AM$2), 0)+IF(IF(time+1&gt;=AN$2, $K195/time_cap/(time+1)*AM$2, 0) = 0, $K195/(time_cap),0)),0)</f>
        <v/>
      </c>
      <c r="AN195" s="4395">
        <f>IFERROR(IF((time+time_cap)&lt;AN$2, 0,IF(AND(time+1&gt;=AO$2, $E195&lt;AO$2), IF($I195= "I", $J195/($F195-$E195+1), $J195/(($F195*($F195+1)/2)-(($E195-1)*($E195-1+1)/2))*AN$2), 0)+IF(IF(time+1&gt;=AO$2, $K195/time_cap/(time+1)*AN$2, 0) = 0, $K195/(time_cap),0)),0)</f>
        <v/>
      </c>
      <c r="AO195" s="4395">
        <f>IFERROR(IF((time+time_cap)&lt;AO$2, 0,IF(AND(time+1&gt;=AP$2, $E195&lt;AP$2), IF($I195= "I", $J195/($F195-$E195+1), $J195/(($F195*($F195+1)/2)-(($E195-1)*($E195-1+1)/2))*AO$2), 0)+IF(IF(time+1&gt;=AP$2, $K195/time_cap/(time+1)*AO$2, 0) = 0, $K195/(time_cap),0)),0)</f>
        <v/>
      </c>
      <c r="AP195" s="4395">
        <f>IFERROR(IF((time+time_cap)&lt;AP$2, 0,IF(AND(time+1&gt;=AQ$2, $E195&lt;AQ$2), IF($I195= "I", $J195/($F195-$E195+1), $J195/(($F195*($F195+1)/2)-(($E195-1)*($E195-1+1)/2))*AP$2), 0)+IF(IF(time+1&gt;=AQ$2, $K195/time_cap/(time+1)*AP$2, 0) = 0, $K195/(time_cap),0)),0)</f>
        <v/>
      </c>
      <c r="AQ195" s="4395">
        <f>IFERROR(IF((time+time_cap)&lt;AQ$2, 0,IF(AND(time+1&gt;=AR$2, $E195&lt;AR$2), IF($I195= "I", $J195/($F195-$E195+1), $J195/(($F195*($F195+1)/2)-(($E195-1)*($E195-1+1)/2))*AQ$2), 0)+IF(IF(time+1&gt;=AR$2, $K195/time_cap/(time+1)*AQ$2, 0) = 0, $K195/(time_cap),0)),0)</f>
        <v/>
      </c>
      <c r="AR195" s="4395">
        <f>IFERROR(IF((time+time_cap)&lt;AR$2, 0,IF(AND(time+1&gt;=AS$2, $E195&lt;AS$2), IF($I195= "I", $J195/($F195-$E195+1), $J195/(($F195*($F195+1)/2)-(($E195-1)*($E195-1+1)/2))*AR$2), 0)+IF(IF(time+1&gt;=AS$2, $K195/time_cap/(time+1)*AR$2, 0) = 0, $K195/(time_cap),0)),0)</f>
        <v/>
      </c>
      <c r="AS195" s="4395">
        <f>IFERROR(IF((time+time_cap)&lt;AS$2, 0,IF(AND(time+1&gt;=AT$2, $E195&lt;AT$2), IF($I195= "I", $J195/($F195-$E195+1), $J195/(($F195*($F195+1)/2)-(($E195-1)*($E195-1+1)/2))*AS$2), 0)+IF(IF(time+1&gt;=AT$2, $K195/time_cap/(time+1)*AS$2, 0) = 0, $K195/(time_cap),0)),0)</f>
        <v/>
      </c>
      <c r="AT195" s="4395">
        <f>IFERROR(IF((time+time_cap)&lt;AT$2, 0,IF(AND(time+1&gt;=AU$2, $E195&lt;AU$2), IF($I195= "I", $J195/($F195-$E195+1), $J195/(($F195*($F195+1)/2)-(($E195-1)*($E195-1+1)/2))*AT$2), 0)+IF(IF(time+1&gt;=AU$2, $K195/time_cap/(time+1)*AT$2, 0) = 0, $K195/(time_cap),0)),0)</f>
        <v/>
      </c>
      <c r="AU195" s="4395">
        <f>IFERROR(IF((time+time_cap)&lt;AU$2, 0,IF(AND(time+1&gt;=AV$2, $E195&lt;AV$2), IF($I195= "I", $J195/($F195-$E195+1), $J195/(($F195*($F195+1)/2)-(($E195-1)*($E195-1+1)/2))*AU$2), 0)+IF(IF(time+1&gt;=AV$2, $K195/time_cap/(time+1)*AU$2, 0) = 0, $K195/(time_cap),0)),0)</f>
        <v/>
      </c>
      <c r="AV195" s="4395">
        <f>IFERROR(IF((time+time_cap)&lt;AV$2, 0,IF(AND(time+1&gt;=AW$2, $E195&lt;AW$2), IF($I195= "I", $J195/($F195-$E195+1), $J195/(($F195*($F195+1)/2)-(($E195-1)*($E195-1+1)/2))*AV$2), 0)+IF(IF(time+1&gt;=AW$2, $K195/time_cap/(time+1)*AV$2, 0) = 0, $K195/(time_cap),0)),0)</f>
        <v/>
      </c>
      <c r="AW195" s="4395">
        <f>IFERROR(IF((time+time_cap)&lt;AW$2, 0,IF(AND(time+1&gt;=AX$2, $E195&lt;AX$2), IF($I195= "I", $J195/($F195-$E195+1), $J195/(($F195*($F195+1)/2)-(($E195-1)*($E195-1+1)/2))*AW$2), 0)+IF(IF(time+1&gt;=AX$2, $K195/time_cap/(time+1)*AW$2, 0) = 0, $K195/(time_cap),0)),0)</f>
        <v/>
      </c>
      <c r="AX195" s="4395">
        <f>IFERROR(IF((time+time_cap)&lt;AX$2, 0,IF(AND(time+1&gt;=AY$2, $E195&lt;AY$2), IF($I195= "I", $J195/($F195-$E195+1), $J195/(($F195*($F195+1)/2)-(($E195-1)*($E195-1+1)/2))*AX$2), 0)+IF(IF(time+1&gt;=AY$2, $K195/time_cap/(time+1)*AX$2, 0) = 0, $K195/(time_cap),0)),0)</f>
        <v/>
      </c>
      <c r="AY195" s="4395">
        <f>IFERROR(IF((time+time_cap)&lt;AY$2, 0,IF(AND(time+1&gt;=AZ$2, $E195&lt;AZ$2), IF($I195= "I", $J195/($F195-$E195+1), $J195/(($F195*($F195+1)/2)-(($E195-1)*($E195-1+1)/2))*AY$2), 0)+IF(IF(time+1&gt;=AZ$2, $K195/time_cap/(time+1)*AY$2, 0) = 0, $K195/(time_cap),0)),0)</f>
        <v/>
      </c>
      <c r="AZ195" s="4395">
        <f>IFERROR(IF((time+time_cap)&lt;AZ$2, 0,IF(AND(time+1&gt;=BA$2, $E195&lt;BA$2), IF($I195= "I", $J195/($F195-$E195+1), $J195/(($F195*($F195+1)/2)-(($E195-1)*($E195-1+1)/2))*AZ$2), 0)+IF(IF(time+1&gt;=BA$2, $K195/time_cap/(time+1)*AZ$2, 0) = 0, $K195/(time_cap),0)),0)</f>
        <v/>
      </c>
      <c r="BA195" s="4395">
        <f>IFERROR(IF((time+time_cap)&lt;BA$2, 0,IF(AND(time+1&gt;=BB$2, $E195&lt;BB$2), IF($I195= "I", $J195/($F195-$E195+1), $J195/(($F195*($F195+1)/2)-(($E195-1)*($E195-1+1)/2))*BA$2), 0)+IF(IF(time+1&gt;=BB$2, $K195/time_cap/(time+1)*BA$2, 0) = 0, $K195/(time_cap),0)),0)</f>
        <v/>
      </c>
      <c r="BB195" s="4395">
        <f>IFERROR(IF((time+time_cap)&lt;BB$2, 0,IF(AND(time+1&gt;=BC$2, $E195&lt;BC$2), IF($I195= "I", $J195/($F195-$E195+1), $J195/(($F195*($F195+1)/2)-(($E195-1)*($E195-1+1)/2))*BB$2), 0)+IF(IF(time+1&gt;=BC$2, $K195/time_cap/(time+1)*BB$2, 0) = 0, $K195/(time_cap),0)),0)</f>
        <v/>
      </c>
      <c r="BC195" s="4395">
        <f>IFERROR(IF((time+time_cap)&lt;BC$2, 0,IF(AND(time+1&gt;=BD$2, $E195&lt;BD$2), IF($I195= "I", $J195/($F195-$E195+1), $J195/(($F195*($F195+1)/2)-(($E195-1)*($E195-1+1)/2))*BC$2), 0)+IF(IF(time+1&gt;=BD$2, $K195/time_cap/(time+1)*BC$2, 0) = 0, $K195/(time_cap),0)),0)</f>
        <v/>
      </c>
      <c r="BD195" s="4395">
        <f>IFERROR(IF((time+time_cap)&lt;BD$2, 0,IF(AND(time+1&gt;=BE$2, $E195&lt;BE$2), IF($I195= "I", $J195/($F195-$E195+1), $J195/(($F195*($F195+1)/2)-(($E195-1)*($E195-1+1)/2))*BD$2), 0)+IF(IF(time+1&gt;=BE$2, $K195/time_cap/(time+1)*BD$2, 0) = 0, $K195/(time_cap),0)),0)</f>
        <v/>
      </c>
      <c r="BE195" s="4395">
        <f>IFERROR(IF((time+time_cap)&lt;BE$2, 0,IF(AND(time+1&gt;=BF$2, $E195&lt;BF$2), IF($I195= "I", $J195/($F195-$E195+1), $J195/(($F195*($F195+1)/2)-(($E195-1)*($E195-1+1)/2))*BE$2), 0)+IF(IF(time+1&gt;=BF$2, $K195/time_cap/(time+1)*BE$2, 0) = 0, $K195/(time_cap),0)),0)</f>
        <v/>
      </c>
      <c r="BF195" s="4395">
        <f>IFERROR(IF((time+time_cap)&lt;BF$2, 0,IF(AND(time+1&gt;=BG$2, $E195&lt;BG$2), IF($I195= "I", $J195/($F195-$E195+1), $J195/(($F195*($F195+1)/2)-(($E195-1)*($E195-1+1)/2))*BF$2), 0)+IF(IF(time+1&gt;=BG$2, $K195/time_cap/(time+1)*BF$2, 0) = 0, $K195/(time_cap),0)),0)</f>
        <v/>
      </c>
      <c r="BG195" s="4395">
        <f>IFERROR(IF((time+time_cap)&lt;BG$2, 0,IF(AND(time+1&gt;=BH$2, $E195&lt;BH$2), IF($I195= "I", $J195/($F195-$E195+1), $J195/(($F195*($F195+1)/2)-(($E195-1)*($E195-1+1)/2))*BG$2), 0)+IF(IF(time+1&gt;=BH$2, $K195/time_cap/(time+1)*BG$2, 0) = 0, $K195/(time_cap),0)),0)</f>
        <v/>
      </c>
      <c r="BH195" s="4395">
        <f>IFERROR(IF((time+time_cap)&lt;BH$2, 0,IF(AND(time+1&gt;=BI$2, $E195&lt;BI$2), IF($I195= "I", $J195/($F195-$E195+1), $J195/(($F195*($F195+1)/2)-(($E195-1)*($E195-1+1)/2))*BH$2), 0)+IF(IF(time+1&gt;=BI$2, $K195/time_cap/(time+1)*BH$2, 0) = 0, $K195/(time_cap),0)),0)</f>
        <v/>
      </c>
      <c r="BI195" s="4395">
        <f>IFERROR(IF((time+time_cap)&lt;BI$2, 0,IF(AND(time+1&gt;=BJ$2, $E195&lt;BJ$2), IF($I195= "I", $J195/($F195-$E195+1), $J195/(($F195*($F195+1)/2)-(($E195-1)*($E195-1+1)/2))*BI$2), 0)+IF(IF(time+1&gt;=BJ$2, $K195/time_cap/(time+1)*BI$2, 0) = 0, $K195/(time_cap),0)),0)</f>
        <v/>
      </c>
      <c r="BJ195" s="4395">
        <f>IFERROR(IF((time+time_cap)&lt;BJ$2, 0,IF(AND(time+1&gt;=BK$2, $E195&lt;BK$2), IF($I195= "I", $J195/($F195-$E195+1), $J195/(($F195*($F195+1)/2)-(($E195-1)*($E195-1+1)/2))*BJ$2), 0)+IF(IF(time+1&gt;=BK$2, $K195/time_cap/(time+1)*BJ$2, 0) = 0, $K195/(time_cap),0)),0)</f>
        <v/>
      </c>
      <c r="BK195" s="4395" t="n"/>
      <c r="BL195" s="4395" t="n"/>
      <c r="BM195" s="4395" t="n"/>
      <c r="BN195" s="4395" t="n"/>
      <c r="BO195" s="4395" t="n"/>
      <c r="BP195" s="4395" t="n"/>
      <c r="BQ195" s="4395" t="n"/>
      <c r="BR195" s="4395" t="n"/>
      <c r="BS195" s="4395" t="n"/>
      <c r="BT195" s="4395" t="n"/>
      <c r="BU195" s="4395" t="n"/>
      <c r="BV195" s="4395" t="n"/>
      <c r="BW195" s="4395" t="n"/>
      <c r="BX195" s="4395" t="n"/>
      <c r="BY195" s="4395" t="n"/>
      <c r="BZ195" s="4395" t="n"/>
      <c r="CA195" s="4395" t="n"/>
      <c r="CB195" s="4395" t="n"/>
      <c r="CC195" s="4395" t="n"/>
      <c r="CD195" s="4395" t="n"/>
      <c r="CE195" s="4395" t="n"/>
      <c r="CF195" s="4395" t="n"/>
      <c r="CG195" s="4395" t="n"/>
      <c r="CH195" s="4395" t="n"/>
      <c r="CI195" s="4395" t="n"/>
      <c r="CJ195" s="4395" t="n"/>
      <c r="CK195" s="4395" t="n"/>
      <c r="CL195" s="4395" t="n"/>
      <c r="CM195" s="4395" t="n"/>
      <c r="CN195" s="4395" t="n"/>
      <c r="CO195" s="4395" t="n"/>
      <c r="CP195" s="4395" t="n"/>
      <c r="CQ195" s="4395" t="n"/>
      <c r="CR195" s="4395" t="n"/>
      <c r="CS195" s="4395" t="n"/>
      <c r="CT195" s="4395" t="n"/>
      <c r="CU195" s="4395" t="n"/>
      <c r="CV195" s="4395" t="n"/>
      <c r="CW195" s="4395" t="n"/>
      <c r="CX195" s="4395" t="n"/>
      <c r="CY195" s="4395" t="n"/>
      <c r="CZ195" s="4395" t="n"/>
      <c r="DA195" s="4395" t="n"/>
      <c r="DB195" s="4395" t="n"/>
      <c r="DC195" s="4395" t="n"/>
      <c r="DD195" s="4395" t="n"/>
      <c r="DE195" s="4395" t="n"/>
      <c r="DF195" s="4395" t="n"/>
      <c r="DG195" s="4395" t="n"/>
      <c r="DH195" s="4395" t="n"/>
    </row>
    <row r="196" ht="16" customHeight="1">
      <c r="A196" t="inlineStr">
        <is>
          <t>Aquaculture</t>
        </is>
      </c>
      <c r="B196">
        <f>'8. Fisheries and aquaculture'!C74</f>
        <v/>
      </c>
      <c r="C196">
        <f>'8. Fisheries and aquaculture'!J74</f>
        <v/>
      </c>
      <c r="D196">
        <f>'8. Fisheries and aquaculture'!AI74</f>
        <v/>
      </c>
      <c r="E196">
        <f>IF('8. Fisheries and aquaculture'!CN74&lt;&gt;0,'8. Fisheries and aquaculture'!CN74,'8. Fisheries and aquaculture'!CM74)</f>
        <v/>
      </c>
      <c r="F196">
        <f>time</f>
        <v/>
      </c>
      <c r="G196" s="4395">
        <f>'8. Fisheries and aquaculture'!AA74</f>
        <v/>
      </c>
      <c r="H196" s="4395">
        <f>'8. Fisheries and aquaculture'!AC74</f>
        <v/>
      </c>
      <c r="I196" s="4395">
        <f>IF(OR(H196="I", G196="I"), "I", IF(OR(H196="E", G196="E"), "E", "D"))</f>
        <v/>
      </c>
      <c r="J196" s="4395">
        <f>((D196/(time_cap+((F196-E196+1)*VLOOKUP(I196,list!$I$48:$K$50,3, FALSE))))*(F196-E196+1)*VLOOKUP(I196,list!$I$48:$K$50,3, FALSE))</f>
        <v/>
      </c>
      <c r="K196" s="4395">
        <f>((D196/(time_cap+((F196-E196+1)*VLOOKUP(I196,list!$I$48:$K$50,3, FALSE))))*time_cap)</f>
        <v/>
      </c>
      <c r="M196" s="4395">
        <f>IFERROR(IF((time+time_cap)&lt;M$2, 0,IF(AND(time+1&gt;=N$2, $E196&lt;N$2), IF($I196= "I", $J196/($F196-$E196+1), $J196/(($F196*($F196+1)/2)-(($E196-1)*($E196-1+1)/2))*M$2), 0)+IF(IF(time+1&gt;=N$2, $K196/time_cap/(time+1)*M$2, 0) = 0, $K196/(time_cap),0)),0)</f>
        <v/>
      </c>
      <c r="N196" s="4395">
        <f>IFERROR(IF((time+time_cap)&lt;N$2, 0,IF(AND(time+1&gt;=O$2, $E196&lt;O$2), IF($I196= "I", $J196/($F196-$E196+1), $J196/(($F196*($F196+1)/2)-(($E196-1)*($E196-1+1)/2))*N$2), 0)+IF(IF(time+1&gt;=O$2, $K196/time_cap/(time+1)*N$2, 0) = 0, $K196/(time_cap),0)),0)</f>
        <v/>
      </c>
      <c r="O196" s="4395">
        <f>IFERROR(IF((time+time_cap)&lt;O$2, 0,IF(AND(time+1&gt;=P$2, $E196&lt;P$2), IF($I196= "I", $J196/($F196-$E196+1), $J196/(($F196*($F196+1)/2)-(($E196-1)*($E196-1+1)/2))*O$2), 0)+IF(IF(time+1&gt;=P$2, $K196/time_cap/(time+1)*O$2, 0) = 0, $K196/(time_cap),0)),0)</f>
        <v/>
      </c>
      <c r="P196" s="4395">
        <f>IFERROR(IF((time+time_cap)&lt;P$2, 0,IF(AND(time+1&gt;=Q$2, $E196&lt;Q$2), IF($I196= "I", $J196/($F196-$E196+1), $J196/(($F196*($F196+1)/2)-(($E196-1)*($E196-1+1)/2))*P$2), 0)+IF(IF(time+1&gt;=Q$2, $K196/time_cap/(time+1)*P$2, 0) = 0, $K196/(time_cap),0)),0)</f>
        <v/>
      </c>
      <c r="Q196" s="4395">
        <f>IFERROR(IF((time+time_cap)&lt;Q$2, 0,IF(AND(time+1&gt;=R$2, $E196&lt;R$2), IF($I196= "I", $J196/($F196-$E196+1), $J196/(($F196*($F196+1)/2)-(($E196-1)*($E196-1+1)/2))*Q$2), 0)+IF(IF(time+1&gt;=R$2, $K196/time_cap/(time+1)*Q$2, 0) = 0, $K196/(time_cap),0)),0)</f>
        <v/>
      </c>
      <c r="R196" s="4395">
        <f>IFERROR(IF((time+time_cap)&lt;R$2, 0,IF(AND(time+1&gt;=S$2, $E196&lt;S$2), IF($I196= "I", $J196/($F196-$E196+1), $J196/(($F196*($F196+1)/2)-(($E196-1)*($E196-1+1)/2))*R$2), 0)+IF(IF(time+1&gt;=S$2, $K196/time_cap/(time+1)*R$2, 0) = 0, $K196/(time_cap),0)),0)</f>
        <v/>
      </c>
      <c r="S196" s="4395">
        <f>IFERROR(IF((time+time_cap)&lt;S$2, 0,IF(AND(time+1&gt;=T$2, $E196&lt;T$2), IF($I196= "I", $J196/($F196-$E196+1), $J196/(($F196*($F196+1)/2)-(($E196-1)*($E196-1+1)/2))*S$2), 0)+IF(IF(time+1&gt;=T$2, $K196/time_cap/(time+1)*S$2, 0) = 0, $K196/(time_cap),0)),0)</f>
        <v/>
      </c>
      <c r="T196" s="4395">
        <f>IFERROR(IF((time+time_cap)&lt;T$2, 0,IF(AND(time+1&gt;=U$2, $E196&lt;U$2), IF($I196= "I", $J196/($F196-$E196+1), $J196/(($F196*($F196+1)/2)-(($E196-1)*($E196-1+1)/2))*T$2), 0)+IF(IF(time+1&gt;=U$2, $K196/time_cap/(time+1)*T$2, 0) = 0, $K196/(time_cap),0)),0)</f>
        <v/>
      </c>
      <c r="U196" s="4395">
        <f>IFERROR(IF((time+time_cap)&lt;U$2, 0,IF(AND(time+1&gt;=V$2, $E196&lt;V$2), IF($I196= "I", $J196/($F196-$E196+1), $J196/(($F196*($F196+1)/2)-(($E196-1)*($E196-1+1)/2))*U$2), 0)+IF(IF(time+1&gt;=V$2, $K196/time_cap/(time+1)*U$2, 0) = 0, $K196/(time_cap),0)),0)</f>
        <v/>
      </c>
      <c r="V196" s="4395">
        <f>IFERROR(IF((time+time_cap)&lt;V$2, 0,IF(AND(time+1&gt;=W$2, $E196&lt;W$2), IF($I196= "I", $J196/($F196-$E196+1), $J196/(($F196*($F196+1)/2)-(($E196-1)*($E196-1+1)/2))*V$2), 0)+IF(IF(time+1&gt;=W$2, $K196/time_cap/(time+1)*V$2, 0) = 0, $K196/(time_cap),0)),0)</f>
        <v/>
      </c>
      <c r="W196" s="4395">
        <f>IFERROR(IF((time+time_cap)&lt;W$2, 0,IF(AND(time+1&gt;=X$2, $E196&lt;X$2), IF($I196= "I", $J196/($F196-$E196+1), $J196/(($F196*($F196+1)/2)-(($E196-1)*($E196-1+1)/2))*W$2), 0)+IF(IF(time+1&gt;=X$2, $K196/time_cap/(time+1)*W$2, 0) = 0, $K196/(time_cap),0)),0)</f>
        <v/>
      </c>
      <c r="X196" s="4395">
        <f>IFERROR(IF((time+time_cap)&lt;X$2, 0,IF(AND(time+1&gt;=Y$2, $E196&lt;Y$2), IF($I196= "I", $J196/($F196-$E196+1), $J196/(($F196*($F196+1)/2)-(($E196-1)*($E196-1+1)/2))*X$2), 0)+IF(IF(time+1&gt;=Y$2, $K196/time_cap/(time+1)*X$2, 0) = 0, $K196/(time_cap),0)),0)</f>
        <v/>
      </c>
      <c r="Y196" s="4395">
        <f>IFERROR(IF((time+time_cap)&lt;Y$2, 0,IF(AND(time+1&gt;=Z$2, $E196&lt;Z$2), IF($I196= "I", $J196/($F196-$E196+1), $J196/(($F196*($F196+1)/2)-(($E196-1)*($E196-1+1)/2))*Y$2), 0)+IF(IF(time+1&gt;=Z$2, $K196/time_cap/(time+1)*Y$2, 0) = 0, $K196/(time_cap),0)),0)</f>
        <v/>
      </c>
      <c r="Z196" s="4395">
        <f>IFERROR(IF((time+time_cap)&lt;Z$2, 0,IF(AND(time+1&gt;=AA$2, $E196&lt;AA$2), IF($I196= "I", $J196/($F196-$E196+1), $J196/(($F196*($F196+1)/2)-(($E196-1)*($E196-1+1)/2))*Z$2), 0)+IF(IF(time+1&gt;=AA$2, $K196/time_cap/(time+1)*Z$2, 0) = 0, $K196/(time_cap),0)),0)</f>
        <v/>
      </c>
      <c r="AA196" s="4395">
        <f>IFERROR(IF((time+time_cap)&lt;AA$2, 0,IF(AND(time+1&gt;=AB$2, $E196&lt;AB$2), IF($I196= "I", $J196/($F196-$E196+1), $J196/(($F196*($F196+1)/2)-(($E196-1)*($E196-1+1)/2))*AA$2), 0)+IF(IF(time+1&gt;=AB$2, $K196/time_cap/(time+1)*AA$2, 0) = 0, $K196/(time_cap),0)),0)</f>
        <v/>
      </c>
      <c r="AB196" s="4395">
        <f>IFERROR(IF((time+time_cap)&lt;AB$2, 0,IF(AND(time+1&gt;=AC$2, $E196&lt;AC$2), IF($I196= "I", $J196/($F196-$E196+1), $J196/(($F196*($F196+1)/2)-(($E196-1)*($E196-1+1)/2))*AB$2), 0)+IF(IF(time+1&gt;=AC$2, $K196/time_cap/(time+1)*AB$2, 0) = 0, $K196/(time_cap),0)),0)</f>
        <v/>
      </c>
      <c r="AC196" s="4395">
        <f>IFERROR(IF((time+time_cap)&lt;AC$2, 0,IF(AND(time+1&gt;=AD$2, $E196&lt;AD$2), IF($I196= "I", $J196/($F196-$E196+1), $J196/(($F196*($F196+1)/2)-(($E196-1)*($E196-1+1)/2))*AC$2), 0)+IF(IF(time+1&gt;=AD$2, $K196/time_cap/(time+1)*AC$2, 0) = 0, $K196/(time_cap),0)),0)</f>
        <v/>
      </c>
      <c r="AD196" s="4395">
        <f>IFERROR(IF((time+time_cap)&lt;AD$2, 0,IF(AND(time+1&gt;=AE$2, $E196&lt;AE$2), IF($I196= "I", $J196/($F196-$E196+1), $J196/(($F196*($F196+1)/2)-(($E196-1)*($E196-1+1)/2))*AD$2), 0)+IF(IF(time+1&gt;=AE$2, $K196/time_cap/(time+1)*AD$2, 0) = 0, $K196/(time_cap),0)),0)</f>
        <v/>
      </c>
      <c r="AE196" s="4395">
        <f>IFERROR(IF((time+time_cap)&lt;AE$2, 0,IF(AND(time+1&gt;=AF$2, $E196&lt;AF$2), IF($I196= "I", $J196/($F196-$E196+1), $J196/(($F196*($F196+1)/2)-(($E196-1)*($E196-1+1)/2))*AE$2), 0)+IF(IF(time+1&gt;=AF$2, $K196/time_cap/(time+1)*AE$2, 0) = 0, $K196/(time_cap),0)),0)</f>
        <v/>
      </c>
      <c r="AF196" s="4395">
        <f>IFERROR(IF((time+time_cap)&lt;AF$2, 0,IF(AND(time+1&gt;=AG$2, $E196&lt;AG$2), IF($I196= "I", $J196/($F196-$E196+1), $J196/(($F196*($F196+1)/2)-(($E196-1)*($E196-1+1)/2))*AF$2), 0)+IF(IF(time+1&gt;=AG$2, $K196/time_cap/(time+1)*AF$2, 0) = 0, $K196/(time_cap),0)),0)</f>
        <v/>
      </c>
      <c r="AG196" s="4395">
        <f>IFERROR(IF((time+time_cap)&lt;AG$2, 0,IF(AND(time+1&gt;=AH$2, $E196&lt;AH$2), IF($I196= "I", $J196/($F196-$E196+1), $J196/(($F196*($F196+1)/2)-(($E196-1)*($E196-1+1)/2))*AG$2), 0)+IF(IF(time+1&gt;=AH$2, $K196/time_cap/(time+1)*AG$2, 0) = 0, $K196/(time_cap),0)),0)</f>
        <v/>
      </c>
      <c r="AH196" s="4395">
        <f>IFERROR(IF((time+time_cap)&lt;AH$2, 0,IF(AND(time+1&gt;=AI$2, $E196&lt;AI$2), IF($I196= "I", $J196/($F196-$E196+1), $J196/(($F196*($F196+1)/2)-(($E196-1)*($E196-1+1)/2))*AH$2), 0)+IF(IF(time+1&gt;=AI$2, $K196/time_cap/(time+1)*AH$2, 0) = 0, $K196/(time_cap),0)),0)</f>
        <v/>
      </c>
      <c r="AI196" s="4395">
        <f>IFERROR(IF((time+time_cap)&lt;AI$2, 0,IF(AND(time+1&gt;=AJ$2, $E196&lt;AJ$2), IF($I196= "I", $J196/($F196-$E196+1), $J196/(($F196*($F196+1)/2)-(($E196-1)*($E196-1+1)/2))*AI$2), 0)+IF(IF(time+1&gt;=AJ$2, $K196/time_cap/(time+1)*AI$2, 0) = 0, $K196/(time_cap),0)),0)</f>
        <v/>
      </c>
      <c r="AJ196" s="4395">
        <f>IFERROR(IF((time+time_cap)&lt;AJ$2, 0,IF(AND(time+1&gt;=AK$2, $E196&lt;AK$2), IF($I196= "I", $J196/($F196-$E196+1), $J196/(($F196*($F196+1)/2)-(($E196-1)*($E196-1+1)/2))*AJ$2), 0)+IF(IF(time+1&gt;=AK$2, $K196/time_cap/(time+1)*AJ$2, 0) = 0, $K196/(time_cap),0)),0)</f>
        <v/>
      </c>
      <c r="AK196" s="4395">
        <f>IFERROR(IF((time+time_cap)&lt;AK$2, 0,IF(AND(time+1&gt;=AL$2, $E196&lt;AL$2), IF($I196= "I", $J196/($F196-$E196+1), $J196/(($F196*($F196+1)/2)-(($E196-1)*($E196-1+1)/2))*AK$2), 0)+IF(IF(time+1&gt;=AL$2, $K196/time_cap/(time+1)*AK$2, 0) = 0, $K196/(time_cap),0)),0)</f>
        <v/>
      </c>
      <c r="AL196" s="4395">
        <f>IFERROR(IF((time+time_cap)&lt;AL$2, 0,IF(AND(time+1&gt;=AM$2, $E196&lt;AM$2), IF($I196= "I", $J196/($F196-$E196+1), $J196/(($F196*($F196+1)/2)-(($E196-1)*($E196-1+1)/2))*AL$2), 0)+IF(IF(time+1&gt;=AM$2, $K196/time_cap/(time+1)*AL$2, 0) = 0, $K196/(time_cap),0)),0)</f>
        <v/>
      </c>
      <c r="AM196" s="4395">
        <f>IFERROR(IF((time+time_cap)&lt;AM$2, 0,IF(AND(time+1&gt;=AN$2, $E196&lt;AN$2), IF($I196= "I", $J196/($F196-$E196+1), $J196/(($F196*($F196+1)/2)-(($E196-1)*($E196-1+1)/2))*AM$2), 0)+IF(IF(time+1&gt;=AN$2, $K196/time_cap/(time+1)*AM$2, 0) = 0, $K196/(time_cap),0)),0)</f>
        <v/>
      </c>
      <c r="AN196" s="4395">
        <f>IFERROR(IF((time+time_cap)&lt;AN$2, 0,IF(AND(time+1&gt;=AO$2, $E196&lt;AO$2), IF($I196= "I", $J196/($F196-$E196+1), $J196/(($F196*($F196+1)/2)-(($E196-1)*($E196-1+1)/2))*AN$2), 0)+IF(IF(time+1&gt;=AO$2, $K196/time_cap/(time+1)*AN$2, 0) = 0, $K196/(time_cap),0)),0)</f>
        <v/>
      </c>
      <c r="AO196" s="4395">
        <f>IFERROR(IF((time+time_cap)&lt;AO$2, 0,IF(AND(time+1&gt;=AP$2, $E196&lt;AP$2), IF($I196= "I", $J196/($F196-$E196+1), $J196/(($F196*($F196+1)/2)-(($E196-1)*($E196-1+1)/2))*AO$2), 0)+IF(IF(time+1&gt;=AP$2, $K196/time_cap/(time+1)*AO$2, 0) = 0, $K196/(time_cap),0)),0)</f>
        <v/>
      </c>
      <c r="AP196" s="4395">
        <f>IFERROR(IF((time+time_cap)&lt;AP$2, 0,IF(AND(time+1&gt;=AQ$2, $E196&lt;AQ$2), IF($I196= "I", $J196/($F196-$E196+1), $J196/(($F196*($F196+1)/2)-(($E196-1)*($E196-1+1)/2))*AP$2), 0)+IF(IF(time+1&gt;=AQ$2, $K196/time_cap/(time+1)*AP$2, 0) = 0, $K196/(time_cap),0)),0)</f>
        <v/>
      </c>
      <c r="AQ196" s="4395">
        <f>IFERROR(IF((time+time_cap)&lt;AQ$2, 0,IF(AND(time+1&gt;=AR$2, $E196&lt;AR$2), IF($I196= "I", $J196/($F196-$E196+1), $J196/(($F196*($F196+1)/2)-(($E196-1)*($E196-1+1)/2))*AQ$2), 0)+IF(IF(time+1&gt;=AR$2, $K196/time_cap/(time+1)*AQ$2, 0) = 0, $K196/(time_cap),0)),0)</f>
        <v/>
      </c>
      <c r="AR196" s="4395">
        <f>IFERROR(IF((time+time_cap)&lt;AR$2, 0,IF(AND(time+1&gt;=AS$2, $E196&lt;AS$2), IF($I196= "I", $J196/($F196-$E196+1), $J196/(($F196*($F196+1)/2)-(($E196-1)*($E196-1+1)/2))*AR$2), 0)+IF(IF(time+1&gt;=AS$2, $K196/time_cap/(time+1)*AR$2, 0) = 0, $K196/(time_cap),0)),0)</f>
        <v/>
      </c>
      <c r="AS196" s="4395">
        <f>IFERROR(IF((time+time_cap)&lt;AS$2, 0,IF(AND(time+1&gt;=AT$2, $E196&lt;AT$2), IF($I196= "I", $J196/($F196-$E196+1), $J196/(($F196*($F196+1)/2)-(($E196-1)*($E196-1+1)/2))*AS$2), 0)+IF(IF(time+1&gt;=AT$2, $K196/time_cap/(time+1)*AS$2, 0) = 0, $K196/(time_cap),0)),0)</f>
        <v/>
      </c>
      <c r="AT196" s="4395">
        <f>IFERROR(IF((time+time_cap)&lt;AT$2, 0,IF(AND(time+1&gt;=AU$2, $E196&lt;AU$2), IF($I196= "I", $J196/($F196-$E196+1), $J196/(($F196*($F196+1)/2)-(($E196-1)*($E196-1+1)/2))*AT$2), 0)+IF(IF(time+1&gt;=AU$2, $K196/time_cap/(time+1)*AT$2, 0) = 0, $K196/(time_cap),0)),0)</f>
        <v/>
      </c>
      <c r="AU196" s="4395">
        <f>IFERROR(IF((time+time_cap)&lt;AU$2, 0,IF(AND(time+1&gt;=AV$2, $E196&lt;AV$2), IF($I196= "I", $J196/($F196-$E196+1), $J196/(($F196*($F196+1)/2)-(($E196-1)*($E196-1+1)/2))*AU$2), 0)+IF(IF(time+1&gt;=AV$2, $K196/time_cap/(time+1)*AU$2, 0) = 0, $K196/(time_cap),0)),0)</f>
        <v/>
      </c>
      <c r="AV196" s="4395">
        <f>IFERROR(IF((time+time_cap)&lt;AV$2, 0,IF(AND(time+1&gt;=AW$2, $E196&lt;AW$2), IF($I196= "I", $J196/($F196-$E196+1), $J196/(($F196*($F196+1)/2)-(($E196-1)*($E196-1+1)/2))*AV$2), 0)+IF(IF(time+1&gt;=AW$2, $K196/time_cap/(time+1)*AV$2, 0) = 0, $K196/(time_cap),0)),0)</f>
        <v/>
      </c>
      <c r="AW196" s="4395">
        <f>IFERROR(IF((time+time_cap)&lt;AW$2, 0,IF(AND(time+1&gt;=AX$2, $E196&lt;AX$2), IF($I196= "I", $J196/($F196-$E196+1), $J196/(($F196*($F196+1)/2)-(($E196-1)*($E196-1+1)/2))*AW$2), 0)+IF(IF(time+1&gt;=AX$2, $K196/time_cap/(time+1)*AW$2, 0) = 0, $K196/(time_cap),0)),0)</f>
        <v/>
      </c>
      <c r="AX196" s="4395">
        <f>IFERROR(IF((time+time_cap)&lt;AX$2, 0,IF(AND(time+1&gt;=AY$2, $E196&lt;AY$2), IF($I196= "I", $J196/($F196-$E196+1), $J196/(($F196*($F196+1)/2)-(($E196-1)*($E196-1+1)/2))*AX$2), 0)+IF(IF(time+1&gt;=AY$2, $K196/time_cap/(time+1)*AX$2, 0) = 0, $K196/(time_cap),0)),0)</f>
        <v/>
      </c>
      <c r="AY196" s="4395">
        <f>IFERROR(IF((time+time_cap)&lt;AY$2, 0,IF(AND(time+1&gt;=AZ$2, $E196&lt;AZ$2), IF($I196= "I", $J196/($F196-$E196+1), $J196/(($F196*($F196+1)/2)-(($E196-1)*($E196-1+1)/2))*AY$2), 0)+IF(IF(time+1&gt;=AZ$2, $K196/time_cap/(time+1)*AY$2, 0) = 0, $K196/(time_cap),0)),0)</f>
        <v/>
      </c>
      <c r="AZ196" s="4395">
        <f>IFERROR(IF((time+time_cap)&lt;AZ$2, 0,IF(AND(time+1&gt;=BA$2, $E196&lt;BA$2), IF($I196= "I", $J196/($F196-$E196+1), $J196/(($F196*($F196+1)/2)-(($E196-1)*($E196-1+1)/2))*AZ$2), 0)+IF(IF(time+1&gt;=BA$2, $K196/time_cap/(time+1)*AZ$2, 0) = 0, $K196/(time_cap),0)),0)</f>
        <v/>
      </c>
      <c r="BA196" s="4395">
        <f>IFERROR(IF((time+time_cap)&lt;BA$2, 0,IF(AND(time+1&gt;=BB$2, $E196&lt;BB$2), IF($I196= "I", $J196/($F196-$E196+1), $J196/(($F196*($F196+1)/2)-(($E196-1)*($E196-1+1)/2))*BA$2), 0)+IF(IF(time+1&gt;=BB$2, $K196/time_cap/(time+1)*BA$2, 0) = 0, $K196/(time_cap),0)),0)</f>
        <v/>
      </c>
      <c r="BB196" s="4395">
        <f>IFERROR(IF((time+time_cap)&lt;BB$2, 0,IF(AND(time+1&gt;=BC$2, $E196&lt;BC$2), IF($I196= "I", $J196/($F196-$E196+1), $J196/(($F196*($F196+1)/2)-(($E196-1)*($E196-1+1)/2))*BB$2), 0)+IF(IF(time+1&gt;=BC$2, $K196/time_cap/(time+1)*BB$2, 0) = 0, $K196/(time_cap),0)),0)</f>
        <v/>
      </c>
      <c r="BC196" s="4395">
        <f>IFERROR(IF((time+time_cap)&lt;BC$2, 0,IF(AND(time+1&gt;=BD$2, $E196&lt;BD$2), IF($I196= "I", $J196/($F196-$E196+1), $J196/(($F196*($F196+1)/2)-(($E196-1)*($E196-1+1)/2))*BC$2), 0)+IF(IF(time+1&gt;=BD$2, $K196/time_cap/(time+1)*BC$2, 0) = 0, $K196/(time_cap),0)),0)</f>
        <v/>
      </c>
      <c r="BD196" s="4395">
        <f>IFERROR(IF((time+time_cap)&lt;BD$2, 0,IF(AND(time+1&gt;=BE$2, $E196&lt;BE$2), IF($I196= "I", $J196/($F196-$E196+1), $J196/(($F196*($F196+1)/2)-(($E196-1)*($E196-1+1)/2))*BD$2), 0)+IF(IF(time+1&gt;=BE$2, $K196/time_cap/(time+1)*BD$2, 0) = 0, $K196/(time_cap),0)),0)</f>
        <v/>
      </c>
      <c r="BE196" s="4395">
        <f>IFERROR(IF((time+time_cap)&lt;BE$2, 0,IF(AND(time+1&gt;=BF$2, $E196&lt;BF$2), IF($I196= "I", $J196/($F196-$E196+1), $J196/(($F196*($F196+1)/2)-(($E196-1)*($E196-1+1)/2))*BE$2), 0)+IF(IF(time+1&gt;=BF$2, $K196/time_cap/(time+1)*BE$2, 0) = 0, $K196/(time_cap),0)),0)</f>
        <v/>
      </c>
      <c r="BF196" s="4395">
        <f>IFERROR(IF((time+time_cap)&lt;BF$2, 0,IF(AND(time+1&gt;=BG$2, $E196&lt;BG$2), IF($I196= "I", $J196/($F196-$E196+1), $J196/(($F196*($F196+1)/2)-(($E196-1)*($E196-1+1)/2))*BF$2), 0)+IF(IF(time+1&gt;=BG$2, $K196/time_cap/(time+1)*BF$2, 0) = 0, $K196/(time_cap),0)),0)</f>
        <v/>
      </c>
      <c r="BG196" s="4395">
        <f>IFERROR(IF((time+time_cap)&lt;BG$2, 0,IF(AND(time+1&gt;=BH$2, $E196&lt;BH$2), IF($I196= "I", $J196/($F196-$E196+1), $J196/(($F196*($F196+1)/2)-(($E196-1)*($E196-1+1)/2))*BG$2), 0)+IF(IF(time+1&gt;=BH$2, $K196/time_cap/(time+1)*BG$2, 0) = 0, $K196/(time_cap),0)),0)</f>
        <v/>
      </c>
      <c r="BH196" s="4395">
        <f>IFERROR(IF((time+time_cap)&lt;BH$2, 0,IF(AND(time+1&gt;=BI$2, $E196&lt;BI$2), IF($I196= "I", $J196/($F196-$E196+1), $J196/(($F196*($F196+1)/2)-(($E196-1)*($E196-1+1)/2))*BH$2), 0)+IF(IF(time+1&gt;=BI$2, $K196/time_cap/(time+1)*BH$2, 0) = 0, $K196/(time_cap),0)),0)</f>
        <v/>
      </c>
      <c r="BI196" s="4395">
        <f>IFERROR(IF((time+time_cap)&lt;BI$2, 0,IF(AND(time+1&gt;=BJ$2, $E196&lt;BJ$2), IF($I196= "I", $J196/($F196-$E196+1), $J196/(($F196*($F196+1)/2)-(($E196-1)*($E196-1+1)/2))*BI$2), 0)+IF(IF(time+1&gt;=BJ$2, $K196/time_cap/(time+1)*BI$2, 0) = 0, $K196/(time_cap),0)),0)</f>
        <v/>
      </c>
      <c r="BJ196" s="4395">
        <f>IFERROR(IF((time+time_cap)&lt;BJ$2, 0,IF(AND(time+1&gt;=BK$2, $E196&lt;BK$2), IF($I196= "I", $J196/($F196-$E196+1), $J196/(($F196*($F196+1)/2)-(($E196-1)*($E196-1+1)/2))*BJ$2), 0)+IF(IF(time+1&gt;=BK$2, $K196/time_cap/(time+1)*BJ$2, 0) = 0, $K196/(time_cap),0)),0)</f>
        <v/>
      </c>
      <c r="BK196" s="4395" t="n"/>
      <c r="BL196" s="4395" t="n"/>
      <c r="BM196" s="4395" t="n"/>
      <c r="BN196" s="4395" t="n"/>
      <c r="BO196" s="4395" t="n"/>
      <c r="BP196" s="4395" t="n"/>
      <c r="BQ196" s="4395" t="n"/>
      <c r="BR196" s="4395" t="n"/>
      <c r="BS196" s="4395" t="n"/>
      <c r="BT196" s="4395" t="n"/>
      <c r="BU196" s="4395" t="n"/>
      <c r="BV196" s="4395" t="n"/>
      <c r="BW196" s="4395" t="n"/>
      <c r="BX196" s="4395" t="n"/>
      <c r="BY196" s="4395" t="n"/>
      <c r="BZ196" s="4395" t="n"/>
      <c r="CA196" s="4395" t="n"/>
      <c r="CB196" s="4395" t="n"/>
      <c r="CC196" s="4395" t="n"/>
      <c r="CD196" s="4395" t="n"/>
      <c r="CE196" s="4395" t="n"/>
      <c r="CF196" s="4395" t="n"/>
      <c r="CG196" s="4395" t="n"/>
      <c r="CH196" s="4395" t="n"/>
      <c r="CI196" s="4395" t="n"/>
      <c r="CJ196" s="4395" t="n"/>
      <c r="CK196" s="4395" t="n"/>
      <c r="CL196" s="4395" t="n"/>
      <c r="CM196" s="4395" t="n"/>
      <c r="CN196" s="4395" t="n"/>
      <c r="CO196" s="4395" t="n"/>
      <c r="CP196" s="4395" t="n"/>
      <c r="CQ196" s="4395" t="n"/>
      <c r="CR196" s="4395" t="n"/>
      <c r="CS196" s="4395" t="n"/>
      <c r="CT196" s="4395" t="n"/>
      <c r="CU196" s="4395" t="n"/>
      <c r="CV196" s="4395" t="n"/>
      <c r="CW196" s="4395" t="n"/>
      <c r="CX196" s="4395" t="n"/>
      <c r="CY196" s="4395" t="n"/>
      <c r="CZ196" s="4395" t="n"/>
      <c r="DA196" s="4395" t="n"/>
      <c r="DB196" s="4395" t="n"/>
      <c r="DC196" s="4395" t="n"/>
      <c r="DD196" s="4395" t="n"/>
      <c r="DE196" s="4395" t="n"/>
      <c r="DF196" s="4395" t="n"/>
      <c r="DG196" s="4395" t="n"/>
      <c r="DH196" s="4395" t="n"/>
    </row>
    <row r="197" ht="16" customHeight="1">
      <c r="A197" t="inlineStr">
        <is>
          <t>Aquaculture</t>
        </is>
      </c>
      <c r="B197">
        <f>'8. Fisheries and aquaculture'!C75</f>
        <v/>
      </c>
      <c r="C197">
        <f>'8. Fisheries and aquaculture'!J75</f>
        <v/>
      </c>
      <c r="D197">
        <f>'8. Fisheries and aquaculture'!AI75</f>
        <v/>
      </c>
      <c r="E197">
        <f>IF('8. Fisheries and aquaculture'!CN75&lt;&gt;0,'8. Fisheries and aquaculture'!CN75,'8. Fisheries and aquaculture'!CM75)</f>
        <v/>
      </c>
      <c r="F197">
        <f>time</f>
        <v/>
      </c>
      <c r="G197" s="4395">
        <f>'8. Fisheries and aquaculture'!AA75</f>
        <v/>
      </c>
      <c r="H197" s="4395">
        <f>'8. Fisheries and aquaculture'!AC75</f>
        <v/>
      </c>
      <c r="I197" s="4395">
        <f>IF(OR(H197="I", G197="I"), "I", IF(OR(H197="E", G197="E"), "E", "D"))</f>
        <v/>
      </c>
      <c r="J197" s="4395">
        <f>((D197/(time_cap+((F197-E197+1)*VLOOKUP(I197,list!$I$48:$K$50,3, FALSE))))*(F197-E197+1)*VLOOKUP(I197,list!$I$48:$K$50,3, FALSE))</f>
        <v/>
      </c>
      <c r="K197" s="4395">
        <f>((D197/(time_cap+((F197-E197+1)*VLOOKUP(I197,list!$I$48:$K$50,3, FALSE))))*time_cap)</f>
        <v/>
      </c>
      <c r="M197" s="4395">
        <f>IFERROR(IF((time+time_cap)&lt;M$2, 0,IF(AND(time+1&gt;=N$2, $E197&lt;N$2), IF($I197= "I", $J197/($F197-$E197+1), $J197/(($F197*($F197+1)/2)-(($E197-1)*($E197-1+1)/2))*M$2), 0)+IF(IF(time+1&gt;=N$2, $K197/time_cap/(time+1)*M$2, 0) = 0, $K197/(time_cap),0)),0)</f>
        <v/>
      </c>
      <c r="N197" s="4395">
        <f>IFERROR(IF((time+time_cap)&lt;N$2, 0,IF(AND(time+1&gt;=O$2, $E197&lt;O$2), IF($I197= "I", $J197/($F197-$E197+1), $J197/(($F197*($F197+1)/2)-(($E197-1)*($E197-1+1)/2))*N$2), 0)+IF(IF(time+1&gt;=O$2, $K197/time_cap/(time+1)*N$2, 0) = 0, $K197/(time_cap),0)),0)</f>
        <v/>
      </c>
      <c r="O197" s="4395">
        <f>IFERROR(IF((time+time_cap)&lt;O$2, 0,IF(AND(time+1&gt;=P$2, $E197&lt;P$2), IF($I197= "I", $J197/($F197-$E197+1), $J197/(($F197*($F197+1)/2)-(($E197-1)*($E197-1+1)/2))*O$2), 0)+IF(IF(time+1&gt;=P$2, $K197/time_cap/(time+1)*O$2, 0) = 0, $K197/(time_cap),0)),0)</f>
        <v/>
      </c>
      <c r="P197" s="4395">
        <f>IFERROR(IF((time+time_cap)&lt;P$2, 0,IF(AND(time+1&gt;=Q$2, $E197&lt;Q$2), IF($I197= "I", $J197/($F197-$E197+1), $J197/(($F197*($F197+1)/2)-(($E197-1)*($E197-1+1)/2))*P$2), 0)+IF(IF(time+1&gt;=Q$2, $K197/time_cap/(time+1)*P$2, 0) = 0, $K197/(time_cap),0)),0)</f>
        <v/>
      </c>
      <c r="Q197" s="4395">
        <f>IFERROR(IF((time+time_cap)&lt;Q$2, 0,IF(AND(time+1&gt;=R$2, $E197&lt;R$2), IF($I197= "I", $J197/($F197-$E197+1), $J197/(($F197*($F197+1)/2)-(($E197-1)*($E197-1+1)/2))*Q$2), 0)+IF(IF(time+1&gt;=R$2, $K197/time_cap/(time+1)*Q$2, 0) = 0, $K197/(time_cap),0)),0)</f>
        <v/>
      </c>
      <c r="R197" s="4395">
        <f>IFERROR(IF((time+time_cap)&lt;R$2, 0,IF(AND(time+1&gt;=S$2, $E197&lt;S$2), IF($I197= "I", $J197/($F197-$E197+1), $J197/(($F197*($F197+1)/2)-(($E197-1)*($E197-1+1)/2))*R$2), 0)+IF(IF(time+1&gt;=S$2, $K197/time_cap/(time+1)*R$2, 0) = 0, $K197/(time_cap),0)),0)</f>
        <v/>
      </c>
      <c r="S197" s="4395">
        <f>IFERROR(IF((time+time_cap)&lt;S$2, 0,IF(AND(time+1&gt;=T$2, $E197&lt;T$2), IF($I197= "I", $J197/($F197-$E197+1), $J197/(($F197*($F197+1)/2)-(($E197-1)*($E197-1+1)/2))*S$2), 0)+IF(IF(time+1&gt;=T$2, $K197/time_cap/(time+1)*S$2, 0) = 0, $K197/(time_cap),0)),0)</f>
        <v/>
      </c>
      <c r="T197" s="4395">
        <f>IFERROR(IF((time+time_cap)&lt;T$2, 0,IF(AND(time+1&gt;=U$2, $E197&lt;U$2), IF($I197= "I", $J197/($F197-$E197+1), $J197/(($F197*($F197+1)/2)-(($E197-1)*($E197-1+1)/2))*T$2), 0)+IF(IF(time+1&gt;=U$2, $K197/time_cap/(time+1)*T$2, 0) = 0, $K197/(time_cap),0)),0)</f>
        <v/>
      </c>
      <c r="U197" s="4395">
        <f>IFERROR(IF((time+time_cap)&lt;U$2, 0,IF(AND(time+1&gt;=V$2, $E197&lt;V$2), IF($I197= "I", $J197/($F197-$E197+1), $J197/(($F197*($F197+1)/2)-(($E197-1)*($E197-1+1)/2))*U$2), 0)+IF(IF(time+1&gt;=V$2, $K197/time_cap/(time+1)*U$2, 0) = 0, $K197/(time_cap),0)),0)</f>
        <v/>
      </c>
      <c r="V197" s="4395">
        <f>IFERROR(IF((time+time_cap)&lt;V$2, 0,IF(AND(time+1&gt;=W$2, $E197&lt;W$2), IF($I197= "I", $J197/($F197-$E197+1), $J197/(($F197*($F197+1)/2)-(($E197-1)*($E197-1+1)/2))*V$2), 0)+IF(IF(time+1&gt;=W$2, $K197/time_cap/(time+1)*V$2, 0) = 0, $K197/(time_cap),0)),0)</f>
        <v/>
      </c>
      <c r="W197" s="4395">
        <f>IFERROR(IF((time+time_cap)&lt;W$2, 0,IF(AND(time+1&gt;=X$2, $E197&lt;X$2), IF($I197= "I", $J197/($F197-$E197+1), $J197/(($F197*($F197+1)/2)-(($E197-1)*($E197-1+1)/2))*W$2), 0)+IF(IF(time+1&gt;=X$2, $K197/time_cap/(time+1)*W$2, 0) = 0, $K197/(time_cap),0)),0)</f>
        <v/>
      </c>
      <c r="X197" s="4395">
        <f>IFERROR(IF((time+time_cap)&lt;X$2, 0,IF(AND(time+1&gt;=Y$2, $E197&lt;Y$2), IF($I197= "I", $J197/($F197-$E197+1), $J197/(($F197*($F197+1)/2)-(($E197-1)*($E197-1+1)/2))*X$2), 0)+IF(IF(time+1&gt;=Y$2, $K197/time_cap/(time+1)*X$2, 0) = 0, $K197/(time_cap),0)),0)</f>
        <v/>
      </c>
      <c r="Y197" s="4395">
        <f>IFERROR(IF((time+time_cap)&lt;Y$2, 0,IF(AND(time+1&gt;=Z$2, $E197&lt;Z$2), IF($I197= "I", $J197/($F197-$E197+1), $J197/(($F197*($F197+1)/2)-(($E197-1)*($E197-1+1)/2))*Y$2), 0)+IF(IF(time+1&gt;=Z$2, $K197/time_cap/(time+1)*Y$2, 0) = 0, $K197/(time_cap),0)),0)</f>
        <v/>
      </c>
      <c r="Z197" s="4395">
        <f>IFERROR(IF((time+time_cap)&lt;Z$2, 0,IF(AND(time+1&gt;=AA$2, $E197&lt;AA$2), IF($I197= "I", $J197/($F197-$E197+1), $J197/(($F197*($F197+1)/2)-(($E197-1)*($E197-1+1)/2))*Z$2), 0)+IF(IF(time+1&gt;=AA$2, $K197/time_cap/(time+1)*Z$2, 0) = 0, $K197/(time_cap),0)),0)</f>
        <v/>
      </c>
      <c r="AA197" s="4395">
        <f>IFERROR(IF((time+time_cap)&lt;AA$2, 0,IF(AND(time+1&gt;=AB$2, $E197&lt;AB$2), IF($I197= "I", $J197/($F197-$E197+1), $J197/(($F197*($F197+1)/2)-(($E197-1)*($E197-1+1)/2))*AA$2), 0)+IF(IF(time+1&gt;=AB$2, $K197/time_cap/(time+1)*AA$2, 0) = 0, $K197/(time_cap),0)),0)</f>
        <v/>
      </c>
      <c r="AB197" s="4395">
        <f>IFERROR(IF((time+time_cap)&lt;AB$2, 0,IF(AND(time+1&gt;=AC$2, $E197&lt;AC$2), IF($I197= "I", $J197/($F197-$E197+1), $J197/(($F197*($F197+1)/2)-(($E197-1)*($E197-1+1)/2))*AB$2), 0)+IF(IF(time+1&gt;=AC$2, $K197/time_cap/(time+1)*AB$2, 0) = 0, $K197/(time_cap),0)),0)</f>
        <v/>
      </c>
      <c r="AC197" s="4395">
        <f>IFERROR(IF((time+time_cap)&lt;AC$2, 0,IF(AND(time+1&gt;=AD$2, $E197&lt;AD$2), IF($I197= "I", $J197/($F197-$E197+1), $J197/(($F197*($F197+1)/2)-(($E197-1)*($E197-1+1)/2))*AC$2), 0)+IF(IF(time+1&gt;=AD$2, $K197/time_cap/(time+1)*AC$2, 0) = 0, $K197/(time_cap),0)),0)</f>
        <v/>
      </c>
      <c r="AD197" s="4395">
        <f>IFERROR(IF((time+time_cap)&lt;AD$2, 0,IF(AND(time+1&gt;=AE$2, $E197&lt;AE$2), IF($I197= "I", $J197/($F197-$E197+1), $J197/(($F197*($F197+1)/2)-(($E197-1)*($E197-1+1)/2))*AD$2), 0)+IF(IF(time+1&gt;=AE$2, $K197/time_cap/(time+1)*AD$2, 0) = 0, $K197/(time_cap),0)),0)</f>
        <v/>
      </c>
      <c r="AE197" s="4395">
        <f>IFERROR(IF((time+time_cap)&lt;AE$2, 0,IF(AND(time+1&gt;=AF$2, $E197&lt;AF$2), IF($I197= "I", $J197/($F197-$E197+1), $J197/(($F197*($F197+1)/2)-(($E197-1)*($E197-1+1)/2))*AE$2), 0)+IF(IF(time+1&gt;=AF$2, $K197/time_cap/(time+1)*AE$2, 0) = 0, $K197/(time_cap),0)),0)</f>
        <v/>
      </c>
      <c r="AF197" s="4395">
        <f>IFERROR(IF((time+time_cap)&lt;AF$2, 0,IF(AND(time+1&gt;=AG$2, $E197&lt;AG$2), IF($I197= "I", $J197/($F197-$E197+1), $J197/(($F197*($F197+1)/2)-(($E197-1)*($E197-1+1)/2))*AF$2), 0)+IF(IF(time+1&gt;=AG$2, $K197/time_cap/(time+1)*AF$2, 0) = 0, $K197/(time_cap),0)),0)</f>
        <v/>
      </c>
      <c r="AG197" s="4395">
        <f>IFERROR(IF((time+time_cap)&lt;AG$2, 0,IF(AND(time+1&gt;=AH$2, $E197&lt;AH$2), IF($I197= "I", $J197/($F197-$E197+1), $J197/(($F197*($F197+1)/2)-(($E197-1)*($E197-1+1)/2))*AG$2), 0)+IF(IF(time+1&gt;=AH$2, $K197/time_cap/(time+1)*AG$2, 0) = 0, $K197/(time_cap),0)),0)</f>
        <v/>
      </c>
      <c r="AH197" s="4395">
        <f>IFERROR(IF((time+time_cap)&lt;AH$2, 0,IF(AND(time+1&gt;=AI$2, $E197&lt;AI$2), IF($I197= "I", $J197/($F197-$E197+1), $J197/(($F197*($F197+1)/2)-(($E197-1)*($E197-1+1)/2))*AH$2), 0)+IF(IF(time+1&gt;=AI$2, $K197/time_cap/(time+1)*AH$2, 0) = 0, $K197/(time_cap),0)),0)</f>
        <v/>
      </c>
      <c r="AI197" s="4395">
        <f>IFERROR(IF((time+time_cap)&lt;AI$2, 0,IF(AND(time+1&gt;=AJ$2, $E197&lt;AJ$2), IF($I197= "I", $J197/($F197-$E197+1), $J197/(($F197*($F197+1)/2)-(($E197-1)*($E197-1+1)/2))*AI$2), 0)+IF(IF(time+1&gt;=AJ$2, $K197/time_cap/(time+1)*AI$2, 0) = 0, $K197/(time_cap),0)),0)</f>
        <v/>
      </c>
      <c r="AJ197" s="4395">
        <f>IFERROR(IF((time+time_cap)&lt;AJ$2, 0,IF(AND(time+1&gt;=AK$2, $E197&lt;AK$2), IF($I197= "I", $J197/($F197-$E197+1), $J197/(($F197*($F197+1)/2)-(($E197-1)*($E197-1+1)/2))*AJ$2), 0)+IF(IF(time+1&gt;=AK$2, $K197/time_cap/(time+1)*AJ$2, 0) = 0, $K197/(time_cap),0)),0)</f>
        <v/>
      </c>
      <c r="AK197" s="4395">
        <f>IFERROR(IF((time+time_cap)&lt;AK$2, 0,IF(AND(time+1&gt;=AL$2, $E197&lt;AL$2), IF($I197= "I", $J197/($F197-$E197+1), $J197/(($F197*($F197+1)/2)-(($E197-1)*($E197-1+1)/2))*AK$2), 0)+IF(IF(time+1&gt;=AL$2, $K197/time_cap/(time+1)*AK$2, 0) = 0, $K197/(time_cap),0)),0)</f>
        <v/>
      </c>
      <c r="AL197" s="4395">
        <f>IFERROR(IF((time+time_cap)&lt;AL$2, 0,IF(AND(time+1&gt;=AM$2, $E197&lt;AM$2), IF($I197= "I", $J197/($F197-$E197+1), $J197/(($F197*($F197+1)/2)-(($E197-1)*($E197-1+1)/2))*AL$2), 0)+IF(IF(time+1&gt;=AM$2, $K197/time_cap/(time+1)*AL$2, 0) = 0, $K197/(time_cap),0)),0)</f>
        <v/>
      </c>
      <c r="AM197" s="4395">
        <f>IFERROR(IF((time+time_cap)&lt;AM$2, 0,IF(AND(time+1&gt;=AN$2, $E197&lt;AN$2), IF($I197= "I", $J197/($F197-$E197+1), $J197/(($F197*($F197+1)/2)-(($E197-1)*($E197-1+1)/2))*AM$2), 0)+IF(IF(time+1&gt;=AN$2, $K197/time_cap/(time+1)*AM$2, 0) = 0, $K197/(time_cap),0)),0)</f>
        <v/>
      </c>
      <c r="AN197" s="4395">
        <f>IFERROR(IF((time+time_cap)&lt;AN$2, 0,IF(AND(time+1&gt;=AO$2, $E197&lt;AO$2), IF($I197= "I", $J197/($F197-$E197+1), $J197/(($F197*($F197+1)/2)-(($E197-1)*($E197-1+1)/2))*AN$2), 0)+IF(IF(time+1&gt;=AO$2, $K197/time_cap/(time+1)*AN$2, 0) = 0, $K197/(time_cap),0)),0)</f>
        <v/>
      </c>
      <c r="AO197" s="4395">
        <f>IFERROR(IF((time+time_cap)&lt;AO$2, 0,IF(AND(time+1&gt;=AP$2, $E197&lt;AP$2), IF($I197= "I", $J197/($F197-$E197+1), $J197/(($F197*($F197+1)/2)-(($E197-1)*($E197-1+1)/2))*AO$2), 0)+IF(IF(time+1&gt;=AP$2, $K197/time_cap/(time+1)*AO$2, 0) = 0, $K197/(time_cap),0)),0)</f>
        <v/>
      </c>
      <c r="AP197" s="4395">
        <f>IFERROR(IF((time+time_cap)&lt;AP$2, 0,IF(AND(time+1&gt;=AQ$2, $E197&lt;AQ$2), IF($I197= "I", $J197/($F197-$E197+1), $J197/(($F197*($F197+1)/2)-(($E197-1)*($E197-1+1)/2))*AP$2), 0)+IF(IF(time+1&gt;=AQ$2, $K197/time_cap/(time+1)*AP$2, 0) = 0, $K197/(time_cap),0)),0)</f>
        <v/>
      </c>
      <c r="AQ197" s="4395">
        <f>IFERROR(IF((time+time_cap)&lt;AQ$2, 0,IF(AND(time+1&gt;=AR$2, $E197&lt;AR$2), IF($I197= "I", $J197/($F197-$E197+1), $J197/(($F197*($F197+1)/2)-(($E197-1)*($E197-1+1)/2))*AQ$2), 0)+IF(IF(time+1&gt;=AR$2, $K197/time_cap/(time+1)*AQ$2, 0) = 0, $K197/(time_cap),0)),0)</f>
        <v/>
      </c>
      <c r="AR197" s="4395">
        <f>IFERROR(IF((time+time_cap)&lt;AR$2, 0,IF(AND(time+1&gt;=AS$2, $E197&lt;AS$2), IF($I197= "I", $J197/($F197-$E197+1), $J197/(($F197*($F197+1)/2)-(($E197-1)*($E197-1+1)/2))*AR$2), 0)+IF(IF(time+1&gt;=AS$2, $K197/time_cap/(time+1)*AR$2, 0) = 0, $K197/(time_cap),0)),0)</f>
        <v/>
      </c>
      <c r="AS197" s="4395">
        <f>IFERROR(IF((time+time_cap)&lt;AS$2, 0,IF(AND(time+1&gt;=AT$2, $E197&lt;AT$2), IF($I197= "I", $J197/($F197-$E197+1), $J197/(($F197*($F197+1)/2)-(($E197-1)*($E197-1+1)/2))*AS$2), 0)+IF(IF(time+1&gt;=AT$2, $K197/time_cap/(time+1)*AS$2, 0) = 0, $K197/(time_cap),0)),0)</f>
        <v/>
      </c>
      <c r="AT197" s="4395">
        <f>IFERROR(IF((time+time_cap)&lt;AT$2, 0,IF(AND(time+1&gt;=AU$2, $E197&lt;AU$2), IF($I197= "I", $J197/($F197-$E197+1), $J197/(($F197*($F197+1)/2)-(($E197-1)*($E197-1+1)/2))*AT$2), 0)+IF(IF(time+1&gt;=AU$2, $K197/time_cap/(time+1)*AT$2, 0) = 0, $K197/(time_cap),0)),0)</f>
        <v/>
      </c>
      <c r="AU197" s="4395">
        <f>IFERROR(IF((time+time_cap)&lt;AU$2, 0,IF(AND(time+1&gt;=AV$2, $E197&lt;AV$2), IF($I197= "I", $J197/($F197-$E197+1), $J197/(($F197*($F197+1)/2)-(($E197-1)*($E197-1+1)/2))*AU$2), 0)+IF(IF(time+1&gt;=AV$2, $K197/time_cap/(time+1)*AU$2, 0) = 0, $K197/(time_cap),0)),0)</f>
        <v/>
      </c>
      <c r="AV197" s="4395">
        <f>IFERROR(IF((time+time_cap)&lt;AV$2, 0,IF(AND(time+1&gt;=AW$2, $E197&lt;AW$2), IF($I197= "I", $J197/($F197-$E197+1), $J197/(($F197*($F197+1)/2)-(($E197-1)*($E197-1+1)/2))*AV$2), 0)+IF(IF(time+1&gt;=AW$2, $K197/time_cap/(time+1)*AV$2, 0) = 0, $K197/(time_cap),0)),0)</f>
        <v/>
      </c>
      <c r="AW197" s="4395">
        <f>IFERROR(IF((time+time_cap)&lt;AW$2, 0,IF(AND(time+1&gt;=AX$2, $E197&lt;AX$2), IF($I197= "I", $J197/($F197-$E197+1), $J197/(($F197*($F197+1)/2)-(($E197-1)*($E197-1+1)/2))*AW$2), 0)+IF(IF(time+1&gt;=AX$2, $K197/time_cap/(time+1)*AW$2, 0) = 0, $K197/(time_cap),0)),0)</f>
        <v/>
      </c>
      <c r="AX197" s="4395">
        <f>IFERROR(IF((time+time_cap)&lt;AX$2, 0,IF(AND(time+1&gt;=AY$2, $E197&lt;AY$2), IF($I197= "I", $J197/($F197-$E197+1), $J197/(($F197*($F197+1)/2)-(($E197-1)*($E197-1+1)/2))*AX$2), 0)+IF(IF(time+1&gt;=AY$2, $K197/time_cap/(time+1)*AX$2, 0) = 0, $K197/(time_cap),0)),0)</f>
        <v/>
      </c>
      <c r="AY197" s="4395">
        <f>IFERROR(IF((time+time_cap)&lt;AY$2, 0,IF(AND(time+1&gt;=AZ$2, $E197&lt;AZ$2), IF($I197= "I", $J197/($F197-$E197+1), $J197/(($F197*($F197+1)/2)-(($E197-1)*($E197-1+1)/2))*AY$2), 0)+IF(IF(time+1&gt;=AZ$2, $K197/time_cap/(time+1)*AY$2, 0) = 0, $K197/(time_cap),0)),0)</f>
        <v/>
      </c>
      <c r="AZ197" s="4395">
        <f>IFERROR(IF((time+time_cap)&lt;AZ$2, 0,IF(AND(time+1&gt;=BA$2, $E197&lt;BA$2), IF($I197= "I", $J197/($F197-$E197+1), $J197/(($F197*($F197+1)/2)-(($E197-1)*($E197-1+1)/2))*AZ$2), 0)+IF(IF(time+1&gt;=BA$2, $K197/time_cap/(time+1)*AZ$2, 0) = 0, $K197/(time_cap),0)),0)</f>
        <v/>
      </c>
      <c r="BA197" s="4395">
        <f>IFERROR(IF((time+time_cap)&lt;BA$2, 0,IF(AND(time+1&gt;=BB$2, $E197&lt;BB$2), IF($I197= "I", $J197/($F197-$E197+1), $J197/(($F197*($F197+1)/2)-(($E197-1)*($E197-1+1)/2))*BA$2), 0)+IF(IF(time+1&gt;=BB$2, $K197/time_cap/(time+1)*BA$2, 0) = 0, $K197/(time_cap),0)),0)</f>
        <v/>
      </c>
      <c r="BB197" s="4395">
        <f>IFERROR(IF((time+time_cap)&lt;BB$2, 0,IF(AND(time+1&gt;=BC$2, $E197&lt;BC$2), IF($I197= "I", $J197/($F197-$E197+1), $J197/(($F197*($F197+1)/2)-(($E197-1)*($E197-1+1)/2))*BB$2), 0)+IF(IF(time+1&gt;=BC$2, $K197/time_cap/(time+1)*BB$2, 0) = 0, $K197/(time_cap),0)),0)</f>
        <v/>
      </c>
      <c r="BC197" s="4395">
        <f>IFERROR(IF((time+time_cap)&lt;BC$2, 0,IF(AND(time+1&gt;=BD$2, $E197&lt;BD$2), IF($I197= "I", $J197/($F197-$E197+1), $J197/(($F197*($F197+1)/2)-(($E197-1)*($E197-1+1)/2))*BC$2), 0)+IF(IF(time+1&gt;=BD$2, $K197/time_cap/(time+1)*BC$2, 0) = 0, $K197/(time_cap),0)),0)</f>
        <v/>
      </c>
      <c r="BD197" s="4395">
        <f>IFERROR(IF((time+time_cap)&lt;BD$2, 0,IF(AND(time+1&gt;=BE$2, $E197&lt;BE$2), IF($I197= "I", $J197/($F197-$E197+1), $J197/(($F197*($F197+1)/2)-(($E197-1)*($E197-1+1)/2))*BD$2), 0)+IF(IF(time+1&gt;=BE$2, $K197/time_cap/(time+1)*BD$2, 0) = 0, $K197/(time_cap),0)),0)</f>
        <v/>
      </c>
      <c r="BE197" s="4395">
        <f>IFERROR(IF((time+time_cap)&lt;BE$2, 0,IF(AND(time+1&gt;=BF$2, $E197&lt;BF$2), IF($I197= "I", $J197/($F197-$E197+1), $J197/(($F197*($F197+1)/2)-(($E197-1)*($E197-1+1)/2))*BE$2), 0)+IF(IF(time+1&gt;=BF$2, $K197/time_cap/(time+1)*BE$2, 0) = 0, $K197/(time_cap),0)),0)</f>
        <v/>
      </c>
      <c r="BF197" s="4395">
        <f>IFERROR(IF((time+time_cap)&lt;BF$2, 0,IF(AND(time+1&gt;=BG$2, $E197&lt;BG$2), IF($I197= "I", $J197/($F197-$E197+1), $J197/(($F197*($F197+1)/2)-(($E197-1)*($E197-1+1)/2))*BF$2), 0)+IF(IF(time+1&gt;=BG$2, $K197/time_cap/(time+1)*BF$2, 0) = 0, $K197/(time_cap),0)),0)</f>
        <v/>
      </c>
      <c r="BG197" s="4395">
        <f>IFERROR(IF((time+time_cap)&lt;BG$2, 0,IF(AND(time+1&gt;=BH$2, $E197&lt;BH$2), IF($I197= "I", $J197/($F197-$E197+1), $J197/(($F197*($F197+1)/2)-(($E197-1)*($E197-1+1)/2))*BG$2), 0)+IF(IF(time+1&gt;=BH$2, $K197/time_cap/(time+1)*BG$2, 0) = 0, $K197/(time_cap),0)),0)</f>
        <v/>
      </c>
      <c r="BH197" s="4395">
        <f>IFERROR(IF((time+time_cap)&lt;BH$2, 0,IF(AND(time+1&gt;=BI$2, $E197&lt;BI$2), IF($I197= "I", $J197/($F197-$E197+1), $J197/(($F197*($F197+1)/2)-(($E197-1)*($E197-1+1)/2))*BH$2), 0)+IF(IF(time+1&gt;=BI$2, $K197/time_cap/(time+1)*BH$2, 0) = 0, $K197/(time_cap),0)),0)</f>
        <v/>
      </c>
      <c r="BI197" s="4395">
        <f>IFERROR(IF((time+time_cap)&lt;BI$2, 0,IF(AND(time+1&gt;=BJ$2, $E197&lt;BJ$2), IF($I197= "I", $J197/($F197-$E197+1), $J197/(($F197*($F197+1)/2)-(($E197-1)*($E197-1+1)/2))*BI$2), 0)+IF(IF(time+1&gt;=BJ$2, $K197/time_cap/(time+1)*BI$2, 0) = 0, $K197/(time_cap),0)),0)</f>
        <v/>
      </c>
      <c r="BJ197" s="4395">
        <f>IFERROR(IF((time+time_cap)&lt;BJ$2, 0,IF(AND(time+1&gt;=BK$2, $E197&lt;BK$2), IF($I197= "I", $J197/($F197-$E197+1), $J197/(($F197*($F197+1)/2)-(($E197-1)*($E197-1+1)/2))*BJ$2), 0)+IF(IF(time+1&gt;=BK$2, $K197/time_cap/(time+1)*BJ$2, 0) = 0, $K197/(time_cap),0)),0)</f>
        <v/>
      </c>
      <c r="BK197" s="4395" t="n"/>
      <c r="BL197" s="4395" t="n"/>
      <c r="BM197" s="4395" t="n"/>
      <c r="BN197" s="4395" t="n"/>
      <c r="BO197" s="4395" t="n"/>
      <c r="BP197" s="4395" t="n"/>
      <c r="BQ197" s="4395" t="n"/>
      <c r="BR197" s="4395" t="n"/>
      <c r="BS197" s="4395" t="n"/>
      <c r="BT197" s="4395" t="n"/>
      <c r="BU197" s="4395" t="n"/>
      <c r="BV197" s="4395" t="n"/>
      <c r="BW197" s="4395" t="n"/>
      <c r="BX197" s="4395" t="n"/>
      <c r="BY197" s="4395" t="n"/>
      <c r="BZ197" s="4395" t="n"/>
      <c r="CA197" s="4395" t="n"/>
      <c r="CB197" s="4395" t="n"/>
      <c r="CC197" s="4395" t="n"/>
      <c r="CD197" s="4395" t="n"/>
      <c r="CE197" s="4395" t="n"/>
      <c r="CF197" s="4395" t="n"/>
      <c r="CG197" s="4395" t="n"/>
      <c r="CH197" s="4395" t="n"/>
      <c r="CI197" s="4395" t="n"/>
      <c r="CJ197" s="4395" t="n"/>
      <c r="CK197" s="4395" t="n"/>
      <c r="CL197" s="4395" t="n"/>
      <c r="CM197" s="4395" t="n"/>
      <c r="CN197" s="4395" t="n"/>
      <c r="CO197" s="4395" t="n"/>
      <c r="CP197" s="4395" t="n"/>
      <c r="CQ197" s="4395" t="n"/>
      <c r="CR197" s="4395" t="n"/>
      <c r="CS197" s="4395" t="n"/>
      <c r="CT197" s="4395" t="n"/>
      <c r="CU197" s="4395" t="n"/>
      <c r="CV197" s="4395" t="n"/>
      <c r="CW197" s="4395" t="n"/>
      <c r="CX197" s="4395" t="n"/>
      <c r="CY197" s="4395" t="n"/>
      <c r="CZ197" s="4395" t="n"/>
      <c r="DA197" s="4395" t="n"/>
      <c r="DB197" s="4395" t="n"/>
      <c r="DC197" s="4395" t="n"/>
      <c r="DD197" s="4395" t="n"/>
      <c r="DE197" s="4395" t="n"/>
      <c r="DF197" s="4395" t="n"/>
      <c r="DG197" s="4395" t="n"/>
      <c r="DH197" s="4395" t="n"/>
    </row>
    <row r="198" ht="16" customHeight="1">
      <c r="A198" t="inlineStr">
        <is>
          <t>Aquaculture</t>
        </is>
      </c>
      <c r="B198">
        <f>'8. Fisheries and aquaculture'!C76</f>
        <v/>
      </c>
      <c r="C198">
        <f>'8. Fisheries and aquaculture'!J76</f>
        <v/>
      </c>
      <c r="D198">
        <f>'8. Fisheries and aquaculture'!AI76</f>
        <v/>
      </c>
      <c r="E198">
        <f>IF('8. Fisheries and aquaculture'!CN76&lt;&gt;0,'8. Fisheries and aquaculture'!CN76,'8. Fisheries and aquaculture'!CM76)</f>
        <v/>
      </c>
      <c r="F198">
        <f>time</f>
        <v/>
      </c>
      <c r="G198" s="4395">
        <f>'8. Fisheries and aquaculture'!AA76</f>
        <v/>
      </c>
      <c r="H198" s="4395">
        <f>'8. Fisheries and aquaculture'!AC76</f>
        <v/>
      </c>
      <c r="I198" s="4395">
        <f>IF(OR(H198="I", G198="I"), "I", IF(OR(H198="E", G198="E"), "E", "D"))</f>
        <v/>
      </c>
      <c r="J198" s="4395">
        <f>((D198/(time_cap+((F198-E198+1)*VLOOKUP(I198,list!$I$48:$K$50,3, FALSE))))*(F198-E198+1)*VLOOKUP(I198,list!$I$48:$K$50,3, FALSE))</f>
        <v/>
      </c>
      <c r="K198" s="4395">
        <f>((D198/(time_cap+((F198-E198+1)*VLOOKUP(I198,list!$I$48:$K$50,3, FALSE))))*time_cap)</f>
        <v/>
      </c>
      <c r="M198" s="4395">
        <f>IFERROR(IF((time+time_cap)&lt;M$2, 0,IF(AND(time+1&gt;=N$2, $E198&lt;N$2), IF($I198= "I", $J198/($F198-$E198+1), $J198/(($F198*($F198+1)/2)-(($E198-1)*($E198-1+1)/2))*M$2), 0)+IF(IF(time+1&gt;=N$2, $K198/time_cap/(time+1)*M$2, 0) = 0, $K198/(time_cap),0)),0)</f>
        <v/>
      </c>
      <c r="N198" s="4395">
        <f>IFERROR(IF((time+time_cap)&lt;N$2, 0,IF(AND(time+1&gt;=O$2, $E198&lt;O$2), IF($I198= "I", $J198/($F198-$E198+1), $J198/(($F198*($F198+1)/2)-(($E198-1)*($E198-1+1)/2))*N$2), 0)+IF(IF(time+1&gt;=O$2, $K198/time_cap/(time+1)*N$2, 0) = 0, $K198/(time_cap),0)),0)</f>
        <v/>
      </c>
      <c r="O198" s="4395">
        <f>IFERROR(IF((time+time_cap)&lt;O$2, 0,IF(AND(time+1&gt;=P$2, $E198&lt;P$2), IF($I198= "I", $J198/($F198-$E198+1), $J198/(($F198*($F198+1)/2)-(($E198-1)*($E198-1+1)/2))*O$2), 0)+IF(IF(time+1&gt;=P$2, $K198/time_cap/(time+1)*O$2, 0) = 0, $K198/(time_cap),0)),0)</f>
        <v/>
      </c>
      <c r="P198" s="4395">
        <f>IFERROR(IF((time+time_cap)&lt;P$2, 0,IF(AND(time+1&gt;=Q$2, $E198&lt;Q$2), IF($I198= "I", $J198/($F198-$E198+1), $J198/(($F198*($F198+1)/2)-(($E198-1)*($E198-1+1)/2))*P$2), 0)+IF(IF(time+1&gt;=Q$2, $K198/time_cap/(time+1)*P$2, 0) = 0, $K198/(time_cap),0)),0)</f>
        <v/>
      </c>
      <c r="Q198" s="4395">
        <f>IFERROR(IF((time+time_cap)&lt;Q$2, 0,IF(AND(time+1&gt;=R$2, $E198&lt;R$2), IF($I198= "I", $J198/($F198-$E198+1), $J198/(($F198*($F198+1)/2)-(($E198-1)*($E198-1+1)/2))*Q$2), 0)+IF(IF(time+1&gt;=R$2, $K198/time_cap/(time+1)*Q$2, 0) = 0, $K198/(time_cap),0)),0)</f>
        <v/>
      </c>
      <c r="R198" s="4395">
        <f>IFERROR(IF((time+time_cap)&lt;R$2, 0,IF(AND(time+1&gt;=S$2, $E198&lt;S$2), IF($I198= "I", $J198/($F198-$E198+1), $J198/(($F198*($F198+1)/2)-(($E198-1)*($E198-1+1)/2))*R$2), 0)+IF(IF(time+1&gt;=S$2, $K198/time_cap/(time+1)*R$2, 0) = 0, $K198/(time_cap),0)),0)</f>
        <v/>
      </c>
      <c r="S198" s="4395">
        <f>IFERROR(IF((time+time_cap)&lt;S$2, 0,IF(AND(time+1&gt;=T$2, $E198&lt;T$2), IF($I198= "I", $J198/($F198-$E198+1), $J198/(($F198*($F198+1)/2)-(($E198-1)*($E198-1+1)/2))*S$2), 0)+IF(IF(time+1&gt;=T$2, $K198/time_cap/(time+1)*S$2, 0) = 0, $K198/(time_cap),0)),0)</f>
        <v/>
      </c>
      <c r="T198" s="4395">
        <f>IFERROR(IF((time+time_cap)&lt;T$2, 0,IF(AND(time+1&gt;=U$2, $E198&lt;U$2), IF($I198= "I", $J198/($F198-$E198+1), $J198/(($F198*($F198+1)/2)-(($E198-1)*($E198-1+1)/2))*T$2), 0)+IF(IF(time+1&gt;=U$2, $K198/time_cap/(time+1)*T$2, 0) = 0, $K198/(time_cap),0)),0)</f>
        <v/>
      </c>
      <c r="U198" s="4395">
        <f>IFERROR(IF((time+time_cap)&lt;U$2, 0,IF(AND(time+1&gt;=V$2, $E198&lt;V$2), IF($I198= "I", $J198/($F198-$E198+1), $J198/(($F198*($F198+1)/2)-(($E198-1)*($E198-1+1)/2))*U$2), 0)+IF(IF(time+1&gt;=V$2, $K198/time_cap/(time+1)*U$2, 0) = 0, $K198/(time_cap),0)),0)</f>
        <v/>
      </c>
      <c r="V198" s="4395">
        <f>IFERROR(IF((time+time_cap)&lt;V$2, 0,IF(AND(time+1&gt;=W$2, $E198&lt;W$2), IF($I198= "I", $J198/($F198-$E198+1), $J198/(($F198*($F198+1)/2)-(($E198-1)*($E198-1+1)/2))*V$2), 0)+IF(IF(time+1&gt;=W$2, $K198/time_cap/(time+1)*V$2, 0) = 0, $K198/(time_cap),0)),0)</f>
        <v/>
      </c>
      <c r="W198" s="4395">
        <f>IFERROR(IF((time+time_cap)&lt;W$2, 0,IF(AND(time+1&gt;=X$2, $E198&lt;X$2), IF($I198= "I", $J198/($F198-$E198+1), $J198/(($F198*($F198+1)/2)-(($E198-1)*($E198-1+1)/2))*W$2), 0)+IF(IF(time+1&gt;=X$2, $K198/time_cap/(time+1)*W$2, 0) = 0, $K198/(time_cap),0)),0)</f>
        <v/>
      </c>
      <c r="X198" s="4395">
        <f>IFERROR(IF((time+time_cap)&lt;X$2, 0,IF(AND(time+1&gt;=Y$2, $E198&lt;Y$2), IF($I198= "I", $J198/($F198-$E198+1), $J198/(($F198*($F198+1)/2)-(($E198-1)*($E198-1+1)/2))*X$2), 0)+IF(IF(time+1&gt;=Y$2, $K198/time_cap/(time+1)*X$2, 0) = 0, $K198/(time_cap),0)),0)</f>
        <v/>
      </c>
      <c r="Y198" s="4395">
        <f>IFERROR(IF((time+time_cap)&lt;Y$2, 0,IF(AND(time+1&gt;=Z$2, $E198&lt;Z$2), IF($I198= "I", $J198/($F198-$E198+1), $J198/(($F198*($F198+1)/2)-(($E198-1)*($E198-1+1)/2))*Y$2), 0)+IF(IF(time+1&gt;=Z$2, $K198/time_cap/(time+1)*Y$2, 0) = 0, $K198/(time_cap),0)),0)</f>
        <v/>
      </c>
      <c r="Z198" s="4395">
        <f>IFERROR(IF((time+time_cap)&lt;Z$2, 0,IF(AND(time+1&gt;=AA$2, $E198&lt;AA$2), IF($I198= "I", $J198/($F198-$E198+1), $J198/(($F198*($F198+1)/2)-(($E198-1)*($E198-1+1)/2))*Z$2), 0)+IF(IF(time+1&gt;=AA$2, $K198/time_cap/(time+1)*Z$2, 0) = 0, $K198/(time_cap),0)),0)</f>
        <v/>
      </c>
      <c r="AA198" s="4395">
        <f>IFERROR(IF((time+time_cap)&lt;AA$2, 0,IF(AND(time+1&gt;=AB$2, $E198&lt;AB$2), IF($I198= "I", $J198/($F198-$E198+1), $J198/(($F198*($F198+1)/2)-(($E198-1)*($E198-1+1)/2))*AA$2), 0)+IF(IF(time+1&gt;=AB$2, $K198/time_cap/(time+1)*AA$2, 0) = 0, $K198/(time_cap),0)),0)</f>
        <v/>
      </c>
      <c r="AB198" s="4395">
        <f>IFERROR(IF((time+time_cap)&lt;AB$2, 0,IF(AND(time+1&gt;=AC$2, $E198&lt;AC$2), IF($I198= "I", $J198/($F198-$E198+1), $J198/(($F198*($F198+1)/2)-(($E198-1)*($E198-1+1)/2))*AB$2), 0)+IF(IF(time+1&gt;=AC$2, $K198/time_cap/(time+1)*AB$2, 0) = 0, $K198/(time_cap),0)),0)</f>
        <v/>
      </c>
      <c r="AC198" s="4395">
        <f>IFERROR(IF((time+time_cap)&lt;AC$2, 0,IF(AND(time+1&gt;=AD$2, $E198&lt;AD$2), IF($I198= "I", $J198/($F198-$E198+1), $J198/(($F198*($F198+1)/2)-(($E198-1)*($E198-1+1)/2))*AC$2), 0)+IF(IF(time+1&gt;=AD$2, $K198/time_cap/(time+1)*AC$2, 0) = 0, $K198/(time_cap),0)),0)</f>
        <v/>
      </c>
      <c r="AD198" s="4395">
        <f>IFERROR(IF((time+time_cap)&lt;AD$2, 0,IF(AND(time+1&gt;=AE$2, $E198&lt;AE$2), IF($I198= "I", $J198/($F198-$E198+1), $J198/(($F198*($F198+1)/2)-(($E198-1)*($E198-1+1)/2))*AD$2), 0)+IF(IF(time+1&gt;=AE$2, $K198/time_cap/(time+1)*AD$2, 0) = 0, $K198/(time_cap),0)),0)</f>
        <v/>
      </c>
      <c r="AE198" s="4395">
        <f>IFERROR(IF((time+time_cap)&lt;AE$2, 0,IF(AND(time+1&gt;=AF$2, $E198&lt;AF$2), IF($I198= "I", $J198/($F198-$E198+1), $J198/(($F198*($F198+1)/2)-(($E198-1)*($E198-1+1)/2))*AE$2), 0)+IF(IF(time+1&gt;=AF$2, $K198/time_cap/(time+1)*AE$2, 0) = 0, $K198/(time_cap),0)),0)</f>
        <v/>
      </c>
      <c r="AF198" s="4395">
        <f>IFERROR(IF((time+time_cap)&lt;AF$2, 0,IF(AND(time+1&gt;=AG$2, $E198&lt;AG$2), IF($I198= "I", $J198/($F198-$E198+1), $J198/(($F198*($F198+1)/2)-(($E198-1)*($E198-1+1)/2))*AF$2), 0)+IF(IF(time+1&gt;=AG$2, $K198/time_cap/(time+1)*AF$2, 0) = 0, $K198/(time_cap),0)),0)</f>
        <v/>
      </c>
      <c r="AG198" s="4395">
        <f>IFERROR(IF((time+time_cap)&lt;AG$2, 0,IF(AND(time+1&gt;=AH$2, $E198&lt;AH$2), IF($I198= "I", $J198/($F198-$E198+1), $J198/(($F198*($F198+1)/2)-(($E198-1)*($E198-1+1)/2))*AG$2), 0)+IF(IF(time+1&gt;=AH$2, $K198/time_cap/(time+1)*AG$2, 0) = 0, $K198/(time_cap),0)),0)</f>
        <v/>
      </c>
      <c r="AH198" s="4395">
        <f>IFERROR(IF((time+time_cap)&lt;AH$2, 0,IF(AND(time+1&gt;=AI$2, $E198&lt;AI$2), IF($I198= "I", $J198/($F198-$E198+1), $J198/(($F198*($F198+1)/2)-(($E198-1)*($E198-1+1)/2))*AH$2), 0)+IF(IF(time+1&gt;=AI$2, $K198/time_cap/(time+1)*AH$2, 0) = 0, $K198/(time_cap),0)),0)</f>
        <v/>
      </c>
      <c r="AI198" s="4395">
        <f>IFERROR(IF((time+time_cap)&lt;AI$2, 0,IF(AND(time+1&gt;=AJ$2, $E198&lt;AJ$2), IF($I198= "I", $J198/($F198-$E198+1), $J198/(($F198*($F198+1)/2)-(($E198-1)*($E198-1+1)/2))*AI$2), 0)+IF(IF(time+1&gt;=AJ$2, $K198/time_cap/(time+1)*AI$2, 0) = 0, $K198/(time_cap),0)),0)</f>
        <v/>
      </c>
      <c r="AJ198" s="4395">
        <f>IFERROR(IF((time+time_cap)&lt;AJ$2, 0,IF(AND(time+1&gt;=AK$2, $E198&lt;AK$2), IF($I198= "I", $J198/($F198-$E198+1), $J198/(($F198*($F198+1)/2)-(($E198-1)*($E198-1+1)/2))*AJ$2), 0)+IF(IF(time+1&gt;=AK$2, $K198/time_cap/(time+1)*AJ$2, 0) = 0, $K198/(time_cap),0)),0)</f>
        <v/>
      </c>
      <c r="AK198" s="4395">
        <f>IFERROR(IF((time+time_cap)&lt;AK$2, 0,IF(AND(time+1&gt;=AL$2, $E198&lt;AL$2), IF($I198= "I", $J198/($F198-$E198+1), $J198/(($F198*($F198+1)/2)-(($E198-1)*($E198-1+1)/2))*AK$2), 0)+IF(IF(time+1&gt;=AL$2, $K198/time_cap/(time+1)*AK$2, 0) = 0, $K198/(time_cap),0)),0)</f>
        <v/>
      </c>
      <c r="AL198" s="4395">
        <f>IFERROR(IF((time+time_cap)&lt;AL$2, 0,IF(AND(time+1&gt;=AM$2, $E198&lt;AM$2), IF($I198= "I", $J198/($F198-$E198+1), $J198/(($F198*($F198+1)/2)-(($E198-1)*($E198-1+1)/2))*AL$2), 0)+IF(IF(time+1&gt;=AM$2, $K198/time_cap/(time+1)*AL$2, 0) = 0, $K198/(time_cap),0)),0)</f>
        <v/>
      </c>
      <c r="AM198" s="4395">
        <f>IFERROR(IF((time+time_cap)&lt;AM$2, 0,IF(AND(time+1&gt;=AN$2, $E198&lt;AN$2), IF($I198= "I", $J198/($F198-$E198+1), $J198/(($F198*($F198+1)/2)-(($E198-1)*($E198-1+1)/2))*AM$2), 0)+IF(IF(time+1&gt;=AN$2, $K198/time_cap/(time+1)*AM$2, 0) = 0, $K198/(time_cap),0)),0)</f>
        <v/>
      </c>
      <c r="AN198" s="4395">
        <f>IFERROR(IF((time+time_cap)&lt;AN$2, 0,IF(AND(time+1&gt;=AO$2, $E198&lt;AO$2), IF($I198= "I", $J198/($F198-$E198+1), $J198/(($F198*($F198+1)/2)-(($E198-1)*($E198-1+1)/2))*AN$2), 0)+IF(IF(time+1&gt;=AO$2, $K198/time_cap/(time+1)*AN$2, 0) = 0, $K198/(time_cap),0)),0)</f>
        <v/>
      </c>
      <c r="AO198" s="4395">
        <f>IFERROR(IF((time+time_cap)&lt;AO$2, 0,IF(AND(time+1&gt;=AP$2, $E198&lt;AP$2), IF($I198= "I", $J198/($F198-$E198+1), $J198/(($F198*($F198+1)/2)-(($E198-1)*($E198-1+1)/2))*AO$2), 0)+IF(IF(time+1&gt;=AP$2, $K198/time_cap/(time+1)*AO$2, 0) = 0, $K198/(time_cap),0)),0)</f>
        <v/>
      </c>
      <c r="AP198" s="4395">
        <f>IFERROR(IF((time+time_cap)&lt;AP$2, 0,IF(AND(time+1&gt;=AQ$2, $E198&lt;AQ$2), IF($I198= "I", $J198/($F198-$E198+1), $J198/(($F198*($F198+1)/2)-(($E198-1)*($E198-1+1)/2))*AP$2), 0)+IF(IF(time+1&gt;=AQ$2, $K198/time_cap/(time+1)*AP$2, 0) = 0, $K198/(time_cap),0)),0)</f>
        <v/>
      </c>
      <c r="AQ198" s="4395">
        <f>IFERROR(IF((time+time_cap)&lt;AQ$2, 0,IF(AND(time+1&gt;=AR$2, $E198&lt;AR$2), IF($I198= "I", $J198/($F198-$E198+1), $J198/(($F198*($F198+1)/2)-(($E198-1)*($E198-1+1)/2))*AQ$2), 0)+IF(IF(time+1&gt;=AR$2, $K198/time_cap/(time+1)*AQ$2, 0) = 0, $K198/(time_cap),0)),0)</f>
        <v/>
      </c>
      <c r="AR198" s="4395">
        <f>IFERROR(IF((time+time_cap)&lt;AR$2, 0,IF(AND(time+1&gt;=AS$2, $E198&lt;AS$2), IF($I198= "I", $J198/($F198-$E198+1), $J198/(($F198*($F198+1)/2)-(($E198-1)*($E198-1+1)/2))*AR$2), 0)+IF(IF(time+1&gt;=AS$2, $K198/time_cap/(time+1)*AR$2, 0) = 0, $K198/(time_cap),0)),0)</f>
        <v/>
      </c>
      <c r="AS198" s="4395">
        <f>IFERROR(IF((time+time_cap)&lt;AS$2, 0,IF(AND(time+1&gt;=AT$2, $E198&lt;AT$2), IF($I198= "I", $J198/($F198-$E198+1), $J198/(($F198*($F198+1)/2)-(($E198-1)*($E198-1+1)/2))*AS$2), 0)+IF(IF(time+1&gt;=AT$2, $K198/time_cap/(time+1)*AS$2, 0) = 0, $K198/(time_cap),0)),0)</f>
        <v/>
      </c>
      <c r="AT198" s="4395">
        <f>IFERROR(IF((time+time_cap)&lt;AT$2, 0,IF(AND(time+1&gt;=AU$2, $E198&lt;AU$2), IF($I198= "I", $J198/($F198-$E198+1), $J198/(($F198*($F198+1)/2)-(($E198-1)*($E198-1+1)/2))*AT$2), 0)+IF(IF(time+1&gt;=AU$2, $K198/time_cap/(time+1)*AT$2, 0) = 0, $K198/(time_cap),0)),0)</f>
        <v/>
      </c>
      <c r="AU198" s="4395">
        <f>IFERROR(IF((time+time_cap)&lt;AU$2, 0,IF(AND(time+1&gt;=AV$2, $E198&lt;AV$2), IF($I198= "I", $J198/($F198-$E198+1), $J198/(($F198*($F198+1)/2)-(($E198-1)*($E198-1+1)/2))*AU$2), 0)+IF(IF(time+1&gt;=AV$2, $K198/time_cap/(time+1)*AU$2, 0) = 0, $K198/(time_cap),0)),0)</f>
        <v/>
      </c>
      <c r="AV198" s="4395">
        <f>IFERROR(IF((time+time_cap)&lt;AV$2, 0,IF(AND(time+1&gt;=AW$2, $E198&lt;AW$2), IF($I198= "I", $J198/($F198-$E198+1), $J198/(($F198*($F198+1)/2)-(($E198-1)*($E198-1+1)/2))*AV$2), 0)+IF(IF(time+1&gt;=AW$2, $K198/time_cap/(time+1)*AV$2, 0) = 0, $K198/(time_cap),0)),0)</f>
        <v/>
      </c>
      <c r="AW198" s="4395">
        <f>IFERROR(IF((time+time_cap)&lt;AW$2, 0,IF(AND(time+1&gt;=AX$2, $E198&lt;AX$2), IF($I198= "I", $J198/($F198-$E198+1), $J198/(($F198*($F198+1)/2)-(($E198-1)*($E198-1+1)/2))*AW$2), 0)+IF(IF(time+1&gt;=AX$2, $K198/time_cap/(time+1)*AW$2, 0) = 0, $K198/(time_cap),0)),0)</f>
        <v/>
      </c>
      <c r="AX198" s="4395">
        <f>IFERROR(IF((time+time_cap)&lt;AX$2, 0,IF(AND(time+1&gt;=AY$2, $E198&lt;AY$2), IF($I198= "I", $J198/($F198-$E198+1), $J198/(($F198*($F198+1)/2)-(($E198-1)*($E198-1+1)/2))*AX$2), 0)+IF(IF(time+1&gt;=AY$2, $K198/time_cap/(time+1)*AX$2, 0) = 0, $K198/(time_cap),0)),0)</f>
        <v/>
      </c>
      <c r="AY198" s="4395">
        <f>IFERROR(IF((time+time_cap)&lt;AY$2, 0,IF(AND(time+1&gt;=AZ$2, $E198&lt;AZ$2), IF($I198= "I", $J198/($F198-$E198+1), $J198/(($F198*($F198+1)/2)-(($E198-1)*($E198-1+1)/2))*AY$2), 0)+IF(IF(time+1&gt;=AZ$2, $K198/time_cap/(time+1)*AY$2, 0) = 0, $K198/(time_cap),0)),0)</f>
        <v/>
      </c>
      <c r="AZ198" s="4395">
        <f>IFERROR(IF((time+time_cap)&lt;AZ$2, 0,IF(AND(time+1&gt;=BA$2, $E198&lt;BA$2), IF($I198= "I", $J198/($F198-$E198+1), $J198/(($F198*($F198+1)/2)-(($E198-1)*($E198-1+1)/2))*AZ$2), 0)+IF(IF(time+1&gt;=BA$2, $K198/time_cap/(time+1)*AZ$2, 0) = 0, $K198/(time_cap),0)),0)</f>
        <v/>
      </c>
      <c r="BA198" s="4395">
        <f>IFERROR(IF((time+time_cap)&lt;BA$2, 0,IF(AND(time+1&gt;=BB$2, $E198&lt;BB$2), IF($I198= "I", $J198/($F198-$E198+1), $J198/(($F198*($F198+1)/2)-(($E198-1)*($E198-1+1)/2))*BA$2), 0)+IF(IF(time+1&gt;=BB$2, $K198/time_cap/(time+1)*BA$2, 0) = 0, $K198/(time_cap),0)),0)</f>
        <v/>
      </c>
      <c r="BB198" s="4395">
        <f>IFERROR(IF((time+time_cap)&lt;BB$2, 0,IF(AND(time+1&gt;=BC$2, $E198&lt;BC$2), IF($I198= "I", $J198/($F198-$E198+1), $J198/(($F198*($F198+1)/2)-(($E198-1)*($E198-1+1)/2))*BB$2), 0)+IF(IF(time+1&gt;=BC$2, $K198/time_cap/(time+1)*BB$2, 0) = 0, $K198/(time_cap),0)),0)</f>
        <v/>
      </c>
      <c r="BC198" s="4395">
        <f>IFERROR(IF((time+time_cap)&lt;BC$2, 0,IF(AND(time+1&gt;=BD$2, $E198&lt;BD$2), IF($I198= "I", $J198/($F198-$E198+1), $J198/(($F198*($F198+1)/2)-(($E198-1)*($E198-1+1)/2))*BC$2), 0)+IF(IF(time+1&gt;=BD$2, $K198/time_cap/(time+1)*BC$2, 0) = 0, $K198/(time_cap),0)),0)</f>
        <v/>
      </c>
      <c r="BD198" s="4395">
        <f>IFERROR(IF((time+time_cap)&lt;BD$2, 0,IF(AND(time+1&gt;=BE$2, $E198&lt;BE$2), IF($I198= "I", $J198/($F198-$E198+1), $J198/(($F198*($F198+1)/2)-(($E198-1)*($E198-1+1)/2))*BD$2), 0)+IF(IF(time+1&gt;=BE$2, $K198/time_cap/(time+1)*BD$2, 0) = 0, $K198/(time_cap),0)),0)</f>
        <v/>
      </c>
      <c r="BE198" s="4395">
        <f>IFERROR(IF((time+time_cap)&lt;BE$2, 0,IF(AND(time+1&gt;=BF$2, $E198&lt;BF$2), IF($I198= "I", $J198/($F198-$E198+1), $J198/(($F198*($F198+1)/2)-(($E198-1)*($E198-1+1)/2))*BE$2), 0)+IF(IF(time+1&gt;=BF$2, $K198/time_cap/(time+1)*BE$2, 0) = 0, $K198/(time_cap),0)),0)</f>
        <v/>
      </c>
      <c r="BF198" s="4395">
        <f>IFERROR(IF((time+time_cap)&lt;BF$2, 0,IF(AND(time+1&gt;=BG$2, $E198&lt;BG$2), IF($I198= "I", $J198/($F198-$E198+1), $J198/(($F198*($F198+1)/2)-(($E198-1)*($E198-1+1)/2))*BF$2), 0)+IF(IF(time+1&gt;=BG$2, $K198/time_cap/(time+1)*BF$2, 0) = 0, $K198/(time_cap),0)),0)</f>
        <v/>
      </c>
      <c r="BG198" s="4395">
        <f>IFERROR(IF((time+time_cap)&lt;BG$2, 0,IF(AND(time+1&gt;=BH$2, $E198&lt;BH$2), IF($I198= "I", $J198/($F198-$E198+1), $J198/(($F198*($F198+1)/2)-(($E198-1)*($E198-1+1)/2))*BG$2), 0)+IF(IF(time+1&gt;=BH$2, $K198/time_cap/(time+1)*BG$2, 0) = 0, $K198/(time_cap),0)),0)</f>
        <v/>
      </c>
      <c r="BH198" s="4395">
        <f>IFERROR(IF((time+time_cap)&lt;BH$2, 0,IF(AND(time+1&gt;=BI$2, $E198&lt;BI$2), IF($I198= "I", $J198/($F198-$E198+1), $J198/(($F198*($F198+1)/2)-(($E198-1)*($E198-1+1)/2))*BH$2), 0)+IF(IF(time+1&gt;=BI$2, $K198/time_cap/(time+1)*BH$2, 0) = 0, $K198/(time_cap),0)),0)</f>
        <v/>
      </c>
      <c r="BI198" s="4395">
        <f>IFERROR(IF((time+time_cap)&lt;BI$2, 0,IF(AND(time+1&gt;=BJ$2, $E198&lt;BJ$2), IF($I198= "I", $J198/($F198-$E198+1), $J198/(($F198*($F198+1)/2)-(($E198-1)*($E198-1+1)/2))*BI$2), 0)+IF(IF(time+1&gt;=BJ$2, $K198/time_cap/(time+1)*BI$2, 0) = 0, $K198/(time_cap),0)),0)</f>
        <v/>
      </c>
      <c r="BJ198" s="4395">
        <f>IFERROR(IF((time+time_cap)&lt;BJ$2, 0,IF(AND(time+1&gt;=BK$2, $E198&lt;BK$2), IF($I198= "I", $J198/($F198-$E198+1), $J198/(($F198*($F198+1)/2)-(($E198-1)*($E198-1+1)/2))*BJ$2), 0)+IF(IF(time+1&gt;=BK$2, $K198/time_cap/(time+1)*BJ$2, 0) = 0, $K198/(time_cap),0)),0)</f>
        <v/>
      </c>
      <c r="BK198" s="4395" t="n"/>
      <c r="BL198" s="4395" t="n"/>
      <c r="BM198" s="4395" t="n"/>
      <c r="BN198" s="4395" t="n"/>
      <c r="BO198" s="4395" t="n"/>
      <c r="BP198" s="4395" t="n"/>
      <c r="BQ198" s="4395" t="n"/>
      <c r="BR198" s="4395" t="n"/>
      <c r="BS198" s="4395" t="n"/>
      <c r="BT198" s="4395" t="n"/>
      <c r="BU198" s="4395" t="n"/>
      <c r="BV198" s="4395" t="n"/>
      <c r="BW198" s="4395" t="n"/>
      <c r="BX198" s="4395" t="n"/>
      <c r="BY198" s="4395" t="n"/>
      <c r="BZ198" s="4395" t="n"/>
      <c r="CA198" s="4395" t="n"/>
      <c r="CB198" s="4395" t="n"/>
      <c r="CC198" s="4395" t="n"/>
      <c r="CD198" s="4395" t="n"/>
      <c r="CE198" s="4395" t="n"/>
      <c r="CF198" s="4395" t="n"/>
      <c r="CG198" s="4395" t="n"/>
      <c r="CH198" s="4395" t="n"/>
      <c r="CI198" s="4395" t="n"/>
      <c r="CJ198" s="4395" t="n"/>
      <c r="CK198" s="4395" t="n"/>
      <c r="CL198" s="4395" t="n"/>
      <c r="CM198" s="4395" t="n"/>
      <c r="CN198" s="4395" t="n"/>
      <c r="CO198" s="4395" t="n"/>
      <c r="CP198" s="4395" t="n"/>
      <c r="CQ198" s="4395" t="n"/>
      <c r="CR198" s="4395" t="n"/>
      <c r="CS198" s="4395" t="n"/>
      <c r="CT198" s="4395" t="n"/>
      <c r="CU198" s="4395" t="n"/>
      <c r="CV198" s="4395" t="n"/>
      <c r="CW198" s="4395" t="n"/>
      <c r="CX198" s="4395" t="n"/>
      <c r="CY198" s="4395" t="n"/>
      <c r="CZ198" s="4395" t="n"/>
      <c r="DA198" s="4395" t="n"/>
      <c r="DB198" s="4395" t="n"/>
      <c r="DC198" s="4395" t="n"/>
      <c r="DD198" s="4395" t="n"/>
      <c r="DE198" s="4395" t="n"/>
      <c r="DF198" s="4395" t="n"/>
      <c r="DG198" s="4395" t="n"/>
      <c r="DH198" s="4395" t="n"/>
    </row>
    <row r="199" ht="16" customHeight="1">
      <c r="A199" t="inlineStr">
        <is>
          <t>Aquaculture</t>
        </is>
      </c>
      <c r="B199">
        <f>'8. Fisheries and aquaculture'!C77</f>
        <v/>
      </c>
      <c r="C199">
        <f>'8. Fisheries and aquaculture'!J77</f>
        <v/>
      </c>
      <c r="D199">
        <f>'8. Fisheries and aquaculture'!AI77</f>
        <v/>
      </c>
      <c r="E199">
        <f>IF('8. Fisheries and aquaculture'!CN77&lt;&gt;0,'8. Fisheries and aquaculture'!CN77,'8. Fisheries and aquaculture'!CM77)</f>
        <v/>
      </c>
      <c r="F199">
        <f>time</f>
        <v/>
      </c>
      <c r="G199" s="4395">
        <f>'8. Fisheries and aquaculture'!AA77</f>
        <v/>
      </c>
      <c r="H199" s="4395">
        <f>'8. Fisheries and aquaculture'!AC77</f>
        <v/>
      </c>
      <c r="I199" s="4395">
        <f>IF(OR(H199="I", G199="I"), "I", IF(OR(H199="E", G199="E"), "E", "D"))</f>
        <v/>
      </c>
      <c r="J199" s="4395">
        <f>((D199/(time_cap+((F199-E199+1)*VLOOKUP(I199,list!$I$48:$K$50,3, FALSE))))*(F199-E199+1)*VLOOKUP(I199,list!$I$48:$K$50,3, FALSE))</f>
        <v/>
      </c>
      <c r="K199" s="4395">
        <f>((D199/(time_cap+((F199-E199+1)*VLOOKUP(I199,list!$I$48:$K$50,3, FALSE))))*time_cap)</f>
        <v/>
      </c>
      <c r="M199" s="4395">
        <f>IFERROR(IF((time+time_cap)&lt;M$2, 0,IF(AND(time+1&gt;=N$2, $E199&lt;N$2), IF($I199= "I", $J199/($F199-$E199+1), $J199/(($F199*($F199+1)/2)-(($E199-1)*($E199-1+1)/2))*M$2), 0)+IF(IF(time+1&gt;=N$2, $K199/time_cap/(time+1)*M$2, 0) = 0, $K199/(time_cap),0)),0)</f>
        <v/>
      </c>
      <c r="N199" s="4395">
        <f>IFERROR(IF((time+time_cap)&lt;N$2, 0,IF(AND(time+1&gt;=O$2, $E199&lt;O$2), IF($I199= "I", $J199/($F199-$E199+1), $J199/(($F199*($F199+1)/2)-(($E199-1)*($E199-1+1)/2))*N$2), 0)+IF(IF(time+1&gt;=O$2, $K199/time_cap/(time+1)*N$2, 0) = 0, $K199/(time_cap),0)),0)</f>
        <v/>
      </c>
      <c r="O199" s="4395">
        <f>IFERROR(IF((time+time_cap)&lt;O$2, 0,IF(AND(time+1&gt;=P$2, $E199&lt;P$2), IF($I199= "I", $J199/($F199-$E199+1), $J199/(($F199*($F199+1)/2)-(($E199-1)*($E199-1+1)/2))*O$2), 0)+IF(IF(time+1&gt;=P$2, $K199/time_cap/(time+1)*O$2, 0) = 0, $K199/(time_cap),0)),0)</f>
        <v/>
      </c>
      <c r="P199" s="4395">
        <f>IFERROR(IF((time+time_cap)&lt;P$2, 0,IF(AND(time+1&gt;=Q$2, $E199&lt;Q$2), IF($I199= "I", $J199/($F199-$E199+1), $J199/(($F199*($F199+1)/2)-(($E199-1)*($E199-1+1)/2))*P$2), 0)+IF(IF(time+1&gt;=Q$2, $K199/time_cap/(time+1)*P$2, 0) = 0, $K199/(time_cap),0)),0)</f>
        <v/>
      </c>
      <c r="Q199" s="4395">
        <f>IFERROR(IF((time+time_cap)&lt;Q$2, 0,IF(AND(time+1&gt;=R$2, $E199&lt;R$2), IF($I199= "I", $J199/($F199-$E199+1), $J199/(($F199*($F199+1)/2)-(($E199-1)*($E199-1+1)/2))*Q$2), 0)+IF(IF(time+1&gt;=R$2, $K199/time_cap/(time+1)*Q$2, 0) = 0, $K199/(time_cap),0)),0)</f>
        <v/>
      </c>
      <c r="R199" s="4395">
        <f>IFERROR(IF((time+time_cap)&lt;R$2, 0,IF(AND(time+1&gt;=S$2, $E199&lt;S$2), IF($I199= "I", $J199/($F199-$E199+1), $J199/(($F199*($F199+1)/2)-(($E199-1)*($E199-1+1)/2))*R$2), 0)+IF(IF(time+1&gt;=S$2, $K199/time_cap/(time+1)*R$2, 0) = 0, $K199/(time_cap),0)),0)</f>
        <v/>
      </c>
      <c r="S199" s="4395">
        <f>IFERROR(IF((time+time_cap)&lt;S$2, 0,IF(AND(time+1&gt;=T$2, $E199&lt;T$2), IF($I199= "I", $J199/($F199-$E199+1), $J199/(($F199*($F199+1)/2)-(($E199-1)*($E199-1+1)/2))*S$2), 0)+IF(IF(time+1&gt;=T$2, $K199/time_cap/(time+1)*S$2, 0) = 0, $K199/(time_cap),0)),0)</f>
        <v/>
      </c>
      <c r="T199" s="4395">
        <f>IFERROR(IF((time+time_cap)&lt;T$2, 0,IF(AND(time+1&gt;=U$2, $E199&lt;U$2), IF($I199= "I", $J199/($F199-$E199+1), $J199/(($F199*($F199+1)/2)-(($E199-1)*($E199-1+1)/2))*T$2), 0)+IF(IF(time+1&gt;=U$2, $K199/time_cap/(time+1)*T$2, 0) = 0, $K199/(time_cap),0)),0)</f>
        <v/>
      </c>
      <c r="U199" s="4395">
        <f>IFERROR(IF((time+time_cap)&lt;U$2, 0,IF(AND(time+1&gt;=V$2, $E199&lt;V$2), IF($I199= "I", $J199/($F199-$E199+1), $J199/(($F199*($F199+1)/2)-(($E199-1)*($E199-1+1)/2))*U$2), 0)+IF(IF(time+1&gt;=V$2, $K199/time_cap/(time+1)*U$2, 0) = 0, $K199/(time_cap),0)),0)</f>
        <v/>
      </c>
      <c r="V199" s="4395">
        <f>IFERROR(IF((time+time_cap)&lt;V$2, 0,IF(AND(time+1&gt;=W$2, $E199&lt;W$2), IF($I199= "I", $J199/($F199-$E199+1), $J199/(($F199*($F199+1)/2)-(($E199-1)*($E199-1+1)/2))*V$2), 0)+IF(IF(time+1&gt;=W$2, $K199/time_cap/(time+1)*V$2, 0) = 0, $K199/(time_cap),0)),0)</f>
        <v/>
      </c>
      <c r="W199" s="4395">
        <f>IFERROR(IF((time+time_cap)&lt;W$2, 0,IF(AND(time+1&gt;=X$2, $E199&lt;X$2), IF($I199= "I", $J199/($F199-$E199+1), $J199/(($F199*($F199+1)/2)-(($E199-1)*($E199-1+1)/2))*W$2), 0)+IF(IF(time+1&gt;=X$2, $K199/time_cap/(time+1)*W$2, 0) = 0, $K199/(time_cap),0)),0)</f>
        <v/>
      </c>
      <c r="X199" s="4395">
        <f>IFERROR(IF((time+time_cap)&lt;X$2, 0,IF(AND(time+1&gt;=Y$2, $E199&lt;Y$2), IF($I199= "I", $J199/($F199-$E199+1), $J199/(($F199*($F199+1)/2)-(($E199-1)*($E199-1+1)/2))*X$2), 0)+IF(IF(time+1&gt;=Y$2, $K199/time_cap/(time+1)*X$2, 0) = 0, $K199/(time_cap),0)),0)</f>
        <v/>
      </c>
      <c r="Y199" s="4395">
        <f>IFERROR(IF((time+time_cap)&lt;Y$2, 0,IF(AND(time+1&gt;=Z$2, $E199&lt;Z$2), IF($I199= "I", $J199/($F199-$E199+1), $J199/(($F199*($F199+1)/2)-(($E199-1)*($E199-1+1)/2))*Y$2), 0)+IF(IF(time+1&gt;=Z$2, $K199/time_cap/(time+1)*Y$2, 0) = 0, $K199/(time_cap),0)),0)</f>
        <v/>
      </c>
      <c r="Z199" s="4395">
        <f>IFERROR(IF((time+time_cap)&lt;Z$2, 0,IF(AND(time+1&gt;=AA$2, $E199&lt;AA$2), IF($I199= "I", $J199/($F199-$E199+1), $J199/(($F199*($F199+1)/2)-(($E199-1)*($E199-1+1)/2))*Z$2), 0)+IF(IF(time+1&gt;=AA$2, $K199/time_cap/(time+1)*Z$2, 0) = 0, $K199/(time_cap),0)),0)</f>
        <v/>
      </c>
      <c r="AA199" s="4395">
        <f>IFERROR(IF((time+time_cap)&lt;AA$2, 0,IF(AND(time+1&gt;=AB$2, $E199&lt;AB$2), IF($I199= "I", $J199/($F199-$E199+1), $J199/(($F199*($F199+1)/2)-(($E199-1)*($E199-1+1)/2))*AA$2), 0)+IF(IF(time+1&gt;=AB$2, $K199/time_cap/(time+1)*AA$2, 0) = 0, $K199/(time_cap),0)),0)</f>
        <v/>
      </c>
      <c r="AB199" s="4395">
        <f>IFERROR(IF((time+time_cap)&lt;AB$2, 0,IF(AND(time+1&gt;=AC$2, $E199&lt;AC$2), IF($I199= "I", $J199/($F199-$E199+1), $J199/(($F199*($F199+1)/2)-(($E199-1)*($E199-1+1)/2))*AB$2), 0)+IF(IF(time+1&gt;=AC$2, $K199/time_cap/(time+1)*AB$2, 0) = 0, $K199/(time_cap),0)),0)</f>
        <v/>
      </c>
      <c r="AC199" s="4395">
        <f>IFERROR(IF((time+time_cap)&lt;AC$2, 0,IF(AND(time+1&gt;=AD$2, $E199&lt;AD$2), IF($I199= "I", $J199/($F199-$E199+1), $J199/(($F199*($F199+1)/2)-(($E199-1)*($E199-1+1)/2))*AC$2), 0)+IF(IF(time+1&gt;=AD$2, $K199/time_cap/(time+1)*AC$2, 0) = 0, $K199/(time_cap),0)),0)</f>
        <v/>
      </c>
      <c r="AD199" s="4395">
        <f>IFERROR(IF((time+time_cap)&lt;AD$2, 0,IF(AND(time+1&gt;=AE$2, $E199&lt;AE$2), IF($I199= "I", $J199/($F199-$E199+1), $J199/(($F199*($F199+1)/2)-(($E199-1)*($E199-1+1)/2))*AD$2), 0)+IF(IF(time+1&gt;=AE$2, $K199/time_cap/(time+1)*AD$2, 0) = 0, $K199/(time_cap),0)),0)</f>
        <v/>
      </c>
      <c r="AE199" s="4395">
        <f>IFERROR(IF((time+time_cap)&lt;AE$2, 0,IF(AND(time+1&gt;=AF$2, $E199&lt;AF$2), IF($I199= "I", $J199/($F199-$E199+1), $J199/(($F199*($F199+1)/2)-(($E199-1)*($E199-1+1)/2))*AE$2), 0)+IF(IF(time+1&gt;=AF$2, $K199/time_cap/(time+1)*AE$2, 0) = 0, $K199/(time_cap),0)),0)</f>
        <v/>
      </c>
      <c r="AF199" s="4395">
        <f>IFERROR(IF((time+time_cap)&lt;AF$2, 0,IF(AND(time+1&gt;=AG$2, $E199&lt;AG$2), IF($I199= "I", $J199/($F199-$E199+1), $J199/(($F199*($F199+1)/2)-(($E199-1)*($E199-1+1)/2))*AF$2), 0)+IF(IF(time+1&gt;=AG$2, $K199/time_cap/(time+1)*AF$2, 0) = 0, $K199/(time_cap),0)),0)</f>
        <v/>
      </c>
      <c r="AG199" s="4395">
        <f>IFERROR(IF((time+time_cap)&lt;AG$2, 0,IF(AND(time+1&gt;=AH$2, $E199&lt;AH$2), IF($I199= "I", $J199/($F199-$E199+1), $J199/(($F199*($F199+1)/2)-(($E199-1)*($E199-1+1)/2))*AG$2), 0)+IF(IF(time+1&gt;=AH$2, $K199/time_cap/(time+1)*AG$2, 0) = 0, $K199/(time_cap),0)),0)</f>
        <v/>
      </c>
      <c r="AH199" s="4395">
        <f>IFERROR(IF((time+time_cap)&lt;AH$2, 0,IF(AND(time+1&gt;=AI$2, $E199&lt;AI$2), IF($I199= "I", $J199/($F199-$E199+1), $J199/(($F199*($F199+1)/2)-(($E199-1)*($E199-1+1)/2))*AH$2), 0)+IF(IF(time+1&gt;=AI$2, $K199/time_cap/(time+1)*AH$2, 0) = 0, $K199/(time_cap),0)),0)</f>
        <v/>
      </c>
      <c r="AI199" s="4395">
        <f>IFERROR(IF((time+time_cap)&lt;AI$2, 0,IF(AND(time+1&gt;=AJ$2, $E199&lt;AJ$2), IF($I199= "I", $J199/($F199-$E199+1), $J199/(($F199*($F199+1)/2)-(($E199-1)*($E199-1+1)/2))*AI$2), 0)+IF(IF(time+1&gt;=AJ$2, $K199/time_cap/(time+1)*AI$2, 0) = 0, $K199/(time_cap),0)),0)</f>
        <v/>
      </c>
      <c r="AJ199" s="4395">
        <f>IFERROR(IF((time+time_cap)&lt;AJ$2, 0,IF(AND(time+1&gt;=AK$2, $E199&lt;AK$2), IF($I199= "I", $J199/($F199-$E199+1), $J199/(($F199*($F199+1)/2)-(($E199-1)*($E199-1+1)/2))*AJ$2), 0)+IF(IF(time+1&gt;=AK$2, $K199/time_cap/(time+1)*AJ$2, 0) = 0, $K199/(time_cap),0)),0)</f>
        <v/>
      </c>
      <c r="AK199" s="4395">
        <f>IFERROR(IF((time+time_cap)&lt;AK$2, 0,IF(AND(time+1&gt;=AL$2, $E199&lt;AL$2), IF($I199= "I", $J199/($F199-$E199+1), $J199/(($F199*($F199+1)/2)-(($E199-1)*($E199-1+1)/2))*AK$2), 0)+IF(IF(time+1&gt;=AL$2, $K199/time_cap/(time+1)*AK$2, 0) = 0, $K199/(time_cap),0)),0)</f>
        <v/>
      </c>
      <c r="AL199" s="4395">
        <f>IFERROR(IF((time+time_cap)&lt;AL$2, 0,IF(AND(time+1&gt;=AM$2, $E199&lt;AM$2), IF($I199= "I", $J199/($F199-$E199+1), $J199/(($F199*($F199+1)/2)-(($E199-1)*($E199-1+1)/2))*AL$2), 0)+IF(IF(time+1&gt;=AM$2, $K199/time_cap/(time+1)*AL$2, 0) = 0, $K199/(time_cap),0)),0)</f>
        <v/>
      </c>
      <c r="AM199" s="4395">
        <f>IFERROR(IF((time+time_cap)&lt;AM$2, 0,IF(AND(time+1&gt;=AN$2, $E199&lt;AN$2), IF($I199= "I", $J199/($F199-$E199+1), $J199/(($F199*($F199+1)/2)-(($E199-1)*($E199-1+1)/2))*AM$2), 0)+IF(IF(time+1&gt;=AN$2, $K199/time_cap/(time+1)*AM$2, 0) = 0, $K199/(time_cap),0)),0)</f>
        <v/>
      </c>
      <c r="AN199" s="4395">
        <f>IFERROR(IF((time+time_cap)&lt;AN$2, 0,IF(AND(time+1&gt;=AO$2, $E199&lt;AO$2), IF($I199= "I", $J199/($F199-$E199+1), $J199/(($F199*($F199+1)/2)-(($E199-1)*($E199-1+1)/2))*AN$2), 0)+IF(IF(time+1&gt;=AO$2, $K199/time_cap/(time+1)*AN$2, 0) = 0, $K199/(time_cap),0)),0)</f>
        <v/>
      </c>
      <c r="AO199" s="4395">
        <f>IFERROR(IF((time+time_cap)&lt;AO$2, 0,IF(AND(time+1&gt;=AP$2, $E199&lt;AP$2), IF($I199= "I", $J199/($F199-$E199+1), $J199/(($F199*($F199+1)/2)-(($E199-1)*($E199-1+1)/2))*AO$2), 0)+IF(IF(time+1&gt;=AP$2, $K199/time_cap/(time+1)*AO$2, 0) = 0, $K199/(time_cap),0)),0)</f>
        <v/>
      </c>
      <c r="AP199" s="4395">
        <f>IFERROR(IF((time+time_cap)&lt;AP$2, 0,IF(AND(time+1&gt;=AQ$2, $E199&lt;AQ$2), IF($I199= "I", $J199/($F199-$E199+1), $J199/(($F199*($F199+1)/2)-(($E199-1)*($E199-1+1)/2))*AP$2), 0)+IF(IF(time+1&gt;=AQ$2, $K199/time_cap/(time+1)*AP$2, 0) = 0, $K199/(time_cap),0)),0)</f>
        <v/>
      </c>
      <c r="AQ199" s="4395">
        <f>IFERROR(IF((time+time_cap)&lt;AQ$2, 0,IF(AND(time+1&gt;=AR$2, $E199&lt;AR$2), IF($I199= "I", $J199/($F199-$E199+1), $J199/(($F199*($F199+1)/2)-(($E199-1)*($E199-1+1)/2))*AQ$2), 0)+IF(IF(time+1&gt;=AR$2, $K199/time_cap/(time+1)*AQ$2, 0) = 0, $K199/(time_cap),0)),0)</f>
        <v/>
      </c>
      <c r="AR199" s="4395">
        <f>IFERROR(IF((time+time_cap)&lt;AR$2, 0,IF(AND(time+1&gt;=AS$2, $E199&lt;AS$2), IF($I199= "I", $J199/($F199-$E199+1), $J199/(($F199*($F199+1)/2)-(($E199-1)*($E199-1+1)/2))*AR$2), 0)+IF(IF(time+1&gt;=AS$2, $K199/time_cap/(time+1)*AR$2, 0) = 0, $K199/(time_cap),0)),0)</f>
        <v/>
      </c>
      <c r="AS199" s="4395">
        <f>IFERROR(IF((time+time_cap)&lt;AS$2, 0,IF(AND(time+1&gt;=AT$2, $E199&lt;AT$2), IF($I199= "I", $J199/($F199-$E199+1), $J199/(($F199*($F199+1)/2)-(($E199-1)*($E199-1+1)/2))*AS$2), 0)+IF(IF(time+1&gt;=AT$2, $K199/time_cap/(time+1)*AS$2, 0) = 0, $K199/(time_cap),0)),0)</f>
        <v/>
      </c>
      <c r="AT199" s="4395">
        <f>IFERROR(IF((time+time_cap)&lt;AT$2, 0,IF(AND(time+1&gt;=AU$2, $E199&lt;AU$2), IF($I199= "I", $J199/($F199-$E199+1), $J199/(($F199*($F199+1)/2)-(($E199-1)*($E199-1+1)/2))*AT$2), 0)+IF(IF(time+1&gt;=AU$2, $K199/time_cap/(time+1)*AT$2, 0) = 0, $K199/(time_cap),0)),0)</f>
        <v/>
      </c>
      <c r="AU199" s="4395">
        <f>IFERROR(IF((time+time_cap)&lt;AU$2, 0,IF(AND(time+1&gt;=AV$2, $E199&lt;AV$2), IF($I199= "I", $J199/($F199-$E199+1), $J199/(($F199*($F199+1)/2)-(($E199-1)*($E199-1+1)/2))*AU$2), 0)+IF(IF(time+1&gt;=AV$2, $K199/time_cap/(time+1)*AU$2, 0) = 0, $K199/(time_cap),0)),0)</f>
        <v/>
      </c>
      <c r="AV199" s="4395">
        <f>IFERROR(IF((time+time_cap)&lt;AV$2, 0,IF(AND(time+1&gt;=AW$2, $E199&lt;AW$2), IF($I199= "I", $J199/($F199-$E199+1), $J199/(($F199*($F199+1)/2)-(($E199-1)*($E199-1+1)/2))*AV$2), 0)+IF(IF(time+1&gt;=AW$2, $K199/time_cap/(time+1)*AV$2, 0) = 0, $K199/(time_cap),0)),0)</f>
        <v/>
      </c>
      <c r="AW199" s="4395">
        <f>IFERROR(IF((time+time_cap)&lt;AW$2, 0,IF(AND(time+1&gt;=AX$2, $E199&lt;AX$2), IF($I199= "I", $J199/($F199-$E199+1), $J199/(($F199*($F199+1)/2)-(($E199-1)*($E199-1+1)/2))*AW$2), 0)+IF(IF(time+1&gt;=AX$2, $K199/time_cap/(time+1)*AW$2, 0) = 0, $K199/(time_cap),0)),0)</f>
        <v/>
      </c>
      <c r="AX199" s="4395">
        <f>IFERROR(IF((time+time_cap)&lt;AX$2, 0,IF(AND(time+1&gt;=AY$2, $E199&lt;AY$2), IF($I199= "I", $J199/($F199-$E199+1), $J199/(($F199*($F199+1)/2)-(($E199-1)*($E199-1+1)/2))*AX$2), 0)+IF(IF(time+1&gt;=AY$2, $K199/time_cap/(time+1)*AX$2, 0) = 0, $K199/(time_cap),0)),0)</f>
        <v/>
      </c>
      <c r="AY199" s="4395">
        <f>IFERROR(IF((time+time_cap)&lt;AY$2, 0,IF(AND(time+1&gt;=AZ$2, $E199&lt;AZ$2), IF($I199= "I", $J199/($F199-$E199+1), $J199/(($F199*($F199+1)/2)-(($E199-1)*($E199-1+1)/2))*AY$2), 0)+IF(IF(time+1&gt;=AZ$2, $K199/time_cap/(time+1)*AY$2, 0) = 0, $K199/(time_cap),0)),0)</f>
        <v/>
      </c>
      <c r="AZ199" s="4395">
        <f>IFERROR(IF((time+time_cap)&lt;AZ$2, 0,IF(AND(time+1&gt;=BA$2, $E199&lt;BA$2), IF($I199= "I", $J199/($F199-$E199+1), $J199/(($F199*($F199+1)/2)-(($E199-1)*($E199-1+1)/2))*AZ$2), 0)+IF(IF(time+1&gt;=BA$2, $K199/time_cap/(time+1)*AZ$2, 0) = 0, $K199/(time_cap),0)),0)</f>
        <v/>
      </c>
      <c r="BA199" s="4395">
        <f>IFERROR(IF((time+time_cap)&lt;BA$2, 0,IF(AND(time+1&gt;=BB$2, $E199&lt;BB$2), IF($I199= "I", $J199/($F199-$E199+1), $J199/(($F199*($F199+1)/2)-(($E199-1)*($E199-1+1)/2))*BA$2), 0)+IF(IF(time+1&gt;=BB$2, $K199/time_cap/(time+1)*BA$2, 0) = 0, $K199/(time_cap),0)),0)</f>
        <v/>
      </c>
      <c r="BB199" s="4395">
        <f>IFERROR(IF((time+time_cap)&lt;BB$2, 0,IF(AND(time+1&gt;=BC$2, $E199&lt;BC$2), IF($I199= "I", $J199/($F199-$E199+1), $J199/(($F199*($F199+1)/2)-(($E199-1)*($E199-1+1)/2))*BB$2), 0)+IF(IF(time+1&gt;=BC$2, $K199/time_cap/(time+1)*BB$2, 0) = 0, $K199/(time_cap),0)),0)</f>
        <v/>
      </c>
      <c r="BC199" s="4395">
        <f>IFERROR(IF((time+time_cap)&lt;BC$2, 0,IF(AND(time+1&gt;=BD$2, $E199&lt;BD$2), IF($I199= "I", $J199/($F199-$E199+1), $J199/(($F199*($F199+1)/2)-(($E199-1)*($E199-1+1)/2))*BC$2), 0)+IF(IF(time+1&gt;=BD$2, $K199/time_cap/(time+1)*BC$2, 0) = 0, $K199/(time_cap),0)),0)</f>
        <v/>
      </c>
      <c r="BD199" s="4395">
        <f>IFERROR(IF((time+time_cap)&lt;BD$2, 0,IF(AND(time+1&gt;=BE$2, $E199&lt;BE$2), IF($I199= "I", $J199/($F199-$E199+1), $J199/(($F199*($F199+1)/2)-(($E199-1)*($E199-1+1)/2))*BD$2), 0)+IF(IF(time+1&gt;=BE$2, $K199/time_cap/(time+1)*BD$2, 0) = 0, $K199/(time_cap),0)),0)</f>
        <v/>
      </c>
      <c r="BE199" s="4395">
        <f>IFERROR(IF((time+time_cap)&lt;BE$2, 0,IF(AND(time+1&gt;=BF$2, $E199&lt;BF$2), IF($I199= "I", $J199/($F199-$E199+1), $J199/(($F199*($F199+1)/2)-(($E199-1)*($E199-1+1)/2))*BE$2), 0)+IF(IF(time+1&gt;=BF$2, $K199/time_cap/(time+1)*BE$2, 0) = 0, $K199/(time_cap),0)),0)</f>
        <v/>
      </c>
      <c r="BF199" s="4395">
        <f>IFERROR(IF((time+time_cap)&lt;BF$2, 0,IF(AND(time+1&gt;=BG$2, $E199&lt;BG$2), IF($I199= "I", $J199/($F199-$E199+1), $J199/(($F199*($F199+1)/2)-(($E199-1)*($E199-1+1)/2))*BF$2), 0)+IF(IF(time+1&gt;=BG$2, $K199/time_cap/(time+1)*BF$2, 0) = 0, $K199/(time_cap),0)),0)</f>
        <v/>
      </c>
      <c r="BG199" s="4395">
        <f>IFERROR(IF((time+time_cap)&lt;BG$2, 0,IF(AND(time+1&gt;=BH$2, $E199&lt;BH$2), IF($I199= "I", $J199/($F199-$E199+1), $J199/(($F199*($F199+1)/2)-(($E199-1)*($E199-1+1)/2))*BG$2), 0)+IF(IF(time+1&gt;=BH$2, $K199/time_cap/(time+1)*BG$2, 0) = 0, $K199/(time_cap),0)),0)</f>
        <v/>
      </c>
      <c r="BH199" s="4395">
        <f>IFERROR(IF((time+time_cap)&lt;BH$2, 0,IF(AND(time+1&gt;=BI$2, $E199&lt;BI$2), IF($I199= "I", $J199/($F199-$E199+1), $J199/(($F199*($F199+1)/2)-(($E199-1)*($E199-1+1)/2))*BH$2), 0)+IF(IF(time+1&gt;=BI$2, $K199/time_cap/(time+1)*BH$2, 0) = 0, $K199/(time_cap),0)),0)</f>
        <v/>
      </c>
      <c r="BI199" s="4395">
        <f>IFERROR(IF((time+time_cap)&lt;BI$2, 0,IF(AND(time+1&gt;=BJ$2, $E199&lt;BJ$2), IF($I199= "I", $J199/($F199-$E199+1), $J199/(($F199*($F199+1)/2)-(($E199-1)*($E199-1+1)/2))*BI$2), 0)+IF(IF(time+1&gt;=BJ$2, $K199/time_cap/(time+1)*BI$2, 0) = 0, $K199/(time_cap),0)),0)</f>
        <v/>
      </c>
      <c r="BJ199" s="4395">
        <f>IFERROR(IF((time+time_cap)&lt;BJ$2, 0,IF(AND(time+1&gt;=BK$2, $E199&lt;BK$2), IF($I199= "I", $J199/($F199-$E199+1), $J199/(($F199*($F199+1)/2)-(($E199-1)*($E199-1+1)/2))*BJ$2), 0)+IF(IF(time+1&gt;=BK$2, $K199/time_cap/(time+1)*BJ$2, 0) = 0, $K199/(time_cap),0)),0)</f>
        <v/>
      </c>
      <c r="BK199" s="4395" t="n"/>
      <c r="BL199" s="4395" t="n"/>
      <c r="BM199" s="4395" t="n"/>
      <c r="BN199" s="4395" t="n"/>
      <c r="BO199" s="4395" t="n"/>
      <c r="BP199" s="4395" t="n"/>
      <c r="BQ199" s="4395" t="n"/>
      <c r="BR199" s="4395" t="n"/>
      <c r="BS199" s="4395" t="n"/>
      <c r="BT199" s="4395" t="n"/>
      <c r="BU199" s="4395" t="n"/>
      <c r="BV199" s="4395" t="n"/>
      <c r="BW199" s="4395" t="n"/>
      <c r="BX199" s="4395" t="n"/>
      <c r="BY199" s="4395" t="n"/>
      <c r="BZ199" s="4395" t="n"/>
      <c r="CA199" s="4395" t="n"/>
      <c r="CB199" s="4395" t="n"/>
      <c r="CC199" s="4395" t="n"/>
      <c r="CD199" s="4395" t="n"/>
      <c r="CE199" s="4395" t="n"/>
      <c r="CF199" s="4395" t="n"/>
      <c r="CG199" s="4395" t="n"/>
      <c r="CH199" s="4395" t="n"/>
      <c r="CI199" s="4395" t="n"/>
      <c r="CJ199" s="4395" t="n"/>
      <c r="CK199" s="4395" t="n"/>
      <c r="CL199" s="4395" t="n"/>
      <c r="CM199" s="4395" t="n"/>
      <c r="CN199" s="4395" t="n"/>
      <c r="CO199" s="4395" t="n"/>
      <c r="CP199" s="4395" t="n"/>
      <c r="CQ199" s="4395" t="n"/>
      <c r="CR199" s="4395" t="n"/>
      <c r="CS199" s="4395" t="n"/>
      <c r="CT199" s="4395" t="n"/>
      <c r="CU199" s="4395" t="n"/>
      <c r="CV199" s="4395" t="n"/>
      <c r="CW199" s="4395" t="n"/>
      <c r="CX199" s="4395" t="n"/>
      <c r="CY199" s="4395" t="n"/>
      <c r="CZ199" s="4395" t="n"/>
      <c r="DA199" s="4395" t="n"/>
      <c r="DB199" s="4395" t="n"/>
      <c r="DC199" s="4395" t="n"/>
      <c r="DD199" s="4395" t="n"/>
      <c r="DE199" s="4395" t="n"/>
      <c r="DF199" s="4395" t="n"/>
      <c r="DG199" s="4395" t="n"/>
      <c r="DH199" s="4395" t="n"/>
    </row>
    <row r="200" ht="16" customHeight="1">
      <c r="A200" t="inlineStr">
        <is>
          <t>Aquaculture</t>
        </is>
      </c>
      <c r="B200">
        <f>'8. Fisheries and aquaculture'!C78</f>
        <v/>
      </c>
      <c r="C200">
        <f>'8. Fisheries and aquaculture'!J78</f>
        <v/>
      </c>
      <c r="D200">
        <f>'8. Fisheries and aquaculture'!AI78</f>
        <v/>
      </c>
      <c r="E200">
        <f>IF('8. Fisheries and aquaculture'!CN78&lt;&gt;0,'8. Fisheries and aquaculture'!CN78,'8. Fisheries and aquaculture'!CM78)</f>
        <v/>
      </c>
      <c r="F200">
        <f>time</f>
        <v/>
      </c>
      <c r="G200" s="4395">
        <f>'8. Fisheries and aquaculture'!AA78</f>
        <v/>
      </c>
      <c r="H200" s="4395">
        <f>'8. Fisheries and aquaculture'!AC78</f>
        <v/>
      </c>
      <c r="I200" s="4395">
        <f>IF(OR(H200="I", G200="I"), "I", IF(OR(H200="E", G200="E"), "E", "D"))</f>
        <v/>
      </c>
      <c r="J200" s="4395">
        <f>((D200/(time_cap+((F200-E200+1)*VLOOKUP(I200,list!$I$48:$K$50,3, FALSE))))*(F200-E200+1)*VLOOKUP(I200,list!$I$48:$K$50,3, FALSE))</f>
        <v/>
      </c>
      <c r="K200" s="4395">
        <f>((D200/(time_cap+((F200-E200+1)*VLOOKUP(I200,list!$I$48:$K$50,3, FALSE))))*time_cap)</f>
        <v/>
      </c>
      <c r="M200" s="4395">
        <f>IFERROR(IF((time+time_cap)&lt;M$2, 0,IF(AND(time+1&gt;=N$2, $E200&lt;N$2), IF($I200= "I", $J200/($F200-$E200+1), $J200/(($F200*($F200+1)/2)-(($E200-1)*($E200-1+1)/2))*M$2), 0)+IF(IF(time+1&gt;=N$2, $K200/time_cap/(time+1)*M$2, 0) = 0, $K200/(time_cap),0)),0)</f>
        <v/>
      </c>
      <c r="N200" s="4395">
        <f>IFERROR(IF((time+time_cap)&lt;N$2, 0,IF(AND(time+1&gt;=O$2, $E200&lt;O$2), IF($I200= "I", $J200/($F200-$E200+1), $J200/(($F200*($F200+1)/2)-(($E200-1)*($E200-1+1)/2))*N$2), 0)+IF(IF(time+1&gt;=O$2, $K200/time_cap/(time+1)*N$2, 0) = 0, $K200/(time_cap),0)),0)</f>
        <v/>
      </c>
      <c r="O200" s="4395">
        <f>IFERROR(IF((time+time_cap)&lt;O$2, 0,IF(AND(time+1&gt;=P$2, $E200&lt;P$2), IF($I200= "I", $J200/($F200-$E200+1), $J200/(($F200*($F200+1)/2)-(($E200-1)*($E200-1+1)/2))*O$2), 0)+IF(IF(time+1&gt;=P$2, $K200/time_cap/(time+1)*O$2, 0) = 0, $K200/(time_cap),0)),0)</f>
        <v/>
      </c>
      <c r="P200" s="4395">
        <f>IFERROR(IF((time+time_cap)&lt;P$2, 0,IF(AND(time+1&gt;=Q$2, $E200&lt;Q$2), IF($I200= "I", $J200/($F200-$E200+1), $J200/(($F200*($F200+1)/2)-(($E200-1)*($E200-1+1)/2))*P$2), 0)+IF(IF(time+1&gt;=Q$2, $K200/time_cap/(time+1)*P$2, 0) = 0, $K200/(time_cap),0)),0)</f>
        <v/>
      </c>
      <c r="Q200" s="4395">
        <f>IFERROR(IF((time+time_cap)&lt;Q$2, 0,IF(AND(time+1&gt;=R$2, $E200&lt;R$2), IF($I200= "I", $J200/($F200-$E200+1), $J200/(($F200*($F200+1)/2)-(($E200-1)*($E200-1+1)/2))*Q$2), 0)+IF(IF(time+1&gt;=R$2, $K200/time_cap/(time+1)*Q$2, 0) = 0, $K200/(time_cap),0)),0)</f>
        <v/>
      </c>
      <c r="R200" s="4395">
        <f>IFERROR(IF((time+time_cap)&lt;R$2, 0,IF(AND(time+1&gt;=S$2, $E200&lt;S$2), IF($I200= "I", $J200/($F200-$E200+1), $J200/(($F200*($F200+1)/2)-(($E200-1)*($E200-1+1)/2))*R$2), 0)+IF(IF(time+1&gt;=S$2, $K200/time_cap/(time+1)*R$2, 0) = 0, $K200/(time_cap),0)),0)</f>
        <v/>
      </c>
      <c r="S200" s="4395">
        <f>IFERROR(IF((time+time_cap)&lt;S$2, 0,IF(AND(time+1&gt;=T$2, $E200&lt;T$2), IF($I200= "I", $J200/($F200-$E200+1), $J200/(($F200*($F200+1)/2)-(($E200-1)*($E200-1+1)/2))*S$2), 0)+IF(IF(time+1&gt;=T$2, $K200/time_cap/(time+1)*S$2, 0) = 0, $K200/(time_cap),0)),0)</f>
        <v/>
      </c>
      <c r="T200" s="4395">
        <f>IFERROR(IF((time+time_cap)&lt;T$2, 0,IF(AND(time+1&gt;=U$2, $E200&lt;U$2), IF($I200= "I", $J200/($F200-$E200+1), $J200/(($F200*($F200+1)/2)-(($E200-1)*($E200-1+1)/2))*T$2), 0)+IF(IF(time+1&gt;=U$2, $K200/time_cap/(time+1)*T$2, 0) = 0, $K200/(time_cap),0)),0)</f>
        <v/>
      </c>
      <c r="U200" s="4395">
        <f>IFERROR(IF((time+time_cap)&lt;U$2, 0,IF(AND(time+1&gt;=V$2, $E200&lt;V$2), IF($I200= "I", $J200/($F200-$E200+1), $J200/(($F200*($F200+1)/2)-(($E200-1)*($E200-1+1)/2))*U$2), 0)+IF(IF(time+1&gt;=V$2, $K200/time_cap/(time+1)*U$2, 0) = 0, $K200/(time_cap),0)),0)</f>
        <v/>
      </c>
      <c r="V200" s="4395">
        <f>IFERROR(IF((time+time_cap)&lt;V$2, 0,IF(AND(time+1&gt;=W$2, $E200&lt;W$2), IF($I200= "I", $J200/($F200-$E200+1), $J200/(($F200*($F200+1)/2)-(($E200-1)*($E200-1+1)/2))*V$2), 0)+IF(IF(time+1&gt;=W$2, $K200/time_cap/(time+1)*V$2, 0) = 0, $K200/(time_cap),0)),0)</f>
        <v/>
      </c>
      <c r="W200" s="4395">
        <f>IFERROR(IF((time+time_cap)&lt;W$2, 0,IF(AND(time+1&gt;=X$2, $E200&lt;X$2), IF($I200= "I", $J200/($F200-$E200+1), $J200/(($F200*($F200+1)/2)-(($E200-1)*($E200-1+1)/2))*W$2), 0)+IF(IF(time+1&gt;=X$2, $K200/time_cap/(time+1)*W$2, 0) = 0, $K200/(time_cap),0)),0)</f>
        <v/>
      </c>
      <c r="X200" s="4395">
        <f>IFERROR(IF((time+time_cap)&lt;X$2, 0,IF(AND(time+1&gt;=Y$2, $E200&lt;Y$2), IF($I200= "I", $J200/($F200-$E200+1), $J200/(($F200*($F200+1)/2)-(($E200-1)*($E200-1+1)/2))*X$2), 0)+IF(IF(time+1&gt;=Y$2, $K200/time_cap/(time+1)*X$2, 0) = 0, $K200/(time_cap),0)),0)</f>
        <v/>
      </c>
      <c r="Y200" s="4395">
        <f>IFERROR(IF((time+time_cap)&lt;Y$2, 0,IF(AND(time+1&gt;=Z$2, $E200&lt;Z$2), IF($I200= "I", $J200/($F200-$E200+1), $J200/(($F200*($F200+1)/2)-(($E200-1)*($E200-1+1)/2))*Y$2), 0)+IF(IF(time+1&gt;=Z$2, $K200/time_cap/(time+1)*Y$2, 0) = 0, $K200/(time_cap),0)),0)</f>
        <v/>
      </c>
      <c r="Z200" s="4395">
        <f>IFERROR(IF((time+time_cap)&lt;Z$2, 0,IF(AND(time+1&gt;=AA$2, $E200&lt;AA$2), IF($I200= "I", $J200/($F200-$E200+1), $J200/(($F200*($F200+1)/2)-(($E200-1)*($E200-1+1)/2))*Z$2), 0)+IF(IF(time+1&gt;=AA$2, $K200/time_cap/(time+1)*Z$2, 0) = 0, $K200/(time_cap),0)),0)</f>
        <v/>
      </c>
      <c r="AA200" s="4395">
        <f>IFERROR(IF((time+time_cap)&lt;AA$2, 0,IF(AND(time+1&gt;=AB$2, $E200&lt;AB$2), IF($I200= "I", $J200/($F200-$E200+1), $J200/(($F200*($F200+1)/2)-(($E200-1)*($E200-1+1)/2))*AA$2), 0)+IF(IF(time+1&gt;=AB$2, $K200/time_cap/(time+1)*AA$2, 0) = 0, $K200/(time_cap),0)),0)</f>
        <v/>
      </c>
      <c r="AB200" s="4395">
        <f>IFERROR(IF((time+time_cap)&lt;AB$2, 0,IF(AND(time+1&gt;=AC$2, $E200&lt;AC$2), IF($I200= "I", $J200/($F200-$E200+1), $J200/(($F200*($F200+1)/2)-(($E200-1)*($E200-1+1)/2))*AB$2), 0)+IF(IF(time+1&gt;=AC$2, $K200/time_cap/(time+1)*AB$2, 0) = 0, $K200/(time_cap),0)),0)</f>
        <v/>
      </c>
      <c r="AC200" s="4395">
        <f>IFERROR(IF((time+time_cap)&lt;AC$2, 0,IF(AND(time+1&gt;=AD$2, $E200&lt;AD$2), IF($I200= "I", $J200/($F200-$E200+1), $J200/(($F200*($F200+1)/2)-(($E200-1)*($E200-1+1)/2))*AC$2), 0)+IF(IF(time+1&gt;=AD$2, $K200/time_cap/(time+1)*AC$2, 0) = 0, $K200/(time_cap),0)),0)</f>
        <v/>
      </c>
      <c r="AD200" s="4395">
        <f>IFERROR(IF((time+time_cap)&lt;AD$2, 0,IF(AND(time+1&gt;=AE$2, $E200&lt;AE$2), IF($I200= "I", $J200/($F200-$E200+1), $J200/(($F200*($F200+1)/2)-(($E200-1)*($E200-1+1)/2))*AD$2), 0)+IF(IF(time+1&gt;=AE$2, $K200/time_cap/(time+1)*AD$2, 0) = 0, $K200/(time_cap),0)),0)</f>
        <v/>
      </c>
      <c r="AE200" s="4395">
        <f>IFERROR(IF((time+time_cap)&lt;AE$2, 0,IF(AND(time+1&gt;=AF$2, $E200&lt;AF$2), IF($I200= "I", $J200/($F200-$E200+1), $J200/(($F200*($F200+1)/2)-(($E200-1)*($E200-1+1)/2))*AE$2), 0)+IF(IF(time+1&gt;=AF$2, $K200/time_cap/(time+1)*AE$2, 0) = 0, $K200/(time_cap),0)),0)</f>
        <v/>
      </c>
      <c r="AF200" s="4395">
        <f>IFERROR(IF((time+time_cap)&lt;AF$2, 0,IF(AND(time+1&gt;=AG$2, $E200&lt;AG$2), IF($I200= "I", $J200/($F200-$E200+1), $J200/(($F200*($F200+1)/2)-(($E200-1)*($E200-1+1)/2))*AF$2), 0)+IF(IF(time+1&gt;=AG$2, $K200/time_cap/(time+1)*AF$2, 0) = 0, $K200/(time_cap),0)),0)</f>
        <v/>
      </c>
      <c r="AG200" s="4395">
        <f>IFERROR(IF((time+time_cap)&lt;AG$2, 0,IF(AND(time+1&gt;=AH$2, $E200&lt;AH$2), IF($I200= "I", $J200/($F200-$E200+1), $J200/(($F200*($F200+1)/2)-(($E200-1)*($E200-1+1)/2))*AG$2), 0)+IF(IF(time+1&gt;=AH$2, $K200/time_cap/(time+1)*AG$2, 0) = 0, $K200/(time_cap),0)),0)</f>
        <v/>
      </c>
      <c r="AH200" s="4395">
        <f>IFERROR(IF((time+time_cap)&lt;AH$2, 0,IF(AND(time+1&gt;=AI$2, $E200&lt;AI$2), IF($I200= "I", $J200/($F200-$E200+1), $J200/(($F200*($F200+1)/2)-(($E200-1)*($E200-1+1)/2))*AH$2), 0)+IF(IF(time+1&gt;=AI$2, $K200/time_cap/(time+1)*AH$2, 0) = 0, $K200/(time_cap),0)),0)</f>
        <v/>
      </c>
      <c r="AI200" s="4395">
        <f>IFERROR(IF((time+time_cap)&lt;AI$2, 0,IF(AND(time+1&gt;=AJ$2, $E200&lt;AJ$2), IF($I200= "I", $J200/($F200-$E200+1), $J200/(($F200*($F200+1)/2)-(($E200-1)*($E200-1+1)/2))*AI$2), 0)+IF(IF(time+1&gt;=AJ$2, $K200/time_cap/(time+1)*AI$2, 0) = 0, $K200/(time_cap),0)),0)</f>
        <v/>
      </c>
      <c r="AJ200" s="4395">
        <f>IFERROR(IF((time+time_cap)&lt;AJ$2, 0,IF(AND(time+1&gt;=AK$2, $E200&lt;AK$2), IF($I200= "I", $J200/($F200-$E200+1), $J200/(($F200*($F200+1)/2)-(($E200-1)*($E200-1+1)/2))*AJ$2), 0)+IF(IF(time+1&gt;=AK$2, $K200/time_cap/(time+1)*AJ$2, 0) = 0, $K200/(time_cap),0)),0)</f>
        <v/>
      </c>
      <c r="AK200" s="4395">
        <f>IFERROR(IF((time+time_cap)&lt;AK$2, 0,IF(AND(time+1&gt;=AL$2, $E200&lt;AL$2), IF($I200= "I", $J200/($F200-$E200+1), $J200/(($F200*($F200+1)/2)-(($E200-1)*($E200-1+1)/2))*AK$2), 0)+IF(IF(time+1&gt;=AL$2, $K200/time_cap/(time+1)*AK$2, 0) = 0, $K200/(time_cap),0)),0)</f>
        <v/>
      </c>
      <c r="AL200" s="4395">
        <f>IFERROR(IF((time+time_cap)&lt;AL$2, 0,IF(AND(time+1&gt;=AM$2, $E200&lt;AM$2), IF($I200= "I", $J200/($F200-$E200+1), $J200/(($F200*($F200+1)/2)-(($E200-1)*($E200-1+1)/2))*AL$2), 0)+IF(IF(time+1&gt;=AM$2, $K200/time_cap/(time+1)*AL$2, 0) = 0, $K200/(time_cap),0)),0)</f>
        <v/>
      </c>
      <c r="AM200" s="4395">
        <f>IFERROR(IF((time+time_cap)&lt;AM$2, 0,IF(AND(time+1&gt;=AN$2, $E200&lt;AN$2), IF($I200= "I", $J200/($F200-$E200+1), $J200/(($F200*($F200+1)/2)-(($E200-1)*($E200-1+1)/2))*AM$2), 0)+IF(IF(time+1&gt;=AN$2, $K200/time_cap/(time+1)*AM$2, 0) = 0, $K200/(time_cap),0)),0)</f>
        <v/>
      </c>
      <c r="AN200" s="4395">
        <f>IFERROR(IF((time+time_cap)&lt;AN$2, 0,IF(AND(time+1&gt;=AO$2, $E200&lt;AO$2), IF($I200= "I", $J200/($F200-$E200+1), $J200/(($F200*($F200+1)/2)-(($E200-1)*($E200-1+1)/2))*AN$2), 0)+IF(IF(time+1&gt;=AO$2, $K200/time_cap/(time+1)*AN$2, 0) = 0, $K200/(time_cap),0)),0)</f>
        <v/>
      </c>
      <c r="AO200" s="4395">
        <f>IFERROR(IF((time+time_cap)&lt;AO$2, 0,IF(AND(time+1&gt;=AP$2, $E200&lt;AP$2), IF($I200= "I", $J200/($F200-$E200+1), $J200/(($F200*($F200+1)/2)-(($E200-1)*($E200-1+1)/2))*AO$2), 0)+IF(IF(time+1&gt;=AP$2, $K200/time_cap/(time+1)*AO$2, 0) = 0, $K200/(time_cap),0)),0)</f>
        <v/>
      </c>
      <c r="AP200" s="4395">
        <f>IFERROR(IF((time+time_cap)&lt;AP$2, 0,IF(AND(time+1&gt;=AQ$2, $E200&lt;AQ$2), IF($I200= "I", $J200/($F200-$E200+1), $J200/(($F200*($F200+1)/2)-(($E200-1)*($E200-1+1)/2))*AP$2), 0)+IF(IF(time+1&gt;=AQ$2, $K200/time_cap/(time+1)*AP$2, 0) = 0, $K200/(time_cap),0)),0)</f>
        <v/>
      </c>
      <c r="AQ200" s="4395">
        <f>IFERROR(IF((time+time_cap)&lt;AQ$2, 0,IF(AND(time+1&gt;=AR$2, $E200&lt;AR$2), IF($I200= "I", $J200/($F200-$E200+1), $J200/(($F200*($F200+1)/2)-(($E200-1)*($E200-1+1)/2))*AQ$2), 0)+IF(IF(time+1&gt;=AR$2, $K200/time_cap/(time+1)*AQ$2, 0) = 0, $K200/(time_cap),0)),0)</f>
        <v/>
      </c>
      <c r="AR200" s="4395">
        <f>IFERROR(IF((time+time_cap)&lt;AR$2, 0,IF(AND(time+1&gt;=AS$2, $E200&lt;AS$2), IF($I200= "I", $J200/($F200-$E200+1), $J200/(($F200*($F200+1)/2)-(($E200-1)*($E200-1+1)/2))*AR$2), 0)+IF(IF(time+1&gt;=AS$2, $K200/time_cap/(time+1)*AR$2, 0) = 0, $K200/(time_cap),0)),0)</f>
        <v/>
      </c>
      <c r="AS200" s="4395">
        <f>IFERROR(IF((time+time_cap)&lt;AS$2, 0,IF(AND(time+1&gt;=AT$2, $E200&lt;AT$2), IF($I200= "I", $J200/($F200-$E200+1), $J200/(($F200*($F200+1)/2)-(($E200-1)*($E200-1+1)/2))*AS$2), 0)+IF(IF(time+1&gt;=AT$2, $K200/time_cap/(time+1)*AS$2, 0) = 0, $K200/(time_cap),0)),0)</f>
        <v/>
      </c>
      <c r="AT200" s="4395">
        <f>IFERROR(IF((time+time_cap)&lt;AT$2, 0,IF(AND(time+1&gt;=AU$2, $E200&lt;AU$2), IF($I200= "I", $J200/($F200-$E200+1), $J200/(($F200*($F200+1)/2)-(($E200-1)*($E200-1+1)/2))*AT$2), 0)+IF(IF(time+1&gt;=AU$2, $K200/time_cap/(time+1)*AT$2, 0) = 0, $K200/(time_cap),0)),0)</f>
        <v/>
      </c>
      <c r="AU200" s="4395">
        <f>IFERROR(IF((time+time_cap)&lt;AU$2, 0,IF(AND(time+1&gt;=AV$2, $E200&lt;AV$2), IF($I200= "I", $J200/($F200-$E200+1), $J200/(($F200*($F200+1)/2)-(($E200-1)*($E200-1+1)/2))*AU$2), 0)+IF(IF(time+1&gt;=AV$2, $K200/time_cap/(time+1)*AU$2, 0) = 0, $K200/(time_cap),0)),0)</f>
        <v/>
      </c>
      <c r="AV200" s="4395">
        <f>IFERROR(IF((time+time_cap)&lt;AV$2, 0,IF(AND(time+1&gt;=AW$2, $E200&lt;AW$2), IF($I200= "I", $J200/($F200-$E200+1), $J200/(($F200*($F200+1)/2)-(($E200-1)*($E200-1+1)/2))*AV$2), 0)+IF(IF(time+1&gt;=AW$2, $K200/time_cap/(time+1)*AV$2, 0) = 0, $K200/(time_cap),0)),0)</f>
        <v/>
      </c>
      <c r="AW200" s="4395">
        <f>IFERROR(IF((time+time_cap)&lt;AW$2, 0,IF(AND(time+1&gt;=AX$2, $E200&lt;AX$2), IF($I200= "I", $J200/($F200-$E200+1), $J200/(($F200*($F200+1)/2)-(($E200-1)*($E200-1+1)/2))*AW$2), 0)+IF(IF(time+1&gt;=AX$2, $K200/time_cap/(time+1)*AW$2, 0) = 0, $K200/(time_cap),0)),0)</f>
        <v/>
      </c>
      <c r="AX200" s="4395">
        <f>IFERROR(IF((time+time_cap)&lt;AX$2, 0,IF(AND(time+1&gt;=AY$2, $E200&lt;AY$2), IF($I200= "I", $J200/($F200-$E200+1), $J200/(($F200*($F200+1)/2)-(($E200-1)*($E200-1+1)/2))*AX$2), 0)+IF(IF(time+1&gt;=AY$2, $K200/time_cap/(time+1)*AX$2, 0) = 0, $K200/(time_cap),0)),0)</f>
        <v/>
      </c>
      <c r="AY200" s="4395">
        <f>IFERROR(IF((time+time_cap)&lt;AY$2, 0,IF(AND(time+1&gt;=AZ$2, $E200&lt;AZ$2), IF($I200= "I", $J200/($F200-$E200+1), $J200/(($F200*($F200+1)/2)-(($E200-1)*($E200-1+1)/2))*AY$2), 0)+IF(IF(time+1&gt;=AZ$2, $K200/time_cap/(time+1)*AY$2, 0) = 0, $K200/(time_cap),0)),0)</f>
        <v/>
      </c>
      <c r="AZ200" s="4395">
        <f>IFERROR(IF((time+time_cap)&lt;AZ$2, 0,IF(AND(time+1&gt;=BA$2, $E200&lt;BA$2), IF($I200= "I", $J200/($F200-$E200+1), $J200/(($F200*($F200+1)/2)-(($E200-1)*($E200-1+1)/2))*AZ$2), 0)+IF(IF(time+1&gt;=BA$2, $K200/time_cap/(time+1)*AZ$2, 0) = 0, $K200/(time_cap),0)),0)</f>
        <v/>
      </c>
      <c r="BA200" s="4395">
        <f>IFERROR(IF((time+time_cap)&lt;BA$2, 0,IF(AND(time+1&gt;=BB$2, $E200&lt;BB$2), IF($I200= "I", $J200/($F200-$E200+1), $J200/(($F200*($F200+1)/2)-(($E200-1)*($E200-1+1)/2))*BA$2), 0)+IF(IF(time+1&gt;=BB$2, $K200/time_cap/(time+1)*BA$2, 0) = 0, $K200/(time_cap),0)),0)</f>
        <v/>
      </c>
      <c r="BB200" s="4395">
        <f>IFERROR(IF((time+time_cap)&lt;BB$2, 0,IF(AND(time+1&gt;=BC$2, $E200&lt;BC$2), IF($I200= "I", $J200/($F200-$E200+1), $J200/(($F200*($F200+1)/2)-(($E200-1)*($E200-1+1)/2))*BB$2), 0)+IF(IF(time+1&gt;=BC$2, $K200/time_cap/(time+1)*BB$2, 0) = 0, $K200/(time_cap),0)),0)</f>
        <v/>
      </c>
      <c r="BC200" s="4395">
        <f>IFERROR(IF((time+time_cap)&lt;BC$2, 0,IF(AND(time+1&gt;=BD$2, $E200&lt;BD$2), IF($I200= "I", $J200/($F200-$E200+1), $J200/(($F200*($F200+1)/2)-(($E200-1)*($E200-1+1)/2))*BC$2), 0)+IF(IF(time+1&gt;=BD$2, $K200/time_cap/(time+1)*BC$2, 0) = 0, $K200/(time_cap),0)),0)</f>
        <v/>
      </c>
      <c r="BD200" s="4395">
        <f>IFERROR(IF((time+time_cap)&lt;BD$2, 0,IF(AND(time+1&gt;=BE$2, $E200&lt;BE$2), IF($I200= "I", $J200/($F200-$E200+1), $J200/(($F200*($F200+1)/2)-(($E200-1)*($E200-1+1)/2))*BD$2), 0)+IF(IF(time+1&gt;=BE$2, $K200/time_cap/(time+1)*BD$2, 0) = 0, $K200/(time_cap),0)),0)</f>
        <v/>
      </c>
      <c r="BE200" s="4395">
        <f>IFERROR(IF((time+time_cap)&lt;BE$2, 0,IF(AND(time+1&gt;=BF$2, $E200&lt;BF$2), IF($I200= "I", $J200/($F200-$E200+1), $J200/(($F200*($F200+1)/2)-(($E200-1)*($E200-1+1)/2))*BE$2), 0)+IF(IF(time+1&gt;=BF$2, $K200/time_cap/(time+1)*BE$2, 0) = 0, $K200/(time_cap),0)),0)</f>
        <v/>
      </c>
      <c r="BF200" s="4395">
        <f>IFERROR(IF((time+time_cap)&lt;BF$2, 0,IF(AND(time+1&gt;=BG$2, $E200&lt;BG$2), IF($I200= "I", $J200/($F200-$E200+1), $J200/(($F200*($F200+1)/2)-(($E200-1)*($E200-1+1)/2))*BF$2), 0)+IF(IF(time+1&gt;=BG$2, $K200/time_cap/(time+1)*BF$2, 0) = 0, $K200/(time_cap),0)),0)</f>
        <v/>
      </c>
      <c r="BG200" s="4395">
        <f>IFERROR(IF((time+time_cap)&lt;BG$2, 0,IF(AND(time+1&gt;=BH$2, $E200&lt;BH$2), IF($I200= "I", $J200/($F200-$E200+1), $J200/(($F200*($F200+1)/2)-(($E200-1)*($E200-1+1)/2))*BG$2), 0)+IF(IF(time+1&gt;=BH$2, $K200/time_cap/(time+1)*BG$2, 0) = 0, $K200/(time_cap),0)),0)</f>
        <v/>
      </c>
      <c r="BH200" s="4395">
        <f>IFERROR(IF((time+time_cap)&lt;BH$2, 0,IF(AND(time+1&gt;=BI$2, $E200&lt;BI$2), IF($I200= "I", $J200/($F200-$E200+1), $J200/(($F200*($F200+1)/2)-(($E200-1)*($E200-1+1)/2))*BH$2), 0)+IF(IF(time+1&gt;=BI$2, $K200/time_cap/(time+1)*BH$2, 0) = 0, $K200/(time_cap),0)),0)</f>
        <v/>
      </c>
      <c r="BI200" s="4395">
        <f>IFERROR(IF((time+time_cap)&lt;BI$2, 0,IF(AND(time+1&gt;=BJ$2, $E200&lt;BJ$2), IF($I200= "I", $J200/($F200-$E200+1), $J200/(($F200*($F200+1)/2)-(($E200-1)*($E200-1+1)/2))*BI$2), 0)+IF(IF(time+1&gt;=BJ$2, $K200/time_cap/(time+1)*BI$2, 0) = 0, $K200/(time_cap),0)),0)</f>
        <v/>
      </c>
      <c r="BJ200" s="4395">
        <f>IFERROR(IF((time+time_cap)&lt;BJ$2, 0,IF(AND(time+1&gt;=BK$2, $E200&lt;BK$2), IF($I200= "I", $J200/($F200-$E200+1), $J200/(($F200*($F200+1)/2)-(($E200-1)*($E200-1+1)/2))*BJ$2), 0)+IF(IF(time+1&gt;=BK$2, $K200/time_cap/(time+1)*BJ$2, 0) = 0, $K200/(time_cap),0)),0)</f>
        <v/>
      </c>
      <c r="BK200" s="4395" t="n"/>
      <c r="BL200" s="4395" t="n"/>
      <c r="BM200" s="4395" t="n"/>
      <c r="BN200" s="4395" t="n"/>
      <c r="BO200" s="4395" t="n"/>
      <c r="BP200" s="4395" t="n"/>
      <c r="BQ200" s="4395" t="n"/>
      <c r="BR200" s="4395" t="n"/>
      <c r="BS200" s="4395" t="n"/>
      <c r="BT200" s="4395" t="n"/>
      <c r="BU200" s="4395" t="n"/>
      <c r="BV200" s="4395" t="n"/>
      <c r="BW200" s="4395" t="n"/>
      <c r="BX200" s="4395" t="n"/>
      <c r="BY200" s="4395" t="n"/>
      <c r="BZ200" s="4395" t="n"/>
      <c r="CA200" s="4395" t="n"/>
      <c r="CB200" s="4395" t="n"/>
      <c r="CC200" s="4395" t="n"/>
      <c r="CD200" s="4395" t="n"/>
      <c r="CE200" s="4395" t="n"/>
      <c r="CF200" s="4395" t="n"/>
      <c r="CG200" s="4395" t="n"/>
      <c r="CH200" s="4395" t="n"/>
      <c r="CI200" s="4395" t="n"/>
      <c r="CJ200" s="4395" t="n"/>
      <c r="CK200" s="4395" t="n"/>
      <c r="CL200" s="4395" t="n"/>
      <c r="CM200" s="4395" t="n"/>
      <c r="CN200" s="4395" t="n"/>
      <c r="CO200" s="4395" t="n"/>
      <c r="CP200" s="4395" t="n"/>
      <c r="CQ200" s="4395" t="n"/>
      <c r="CR200" s="4395" t="n"/>
      <c r="CS200" s="4395" t="n"/>
      <c r="CT200" s="4395" t="n"/>
      <c r="CU200" s="4395" t="n"/>
      <c r="CV200" s="4395" t="n"/>
      <c r="CW200" s="4395" t="n"/>
      <c r="CX200" s="4395" t="n"/>
      <c r="CY200" s="4395" t="n"/>
      <c r="CZ200" s="4395" t="n"/>
      <c r="DA200" s="4395" t="n"/>
      <c r="DB200" s="4395" t="n"/>
      <c r="DC200" s="4395" t="n"/>
      <c r="DD200" s="4395" t="n"/>
      <c r="DE200" s="4395" t="n"/>
      <c r="DF200" s="4395" t="n"/>
      <c r="DG200" s="4395" t="n"/>
      <c r="DH200" s="4395" t="n"/>
    </row>
    <row r="201" ht="16" customHeight="1">
      <c r="A201" t="inlineStr">
        <is>
          <t>Aquaculture</t>
        </is>
      </c>
      <c r="B201">
        <f>'8. Fisheries and aquaculture'!C79</f>
        <v/>
      </c>
      <c r="C201">
        <f>'8. Fisheries and aquaculture'!J79</f>
        <v/>
      </c>
      <c r="D201">
        <f>'8. Fisheries and aquaculture'!AI79</f>
        <v/>
      </c>
      <c r="E201">
        <f>IF('8. Fisheries and aquaculture'!CN79&lt;&gt;0,'8. Fisheries and aquaculture'!CN79,'8. Fisheries and aquaculture'!CM79)</f>
        <v/>
      </c>
      <c r="F201">
        <f>time</f>
        <v/>
      </c>
      <c r="G201" s="4395">
        <f>'8. Fisheries and aquaculture'!AA79</f>
        <v/>
      </c>
      <c r="H201" s="4395">
        <f>'8. Fisheries and aquaculture'!AC79</f>
        <v/>
      </c>
      <c r="I201" s="4395">
        <f>IF(OR(H201="I", G201="I"), "I", IF(OR(H201="E", G201="E"), "E", "D"))</f>
        <v/>
      </c>
      <c r="J201" s="4395">
        <f>((D201/(time_cap+((F201-E201+1)*VLOOKUP(I201,list!$I$48:$K$50,3, FALSE))))*(F201-E201+1)*VLOOKUP(I201,list!$I$48:$K$50,3, FALSE))</f>
        <v/>
      </c>
      <c r="K201" s="4395">
        <f>((D201/(time_cap+((F201-E201+1)*VLOOKUP(I201,list!$I$48:$K$50,3, FALSE))))*time_cap)</f>
        <v/>
      </c>
      <c r="M201" s="4395">
        <f>IFERROR(IF((time+time_cap)&lt;M$2, 0,IF(AND(time+1&gt;=N$2, $E201&lt;N$2), IF($I201= "I", $J201/($F201-$E201+1), $J201/(($F201*($F201+1)/2)-(($E201-1)*($E201-1+1)/2))*M$2), 0)+IF(IF(time+1&gt;=N$2, $K201/time_cap/(time+1)*M$2, 0) = 0, $K201/(time_cap),0)),0)</f>
        <v/>
      </c>
      <c r="N201" s="4395">
        <f>IFERROR(IF((time+time_cap)&lt;N$2, 0,IF(AND(time+1&gt;=O$2, $E201&lt;O$2), IF($I201= "I", $J201/($F201-$E201+1), $J201/(($F201*($F201+1)/2)-(($E201-1)*($E201-1+1)/2))*N$2), 0)+IF(IF(time+1&gt;=O$2, $K201/time_cap/(time+1)*N$2, 0) = 0, $K201/(time_cap),0)),0)</f>
        <v/>
      </c>
      <c r="O201" s="4395">
        <f>IFERROR(IF((time+time_cap)&lt;O$2, 0,IF(AND(time+1&gt;=P$2, $E201&lt;P$2), IF($I201= "I", $J201/($F201-$E201+1), $J201/(($F201*($F201+1)/2)-(($E201-1)*($E201-1+1)/2))*O$2), 0)+IF(IF(time+1&gt;=P$2, $K201/time_cap/(time+1)*O$2, 0) = 0, $K201/(time_cap),0)),0)</f>
        <v/>
      </c>
      <c r="P201" s="4395">
        <f>IFERROR(IF((time+time_cap)&lt;P$2, 0,IF(AND(time+1&gt;=Q$2, $E201&lt;Q$2), IF($I201= "I", $J201/($F201-$E201+1), $J201/(($F201*($F201+1)/2)-(($E201-1)*($E201-1+1)/2))*P$2), 0)+IF(IF(time+1&gt;=Q$2, $K201/time_cap/(time+1)*P$2, 0) = 0, $K201/(time_cap),0)),0)</f>
        <v/>
      </c>
      <c r="Q201" s="4395">
        <f>IFERROR(IF((time+time_cap)&lt;Q$2, 0,IF(AND(time+1&gt;=R$2, $E201&lt;R$2), IF($I201= "I", $J201/($F201-$E201+1), $J201/(($F201*($F201+1)/2)-(($E201-1)*($E201-1+1)/2))*Q$2), 0)+IF(IF(time+1&gt;=R$2, $K201/time_cap/(time+1)*Q$2, 0) = 0, $K201/(time_cap),0)),0)</f>
        <v/>
      </c>
      <c r="R201" s="4395">
        <f>IFERROR(IF((time+time_cap)&lt;R$2, 0,IF(AND(time+1&gt;=S$2, $E201&lt;S$2), IF($I201= "I", $J201/($F201-$E201+1), $J201/(($F201*($F201+1)/2)-(($E201-1)*($E201-1+1)/2))*R$2), 0)+IF(IF(time+1&gt;=S$2, $K201/time_cap/(time+1)*R$2, 0) = 0, $K201/(time_cap),0)),0)</f>
        <v/>
      </c>
      <c r="S201" s="4395">
        <f>IFERROR(IF((time+time_cap)&lt;S$2, 0,IF(AND(time+1&gt;=T$2, $E201&lt;T$2), IF($I201= "I", $J201/($F201-$E201+1), $J201/(($F201*($F201+1)/2)-(($E201-1)*($E201-1+1)/2))*S$2), 0)+IF(IF(time+1&gt;=T$2, $K201/time_cap/(time+1)*S$2, 0) = 0, $K201/(time_cap),0)),0)</f>
        <v/>
      </c>
      <c r="T201" s="4395">
        <f>IFERROR(IF((time+time_cap)&lt;T$2, 0,IF(AND(time+1&gt;=U$2, $E201&lt;U$2), IF($I201= "I", $J201/($F201-$E201+1), $J201/(($F201*($F201+1)/2)-(($E201-1)*($E201-1+1)/2))*T$2), 0)+IF(IF(time+1&gt;=U$2, $K201/time_cap/(time+1)*T$2, 0) = 0, $K201/(time_cap),0)),0)</f>
        <v/>
      </c>
      <c r="U201" s="4395">
        <f>IFERROR(IF((time+time_cap)&lt;U$2, 0,IF(AND(time+1&gt;=V$2, $E201&lt;V$2), IF($I201= "I", $J201/($F201-$E201+1), $J201/(($F201*($F201+1)/2)-(($E201-1)*($E201-1+1)/2))*U$2), 0)+IF(IF(time+1&gt;=V$2, $K201/time_cap/(time+1)*U$2, 0) = 0, $K201/(time_cap),0)),0)</f>
        <v/>
      </c>
      <c r="V201" s="4395">
        <f>IFERROR(IF((time+time_cap)&lt;V$2, 0,IF(AND(time+1&gt;=W$2, $E201&lt;W$2), IF($I201= "I", $J201/($F201-$E201+1), $J201/(($F201*($F201+1)/2)-(($E201-1)*($E201-1+1)/2))*V$2), 0)+IF(IF(time+1&gt;=W$2, $K201/time_cap/(time+1)*V$2, 0) = 0, $K201/(time_cap),0)),0)</f>
        <v/>
      </c>
      <c r="W201" s="4395">
        <f>IFERROR(IF((time+time_cap)&lt;W$2, 0,IF(AND(time+1&gt;=X$2, $E201&lt;X$2), IF($I201= "I", $J201/($F201-$E201+1), $J201/(($F201*($F201+1)/2)-(($E201-1)*($E201-1+1)/2))*W$2), 0)+IF(IF(time+1&gt;=X$2, $K201/time_cap/(time+1)*W$2, 0) = 0, $K201/(time_cap),0)),0)</f>
        <v/>
      </c>
      <c r="X201" s="4395">
        <f>IFERROR(IF((time+time_cap)&lt;X$2, 0,IF(AND(time+1&gt;=Y$2, $E201&lt;Y$2), IF($I201= "I", $J201/($F201-$E201+1), $J201/(($F201*($F201+1)/2)-(($E201-1)*($E201-1+1)/2))*X$2), 0)+IF(IF(time+1&gt;=Y$2, $K201/time_cap/(time+1)*X$2, 0) = 0, $K201/(time_cap),0)),0)</f>
        <v/>
      </c>
      <c r="Y201" s="4395">
        <f>IFERROR(IF((time+time_cap)&lt;Y$2, 0,IF(AND(time+1&gt;=Z$2, $E201&lt;Z$2), IF($I201= "I", $J201/($F201-$E201+1), $J201/(($F201*($F201+1)/2)-(($E201-1)*($E201-1+1)/2))*Y$2), 0)+IF(IF(time+1&gt;=Z$2, $K201/time_cap/(time+1)*Y$2, 0) = 0, $K201/(time_cap),0)),0)</f>
        <v/>
      </c>
      <c r="Z201" s="4395">
        <f>IFERROR(IF((time+time_cap)&lt;Z$2, 0,IF(AND(time+1&gt;=AA$2, $E201&lt;AA$2), IF($I201= "I", $J201/($F201-$E201+1), $J201/(($F201*($F201+1)/2)-(($E201-1)*($E201-1+1)/2))*Z$2), 0)+IF(IF(time+1&gt;=AA$2, $K201/time_cap/(time+1)*Z$2, 0) = 0, $K201/(time_cap),0)),0)</f>
        <v/>
      </c>
      <c r="AA201" s="4395">
        <f>IFERROR(IF((time+time_cap)&lt;AA$2, 0,IF(AND(time+1&gt;=AB$2, $E201&lt;AB$2), IF($I201= "I", $J201/($F201-$E201+1), $J201/(($F201*($F201+1)/2)-(($E201-1)*($E201-1+1)/2))*AA$2), 0)+IF(IF(time+1&gt;=AB$2, $K201/time_cap/(time+1)*AA$2, 0) = 0, $K201/(time_cap),0)),0)</f>
        <v/>
      </c>
      <c r="AB201" s="4395">
        <f>IFERROR(IF((time+time_cap)&lt;AB$2, 0,IF(AND(time+1&gt;=AC$2, $E201&lt;AC$2), IF($I201= "I", $J201/($F201-$E201+1), $J201/(($F201*($F201+1)/2)-(($E201-1)*($E201-1+1)/2))*AB$2), 0)+IF(IF(time+1&gt;=AC$2, $K201/time_cap/(time+1)*AB$2, 0) = 0, $K201/(time_cap),0)),0)</f>
        <v/>
      </c>
      <c r="AC201" s="4395">
        <f>IFERROR(IF((time+time_cap)&lt;AC$2, 0,IF(AND(time+1&gt;=AD$2, $E201&lt;AD$2), IF($I201= "I", $J201/($F201-$E201+1), $J201/(($F201*($F201+1)/2)-(($E201-1)*($E201-1+1)/2))*AC$2), 0)+IF(IF(time+1&gt;=AD$2, $K201/time_cap/(time+1)*AC$2, 0) = 0, $K201/(time_cap),0)),0)</f>
        <v/>
      </c>
      <c r="AD201" s="4395">
        <f>IFERROR(IF((time+time_cap)&lt;AD$2, 0,IF(AND(time+1&gt;=AE$2, $E201&lt;AE$2), IF($I201= "I", $J201/($F201-$E201+1), $J201/(($F201*($F201+1)/2)-(($E201-1)*($E201-1+1)/2))*AD$2), 0)+IF(IF(time+1&gt;=AE$2, $K201/time_cap/(time+1)*AD$2, 0) = 0, $K201/(time_cap),0)),0)</f>
        <v/>
      </c>
      <c r="AE201" s="4395">
        <f>IFERROR(IF((time+time_cap)&lt;AE$2, 0,IF(AND(time+1&gt;=AF$2, $E201&lt;AF$2), IF($I201= "I", $J201/($F201-$E201+1), $J201/(($F201*($F201+1)/2)-(($E201-1)*($E201-1+1)/2))*AE$2), 0)+IF(IF(time+1&gt;=AF$2, $K201/time_cap/(time+1)*AE$2, 0) = 0, $K201/(time_cap),0)),0)</f>
        <v/>
      </c>
      <c r="AF201" s="4395">
        <f>IFERROR(IF((time+time_cap)&lt;AF$2, 0,IF(AND(time+1&gt;=AG$2, $E201&lt;AG$2), IF($I201= "I", $J201/($F201-$E201+1), $J201/(($F201*($F201+1)/2)-(($E201-1)*($E201-1+1)/2))*AF$2), 0)+IF(IF(time+1&gt;=AG$2, $K201/time_cap/(time+1)*AF$2, 0) = 0, $K201/(time_cap),0)),0)</f>
        <v/>
      </c>
      <c r="AG201" s="4395">
        <f>IFERROR(IF((time+time_cap)&lt;AG$2, 0,IF(AND(time+1&gt;=AH$2, $E201&lt;AH$2), IF($I201= "I", $J201/($F201-$E201+1), $J201/(($F201*($F201+1)/2)-(($E201-1)*($E201-1+1)/2))*AG$2), 0)+IF(IF(time+1&gt;=AH$2, $K201/time_cap/(time+1)*AG$2, 0) = 0, $K201/(time_cap),0)),0)</f>
        <v/>
      </c>
      <c r="AH201" s="4395">
        <f>IFERROR(IF((time+time_cap)&lt;AH$2, 0,IF(AND(time+1&gt;=AI$2, $E201&lt;AI$2), IF($I201= "I", $J201/($F201-$E201+1), $J201/(($F201*($F201+1)/2)-(($E201-1)*($E201-1+1)/2))*AH$2), 0)+IF(IF(time+1&gt;=AI$2, $K201/time_cap/(time+1)*AH$2, 0) = 0, $K201/(time_cap),0)),0)</f>
        <v/>
      </c>
      <c r="AI201" s="4395">
        <f>IFERROR(IF((time+time_cap)&lt;AI$2, 0,IF(AND(time+1&gt;=AJ$2, $E201&lt;AJ$2), IF($I201= "I", $J201/($F201-$E201+1), $J201/(($F201*($F201+1)/2)-(($E201-1)*($E201-1+1)/2))*AI$2), 0)+IF(IF(time+1&gt;=AJ$2, $K201/time_cap/(time+1)*AI$2, 0) = 0, $K201/(time_cap),0)),0)</f>
        <v/>
      </c>
      <c r="AJ201" s="4395">
        <f>IFERROR(IF((time+time_cap)&lt;AJ$2, 0,IF(AND(time+1&gt;=AK$2, $E201&lt;AK$2), IF($I201= "I", $J201/($F201-$E201+1), $J201/(($F201*($F201+1)/2)-(($E201-1)*($E201-1+1)/2))*AJ$2), 0)+IF(IF(time+1&gt;=AK$2, $K201/time_cap/(time+1)*AJ$2, 0) = 0, $K201/(time_cap),0)),0)</f>
        <v/>
      </c>
      <c r="AK201" s="4395">
        <f>IFERROR(IF((time+time_cap)&lt;AK$2, 0,IF(AND(time+1&gt;=AL$2, $E201&lt;AL$2), IF($I201= "I", $J201/($F201-$E201+1), $J201/(($F201*($F201+1)/2)-(($E201-1)*($E201-1+1)/2))*AK$2), 0)+IF(IF(time+1&gt;=AL$2, $K201/time_cap/(time+1)*AK$2, 0) = 0, $K201/(time_cap),0)),0)</f>
        <v/>
      </c>
      <c r="AL201" s="4395">
        <f>IFERROR(IF((time+time_cap)&lt;AL$2, 0,IF(AND(time+1&gt;=AM$2, $E201&lt;AM$2), IF($I201= "I", $J201/($F201-$E201+1), $J201/(($F201*($F201+1)/2)-(($E201-1)*($E201-1+1)/2))*AL$2), 0)+IF(IF(time+1&gt;=AM$2, $K201/time_cap/(time+1)*AL$2, 0) = 0, $K201/(time_cap),0)),0)</f>
        <v/>
      </c>
      <c r="AM201" s="4395">
        <f>IFERROR(IF((time+time_cap)&lt;AM$2, 0,IF(AND(time+1&gt;=AN$2, $E201&lt;AN$2), IF($I201= "I", $J201/($F201-$E201+1), $J201/(($F201*($F201+1)/2)-(($E201-1)*($E201-1+1)/2))*AM$2), 0)+IF(IF(time+1&gt;=AN$2, $K201/time_cap/(time+1)*AM$2, 0) = 0, $K201/(time_cap),0)),0)</f>
        <v/>
      </c>
      <c r="AN201" s="4395">
        <f>IFERROR(IF((time+time_cap)&lt;AN$2, 0,IF(AND(time+1&gt;=AO$2, $E201&lt;AO$2), IF($I201= "I", $J201/($F201-$E201+1), $J201/(($F201*($F201+1)/2)-(($E201-1)*($E201-1+1)/2))*AN$2), 0)+IF(IF(time+1&gt;=AO$2, $K201/time_cap/(time+1)*AN$2, 0) = 0, $K201/(time_cap),0)),0)</f>
        <v/>
      </c>
      <c r="AO201" s="4395">
        <f>IFERROR(IF((time+time_cap)&lt;AO$2, 0,IF(AND(time+1&gt;=AP$2, $E201&lt;AP$2), IF($I201= "I", $J201/($F201-$E201+1), $J201/(($F201*($F201+1)/2)-(($E201-1)*($E201-1+1)/2))*AO$2), 0)+IF(IF(time+1&gt;=AP$2, $K201/time_cap/(time+1)*AO$2, 0) = 0, $K201/(time_cap),0)),0)</f>
        <v/>
      </c>
      <c r="AP201" s="4395">
        <f>IFERROR(IF((time+time_cap)&lt;AP$2, 0,IF(AND(time+1&gt;=AQ$2, $E201&lt;AQ$2), IF($I201= "I", $J201/($F201-$E201+1), $J201/(($F201*($F201+1)/2)-(($E201-1)*($E201-1+1)/2))*AP$2), 0)+IF(IF(time+1&gt;=AQ$2, $K201/time_cap/(time+1)*AP$2, 0) = 0, $K201/(time_cap),0)),0)</f>
        <v/>
      </c>
      <c r="AQ201" s="4395">
        <f>IFERROR(IF((time+time_cap)&lt;AQ$2, 0,IF(AND(time+1&gt;=AR$2, $E201&lt;AR$2), IF($I201= "I", $J201/($F201-$E201+1), $J201/(($F201*($F201+1)/2)-(($E201-1)*($E201-1+1)/2))*AQ$2), 0)+IF(IF(time+1&gt;=AR$2, $K201/time_cap/(time+1)*AQ$2, 0) = 0, $K201/(time_cap),0)),0)</f>
        <v/>
      </c>
      <c r="AR201" s="4395">
        <f>IFERROR(IF((time+time_cap)&lt;AR$2, 0,IF(AND(time+1&gt;=AS$2, $E201&lt;AS$2), IF($I201= "I", $J201/($F201-$E201+1), $J201/(($F201*($F201+1)/2)-(($E201-1)*($E201-1+1)/2))*AR$2), 0)+IF(IF(time+1&gt;=AS$2, $K201/time_cap/(time+1)*AR$2, 0) = 0, $K201/(time_cap),0)),0)</f>
        <v/>
      </c>
      <c r="AS201" s="4395">
        <f>IFERROR(IF((time+time_cap)&lt;AS$2, 0,IF(AND(time+1&gt;=AT$2, $E201&lt;AT$2), IF($I201= "I", $J201/($F201-$E201+1), $J201/(($F201*($F201+1)/2)-(($E201-1)*($E201-1+1)/2))*AS$2), 0)+IF(IF(time+1&gt;=AT$2, $K201/time_cap/(time+1)*AS$2, 0) = 0, $K201/(time_cap),0)),0)</f>
        <v/>
      </c>
      <c r="AT201" s="4395">
        <f>IFERROR(IF((time+time_cap)&lt;AT$2, 0,IF(AND(time+1&gt;=AU$2, $E201&lt;AU$2), IF($I201= "I", $J201/($F201-$E201+1), $J201/(($F201*($F201+1)/2)-(($E201-1)*($E201-1+1)/2))*AT$2), 0)+IF(IF(time+1&gt;=AU$2, $K201/time_cap/(time+1)*AT$2, 0) = 0, $K201/(time_cap),0)),0)</f>
        <v/>
      </c>
      <c r="AU201" s="4395">
        <f>IFERROR(IF((time+time_cap)&lt;AU$2, 0,IF(AND(time+1&gt;=AV$2, $E201&lt;AV$2), IF($I201= "I", $J201/($F201-$E201+1), $J201/(($F201*($F201+1)/2)-(($E201-1)*($E201-1+1)/2))*AU$2), 0)+IF(IF(time+1&gt;=AV$2, $K201/time_cap/(time+1)*AU$2, 0) = 0, $K201/(time_cap),0)),0)</f>
        <v/>
      </c>
      <c r="AV201" s="4395">
        <f>IFERROR(IF((time+time_cap)&lt;AV$2, 0,IF(AND(time+1&gt;=AW$2, $E201&lt;AW$2), IF($I201= "I", $J201/($F201-$E201+1), $J201/(($F201*($F201+1)/2)-(($E201-1)*($E201-1+1)/2))*AV$2), 0)+IF(IF(time+1&gt;=AW$2, $K201/time_cap/(time+1)*AV$2, 0) = 0, $K201/(time_cap),0)),0)</f>
        <v/>
      </c>
      <c r="AW201" s="4395">
        <f>IFERROR(IF((time+time_cap)&lt;AW$2, 0,IF(AND(time+1&gt;=AX$2, $E201&lt;AX$2), IF($I201= "I", $J201/($F201-$E201+1), $J201/(($F201*($F201+1)/2)-(($E201-1)*($E201-1+1)/2))*AW$2), 0)+IF(IF(time+1&gt;=AX$2, $K201/time_cap/(time+1)*AW$2, 0) = 0, $K201/(time_cap),0)),0)</f>
        <v/>
      </c>
      <c r="AX201" s="4395">
        <f>IFERROR(IF((time+time_cap)&lt;AX$2, 0,IF(AND(time+1&gt;=AY$2, $E201&lt;AY$2), IF($I201= "I", $J201/($F201-$E201+1), $J201/(($F201*($F201+1)/2)-(($E201-1)*($E201-1+1)/2))*AX$2), 0)+IF(IF(time+1&gt;=AY$2, $K201/time_cap/(time+1)*AX$2, 0) = 0, $K201/(time_cap),0)),0)</f>
        <v/>
      </c>
      <c r="AY201" s="4395">
        <f>IFERROR(IF((time+time_cap)&lt;AY$2, 0,IF(AND(time+1&gt;=AZ$2, $E201&lt;AZ$2), IF($I201= "I", $J201/($F201-$E201+1), $J201/(($F201*($F201+1)/2)-(($E201-1)*($E201-1+1)/2))*AY$2), 0)+IF(IF(time+1&gt;=AZ$2, $K201/time_cap/(time+1)*AY$2, 0) = 0, $K201/(time_cap),0)),0)</f>
        <v/>
      </c>
      <c r="AZ201" s="4395">
        <f>IFERROR(IF((time+time_cap)&lt;AZ$2, 0,IF(AND(time+1&gt;=BA$2, $E201&lt;BA$2), IF($I201= "I", $J201/($F201-$E201+1), $J201/(($F201*($F201+1)/2)-(($E201-1)*($E201-1+1)/2))*AZ$2), 0)+IF(IF(time+1&gt;=BA$2, $K201/time_cap/(time+1)*AZ$2, 0) = 0, $K201/(time_cap),0)),0)</f>
        <v/>
      </c>
      <c r="BA201" s="4395">
        <f>IFERROR(IF((time+time_cap)&lt;BA$2, 0,IF(AND(time+1&gt;=BB$2, $E201&lt;BB$2), IF($I201= "I", $J201/($F201-$E201+1), $J201/(($F201*($F201+1)/2)-(($E201-1)*($E201-1+1)/2))*BA$2), 0)+IF(IF(time+1&gt;=BB$2, $K201/time_cap/(time+1)*BA$2, 0) = 0, $K201/(time_cap),0)),0)</f>
        <v/>
      </c>
      <c r="BB201" s="4395">
        <f>IFERROR(IF((time+time_cap)&lt;BB$2, 0,IF(AND(time+1&gt;=BC$2, $E201&lt;BC$2), IF($I201= "I", $J201/($F201-$E201+1), $J201/(($F201*($F201+1)/2)-(($E201-1)*($E201-1+1)/2))*BB$2), 0)+IF(IF(time+1&gt;=BC$2, $K201/time_cap/(time+1)*BB$2, 0) = 0, $K201/(time_cap),0)),0)</f>
        <v/>
      </c>
      <c r="BC201" s="4395">
        <f>IFERROR(IF((time+time_cap)&lt;BC$2, 0,IF(AND(time+1&gt;=BD$2, $E201&lt;BD$2), IF($I201= "I", $J201/($F201-$E201+1), $J201/(($F201*($F201+1)/2)-(($E201-1)*($E201-1+1)/2))*BC$2), 0)+IF(IF(time+1&gt;=BD$2, $K201/time_cap/(time+1)*BC$2, 0) = 0, $K201/(time_cap),0)),0)</f>
        <v/>
      </c>
      <c r="BD201" s="4395">
        <f>IFERROR(IF((time+time_cap)&lt;BD$2, 0,IF(AND(time+1&gt;=BE$2, $E201&lt;BE$2), IF($I201= "I", $J201/($F201-$E201+1), $J201/(($F201*($F201+1)/2)-(($E201-1)*($E201-1+1)/2))*BD$2), 0)+IF(IF(time+1&gt;=BE$2, $K201/time_cap/(time+1)*BD$2, 0) = 0, $K201/(time_cap),0)),0)</f>
        <v/>
      </c>
      <c r="BE201" s="4395">
        <f>IFERROR(IF((time+time_cap)&lt;BE$2, 0,IF(AND(time+1&gt;=BF$2, $E201&lt;BF$2), IF($I201= "I", $J201/($F201-$E201+1), $J201/(($F201*($F201+1)/2)-(($E201-1)*($E201-1+1)/2))*BE$2), 0)+IF(IF(time+1&gt;=BF$2, $K201/time_cap/(time+1)*BE$2, 0) = 0, $K201/(time_cap),0)),0)</f>
        <v/>
      </c>
      <c r="BF201" s="4395">
        <f>IFERROR(IF((time+time_cap)&lt;BF$2, 0,IF(AND(time+1&gt;=BG$2, $E201&lt;BG$2), IF($I201= "I", $J201/($F201-$E201+1), $J201/(($F201*($F201+1)/2)-(($E201-1)*($E201-1+1)/2))*BF$2), 0)+IF(IF(time+1&gt;=BG$2, $K201/time_cap/(time+1)*BF$2, 0) = 0, $K201/(time_cap),0)),0)</f>
        <v/>
      </c>
      <c r="BG201" s="4395">
        <f>IFERROR(IF((time+time_cap)&lt;BG$2, 0,IF(AND(time+1&gt;=BH$2, $E201&lt;BH$2), IF($I201= "I", $J201/($F201-$E201+1), $J201/(($F201*($F201+1)/2)-(($E201-1)*($E201-1+1)/2))*BG$2), 0)+IF(IF(time+1&gt;=BH$2, $K201/time_cap/(time+1)*BG$2, 0) = 0, $K201/(time_cap),0)),0)</f>
        <v/>
      </c>
      <c r="BH201" s="4395">
        <f>IFERROR(IF((time+time_cap)&lt;BH$2, 0,IF(AND(time+1&gt;=BI$2, $E201&lt;BI$2), IF($I201= "I", $J201/($F201-$E201+1), $J201/(($F201*($F201+1)/2)-(($E201-1)*($E201-1+1)/2))*BH$2), 0)+IF(IF(time+1&gt;=BI$2, $K201/time_cap/(time+1)*BH$2, 0) = 0, $K201/(time_cap),0)),0)</f>
        <v/>
      </c>
      <c r="BI201" s="4395">
        <f>IFERROR(IF((time+time_cap)&lt;BI$2, 0,IF(AND(time+1&gt;=BJ$2, $E201&lt;BJ$2), IF($I201= "I", $J201/($F201-$E201+1), $J201/(($F201*($F201+1)/2)-(($E201-1)*($E201-1+1)/2))*BI$2), 0)+IF(IF(time+1&gt;=BJ$2, $K201/time_cap/(time+1)*BI$2, 0) = 0, $K201/(time_cap),0)),0)</f>
        <v/>
      </c>
      <c r="BJ201" s="4395">
        <f>IFERROR(IF((time+time_cap)&lt;BJ$2, 0,IF(AND(time+1&gt;=BK$2, $E201&lt;BK$2), IF($I201= "I", $J201/($F201-$E201+1), $J201/(($F201*($F201+1)/2)-(($E201-1)*($E201-1+1)/2))*BJ$2), 0)+IF(IF(time+1&gt;=BK$2, $K201/time_cap/(time+1)*BJ$2, 0) = 0, $K201/(time_cap),0)),0)</f>
        <v/>
      </c>
      <c r="BK201" s="4395" t="n"/>
      <c r="BL201" s="4395" t="n"/>
      <c r="BM201" s="4395" t="n"/>
      <c r="BN201" s="4395" t="n"/>
      <c r="BO201" s="4395" t="n"/>
      <c r="BP201" s="4395" t="n"/>
      <c r="BQ201" s="4395" t="n"/>
      <c r="BR201" s="4395" t="n"/>
      <c r="BS201" s="4395" t="n"/>
      <c r="BT201" s="4395" t="n"/>
      <c r="BU201" s="4395" t="n"/>
      <c r="BV201" s="4395" t="n"/>
      <c r="BW201" s="4395" t="n"/>
      <c r="BX201" s="4395" t="n"/>
      <c r="BY201" s="4395" t="n"/>
      <c r="BZ201" s="4395" t="n"/>
      <c r="CA201" s="4395" t="n"/>
      <c r="CB201" s="4395" t="n"/>
      <c r="CC201" s="4395" t="n"/>
      <c r="CD201" s="4395" t="n"/>
      <c r="CE201" s="4395" t="n"/>
      <c r="CF201" s="4395" t="n"/>
      <c r="CG201" s="4395" t="n"/>
      <c r="CH201" s="4395" t="n"/>
      <c r="CI201" s="4395" t="n"/>
      <c r="CJ201" s="4395" t="n"/>
      <c r="CK201" s="4395" t="n"/>
      <c r="CL201" s="4395" t="n"/>
      <c r="CM201" s="4395" t="n"/>
      <c r="CN201" s="4395" t="n"/>
      <c r="CO201" s="4395" t="n"/>
      <c r="CP201" s="4395" t="n"/>
      <c r="CQ201" s="4395" t="n"/>
      <c r="CR201" s="4395" t="n"/>
      <c r="CS201" s="4395" t="n"/>
      <c r="CT201" s="4395" t="n"/>
      <c r="CU201" s="4395" t="n"/>
      <c r="CV201" s="4395" t="n"/>
      <c r="CW201" s="4395" t="n"/>
      <c r="CX201" s="4395" t="n"/>
      <c r="CY201" s="4395" t="n"/>
      <c r="CZ201" s="4395" t="n"/>
      <c r="DA201" s="4395" t="n"/>
      <c r="DB201" s="4395" t="n"/>
      <c r="DC201" s="4395" t="n"/>
      <c r="DD201" s="4395" t="n"/>
      <c r="DE201" s="4395" t="n"/>
      <c r="DF201" s="4395" t="n"/>
      <c r="DG201" s="4395" t="n"/>
      <c r="DH201" s="4395" t="n"/>
    </row>
    <row r="202" ht="16" customHeight="1">
      <c r="A202" t="inlineStr">
        <is>
          <t>Inputs</t>
        </is>
      </c>
      <c r="C202">
        <f>'9.Inputs'!C12</f>
        <v/>
      </c>
      <c r="D202">
        <f>'9.Inputs'!V12</f>
        <v/>
      </c>
      <c r="E202">
        <f>IF('9.Inputs'!BE12&lt;&gt;0,'9.Inputs'!BE12,'9.Inputs'!BD12)</f>
        <v/>
      </c>
      <c r="F202">
        <f>time</f>
        <v/>
      </c>
      <c r="G202" s="4395">
        <f>'9.Inputs'!F12</f>
        <v/>
      </c>
      <c r="H202" s="4395">
        <f>'9.Inputs'!H12</f>
        <v/>
      </c>
      <c r="I202" s="4395">
        <f>IF(OR(H202="I", G202="I"), "I", IF(OR(H202="E", G202="E"), "E", "D"))</f>
        <v/>
      </c>
      <c r="J202" s="4395">
        <f>((D202/(time_cap+((F202-E202+1)*VLOOKUP(I202,list!$I$48:$K$50,3, FALSE))))*(F202-E202+1)*VLOOKUP(I202,list!$I$48:$K$50,3, FALSE))</f>
        <v/>
      </c>
      <c r="K202" s="4395">
        <f>((D202/(time_cap+((F202-E202+1)*VLOOKUP(I202,list!$I$48:$K$50,3, FALSE))))*time_cap)</f>
        <v/>
      </c>
      <c r="M202" s="4395">
        <f>IFERROR(IF((time+time_cap)&lt;M$2, 0,IF(AND(time+1&gt;=N$2, $E202&lt;N$2), IF($I202= "I", $J202/($F202-$E202+1), $J202/(($F202*($F202+1)/2)-(($E202-1)*($E202-1+1)/2))*M$2), 0)+IF(IF(time+1&gt;=N$2, $K202/time_cap/(time+1)*M$2, 0) = 0, $K202/(time_cap),0)),0)</f>
        <v/>
      </c>
      <c r="N202" s="4395">
        <f>IFERROR(IF((time+time_cap)&lt;N$2, 0,IF(AND(time+1&gt;=O$2, $E202&lt;O$2), IF($I202= "I", $J202/($F202-$E202+1), $J202/(($F202*($F202+1)/2)-(($E202-1)*($E202-1+1)/2))*N$2), 0)+IF(IF(time+1&gt;=O$2, $K202/time_cap/(time+1)*N$2, 0) = 0, $K202/(time_cap),0)),0)</f>
        <v/>
      </c>
      <c r="O202" s="4395">
        <f>IFERROR(IF((time+time_cap)&lt;O$2, 0,IF(AND(time+1&gt;=P$2, $E202&lt;P$2), IF($I202= "I", $J202/($F202-$E202+1), $J202/(($F202*($F202+1)/2)-(($E202-1)*($E202-1+1)/2))*O$2), 0)+IF(IF(time+1&gt;=P$2, $K202/time_cap/(time+1)*O$2, 0) = 0, $K202/(time_cap),0)),0)</f>
        <v/>
      </c>
      <c r="P202" s="4395">
        <f>IFERROR(IF((time+time_cap)&lt;P$2, 0,IF(AND(time+1&gt;=Q$2, $E202&lt;Q$2), IF($I202= "I", $J202/($F202-$E202+1), $J202/(($F202*($F202+1)/2)-(($E202-1)*($E202-1+1)/2))*P$2), 0)+IF(IF(time+1&gt;=Q$2, $K202/time_cap/(time+1)*P$2, 0) = 0, $K202/(time_cap),0)),0)</f>
        <v/>
      </c>
      <c r="Q202" s="4395">
        <f>IFERROR(IF((time+time_cap)&lt;Q$2, 0,IF(AND(time+1&gt;=R$2, $E202&lt;R$2), IF($I202= "I", $J202/($F202-$E202+1), $J202/(($F202*($F202+1)/2)-(($E202-1)*($E202-1+1)/2))*Q$2), 0)+IF(IF(time+1&gt;=R$2, $K202/time_cap/(time+1)*Q$2, 0) = 0, $K202/(time_cap),0)),0)</f>
        <v/>
      </c>
      <c r="R202" s="4395">
        <f>IFERROR(IF((time+time_cap)&lt;R$2, 0,IF(AND(time+1&gt;=S$2, $E202&lt;S$2), IF($I202= "I", $J202/($F202-$E202+1), $J202/(($F202*($F202+1)/2)-(($E202-1)*($E202-1+1)/2))*R$2), 0)+IF(IF(time+1&gt;=S$2, $K202/time_cap/(time+1)*R$2, 0) = 0, $K202/(time_cap),0)),0)</f>
        <v/>
      </c>
      <c r="S202" s="4395">
        <f>IFERROR(IF((time+time_cap)&lt;S$2, 0,IF(AND(time+1&gt;=T$2, $E202&lt;T$2), IF($I202= "I", $J202/($F202-$E202+1), $J202/(($F202*($F202+1)/2)-(($E202-1)*($E202-1+1)/2))*S$2), 0)+IF(IF(time+1&gt;=T$2, $K202/time_cap/(time+1)*S$2, 0) = 0, $K202/(time_cap),0)),0)</f>
        <v/>
      </c>
      <c r="T202" s="4395">
        <f>IFERROR(IF((time+time_cap)&lt;T$2, 0,IF(AND(time+1&gt;=U$2, $E202&lt;U$2), IF($I202= "I", $J202/($F202-$E202+1), $J202/(($F202*($F202+1)/2)-(($E202-1)*($E202-1+1)/2))*T$2), 0)+IF(IF(time+1&gt;=U$2, $K202/time_cap/(time+1)*T$2, 0) = 0, $K202/(time_cap),0)),0)</f>
        <v/>
      </c>
      <c r="U202" s="4395">
        <f>IFERROR(IF((time+time_cap)&lt;U$2, 0,IF(AND(time+1&gt;=V$2, $E202&lt;V$2), IF($I202= "I", $J202/($F202-$E202+1), $J202/(($F202*($F202+1)/2)-(($E202-1)*($E202-1+1)/2))*U$2), 0)+IF(IF(time+1&gt;=V$2, $K202/time_cap/(time+1)*U$2, 0) = 0, $K202/(time_cap),0)),0)</f>
        <v/>
      </c>
      <c r="V202" s="4395">
        <f>IFERROR(IF((time+time_cap)&lt;V$2, 0,IF(AND(time+1&gt;=W$2, $E202&lt;W$2), IF($I202= "I", $J202/($F202-$E202+1), $J202/(($F202*($F202+1)/2)-(($E202-1)*($E202-1+1)/2))*V$2), 0)+IF(IF(time+1&gt;=W$2, $K202/time_cap/(time+1)*V$2, 0) = 0, $K202/(time_cap),0)),0)</f>
        <v/>
      </c>
      <c r="W202" s="4395">
        <f>IFERROR(IF((time+time_cap)&lt;W$2, 0,IF(AND(time+1&gt;=X$2, $E202&lt;X$2), IF($I202= "I", $J202/($F202-$E202+1), $J202/(($F202*($F202+1)/2)-(($E202-1)*($E202-1+1)/2))*W$2), 0)+IF(IF(time+1&gt;=X$2, $K202/time_cap/(time+1)*W$2, 0) = 0, $K202/(time_cap),0)),0)</f>
        <v/>
      </c>
      <c r="X202" s="4395">
        <f>IFERROR(IF((time+time_cap)&lt;X$2, 0,IF(AND(time+1&gt;=Y$2, $E202&lt;Y$2), IF($I202= "I", $J202/($F202-$E202+1), $J202/(($F202*($F202+1)/2)-(($E202-1)*($E202-1+1)/2))*X$2), 0)+IF(IF(time+1&gt;=Y$2, $K202/time_cap/(time+1)*X$2, 0) = 0, $K202/(time_cap),0)),0)</f>
        <v/>
      </c>
      <c r="Y202" s="4395">
        <f>IFERROR(IF((time+time_cap)&lt;Y$2, 0,IF(AND(time+1&gt;=Z$2, $E202&lt;Z$2), IF($I202= "I", $J202/($F202-$E202+1), $J202/(($F202*($F202+1)/2)-(($E202-1)*($E202-1+1)/2))*Y$2), 0)+IF(IF(time+1&gt;=Z$2, $K202/time_cap/(time+1)*Y$2, 0) = 0, $K202/(time_cap),0)),0)</f>
        <v/>
      </c>
      <c r="Z202" s="4395">
        <f>IFERROR(IF((time+time_cap)&lt;Z$2, 0,IF(AND(time+1&gt;=AA$2, $E202&lt;AA$2), IF($I202= "I", $J202/($F202-$E202+1), $J202/(($F202*($F202+1)/2)-(($E202-1)*($E202-1+1)/2))*Z$2), 0)+IF(IF(time+1&gt;=AA$2, $K202/time_cap/(time+1)*Z$2, 0) = 0, $K202/(time_cap),0)),0)</f>
        <v/>
      </c>
      <c r="AA202" s="4395">
        <f>IFERROR(IF((time+time_cap)&lt;AA$2, 0,IF(AND(time+1&gt;=AB$2, $E202&lt;AB$2), IF($I202= "I", $J202/($F202-$E202+1), $J202/(($F202*($F202+1)/2)-(($E202-1)*($E202-1+1)/2))*AA$2), 0)+IF(IF(time+1&gt;=AB$2, $K202/time_cap/(time+1)*AA$2, 0) = 0, $K202/(time_cap),0)),0)</f>
        <v/>
      </c>
      <c r="AB202" s="4395">
        <f>IFERROR(IF((time+time_cap)&lt;AB$2, 0,IF(AND(time+1&gt;=AC$2, $E202&lt;AC$2), IF($I202= "I", $J202/($F202-$E202+1), $J202/(($F202*($F202+1)/2)-(($E202-1)*($E202-1+1)/2))*AB$2), 0)+IF(IF(time+1&gt;=AC$2, $K202/time_cap/(time+1)*AB$2, 0) = 0, $K202/(time_cap),0)),0)</f>
        <v/>
      </c>
      <c r="AC202" s="4395">
        <f>IFERROR(IF((time+time_cap)&lt;AC$2, 0,IF(AND(time+1&gt;=AD$2, $E202&lt;AD$2), IF($I202= "I", $J202/($F202-$E202+1), $J202/(($F202*($F202+1)/2)-(($E202-1)*($E202-1+1)/2))*AC$2), 0)+IF(IF(time+1&gt;=AD$2, $K202/time_cap/(time+1)*AC$2, 0) = 0, $K202/(time_cap),0)),0)</f>
        <v/>
      </c>
      <c r="AD202" s="4395">
        <f>IFERROR(IF((time+time_cap)&lt;AD$2, 0,IF(AND(time+1&gt;=AE$2, $E202&lt;AE$2), IF($I202= "I", $J202/($F202-$E202+1), $J202/(($F202*($F202+1)/2)-(($E202-1)*($E202-1+1)/2))*AD$2), 0)+IF(IF(time+1&gt;=AE$2, $K202/time_cap/(time+1)*AD$2, 0) = 0, $K202/(time_cap),0)),0)</f>
        <v/>
      </c>
      <c r="AE202" s="4395">
        <f>IFERROR(IF((time+time_cap)&lt;AE$2, 0,IF(AND(time+1&gt;=AF$2, $E202&lt;AF$2), IF($I202= "I", $J202/($F202-$E202+1), $J202/(($F202*($F202+1)/2)-(($E202-1)*($E202-1+1)/2))*AE$2), 0)+IF(IF(time+1&gt;=AF$2, $K202/time_cap/(time+1)*AE$2, 0) = 0, $K202/(time_cap),0)),0)</f>
        <v/>
      </c>
      <c r="AF202" s="4395">
        <f>IFERROR(IF((time+time_cap)&lt;AF$2, 0,IF(AND(time+1&gt;=AG$2, $E202&lt;AG$2), IF($I202= "I", $J202/($F202-$E202+1), $J202/(($F202*($F202+1)/2)-(($E202-1)*($E202-1+1)/2))*AF$2), 0)+IF(IF(time+1&gt;=AG$2, $K202/time_cap/(time+1)*AF$2, 0) = 0, $K202/(time_cap),0)),0)</f>
        <v/>
      </c>
      <c r="AG202" s="4395">
        <f>IFERROR(IF((time+time_cap)&lt;AG$2, 0,IF(AND(time+1&gt;=AH$2, $E202&lt;AH$2), IF($I202= "I", $J202/($F202-$E202+1), $J202/(($F202*($F202+1)/2)-(($E202-1)*($E202-1+1)/2))*AG$2), 0)+IF(IF(time+1&gt;=AH$2, $K202/time_cap/(time+1)*AG$2, 0) = 0, $K202/(time_cap),0)),0)</f>
        <v/>
      </c>
      <c r="AH202" s="4395">
        <f>IFERROR(IF((time+time_cap)&lt;AH$2, 0,IF(AND(time+1&gt;=AI$2, $E202&lt;AI$2), IF($I202= "I", $J202/($F202-$E202+1), $J202/(($F202*($F202+1)/2)-(($E202-1)*($E202-1+1)/2))*AH$2), 0)+IF(IF(time+1&gt;=AI$2, $K202/time_cap/(time+1)*AH$2, 0) = 0, $K202/(time_cap),0)),0)</f>
        <v/>
      </c>
      <c r="AI202" s="4395">
        <f>IFERROR(IF((time+time_cap)&lt;AI$2, 0,IF(AND(time+1&gt;=AJ$2, $E202&lt;AJ$2), IF($I202= "I", $J202/($F202-$E202+1), $J202/(($F202*($F202+1)/2)-(($E202-1)*($E202-1+1)/2))*AI$2), 0)+IF(IF(time+1&gt;=AJ$2, $K202/time_cap/(time+1)*AI$2, 0) = 0, $K202/(time_cap),0)),0)</f>
        <v/>
      </c>
      <c r="AJ202" s="4395">
        <f>IFERROR(IF((time+time_cap)&lt;AJ$2, 0,IF(AND(time+1&gt;=AK$2, $E202&lt;AK$2), IF($I202= "I", $J202/($F202-$E202+1), $J202/(($F202*($F202+1)/2)-(($E202-1)*($E202-1+1)/2))*AJ$2), 0)+IF(IF(time+1&gt;=AK$2, $K202/time_cap/(time+1)*AJ$2, 0) = 0, $K202/(time_cap),0)),0)</f>
        <v/>
      </c>
      <c r="AK202" s="4395">
        <f>IFERROR(IF((time+time_cap)&lt;AK$2, 0,IF(AND(time+1&gt;=AL$2, $E202&lt;AL$2), IF($I202= "I", $J202/($F202-$E202+1), $J202/(($F202*($F202+1)/2)-(($E202-1)*($E202-1+1)/2))*AK$2), 0)+IF(IF(time+1&gt;=AL$2, $K202/time_cap/(time+1)*AK$2, 0) = 0, $K202/(time_cap),0)),0)</f>
        <v/>
      </c>
      <c r="AL202" s="4395">
        <f>IFERROR(IF((time+time_cap)&lt;AL$2, 0,IF(AND(time+1&gt;=AM$2, $E202&lt;AM$2), IF($I202= "I", $J202/($F202-$E202+1), $J202/(($F202*($F202+1)/2)-(($E202-1)*($E202-1+1)/2))*AL$2), 0)+IF(IF(time+1&gt;=AM$2, $K202/time_cap/(time+1)*AL$2, 0) = 0, $K202/(time_cap),0)),0)</f>
        <v/>
      </c>
      <c r="AM202" s="4395">
        <f>IFERROR(IF((time+time_cap)&lt;AM$2, 0,IF(AND(time+1&gt;=AN$2, $E202&lt;AN$2), IF($I202= "I", $J202/($F202-$E202+1), $J202/(($F202*($F202+1)/2)-(($E202-1)*($E202-1+1)/2))*AM$2), 0)+IF(IF(time+1&gt;=AN$2, $K202/time_cap/(time+1)*AM$2, 0) = 0, $K202/(time_cap),0)),0)</f>
        <v/>
      </c>
      <c r="AN202" s="4395">
        <f>IFERROR(IF((time+time_cap)&lt;AN$2, 0,IF(AND(time+1&gt;=AO$2, $E202&lt;AO$2), IF($I202= "I", $J202/($F202-$E202+1), $J202/(($F202*($F202+1)/2)-(($E202-1)*($E202-1+1)/2))*AN$2), 0)+IF(IF(time+1&gt;=AO$2, $K202/time_cap/(time+1)*AN$2, 0) = 0, $K202/(time_cap),0)),0)</f>
        <v/>
      </c>
      <c r="AO202" s="4395">
        <f>IFERROR(IF((time+time_cap)&lt;AO$2, 0,IF(AND(time+1&gt;=AP$2, $E202&lt;AP$2), IF($I202= "I", $J202/($F202-$E202+1), $J202/(($F202*($F202+1)/2)-(($E202-1)*($E202-1+1)/2))*AO$2), 0)+IF(IF(time+1&gt;=AP$2, $K202/time_cap/(time+1)*AO$2, 0) = 0, $K202/(time_cap),0)),0)</f>
        <v/>
      </c>
      <c r="AP202" s="4395">
        <f>IFERROR(IF((time+time_cap)&lt;AP$2, 0,IF(AND(time+1&gt;=AQ$2, $E202&lt;AQ$2), IF($I202= "I", $J202/($F202-$E202+1), $J202/(($F202*($F202+1)/2)-(($E202-1)*($E202-1+1)/2))*AP$2), 0)+IF(IF(time+1&gt;=AQ$2, $K202/time_cap/(time+1)*AP$2, 0) = 0, $K202/(time_cap),0)),0)</f>
        <v/>
      </c>
      <c r="AQ202" s="4395">
        <f>IFERROR(IF((time+time_cap)&lt;AQ$2, 0,IF(AND(time+1&gt;=AR$2, $E202&lt;AR$2), IF($I202= "I", $J202/($F202-$E202+1), $J202/(($F202*($F202+1)/2)-(($E202-1)*($E202-1+1)/2))*AQ$2), 0)+IF(IF(time+1&gt;=AR$2, $K202/time_cap/(time+1)*AQ$2, 0) = 0, $K202/(time_cap),0)),0)</f>
        <v/>
      </c>
      <c r="AR202" s="4395">
        <f>IFERROR(IF((time+time_cap)&lt;AR$2, 0,IF(AND(time+1&gt;=AS$2, $E202&lt;AS$2), IF($I202= "I", $J202/($F202-$E202+1), $J202/(($F202*($F202+1)/2)-(($E202-1)*($E202-1+1)/2))*AR$2), 0)+IF(IF(time+1&gt;=AS$2, $K202/time_cap/(time+1)*AR$2, 0) = 0, $K202/(time_cap),0)),0)</f>
        <v/>
      </c>
      <c r="AS202" s="4395">
        <f>IFERROR(IF((time+time_cap)&lt;AS$2, 0,IF(AND(time+1&gt;=AT$2, $E202&lt;AT$2), IF($I202= "I", $J202/($F202-$E202+1), $J202/(($F202*($F202+1)/2)-(($E202-1)*($E202-1+1)/2))*AS$2), 0)+IF(IF(time+1&gt;=AT$2, $K202/time_cap/(time+1)*AS$2, 0) = 0, $K202/(time_cap),0)),0)</f>
        <v/>
      </c>
      <c r="AT202" s="4395">
        <f>IFERROR(IF((time+time_cap)&lt;AT$2, 0,IF(AND(time+1&gt;=AU$2, $E202&lt;AU$2), IF($I202= "I", $J202/($F202-$E202+1), $J202/(($F202*($F202+1)/2)-(($E202-1)*($E202-1+1)/2))*AT$2), 0)+IF(IF(time+1&gt;=AU$2, $K202/time_cap/(time+1)*AT$2, 0) = 0, $K202/(time_cap),0)),0)</f>
        <v/>
      </c>
      <c r="AU202" s="4395">
        <f>IFERROR(IF((time+time_cap)&lt;AU$2, 0,IF(AND(time+1&gt;=AV$2, $E202&lt;AV$2), IF($I202= "I", $J202/($F202-$E202+1), $J202/(($F202*($F202+1)/2)-(($E202-1)*($E202-1+1)/2))*AU$2), 0)+IF(IF(time+1&gt;=AV$2, $K202/time_cap/(time+1)*AU$2, 0) = 0, $K202/(time_cap),0)),0)</f>
        <v/>
      </c>
      <c r="AV202" s="4395">
        <f>IFERROR(IF((time+time_cap)&lt;AV$2, 0,IF(AND(time+1&gt;=AW$2, $E202&lt;AW$2), IF($I202= "I", $J202/($F202-$E202+1), $J202/(($F202*($F202+1)/2)-(($E202-1)*($E202-1+1)/2))*AV$2), 0)+IF(IF(time+1&gt;=AW$2, $K202/time_cap/(time+1)*AV$2, 0) = 0, $K202/(time_cap),0)),0)</f>
        <v/>
      </c>
      <c r="AW202" s="4395">
        <f>IFERROR(IF((time+time_cap)&lt;AW$2, 0,IF(AND(time+1&gt;=AX$2, $E202&lt;AX$2), IF($I202= "I", $J202/($F202-$E202+1), $J202/(($F202*($F202+1)/2)-(($E202-1)*($E202-1+1)/2))*AW$2), 0)+IF(IF(time+1&gt;=AX$2, $K202/time_cap/(time+1)*AW$2, 0) = 0, $K202/(time_cap),0)),0)</f>
        <v/>
      </c>
      <c r="AX202" s="4395">
        <f>IFERROR(IF((time+time_cap)&lt;AX$2, 0,IF(AND(time+1&gt;=AY$2, $E202&lt;AY$2), IF($I202= "I", $J202/($F202-$E202+1), $J202/(($F202*($F202+1)/2)-(($E202-1)*($E202-1+1)/2))*AX$2), 0)+IF(IF(time+1&gt;=AY$2, $K202/time_cap/(time+1)*AX$2, 0) = 0, $K202/(time_cap),0)),0)</f>
        <v/>
      </c>
      <c r="AY202" s="4395">
        <f>IFERROR(IF((time+time_cap)&lt;AY$2, 0,IF(AND(time+1&gt;=AZ$2, $E202&lt;AZ$2), IF($I202= "I", $J202/($F202-$E202+1), $J202/(($F202*($F202+1)/2)-(($E202-1)*($E202-1+1)/2))*AY$2), 0)+IF(IF(time+1&gt;=AZ$2, $K202/time_cap/(time+1)*AY$2, 0) = 0, $K202/(time_cap),0)),0)</f>
        <v/>
      </c>
      <c r="AZ202" s="4395">
        <f>IFERROR(IF((time+time_cap)&lt;AZ$2, 0,IF(AND(time+1&gt;=BA$2, $E202&lt;BA$2), IF($I202= "I", $J202/($F202-$E202+1), $J202/(($F202*($F202+1)/2)-(($E202-1)*($E202-1+1)/2))*AZ$2), 0)+IF(IF(time+1&gt;=BA$2, $K202/time_cap/(time+1)*AZ$2, 0) = 0, $K202/(time_cap),0)),0)</f>
        <v/>
      </c>
      <c r="BA202" s="4395">
        <f>IFERROR(IF((time+time_cap)&lt;BA$2, 0,IF(AND(time+1&gt;=BB$2, $E202&lt;BB$2), IF($I202= "I", $J202/($F202-$E202+1), $J202/(($F202*($F202+1)/2)-(($E202-1)*($E202-1+1)/2))*BA$2), 0)+IF(IF(time+1&gt;=BB$2, $K202/time_cap/(time+1)*BA$2, 0) = 0, $K202/(time_cap),0)),0)</f>
        <v/>
      </c>
      <c r="BB202" s="4395">
        <f>IFERROR(IF((time+time_cap)&lt;BB$2, 0,IF(AND(time+1&gt;=BC$2, $E202&lt;BC$2), IF($I202= "I", $J202/($F202-$E202+1), $J202/(($F202*($F202+1)/2)-(($E202-1)*($E202-1+1)/2))*BB$2), 0)+IF(IF(time+1&gt;=BC$2, $K202/time_cap/(time+1)*BB$2, 0) = 0, $K202/(time_cap),0)),0)</f>
        <v/>
      </c>
      <c r="BC202" s="4395">
        <f>IFERROR(IF((time+time_cap)&lt;BC$2, 0,IF(AND(time+1&gt;=BD$2, $E202&lt;BD$2), IF($I202= "I", $J202/($F202-$E202+1), $J202/(($F202*($F202+1)/2)-(($E202-1)*($E202-1+1)/2))*BC$2), 0)+IF(IF(time+1&gt;=BD$2, $K202/time_cap/(time+1)*BC$2, 0) = 0, $K202/(time_cap),0)),0)</f>
        <v/>
      </c>
      <c r="BD202" s="4395">
        <f>IFERROR(IF((time+time_cap)&lt;BD$2, 0,IF(AND(time+1&gt;=BE$2, $E202&lt;BE$2), IF($I202= "I", $J202/($F202-$E202+1), $J202/(($F202*($F202+1)/2)-(($E202-1)*($E202-1+1)/2))*BD$2), 0)+IF(IF(time+1&gt;=BE$2, $K202/time_cap/(time+1)*BD$2, 0) = 0, $K202/(time_cap),0)),0)</f>
        <v/>
      </c>
      <c r="BE202" s="4395">
        <f>IFERROR(IF((time+time_cap)&lt;BE$2, 0,IF(AND(time+1&gt;=BF$2, $E202&lt;BF$2), IF($I202= "I", $J202/($F202-$E202+1), $J202/(($F202*($F202+1)/2)-(($E202-1)*($E202-1+1)/2))*BE$2), 0)+IF(IF(time+1&gt;=BF$2, $K202/time_cap/(time+1)*BE$2, 0) = 0, $K202/(time_cap),0)),0)</f>
        <v/>
      </c>
      <c r="BF202" s="4395">
        <f>IFERROR(IF((time+time_cap)&lt;BF$2, 0,IF(AND(time+1&gt;=BG$2, $E202&lt;BG$2), IF($I202= "I", $J202/($F202-$E202+1), $J202/(($F202*($F202+1)/2)-(($E202-1)*($E202-1+1)/2))*BF$2), 0)+IF(IF(time+1&gt;=BG$2, $K202/time_cap/(time+1)*BF$2, 0) = 0, $K202/(time_cap),0)),0)</f>
        <v/>
      </c>
      <c r="BG202" s="4395">
        <f>IFERROR(IF((time+time_cap)&lt;BG$2, 0,IF(AND(time+1&gt;=BH$2, $E202&lt;BH$2), IF($I202= "I", $J202/($F202-$E202+1), $J202/(($F202*($F202+1)/2)-(($E202-1)*($E202-1+1)/2))*BG$2), 0)+IF(IF(time+1&gt;=BH$2, $K202/time_cap/(time+1)*BG$2, 0) = 0, $K202/(time_cap),0)),0)</f>
        <v/>
      </c>
      <c r="BH202" s="4395">
        <f>IFERROR(IF((time+time_cap)&lt;BH$2, 0,IF(AND(time+1&gt;=BI$2, $E202&lt;BI$2), IF($I202= "I", $J202/($F202-$E202+1), $J202/(($F202*($F202+1)/2)-(($E202-1)*($E202-1+1)/2))*BH$2), 0)+IF(IF(time+1&gt;=BI$2, $K202/time_cap/(time+1)*BH$2, 0) = 0, $K202/(time_cap),0)),0)</f>
        <v/>
      </c>
      <c r="BI202" s="4395">
        <f>IFERROR(IF((time+time_cap)&lt;BI$2, 0,IF(AND(time+1&gt;=BJ$2, $E202&lt;BJ$2), IF($I202= "I", $J202/($F202-$E202+1), $J202/(($F202*($F202+1)/2)-(($E202-1)*($E202-1+1)/2))*BI$2), 0)+IF(IF(time+1&gt;=BJ$2, $K202/time_cap/(time+1)*BI$2, 0) = 0, $K202/(time_cap),0)),0)</f>
        <v/>
      </c>
      <c r="BJ202" s="4395">
        <f>IFERROR(IF((time+time_cap)&lt;BJ$2, 0,IF(AND(time+1&gt;=BK$2, $E202&lt;BK$2), IF($I202= "I", $J202/($F202-$E202+1), $J202/(($F202*($F202+1)/2)-(($E202-1)*($E202-1+1)/2))*BJ$2), 0)+IF(IF(time+1&gt;=BK$2, $K202/time_cap/(time+1)*BJ$2, 0) = 0, $K202/(time_cap),0)),0)</f>
        <v/>
      </c>
      <c r="BK202" s="4395" t="n"/>
      <c r="BL202" s="4395" t="n"/>
      <c r="BM202" s="4395" t="n"/>
      <c r="BN202" s="4395" t="n"/>
      <c r="BO202" s="4395" t="n"/>
      <c r="BP202" s="4395" t="n"/>
      <c r="BQ202" s="4395" t="n"/>
      <c r="BR202" s="4395" t="n"/>
      <c r="BS202" s="4395" t="n"/>
      <c r="BT202" s="4395" t="n"/>
      <c r="BU202" s="4395" t="n"/>
      <c r="BV202" s="4395" t="n"/>
      <c r="BW202" s="4395" t="n"/>
      <c r="BX202" s="4395" t="n"/>
      <c r="BY202" s="4395" t="n"/>
      <c r="BZ202" s="4395" t="n"/>
      <c r="CA202" s="4395" t="n"/>
      <c r="CB202" s="4395" t="n"/>
      <c r="CC202" s="4395" t="n"/>
      <c r="CD202" s="4395" t="n"/>
      <c r="CE202" s="4395" t="n"/>
      <c r="CF202" s="4395" t="n"/>
      <c r="CG202" s="4395" t="n"/>
      <c r="CH202" s="4395" t="n"/>
      <c r="CI202" s="4395" t="n"/>
      <c r="CJ202" s="4395" t="n"/>
      <c r="CK202" s="4395" t="n"/>
      <c r="CL202" s="4395" t="n"/>
      <c r="CM202" s="4395" t="n"/>
      <c r="CN202" s="4395" t="n"/>
      <c r="CO202" s="4395" t="n"/>
      <c r="CP202" s="4395" t="n"/>
      <c r="CQ202" s="4395" t="n"/>
      <c r="CR202" s="4395" t="n"/>
      <c r="CS202" s="4395" t="n"/>
      <c r="CT202" s="4395" t="n"/>
      <c r="CU202" s="4395" t="n"/>
      <c r="CV202" s="4395" t="n"/>
      <c r="CW202" s="4395" t="n"/>
      <c r="CX202" s="4395" t="n"/>
      <c r="CY202" s="4395" t="n"/>
      <c r="CZ202" s="4395" t="n"/>
      <c r="DA202" s="4395" t="n"/>
      <c r="DB202" s="4395" t="n"/>
      <c r="DC202" s="4395" t="n"/>
      <c r="DD202" s="4395" t="n"/>
      <c r="DE202" s="4395" t="n"/>
      <c r="DF202" s="4395" t="n"/>
      <c r="DG202" s="4395" t="n"/>
      <c r="DH202" s="4395" t="n"/>
    </row>
    <row r="203" ht="16" customHeight="1">
      <c r="A203" t="inlineStr">
        <is>
          <t>Inputs</t>
        </is>
      </c>
      <c r="C203">
        <f>'9.Inputs'!C13</f>
        <v/>
      </c>
      <c r="D203">
        <f>'9.Inputs'!V13</f>
        <v/>
      </c>
      <c r="E203">
        <f>IF('9.Inputs'!BE13&lt;&gt;0,'9.Inputs'!BE13,'9.Inputs'!BD13)</f>
        <v/>
      </c>
      <c r="F203">
        <f>time</f>
        <v/>
      </c>
      <c r="G203" s="4395">
        <f>'9.Inputs'!F13</f>
        <v/>
      </c>
      <c r="H203" s="4395">
        <f>'9.Inputs'!H13</f>
        <v/>
      </c>
      <c r="I203" s="4395">
        <f>IF(OR(H203="I", G203="I"), "I", IF(OR(H203="E", G203="E"), "E", "D"))</f>
        <v/>
      </c>
      <c r="J203" s="4395">
        <f>((D203/(time_cap+((F203-E203+1)*VLOOKUP(I203,list!$I$48:$K$50,3, FALSE))))*(F203-E203+1)*VLOOKUP(I203,list!$I$48:$K$50,3, FALSE))</f>
        <v/>
      </c>
      <c r="K203" s="4395">
        <f>((D203/(time_cap+((F203-E203+1)*VLOOKUP(I203,list!$I$48:$K$50,3, FALSE))))*time_cap)</f>
        <v/>
      </c>
      <c r="M203" s="4395">
        <f>IFERROR(IF((time+time_cap)&lt;M$2, 0,IF(AND(time+1&gt;=N$2, $E203&lt;N$2), IF($I203= "I", $J203/($F203-$E203+1), $J203/(($F203*($F203+1)/2)-(($E203-1)*($E203-1+1)/2))*M$2), 0)+IF(IF(time+1&gt;=N$2, $K203/time_cap/(time+1)*M$2, 0) = 0, $K203/(time_cap),0)),0)</f>
        <v/>
      </c>
      <c r="N203" s="4395">
        <f>IFERROR(IF((time+time_cap)&lt;N$2, 0,IF(AND(time+1&gt;=O$2, $E203&lt;O$2), IF($I203= "I", $J203/($F203-$E203+1), $J203/(($F203*($F203+1)/2)-(($E203-1)*($E203-1+1)/2))*N$2), 0)+IF(IF(time+1&gt;=O$2, $K203/time_cap/(time+1)*N$2, 0) = 0, $K203/(time_cap),0)),0)</f>
        <v/>
      </c>
      <c r="O203" s="4395">
        <f>IFERROR(IF((time+time_cap)&lt;O$2, 0,IF(AND(time+1&gt;=P$2, $E203&lt;P$2), IF($I203= "I", $J203/($F203-$E203+1), $J203/(($F203*($F203+1)/2)-(($E203-1)*($E203-1+1)/2))*O$2), 0)+IF(IF(time+1&gt;=P$2, $K203/time_cap/(time+1)*O$2, 0) = 0, $K203/(time_cap),0)),0)</f>
        <v/>
      </c>
      <c r="P203" s="4395">
        <f>IFERROR(IF((time+time_cap)&lt;P$2, 0,IF(AND(time+1&gt;=Q$2, $E203&lt;Q$2), IF($I203= "I", $J203/($F203-$E203+1), $J203/(($F203*($F203+1)/2)-(($E203-1)*($E203-1+1)/2))*P$2), 0)+IF(IF(time+1&gt;=Q$2, $K203/time_cap/(time+1)*P$2, 0) = 0, $K203/(time_cap),0)),0)</f>
        <v/>
      </c>
      <c r="Q203" s="4395">
        <f>IFERROR(IF((time+time_cap)&lt;Q$2, 0,IF(AND(time+1&gt;=R$2, $E203&lt;R$2), IF($I203= "I", $J203/($F203-$E203+1), $J203/(($F203*($F203+1)/2)-(($E203-1)*($E203-1+1)/2))*Q$2), 0)+IF(IF(time+1&gt;=R$2, $K203/time_cap/(time+1)*Q$2, 0) = 0, $K203/(time_cap),0)),0)</f>
        <v/>
      </c>
      <c r="R203" s="4395">
        <f>IFERROR(IF((time+time_cap)&lt;R$2, 0,IF(AND(time+1&gt;=S$2, $E203&lt;S$2), IF($I203= "I", $J203/($F203-$E203+1), $J203/(($F203*($F203+1)/2)-(($E203-1)*($E203-1+1)/2))*R$2), 0)+IF(IF(time+1&gt;=S$2, $K203/time_cap/(time+1)*R$2, 0) = 0, $K203/(time_cap),0)),0)</f>
        <v/>
      </c>
      <c r="S203" s="4395">
        <f>IFERROR(IF((time+time_cap)&lt;S$2, 0,IF(AND(time+1&gt;=T$2, $E203&lt;T$2), IF($I203= "I", $J203/($F203-$E203+1), $J203/(($F203*($F203+1)/2)-(($E203-1)*($E203-1+1)/2))*S$2), 0)+IF(IF(time+1&gt;=T$2, $K203/time_cap/(time+1)*S$2, 0) = 0, $K203/(time_cap),0)),0)</f>
        <v/>
      </c>
      <c r="T203" s="4395">
        <f>IFERROR(IF((time+time_cap)&lt;T$2, 0,IF(AND(time+1&gt;=U$2, $E203&lt;U$2), IF($I203= "I", $J203/($F203-$E203+1), $J203/(($F203*($F203+1)/2)-(($E203-1)*($E203-1+1)/2))*T$2), 0)+IF(IF(time+1&gt;=U$2, $K203/time_cap/(time+1)*T$2, 0) = 0, $K203/(time_cap),0)),0)</f>
        <v/>
      </c>
      <c r="U203" s="4395">
        <f>IFERROR(IF((time+time_cap)&lt;U$2, 0,IF(AND(time+1&gt;=V$2, $E203&lt;V$2), IF($I203= "I", $J203/($F203-$E203+1), $J203/(($F203*($F203+1)/2)-(($E203-1)*($E203-1+1)/2))*U$2), 0)+IF(IF(time+1&gt;=V$2, $K203/time_cap/(time+1)*U$2, 0) = 0, $K203/(time_cap),0)),0)</f>
        <v/>
      </c>
      <c r="V203" s="4395">
        <f>IFERROR(IF((time+time_cap)&lt;V$2, 0,IF(AND(time+1&gt;=W$2, $E203&lt;W$2), IF($I203= "I", $J203/($F203-$E203+1), $J203/(($F203*($F203+1)/2)-(($E203-1)*($E203-1+1)/2))*V$2), 0)+IF(IF(time+1&gt;=W$2, $K203/time_cap/(time+1)*V$2, 0) = 0, $K203/(time_cap),0)),0)</f>
        <v/>
      </c>
      <c r="W203" s="4395">
        <f>IFERROR(IF((time+time_cap)&lt;W$2, 0,IF(AND(time+1&gt;=X$2, $E203&lt;X$2), IF($I203= "I", $J203/($F203-$E203+1), $J203/(($F203*($F203+1)/2)-(($E203-1)*($E203-1+1)/2))*W$2), 0)+IF(IF(time+1&gt;=X$2, $K203/time_cap/(time+1)*W$2, 0) = 0, $K203/(time_cap),0)),0)</f>
        <v/>
      </c>
      <c r="X203" s="4395">
        <f>IFERROR(IF((time+time_cap)&lt;X$2, 0,IF(AND(time+1&gt;=Y$2, $E203&lt;Y$2), IF($I203= "I", $J203/($F203-$E203+1), $J203/(($F203*($F203+1)/2)-(($E203-1)*($E203-1+1)/2))*X$2), 0)+IF(IF(time+1&gt;=Y$2, $K203/time_cap/(time+1)*X$2, 0) = 0, $K203/(time_cap),0)),0)</f>
        <v/>
      </c>
      <c r="Y203" s="4395">
        <f>IFERROR(IF((time+time_cap)&lt;Y$2, 0,IF(AND(time+1&gt;=Z$2, $E203&lt;Z$2), IF($I203= "I", $J203/($F203-$E203+1), $J203/(($F203*($F203+1)/2)-(($E203-1)*($E203-1+1)/2))*Y$2), 0)+IF(IF(time+1&gt;=Z$2, $K203/time_cap/(time+1)*Y$2, 0) = 0, $K203/(time_cap),0)),0)</f>
        <v/>
      </c>
      <c r="Z203" s="4395">
        <f>IFERROR(IF((time+time_cap)&lt;Z$2, 0,IF(AND(time+1&gt;=AA$2, $E203&lt;AA$2), IF($I203= "I", $J203/($F203-$E203+1), $J203/(($F203*($F203+1)/2)-(($E203-1)*($E203-1+1)/2))*Z$2), 0)+IF(IF(time+1&gt;=AA$2, $K203/time_cap/(time+1)*Z$2, 0) = 0, $K203/(time_cap),0)),0)</f>
        <v/>
      </c>
      <c r="AA203" s="4395">
        <f>IFERROR(IF((time+time_cap)&lt;AA$2, 0,IF(AND(time+1&gt;=AB$2, $E203&lt;AB$2), IF($I203= "I", $J203/($F203-$E203+1), $J203/(($F203*($F203+1)/2)-(($E203-1)*($E203-1+1)/2))*AA$2), 0)+IF(IF(time+1&gt;=AB$2, $K203/time_cap/(time+1)*AA$2, 0) = 0, $K203/(time_cap),0)),0)</f>
        <v/>
      </c>
      <c r="AB203" s="4395">
        <f>IFERROR(IF((time+time_cap)&lt;AB$2, 0,IF(AND(time+1&gt;=AC$2, $E203&lt;AC$2), IF($I203= "I", $J203/($F203-$E203+1), $J203/(($F203*($F203+1)/2)-(($E203-1)*($E203-1+1)/2))*AB$2), 0)+IF(IF(time+1&gt;=AC$2, $K203/time_cap/(time+1)*AB$2, 0) = 0, $K203/(time_cap),0)),0)</f>
        <v/>
      </c>
      <c r="AC203" s="4395">
        <f>IFERROR(IF((time+time_cap)&lt;AC$2, 0,IF(AND(time+1&gt;=AD$2, $E203&lt;AD$2), IF($I203= "I", $J203/($F203-$E203+1), $J203/(($F203*($F203+1)/2)-(($E203-1)*($E203-1+1)/2))*AC$2), 0)+IF(IF(time+1&gt;=AD$2, $K203/time_cap/(time+1)*AC$2, 0) = 0, $K203/(time_cap),0)),0)</f>
        <v/>
      </c>
      <c r="AD203" s="4395">
        <f>IFERROR(IF((time+time_cap)&lt;AD$2, 0,IF(AND(time+1&gt;=AE$2, $E203&lt;AE$2), IF($I203= "I", $J203/($F203-$E203+1), $J203/(($F203*($F203+1)/2)-(($E203-1)*($E203-1+1)/2))*AD$2), 0)+IF(IF(time+1&gt;=AE$2, $K203/time_cap/(time+1)*AD$2, 0) = 0, $K203/(time_cap),0)),0)</f>
        <v/>
      </c>
      <c r="AE203" s="4395">
        <f>IFERROR(IF((time+time_cap)&lt;AE$2, 0,IF(AND(time+1&gt;=AF$2, $E203&lt;AF$2), IF($I203= "I", $J203/($F203-$E203+1), $J203/(($F203*($F203+1)/2)-(($E203-1)*($E203-1+1)/2))*AE$2), 0)+IF(IF(time+1&gt;=AF$2, $K203/time_cap/(time+1)*AE$2, 0) = 0, $K203/(time_cap),0)),0)</f>
        <v/>
      </c>
      <c r="AF203" s="4395">
        <f>IFERROR(IF((time+time_cap)&lt;AF$2, 0,IF(AND(time+1&gt;=AG$2, $E203&lt;AG$2), IF($I203= "I", $J203/($F203-$E203+1), $J203/(($F203*($F203+1)/2)-(($E203-1)*($E203-1+1)/2))*AF$2), 0)+IF(IF(time+1&gt;=AG$2, $K203/time_cap/(time+1)*AF$2, 0) = 0, $K203/(time_cap),0)),0)</f>
        <v/>
      </c>
      <c r="AG203" s="4395">
        <f>IFERROR(IF((time+time_cap)&lt;AG$2, 0,IF(AND(time+1&gt;=AH$2, $E203&lt;AH$2), IF($I203= "I", $J203/($F203-$E203+1), $J203/(($F203*($F203+1)/2)-(($E203-1)*($E203-1+1)/2))*AG$2), 0)+IF(IF(time+1&gt;=AH$2, $K203/time_cap/(time+1)*AG$2, 0) = 0, $K203/(time_cap),0)),0)</f>
        <v/>
      </c>
      <c r="AH203" s="4395">
        <f>IFERROR(IF((time+time_cap)&lt;AH$2, 0,IF(AND(time+1&gt;=AI$2, $E203&lt;AI$2), IF($I203= "I", $J203/($F203-$E203+1), $J203/(($F203*($F203+1)/2)-(($E203-1)*($E203-1+1)/2))*AH$2), 0)+IF(IF(time+1&gt;=AI$2, $K203/time_cap/(time+1)*AH$2, 0) = 0, $K203/(time_cap),0)),0)</f>
        <v/>
      </c>
      <c r="AI203" s="4395">
        <f>IFERROR(IF((time+time_cap)&lt;AI$2, 0,IF(AND(time+1&gt;=AJ$2, $E203&lt;AJ$2), IF($I203= "I", $J203/($F203-$E203+1), $J203/(($F203*($F203+1)/2)-(($E203-1)*($E203-1+1)/2))*AI$2), 0)+IF(IF(time+1&gt;=AJ$2, $K203/time_cap/(time+1)*AI$2, 0) = 0, $K203/(time_cap),0)),0)</f>
        <v/>
      </c>
      <c r="AJ203" s="4395">
        <f>IFERROR(IF((time+time_cap)&lt;AJ$2, 0,IF(AND(time+1&gt;=AK$2, $E203&lt;AK$2), IF($I203= "I", $J203/($F203-$E203+1), $J203/(($F203*($F203+1)/2)-(($E203-1)*($E203-1+1)/2))*AJ$2), 0)+IF(IF(time+1&gt;=AK$2, $K203/time_cap/(time+1)*AJ$2, 0) = 0, $K203/(time_cap),0)),0)</f>
        <v/>
      </c>
      <c r="AK203" s="4395">
        <f>IFERROR(IF((time+time_cap)&lt;AK$2, 0,IF(AND(time+1&gt;=AL$2, $E203&lt;AL$2), IF($I203= "I", $J203/($F203-$E203+1), $J203/(($F203*($F203+1)/2)-(($E203-1)*($E203-1+1)/2))*AK$2), 0)+IF(IF(time+1&gt;=AL$2, $K203/time_cap/(time+1)*AK$2, 0) = 0, $K203/(time_cap),0)),0)</f>
        <v/>
      </c>
      <c r="AL203" s="4395">
        <f>IFERROR(IF((time+time_cap)&lt;AL$2, 0,IF(AND(time+1&gt;=AM$2, $E203&lt;AM$2), IF($I203= "I", $J203/($F203-$E203+1), $J203/(($F203*($F203+1)/2)-(($E203-1)*($E203-1+1)/2))*AL$2), 0)+IF(IF(time+1&gt;=AM$2, $K203/time_cap/(time+1)*AL$2, 0) = 0, $K203/(time_cap),0)),0)</f>
        <v/>
      </c>
      <c r="AM203" s="4395">
        <f>IFERROR(IF((time+time_cap)&lt;AM$2, 0,IF(AND(time+1&gt;=AN$2, $E203&lt;AN$2), IF($I203= "I", $J203/($F203-$E203+1), $J203/(($F203*($F203+1)/2)-(($E203-1)*($E203-1+1)/2))*AM$2), 0)+IF(IF(time+1&gt;=AN$2, $K203/time_cap/(time+1)*AM$2, 0) = 0, $K203/(time_cap),0)),0)</f>
        <v/>
      </c>
      <c r="AN203" s="4395">
        <f>IFERROR(IF((time+time_cap)&lt;AN$2, 0,IF(AND(time+1&gt;=AO$2, $E203&lt;AO$2), IF($I203= "I", $J203/($F203-$E203+1), $J203/(($F203*($F203+1)/2)-(($E203-1)*($E203-1+1)/2))*AN$2), 0)+IF(IF(time+1&gt;=AO$2, $K203/time_cap/(time+1)*AN$2, 0) = 0, $K203/(time_cap),0)),0)</f>
        <v/>
      </c>
      <c r="AO203" s="4395">
        <f>IFERROR(IF((time+time_cap)&lt;AO$2, 0,IF(AND(time+1&gt;=AP$2, $E203&lt;AP$2), IF($I203= "I", $J203/($F203-$E203+1), $J203/(($F203*($F203+1)/2)-(($E203-1)*($E203-1+1)/2))*AO$2), 0)+IF(IF(time+1&gt;=AP$2, $K203/time_cap/(time+1)*AO$2, 0) = 0, $K203/(time_cap),0)),0)</f>
        <v/>
      </c>
      <c r="AP203" s="4395">
        <f>IFERROR(IF((time+time_cap)&lt;AP$2, 0,IF(AND(time+1&gt;=AQ$2, $E203&lt;AQ$2), IF($I203= "I", $J203/($F203-$E203+1), $J203/(($F203*($F203+1)/2)-(($E203-1)*($E203-1+1)/2))*AP$2), 0)+IF(IF(time+1&gt;=AQ$2, $K203/time_cap/(time+1)*AP$2, 0) = 0, $K203/(time_cap),0)),0)</f>
        <v/>
      </c>
      <c r="AQ203" s="4395">
        <f>IFERROR(IF((time+time_cap)&lt;AQ$2, 0,IF(AND(time+1&gt;=AR$2, $E203&lt;AR$2), IF($I203= "I", $J203/($F203-$E203+1), $J203/(($F203*($F203+1)/2)-(($E203-1)*($E203-1+1)/2))*AQ$2), 0)+IF(IF(time+1&gt;=AR$2, $K203/time_cap/(time+1)*AQ$2, 0) = 0, $K203/(time_cap),0)),0)</f>
        <v/>
      </c>
      <c r="AR203" s="4395">
        <f>IFERROR(IF((time+time_cap)&lt;AR$2, 0,IF(AND(time+1&gt;=AS$2, $E203&lt;AS$2), IF($I203= "I", $J203/($F203-$E203+1), $J203/(($F203*($F203+1)/2)-(($E203-1)*($E203-1+1)/2))*AR$2), 0)+IF(IF(time+1&gt;=AS$2, $K203/time_cap/(time+1)*AR$2, 0) = 0, $K203/(time_cap),0)),0)</f>
        <v/>
      </c>
      <c r="AS203" s="4395">
        <f>IFERROR(IF((time+time_cap)&lt;AS$2, 0,IF(AND(time+1&gt;=AT$2, $E203&lt;AT$2), IF($I203= "I", $J203/($F203-$E203+1), $J203/(($F203*($F203+1)/2)-(($E203-1)*($E203-1+1)/2))*AS$2), 0)+IF(IF(time+1&gt;=AT$2, $K203/time_cap/(time+1)*AS$2, 0) = 0, $K203/(time_cap),0)),0)</f>
        <v/>
      </c>
      <c r="AT203" s="4395">
        <f>IFERROR(IF((time+time_cap)&lt;AT$2, 0,IF(AND(time+1&gt;=AU$2, $E203&lt;AU$2), IF($I203= "I", $J203/($F203-$E203+1), $J203/(($F203*($F203+1)/2)-(($E203-1)*($E203-1+1)/2))*AT$2), 0)+IF(IF(time+1&gt;=AU$2, $K203/time_cap/(time+1)*AT$2, 0) = 0, $K203/(time_cap),0)),0)</f>
        <v/>
      </c>
      <c r="AU203" s="4395">
        <f>IFERROR(IF((time+time_cap)&lt;AU$2, 0,IF(AND(time+1&gt;=AV$2, $E203&lt;AV$2), IF($I203= "I", $J203/($F203-$E203+1), $J203/(($F203*($F203+1)/2)-(($E203-1)*($E203-1+1)/2))*AU$2), 0)+IF(IF(time+1&gt;=AV$2, $K203/time_cap/(time+1)*AU$2, 0) = 0, $K203/(time_cap),0)),0)</f>
        <v/>
      </c>
      <c r="AV203" s="4395">
        <f>IFERROR(IF((time+time_cap)&lt;AV$2, 0,IF(AND(time+1&gt;=AW$2, $E203&lt;AW$2), IF($I203= "I", $J203/($F203-$E203+1), $J203/(($F203*($F203+1)/2)-(($E203-1)*($E203-1+1)/2))*AV$2), 0)+IF(IF(time+1&gt;=AW$2, $K203/time_cap/(time+1)*AV$2, 0) = 0, $K203/(time_cap),0)),0)</f>
        <v/>
      </c>
      <c r="AW203" s="4395">
        <f>IFERROR(IF((time+time_cap)&lt;AW$2, 0,IF(AND(time+1&gt;=AX$2, $E203&lt;AX$2), IF($I203= "I", $J203/($F203-$E203+1), $J203/(($F203*($F203+1)/2)-(($E203-1)*($E203-1+1)/2))*AW$2), 0)+IF(IF(time+1&gt;=AX$2, $K203/time_cap/(time+1)*AW$2, 0) = 0, $K203/(time_cap),0)),0)</f>
        <v/>
      </c>
      <c r="AX203" s="4395">
        <f>IFERROR(IF((time+time_cap)&lt;AX$2, 0,IF(AND(time+1&gt;=AY$2, $E203&lt;AY$2), IF($I203= "I", $J203/($F203-$E203+1), $J203/(($F203*($F203+1)/2)-(($E203-1)*($E203-1+1)/2))*AX$2), 0)+IF(IF(time+1&gt;=AY$2, $K203/time_cap/(time+1)*AX$2, 0) = 0, $K203/(time_cap),0)),0)</f>
        <v/>
      </c>
      <c r="AY203" s="4395">
        <f>IFERROR(IF((time+time_cap)&lt;AY$2, 0,IF(AND(time+1&gt;=AZ$2, $E203&lt;AZ$2), IF($I203= "I", $J203/($F203-$E203+1), $J203/(($F203*($F203+1)/2)-(($E203-1)*($E203-1+1)/2))*AY$2), 0)+IF(IF(time+1&gt;=AZ$2, $K203/time_cap/(time+1)*AY$2, 0) = 0, $K203/(time_cap),0)),0)</f>
        <v/>
      </c>
      <c r="AZ203" s="4395">
        <f>IFERROR(IF((time+time_cap)&lt;AZ$2, 0,IF(AND(time+1&gt;=BA$2, $E203&lt;BA$2), IF($I203= "I", $J203/($F203-$E203+1), $J203/(($F203*($F203+1)/2)-(($E203-1)*($E203-1+1)/2))*AZ$2), 0)+IF(IF(time+1&gt;=BA$2, $K203/time_cap/(time+1)*AZ$2, 0) = 0, $K203/(time_cap),0)),0)</f>
        <v/>
      </c>
      <c r="BA203" s="4395">
        <f>IFERROR(IF((time+time_cap)&lt;BA$2, 0,IF(AND(time+1&gt;=BB$2, $E203&lt;BB$2), IF($I203= "I", $J203/($F203-$E203+1), $J203/(($F203*($F203+1)/2)-(($E203-1)*($E203-1+1)/2))*BA$2), 0)+IF(IF(time+1&gt;=BB$2, $K203/time_cap/(time+1)*BA$2, 0) = 0, $K203/(time_cap),0)),0)</f>
        <v/>
      </c>
      <c r="BB203" s="4395">
        <f>IFERROR(IF((time+time_cap)&lt;BB$2, 0,IF(AND(time+1&gt;=BC$2, $E203&lt;BC$2), IF($I203= "I", $J203/($F203-$E203+1), $J203/(($F203*($F203+1)/2)-(($E203-1)*($E203-1+1)/2))*BB$2), 0)+IF(IF(time+1&gt;=BC$2, $K203/time_cap/(time+1)*BB$2, 0) = 0, $K203/(time_cap),0)),0)</f>
        <v/>
      </c>
      <c r="BC203" s="4395">
        <f>IFERROR(IF((time+time_cap)&lt;BC$2, 0,IF(AND(time+1&gt;=BD$2, $E203&lt;BD$2), IF($I203= "I", $J203/($F203-$E203+1), $J203/(($F203*($F203+1)/2)-(($E203-1)*($E203-1+1)/2))*BC$2), 0)+IF(IF(time+1&gt;=BD$2, $K203/time_cap/(time+1)*BC$2, 0) = 0, $K203/(time_cap),0)),0)</f>
        <v/>
      </c>
      <c r="BD203" s="4395">
        <f>IFERROR(IF((time+time_cap)&lt;BD$2, 0,IF(AND(time+1&gt;=BE$2, $E203&lt;BE$2), IF($I203= "I", $J203/($F203-$E203+1), $J203/(($F203*($F203+1)/2)-(($E203-1)*($E203-1+1)/2))*BD$2), 0)+IF(IF(time+1&gt;=BE$2, $K203/time_cap/(time+1)*BD$2, 0) = 0, $K203/(time_cap),0)),0)</f>
        <v/>
      </c>
      <c r="BE203" s="4395">
        <f>IFERROR(IF((time+time_cap)&lt;BE$2, 0,IF(AND(time+1&gt;=BF$2, $E203&lt;BF$2), IF($I203= "I", $J203/($F203-$E203+1), $J203/(($F203*($F203+1)/2)-(($E203-1)*($E203-1+1)/2))*BE$2), 0)+IF(IF(time+1&gt;=BF$2, $K203/time_cap/(time+1)*BE$2, 0) = 0, $K203/(time_cap),0)),0)</f>
        <v/>
      </c>
      <c r="BF203" s="4395">
        <f>IFERROR(IF((time+time_cap)&lt;BF$2, 0,IF(AND(time+1&gt;=BG$2, $E203&lt;BG$2), IF($I203= "I", $J203/($F203-$E203+1), $J203/(($F203*($F203+1)/2)-(($E203-1)*($E203-1+1)/2))*BF$2), 0)+IF(IF(time+1&gt;=BG$2, $K203/time_cap/(time+1)*BF$2, 0) = 0, $K203/(time_cap),0)),0)</f>
        <v/>
      </c>
      <c r="BG203" s="4395">
        <f>IFERROR(IF((time+time_cap)&lt;BG$2, 0,IF(AND(time+1&gt;=BH$2, $E203&lt;BH$2), IF($I203= "I", $J203/($F203-$E203+1), $J203/(($F203*($F203+1)/2)-(($E203-1)*($E203-1+1)/2))*BG$2), 0)+IF(IF(time+1&gt;=BH$2, $K203/time_cap/(time+1)*BG$2, 0) = 0, $K203/(time_cap),0)),0)</f>
        <v/>
      </c>
      <c r="BH203" s="4395">
        <f>IFERROR(IF((time+time_cap)&lt;BH$2, 0,IF(AND(time+1&gt;=BI$2, $E203&lt;BI$2), IF($I203= "I", $J203/($F203-$E203+1), $J203/(($F203*($F203+1)/2)-(($E203-1)*($E203-1+1)/2))*BH$2), 0)+IF(IF(time+1&gt;=BI$2, $K203/time_cap/(time+1)*BH$2, 0) = 0, $K203/(time_cap),0)),0)</f>
        <v/>
      </c>
      <c r="BI203" s="4395">
        <f>IFERROR(IF((time+time_cap)&lt;BI$2, 0,IF(AND(time+1&gt;=BJ$2, $E203&lt;BJ$2), IF($I203= "I", $J203/($F203-$E203+1), $J203/(($F203*($F203+1)/2)-(($E203-1)*($E203-1+1)/2))*BI$2), 0)+IF(IF(time+1&gt;=BJ$2, $K203/time_cap/(time+1)*BI$2, 0) = 0, $K203/(time_cap),0)),0)</f>
        <v/>
      </c>
      <c r="BJ203" s="4395">
        <f>IFERROR(IF((time+time_cap)&lt;BJ$2, 0,IF(AND(time+1&gt;=BK$2, $E203&lt;BK$2), IF($I203= "I", $J203/($F203-$E203+1), $J203/(($F203*($F203+1)/2)-(($E203-1)*($E203-1+1)/2))*BJ$2), 0)+IF(IF(time+1&gt;=BK$2, $K203/time_cap/(time+1)*BJ$2, 0) = 0, $K203/(time_cap),0)),0)</f>
        <v/>
      </c>
      <c r="BK203" s="4395" t="n"/>
      <c r="BL203" s="4395" t="n"/>
      <c r="BM203" s="4395" t="n"/>
      <c r="BN203" s="4395" t="n"/>
      <c r="BO203" s="4395" t="n"/>
      <c r="BP203" s="4395" t="n"/>
      <c r="BQ203" s="4395" t="n"/>
      <c r="BR203" s="4395" t="n"/>
      <c r="BS203" s="4395" t="n"/>
      <c r="BT203" s="4395" t="n"/>
      <c r="BU203" s="4395" t="n"/>
      <c r="BV203" s="4395" t="n"/>
      <c r="BW203" s="4395" t="n"/>
      <c r="BX203" s="4395" t="n"/>
      <c r="BY203" s="4395" t="n"/>
      <c r="BZ203" s="4395" t="n"/>
      <c r="CA203" s="4395" t="n"/>
      <c r="CB203" s="4395" t="n"/>
      <c r="CC203" s="4395" t="n"/>
      <c r="CD203" s="4395" t="n"/>
      <c r="CE203" s="4395" t="n"/>
      <c r="CF203" s="4395" t="n"/>
      <c r="CG203" s="4395" t="n"/>
      <c r="CH203" s="4395" t="n"/>
      <c r="CI203" s="4395" t="n"/>
      <c r="CJ203" s="4395" t="n"/>
      <c r="CK203" s="4395" t="n"/>
      <c r="CL203" s="4395" t="n"/>
      <c r="CM203" s="4395" t="n"/>
      <c r="CN203" s="4395" t="n"/>
      <c r="CO203" s="4395" t="n"/>
      <c r="CP203" s="4395" t="n"/>
      <c r="CQ203" s="4395" t="n"/>
      <c r="CR203" s="4395" t="n"/>
      <c r="CS203" s="4395" t="n"/>
      <c r="CT203" s="4395" t="n"/>
      <c r="CU203" s="4395" t="n"/>
      <c r="CV203" s="4395" t="n"/>
      <c r="CW203" s="4395" t="n"/>
      <c r="CX203" s="4395" t="n"/>
      <c r="CY203" s="4395" t="n"/>
      <c r="CZ203" s="4395" t="n"/>
      <c r="DA203" s="4395" t="n"/>
      <c r="DB203" s="4395" t="n"/>
      <c r="DC203" s="4395" t="n"/>
      <c r="DD203" s="4395" t="n"/>
      <c r="DE203" s="4395" t="n"/>
      <c r="DF203" s="4395" t="n"/>
      <c r="DG203" s="4395" t="n"/>
      <c r="DH203" s="4395" t="n"/>
    </row>
    <row r="204" ht="16" customHeight="1">
      <c r="A204" t="inlineStr">
        <is>
          <t>Inputs</t>
        </is>
      </c>
      <c r="C204">
        <f>'9.Inputs'!C14</f>
        <v/>
      </c>
      <c r="D204">
        <f>'9.Inputs'!V14</f>
        <v/>
      </c>
      <c r="E204">
        <f>IF('9.Inputs'!BE14&lt;&gt;0,'9.Inputs'!BE14,'9.Inputs'!BD14)</f>
        <v/>
      </c>
      <c r="F204">
        <f>time</f>
        <v/>
      </c>
      <c r="G204" s="4395">
        <f>'9.Inputs'!F14</f>
        <v/>
      </c>
      <c r="H204" s="4395">
        <f>'9.Inputs'!H14</f>
        <v/>
      </c>
      <c r="I204" s="4395">
        <f>IF(OR(H204="I", G204="I"), "I", IF(OR(H204="E", G204="E"), "E", "D"))</f>
        <v/>
      </c>
      <c r="J204" s="4395">
        <f>((D204/(time_cap+((F204-E204+1)*VLOOKUP(I204,list!$I$48:$K$50,3, FALSE))))*(F204-E204+1)*VLOOKUP(I204,list!$I$48:$K$50,3, FALSE))</f>
        <v/>
      </c>
      <c r="K204" s="4395">
        <f>((D204/(time_cap+((F204-E204+1)*VLOOKUP(I204,list!$I$48:$K$50,3, FALSE))))*time_cap)</f>
        <v/>
      </c>
      <c r="M204" s="4395">
        <f>IFERROR(IF((time+time_cap)&lt;M$2, 0,IF(AND(time+1&gt;=N$2, $E204&lt;N$2), IF($I204= "I", $J204/($F204-$E204+1), $J204/(($F204*($F204+1)/2)-(($E204-1)*($E204-1+1)/2))*M$2), 0)+IF(IF(time+1&gt;=N$2, $K204/time_cap/(time+1)*M$2, 0) = 0, $K204/(time_cap),0)),0)</f>
        <v/>
      </c>
      <c r="N204" s="4395">
        <f>IFERROR(IF((time+time_cap)&lt;N$2, 0,IF(AND(time+1&gt;=O$2, $E204&lt;O$2), IF($I204= "I", $J204/($F204-$E204+1), $J204/(($F204*($F204+1)/2)-(($E204-1)*($E204-1+1)/2))*N$2), 0)+IF(IF(time+1&gt;=O$2, $K204/time_cap/(time+1)*N$2, 0) = 0, $K204/(time_cap),0)),0)</f>
        <v/>
      </c>
      <c r="O204" s="4395">
        <f>IFERROR(IF((time+time_cap)&lt;O$2, 0,IF(AND(time+1&gt;=P$2, $E204&lt;P$2), IF($I204= "I", $J204/($F204-$E204+1), $J204/(($F204*($F204+1)/2)-(($E204-1)*($E204-1+1)/2))*O$2), 0)+IF(IF(time+1&gt;=P$2, $K204/time_cap/(time+1)*O$2, 0) = 0, $K204/(time_cap),0)),0)</f>
        <v/>
      </c>
      <c r="P204" s="4395">
        <f>IFERROR(IF((time+time_cap)&lt;P$2, 0,IF(AND(time+1&gt;=Q$2, $E204&lt;Q$2), IF($I204= "I", $J204/($F204-$E204+1), $J204/(($F204*($F204+1)/2)-(($E204-1)*($E204-1+1)/2))*P$2), 0)+IF(IF(time+1&gt;=Q$2, $K204/time_cap/(time+1)*P$2, 0) = 0, $K204/(time_cap),0)),0)</f>
        <v/>
      </c>
      <c r="Q204" s="4395">
        <f>IFERROR(IF((time+time_cap)&lt;Q$2, 0,IF(AND(time+1&gt;=R$2, $E204&lt;R$2), IF($I204= "I", $J204/($F204-$E204+1), $J204/(($F204*($F204+1)/2)-(($E204-1)*($E204-1+1)/2))*Q$2), 0)+IF(IF(time+1&gt;=R$2, $K204/time_cap/(time+1)*Q$2, 0) = 0, $K204/(time_cap),0)),0)</f>
        <v/>
      </c>
      <c r="R204" s="4395">
        <f>IFERROR(IF((time+time_cap)&lt;R$2, 0,IF(AND(time+1&gt;=S$2, $E204&lt;S$2), IF($I204= "I", $J204/($F204-$E204+1), $J204/(($F204*($F204+1)/2)-(($E204-1)*($E204-1+1)/2))*R$2), 0)+IF(IF(time+1&gt;=S$2, $K204/time_cap/(time+1)*R$2, 0) = 0, $K204/(time_cap),0)),0)</f>
        <v/>
      </c>
      <c r="S204" s="4395">
        <f>IFERROR(IF((time+time_cap)&lt;S$2, 0,IF(AND(time+1&gt;=T$2, $E204&lt;T$2), IF($I204= "I", $J204/($F204-$E204+1), $J204/(($F204*($F204+1)/2)-(($E204-1)*($E204-1+1)/2))*S$2), 0)+IF(IF(time+1&gt;=T$2, $K204/time_cap/(time+1)*S$2, 0) = 0, $K204/(time_cap),0)),0)</f>
        <v/>
      </c>
      <c r="T204" s="4395">
        <f>IFERROR(IF((time+time_cap)&lt;T$2, 0,IF(AND(time+1&gt;=U$2, $E204&lt;U$2), IF($I204= "I", $J204/($F204-$E204+1), $J204/(($F204*($F204+1)/2)-(($E204-1)*($E204-1+1)/2))*T$2), 0)+IF(IF(time+1&gt;=U$2, $K204/time_cap/(time+1)*T$2, 0) = 0, $K204/(time_cap),0)),0)</f>
        <v/>
      </c>
      <c r="U204" s="4395">
        <f>IFERROR(IF((time+time_cap)&lt;U$2, 0,IF(AND(time+1&gt;=V$2, $E204&lt;V$2), IF($I204= "I", $J204/($F204-$E204+1), $J204/(($F204*($F204+1)/2)-(($E204-1)*($E204-1+1)/2))*U$2), 0)+IF(IF(time+1&gt;=V$2, $K204/time_cap/(time+1)*U$2, 0) = 0, $K204/(time_cap),0)),0)</f>
        <v/>
      </c>
      <c r="V204" s="4395">
        <f>IFERROR(IF((time+time_cap)&lt;V$2, 0,IF(AND(time+1&gt;=W$2, $E204&lt;W$2), IF($I204= "I", $J204/($F204-$E204+1), $J204/(($F204*($F204+1)/2)-(($E204-1)*($E204-1+1)/2))*V$2), 0)+IF(IF(time+1&gt;=W$2, $K204/time_cap/(time+1)*V$2, 0) = 0, $K204/(time_cap),0)),0)</f>
        <v/>
      </c>
      <c r="W204" s="4395">
        <f>IFERROR(IF((time+time_cap)&lt;W$2, 0,IF(AND(time+1&gt;=X$2, $E204&lt;X$2), IF($I204= "I", $J204/($F204-$E204+1), $J204/(($F204*($F204+1)/2)-(($E204-1)*($E204-1+1)/2))*W$2), 0)+IF(IF(time+1&gt;=X$2, $K204/time_cap/(time+1)*W$2, 0) = 0, $K204/(time_cap),0)),0)</f>
        <v/>
      </c>
      <c r="X204" s="4395">
        <f>IFERROR(IF((time+time_cap)&lt;X$2, 0,IF(AND(time+1&gt;=Y$2, $E204&lt;Y$2), IF($I204= "I", $J204/($F204-$E204+1), $J204/(($F204*($F204+1)/2)-(($E204-1)*($E204-1+1)/2))*X$2), 0)+IF(IF(time+1&gt;=Y$2, $K204/time_cap/(time+1)*X$2, 0) = 0, $K204/(time_cap),0)),0)</f>
        <v/>
      </c>
      <c r="Y204" s="4395">
        <f>IFERROR(IF((time+time_cap)&lt;Y$2, 0,IF(AND(time+1&gt;=Z$2, $E204&lt;Z$2), IF($I204= "I", $J204/($F204-$E204+1), $J204/(($F204*($F204+1)/2)-(($E204-1)*($E204-1+1)/2))*Y$2), 0)+IF(IF(time+1&gt;=Z$2, $K204/time_cap/(time+1)*Y$2, 0) = 0, $K204/(time_cap),0)),0)</f>
        <v/>
      </c>
      <c r="Z204" s="4395">
        <f>IFERROR(IF((time+time_cap)&lt;Z$2, 0,IF(AND(time+1&gt;=AA$2, $E204&lt;AA$2), IF($I204= "I", $J204/($F204-$E204+1), $J204/(($F204*($F204+1)/2)-(($E204-1)*($E204-1+1)/2))*Z$2), 0)+IF(IF(time+1&gt;=AA$2, $K204/time_cap/(time+1)*Z$2, 0) = 0, $K204/(time_cap),0)),0)</f>
        <v/>
      </c>
      <c r="AA204" s="4395">
        <f>IFERROR(IF((time+time_cap)&lt;AA$2, 0,IF(AND(time+1&gt;=AB$2, $E204&lt;AB$2), IF($I204= "I", $J204/($F204-$E204+1), $J204/(($F204*($F204+1)/2)-(($E204-1)*($E204-1+1)/2))*AA$2), 0)+IF(IF(time+1&gt;=AB$2, $K204/time_cap/(time+1)*AA$2, 0) = 0, $K204/(time_cap),0)),0)</f>
        <v/>
      </c>
      <c r="AB204" s="4395">
        <f>IFERROR(IF((time+time_cap)&lt;AB$2, 0,IF(AND(time+1&gt;=AC$2, $E204&lt;AC$2), IF($I204= "I", $J204/($F204-$E204+1), $J204/(($F204*($F204+1)/2)-(($E204-1)*($E204-1+1)/2))*AB$2), 0)+IF(IF(time+1&gt;=AC$2, $K204/time_cap/(time+1)*AB$2, 0) = 0, $K204/(time_cap),0)),0)</f>
        <v/>
      </c>
      <c r="AC204" s="4395">
        <f>IFERROR(IF((time+time_cap)&lt;AC$2, 0,IF(AND(time+1&gt;=AD$2, $E204&lt;AD$2), IF($I204= "I", $J204/($F204-$E204+1), $J204/(($F204*($F204+1)/2)-(($E204-1)*($E204-1+1)/2))*AC$2), 0)+IF(IF(time+1&gt;=AD$2, $K204/time_cap/(time+1)*AC$2, 0) = 0, $K204/(time_cap),0)),0)</f>
        <v/>
      </c>
      <c r="AD204" s="4395">
        <f>IFERROR(IF((time+time_cap)&lt;AD$2, 0,IF(AND(time+1&gt;=AE$2, $E204&lt;AE$2), IF($I204= "I", $J204/($F204-$E204+1), $J204/(($F204*($F204+1)/2)-(($E204-1)*($E204-1+1)/2))*AD$2), 0)+IF(IF(time+1&gt;=AE$2, $K204/time_cap/(time+1)*AD$2, 0) = 0, $K204/(time_cap),0)),0)</f>
        <v/>
      </c>
      <c r="AE204" s="4395">
        <f>IFERROR(IF((time+time_cap)&lt;AE$2, 0,IF(AND(time+1&gt;=AF$2, $E204&lt;AF$2), IF($I204= "I", $J204/($F204-$E204+1), $J204/(($F204*($F204+1)/2)-(($E204-1)*($E204-1+1)/2))*AE$2), 0)+IF(IF(time+1&gt;=AF$2, $K204/time_cap/(time+1)*AE$2, 0) = 0, $K204/(time_cap),0)),0)</f>
        <v/>
      </c>
      <c r="AF204" s="4395">
        <f>IFERROR(IF((time+time_cap)&lt;AF$2, 0,IF(AND(time+1&gt;=AG$2, $E204&lt;AG$2), IF($I204= "I", $J204/($F204-$E204+1), $J204/(($F204*($F204+1)/2)-(($E204-1)*($E204-1+1)/2))*AF$2), 0)+IF(IF(time+1&gt;=AG$2, $K204/time_cap/(time+1)*AF$2, 0) = 0, $K204/(time_cap),0)),0)</f>
        <v/>
      </c>
      <c r="AG204" s="4395">
        <f>IFERROR(IF((time+time_cap)&lt;AG$2, 0,IF(AND(time+1&gt;=AH$2, $E204&lt;AH$2), IF($I204= "I", $J204/($F204-$E204+1), $J204/(($F204*($F204+1)/2)-(($E204-1)*($E204-1+1)/2))*AG$2), 0)+IF(IF(time+1&gt;=AH$2, $K204/time_cap/(time+1)*AG$2, 0) = 0, $K204/(time_cap),0)),0)</f>
        <v/>
      </c>
      <c r="AH204" s="4395">
        <f>IFERROR(IF((time+time_cap)&lt;AH$2, 0,IF(AND(time+1&gt;=AI$2, $E204&lt;AI$2), IF($I204= "I", $J204/($F204-$E204+1), $J204/(($F204*($F204+1)/2)-(($E204-1)*($E204-1+1)/2))*AH$2), 0)+IF(IF(time+1&gt;=AI$2, $K204/time_cap/(time+1)*AH$2, 0) = 0, $K204/(time_cap),0)),0)</f>
        <v/>
      </c>
      <c r="AI204" s="4395">
        <f>IFERROR(IF((time+time_cap)&lt;AI$2, 0,IF(AND(time+1&gt;=AJ$2, $E204&lt;AJ$2), IF($I204= "I", $J204/($F204-$E204+1), $J204/(($F204*($F204+1)/2)-(($E204-1)*($E204-1+1)/2))*AI$2), 0)+IF(IF(time+1&gt;=AJ$2, $K204/time_cap/(time+1)*AI$2, 0) = 0, $K204/(time_cap),0)),0)</f>
        <v/>
      </c>
      <c r="AJ204" s="4395">
        <f>IFERROR(IF((time+time_cap)&lt;AJ$2, 0,IF(AND(time+1&gt;=AK$2, $E204&lt;AK$2), IF($I204= "I", $J204/($F204-$E204+1), $J204/(($F204*($F204+1)/2)-(($E204-1)*($E204-1+1)/2))*AJ$2), 0)+IF(IF(time+1&gt;=AK$2, $K204/time_cap/(time+1)*AJ$2, 0) = 0, $K204/(time_cap),0)),0)</f>
        <v/>
      </c>
      <c r="AK204" s="4395">
        <f>IFERROR(IF((time+time_cap)&lt;AK$2, 0,IF(AND(time+1&gt;=AL$2, $E204&lt;AL$2), IF($I204= "I", $J204/($F204-$E204+1), $J204/(($F204*($F204+1)/2)-(($E204-1)*($E204-1+1)/2))*AK$2), 0)+IF(IF(time+1&gt;=AL$2, $K204/time_cap/(time+1)*AK$2, 0) = 0, $K204/(time_cap),0)),0)</f>
        <v/>
      </c>
      <c r="AL204" s="4395">
        <f>IFERROR(IF((time+time_cap)&lt;AL$2, 0,IF(AND(time+1&gt;=AM$2, $E204&lt;AM$2), IF($I204= "I", $J204/($F204-$E204+1), $J204/(($F204*($F204+1)/2)-(($E204-1)*($E204-1+1)/2))*AL$2), 0)+IF(IF(time+1&gt;=AM$2, $K204/time_cap/(time+1)*AL$2, 0) = 0, $K204/(time_cap),0)),0)</f>
        <v/>
      </c>
      <c r="AM204" s="4395">
        <f>IFERROR(IF((time+time_cap)&lt;AM$2, 0,IF(AND(time+1&gt;=AN$2, $E204&lt;AN$2), IF($I204= "I", $J204/($F204-$E204+1), $J204/(($F204*($F204+1)/2)-(($E204-1)*($E204-1+1)/2))*AM$2), 0)+IF(IF(time+1&gt;=AN$2, $K204/time_cap/(time+1)*AM$2, 0) = 0, $K204/(time_cap),0)),0)</f>
        <v/>
      </c>
      <c r="AN204" s="4395">
        <f>IFERROR(IF((time+time_cap)&lt;AN$2, 0,IF(AND(time+1&gt;=AO$2, $E204&lt;AO$2), IF($I204= "I", $J204/($F204-$E204+1), $J204/(($F204*($F204+1)/2)-(($E204-1)*($E204-1+1)/2))*AN$2), 0)+IF(IF(time+1&gt;=AO$2, $K204/time_cap/(time+1)*AN$2, 0) = 0, $K204/(time_cap),0)),0)</f>
        <v/>
      </c>
      <c r="AO204" s="4395">
        <f>IFERROR(IF((time+time_cap)&lt;AO$2, 0,IF(AND(time+1&gt;=AP$2, $E204&lt;AP$2), IF($I204= "I", $J204/($F204-$E204+1), $J204/(($F204*($F204+1)/2)-(($E204-1)*($E204-1+1)/2))*AO$2), 0)+IF(IF(time+1&gt;=AP$2, $K204/time_cap/(time+1)*AO$2, 0) = 0, $K204/(time_cap),0)),0)</f>
        <v/>
      </c>
      <c r="AP204" s="4395">
        <f>IFERROR(IF((time+time_cap)&lt;AP$2, 0,IF(AND(time+1&gt;=AQ$2, $E204&lt;AQ$2), IF($I204= "I", $J204/($F204-$E204+1), $J204/(($F204*($F204+1)/2)-(($E204-1)*($E204-1+1)/2))*AP$2), 0)+IF(IF(time+1&gt;=AQ$2, $K204/time_cap/(time+1)*AP$2, 0) = 0, $K204/(time_cap),0)),0)</f>
        <v/>
      </c>
      <c r="AQ204" s="4395">
        <f>IFERROR(IF((time+time_cap)&lt;AQ$2, 0,IF(AND(time+1&gt;=AR$2, $E204&lt;AR$2), IF($I204= "I", $J204/($F204-$E204+1), $J204/(($F204*($F204+1)/2)-(($E204-1)*($E204-1+1)/2))*AQ$2), 0)+IF(IF(time+1&gt;=AR$2, $K204/time_cap/(time+1)*AQ$2, 0) = 0, $K204/(time_cap),0)),0)</f>
        <v/>
      </c>
      <c r="AR204" s="4395">
        <f>IFERROR(IF((time+time_cap)&lt;AR$2, 0,IF(AND(time+1&gt;=AS$2, $E204&lt;AS$2), IF($I204= "I", $J204/($F204-$E204+1), $J204/(($F204*($F204+1)/2)-(($E204-1)*($E204-1+1)/2))*AR$2), 0)+IF(IF(time+1&gt;=AS$2, $K204/time_cap/(time+1)*AR$2, 0) = 0, $K204/(time_cap),0)),0)</f>
        <v/>
      </c>
      <c r="AS204" s="4395">
        <f>IFERROR(IF((time+time_cap)&lt;AS$2, 0,IF(AND(time+1&gt;=AT$2, $E204&lt;AT$2), IF($I204= "I", $J204/($F204-$E204+1), $J204/(($F204*($F204+1)/2)-(($E204-1)*($E204-1+1)/2))*AS$2), 0)+IF(IF(time+1&gt;=AT$2, $K204/time_cap/(time+1)*AS$2, 0) = 0, $K204/(time_cap),0)),0)</f>
        <v/>
      </c>
      <c r="AT204" s="4395">
        <f>IFERROR(IF((time+time_cap)&lt;AT$2, 0,IF(AND(time+1&gt;=AU$2, $E204&lt;AU$2), IF($I204= "I", $J204/($F204-$E204+1), $J204/(($F204*($F204+1)/2)-(($E204-1)*($E204-1+1)/2))*AT$2), 0)+IF(IF(time+1&gt;=AU$2, $K204/time_cap/(time+1)*AT$2, 0) = 0, $K204/(time_cap),0)),0)</f>
        <v/>
      </c>
      <c r="AU204" s="4395">
        <f>IFERROR(IF((time+time_cap)&lt;AU$2, 0,IF(AND(time+1&gt;=AV$2, $E204&lt;AV$2), IF($I204= "I", $J204/($F204-$E204+1), $J204/(($F204*($F204+1)/2)-(($E204-1)*($E204-1+1)/2))*AU$2), 0)+IF(IF(time+1&gt;=AV$2, $K204/time_cap/(time+1)*AU$2, 0) = 0, $K204/(time_cap),0)),0)</f>
        <v/>
      </c>
      <c r="AV204" s="4395">
        <f>IFERROR(IF((time+time_cap)&lt;AV$2, 0,IF(AND(time+1&gt;=AW$2, $E204&lt;AW$2), IF($I204= "I", $J204/($F204-$E204+1), $J204/(($F204*($F204+1)/2)-(($E204-1)*($E204-1+1)/2))*AV$2), 0)+IF(IF(time+1&gt;=AW$2, $K204/time_cap/(time+1)*AV$2, 0) = 0, $K204/(time_cap),0)),0)</f>
        <v/>
      </c>
      <c r="AW204" s="4395">
        <f>IFERROR(IF((time+time_cap)&lt;AW$2, 0,IF(AND(time+1&gt;=AX$2, $E204&lt;AX$2), IF($I204= "I", $J204/($F204-$E204+1), $J204/(($F204*($F204+1)/2)-(($E204-1)*($E204-1+1)/2))*AW$2), 0)+IF(IF(time+1&gt;=AX$2, $K204/time_cap/(time+1)*AW$2, 0) = 0, $K204/(time_cap),0)),0)</f>
        <v/>
      </c>
      <c r="AX204" s="4395">
        <f>IFERROR(IF((time+time_cap)&lt;AX$2, 0,IF(AND(time+1&gt;=AY$2, $E204&lt;AY$2), IF($I204= "I", $J204/($F204-$E204+1), $J204/(($F204*($F204+1)/2)-(($E204-1)*($E204-1+1)/2))*AX$2), 0)+IF(IF(time+1&gt;=AY$2, $K204/time_cap/(time+1)*AX$2, 0) = 0, $K204/(time_cap),0)),0)</f>
        <v/>
      </c>
      <c r="AY204" s="4395">
        <f>IFERROR(IF((time+time_cap)&lt;AY$2, 0,IF(AND(time+1&gt;=AZ$2, $E204&lt;AZ$2), IF($I204= "I", $J204/($F204-$E204+1), $J204/(($F204*($F204+1)/2)-(($E204-1)*($E204-1+1)/2))*AY$2), 0)+IF(IF(time+1&gt;=AZ$2, $K204/time_cap/(time+1)*AY$2, 0) = 0, $K204/(time_cap),0)),0)</f>
        <v/>
      </c>
      <c r="AZ204" s="4395">
        <f>IFERROR(IF((time+time_cap)&lt;AZ$2, 0,IF(AND(time+1&gt;=BA$2, $E204&lt;BA$2), IF($I204= "I", $J204/($F204-$E204+1), $J204/(($F204*($F204+1)/2)-(($E204-1)*($E204-1+1)/2))*AZ$2), 0)+IF(IF(time+1&gt;=BA$2, $K204/time_cap/(time+1)*AZ$2, 0) = 0, $K204/(time_cap),0)),0)</f>
        <v/>
      </c>
      <c r="BA204" s="4395">
        <f>IFERROR(IF((time+time_cap)&lt;BA$2, 0,IF(AND(time+1&gt;=BB$2, $E204&lt;BB$2), IF($I204= "I", $J204/($F204-$E204+1), $J204/(($F204*($F204+1)/2)-(($E204-1)*($E204-1+1)/2))*BA$2), 0)+IF(IF(time+1&gt;=BB$2, $K204/time_cap/(time+1)*BA$2, 0) = 0, $K204/(time_cap),0)),0)</f>
        <v/>
      </c>
      <c r="BB204" s="4395">
        <f>IFERROR(IF((time+time_cap)&lt;BB$2, 0,IF(AND(time+1&gt;=BC$2, $E204&lt;BC$2), IF($I204= "I", $J204/($F204-$E204+1), $J204/(($F204*($F204+1)/2)-(($E204-1)*($E204-1+1)/2))*BB$2), 0)+IF(IF(time+1&gt;=BC$2, $K204/time_cap/(time+1)*BB$2, 0) = 0, $K204/(time_cap),0)),0)</f>
        <v/>
      </c>
      <c r="BC204" s="4395">
        <f>IFERROR(IF((time+time_cap)&lt;BC$2, 0,IF(AND(time+1&gt;=BD$2, $E204&lt;BD$2), IF($I204= "I", $J204/($F204-$E204+1), $J204/(($F204*($F204+1)/2)-(($E204-1)*($E204-1+1)/2))*BC$2), 0)+IF(IF(time+1&gt;=BD$2, $K204/time_cap/(time+1)*BC$2, 0) = 0, $K204/(time_cap),0)),0)</f>
        <v/>
      </c>
      <c r="BD204" s="4395">
        <f>IFERROR(IF((time+time_cap)&lt;BD$2, 0,IF(AND(time+1&gt;=BE$2, $E204&lt;BE$2), IF($I204= "I", $J204/($F204-$E204+1), $J204/(($F204*($F204+1)/2)-(($E204-1)*($E204-1+1)/2))*BD$2), 0)+IF(IF(time+1&gt;=BE$2, $K204/time_cap/(time+1)*BD$2, 0) = 0, $K204/(time_cap),0)),0)</f>
        <v/>
      </c>
      <c r="BE204" s="4395">
        <f>IFERROR(IF((time+time_cap)&lt;BE$2, 0,IF(AND(time+1&gt;=BF$2, $E204&lt;BF$2), IF($I204= "I", $J204/($F204-$E204+1), $J204/(($F204*($F204+1)/2)-(($E204-1)*($E204-1+1)/2))*BE$2), 0)+IF(IF(time+1&gt;=BF$2, $K204/time_cap/(time+1)*BE$2, 0) = 0, $K204/(time_cap),0)),0)</f>
        <v/>
      </c>
      <c r="BF204" s="4395">
        <f>IFERROR(IF((time+time_cap)&lt;BF$2, 0,IF(AND(time+1&gt;=BG$2, $E204&lt;BG$2), IF($I204= "I", $J204/($F204-$E204+1), $J204/(($F204*($F204+1)/2)-(($E204-1)*($E204-1+1)/2))*BF$2), 0)+IF(IF(time+1&gt;=BG$2, $K204/time_cap/(time+1)*BF$2, 0) = 0, $K204/(time_cap),0)),0)</f>
        <v/>
      </c>
      <c r="BG204" s="4395">
        <f>IFERROR(IF((time+time_cap)&lt;BG$2, 0,IF(AND(time+1&gt;=BH$2, $E204&lt;BH$2), IF($I204= "I", $J204/($F204-$E204+1), $J204/(($F204*($F204+1)/2)-(($E204-1)*($E204-1+1)/2))*BG$2), 0)+IF(IF(time+1&gt;=BH$2, $K204/time_cap/(time+1)*BG$2, 0) = 0, $K204/(time_cap),0)),0)</f>
        <v/>
      </c>
      <c r="BH204" s="4395">
        <f>IFERROR(IF((time+time_cap)&lt;BH$2, 0,IF(AND(time+1&gt;=BI$2, $E204&lt;BI$2), IF($I204= "I", $J204/($F204-$E204+1), $J204/(($F204*($F204+1)/2)-(($E204-1)*($E204-1+1)/2))*BH$2), 0)+IF(IF(time+1&gt;=BI$2, $K204/time_cap/(time+1)*BH$2, 0) = 0, $K204/(time_cap),0)),0)</f>
        <v/>
      </c>
      <c r="BI204" s="4395">
        <f>IFERROR(IF((time+time_cap)&lt;BI$2, 0,IF(AND(time+1&gt;=BJ$2, $E204&lt;BJ$2), IF($I204= "I", $J204/($F204-$E204+1), $J204/(($F204*($F204+1)/2)-(($E204-1)*($E204-1+1)/2))*BI$2), 0)+IF(IF(time+1&gt;=BJ$2, $K204/time_cap/(time+1)*BI$2, 0) = 0, $K204/(time_cap),0)),0)</f>
        <v/>
      </c>
      <c r="BJ204" s="4395">
        <f>IFERROR(IF((time+time_cap)&lt;BJ$2, 0,IF(AND(time+1&gt;=BK$2, $E204&lt;BK$2), IF($I204= "I", $J204/($F204-$E204+1), $J204/(($F204*($F204+1)/2)-(($E204-1)*($E204-1+1)/2))*BJ$2), 0)+IF(IF(time+1&gt;=BK$2, $K204/time_cap/(time+1)*BJ$2, 0) = 0, $K204/(time_cap),0)),0)</f>
        <v/>
      </c>
      <c r="BK204" s="4395" t="n"/>
      <c r="BL204" s="4395" t="n"/>
      <c r="BM204" s="4395" t="n"/>
      <c r="BN204" s="4395" t="n"/>
      <c r="BO204" s="4395" t="n"/>
      <c r="BP204" s="4395" t="n"/>
      <c r="BQ204" s="4395" t="n"/>
      <c r="BR204" s="4395" t="n"/>
      <c r="BS204" s="4395" t="n"/>
      <c r="BT204" s="4395" t="n"/>
      <c r="BU204" s="4395" t="n"/>
      <c r="BV204" s="4395" t="n"/>
      <c r="BW204" s="4395" t="n"/>
      <c r="BX204" s="4395" t="n"/>
      <c r="BY204" s="4395" t="n"/>
      <c r="BZ204" s="4395" t="n"/>
      <c r="CA204" s="4395" t="n"/>
      <c r="CB204" s="4395" t="n"/>
      <c r="CC204" s="4395" t="n"/>
      <c r="CD204" s="4395" t="n"/>
      <c r="CE204" s="4395" t="n"/>
      <c r="CF204" s="4395" t="n"/>
      <c r="CG204" s="4395" t="n"/>
      <c r="CH204" s="4395" t="n"/>
      <c r="CI204" s="4395" t="n"/>
      <c r="CJ204" s="4395" t="n"/>
      <c r="CK204" s="4395" t="n"/>
      <c r="CL204" s="4395" t="n"/>
      <c r="CM204" s="4395" t="n"/>
      <c r="CN204" s="4395" t="n"/>
      <c r="CO204" s="4395" t="n"/>
      <c r="CP204" s="4395" t="n"/>
      <c r="CQ204" s="4395" t="n"/>
      <c r="CR204" s="4395" t="n"/>
      <c r="CS204" s="4395" t="n"/>
      <c r="CT204" s="4395" t="n"/>
      <c r="CU204" s="4395" t="n"/>
      <c r="CV204" s="4395" t="n"/>
      <c r="CW204" s="4395" t="n"/>
      <c r="CX204" s="4395" t="n"/>
      <c r="CY204" s="4395" t="n"/>
      <c r="CZ204" s="4395" t="n"/>
      <c r="DA204" s="4395" t="n"/>
      <c r="DB204" s="4395" t="n"/>
      <c r="DC204" s="4395" t="n"/>
      <c r="DD204" s="4395" t="n"/>
      <c r="DE204" s="4395" t="n"/>
      <c r="DF204" s="4395" t="n"/>
      <c r="DG204" s="4395" t="n"/>
      <c r="DH204" s="4395" t="n"/>
    </row>
    <row r="205" ht="16" customHeight="1">
      <c r="A205" t="inlineStr">
        <is>
          <t>Inputs</t>
        </is>
      </c>
      <c r="C205">
        <f>'9.Inputs'!C16</f>
        <v/>
      </c>
      <c r="D205">
        <f>'9.Inputs'!V16</f>
        <v/>
      </c>
      <c r="E205">
        <f>IF('9.Inputs'!BE16&lt;&gt;0,'9.Inputs'!BE16,'9.Inputs'!BD16)</f>
        <v/>
      </c>
      <c r="F205">
        <f>time</f>
        <v/>
      </c>
      <c r="G205" s="4395">
        <f>'9.Inputs'!F16</f>
        <v/>
      </c>
      <c r="H205" s="4395">
        <f>'9.Inputs'!H16</f>
        <v/>
      </c>
      <c r="I205" s="4395">
        <f>IF(OR(H205="I", G205="I"), "I", IF(OR(H205="E", G205="E"), "E", "D"))</f>
        <v/>
      </c>
      <c r="J205" s="4395">
        <f>((D205/(time_cap+((F205-E205+1)*VLOOKUP(I205,list!$I$48:$K$50,3, FALSE))))*(F205-E205+1)*VLOOKUP(I205,list!$I$48:$K$50,3, FALSE))</f>
        <v/>
      </c>
      <c r="K205" s="4395">
        <f>((D205/(time_cap+((F205-E205+1)*VLOOKUP(I205,list!$I$48:$K$50,3, FALSE))))*time_cap)</f>
        <v/>
      </c>
      <c r="M205" s="4395">
        <f>IFERROR(IF((time+time_cap)&lt;M$2, 0,IF(AND(time+1&gt;=N$2, $E205&lt;N$2), IF($I205= "I", $J205/($F205-$E205+1), $J205/(($F205*($F205+1)/2)-(($E205-1)*($E205-1+1)/2))*M$2), 0)+IF(IF(time+1&gt;=N$2, $K205/time_cap/(time+1)*M$2, 0) = 0, $K205/(time_cap),0)),0)</f>
        <v/>
      </c>
      <c r="N205" s="4395">
        <f>IFERROR(IF((time+time_cap)&lt;N$2, 0,IF(AND(time+1&gt;=O$2, $E205&lt;O$2), IF($I205= "I", $J205/($F205-$E205+1), $J205/(($F205*($F205+1)/2)-(($E205-1)*($E205-1+1)/2))*N$2), 0)+IF(IF(time+1&gt;=O$2, $K205/time_cap/(time+1)*N$2, 0) = 0, $K205/(time_cap),0)),0)</f>
        <v/>
      </c>
      <c r="O205" s="4395">
        <f>IFERROR(IF((time+time_cap)&lt;O$2, 0,IF(AND(time+1&gt;=P$2, $E205&lt;P$2), IF($I205= "I", $J205/($F205-$E205+1), $J205/(($F205*($F205+1)/2)-(($E205-1)*($E205-1+1)/2))*O$2), 0)+IF(IF(time+1&gt;=P$2, $K205/time_cap/(time+1)*O$2, 0) = 0, $K205/(time_cap),0)),0)</f>
        <v/>
      </c>
      <c r="P205" s="4395">
        <f>IFERROR(IF((time+time_cap)&lt;P$2, 0,IF(AND(time+1&gt;=Q$2, $E205&lt;Q$2), IF($I205= "I", $J205/($F205-$E205+1), $J205/(($F205*($F205+1)/2)-(($E205-1)*($E205-1+1)/2))*P$2), 0)+IF(IF(time+1&gt;=Q$2, $K205/time_cap/(time+1)*P$2, 0) = 0, $K205/(time_cap),0)),0)</f>
        <v/>
      </c>
      <c r="Q205" s="4395">
        <f>IFERROR(IF((time+time_cap)&lt;Q$2, 0,IF(AND(time+1&gt;=R$2, $E205&lt;R$2), IF($I205= "I", $J205/($F205-$E205+1), $J205/(($F205*($F205+1)/2)-(($E205-1)*($E205-1+1)/2))*Q$2), 0)+IF(IF(time+1&gt;=R$2, $K205/time_cap/(time+1)*Q$2, 0) = 0, $K205/(time_cap),0)),0)</f>
        <v/>
      </c>
      <c r="R205" s="4395">
        <f>IFERROR(IF((time+time_cap)&lt;R$2, 0,IF(AND(time+1&gt;=S$2, $E205&lt;S$2), IF($I205= "I", $J205/($F205-$E205+1), $J205/(($F205*($F205+1)/2)-(($E205-1)*($E205-1+1)/2))*R$2), 0)+IF(IF(time+1&gt;=S$2, $K205/time_cap/(time+1)*R$2, 0) = 0, $K205/(time_cap),0)),0)</f>
        <v/>
      </c>
      <c r="S205" s="4395">
        <f>IFERROR(IF((time+time_cap)&lt;S$2, 0,IF(AND(time+1&gt;=T$2, $E205&lt;T$2), IF($I205= "I", $J205/($F205-$E205+1), $J205/(($F205*($F205+1)/2)-(($E205-1)*($E205-1+1)/2))*S$2), 0)+IF(IF(time+1&gt;=T$2, $K205/time_cap/(time+1)*S$2, 0) = 0, $K205/(time_cap),0)),0)</f>
        <v/>
      </c>
      <c r="T205" s="4395">
        <f>IFERROR(IF((time+time_cap)&lt;T$2, 0,IF(AND(time+1&gt;=U$2, $E205&lt;U$2), IF($I205= "I", $J205/($F205-$E205+1), $J205/(($F205*($F205+1)/2)-(($E205-1)*($E205-1+1)/2))*T$2), 0)+IF(IF(time+1&gt;=U$2, $K205/time_cap/(time+1)*T$2, 0) = 0, $K205/(time_cap),0)),0)</f>
        <v/>
      </c>
      <c r="U205" s="4395">
        <f>IFERROR(IF((time+time_cap)&lt;U$2, 0,IF(AND(time+1&gt;=V$2, $E205&lt;V$2), IF($I205= "I", $J205/($F205-$E205+1), $J205/(($F205*($F205+1)/2)-(($E205-1)*($E205-1+1)/2))*U$2), 0)+IF(IF(time+1&gt;=V$2, $K205/time_cap/(time+1)*U$2, 0) = 0, $K205/(time_cap),0)),0)</f>
        <v/>
      </c>
      <c r="V205" s="4395">
        <f>IFERROR(IF((time+time_cap)&lt;V$2, 0,IF(AND(time+1&gt;=W$2, $E205&lt;W$2), IF($I205= "I", $J205/($F205-$E205+1), $J205/(($F205*($F205+1)/2)-(($E205-1)*($E205-1+1)/2))*V$2), 0)+IF(IF(time+1&gt;=W$2, $K205/time_cap/(time+1)*V$2, 0) = 0, $K205/(time_cap),0)),0)</f>
        <v/>
      </c>
      <c r="W205" s="4395">
        <f>IFERROR(IF((time+time_cap)&lt;W$2, 0,IF(AND(time+1&gt;=X$2, $E205&lt;X$2), IF($I205= "I", $J205/($F205-$E205+1), $J205/(($F205*($F205+1)/2)-(($E205-1)*($E205-1+1)/2))*W$2), 0)+IF(IF(time+1&gt;=X$2, $K205/time_cap/(time+1)*W$2, 0) = 0, $K205/(time_cap),0)),0)</f>
        <v/>
      </c>
      <c r="X205" s="4395">
        <f>IFERROR(IF((time+time_cap)&lt;X$2, 0,IF(AND(time+1&gt;=Y$2, $E205&lt;Y$2), IF($I205= "I", $J205/($F205-$E205+1), $J205/(($F205*($F205+1)/2)-(($E205-1)*($E205-1+1)/2))*X$2), 0)+IF(IF(time+1&gt;=Y$2, $K205/time_cap/(time+1)*X$2, 0) = 0, $K205/(time_cap),0)),0)</f>
        <v/>
      </c>
      <c r="Y205" s="4395">
        <f>IFERROR(IF((time+time_cap)&lt;Y$2, 0,IF(AND(time+1&gt;=Z$2, $E205&lt;Z$2), IF($I205= "I", $J205/($F205-$E205+1), $J205/(($F205*($F205+1)/2)-(($E205-1)*($E205-1+1)/2))*Y$2), 0)+IF(IF(time+1&gt;=Z$2, $K205/time_cap/(time+1)*Y$2, 0) = 0, $K205/(time_cap),0)),0)</f>
        <v/>
      </c>
      <c r="Z205" s="4395">
        <f>IFERROR(IF((time+time_cap)&lt;Z$2, 0,IF(AND(time+1&gt;=AA$2, $E205&lt;AA$2), IF($I205= "I", $J205/($F205-$E205+1), $J205/(($F205*($F205+1)/2)-(($E205-1)*($E205-1+1)/2))*Z$2), 0)+IF(IF(time+1&gt;=AA$2, $K205/time_cap/(time+1)*Z$2, 0) = 0, $K205/(time_cap),0)),0)</f>
        <v/>
      </c>
      <c r="AA205" s="4395">
        <f>IFERROR(IF((time+time_cap)&lt;AA$2, 0,IF(AND(time+1&gt;=AB$2, $E205&lt;AB$2), IF($I205= "I", $J205/($F205-$E205+1), $J205/(($F205*($F205+1)/2)-(($E205-1)*($E205-1+1)/2))*AA$2), 0)+IF(IF(time+1&gt;=AB$2, $K205/time_cap/(time+1)*AA$2, 0) = 0, $K205/(time_cap),0)),0)</f>
        <v/>
      </c>
      <c r="AB205" s="4395">
        <f>IFERROR(IF((time+time_cap)&lt;AB$2, 0,IF(AND(time+1&gt;=AC$2, $E205&lt;AC$2), IF($I205= "I", $J205/($F205-$E205+1), $J205/(($F205*($F205+1)/2)-(($E205-1)*($E205-1+1)/2))*AB$2), 0)+IF(IF(time+1&gt;=AC$2, $K205/time_cap/(time+1)*AB$2, 0) = 0, $K205/(time_cap),0)),0)</f>
        <v/>
      </c>
      <c r="AC205" s="4395">
        <f>IFERROR(IF((time+time_cap)&lt;AC$2, 0,IF(AND(time+1&gt;=AD$2, $E205&lt;AD$2), IF($I205= "I", $J205/($F205-$E205+1), $J205/(($F205*($F205+1)/2)-(($E205-1)*($E205-1+1)/2))*AC$2), 0)+IF(IF(time+1&gt;=AD$2, $K205/time_cap/(time+1)*AC$2, 0) = 0, $K205/(time_cap),0)),0)</f>
        <v/>
      </c>
      <c r="AD205" s="4395">
        <f>IFERROR(IF((time+time_cap)&lt;AD$2, 0,IF(AND(time+1&gt;=AE$2, $E205&lt;AE$2), IF($I205= "I", $J205/($F205-$E205+1), $J205/(($F205*($F205+1)/2)-(($E205-1)*($E205-1+1)/2))*AD$2), 0)+IF(IF(time+1&gt;=AE$2, $K205/time_cap/(time+1)*AD$2, 0) = 0, $K205/(time_cap),0)),0)</f>
        <v/>
      </c>
      <c r="AE205" s="4395">
        <f>IFERROR(IF((time+time_cap)&lt;AE$2, 0,IF(AND(time+1&gt;=AF$2, $E205&lt;AF$2), IF($I205= "I", $J205/($F205-$E205+1), $J205/(($F205*($F205+1)/2)-(($E205-1)*($E205-1+1)/2))*AE$2), 0)+IF(IF(time+1&gt;=AF$2, $K205/time_cap/(time+1)*AE$2, 0) = 0, $K205/(time_cap),0)),0)</f>
        <v/>
      </c>
      <c r="AF205" s="4395">
        <f>IFERROR(IF((time+time_cap)&lt;AF$2, 0,IF(AND(time+1&gt;=AG$2, $E205&lt;AG$2), IF($I205= "I", $J205/($F205-$E205+1), $J205/(($F205*($F205+1)/2)-(($E205-1)*($E205-1+1)/2))*AF$2), 0)+IF(IF(time+1&gt;=AG$2, $K205/time_cap/(time+1)*AF$2, 0) = 0, $K205/(time_cap),0)),0)</f>
        <v/>
      </c>
      <c r="AG205" s="4395">
        <f>IFERROR(IF((time+time_cap)&lt;AG$2, 0,IF(AND(time+1&gt;=AH$2, $E205&lt;AH$2), IF($I205= "I", $J205/($F205-$E205+1), $J205/(($F205*($F205+1)/2)-(($E205-1)*($E205-1+1)/2))*AG$2), 0)+IF(IF(time+1&gt;=AH$2, $K205/time_cap/(time+1)*AG$2, 0) = 0, $K205/(time_cap),0)),0)</f>
        <v/>
      </c>
      <c r="AH205" s="4395">
        <f>IFERROR(IF((time+time_cap)&lt;AH$2, 0,IF(AND(time+1&gt;=AI$2, $E205&lt;AI$2), IF($I205= "I", $J205/($F205-$E205+1), $J205/(($F205*($F205+1)/2)-(($E205-1)*($E205-1+1)/2))*AH$2), 0)+IF(IF(time+1&gt;=AI$2, $K205/time_cap/(time+1)*AH$2, 0) = 0, $K205/(time_cap),0)),0)</f>
        <v/>
      </c>
      <c r="AI205" s="4395">
        <f>IFERROR(IF((time+time_cap)&lt;AI$2, 0,IF(AND(time+1&gt;=AJ$2, $E205&lt;AJ$2), IF($I205= "I", $J205/($F205-$E205+1), $J205/(($F205*($F205+1)/2)-(($E205-1)*($E205-1+1)/2))*AI$2), 0)+IF(IF(time+1&gt;=AJ$2, $K205/time_cap/(time+1)*AI$2, 0) = 0, $K205/(time_cap),0)),0)</f>
        <v/>
      </c>
      <c r="AJ205" s="4395">
        <f>IFERROR(IF((time+time_cap)&lt;AJ$2, 0,IF(AND(time+1&gt;=AK$2, $E205&lt;AK$2), IF($I205= "I", $J205/($F205-$E205+1), $J205/(($F205*($F205+1)/2)-(($E205-1)*($E205-1+1)/2))*AJ$2), 0)+IF(IF(time+1&gt;=AK$2, $K205/time_cap/(time+1)*AJ$2, 0) = 0, $K205/(time_cap),0)),0)</f>
        <v/>
      </c>
      <c r="AK205" s="4395">
        <f>IFERROR(IF((time+time_cap)&lt;AK$2, 0,IF(AND(time+1&gt;=AL$2, $E205&lt;AL$2), IF($I205= "I", $J205/($F205-$E205+1), $J205/(($F205*($F205+1)/2)-(($E205-1)*($E205-1+1)/2))*AK$2), 0)+IF(IF(time+1&gt;=AL$2, $K205/time_cap/(time+1)*AK$2, 0) = 0, $K205/(time_cap),0)),0)</f>
        <v/>
      </c>
      <c r="AL205" s="4395">
        <f>IFERROR(IF((time+time_cap)&lt;AL$2, 0,IF(AND(time+1&gt;=AM$2, $E205&lt;AM$2), IF($I205= "I", $J205/($F205-$E205+1), $J205/(($F205*($F205+1)/2)-(($E205-1)*($E205-1+1)/2))*AL$2), 0)+IF(IF(time+1&gt;=AM$2, $K205/time_cap/(time+1)*AL$2, 0) = 0, $K205/(time_cap),0)),0)</f>
        <v/>
      </c>
      <c r="AM205" s="4395">
        <f>IFERROR(IF((time+time_cap)&lt;AM$2, 0,IF(AND(time+1&gt;=AN$2, $E205&lt;AN$2), IF($I205= "I", $J205/($F205-$E205+1), $J205/(($F205*($F205+1)/2)-(($E205-1)*($E205-1+1)/2))*AM$2), 0)+IF(IF(time+1&gt;=AN$2, $K205/time_cap/(time+1)*AM$2, 0) = 0, $K205/(time_cap),0)),0)</f>
        <v/>
      </c>
      <c r="AN205" s="4395">
        <f>IFERROR(IF((time+time_cap)&lt;AN$2, 0,IF(AND(time+1&gt;=AO$2, $E205&lt;AO$2), IF($I205= "I", $J205/($F205-$E205+1), $J205/(($F205*($F205+1)/2)-(($E205-1)*($E205-1+1)/2))*AN$2), 0)+IF(IF(time+1&gt;=AO$2, $K205/time_cap/(time+1)*AN$2, 0) = 0, $K205/(time_cap),0)),0)</f>
        <v/>
      </c>
      <c r="AO205" s="4395">
        <f>IFERROR(IF((time+time_cap)&lt;AO$2, 0,IF(AND(time+1&gt;=AP$2, $E205&lt;AP$2), IF($I205= "I", $J205/($F205-$E205+1), $J205/(($F205*($F205+1)/2)-(($E205-1)*($E205-1+1)/2))*AO$2), 0)+IF(IF(time+1&gt;=AP$2, $K205/time_cap/(time+1)*AO$2, 0) = 0, $K205/(time_cap),0)),0)</f>
        <v/>
      </c>
      <c r="AP205" s="4395">
        <f>IFERROR(IF((time+time_cap)&lt;AP$2, 0,IF(AND(time+1&gt;=AQ$2, $E205&lt;AQ$2), IF($I205= "I", $J205/($F205-$E205+1), $J205/(($F205*($F205+1)/2)-(($E205-1)*($E205-1+1)/2))*AP$2), 0)+IF(IF(time+1&gt;=AQ$2, $K205/time_cap/(time+1)*AP$2, 0) = 0, $K205/(time_cap),0)),0)</f>
        <v/>
      </c>
      <c r="AQ205" s="4395">
        <f>IFERROR(IF((time+time_cap)&lt;AQ$2, 0,IF(AND(time+1&gt;=AR$2, $E205&lt;AR$2), IF($I205= "I", $J205/($F205-$E205+1), $J205/(($F205*($F205+1)/2)-(($E205-1)*($E205-1+1)/2))*AQ$2), 0)+IF(IF(time+1&gt;=AR$2, $K205/time_cap/(time+1)*AQ$2, 0) = 0, $K205/(time_cap),0)),0)</f>
        <v/>
      </c>
      <c r="AR205" s="4395">
        <f>IFERROR(IF((time+time_cap)&lt;AR$2, 0,IF(AND(time+1&gt;=AS$2, $E205&lt;AS$2), IF($I205= "I", $J205/($F205-$E205+1), $J205/(($F205*($F205+1)/2)-(($E205-1)*($E205-1+1)/2))*AR$2), 0)+IF(IF(time+1&gt;=AS$2, $K205/time_cap/(time+1)*AR$2, 0) = 0, $K205/(time_cap),0)),0)</f>
        <v/>
      </c>
      <c r="AS205" s="4395">
        <f>IFERROR(IF((time+time_cap)&lt;AS$2, 0,IF(AND(time+1&gt;=AT$2, $E205&lt;AT$2), IF($I205= "I", $J205/($F205-$E205+1), $J205/(($F205*($F205+1)/2)-(($E205-1)*($E205-1+1)/2))*AS$2), 0)+IF(IF(time+1&gt;=AT$2, $K205/time_cap/(time+1)*AS$2, 0) = 0, $K205/(time_cap),0)),0)</f>
        <v/>
      </c>
      <c r="AT205" s="4395">
        <f>IFERROR(IF((time+time_cap)&lt;AT$2, 0,IF(AND(time+1&gt;=AU$2, $E205&lt;AU$2), IF($I205= "I", $J205/($F205-$E205+1), $J205/(($F205*($F205+1)/2)-(($E205-1)*($E205-1+1)/2))*AT$2), 0)+IF(IF(time+1&gt;=AU$2, $K205/time_cap/(time+1)*AT$2, 0) = 0, $K205/(time_cap),0)),0)</f>
        <v/>
      </c>
      <c r="AU205" s="4395">
        <f>IFERROR(IF((time+time_cap)&lt;AU$2, 0,IF(AND(time+1&gt;=AV$2, $E205&lt;AV$2), IF($I205= "I", $J205/($F205-$E205+1), $J205/(($F205*($F205+1)/2)-(($E205-1)*($E205-1+1)/2))*AU$2), 0)+IF(IF(time+1&gt;=AV$2, $K205/time_cap/(time+1)*AU$2, 0) = 0, $K205/(time_cap),0)),0)</f>
        <v/>
      </c>
      <c r="AV205" s="4395">
        <f>IFERROR(IF((time+time_cap)&lt;AV$2, 0,IF(AND(time+1&gt;=AW$2, $E205&lt;AW$2), IF($I205= "I", $J205/($F205-$E205+1), $J205/(($F205*($F205+1)/2)-(($E205-1)*($E205-1+1)/2))*AV$2), 0)+IF(IF(time+1&gt;=AW$2, $K205/time_cap/(time+1)*AV$2, 0) = 0, $K205/(time_cap),0)),0)</f>
        <v/>
      </c>
      <c r="AW205" s="4395">
        <f>IFERROR(IF((time+time_cap)&lt;AW$2, 0,IF(AND(time+1&gt;=AX$2, $E205&lt;AX$2), IF($I205= "I", $J205/($F205-$E205+1), $J205/(($F205*($F205+1)/2)-(($E205-1)*($E205-1+1)/2))*AW$2), 0)+IF(IF(time+1&gt;=AX$2, $K205/time_cap/(time+1)*AW$2, 0) = 0, $K205/(time_cap),0)),0)</f>
        <v/>
      </c>
      <c r="AX205" s="4395">
        <f>IFERROR(IF((time+time_cap)&lt;AX$2, 0,IF(AND(time+1&gt;=AY$2, $E205&lt;AY$2), IF($I205= "I", $J205/($F205-$E205+1), $J205/(($F205*($F205+1)/2)-(($E205-1)*($E205-1+1)/2))*AX$2), 0)+IF(IF(time+1&gt;=AY$2, $K205/time_cap/(time+1)*AX$2, 0) = 0, $K205/(time_cap),0)),0)</f>
        <v/>
      </c>
      <c r="AY205" s="4395">
        <f>IFERROR(IF((time+time_cap)&lt;AY$2, 0,IF(AND(time+1&gt;=AZ$2, $E205&lt;AZ$2), IF($I205= "I", $J205/($F205-$E205+1), $J205/(($F205*($F205+1)/2)-(($E205-1)*($E205-1+1)/2))*AY$2), 0)+IF(IF(time+1&gt;=AZ$2, $K205/time_cap/(time+1)*AY$2, 0) = 0, $K205/(time_cap),0)),0)</f>
        <v/>
      </c>
      <c r="AZ205" s="4395">
        <f>IFERROR(IF((time+time_cap)&lt;AZ$2, 0,IF(AND(time+1&gt;=BA$2, $E205&lt;BA$2), IF($I205= "I", $J205/($F205-$E205+1), $J205/(($F205*($F205+1)/2)-(($E205-1)*($E205-1+1)/2))*AZ$2), 0)+IF(IF(time+1&gt;=BA$2, $K205/time_cap/(time+1)*AZ$2, 0) = 0, $K205/(time_cap),0)),0)</f>
        <v/>
      </c>
      <c r="BA205" s="4395">
        <f>IFERROR(IF((time+time_cap)&lt;BA$2, 0,IF(AND(time+1&gt;=BB$2, $E205&lt;BB$2), IF($I205= "I", $J205/($F205-$E205+1), $J205/(($F205*($F205+1)/2)-(($E205-1)*($E205-1+1)/2))*BA$2), 0)+IF(IF(time+1&gt;=BB$2, $K205/time_cap/(time+1)*BA$2, 0) = 0, $K205/(time_cap),0)),0)</f>
        <v/>
      </c>
      <c r="BB205" s="4395">
        <f>IFERROR(IF((time+time_cap)&lt;BB$2, 0,IF(AND(time+1&gt;=BC$2, $E205&lt;BC$2), IF($I205= "I", $J205/($F205-$E205+1), $J205/(($F205*($F205+1)/2)-(($E205-1)*($E205-1+1)/2))*BB$2), 0)+IF(IF(time+1&gt;=BC$2, $K205/time_cap/(time+1)*BB$2, 0) = 0, $K205/(time_cap),0)),0)</f>
        <v/>
      </c>
      <c r="BC205" s="4395">
        <f>IFERROR(IF((time+time_cap)&lt;BC$2, 0,IF(AND(time+1&gt;=BD$2, $E205&lt;BD$2), IF($I205= "I", $J205/($F205-$E205+1), $J205/(($F205*($F205+1)/2)-(($E205-1)*($E205-1+1)/2))*BC$2), 0)+IF(IF(time+1&gt;=BD$2, $K205/time_cap/(time+1)*BC$2, 0) = 0, $K205/(time_cap),0)),0)</f>
        <v/>
      </c>
      <c r="BD205" s="4395">
        <f>IFERROR(IF((time+time_cap)&lt;BD$2, 0,IF(AND(time+1&gt;=BE$2, $E205&lt;BE$2), IF($I205= "I", $J205/($F205-$E205+1), $J205/(($F205*($F205+1)/2)-(($E205-1)*($E205-1+1)/2))*BD$2), 0)+IF(IF(time+1&gt;=BE$2, $K205/time_cap/(time+1)*BD$2, 0) = 0, $K205/(time_cap),0)),0)</f>
        <v/>
      </c>
      <c r="BE205" s="4395">
        <f>IFERROR(IF((time+time_cap)&lt;BE$2, 0,IF(AND(time+1&gt;=BF$2, $E205&lt;BF$2), IF($I205= "I", $J205/($F205-$E205+1), $J205/(($F205*($F205+1)/2)-(($E205-1)*($E205-1+1)/2))*BE$2), 0)+IF(IF(time+1&gt;=BF$2, $K205/time_cap/(time+1)*BE$2, 0) = 0, $K205/(time_cap),0)),0)</f>
        <v/>
      </c>
      <c r="BF205" s="4395">
        <f>IFERROR(IF((time+time_cap)&lt;BF$2, 0,IF(AND(time+1&gt;=BG$2, $E205&lt;BG$2), IF($I205= "I", $J205/($F205-$E205+1), $J205/(($F205*($F205+1)/2)-(($E205-1)*($E205-1+1)/2))*BF$2), 0)+IF(IF(time+1&gt;=BG$2, $K205/time_cap/(time+1)*BF$2, 0) = 0, $K205/(time_cap),0)),0)</f>
        <v/>
      </c>
      <c r="BG205" s="4395">
        <f>IFERROR(IF((time+time_cap)&lt;BG$2, 0,IF(AND(time+1&gt;=BH$2, $E205&lt;BH$2), IF($I205= "I", $J205/($F205-$E205+1), $J205/(($F205*($F205+1)/2)-(($E205-1)*($E205-1+1)/2))*BG$2), 0)+IF(IF(time+1&gt;=BH$2, $K205/time_cap/(time+1)*BG$2, 0) = 0, $K205/(time_cap),0)),0)</f>
        <v/>
      </c>
      <c r="BH205" s="4395">
        <f>IFERROR(IF((time+time_cap)&lt;BH$2, 0,IF(AND(time+1&gt;=BI$2, $E205&lt;BI$2), IF($I205= "I", $J205/($F205-$E205+1), $J205/(($F205*($F205+1)/2)-(($E205-1)*($E205-1+1)/2))*BH$2), 0)+IF(IF(time+1&gt;=BI$2, $K205/time_cap/(time+1)*BH$2, 0) = 0, $K205/(time_cap),0)),0)</f>
        <v/>
      </c>
      <c r="BI205" s="4395">
        <f>IFERROR(IF((time+time_cap)&lt;BI$2, 0,IF(AND(time+1&gt;=BJ$2, $E205&lt;BJ$2), IF($I205= "I", $J205/($F205-$E205+1), $J205/(($F205*($F205+1)/2)-(($E205-1)*($E205-1+1)/2))*BI$2), 0)+IF(IF(time+1&gt;=BJ$2, $K205/time_cap/(time+1)*BI$2, 0) = 0, $K205/(time_cap),0)),0)</f>
        <v/>
      </c>
      <c r="BJ205" s="4395">
        <f>IFERROR(IF((time+time_cap)&lt;BJ$2, 0,IF(AND(time+1&gt;=BK$2, $E205&lt;BK$2), IF($I205= "I", $J205/($F205-$E205+1), $J205/(($F205*($F205+1)/2)-(($E205-1)*($E205-1+1)/2))*BJ$2), 0)+IF(IF(time+1&gt;=BK$2, $K205/time_cap/(time+1)*BJ$2, 0) = 0, $K205/(time_cap),0)),0)</f>
        <v/>
      </c>
      <c r="BK205" s="4395" t="n"/>
      <c r="BL205" s="4395" t="n"/>
      <c r="BM205" s="4395" t="n"/>
      <c r="BN205" s="4395" t="n"/>
      <c r="BO205" s="4395" t="n"/>
      <c r="BP205" s="4395" t="n"/>
      <c r="BQ205" s="4395" t="n"/>
      <c r="BR205" s="4395" t="n"/>
      <c r="BS205" s="4395" t="n"/>
      <c r="BT205" s="4395" t="n"/>
      <c r="BU205" s="4395" t="n"/>
      <c r="BV205" s="4395" t="n"/>
      <c r="BW205" s="4395" t="n"/>
      <c r="BX205" s="4395" t="n"/>
      <c r="BY205" s="4395" t="n"/>
      <c r="BZ205" s="4395" t="n"/>
      <c r="CA205" s="4395" t="n"/>
      <c r="CB205" s="4395" t="n"/>
      <c r="CC205" s="4395" t="n"/>
      <c r="CD205" s="4395" t="n"/>
      <c r="CE205" s="4395" t="n"/>
      <c r="CF205" s="4395" t="n"/>
      <c r="CG205" s="4395" t="n"/>
      <c r="CH205" s="4395" t="n"/>
      <c r="CI205" s="4395" t="n"/>
      <c r="CJ205" s="4395" t="n"/>
      <c r="CK205" s="4395" t="n"/>
      <c r="CL205" s="4395" t="n"/>
      <c r="CM205" s="4395" t="n"/>
      <c r="CN205" s="4395" t="n"/>
      <c r="CO205" s="4395" t="n"/>
      <c r="CP205" s="4395" t="n"/>
      <c r="CQ205" s="4395" t="n"/>
      <c r="CR205" s="4395" t="n"/>
      <c r="CS205" s="4395" t="n"/>
      <c r="CT205" s="4395" t="n"/>
      <c r="CU205" s="4395" t="n"/>
      <c r="CV205" s="4395" t="n"/>
      <c r="CW205" s="4395" t="n"/>
      <c r="CX205" s="4395" t="n"/>
      <c r="CY205" s="4395" t="n"/>
      <c r="CZ205" s="4395" t="n"/>
      <c r="DA205" s="4395" t="n"/>
      <c r="DB205" s="4395" t="n"/>
      <c r="DC205" s="4395" t="n"/>
      <c r="DD205" s="4395" t="n"/>
      <c r="DE205" s="4395" t="n"/>
      <c r="DF205" s="4395" t="n"/>
      <c r="DG205" s="4395" t="n"/>
      <c r="DH205" s="4395" t="n"/>
    </row>
    <row r="206" ht="16" customHeight="1">
      <c r="A206" t="inlineStr">
        <is>
          <t>Inputs</t>
        </is>
      </c>
      <c r="C206">
        <f>'9.Inputs'!C17</f>
        <v/>
      </c>
      <c r="D206">
        <f>'9.Inputs'!V17</f>
        <v/>
      </c>
      <c r="E206">
        <f>IF('9.Inputs'!BE17&lt;&gt;0,'9.Inputs'!BE17,'9.Inputs'!BD17)</f>
        <v/>
      </c>
      <c r="F206">
        <f>time</f>
        <v/>
      </c>
      <c r="G206" s="4395">
        <f>'9.Inputs'!F17</f>
        <v/>
      </c>
      <c r="H206" s="4395">
        <f>'9.Inputs'!H17</f>
        <v/>
      </c>
      <c r="I206" s="4395">
        <f>IF(OR(H206="I", G206="I"), "I", IF(OR(H206="E", G206="E"), "E", "D"))</f>
        <v/>
      </c>
      <c r="J206" s="4395">
        <f>((D206/(time_cap+((F206-E206+1)*VLOOKUP(I206,list!$I$48:$K$50,3, FALSE))))*(F206-E206+1)*VLOOKUP(I206,list!$I$48:$K$50,3, FALSE))</f>
        <v/>
      </c>
      <c r="K206" s="4395">
        <f>((D206/(time_cap+((F206-E206+1)*VLOOKUP(I206,list!$I$48:$K$50,3, FALSE))))*time_cap)</f>
        <v/>
      </c>
      <c r="M206" s="4395">
        <f>IFERROR(IF((time+time_cap)&lt;M$2, 0,IF(AND(time+1&gt;=N$2, $E206&lt;N$2), IF($I206= "I", $J206/($F206-$E206+1), $J206/(($F206*($F206+1)/2)-(($E206-1)*($E206-1+1)/2))*M$2), 0)+IF(IF(time+1&gt;=N$2, $K206/time_cap/(time+1)*M$2, 0) = 0, $K206/(time_cap),0)),0)</f>
        <v/>
      </c>
      <c r="N206" s="4395">
        <f>IFERROR(IF((time+time_cap)&lt;N$2, 0,IF(AND(time+1&gt;=O$2, $E206&lt;O$2), IF($I206= "I", $J206/($F206-$E206+1), $J206/(($F206*($F206+1)/2)-(($E206-1)*($E206-1+1)/2))*N$2), 0)+IF(IF(time+1&gt;=O$2, $K206/time_cap/(time+1)*N$2, 0) = 0, $K206/(time_cap),0)),0)</f>
        <v/>
      </c>
      <c r="O206" s="4395">
        <f>IFERROR(IF((time+time_cap)&lt;O$2, 0,IF(AND(time+1&gt;=P$2, $E206&lt;P$2), IF($I206= "I", $J206/($F206-$E206+1), $J206/(($F206*($F206+1)/2)-(($E206-1)*($E206-1+1)/2))*O$2), 0)+IF(IF(time+1&gt;=P$2, $K206/time_cap/(time+1)*O$2, 0) = 0, $K206/(time_cap),0)),0)</f>
        <v/>
      </c>
      <c r="P206" s="4395">
        <f>IFERROR(IF((time+time_cap)&lt;P$2, 0,IF(AND(time+1&gt;=Q$2, $E206&lt;Q$2), IF($I206= "I", $J206/($F206-$E206+1), $J206/(($F206*($F206+1)/2)-(($E206-1)*($E206-1+1)/2))*P$2), 0)+IF(IF(time+1&gt;=Q$2, $K206/time_cap/(time+1)*P$2, 0) = 0, $K206/(time_cap),0)),0)</f>
        <v/>
      </c>
      <c r="Q206" s="4395">
        <f>IFERROR(IF((time+time_cap)&lt;Q$2, 0,IF(AND(time+1&gt;=R$2, $E206&lt;R$2), IF($I206= "I", $J206/($F206-$E206+1), $J206/(($F206*($F206+1)/2)-(($E206-1)*($E206-1+1)/2))*Q$2), 0)+IF(IF(time+1&gt;=R$2, $K206/time_cap/(time+1)*Q$2, 0) = 0, $K206/(time_cap),0)),0)</f>
        <v/>
      </c>
      <c r="R206" s="4395">
        <f>IFERROR(IF((time+time_cap)&lt;R$2, 0,IF(AND(time+1&gt;=S$2, $E206&lt;S$2), IF($I206= "I", $J206/($F206-$E206+1), $J206/(($F206*($F206+1)/2)-(($E206-1)*($E206-1+1)/2))*R$2), 0)+IF(IF(time+1&gt;=S$2, $K206/time_cap/(time+1)*R$2, 0) = 0, $K206/(time_cap),0)),0)</f>
        <v/>
      </c>
      <c r="S206" s="4395">
        <f>IFERROR(IF((time+time_cap)&lt;S$2, 0,IF(AND(time+1&gt;=T$2, $E206&lt;T$2), IF($I206= "I", $J206/($F206-$E206+1), $J206/(($F206*($F206+1)/2)-(($E206-1)*($E206-1+1)/2))*S$2), 0)+IF(IF(time+1&gt;=T$2, $K206/time_cap/(time+1)*S$2, 0) = 0, $K206/(time_cap),0)),0)</f>
        <v/>
      </c>
      <c r="T206" s="4395">
        <f>IFERROR(IF((time+time_cap)&lt;T$2, 0,IF(AND(time+1&gt;=U$2, $E206&lt;U$2), IF($I206= "I", $J206/($F206-$E206+1), $J206/(($F206*($F206+1)/2)-(($E206-1)*($E206-1+1)/2))*T$2), 0)+IF(IF(time+1&gt;=U$2, $K206/time_cap/(time+1)*T$2, 0) = 0, $K206/(time_cap),0)),0)</f>
        <v/>
      </c>
      <c r="U206" s="4395">
        <f>IFERROR(IF((time+time_cap)&lt;U$2, 0,IF(AND(time+1&gt;=V$2, $E206&lt;V$2), IF($I206= "I", $J206/($F206-$E206+1), $J206/(($F206*($F206+1)/2)-(($E206-1)*($E206-1+1)/2))*U$2), 0)+IF(IF(time+1&gt;=V$2, $K206/time_cap/(time+1)*U$2, 0) = 0, $K206/(time_cap),0)),0)</f>
        <v/>
      </c>
      <c r="V206" s="4395">
        <f>IFERROR(IF((time+time_cap)&lt;V$2, 0,IF(AND(time+1&gt;=W$2, $E206&lt;W$2), IF($I206= "I", $J206/($F206-$E206+1), $J206/(($F206*($F206+1)/2)-(($E206-1)*($E206-1+1)/2))*V$2), 0)+IF(IF(time+1&gt;=W$2, $K206/time_cap/(time+1)*V$2, 0) = 0, $K206/(time_cap),0)),0)</f>
        <v/>
      </c>
      <c r="W206" s="4395">
        <f>IFERROR(IF((time+time_cap)&lt;W$2, 0,IF(AND(time+1&gt;=X$2, $E206&lt;X$2), IF($I206= "I", $J206/($F206-$E206+1), $J206/(($F206*($F206+1)/2)-(($E206-1)*($E206-1+1)/2))*W$2), 0)+IF(IF(time+1&gt;=X$2, $K206/time_cap/(time+1)*W$2, 0) = 0, $K206/(time_cap),0)),0)</f>
        <v/>
      </c>
      <c r="X206" s="4395">
        <f>IFERROR(IF((time+time_cap)&lt;X$2, 0,IF(AND(time+1&gt;=Y$2, $E206&lt;Y$2), IF($I206= "I", $J206/($F206-$E206+1), $J206/(($F206*($F206+1)/2)-(($E206-1)*($E206-1+1)/2))*X$2), 0)+IF(IF(time+1&gt;=Y$2, $K206/time_cap/(time+1)*X$2, 0) = 0, $K206/(time_cap),0)),0)</f>
        <v/>
      </c>
      <c r="Y206" s="4395">
        <f>IFERROR(IF((time+time_cap)&lt;Y$2, 0,IF(AND(time+1&gt;=Z$2, $E206&lt;Z$2), IF($I206= "I", $J206/($F206-$E206+1), $J206/(($F206*($F206+1)/2)-(($E206-1)*($E206-1+1)/2))*Y$2), 0)+IF(IF(time+1&gt;=Z$2, $K206/time_cap/(time+1)*Y$2, 0) = 0, $K206/(time_cap),0)),0)</f>
        <v/>
      </c>
      <c r="Z206" s="4395">
        <f>IFERROR(IF((time+time_cap)&lt;Z$2, 0,IF(AND(time+1&gt;=AA$2, $E206&lt;AA$2), IF($I206= "I", $J206/($F206-$E206+1), $J206/(($F206*($F206+1)/2)-(($E206-1)*($E206-1+1)/2))*Z$2), 0)+IF(IF(time+1&gt;=AA$2, $K206/time_cap/(time+1)*Z$2, 0) = 0, $K206/(time_cap),0)),0)</f>
        <v/>
      </c>
      <c r="AA206" s="4395">
        <f>IFERROR(IF((time+time_cap)&lt;AA$2, 0,IF(AND(time+1&gt;=AB$2, $E206&lt;AB$2), IF($I206= "I", $J206/($F206-$E206+1), $J206/(($F206*($F206+1)/2)-(($E206-1)*($E206-1+1)/2))*AA$2), 0)+IF(IF(time+1&gt;=AB$2, $K206/time_cap/(time+1)*AA$2, 0) = 0, $K206/(time_cap),0)),0)</f>
        <v/>
      </c>
      <c r="AB206" s="4395">
        <f>IFERROR(IF((time+time_cap)&lt;AB$2, 0,IF(AND(time+1&gt;=AC$2, $E206&lt;AC$2), IF($I206= "I", $J206/($F206-$E206+1), $J206/(($F206*($F206+1)/2)-(($E206-1)*($E206-1+1)/2))*AB$2), 0)+IF(IF(time+1&gt;=AC$2, $K206/time_cap/(time+1)*AB$2, 0) = 0, $K206/(time_cap),0)),0)</f>
        <v/>
      </c>
      <c r="AC206" s="4395">
        <f>IFERROR(IF((time+time_cap)&lt;AC$2, 0,IF(AND(time+1&gt;=AD$2, $E206&lt;AD$2), IF($I206= "I", $J206/($F206-$E206+1), $J206/(($F206*($F206+1)/2)-(($E206-1)*($E206-1+1)/2))*AC$2), 0)+IF(IF(time+1&gt;=AD$2, $K206/time_cap/(time+1)*AC$2, 0) = 0, $K206/(time_cap),0)),0)</f>
        <v/>
      </c>
      <c r="AD206" s="4395">
        <f>IFERROR(IF((time+time_cap)&lt;AD$2, 0,IF(AND(time+1&gt;=AE$2, $E206&lt;AE$2), IF($I206= "I", $J206/($F206-$E206+1), $J206/(($F206*($F206+1)/2)-(($E206-1)*($E206-1+1)/2))*AD$2), 0)+IF(IF(time+1&gt;=AE$2, $K206/time_cap/(time+1)*AD$2, 0) = 0, $K206/(time_cap),0)),0)</f>
        <v/>
      </c>
      <c r="AE206" s="4395">
        <f>IFERROR(IF((time+time_cap)&lt;AE$2, 0,IF(AND(time+1&gt;=AF$2, $E206&lt;AF$2), IF($I206= "I", $J206/($F206-$E206+1), $J206/(($F206*($F206+1)/2)-(($E206-1)*($E206-1+1)/2))*AE$2), 0)+IF(IF(time+1&gt;=AF$2, $K206/time_cap/(time+1)*AE$2, 0) = 0, $K206/(time_cap),0)),0)</f>
        <v/>
      </c>
      <c r="AF206" s="4395">
        <f>IFERROR(IF((time+time_cap)&lt;AF$2, 0,IF(AND(time+1&gt;=AG$2, $E206&lt;AG$2), IF($I206= "I", $J206/($F206-$E206+1), $J206/(($F206*($F206+1)/2)-(($E206-1)*($E206-1+1)/2))*AF$2), 0)+IF(IF(time+1&gt;=AG$2, $K206/time_cap/(time+1)*AF$2, 0) = 0, $K206/(time_cap),0)),0)</f>
        <v/>
      </c>
      <c r="AG206" s="4395">
        <f>IFERROR(IF((time+time_cap)&lt;AG$2, 0,IF(AND(time+1&gt;=AH$2, $E206&lt;AH$2), IF($I206= "I", $J206/($F206-$E206+1), $J206/(($F206*($F206+1)/2)-(($E206-1)*($E206-1+1)/2))*AG$2), 0)+IF(IF(time+1&gt;=AH$2, $K206/time_cap/(time+1)*AG$2, 0) = 0, $K206/(time_cap),0)),0)</f>
        <v/>
      </c>
      <c r="AH206" s="4395">
        <f>IFERROR(IF((time+time_cap)&lt;AH$2, 0,IF(AND(time+1&gt;=AI$2, $E206&lt;AI$2), IF($I206= "I", $J206/($F206-$E206+1), $J206/(($F206*($F206+1)/2)-(($E206-1)*($E206-1+1)/2))*AH$2), 0)+IF(IF(time+1&gt;=AI$2, $K206/time_cap/(time+1)*AH$2, 0) = 0, $K206/(time_cap),0)),0)</f>
        <v/>
      </c>
      <c r="AI206" s="4395">
        <f>IFERROR(IF((time+time_cap)&lt;AI$2, 0,IF(AND(time+1&gt;=AJ$2, $E206&lt;AJ$2), IF($I206= "I", $J206/($F206-$E206+1), $J206/(($F206*($F206+1)/2)-(($E206-1)*($E206-1+1)/2))*AI$2), 0)+IF(IF(time+1&gt;=AJ$2, $K206/time_cap/(time+1)*AI$2, 0) = 0, $K206/(time_cap),0)),0)</f>
        <v/>
      </c>
      <c r="AJ206" s="4395">
        <f>IFERROR(IF((time+time_cap)&lt;AJ$2, 0,IF(AND(time+1&gt;=AK$2, $E206&lt;AK$2), IF($I206= "I", $J206/($F206-$E206+1), $J206/(($F206*($F206+1)/2)-(($E206-1)*($E206-1+1)/2))*AJ$2), 0)+IF(IF(time+1&gt;=AK$2, $K206/time_cap/(time+1)*AJ$2, 0) = 0, $K206/(time_cap),0)),0)</f>
        <v/>
      </c>
      <c r="AK206" s="4395">
        <f>IFERROR(IF((time+time_cap)&lt;AK$2, 0,IF(AND(time+1&gt;=AL$2, $E206&lt;AL$2), IF($I206= "I", $J206/($F206-$E206+1), $J206/(($F206*($F206+1)/2)-(($E206-1)*($E206-1+1)/2))*AK$2), 0)+IF(IF(time+1&gt;=AL$2, $K206/time_cap/(time+1)*AK$2, 0) = 0, $K206/(time_cap),0)),0)</f>
        <v/>
      </c>
      <c r="AL206" s="4395">
        <f>IFERROR(IF((time+time_cap)&lt;AL$2, 0,IF(AND(time+1&gt;=AM$2, $E206&lt;AM$2), IF($I206= "I", $J206/($F206-$E206+1), $J206/(($F206*($F206+1)/2)-(($E206-1)*($E206-1+1)/2))*AL$2), 0)+IF(IF(time+1&gt;=AM$2, $K206/time_cap/(time+1)*AL$2, 0) = 0, $K206/(time_cap),0)),0)</f>
        <v/>
      </c>
      <c r="AM206" s="4395">
        <f>IFERROR(IF((time+time_cap)&lt;AM$2, 0,IF(AND(time+1&gt;=AN$2, $E206&lt;AN$2), IF($I206= "I", $J206/($F206-$E206+1), $J206/(($F206*($F206+1)/2)-(($E206-1)*($E206-1+1)/2))*AM$2), 0)+IF(IF(time+1&gt;=AN$2, $K206/time_cap/(time+1)*AM$2, 0) = 0, $K206/(time_cap),0)),0)</f>
        <v/>
      </c>
      <c r="AN206" s="4395">
        <f>IFERROR(IF((time+time_cap)&lt;AN$2, 0,IF(AND(time+1&gt;=AO$2, $E206&lt;AO$2), IF($I206= "I", $J206/($F206-$E206+1), $J206/(($F206*($F206+1)/2)-(($E206-1)*($E206-1+1)/2))*AN$2), 0)+IF(IF(time+1&gt;=AO$2, $K206/time_cap/(time+1)*AN$2, 0) = 0, $K206/(time_cap),0)),0)</f>
        <v/>
      </c>
      <c r="AO206" s="4395">
        <f>IFERROR(IF((time+time_cap)&lt;AO$2, 0,IF(AND(time+1&gt;=AP$2, $E206&lt;AP$2), IF($I206= "I", $J206/($F206-$E206+1), $J206/(($F206*($F206+1)/2)-(($E206-1)*($E206-1+1)/2))*AO$2), 0)+IF(IF(time+1&gt;=AP$2, $K206/time_cap/(time+1)*AO$2, 0) = 0, $K206/(time_cap),0)),0)</f>
        <v/>
      </c>
      <c r="AP206" s="4395">
        <f>IFERROR(IF((time+time_cap)&lt;AP$2, 0,IF(AND(time+1&gt;=AQ$2, $E206&lt;AQ$2), IF($I206= "I", $J206/($F206-$E206+1), $J206/(($F206*($F206+1)/2)-(($E206-1)*($E206-1+1)/2))*AP$2), 0)+IF(IF(time+1&gt;=AQ$2, $K206/time_cap/(time+1)*AP$2, 0) = 0, $K206/(time_cap),0)),0)</f>
        <v/>
      </c>
      <c r="AQ206" s="4395">
        <f>IFERROR(IF((time+time_cap)&lt;AQ$2, 0,IF(AND(time+1&gt;=AR$2, $E206&lt;AR$2), IF($I206= "I", $J206/($F206-$E206+1), $J206/(($F206*($F206+1)/2)-(($E206-1)*($E206-1+1)/2))*AQ$2), 0)+IF(IF(time+1&gt;=AR$2, $K206/time_cap/(time+1)*AQ$2, 0) = 0, $K206/(time_cap),0)),0)</f>
        <v/>
      </c>
      <c r="AR206" s="4395">
        <f>IFERROR(IF((time+time_cap)&lt;AR$2, 0,IF(AND(time+1&gt;=AS$2, $E206&lt;AS$2), IF($I206= "I", $J206/($F206-$E206+1), $J206/(($F206*($F206+1)/2)-(($E206-1)*($E206-1+1)/2))*AR$2), 0)+IF(IF(time+1&gt;=AS$2, $K206/time_cap/(time+1)*AR$2, 0) = 0, $K206/(time_cap),0)),0)</f>
        <v/>
      </c>
      <c r="AS206" s="4395">
        <f>IFERROR(IF((time+time_cap)&lt;AS$2, 0,IF(AND(time+1&gt;=AT$2, $E206&lt;AT$2), IF($I206= "I", $J206/($F206-$E206+1), $J206/(($F206*($F206+1)/2)-(($E206-1)*($E206-1+1)/2))*AS$2), 0)+IF(IF(time+1&gt;=AT$2, $K206/time_cap/(time+1)*AS$2, 0) = 0, $K206/(time_cap),0)),0)</f>
        <v/>
      </c>
      <c r="AT206" s="4395">
        <f>IFERROR(IF((time+time_cap)&lt;AT$2, 0,IF(AND(time+1&gt;=AU$2, $E206&lt;AU$2), IF($I206= "I", $J206/($F206-$E206+1), $J206/(($F206*($F206+1)/2)-(($E206-1)*($E206-1+1)/2))*AT$2), 0)+IF(IF(time+1&gt;=AU$2, $K206/time_cap/(time+1)*AT$2, 0) = 0, $K206/(time_cap),0)),0)</f>
        <v/>
      </c>
      <c r="AU206" s="4395">
        <f>IFERROR(IF((time+time_cap)&lt;AU$2, 0,IF(AND(time+1&gt;=AV$2, $E206&lt;AV$2), IF($I206= "I", $J206/($F206-$E206+1), $J206/(($F206*($F206+1)/2)-(($E206-1)*($E206-1+1)/2))*AU$2), 0)+IF(IF(time+1&gt;=AV$2, $K206/time_cap/(time+1)*AU$2, 0) = 0, $K206/(time_cap),0)),0)</f>
        <v/>
      </c>
      <c r="AV206" s="4395">
        <f>IFERROR(IF((time+time_cap)&lt;AV$2, 0,IF(AND(time+1&gt;=AW$2, $E206&lt;AW$2), IF($I206= "I", $J206/($F206-$E206+1), $J206/(($F206*($F206+1)/2)-(($E206-1)*($E206-1+1)/2))*AV$2), 0)+IF(IF(time+1&gt;=AW$2, $K206/time_cap/(time+1)*AV$2, 0) = 0, $K206/(time_cap),0)),0)</f>
        <v/>
      </c>
      <c r="AW206" s="4395">
        <f>IFERROR(IF((time+time_cap)&lt;AW$2, 0,IF(AND(time+1&gt;=AX$2, $E206&lt;AX$2), IF($I206= "I", $J206/($F206-$E206+1), $J206/(($F206*($F206+1)/2)-(($E206-1)*($E206-1+1)/2))*AW$2), 0)+IF(IF(time+1&gt;=AX$2, $K206/time_cap/(time+1)*AW$2, 0) = 0, $K206/(time_cap),0)),0)</f>
        <v/>
      </c>
      <c r="AX206" s="4395">
        <f>IFERROR(IF((time+time_cap)&lt;AX$2, 0,IF(AND(time+1&gt;=AY$2, $E206&lt;AY$2), IF($I206= "I", $J206/($F206-$E206+1), $J206/(($F206*($F206+1)/2)-(($E206-1)*($E206-1+1)/2))*AX$2), 0)+IF(IF(time+1&gt;=AY$2, $K206/time_cap/(time+1)*AX$2, 0) = 0, $K206/(time_cap),0)),0)</f>
        <v/>
      </c>
      <c r="AY206" s="4395">
        <f>IFERROR(IF((time+time_cap)&lt;AY$2, 0,IF(AND(time+1&gt;=AZ$2, $E206&lt;AZ$2), IF($I206= "I", $J206/($F206-$E206+1), $J206/(($F206*($F206+1)/2)-(($E206-1)*($E206-1+1)/2))*AY$2), 0)+IF(IF(time+1&gt;=AZ$2, $K206/time_cap/(time+1)*AY$2, 0) = 0, $K206/(time_cap),0)),0)</f>
        <v/>
      </c>
      <c r="AZ206" s="4395">
        <f>IFERROR(IF((time+time_cap)&lt;AZ$2, 0,IF(AND(time+1&gt;=BA$2, $E206&lt;BA$2), IF($I206= "I", $J206/($F206-$E206+1), $J206/(($F206*($F206+1)/2)-(($E206-1)*($E206-1+1)/2))*AZ$2), 0)+IF(IF(time+1&gt;=BA$2, $K206/time_cap/(time+1)*AZ$2, 0) = 0, $K206/(time_cap),0)),0)</f>
        <v/>
      </c>
      <c r="BA206" s="4395">
        <f>IFERROR(IF((time+time_cap)&lt;BA$2, 0,IF(AND(time+1&gt;=BB$2, $E206&lt;BB$2), IF($I206= "I", $J206/($F206-$E206+1), $J206/(($F206*($F206+1)/2)-(($E206-1)*($E206-1+1)/2))*BA$2), 0)+IF(IF(time+1&gt;=BB$2, $K206/time_cap/(time+1)*BA$2, 0) = 0, $K206/(time_cap),0)),0)</f>
        <v/>
      </c>
      <c r="BB206" s="4395">
        <f>IFERROR(IF((time+time_cap)&lt;BB$2, 0,IF(AND(time+1&gt;=BC$2, $E206&lt;BC$2), IF($I206= "I", $J206/($F206-$E206+1), $J206/(($F206*($F206+1)/2)-(($E206-1)*($E206-1+1)/2))*BB$2), 0)+IF(IF(time+1&gt;=BC$2, $K206/time_cap/(time+1)*BB$2, 0) = 0, $K206/(time_cap),0)),0)</f>
        <v/>
      </c>
      <c r="BC206" s="4395">
        <f>IFERROR(IF((time+time_cap)&lt;BC$2, 0,IF(AND(time+1&gt;=BD$2, $E206&lt;BD$2), IF($I206= "I", $J206/($F206-$E206+1), $J206/(($F206*($F206+1)/2)-(($E206-1)*($E206-1+1)/2))*BC$2), 0)+IF(IF(time+1&gt;=BD$2, $K206/time_cap/(time+1)*BC$2, 0) = 0, $K206/(time_cap),0)),0)</f>
        <v/>
      </c>
      <c r="BD206" s="4395">
        <f>IFERROR(IF((time+time_cap)&lt;BD$2, 0,IF(AND(time+1&gt;=BE$2, $E206&lt;BE$2), IF($I206= "I", $J206/($F206-$E206+1), $J206/(($F206*($F206+1)/2)-(($E206-1)*($E206-1+1)/2))*BD$2), 0)+IF(IF(time+1&gt;=BE$2, $K206/time_cap/(time+1)*BD$2, 0) = 0, $K206/(time_cap),0)),0)</f>
        <v/>
      </c>
      <c r="BE206" s="4395">
        <f>IFERROR(IF((time+time_cap)&lt;BE$2, 0,IF(AND(time+1&gt;=BF$2, $E206&lt;BF$2), IF($I206= "I", $J206/($F206-$E206+1), $J206/(($F206*($F206+1)/2)-(($E206-1)*($E206-1+1)/2))*BE$2), 0)+IF(IF(time+1&gt;=BF$2, $K206/time_cap/(time+1)*BE$2, 0) = 0, $K206/(time_cap),0)),0)</f>
        <v/>
      </c>
      <c r="BF206" s="4395">
        <f>IFERROR(IF((time+time_cap)&lt;BF$2, 0,IF(AND(time+1&gt;=BG$2, $E206&lt;BG$2), IF($I206= "I", $J206/($F206-$E206+1), $J206/(($F206*($F206+1)/2)-(($E206-1)*($E206-1+1)/2))*BF$2), 0)+IF(IF(time+1&gt;=BG$2, $K206/time_cap/(time+1)*BF$2, 0) = 0, $K206/(time_cap),0)),0)</f>
        <v/>
      </c>
      <c r="BG206" s="4395">
        <f>IFERROR(IF((time+time_cap)&lt;BG$2, 0,IF(AND(time+1&gt;=BH$2, $E206&lt;BH$2), IF($I206= "I", $J206/($F206-$E206+1), $J206/(($F206*($F206+1)/2)-(($E206-1)*($E206-1+1)/2))*BG$2), 0)+IF(IF(time+1&gt;=BH$2, $K206/time_cap/(time+1)*BG$2, 0) = 0, $K206/(time_cap),0)),0)</f>
        <v/>
      </c>
      <c r="BH206" s="4395">
        <f>IFERROR(IF((time+time_cap)&lt;BH$2, 0,IF(AND(time+1&gt;=BI$2, $E206&lt;BI$2), IF($I206= "I", $J206/($F206-$E206+1), $J206/(($F206*($F206+1)/2)-(($E206-1)*($E206-1+1)/2))*BH$2), 0)+IF(IF(time+1&gt;=BI$2, $K206/time_cap/(time+1)*BH$2, 0) = 0, $K206/(time_cap),0)),0)</f>
        <v/>
      </c>
      <c r="BI206" s="4395">
        <f>IFERROR(IF((time+time_cap)&lt;BI$2, 0,IF(AND(time+1&gt;=BJ$2, $E206&lt;BJ$2), IF($I206= "I", $J206/($F206-$E206+1), $J206/(($F206*($F206+1)/2)-(($E206-1)*($E206-1+1)/2))*BI$2), 0)+IF(IF(time+1&gt;=BJ$2, $K206/time_cap/(time+1)*BI$2, 0) = 0, $K206/(time_cap),0)),0)</f>
        <v/>
      </c>
      <c r="BJ206" s="4395">
        <f>IFERROR(IF((time+time_cap)&lt;BJ$2, 0,IF(AND(time+1&gt;=BK$2, $E206&lt;BK$2), IF($I206= "I", $J206/($F206-$E206+1), $J206/(($F206*($F206+1)/2)-(($E206-1)*($E206-1+1)/2))*BJ$2), 0)+IF(IF(time+1&gt;=BK$2, $K206/time_cap/(time+1)*BJ$2, 0) = 0, $K206/(time_cap),0)),0)</f>
        <v/>
      </c>
      <c r="BK206" s="4395" t="n"/>
      <c r="BL206" s="4395" t="n"/>
      <c r="BM206" s="4395" t="n"/>
      <c r="BN206" s="4395" t="n"/>
      <c r="BO206" s="4395" t="n"/>
      <c r="BP206" s="4395" t="n"/>
      <c r="BQ206" s="4395" t="n"/>
      <c r="BR206" s="4395" t="n"/>
      <c r="BS206" s="4395" t="n"/>
      <c r="BT206" s="4395" t="n"/>
      <c r="BU206" s="4395" t="n"/>
      <c r="BV206" s="4395" t="n"/>
      <c r="BW206" s="4395" t="n"/>
      <c r="BX206" s="4395" t="n"/>
      <c r="BY206" s="4395" t="n"/>
      <c r="BZ206" s="4395" t="n"/>
      <c r="CA206" s="4395" t="n"/>
      <c r="CB206" s="4395" t="n"/>
      <c r="CC206" s="4395" t="n"/>
      <c r="CD206" s="4395" t="n"/>
      <c r="CE206" s="4395" t="n"/>
      <c r="CF206" s="4395" t="n"/>
      <c r="CG206" s="4395" t="n"/>
      <c r="CH206" s="4395" t="n"/>
      <c r="CI206" s="4395" t="n"/>
      <c r="CJ206" s="4395" t="n"/>
      <c r="CK206" s="4395" t="n"/>
      <c r="CL206" s="4395" t="n"/>
      <c r="CM206" s="4395" t="n"/>
      <c r="CN206" s="4395" t="n"/>
      <c r="CO206" s="4395" t="n"/>
      <c r="CP206" s="4395" t="n"/>
      <c r="CQ206" s="4395" t="n"/>
      <c r="CR206" s="4395" t="n"/>
      <c r="CS206" s="4395" t="n"/>
      <c r="CT206" s="4395" t="n"/>
      <c r="CU206" s="4395" t="n"/>
      <c r="CV206" s="4395" t="n"/>
      <c r="CW206" s="4395" t="n"/>
      <c r="CX206" s="4395" t="n"/>
      <c r="CY206" s="4395" t="n"/>
      <c r="CZ206" s="4395" t="n"/>
      <c r="DA206" s="4395" t="n"/>
      <c r="DB206" s="4395" t="n"/>
      <c r="DC206" s="4395" t="n"/>
      <c r="DD206" s="4395" t="n"/>
      <c r="DE206" s="4395" t="n"/>
      <c r="DF206" s="4395" t="n"/>
      <c r="DG206" s="4395" t="n"/>
      <c r="DH206" s="4395" t="n"/>
    </row>
    <row r="207" ht="16" customHeight="1">
      <c r="A207" t="inlineStr">
        <is>
          <t>Inputs</t>
        </is>
      </c>
      <c r="C207">
        <f>'9.Inputs'!C18</f>
        <v/>
      </c>
      <c r="D207">
        <f>'9.Inputs'!V18</f>
        <v/>
      </c>
      <c r="E207">
        <f>IF('9.Inputs'!BE18&lt;&gt;0,'9.Inputs'!BE18,'9.Inputs'!BD18)</f>
        <v/>
      </c>
      <c r="F207">
        <f>time</f>
        <v/>
      </c>
      <c r="G207" s="4395">
        <f>'9.Inputs'!F18</f>
        <v/>
      </c>
      <c r="H207" s="4395">
        <f>'9.Inputs'!H18</f>
        <v/>
      </c>
      <c r="I207" s="4395">
        <f>IF(OR(H207="I", G207="I"), "I", IF(OR(H207="E", G207="E"), "E", "D"))</f>
        <v/>
      </c>
      <c r="J207" s="4395">
        <f>((D207/(time_cap+((F207-E207+1)*VLOOKUP(I207,list!$I$48:$K$50,3, FALSE))))*(F207-E207+1)*VLOOKUP(I207,list!$I$48:$K$50,3, FALSE))</f>
        <v/>
      </c>
      <c r="K207" s="4395">
        <f>((D207/(time_cap+((F207-E207+1)*VLOOKUP(I207,list!$I$48:$K$50,3, FALSE))))*time_cap)</f>
        <v/>
      </c>
      <c r="M207" s="4395">
        <f>IFERROR(IF((time+time_cap)&lt;M$2, 0,IF(AND(time+1&gt;=N$2, $E207&lt;N$2), IF($I207= "I", $J207/($F207-$E207+1), $J207/(($F207*($F207+1)/2)-(($E207-1)*($E207-1+1)/2))*M$2), 0)+IF(IF(time+1&gt;=N$2, $K207/time_cap/(time+1)*M$2, 0) = 0, $K207/(time_cap),0)),0)</f>
        <v/>
      </c>
      <c r="N207" s="4395">
        <f>IFERROR(IF((time+time_cap)&lt;N$2, 0,IF(AND(time+1&gt;=O$2, $E207&lt;O$2), IF($I207= "I", $J207/($F207-$E207+1), $J207/(($F207*($F207+1)/2)-(($E207-1)*($E207-1+1)/2))*N$2), 0)+IF(IF(time+1&gt;=O$2, $K207/time_cap/(time+1)*N$2, 0) = 0, $K207/(time_cap),0)),0)</f>
        <v/>
      </c>
      <c r="O207" s="4395">
        <f>IFERROR(IF((time+time_cap)&lt;O$2, 0,IF(AND(time+1&gt;=P$2, $E207&lt;P$2), IF($I207= "I", $J207/($F207-$E207+1), $J207/(($F207*($F207+1)/2)-(($E207-1)*($E207-1+1)/2))*O$2), 0)+IF(IF(time+1&gt;=P$2, $K207/time_cap/(time+1)*O$2, 0) = 0, $K207/(time_cap),0)),0)</f>
        <v/>
      </c>
      <c r="P207" s="4395">
        <f>IFERROR(IF((time+time_cap)&lt;P$2, 0,IF(AND(time+1&gt;=Q$2, $E207&lt;Q$2), IF($I207= "I", $J207/($F207-$E207+1), $J207/(($F207*($F207+1)/2)-(($E207-1)*($E207-1+1)/2))*P$2), 0)+IF(IF(time+1&gt;=Q$2, $K207/time_cap/(time+1)*P$2, 0) = 0, $K207/(time_cap),0)),0)</f>
        <v/>
      </c>
      <c r="Q207" s="4395">
        <f>IFERROR(IF((time+time_cap)&lt;Q$2, 0,IF(AND(time+1&gt;=R$2, $E207&lt;R$2), IF($I207= "I", $J207/($F207-$E207+1), $J207/(($F207*($F207+1)/2)-(($E207-1)*($E207-1+1)/2))*Q$2), 0)+IF(IF(time+1&gt;=R$2, $K207/time_cap/(time+1)*Q$2, 0) = 0, $K207/(time_cap),0)),0)</f>
        <v/>
      </c>
      <c r="R207" s="4395">
        <f>IFERROR(IF((time+time_cap)&lt;R$2, 0,IF(AND(time+1&gt;=S$2, $E207&lt;S$2), IF($I207= "I", $J207/($F207-$E207+1), $J207/(($F207*($F207+1)/2)-(($E207-1)*($E207-1+1)/2))*R$2), 0)+IF(IF(time+1&gt;=S$2, $K207/time_cap/(time+1)*R$2, 0) = 0, $K207/(time_cap),0)),0)</f>
        <v/>
      </c>
      <c r="S207" s="4395">
        <f>IFERROR(IF((time+time_cap)&lt;S$2, 0,IF(AND(time+1&gt;=T$2, $E207&lt;T$2), IF($I207= "I", $J207/($F207-$E207+1), $J207/(($F207*($F207+1)/2)-(($E207-1)*($E207-1+1)/2))*S$2), 0)+IF(IF(time+1&gt;=T$2, $K207/time_cap/(time+1)*S$2, 0) = 0, $K207/(time_cap),0)),0)</f>
        <v/>
      </c>
      <c r="T207" s="4395">
        <f>IFERROR(IF((time+time_cap)&lt;T$2, 0,IF(AND(time+1&gt;=U$2, $E207&lt;U$2), IF($I207= "I", $J207/($F207-$E207+1), $J207/(($F207*($F207+1)/2)-(($E207-1)*($E207-1+1)/2))*T$2), 0)+IF(IF(time+1&gt;=U$2, $K207/time_cap/(time+1)*T$2, 0) = 0, $K207/(time_cap),0)),0)</f>
        <v/>
      </c>
      <c r="U207" s="4395">
        <f>IFERROR(IF((time+time_cap)&lt;U$2, 0,IF(AND(time+1&gt;=V$2, $E207&lt;V$2), IF($I207= "I", $J207/($F207-$E207+1), $J207/(($F207*($F207+1)/2)-(($E207-1)*($E207-1+1)/2))*U$2), 0)+IF(IF(time+1&gt;=V$2, $K207/time_cap/(time+1)*U$2, 0) = 0, $K207/(time_cap),0)),0)</f>
        <v/>
      </c>
      <c r="V207" s="4395">
        <f>IFERROR(IF((time+time_cap)&lt;V$2, 0,IF(AND(time+1&gt;=W$2, $E207&lt;W$2), IF($I207= "I", $J207/($F207-$E207+1), $J207/(($F207*($F207+1)/2)-(($E207-1)*($E207-1+1)/2))*V$2), 0)+IF(IF(time+1&gt;=W$2, $K207/time_cap/(time+1)*V$2, 0) = 0, $K207/(time_cap),0)),0)</f>
        <v/>
      </c>
      <c r="W207" s="4395">
        <f>IFERROR(IF((time+time_cap)&lt;W$2, 0,IF(AND(time+1&gt;=X$2, $E207&lt;X$2), IF($I207= "I", $J207/($F207-$E207+1), $J207/(($F207*($F207+1)/2)-(($E207-1)*($E207-1+1)/2))*W$2), 0)+IF(IF(time+1&gt;=X$2, $K207/time_cap/(time+1)*W$2, 0) = 0, $K207/(time_cap),0)),0)</f>
        <v/>
      </c>
      <c r="X207" s="4395">
        <f>IFERROR(IF((time+time_cap)&lt;X$2, 0,IF(AND(time+1&gt;=Y$2, $E207&lt;Y$2), IF($I207= "I", $J207/($F207-$E207+1), $J207/(($F207*($F207+1)/2)-(($E207-1)*($E207-1+1)/2))*X$2), 0)+IF(IF(time+1&gt;=Y$2, $K207/time_cap/(time+1)*X$2, 0) = 0, $K207/(time_cap),0)),0)</f>
        <v/>
      </c>
      <c r="Y207" s="4395">
        <f>IFERROR(IF((time+time_cap)&lt;Y$2, 0,IF(AND(time+1&gt;=Z$2, $E207&lt;Z$2), IF($I207= "I", $J207/($F207-$E207+1), $J207/(($F207*($F207+1)/2)-(($E207-1)*($E207-1+1)/2))*Y$2), 0)+IF(IF(time+1&gt;=Z$2, $K207/time_cap/(time+1)*Y$2, 0) = 0, $K207/(time_cap),0)),0)</f>
        <v/>
      </c>
      <c r="Z207" s="4395">
        <f>IFERROR(IF((time+time_cap)&lt;Z$2, 0,IF(AND(time+1&gt;=AA$2, $E207&lt;AA$2), IF($I207= "I", $J207/($F207-$E207+1), $J207/(($F207*($F207+1)/2)-(($E207-1)*($E207-1+1)/2))*Z$2), 0)+IF(IF(time+1&gt;=AA$2, $K207/time_cap/(time+1)*Z$2, 0) = 0, $K207/(time_cap),0)),0)</f>
        <v/>
      </c>
      <c r="AA207" s="4395">
        <f>IFERROR(IF((time+time_cap)&lt;AA$2, 0,IF(AND(time+1&gt;=AB$2, $E207&lt;AB$2), IF($I207= "I", $J207/($F207-$E207+1), $J207/(($F207*($F207+1)/2)-(($E207-1)*($E207-1+1)/2))*AA$2), 0)+IF(IF(time+1&gt;=AB$2, $K207/time_cap/(time+1)*AA$2, 0) = 0, $K207/(time_cap),0)),0)</f>
        <v/>
      </c>
      <c r="AB207" s="4395">
        <f>IFERROR(IF((time+time_cap)&lt;AB$2, 0,IF(AND(time+1&gt;=AC$2, $E207&lt;AC$2), IF($I207= "I", $J207/($F207-$E207+1), $J207/(($F207*($F207+1)/2)-(($E207-1)*($E207-1+1)/2))*AB$2), 0)+IF(IF(time+1&gt;=AC$2, $K207/time_cap/(time+1)*AB$2, 0) = 0, $K207/(time_cap),0)),0)</f>
        <v/>
      </c>
      <c r="AC207" s="4395">
        <f>IFERROR(IF((time+time_cap)&lt;AC$2, 0,IF(AND(time+1&gt;=AD$2, $E207&lt;AD$2), IF($I207= "I", $J207/($F207-$E207+1), $J207/(($F207*($F207+1)/2)-(($E207-1)*($E207-1+1)/2))*AC$2), 0)+IF(IF(time+1&gt;=AD$2, $K207/time_cap/(time+1)*AC$2, 0) = 0, $K207/(time_cap),0)),0)</f>
        <v/>
      </c>
      <c r="AD207" s="4395">
        <f>IFERROR(IF((time+time_cap)&lt;AD$2, 0,IF(AND(time+1&gt;=AE$2, $E207&lt;AE$2), IF($I207= "I", $J207/($F207-$E207+1), $J207/(($F207*($F207+1)/2)-(($E207-1)*($E207-1+1)/2))*AD$2), 0)+IF(IF(time+1&gt;=AE$2, $K207/time_cap/(time+1)*AD$2, 0) = 0, $K207/(time_cap),0)),0)</f>
        <v/>
      </c>
      <c r="AE207" s="4395">
        <f>IFERROR(IF((time+time_cap)&lt;AE$2, 0,IF(AND(time+1&gt;=AF$2, $E207&lt;AF$2), IF($I207= "I", $J207/($F207-$E207+1), $J207/(($F207*($F207+1)/2)-(($E207-1)*($E207-1+1)/2))*AE$2), 0)+IF(IF(time+1&gt;=AF$2, $K207/time_cap/(time+1)*AE$2, 0) = 0, $K207/(time_cap),0)),0)</f>
        <v/>
      </c>
      <c r="AF207" s="4395">
        <f>IFERROR(IF((time+time_cap)&lt;AF$2, 0,IF(AND(time+1&gt;=AG$2, $E207&lt;AG$2), IF($I207= "I", $J207/($F207-$E207+1), $J207/(($F207*($F207+1)/2)-(($E207-1)*($E207-1+1)/2))*AF$2), 0)+IF(IF(time+1&gt;=AG$2, $K207/time_cap/(time+1)*AF$2, 0) = 0, $K207/(time_cap),0)),0)</f>
        <v/>
      </c>
      <c r="AG207" s="4395">
        <f>IFERROR(IF((time+time_cap)&lt;AG$2, 0,IF(AND(time+1&gt;=AH$2, $E207&lt;AH$2), IF($I207= "I", $J207/($F207-$E207+1), $J207/(($F207*($F207+1)/2)-(($E207-1)*($E207-1+1)/2))*AG$2), 0)+IF(IF(time+1&gt;=AH$2, $K207/time_cap/(time+1)*AG$2, 0) = 0, $K207/(time_cap),0)),0)</f>
        <v/>
      </c>
      <c r="AH207" s="4395">
        <f>IFERROR(IF((time+time_cap)&lt;AH$2, 0,IF(AND(time+1&gt;=AI$2, $E207&lt;AI$2), IF($I207= "I", $J207/($F207-$E207+1), $J207/(($F207*($F207+1)/2)-(($E207-1)*($E207-1+1)/2))*AH$2), 0)+IF(IF(time+1&gt;=AI$2, $K207/time_cap/(time+1)*AH$2, 0) = 0, $K207/(time_cap),0)),0)</f>
        <v/>
      </c>
      <c r="AI207" s="4395">
        <f>IFERROR(IF((time+time_cap)&lt;AI$2, 0,IF(AND(time+1&gt;=AJ$2, $E207&lt;AJ$2), IF($I207= "I", $J207/($F207-$E207+1), $J207/(($F207*($F207+1)/2)-(($E207-1)*($E207-1+1)/2))*AI$2), 0)+IF(IF(time+1&gt;=AJ$2, $K207/time_cap/(time+1)*AI$2, 0) = 0, $K207/(time_cap),0)),0)</f>
        <v/>
      </c>
      <c r="AJ207" s="4395">
        <f>IFERROR(IF((time+time_cap)&lt;AJ$2, 0,IF(AND(time+1&gt;=AK$2, $E207&lt;AK$2), IF($I207= "I", $J207/($F207-$E207+1), $J207/(($F207*($F207+1)/2)-(($E207-1)*($E207-1+1)/2))*AJ$2), 0)+IF(IF(time+1&gt;=AK$2, $K207/time_cap/(time+1)*AJ$2, 0) = 0, $K207/(time_cap),0)),0)</f>
        <v/>
      </c>
      <c r="AK207" s="4395">
        <f>IFERROR(IF((time+time_cap)&lt;AK$2, 0,IF(AND(time+1&gt;=AL$2, $E207&lt;AL$2), IF($I207= "I", $J207/($F207-$E207+1), $J207/(($F207*($F207+1)/2)-(($E207-1)*($E207-1+1)/2))*AK$2), 0)+IF(IF(time+1&gt;=AL$2, $K207/time_cap/(time+1)*AK$2, 0) = 0, $K207/(time_cap),0)),0)</f>
        <v/>
      </c>
      <c r="AL207" s="4395">
        <f>IFERROR(IF((time+time_cap)&lt;AL$2, 0,IF(AND(time+1&gt;=AM$2, $E207&lt;AM$2), IF($I207= "I", $J207/($F207-$E207+1), $J207/(($F207*($F207+1)/2)-(($E207-1)*($E207-1+1)/2))*AL$2), 0)+IF(IF(time+1&gt;=AM$2, $K207/time_cap/(time+1)*AL$2, 0) = 0, $K207/(time_cap),0)),0)</f>
        <v/>
      </c>
      <c r="AM207" s="4395">
        <f>IFERROR(IF((time+time_cap)&lt;AM$2, 0,IF(AND(time+1&gt;=AN$2, $E207&lt;AN$2), IF($I207= "I", $J207/($F207-$E207+1), $J207/(($F207*($F207+1)/2)-(($E207-1)*($E207-1+1)/2))*AM$2), 0)+IF(IF(time+1&gt;=AN$2, $K207/time_cap/(time+1)*AM$2, 0) = 0, $K207/(time_cap),0)),0)</f>
        <v/>
      </c>
      <c r="AN207" s="4395">
        <f>IFERROR(IF((time+time_cap)&lt;AN$2, 0,IF(AND(time+1&gt;=AO$2, $E207&lt;AO$2), IF($I207= "I", $J207/($F207-$E207+1), $J207/(($F207*($F207+1)/2)-(($E207-1)*($E207-1+1)/2))*AN$2), 0)+IF(IF(time+1&gt;=AO$2, $K207/time_cap/(time+1)*AN$2, 0) = 0, $K207/(time_cap),0)),0)</f>
        <v/>
      </c>
      <c r="AO207" s="4395">
        <f>IFERROR(IF((time+time_cap)&lt;AO$2, 0,IF(AND(time+1&gt;=AP$2, $E207&lt;AP$2), IF($I207= "I", $J207/($F207-$E207+1), $J207/(($F207*($F207+1)/2)-(($E207-1)*($E207-1+1)/2))*AO$2), 0)+IF(IF(time+1&gt;=AP$2, $K207/time_cap/(time+1)*AO$2, 0) = 0, $K207/(time_cap),0)),0)</f>
        <v/>
      </c>
      <c r="AP207" s="4395">
        <f>IFERROR(IF((time+time_cap)&lt;AP$2, 0,IF(AND(time+1&gt;=AQ$2, $E207&lt;AQ$2), IF($I207= "I", $J207/($F207-$E207+1), $J207/(($F207*($F207+1)/2)-(($E207-1)*($E207-1+1)/2))*AP$2), 0)+IF(IF(time+1&gt;=AQ$2, $K207/time_cap/(time+1)*AP$2, 0) = 0, $K207/(time_cap),0)),0)</f>
        <v/>
      </c>
      <c r="AQ207" s="4395">
        <f>IFERROR(IF((time+time_cap)&lt;AQ$2, 0,IF(AND(time+1&gt;=AR$2, $E207&lt;AR$2), IF($I207= "I", $J207/($F207-$E207+1), $J207/(($F207*($F207+1)/2)-(($E207-1)*($E207-1+1)/2))*AQ$2), 0)+IF(IF(time+1&gt;=AR$2, $K207/time_cap/(time+1)*AQ$2, 0) = 0, $K207/(time_cap),0)),0)</f>
        <v/>
      </c>
      <c r="AR207" s="4395">
        <f>IFERROR(IF((time+time_cap)&lt;AR$2, 0,IF(AND(time+1&gt;=AS$2, $E207&lt;AS$2), IF($I207= "I", $J207/($F207-$E207+1), $J207/(($F207*($F207+1)/2)-(($E207-1)*($E207-1+1)/2))*AR$2), 0)+IF(IF(time+1&gt;=AS$2, $K207/time_cap/(time+1)*AR$2, 0) = 0, $K207/(time_cap),0)),0)</f>
        <v/>
      </c>
      <c r="AS207" s="4395">
        <f>IFERROR(IF((time+time_cap)&lt;AS$2, 0,IF(AND(time+1&gt;=AT$2, $E207&lt;AT$2), IF($I207= "I", $J207/($F207-$E207+1), $J207/(($F207*($F207+1)/2)-(($E207-1)*($E207-1+1)/2))*AS$2), 0)+IF(IF(time+1&gt;=AT$2, $K207/time_cap/(time+1)*AS$2, 0) = 0, $K207/(time_cap),0)),0)</f>
        <v/>
      </c>
      <c r="AT207" s="4395">
        <f>IFERROR(IF((time+time_cap)&lt;AT$2, 0,IF(AND(time+1&gt;=AU$2, $E207&lt;AU$2), IF($I207= "I", $J207/($F207-$E207+1), $J207/(($F207*($F207+1)/2)-(($E207-1)*($E207-1+1)/2))*AT$2), 0)+IF(IF(time+1&gt;=AU$2, $K207/time_cap/(time+1)*AT$2, 0) = 0, $K207/(time_cap),0)),0)</f>
        <v/>
      </c>
      <c r="AU207" s="4395">
        <f>IFERROR(IF((time+time_cap)&lt;AU$2, 0,IF(AND(time+1&gt;=AV$2, $E207&lt;AV$2), IF($I207= "I", $J207/($F207-$E207+1), $J207/(($F207*($F207+1)/2)-(($E207-1)*($E207-1+1)/2))*AU$2), 0)+IF(IF(time+1&gt;=AV$2, $K207/time_cap/(time+1)*AU$2, 0) = 0, $K207/(time_cap),0)),0)</f>
        <v/>
      </c>
      <c r="AV207" s="4395">
        <f>IFERROR(IF((time+time_cap)&lt;AV$2, 0,IF(AND(time+1&gt;=AW$2, $E207&lt;AW$2), IF($I207= "I", $J207/($F207-$E207+1), $J207/(($F207*($F207+1)/2)-(($E207-1)*($E207-1+1)/2))*AV$2), 0)+IF(IF(time+1&gt;=AW$2, $K207/time_cap/(time+1)*AV$2, 0) = 0, $K207/(time_cap),0)),0)</f>
        <v/>
      </c>
      <c r="AW207" s="4395">
        <f>IFERROR(IF((time+time_cap)&lt;AW$2, 0,IF(AND(time+1&gt;=AX$2, $E207&lt;AX$2), IF($I207= "I", $J207/($F207-$E207+1), $J207/(($F207*($F207+1)/2)-(($E207-1)*($E207-1+1)/2))*AW$2), 0)+IF(IF(time+1&gt;=AX$2, $K207/time_cap/(time+1)*AW$2, 0) = 0, $K207/(time_cap),0)),0)</f>
        <v/>
      </c>
      <c r="AX207" s="4395">
        <f>IFERROR(IF((time+time_cap)&lt;AX$2, 0,IF(AND(time+1&gt;=AY$2, $E207&lt;AY$2), IF($I207= "I", $J207/($F207-$E207+1), $J207/(($F207*($F207+1)/2)-(($E207-1)*($E207-1+1)/2))*AX$2), 0)+IF(IF(time+1&gt;=AY$2, $K207/time_cap/(time+1)*AX$2, 0) = 0, $K207/(time_cap),0)),0)</f>
        <v/>
      </c>
      <c r="AY207" s="4395">
        <f>IFERROR(IF((time+time_cap)&lt;AY$2, 0,IF(AND(time+1&gt;=AZ$2, $E207&lt;AZ$2), IF($I207= "I", $J207/($F207-$E207+1), $J207/(($F207*($F207+1)/2)-(($E207-1)*($E207-1+1)/2))*AY$2), 0)+IF(IF(time+1&gt;=AZ$2, $K207/time_cap/(time+1)*AY$2, 0) = 0, $K207/(time_cap),0)),0)</f>
        <v/>
      </c>
      <c r="AZ207" s="4395">
        <f>IFERROR(IF((time+time_cap)&lt;AZ$2, 0,IF(AND(time+1&gt;=BA$2, $E207&lt;BA$2), IF($I207= "I", $J207/($F207-$E207+1), $J207/(($F207*($F207+1)/2)-(($E207-1)*($E207-1+1)/2))*AZ$2), 0)+IF(IF(time+1&gt;=BA$2, $K207/time_cap/(time+1)*AZ$2, 0) = 0, $K207/(time_cap),0)),0)</f>
        <v/>
      </c>
      <c r="BA207" s="4395">
        <f>IFERROR(IF((time+time_cap)&lt;BA$2, 0,IF(AND(time+1&gt;=BB$2, $E207&lt;BB$2), IF($I207= "I", $J207/($F207-$E207+1), $J207/(($F207*($F207+1)/2)-(($E207-1)*($E207-1+1)/2))*BA$2), 0)+IF(IF(time+1&gt;=BB$2, $K207/time_cap/(time+1)*BA$2, 0) = 0, $K207/(time_cap),0)),0)</f>
        <v/>
      </c>
      <c r="BB207" s="4395">
        <f>IFERROR(IF((time+time_cap)&lt;BB$2, 0,IF(AND(time+1&gt;=BC$2, $E207&lt;BC$2), IF($I207= "I", $J207/($F207-$E207+1), $J207/(($F207*($F207+1)/2)-(($E207-1)*($E207-1+1)/2))*BB$2), 0)+IF(IF(time+1&gt;=BC$2, $K207/time_cap/(time+1)*BB$2, 0) = 0, $K207/(time_cap),0)),0)</f>
        <v/>
      </c>
      <c r="BC207" s="4395">
        <f>IFERROR(IF((time+time_cap)&lt;BC$2, 0,IF(AND(time+1&gt;=BD$2, $E207&lt;BD$2), IF($I207= "I", $J207/($F207-$E207+1), $J207/(($F207*($F207+1)/2)-(($E207-1)*($E207-1+1)/2))*BC$2), 0)+IF(IF(time+1&gt;=BD$2, $K207/time_cap/(time+1)*BC$2, 0) = 0, $K207/(time_cap),0)),0)</f>
        <v/>
      </c>
      <c r="BD207" s="4395">
        <f>IFERROR(IF((time+time_cap)&lt;BD$2, 0,IF(AND(time+1&gt;=BE$2, $E207&lt;BE$2), IF($I207= "I", $J207/($F207-$E207+1), $J207/(($F207*($F207+1)/2)-(($E207-1)*($E207-1+1)/2))*BD$2), 0)+IF(IF(time+1&gt;=BE$2, $K207/time_cap/(time+1)*BD$2, 0) = 0, $K207/(time_cap),0)),0)</f>
        <v/>
      </c>
      <c r="BE207" s="4395">
        <f>IFERROR(IF((time+time_cap)&lt;BE$2, 0,IF(AND(time+1&gt;=BF$2, $E207&lt;BF$2), IF($I207= "I", $J207/($F207-$E207+1), $J207/(($F207*($F207+1)/2)-(($E207-1)*($E207-1+1)/2))*BE$2), 0)+IF(IF(time+1&gt;=BF$2, $K207/time_cap/(time+1)*BE$2, 0) = 0, $K207/(time_cap),0)),0)</f>
        <v/>
      </c>
      <c r="BF207" s="4395">
        <f>IFERROR(IF((time+time_cap)&lt;BF$2, 0,IF(AND(time+1&gt;=BG$2, $E207&lt;BG$2), IF($I207= "I", $J207/($F207-$E207+1), $J207/(($F207*($F207+1)/2)-(($E207-1)*($E207-1+1)/2))*BF$2), 0)+IF(IF(time+1&gt;=BG$2, $K207/time_cap/(time+1)*BF$2, 0) = 0, $K207/(time_cap),0)),0)</f>
        <v/>
      </c>
      <c r="BG207" s="4395">
        <f>IFERROR(IF((time+time_cap)&lt;BG$2, 0,IF(AND(time+1&gt;=BH$2, $E207&lt;BH$2), IF($I207= "I", $J207/($F207-$E207+1), $J207/(($F207*($F207+1)/2)-(($E207-1)*($E207-1+1)/2))*BG$2), 0)+IF(IF(time+1&gt;=BH$2, $K207/time_cap/(time+1)*BG$2, 0) = 0, $K207/(time_cap),0)),0)</f>
        <v/>
      </c>
      <c r="BH207" s="4395">
        <f>IFERROR(IF((time+time_cap)&lt;BH$2, 0,IF(AND(time+1&gt;=BI$2, $E207&lt;BI$2), IF($I207= "I", $J207/($F207-$E207+1), $J207/(($F207*($F207+1)/2)-(($E207-1)*($E207-1+1)/2))*BH$2), 0)+IF(IF(time+1&gt;=BI$2, $K207/time_cap/(time+1)*BH$2, 0) = 0, $K207/(time_cap),0)),0)</f>
        <v/>
      </c>
      <c r="BI207" s="4395">
        <f>IFERROR(IF((time+time_cap)&lt;BI$2, 0,IF(AND(time+1&gt;=BJ$2, $E207&lt;BJ$2), IF($I207= "I", $J207/($F207-$E207+1), $J207/(($F207*($F207+1)/2)-(($E207-1)*($E207-1+1)/2))*BI$2), 0)+IF(IF(time+1&gt;=BJ$2, $K207/time_cap/(time+1)*BI$2, 0) = 0, $K207/(time_cap),0)),0)</f>
        <v/>
      </c>
      <c r="BJ207" s="4395">
        <f>IFERROR(IF((time+time_cap)&lt;BJ$2, 0,IF(AND(time+1&gt;=BK$2, $E207&lt;BK$2), IF($I207= "I", $J207/($F207-$E207+1), $J207/(($F207*($F207+1)/2)-(($E207-1)*($E207-1+1)/2))*BJ$2), 0)+IF(IF(time+1&gt;=BK$2, $K207/time_cap/(time+1)*BJ$2, 0) = 0, $K207/(time_cap),0)),0)</f>
        <v/>
      </c>
      <c r="BK207" s="4395" t="n"/>
      <c r="BL207" s="4395" t="n"/>
      <c r="BM207" s="4395" t="n"/>
      <c r="BN207" s="4395" t="n"/>
      <c r="BO207" s="4395" t="n"/>
      <c r="BP207" s="4395" t="n"/>
      <c r="BQ207" s="4395" t="n"/>
      <c r="BR207" s="4395" t="n"/>
      <c r="BS207" s="4395" t="n"/>
      <c r="BT207" s="4395" t="n"/>
      <c r="BU207" s="4395" t="n"/>
      <c r="BV207" s="4395" t="n"/>
      <c r="BW207" s="4395" t="n"/>
      <c r="BX207" s="4395" t="n"/>
      <c r="BY207" s="4395" t="n"/>
      <c r="BZ207" s="4395" t="n"/>
      <c r="CA207" s="4395" t="n"/>
      <c r="CB207" s="4395" t="n"/>
      <c r="CC207" s="4395" t="n"/>
      <c r="CD207" s="4395" t="n"/>
      <c r="CE207" s="4395" t="n"/>
      <c r="CF207" s="4395" t="n"/>
      <c r="CG207" s="4395" t="n"/>
      <c r="CH207" s="4395" t="n"/>
      <c r="CI207" s="4395" t="n"/>
      <c r="CJ207" s="4395" t="n"/>
      <c r="CK207" s="4395" t="n"/>
      <c r="CL207" s="4395" t="n"/>
      <c r="CM207" s="4395" t="n"/>
      <c r="CN207" s="4395" t="n"/>
      <c r="CO207" s="4395" t="n"/>
      <c r="CP207" s="4395" t="n"/>
      <c r="CQ207" s="4395" t="n"/>
      <c r="CR207" s="4395" t="n"/>
      <c r="CS207" s="4395" t="n"/>
      <c r="CT207" s="4395" t="n"/>
      <c r="CU207" s="4395" t="n"/>
      <c r="CV207" s="4395" t="n"/>
      <c r="CW207" s="4395" t="n"/>
      <c r="CX207" s="4395" t="n"/>
      <c r="CY207" s="4395" t="n"/>
      <c r="CZ207" s="4395" t="n"/>
      <c r="DA207" s="4395" t="n"/>
      <c r="DB207" s="4395" t="n"/>
      <c r="DC207" s="4395" t="n"/>
      <c r="DD207" s="4395" t="n"/>
      <c r="DE207" s="4395" t="n"/>
      <c r="DF207" s="4395" t="n"/>
      <c r="DG207" s="4395" t="n"/>
      <c r="DH207" s="4395" t="n"/>
    </row>
    <row r="208" ht="16" customHeight="1">
      <c r="A208" t="inlineStr">
        <is>
          <t>Inputs</t>
        </is>
      </c>
      <c r="C208">
        <f>'9.Inputs'!C19</f>
        <v/>
      </c>
      <c r="D208">
        <f>'9.Inputs'!V19</f>
        <v/>
      </c>
      <c r="E208">
        <f>IF('9.Inputs'!BE19&lt;&gt;0,'9.Inputs'!BE19,'9.Inputs'!BD19)</f>
        <v/>
      </c>
      <c r="F208">
        <f>time</f>
        <v/>
      </c>
      <c r="G208" s="4395">
        <f>'9.Inputs'!F19</f>
        <v/>
      </c>
      <c r="H208" s="4395">
        <f>'9.Inputs'!H19</f>
        <v/>
      </c>
      <c r="I208" s="4395">
        <f>IF(OR(H208="I", G208="I"), "I", IF(OR(H208="E", G208="E"), "E", "D"))</f>
        <v/>
      </c>
      <c r="J208" s="4395">
        <f>((D208/(time_cap+((F208-E208+1)*VLOOKUP(I208,list!$I$48:$K$50,3, FALSE))))*(F208-E208+1)*VLOOKUP(I208,list!$I$48:$K$50,3, FALSE))</f>
        <v/>
      </c>
      <c r="K208" s="4395">
        <f>((D208/(time_cap+((F208-E208+1)*VLOOKUP(I208,list!$I$48:$K$50,3, FALSE))))*time_cap)</f>
        <v/>
      </c>
      <c r="M208" s="4395">
        <f>IFERROR(IF((time+time_cap)&lt;M$2, 0,IF(AND(time+1&gt;=N$2, $E208&lt;N$2), IF($I208= "I", $J208/($F208-$E208+1), $J208/(($F208*($F208+1)/2)-(($E208-1)*($E208-1+1)/2))*M$2), 0)+IF(IF(time+1&gt;=N$2, $K208/time_cap/(time+1)*M$2, 0) = 0, $K208/(time_cap),0)),0)</f>
        <v/>
      </c>
      <c r="N208" s="4395">
        <f>IFERROR(IF((time+time_cap)&lt;N$2, 0,IF(AND(time+1&gt;=O$2, $E208&lt;O$2), IF($I208= "I", $J208/($F208-$E208+1), $J208/(($F208*($F208+1)/2)-(($E208-1)*($E208-1+1)/2))*N$2), 0)+IF(IF(time+1&gt;=O$2, $K208/time_cap/(time+1)*N$2, 0) = 0, $K208/(time_cap),0)),0)</f>
        <v/>
      </c>
      <c r="O208" s="4395">
        <f>IFERROR(IF((time+time_cap)&lt;O$2, 0,IF(AND(time+1&gt;=P$2, $E208&lt;P$2), IF($I208= "I", $J208/($F208-$E208+1), $J208/(($F208*($F208+1)/2)-(($E208-1)*($E208-1+1)/2))*O$2), 0)+IF(IF(time+1&gt;=P$2, $K208/time_cap/(time+1)*O$2, 0) = 0, $K208/(time_cap),0)),0)</f>
        <v/>
      </c>
      <c r="P208" s="4395">
        <f>IFERROR(IF((time+time_cap)&lt;P$2, 0,IF(AND(time+1&gt;=Q$2, $E208&lt;Q$2), IF($I208= "I", $J208/($F208-$E208+1), $J208/(($F208*($F208+1)/2)-(($E208-1)*($E208-1+1)/2))*P$2), 0)+IF(IF(time+1&gt;=Q$2, $K208/time_cap/(time+1)*P$2, 0) = 0, $K208/(time_cap),0)),0)</f>
        <v/>
      </c>
      <c r="Q208" s="4395">
        <f>IFERROR(IF((time+time_cap)&lt;Q$2, 0,IF(AND(time+1&gt;=R$2, $E208&lt;R$2), IF($I208= "I", $J208/($F208-$E208+1), $J208/(($F208*($F208+1)/2)-(($E208-1)*($E208-1+1)/2))*Q$2), 0)+IF(IF(time+1&gt;=R$2, $K208/time_cap/(time+1)*Q$2, 0) = 0, $K208/(time_cap),0)),0)</f>
        <v/>
      </c>
      <c r="R208" s="4395">
        <f>IFERROR(IF((time+time_cap)&lt;R$2, 0,IF(AND(time+1&gt;=S$2, $E208&lt;S$2), IF($I208= "I", $J208/($F208-$E208+1), $J208/(($F208*($F208+1)/2)-(($E208-1)*($E208-1+1)/2))*R$2), 0)+IF(IF(time+1&gt;=S$2, $K208/time_cap/(time+1)*R$2, 0) = 0, $K208/(time_cap),0)),0)</f>
        <v/>
      </c>
      <c r="S208" s="4395">
        <f>IFERROR(IF((time+time_cap)&lt;S$2, 0,IF(AND(time+1&gt;=T$2, $E208&lt;T$2), IF($I208= "I", $J208/($F208-$E208+1), $J208/(($F208*($F208+1)/2)-(($E208-1)*($E208-1+1)/2))*S$2), 0)+IF(IF(time+1&gt;=T$2, $K208/time_cap/(time+1)*S$2, 0) = 0, $K208/(time_cap),0)),0)</f>
        <v/>
      </c>
      <c r="T208" s="4395">
        <f>IFERROR(IF((time+time_cap)&lt;T$2, 0,IF(AND(time+1&gt;=U$2, $E208&lt;U$2), IF($I208= "I", $J208/($F208-$E208+1), $J208/(($F208*($F208+1)/2)-(($E208-1)*($E208-1+1)/2))*T$2), 0)+IF(IF(time+1&gt;=U$2, $K208/time_cap/(time+1)*T$2, 0) = 0, $K208/(time_cap),0)),0)</f>
        <v/>
      </c>
      <c r="U208" s="4395">
        <f>IFERROR(IF((time+time_cap)&lt;U$2, 0,IF(AND(time+1&gt;=V$2, $E208&lt;V$2), IF($I208= "I", $J208/($F208-$E208+1), $J208/(($F208*($F208+1)/2)-(($E208-1)*($E208-1+1)/2))*U$2), 0)+IF(IF(time+1&gt;=V$2, $K208/time_cap/(time+1)*U$2, 0) = 0, $K208/(time_cap),0)),0)</f>
        <v/>
      </c>
      <c r="V208" s="4395">
        <f>IFERROR(IF((time+time_cap)&lt;V$2, 0,IF(AND(time+1&gt;=W$2, $E208&lt;W$2), IF($I208= "I", $J208/($F208-$E208+1), $J208/(($F208*($F208+1)/2)-(($E208-1)*($E208-1+1)/2))*V$2), 0)+IF(IF(time+1&gt;=W$2, $K208/time_cap/(time+1)*V$2, 0) = 0, $K208/(time_cap),0)),0)</f>
        <v/>
      </c>
      <c r="W208" s="4395">
        <f>IFERROR(IF((time+time_cap)&lt;W$2, 0,IF(AND(time+1&gt;=X$2, $E208&lt;X$2), IF($I208= "I", $J208/($F208-$E208+1), $J208/(($F208*($F208+1)/2)-(($E208-1)*($E208-1+1)/2))*W$2), 0)+IF(IF(time+1&gt;=X$2, $K208/time_cap/(time+1)*W$2, 0) = 0, $K208/(time_cap),0)),0)</f>
        <v/>
      </c>
      <c r="X208" s="4395">
        <f>IFERROR(IF((time+time_cap)&lt;X$2, 0,IF(AND(time+1&gt;=Y$2, $E208&lt;Y$2), IF($I208= "I", $J208/($F208-$E208+1), $J208/(($F208*($F208+1)/2)-(($E208-1)*($E208-1+1)/2))*X$2), 0)+IF(IF(time+1&gt;=Y$2, $K208/time_cap/(time+1)*X$2, 0) = 0, $K208/(time_cap),0)),0)</f>
        <v/>
      </c>
      <c r="Y208" s="4395">
        <f>IFERROR(IF((time+time_cap)&lt;Y$2, 0,IF(AND(time+1&gt;=Z$2, $E208&lt;Z$2), IF($I208= "I", $J208/($F208-$E208+1), $J208/(($F208*($F208+1)/2)-(($E208-1)*($E208-1+1)/2))*Y$2), 0)+IF(IF(time+1&gt;=Z$2, $K208/time_cap/(time+1)*Y$2, 0) = 0, $K208/(time_cap),0)),0)</f>
        <v/>
      </c>
      <c r="Z208" s="4395">
        <f>IFERROR(IF((time+time_cap)&lt;Z$2, 0,IF(AND(time+1&gt;=AA$2, $E208&lt;AA$2), IF($I208= "I", $J208/($F208-$E208+1), $J208/(($F208*($F208+1)/2)-(($E208-1)*($E208-1+1)/2))*Z$2), 0)+IF(IF(time+1&gt;=AA$2, $K208/time_cap/(time+1)*Z$2, 0) = 0, $K208/(time_cap),0)),0)</f>
        <v/>
      </c>
      <c r="AA208" s="4395">
        <f>IFERROR(IF((time+time_cap)&lt;AA$2, 0,IF(AND(time+1&gt;=AB$2, $E208&lt;AB$2), IF($I208= "I", $J208/($F208-$E208+1), $J208/(($F208*($F208+1)/2)-(($E208-1)*($E208-1+1)/2))*AA$2), 0)+IF(IF(time+1&gt;=AB$2, $K208/time_cap/(time+1)*AA$2, 0) = 0, $K208/(time_cap),0)),0)</f>
        <v/>
      </c>
      <c r="AB208" s="4395">
        <f>IFERROR(IF((time+time_cap)&lt;AB$2, 0,IF(AND(time+1&gt;=AC$2, $E208&lt;AC$2), IF($I208= "I", $J208/($F208-$E208+1), $J208/(($F208*($F208+1)/2)-(($E208-1)*($E208-1+1)/2))*AB$2), 0)+IF(IF(time+1&gt;=AC$2, $K208/time_cap/(time+1)*AB$2, 0) = 0, $K208/(time_cap),0)),0)</f>
        <v/>
      </c>
      <c r="AC208" s="4395">
        <f>IFERROR(IF((time+time_cap)&lt;AC$2, 0,IF(AND(time+1&gt;=AD$2, $E208&lt;AD$2), IF($I208= "I", $J208/($F208-$E208+1), $J208/(($F208*($F208+1)/2)-(($E208-1)*($E208-1+1)/2))*AC$2), 0)+IF(IF(time+1&gt;=AD$2, $K208/time_cap/(time+1)*AC$2, 0) = 0, $K208/(time_cap),0)),0)</f>
        <v/>
      </c>
      <c r="AD208" s="4395">
        <f>IFERROR(IF((time+time_cap)&lt;AD$2, 0,IF(AND(time+1&gt;=AE$2, $E208&lt;AE$2), IF($I208= "I", $J208/($F208-$E208+1), $J208/(($F208*($F208+1)/2)-(($E208-1)*($E208-1+1)/2))*AD$2), 0)+IF(IF(time+1&gt;=AE$2, $K208/time_cap/(time+1)*AD$2, 0) = 0, $K208/(time_cap),0)),0)</f>
        <v/>
      </c>
      <c r="AE208" s="4395">
        <f>IFERROR(IF((time+time_cap)&lt;AE$2, 0,IF(AND(time+1&gt;=AF$2, $E208&lt;AF$2), IF($I208= "I", $J208/($F208-$E208+1), $J208/(($F208*($F208+1)/2)-(($E208-1)*($E208-1+1)/2))*AE$2), 0)+IF(IF(time+1&gt;=AF$2, $K208/time_cap/(time+1)*AE$2, 0) = 0, $K208/(time_cap),0)),0)</f>
        <v/>
      </c>
      <c r="AF208" s="4395">
        <f>IFERROR(IF((time+time_cap)&lt;AF$2, 0,IF(AND(time+1&gt;=AG$2, $E208&lt;AG$2), IF($I208= "I", $J208/($F208-$E208+1), $J208/(($F208*($F208+1)/2)-(($E208-1)*($E208-1+1)/2))*AF$2), 0)+IF(IF(time+1&gt;=AG$2, $K208/time_cap/(time+1)*AF$2, 0) = 0, $K208/(time_cap),0)),0)</f>
        <v/>
      </c>
      <c r="AG208" s="4395">
        <f>IFERROR(IF((time+time_cap)&lt;AG$2, 0,IF(AND(time+1&gt;=AH$2, $E208&lt;AH$2), IF($I208= "I", $J208/($F208-$E208+1), $J208/(($F208*($F208+1)/2)-(($E208-1)*($E208-1+1)/2))*AG$2), 0)+IF(IF(time+1&gt;=AH$2, $K208/time_cap/(time+1)*AG$2, 0) = 0, $K208/(time_cap),0)),0)</f>
        <v/>
      </c>
      <c r="AH208" s="4395">
        <f>IFERROR(IF((time+time_cap)&lt;AH$2, 0,IF(AND(time+1&gt;=AI$2, $E208&lt;AI$2), IF($I208= "I", $J208/($F208-$E208+1), $J208/(($F208*($F208+1)/2)-(($E208-1)*($E208-1+1)/2))*AH$2), 0)+IF(IF(time+1&gt;=AI$2, $K208/time_cap/(time+1)*AH$2, 0) = 0, $K208/(time_cap),0)),0)</f>
        <v/>
      </c>
      <c r="AI208" s="4395">
        <f>IFERROR(IF((time+time_cap)&lt;AI$2, 0,IF(AND(time+1&gt;=AJ$2, $E208&lt;AJ$2), IF($I208= "I", $J208/($F208-$E208+1), $J208/(($F208*($F208+1)/2)-(($E208-1)*($E208-1+1)/2))*AI$2), 0)+IF(IF(time+1&gt;=AJ$2, $K208/time_cap/(time+1)*AI$2, 0) = 0, $K208/(time_cap),0)),0)</f>
        <v/>
      </c>
      <c r="AJ208" s="4395">
        <f>IFERROR(IF((time+time_cap)&lt;AJ$2, 0,IF(AND(time+1&gt;=AK$2, $E208&lt;AK$2), IF($I208= "I", $J208/($F208-$E208+1), $J208/(($F208*($F208+1)/2)-(($E208-1)*($E208-1+1)/2))*AJ$2), 0)+IF(IF(time+1&gt;=AK$2, $K208/time_cap/(time+1)*AJ$2, 0) = 0, $K208/(time_cap),0)),0)</f>
        <v/>
      </c>
      <c r="AK208" s="4395">
        <f>IFERROR(IF((time+time_cap)&lt;AK$2, 0,IF(AND(time+1&gt;=AL$2, $E208&lt;AL$2), IF($I208= "I", $J208/($F208-$E208+1), $J208/(($F208*($F208+1)/2)-(($E208-1)*($E208-1+1)/2))*AK$2), 0)+IF(IF(time+1&gt;=AL$2, $K208/time_cap/(time+1)*AK$2, 0) = 0, $K208/(time_cap),0)),0)</f>
        <v/>
      </c>
      <c r="AL208" s="4395">
        <f>IFERROR(IF((time+time_cap)&lt;AL$2, 0,IF(AND(time+1&gt;=AM$2, $E208&lt;AM$2), IF($I208= "I", $J208/($F208-$E208+1), $J208/(($F208*($F208+1)/2)-(($E208-1)*($E208-1+1)/2))*AL$2), 0)+IF(IF(time+1&gt;=AM$2, $K208/time_cap/(time+1)*AL$2, 0) = 0, $K208/(time_cap),0)),0)</f>
        <v/>
      </c>
      <c r="AM208" s="4395">
        <f>IFERROR(IF((time+time_cap)&lt;AM$2, 0,IF(AND(time+1&gt;=AN$2, $E208&lt;AN$2), IF($I208= "I", $J208/($F208-$E208+1), $J208/(($F208*($F208+1)/2)-(($E208-1)*($E208-1+1)/2))*AM$2), 0)+IF(IF(time+1&gt;=AN$2, $K208/time_cap/(time+1)*AM$2, 0) = 0, $K208/(time_cap),0)),0)</f>
        <v/>
      </c>
      <c r="AN208" s="4395">
        <f>IFERROR(IF((time+time_cap)&lt;AN$2, 0,IF(AND(time+1&gt;=AO$2, $E208&lt;AO$2), IF($I208= "I", $J208/($F208-$E208+1), $J208/(($F208*($F208+1)/2)-(($E208-1)*($E208-1+1)/2))*AN$2), 0)+IF(IF(time+1&gt;=AO$2, $K208/time_cap/(time+1)*AN$2, 0) = 0, $K208/(time_cap),0)),0)</f>
        <v/>
      </c>
      <c r="AO208" s="4395">
        <f>IFERROR(IF((time+time_cap)&lt;AO$2, 0,IF(AND(time+1&gt;=AP$2, $E208&lt;AP$2), IF($I208= "I", $J208/($F208-$E208+1), $J208/(($F208*($F208+1)/2)-(($E208-1)*($E208-1+1)/2))*AO$2), 0)+IF(IF(time+1&gt;=AP$2, $K208/time_cap/(time+1)*AO$2, 0) = 0, $K208/(time_cap),0)),0)</f>
        <v/>
      </c>
      <c r="AP208" s="4395">
        <f>IFERROR(IF((time+time_cap)&lt;AP$2, 0,IF(AND(time+1&gt;=AQ$2, $E208&lt;AQ$2), IF($I208= "I", $J208/($F208-$E208+1), $J208/(($F208*($F208+1)/2)-(($E208-1)*($E208-1+1)/2))*AP$2), 0)+IF(IF(time+1&gt;=AQ$2, $K208/time_cap/(time+1)*AP$2, 0) = 0, $K208/(time_cap),0)),0)</f>
        <v/>
      </c>
      <c r="AQ208" s="4395">
        <f>IFERROR(IF((time+time_cap)&lt;AQ$2, 0,IF(AND(time+1&gt;=AR$2, $E208&lt;AR$2), IF($I208= "I", $J208/($F208-$E208+1), $J208/(($F208*($F208+1)/2)-(($E208-1)*($E208-1+1)/2))*AQ$2), 0)+IF(IF(time+1&gt;=AR$2, $K208/time_cap/(time+1)*AQ$2, 0) = 0, $K208/(time_cap),0)),0)</f>
        <v/>
      </c>
      <c r="AR208" s="4395">
        <f>IFERROR(IF((time+time_cap)&lt;AR$2, 0,IF(AND(time+1&gt;=AS$2, $E208&lt;AS$2), IF($I208= "I", $J208/($F208-$E208+1), $J208/(($F208*($F208+1)/2)-(($E208-1)*($E208-1+1)/2))*AR$2), 0)+IF(IF(time+1&gt;=AS$2, $K208/time_cap/(time+1)*AR$2, 0) = 0, $K208/(time_cap),0)),0)</f>
        <v/>
      </c>
      <c r="AS208" s="4395">
        <f>IFERROR(IF((time+time_cap)&lt;AS$2, 0,IF(AND(time+1&gt;=AT$2, $E208&lt;AT$2), IF($I208= "I", $J208/($F208-$E208+1), $J208/(($F208*($F208+1)/2)-(($E208-1)*($E208-1+1)/2))*AS$2), 0)+IF(IF(time+1&gt;=AT$2, $K208/time_cap/(time+1)*AS$2, 0) = 0, $K208/(time_cap),0)),0)</f>
        <v/>
      </c>
      <c r="AT208" s="4395">
        <f>IFERROR(IF((time+time_cap)&lt;AT$2, 0,IF(AND(time+1&gt;=AU$2, $E208&lt;AU$2), IF($I208= "I", $J208/($F208-$E208+1), $J208/(($F208*($F208+1)/2)-(($E208-1)*($E208-1+1)/2))*AT$2), 0)+IF(IF(time+1&gt;=AU$2, $K208/time_cap/(time+1)*AT$2, 0) = 0, $K208/(time_cap),0)),0)</f>
        <v/>
      </c>
      <c r="AU208" s="4395">
        <f>IFERROR(IF((time+time_cap)&lt;AU$2, 0,IF(AND(time+1&gt;=AV$2, $E208&lt;AV$2), IF($I208= "I", $J208/($F208-$E208+1), $J208/(($F208*($F208+1)/2)-(($E208-1)*($E208-1+1)/2))*AU$2), 0)+IF(IF(time+1&gt;=AV$2, $K208/time_cap/(time+1)*AU$2, 0) = 0, $K208/(time_cap),0)),0)</f>
        <v/>
      </c>
      <c r="AV208" s="4395">
        <f>IFERROR(IF((time+time_cap)&lt;AV$2, 0,IF(AND(time+1&gt;=AW$2, $E208&lt;AW$2), IF($I208= "I", $J208/($F208-$E208+1), $J208/(($F208*($F208+1)/2)-(($E208-1)*($E208-1+1)/2))*AV$2), 0)+IF(IF(time+1&gt;=AW$2, $K208/time_cap/(time+1)*AV$2, 0) = 0, $K208/(time_cap),0)),0)</f>
        <v/>
      </c>
      <c r="AW208" s="4395">
        <f>IFERROR(IF((time+time_cap)&lt;AW$2, 0,IF(AND(time+1&gt;=AX$2, $E208&lt;AX$2), IF($I208= "I", $J208/($F208-$E208+1), $J208/(($F208*($F208+1)/2)-(($E208-1)*($E208-1+1)/2))*AW$2), 0)+IF(IF(time+1&gt;=AX$2, $K208/time_cap/(time+1)*AW$2, 0) = 0, $K208/(time_cap),0)),0)</f>
        <v/>
      </c>
      <c r="AX208" s="4395">
        <f>IFERROR(IF((time+time_cap)&lt;AX$2, 0,IF(AND(time+1&gt;=AY$2, $E208&lt;AY$2), IF($I208= "I", $J208/($F208-$E208+1), $J208/(($F208*($F208+1)/2)-(($E208-1)*($E208-1+1)/2))*AX$2), 0)+IF(IF(time+1&gt;=AY$2, $K208/time_cap/(time+1)*AX$2, 0) = 0, $K208/(time_cap),0)),0)</f>
        <v/>
      </c>
      <c r="AY208" s="4395">
        <f>IFERROR(IF((time+time_cap)&lt;AY$2, 0,IF(AND(time+1&gt;=AZ$2, $E208&lt;AZ$2), IF($I208= "I", $J208/($F208-$E208+1), $J208/(($F208*($F208+1)/2)-(($E208-1)*($E208-1+1)/2))*AY$2), 0)+IF(IF(time+1&gt;=AZ$2, $K208/time_cap/(time+1)*AY$2, 0) = 0, $K208/(time_cap),0)),0)</f>
        <v/>
      </c>
      <c r="AZ208" s="4395">
        <f>IFERROR(IF((time+time_cap)&lt;AZ$2, 0,IF(AND(time+1&gt;=BA$2, $E208&lt;BA$2), IF($I208= "I", $J208/($F208-$E208+1), $J208/(($F208*($F208+1)/2)-(($E208-1)*($E208-1+1)/2))*AZ$2), 0)+IF(IF(time+1&gt;=BA$2, $K208/time_cap/(time+1)*AZ$2, 0) = 0, $K208/(time_cap),0)),0)</f>
        <v/>
      </c>
      <c r="BA208" s="4395">
        <f>IFERROR(IF((time+time_cap)&lt;BA$2, 0,IF(AND(time+1&gt;=BB$2, $E208&lt;BB$2), IF($I208= "I", $J208/($F208-$E208+1), $J208/(($F208*($F208+1)/2)-(($E208-1)*($E208-1+1)/2))*BA$2), 0)+IF(IF(time+1&gt;=BB$2, $K208/time_cap/(time+1)*BA$2, 0) = 0, $K208/(time_cap),0)),0)</f>
        <v/>
      </c>
      <c r="BB208" s="4395">
        <f>IFERROR(IF((time+time_cap)&lt;BB$2, 0,IF(AND(time+1&gt;=BC$2, $E208&lt;BC$2), IF($I208= "I", $J208/($F208-$E208+1), $J208/(($F208*($F208+1)/2)-(($E208-1)*($E208-1+1)/2))*BB$2), 0)+IF(IF(time+1&gt;=BC$2, $K208/time_cap/(time+1)*BB$2, 0) = 0, $K208/(time_cap),0)),0)</f>
        <v/>
      </c>
      <c r="BC208" s="4395">
        <f>IFERROR(IF((time+time_cap)&lt;BC$2, 0,IF(AND(time+1&gt;=BD$2, $E208&lt;BD$2), IF($I208= "I", $J208/($F208-$E208+1), $J208/(($F208*($F208+1)/2)-(($E208-1)*($E208-1+1)/2))*BC$2), 0)+IF(IF(time+1&gt;=BD$2, $K208/time_cap/(time+1)*BC$2, 0) = 0, $K208/(time_cap),0)),0)</f>
        <v/>
      </c>
      <c r="BD208" s="4395">
        <f>IFERROR(IF((time+time_cap)&lt;BD$2, 0,IF(AND(time+1&gt;=BE$2, $E208&lt;BE$2), IF($I208= "I", $J208/($F208-$E208+1), $J208/(($F208*($F208+1)/2)-(($E208-1)*($E208-1+1)/2))*BD$2), 0)+IF(IF(time+1&gt;=BE$2, $K208/time_cap/(time+1)*BD$2, 0) = 0, $K208/(time_cap),0)),0)</f>
        <v/>
      </c>
      <c r="BE208" s="4395">
        <f>IFERROR(IF((time+time_cap)&lt;BE$2, 0,IF(AND(time+1&gt;=BF$2, $E208&lt;BF$2), IF($I208= "I", $J208/($F208-$E208+1), $J208/(($F208*($F208+1)/2)-(($E208-1)*($E208-1+1)/2))*BE$2), 0)+IF(IF(time+1&gt;=BF$2, $K208/time_cap/(time+1)*BE$2, 0) = 0, $K208/(time_cap),0)),0)</f>
        <v/>
      </c>
      <c r="BF208" s="4395">
        <f>IFERROR(IF((time+time_cap)&lt;BF$2, 0,IF(AND(time+1&gt;=BG$2, $E208&lt;BG$2), IF($I208= "I", $J208/($F208-$E208+1), $J208/(($F208*($F208+1)/2)-(($E208-1)*($E208-1+1)/2))*BF$2), 0)+IF(IF(time+1&gt;=BG$2, $K208/time_cap/(time+1)*BF$2, 0) = 0, $K208/(time_cap),0)),0)</f>
        <v/>
      </c>
      <c r="BG208" s="4395">
        <f>IFERROR(IF((time+time_cap)&lt;BG$2, 0,IF(AND(time+1&gt;=BH$2, $E208&lt;BH$2), IF($I208= "I", $J208/($F208-$E208+1), $J208/(($F208*($F208+1)/2)-(($E208-1)*($E208-1+1)/2))*BG$2), 0)+IF(IF(time+1&gt;=BH$2, $K208/time_cap/(time+1)*BG$2, 0) = 0, $K208/(time_cap),0)),0)</f>
        <v/>
      </c>
      <c r="BH208" s="4395">
        <f>IFERROR(IF((time+time_cap)&lt;BH$2, 0,IF(AND(time+1&gt;=BI$2, $E208&lt;BI$2), IF($I208= "I", $J208/($F208-$E208+1), $J208/(($F208*($F208+1)/2)-(($E208-1)*($E208-1+1)/2))*BH$2), 0)+IF(IF(time+1&gt;=BI$2, $K208/time_cap/(time+1)*BH$2, 0) = 0, $K208/(time_cap),0)),0)</f>
        <v/>
      </c>
      <c r="BI208" s="4395">
        <f>IFERROR(IF((time+time_cap)&lt;BI$2, 0,IF(AND(time+1&gt;=BJ$2, $E208&lt;BJ$2), IF($I208= "I", $J208/($F208-$E208+1), $J208/(($F208*($F208+1)/2)-(($E208-1)*($E208-1+1)/2))*BI$2), 0)+IF(IF(time+1&gt;=BJ$2, $K208/time_cap/(time+1)*BI$2, 0) = 0, $K208/(time_cap),0)),0)</f>
        <v/>
      </c>
      <c r="BJ208" s="4395">
        <f>IFERROR(IF((time+time_cap)&lt;BJ$2, 0,IF(AND(time+1&gt;=BK$2, $E208&lt;BK$2), IF($I208= "I", $J208/($F208-$E208+1), $J208/(($F208*($F208+1)/2)-(($E208-1)*($E208-1+1)/2))*BJ$2), 0)+IF(IF(time+1&gt;=BK$2, $K208/time_cap/(time+1)*BJ$2, 0) = 0, $K208/(time_cap),0)),0)</f>
        <v/>
      </c>
      <c r="BK208" s="4395" t="n"/>
      <c r="BL208" s="4395" t="n"/>
      <c r="BM208" s="4395" t="n"/>
      <c r="BN208" s="4395" t="n"/>
      <c r="BO208" s="4395" t="n"/>
      <c r="BP208" s="4395" t="n"/>
      <c r="BQ208" s="4395" t="n"/>
      <c r="BR208" s="4395" t="n"/>
      <c r="BS208" s="4395" t="n"/>
      <c r="BT208" s="4395" t="n"/>
      <c r="BU208" s="4395" t="n"/>
      <c r="BV208" s="4395" t="n"/>
      <c r="BW208" s="4395" t="n"/>
      <c r="BX208" s="4395" t="n"/>
      <c r="BY208" s="4395" t="n"/>
      <c r="BZ208" s="4395" t="n"/>
      <c r="CA208" s="4395" t="n"/>
      <c r="CB208" s="4395" t="n"/>
      <c r="CC208" s="4395" t="n"/>
      <c r="CD208" s="4395" t="n"/>
      <c r="CE208" s="4395" t="n"/>
      <c r="CF208" s="4395" t="n"/>
      <c r="CG208" s="4395" t="n"/>
      <c r="CH208" s="4395" t="n"/>
      <c r="CI208" s="4395" t="n"/>
      <c r="CJ208" s="4395" t="n"/>
      <c r="CK208" s="4395" t="n"/>
      <c r="CL208" s="4395" t="n"/>
      <c r="CM208" s="4395" t="n"/>
      <c r="CN208" s="4395" t="n"/>
      <c r="CO208" s="4395" t="n"/>
      <c r="CP208" s="4395" t="n"/>
      <c r="CQ208" s="4395" t="n"/>
      <c r="CR208" s="4395" t="n"/>
      <c r="CS208" s="4395" t="n"/>
      <c r="CT208" s="4395" t="n"/>
      <c r="CU208" s="4395" t="n"/>
      <c r="CV208" s="4395" t="n"/>
      <c r="CW208" s="4395" t="n"/>
      <c r="CX208" s="4395" t="n"/>
      <c r="CY208" s="4395" t="n"/>
      <c r="CZ208" s="4395" t="n"/>
      <c r="DA208" s="4395" t="n"/>
      <c r="DB208" s="4395" t="n"/>
      <c r="DC208" s="4395" t="n"/>
      <c r="DD208" s="4395" t="n"/>
      <c r="DE208" s="4395" t="n"/>
      <c r="DF208" s="4395" t="n"/>
      <c r="DG208" s="4395" t="n"/>
      <c r="DH208" s="4395" t="n"/>
    </row>
    <row r="209" ht="16" customHeight="1">
      <c r="A209" t="inlineStr">
        <is>
          <t>Inputs</t>
        </is>
      </c>
      <c r="C209">
        <f>'9.Inputs'!C21</f>
        <v/>
      </c>
      <c r="D209">
        <f>'9.Inputs'!V21</f>
        <v/>
      </c>
      <c r="E209">
        <f>IF('9.Inputs'!BE21&lt;&gt;0,'9.Inputs'!BE21,'9.Inputs'!BD21)</f>
        <v/>
      </c>
      <c r="F209">
        <f>time</f>
        <v/>
      </c>
      <c r="G209" s="4395">
        <f>'9.Inputs'!F21</f>
        <v/>
      </c>
      <c r="H209" s="4395">
        <f>'9.Inputs'!H21</f>
        <v/>
      </c>
      <c r="I209" s="4395">
        <f>IF(OR(H209="I", G209="I"), "I", IF(OR(H209="E", G209="E"), "E", "D"))</f>
        <v/>
      </c>
      <c r="J209" s="4395">
        <f>((D209/(time_cap+((F209-E209+1)*VLOOKUP(I209,list!$I$48:$K$50,3, FALSE))))*(F209-E209+1)*VLOOKUP(I209,list!$I$48:$K$50,3, FALSE))</f>
        <v/>
      </c>
      <c r="K209" s="4395">
        <f>((D209/(time_cap+((F209-E209+1)*VLOOKUP(I209,list!$I$48:$K$50,3, FALSE))))*time_cap)</f>
        <v/>
      </c>
      <c r="M209" s="4395">
        <f>IFERROR(IF((time+time_cap)&lt;M$2, 0,IF(AND(time+1&gt;=N$2, $E209&lt;N$2), IF($I209= "I", $J209/($F209-$E209+1), $J209/(($F209*($F209+1)/2)-(($E209-1)*($E209-1+1)/2))*M$2), 0)+IF(IF(time+1&gt;=N$2, $K209/time_cap/(time+1)*M$2, 0) = 0, $K209/(time_cap),0)),0)</f>
        <v/>
      </c>
      <c r="N209" s="4395">
        <f>IFERROR(IF((time+time_cap)&lt;N$2, 0,IF(AND(time+1&gt;=O$2, $E209&lt;O$2), IF($I209= "I", $J209/($F209-$E209+1), $J209/(($F209*($F209+1)/2)-(($E209-1)*($E209-1+1)/2))*N$2), 0)+IF(IF(time+1&gt;=O$2, $K209/time_cap/(time+1)*N$2, 0) = 0, $K209/(time_cap),0)),0)</f>
        <v/>
      </c>
      <c r="O209" s="4395">
        <f>IFERROR(IF((time+time_cap)&lt;O$2, 0,IF(AND(time+1&gt;=P$2, $E209&lt;P$2), IF($I209= "I", $J209/($F209-$E209+1), $J209/(($F209*($F209+1)/2)-(($E209-1)*($E209-1+1)/2))*O$2), 0)+IF(IF(time+1&gt;=P$2, $K209/time_cap/(time+1)*O$2, 0) = 0, $K209/(time_cap),0)),0)</f>
        <v/>
      </c>
      <c r="P209" s="4395">
        <f>IFERROR(IF((time+time_cap)&lt;P$2, 0,IF(AND(time+1&gt;=Q$2, $E209&lt;Q$2), IF($I209= "I", $J209/($F209-$E209+1), $J209/(($F209*($F209+1)/2)-(($E209-1)*($E209-1+1)/2))*P$2), 0)+IF(IF(time+1&gt;=Q$2, $K209/time_cap/(time+1)*P$2, 0) = 0, $K209/(time_cap),0)),0)</f>
        <v/>
      </c>
      <c r="Q209" s="4395">
        <f>IFERROR(IF((time+time_cap)&lt;Q$2, 0,IF(AND(time+1&gt;=R$2, $E209&lt;R$2), IF($I209= "I", $J209/($F209-$E209+1), $J209/(($F209*($F209+1)/2)-(($E209-1)*($E209-1+1)/2))*Q$2), 0)+IF(IF(time+1&gt;=R$2, $K209/time_cap/(time+1)*Q$2, 0) = 0, $K209/(time_cap),0)),0)</f>
        <v/>
      </c>
      <c r="R209" s="4395">
        <f>IFERROR(IF((time+time_cap)&lt;R$2, 0,IF(AND(time+1&gt;=S$2, $E209&lt;S$2), IF($I209= "I", $J209/($F209-$E209+1), $J209/(($F209*($F209+1)/2)-(($E209-1)*($E209-1+1)/2))*R$2), 0)+IF(IF(time+1&gt;=S$2, $K209/time_cap/(time+1)*R$2, 0) = 0, $K209/(time_cap),0)),0)</f>
        <v/>
      </c>
      <c r="S209" s="4395">
        <f>IFERROR(IF((time+time_cap)&lt;S$2, 0,IF(AND(time+1&gt;=T$2, $E209&lt;T$2), IF($I209= "I", $J209/($F209-$E209+1), $J209/(($F209*($F209+1)/2)-(($E209-1)*($E209-1+1)/2))*S$2), 0)+IF(IF(time+1&gt;=T$2, $K209/time_cap/(time+1)*S$2, 0) = 0, $K209/(time_cap),0)),0)</f>
        <v/>
      </c>
      <c r="T209" s="4395">
        <f>IFERROR(IF((time+time_cap)&lt;T$2, 0,IF(AND(time+1&gt;=U$2, $E209&lt;U$2), IF($I209= "I", $J209/($F209-$E209+1), $J209/(($F209*($F209+1)/2)-(($E209-1)*($E209-1+1)/2))*T$2), 0)+IF(IF(time+1&gt;=U$2, $K209/time_cap/(time+1)*T$2, 0) = 0, $K209/(time_cap),0)),0)</f>
        <v/>
      </c>
      <c r="U209" s="4395">
        <f>IFERROR(IF((time+time_cap)&lt;U$2, 0,IF(AND(time+1&gt;=V$2, $E209&lt;V$2), IF($I209= "I", $J209/($F209-$E209+1), $J209/(($F209*($F209+1)/2)-(($E209-1)*($E209-1+1)/2))*U$2), 0)+IF(IF(time+1&gt;=V$2, $K209/time_cap/(time+1)*U$2, 0) = 0, $K209/(time_cap),0)),0)</f>
        <v/>
      </c>
      <c r="V209" s="4395">
        <f>IFERROR(IF((time+time_cap)&lt;V$2, 0,IF(AND(time+1&gt;=W$2, $E209&lt;W$2), IF($I209= "I", $J209/($F209-$E209+1), $J209/(($F209*($F209+1)/2)-(($E209-1)*($E209-1+1)/2))*V$2), 0)+IF(IF(time+1&gt;=W$2, $K209/time_cap/(time+1)*V$2, 0) = 0, $K209/(time_cap),0)),0)</f>
        <v/>
      </c>
      <c r="W209" s="4395">
        <f>IFERROR(IF((time+time_cap)&lt;W$2, 0,IF(AND(time+1&gt;=X$2, $E209&lt;X$2), IF($I209= "I", $J209/($F209-$E209+1), $J209/(($F209*($F209+1)/2)-(($E209-1)*($E209-1+1)/2))*W$2), 0)+IF(IF(time+1&gt;=X$2, $K209/time_cap/(time+1)*W$2, 0) = 0, $K209/(time_cap),0)),0)</f>
        <v/>
      </c>
      <c r="X209" s="4395">
        <f>IFERROR(IF((time+time_cap)&lt;X$2, 0,IF(AND(time+1&gt;=Y$2, $E209&lt;Y$2), IF($I209= "I", $J209/($F209-$E209+1), $J209/(($F209*($F209+1)/2)-(($E209-1)*($E209-1+1)/2))*X$2), 0)+IF(IF(time+1&gt;=Y$2, $K209/time_cap/(time+1)*X$2, 0) = 0, $K209/(time_cap),0)),0)</f>
        <v/>
      </c>
      <c r="Y209" s="4395">
        <f>IFERROR(IF((time+time_cap)&lt;Y$2, 0,IF(AND(time+1&gt;=Z$2, $E209&lt;Z$2), IF($I209= "I", $J209/($F209-$E209+1), $J209/(($F209*($F209+1)/2)-(($E209-1)*($E209-1+1)/2))*Y$2), 0)+IF(IF(time+1&gt;=Z$2, $K209/time_cap/(time+1)*Y$2, 0) = 0, $K209/(time_cap),0)),0)</f>
        <v/>
      </c>
      <c r="Z209" s="4395">
        <f>IFERROR(IF((time+time_cap)&lt;Z$2, 0,IF(AND(time+1&gt;=AA$2, $E209&lt;AA$2), IF($I209= "I", $J209/($F209-$E209+1), $J209/(($F209*($F209+1)/2)-(($E209-1)*($E209-1+1)/2))*Z$2), 0)+IF(IF(time+1&gt;=AA$2, $K209/time_cap/(time+1)*Z$2, 0) = 0, $K209/(time_cap),0)),0)</f>
        <v/>
      </c>
      <c r="AA209" s="4395">
        <f>IFERROR(IF((time+time_cap)&lt;AA$2, 0,IF(AND(time+1&gt;=AB$2, $E209&lt;AB$2), IF($I209= "I", $J209/($F209-$E209+1), $J209/(($F209*($F209+1)/2)-(($E209-1)*($E209-1+1)/2))*AA$2), 0)+IF(IF(time+1&gt;=AB$2, $K209/time_cap/(time+1)*AA$2, 0) = 0, $K209/(time_cap),0)),0)</f>
        <v/>
      </c>
      <c r="AB209" s="4395">
        <f>IFERROR(IF((time+time_cap)&lt;AB$2, 0,IF(AND(time+1&gt;=AC$2, $E209&lt;AC$2), IF($I209= "I", $J209/($F209-$E209+1), $J209/(($F209*($F209+1)/2)-(($E209-1)*($E209-1+1)/2))*AB$2), 0)+IF(IF(time+1&gt;=AC$2, $K209/time_cap/(time+1)*AB$2, 0) = 0, $K209/(time_cap),0)),0)</f>
        <v/>
      </c>
      <c r="AC209" s="4395">
        <f>IFERROR(IF((time+time_cap)&lt;AC$2, 0,IF(AND(time+1&gt;=AD$2, $E209&lt;AD$2), IF($I209= "I", $J209/($F209-$E209+1), $J209/(($F209*($F209+1)/2)-(($E209-1)*($E209-1+1)/2))*AC$2), 0)+IF(IF(time+1&gt;=AD$2, $K209/time_cap/(time+1)*AC$2, 0) = 0, $K209/(time_cap),0)),0)</f>
        <v/>
      </c>
      <c r="AD209" s="4395">
        <f>IFERROR(IF((time+time_cap)&lt;AD$2, 0,IF(AND(time+1&gt;=AE$2, $E209&lt;AE$2), IF($I209= "I", $J209/($F209-$E209+1), $J209/(($F209*($F209+1)/2)-(($E209-1)*($E209-1+1)/2))*AD$2), 0)+IF(IF(time+1&gt;=AE$2, $K209/time_cap/(time+1)*AD$2, 0) = 0, $K209/(time_cap),0)),0)</f>
        <v/>
      </c>
      <c r="AE209" s="4395">
        <f>IFERROR(IF((time+time_cap)&lt;AE$2, 0,IF(AND(time+1&gt;=AF$2, $E209&lt;AF$2), IF($I209= "I", $J209/($F209-$E209+1), $J209/(($F209*($F209+1)/2)-(($E209-1)*($E209-1+1)/2))*AE$2), 0)+IF(IF(time+1&gt;=AF$2, $K209/time_cap/(time+1)*AE$2, 0) = 0, $K209/(time_cap),0)),0)</f>
        <v/>
      </c>
      <c r="AF209" s="4395">
        <f>IFERROR(IF((time+time_cap)&lt;AF$2, 0,IF(AND(time+1&gt;=AG$2, $E209&lt;AG$2), IF($I209= "I", $J209/($F209-$E209+1), $J209/(($F209*($F209+1)/2)-(($E209-1)*($E209-1+1)/2))*AF$2), 0)+IF(IF(time+1&gt;=AG$2, $K209/time_cap/(time+1)*AF$2, 0) = 0, $K209/(time_cap),0)),0)</f>
        <v/>
      </c>
      <c r="AG209" s="4395">
        <f>IFERROR(IF((time+time_cap)&lt;AG$2, 0,IF(AND(time+1&gt;=AH$2, $E209&lt;AH$2), IF($I209= "I", $J209/($F209-$E209+1), $J209/(($F209*($F209+1)/2)-(($E209-1)*($E209-1+1)/2))*AG$2), 0)+IF(IF(time+1&gt;=AH$2, $K209/time_cap/(time+1)*AG$2, 0) = 0, $K209/(time_cap),0)),0)</f>
        <v/>
      </c>
      <c r="AH209" s="4395">
        <f>IFERROR(IF((time+time_cap)&lt;AH$2, 0,IF(AND(time+1&gt;=AI$2, $E209&lt;AI$2), IF($I209= "I", $J209/($F209-$E209+1), $J209/(($F209*($F209+1)/2)-(($E209-1)*($E209-1+1)/2))*AH$2), 0)+IF(IF(time+1&gt;=AI$2, $K209/time_cap/(time+1)*AH$2, 0) = 0, $K209/(time_cap),0)),0)</f>
        <v/>
      </c>
      <c r="AI209" s="4395">
        <f>IFERROR(IF((time+time_cap)&lt;AI$2, 0,IF(AND(time+1&gt;=AJ$2, $E209&lt;AJ$2), IF($I209= "I", $J209/($F209-$E209+1), $J209/(($F209*($F209+1)/2)-(($E209-1)*($E209-1+1)/2))*AI$2), 0)+IF(IF(time+1&gt;=AJ$2, $K209/time_cap/(time+1)*AI$2, 0) = 0, $K209/(time_cap),0)),0)</f>
        <v/>
      </c>
      <c r="AJ209" s="4395">
        <f>IFERROR(IF((time+time_cap)&lt;AJ$2, 0,IF(AND(time+1&gt;=AK$2, $E209&lt;AK$2), IF($I209= "I", $J209/($F209-$E209+1), $J209/(($F209*($F209+1)/2)-(($E209-1)*($E209-1+1)/2))*AJ$2), 0)+IF(IF(time+1&gt;=AK$2, $K209/time_cap/(time+1)*AJ$2, 0) = 0, $K209/(time_cap),0)),0)</f>
        <v/>
      </c>
      <c r="AK209" s="4395">
        <f>IFERROR(IF((time+time_cap)&lt;AK$2, 0,IF(AND(time+1&gt;=AL$2, $E209&lt;AL$2), IF($I209= "I", $J209/($F209-$E209+1), $J209/(($F209*($F209+1)/2)-(($E209-1)*($E209-1+1)/2))*AK$2), 0)+IF(IF(time+1&gt;=AL$2, $K209/time_cap/(time+1)*AK$2, 0) = 0, $K209/(time_cap),0)),0)</f>
        <v/>
      </c>
      <c r="AL209" s="4395">
        <f>IFERROR(IF((time+time_cap)&lt;AL$2, 0,IF(AND(time+1&gt;=AM$2, $E209&lt;AM$2), IF($I209= "I", $J209/($F209-$E209+1), $J209/(($F209*($F209+1)/2)-(($E209-1)*($E209-1+1)/2))*AL$2), 0)+IF(IF(time+1&gt;=AM$2, $K209/time_cap/(time+1)*AL$2, 0) = 0, $K209/(time_cap),0)),0)</f>
        <v/>
      </c>
      <c r="AM209" s="4395">
        <f>IFERROR(IF((time+time_cap)&lt;AM$2, 0,IF(AND(time+1&gt;=AN$2, $E209&lt;AN$2), IF($I209= "I", $J209/($F209-$E209+1), $J209/(($F209*($F209+1)/2)-(($E209-1)*($E209-1+1)/2))*AM$2), 0)+IF(IF(time+1&gt;=AN$2, $K209/time_cap/(time+1)*AM$2, 0) = 0, $K209/(time_cap),0)),0)</f>
        <v/>
      </c>
      <c r="AN209" s="4395">
        <f>IFERROR(IF((time+time_cap)&lt;AN$2, 0,IF(AND(time+1&gt;=AO$2, $E209&lt;AO$2), IF($I209= "I", $J209/($F209-$E209+1), $J209/(($F209*($F209+1)/2)-(($E209-1)*($E209-1+1)/2))*AN$2), 0)+IF(IF(time+1&gt;=AO$2, $K209/time_cap/(time+1)*AN$2, 0) = 0, $K209/(time_cap),0)),0)</f>
        <v/>
      </c>
      <c r="AO209" s="4395">
        <f>IFERROR(IF((time+time_cap)&lt;AO$2, 0,IF(AND(time+1&gt;=AP$2, $E209&lt;AP$2), IF($I209= "I", $J209/($F209-$E209+1), $J209/(($F209*($F209+1)/2)-(($E209-1)*($E209-1+1)/2))*AO$2), 0)+IF(IF(time+1&gt;=AP$2, $K209/time_cap/(time+1)*AO$2, 0) = 0, $K209/(time_cap),0)),0)</f>
        <v/>
      </c>
      <c r="AP209" s="4395">
        <f>IFERROR(IF((time+time_cap)&lt;AP$2, 0,IF(AND(time+1&gt;=AQ$2, $E209&lt;AQ$2), IF($I209= "I", $J209/($F209-$E209+1), $J209/(($F209*($F209+1)/2)-(($E209-1)*($E209-1+1)/2))*AP$2), 0)+IF(IF(time+1&gt;=AQ$2, $K209/time_cap/(time+1)*AP$2, 0) = 0, $K209/(time_cap),0)),0)</f>
        <v/>
      </c>
      <c r="AQ209" s="4395">
        <f>IFERROR(IF((time+time_cap)&lt;AQ$2, 0,IF(AND(time+1&gt;=AR$2, $E209&lt;AR$2), IF($I209= "I", $J209/($F209-$E209+1), $J209/(($F209*($F209+1)/2)-(($E209-1)*($E209-1+1)/2))*AQ$2), 0)+IF(IF(time+1&gt;=AR$2, $K209/time_cap/(time+1)*AQ$2, 0) = 0, $K209/(time_cap),0)),0)</f>
        <v/>
      </c>
      <c r="AR209" s="4395">
        <f>IFERROR(IF((time+time_cap)&lt;AR$2, 0,IF(AND(time+1&gt;=AS$2, $E209&lt;AS$2), IF($I209= "I", $J209/($F209-$E209+1), $J209/(($F209*($F209+1)/2)-(($E209-1)*($E209-1+1)/2))*AR$2), 0)+IF(IF(time+1&gt;=AS$2, $K209/time_cap/(time+1)*AR$2, 0) = 0, $K209/(time_cap),0)),0)</f>
        <v/>
      </c>
      <c r="AS209" s="4395">
        <f>IFERROR(IF((time+time_cap)&lt;AS$2, 0,IF(AND(time+1&gt;=AT$2, $E209&lt;AT$2), IF($I209= "I", $J209/($F209-$E209+1), $J209/(($F209*($F209+1)/2)-(($E209-1)*($E209-1+1)/2))*AS$2), 0)+IF(IF(time+1&gt;=AT$2, $K209/time_cap/(time+1)*AS$2, 0) = 0, $K209/(time_cap),0)),0)</f>
        <v/>
      </c>
      <c r="AT209" s="4395">
        <f>IFERROR(IF((time+time_cap)&lt;AT$2, 0,IF(AND(time+1&gt;=AU$2, $E209&lt;AU$2), IF($I209= "I", $J209/($F209-$E209+1), $J209/(($F209*($F209+1)/2)-(($E209-1)*($E209-1+1)/2))*AT$2), 0)+IF(IF(time+1&gt;=AU$2, $K209/time_cap/(time+1)*AT$2, 0) = 0, $K209/(time_cap),0)),0)</f>
        <v/>
      </c>
      <c r="AU209" s="4395">
        <f>IFERROR(IF((time+time_cap)&lt;AU$2, 0,IF(AND(time+1&gt;=AV$2, $E209&lt;AV$2), IF($I209= "I", $J209/($F209-$E209+1), $J209/(($F209*($F209+1)/2)-(($E209-1)*($E209-1+1)/2))*AU$2), 0)+IF(IF(time+1&gt;=AV$2, $K209/time_cap/(time+1)*AU$2, 0) = 0, $K209/(time_cap),0)),0)</f>
        <v/>
      </c>
      <c r="AV209" s="4395">
        <f>IFERROR(IF((time+time_cap)&lt;AV$2, 0,IF(AND(time+1&gt;=AW$2, $E209&lt;AW$2), IF($I209= "I", $J209/($F209-$E209+1), $J209/(($F209*($F209+1)/2)-(($E209-1)*($E209-1+1)/2))*AV$2), 0)+IF(IF(time+1&gt;=AW$2, $K209/time_cap/(time+1)*AV$2, 0) = 0, $K209/(time_cap),0)),0)</f>
        <v/>
      </c>
      <c r="AW209" s="4395">
        <f>IFERROR(IF((time+time_cap)&lt;AW$2, 0,IF(AND(time+1&gt;=AX$2, $E209&lt;AX$2), IF($I209= "I", $J209/($F209-$E209+1), $J209/(($F209*($F209+1)/2)-(($E209-1)*($E209-1+1)/2))*AW$2), 0)+IF(IF(time+1&gt;=AX$2, $K209/time_cap/(time+1)*AW$2, 0) = 0, $K209/(time_cap),0)),0)</f>
        <v/>
      </c>
      <c r="AX209" s="4395">
        <f>IFERROR(IF((time+time_cap)&lt;AX$2, 0,IF(AND(time+1&gt;=AY$2, $E209&lt;AY$2), IF($I209= "I", $J209/($F209-$E209+1), $J209/(($F209*($F209+1)/2)-(($E209-1)*($E209-1+1)/2))*AX$2), 0)+IF(IF(time+1&gt;=AY$2, $K209/time_cap/(time+1)*AX$2, 0) = 0, $K209/(time_cap),0)),0)</f>
        <v/>
      </c>
      <c r="AY209" s="4395">
        <f>IFERROR(IF((time+time_cap)&lt;AY$2, 0,IF(AND(time+1&gt;=AZ$2, $E209&lt;AZ$2), IF($I209= "I", $J209/($F209-$E209+1), $J209/(($F209*($F209+1)/2)-(($E209-1)*($E209-1+1)/2))*AY$2), 0)+IF(IF(time+1&gt;=AZ$2, $K209/time_cap/(time+1)*AY$2, 0) = 0, $K209/(time_cap),0)),0)</f>
        <v/>
      </c>
      <c r="AZ209" s="4395">
        <f>IFERROR(IF((time+time_cap)&lt;AZ$2, 0,IF(AND(time+1&gt;=BA$2, $E209&lt;BA$2), IF($I209= "I", $J209/($F209-$E209+1), $J209/(($F209*($F209+1)/2)-(($E209-1)*($E209-1+1)/2))*AZ$2), 0)+IF(IF(time+1&gt;=BA$2, $K209/time_cap/(time+1)*AZ$2, 0) = 0, $K209/(time_cap),0)),0)</f>
        <v/>
      </c>
      <c r="BA209" s="4395">
        <f>IFERROR(IF((time+time_cap)&lt;BA$2, 0,IF(AND(time+1&gt;=BB$2, $E209&lt;BB$2), IF($I209= "I", $J209/($F209-$E209+1), $J209/(($F209*($F209+1)/2)-(($E209-1)*($E209-1+1)/2))*BA$2), 0)+IF(IF(time+1&gt;=BB$2, $K209/time_cap/(time+1)*BA$2, 0) = 0, $K209/(time_cap),0)),0)</f>
        <v/>
      </c>
      <c r="BB209" s="4395">
        <f>IFERROR(IF((time+time_cap)&lt;BB$2, 0,IF(AND(time+1&gt;=BC$2, $E209&lt;BC$2), IF($I209= "I", $J209/($F209-$E209+1), $J209/(($F209*($F209+1)/2)-(($E209-1)*($E209-1+1)/2))*BB$2), 0)+IF(IF(time+1&gt;=BC$2, $K209/time_cap/(time+1)*BB$2, 0) = 0, $K209/(time_cap),0)),0)</f>
        <v/>
      </c>
      <c r="BC209" s="4395">
        <f>IFERROR(IF((time+time_cap)&lt;BC$2, 0,IF(AND(time+1&gt;=BD$2, $E209&lt;BD$2), IF($I209= "I", $J209/($F209-$E209+1), $J209/(($F209*($F209+1)/2)-(($E209-1)*($E209-1+1)/2))*BC$2), 0)+IF(IF(time+1&gt;=BD$2, $K209/time_cap/(time+1)*BC$2, 0) = 0, $K209/(time_cap),0)),0)</f>
        <v/>
      </c>
      <c r="BD209" s="4395">
        <f>IFERROR(IF((time+time_cap)&lt;BD$2, 0,IF(AND(time+1&gt;=BE$2, $E209&lt;BE$2), IF($I209= "I", $J209/($F209-$E209+1), $J209/(($F209*($F209+1)/2)-(($E209-1)*($E209-1+1)/2))*BD$2), 0)+IF(IF(time+1&gt;=BE$2, $K209/time_cap/(time+1)*BD$2, 0) = 0, $K209/(time_cap),0)),0)</f>
        <v/>
      </c>
      <c r="BE209" s="4395">
        <f>IFERROR(IF((time+time_cap)&lt;BE$2, 0,IF(AND(time+1&gt;=BF$2, $E209&lt;BF$2), IF($I209= "I", $J209/($F209-$E209+1), $J209/(($F209*($F209+1)/2)-(($E209-1)*($E209-1+1)/2))*BE$2), 0)+IF(IF(time+1&gt;=BF$2, $K209/time_cap/(time+1)*BE$2, 0) = 0, $K209/(time_cap),0)),0)</f>
        <v/>
      </c>
      <c r="BF209" s="4395">
        <f>IFERROR(IF((time+time_cap)&lt;BF$2, 0,IF(AND(time+1&gt;=BG$2, $E209&lt;BG$2), IF($I209= "I", $J209/($F209-$E209+1), $J209/(($F209*($F209+1)/2)-(($E209-1)*($E209-1+1)/2))*BF$2), 0)+IF(IF(time+1&gt;=BG$2, $K209/time_cap/(time+1)*BF$2, 0) = 0, $K209/(time_cap),0)),0)</f>
        <v/>
      </c>
      <c r="BG209" s="4395">
        <f>IFERROR(IF((time+time_cap)&lt;BG$2, 0,IF(AND(time+1&gt;=BH$2, $E209&lt;BH$2), IF($I209= "I", $J209/($F209-$E209+1), $J209/(($F209*($F209+1)/2)-(($E209-1)*($E209-1+1)/2))*BG$2), 0)+IF(IF(time+1&gt;=BH$2, $K209/time_cap/(time+1)*BG$2, 0) = 0, $K209/(time_cap),0)),0)</f>
        <v/>
      </c>
      <c r="BH209" s="4395">
        <f>IFERROR(IF((time+time_cap)&lt;BH$2, 0,IF(AND(time+1&gt;=BI$2, $E209&lt;BI$2), IF($I209= "I", $J209/($F209-$E209+1), $J209/(($F209*($F209+1)/2)-(($E209-1)*($E209-1+1)/2))*BH$2), 0)+IF(IF(time+1&gt;=BI$2, $K209/time_cap/(time+1)*BH$2, 0) = 0, $K209/(time_cap),0)),0)</f>
        <v/>
      </c>
      <c r="BI209" s="4395">
        <f>IFERROR(IF((time+time_cap)&lt;BI$2, 0,IF(AND(time+1&gt;=BJ$2, $E209&lt;BJ$2), IF($I209= "I", $J209/($F209-$E209+1), $J209/(($F209*($F209+1)/2)-(($E209-1)*($E209-1+1)/2))*BI$2), 0)+IF(IF(time+1&gt;=BJ$2, $K209/time_cap/(time+1)*BI$2, 0) = 0, $K209/(time_cap),0)),0)</f>
        <v/>
      </c>
      <c r="BJ209" s="4395">
        <f>IFERROR(IF((time+time_cap)&lt;BJ$2, 0,IF(AND(time+1&gt;=BK$2, $E209&lt;BK$2), IF($I209= "I", $J209/($F209-$E209+1), $J209/(($F209*($F209+1)/2)-(($E209-1)*($E209-1+1)/2))*BJ$2), 0)+IF(IF(time+1&gt;=BK$2, $K209/time_cap/(time+1)*BJ$2, 0) = 0, $K209/(time_cap),0)),0)</f>
        <v/>
      </c>
      <c r="BK209" s="4395" t="n"/>
      <c r="BL209" s="4395" t="n"/>
      <c r="BM209" s="4395" t="n"/>
      <c r="BN209" s="4395" t="n"/>
      <c r="BO209" s="4395" t="n"/>
      <c r="BP209" s="4395" t="n"/>
      <c r="BQ209" s="4395" t="n"/>
      <c r="BR209" s="4395" t="n"/>
      <c r="BS209" s="4395" t="n"/>
      <c r="BT209" s="4395" t="n"/>
      <c r="BU209" s="4395" t="n"/>
      <c r="BV209" s="4395" t="n"/>
      <c r="BW209" s="4395" t="n"/>
      <c r="BX209" s="4395" t="n"/>
      <c r="BY209" s="4395" t="n"/>
      <c r="BZ209" s="4395" t="n"/>
      <c r="CA209" s="4395" t="n"/>
      <c r="CB209" s="4395" t="n"/>
      <c r="CC209" s="4395" t="n"/>
      <c r="CD209" s="4395" t="n"/>
      <c r="CE209" s="4395" t="n"/>
      <c r="CF209" s="4395" t="n"/>
      <c r="CG209" s="4395" t="n"/>
      <c r="CH209" s="4395" t="n"/>
      <c r="CI209" s="4395" t="n"/>
      <c r="CJ209" s="4395" t="n"/>
      <c r="CK209" s="4395" t="n"/>
      <c r="CL209" s="4395" t="n"/>
      <c r="CM209" s="4395" t="n"/>
      <c r="CN209" s="4395" t="n"/>
      <c r="CO209" s="4395" t="n"/>
      <c r="CP209" s="4395" t="n"/>
      <c r="CQ209" s="4395" t="n"/>
      <c r="CR209" s="4395" t="n"/>
      <c r="CS209" s="4395" t="n"/>
      <c r="CT209" s="4395" t="n"/>
      <c r="CU209" s="4395" t="n"/>
      <c r="CV209" s="4395" t="n"/>
      <c r="CW209" s="4395" t="n"/>
      <c r="CX209" s="4395" t="n"/>
      <c r="CY209" s="4395" t="n"/>
      <c r="CZ209" s="4395" t="n"/>
      <c r="DA209" s="4395" t="n"/>
      <c r="DB209" s="4395" t="n"/>
      <c r="DC209" s="4395" t="n"/>
      <c r="DD209" s="4395" t="n"/>
      <c r="DE209" s="4395" t="n"/>
      <c r="DF209" s="4395" t="n"/>
      <c r="DG209" s="4395" t="n"/>
      <c r="DH209" s="4395" t="n"/>
    </row>
    <row r="210" ht="16" customHeight="1">
      <c r="A210" t="inlineStr">
        <is>
          <t>Inputs</t>
        </is>
      </c>
      <c r="C210">
        <f>'9.Inputs'!C22</f>
        <v/>
      </c>
      <c r="D210">
        <f>'9.Inputs'!V22</f>
        <v/>
      </c>
      <c r="E210">
        <f>IF('9.Inputs'!BE22&lt;&gt;0,'9.Inputs'!BE22,'9.Inputs'!BD22)</f>
        <v/>
      </c>
      <c r="F210">
        <f>time</f>
        <v/>
      </c>
      <c r="G210" s="4395">
        <f>'9.Inputs'!F22</f>
        <v/>
      </c>
      <c r="H210" s="4395">
        <f>'9.Inputs'!H22</f>
        <v/>
      </c>
      <c r="I210" s="4395">
        <f>IF(OR(H210="I", G210="I"), "I", IF(OR(H210="E", G210="E"), "E", "D"))</f>
        <v/>
      </c>
      <c r="J210" s="4395">
        <f>((D210/(time_cap+((F210-E210+1)*VLOOKUP(I210,list!$I$48:$K$50,3, FALSE))))*(F210-E210+1)*VLOOKUP(I210,list!$I$48:$K$50,3, FALSE))</f>
        <v/>
      </c>
      <c r="K210" s="4395">
        <f>((D210/(time_cap+((F210-E210+1)*VLOOKUP(I210,list!$I$48:$K$50,3, FALSE))))*time_cap)</f>
        <v/>
      </c>
      <c r="M210" s="4395">
        <f>IFERROR(IF((time+time_cap)&lt;M$2, 0,IF(AND(time+1&gt;=N$2, $E210&lt;N$2), IF($I210= "I", $J210/($F210-$E210+1), $J210/(($F210*($F210+1)/2)-(($E210-1)*($E210-1+1)/2))*M$2), 0)+IF(IF(time+1&gt;=N$2, $K210/time_cap/(time+1)*M$2, 0) = 0, $K210/(time_cap),0)),0)</f>
        <v/>
      </c>
      <c r="N210" s="4395">
        <f>IFERROR(IF((time+time_cap)&lt;N$2, 0,IF(AND(time+1&gt;=O$2, $E210&lt;O$2), IF($I210= "I", $J210/($F210-$E210+1), $J210/(($F210*($F210+1)/2)-(($E210-1)*($E210-1+1)/2))*N$2), 0)+IF(IF(time+1&gt;=O$2, $K210/time_cap/(time+1)*N$2, 0) = 0, $K210/(time_cap),0)),0)</f>
        <v/>
      </c>
      <c r="O210" s="4395">
        <f>IFERROR(IF((time+time_cap)&lt;O$2, 0,IF(AND(time+1&gt;=P$2, $E210&lt;P$2), IF($I210= "I", $J210/($F210-$E210+1), $J210/(($F210*($F210+1)/2)-(($E210-1)*($E210-1+1)/2))*O$2), 0)+IF(IF(time+1&gt;=P$2, $K210/time_cap/(time+1)*O$2, 0) = 0, $K210/(time_cap),0)),0)</f>
        <v/>
      </c>
      <c r="P210" s="4395">
        <f>IFERROR(IF((time+time_cap)&lt;P$2, 0,IF(AND(time+1&gt;=Q$2, $E210&lt;Q$2), IF($I210= "I", $J210/($F210-$E210+1), $J210/(($F210*($F210+1)/2)-(($E210-1)*($E210-1+1)/2))*P$2), 0)+IF(IF(time+1&gt;=Q$2, $K210/time_cap/(time+1)*P$2, 0) = 0, $K210/(time_cap),0)),0)</f>
        <v/>
      </c>
      <c r="Q210" s="4395">
        <f>IFERROR(IF((time+time_cap)&lt;Q$2, 0,IF(AND(time+1&gt;=R$2, $E210&lt;R$2), IF($I210= "I", $J210/($F210-$E210+1), $J210/(($F210*($F210+1)/2)-(($E210-1)*($E210-1+1)/2))*Q$2), 0)+IF(IF(time+1&gt;=R$2, $K210/time_cap/(time+1)*Q$2, 0) = 0, $K210/(time_cap),0)),0)</f>
        <v/>
      </c>
      <c r="R210" s="4395">
        <f>IFERROR(IF((time+time_cap)&lt;R$2, 0,IF(AND(time+1&gt;=S$2, $E210&lt;S$2), IF($I210= "I", $J210/($F210-$E210+1), $J210/(($F210*($F210+1)/2)-(($E210-1)*($E210-1+1)/2))*R$2), 0)+IF(IF(time+1&gt;=S$2, $K210/time_cap/(time+1)*R$2, 0) = 0, $K210/(time_cap),0)),0)</f>
        <v/>
      </c>
      <c r="S210" s="4395">
        <f>IFERROR(IF((time+time_cap)&lt;S$2, 0,IF(AND(time+1&gt;=T$2, $E210&lt;T$2), IF($I210= "I", $J210/($F210-$E210+1), $J210/(($F210*($F210+1)/2)-(($E210-1)*($E210-1+1)/2))*S$2), 0)+IF(IF(time+1&gt;=T$2, $K210/time_cap/(time+1)*S$2, 0) = 0, $K210/(time_cap),0)),0)</f>
        <v/>
      </c>
      <c r="T210" s="4395">
        <f>IFERROR(IF((time+time_cap)&lt;T$2, 0,IF(AND(time+1&gt;=U$2, $E210&lt;U$2), IF($I210= "I", $J210/($F210-$E210+1), $J210/(($F210*($F210+1)/2)-(($E210-1)*($E210-1+1)/2))*T$2), 0)+IF(IF(time+1&gt;=U$2, $K210/time_cap/(time+1)*T$2, 0) = 0, $K210/(time_cap),0)),0)</f>
        <v/>
      </c>
      <c r="U210" s="4395">
        <f>IFERROR(IF((time+time_cap)&lt;U$2, 0,IF(AND(time+1&gt;=V$2, $E210&lt;V$2), IF($I210= "I", $J210/($F210-$E210+1), $J210/(($F210*($F210+1)/2)-(($E210-1)*($E210-1+1)/2))*U$2), 0)+IF(IF(time+1&gt;=V$2, $K210/time_cap/(time+1)*U$2, 0) = 0, $K210/(time_cap),0)),0)</f>
        <v/>
      </c>
      <c r="V210" s="4395">
        <f>IFERROR(IF((time+time_cap)&lt;V$2, 0,IF(AND(time+1&gt;=W$2, $E210&lt;W$2), IF($I210= "I", $J210/($F210-$E210+1), $J210/(($F210*($F210+1)/2)-(($E210-1)*($E210-1+1)/2))*V$2), 0)+IF(IF(time+1&gt;=W$2, $K210/time_cap/(time+1)*V$2, 0) = 0, $K210/(time_cap),0)),0)</f>
        <v/>
      </c>
      <c r="W210" s="4395">
        <f>IFERROR(IF((time+time_cap)&lt;W$2, 0,IF(AND(time+1&gt;=X$2, $E210&lt;X$2), IF($I210= "I", $J210/($F210-$E210+1), $J210/(($F210*($F210+1)/2)-(($E210-1)*($E210-1+1)/2))*W$2), 0)+IF(IF(time+1&gt;=X$2, $K210/time_cap/(time+1)*W$2, 0) = 0, $K210/(time_cap),0)),0)</f>
        <v/>
      </c>
      <c r="X210" s="4395">
        <f>IFERROR(IF((time+time_cap)&lt;X$2, 0,IF(AND(time+1&gt;=Y$2, $E210&lt;Y$2), IF($I210= "I", $J210/($F210-$E210+1), $J210/(($F210*($F210+1)/2)-(($E210-1)*($E210-1+1)/2))*X$2), 0)+IF(IF(time+1&gt;=Y$2, $K210/time_cap/(time+1)*X$2, 0) = 0, $K210/(time_cap),0)),0)</f>
        <v/>
      </c>
      <c r="Y210" s="4395">
        <f>IFERROR(IF((time+time_cap)&lt;Y$2, 0,IF(AND(time+1&gt;=Z$2, $E210&lt;Z$2), IF($I210= "I", $J210/($F210-$E210+1), $J210/(($F210*($F210+1)/2)-(($E210-1)*($E210-1+1)/2))*Y$2), 0)+IF(IF(time+1&gt;=Z$2, $K210/time_cap/(time+1)*Y$2, 0) = 0, $K210/(time_cap),0)),0)</f>
        <v/>
      </c>
      <c r="Z210" s="4395">
        <f>IFERROR(IF((time+time_cap)&lt;Z$2, 0,IF(AND(time+1&gt;=AA$2, $E210&lt;AA$2), IF($I210= "I", $J210/($F210-$E210+1), $J210/(($F210*($F210+1)/2)-(($E210-1)*($E210-1+1)/2))*Z$2), 0)+IF(IF(time+1&gt;=AA$2, $K210/time_cap/(time+1)*Z$2, 0) = 0, $K210/(time_cap),0)),0)</f>
        <v/>
      </c>
      <c r="AA210" s="4395">
        <f>IFERROR(IF((time+time_cap)&lt;AA$2, 0,IF(AND(time+1&gt;=AB$2, $E210&lt;AB$2), IF($I210= "I", $J210/($F210-$E210+1), $J210/(($F210*($F210+1)/2)-(($E210-1)*($E210-1+1)/2))*AA$2), 0)+IF(IF(time+1&gt;=AB$2, $K210/time_cap/(time+1)*AA$2, 0) = 0, $K210/(time_cap),0)),0)</f>
        <v/>
      </c>
      <c r="AB210" s="4395">
        <f>IFERROR(IF((time+time_cap)&lt;AB$2, 0,IF(AND(time+1&gt;=AC$2, $E210&lt;AC$2), IF($I210= "I", $J210/($F210-$E210+1), $J210/(($F210*($F210+1)/2)-(($E210-1)*($E210-1+1)/2))*AB$2), 0)+IF(IF(time+1&gt;=AC$2, $K210/time_cap/(time+1)*AB$2, 0) = 0, $K210/(time_cap),0)),0)</f>
        <v/>
      </c>
      <c r="AC210" s="4395">
        <f>IFERROR(IF((time+time_cap)&lt;AC$2, 0,IF(AND(time+1&gt;=AD$2, $E210&lt;AD$2), IF($I210= "I", $J210/($F210-$E210+1), $J210/(($F210*($F210+1)/2)-(($E210-1)*($E210-1+1)/2))*AC$2), 0)+IF(IF(time+1&gt;=AD$2, $K210/time_cap/(time+1)*AC$2, 0) = 0, $K210/(time_cap),0)),0)</f>
        <v/>
      </c>
      <c r="AD210" s="4395">
        <f>IFERROR(IF((time+time_cap)&lt;AD$2, 0,IF(AND(time+1&gt;=AE$2, $E210&lt;AE$2), IF($I210= "I", $J210/($F210-$E210+1), $J210/(($F210*($F210+1)/2)-(($E210-1)*($E210-1+1)/2))*AD$2), 0)+IF(IF(time+1&gt;=AE$2, $K210/time_cap/(time+1)*AD$2, 0) = 0, $K210/(time_cap),0)),0)</f>
        <v/>
      </c>
      <c r="AE210" s="4395">
        <f>IFERROR(IF((time+time_cap)&lt;AE$2, 0,IF(AND(time+1&gt;=AF$2, $E210&lt;AF$2), IF($I210= "I", $J210/($F210-$E210+1), $J210/(($F210*($F210+1)/2)-(($E210-1)*($E210-1+1)/2))*AE$2), 0)+IF(IF(time+1&gt;=AF$2, $K210/time_cap/(time+1)*AE$2, 0) = 0, $K210/(time_cap),0)),0)</f>
        <v/>
      </c>
      <c r="AF210" s="4395">
        <f>IFERROR(IF((time+time_cap)&lt;AF$2, 0,IF(AND(time+1&gt;=AG$2, $E210&lt;AG$2), IF($I210= "I", $J210/($F210-$E210+1), $J210/(($F210*($F210+1)/2)-(($E210-1)*($E210-1+1)/2))*AF$2), 0)+IF(IF(time+1&gt;=AG$2, $K210/time_cap/(time+1)*AF$2, 0) = 0, $K210/(time_cap),0)),0)</f>
        <v/>
      </c>
      <c r="AG210" s="4395">
        <f>IFERROR(IF((time+time_cap)&lt;AG$2, 0,IF(AND(time+1&gt;=AH$2, $E210&lt;AH$2), IF($I210= "I", $J210/($F210-$E210+1), $J210/(($F210*($F210+1)/2)-(($E210-1)*($E210-1+1)/2))*AG$2), 0)+IF(IF(time+1&gt;=AH$2, $K210/time_cap/(time+1)*AG$2, 0) = 0, $K210/(time_cap),0)),0)</f>
        <v/>
      </c>
      <c r="AH210" s="4395">
        <f>IFERROR(IF((time+time_cap)&lt;AH$2, 0,IF(AND(time+1&gt;=AI$2, $E210&lt;AI$2), IF($I210= "I", $J210/($F210-$E210+1), $J210/(($F210*($F210+1)/2)-(($E210-1)*($E210-1+1)/2))*AH$2), 0)+IF(IF(time+1&gt;=AI$2, $K210/time_cap/(time+1)*AH$2, 0) = 0, $K210/(time_cap),0)),0)</f>
        <v/>
      </c>
      <c r="AI210" s="4395">
        <f>IFERROR(IF((time+time_cap)&lt;AI$2, 0,IF(AND(time+1&gt;=AJ$2, $E210&lt;AJ$2), IF($I210= "I", $J210/($F210-$E210+1), $J210/(($F210*($F210+1)/2)-(($E210-1)*($E210-1+1)/2))*AI$2), 0)+IF(IF(time+1&gt;=AJ$2, $K210/time_cap/(time+1)*AI$2, 0) = 0, $K210/(time_cap),0)),0)</f>
        <v/>
      </c>
      <c r="AJ210" s="4395">
        <f>IFERROR(IF((time+time_cap)&lt;AJ$2, 0,IF(AND(time+1&gt;=AK$2, $E210&lt;AK$2), IF($I210= "I", $J210/($F210-$E210+1), $J210/(($F210*($F210+1)/2)-(($E210-1)*($E210-1+1)/2))*AJ$2), 0)+IF(IF(time+1&gt;=AK$2, $K210/time_cap/(time+1)*AJ$2, 0) = 0, $K210/(time_cap),0)),0)</f>
        <v/>
      </c>
      <c r="AK210" s="4395">
        <f>IFERROR(IF((time+time_cap)&lt;AK$2, 0,IF(AND(time+1&gt;=AL$2, $E210&lt;AL$2), IF($I210= "I", $J210/($F210-$E210+1), $J210/(($F210*($F210+1)/2)-(($E210-1)*($E210-1+1)/2))*AK$2), 0)+IF(IF(time+1&gt;=AL$2, $K210/time_cap/(time+1)*AK$2, 0) = 0, $K210/(time_cap),0)),0)</f>
        <v/>
      </c>
      <c r="AL210" s="4395">
        <f>IFERROR(IF((time+time_cap)&lt;AL$2, 0,IF(AND(time+1&gt;=AM$2, $E210&lt;AM$2), IF($I210= "I", $J210/($F210-$E210+1), $J210/(($F210*($F210+1)/2)-(($E210-1)*($E210-1+1)/2))*AL$2), 0)+IF(IF(time+1&gt;=AM$2, $K210/time_cap/(time+1)*AL$2, 0) = 0, $K210/(time_cap),0)),0)</f>
        <v/>
      </c>
      <c r="AM210" s="4395">
        <f>IFERROR(IF((time+time_cap)&lt;AM$2, 0,IF(AND(time+1&gt;=AN$2, $E210&lt;AN$2), IF($I210= "I", $J210/($F210-$E210+1), $J210/(($F210*($F210+1)/2)-(($E210-1)*($E210-1+1)/2))*AM$2), 0)+IF(IF(time+1&gt;=AN$2, $K210/time_cap/(time+1)*AM$2, 0) = 0, $K210/(time_cap),0)),0)</f>
        <v/>
      </c>
      <c r="AN210" s="4395">
        <f>IFERROR(IF((time+time_cap)&lt;AN$2, 0,IF(AND(time+1&gt;=AO$2, $E210&lt;AO$2), IF($I210= "I", $J210/($F210-$E210+1), $J210/(($F210*($F210+1)/2)-(($E210-1)*($E210-1+1)/2))*AN$2), 0)+IF(IF(time+1&gt;=AO$2, $K210/time_cap/(time+1)*AN$2, 0) = 0, $K210/(time_cap),0)),0)</f>
        <v/>
      </c>
      <c r="AO210" s="4395">
        <f>IFERROR(IF((time+time_cap)&lt;AO$2, 0,IF(AND(time+1&gt;=AP$2, $E210&lt;AP$2), IF($I210= "I", $J210/($F210-$E210+1), $J210/(($F210*($F210+1)/2)-(($E210-1)*($E210-1+1)/2))*AO$2), 0)+IF(IF(time+1&gt;=AP$2, $K210/time_cap/(time+1)*AO$2, 0) = 0, $K210/(time_cap),0)),0)</f>
        <v/>
      </c>
      <c r="AP210" s="4395">
        <f>IFERROR(IF((time+time_cap)&lt;AP$2, 0,IF(AND(time+1&gt;=AQ$2, $E210&lt;AQ$2), IF($I210= "I", $J210/($F210-$E210+1), $J210/(($F210*($F210+1)/2)-(($E210-1)*($E210-1+1)/2))*AP$2), 0)+IF(IF(time+1&gt;=AQ$2, $K210/time_cap/(time+1)*AP$2, 0) = 0, $K210/(time_cap),0)),0)</f>
        <v/>
      </c>
      <c r="AQ210" s="4395">
        <f>IFERROR(IF((time+time_cap)&lt;AQ$2, 0,IF(AND(time+1&gt;=AR$2, $E210&lt;AR$2), IF($I210= "I", $J210/($F210-$E210+1), $J210/(($F210*($F210+1)/2)-(($E210-1)*($E210-1+1)/2))*AQ$2), 0)+IF(IF(time+1&gt;=AR$2, $K210/time_cap/(time+1)*AQ$2, 0) = 0, $K210/(time_cap),0)),0)</f>
        <v/>
      </c>
      <c r="AR210" s="4395">
        <f>IFERROR(IF((time+time_cap)&lt;AR$2, 0,IF(AND(time+1&gt;=AS$2, $E210&lt;AS$2), IF($I210= "I", $J210/($F210-$E210+1), $J210/(($F210*($F210+1)/2)-(($E210-1)*($E210-1+1)/2))*AR$2), 0)+IF(IF(time+1&gt;=AS$2, $K210/time_cap/(time+1)*AR$2, 0) = 0, $K210/(time_cap),0)),0)</f>
        <v/>
      </c>
      <c r="AS210" s="4395">
        <f>IFERROR(IF((time+time_cap)&lt;AS$2, 0,IF(AND(time+1&gt;=AT$2, $E210&lt;AT$2), IF($I210= "I", $J210/($F210-$E210+1), $J210/(($F210*($F210+1)/2)-(($E210-1)*($E210-1+1)/2))*AS$2), 0)+IF(IF(time+1&gt;=AT$2, $K210/time_cap/(time+1)*AS$2, 0) = 0, $K210/(time_cap),0)),0)</f>
        <v/>
      </c>
      <c r="AT210" s="4395">
        <f>IFERROR(IF((time+time_cap)&lt;AT$2, 0,IF(AND(time+1&gt;=AU$2, $E210&lt;AU$2), IF($I210= "I", $J210/($F210-$E210+1), $J210/(($F210*($F210+1)/2)-(($E210-1)*($E210-1+1)/2))*AT$2), 0)+IF(IF(time+1&gt;=AU$2, $K210/time_cap/(time+1)*AT$2, 0) = 0, $K210/(time_cap),0)),0)</f>
        <v/>
      </c>
      <c r="AU210" s="4395">
        <f>IFERROR(IF((time+time_cap)&lt;AU$2, 0,IF(AND(time+1&gt;=AV$2, $E210&lt;AV$2), IF($I210= "I", $J210/($F210-$E210+1), $J210/(($F210*($F210+1)/2)-(($E210-1)*($E210-1+1)/2))*AU$2), 0)+IF(IF(time+1&gt;=AV$2, $K210/time_cap/(time+1)*AU$2, 0) = 0, $K210/(time_cap),0)),0)</f>
        <v/>
      </c>
      <c r="AV210" s="4395">
        <f>IFERROR(IF((time+time_cap)&lt;AV$2, 0,IF(AND(time+1&gt;=AW$2, $E210&lt;AW$2), IF($I210= "I", $J210/($F210-$E210+1), $J210/(($F210*($F210+1)/2)-(($E210-1)*($E210-1+1)/2))*AV$2), 0)+IF(IF(time+1&gt;=AW$2, $K210/time_cap/(time+1)*AV$2, 0) = 0, $K210/(time_cap),0)),0)</f>
        <v/>
      </c>
      <c r="AW210" s="4395">
        <f>IFERROR(IF((time+time_cap)&lt;AW$2, 0,IF(AND(time+1&gt;=AX$2, $E210&lt;AX$2), IF($I210= "I", $J210/($F210-$E210+1), $J210/(($F210*($F210+1)/2)-(($E210-1)*($E210-1+1)/2))*AW$2), 0)+IF(IF(time+1&gt;=AX$2, $K210/time_cap/(time+1)*AW$2, 0) = 0, $K210/(time_cap),0)),0)</f>
        <v/>
      </c>
      <c r="AX210" s="4395">
        <f>IFERROR(IF((time+time_cap)&lt;AX$2, 0,IF(AND(time+1&gt;=AY$2, $E210&lt;AY$2), IF($I210= "I", $J210/($F210-$E210+1), $J210/(($F210*($F210+1)/2)-(($E210-1)*($E210-1+1)/2))*AX$2), 0)+IF(IF(time+1&gt;=AY$2, $K210/time_cap/(time+1)*AX$2, 0) = 0, $K210/(time_cap),0)),0)</f>
        <v/>
      </c>
      <c r="AY210" s="4395">
        <f>IFERROR(IF((time+time_cap)&lt;AY$2, 0,IF(AND(time+1&gt;=AZ$2, $E210&lt;AZ$2), IF($I210= "I", $J210/($F210-$E210+1), $J210/(($F210*($F210+1)/2)-(($E210-1)*($E210-1+1)/2))*AY$2), 0)+IF(IF(time+1&gt;=AZ$2, $K210/time_cap/(time+1)*AY$2, 0) = 0, $K210/(time_cap),0)),0)</f>
        <v/>
      </c>
      <c r="AZ210" s="4395">
        <f>IFERROR(IF((time+time_cap)&lt;AZ$2, 0,IF(AND(time+1&gt;=BA$2, $E210&lt;BA$2), IF($I210= "I", $J210/($F210-$E210+1), $J210/(($F210*($F210+1)/2)-(($E210-1)*($E210-1+1)/2))*AZ$2), 0)+IF(IF(time+1&gt;=BA$2, $K210/time_cap/(time+1)*AZ$2, 0) = 0, $K210/(time_cap),0)),0)</f>
        <v/>
      </c>
      <c r="BA210" s="4395">
        <f>IFERROR(IF((time+time_cap)&lt;BA$2, 0,IF(AND(time+1&gt;=BB$2, $E210&lt;BB$2), IF($I210= "I", $J210/($F210-$E210+1), $J210/(($F210*($F210+1)/2)-(($E210-1)*($E210-1+1)/2))*BA$2), 0)+IF(IF(time+1&gt;=BB$2, $K210/time_cap/(time+1)*BA$2, 0) = 0, $K210/(time_cap),0)),0)</f>
        <v/>
      </c>
      <c r="BB210" s="4395">
        <f>IFERROR(IF((time+time_cap)&lt;BB$2, 0,IF(AND(time+1&gt;=BC$2, $E210&lt;BC$2), IF($I210= "I", $J210/($F210-$E210+1), $J210/(($F210*($F210+1)/2)-(($E210-1)*($E210-1+1)/2))*BB$2), 0)+IF(IF(time+1&gt;=BC$2, $K210/time_cap/(time+1)*BB$2, 0) = 0, $K210/(time_cap),0)),0)</f>
        <v/>
      </c>
      <c r="BC210" s="4395">
        <f>IFERROR(IF((time+time_cap)&lt;BC$2, 0,IF(AND(time+1&gt;=BD$2, $E210&lt;BD$2), IF($I210= "I", $J210/($F210-$E210+1), $J210/(($F210*($F210+1)/2)-(($E210-1)*($E210-1+1)/2))*BC$2), 0)+IF(IF(time+1&gt;=BD$2, $K210/time_cap/(time+1)*BC$2, 0) = 0, $K210/(time_cap),0)),0)</f>
        <v/>
      </c>
      <c r="BD210" s="4395">
        <f>IFERROR(IF((time+time_cap)&lt;BD$2, 0,IF(AND(time+1&gt;=BE$2, $E210&lt;BE$2), IF($I210= "I", $J210/($F210-$E210+1), $J210/(($F210*($F210+1)/2)-(($E210-1)*($E210-1+1)/2))*BD$2), 0)+IF(IF(time+1&gt;=BE$2, $K210/time_cap/(time+1)*BD$2, 0) = 0, $K210/(time_cap),0)),0)</f>
        <v/>
      </c>
      <c r="BE210" s="4395">
        <f>IFERROR(IF((time+time_cap)&lt;BE$2, 0,IF(AND(time+1&gt;=BF$2, $E210&lt;BF$2), IF($I210= "I", $J210/($F210-$E210+1), $J210/(($F210*($F210+1)/2)-(($E210-1)*($E210-1+1)/2))*BE$2), 0)+IF(IF(time+1&gt;=BF$2, $K210/time_cap/(time+1)*BE$2, 0) = 0, $K210/(time_cap),0)),0)</f>
        <v/>
      </c>
      <c r="BF210" s="4395">
        <f>IFERROR(IF((time+time_cap)&lt;BF$2, 0,IF(AND(time+1&gt;=BG$2, $E210&lt;BG$2), IF($I210= "I", $J210/($F210-$E210+1), $J210/(($F210*($F210+1)/2)-(($E210-1)*($E210-1+1)/2))*BF$2), 0)+IF(IF(time+1&gt;=BG$2, $K210/time_cap/(time+1)*BF$2, 0) = 0, $K210/(time_cap),0)),0)</f>
        <v/>
      </c>
      <c r="BG210" s="4395">
        <f>IFERROR(IF((time+time_cap)&lt;BG$2, 0,IF(AND(time+1&gt;=BH$2, $E210&lt;BH$2), IF($I210= "I", $J210/($F210-$E210+1), $J210/(($F210*($F210+1)/2)-(($E210-1)*($E210-1+1)/2))*BG$2), 0)+IF(IF(time+1&gt;=BH$2, $K210/time_cap/(time+1)*BG$2, 0) = 0, $K210/(time_cap),0)),0)</f>
        <v/>
      </c>
      <c r="BH210" s="4395">
        <f>IFERROR(IF((time+time_cap)&lt;BH$2, 0,IF(AND(time+1&gt;=BI$2, $E210&lt;BI$2), IF($I210= "I", $J210/($F210-$E210+1), $J210/(($F210*($F210+1)/2)-(($E210-1)*($E210-1+1)/2))*BH$2), 0)+IF(IF(time+1&gt;=BI$2, $K210/time_cap/(time+1)*BH$2, 0) = 0, $K210/(time_cap),0)),0)</f>
        <v/>
      </c>
      <c r="BI210" s="4395">
        <f>IFERROR(IF((time+time_cap)&lt;BI$2, 0,IF(AND(time+1&gt;=BJ$2, $E210&lt;BJ$2), IF($I210= "I", $J210/($F210-$E210+1), $J210/(($F210*($F210+1)/2)-(($E210-1)*($E210-1+1)/2))*BI$2), 0)+IF(IF(time+1&gt;=BJ$2, $K210/time_cap/(time+1)*BI$2, 0) = 0, $K210/(time_cap),0)),0)</f>
        <v/>
      </c>
      <c r="BJ210" s="4395">
        <f>IFERROR(IF((time+time_cap)&lt;BJ$2, 0,IF(AND(time+1&gt;=BK$2, $E210&lt;BK$2), IF($I210= "I", $J210/($F210-$E210+1), $J210/(($F210*($F210+1)/2)-(($E210-1)*($E210-1+1)/2))*BJ$2), 0)+IF(IF(time+1&gt;=BK$2, $K210/time_cap/(time+1)*BJ$2, 0) = 0, $K210/(time_cap),0)),0)</f>
        <v/>
      </c>
      <c r="BK210" s="4395" t="n"/>
      <c r="BL210" s="4395" t="n"/>
      <c r="BM210" s="4395" t="n"/>
      <c r="BN210" s="4395" t="n"/>
      <c r="BO210" s="4395" t="n"/>
      <c r="BP210" s="4395" t="n"/>
      <c r="BQ210" s="4395" t="n"/>
      <c r="BR210" s="4395" t="n"/>
      <c r="BS210" s="4395" t="n"/>
      <c r="BT210" s="4395" t="n"/>
      <c r="BU210" s="4395" t="n"/>
      <c r="BV210" s="4395" t="n"/>
      <c r="BW210" s="4395" t="n"/>
      <c r="BX210" s="4395" t="n"/>
      <c r="BY210" s="4395" t="n"/>
      <c r="BZ210" s="4395" t="n"/>
      <c r="CA210" s="4395" t="n"/>
      <c r="CB210" s="4395" t="n"/>
      <c r="CC210" s="4395" t="n"/>
      <c r="CD210" s="4395" t="n"/>
      <c r="CE210" s="4395" t="n"/>
      <c r="CF210" s="4395" t="n"/>
      <c r="CG210" s="4395" t="n"/>
      <c r="CH210" s="4395" t="n"/>
      <c r="CI210" s="4395" t="n"/>
      <c r="CJ210" s="4395" t="n"/>
      <c r="CK210" s="4395" t="n"/>
      <c r="CL210" s="4395" t="n"/>
      <c r="CM210" s="4395" t="n"/>
      <c r="CN210" s="4395" t="n"/>
      <c r="CO210" s="4395" t="n"/>
      <c r="CP210" s="4395" t="n"/>
      <c r="CQ210" s="4395" t="n"/>
      <c r="CR210" s="4395" t="n"/>
      <c r="CS210" s="4395" t="n"/>
      <c r="CT210" s="4395" t="n"/>
      <c r="CU210" s="4395" t="n"/>
      <c r="CV210" s="4395" t="n"/>
      <c r="CW210" s="4395" t="n"/>
      <c r="CX210" s="4395" t="n"/>
      <c r="CY210" s="4395" t="n"/>
      <c r="CZ210" s="4395" t="n"/>
      <c r="DA210" s="4395" t="n"/>
      <c r="DB210" s="4395" t="n"/>
      <c r="DC210" s="4395" t="n"/>
      <c r="DD210" s="4395" t="n"/>
      <c r="DE210" s="4395" t="n"/>
      <c r="DF210" s="4395" t="n"/>
      <c r="DG210" s="4395" t="n"/>
      <c r="DH210" s="4395" t="n"/>
    </row>
    <row r="211" ht="16" customHeight="1">
      <c r="A211" t="inlineStr">
        <is>
          <t>Inputs</t>
        </is>
      </c>
      <c r="C211">
        <f>'9.Inputs'!C24</f>
        <v/>
      </c>
      <c r="D211">
        <f>'9.Inputs'!V24</f>
        <v/>
      </c>
      <c r="E211">
        <f>IF('9.Inputs'!BE24&lt;&gt;0,'9.Inputs'!BE24,'9.Inputs'!BD24)</f>
        <v/>
      </c>
      <c r="F211">
        <f>time</f>
        <v/>
      </c>
      <c r="G211" s="4395">
        <f>'9.Inputs'!F24</f>
        <v/>
      </c>
      <c r="H211" s="4395">
        <f>'9.Inputs'!H24</f>
        <v/>
      </c>
      <c r="I211" s="4395">
        <f>IF(OR(H211="I", G211="I"), "I", IF(OR(H211="E", G211="E"), "E", "D"))</f>
        <v/>
      </c>
      <c r="J211" s="4395">
        <f>((D211/(time_cap+((F211-E211+1)*VLOOKUP(I211,list!$I$48:$K$50,3, FALSE))))*(F211-E211+1)*VLOOKUP(I211,list!$I$48:$K$50,3, FALSE))</f>
        <v/>
      </c>
      <c r="K211" s="4395">
        <f>((D211/(time_cap+((F211-E211+1)*VLOOKUP(I211,list!$I$48:$K$50,3, FALSE))))*time_cap)</f>
        <v/>
      </c>
      <c r="M211" s="4395">
        <f>IFERROR(IF((time+time_cap)&lt;M$2, 0,IF(AND(time+1&gt;=N$2, $E211&lt;N$2), IF($I211= "I", $J211/($F211-$E211+1), $J211/(($F211*($F211+1)/2)-(($E211-1)*($E211-1+1)/2))*M$2), 0)+IF(IF(time+1&gt;=N$2, $K211/time_cap/(time+1)*M$2, 0) = 0, $K211/(time_cap),0)),0)</f>
        <v/>
      </c>
      <c r="N211" s="4395">
        <f>IFERROR(IF((time+time_cap)&lt;N$2, 0,IF(AND(time+1&gt;=O$2, $E211&lt;O$2), IF($I211= "I", $J211/($F211-$E211+1), $J211/(($F211*($F211+1)/2)-(($E211-1)*($E211-1+1)/2))*N$2), 0)+IF(IF(time+1&gt;=O$2, $K211/time_cap/(time+1)*N$2, 0) = 0, $K211/(time_cap),0)),0)</f>
        <v/>
      </c>
      <c r="O211" s="4395">
        <f>IFERROR(IF((time+time_cap)&lt;O$2, 0,IF(AND(time+1&gt;=P$2, $E211&lt;P$2), IF($I211= "I", $J211/($F211-$E211+1), $J211/(($F211*($F211+1)/2)-(($E211-1)*($E211-1+1)/2))*O$2), 0)+IF(IF(time+1&gt;=P$2, $K211/time_cap/(time+1)*O$2, 0) = 0, $K211/(time_cap),0)),0)</f>
        <v/>
      </c>
      <c r="P211" s="4395">
        <f>IFERROR(IF((time+time_cap)&lt;P$2, 0,IF(AND(time+1&gt;=Q$2, $E211&lt;Q$2), IF($I211= "I", $J211/($F211-$E211+1), $J211/(($F211*($F211+1)/2)-(($E211-1)*($E211-1+1)/2))*P$2), 0)+IF(IF(time+1&gt;=Q$2, $K211/time_cap/(time+1)*P$2, 0) = 0, $K211/(time_cap),0)),0)</f>
        <v/>
      </c>
      <c r="Q211" s="4395">
        <f>IFERROR(IF((time+time_cap)&lt;Q$2, 0,IF(AND(time+1&gt;=R$2, $E211&lt;R$2), IF($I211= "I", $J211/($F211-$E211+1), $J211/(($F211*($F211+1)/2)-(($E211-1)*($E211-1+1)/2))*Q$2), 0)+IF(IF(time+1&gt;=R$2, $K211/time_cap/(time+1)*Q$2, 0) = 0, $K211/(time_cap),0)),0)</f>
        <v/>
      </c>
      <c r="R211" s="4395">
        <f>IFERROR(IF((time+time_cap)&lt;R$2, 0,IF(AND(time+1&gt;=S$2, $E211&lt;S$2), IF($I211= "I", $J211/($F211-$E211+1), $J211/(($F211*($F211+1)/2)-(($E211-1)*($E211-1+1)/2))*R$2), 0)+IF(IF(time+1&gt;=S$2, $K211/time_cap/(time+1)*R$2, 0) = 0, $K211/(time_cap),0)),0)</f>
        <v/>
      </c>
      <c r="S211" s="4395">
        <f>IFERROR(IF((time+time_cap)&lt;S$2, 0,IF(AND(time+1&gt;=T$2, $E211&lt;T$2), IF($I211= "I", $J211/($F211-$E211+1), $J211/(($F211*($F211+1)/2)-(($E211-1)*($E211-1+1)/2))*S$2), 0)+IF(IF(time+1&gt;=T$2, $K211/time_cap/(time+1)*S$2, 0) = 0, $K211/(time_cap),0)),0)</f>
        <v/>
      </c>
      <c r="T211" s="4395">
        <f>IFERROR(IF((time+time_cap)&lt;T$2, 0,IF(AND(time+1&gt;=U$2, $E211&lt;U$2), IF($I211= "I", $J211/($F211-$E211+1), $J211/(($F211*($F211+1)/2)-(($E211-1)*($E211-1+1)/2))*T$2), 0)+IF(IF(time+1&gt;=U$2, $K211/time_cap/(time+1)*T$2, 0) = 0, $K211/(time_cap),0)),0)</f>
        <v/>
      </c>
      <c r="U211" s="4395">
        <f>IFERROR(IF((time+time_cap)&lt;U$2, 0,IF(AND(time+1&gt;=V$2, $E211&lt;V$2), IF($I211= "I", $J211/($F211-$E211+1), $J211/(($F211*($F211+1)/2)-(($E211-1)*($E211-1+1)/2))*U$2), 0)+IF(IF(time+1&gt;=V$2, $K211/time_cap/(time+1)*U$2, 0) = 0, $K211/(time_cap),0)),0)</f>
        <v/>
      </c>
      <c r="V211" s="4395">
        <f>IFERROR(IF((time+time_cap)&lt;V$2, 0,IF(AND(time+1&gt;=W$2, $E211&lt;W$2), IF($I211= "I", $J211/($F211-$E211+1), $J211/(($F211*($F211+1)/2)-(($E211-1)*($E211-1+1)/2))*V$2), 0)+IF(IF(time+1&gt;=W$2, $K211/time_cap/(time+1)*V$2, 0) = 0, $K211/(time_cap),0)),0)</f>
        <v/>
      </c>
      <c r="W211" s="4395">
        <f>IFERROR(IF((time+time_cap)&lt;W$2, 0,IF(AND(time+1&gt;=X$2, $E211&lt;X$2), IF($I211= "I", $J211/($F211-$E211+1), $J211/(($F211*($F211+1)/2)-(($E211-1)*($E211-1+1)/2))*W$2), 0)+IF(IF(time+1&gt;=X$2, $K211/time_cap/(time+1)*W$2, 0) = 0, $K211/(time_cap),0)),0)</f>
        <v/>
      </c>
      <c r="X211" s="4395">
        <f>IFERROR(IF((time+time_cap)&lt;X$2, 0,IF(AND(time+1&gt;=Y$2, $E211&lt;Y$2), IF($I211= "I", $J211/($F211-$E211+1), $J211/(($F211*($F211+1)/2)-(($E211-1)*($E211-1+1)/2))*X$2), 0)+IF(IF(time+1&gt;=Y$2, $K211/time_cap/(time+1)*X$2, 0) = 0, $K211/(time_cap),0)),0)</f>
        <v/>
      </c>
      <c r="Y211" s="4395">
        <f>IFERROR(IF((time+time_cap)&lt;Y$2, 0,IF(AND(time+1&gt;=Z$2, $E211&lt;Z$2), IF($I211= "I", $J211/($F211-$E211+1), $J211/(($F211*($F211+1)/2)-(($E211-1)*($E211-1+1)/2))*Y$2), 0)+IF(IF(time+1&gt;=Z$2, $K211/time_cap/(time+1)*Y$2, 0) = 0, $K211/(time_cap),0)),0)</f>
        <v/>
      </c>
      <c r="Z211" s="4395">
        <f>IFERROR(IF((time+time_cap)&lt;Z$2, 0,IF(AND(time+1&gt;=AA$2, $E211&lt;AA$2), IF($I211= "I", $J211/($F211-$E211+1), $J211/(($F211*($F211+1)/2)-(($E211-1)*($E211-1+1)/2))*Z$2), 0)+IF(IF(time+1&gt;=AA$2, $K211/time_cap/(time+1)*Z$2, 0) = 0, $K211/(time_cap),0)),0)</f>
        <v/>
      </c>
      <c r="AA211" s="4395">
        <f>IFERROR(IF((time+time_cap)&lt;AA$2, 0,IF(AND(time+1&gt;=AB$2, $E211&lt;AB$2), IF($I211= "I", $J211/($F211-$E211+1), $J211/(($F211*($F211+1)/2)-(($E211-1)*($E211-1+1)/2))*AA$2), 0)+IF(IF(time+1&gt;=AB$2, $K211/time_cap/(time+1)*AA$2, 0) = 0, $K211/(time_cap),0)),0)</f>
        <v/>
      </c>
      <c r="AB211" s="4395">
        <f>IFERROR(IF((time+time_cap)&lt;AB$2, 0,IF(AND(time+1&gt;=AC$2, $E211&lt;AC$2), IF($I211= "I", $J211/($F211-$E211+1), $J211/(($F211*($F211+1)/2)-(($E211-1)*($E211-1+1)/2))*AB$2), 0)+IF(IF(time+1&gt;=AC$2, $K211/time_cap/(time+1)*AB$2, 0) = 0, $K211/(time_cap),0)),0)</f>
        <v/>
      </c>
      <c r="AC211" s="4395">
        <f>IFERROR(IF((time+time_cap)&lt;AC$2, 0,IF(AND(time+1&gt;=AD$2, $E211&lt;AD$2), IF($I211= "I", $J211/($F211-$E211+1), $J211/(($F211*($F211+1)/2)-(($E211-1)*($E211-1+1)/2))*AC$2), 0)+IF(IF(time+1&gt;=AD$2, $K211/time_cap/(time+1)*AC$2, 0) = 0, $K211/(time_cap),0)),0)</f>
        <v/>
      </c>
      <c r="AD211" s="4395">
        <f>IFERROR(IF((time+time_cap)&lt;AD$2, 0,IF(AND(time+1&gt;=AE$2, $E211&lt;AE$2), IF($I211= "I", $J211/($F211-$E211+1), $J211/(($F211*($F211+1)/2)-(($E211-1)*($E211-1+1)/2))*AD$2), 0)+IF(IF(time+1&gt;=AE$2, $K211/time_cap/(time+1)*AD$2, 0) = 0, $K211/(time_cap),0)),0)</f>
        <v/>
      </c>
      <c r="AE211" s="4395">
        <f>IFERROR(IF((time+time_cap)&lt;AE$2, 0,IF(AND(time+1&gt;=AF$2, $E211&lt;AF$2), IF($I211= "I", $J211/($F211-$E211+1), $J211/(($F211*($F211+1)/2)-(($E211-1)*($E211-1+1)/2))*AE$2), 0)+IF(IF(time+1&gt;=AF$2, $K211/time_cap/(time+1)*AE$2, 0) = 0, $K211/(time_cap),0)),0)</f>
        <v/>
      </c>
      <c r="AF211" s="4395">
        <f>IFERROR(IF((time+time_cap)&lt;AF$2, 0,IF(AND(time+1&gt;=AG$2, $E211&lt;AG$2), IF($I211= "I", $J211/($F211-$E211+1), $J211/(($F211*($F211+1)/2)-(($E211-1)*($E211-1+1)/2))*AF$2), 0)+IF(IF(time+1&gt;=AG$2, $K211/time_cap/(time+1)*AF$2, 0) = 0, $K211/(time_cap),0)),0)</f>
        <v/>
      </c>
      <c r="AG211" s="4395">
        <f>IFERROR(IF((time+time_cap)&lt;AG$2, 0,IF(AND(time+1&gt;=AH$2, $E211&lt;AH$2), IF($I211= "I", $J211/($F211-$E211+1), $J211/(($F211*($F211+1)/2)-(($E211-1)*($E211-1+1)/2))*AG$2), 0)+IF(IF(time+1&gt;=AH$2, $K211/time_cap/(time+1)*AG$2, 0) = 0, $K211/(time_cap),0)),0)</f>
        <v/>
      </c>
      <c r="AH211" s="4395">
        <f>IFERROR(IF((time+time_cap)&lt;AH$2, 0,IF(AND(time+1&gt;=AI$2, $E211&lt;AI$2), IF($I211= "I", $J211/($F211-$E211+1), $J211/(($F211*($F211+1)/2)-(($E211-1)*($E211-1+1)/2))*AH$2), 0)+IF(IF(time+1&gt;=AI$2, $K211/time_cap/(time+1)*AH$2, 0) = 0, $K211/(time_cap),0)),0)</f>
        <v/>
      </c>
      <c r="AI211" s="4395">
        <f>IFERROR(IF((time+time_cap)&lt;AI$2, 0,IF(AND(time+1&gt;=AJ$2, $E211&lt;AJ$2), IF($I211= "I", $J211/($F211-$E211+1), $J211/(($F211*($F211+1)/2)-(($E211-1)*($E211-1+1)/2))*AI$2), 0)+IF(IF(time+1&gt;=AJ$2, $K211/time_cap/(time+1)*AI$2, 0) = 0, $K211/(time_cap),0)),0)</f>
        <v/>
      </c>
      <c r="AJ211" s="4395">
        <f>IFERROR(IF((time+time_cap)&lt;AJ$2, 0,IF(AND(time+1&gt;=AK$2, $E211&lt;AK$2), IF($I211= "I", $J211/($F211-$E211+1), $J211/(($F211*($F211+1)/2)-(($E211-1)*($E211-1+1)/2))*AJ$2), 0)+IF(IF(time+1&gt;=AK$2, $K211/time_cap/(time+1)*AJ$2, 0) = 0, $K211/(time_cap),0)),0)</f>
        <v/>
      </c>
      <c r="AK211" s="4395">
        <f>IFERROR(IF((time+time_cap)&lt;AK$2, 0,IF(AND(time+1&gt;=AL$2, $E211&lt;AL$2), IF($I211= "I", $J211/($F211-$E211+1), $J211/(($F211*($F211+1)/2)-(($E211-1)*($E211-1+1)/2))*AK$2), 0)+IF(IF(time+1&gt;=AL$2, $K211/time_cap/(time+1)*AK$2, 0) = 0, $K211/(time_cap),0)),0)</f>
        <v/>
      </c>
      <c r="AL211" s="4395">
        <f>IFERROR(IF((time+time_cap)&lt;AL$2, 0,IF(AND(time+1&gt;=AM$2, $E211&lt;AM$2), IF($I211= "I", $J211/($F211-$E211+1), $J211/(($F211*($F211+1)/2)-(($E211-1)*($E211-1+1)/2))*AL$2), 0)+IF(IF(time+1&gt;=AM$2, $K211/time_cap/(time+1)*AL$2, 0) = 0, $K211/(time_cap),0)),0)</f>
        <v/>
      </c>
      <c r="AM211" s="4395">
        <f>IFERROR(IF((time+time_cap)&lt;AM$2, 0,IF(AND(time+1&gt;=AN$2, $E211&lt;AN$2), IF($I211= "I", $J211/($F211-$E211+1), $J211/(($F211*($F211+1)/2)-(($E211-1)*($E211-1+1)/2))*AM$2), 0)+IF(IF(time+1&gt;=AN$2, $K211/time_cap/(time+1)*AM$2, 0) = 0, $K211/(time_cap),0)),0)</f>
        <v/>
      </c>
      <c r="AN211" s="4395">
        <f>IFERROR(IF((time+time_cap)&lt;AN$2, 0,IF(AND(time+1&gt;=AO$2, $E211&lt;AO$2), IF($I211= "I", $J211/($F211-$E211+1), $J211/(($F211*($F211+1)/2)-(($E211-1)*($E211-1+1)/2))*AN$2), 0)+IF(IF(time+1&gt;=AO$2, $K211/time_cap/(time+1)*AN$2, 0) = 0, $K211/(time_cap),0)),0)</f>
        <v/>
      </c>
      <c r="AO211" s="4395">
        <f>IFERROR(IF((time+time_cap)&lt;AO$2, 0,IF(AND(time+1&gt;=AP$2, $E211&lt;AP$2), IF($I211= "I", $J211/($F211-$E211+1), $J211/(($F211*($F211+1)/2)-(($E211-1)*($E211-1+1)/2))*AO$2), 0)+IF(IF(time+1&gt;=AP$2, $K211/time_cap/(time+1)*AO$2, 0) = 0, $K211/(time_cap),0)),0)</f>
        <v/>
      </c>
      <c r="AP211" s="4395">
        <f>IFERROR(IF((time+time_cap)&lt;AP$2, 0,IF(AND(time+1&gt;=AQ$2, $E211&lt;AQ$2), IF($I211= "I", $J211/($F211-$E211+1), $J211/(($F211*($F211+1)/2)-(($E211-1)*($E211-1+1)/2))*AP$2), 0)+IF(IF(time+1&gt;=AQ$2, $K211/time_cap/(time+1)*AP$2, 0) = 0, $K211/(time_cap),0)),0)</f>
        <v/>
      </c>
      <c r="AQ211" s="4395">
        <f>IFERROR(IF((time+time_cap)&lt;AQ$2, 0,IF(AND(time+1&gt;=AR$2, $E211&lt;AR$2), IF($I211= "I", $J211/($F211-$E211+1), $J211/(($F211*($F211+1)/2)-(($E211-1)*($E211-1+1)/2))*AQ$2), 0)+IF(IF(time+1&gt;=AR$2, $K211/time_cap/(time+1)*AQ$2, 0) = 0, $K211/(time_cap),0)),0)</f>
        <v/>
      </c>
      <c r="AR211" s="4395">
        <f>IFERROR(IF((time+time_cap)&lt;AR$2, 0,IF(AND(time+1&gt;=AS$2, $E211&lt;AS$2), IF($I211= "I", $J211/($F211-$E211+1), $J211/(($F211*($F211+1)/2)-(($E211-1)*($E211-1+1)/2))*AR$2), 0)+IF(IF(time+1&gt;=AS$2, $K211/time_cap/(time+1)*AR$2, 0) = 0, $K211/(time_cap),0)),0)</f>
        <v/>
      </c>
      <c r="AS211" s="4395">
        <f>IFERROR(IF((time+time_cap)&lt;AS$2, 0,IF(AND(time+1&gt;=AT$2, $E211&lt;AT$2), IF($I211= "I", $J211/($F211-$E211+1), $J211/(($F211*($F211+1)/2)-(($E211-1)*($E211-1+1)/2))*AS$2), 0)+IF(IF(time+1&gt;=AT$2, $K211/time_cap/(time+1)*AS$2, 0) = 0, $K211/(time_cap),0)),0)</f>
        <v/>
      </c>
      <c r="AT211" s="4395">
        <f>IFERROR(IF((time+time_cap)&lt;AT$2, 0,IF(AND(time+1&gt;=AU$2, $E211&lt;AU$2), IF($I211= "I", $J211/($F211-$E211+1), $J211/(($F211*($F211+1)/2)-(($E211-1)*($E211-1+1)/2))*AT$2), 0)+IF(IF(time+1&gt;=AU$2, $K211/time_cap/(time+1)*AT$2, 0) = 0, $K211/(time_cap),0)),0)</f>
        <v/>
      </c>
      <c r="AU211" s="4395">
        <f>IFERROR(IF((time+time_cap)&lt;AU$2, 0,IF(AND(time+1&gt;=AV$2, $E211&lt;AV$2), IF($I211= "I", $J211/($F211-$E211+1), $J211/(($F211*($F211+1)/2)-(($E211-1)*($E211-1+1)/2))*AU$2), 0)+IF(IF(time+1&gt;=AV$2, $K211/time_cap/(time+1)*AU$2, 0) = 0, $K211/(time_cap),0)),0)</f>
        <v/>
      </c>
      <c r="AV211" s="4395">
        <f>IFERROR(IF((time+time_cap)&lt;AV$2, 0,IF(AND(time+1&gt;=AW$2, $E211&lt;AW$2), IF($I211= "I", $J211/($F211-$E211+1), $J211/(($F211*($F211+1)/2)-(($E211-1)*($E211-1+1)/2))*AV$2), 0)+IF(IF(time+1&gt;=AW$2, $K211/time_cap/(time+1)*AV$2, 0) = 0, $K211/(time_cap),0)),0)</f>
        <v/>
      </c>
      <c r="AW211" s="4395">
        <f>IFERROR(IF((time+time_cap)&lt;AW$2, 0,IF(AND(time+1&gt;=AX$2, $E211&lt;AX$2), IF($I211= "I", $J211/($F211-$E211+1), $J211/(($F211*($F211+1)/2)-(($E211-1)*($E211-1+1)/2))*AW$2), 0)+IF(IF(time+1&gt;=AX$2, $K211/time_cap/(time+1)*AW$2, 0) = 0, $K211/(time_cap),0)),0)</f>
        <v/>
      </c>
      <c r="AX211" s="4395">
        <f>IFERROR(IF((time+time_cap)&lt;AX$2, 0,IF(AND(time+1&gt;=AY$2, $E211&lt;AY$2), IF($I211= "I", $J211/($F211-$E211+1), $J211/(($F211*($F211+1)/2)-(($E211-1)*($E211-1+1)/2))*AX$2), 0)+IF(IF(time+1&gt;=AY$2, $K211/time_cap/(time+1)*AX$2, 0) = 0, $K211/(time_cap),0)),0)</f>
        <v/>
      </c>
      <c r="AY211" s="4395">
        <f>IFERROR(IF((time+time_cap)&lt;AY$2, 0,IF(AND(time+1&gt;=AZ$2, $E211&lt;AZ$2), IF($I211= "I", $J211/($F211-$E211+1), $J211/(($F211*($F211+1)/2)-(($E211-1)*($E211-1+1)/2))*AY$2), 0)+IF(IF(time+1&gt;=AZ$2, $K211/time_cap/(time+1)*AY$2, 0) = 0, $K211/(time_cap),0)),0)</f>
        <v/>
      </c>
      <c r="AZ211" s="4395">
        <f>IFERROR(IF((time+time_cap)&lt;AZ$2, 0,IF(AND(time+1&gt;=BA$2, $E211&lt;BA$2), IF($I211= "I", $J211/($F211-$E211+1), $J211/(($F211*($F211+1)/2)-(($E211-1)*($E211-1+1)/2))*AZ$2), 0)+IF(IF(time+1&gt;=BA$2, $K211/time_cap/(time+1)*AZ$2, 0) = 0, $K211/(time_cap),0)),0)</f>
        <v/>
      </c>
      <c r="BA211" s="4395">
        <f>IFERROR(IF((time+time_cap)&lt;BA$2, 0,IF(AND(time+1&gt;=BB$2, $E211&lt;BB$2), IF($I211= "I", $J211/($F211-$E211+1), $J211/(($F211*($F211+1)/2)-(($E211-1)*($E211-1+1)/2))*BA$2), 0)+IF(IF(time+1&gt;=BB$2, $K211/time_cap/(time+1)*BA$2, 0) = 0, $K211/(time_cap),0)),0)</f>
        <v/>
      </c>
      <c r="BB211" s="4395">
        <f>IFERROR(IF((time+time_cap)&lt;BB$2, 0,IF(AND(time+1&gt;=BC$2, $E211&lt;BC$2), IF($I211= "I", $J211/($F211-$E211+1), $J211/(($F211*($F211+1)/2)-(($E211-1)*($E211-1+1)/2))*BB$2), 0)+IF(IF(time+1&gt;=BC$2, $K211/time_cap/(time+1)*BB$2, 0) = 0, $K211/(time_cap),0)),0)</f>
        <v/>
      </c>
      <c r="BC211" s="4395">
        <f>IFERROR(IF((time+time_cap)&lt;BC$2, 0,IF(AND(time+1&gt;=BD$2, $E211&lt;BD$2), IF($I211= "I", $J211/($F211-$E211+1), $J211/(($F211*($F211+1)/2)-(($E211-1)*($E211-1+1)/2))*BC$2), 0)+IF(IF(time+1&gt;=BD$2, $K211/time_cap/(time+1)*BC$2, 0) = 0, $K211/(time_cap),0)),0)</f>
        <v/>
      </c>
      <c r="BD211" s="4395">
        <f>IFERROR(IF((time+time_cap)&lt;BD$2, 0,IF(AND(time+1&gt;=BE$2, $E211&lt;BE$2), IF($I211= "I", $J211/($F211-$E211+1), $J211/(($F211*($F211+1)/2)-(($E211-1)*($E211-1+1)/2))*BD$2), 0)+IF(IF(time+1&gt;=BE$2, $K211/time_cap/(time+1)*BD$2, 0) = 0, $K211/(time_cap),0)),0)</f>
        <v/>
      </c>
      <c r="BE211" s="4395">
        <f>IFERROR(IF((time+time_cap)&lt;BE$2, 0,IF(AND(time+1&gt;=BF$2, $E211&lt;BF$2), IF($I211= "I", $J211/($F211-$E211+1), $J211/(($F211*($F211+1)/2)-(($E211-1)*($E211-1+1)/2))*BE$2), 0)+IF(IF(time+1&gt;=BF$2, $K211/time_cap/(time+1)*BE$2, 0) = 0, $K211/(time_cap),0)),0)</f>
        <v/>
      </c>
      <c r="BF211" s="4395">
        <f>IFERROR(IF((time+time_cap)&lt;BF$2, 0,IF(AND(time+1&gt;=BG$2, $E211&lt;BG$2), IF($I211= "I", $J211/($F211-$E211+1), $J211/(($F211*($F211+1)/2)-(($E211-1)*($E211-1+1)/2))*BF$2), 0)+IF(IF(time+1&gt;=BG$2, $K211/time_cap/(time+1)*BF$2, 0) = 0, $K211/(time_cap),0)),0)</f>
        <v/>
      </c>
      <c r="BG211" s="4395">
        <f>IFERROR(IF((time+time_cap)&lt;BG$2, 0,IF(AND(time+1&gt;=BH$2, $E211&lt;BH$2), IF($I211= "I", $J211/($F211-$E211+1), $J211/(($F211*($F211+1)/2)-(($E211-1)*($E211-1+1)/2))*BG$2), 0)+IF(IF(time+1&gt;=BH$2, $K211/time_cap/(time+1)*BG$2, 0) = 0, $K211/(time_cap),0)),0)</f>
        <v/>
      </c>
      <c r="BH211" s="4395">
        <f>IFERROR(IF((time+time_cap)&lt;BH$2, 0,IF(AND(time+1&gt;=BI$2, $E211&lt;BI$2), IF($I211= "I", $J211/($F211-$E211+1), $J211/(($F211*($F211+1)/2)-(($E211-1)*($E211-1+1)/2))*BH$2), 0)+IF(IF(time+1&gt;=BI$2, $K211/time_cap/(time+1)*BH$2, 0) = 0, $K211/(time_cap),0)),0)</f>
        <v/>
      </c>
      <c r="BI211" s="4395">
        <f>IFERROR(IF((time+time_cap)&lt;BI$2, 0,IF(AND(time+1&gt;=BJ$2, $E211&lt;BJ$2), IF($I211= "I", $J211/($F211-$E211+1), $J211/(($F211*($F211+1)/2)-(($E211-1)*($E211-1+1)/2))*BI$2), 0)+IF(IF(time+1&gt;=BJ$2, $K211/time_cap/(time+1)*BI$2, 0) = 0, $K211/(time_cap),0)),0)</f>
        <v/>
      </c>
      <c r="BJ211" s="4395">
        <f>IFERROR(IF((time+time_cap)&lt;BJ$2, 0,IF(AND(time+1&gt;=BK$2, $E211&lt;BK$2), IF($I211= "I", $J211/($F211-$E211+1), $J211/(($F211*($F211+1)/2)-(($E211-1)*($E211-1+1)/2))*BJ$2), 0)+IF(IF(time+1&gt;=BK$2, $K211/time_cap/(time+1)*BJ$2, 0) = 0, $K211/(time_cap),0)),0)</f>
        <v/>
      </c>
      <c r="BK211" s="4395" t="n"/>
      <c r="BL211" s="4395" t="n"/>
      <c r="BM211" s="4395" t="n"/>
      <c r="BN211" s="4395" t="n"/>
      <c r="BO211" s="4395" t="n"/>
      <c r="BP211" s="4395" t="n"/>
      <c r="BQ211" s="4395" t="n"/>
      <c r="BR211" s="4395" t="n"/>
      <c r="BS211" s="4395" t="n"/>
      <c r="BT211" s="4395" t="n"/>
      <c r="BU211" s="4395" t="n"/>
      <c r="BV211" s="4395" t="n"/>
      <c r="BW211" s="4395" t="n"/>
      <c r="BX211" s="4395" t="n"/>
      <c r="BY211" s="4395" t="n"/>
      <c r="BZ211" s="4395" t="n"/>
      <c r="CA211" s="4395" t="n"/>
      <c r="CB211" s="4395" t="n"/>
      <c r="CC211" s="4395" t="n"/>
      <c r="CD211" s="4395" t="n"/>
      <c r="CE211" s="4395" t="n"/>
      <c r="CF211" s="4395" t="n"/>
      <c r="CG211" s="4395" t="n"/>
      <c r="CH211" s="4395" t="n"/>
      <c r="CI211" s="4395" t="n"/>
      <c r="CJ211" s="4395" t="n"/>
      <c r="CK211" s="4395" t="n"/>
      <c r="CL211" s="4395" t="n"/>
      <c r="CM211" s="4395" t="n"/>
      <c r="CN211" s="4395" t="n"/>
      <c r="CO211" s="4395" t="n"/>
      <c r="CP211" s="4395" t="n"/>
      <c r="CQ211" s="4395" t="n"/>
      <c r="CR211" s="4395" t="n"/>
      <c r="CS211" s="4395" t="n"/>
      <c r="CT211" s="4395" t="n"/>
      <c r="CU211" s="4395" t="n"/>
      <c r="CV211" s="4395" t="n"/>
      <c r="CW211" s="4395" t="n"/>
      <c r="CX211" s="4395" t="n"/>
      <c r="CY211" s="4395" t="n"/>
      <c r="CZ211" s="4395" t="n"/>
      <c r="DA211" s="4395" t="n"/>
      <c r="DB211" s="4395" t="n"/>
      <c r="DC211" s="4395" t="n"/>
      <c r="DD211" s="4395" t="n"/>
      <c r="DE211" s="4395" t="n"/>
      <c r="DF211" s="4395" t="n"/>
      <c r="DG211" s="4395" t="n"/>
      <c r="DH211" s="4395" t="n"/>
    </row>
    <row r="212" ht="16" customHeight="1">
      <c r="A212" t="inlineStr">
        <is>
          <t>Inputs</t>
        </is>
      </c>
      <c r="C212">
        <f>'9.Inputs'!C25</f>
        <v/>
      </c>
      <c r="D212">
        <f>'9.Inputs'!V25</f>
        <v/>
      </c>
      <c r="E212">
        <f>IF('9.Inputs'!BE25&lt;&gt;0,'9.Inputs'!BE25,'9.Inputs'!BD25)</f>
        <v/>
      </c>
      <c r="F212">
        <f>time</f>
        <v/>
      </c>
      <c r="G212" s="4395">
        <f>'9.Inputs'!F25</f>
        <v/>
      </c>
      <c r="H212" s="4395">
        <f>'9.Inputs'!H25</f>
        <v/>
      </c>
      <c r="I212" s="4395">
        <f>IF(OR(H212="I", G212="I"), "I", IF(OR(H212="E", G212="E"), "E", "D"))</f>
        <v/>
      </c>
      <c r="J212" s="4395">
        <f>((D212/(time_cap+((F212-E212+1)*VLOOKUP(I212,list!$I$48:$K$50,3, FALSE))))*(F212-E212+1)*VLOOKUP(I212,list!$I$48:$K$50,3, FALSE))</f>
        <v/>
      </c>
      <c r="K212" s="4395">
        <f>((D212/(time_cap+((F212-E212+1)*VLOOKUP(I212,list!$I$48:$K$50,3, FALSE))))*time_cap)</f>
        <v/>
      </c>
      <c r="M212" s="4395">
        <f>IFERROR(IF((time+time_cap)&lt;M$2, 0,IF(AND(time+1&gt;=N$2, $E212&lt;N$2), IF($I212= "I", $J212/($F212-$E212+1), $J212/(($F212*($F212+1)/2)-(($E212-1)*($E212-1+1)/2))*M$2), 0)+IF(IF(time+1&gt;=N$2, $K212/time_cap/(time+1)*M$2, 0) = 0, $K212/(time_cap),0)),0)</f>
        <v/>
      </c>
      <c r="N212" s="4395">
        <f>IFERROR(IF((time+time_cap)&lt;N$2, 0,IF(AND(time+1&gt;=O$2, $E212&lt;O$2), IF($I212= "I", $J212/($F212-$E212+1), $J212/(($F212*($F212+1)/2)-(($E212-1)*($E212-1+1)/2))*N$2), 0)+IF(IF(time+1&gt;=O$2, $K212/time_cap/(time+1)*N$2, 0) = 0, $K212/(time_cap),0)),0)</f>
        <v/>
      </c>
      <c r="O212" s="4395">
        <f>IFERROR(IF((time+time_cap)&lt;O$2, 0,IF(AND(time+1&gt;=P$2, $E212&lt;P$2), IF($I212= "I", $J212/($F212-$E212+1), $J212/(($F212*($F212+1)/2)-(($E212-1)*($E212-1+1)/2))*O$2), 0)+IF(IF(time+1&gt;=P$2, $K212/time_cap/(time+1)*O$2, 0) = 0, $K212/(time_cap),0)),0)</f>
        <v/>
      </c>
      <c r="P212" s="4395">
        <f>IFERROR(IF((time+time_cap)&lt;P$2, 0,IF(AND(time+1&gt;=Q$2, $E212&lt;Q$2), IF($I212= "I", $J212/($F212-$E212+1), $J212/(($F212*($F212+1)/2)-(($E212-1)*($E212-1+1)/2))*P$2), 0)+IF(IF(time+1&gt;=Q$2, $K212/time_cap/(time+1)*P$2, 0) = 0, $K212/(time_cap),0)),0)</f>
        <v/>
      </c>
      <c r="Q212" s="4395">
        <f>IFERROR(IF((time+time_cap)&lt;Q$2, 0,IF(AND(time+1&gt;=R$2, $E212&lt;R$2), IF($I212= "I", $J212/($F212-$E212+1), $J212/(($F212*($F212+1)/2)-(($E212-1)*($E212-1+1)/2))*Q$2), 0)+IF(IF(time+1&gt;=R$2, $K212/time_cap/(time+1)*Q$2, 0) = 0, $K212/(time_cap),0)),0)</f>
        <v/>
      </c>
      <c r="R212" s="4395">
        <f>IFERROR(IF((time+time_cap)&lt;R$2, 0,IF(AND(time+1&gt;=S$2, $E212&lt;S$2), IF($I212= "I", $J212/($F212-$E212+1), $J212/(($F212*($F212+1)/2)-(($E212-1)*($E212-1+1)/2))*R$2), 0)+IF(IF(time+1&gt;=S$2, $K212/time_cap/(time+1)*R$2, 0) = 0, $K212/(time_cap),0)),0)</f>
        <v/>
      </c>
      <c r="S212" s="4395">
        <f>IFERROR(IF((time+time_cap)&lt;S$2, 0,IF(AND(time+1&gt;=T$2, $E212&lt;T$2), IF($I212= "I", $J212/($F212-$E212+1), $J212/(($F212*($F212+1)/2)-(($E212-1)*($E212-1+1)/2))*S$2), 0)+IF(IF(time+1&gt;=T$2, $K212/time_cap/(time+1)*S$2, 0) = 0, $K212/(time_cap),0)),0)</f>
        <v/>
      </c>
      <c r="T212" s="4395">
        <f>IFERROR(IF((time+time_cap)&lt;T$2, 0,IF(AND(time+1&gt;=U$2, $E212&lt;U$2), IF($I212= "I", $J212/($F212-$E212+1), $J212/(($F212*($F212+1)/2)-(($E212-1)*($E212-1+1)/2))*T$2), 0)+IF(IF(time+1&gt;=U$2, $K212/time_cap/(time+1)*T$2, 0) = 0, $K212/(time_cap),0)),0)</f>
        <v/>
      </c>
      <c r="U212" s="4395">
        <f>IFERROR(IF((time+time_cap)&lt;U$2, 0,IF(AND(time+1&gt;=V$2, $E212&lt;V$2), IF($I212= "I", $J212/($F212-$E212+1), $J212/(($F212*($F212+1)/2)-(($E212-1)*($E212-1+1)/2))*U$2), 0)+IF(IF(time+1&gt;=V$2, $K212/time_cap/(time+1)*U$2, 0) = 0, $K212/(time_cap),0)),0)</f>
        <v/>
      </c>
      <c r="V212" s="4395">
        <f>IFERROR(IF((time+time_cap)&lt;V$2, 0,IF(AND(time+1&gt;=W$2, $E212&lt;W$2), IF($I212= "I", $J212/($F212-$E212+1), $J212/(($F212*($F212+1)/2)-(($E212-1)*($E212-1+1)/2))*V$2), 0)+IF(IF(time+1&gt;=W$2, $K212/time_cap/(time+1)*V$2, 0) = 0, $K212/(time_cap),0)),0)</f>
        <v/>
      </c>
      <c r="W212" s="4395">
        <f>IFERROR(IF((time+time_cap)&lt;W$2, 0,IF(AND(time+1&gt;=X$2, $E212&lt;X$2), IF($I212= "I", $J212/($F212-$E212+1), $J212/(($F212*($F212+1)/2)-(($E212-1)*($E212-1+1)/2))*W$2), 0)+IF(IF(time+1&gt;=X$2, $K212/time_cap/(time+1)*W$2, 0) = 0, $K212/(time_cap),0)),0)</f>
        <v/>
      </c>
      <c r="X212" s="4395">
        <f>IFERROR(IF((time+time_cap)&lt;X$2, 0,IF(AND(time+1&gt;=Y$2, $E212&lt;Y$2), IF($I212= "I", $J212/($F212-$E212+1), $J212/(($F212*($F212+1)/2)-(($E212-1)*($E212-1+1)/2))*X$2), 0)+IF(IF(time+1&gt;=Y$2, $K212/time_cap/(time+1)*X$2, 0) = 0, $K212/(time_cap),0)),0)</f>
        <v/>
      </c>
      <c r="Y212" s="4395">
        <f>IFERROR(IF((time+time_cap)&lt;Y$2, 0,IF(AND(time+1&gt;=Z$2, $E212&lt;Z$2), IF($I212= "I", $J212/($F212-$E212+1), $J212/(($F212*($F212+1)/2)-(($E212-1)*($E212-1+1)/2))*Y$2), 0)+IF(IF(time+1&gt;=Z$2, $K212/time_cap/(time+1)*Y$2, 0) = 0, $K212/(time_cap),0)),0)</f>
        <v/>
      </c>
      <c r="Z212" s="4395">
        <f>IFERROR(IF((time+time_cap)&lt;Z$2, 0,IF(AND(time+1&gt;=AA$2, $E212&lt;AA$2), IF($I212= "I", $J212/($F212-$E212+1), $J212/(($F212*($F212+1)/2)-(($E212-1)*($E212-1+1)/2))*Z$2), 0)+IF(IF(time+1&gt;=AA$2, $K212/time_cap/(time+1)*Z$2, 0) = 0, $K212/(time_cap),0)),0)</f>
        <v/>
      </c>
      <c r="AA212" s="4395">
        <f>IFERROR(IF((time+time_cap)&lt;AA$2, 0,IF(AND(time+1&gt;=AB$2, $E212&lt;AB$2), IF($I212= "I", $J212/($F212-$E212+1), $J212/(($F212*($F212+1)/2)-(($E212-1)*($E212-1+1)/2))*AA$2), 0)+IF(IF(time+1&gt;=AB$2, $K212/time_cap/(time+1)*AA$2, 0) = 0, $K212/(time_cap),0)),0)</f>
        <v/>
      </c>
      <c r="AB212" s="4395">
        <f>IFERROR(IF((time+time_cap)&lt;AB$2, 0,IF(AND(time+1&gt;=AC$2, $E212&lt;AC$2), IF($I212= "I", $J212/($F212-$E212+1), $J212/(($F212*($F212+1)/2)-(($E212-1)*($E212-1+1)/2))*AB$2), 0)+IF(IF(time+1&gt;=AC$2, $K212/time_cap/(time+1)*AB$2, 0) = 0, $K212/(time_cap),0)),0)</f>
        <v/>
      </c>
      <c r="AC212" s="4395">
        <f>IFERROR(IF((time+time_cap)&lt;AC$2, 0,IF(AND(time+1&gt;=AD$2, $E212&lt;AD$2), IF($I212= "I", $J212/($F212-$E212+1), $J212/(($F212*($F212+1)/2)-(($E212-1)*($E212-1+1)/2))*AC$2), 0)+IF(IF(time+1&gt;=AD$2, $K212/time_cap/(time+1)*AC$2, 0) = 0, $K212/(time_cap),0)),0)</f>
        <v/>
      </c>
      <c r="AD212" s="4395">
        <f>IFERROR(IF((time+time_cap)&lt;AD$2, 0,IF(AND(time+1&gt;=AE$2, $E212&lt;AE$2), IF($I212= "I", $J212/($F212-$E212+1), $J212/(($F212*($F212+1)/2)-(($E212-1)*($E212-1+1)/2))*AD$2), 0)+IF(IF(time+1&gt;=AE$2, $K212/time_cap/(time+1)*AD$2, 0) = 0, $K212/(time_cap),0)),0)</f>
        <v/>
      </c>
      <c r="AE212" s="4395">
        <f>IFERROR(IF((time+time_cap)&lt;AE$2, 0,IF(AND(time+1&gt;=AF$2, $E212&lt;AF$2), IF($I212= "I", $J212/($F212-$E212+1), $J212/(($F212*($F212+1)/2)-(($E212-1)*($E212-1+1)/2))*AE$2), 0)+IF(IF(time+1&gt;=AF$2, $K212/time_cap/(time+1)*AE$2, 0) = 0, $K212/(time_cap),0)),0)</f>
        <v/>
      </c>
      <c r="AF212" s="4395">
        <f>IFERROR(IF((time+time_cap)&lt;AF$2, 0,IF(AND(time+1&gt;=AG$2, $E212&lt;AG$2), IF($I212= "I", $J212/($F212-$E212+1), $J212/(($F212*($F212+1)/2)-(($E212-1)*($E212-1+1)/2))*AF$2), 0)+IF(IF(time+1&gt;=AG$2, $K212/time_cap/(time+1)*AF$2, 0) = 0, $K212/(time_cap),0)),0)</f>
        <v/>
      </c>
      <c r="AG212" s="4395">
        <f>IFERROR(IF((time+time_cap)&lt;AG$2, 0,IF(AND(time+1&gt;=AH$2, $E212&lt;AH$2), IF($I212= "I", $J212/($F212-$E212+1), $J212/(($F212*($F212+1)/2)-(($E212-1)*($E212-1+1)/2))*AG$2), 0)+IF(IF(time+1&gt;=AH$2, $K212/time_cap/(time+1)*AG$2, 0) = 0, $K212/(time_cap),0)),0)</f>
        <v/>
      </c>
      <c r="AH212" s="4395">
        <f>IFERROR(IF((time+time_cap)&lt;AH$2, 0,IF(AND(time+1&gt;=AI$2, $E212&lt;AI$2), IF($I212= "I", $J212/($F212-$E212+1), $J212/(($F212*($F212+1)/2)-(($E212-1)*($E212-1+1)/2))*AH$2), 0)+IF(IF(time+1&gt;=AI$2, $K212/time_cap/(time+1)*AH$2, 0) = 0, $K212/(time_cap),0)),0)</f>
        <v/>
      </c>
      <c r="AI212" s="4395">
        <f>IFERROR(IF((time+time_cap)&lt;AI$2, 0,IF(AND(time+1&gt;=AJ$2, $E212&lt;AJ$2), IF($I212= "I", $J212/($F212-$E212+1), $J212/(($F212*($F212+1)/2)-(($E212-1)*($E212-1+1)/2))*AI$2), 0)+IF(IF(time+1&gt;=AJ$2, $K212/time_cap/(time+1)*AI$2, 0) = 0, $K212/(time_cap),0)),0)</f>
        <v/>
      </c>
      <c r="AJ212" s="4395">
        <f>IFERROR(IF((time+time_cap)&lt;AJ$2, 0,IF(AND(time+1&gt;=AK$2, $E212&lt;AK$2), IF($I212= "I", $J212/($F212-$E212+1), $J212/(($F212*($F212+1)/2)-(($E212-1)*($E212-1+1)/2))*AJ$2), 0)+IF(IF(time+1&gt;=AK$2, $K212/time_cap/(time+1)*AJ$2, 0) = 0, $K212/(time_cap),0)),0)</f>
        <v/>
      </c>
      <c r="AK212" s="4395">
        <f>IFERROR(IF((time+time_cap)&lt;AK$2, 0,IF(AND(time+1&gt;=AL$2, $E212&lt;AL$2), IF($I212= "I", $J212/($F212-$E212+1), $J212/(($F212*($F212+1)/2)-(($E212-1)*($E212-1+1)/2))*AK$2), 0)+IF(IF(time+1&gt;=AL$2, $K212/time_cap/(time+1)*AK$2, 0) = 0, $K212/(time_cap),0)),0)</f>
        <v/>
      </c>
      <c r="AL212" s="4395">
        <f>IFERROR(IF((time+time_cap)&lt;AL$2, 0,IF(AND(time+1&gt;=AM$2, $E212&lt;AM$2), IF($I212= "I", $J212/($F212-$E212+1), $J212/(($F212*($F212+1)/2)-(($E212-1)*($E212-1+1)/2))*AL$2), 0)+IF(IF(time+1&gt;=AM$2, $K212/time_cap/(time+1)*AL$2, 0) = 0, $K212/(time_cap),0)),0)</f>
        <v/>
      </c>
      <c r="AM212" s="4395">
        <f>IFERROR(IF((time+time_cap)&lt;AM$2, 0,IF(AND(time+1&gt;=AN$2, $E212&lt;AN$2), IF($I212= "I", $J212/($F212-$E212+1), $J212/(($F212*($F212+1)/2)-(($E212-1)*($E212-1+1)/2))*AM$2), 0)+IF(IF(time+1&gt;=AN$2, $K212/time_cap/(time+1)*AM$2, 0) = 0, $K212/(time_cap),0)),0)</f>
        <v/>
      </c>
      <c r="AN212" s="4395">
        <f>IFERROR(IF((time+time_cap)&lt;AN$2, 0,IF(AND(time+1&gt;=AO$2, $E212&lt;AO$2), IF($I212= "I", $J212/($F212-$E212+1), $J212/(($F212*($F212+1)/2)-(($E212-1)*($E212-1+1)/2))*AN$2), 0)+IF(IF(time+1&gt;=AO$2, $K212/time_cap/(time+1)*AN$2, 0) = 0, $K212/(time_cap),0)),0)</f>
        <v/>
      </c>
      <c r="AO212" s="4395">
        <f>IFERROR(IF((time+time_cap)&lt;AO$2, 0,IF(AND(time+1&gt;=AP$2, $E212&lt;AP$2), IF($I212= "I", $J212/($F212-$E212+1), $J212/(($F212*($F212+1)/2)-(($E212-1)*($E212-1+1)/2))*AO$2), 0)+IF(IF(time+1&gt;=AP$2, $K212/time_cap/(time+1)*AO$2, 0) = 0, $K212/(time_cap),0)),0)</f>
        <v/>
      </c>
      <c r="AP212" s="4395">
        <f>IFERROR(IF((time+time_cap)&lt;AP$2, 0,IF(AND(time+1&gt;=AQ$2, $E212&lt;AQ$2), IF($I212= "I", $J212/($F212-$E212+1), $J212/(($F212*($F212+1)/2)-(($E212-1)*($E212-1+1)/2))*AP$2), 0)+IF(IF(time+1&gt;=AQ$2, $K212/time_cap/(time+1)*AP$2, 0) = 0, $K212/(time_cap),0)),0)</f>
        <v/>
      </c>
      <c r="AQ212" s="4395">
        <f>IFERROR(IF((time+time_cap)&lt;AQ$2, 0,IF(AND(time+1&gt;=AR$2, $E212&lt;AR$2), IF($I212= "I", $J212/($F212-$E212+1), $J212/(($F212*($F212+1)/2)-(($E212-1)*($E212-1+1)/2))*AQ$2), 0)+IF(IF(time+1&gt;=AR$2, $K212/time_cap/(time+1)*AQ$2, 0) = 0, $K212/(time_cap),0)),0)</f>
        <v/>
      </c>
      <c r="AR212" s="4395">
        <f>IFERROR(IF((time+time_cap)&lt;AR$2, 0,IF(AND(time+1&gt;=AS$2, $E212&lt;AS$2), IF($I212= "I", $J212/($F212-$E212+1), $J212/(($F212*($F212+1)/2)-(($E212-1)*($E212-1+1)/2))*AR$2), 0)+IF(IF(time+1&gt;=AS$2, $K212/time_cap/(time+1)*AR$2, 0) = 0, $K212/(time_cap),0)),0)</f>
        <v/>
      </c>
      <c r="AS212" s="4395">
        <f>IFERROR(IF((time+time_cap)&lt;AS$2, 0,IF(AND(time+1&gt;=AT$2, $E212&lt;AT$2), IF($I212= "I", $J212/($F212-$E212+1), $J212/(($F212*($F212+1)/2)-(($E212-1)*($E212-1+1)/2))*AS$2), 0)+IF(IF(time+1&gt;=AT$2, $K212/time_cap/(time+1)*AS$2, 0) = 0, $K212/(time_cap),0)),0)</f>
        <v/>
      </c>
      <c r="AT212" s="4395">
        <f>IFERROR(IF((time+time_cap)&lt;AT$2, 0,IF(AND(time+1&gt;=AU$2, $E212&lt;AU$2), IF($I212= "I", $J212/($F212-$E212+1), $J212/(($F212*($F212+1)/2)-(($E212-1)*($E212-1+1)/2))*AT$2), 0)+IF(IF(time+1&gt;=AU$2, $K212/time_cap/(time+1)*AT$2, 0) = 0, $K212/(time_cap),0)),0)</f>
        <v/>
      </c>
      <c r="AU212" s="4395">
        <f>IFERROR(IF((time+time_cap)&lt;AU$2, 0,IF(AND(time+1&gt;=AV$2, $E212&lt;AV$2), IF($I212= "I", $J212/($F212-$E212+1), $J212/(($F212*($F212+1)/2)-(($E212-1)*($E212-1+1)/2))*AU$2), 0)+IF(IF(time+1&gt;=AV$2, $K212/time_cap/(time+1)*AU$2, 0) = 0, $K212/(time_cap),0)),0)</f>
        <v/>
      </c>
      <c r="AV212" s="4395">
        <f>IFERROR(IF((time+time_cap)&lt;AV$2, 0,IF(AND(time+1&gt;=AW$2, $E212&lt;AW$2), IF($I212= "I", $J212/($F212-$E212+1), $J212/(($F212*($F212+1)/2)-(($E212-1)*($E212-1+1)/2))*AV$2), 0)+IF(IF(time+1&gt;=AW$2, $K212/time_cap/(time+1)*AV$2, 0) = 0, $K212/(time_cap),0)),0)</f>
        <v/>
      </c>
      <c r="AW212" s="4395">
        <f>IFERROR(IF((time+time_cap)&lt;AW$2, 0,IF(AND(time+1&gt;=AX$2, $E212&lt;AX$2), IF($I212= "I", $J212/($F212-$E212+1), $J212/(($F212*($F212+1)/2)-(($E212-1)*($E212-1+1)/2))*AW$2), 0)+IF(IF(time+1&gt;=AX$2, $K212/time_cap/(time+1)*AW$2, 0) = 0, $K212/(time_cap),0)),0)</f>
        <v/>
      </c>
      <c r="AX212" s="4395">
        <f>IFERROR(IF((time+time_cap)&lt;AX$2, 0,IF(AND(time+1&gt;=AY$2, $E212&lt;AY$2), IF($I212= "I", $J212/($F212-$E212+1), $J212/(($F212*($F212+1)/2)-(($E212-1)*($E212-1+1)/2))*AX$2), 0)+IF(IF(time+1&gt;=AY$2, $K212/time_cap/(time+1)*AX$2, 0) = 0, $K212/(time_cap),0)),0)</f>
        <v/>
      </c>
      <c r="AY212" s="4395">
        <f>IFERROR(IF((time+time_cap)&lt;AY$2, 0,IF(AND(time+1&gt;=AZ$2, $E212&lt;AZ$2), IF($I212= "I", $J212/($F212-$E212+1), $J212/(($F212*($F212+1)/2)-(($E212-1)*($E212-1+1)/2))*AY$2), 0)+IF(IF(time+1&gt;=AZ$2, $K212/time_cap/(time+1)*AY$2, 0) = 0, $K212/(time_cap),0)),0)</f>
        <v/>
      </c>
      <c r="AZ212" s="4395">
        <f>IFERROR(IF((time+time_cap)&lt;AZ$2, 0,IF(AND(time+1&gt;=BA$2, $E212&lt;BA$2), IF($I212= "I", $J212/($F212-$E212+1), $J212/(($F212*($F212+1)/2)-(($E212-1)*($E212-1+1)/2))*AZ$2), 0)+IF(IF(time+1&gt;=BA$2, $K212/time_cap/(time+1)*AZ$2, 0) = 0, $K212/(time_cap),0)),0)</f>
        <v/>
      </c>
      <c r="BA212" s="4395">
        <f>IFERROR(IF((time+time_cap)&lt;BA$2, 0,IF(AND(time+1&gt;=BB$2, $E212&lt;BB$2), IF($I212= "I", $J212/($F212-$E212+1), $J212/(($F212*($F212+1)/2)-(($E212-1)*($E212-1+1)/2))*BA$2), 0)+IF(IF(time+1&gt;=BB$2, $K212/time_cap/(time+1)*BA$2, 0) = 0, $K212/(time_cap),0)),0)</f>
        <v/>
      </c>
      <c r="BB212" s="4395">
        <f>IFERROR(IF((time+time_cap)&lt;BB$2, 0,IF(AND(time+1&gt;=BC$2, $E212&lt;BC$2), IF($I212= "I", $J212/($F212-$E212+1), $J212/(($F212*($F212+1)/2)-(($E212-1)*($E212-1+1)/2))*BB$2), 0)+IF(IF(time+1&gt;=BC$2, $K212/time_cap/(time+1)*BB$2, 0) = 0, $K212/(time_cap),0)),0)</f>
        <v/>
      </c>
      <c r="BC212" s="4395">
        <f>IFERROR(IF((time+time_cap)&lt;BC$2, 0,IF(AND(time+1&gt;=BD$2, $E212&lt;BD$2), IF($I212= "I", $J212/($F212-$E212+1), $J212/(($F212*($F212+1)/2)-(($E212-1)*($E212-1+1)/2))*BC$2), 0)+IF(IF(time+1&gt;=BD$2, $K212/time_cap/(time+1)*BC$2, 0) = 0, $K212/(time_cap),0)),0)</f>
        <v/>
      </c>
      <c r="BD212" s="4395">
        <f>IFERROR(IF((time+time_cap)&lt;BD$2, 0,IF(AND(time+1&gt;=BE$2, $E212&lt;BE$2), IF($I212= "I", $J212/($F212-$E212+1), $J212/(($F212*($F212+1)/2)-(($E212-1)*($E212-1+1)/2))*BD$2), 0)+IF(IF(time+1&gt;=BE$2, $K212/time_cap/(time+1)*BD$2, 0) = 0, $K212/(time_cap),0)),0)</f>
        <v/>
      </c>
      <c r="BE212" s="4395">
        <f>IFERROR(IF((time+time_cap)&lt;BE$2, 0,IF(AND(time+1&gt;=BF$2, $E212&lt;BF$2), IF($I212= "I", $J212/($F212-$E212+1), $J212/(($F212*($F212+1)/2)-(($E212-1)*($E212-1+1)/2))*BE$2), 0)+IF(IF(time+1&gt;=BF$2, $K212/time_cap/(time+1)*BE$2, 0) = 0, $K212/(time_cap),0)),0)</f>
        <v/>
      </c>
      <c r="BF212" s="4395">
        <f>IFERROR(IF((time+time_cap)&lt;BF$2, 0,IF(AND(time+1&gt;=BG$2, $E212&lt;BG$2), IF($I212= "I", $J212/($F212-$E212+1), $J212/(($F212*($F212+1)/2)-(($E212-1)*($E212-1+1)/2))*BF$2), 0)+IF(IF(time+1&gt;=BG$2, $K212/time_cap/(time+1)*BF$2, 0) = 0, $K212/(time_cap),0)),0)</f>
        <v/>
      </c>
      <c r="BG212" s="4395">
        <f>IFERROR(IF((time+time_cap)&lt;BG$2, 0,IF(AND(time+1&gt;=BH$2, $E212&lt;BH$2), IF($I212= "I", $J212/($F212-$E212+1), $J212/(($F212*($F212+1)/2)-(($E212-1)*($E212-1+1)/2))*BG$2), 0)+IF(IF(time+1&gt;=BH$2, $K212/time_cap/(time+1)*BG$2, 0) = 0, $K212/(time_cap),0)),0)</f>
        <v/>
      </c>
      <c r="BH212" s="4395">
        <f>IFERROR(IF((time+time_cap)&lt;BH$2, 0,IF(AND(time+1&gt;=BI$2, $E212&lt;BI$2), IF($I212= "I", $J212/($F212-$E212+1), $J212/(($F212*($F212+1)/2)-(($E212-1)*($E212-1+1)/2))*BH$2), 0)+IF(IF(time+1&gt;=BI$2, $K212/time_cap/(time+1)*BH$2, 0) = 0, $K212/(time_cap),0)),0)</f>
        <v/>
      </c>
      <c r="BI212" s="4395">
        <f>IFERROR(IF((time+time_cap)&lt;BI$2, 0,IF(AND(time+1&gt;=BJ$2, $E212&lt;BJ$2), IF($I212= "I", $J212/($F212-$E212+1), $J212/(($F212*($F212+1)/2)-(($E212-1)*($E212-1+1)/2))*BI$2), 0)+IF(IF(time+1&gt;=BJ$2, $K212/time_cap/(time+1)*BI$2, 0) = 0, $K212/(time_cap),0)),0)</f>
        <v/>
      </c>
      <c r="BJ212" s="4395">
        <f>IFERROR(IF((time+time_cap)&lt;BJ$2, 0,IF(AND(time+1&gt;=BK$2, $E212&lt;BK$2), IF($I212= "I", $J212/($F212-$E212+1), $J212/(($F212*($F212+1)/2)-(($E212-1)*($E212-1+1)/2))*BJ$2), 0)+IF(IF(time+1&gt;=BK$2, $K212/time_cap/(time+1)*BJ$2, 0) = 0, $K212/(time_cap),0)),0)</f>
        <v/>
      </c>
      <c r="BK212" s="4395" t="n"/>
      <c r="BL212" s="4395" t="n"/>
      <c r="BM212" s="4395" t="n"/>
      <c r="BN212" s="4395" t="n"/>
      <c r="BO212" s="4395" t="n"/>
      <c r="BP212" s="4395" t="n"/>
      <c r="BQ212" s="4395" t="n"/>
      <c r="BR212" s="4395" t="n"/>
      <c r="BS212" s="4395" t="n"/>
      <c r="BT212" s="4395" t="n"/>
      <c r="BU212" s="4395" t="n"/>
      <c r="BV212" s="4395" t="n"/>
      <c r="BW212" s="4395" t="n"/>
      <c r="BX212" s="4395" t="n"/>
      <c r="BY212" s="4395" t="n"/>
      <c r="BZ212" s="4395" t="n"/>
      <c r="CA212" s="4395" t="n"/>
      <c r="CB212" s="4395" t="n"/>
      <c r="CC212" s="4395" t="n"/>
      <c r="CD212" s="4395" t="n"/>
      <c r="CE212" s="4395" t="n"/>
      <c r="CF212" s="4395" t="n"/>
      <c r="CG212" s="4395" t="n"/>
      <c r="CH212" s="4395" t="n"/>
      <c r="CI212" s="4395" t="n"/>
      <c r="CJ212" s="4395" t="n"/>
      <c r="CK212" s="4395" t="n"/>
      <c r="CL212" s="4395" t="n"/>
      <c r="CM212" s="4395" t="n"/>
      <c r="CN212" s="4395" t="n"/>
      <c r="CO212" s="4395" t="n"/>
      <c r="CP212" s="4395" t="n"/>
      <c r="CQ212" s="4395" t="n"/>
      <c r="CR212" s="4395" t="n"/>
      <c r="CS212" s="4395" t="n"/>
      <c r="CT212" s="4395" t="n"/>
      <c r="CU212" s="4395" t="n"/>
      <c r="CV212" s="4395" t="n"/>
      <c r="CW212" s="4395" t="n"/>
      <c r="CX212" s="4395" t="n"/>
      <c r="CY212" s="4395" t="n"/>
      <c r="CZ212" s="4395" t="n"/>
      <c r="DA212" s="4395" t="n"/>
      <c r="DB212" s="4395" t="n"/>
      <c r="DC212" s="4395" t="n"/>
      <c r="DD212" s="4395" t="n"/>
      <c r="DE212" s="4395" t="n"/>
      <c r="DF212" s="4395" t="n"/>
      <c r="DG212" s="4395" t="n"/>
      <c r="DH212" s="4395" t="n"/>
    </row>
    <row r="213" ht="16" customHeight="1">
      <c r="A213" t="inlineStr">
        <is>
          <t>Inputs</t>
        </is>
      </c>
      <c r="C213">
        <f>'9.Inputs'!C26</f>
        <v/>
      </c>
      <c r="D213">
        <f>'9.Inputs'!V26</f>
        <v/>
      </c>
      <c r="E213">
        <f>IF('9.Inputs'!BE26&lt;&gt;0,'9.Inputs'!BE26,'9.Inputs'!BD26)</f>
        <v/>
      </c>
      <c r="F213">
        <f>time</f>
        <v/>
      </c>
      <c r="G213" s="4395">
        <f>'9.Inputs'!F26</f>
        <v/>
      </c>
      <c r="H213" s="4395">
        <f>'9.Inputs'!H26</f>
        <v/>
      </c>
      <c r="I213" s="4395">
        <f>IF(OR(H213="I", G213="I"), "I", IF(OR(H213="E", G213="E"), "E", "D"))</f>
        <v/>
      </c>
      <c r="J213" s="4395">
        <f>((D213/(time_cap+((F213-E213+1)*VLOOKUP(I213,list!$I$48:$K$50,3, FALSE))))*(F213-E213+1)*VLOOKUP(I213,list!$I$48:$K$50,3, FALSE))</f>
        <v/>
      </c>
      <c r="K213" s="4395">
        <f>((D213/(time_cap+((F213-E213+1)*VLOOKUP(I213,list!$I$48:$K$50,3, FALSE))))*time_cap)</f>
        <v/>
      </c>
      <c r="M213" s="4395">
        <f>IFERROR(IF((time+time_cap)&lt;M$2, 0,IF(AND(time+1&gt;=N$2, $E213&lt;N$2), IF($I213= "I", $J213/($F213-$E213+1), $J213/(($F213*($F213+1)/2)-(($E213-1)*($E213-1+1)/2))*M$2), 0)+IF(IF(time+1&gt;=N$2, $K213/time_cap/(time+1)*M$2, 0) = 0, $K213/(time_cap),0)),0)</f>
        <v/>
      </c>
      <c r="N213" s="4395">
        <f>IFERROR(IF((time+time_cap)&lt;N$2, 0,IF(AND(time+1&gt;=O$2, $E213&lt;O$2), IF($I213= "I", $J213/($F213-$E213+1), $J213/(($F213*($F213+1)/2)-(($E213-1)*($E213-1+1)/2))*N$2), 0)+IF(IF(time+1&gt;=O$2, $K213/time_cap/(time+1)*N$2, 0) = 0, $K213/(time_cap),0)),0)</f>
        <v/>
      </c>
      <c r="O213" s="4395">
        <f>IFERROR(IF((time+time_cap)&lt;O$2, 0,IF(AND(time+1&gt;=P$2, $E213&lt;P$2), IF($I213= "I", $J213/($F213-$E213+1), $J213/(($F213*($F213+1)/2)-(($E213-1)*($E213-1+1)/2))*O$2), 0)+IF(IF(time+1&gt;=P$2, $K213/time_cap/(time+1)*O$2, 0) = 0, $K213/(time_cap),0)),0)</f>
        <v/>
      </c>
      <c r="P213" s="4395">
        <f>IFERROR(IF((time+time_cap)&lt;P$2, 0,IF(AND(time+1&gt;=Q$2, $E213&lt;Q$2), IF($I213= "I", $J213/($F213-$E213+1), $J213/(($F213*($F213+1)/2)-(($E213-1)*($E213-1+1)/2))*P$2), 0)+IF(IF(time+1&gt;=Q$2, $K213/time_cap/(time+1)*P$2, 0) = 0, $K213/(time_cap),0)),0)</f>
        <v/>
      </c>
      <c r="Q213" s="4395">
        <f>IFERROR(IF((time+time_cap)&lt;Q$2, 0,IF(AND(time+1&gt;=R$2, $E213&lt;R$2), IF($I213= "I", $J213/($F213-$E213+1), $J213/(($F213*($F213+1)/2)-(($E213-1)*($E213-1+1)/2))*Q$2), 0)+IF(IF(time+1&gt;=R$2, $K213/time_cap/(time+1)*Q$2, 0) = 0, $K213/(time_cap),0)),0)</f>
        <v/>
      </c>
      <c r="R213" s="4395">
        <f>IFERROR(IF((time+time_cap)&lt;R$2, 0,IF(AND(time+1&gt;=S$2, $E213&lt;S$2), IF($I213= "I", $J213/($F213-$E213+1), $J213/(($F213*($F213+1)/2)-(($E213-1)*($E213-1+1)/2))*R$2), 0)+IF(IF(time+1&gt;=S$2, $K213/time_cap/(time+1)*R$2, 0) = 0, $K213/(time_cap),0)),0)</f>
        <v/>
      </c>
      <c r="S213" s="4395">
        <f>IFERROR(IF((time+time_cap)&lt;S$2, 0,IF(AND(time+1&gt;=T$2, $E213&lt;T$2), IF($I213= "I", $J213/($F213-$E213+1), $J213/(($F213*($F213+1)/2)-(($E213-1)*($E213-1+1)/2))*S$2), 0)+IF(IF(time+1&gt;=T$2, $K213/time_cap/(time+1)*S$2, 0) = 0, $K213/(time_cap),0)),0)</f>
        <v/>
      </c>
      <c r="T213" s="4395">
        <f>IFERROR(IF((time+time_cap)&lt;T$2, 0,IF(AND(time+1&gt;=U$2, $E213&lt;U$2), IF($I213= "I", $J213/($F213-$E213+1), $J213/(($F213*($F213+1)/2)-(($E213-1)*($E213-1+1)/2))*T$2), 0)+IF(IF(time+1&gt;=U$2, $K213/time_cap/(time+1)*T$2, 0) = 0, $K213/(time_cap),0)),0)</f>
        <v/>
      </c>
      <c r="U213" s="4395">
        <f>IFERROR(IF((time+time_cap)&lt;U$2, 0,IF(AND(time+1&gt;=V$2, $E213&lt;V$2), IF($I213= "I", $J213/($F213-$E213+1), $J213/(($F213*($F213+1)/2)-(($E213-1)*($E213-1+1)/2))*U$2), 0)+IF(IF(time+1&gt;=V$2, $K213/time_cap/(time+1)*U$2, 0) = 0, $K213/(time_cap),0)),0)</f>
        <v/>
      </c>
      <c r="V213" s="4395">
        <f>IFERROR(IF((time+time_cap)&lt;V$2, 0,IF(AND(time+1&gt;=W$2, $E213&lt;W$2), IF($I213= "I", $J213/($F213-$E213+1), $J213/(($F213*($F213+1)/2)-(($E213-1)*($E213-1+1)/2))*V$2), 0)+IF(IF(time+1&gt;=W$2, $K213/time_cap/(time+1)*V$2, 0) = 0, $K213/(time_cap),0)),0)</f>
        <v/>
      </c>
      <c r="W213" s="4395">
        <f>IFERROR(IF((time+time_cap)&lt;W$2, 0,IF(AND(time+1&gt;=X$2, $E213&lt;X$2), IF($I213= "I", $J213/($F213-$E213+1), $J213/(($F213*($F213+1)/2)-(($E213-1)*($E213-1+1)/2))*W$2), 0)+IF(IF(time+1&gt;=X$2, $K213/time_cap/(time+1)*W$2, 0) = 0, $K213/(time_cap),0)),0)</f>
        <v/>
      </c>
      <c r="X213" s="4395">
        <f>IFERROR(IF((time+time_cap)&lt;X$2, 0,IF(AND(time+1&gt;=Y$2, $E213&lt;Y$2), IF($I213= "I", $J213/($F213-$E213+1), $J213/(($F213*($F213+1)/2)-(($E213-1)*($E213-1+1)/2))*X$2), 0)+IF(IF(time+1&gt;=Y$2, $K213/time_cap/(time+1)*X$2, 0) = 0, $K213/(time_cap),0)),0)</f>
        <v/>
      </c>
      <c r="Y213" s="4395">
        <f>IFERROR(IF((time+time_cap)&lt;Y$2, 0,IF(AND(time+1&gt;=Z$2, $E213&lt;Z$2), IF($I213= "I", $J213/($F213-$E213+1), $J213/(($F213*($F213+1)/2)-(($E213-1)*($E213-1+1)/2))*Y$2), 0)+IF(IF(time+1&gt;=Z$2, $K213/time_cap/(time+1)*Y$2, 0) = 0, $K213/(time_cap),0)),0)</f>
        <v/>
      </c>
      <c r="Z213" s="4395">
        <f>IFERROR(IF((time+time_cap)&lt;Z$2, 0,IF(AND(time+1&gt;=AA$2, $E213&lt;AA$2), IF($I213= "I", $J213/($F213-$E213+1), $J213/(($F213*($F213+1)/2)-(($E213-1)*($E213-1+1)/2))*Z$2), 0)+IF(IF(time+1&gt;=AA$2, $K213/time_cap/(time+1)*Z$2, 0) = 0, $K213/(time_cap),0)),0)</f>
        <v/>
      </c>
      <c r="AA213" s="4395">
        <f>IFERROR(IF((time+time_cap)&lt;AA$2, 0,IF(AND(time+1&gt;=AB$2, $E213&lt;AB$2), IF($I213= "I", $J213/($F213-$E213+1), $J213/(($F213*($F213+1)/2)-(($E213-1)*($E213-1+1)/2))*AA$2), 0)+IF(IF(time+1&gt;=AB$2, $K213/time_cap/(time+1)*AA$2, 0) = 0, $K213/(time_cap),0)),0)</f>
        <v/>
      </c>
      <c r="AB213" s="4395">
        <f>IFERROR(IF((time+time_cap)&lt;AB$2, 0,IF(AND(time+1&gt;=AC$2, $E213&lt;AC$2), IF($I213= "I", $J213/($F213-$E213+1), $J213/(($F213*($F213+1)/2)-(($E213-1)*($E213-1+1)/2))*AB$2), 0)+IF(IF(time+1&gt;=AC$2, $K213/time_cap/(time+1)*AB$2, 0) = 0, $K213/(time_cap),0)),0)</f>
        <v/>
      </c>
      <c r="AC213" s="4395">
        <f>IFERROR(IF((time+time_cap)&lt;AC$2, 0,IF(AND(time+1&gt;=AD$2, $E213&lt;AD$2), IF($I213= "I", $J213/($F213-$E213+1), $J213/(($F213*($F213+1)/2)-(($E213-1)*($E213-1+1)/2))*AC$2), 0)+IF(IF(time+1&gt;=AD$2, $K213/time_cap/(time+1)*AC$2, 0) = 0, $K213/(time_cap),0)),0)</f>
        <v/>
      </c>
      <c r="AD213" s="4395">
        <f>IFERROR(IF((time+time_cap)&lt;AD$2, 0,IF(AND(time+1&gt;=AE$2, $E213&lt;AE$2), IF($I213= "I", $J213/($F213-$E213+1), $J213/(($F213*($F213+1)/2)-(($E213-1)*($E213-1+1)/2))*AD$2), 0)+IF(IF(time+1&gt;=AE$2, $K213/time_cap/(time+1)*AD$2, 0) = 0, $K213/(time_cap),0)),0)</f>
        <v/>
      </c>
      <c r="AE213" s="4395">
        <f>IFERROR(IF((time+time_cap)&lt;AE$2, 0,IF(AND(time+1&gt;=AF$2, $E213&lt;AF$2), IF($I213= "I", $J213/($F213-$E213+1), $J213/(($F213*($F213+1)/2)-(($E213-1)*($E213-1+1)/2))*AE$2), 0)+IF(IF(time+1&gt;=AF$2, $K213/time_cap/(time+1)*AE$2, 0) = 0, $K213/(time_cap),0)),0)</f>
        <v/>
      </c>
      <c r="AF213" s="4395">
        <f>IFERROR(IF((time+time_cap)&lt;AF$2, 0,IF(AND(time+1&gt;=AG$2, $E213&lt;AG$2), IF($I213= "I", $J213/($F213-$E213+1), $J213/(($F213*($F213+1)/2)-(($E213-1)*($E213-1+1)/2))*AF$2), 0)+IF(IF(time+1&gt;=AG$2, $K213/time_cap/(time+1)*AF$2, 0) = 0, $K213/(time_cap),0)),0)</f>
        <v/>
      </c>
      <c r="AG213" s="4395">
        <f>IFERROR(IF((time+time_cap)&lt;AG$2, 0,IF(AND(time+1&gt;=AH$2, $E213&lt;AH$2), IF($I213= "I", $J213/($F213-$E213+1), $J213/(($F213*($F213+1)/2)-(($E213-1)*($E213-1+1)/2))*AG$2), 0)+IF(IF(time+1&gt;=AH$2, $K213/time_cap/(time+1)*AG$2, 0) = 0, $K213/(time_cap),0)),0)</f>
        <v/>
      </c>
      <c r="AH213" s="4395">
        <f>IFERROR(IF((time+time_cap)&lt;AH$2, 0,IF(AND(time+1&gt;=AI$2, $E213&lt;AI$2), IF($I213= "I", $J213/($F213-$E213+1), $J213/(($F213*($F213+1)/2)-(($E213-1)*($E213-1+1)/2))*AH$2), 0)+IF(IF(time+1&gt;=AI$2, $K213/time_cap/(time+1)*AH$2, 0) = 0, $K213/(time_cap),0)),0)</f>
        <v/>
      </c>
      <c r="AI213" s="4395">
        <f>IFERROR(IF((time+time_cap)&lt;AI$2, 0,IF(AND(time+1&gt;=AJ$2, $E213&lt;AJ$2), IF($I213= "I", $J213/($F213-$E213+1), $J213/(($F213*($F213+1)/2)-(($E213-1)*($E213-1+1)/2))*AI$2), 0)+IF(IF(time+1&gt;=AJ$2, $K213/time_cap/(time+1)*AI$2, 0) = 0, $K213/(time_cap),0)),0)</f>
        <v/>
      </c>
      <c r="AJ213" s="4395">
        <f>IFERROR(IF((time+time_cap)&lt;AJ$2, 0,IF(AND(time+1&gt;=AK$2, $E213&lt;AK$2), IF($I213= "I", $J213/($F213-$E213+1), $J213/(($F213*($F213+1)/2)-(($E213-1)*($E213-1+1)/2))*AJ$2), 0)+IF(IF(time+1&gt;=AK$2, $K213/time_cap/(time+1)*AJ$2, 0) = 0, $K213/(time_cap),0)),0)</f>
        <v/>
      </c>
      <c r="AK213" s="4395">
        <f>IFERROR(IF((time+time_cap)&lt;AK$2, 0,IF(AND(time+1&gt;=AL$2, $E213&lt;AL$2), IF($I213= "I", $J213/($F213-$E213+1), $J213/(($F213*($F213+1)/2)-(($E213-1)*($E213-1+1)/2))*AK$2), 0)+IF(IF(time+1&gt;=AL$2, $K213/time_cap/(time+1)*AK$2, 0) = 0, $K213/(time_cap),0)),0)</f>
        <v/>
      </c>
      <c r="AL213" s="4395">
        <f>IFERROR(IF((time+time_cap)&lt;AL$2, 0,IF(AND(time+1&gt;=AM$2, $E213&lt;AM$2), IF($I213= "I", $J213/($F213-$E213+1), $J213/(($F213*($F213+1)/2)-(($E213-1)*($E213-1+1)/2))*AL$2), 0)+IF(IF(time+1&gt;=AM$2, $K213/time_cap/(time+1)*AL$2, 0) = 0, $K213/(time_cap),0)),0)</f>
        <v/>
      </c>
      <c r="AM213" s="4395">
        <f>IFERROR(IF((time+time_cap)&lt;AM$2, 0,IF(AND(time+1&gt;=AN$2, $E213&lt;AN$2), IF($I213= "I", $J213/($F213-$E213+1), $J213/(($F213*($F213+1)/2)-(($E213-1)*($E213-1+1)/2))*AM$2), 0)+IF(IF(time+1&gt;=AN$2, $K213/time_cap/(time+1)*AM$2, 0) = 0, $K213/(time_cap),0)),0)</f>
        <v/>
      </c>
      <c r="AN213" s="4395">
        <f>IFERROR(IF((time+time_cap)&lt;AN$2, 0,IF(AND(time+1&gt;=AO$2, $E213&lt;AO$2), IF($I213= "I", $J213/($F213-$E213+1), $J213/(($F213*($F213+1)/2)-(($E213-1)*($E213-1+1)/2))*AN$2), 0)+IF(IF(time+1&gt;=AO$2, $K213/time_cap/(time+1)*AN$2, 0) = 0, $K213/(time_cap),0)),0)</f>
        <v/>
      </c>
      <c r="AO213" s="4395">
        <f>IFERROR(IF((time+time_cap)&lt;AO$2, 0,IF(AND(time+1&gt;=AP$2, $E213&lt;AP$2), IF($I213= "I", $J213/($F213-$E213+1), $J213/(($F213*($F213+1)/2)-(($E213-1)*($E213-1+1)/2))*AO$2), 0)+IF(IF(time+1&gt;=AP$2, $K213/time_cap/(time+1)*AO$2, 0) = 0, $K213/(time_cap),0)),0)</f>
        <v/>
      </c>
      <c r="AP213" s="4395">
        <f>IFERROR(IF((time+time_cap)&lt;AP$2, 0,IF(AND(time+1&gt;=AQ$2, $E213&lt;AQ$2), IF($I213= "I", $J213/($F213-$E213+1), $J213/(($F213*($F213+1)/2)-(($E213-1)*($E213-1+1)/2))*AP$2), 0)+IF(IF(time+1&gt;=AQ$2, $K213/time_cap/(time+1)*AP$2, 0) = 0, $K213/(time_cap),0)),0)</f>
        <v/>
      </c>
      <c r="AQ213" s="4395">
        <f>IFERROR(IF((time+time_cap)&lt;AQ$2, 0,IF(AND(time+1&gt;=AR$2, $E213&lt;AR$2), IF($I213= "I", $J213/($F213-$E213+1), $J213/(($F213*($F213+1)/2)-(($E213-1)*($E213-1+1)/2))*AQ$2), 0)+IF(IF(time+1&gt;=AR$2, $K213/time_cap/(time+1)*AQ$2, 0) = 0, $K213/(time_cap),0)),0)</f>
        <v/>
      </c>
      <c r="AR213" s="4395">
        <f>IFERROR(IF((time+time_cap)&lt;AR$2, 0,IF(AND(time+1&gt;=AS$2, $E213&lt;AS$2), IF($I213= "I", $J213/($F213-$E213+1), $J213/(($F213*($F213+1)/2)-(($E213-1)*($E213-1+1)/2))*AR$2), 0)+IF(IF(time+1&gt;=AS$2, $K213/time_cap/(time+1)*AR$2, 0) = 0, $K213/(time_cap),0)),0)</f>
        <v/>
      </c>
      <c r="AS213" s="4395">
        <f>IFERROR(IF((time+time_cap)&lt;AS$2, 0,IF(AND(time+1&gt;=AT$2, $E213&lt;AT$2), IF($I213= "I", $J213/($F213-$E213+1), $J213/(($F213*($F213+1)/2)-(($E213-1)*($E213-1+1)/2))*AS$2), 0)+IF(IF(time+1&gt;=AT$2, $K213/time_cap/(time+1)*AS$2, 0) = 0, $K213/(time_cap),0)),0)</f>
        <v/>
      </c>
      <c r="AT213" s="4395">
        <f>IFERROR(IF((time+time_cap)&lt;AT$2, 0,IF(AND(time+1&gt;=AU$2, $E213&lt;AU$2), IF($I213= "I", $J213/($F213-$E213+1), $J213/(($F213*($F213+1)/2)-(($E213-1)*($E213-1+1)/2))*AT$2), 0)+IF(IF(time+1&gt;=AU$2, $K213/time_cap/(time+1)*AT$2, 0) = 0, $K213/(time_cap),0)),0)</f>
        <v/>
      </c>
      <c r="AU213" s="4395">
        <f>IFERROR(IF((time+time_cap)&lt;AU$2, 0,IF(AND(time+1&gt;=AV$2, $E213&lt;AV$2), IF($I213= "I", $J213/($F213-$E213+1), $J213/(($F213*($F213+1)/2)-(($E213-1)*($E213-1+1)/2))*AU$2), 0)+IF(IF(time+1&gt;=AV$2, $K213/time_cap/(time+1)*AU$2, 0) = 0, $K213/(time_cap),0)),0)</f>
        <v/>
      </c>
      <c r="AV213" s="4395">
        <f>IFERROR(IF((time+time_cap)&lt;AV$2, 0,IF(AND(time+1&gt;=AW$2, $E213&lt;AW$2), IF($I213= "I", $J213/($F213-$E213+1), $J213/(($F213*($F213+1)/2)-(($E213-1)*($E213-1+1)/2))*AV$2), 0)+IF(IF(time+1&gt;=AW$2, $K213/time_cap/(time+1)*AV$2, 0) = 0, $K213/(time_cap),0)),0)</f>
        <v/>
      </c>
      <c r="AW213" s="4395">
        <f>IFERROR(IF((time+time_cap)&lt;AW$2, 0,IF(AND(time+1&gt;=AX$2, $E213&lt;AX$2), IF($I213= "I", $J213/($F213-$E213+1), $J213/(($F213*($F213+1)/2)-(($E213-1)*($E213-1+1)/2))*AW$2), 0)+IF(IF(time+1&gt;=AX$2, $K213/time_cap/(time+1)*AW$2, 0) = 0, $K213/(time_cap),0)),0)</f>
        <v/>
      </c>
      <c r="AX213" s="4395">
        <f>IFERROR(IF((time+time_cap)&lt;AX$2, 0,IF(AND(time+1&gt;=AY$2, $E213&lt;AY$2), IF($I213= "I", $J213/($F213-$E213+1), $J213/(($F213*($F213+1)/2)-(($E213-1)*($E213-1+1)/2))*AX$2), 0)+IF(IF(time+1&gt;=AY$2, $K213/time_cap/(time+1)*AX$2, 0) = 0, $K213/(time_cap),0)),0)</f>
        <v/>
      </c>
      <c r="AY213" s="4395">
        <f>IFERROR(IF((time+time_cap)&lt;AY$2, 0,IF(AND(time+1&gt;=AZ$2, $E213&lt;AZ$2), IF($I213= "I", $J213/($F213-$E213+1), $J213/(($F213*($F213+1)/2)-(($E213-1)*($E213-1+1)/2))*AY$2), 0)+IF(IF(time+1&gt;=AZ$2, $K213/time_cap/(time+1)*AY$2, 0) = 0, $K213/(time_cap),0)),0)</f>
        <v/>
      </c>
      <c r="AZ213" s="4395">
        <f>IFERROR(IF((time+time_cap)&lt;AZ$2, 0,IF(AND(time+1&gt;=BA$2, $E213&lt;BA$2), IF($I213= "I", $J213/($F213-$E213+1), $J213/(($F213*($F213+1)/2)-(($E213-1)*($E213-1+1)/2))*AZ$2), 0)+IF(IF(time+1&gt;=BA$2, $K213/time_cap/(time+1)*AZ$2, 0) = 0, $K213/(time_cap),0)),0)</f>
        <v/>
      </c>
      <c r="BA213" s="4395">
        <f>IFERROR(IF((time+time_cap)&lt;BA$2, 0,IF(AND(time+1&gt;=BB$2, $E213&lt;BB$2), IF($I213= "I", $J213/($F213-$E213+1), $J213/(($F213*($F213+1)/2)-(($E213-1)*($E213-1+1)/2))*BA$2), 0)+IF(IF(time+1&gt;=BB$2, $K213/time_cap/(time+1)*BA$2, 0) = 0, $K213/(time_cap),0)),0)</f>
        <v/>
      </c>
      <c r="BB213" s="4395">
        <f>IFERROR(IF((time+time_cap)&lt;BB$2, 0,IF(AND(time+1&gt;=BC$2, $E213&lt;BC$2), IF($I213= "I", $J213/($F213-$E213+1), $J213/(($F213*($F213+1)/2)-(($E213-1)*($E213-1+1)/2))*BB$2), 0)+IF(IF(time+1&gt;=BC$2, $K213/time_cap/(time+1)*BB$2, 0) = 0, $K213/(time_cap),0)),0)</f>
        <v/>
      </c>
      <c r="BC213" s="4395">
        <f>IFERROR(IF((time+time_cap)&lt;BC$2, 0,IF(AND(time+1&gt;=BD$2, $E213&lt;BD$2), IF($I213= "I", $J213/($F213-$E213+1), $J213/(($F213*($F213+1)/2)-(($E213-1)*($E213-1+1)/2))*BC$2), 0)+IF(IF(time+1&gt;=BD$2, $K213/time_cap/(time+1)*BC$2, 0) = 0, $K213/(time_cap),0)),0)</f>
        <v/>
      </c>
      <c r="BD213" s="4395">
        <f>IFERROR(IF((time+time_cap)&lt;BD$2, 0,IF(AND(time+1&gt;=BE$2, $E213&lt;BE$2), IF($I213= "I", $J213/($F213-$E213+1), $J213/(($F213*($F213+1)/2)-(($E213-1)*($E213-1+1)/2))*BD$2), 0)+IF(IF(time+1&gt;=BE$2, $K213/time_cap/(time+1)*BD$2, 0) = 0, $K213/(time_cap),0)),0)</f>
        <v/>
      </c>
      <c r="BE213" s="4395">
        <f>IFERROR(IF((time+time_cap)&lt;BE$2, 0,IF(AND(time+1&gt;=BF$2, $E213&lt;BF$2), IF($I213= "I", $J213/($F213-$E213+1), $J213/(($F213*($F213+1)/2)-(($E213-1)*($E213-1+1)/2))*BE$2), 0)+IF(IF(time+1&gt;=BF$2, $K213/time_cap/(time+1)*BE$2, 0) = 0, $K213/(time_cap),0)),0)</f>
        <v/>
      </c>
      <c r="BF213" s="4395">
        <f>IFERROR(IF((time+time_cap)&lt;BF$2, 0,IF(AND(time+1&gt;=BG$2, $E213&lt;BG$2), IF($I213= "I", $J213/($F213-$E213+1), $J213/(($F213*($F213+1)/2)-(($E213-1)*($E213-1+1)/2))*BF$2), 0)+IF(IF(time+1&gt;=BG$2, $K213/time_cap/(time+1)*BF$2, 0) = 0, $K213/(time_cap),0)),0)</f>
        <v/>
      </c>
      <c r="BG213" s="4395">
        <f>IFERROR(IF((time+time_cap)&lt;BG$2, 0,IF(AND(time+1&gt;=BH$2, $E213&lt;BH$2), IF($I213= "I", $J213/($F213-$E213+1), $J213/(($F213*($F213+1)/2)-(($E213-1)*($E213-1+1)/2))*BG$2), 0)+IF(IF(time+1&gt;=BH$2, $K213/time_cap/(time+1)*BG$2, 0) = 0, $K213/(time_cap),0)),0)</f>
        <v/>
      </c>
      <c r="BH213" s="4395">
        <f>IFERROR(IF((time+time_cap)&lt;BH$2, 0,IF(AND(time+1&gt;=BI$2, $E213&lt;BI$2), IF($I213= "I", $J213/($F213-$E213+1), $J213/(($F213*($F213+1)/2)-(($E213-1)*($E213-1+1)/2))*BH$2), 0)+IF(IF(time+1&gt;=BI$2, $K213/time_cap/(time+1)*BH$2, 0) = 0, $K213/(time_cap),0)),0)</f>
        <v/>
      </c>
      <c r="BI213" s="4395">
        <f>IFERROR(IF((time+time_cap)&lt;BI$2, 0,IF(AND(time+1&gt;=BJ$2, $E213&lt;BJ$2), IF($I213= "I", $J213/($F213-$E213+1), $J213/(($F213*($F213+1)/2)-(($E213-1)*($E213-1+1)/2))*BI$2), 0)+IF(IF(time+1&gt;=BJ$2, $K213/time_cap/(time+1)*BI$2, 0) = 0, $K213/(time_cap),0)),0)</f>
        <v/>
      </c>
      <c r="BJ213" s="4395">
        <f>IFERROR(IF((time+time_cap)&lt;BJ$2, 0,IF(AND(time+1&gt;=BK$2, $E213&lt;BK$2), IF($I213= "I", $J213/($F213-$E213+1), $J213/(($F213*($F213+1)/2)-(($E213-1)*($E213-1+1)/2))*BJ$2), 0)+IF(IF(time+1&gt;=BK$2, $K213/time_cap/(time+1)*BJ$2, 0) = 0, $K213/(time_cap),0)),0)</f>
        <v/>
      </c>
      <c r="BK213" s="4395" t="n"/>
      <c r="BL213" s="4395" t="n"/>
      <c r="BM213" s="4395" t="n"/>
      <c r="BN213" s="4395" t="n"/>
      <c r="BO213" s="4395" t="n"/>
      <c r="BP213" s="4395" t="n"/>
      <c r="BQ213" s="4395" t="n"/>
      <c r="BR213" s="4395" t="n"/>
      <c r="BS213" s="4395" t="n"/>
      <c r="BT213" s="4395" t="n"/>
      <c r="BU213" s="4395" t="n"/>
      <c r="BV213" s="4395" t="n"/>
      <c r="BW213" s="4395" t="n"/>
      <c r="BX213" s="4395" t="n"/>
      <c r="BY213" s="4395" t="n"/>
      <c r="BZ213" s="4395" t="n"/>
      <c r="CA213" s="4395" t="n"/>
      <c r="CB213" s="4395" t="n"/>
      <c r="CC213" s="4395" t="n"/>
      <c r="CD213" s="4395" t="n"/>
      <c r="CE213" s="4395" t="n"/>
      <c r="CF213" s="4395" t="n"/>
      <c r="CG213" s="4395" t="n"/>
      <c r="CH213" s="4395" t="n"/>
      <c r="CI213" s="4395" t="n"/>
      <c r="CJ213" s="4395" t="n"/>
      <c r="CK213" s="4395" t="n"/>
      <c r="CL213" s="4395" t="n"/>
      <c r="CM213" s="4395" t="n"/>
      <c r="CN213" s="4395" t="n"/>
      <c r="CO213" s="4395" t="n"/>
      <c r="CP213" s="4395" t="n"/>
      <c r="CQ213" s="4395" t="n"/>
      <c r="CR213" s="4395" t="n"/>
      <c r="CS213" s="4395" t="n"/>
      <c r="CT213" s="4395" t="n"/>
      <c r="CU213" s="4395" t="n"/>
      <c r="CV213" s="4395" t="n"/>
      <c r="CW213" s="4395" t="n"/>
      <c r="CX213" s="4395" t="n"/>
      <c r="CY213" s="4395" t="n"/>
      <c r="CZ213" s="4395" t="n"/>
      <c r="DA213" s="4395" t="n"/>
      <c r="DB213" s="4395" t="n"/>
      <c r="DC213" s="4395" t="n"/>
      <c r="DD213" s="4395" t="n"/>
      <c r="DE213" s="4395" t="n"/>
      <c r="DF213" s="4395" t="n"/>
      <c r="DG213" s="4395" t="n"/>
      <c r="DH213" s="4395" t="n"/>
    </row>
    <row r="214" ht="16" customHeight="1">
      <c r="A214" t="inlineStr">
        <is>
          <t>Inputs</t>
        </is>
      </c>
      <c r="C214">
        <f>'9.Inputs'!C29</f>
        <v/>
      </c>
      <c r="D214">
        <f>'9.Inputs'!V29</f>
        <v/>
      </c>
      <c r="E214">
        <f>IF('9.Inputs'!BE29&lt;&gt;0,'9.Inputs'!BE29,'9.Inputs'!BD29)</f>
        <v/>
      </c>
      <c r="F214">
        <f>time</f>
        <v/>
      </c>
      <c r="G214" s="4395">
        <f>'9.Inputs'!F29</f>
        <v/>
      </c>
      <c r="H214" s="4395">
        <f>'9.Inputs'!H29</f>
        <v/>
      </c>
      <c r="I214" s="4395">
        <f>IF(OR(H214="I", G214="I"), "I", IF(OR(H214="E", G214="E"), "E", "D"))</f>
        <v/>
      </c>
      <c r="J214" s="4395">
        <f>((D214/(time_cap+((F214-E214+1)*VLOOKUP(I214,list!$I$48:$K$50,3, FALSE))))*(F214-E214+1)*VLOOKUP(I214,list!$I$48:$K$50,3, FALSE))</f>
        <v/>
      </c>
      <c r="K214" s="4395">
        <f>((D214/(time_cap+((F214-E214+1)*VLOOKUP(I214,list!$I$48:$K$50,3, FALSE))))*time_cap)</f>
        <v/>
      </c>
      <c r="M214" s="4395">
        <f>IFERROR(IF((time+time_cap)&lt;M$2, 0,IF(AND(time+1&gt;=N$2, $E214&lt;N$2), IF($I214= "I", $J214/($F214-$E214+1), $J214/(($F214*($F214+1)/2)-(($E214-1)*($E214-1+1)/2))*M$2), 0)+IF(IF(time+1&gt;=N$2, $K214/time_cap/(time+1)*M$2, 0) = 0, $K214/(time_cap),0)),0)</f>
        <v/>
      </c>
      <c r="N214" s="4395">
        <f>IFERROR(IF((time+time_cap)&lt;N$2, 0,IF(AND(time+1&gt;=O$2, $E214&lt;O$2), IF($I214= "I", $J214/($F214-$E214+1), $J214/(($F214*($F214+1)/2)-(($E214-1)*($E214-1+1)/2))*N$2), 0)+IF(IF(time+1&gt;=O$2, $K214/time_cap/(time+1)*N$2, 0) = 0, $K214/(time_cap),0)),0)</f>
        <v/>
      </c>
      <c r="O214" s="4395">
        <f>IFERROR(IF((time+time_cap)&lt;O$2, 0,IF(AND(time+1&gt;=P$2, $E214&lt;P$2), IF($I214= "I", $J214/($F214-$E214+1), $J214/(($F214*($F214+1)/2)-(($E214-1)*($E214-1+1)/2))*O$2), 0)+IF(IF(time+1&gt;=P$2, $K214/time_cap/(time+1)*O$2, 0) = 0, $K214/(time_cap),0)),0)</f>
        <v/>
      </c>
      <c r="P214" s="4395">
        <f>IFERROR(IF((time+time_cap)&lt;P$2, 0,IF(AND(time+1&gt;=Q$2, $E214&lt;Q$2), IF($I214= "I", $J214/($F214-$E214+1), $J214/(($F214*($F214+1)/2)-(($E214-1)*($E214-1+1)/2))*P$2), 0)+IF(IF(time+1&gt;=Q$2, $K214/time_cap/(time+1)*P$2, 0) = 0, $K214/(time_cap),0)),0)</f>
        <v/>
      </c>
      <c r="Q214" s="4395">
        <f>IFERROR(IF((time+time_cap)&lt;Q$2, 0,IF(AND(time+1&gt;=R$2, $E214&lt;R$2), IF($I214= "I", $J214/($F214-$E214+1), $J214/(($F214*($F214+1)/2)-(($E214-1)*($E214-1+1)/2))*Q$2), 0)+IF(IF(time+1&gt;=R$2, $K214/time_cap/(time+1)*Q$2, 0) = 0, $K214/(time_cap),0)),0)</f>
        <v/>
      </c>
      <c r="R214" s="4395">
        <f>IFERROR(IF((time+time_cap)&lt;R$2, 0,IF(AND(time+1&gt;=S$2, $E214&lt;S$2), IF($I214= "I", $J214/($F214-$E214+1), $J214/(($F214*($F214+1)/2)-(($E214-1)*($E214-1+1)/2))*R$2), 0)+IF(IF(time+1&gt;=S$2, $K214/time_cap/(time+1)*R$2, 0) = 0, $K214/(time_cap),0)),0)</f>
        <v/>
      </c>
      <c r="S214" s="4395">
        <f>IFERROR(IF((time+time_cap)&lt;S$2, 0,IF(AND(time+1&gt;=T$2, $E214&lt;T$2), IF($I214= "I", $J214/($F214-$E214+1), $J214/(($F214*($F214+1)/2)-(($E214-1)*($E214-1+1)/2))*S$2), 0)+IF(IF(time+1&gt;=T$2, $K214/time_cap/(time+1)*S$2, 0) = 0, $K214/(time_cap),0)),0)</f>
        <v/>
      </c>
      <c r="T214" s="4395">
        <f>IFERROR(IF((time+time_cap)&lt;T$2, 0,IF(AND(time+1&gt;=U$2, $E214&lt;U$2), IF($I214= "I", $J214/($F214-$E214+1), $J214/(($F214*($F214+1)/2)-(($E214-1)*($E214-1+1)/2))*T$2), 0)+IF(IF(time+1&gt;=U$2, $K214/time_cap/(time+1)*T$2, 0) = 0, $K214/(time_cap),0)),0)</f>
        <v/>
      </c>
      <c r="U214" s="4395">
        <f>IFERROR(IF((time+time_cap)&lt;U$2, 0,IF(AND(time+1&gt;=V$2, $E214&lt;V$2), IF($I214= "I", $J214/($F214-$E214+1), $J214/(($F214*($F214+1)/2)-(($E214-1)*($E214-1+1)/2))*U$2), 0)+IF(IF(time+1&gt;=V$2, $K214/time_cap/(time+1)*U$2, 0) = 0, $K214/(time_cap),0)),0)</f>
        <v/>
      </c>
      <c r="V214" s="4395">
        <f>IFERROR(IF((time+time_cap)&lt;V$2, 0,IF(AND(time+1&gt;=W$2, $E214&lt;W$2), IF($I214= "I", $J214/($F214-$E214+1), $J214/(($F214*($F214+1)/2)-(($E214-1)*($E214-1+1)/2))*V$2), 0)+IF(IF(time+1&gt;=W$2, $K214/time_cap/(time+1)*V$2, 0) = 0, $K214/(time_cap),0)),0)</f>
        <v/>
      </c>
      <c r="W214" s="4395">
        <f>IFERROR(IF((time+time_cap)&lt;W$2, 0,IF(AND(time+1&gt;=X$2, $E214&lt;X$2), IF($I214= "I", $J214/($F214-$E214+1), $J214/(($F214*($F214+1)/2)-(($E214-1)*($E214-1+1)/2))*W$2), 0)+IF(IF(time+1&gt;=X$2, $K214/time_cap/(time+1)*W$2, 0) = 0, $K214/(time_cap),0)),0)</f>
        <v/>
      </c>
      <c r="X214" s="4395">
        <f>IFERROR(IF((time+time_cap)&lt;X$2, 0,IF(AND(time+1&gt;=Y$2, $E214&lt;Y$2), IF($I214= "I", $J214/($F214-$E214+1), $J214/(($F214*($F214+1)/2)-(($E214-1)*($E214-1+1)/2))*X$2), 0)+IF(IF(time+1&gt;=Y$2, $K214/time_cap/(time+1)*X$2, 0) = 0, $K214/(time_cap),0)),0)</f>
        <v/>
      </c>
      <c r="Y214" s="4395">
        <f>IFERROR(IF((time+time_cap)&lt;Y$2, 0,IF(AND(time+1&gt;=Z$2, $E214&lt;Z$2), IF($I214= "I", $J214/($F214-$E214+1), $J214/(($F214*($F214+1)/2)-(($E214-1)*($E214-1+1)/2))*Y$2), 0)+IF(IF(time+1&gt;=Z$2, $K214/time_cap/(time+1)*Y$2, 0) = 0, $K214/(time_cap),0)),0)</f>
        <v/>
      </c>
      <c r="Z214" s="4395">
        <f>IFERROR(IF((time+time_cap)&lt;Z$2, 0,IF(AND(time+1&gt;=AA$2, $E214&lt;AA$2), IF($I214= "I", $J214/($F214-$E214+1), $J214/(($F214*($F214+1)/2)-(($E214-1)*($E214-1+1)/2))*Z$2), 0)+IF(IF(time+1&gt;=AA$2, $K214/time_cap/(time+1)*Z$2, 0) = 0, $K214/(time_cap),0)),0)</f>
        <v/>
      </c>
      <c r="AA214" s="4395">
        <f>IFERROR(IF((time+time_cap)&lt;AA$2, 0,IF(AND(time+1&gt;=AB$2, $E214&lt;AB$2), IF($I214= "I", $J214/($F214-$E214+1), $J214/(($F214*($F214+1)/2)-(($E214-1)*($E214-1+1)/2))*AA$2), 0)+IF(IF(time+1&gt;=AB$2, $K214/time_cap/(time+1)*AA$2, 0) = 0, $K214/(time_cap),0)),0)</f>
        <v/>
      </c>
      <c r="AB214" s="4395">
        <f>IFERROR(IF((time+time_cap)&lt;AB$2, 0,IF(AND(time+1&gt;=AC$2, $E214&lt;AC$2), IF($I214= "I", $J214/($F214-$E214+1), $J214/(($F214*($F214+1)/2)-(($E214-1)*($E214-1+1)/2))*AB$2), 0)+IF(IF(time+1&gt;=AC$2, $K214/time_cap/(time+1)*AB$2, 0) = 0, $K214/(time_cap),0)),0)</f>
        <v/>
      </c>
      <c r="AC214" s="4395">
        <f>IFERROR(IF((time+time_cap)&lt;AC$2, 0,IF(AND(time+1&gt;=AD$2, $E214&lt;AD$2), IF($I214= "I", $J214/($F214-$E214+1), $J214/(($F214*($F214+1)/2)-(($E214-1)*($E214-1+1)/2))*AC$2), 0)+IF(IF(time+1&gt;=AD$2, $K214/time_cap/(time+1)*AC$2, 0) = 0, $K214/(time_cap),0)),0)</f>
        <v/>
      </c>
      <c r="AD214" s="4395">
        <f>IFERROR(IF((time+time_cap)&lt;AD$2, 0,IF(AND(time+1&gt;=AE$2, $E214&lt;AE$2), IF($I214= "I", $J214/($F214-$E214+1), $J214/(($F214*($F214+1)/2)-(($E214-1)*($E214-1+1)/2))*AD$2), 0)+IF(IF(time+1&gt;=AE$2, $K214/time_cap/(time+1)*AD$2, 0) = 0, $K214/(time_cap),0)),0)</f>
        <v/>
      </c>
      <c r="AE214" s="4395">
        <f>IFERROR(IF((time+time_cap)&lt;AE$2, 0,IF(AND(time+1&gt;=AF$2, $E214&lt;AF$2), IF($I214= "I", $J214/($F214-$E214+1), $J214/(($F214*($F214+1)/2)-(($E214-1)*($E214-1+1)/2))*AE$2), 0)+IF(IF(time+1&gt;=AF$2, $K214/time_cap/(time+1)*AE$2, 0) = 0, $K214/(time_cap),0)),0)</f>
        <v/>
      </c>
      <c r="AF214" s="4395">
        <f>IFERROR(IF((time+time_cap)&lt;AF$2, 0,IF(AND(time+1&gt;=AG$2, $E214&lt;AG$2), IF($I214= "I", $J214/($F214-$E214+1), $J214/(($F214*($F214+1)/2)-(($E214-1)*($E214-1+1)/2))*AF$2), 0)+IF(IF(time+1&gt;=AG$2, $K214/time_cap/(time+1)*AF$2, 0) = 0, $K214/(time_cap),0)),0)</f>
        <v/>
      </c>
      <c r="AG214" s="4395">
        <f>IFERROR(IF((time+time_cap)&lt;AG$2, 0,IF(AND(time+1&gt;=AH$2, $E214&lt;AH$2), IF($I214= "I", $J214/($F214-$E214+1), $J214/(($F214*($F214+1)/2)-(($E214-1)*($E214-1+1)/2))*AG$2), 0)+IF(IF(time+1&gt;=AH$2, $K214/time_cap/(time+1)*AG$2, 0) = 0, $K214/(time_cap),0)),0)</f>
        <v/>
      </c>
      <c r="AH214" s="4395">
        <f>IFERROR(IF((time+time_cap)&lt;AH$2, 0,IF(AND(time+1&gt;=AI$2, $E214&lt;AI$2), IF($I214= "I", $J214/($F214-$E214+1), $J214/(($F214*($F214+1)/2)-(($E214-1)*($E214-1+1)/2))*AH$2), 0)+IF(IF(time+1&gt;=AI$2, $K214/time_cap/(time+1)*AH$2, 0) = 0, $K214/(time_cap),0)),0)</f>
        <v/>
      </c>
      <c r="AI214" s="4395">
        <f>IFERROR(IF((time+time_cap)&lt;AI$2, 0,IF(AND(time+1&gt;=AJ$2, $E214&lt;AJ$2), IF($I214= "I", $J214/($F214-$E214+1), $J214/(($F214*($F214+1)/2)-(($E214-1)*($E214-1+1)/2))*AI$2), 0)+IF(IF(time+1&gt;=AJ$2, $K214/time_cap/(time+1)*AI$2, 0) = 0, $K214/(time_cap),0)),0)</f>
        <v/>
      </c>
      <c r="AJ214" s="4395">
        <f>IFERROR(IF((time+time_cap)&lt;AJ$2, 0,IF(AND(time+1&gt;=AK$2, $E214&lt;AK$2), IF($I214= "I", $J214/($F214-$E214+1), $J214/(($F214*($F214+1)/2)-(($E214-1)*($E214-1+1)/2))*AJ$2), 0)+IF(IF(time+1&gt;=AK$2, $K214/time_cap/(time+1)*AJ$2, 0) = 0, $K214/(time_cap),0)),0)</f>
        <v/>
      </c>
      <c r="AK214" s="4395">
        <f>IFERROR(IF((time+time_cap)&lt;AK$2, 0,IF(AND(time+1&gt;=AL$2, $E214&lt;AL$2), IF($I214= "I", $J214/($F214-$E214+1), $J214/(($F214*($F214+1)/2)-(($E214-1)*($E214-1+1)/2))*AK$2), 0)+IF(IF(time+1&gt;=AL$2, $K214/time_cap/(time+1)*AK$2, 0) = 0, $K214/(time_cap),0)),0)</f>
        <v/>
      </c>
      <c r="AL214" s="4395">
        <f>IFERROR(IF((time+time_cap)&lt;AL$2, 0,IF(AND(time+1&gt;=AM$2, $E214&lt;AM$2), IF($I214= "I", $J214/($F214-$E214+1), $J214/(($F214*($F214+1)/2)-(($E214-1)*($E214-1+1)/2))*AL$2), 0)+IF(IF(time+1&gt;=AM$2, $K214/time_cap/(time+1)*AL$2, 0) = 0, $K214/(time_cap),0)),0)</f>
        <v/>
      </c>
      <c r="AM214" s="4395">
        <f>IFERROR(IF((time+time_cap)&lt;AM$2, 0,IF(AND(time+1&gt;=AN$2, $E214&lt;AN$2), IF($I214= "I", $J214/($F214-$E214+1), $J214/(($F214*($F214+1)/2)-(($E214-1)*($E214-1+1)/2))*AM$2), 0)+IF(IF(time+1&gt;=AN$2, $K214/time_cap/(time+1)*AM$2, 0) = 0, $K214/(time_cap),0)),0)</f>
        <v/>
      </c>
      <c r="AN214" s="4395">
        <f>IFERROR(IF((time+time_cap)&lt;AN$2, 0,IF(AND(time+1&gt;=AO$2, $E214&lt;AO$2), IF($I214= "I", $J214/($F214-$E214+1), $J214/(($F214*($F214+1)/2)-(($E214-1)*($E214-1+1)/2))*AN$2), 0)+IF(IF(time+1&gt;=AO$2, $K214/time_cap/(time+1)*AN$2, 0) = 0, $K214/(time_cap),0)),0)</f>
        <v/>
      </c>
      <c r="AO214" s="4395">
        <f>IFERROR(IF((time+time_cap)&lt;AO$2, 0,IF(AND(time+1&gt;=AP$2, $E214&lt;AP$2), IF($I214= "I", $J214/($F214-$E214+1), $J214/(($F214*($F214+1)/2)-(($E214-1)*($E214-1+1)/2))*AO$2), 0)+IF(IF(time+1&gt;=AP$2, $K214/time_cap/(time+1)*AO$2, 0) = 0, $K214/(time_cap),0)),0)</f>
        <v/>
      </c>
      <c r="AP214" s="4395">
        <f>IFERROR(IF((time+time_cap)&lt;AP$2, 0,IF(AND(time+1&gt;=AQ$2, $E214&lt;AQ$2), IF($I214= "I", $J214/($F214-$E214+1), $J214/(($F214*($F214+1)/2)-(($E214-1)*($E214-1+1)/2))*AP$2), 0)+IF(IF(time+1&gt;=AQ$2, $K214/time_cap/(time+1)*AP$2, 0) = 0, $K214/(time_cap),0)),0)</f>
        <v/>
      </c>
      <c r="AQ214" s="4395">
        <f>IFERROR(IF((time+time_cap)&lt;AQ$2, 0,IF(AND(time+1&gt;=AR$2, $E214&lt;AR$2), IF($I214= "I", $J214/($F214-$E214+1), $J214/(($F214*($F214+1)/2)-(($E214-1)*($E214-1+1)/2))*AQ$2), 0)+IF(IF(time+1&gt;=AR$2, $K214/time_cap/(time+1)*AQ$2, 0) = 0, $K214/(time_cap),0)),0)</f>
        <v/>
      </c>
      <c r="AR214" s="4395">
        <f>IFERROR(IF((time+time_cap)&lt;AR$2, 0,IF(AND(time+1&gt;=AS$2, $E214&lt;AS$2), IF($I214= "I", $J214/($F214-$E214+1), $J214/(($F214*($F214+1)/2)-(($E214-1)*($E214-1+1)/2))*AR$2), 0)+IF(IF(time+1&gt;=AS$2, $K214/time_cap/(time+1)*AR$2, 0) = 0, $K214/(time_cap),0)),0)</f>
        <v/>
      </c>
      <c r="AS214" s="4395">
        <f>IFERROR(IF((time+time_cap)&lt;AS$2, 0,IF(AND(time+1&gt;=AT$2, $E214&lt;AT$2), IF($I214= "I", $J214/($F214-$E214+1), $J214/(($F214*($F214+1)/2)-(($E214-1)*($E214-1+1)/2))*AS$2), 0)+IF(IF(time+1&gt;=AT$2, $K214/time_cap/(time+1)*AS$2, 0) = 0, $K214/(time_cap),0)),0)</f>
        <v/>
      </c>
      <c r="AT214" s="4395">
        <f>IFERROR(IF((time+time_cap)&lt;AT$2, 0,IF(AND(time+1&gt;=AU$2, $E214&lt;AU$2), IF($I214= "I", $J214/($F214-$E214+1), $J214/(($F214*($F214+1)/2)-(($E214-1)*($E214-1+1)/2))*AT$2), 0)+IF(IF(time+1&gt;=AU$2, $K214/time_cap/(time+1)*AT$2, 0) = 0, $K214/(time_cap),0)),0)</f>
        <v/>
      </c>
      <c r="AU214" s="4395">
        <f>IFERROR(IF((time+time_cap)&lt;AU$2, 0,IF(AND(time+1&gt;=AV$2, $E214&lt;AV$2), IF($I214= "I", $J214/($F214-$E214+1), $J214/(($F214*($F214+1)/2)-(($E214-1)*($E214-1+1)/2))*AU$2), 0)+IF(IF(time+1&gt;=AV$2, $K214/time_cap/(time+1)*AU$2, 0) = 0, $K214/(time_cap),0)),0)</f>
        <v/>
      </c>
      <c r="AV214" s="4395">
        <f>IFERROR(IF((time+time_cap)&lt;AV$2, 0,IF(AND(time+1&gt;=AW$2, $E214&lt;AW$2), IF($I214= "I", $J214/($F214-$E214+1), $J214/(($F214*($F214+1)/2)-(($E214-1)*($E214-1+1)/2))*AV$2), 0)+IF(IF(time+1&gt;=AW$2, $K214/time_cap/(time+1)*AV$2, 0) = 0, $K214/(time_cap),0)),0)</f>
        <v/>
      </c>
      <c r="AW214" s="4395">
        <f>IFERROR(IF((time+time_cap)&lt;AW$2, 0,IF(AND(time+1&gt;=AX$2, $E214&lt;AX$2), IF($I214= "I", $J214/($F214-$E214+1), $J214/(($F214*($F214+1)/2)-(($E214-1)*($E214-1+1)/2))*AW$2), 0)+IF(IF(time+1&gt;=AX$2, $K214/time_cap/(time+1)*AW$2, 0) = 0, $K214/(time_cap),0)),0)</f>
        <v/>
      </c>
      <c r="AX214" s="4395">
        <f>IFERROR(IF((time+time_cap)&lt;AX$2, 0,IF(AND(time+1&gt;=AY$2, $E214&lt;AY$2), IF($I214= "I", $J214/($F214-$E214+1), $J214/(($F214*($F214+1)/2)-(($E214-1)*($E214-1+1)/2))*AX$2), 0)+IF(IF(time+1&gt;=AY$2, $K214/time_cap/(time+1)*AX$2, 0) = 0, $K214/(time_cap),0)),0)</f>
        <v/>
      </c>
      <c r="AY214" s="4395">
        <f>IFERROR(IF((time+time_cap)&lt;AY$2, 0,IF(AND(time+1&gt;=AZ$2, $E214&lt;AZ$2), IF($I214= "I", $J214/($F214-$E214+1), $J214/(($F214*($F214+1)/2)-(($E214-1)*($E214-1+1)/2))*AY$2), 0)+IF(IF(time+1&gt;=AZ$2, $K214/time_cap/(time+1)*AY$2, 0) = 0, $K214/(time_cap),0)),0)</f>
        <v/>
      </c>
      <c r="AZ214" s="4395">
        <f>IFERROR(IF((time+time_cap)&lt;AZ$2, 0,IF(AND(time+1&gt;=BA$2, $E214&lt;BA$2), IF($I214= "I", $J214/($F214-$E214+1), $J214/(($F214*($F214+1)/2)-(($E214-1)*($E214-1+1)/2))*AZ$2), 0)+IF(IF(time+1&gt;=BA$2, $K214/time_cap/(time+1)*AZ$2, 0) = 0, $K214/(time_cap),0)),0)</f>
        <v/>
      </c>
      <c r="BA214" s="4395">
        <f>IFERROR(IF((time+time_cap)&lt;BA$2, 0,IF(AND(time+1&gt;=BB$2, $E214&lt;BB$2), IF($I214= "I", $J214/($F214-$E214+1), $J214/(($F214*($F214+1)/2)-(($E214-1)*($E214-1+1)/2))*BA$2), 0)+IF(IF(time+1&gt;=BB$2, $K214/time_cap/(time+1)*BA$2, 0) = 0, $K214/(time_cap),0)),0)</f>
        <v/>
      </c>
      <c r="BB214" s="4395">
        <f>IFERROR(IF((time+time_cap)&lt;BB$2, 0,IF(AND(time+1&gt;=BC$2, $E214&lt;BC$2), IF($I214= "I", $J214/($F214-$E214+1), $J214/(($F214*($F214+1)/2)-(($E214-1)*($E214-1+1)/2))*BB$2), 0)+IF(IF(time+1&gt;=BC$2, $K214/time_cap/(time+1)*BB$2, 0) = 0, $K214/(time_cap),0)),0)</f>
        <v/>
      </c>
      <c r="BC214" s="4395">
        <f>IFERROR(IF((time+time_cap)&lt;BC$2, 0,IF(AND(time+1&gt;=BD$2, $E214&lt;BD$2), IF($I214= "I", $J214/($F214-$E214+1), $J214/(($F214*($F214+1)/2)-(($E214-1)*($E214-1+1)/2))*BC$2), 0)+IF(IF(time+1&gt;=BD$2, $K214/time_cap/(time+1)*BC$2, 0) = 0, $K214/(time_cap),0)),0)</f>
        <v/>
      </c>
      <c r="BD214" s="4395">
        <f>IFERROR(IF((time+time_cap)&lt;BD$2, 0,IF(AND(time+1&gt;=BE$2, $E214&lt;BE$2), IF($I214= "I", $J214/($F214-$E214+1), $J214/(($F214*($F214+1)/2)-(($E214-1)*($E214-1+1)/2))*BD$2), 0)+IF(IF(time+1&gt;=BE$2, $K214/time_cap/(time+1)*BD$2, 0) = 0, $K214/(time_cap),0)),0)</f>
        <v/>
      </c>
      <c r="BE214" s="4395">
        <f>IFERROR(IF((time+time_cap)&lt;BE$2, 0,IF(AND(time+1&gt;=BF$2, $E214&lt;BF$2), IF($I214= "I", $J214/($F214-$E214+1), $J214/(($F214*($F214+1)/2)-(($E214-1)*($E214-1+1)/2))*BE$2), 0)+IF(IF(time+1&gt;=BF$2, $K214/time_cap/(time+1)*BE$2, 0) = 0, $K214/(time_cap),0)),0)</f>
        <v/>
      </c>
      <c r="BF214" s="4395">
        <f>IFERROR(IF((time+time_cap)&lt;BF$2, 0,IF(AND(time+1&gt;=BG$2, $E214&lt;BG$2), IF($I214= "I", $J214/($F214-$E214+1), $J214/(($F214*($F214+1)/2)-(($E214-1)*($E214-1+1)/2))*BF$2), 0)+IF(IF(time+1&gt;=BG$2, $K214/time_cap/(time+1)*BF$2, 0) = 0, $K214/(time_cap),0)),0)</f>
        <v/>
      </c>
      <c r="BG214" s="4395">
        <f>IFERROR(IF((time+time_cap)&lt;BG$2, 0,IF(AND(time+1&gt;=BH$2, $E214&lt;BH$2), IF($I214= "I", $J214/($F214-$E214+1), $J214/(($F214*($F214+1)/2)-(($E214-1)*($E214-1+1)/2))*BG$2), 0)+IF(IF(time+1&gt;=BH$2, $K214/time_cap/(time+1)*BG$2, 0) = 0, $K214/(time_cap),0)),0)</f>
        <v/>
      </c>
      <c r="BH214" s="4395">
        <f>IFERROR(IF((time+time_cap)&lt;BH$2, 0,IF(AND(time+1&gt;=BI$2, $E214&lt;BI$2), IF($I214= "I", $J214/($F214-$E214+1), $J214/(($F214*($F214+1)/2)-(($E214-1)*($E214-1+1)/2))*BH$2), 0)+IF(IF(time+1&gt;=BI$2, $K214/time_cap/(time+1)*BH$2, 0) = 0, $K214/(time_cap),0)),0)</f>
        <v/>
      </c>
      <c r="BI214" s="4395">
        <f>IFERROR(IF((time+time_cap)&lt;BI$2, 0,IF(AND(time+1&gt;=BJ$2, $E214&lt;BJ$2), IF($I214= "I", $J214/($F214-$E214+1), $J214/(($F214*($F214+1)/2)-(($E214-1)*($E214-1+1)/2))*BI$2), 0)+IF(IF(time+1&gt;=BJ$2, $K214/time_cap/(time+1)*BI$2, 0) = 0, $K214/(time_cap),0)),0)</f>
        <v/>
      </c>
      <c r="BJ214" s="4395">
        <f>IFERROR(IF((time+time_cap)&lt;BJ$2, 0,IF(AND(time+1&gt;=BK$2, $E214&lt;BK$2), IF($I214= "I", $J214/($F214-$E214+1), $J214/(($F214*($F214+1)/2)-(($E214-1)*($E214-1+1)/2))*BJ$2), 0)+IF(IF(time+1&gt;=BK$2, $K214/time_cap/(time+1)*BJ$2, 0) = 0, $K214/(time_cap),0)),0)</f>
        <v/>
      </c>
      <c r="BK214" s="4395" t="n"/>
      <c r="BL214" s="4395" t="n"/>
      <c r="BM214" s="4395" t="n"/>
      <c r="BN214" s="4395" t="n"/>
      <c r="BO214" s="4395" t="n"/>
      <c r="BP214" s="4395" t="n"/>
      <c r="BQ214" s="4395" t="n"/>
      <c r="BR214" s="4395" t="n"/>
      <c r="BS214" s="4395" t="n"/>
      <c r="BT214" s="4395" t="n"/>
      <c r="BU214" s="4395" t="n"/>
      <c r="BV214" s="4395" t="n"/>
      <c r="BW214" s="4395" t="n"/>
      <c r="BX214" s="4395" t="n"/>
      <c r="BY214" s="4395" t="n"/>
      <c r="BZ214" s="4395" t="n"/>
      <c r="CA214" s="4395" t="n"/>
      <c r="CB214" s="4395" t="n"/>
      <c r="CC214" s="4395" t="n"/>
      <c r="CD214" s="4395" t="n"/>
      <c r="CE214" s="4395" t="n"/>
      <c r="CF214" s="4395" t="n"/>
      <c r="CG214" s="4395" t="n"/>
      <c r="CH214" s="4395" t="n"/>
      <c r="CI214" s="4395" t="n"/>
      <c r="CJ214" s="4395" t="n"/>
      <c r="CK214" s="4395" t="n"/>
      <c r="CL214" s="4395" t="n"/>
      <c r="CM214" s="4395" t="n"/>
      <c r="CN214" s="4395" t="n"/>
      <c r="CO214" s="4395" t="n"/>
      <c r="CP214" s="4395" t="n"/>
      <c r="CQ214" s="4395" t="n"/>
      <c r="CR214" s="4395" t="n"/>
      <c r="CS214" s="4395" t="n"/>
      <c r="CT214" s="4395" t="n"/>
      <c r="CU214" s="4395" t="n"/>
      <c r="CV214" s="4395" t="n"/>
      <c r="CW214" s="4395" t="n"/>
      <c r="CX214" s="4395" t="n"/>
      <c r="CY214" s="4395" t="n"/>
      <c r="CZ214" s="4395" t="n"/>
      <c r="DA214" s="4395" t="n"/>
      <c r="DB214" s="4395" t="n"/>
      <c r="DC214" s="4395" t="n"/>
      <c r="DD214" s="4395" t="n"/>
      <c r="DE214" s="4395" t="n"/>
      <c r="DF214" s="4395" t="n"/>
      <c r="DG214" s="4395" t="n"/>
      <c r="DH214" s="4395" t="n"/>
    </row>
    <row r="215" ht="16" customHeight="1">
      <c r="A215" t="inlineStr">
        <is>
          <t>Inputs</t>
        </is>
      </c>
      <c r="C215">
        <f>'9.Inputs'!C30</f>
        <v/>
      </c>
      <c r="D215">
        <f>'9.Inputs'!V30</f>
        <v/>
      </c>
      <c r="E215">
        <f>IF('9.Inputs'!BE30&lt;&gt;0,'9.Inputs'!BE30,'9.Inputs'!BD30)</f>
        <v/>
      </c>
      <c r="F215">
        <f>time</f>
        <v/>
      </c>
      <c r="G215" s="4395">
        <f>'9.Inputs'!F30</f>
        <v/>
      </c>
      <c r="H215" s="4395">
        <f>'9.Inputs'!H30</f>
        <v/>
      </c>
      <c r="I215" s="4395">
        <f>IF(OR(H215="I", G215="I"), "I", IF(OR(H215="E", G215="E"), "E", "D"))</f>
        <v/>
      </c>
      <c r="J215" s="4395">
        <f>((D215/(time_cap+((F215-E215+1)*VLOOKUP(I215,list!$I$48:$K$50,3, FALSE))))*(F215-E215+1)*VLOOKUP(I215,list!$I$48:$K$50,3, FALSE))</f>
        <v/>
      </c>
      <c r="K215" s="4395">
        <f>((D215/(time_cap+((F215-E215+1)*VLOOKUP(I215,list!$I$48:$K$50,3, FALSE))))*time_cap)</f>
        <v/>
      </c>
      <c r="M215" s="4395">
        <f>IFERROR(IF((time+time_cap)&lt;M$2, 0,IF(AND(time+1&gt;=N$2, $E215&lt;N$2), IF($I215= "I", $J215/($F215-$E215+1), $J215/(($F215*($F215+1)/2)-(($E215-1)*($E215-1+1)/2))*M$2), 0)+IF(IF(time+1&gt;=N$2, $K215/time_cap/(time+1)*M$2, 0) = 0, $K215/(time_cap),0)),0)</f>
        <v/>
      </c>
      <c r="N215" s="4395">
        <f>IFERROR(IF((time+time_cap)&lt;N$2, 0,IF(AND(time+1&gt;=O$2, $E215&lt;O$2), IF($I215= "I", $J215/($F215-$E215+1), $J215/(($F215*($F215+1)/2)-(($E215-1)*($E215-1+1)/2))*N$2), 0)+IF(IF(time+1&gt;=O$2, $K215/time_cap/(time+1)*N$2, 0) = 0, $K215/(time_cap),0)),0)</f>
        <v/>
      </c>
      <c r="O215" s="4395">
        <f>IFERROR(IF((time+time_cap)&lt;O$2, 0,IF(AND(time+1&gt;=P$2, $E215&lt;P$2), IF($I215= "I", $J215/($F215-$E215+1), $J215/(($F215*($F215+1)/2)-(($E215-1)*($E215-1+1)/2))*O$2), 0)+IF(IF(time+1&gt;=P$2, $K215/time_cap/(time+1)*O$2, 0) = 0, $K215/(time_cap),0)),0)</f>
        <v/>
      </c>
      <c r="P215" s="4395">
        <f>IFERROR(IF((time+time_cap)&lt;P$2, 0,IF(AND(time+1&gt;=Q$2, $E215&lt;Q$2), IF($I215= "I", $J215/($F215-$E215+1), $J215/(($F215*($F215+1)/2)-(($E215-1)*($E215-1+1)/2))*P$2), 0)+IF(IF(time+1&gt;=Q$2, $K215/time_cap/(time+1)*P$2, 0) = 0, $K215/(time_cap),0)),0)</f>
        <v/>
      </c>
      <c r="Q215" s="4395">
        <f>IFERROR(IF((time+time_cap)&lt;Q$2, 0,IF(AND(time+1&gt;=R$2, $E215&lt;R$2), IF($I215= "I", $J215/($F215-$E215+1), $J215/(($F215*($F215+1)/2)-(($E215-1)*($E215-1+1)/2))*Q$2), 0)+IF(IF(time+1&gt;=R$2, $K215/time_cap/(time+1)*Q$2, 0) = 0, $K215/(time_cap),0)),0)</f>
        <v/>
      </c>
      <c r="R215" s="4395">
        <f>IFERROR(IF((time+time_cap)&lt;R$2, 0,IF(AND(time+1&gt;=S$2, $E215&lt;S$2), IF($I215= "I", $J215/($F215-$E215+1), $J215/(($F215*($F215+1)/2)-(($E215-1)*($E215-1+1)/2))*R$2), 0)+IF(IF(time+1&gt;=S$2, $K215/time_cap/(time+1)*R$2, 0) = 0, $K215/(time_cap),0)),0)</f>
        <v/>
      </c>
      <c r="S215" s="4395">
        <f>IFERROR(IF((time+time_cap)&lt;S$2, 0,IF(AND(time+1&gt;=T$2, $E215&lt;T$2), IF($I215= "I", $J215/($F215-$E215+1), $J215/(($F215*($F215+1)/2)-(($E215-1)*($E215-1+1)/2))*S$2), 0)+IF(IF(time+1&gt;=T$2, $K215/time_cap/(time+1)*S$2, 0) = 0, $K215/(time_cap),0)),0)</f>
        <v/>
      </c>
      <c r="T215" s="4395">
        <f>IFERROR(IF((time+time_cap)&lt;T$2, 0,IF(AND(time+1&gt;=U$2, $E215&lt;U$2), IF($I215= "I", $J215/($F215-$E215+1), $J215/(($F215*($F215+1)/2)-(($E215-1)*($E215-1+1)/2))*T$2), 0)+IF(IF(time+1&gt;=U$2, $K215/time_cap/(time+1)*T$2, 0) = 0, $K215/(time_cap),0)),0)</f>
        <v/>
      </c>
      <c r="U215" s="4395">
        <f>IFERROR(IF((time+time_cap)&lt;U$2, 0,IF(AND(time+1&gt;=V$2, $E215&lt;V$2), IF($I215= "I", $J215/($F215-$E215+1), $J215/(($F215*($F215+1)/2)-(($E215-1)*($E215-1+1)/2))*U$2), 0)+IF(IF(time+1&gt;=V$2, $K215/time_cap/(time+1)*U$2, 0) = 0, $K215/(time_cap),0)),0)</f>
        <v/>
      </c>
      <c r="V215" s="4395">
        <f>IFERROR(IF((time+time_cap)&lt;V$2, 0,IF(AND(time+1&gt;=W$2, $E215&lt;W$2), IF($I215= "I", $J215/($F215-$E215+1), $J215/(($F215*($F215+1)/2)-(($E215-1)*($E215-1+1)/2))*V$2), 0)+IF(IF(time+1&gt;=W$2, $K215/time_cap/(time+1)*V$2, 0) = 0, $K215/(time_cap),0)),0)</f>
        <v/>
      </c>
      <c r="W215" s="4395">
        <f>IFERROR(IF((time+time_cap)&lt;W$2, 0,IF(AND(time+1&gt;=X$2, $E215&lt;X$2), IF($I215= "I", $J215/($F215-$E215+1), $J215/(($F215*($F215+1)/2)-(($E215-1)*($E215-1+1)/2))*W$2), 0)+IF(IF(time+1&gt;=X$2, $K215/time_cap/(time+1)*W$2, 0) = 0, $K215/(time_cap),0)),0)</f>
        <v/>
      </c>
      <c r="X215" s="4395">
        <f>IFERROR(IF((time+time_cap)&lt;X$2, 0,IF(AND(time+1&gt;=Y$2, $E215&lt;Y$2), IF($I215= "I", $J215/($F215-$E215+1), $J215/(($F215*($F215+1)/2)-(($E215-1)*($E215-1+1)/2))*X$2), 0)+IF(IF(time+1&gt;=Y$2, $K215/time_cap/(time+1)*X$2, 0) = 0, $K215/(time_cap),0)),0)</f>
        <v/>
      </c>
      <c r="Y215" s="4395">
        <f>IFERROR(IF((time+time_cap)&lt;Y$2, 0,IF(AND(time+1&gt;=Z$2, $E215&lt;Z$2), IF($I215= "I", $J215/($F215-$E215+1), $J215/(($F215*($F215+1)/2)-(($E215-1)*($E215-1+1)/2))*Y$2), 0)+IF(IF(time+1&gt;=Z$2, $K215/time_cap/(time+1)*Y$2, 0) = 0, $K215/(time_cap),0)),0)</f>
        <v/>
      </c>
      <c r="Z215" s="4395">
        <f>IFERROR(IF((time+time_cap)&lt;Z$2, 0,IF(AND(time+1&gt;=AA$2, $E215&lt;AA$2), IF($I215= "I", $J215/($F215-$E215+1), $J215/(($F215*($F215+1)/2)-(($E215-1)*($E215-1+1)/2))*Z$2), 0)+IF(IF(time+1&gt;=AA$2, $K215/time_cap/(time+1)*Z$2, 0) = 0, $K215/(time_cap),0)),0)</f>
        <v/>
      </c>
      <c r="AA215" s="4395">
        <f>IFERROR(IF((time+time_cap)&lt;AA$2, 0,IF(AND(time+1&gt;=AB$2, $E215&lt;AB$2), IF($I215= "I", $J215/($F215-$E215+1), $J215/(($F215*($F215+1)/2)-(($E215-1)*($E215-1+1)/2))*AA$2), 0)+IF(IF(time+1&gt;=AB$2, $K215/time_cap/(time+1)*AA$2, 0) = 0, $K215/(time_cap),0)),0)</f>
        <v/>
      </c>
      <c r="AB215" s="4395">
        <f>IFERROR(IF((time+time_cap)&lt;AB$2, 0,IF(AND(time+1&gt;=AC$2, $E215&lt;AC$2), IF($I215= "I", $J215/($F215-$E215+1), $J215/(($F215*($F215+1)/2)-(($E215-1)*($E215-1+1)/2))*AB$2), 0)+IF(IF(time+1&gt;=AC$2, $K215/time_cap/(time+1)*AB$2, 0) = 0, $K215/(time_cap),0)),0)</f>
        <v/>
      </c>
      <c r="AC215" s="4395">
        <f>IFERROR(IF((time+time_cap)&lt;AC$2, 0,IF(AND(time+1&gt;=AD$2, $E215&lt;AD$2), IF($I215= "I", $J215/($F215-$E215+1), $J215/(($F215*($F215+1)/2)-(($E215-1)*($E215-1+1)/2))*AC$2), 0)+IF(IF(time+1&gt;=AD$2, $K215/time_cap/(time+1)*AC$2, 0) = 0, $K215/(time_cap),0)),0)</f>
        <v/>
      </c>
      <c r="AD215" s="4395">
        <f>IFERROR(IF((time+time_cap)&lt;AD$2, 0,IF(AND(time+1&gt;=AE$2, $E215&lt;AE$2), IF($I215= "I", $J215/($F215-$E215+1), $J215/(($F215*($F215+1)/2)-(($E215-1)*($E215-1+1)/2))*AD$2), 0)+IF(IF(time+1&gt;=AE$2, $K215/time_cap/(time+1)*AD$2, 0) = 0, $K215/(time_cap),0)),0)</f>
        <v/>
      </c>
      <c r="AE215" s="4395">
        <f>IFERROR(IF((time+time_cap)&lt;AE$2, 0,IF(AND(time+1&gt;=AF$2, $E215&lt;AF$2), IF($I215= "I", $J215/($F215-$E215+1), $J215/(($F215*($F215+1)/2)-(($E215-1)*($E215-1+1)/2))*AE$2), 0)+IF(IF(time+1&gt;=AF$2, $K215/time_cap/(time+1)*AE$2, 0) = 0, $K215/(time_cap),0)),0)</f>
        <v/>
      </c>
      <c r="AF215" s="4395">
        <f>IFERROR(IF((time+time_cap)&lt;AF$2, 0,IF(AND(time+1&gt;=AG$2, $E215&lt;AG$2), IF($I215= "I", $J215/($F215-$E215+1), $J215/(($F215*($F215+1)/2)-(($E215-1)*($E215-1+1)/2))*AF$2), 0)+IF(IF(time+1&gt;=AG$2, $K215/time_cap/(time+1)*AF$2, 0) = 0, $K215/(time_cap),0)),0)</f>
        <v/>
      </c>
      <c r="AG215" s="4395">
        <f>IFERROR(IF((time+time_cap)&lt;AG$2, 0,IF(AND(time+1&gt;=AH$2, $E215&lt;AH$2), IF($I215= "I", $J215/($F215-$E215+1), $J215/(($F215*($F215+1)/2)-(($E215-1)*($E215-1+1)/2))*AG$2), 0)+IF(IF(time+1&gt;=AH$2, $K215/time_cap/(time+1)*AG$2, 0) = 0, $K215/(time_cap),0)),0)</f>
        <v/>
      </c>
      <c r="AH215" s="4395">
        <f>IFERROR(IF((time+time_cap)&lt;AH$2, 0,IF(AND(time+1&gt;=AI$2, $E215&lt;AI$2), IF($I215= "I", $J215/($F215-$E215+1), $J215/(($F215*($F215+1)/2)-(($E215-1)*($E215-1+1)/2))*AH$2), 0)+IF(IF(time+1&gt;=AI$2, $K215/time_cap/(time+1)*AH$2, 0) = 0, $K215/(time_cap),0)),0)</f>
        <v/>
      </c>
      <c r="AI215" s="4395">
        <f>IFERROR(IF((time+time_cap)&lt;AI$2, 0,IF(AND(time+1&gt;=AJ$2, $E215&lt;AJ$2), IF($I215= "I", $J215/($F215-$E215+1), $J215/(($F215*($F215+1)/2)-(($E215-1)*($E215-1+1)/2))*AI$2), 0)+IF(IF(time+1&gt;=AJ$2, $K215/time_cap/(time+1)*AI$2, 0) = 0, $K215/(time_cap),0)),0)</f>
        <v/>
      </c>
      <c r="AJ215" s="4395">
        <f>IFERROR(IF((time+time_cap)&lt;AJ$2, 0,IF(AND(time+1&gt;=AK$2, $E215&lt;AK$2), IF($I215= "I", $J215/($F215-$E215+1), $J215/(($F215*($F215+1)/2)-(($E215-1)*($E215-1+1)/2))*AJ$2), 0)+IF(IF(time+1&gt;=AK$2, $K215/time_cap/(time+1)*AJ$2, 0) = 0, $K215/(time_cap),0)),0)</f>
        <v/>
      </c>
      <c r="AK215" s="4395">
        <f>IFERROR(IF((time+time_cap)&lt;AK$2, 0,IF(AND(time+1&gt;=AL$2, $E215&lt;AL$2), IF($I215= "I", $J215/($F215-$E215+1), $J215/(($F215*($F215+1)/2)-(($E215-1)*($E215-1+1)/2))*AK$2), 0)+IF(IF(time+1&gt;=AL$2, $K215/time_cap/(time+1)*AK$2, 0) = 0, $K215/(time_cap),0)),0)</f>
        <v/>
      </c>
      <c r="AL215" s="4395">
        <f>IFERROR(IF((time+time_cap)&lt;AL$2, 0,IF(AND(time+1&gt;=AM$2, $E215&lt;AM$2), IF($I215= "I", $J215/($F215-$E215+1), $J215/(($F215*($F215+1)/2)-(($E215-1)*($E215-1+1)/2))*AL$2), 0)+IF(IF(time+1&gt;=AM$2, $K215/time_cap/(time+1)*AL$2, 0) = 0, $K215/(time_cap),0)),0)</f>
        <v/>
      </c>
      <c r="AM215" s="4395">
        <f>IFERROR(IF((time+time_cap)&lt;AM$2, 0,IF(AND(time+1&gt;=AN$2, $E215&lt;AN$2), IF($I215= "I", $J215/($F215-$E215+1), $J215/(($F215*($F215+1)/2)-(($E215-1)*($E215-1+1)/2))*AM$2), 0)+IF(IF(time+1&gt;=AN$2, $K215/time_cap/(time+1)*AM$2, 0) = 0, $K215/(time_cap),0)),0)</f>
        <v/>
      </c>
      <c r="AN215" s="4395">
        <f>IFERROR(IF((time+time_cap)&lt;AN$2, 0,IF(AND(time+1&gt;=AO$2, $E215&lt;AO$2), IF($I215= "I", $J215/($F215-$E215+1), $J215/(($F215*($F215+1)/2)-(($E215-1)*($E215-1+1)/2))*AN$2), 0)+IF(IF(time+1&gt;=AO$2, $K215/time_cap/(time+1)*AN$2, 0) = 0, $K215/(time_cap),0)),0)</f>
        <v/>
      </c>
      <c r="AO215" s="4395">
        <f>IFERROR(IF((time+time_cap)&lt;AO$2, 0,IF(AND(time+1&gt;=AP$2, $E215&lt;AP$2), IF($I215= "I", $J215/($F215-$E215+1), $J215/(($F215*($F215+1)/2)-(($E215-1)*($E215-1+1)/2))*AO$2), 0)+IF(IF(time+1&gt;=AP$2, $K215/time_cap/(time+1)*AO$2, 0) = 0, $K215/(time_cap),0)),0)</f>
        <v/>
      </c>
      <c r="AP215" s="4395">
        <f>IFERROR(IF((time+time_cap)&lt;AP$2, 0,IF(AND(time+1&gt;=AQ$2, $E215&lt;AQ$2), IF($I215= "I", $J215/($F215-$E215+1), $J215/(($F215*($F215+1)/2)-(($E215-1)*($E215-1+1)/2))*AP$2), 0)+IF(IF(time+1&gt;=AQ$2, $K215/time_cap/(time+1)*AP$2, 0) = 0, $K215/(time_cap),0)),0)</f>
        <v/>
      </c>
      <c r="AQ215" s="4395">
        <f>IFERROR(IF((time+time_cap)&lt;AQ$2, 0,IF(AND(time+1&gt;=AR$2, $E215&lt;AR$2), IF($I215= "I", $J215/($F215-$E215+1), $J215/(($F215*($F215+1)/2)-(($E215-1)*($E215-1+1)/2))*AQ$2), 0)+IF(IF(time+1&gt;=AR$2, $K215/time_cap/(time+1)*AQ$2, 0) = 0, $K215/(time_cap),0)),0)</f>
        <v/>
      </c>
      <c r="AR215" s="4395">
        <f>IFERROR(IF((time+time_cap)&lt;AR$2, 0,IF(AND(time+1&gt;=AS$2, $E215&lt;AS$2), IF($I215= "I", $J215/($F215-$E215+1), $J215/(($F215*($F215+1)/2)-(($E215-1)*($E215-1+1)/2))*AR$2), 0)+IF(IF(time+1&gt;=AS$2, $K215/time_cap/(time+1)*AR$2, 0) = 0, $K215/(time_cap),0)),0)</f>
        <v/>
      </c>
      <c r="AS215" s="4395">
        <f>IFERROR(IF((time+time_cap)&lt;AS$2, 0,IF(AND(time+1&gt;=AT$2, $E215&lt;AT$2), IF($I215= "I", $J215/($F215-$E215+1), $J215/(($F215*($F215+1)/2)-(($E215-1)*($E215-1+1)/2))*AS$2), 0)+IF(IF(time+1&gt;=AT$2, $K215/time_cap/(time+1)*AS$2, 0) = 0, $K215/(time_cap),0)),0)</f>
        <v/>
      </c>
      <c r="AT215" s="4395">
        <f>IFERROR(IF((time+time_cap)&lt;AT$2, 0,IF(AND(time+1&gt;=AU$2, $E215&lt;AU$2), IF($I215= "I", $J215/($F215-$E215+1), $J215/(($F215*($F215+1)/2)-(($E215-1)*($E215-1+1)/2))*AT$2), 0)+IF(IF(time+1&gt;=AU$2, $K215/time_cap/(time+1)*AT$2, 0) = 0, $K215/(time_cap),0)),0)</f>
        <v/>
      </c>
      <c r="AU215" s="4395">
        <f>IFERROR(IF((time+time_cap)&lt;AU$2, 0,IF(AND(time+1&gt;=AV$2, $E215&lt;AV$2), IF($I215= "I", $J215/($F215-$E215+1), $J215/(($F215*($F215+1)/2)-(($E215-1)*($E215-1+1)/2))*AU$2), 0)+IF(IF(time+1&gt;=AV$2, $K215/time_cap/(time+1)*AU$2, 0) = 0, $K215/(time_cap),0)),0)</f>
        <v/>
      </c>
      <c r="AV215" s="4395">
        <f>IFERROR(IF((time+time_cap)&lt;AV$2, 0,IF(AND(time+1&gt;=AW$2, $E215&lt;AW$2), IF($I215= "I", $J215/($F215-$E215+1), $J215/(($F215*($F215+1)/2)-(($E215-1)*($E215-1+1)/2))*AV$2), 0)+IF(IF(time+1&gt;=AW$2, $K215/time_cap/(time+1)*AV$2, 0) = 0, $K215/(time_cap),0)),0)</f>
        <v/>
      </c>
      <c r="AW215" s="4395">
        <f>IFERROR(IF((time+time_cap)&lt;AW$2, 0,IF(AND(time+1&gt;=AX$2, $E215&lt;AX$2), IF($I215= "I", $J215/($F215-$E215+1), $J215/(($F215*($F215+1)/2)-(($E215-1)*($E215-1+1)/2))*AW$2), 0)+IF(IF(time+1&gt;=AX$2, $K215/time_cap/(time+1)*AW$2, 0) = 0, $K215/(time_cap),0)),0)</f>
        <v/>
      </c>
      <c r="AX215" s="4395">
        <f>IFERROR(IF((time+time_cap)&lt;AX$2, 0,IF(AND(time+1&gt;=AY$2, $E215&lt;AY$2), IF($I215= "I", $J215/($F215-$E215+1), $J215/(($F215*($F215+1)/2)-(($E215-1)*($E215-1+1)/2))*AX$2), 0)+IF(IF(time+1&gt;=AY$2, $K215/time_cap/(time+1)*AX$2, 0) = 0, $K215/(time_cap),0)),0)</f>
        <v/>
      </c>
      <c r="AY215" s="4395">
        <f>IFERROR(IF((time+time_cap)&lt;AY$2, 0,IF(AND(time+1&gt;=AZ$2, $E215&lt;AZ$2), IF($I215= "I", $J215/($F215-$E215+1), $J215/(($F215*($F215+1)/2)-(($E215-1)*($E215-1+1)/2))*AY$2), 0)+IF(IF(time+1&gt;=AZ$2, $K215/time_cap/(time+1)*AY$2, 0) = 0, $K215/(time_cap),0)),0)</f>
        <v/>
      </c>
      <c r="AZ215" s="4395">
        <f>IFERROR(IF((time+time_cap)&lt;AZ$2, 0,IF(AND(time+1&gt;=BA$2, $E215&lt;BA$2), IF($I215= "I", $J215/($F215-$E215+1), $J215/(($F215*($F215+1)/2)-(($E215-1)*($E215-1+1)/2))*AZ$2), 0)+IF(IF(time+1&gt;=BA$2, $K215/time_cap/(time+1)*AZ$2, 0) = 0, $K215/(time_cap),0)),0)</f>
        <v/>
      </c>
      <c r="BA215" s="4395">
        <f>IFERROR(IF((time+time_cap)&lt;BA$2, 0,IF(AND(time+1&gt;=BB$2, $E215&lt;BB$2), IF($I215= "I", $J215/($F215-$E215+1), $J215/(($F215*($F215+1)/2)-(($E215-1)*($E215-1+1)/2))*BA$2), 0)+IF(IF(time+1&gt;=BB$2, $K215/time_cap/(time+1)*BA$2, 0) = 0, $K215/(time_cap),0)),0)</f>
        <v/>
      </c>
      <c r="BB215" s="4395">
        <f>IFERROR(IF((time+time_cap)&lt;BB$2, 0,IF(AND(time+1&gt;=BC$2, $E215&lt;BC$2), IF($I215= "I", $J215/($F215-$E215+1), $J215/(($F215*($F215+1)/2)-(($E215-1)*($E215-1+1)/2))*BB$2), 0)+IF(IF(time+1&gt;=BC$2, $K215/time_cap/(time+1)*BB$2, 0) = 0, $K215/(time_cap),0)),0)</f>
        <v/>
      </c>
      <c r="BC215" s="4395">
        <f>IFERROR(IF((time+time_cap)&lt;BC$2, 0,IF(AND(time+1&gt;=BD$2, $E215&lt;BD$2), IF($I215= "I", $J215/($F215-$E215+1), $J215/(($F215*($F215+1)/2)-(($E215-1)*($E215-1+1)/2))*BC$2), 0)+IF(IF(time+1&gt;=BD$2, $K215/time_cap/(time+1)*BC$2, 0) = 0, $K215/(time_cap),0)),0)</f>
        <v/>
      </c>
      <c r="BD215" s="4395">
        <f>IFERROR(IF((time+time_cap)&lt;BD$2, 0,IF(AND(time+1&gt;=BE$2, $E215&lt;BE$2), IF($I215= "I", $J215/($F215-$E215+1), $J215/(($F215*($F215+1)/2)-(($E215-1)*($E215-1+1)/2))*BD$2), 0)+IF(IF(time+1&gt;=BE$2, $K215/time_cap/(time+1)*BD$2, 0) = 0, $K215/(time_cap),0)),0)</f>
        <v/>
      </c>
      <c r="BE215" s="4395">
        <f>IFERROR(IF((time+time_cap)&lt;BE$2, 0,IF(AND(time+1&gt;=BF$2, $E215&lt;BF$2), IF($I215= "I", $J215/($F215-$E215+1), $J215/(($F215*($F215+1)/2)-(($E215-1)*($E215-1+1)/2))*BE$2), 0)+IF(IF(time+1&gt;=BF$2, $K215/time_cap/(time+1)*BE$2, 0) = 0, $K215/(time_cap),0)),0)</f>
        <v/>
      </c>
      <c r="BF215" s="4395">
        <f>IFERROR(IF((time+time_cap)&lt;BF$2, 0,IF(AND(time+1&gt;=BG$2, $E215&lt;BG$2), IF($I215= "I", $J215/($F215-$E215+1), $J215/(($F215*($F215+1)/2)-(($E215-1)*($E215-1+1)/2))*BF$2), 0)+IF(IF(time+1&gt;=BG$2, $K215/time_cap/(time+1)*BF$2, 0) = 0, $K215/(time_cap),0)),0)</f>
        <v/>
      </c>
      <c r="BG215" s="4395">
        <f>IFERROR(IF((time+time_cap)&lt;BG$2, 0,IF(AND(time+1&gt;=BH$2, $E215&lt;BH$2), IF($I215= "I", $J215/($F215-$E215+1), $J215/(($F215*($F215+1)/2)-(($E215-1)*($E215-1+1)/2))*BG$2), 0)+IF(IF(time+1&gt;=BH$2, $K215/time_cap/(time+1)*BG$2, 0) = 0, $K215/(time_cap),0)),0)</f>
        <v/>
      </c>
      <c r="BH215" s="4395">
        <f>IFERROR(IF((time+time_cap)&lt;BH$2, 0,IF(AND(time+1&gt;=BI$2, $E215&lt;BI$2), IF($I215= "I", $J215/($F215-$E215+1), $J215/(($F215*($F215+1)/2)-(($E215-1)*($E215-1+1)/2))*BH$2), 0)+IF(IF(time+1&gt;=BI$2, $K215/time_cap/(time+1)*BH$2, 0) = 0, $K215/(time_cap),0)),0)</f>
        <v/>
      </c>
      <c r="BI215" s="4395">
        <f>IFERROR(IF((time+time_cap)&lt;BI$2, 0,IF(AND(time+1&gt;=BJ$2, $E215&lt;BJ$2), IF($I215= "I", $J215/($F215-$E215+1), $J215/(($F215*($F215+1)/2)-(($E215-1)*($E215-1+1)/2))*BI$2), 0)+IF(IF(time+1&gt;=BJ$2, $K215/time_cap/(time+1)*BI$2, 0) = 0, $K215/(time_cap),0)),0)</f>
        <v/>
      </c>
      <c r="BJ215" s="4395">
        <f>IFERROR(IF((time+time_cap)&lt;BJ$2, 0,IF(AND(time+1&gt;=BK$2, $E215&lt;BK$2), IF($I215= "I", $J215/($F215-$E215+1), $J215/(($F215*($F215+1)/2)-(($E215-1)*($E215-1+1)/2))*BJ$2), 0)+IF(IF(time+1&gt;=BK$2, $K215/time_cap/(time+1)*BJ$2, 0) = 0, $K215/(time_cap),0)),0)</f>
        <v/>
      </c>
      <c r="BK215" s="4395" t="n"/>
      <c r="BL215" s="4395" t="n"/>
      <c r="BM215" s="4395" t="n"/>
      <c r="BN215" s="4395" t="n"/>
      <c r="BO215" s="4395" t="n"/>
      <c r="BP215" s="4395" t="n"/>
      <c r="BQ215" s="4395" t="n"/>
      <c r="BR215" s="4395" t="n"/>
      <c r="BS215" s="4395" t="n"/>
      <c r="BT215" s="4395" t="n"/>
      <c r="BU215" s="4395" t="n"/>
      <c r="BV215" s="4395" t="n"/>
      <c r="BW215" s="4395" t="n"/>
      <c r="BX215" s="4395" t="n"/>
      <c r="BY215" s="4395" t="n"/>
      <c r="BZ215" s="4395" t="n"/>
      <c r="CA215" s="4395" t="n"/>
      <c r="CB215" s="4395" t="n"/>
      <c r="CC215" s="4395" t="n"/>
      <c r="CD215" s="4395" t="n"/>
      <c r="CE215" s="4395" t="n"/>
      <c r="CF215" s="4395" t="n"/>
      <c r="CG215" s="4395" t="n"/>
      <c r="CH215" s="4395" t="n"/>
      <c r="CI215" s="4395" t="n"/>
      <c r="CJ215" s="4395" t="n"/>
      <c r="CK215" s="4395" t="n"/>
      <c r="CL215" s="4395" t="n"/>
      <c r="CM215" s="4395" t="n"/>
      <c r="CN215" s="4395" t="n"/>
      <c r="CO215" s="4395" t="n"/>
      <c r="CP215" s="4395" t="n"/>
      <c r="CQ215" s="4395" t="n"/>
      <c r="CR215" s="4395" t="n"/>
      <c r="CS215" s="4395" t="n"/>
      <c r="CT215" s="4395" t="n"/>
      <c r="CU215" s="4395" t="n"/>
      <c r="CV215" s="4395" t="n"/>
      <c r="CW215" s="4395" t="n"/>
      <c r="CX215" s="4395" t="n"/>
      <c r="CY215" s="4395" t="n"/>
      <c r="CZ215" s="4395" t="n"/>
      <c r="DA215" s="4395" t="n"/>
      <c r="DB215" s="4395" t="n"/>
      <c r="DC215" s="4395" t="n"/>
      <c r="DD215" s="4395" t="n"/>
      <c r="DE215" s="4395" t="n"/>
      <c r="DF215" s="4395" t="n"/>
      <c r="DG215" s="4395" t="n"/>
      <c r="DH215" s="4395" t="n"/>
    </row>
    <row r="216" ht="16" customHeight="1">
      <c r="A216" t="inlineStr">
        <is>
          <t>Inputs</t>
        </is>
      </c>
      <c r="C216">
        <f>'9.Inputs'!C31</f>
        <v/>
      </c>
      <c r="D216">
        <f>'9.Inputs'!V31</f>
        <v/>
      </c>
      <c r="E216">
        <f>IF('9.Inputs'!BE31&lt;&gt;0,'9.Inputs'!BE31,'9.Inputs'!BD31)</f>
        <v/>
      </c>
      <c r="F216">
        <f>time</f>
        <v/>
      </c>
      <c r="G216" s="4395">
        <f>'9.Inputs'!F31</f>
        <v/>
      </c>
      <c r="H216" s="4395">
        <f>'9.Inputs'!H31</f>
        <v/>
      </c>
      <c r="I216" s="4395">
        <f>IF(OR(H216="I", G216="I"), "I", IF(OR(H216="E", G216="E"), "E", "D"))</f>
        <v/>
      </c>
      <c r="J216" s="4395">
        <f>((D216/(time_cap+((F216-E216+1)*VLOOKUP(I216,list!$I$48:$K$50,3, FALSE))))*(F216-E216+1)*VLOOKUP(I216,list!$I$48:$K$50,3, FALSE))</f>
        <v/>
      </c>
      <c r="K216" s="4395">
        <f>((D216/(time_cap+((F216-E216+1)*VLOOKUP(I216,list!$I$48:$K$50,3, FALSE))))*time_cap)</f>
        <v/>
      </c>
      <c r="M216" s="4395">
        <f>IFERROR(IF((time+time_cap)&lt;M$2, 0,IF(AND(time+1&gt;=N$2, $E216&lt;N$2), IF($I216= "I", $J216/($F216-$E216+1), $J216/(($F216*($F216+1)/2)-(($E216-1)*($E216-1+1)/2))*M$2), 0)+IF(IF(time+1&gt;=N$2, $K216/time_cap/(time+1)*M$2, 0) = 0, $K216/(time_cap),0)),0)</f>
        <v/>
      </c>
      <c r="N216" s="4395">
        <f>IFERROR(IF((time+time_cap)&lt;N$2, 0,IF(AND(time+1&gt;=O$2, $E216&lt;O$2), IF($I216= "I", $J216/($F216-$E216+1), $J216/(($F216*($F216+1)/2)-(($E216-1)*($E216-1+1)/2))*N$2), 0)+IF(IF(time+1&gt;=O$2, $K216/time_cap/(time+1)*N$2, 0) = 0, $K216/(time_cap),0)),0)</f>
        <v/>
      </c>
      <c r="O216" s="4395">
        <f>IFERROR(IF((time+time_cap)&lt;O$2, 0,IF(AND(time+1&gt;=P$2, $E216&lt;P$2), IF($I216= "I", $J216/($F216-$E216+1), $J216/(($F216*($F216+1)/2)-(($E216-1)*($E216-1+1)/2))*O$2), 0)+IF(IF(time+1&gt;=P$2, $K216/time_cap/(time+1)*O$2, 0) = 0, $K216/(time_cap),0)),0)</f>
        <v/>
      </c>
      <c r="P216" s="4395">
        <f>IFERROR(IF((time+time_cap)&lt;P$2, 0,IF(AND(time+1&gt;=Q$2, $E216&lt;Q$2), IF($I216= "I", $J216/($F216-$E216+1), $J216/(($F216*($F216+1)/2)-(($E216-1)*($E216-1+1)/2))*P$2), 0)+IF(IF(time+1&gt;=Q$2, $K216/time_cap/(time+1)*P$2, 0) = 0, $K216/(time_cap),0)),0)</f>
        <v/>
      </c>
      <c r="Q216" s="4395">
        <f>IFERROR(IF((time+time_cap)&lt;Q$2, 0,IF(AND(time+1&gt;=R$2, $E216&lt;R$2), IF($I216= "I", $J216/($F216-$E216+1), $J216/(($F216*($F216+1)/2)-(($E216-1)*($E216-1+1)/2))*Q$2), 0)+IF(IF(time+1&gt;=R$2, $K216/time_cap/(time+1)*Q$2, 0) = 0, $K216/(time_cap),0)),0)</f>
        <v/>
      </c>
      <c r="R216" s="4395">
        <f>IFERROR(IF((time+time_cap)&lt;R$2, 0,IF(AND(time+1&gt;=S$2, $E216&lt;S$2), IF($I216= "I", $J216/($F216-$E216+1), $J216/(($F216*($F216+1)/2)-(($E216-1)*($E216-1+1)/2))*R$2), 0)+IF(IF(time+1&gt;=S$2, $K216/time_cap/(time+1)*R$2, 0) = 0, $K216/(time_cap),0)),0)</f>
        <v/>
      </c>
      <c r="S216" s="4395">
        <f>IFERROR(IF((time+time_cap)&lt;S$2, 0,IF(AND(time+1&gt;=T$2, $E216&lt;T$2), IF($I216= "I", $J216/($F216-$E216+1), $J216/(($F216*($F216+1)/2)-(($E216-1)*($E216-1+1)/2))*S$2), 0)+IF(IF(time+1&gt;=T$2, $K216/time_cap/(time+1)*S$2, 0) = 0, $K216/(time_cap),0)),0)</f>
        <v/>
      </c>
      <c r="T216" s="4395">
        <f>IFERROR(IF((time+time_cap)&lt;T$2, 0,IF(AND(time+1&gt;=U$2, $E216&lt;U$2), IF($I216= "I", $J216/($F216-$E216+1), $J216/(($F216*($F216+1)/2)-(($E216-1)*($E216-1+1)/2))*T$2), 0)+IF(IF(time+1&gt;=U$2, $K216/time_cap/(time+1)*T$2, 0) = 0, $K216/(time_cap),0)),0)</f>
        <v/>
      </c>
      <c r="U216" s="4395">
        <f>IFERROR(IF((time+time_cap)&lt;U$2, 0,IF(AND(time+1&gt;=V$2, $E216&lt;V$2), IF($I216= "I", $J216/($F216-$E216+1), $J216/(($F216*($F216+1)/2)-(($E216-1)*($E216-1+1)/2))*U$2), 0)+IF(IF(time+1&gt;=V$2, $K216/time_cap/(time+1)*U$2, 0) = 0, $K216/(time_cap),0)),0)</f>
        <v/>
      </c>
      <c r="V216" s="4395">
        <f>IFERROR(IF((time+time_cap)&lt;V$2, 0,IF(AND(time+1&gt;=W$2, $E216&lt;W$2), IF($I216= "I", $J216/($F216-$E216+1), $J216/(($F216*($F216+1)/2)-(($E216-1)*($E216-1+1)/2))*V$2), 0)+IF(IF(time+1&gt;=W$2, $K216/time_cap/(time+1)*V$2, 0) = 0, $K216/(time_cap),0)),0)</f>
        <v/>
      </c>
      <c r="W216" s="4395">
        <f>IFERROR(IF((time+time_cap)&lt;W$2, 0,IF(AND(time+1&gt;=X$2, $E216&lt;X$2), IF($I216= "I", $J216/($F216-$E216+1), $J216/(($F216*($F216+1)/2)-(($E216-1)*($E216-1+1)/2))*W$2), 0)+IF(IF(time+1&gt;=X$2, $K216/time_cap/(time+1)*W$2, 0) = 0, $K216/(time_cap),0)),0)</f>
        <v/>
      </c>
      <c r="X216" s="4395">
        <f>IFERROR(IF((time+time_cap)&lt;X$2, 0,IF(AND(time+1&gt;=Y$2, $E216&lt;Y$2), IF($I216= "I", $J216/($F216-$E216+1), $J216/(($F216*($F216+1)/2)-(($E216-1)*($E216-1+1)/2))*X$2), 0)+IF(IF(time+1&gt;=Y$2, $K216/time_cap/(time+1)*X$2, 0) = 0, $K216/(time_cap),0)),0)</f>
        <v/>
      </c>
      <c r="Y216" s="4395">
        <f>IFERROR(IF((time+time_cap)&lt;Y$2, 0,IF(AND(time+1&gt;=Z$2, $E216&lt;Z$2), IF($I216= "I", $J216/($F216-$E216+1), $J216/(($F216*($F216+1)/2)-(($E216-1)*($E216-1+1)/2))*Y$2), 0)+IF(IF(time+1&gt;=Z$2, $K216/time_cap/(time+1)*Y$2, 0) = 0, $K216/(time_cap),0)),0)</f>
        <v/>
      </c>
      <c r="Z216" s="4395">
        <f>IFERROR(IF((time+time_cap)&lt;Z$2, 0,IF(AND(time+1&gt;=AA$2, $E216&lt;AA$2), IF($I216= "I", $J216/($F216-$E216+1), $J216/(($F216*($F216+1)/2)-(($E216-1)*($E216-1+1)/2))*Z$2), 0)+IF(IF(time+1&gt;=AA$2, $K216/time_cap/(time+1)*Z$2, 0) = 0, $K216/(time_cap),0)),0)</f>
        <v/>
      </c>
      <c r="AA216" s="4395">
        <f>IFERROR(IF((time+time_cap)&lt;AA$2, 0,IF(AND(time+1&gt;=AB$2, $E216&lt;AB$2), IF($I216= "I", $J216/($F216-$E216+1), $J216/(($F216*($F216+1)/2)-(($E216-1)*($E216-1+1)/2))*AA$2), 0)+IF(IF(time+1&gt;=AB$2, $K216/time_cap/(time+1)*AA$2, 0) = 0, $K216/(time_cap),0)),0)</f>
        <v/>
      </c>
      <c r="AB216" s="4395">
        <f>IFERROR(IF((time+time_cap)&lt;AB$2, 0,IF(AND(time+1&gt;=AC$2, $E216&lt;AC$2), IF($I216= "I", $J216/($F216-$E216+1), $J216/(($F216*($F216+1)/2)-(($E216-1)*($E216-1+1)/2))*AB$2), 0)+IF(IF(time+1&gt;=AC$2, $K216/time_cap/(time+1)*AB$2, 0) = 0, $K216/(time_cap),0)),0)</f>
        <v/>
      </c>
      <c r="AC216" s="4395">
        <f>IFERROR(IF((time+time_cap)&lt;AC$2, 0,IF(AND(time+1&gt;=AD$2, $E216&lt;AD$2), IF($I216= "I", $J216/($F216-$E216+1), $J216/(($F216*($F216+1)/2)-(($E216-1)*($E216-1+1)/2))*AC$2), 0)+IF(IF(time+1&gt;=AD$2, $K216/time_cap/(time+1)*AC$2, 0) = 0, $K216/(time_cap),0)),0)</f>
        <v/>
      </c>
      <c r="AD216" s="4395">
        <f>IFERROR(IF((time+time_cap)&lt;AD$2, 0,IF(AND(time+1&gt;=AE$2, $E216&lt;AE$2), IF($I216= "I", $J216/($F216-$E216+1), $J216/(($F216*($F216+1)/2)-(($E216-1)*($E216-1+1)/2))*AD$2), 0)+IF(IF(time+1&gt;=AE$2, $K216/time_cap/(time+1)*AD$2, 0) = 0, $K216/(time_cap),0)),0)</f>
        <v/>
      </c>
      <c r="AE216" s="4395">
        <f>IFERROR(IF((time+time_cap)&lt;AE$2, 0,IF(AND(time+1&gt;=AF$2, $E216&lt;AF$2), IF($I216= "I", $J216/($F216-$E216+1), $J216/(($F216*($F216+1)/2)-(($E216-1)*($E216-1+1)/2))*AE$2), 0)+IF(IF(time+1&gt;=AF$2, $K216/time_cap/(time+1)*AE$2, 0) = 0, $K216/(time_cap),0)),0)</f>
        <v/>
      </c>
      <c r="AF216" s="4395">
        <f>IFERROR(IF((time+time_cap)&lt;AF$2, 0,IF(AND(time+1&gt;=AG$2, $E216&lt;AG$2), IF($I216= "I", $J216/($F216-$E216+1), $J216/(($F216*($F216+1)/2)-(($E216-1)*($E216-1+1)/2))*AF$2), 0)+IF(IF(time+1&gt;=AG$2, $K216/time_cap/(time+1)*AF$2, 0) = 0, $K216/(time_cap),0)),0)</f>
        <v/>
      </c>
      <c r="AG216" s="4395">
        <f>IFERROR(IF((time+time_cap)&lt;AG$2, 0,IF(AND(time+1&gt;=AH$2, $E216&lt;AH$2), IF($I216= "I", $J216/($F216-$E216+1), $J216/(($F216*($F216+1)/2)-(($E216-1)*($E216-1+1)/2))*AG$2), 0)+IF(IF(time+1&gt;=AH$2, $K216/time_cap/(time+1)*AG$2, 0) = 0, $K216/(time_cap),0)),0)</f>
        <v/>
      </c>
      <c r="AH216" s="4395">
        <f>IFERROR(IF((time+time_cap)&lt;AH$2, 0,IF(AND(time+1&gt;=AI$2, $E216&lt;AI$2), IF($I216= "I", $J216/($F216-$E216+1), $J216/(($F216*($F216+1)/2)-(($E216-1)*($E216-1+1)/2))*AH$2), 0)+IF(IF(time+1&gt;=AI$2, $K216/time_cap/(time+1)*AH$2, 0) = 0, $K216/(time_cap),0)),0)</f>
        <v/>
      </c>
      <c r="AI216" s="4395">
        <f>IFERROR(IF((time+time_cap)&lt;AI$2, 0,IF(AND(time+1&gt;=AJ$2, $E216&lt;AJ$2), IF($I216= "I", $J216/($F216-$E216+1), $J216/(($F216*($F216+1)/2)-(($E216-1)*($E216-1+1)/2))*AI$2), 0)+IF(IF(time+1&gt;=AJ$2, $K216/time_cap/(time+1)*AI$2, 0) = 0, $K216/(time_cap),0)),0)</f>
        <v/>
      </c>
      <c r="AJ216" s="4395">
        <f>IFERROR(IF((time+time_cap)&lt;AJ$2, 0,IF(AND(time+1&gt;=AK$2, $E216&lt;AK$2), IF($I216= "I", $J216/($F216-$E216+1), $J216/(($F216*($F216+1)/2)-(($E216-1)*($E216-1+1)/2))*AJ$2), 0)+IF(IF(time+1&gt;=AK$2, $K216/time_cap/(time+1)*AJ$2, 0) = 0, $K216/(time_cap),0)),0)</f>
        <v/>
      </c>
      <c r="AK216" s="4395">
        <f>IFERROR(IF((time+time_cap)&lt;AK$2, 0,IF(AND(time+1&gt;=AL$2, $E216&lt;AL$2), IF($I216= "I", $J216/($F216-$E216+1), $J216/(($F216*($F216+1)/2)-(($E216-1)*($E216-1+1)/2))*AK$2), 0)+IF(IF(time+1&gt;=AL$2, $K216/time_cap/(time+1)*AK$2, 0) = 0, $K216/(time_cap),0)),0)</f>
        <v/>
      </c>
      <c r="AL216" s="4395">
        <f>IFERROR(IF((time+time_cap)&lt;AL$2, 0,IF(AND(time+1&gt;=AM$2, $E216&lt;AM$2), IF($I216= "I", $J216/($F216-$E216+1), $J216/(($F216*($F216+1)/2)-(($E216-1)*($E216-1+1)/2))*AL$2), 0)+IF(IF(time+1&gt;=AM$2, $K216/time_cap/(time+1)*AL$2, 0) = 0, $K216/(time_cap),0)),0)</f>
        <v/>
      </c>
      <c r="AM216" s="4395">
        <f>IFERROR(IF((time+time_cap)&lt;AM$2, 0,IF(AND(time+1&gt;=AN$2, $E216&lt;AN$2), IF($I216= "I", $J216/($F216-$E216+1), $J216/(($F216*($F216+1)/2)-(($E216-1)*($E216-1+1)/2))*AM$2), 0)+IF(IF(time+1&gt;=AN$2, $K216/time_cap/(time+1)*AM$2, 0) = 0, $K216/(time_cap),0)),0)</f>
        <v/>
      </c>
      <c r="AN216" s="4395">
        <f>IFERROR(IF((time+time_cap)&lt;AN$2, 0,IF(AND(time+1&gt;=AO$2, $E216&lt;AO$2), IF($I216= "I", $J216/($F216-$E216+1), $J216/(($F216*($F216+1)/2)-(($E216-1)*($E216-1+1)/2))*AN$2), 0)+IF(IF(time+1&gt;=AO$2, $K216/time_cap/(time+1)*AN$2, 0) = 0, $K216/(time_cap),0)),0)</f>
        <v/>
      </c>
      <c r="AO216" s="4395">
        <f>IFERROR(IF((time+time_cap)&lt;AO$2, 0,IF(AND(time+1&gt;=AP$2, $E216&lt;AP$2), IF($I216= "I", $J216/($F216-$E216+1), $J216/(($F216*($F216+1)/2)-(($E216-1)*($E216-1+1)/2))*AO$2), 0)+IF(IF(time+1&gt;=AP$2, $K216/time_cap/(time+1)*AO$2, 0) = 0, $K216/(time_cap),0)),0)</f>
        <v/>
      </c>
      <c r="AP216" s="4395">
        <f>IFERROR(IF((time+time_cap)&lt;AP$2, 0,IF(AND(time+1&gt;=AQ$2, $E216&lt;AQ$2), IF($I216= "I", $J216/($F216-$E216+1), $J216/(($F216*($F216+1)/2)-(($E216-1)*($E216-1+1)/2))*AP$2), 0)+IF(IF(time+1&gt;=AQ$2, $K216/time_cap/(time+1)*AP$2, 0) = 0, $K216/(time_cap),0)),0)</f>
        <v/>
      </c>
      <c r="AQ216" s="4395">
        <f>IFERROR(IF((time+time_cap)&lt;AQ$2, 0,IF(AND(time+1&gt;=AR$2, $E216&lt;AR$2), IF($I216= "I", $J216/($F216-$E216+1), $J216/(($F216*($F216+1)/2)-(($E216-1)*($E216-1+1)/2))*AQ$2), 0)+IF(IF(time+1&gt;=AR$2, $K216/time_cap/(time+1)*AQ$2, 0) = 0, $K216/(time_cap),0)),0)</f>
        <v/>
      </c>
      <c r="AR216" s="4395">
        <f>IFERROR(IF((time+time_cap)&lt;AR$2, 0,IF(AND(time+1&gt;=AS$2, $E216&lt;AS$2), IF($I216= "I", $J216/($F216-$E216+1), $J216/(($F216*($F216+1)/2)-(($E216-1)*($E216-1+1)/2))*AR$2), 0)+IF(IF(time+1&gt;=AS$2, $K216/time_cap/(time+1)*AR$2, 0) = 0, $K216/(time_cap),0)),0)</f>
        <v/>
      </c>
      <c r="AS216" s="4395">
        <f>IFERROR(IF((time+time_cap)&lt;AS$2, 0,IF(AND(time+1&gt;=AT$2, $E216&lt;AT$2), IF($I216= "I", $J216/($F216-$E216+1), $J216/(($F216*($F216+1)/2)-(($E216-1)*($E216-1+1)/2))*AS$2), 0)+IF(IF(time+1&gt;=AT$2, $K216/time_cap/(time+1)*AS$2, 0) = 0, $K216/(time_cap),0)),0)</f>
        <v/>
      </c>
      <c r="AT216" s="4395">
        <f>IFERROR(IF((time+time_cap)&lt;AT$2, 0,IF(AND(time+1&gt;=AU$2, $E216&lt;AU$2), IF($I216= "I", $J216/($F216-$E216+1), $J216/(($F216*($F216+1)/2)-(($E216-1)*($E216-1+1)/2))*AT$2), 0)+IF(IF(time+1&gt;=AU$2, $K216/time_cap/(time+1)*AT$2, 0) = 0, $K216/(time_cap),0)),0)</f>
        <v/>
      </c>
      <c r="AU216" s="4395">
        <f>IFERROR(IF((time+time_cap)&lt;AU$2, 0,IF(AND(time+1&gt;=AV$2, $E216&lt;AV$2), IF($I216= "I", $J216/($F216-$E216+1), $J216/(($F216*($F216+1)/2)-(($E216-1)*($E216-1+1)/2))*AU$2), 0)+IF(IF(time+1&gt;=AV$2, $K216/time_cap/(time+1)*AU$2, 0) = 0, $K216/(time_cap),0)),0)</f>
        <v/>
      </c>
      <c r="AV216" s="4395">
        <f>IFERROR(IF((time+time_cap)&lt;AV$2, 0,IF(AND(time+1&gt;=AW$2, $E216&lt;AW$2), IF($I216= "I", $J216/($F216-$E216+1), $J216/(($F216*($F216+1)/2)-(($E216-1)*($E216-1+1)/2))*AV$2), 0)+IF(IF(time+1&gt;=AW$2, $K216/time_cap/(time+1)*AV$2, 0) = 0, $K216/(time_cap),0)),0)</f>
        <v/>
      </c>
      <c r="AW216" s="4395">
        <f>IFERROR(IF((time+time_cap)&lt;AW$2, 0,IF(AND(time+1&gt;=AX$2, $E216&lt;AX$2), IF($I216= "I", $J216/($F216-$E216+1), $J216/(($F216*($F216+1)/2)-(($E216-1)*($E216-1+1)/2))*AW$2), 0)+IF(IF(time+1&gt;=AX$2, $K216/time_cap/(time+1)*AW$2, 0) = 0, $K216/(time_cap),0)),0)</f>
        <v/>
      </c>
      <c r="AX216" s="4395">
        <f>IFERROR(IF((time+time_cap)&lt;AX$2, 0,IF(AND(time+1&gt;=AY$2, $E216&lt;AY$2), IF($I216= "I", $J216/($F216-$E216+1), $J216/(($F216*($F216+1)/2)-(($E216-1)*($E216-1+1)/2))*AX$2), 0)+IF(IF(time+1&gt;=AY$2, $K216/time_cap/(time+1)*AX$2, 0) = 0, $K216/(time_cap),0)),0)</f>
        <v/>
      </c>
      <c r="AY216" s="4395">
        <f>IFERROR(IF((time+time_cap)&lt;AY$2, 0,IF(AND(time+1&gt;=AZ$2, $E216&lt;AZ$2), IF($I216= "I", $J216/($F216-$E216+1), $J216/(($F216*($F216+1)/2)-(($E216-1)*($E216-1+1)/2))*AY$2), 0)+IF(IF(time+1&gt;=AZ$2, $K216/time_cap/(time+1)*AY$2, 0) = 0, $K216/(time_cap),0)),0)</f>
        <v/>
      </c>
      <c r="AZ216" s="4395">
        <f>IFERROR(IF((time+time_cap)&lt;AZ$2, 0,IF(AND(time+1&gt;=BA$2, $E216&lt;BA$2), IF($I216= "I", $J216/($F216-$E216+1), $J216/(($F216*($F216+1)/2)-(($E216-1)*($E216-1+1)/2))*AZ$2), 0)+IF(IF(time+1&gt;=BA$2, $K216/time_cap/(time+1)*AZ$2, 0) = 0, $K216/(time_cap),0)),0)</f>
        <v/>
      </c>
      <c r="BA216" s="4395">
        <f>IFERROR(IF((time+time_cap)&lt;BA$2, 0,IF(AND(time+1&gt;=BB$2, $E216&lt;BB$2), IF($I216= "I", $J216/($F216-$E216+1), $J216/(($F216*($F216+1)/2)-(($E216-1)*($E216-1+1)/2))*BA$2), 0)+IF(IF(time+1&gt;=BB$2, $K216/time_cap/(time+1)*BA$2, 0) = 0, $K216/(time_cap),0)),0)</f>
        <v/>
      </c>
      <c r="BB216" s="4395">
        <f>IFERROR(IF((time+time_cap)&lt;BB$2, 0,IF(AND(time+1&gt;=BC$2, $E216&lt;BC$2), IF($I216= "I", $J216/($F216-$E216+1), $J216/(($F216*($F216+1)/2)-(($E216-1)*($E216-1+1)/2))*BB$2), 0)+IF(IF(time+1&gt;=BC$2, $K216/time_cap/(time+1)*BB$2, 0) = 0, $K216/(time_cap),0)),0)</f>
        <v/>
      </c>
      <c r="BC216" s="4395">
        <f>IFERROR(IF((time+time_cap)&lt;BC$2, 0,IF(AND(time+1&gt;=BD$2, $E216&lt;BD$2), IF($I216= "I", $J216/($F216-$E216+1), $J216/(($F216*($F216+1)/2)-(($E216-1)*($E216-1+1)/2))*BC$2), 0)+IF(IF(time+1&gt;=BD$2, $K216/time_cap/(time+1)*BC$2, 0) = 0, $K216/(time_cap),0)),0)</f>
        <v/>
      </c>
      <c r="BD216" s="4395">
        <f>IFERROR(IF((time+time_cap)&lt;BD$2, 0,IF(AND(time+1&gt;=BE$2, $E216&lt;BE$2), IF($I216= "I", $J216/($F216-$E216+1), $J216/(($F216*($F216+1)/2)-(($E216-1)*($E216-1+1)/2))*BD$2), 0)+IF(IF(time+1&gt;=BE$2, $K216/time_cap/(time+1)*BD$2, 0) = 0, $K216/(time_cap),0)),0)</f>
        <v/>
      </c>
      <c r="BE216" s="4395">
        <f>IFERROR(IF((time+time_cap)&lt;BE$2, 0,IF(AND(time+1&gt;=BF$2, $E216&lt;BF$2), IF($I216= "I", $J216/($F216-$E216+1), $J216/(($F216*($F216+1)/2)-(($E216-1)*($E216-1+1)/2))*BE$2), 0)+IF(IF(time+1&gt;=BF$2, $K216/time_cap/(time+1)*BE$2, 0) = 0, $K216/(time_cap),0)),0)</f>
        <v/>
      </c>
      <c r="BF216" s="4395">
        <f>IFERROR(IF((time+time_cap)&lt;BF$2, 0,IF(AND(time+1&gt;=BG$2, $E216&lt;BG$2), IF($I216= "I", $J216/($F216-$E216+1), $J216/(($F216*($F216+1)/2)-(($E216-1)*($E216-1+1)/2))*BF$2), 0)+IF(IF(time+1&gt;=BG$2, $K216/time_cap/(time+1)*BF$2, 0) = 0, $K216/(time_cap),0)),0)</f>
        <v/>
      </c>
      <c r="BG216" s="4395">
        <f>IFERROR(IF((time+time_cap)&lt;BG$2, 0,IF(AND(time+1&gt;=BH$2, $E216&lt;BH$2), IF($I216= "I", $J216/($F216-$E216+1), $J216/(($F216*($F216+1)/2)-(($E216-1)*($E216-1+1)/2))*BG$2), 0)+IF(IF(time+1&gt;=BH$2, $K216/time_cap/(time+1)*BG$2, 0) = 0, $K216/(time_cap),0)),0)</f>
        <v/>
      </c>
      <c r="BH216" s="4395">
        <f>IFERROR(IF((time+time_cap)&lt;BH$2, 0,IF(AND(time+1&gt;=BI$2, $E216&lt;BI$2), IF($I216= "I", $J216/($F216-$E216+1), $J216/(($F216*($F216+1)/2)-(($E216-1)*($E216-1+1)/2))*BH$2), 0)+IF(IF(time+1&gt;=BI$2, $K216/time_cap/(time+1)*BH$2, 0) = 0, $K216/(time_cap),0)),0)</f>
        <v/>
      </c>
      <c r="BI216" s="4395">
        <f>IFERROR(IF((time+time_cap)&lt;BI$2, 0,IF(AND(time+1&gt;=BJ$2, $E216&lt;BJ$2), IF($I216= "I", $J216/($F216-$E216+1), $J216/(($F216*($F216+1)/2)-(($E216-1)*($E216-1+1)/2))*BI$2), 0)+IF(IF(time+1&gt;=BJ$2, $K216/time_cap/(time+1)*BI$2, 0) = 0, $K216/(time_cap),0)),0)</f>
        <v/>
      </c>
      <c r="BJ216" s="4395">
        <f>IFERROR(IF((time+time_cap)&lt;BJ$2, 0,IF(AND(time+1&gt;=BK$2, $E216&lt;BK$2), IF($I216= "I", $J216/($F216-$E216+1), $J216/(($F216*($F216+1)/2)-(($E216-1)*($E216-1+1)/2))*BJ$2), 0)+IF(IF(time+1&gt;=BK$2, $K216/time_cap/(time+1)*BJ$2, 0) = 0, $K216/(time_cap),0)),0)</f>
        <v/>
      </c>
      <c r="BK216" s="4395" t="n"/>
      <c r="BL216" s="4395" t="n"/>
      <c r="BM216" s="4395" t="n"/>
      <c r="BN216" s="4395" t="n"/>
      <c r="BO216" s="4395" t="n"/>
      <c r="BP216" s="4395" t="n"/>
      <c r="BQ216" s="4395" t="n"/>
      <c r="BR216" s="4395" t="n"/>
      <c r="BS216" s="4395" t="n"/>
      <c r="BT216" s="4395" t="n"/>
      <c r="BU216" s="4395" t="n"/>
      <c r="BV216" s="4395" t="n"/>
      <c r="BW216" s="4395" t="n"/>
      <c r="BX216" s="4395" t="n"/>
      <c r="BY216" s="4395" t="n"/>
      <c r="BZ216" s="4395" t="n"/>
      <c r="CA216" s="4395" t="n"/>
      <c r="CB216" s="4395" t="n"/>
      <c r="CC216" s="4395" t="n"/>
      <c r="CD216" s="4395" t="n"/>
      <c r="CE216" s="4395" t="n"/>
      <c r="CF216" s="4395" t="n"/>
      <c r="CG216" s="4395" t="n"/>
      <c r="CH216" s="4395" t="n"/>
      <c r="CI216" s="4395" t="n"/>
      <c r="CJ216" s="4395" t="n"/>
      <c r="CK216" s="4395" t="n"/>
      <c r="CL216" s="4395" t="n"/>
      <c r="CM216" s="4395" t="n"/>
      <c r="CN216" s="4395" t="n"/>
      <c r="CO216" s="4395" t="n"/>
      <c r="CP216" s="4395" t="n"/>
      <c r="CQ216" s="4395" t="n"/>
      <c r="CR216" s="4395" t="n"/>
      <c r="CS216" s="4395" t="n"/>
      <c r="CT216" s="4395" t="n"/>
      <c r="CU216" s="4395" t="n"/>
      <c r="CV216" s="4395" t="n"/>
      <c r="CW216" s="4395" t="n"/>
      <c r="CX216" s="4395" t="n"/>
      <c r="CY216" s="4395" t="n"/>
      <c r="CZ216" s="4395" t="n"/>
      <c r="DA216" s="4395" t="n"/>
      <c r="DB216" s="4395" t="n"/>
      <c r="DC216" s="4395" t="n"/>
      <c r="DD216" s="4395" t="n"/>
      <c r="DE216" s="4395" t="n"/>
      <c r="DF216" s="4395" t="n"/>
      <c r="DG216" s="4395" t="n"/>
      <c r="DH216" s="4395" t="n"/>
    </row>
    <row r="217" ht="16" customHeight="1">
      <c r="A217" t="inlineStr">
        <is>
          <t>Inputs</t>
        </is>
      </c>
      <c r="C217">
        <f>'9.Inputs'!C33</f>
        <v/>
      </c>
      <c r="D217">
        <f>'9.Inputs'!V34</f>
        <v/>
      </c>
      <c r="E217">
        <f>IF('9.Inputs'!BE34&lt;&gt;0,'9.Inputs'!BE34,'9.Inputs'!BD34)</f>
        <v/>
      </c>
      <c r="F217">
        <f>time</f>
        <v/>
      </c>
      <c r="G217" s="4395">
        <f>'9.Inputs'!F34</f>
        <v/>
      </c>
      <c r="H217" s="4395">
        <f>'9.Inputs'!H34</f>
        <v/>
      </c>
      <c r="I217" s="4395">
        <f>IF(OR(H217="I", G217="I"), "I", IF(OR(H217="E", G217="E"), "E", "D"))</f>
        <v/>
      </c>
      <c r="J217" s="4395">
        <f>((D217/(time_cap+((F217-E217+1)*VLOOKUP(I217,list!$I$48:$K$50,3, FALSE))))*(F217-E217+1)*VLOOKUP(I217,list!$I$48:$K$50,3, FALSE))</f>
        <v/>
      </c>
      <c r="K217" s="4395">
        <f>((D217/(time_cap+((F217-E217+1)*VLOOKUP(I217,list!$I$48:$K$50,3, FALSE))))*time_cap)</f>
        <v/>
      </c>
      <c r="M217" s="4395">
        <f>IFERROR(IF((time+time_cap)&lt;M$2, 0,IF(AND(time+1&gt;=N$2, $E217&lt;N$2), IF($I217= "I", $J217/($F217-$E217+1), $J217/(($F217*($F217+1)/2)-(($E217-1)*($E217-1+1)/2))*M$2), 0)+IF(IF(time+1&gt;=N$2, $K217/time_cap/(time+1)*M$2, 0) = 0, $K217/(time_cap),0)),0)</f>
        <v/>
      </c>
      <c r="N217" s="4395">
        <f>IFERROR(IF((time+time_cap)&lt;N$2, 0,IF(AND(time+1&gt;=O$2, $E217&lt;O$2), IF($I217= "I", $J217/($F217-$E217+1), $J217/(($F217*($F217+1)/2)-(($E217-1)*($E217-1+1)/2))*N$2), 0)+IF(IF(time+1&gt;=O$2, $K217/time_cap/(time+1)*N$2, 0) = 0, $K217/(time_cap),0)),0)</f>
        <v/>
      </c>
      <c r="O217" s="4395">
        <f>IFERROR(IF((time+time_cap)&lt;O$2, 0,IF(AND(time+1&gt;=P$2, $E217&lt;P$2), IF($I217= "I", $J217/($F217-$E217+1), $J217/(($F217*($F217+1)/2)-(($E217-1)*($E217-1+1)/2))*O$2), 0)+IF(IF(time+1&gt;=P$2, $K217/time_cap/(time+1)*O$2, 0) = 0, $K217/(time_cap),0)),0)</f>
        <v/>
      </c>
      <c r="P217" s="4395">
        <f>IFERROR(IF((time+time_cap)&lt;P$2, 0,IF(AND(time+1&gt;=Q$2, $E217&lt;Q$2), IF($I217= "I", $J217/($F217-$E217+1), $J217/(($F217*($F217+1)/2)-(($E217-1)*($E217-1+1)/2))*P$2), 0)+IF(IF(time+1&gt;=Q$2, $K217/time_cap/(time+1)*P$2, 0) = 0, $K217/(time_cap),0)),0)</f>
        <v/>
      </c>
      <c r="Q217" s="4395">
        <f>IFERROR(IF((time+time_cap)&lt;Q$2, 0,IF(AND(time+1&gt;=R$2, $E217&lt;R$2), IF($I217= "I", $J217/($F217-$E217+1), $J217/(($F217*($F217+1)/2)-(($E217-1)*($E217-1+1)/2))*Q$2), 0)+IF(IF(time+1&gt;=R$2, $K217/time_cap/(time+1)*Q$2, 0) = 0, $K217/(time_cap),0)),0)</f>
        <v/>
      </c>
      <c r="R217" s="4395">
        <f>IFERROR(IF((time+time_cap)&lt;R$2, 0,IF(AND(time+1&gt;=S$2, $E217&lt;S$2), IF($I217= "I", $J217/($F217-$E217+1), $J217/(($F217*($F217+1)/2)-(($E217-1)*($E217-1+1)/2))*R$2), 0)+IF(IF(time+1&gt;=S$2, $K217/time_cap/(time+1)*R$2, 0) = 0, $K217/(time_cap),0)),0)</f>
        <v/>
      </c>
      <c r="S217" s="4395">
        <f>IFERROR(IF((time+time_cap)&lt;S$2, 0,IF(AND(time+1&gt;=T$2, $E217&lt;T$2), IF($I217= "I", $J217/($F217-$E217+1), $J217/(($F217*($F217+1)/2)-(($E217-1)*($E217-1+1)/2))*S$2), 0)+IF(IF(time+1&gt;=T$2, $K217/time_cap/(time+1)*S$2, 0) = 0, $K217/(time_cap),0)),0)</f>
        <v/>
      </c>
      <c r="T217" s="4395">
        <f>IFERROR(IF((time+time_cap)&lt;T$2, 0,IF(AND(time+1&gt;=U$2, $E217&lt;U$2), IF($I217= "I", $J217/($F217-$E217+1), $J217/(($F217*($F217+1)/2)-(($E217-1)*($E217-1+1)/2))*T$2), 0)+IF(IF(time+1&gt;=U$2, $K217/time_cap/(time+1)*T$2, 0) = 0, $K217/(time_cap),0)),0)</f>
        <v/>
      </c>
      <c r="U217" s="4395">
        <f>IFERROR(IF((time+time_cap)&lt;U$2, 0,IF(AND(time+1&gt;=V$2, $E217&lt;V$2), IF($I217= "I", $J217/($F217-$E217+1), $J217/(($F217*($F217+1)/2)-(($E217-1)*($E217-1+1)/2))*U$2), 0)+IF(IF(time+1&gt;=V$2, $K217/time_cap/(time+1)*U$2, 0) = 0, $K217/(time_cap),0)),0)</f>
        <v/>
      </c>
      <c r="V217" s="4395">
        <f>IFERROR(IF((time+time_cap)&lt;V$2, 0,IF(AND(time+1&gt;=W$2, $E217&lt;W$2), IF($I217= "I", $J217/($F217-$E217+1), $J217/(($F217*($F217+1)/2)-(($E217-1)*($E217-1+1)/2))*V$2), 0)+IF(IF(time+1&gt;=W$2, $K217/time_cap/(time+1)*V$2, 0) = 0, $K217/(time_cap),0)),0)</f>
        <v/>
      </c>
      <c r="W217" s="4395">
        <f>IFERROR(IF((time+time_cap)&lt;W$2, 0,IF(AND(time+1&gt;=X$2, $E217&lt;X$2), IF($I217= "I", $J217/($F217-$E217+1), $J217/(($F217*($F217+1)/2)-(($E217-1)*($E217-1+1)/2))*W$2), 0)+IF(IF(time+1&gt;=X$2, $K217/time_cap/(time+1)*W$2, 0) = 0, $K217/(time_cap),0)),0)</f>
        <v/>
      </c>
      <c r="X217" s="4395">
        <f>IFERROR(IF((time+time_cap)&lt;X$2, 0,IF(AND(time+1&gt;=Y$2, $E217&lt;Y$2), IF($I217= "I", $J217/($F217-$E217+1), $J217/(($F217*($F217+1)/2)-(($E217-1)*($E217-1+1)/2))*X$2), 0)+IF(IF(time+1&gt;=Y$2, $K217/time_cap/(time+1)*X$2, 0) = 0, $K217/(time_cap),0)),0)</f>
        <v/>
      </c>
      <c r="Y217" s="4395">
        <f>IFERROR(IF((time+time_cap)&lt;Y$2, 0,IF(AND(time+1&gt;=Z$2, $E217&lt;Z$2), IF($I217= "I", $J217/($F217-$E217+1), $J217/(($F217*($F217+1)/2)-(($E217-1)*($E217-1+1)/2))*Y$2), 0)+IF(IF(time+1&gt;=Z$2, $K217/time_cap/(time+1)*Y$2, 0) = 0, $K217/(time_cap),0)),0)</f>
        <v/>
      </c>
      <c r="Z217" s="4395">
        <f>IFERROR(IF((time+time_cap)&lt;Z$2, 0,IF(AND(time+1&gt;=AA$2, $E217&lt;AA$2), IF($I217= "I", $J217/($F217-$E217+1), $J217/(($F217*($F217+1)/2)-(($E217-1)*($E217-1+1)/2))*Z$2), 0)+IF(IF(time+1&gt;=AA$2, $K217/time_cap/(time+1)*Z$2, 0) = 0, $K217/(time_cap),0)),0)</f>
        <v/>
      </c>
      <c r="AA217" s="4395">
        <f>IFERROR(IF((time+time_cap)&lt;AA$2, 0,IF(AND(time+1&gt;=AB$2, $E217&lt;AB$2), IF($I217= "I", $J217/($F217-$E217+1), $J217/(($F217*($F217+1)/2)-(($E217-1)*($E217-1+1)/2))*AA$2), 0)+IF(IF(time+1&gt;=AB$2, $K217/time_cap/(time+1)*AA$2, 0) = 0, $K217/(time_cap),0)),0)</f>
        <v/>
      </c>
      <c r="AB217" s="4395">
        <f>IFERROR(IF((time+time_cap)&lt;AB$2, 0,IF(AND(time+1&gt;=AC$2, $E217&lt;AC$2), IF($I217= "I", $J217/($F217-$E217+1), $J217/(($F217*($F217+1)/2)-(($E217-1)*($E217-1+1)/2))*AB$2), 0)+IF(IF(time+1&gt;=AC$2, $K217/time_cap/(time+1)*AB$2, 0) = 0, $K217/(time_cap),0)),0)</f>
        <v/>
      </c>
      <c r="AC217" s="4395">
        <f>IFERROR(IF((time+time_cap)&lt;AC$2, 0,IF(AND(time+1&gt;=AD$2, $E217&lt;AD$2), IF($I217= "I", $J217/($F217-$E217+1), $J217/(($F217*($F217+1)/2)-(($E217-1)*($E217-1+1)/2))*AC$2), 0)+IF(IF(time+1&gt;=AD$2, $K217/time_cap/(time+1)*AC$2, 0) = 0, $K217/(time_cap),0)),0)</f>
        <v/>
      </c>
      <c r="AD217" s="4395">
        <f>IFERROR(IF((time+time_cap)&lt;AD$2, 0,IF(AND(time+1&gt;=AE$2, $E217&lt;AE$2), IF($I217= "I", $J217/($F217-$E217+1), $J217/(($F217*($F217+1)/2)-(($E217-1)*($E217-1+1)/2))*AD$2), 0)+IF(IF(time+1&gt;=AE$2, $K217/time_cap/(time+1)*AD$2, 0) = 0, $K217/(time_cap),0)),0)</f>
        <v/>
      </c>
      <c r="AE217" s="4395">
        <f>IFERROR(IF((time+time_cap)&lt;AE$2, 0,IF(AND(time+1&gt;=AF$2, $E217&lt;AF$2), IF($I217= "I", $J217/($F217-$E217+1), $J217/(($F217*($F217+1)/2)-(($E217-1)*($E217-1+1)/2))*AE$2), 0)+IF(IF(time+1&gt;=AF$2, $K217/time_cap/(time+1)*AE$2, 0) = 0, $K217/(time_cap),0)),0)</f>
        <v/>
      </c>
      <c r="AF217" s="4395">
        <f>IFERROR(IF((time+time_cap)&lt;AF$2, 0,IF(AND(time+1&gt;=AG$2, $E217&lt;AG$2), IF($I217= "I", $J217/($F217-$E217+1), $J217/(($F217*($F217+1)/2)-(($E217-1)*($E217-1+1)/2))*AF$2), 0)+IF(IF(time+1&gt;=AG$2, $K217/time_cap/(time+1)*AF$2, 0) = 0, $K217/(time_cap),0)),0)</f>
        <v/>
      </c>
      <c r="AG217" s="4395">
        <f>IFERROR(IF((time+time_cap)&lt;AG$2, 0,IF(AND(time+1&gt;=AH$2, $E217&lt;AH$2), IF($I217= "I", $J217/($F217-$E217+1), $J217/(($F217*($F217+1)/2)-(($E217-1)*($E217-1+1)/2))*AG$2), 0)+IF(IF(time+1&gt;=AH$2, $K217/time_cap/(time+1)*AG$2, 0) = 0, $K217/(time_cap),0)),0)</f>
        <v/>
      </c>
      <c r="AH217" s="4395">
        <f>IFERROR(IF((time+time_cap)&lt;AH$2, 0,IF(AND(time+1&gt;=AI$2, $E217&lt;AI$2), IF($I217= "I", $J217/($F217-$E217+1), $J217/(($F217*($F217+1)/2)-(($E217-1)*($E217-1+1)/2))*AH$2), 0)+IF(IF(time+1&gt;=AI$2, $K217/time_cap/(time+1)*AH$2, 0) = 0, $K217/(time_cap),0)),0)</f>
        <v/>
      </c>
      <c r="AI217" s="4395">
        <f>IFERROR(IF((time+time_cap)&lt;AI$2, 0,IF(AND(time+1&gt;=AJ$2, $E217&lt;AJ$2), IF($I217= "I", $J217/($F217-$E217+1), $J217/(($F217*($F217+1)/2)-(($E217-1)*($E217-1+1)/2))*AI$2), 0)+IF(IF(time+1&gt;=AJ$2, $K217/time_cap/(time+1)*AI$2, 0) = 0, $K217/(time_cap),0)),0)</f>
        <v/>
      </c>
      <c r="AJ217" s="4395">
        <f>IFERROR(IF((time+time_cap)&lt;AJ$2, 0,IF(AND(time+1&gt;=AK$2, $E217&lt;AK$2), IF($I217= "I", $J217/($F217-$E217+1), $J217/(($F217*($F217+1)/2)-(($E217-1)*($E217-1+1)/2))*AJ$2), 0)+IF(IF(time+1&gt;=AK$2, $K217/time_cap/(time+1)*AJ$2, 0) = 0, $K217/(time_cap),0)),0)</f>
        <v/>
      </c>
      <c r="AK217" s="4395">
        <f>IFERROR(IF((time+time_cap)&lt;AK$2, 0,IF(AND(time+1&gt;=AL$2, $E217&lt;AL$2), IF($I217= "I", $J217/($F217-$E217+1), $J217/(($F217*($F217+1)/2)-(($E217-1)*($E217-1+1)/2))*AK$2), 0)+IF(IF(time+1&gt;=AL$2, $K217/time_cap/(time+1)*AK$2, 0) = 0, $K217/(time_cap),0)),0)</f>
        <v/>
      </c>
      <c r="AL217" s="4395">
        <f>IFERROR(IF((time+time_cap)&lt;AL$2, 0,IF(AND(time+1&gt;=AM$2, $E217&lt;AM$2), IF($I217= "I", $J217/($F217-$E217+1), $J217/(($F217*($F217+1)/2)-(($E217-1)*($E217-1+1)/2))*AL$2), 0)+IF(IF(time+1&gt;=AM$2, $K217/time_cap/(time+1)*AL$2, 0) = 0, $K217/(time_cap),0)),0)</f>
        <v/>
      </c>
      <c r="AM217" s="4395">
        <f>IFERROR(IF((time+time_cap)&lt;AM$2, 0,IF(AND(time+1&gt;=AN$2, $E217&lt;AN$2), IF($I217= "I", $J217/($F217-$E217+1), $J217/(($F217*($F217+1)/2)-(($E217-1)*($E217-1+1)/2))*AM$2), 0)+IF(IF(time+1&gt;=AN$2, $K217/time_cap/(time+1)*AM$2, 0) = 0, $K217/(time_cap),0)),0)</f>
        <v/>
      </c>
      <c r="AN217" s="4395">
        <f>IFERROR(IF((time+time_cap)&lt;AN$2, 0,IF(AND(time+1&gt;=AO$2, $E217&lt;AO$2), IF($I217= "I", $J217/($F217-$E217+1), $J217/(($F217*($F217+1)/2)-(($E217-1)*($E217-1+1)/2))*AN$2), 0)+IF(IF(time+1&gt;=AO$2, $K217/time_cap/(time+1)*AN$2, 0) = 0, $K217/(time_cap),0)),0)</f>
        <v/>
      </c>
      <c r="AO217" s="4395">
        <f>IFERROR(IF((time+time_cap)&lt;AO$2, 0,IF(AND(time+1&gt;=AP$2, $E217&lt;AP$2), IF($I217= "I", $J217/($F217-$E217+1), $J217/(($F217*($F217+1)/2)-(($E217-1)*($E217-1+1)/2))*AO$2), 0)+IF(IF(time+1&gt;=AP$2, $K217/time_cap/(time+1)*AO$2, 0) = 0, $K217/(time_cap),0)),0)</f>
        <v/>
      </c>
      <c r="AP217" s="4395">
        <f>IFERROR(IF((time+time_cap)&lt;AP$2, 0,IF(AND(time+1&gt;=AQ$2, $E217&lt;AQ$2), IF($I217= "I", $J217/($F217-$E217+1), $J217/(($F217*($F217+1)/2)-(($E217-1)*($E217-1+1)/2))*AP$2), 0)+IF(IF(time+1&gt;=AQ$2, $K217/time_cap/(time+1)*AP$2, 0) = 0, $K217/(time_cap),0)),0)</f>
        <v/>
      </c>
      <c r="AQ217" s="4395">
        <f>IFERROR(IF((time+time_cap)&lt;AQ$2, 0,IF(AND(time+1&gt;=AR$2, $E217&lt;AR$2), IF($I217= "I", $J217/($F217-$E217+1), $J217/(($F217*($F217+1)/2)-(($E217-1)*($E217-1+1)/2))*AQ$2), 0)+IF(IF(time+1&gt;=AR$2, $K217/time_cap/(time+1)*AQ$2, 0) = 0, $K217/(time_cap),0)),0)</f>
        <v/>
      </c>
      <c r="AR217" s="4395">
        <f>IFERROR(IF((time+time_cap)&lt;AR$2, 0,IF(AND(time+1&gt;=AS$2, $E217&lt;AS$2), IF($I217= "I", $J217/($F217-$E217+1), $J217/(($F217*($F217+1)/2)-(($E217-1)*($E217-1+1)/2))*AR$2), 0)+IF(IF(time+1&gt;=AS$2, $K217/time_cap/(time+1)*AR$2, 0) = 0, $K217/(time_cap),0)),0)</f>
        <v/>
      </c>
      <c r="AS217" s="4395">
        <f>IFERROR(IF((time+time_cap)&lt;AS$2, 0,IF(AND(time+1&gt;=AT$2, $E217&lt;AT$2), IF($I217= "I", $J217/($F217-$E217+1), $J217/(($F217*($F217+1)/2)-(($E217-1)*($E217-1+1)/2))*AS$2), 0)+IF(IF(time+1&gt;=AT$2, $K217/time_cap/(time+1)*AS$2, 0) = 0, $K217/(time_cap),0)),0)</f>
        <v/>
      </c>
      <c r="AT217" s="4395">
        <f>IFERROR(IF((time+time_cap)&lt;AT$2, 0,IF(AND(time+1&gt;=AU$2, $E217&lt;AU$2), IF($I217= "I", $J217/($F217-$E217+1), $J217/(($F217*($F217+1)/2)-(($E217-1)*($E217-1+1)/2))*AT$2), 0)+IF(IF(time+1&gt;=AU$2, $K217/time_cap/(time+1)*AT$2, 0) = 0, $K217/(time_cap),0)),0)</f>
        <v/>
      </c>
      <c r="AU217" s="4395">
        <f>IFERROR(IF((time+time_cap)&lt;AU$2, 0,IF(AND(time+1&gt;=AV$2, $E217&lt;AV$2), IF($I217= "I", $J217/($F217-$E217+1), $J217/(($F217*($F217+1)/2)-(($E217-1)*($E217-1+1)/2))*AU$2), 0)+IF(IF(time+1&gt;=AV$2, $K217/time_cap/(time+1)*AU$2, 0) = 0, $K217/(time_cap),0)),0)</f>
        <v/>
      </c>
      <c r="AV217" s="4395">
        <f>IFERROR(IF((time+time_cap)&lt;AV$2, 0,IF(AND(time+1&gt;=AW$2, $E217&lt;AW$2), IF($I217= "I", $J217/($F217-$E217+1), $J217/(($F217*($F217+1)/2)-(($E217-1)*($E217-1+1)/2))*AV$2), 0)+IF(IF(time+1&gt;=AW$2, $K217/time_cap/(time+1)*AV$2, 0) = 0, $K217/(time_cap),0)),0)</f>
        <v/>
      </c>
      <c r="AW217" s="4395">
        <f>IFERROR(IF((time+time_cap)&lt;AW$2, 0,IF(AND(time+1&gt;=AX$2, $E217&lt;AX$2), IF($I217= "I", $J217/($F217-$E217+1), $J217/(($F217*($F217+1)/2)-(($E217-1)*($E217-1+1)/2))*AW$2), 0)+IF(IF(time+1&gt;=AX$2, $K217/time_cap/(time+1)*AW$2, 0) = 0, $K217/(time_cap),0)),0)</f>
        <v/>
      </c>
      <c r="AX217" s="4395">
        <f>IFERROR(IF((time+time_cap)&lt;AX$2, 0,IF(AND(time+1&gt;=AY$2, $E217&lt;AY$2), IF($I217= "I", $J217/($F217-$E217+1), $J217/(($F217*($F217+1)/2)-(($E217-1)*($E217-1+1)/2))*AX$2), 0)+IF(IF(time+1&gt;=AY$2, $K217/time_cap/(time+1)*AX$2, 0) = 0, $K217/(time_cap),0)),0)</f>
        <v/>
      </c>
      <c r="AY217" s="4395">
        <f>IFERROR(IF((time+time_cap)&lt;AY$2, 0,IF(AND(time+1&gt;=AZ$2, $E217&lt;AZ$2), IF($I217= "I", $J217/($F217-$E217+1), $J217/(($F217*($F217+1)/2)-(($E217-1)*($E217-1+1)/2))*AY$2), 0)+IF(IF(time+1&gt;=AZ$2, $K217/time_cap/(time+1)*AY$2, 0) = 0, $K217/(time_cap),0)),0)</f>
        <v/>
      </c>
      <c r="AZ217" s="4395">
        <f>IFERROR(IF((time+time_cap)&lt;AZ$2, 0,IF(AND(time+1&gt;=BA$2, $E217&lt;BA$2), IF($I217= "I", $J217/($F217-$E217+1), $J217/(($F217*($F217+1)/2)-(($E217-1)*($E217-1+1)/2))*AZ$2), 0)+IF(IF(time+1&gt;=BA$2, $K217/time_cap/(time+1)*AZ$2, 0) = 0, $K217/(time_cap),0)),0)</f>
        <v/>
      </c>
      <c r="BA217" s="4395">
        <f>IFERROR(IF((time+time_cap)&lt;BA$2, 0,IF(AND(time+1&gt;=BB$2, $E217&lt;BB$2), IF($I217= "I", $J217/($F217-$E217+1), $J217/(($F217*($F217+1)/2)-(($E217-1)*($E217-1+1)/2))*BA$2), 0)+IF(IF(time+1&gt;=BB$2, $K217/time_cap/(time+1)*BA$2, 0) = 0, $K217/(time_cap),0)),0)</f>
        <v/>
      </c>
      <c r="BB217" s="4395">
        <f>IFERROR(IF((time+time_cap)&lt;BB$2, 0,IF(AND(time+1&gt;=BC$2, $E217&lt;BC$2), IF($I217= "I", $J217/($F217-$E217+1), $J217/(($F217*($F217+1)/2)-(($E217-1)*($E217-1+1)/2))*BB$2), 0)+IF(IF(time+1&gt;=BC$2, $K217/time_cap/(time+1)*BB$2, 0) = 0, $K217/(time_cap),0)),0)</f>
        <v/>
      </c>
      <c r="BC217" s="4395">
        <f>IFERROR(IF((time+time_cap)&lt;BC$2, 0,IF(AND(time+1&gt;=BD$2, $E217&lt;BD$2), IF($I217= "I", $J217/($F217-$E217+1), $J217/(($F217*($F217+1)/2)-(($E217-1)*($E217-1+1)/2))*BC$2), 0)+IF(IF(time+1&gt;=BD$2, $K217/time_cap/(time+1)*BC$2, 0) = 0, $K217/(time_cap),0)),0)</f>
        <v/>
      </c>
      <c r="BD217" s="4395">
        <f>IFERROR(IF((time+time_cap)&lt;BD$2, 0,IF(AND(time+1&gt;=BE$2, $E217&lt;BE$2), IF($I217= "I", $J217/($F217-$E217+1), $J217/(($F217*($F217+1)/2)-(($E217-1)*($E217-1+1)/2))*BD$2), 0)+IF(IF(time+1&gt;=BE$2, $K217/time_cap/(time+1)*BD$2, 0) = 0, $K217/(time_cap),0)),0)</f>
        <v/>
      </c>
      <c r="BE217" s="4395">
        <f>IFERROR(IF((time+time_cap)&lt;BE$2, 0,IF(AND(time+1&gt;=BF$2, $E217&lt;BF$2), IF($I217= "I", $J217/($F217-$E217+1), $J217/(($F217*($F217+1)/2)-(($E217-1)*($E217-1+1)/2))*BE$2), 0)+IF(IF(time+1&gt;=BF$2, $K217/time_cap/(time+1)*BE$2, 0) = 0, $K217/(time_cap),0)),0)</f>
        <v/>
      </c>
      <c r="BF217" s="4395">
        <f>IFERROR(IF((time+time_cap)&lt;BF$2, 0,IF(AND(time+1&gt;=BG$2, $E217&lt;BG$2), IF($I217= "I", $J217/($F217-$E217+1), $J217/(($F217*($F217+1)/2)-(($E217-1)*($E217-1+1)/2))*BF$2), 0)+IF(IF(time+1&gt;=BG$2, $K217/time_cap/(time+1)*BF$2, 0) = 0, $K217/(time_cap),0)),0)</f>
        <v/>
      </c>
      <c r="BG217" s="4395">
        <f>IFERROR(IF((time+time_cap)&lt;BG$2, 0,IF(AND(time+1&gt;=BH$2, $E217&lt;BH$2), IF($I217= "I", $J217/($F217-$E217+1), $J217/(($F217*($F217+1)/2)-(($E217-1)*($E217-1+1)/2))*BG$2), 0)+IF(IF(time+1&gt;=BH$2, $K217/time_cap/(time+1)*BG$2, 0) = 0, $K217/(time_cap),0)),0)</f>
        <v/>
      </c>
      <c r="BH217" s="4395">
        <f>IFERROR(IF((time+time_cap)&lt;BH$2, 0,IF(AND(time+1&gt;=BI$2, $E217&lt;BI$2), IF($I217= "I", $J217/($F217-$E217+1), $J217/(($F217*($F217+1)/2)-(($E217-1)*($E217-1+1)/2))*BH$2), 0)+IF(IF(time+1&gt;=BI$2, $K217/time_cap/(time+1)*BH$2, 0) = 0, $K217/(time_cap),0)),0)</f>
        <v/>
      </c>
      <c r="BI217" s="4395">
        <f>IFERROR(IF((time+time_cap)&lt;BI$2, 0,IF(AND(time+1&gt;=BJ$2, $E217&lt;BJ$2), IF($I217= "I", $J217/($F217-$E217+1), $J217/(($F217*($F217+1)/2)-(($E217-1)*($E217-1+1)/2))*BI$2), 0)+IF(IF(time+1&gt;=BJ$2, $K217/time_cap/(time+1)*BI$2, 0) = 0, $K217/(time_cap),0)),0)</f>
        <v/>
      </c>
      <c r="BJ217" s="4395">
        <f>IFERROR(IF((time+time_cap)&lt;BJ$2, 0,IF(AND(time+1&gt;=BK$2, $E217&lt;BK$2), IF($I217= "I", $J217/($F217-$E217+1), $J217/(($F217*($F217+1)/2)-(($E217-1)*($E217-1+1)/2))*BJ$2), 0)+IF(IF(time+1&gt;=BK$2, $K217/time_cap/(time+1)*BJ$2, 0) = 0, $K217/(time_cap),0)),0)</f>
        <v/>
      </c>
      <c r="BK217" s="4395" t="n"/>
      <c r="BL217" s="4395" t="n"/>
      <c r="BM217" s="4395" t="n"/>
      <c r="BN217" s="4395" t="n"/>
      <c r="BO217" s="4395" t="n"/>
      <c r="BP217" s="4395" t="n"/>
      <c r="BQ217" s="4395" t="n"/>
      <c r="BR217" s="4395" t="n"/>
      <c r="BS217" s="4395" t="n"/>
      <c r="BT217" s="4395" t="n"/>
      <c r="BU217" s="4395" t="n"/>
      <c r="BV217" s="4395" t="n"/>
      <c r="BW217" s="4395" t="n"/>
      <c r="BX217" s="4395" t="n"/>
      <c r="BY217" s="4395" t="n"/>
      <c r="BZ217" s="4395" t="n"/>
      <c r="CA217" s="4395" t="n"/>
      <c r="CB217" s="4395" t="n"/>
      <c r="CC217" s="4395" t="n"/>
      <c r="CD217" s="4395" t="n"/>
      <c r="CE217" s="4395" t="n"/>
      <c r="CF217" s="4395" t="n"/>
      <c r="CG217" s="4395" t="n"/>
      <c r="CH217" s="4395" t="n"/>
      <c r="CI217" s="4395" t="n"/>
      <c r="CJ217" s="4395" t="n"/>
      <c r="CK217" s="4395" t="n"/>
      <c r="CL217" s="4395" t="n"/>
      <c r="CM217" s="4395" t="n"/>
      <c r="CN217" s="4395" t="n"/>
      <c r="CO217" s="4395" t="n"/>
      <c r="CP217" s="4395" t="n"/>
      <c r="CQ217" s="4395" t="n"/>
      <c r="CR217" s="4395" t="n"/>
      <c r="CS217" s="4395" t="n"/>
      <c r="CT217" s="4395" t="n"/>
      <c r="CU217" s="4395" t="n"/>
      <c r="CV217" s="4395" t="n"/>
      <c r="CW217" s="4395" t="n"/>
      <c r="CX217" s="4395" t="n"/>
      <c r="CY217" s="4395" t="n"/>
      <c r="CZ217" s="4395" t="n"/>
      <c r="DA217" s="4395" t="n"/>
      <c r="DB217" s="4395" t="n"/>
      <c r="DC217" s="4395" t="n"/>
      <c r="DD217" s="4395" t="n"/>
      <c r="DE217" s="4395" t="n"/>
      <c r="DF217" s="4395" t="n"/>
      <c r="DG217" s="4395" t="n"/>
      <c r="DH217" s="4395" t="n"/>
    </row>
    <row r="218" ht="16" customHeight="1">
      <c r="A218" t="inlineStr">
        <is>
          <t>Energy</t>
        </is>
      </c>
      <c r="C218">
        <f>'9.Inputs'!$C$49</f>
        <v/>
      </c>
      <c r="D218">
        <f>'9.Inputs'!V49</f>
        <v/>
      </c>
      <c r="E218">
        <f>IF('9.Inputs'!BE47&lt;&gt;0,'9.Inputs'!BE47,'9.Inputs'!BD47)</f>
        <v/>
      </c>
      <c r="F218">
        <f>time</f>
        <v/>
      </c>
      <c r="G218" s="4395">
        <f>'9.Inputs'!F49</f>
        <v/>
      </c>
      <c r="H218" s="4395">
        <f>'9.Inputs'!H49</f>
        <v/>
      </c>
      <c r="I218" s="4395">
        <f>IF(OR(H218="I", G218="I"), "I", IF(OR(H218="E", G218="E"), "E", "D"))</f>
        <v/>
      </c>
      <c r="J218" s="4395">
        <f>((D218/(time_cap+((F218-E218+1)*VLOOKUP(I218,list!$I$48:$K$50,3, FALSE))))*(F218-E218+1)*VLOOKUP(I218,list!$I$48:$K$50,3, FALSE))</f>
        <v/>
      </c>
      <c r="K218" s="4395">
        <f>((D218/(time_cap+((F218-E218+1)*VLOOKUP(I218,list!$I$48:$K$50,3, FALSE))))*time_cap)</f>
        <v/>
      </c>
      <c r="M218" s="4395">
        <f>IFERROR(IF((time+time_cap)&lt;M$2, 0,IF(AND(time+1&gt;=N$2, $E218&lt;N$2), IF($I218= "I", $J218/($F218-$E218+1), $J218/(($F218*($F218+1)/2)-(($E218-1)*($E218-1+1)/2))*M$2), 0)+IF(IF(time+1&gt;=N$2, $K218/time_cap/(time+1)*M$2, 0) = 0, $K218/(time_cap),0)),0)</f>
        <v/>
      </c>
      <c r="N218" s="4395">
        <f>IFERROR(IF((time+time_cap)&lt;N$2, 0,IF(AND(time+1&gt;=O$2, $E218&lt;O$2), IF($I218= "I", $J218/($F218-$E218+1), $J218/(($F218*($F218+1)/2)-(($E218-1)*($E218-1+1)/2))*N$2), 0)+IF(IF(time+1&gt;=O$2, $K218/time_cap/(time+1)*N$2, 0) = 0, $K218/(time_cap),0)),0)</f>
        <v/>
      </c>
      <c r="O218" s="4395">
        <f>IFERROR(IF((time+time_cap)&lt;O$2, 0,IF(AND(time+1&gt;=P$2, $E218&lt;P$2), IF($I218= "I", $J218/($F218-$E218+1), $J218/(($F218*($F218+1)/2)-(($E218-1)*($E218-1+1)/2))*O$2), 0)+IF(IF(time+1&gt;=P$2, $K218/time_cap/(time+1)*O$2, 0) = 0, $K218/(time_cap),0)),0)</f>
        <v/>
      </c>
      <c r="P218" s="4395">
        <f>IFERROR(IF((time+time_cap)&lt;P$2, 0,IF(AND(time+1&gt;=Q$2, $E218&lt;Q$2), IF($I218= "I", $J218/($F218-$E218+1), $J218/(($F218*($F218+1)/2)-(($E218-1)*($E218-1+1)/2))*P$2), 0)+IF(IF(time+1&gt;=Q$2, $K218/time_cap/(time+1)*P$2, 0) = 0, $K218/(time_cap),0)),0)</f>
        <v/>
      </c>
      <c r="Q218" s="4395">
        <f>IFERROR(IF((time+time_cap)&lt;Q$2, 0,IF(AND(time+1&gt;=R$2, $E218&lt;R$2), IF($I218= "I", $J218/($F218-$E218+1), $J218/(($F218*($F218+1)/2)-(($E218-1)*($E218-1+1)/2))*Q$2), 0)+IF(IF(time+1&gt;=R$2, $K218/time_cap/(time+1)*Q$2, 0) = 0, $K218/(time_cap),0)),0)</f>
        <v/>
      </c>
      <c r="R218" s="4395">
        <f>IFERROR(IF((time+time_cap)&lt;R$2, 0,IF(AND(time+1&gt;=S$2, $E218&lt;S$2), IF($I218= "I", $J218/($F218-$E218+1), $J218/(($F218*($F218+1)/2)-(($E218-1)*($E218-1+1)/2))*R$2), 0)+IF(IF(time+1&gt;=S$2, $K218/time_cap/(time+1)*R$2, 0) = 0, $K218/(time_cap),0)),0)</f>
        <v/>
      </c>
      <c r="S218" s="4395">
        <f>IFERROR(IF((time+time_cap)&lt;S$2, 0,IF(AND(time+1&gt;=T$2, $E218&lt;T$2), IF($I218= "I", $J218/($F218-$E218+1), $J218/(($F218*($F218+1)/2)-(($E218-1)*($E218-1+1)/2))*S$2), 0)+IF(IF(time+1&gt;=T$2, $K218/time_cap/(time+1)*S$2, 0) = 0, $K218/(time_cap),0)),0)</f>
        <v/>
      </c>
      <c r="T218" s="4395">
        <f>IFERROR(IF((time+time_cap)&lt;T$2, 0,IF(AND(time+1&gt;=U$2, $E218&lt;U$2), IF($I218= "I", $J218/($F218-$E218+1), $J218/(($F218*($F218+1)/2)-(($E218-1)*($E218-1+1)/2))*T$2), 0)+IF(IF(time+1&gt;=U$2, $K218/time_cap/(time+1)*T$2, 0) = 0, $K218/(time_cap),0)),0)</f>
        <v/>
      </c>
      <c r="U218" s="4395">
        <f>IFERROR(IF((time+time_cap)&lt;U$2, 0,IF(AND(time+1&gt;=V$2, $E218&lt;V$2), IF($I218= "I", $J218/($F218-$E218+1), $J218/(($F218*($F218+1)/2)-(($E218-1)*($E218-1+1)/2))*U$2), 0)+IF(IF(time+1&gt;=V$2, $K218/time_cap/(time+1)*U$2, 0) = 0, $K218/(time_cap),0)),0)</f>
        <v/>
      </c>
      <c r="V218" s="4395">
        <f>IFERROR(IF((time+time_cap)&lt;V$2, 0,IF(AND(time+1&gt;=W$2, $E218&lt;W$2), IF($I218= "I", $J218/($F218-$E218+1), $J218/(($F218*($F218+1)/2)-(($E218-1)*($E218-1+1)/2))*V$2), 0)+IF(IF(time+1&gt;=W$2, $K218/time_cap/(time+1)*V$2, 0) = 0, $K218/(time_cap),0)),0)</f>
        <v/>
      </c>
      <c r="W218" s="4395">
        <f>IFERROR(IF((time+time_cap)&lt;W$2, 0,IF(AND(time+1&gt;=X$2, $E218&lt;X$2), IF($I218= "I", $J218/($F218-$E218+1), $J218/(($F218*($F218+1)/2)-(($E218-1)*($E218-1+1)/2))*W$2), 0)+IF(IF(time+1&gt;=X$2, $K218/time_cap/(time+1)*W$2, 0) = 0, $K218/(time_cap),0)),0)</f>
        <v/>
      </c>
      <c r="X218" s="4395">
        <f>IFERROR(IF((time+time_cap)&lt;X$2, 0,IF(AND(time+1&gt;=Y$2, $E218&lt;Y$2), IF($I218= "I", $J218/($F218-$E218+1), $J218/(($F218*($F218+1)/2)-(($E218-1)*($E218-1+1)/2))*X$2), 0)+IF(IF(time+1&gt;=Y$2, $K218/time_cap/(time+1)*X$2, 0) = 0, $K218/(time_cap),0)),0)</f>
        <v/>
      </c>
      <c r="Y218" s="4395">
        <f>IFERROR(IF((time+time_cap)&lt;Y$2, 0,IF(AND(time+1&gt;=Z$2, $E218&lt;Z$2), IF($I218= "I", $J218/($F218-$E218+1), $J218/(($F218*($F218+1)/2)-(($E218-1)*($E218-1+1)/2))*Y$2), 0)+IF(IF(time+1&gt;=Z$2, $K218/time_cap/(time+1)*Y$2, 0) = 0, $K218/(time_cap),0)),0)</f>
        <v/>
      </c>
      <c r="Z218" s="4395">
        <f>IFERROR(IF((time+time_cap)&lt;Z$2, 0,IF(AND(time+1&gt;=AA$2, $E218&lt;AA$2), IF($I218= "I", $J218/($F218-$E218+1), $J218/(($F218*($F218+1)/2)-(($E218-1)*($E218-1+1)/2))*Z$2), 0)+IF(IF(time+1&gt;=AA$2, $K218/time_cap/(time+1)*Z$2, 0) = 0, $K218/(time_cap),0)),0)</f>
        <v/>
      </c>
      <c r="AA218" s="4395">
        <f>IFERROR(IF((time+time_cap)&lt;AA$2, 0,IF(AND(time+1&gt;=AB$2, $E218&lt;AB$2), IF($I218= "I", $J218/($F218-$E218+1), $J218/(($F218*($F218+1)/2)-(($E218-1)*($E218-1+1)/2))*AA$2), 0)+IF(IF(time+1&gt;=AB$2, $K218/time_cap/(time+1)*AA$2, 0) = 0, $K218/(time_cap),0)),0)</f>
        <v/>
      </c>
      <c r="AB218" s="4395">
        <f>IFERROR(IF((time+time_cap)&lt;AB$2, 0,IF(AND(time+1&gt;=AC$2, $E218&lt;AC$2), IF($I218= "I", $J218/($F218-$E218+1), $J218/(($F218*($F218+1)/2)-(($E218-1)*($E218-1+1)/2))*AB$2), 0)+IF(IF(time+1&gt;=AC$2, $K218/time_cap/(time+1)*AB$2, 0) = 0, $K218/(time_cap),0)),0)</f>
        <v/>
      </c>
      <c r="AC218" s="4395">
        <f>IFERROR(IF((time+time_cap)&lt;AC$2, 0,IF(AND(time+1&gt;=AD$2, $E218&lt;AD$2), IF($I218= "I", $J218/($F218-$E218+1), $J218/(($F218*($F218+1)/2)-(($E218-1)*($E218-1+1)/2))*AC$2), 0)+IF(IF(time+1&gt;=AD$2, $K218/time_cap/(time+1)*AC$2, 0) = 0, $K218/(time_cap),0)),0)</f>
        <v/>
      </c>
      <c r="AD218" s="4395">
        <f>IFERROR(IF((time+time_cap)&lt;AD$2, 0,IF(AND(time+1&gt;=AE$2, $E218&lt;AE$2), IF($I218= "I", $J218/($F218-$E218+1), $J218/(($F218*($F218+1)/2)-(($E218-1)*($E218-1+1)/2))*AD$2), 0)+IF(IF(time+1&gt;=AE$2, $K218/time_cap/(time+1)*AD$2, 0) = 0, $K218/(time_cap),0)),0)</f>
        <v/>
      </c>
      <c r="AE218" s="4395">
        <f>IFERROR(IF((time+time_cap)&lt;AE$2, 0,IF(AND(time+1&gt;=AF$2, $E218&lt;AF$2), IF($I218= "I", $J218/($F218-$E218+1), $J218/(($F218*($F218+1)/2)-(($E218-1)*($E218-1+1)/2))*AE$2), 0)+IF(IF(time+1&gt;=AF$2, $K218/time_cap/(time+1)*AE$2, 0) = 0, $K218/(time_cap),0)),0)</f>
        <v/>
      </c>
      <c r="AF218" s="4395">
        <f>IFERROR(IF((time+time_cap)&lt;AF$2, 0,IF(AND(time+1&gt;=AG$2, $E218&lt;AG$2), IF($I218= "I", $J218/($F218-$E218+1), $J218/(($F218*($F218+1)/2)-(($E218-1)*($E218-1+1)/2))*AF$2), 0)+IF(IF(time+1&gt;=AG$2, $K218/time_cap/(time+1)*AF$2, 0) = 0, $K218/(time_cap),0)),0)</f>
        <v/>
      </c>
      <c r="AG218" s="4395">
        <f>IFERROR(IF((time+time_cap)&lt;AG$2, 0,IF(AND(time+1&gt;=AH$2, $E218&lt;AH$2), IF($I218= "I", $J218/($F218-$E218+1), $J218/(($F218*($F218+1)/2)-(($E218-1)*($E218-1+1)/2))*AG$2), 0)+IF(IF(time+1&gt;=AH$2, $K218/time_cap/(time+1)*AG$2, 0) = 0, $K218/(time_cap),0)),0)</f>
        <v/>
      </c>
      <c r="AH218" s="4395">
        <f>IFERROR(IF((time+time_cap)&lt;AH$2, 0,IF(AND(time+1&gt;=AI$2, $E218&lt;AI$2), IF($I218= "I", $J218/($F218-$E218+1), $J218/(($F218*($F218+1)/2)-(($E218-1)*($E218-1+1)/2))*AH$2), 0)+IF(IF(time+1&gt;=AI$2, $K218/time_cap/(time+1)*AH$2, 0) = 0, $K218/(time_cap),0)),0)</f>
        <v/>
      </c>
      <c r="AI218" s="4395">
        <f>IFERROR(IF((time+time_cap)&lt;AI$2, 0,IF(AND(time+1&gt;=AJ$2, $E218&lt;AJ$2), IF($I218= "I", $J218/($F218-$E218+1), $J218/(($F218*($F218+1)/2)-(($E218-1)*($E218-1+1)/2))*AI$2), 0)+IF(IF(time+1&gt;=AJ$2, $K218/time_cap/(time+1)*AI$2, 0) = 0, $K218/(time_cap),0)),0)</f>
        <v/>
      </c>
      <c r="AJ218" s="4395">
        <f>IFERROR(IF((time+time_cap)&lt;AJ$2, 0,IF(AND(time+1&gt;=AK$2, $E218&lt;AK$2), IF($I218= "I", $J218/($F218-$E218+1), $J218/(($F218*($F218+1)/2)-(($E218-1)*($E218-1+1)/2))*AJ$2), 0)+IF(IF(time+1&gt;=AK$2, $K218/time_cap/(time+1)*AJ$2, 0) = 0, $K218/(time_cap),0)),0)</f>
        <v/>
      </c>
      <c r="AK218" s="4395">
        <f>IFERROR(IF((time+time_cap)&lt;AK$2, 0,IF(AND(time+1&gt;=AL$2, $E218&lt;AL$2), IF($I218= "I", $J218/($F218-$E218+1), $J218/(($F218*($F218+1)/2)-(($E218-1)*($E218-1+1)/2))*AK$2), 0)+IF(IF(time+1&gt;=AL$2, $K218/time_cap/(time+1)*AK$2, 0) = 0, $K218/(time_cap),0)),0)</f>
        <v/>
      </c>
      <c r="AL218" s="4395">
        <f>IFERROR(IF((time+time_cap)&lt;AL$2, 0,IF(AND(time+1&gt;=AM$2, $E218&lt;AM$2), IF($I218= "I", $J218/($F218-$E218+1), $J218/(($F218*($F218+1)/2)-(($E218-1)*($E218-1+1)/2))*AL$2), 0)+IF(IF(time+1&gt;=AM$2, $K218/time_cap/(time+1)*AL$2, 0) = 0, $K218/(time_cap),0)),0)</f>
        <v/>
      </c>
      <c r="AM218" s="4395">
        <f>IFERROR(IF((time+time_cap)&lt;AM$2, 0,IF(AND(time+1&gt;=AN$2, $E218&lt;AN$2), IF($I218= "I", $J218/($F218-$E218+1), $J218/(($F218*($F218+1)/2)-(($E218-1)*($E218-1+1)/2))*AM$2), 0)+IF(IF(time+1&gt;=AN$2, $K218/time_cap/(time+1)*AM$2, 0) = 0, $K218/(time_cap),0)),0)</f>
        <v/>
      </c>
      <c r="AN218" s="4395">
        <f>IFERROR(IF((time+time_cap)&lt;AN$2, 0,IF(AND(time+1&gt;=AO$2, $E218&lt;AO$2), IF($I218= "I", $J218/($F218-$E218+1), $J218/(($F218*($F218+1)/2)-(($E218-1)*($E218-1+1)/2))*AN$2), 0)+IF(IF(time+1&gt;=AO$2, $K218/time_cap/(time+1)*AN$2, 0) = 0, $K218/(time_cap),0)),0)</f>
        <v/>
      </c>
      <c r="AO218" s="4395">
        <f>IFERROR(IF((time+time_cap)&lt;AO$2, 0,IF(AND(time+1&gt;=AP$2, $E218&lt;AP$2), IF($I218= "I", $J218/($F218-$E218+1), $J218/(($F218*($F218+1)/2)-(($E218-1)*($E218-1+1)/2))*AO$2), 0)+IF(IF(time+1&gt;=AP$2, $K218/time_cap/(time+1)*AO$2, 0) = 0, $K218/(time_cap),0)),0)</f>
        <v/>
      </c>
      <c r="AP218" s="4395">
        <f>IFERROR(IF((time+time_cap)&lt;AP$2, 0,IF(AND(time+1&gt;=AQ$2, $E218&lt;AQ$2), IF($I218= "I", $J218/($F218-$E218+1), $J218/(($F218*($F218+1)/2)-(($E218-1)*($E218-1+1)/2))*AP$2), 0)+IF(IF(time+1&gt;=AQ$2, $K218/time_cap/(time+1)*AP$2, 0) = 0, $K218/(time_cap),0)),0)</f>
        <v/>
      </c>
      <c r="AQ218" s="4395">
        <f>IFERROR(IF((time+time_cap)&lt;AQ$2, 0,IF(AND(time+1&gt;=AR$2, $E218&lt;AR$2), IF($I218= "I", $J218/($F218-$E218+1), $J218/(($F218*($F218+1)/2)-(($E218-1)*($E218-1+1)/2))*AQ$2), 0)+IF(IF(time+1&gt;=AR$2, $K218/time_cap/(time+1)*AQ$2, 0) = 0, $K218/(time_cap),0)),0)</f>
        <v/>
      </c>
      <c r="AR218" s="4395">
        <f>IFERROR(IF((time+time_cap)&lt;AR$2, 0,IF(AND(time+1&gt;=AS$2, $E218&lt;AS$2), IF($I218= "I", $J218/($F218-$E218+1), $J218/(($F218*($F218+1)/2)-(($E218-1)*($E218-1+1)/2))*AR$2), 0)+IF(IF(time+1&gt;=AS$2, $K218/time_cap/(time+1)*AR$2, 0) = 0, $K218/(time_cap),0)),0)</f>
        <v/>
      </c>
      <c r="AS218" s="4395">
        <f>IFERROR(IF((time+time_cap)&lt;AS$2, 0,IF(AND(time+1&gt;=AT$2, $E218&lt;AT$2), IF($I218= "I", $J218/($F218-$E218+1), $J218/(($F218*($F218+1)/2)-(($E218-1)*($E218-1+1)/2))*AS$2), 0)+IF(IF(time+1&gt;=AT$2, $K218/time_cap/(time+1)*AS$2, 0) = 0, $K218/(time_cap),0)),0)</f>
        <v/>
      </c>
      <c r="AT218" s="4395">
        <f>IFERROR(IF((time+time_cap)&lt;AT$2, 0,IF(AND(time+1&gt;=AU$2, $E218&lt;AU$2), IF($I218= "I", $J218/($F218-$E218+1), $J218/(($F218*($F218+1)/2)-(($E218-1)*($E218-1+1)/2))*AT$2), 0)+IF(IF(time+1&gt;=AU$2, $K218/time_cap/(time+1)*AT$2, 0) = 0, $K218/(time_cap),0)),0)</f>
        <v/>
      </c>
      <c r="AU218" s="4395">
        <f>IFERROR(IF((time+time_cap)&lt;AU$2, 0,IF(AND(time+1&gt;=AV$2, $E218&lt;AV$2), IF($I218= "I", $J218/($F218-$E218+1), $J218/(($F218*($F218+1)/2)-(($E218-1)*($E218-1+1)/2))*AU$2), 0)+IF(IF(time+1&gt;=AV$2, $K218/time_cap/(time+1)*AU$2, 0) = 0, $K218/(time_cap),0)),0)</f>
        <v/>
      </c>
      <c r="AV218" s="4395">
        <f>IFERROR(IF((time+time_cap)&lt;AV$2, 0,IF(AND(time+1&gt;=AW$2, $E218&lt;AW$2), IF($I218= "I", $J218/($F218-$E218+1), $J218/(($F218*($F218+1)/2)-(($E218-1)*($E218-1+1)/2))*AV$2), 0)+IF(IF(time+1&gt;=AW$2, $K218/time_cap/(time+1)*AV$2, 0) = 0, $K218/(time_cap),0)),0)</f>
        <v/>
      </c>
      <c r="AW218" s="4395">
        <f>IFERROR(IF((time+time_cap)&lt;AW$2, 0,IF(AND(time+1&gt;=AX$2, $E218&lt;AX$2), IF($I218= "I", $J218/($F218-$E218+1), $J218/(($F218*($F218+1)/2)-(($E218-1)*($E218-1+1)/2))*AW$2), 0)+IF(IF(time+1&gt;=AX$2, $K218/time_cap/(time+1)*AW$2, 0) = 0, $K218/(time_cap),0)),0)</f>
        <v/>
      </c>
      <c r="AX218" s="4395">
        <f>IFERROR(IF((time+time_cap)&lt;AX$2, 0,IF(AND(time+1&gt;=AY$2, $E218&lt;AY$2), IF($I218= "I", $J218/($F218-$E218+1), $J218/(($F218*($F218+1)/2)-(($E218-1)*($E218-1+1)/2))*AX$2), 0)+IF(IF(time+1&gt;=AY$2, $K218/time_cap/(time+1)*AX$2, 0) = 0, $K218/(time_cap),0)),0)</f>
        <v/>
      </c>
      <c r="AY218" s="4395">
        <f>IFERROR(IF((time+time_cap)&lt;AY$2, 0,IF(AND(time+1&gt;=AZ$2, $E218&lt;AZ$2), IF($I218= "I", $J218/($F218-$E218+1), $J218/(($F218*($F218+1)/2)-(($E218-1)*($E218-1+1)/2))*AY$2), 0)+IF(IF(time+1&gt;=AZ$2, $K218/time_cap/(time+1)*AY$2, 0) = 0, $K218/(time_cap),0)),0)</f>
        <v/>
      </c>
      <c r="AZ218" s="4395">
        <f>IFERROR(IF((time+time_cap)&lt;AZ$2, 0,IF(AND(time+1&gt;=BA$2, $E218&lt;BA$2), IF($I218= "I", $J218/($F218-$E218+1), $J218/(($F218*($F218+1)/2)-(($E218-1)*($E218-1+1)/2))*AZ$2), 0)+IF(IF(time+1&gt;=BA$2, $K218/time_cap/(time+1)*AZ$2, 0) = 0, $K218/(time_cap),0)),0)</f>
        <v/>
      </c>
      <c r="BA218" s="4395">
        <f>IFERROR(IF((time+time_cap)&lt;BA$2, 0,IF(AND(time+1&gt;=BB$2, $E218&lt;BB$2), IF($I218= "I", $J218/($F218-$E218+1), $J218/(($F218*($F218+1)/2)-(($E218-1)*($E218-1+1)/2))*BA$2), 0)+IF(IF(time+1&gt;=BB$2, $K218/time_cap/(time+1)*BA$2, 0) = 0, $K218/(time_cap),0)),0)</f>
        <v/>
      </c>
      <c r="BB218" s="4395">
        <f>IFERROR(IF((time+time_cap)&lt;BB$2, 0,IF(AND(time+1&gt;=BC$2, $E218&lt;BC$2), IF($I218= "I", $J218/($F218-$E218+1), $J218/(($F218*($F218+1)/2)-(($E218-1)*($E218-1+1)/2))*BB$2), 0)+IF(IF(time+1&gt;=BC$2, $K218/time_cap/(time+1)*BB$2, 0) = 0, $K218/(time_cap),0)),0)</f>
        <v/>
      </c>
      <c r="BC218" s="4395">
        <f>IFERROR(IF((time+time_cap)&lt;BC$2, 0,IF(AND(time+1&gt;=BD$2, $E218&lt;BD$2), IF($I218= "I", $J218/($F218-$E218+1), $J218/(($F218*($F218+1)/2)-(($E218-1)*($E218-1+1)/2))*BC$2), 0)+IF(IF(time+1&gt;=BD$2, $K218/time_cap/(time+1)*BC$2, 0) = 0, $K218/(time_cap),0)),0)</f>
        <v/>
      </c>
      <c r="BD218" s="4395">
        <f>IFERROR(IF((time+time_cap)&lt;BD$2, 0,IF(AND(time+1&gt;=BE$2, $E218&lt;BE$2), IF($I218= "I", $J218/($F218-$E218+1), $J218/(($F218*($F218+1)/2)-(($E218-1)*($E218-1+1)/2))*BD$2), 0)+IF(IF(time+1&gt;=BE$2, $K218/time_cap/(time+1)*BD$2, 0) = 0, $K218/(time_cap),0)),0)</f>
        <v/>
      </c>
      <c r="BE218" s="4395">
        <f>IFERROR(IF((time+time_cap)&lt;BE$2, 0,IF(AND(time+1&gt;=BF$2, $E218&lt;BF$2), IF($I218= "I", $J218/($F218-$E218+1), $J218/(($F218*($F218+1)/2)-(($E218-1)*($E218-1+1)/2))*BE$2), 0)+IF(IF(time+1&gt;=BF$2, $K218/time_cap/(time+1)*BE$2, 0) = 0, $K218/(time_cap),0)),0)</f>
        <v/>
      </c>
      <c r="BF218" s="4395">
        <f>IFERROR(IF((time+time_cap)&lt;BF$2, 0,IF(AND(time+1&gt;=BG$2, $E218&lt;BG$2), IF($I218= "I", $J218/($F218-$E218+1), $J218/(($F218*($F218+1)/2)-(($E218-1)*($E218-1+1)/2))*BF$2), 0)+IF(IF(time+1&gt;=BG$2, $K218/time_cap/(time+1)*BF$2, 0) = 0, $K218/(time_cap),0)),0)</f>
        <v/>
      </c>
      <c r="BG218" s="4395">
        <f>IFERROR(IF((time+time_cap)&lt;BG$2, 0,IF(AND(time+1&gt;=BH$2, $E218&lt;BH$2), IF($I218= "I", $J218/($F218-$E218+1), $J218/(($F218*($F218+1)/2)-(($E218-1)*($E218-1+1)/2))*BG$2), 0)+IF(IF(time+1&gt;=BH$2, $K218/time_cap/(time+1)*BG$2, 0) = 0, $K218/(time_cap),0)),0)</f>
        <v/>
      </c>
      <c r="BH218" s="4395">
        <f>IFERROR(IF((time+time_cap)&lt;BH$2, 0,IF(AND(time+1&gt;=BI$2, $E218&lt;BI$2), IF($I218= "I", $J218/($F218-$E218+1), $J218/(($F218*($F218+1)/2)-(($E218-1)*($E218-1+1)/2))*BH$2), 0)+IF(IF(time+1&gt;=BI$2, $K218/time_cap/(time+1)*BH$2, 0) = 0, $K218/(time_cap),0)),0)</f>
        <v/>
      </c>
      <c r="BI218" s="4395">
        <f>IFERROR(IF((time+time_cap)&lt;BI$2, 0,IF(AND(time+1&gt;=BJ$2, $E218&lt;BJ$2), IF($I218= "I", $J218/($F218-$E218+1), $J218/(($F218*($F218+1)/2)-(($E218-1)*($E218-1+1)/2))*BI$2), 0)+IF(IF(time+1&gt;=BJ$2, $K218/time_cap/(time+1)*BI$2, 0) = 0, $K218/(time_cap),0)),0)</f>
        <v/>
      </c>
      <c r="BJ218" s="4395">
        <f>IFERROR(IF((time+time_cap)&lt;BJ$2, 0,IF(AND(time+1&gt;=BK$2, $E218&lt;BK$2), IF($I218= "I", $J218/($F218-$E218+1), $J218/(($F218*($F218+1)/2)-(($E218-1)*($E218-1+1)/2))*BJ$2), 0)+IF(IF(time+1&gt;=BK$2, $K218/time_cap/(time+1)*BJ$2, 0) = 0, $K218/(time_cap),0)),0)</f>
        <v/>
      </c>
      <c r="BK218" s="4395" t="n"/>
      <c r="BL218" s="4395" t="n"/>
      <c r="BM218" s="4395" t="n"/>
      <c r="BN218" s="4395" t="n"/>
      <c r="BO218" s="4395" t="n"/>
      <c r="BP218" s="4395" t="n"/>
      <c r="BQ218" s="4395" t="n"/>
      <c r="BR218" s="4395" t="n"/>
      <c r="BS218" s="4395" t="n"/>
      <c r="BT218" s="4395" t="n"/>
      <c r="BU218" s="4395" t="n"/>
      <c r="BV218" s="4395" t="n"/>
      <c r="BW218" s="4395" t="n"/>
      <c r="BX218" s="4395" t="n"/>
      <c r="BY218" s="4395" t="n"/>
      <c r="BZ218" s="4395" t="n"/>
      <c r="CA218" s="4395" t="n"/>
      <c r="CB218" s="4395" t="n"/>
      <c r="CC218" s="4395" t="n"/>
      <c r="CD218" s="4395" t="n"/>
      <c r="CE218" s="4395" t="n"/>
      <c r="CF218" s="4395" t="n"/>
      <c r="CG218" s="4395" t="n"/>
      <c r="CH218" s="4395" t="n"/>
      <c r="CI218" s="4395" t="n"/>
      <c r="CJ218" s="4395" t="n"/>
      <c r="CK218" s="4395" t="n"/>
      <c r="CL218" s="4395" t="n"/>
      <c r="CM218" s="4395" t="n"/>
      <c r="CN218" s="4395" t="n"/>
      <c r="CO218" s="4395" t="n"/>
      <c r="CP218" s="4395" t="n"/>
      <c r="CQ218" s="4395" t="n"/>
      <c r="CR218" s="4395" t="n"/>
      <c r="CS218" s="4395" t="n"/>
      <c r="CT218" s="4395" t="n"/>
      <c r="CU218" s="4395" t="n"/>
      <c r="CV218" s="4395" t="n"/>
      <c r="CW218" s="4395" t="n"/>
      <c r="CX218" s="4395" t="n"/>
      <c r="CY218" s="4395" t="n"/>
      <c r="CZ218" s="4395" t="n"/>
      <c r="DA218" s="4395" t="n"/>
      <c r="DB218" s="4395" t="n"/>
      <c r="DC218" s="4395" t="n"/>
      <c r="DD218" s="4395" t="n"/>
      <c r="DE218" s="4395" t="n"/>
      <c r="DF218" s="4395" t="n"/>
      <c r="DG218" s="4395" t="n"/>
      <c r="DH218" s="4395" t="n"/>
    </row>
    <row r="219" ht="16" customHeight="1">
      <c r="A219" t="inlineStr">
        <is>
          <t>Energy</t>
        </is>
      </c>
      <c r="C219">
        <f>'9.Inputs'!$C$50</f>
        <v/>
      </c>
      <c r="D219">
        <f>'9.Inputs'!V50</f>
        <v/>
      </c>
      <c r="E219">
        <f>IF('9.Inputs'!BE49&lt;&gt;0,'9.Inputs'!BE49,'9.Inputs'!BD49)</f>
        <v/>
      </c>
      <c r="F219">
        <f>time</f>
        <v/>
      </c>
      <c r="G219" s="4395">
        <f>'9.Inputs'!F50</f>
        <v/>
      </c>
      <c r="H219" s="4395">
        <f>'9.Inputs'!H50</f>
        <v/>
      </c>
      <c r="I219" s="4395">
        <f>IF(OR(H219="I", G219="I"), "I", IF(OR(H219="E", G219="E"), "E", "D"))</f>
        <v/>
      </c>
      <c r="J219" s="4395">
        <f>((D219/(time_cap+((F219-E219+1)*VLOOKUP(I219,list!$I$48:$K$50,3, FALSE))))*(F219-E219+1)*VLOOKUP(I219,list!$I$48:$K$50,3, FALSE))</f>
        <v/>
      </c>
      <c r="K219" s="4395">
        <f>((D219/(time_cap+((F219-E219+1)*VLOOKUP(I219,list!$I$48:$K$50,3, FALSE))))*time_cap)</f>
        <v/>
      </c>
      <c r="M219" s="4395">
        <f>IFERROR(IF((time+time_cap)&lt;M$2, 0,IF(AND(time+1&gt;=N$2, $E219&lt;N$2), IF($I219= "I", $J219/($F219-$E219+1), $J219/(($F219*($F219+1)/2)-(($E219-1)*($E219-1+1)/2))*M$2), 0)+IF(IF(time+1&gt;=N$2, $K219/time_cap/(time+1)*M$2, 0) = 0, $K219/(time_cap),0)),0)</f>
        <v/>
      </c>
      <c r="N219" s="4395">
        <f>IFERROR(IF((time+time_cap)&lt;N$2, 0,IF(AND(time+1&gt;=O$2, $E219&lt;O$2), IF($I219= "I", $J219/($F219-$E219+1), $J219/(($F219*($F219+1)/2)-(($E219-1)*($E219-1+1)/2))*N$2), 0)+IF(IF(time+1&gt;=O$2, $K219/time_cap/(time+1)*N$2, 0) = 0, $K219/(time_cap),0)),0)</f>
        <v/>
      </c>
      <c r="O219" s="4395">
        <f>IFERROR(IF((time+time_cap)&lt;O$2, 0,IF(AND(time+1&gt;=P$2, $E219&lt;P$2), IF($I219= "I", $J219/($F219-$E219+1), $J219/(($F219*($F219+1)/2)-(($E219-1)*($E219-1+1)/2))*O$2), 0)+IF(IF(time+1&gt;=P$2, $K219/time_cap/(time+1)*O$2, 0) = 0, $K219/(time_cap),0)),0)</f>
        <v/>
      </c>
      <c r="P219" s="4395">
        <f>IFERROR(IF((time+time_cap)&lt;P$2, 0,IF(AND(time+1&gt;=Q$2, $E219&lt;Q$2), IF($I219= "I", $J219/($F219-$E219+1), $J219/(($F219*($F219+1)/2)-(($E219-1)*($E219-1+1)/2))*P$2), 0)+IF(IF(time+1&gt;=Q$2, $K219/time_cap/(time+1)*P$2, 0) = 0, $K219/(time_cap),0)),0)</f>
        <v/>
      </c>
      <c r="Q219" s="4395">
        <f>IFERROR(IF((time+time_cap)&lt;Q$2, 0,IF(AND(time+1&gt;=R$2, $E219&lt;R$2), IF($I219= "I", $J219/($F219-$E219+1), $J219/(($F219*($F219+1)/2)-(($E219-1)*($E219-1+1)/2))*Q$2), 0)+IF(IF(time+1&gt;=R$2, $K219/time_cap/(time+1)*Q$2, 0) = 0, $K219/(time_cap),0)),0)</f>
        <v/>
      </c>
      <c r="R219" s="4395">
        <f>IFERROR(IF((time+time_cap)&lt;R$2, 0,IF(AND(time+1&gt;=S$2, $E219&lt;S$2), IF($I219= "I", $J219/($F219-$E219+1), $J219/(($F219*($F219+1)/2)-(($E219-1)*($E219-1+1)/2))*R$2), 0)+IF(IF(time+1&gt;=S$2, $K219/time_cap/(time+1)*R$2, 0) = 0, $K219/(time_cap),0)),0)</f>
        <v/>
      </c>
      <c r="S219" s="4395">
        <f>IFERROR(IF((time+time_cap)&lt;S$2, 0,IF(AND(time+1&gt;=T$2, $E219&lt;T$2), IF($I219= "I", $J219/($F219-$E219+1), $J219/(($F219*($F219+1)/2)-(($E219-1)*($E219-1+1)/2))*S$2), 0)+IF(IF(time+1&gt;=T$2, $K219/time_cap/(time+1)*S$2, 0) = 0, $K219/(time_cap),0)),0)</f>
        <v/>
      </c>
      <c r="T219" s="4395">
        <f>IFERROR(IF((time+time_cap)&lt;T$2, 0,IF(AND(time+1&gt;=U$2, $E219&lt;U$2), IF($I219= "I", $J219/($F219-$E219+1), $J219/(($F219*($F219+1)/2)-(($E219-1)*($E219-1+1)/2))*T$2), 0)+IF(IF(time+1&gt;=U$2, $K219/time_cap/(time+1)*T$2, 0) = 0, $K219/(time_cap),0)),0)</f>
        <v/>
      </c>
      <c r="U219" s="4395">
        <f>IFERROR(IF((time+time_cap)&lt;U$2, 0,IF(AND(time+1&gt;=V$2, $E219&lt;V$2), IF($I219= "I", $J219/($F219-$E219+1), $J219/(($F219*($F219+1)/2)-(($E219-1)*($E219-1+1)/2))*U$2), 0)+IF(IF(time+1&gt;=V$2, $K219/time_cap/(time+1)*U$2, 0) = 0, $K219/(time_cap),0)),0)</f>
        <v/>
      </c>
      <c r="V219" s="4395">
        <f>IFERROR(IF((time+time_cap)&lt;V$2, 0,IF(AND(time+1&gt;=W$2, $E219&lt;W$2), IF($I219= "I", $J219/($F219-$E219+1), $J219/(($F219*($F219+1)/2)-(($E219-1)*($E219-1+1)/2))*V$2), 0)+IF(IF(time+1&gt;=W$2, $K219/time_cap/(time+1)*V$2, 0) = 0, $K219/(time_cap),0)),0)</f>
        <v/>
      </c>
      <c r="W219" s="4395">
        <f>IFERROR(IF((time+time_cap)&lt;W$2, 0,IF(AND(time+1&gt;=X$2, $E219&lt;X$2), IF($I219= "I", $J219/($F219-$E219+1), $J219/(($F219*($F219+1)/2)-(($E219-1)*($E219-1+1)/2))*W$2), 0)+IF(IF(time+1&gt;=X$2, $K219/time_cap/(time+1)*W$2, 0) = 0, $K219/(time_cap),0)),0)</f>
        <v/>
      </c>
      <c r="X219" s="4395">
        <f>IFERROR(IF((time+time_cap)&lt;X$2, 0,IF(AND(time+1&gt;=Y$2, $E219&lt;Y$2), IF($I219= "I", $J219/($F219-$E219+1), $J219/(($F219*($F219+1)/2)-(($E219-1)*($E219-1+1)/2))*X$2), 0)+IF(IF(time+1&gt;=Y$2, $K219/time_cap/(time+1)*X$2, 0) = 0, $K219/(time_cap),0)),0)</f>
        <v/>
      </c>
      <c r="Y219" s="4395">
        <f>IFERROR(IF((time+time_cap)&lt;Y$2, 0,IF(AND(time+1&gt;=Z$2, $E219&lt;Z$2), IF($I219= "I", $J219/($F219-$E219+1), $J219/(($F219*($F219+1)/2)-(($E219-1)*($E219-1+1)/2))*Y$2), 0)+IF(IF(time+1&gt;=Z$2, $K219/time_cap/(time+1)*Y$2, 0) = 0, $K219/(time_cap),0)),0)</f>
        <v/>
      </c>
      <c r="Z219" s="4395">
        <f>IFERROR(IF((time+time_cap)&lt;Z$2, 0,IF(AND(time+1&gt;=AA$2, $E219&lt;AA$2), IF($I219= "I", $J219/($F219-$E219+1), $J219/(($F219*($F219+1)/2)-(($E219-1)*($E219-1+1)/2))*Z$2), 0)+IF(IF(time+1&gt;=AA$2, $K219/time_cap/(time+1)*Z$2, 0) = 0, $K219/(time_cap),0)),0)</f>
        <v/>
      </c>
      <c r="AA219" s="4395">
        <f>IFERROR(IF((time+time_cap)&lt;AA$2, 0,IF(AND(time+1&gt;=AB$2, $E219&lt;AB$2), IF($I219= "I", $J219/($F219-$E219+1), $J219/(($F219*($F219+1)/2)-(($E219-1)*($E219-1+1)/2))*AA$2), 0)+IF(IF(time+1&gt;=AB$2, $K219/time_cap/(time+1)*AA$2, 0) = 0, $K219/(time_cap),0)),0)</f>
        <v/>
      </c>
      <c r="AB219" s="4395">
        <f>IFERROR(IF((time+time_cap)&lt;AB$2, 0,IF(AND(time+1&gt;=AC$2, $E219&lt;AC$2), IF($I219= "I", $J219/($F219-$E219+1), $J219/(($F219*($F219+1)/2)-(($E219-1)*($E219-1+1)/2))*AB$2), 0)+IF(IF(time+1&gt;=AC$2, $K219/time_cap/(time+1)*AB$2, 0) = 0, $K219/(time_cap),0)),0)</f>
        <v/>
      </c>
      <c r="AC219" s="4395">
        <f>IFERROR(IF((time+time_cap)&lt;AC$2, 0,IF(AND(time+1&gt;=AD$2, $E219&lt;AD$2), IF($I219= "I", $J219/($F219-$E219+1), $J219/(($F219*($F219+1)/2)-(($E219-1)*($E219-1+1)/2))*AC$2), 0)+IF(IF(time+1&gt;=AD$2, $K219/time_cap/(time+1)*AC$2, 0) = 0, $K219/(time_cap),0)),0)</f>
        <v/>
      </c>
      <c r="AD219" s="4395">
        <f>IFERROR(IF((time+time_cap)&lt;AD$2, 0,IF(AND(time+1&gt;=AE$2, $E219&lt;AE$2), IF($I219= "I", $J219/($F219-$E219+1), $J219/(($F219*($F219+1)/2)-(($E219-1)*($E219-1+1)/2))*AD$2), 0)+IF(IF(time+1&gt;=AE$2, $K219/time_cap/(time+1)*AD$2, 0) = 0, $K219/(time_cap),0)),0)</f>
        <v/>
      </c>
      <c r="AE219" s="4395">
        <f>IFERROR(IF((time+time_cap)&lt;AE$2, 0,IF(AND(time+1&gt;=AF$2, $E219&lt;AF$2), IF($I219= "I", $J219/($F219-$E219+1), $J219/(($F219*($F219+1)/2)-(($E219-1)*($E219-1+1)/2))*AE$2), 0)+IF(IF(time+1&gt;=AF$2, $K219/time_cap/(time+1)*AE$2, 0) = 0, $K219/(time_cap),0)),0)</f>
        <v/>
      </c>
      <c r="AF219" s="4395">
        <f>IFERROR(IF((time+time_cap)&lt;AF$2, 0,IF(AND(time+1&gt;=AG$2, $E219&lt;AG$2), IF($I219= "I", $J219/($F219-$E219+1), $J219/(($F219*($F219+1)/2)-(($E219-1)*($E219-1+1)/2))*AF$2), 0)+IF(IF(time+1&gt;=AG$2, $K219/time_cap/(time+1)*AF$2, 0) = 0, $K219/(time_cap),0)),0)</f>
        <v/>
      </c>
      <c r="AG219" s="4395">
        <f>IFERROR(IF((time+time_cap)&lt;AG$2, 0,IF(AND(time+1&gt;=AH$2, $E219&lt;AH$2), IF($I219= "I", $J219/($F219-$E219+1), $J219/(($F219*($F219+1)/2)-(($E219-1)*($E219-1+1)/2))*AG$2), 0)+IF(IF(time+1&gt;=AH$2, $K219/time_cap/(time+1)*AG$2, 0) = 0, $K219/(time_cap),0)),0)</f>
        <v/>
      </c>
      <c r="AH219" s="4395">
        <f>IFERROR(IF((time+time_cap)&lt;AH$2, 0,IF(AND(time+1&gt;=AI$2, $E219&lt;AI$2), IF($I219= "I", $J219/($F219-$E219+1), $J219/(($F219*($F219+1)/2)-(($E219-1)*($E219-1+1)/2))*AH$2), 0)+IF(IF(time+1&gt;=AI$2, $K219/time_cap/(time+1)*AH$2, 0) = 0, $K219/(time_cap),0)),0)</f>
        <v/>
      </c>
      <c r="AI219" s="4395">
        <f>IFERROR(IF((time+time_cap)&lt;AI$2, 0,IF(AND(time+1&gt;=AJ$2, $E219&lt;AJ$2), IF($I219= "I", $J219/($F219-$E219+1), $J219/(($F219*($F219+1)/2)-(($E219-1)*($E219-1+1)/2))*AI$2), 0)+IF(IF(time+1&gt;=AJ$2, $K219/time_cap/(time+1)*AI$2, 0) = 0, $K219/(time_cap),0)),0)</f>
        <v/>
      </c>
      <c r="AJ219" s="4395">
        <f>IFERROR(IF((time+time_cap)&lt;AJ$2, 0,IF(AND(time+1&gt;=AK$2, $E219&lt;AK$2), IF($I219= "I", $J219/($F219-$E219+1), $J219/(($F219*($F219+1)/2)-(($E219-1)*($E219-1+1)/2))*AJ$2), 0)+IF(IF(time+1&gt;=AK$2, $K219/time_cap/(time+1)*AJ$2, 0) = 0, $K219/(time_cap),0)),0)</f>
        <v/>
      </c>
      <c r="AK219" s="4395">
        <f>IFERROR(IF((time+time_cap)&lt;AK$2, 0,IF(AND(time+1&gt;=AL$2, $E219&lt;AL$2), IF($I219= "I", $J219/($F219-$E219+1), $J219/(($F219*($F219+1)/2)-(($E219-1)*($E219-1+1)/2))*AK$2), 0)+IF(IF(time+1&gt;=AL$2, $K219/time_cap/(time+1)*AK$2, 0) = 0, $K219/(time_cap),0)),0)</f>
        <v/>
      </c>
      <c r="AL219" s="4395">
        <f>IFERROR(IF((time+time_cap)&lt;AL$2, 0,IF(AND(time+1&gt;=AM$2, $E219&lt;AM$2), IF($I219= "I", $J219/($F219-$E219+1), $J219/(($F219*($F219+1)/2)-(($E219-1)*($E219-1+1)/2))*AL$2), 0)+IF(IF(time+1&gt;=AM$2, $K219/time_cap/(time+1)*AL$2, 0) = 0, $K219/(time_cap),0)),0)</f>
        <v/>
      </c>
      <c r="AM219" s="4395">
        <f>IFERROR(IF((time+time_cap)&lt;AM$2, 0,IF(AND(time+1&gt;=AN$2, $E219&lt;AN$2), IF($I219= "I", $J219/($F219-$E219+1), $J219/(($F219*($F219+1)/2)-(($E219-1)*($E219-1+1)/2))*AM$2), 0)+IF(IF(time+1&gt;=AN$2, $K219/time_cap/(time+1)*AM$2, 0) = 0, $K219/(time_cap),0)),0)</f>
        <v/>
      </c>
      <c r="AN219" s="4395">
        <f>IFERROR(IF((time+time_cap)&lt;AN$2, 0,IF(AND(time+1&gt;=AO$2, $E219&lt;AO$2), IF($I219= "I", $J219/($F219-$E219+1), $J219/(($F219*($F219+1)/2)-(($E219-1)*($E219-1+1)/2))*AN$2), 0)+IF(IF(time+1&gt;=AO$2, $K219/time_cap/(time+1)*AN$2, 0) = 0, $K219/(time_cap),0)),0)</f>
        <v/>
      </c>
      <c r="AO219" s="4395">
        <f>IFERROR(IF((time+time_cap)&lt;AO$2, 0,IF(AND(time+1&gt;=AP$2, $E219&lt;AP$2), IF($I219= "I", $J219/($F219-$E219+1), $J219/(($F219*($F219+1)/2)-(($E219-1)*($E219-1+1)/2))*AO$2), 0)+IF(IF(time+1&gt;=AP$2, $K219/time_cap/(time+1)*AO$2, 0) = 0, $K219/(time_cap),0)),0)</f>
        <v/>
      </c>
      <c r="AP219" s="4395">
        <f>IFERROR(IF((time+time_cap)&lt;AP$2, 0,IF(AND(time+1&gt;=AQ$2, $E219&lt;AQ$2), IF($I219= "I", $J219/($F219-$E219+1), $J219/(($F219*($F219+1)/2)-(($E219-1)*($E219-1+1)/2))*AP$2), 0)+IF(IF(time+1&gt;=AQ$2, $K219/time_cap/(time+1)*AP$2, 0) = 0, $K219/(time_cap),0)),0)</f>
        <v/>
      </c>
      <c r="AQ219" s="4395">
        <f>IFERROR(IF((time+time_cap)&lt;AQ$2, 0,IF(AND(time+1&gt;=AR$2, $E219&lt;AR$2), IF($I219= "I", $J219/($F219-$E219+1), $J219/(($F219*($F219+1)/2)-(($E219-1)*($E219-1+1)/2))*AQ$2), 0)+IF(IF(time+1&gt;=AR$2, $K219/time_cap/(time+1)*AQ$2, 0) = 0, $K219/(time_cap),0)),0)</f>
        <v/>
      </c>
      <c r="AR219" s="4395">
        <f>IFERROR(IF((time+time_cap)&lt;AR$2, 0,IF(AND(time+1&gt;=AS$2, $E219&lt;AS$2), IF($I219= "I", $J219/($F219-$E219+1), $J219/(($F219*($F219+1)/2)-(($E219-1)*($E219-1+1)/2))*AR$2), 0)+IF(IF(time+1&gt;=AS$2, $K219/time_cap/(time+1)*AR$2, 0) = 0, $K219/(time_cap),0)),0)</f>
        <v/>
      </c>
      <c r="AS219" s="4395">
        <f>IFERROR(IF((time+time_cap)&lt;AS$2, 0,IF(AND(time+1&gt;=AT$2, $E219&lt;AT$2), IF($I219= "I", $J219/($F219-$E219+1), $J219/(($F219*($F219+1)/2)-(($E219-1)*($E219-1+1)/2))*AS$2), 0)+IF(IF(time+1&gt;=AT$2, $K219/time_cap/(time+1)*AS$2, 0) = 0, $K219/(time_cap),0)),0)</f>
        <v/>
      </c>
      <c r="AT219" s="4395">
        <f>IFERROR(IF((time+time_cap)&lt;AT$2, 0,IF(AND(time+1&gt;=AU$2, $E219&lt;AU$2), IF($I219= "I", $J219/($F219-$E219+1), $J219/(($F219*($F219+1)/2)-(($E219-1)*($E219-1+1)/2))*AT$2), 0)+IF(IF(time+1&gt;=AU$2, $K219/time_cap/(time+1)*AT$2, 0) = 0, $K219/(time_cap),0)),0)</f>
        <v/>
      </c>
      <c r="AU219" s="4395">
        <f>IFERROR(IF((time+time_cap)&lt;AU$2, 0,IF(AND(time+1&gt;=AV$2, $E219&lt;AV$2), IF($I219= "I", $J219/($F219-$E219+1), $J219/(($F219*($F219+1)/2)-(($E219-1)*($E219-1+1)/2))*AU$2), 0)+IF(IF(time+1&gt;=AV$2, $K219/time_cap/(time+1)*AU$2, 0) = 0, $K219/(time_cap),0)),0)</f>
        <v/>
      </c>
      <c r="AV219" s="4395">
        <f>IFERROR(IF((time+time_cap)&lt;AV$2, 0,IF(AND(time+1&gt;=AW$2, $E219&lt;AW$2), IF($I219= "I", $J219/($F219-$E219+1), $J219/(($F219*($F219+1)/2)-(($E219-1)*($E219-1+1)/2))*AV$2), 0)+IF(IF(time+1&gt;=AW$2, $K219/time_cap/(time+1)*AV$2, 0) = 0, $K219/(time_cap),0)),0)</f>
        <v/>
      </c>
      <c r="AW219" s="4395">
        <f>IFERROR(IF((time+time_cap)&lt;AW$2, 0,IF(AND(time+1&gt;=AX$2, $E219&lt;AX$2), IF($I219= "I", $J219/($F219-$E219+1), $J219/(($F219*($F219+1)/2)-(($E219-1)*($E219-1+1)/2))*AW$2), 0)+IF(IF(time+1&gt;=AX$2, $K219/time_cap/(time+1)*AW$2, 0) = 0, $K219/(time_cap),0)),0)</f>
        <v/>
      </c>
      <c r="AX219" s="4395">
        <f>IFERROR(IF((time+time_cap)&lt;AX$2, 0,IF(AND(time+1&gt;=AY$2, $E219&lt;AY$2), IF($I219= "I", $J219/($F219-$E219+1), $J219/(($F219*($F219+1)/2)-(($E219-1)*($E219-1+1)/2))*AX$2), 0)+IF(IF(time+1&gt;=AY$2, $K219/time_cap/(time+1)*AX$2, 0) = 0, $K219/(time_cap),0)),0)</f>
        <v/>
      </c>
      <c r="AY219" s="4395">
        <f>IFERROR(IF((time+time_cap)&lt;AY$2, 0,IF(AND(time+1&gt;=AZ$2, $E219&lt;AZ$2), IF($I219= "I", $J219/($F219-$E219+1), $J219/(($F219*($F219+1)/2)-(($E219-1)*($E219-1+1)/2))*AY$2), 0)+IF(IF(time+1&gt;=AZ$2, $K219/time_cap/(time+1)*AY$2, 0) = 0, $K219/(time_cap),0)),0)</f>
        <v/>
      </c>
      <c r="AZ219" s="4395">
        <f>IFERROR(IF((time+time_cap)&lt;AZ$2, 0,IF(AND(time+1&gt;=BA$2, $E219&lt;BA$2), IF($I219= "I", $J219/($F219-$E219+1), $J219/(($F219*($F219+1)/2)-(($E219-1)*($E219-1+1)/2))*AZ$2), 0)+IF(IF(time+1&gt;=BA$2, $K219/time_cap/(time+1)*AZ$2, 0) = 0, $K219/(time_cap),0)),0)</f>
        <v/>
      </c>
      <c r="BA219" s="4395">
        <f>IFERROR(IF((time+time_cap)&lt;BA$2, 0,IF(AND(time+1&gt;=BB$2, $E219&lt;BB$2), IF($I219= "I", $J219/($F219-$E219+1), $J219/(($F219*($F219+1)/2)-(($E219-1)*($E219-1+1)/2))*BA$2), 0)+IF(IF(time+1&gt;=BB$2, $K219/time_cap/(time+1)*BA$2, 0) = 0, $K219/(time_cap),0)),0)</f>
        <v/>
      </c>
      <c r="BB219" s="4395">
        <f>IFERROR(IF((time+time_cap)&lt;BB$2, 0,IF(AND(time+1&gt;=BC$2, $E219&lt;BC$2), IF($I219= "I", $J219/($F219-$E219+1), $J219/(($F219*($F219+1)/2)-(($E219-1)*($E219-1+1)/2))*BB$2), 0)+IF(IF(time+1&gt;=BC$2, $K219/time_cap/(time+1)*BB$2, 0) = 0, $K219/(time_cap),0)),0)</f>
        <v/>
      </c>
      <c r="BC219" s="4395">
        <f>IFERROR(IF((time+time_cap)&lt;BC$2, 0,IF(AND(time+1&gt;=BD$2, $E219&lt;BD$2), IF($I219= "I", $J219/($F219-$E219+1), $J219/(($F219*($F219+1)/2)-(($E219-1)*($E219-1+1)/2))*BC$2), 0)+IF(IF(time+1&gt;=BD$2, $K219/time_cap/(time+1)*BC$2, 0) = 0, $K219/(time_cap),0)),0)</f>
        <v/>
      </c>
      <c r="BD219" s="4395">
        <f>IFERROR(IF((time+time_cap)&lt;BD$2, 0,IF(AND(time+1&gt;=BE$2, $E219&lt;BE$2), IF($I219= "I", $J219/($F219-$E219+1), $J219/(($F219*($F219+1)/2)-(($E219-1)*($E219-1+1)/2))*BD$2), 0)+IF(IF(time+1&gt;=BE$2, $K219/time_cap/(time+1)*BD$2, 0) = 0, $K219/(time_cap),0)),0)</f>
        <v/>
      </c>
      <c r="BE219" s="4395">
        <f>IFERROR(IF((time+time_cap)&lt;BE$2, 0,IF(AND(time+1&gt;=BF$2, $E219&lt;BF$2), IF($I219= "I", $J219/($F219-$E219+1), $J219/(($F219*($F219+1)/2)-(($E219-1)*($E219-1+1)/2))*BE$2), 0)+IF(IF(time+1&gt;=BF$2, $K219/time_cap/(time+1)*BE$2, 0) = 0, $K219/(time_cap),0)),0)</f>
        <v/>
      </c>
      <c r="BF219" s="4395">
        <f>IFERROR(IF((time+time_cap)&lt;BF$2, 0,IF(AND(time+1&gt;=BG$2, $E219&lt;BG$2), IF($I219= "I", $J219/($F219-$E219+1), $J219/(($F219*($F219+1)/2)-(($E219-1)*($E219-1+1)/2))*BF$2), 0)+IF(IF(time+1&gt;=BG$2, $K219/time_cap/(time+1)*BF$2, 0) = 0, $K219/(time_cap),0)),0)</f>
        <v/>
      </c>
      <c r="BG219" s="4395">
        <f>IFERROR(IF((time+time_cap)&lt;BG$2, 0,IF(AND(time+1&gt;=BH$2, $E219&lt;BH$2), IF($I219= "I", $J219/($F219-$E219+1), $J219/(($F219*($F219+1)/2)-(($E219-1)*($E219-1+1)/2))*BG$2), 0)+IF(IF(time+1&gt;=BH$2, $K219/time_cap/(time+1)*BG$2, 0) = 0, $K219/(time_cap),0)),0)</f>
        <v/>
      </c>
      <c r="BH219" s="4395">
        <f>IFERROR(IF((time+time_cap)&lt;BH$2, 0,IF(AND(time+1&gt;=BI$2, $E219&lt;BI$2), IF($I219= "I", $J219/($F219-$E219+1), $J219/(($F219*($F219+1)/2)-(($E219-1)*($E219-1+1)/2))*BH$2), 0)+IF(IF(time+1&gt;=BI$2, $K219/time_cap/(time+1)*BH$2, 0) = 0, $K219/(time_cap),0)),0)</f>
        <v/>
      </c>
      <c r="BI219" s="4395">
        <f>IFERROR(IF((time+time_cap)&lt;BI$2, 0,IF(AND(time+1&gt;=BJ$2, $E219&lt;BJ$2), IF($I219= "I", $J219/($F219-$E219+1), $J219/(($F219*($F219+1)/2)-(($E219-1)*($E219-1+1)/2))*BI$2), 0)+IF(IF(time+1&gt;=BJ$2, $K219/time_cap/(time+1)*BI$2, 0) = 0, $K219/(time_cap),0)),0)</f>
        <v/>
      </c>
      <c r="BJ219" s="4395">
        <f>IFERROR(IF((time+time_cap)&lt;BJ$2, 0,IF(AND(time+1&gt;=BK$2, $E219&lt;BK$2), IF($I219= "I", $J219/($F219-$E219+1), $J219/(($F219*($F219+1)/2)-(($E219-1)*($E219-1+1)/2))*BJ$2), 0)+IF(IF(time+1&gt;=BK$2, $K219/time_cap/(time+1)*BJ$2, 0) = 0, $K219/(time_cap),0)),0)</f>
        <v/>
      </c>
      <c r="BK219" s="4395" t="n"/>
      <c r="BL219" s="4395" t="n"/>
      <c r="BM219" s="4395" t="n"/>
      <c r="BN219" s="4395" t="n"/>
      <c r="BO219" s="4395" t="n"/>
      <c r="BP219" s="4395" t="n"/>
      <c r="BQ219" s="4395" t="n"/>
      <c r="BR219" s="4395" t="n"/>
      <c r="BS219" s="4395" t="n"/>
      <c r="BT219" s="4395" t="n"/>
      <c r="BU219" s="4395" t="n"/>
      <c r="BV219" s="4395" t="n"/>
      <c r="BW219" s="4395" t="n"/>
      <c r="BX219" s="4395" t="n"/>
      <c r="BY219" s="4395" t="n"/>
      <c r="BZ219" s="4395" t="n"/>
      <c r="CA219" s="4395" t="n"/>
      <c r="CB219" s="4395" t="n"/>
      <c r="CC219" s="4395" t="n"/>
      <c r="CD219" s="4395" t="n"/>
      <c r="CE219" s="4395" t="n"/>
      <c r="CF219" s="4395" t="n"/>
      <c r="CG219" s="4395" t="n"/>
      <c r="CH219" s="4395" t="n"/>
      <c r="CI219" s="4395" t="n"/>
      <c r="CJ219" s="4395" t="n"/>
      <c r="CK219" s="4395" t="n"/>
      <c r="CL219" s="4395" t="n"/>
      <c r="CM219" s="4395" t="n"/>
      <c r="CN219" s="4395" t="n"/>
      <c r="CO219" s="4395" t="n"/>
      <c r="CP219" s="4395" t="n"/>
      <c r="CQ219" s="4395" t="n"/>
      <c r="CR219" s="4395" t="n"/>
      <c r="CS219" s="4395" t="n"/>
      <c r="CT219" s="4395" t="n"/>
      <c r="CU219" s="4395" t="n"/>
      <c r="CV219" s="4395" t="n"/>
      <c r="CW219" s="4395" t="n"/>
      <c r="CX219" s="4395" t="n"/>
      <c r="CY219" s="4395" t="n"/>
      <c r="CZ219" s="4395" t="n"/>
      <c r="DA219" s="4395" t="n"/>
      <c r="DB219" s="4395" t="n"/>
      <c r="DC219" s="4395" t="n"/>
      <c r="DD219" s="4395" t="n"/>
      <c r="DE219" s="4395" t="n"/>
      <c r="DF219" s="4395" t="n"/>
      <c r="DG219" s="4395" t="n"/>
      <c r="DH219" s="4395" t="n"/>
    </row>
    <row r="220" ht="16" customHeight="1">
      <c r="A220" t="inlineStr">
        <is>
          <t>Energy</t>
        </is>
      </c>
      <c r="C220">
        <f>'9.Inputs'!C53</f>
        <v/>
      </c>
      <c r="D220">
        <f>'9.Inputs'!V53</f>
        <v/>
      </c>
      <c r="E220">
        <f>IF('9.Inputs'!BE53&lt;&gt;0,'9.Inputs'!BE53,'9.Inputs'!BD53)</f>
        <v/>
      </c>
      <c r="F220">
        <f>time</f>
        <v/>
      </c>
      <c r="G220" s="4395">
        <f>'9.Inputs'!F53</f>
        <v/>
      </c>
      <c r="H220" s="4395">
        <f>'9.Inputs'!H53</f>
        <v/>
      </c>
      <c r="I220" s="4395">
        <f>IF(OR(H220="I", G220="I"), "I", IF(OR(H220="E", G220="E"), "E", "D"))</f>
        <v/>
      </c>
      <c r="J220" s="4395">
        <f>((D220/(time_cap+((F220-E220+1)*VLOOKUP(I220,list!$I$48:$K$50,3, FALSE))))*(F220-E220+1)*VLOOKUP(I220,list!$I$48:$K$50,3, FALSE))</f>
        <v/>
      </c>
      <c r="K220" s="4395">
        <f>((D220/(time_cap+((F220-E220+1)*VLOOKUP(I220,list!$I$48:$K$50,3, FALSE))))*time_cap)</f>
        <v/>
      </c>
      <c r="M220" s="4395">
        <f>IFERROR(IF((time+time_cap)&lt;M$2, 0,IF(AND(time+1&gt;=N$2, $E220&lt;N$2), IF($I220= "I", $J220/($F220-$E220+1), $J220/(($F220*($F220+1)/2)-(($E220-1)*($E220-1+1)/2))*M$2), 0)+IF(IF(time+1&gt;=N$2, $K220/time_cap/(time+1)*M$2, 0) = 0, $K220/(time_cap),0)),0)</f>
        <v/>
      </c>
      <c r="N220" s="4395">
        <f>IFERROR(IF((time+time_cap)&lt;N$2, 0,IF(AND(time+1&gt;=O$2, $E220&lt;O$2), IF($I220= "I", $J220/($F220-$E220+1), $J220/(($F220*($F220+1)/2)-(($E220-1)*($E220-1+1)/2))*N$2), 0)+IF(IF(time+1&gt;=O$2, $K220/time_cap/(time+1)*N$2, 0) = 0, $K220/(time_cap),0)),0)</f>
        <v/>
      </c>
      <c r="O220" s="4395">
        <f>IFERROR(IF((time+time_cap)&lt;O$2, 0,IF(AND(time+1&gt;=P$2, $E220&lt;P$2), IF($I220= "I", $J220/($F220-$E220+1), $J220/(($F220*($F220+1)/2)-(($E220-1)*($E220-1+1)/2))*O$2), 0)+IF(IF(time+1&gt;=P$2, $K220/time_cap/(time+1)*O$2, 0) = 0, $K220/(time_cap),0)),0)</f>
        <v/>
      </c>
      <c r="P220" s="4395">
        <f>IFERROR(IF((time+time_cap)&lt;P$2, 0,IF(AND(time+1&gt;=Q$2, $E220&lt;Q$2), IF($I220= "I", $J220/($F220-$E220+1), $J220/(($F220*($F220+1)/2)-(($E220-1)*($E220-1+1)/2))*P$2), 0)+IF(IF(time+1&gt;=Q$2, $K220/time_cap/(time+1)*P$2, 0) = 0, $K220/(time_cap),0)),0)</f>
        <v/>
      </c>
      <c r="Q220" s="4395">
        <f>IFERROR(IF((time+time_cap)&lt;Q$2, 0,IF(AND(time+1&gt;=R$2, $E220&lt;R$2), IF($I220= "I", $J220/($F220-$E220+1), $J220/(($F220*($F220+1)/2)-(($E220-1)*($E220-1+1)/2))*Q$2), 0)+IF(IF(time+1&gt;=R$2, $K220/time_cap/(time+1)*Q$2, 0) = 0, $K220/(time_cap),0)),0)</f>
        <v/>
      </c>
      <c r="R220" s="4395">
        <f>IFERROR(IF((time+time_cap)&lt;R$2, 0,IF(AND(time+1&gt;=S$2, $E220&lt;S$2), IF($I220= "I", $J220/($F220-$E220+1), $J220/(($F220*($F220+1)/2)-(($E220-1)*($E220-1+1)/2))*R$2), 0)+IF(IF(time+1&gt;=S$2, $K220/time_cap/(time+1)*R$2, 0) = 0, $K220/(time_cap),0)),0)</f>
        <v/>
      </c>
      <c r="S220" s="4395">
        <f>IFERROR(IF((time+time_cap)&lt;S$2, 0,IF(AND(time+1&gt;=T$2, $E220&lt;T$2), IF($I220= "I", $J220/($F220-$E220+1), $J220/(($F220*($F220+1)/2)-(($E220-1)*($E220-1+1)/2))*S$2), 0)+IF(IF(time+1&gt;=T$2, $K220/time_cap/(time+1)*S$2, 0) = 0, $K220/(time_cap),0)),0)</f>
        <v/>
      </c>
      <c r="T220" s="4395">
        <f>IFERROR(IF((time+time_cap)&lt;T$2, 0,IF(AND(time+1&gt;=U$2, $E220&lt;U$2), IF($I220= "I", $J220/($F220-$E220+1), $J220/(($F220*($F220+1)/2)-(($E220-1)*($E220-1+1)/2))*T$2), 0)+IF(IF(time+1&gt;=U$2, $K220/time_cap/(time+1)*T$2, 0) = 0, $K220/(time_cap),0)),0)</f>
        <v/>
      </c>
      <c r="U220" s="4395">
        <f>IFERROR(IF((time+time_cap)&lt;U$2, 0,IF(AND(time+1&gt;=V$2, $E220&lt;V$2), IF($I220= "I", $J220/($F220-$E220+1), $J220/(($F220*($F220+1)/2)-(($E220-1)*($E220-1+1)/2))*U$2), 0)+IF(IF(time+1&gt;=V$2, $K220/time_cap/(time+1)*U$2, 0) = 0, $K220/(time_cap),0)),0)</f>
        <v/>
      </c>
      <c r="V220" s="4395">
        <f>IFERROR(IF((time+time_cap)&lt;V$2, 0,IF(AND(time+1&gt;=W$2, $E220&lt;W$2), IF($I220= "I", $J220/($F220-$E220+1), $J220/(($F220*($F220+1)/2)-(($E220-1)*($E220-1+1)/2))*V$2), 0)+IF(IF(time+1&gt;=W$2, $K220/time_cap/(time+1)*V$2, 0) = 0, $K220/(time_cap),0)),0)</f>
        <v/>
      </c>
      <c r="W220" s="4395">
        <f>IFERROR(IF((time+time_cap)&lt;W$2, 0,IF(AND(time+1&gt;=X$2, $E220&lt;X$2), IF($I220= "I", $J220/($F220-$E220+1), $J220/(($F220*($F220+1)/2)-(($E220-1)*($E220-1+1)/2))*W$2), 0)+IF(IF(time+1&gt;=X$2, $K220/time_cap/(time+1)*W$2, 0) = 0, $K220/(time_cap),0)),0)</f>
        <v/>
      </c>
      <c r="X220" s="4395">
        <f>IFERROR(IF((time+time_cap)&lt;X$2, 0,IF(AND(time+1&gt;=Y$2, $E220&lt;Y$2), IF($I220= "I", $J220/($F220-$E220+1), $J220/(($F220*($F220+1)/2)-(($E220-1)*($E220-1+1)/2))*X$2), 0)+IF(IF(time+1&gt;=Y$2, $K220/time_cap/(time+1)*X$2, 0) = 0, $K220/(time_cap),0)),0)</f>
        <v/>
      </c>
      <c r="Y220" s="4395">
        <f>IFERROR(IF((time+time_cap)&lt;Y$2, 0,IF(AND(time+1&gt;=Z$2, $E220&lt;Z$2), IF($I220= "I", $J220/($F220-$E220+1), $J220/(($F220*($F220+1)/2)-(($E220-1)*($E220-1+1)/2))*Y$2), 0)+IF(IF(time+1&gt;=Z$2, $K220/time_cap/(time+1)*Y$2, 0) = 0, $K220/(time_cap),0)),0)</f>
        <v/>
      </c>
      <c r="Z220" s="4395">
        <f>IFERROR(IF((time+time_cap)&lt;Z$2, 0,IF(AND(time+1&gt;=AA$2, $E220&lt;AA$2), IF($I220= "I", $J220/($F220-$E220+1), $J220/(($F220*($F220+1)/2)-(($E220-1)*($E220-1+1)/2))*Z$2), 0)+IF(IF(time+1&gt;=AA$2, $K220/time_cap/(time+1)*Z$2, 0) = 0, $K220/(time_cap),0)),0)</f>
        <v/>
      </c>
      <c r="AA220" s="4395">
        <f>IFERROR(IF((time+time_cap)&lt;AA$2, 0,IF(AND(time+1&gt;=AB$2, $E220&lt;AB$2), IF($I220= "I", $J220/($F220-$E220+1), $J220/(($F220*($F220+1)/2)-(($E220-1)*($E220-1+1)/2))*AA$2), 0)+IF(IF(time+1&gt;=AB$2, $K220/time_cap/(time+1)*AA$2, 0) = 0, $K220/(time_cap),0)),0)</f>
        <v/>
      </c>
      <c r="AB220" s="4395">
        <f>IFERROR(IF((time+time_cap)&lt;AB$2, 0,IF(AND(time+1&gt;=AC$2, $E220&lt;AC$2), IF($I220= "I", $J220/($F220-$E220+1), $J220/(($F220*($F220+1)/2)-(($E220-1)*($E220-1+1)/2))*AB$2), 0)+IF(IF(time+1&gt;=AC$2, $K220/time_cap/(time+1)*AB$2, 0) = 0, $K220/(time_cap),0)),0)</f>
        <v/>
      </c>
      <c r="AC220" s="4395">
        <f>IFERROR(IF((time+time_cap)&lt;AC$2, 0,IF(AND(time+1&gt;=AD$2, $E220&lt;AD$2), IF($I220= "I", $J220/($F220-$E220+1), $J220/(($F220*($F220+1)/2)-(($E220-1)*($E220-1+1)/2))*AC$2), 0)+IF(IF(time+1&gt;=AD$2, $K220/time_cap/(time+1)*AC$2, 0) = 0, $K220/(time_cap),0)),0)</f>
        <v/>
      </c>
      <c r="AD220" s="4395">
        <f>IFERROR(IF((time+time_cap)&lt;AD$2, 0,IF(AND(time+1&gt;=AE$2, $E220&lt;AE$2), IF($I220= "I", $J220/($F220-$E220+1), $J220/(($F220*($F220+1)/2)-(($E220-1)*($E220-1+1)/2))*AD$2), 0)+IF(IF(time+1&gt;=AE$2, $K220/time_cap/(time+1)*AD$2, 0) = 0, $K220/(time_cap),0)),0)</f>
        <v/>
      </c>
      <c r="AE220" s="4395">
        <f>IFERROR(IF((time+time_cap)&lt;AE$2, 0,IF(AND(time+1&gt;=AF$2, $E220&lt;AF$2), IF($I220= "I", $J220/($F220-$E220+1), $J220/(($F220*($F220+1)/2)-(($E220-1)*($E220-1+1)/2))*AE$2), 0)+IF(IF(time+1&gt;=AF$2, $K220/time_cap/(time+1)*AE$2, 0) = 0, $K220/(time_cap),0)),0)</f>
        <v/>
      </c>
      <c r="AF220" s="4395">
        <f>IFERROR(IF((time+time_cap)&lt;AF$2, 0,IF(AND(time+1&gt;=AG$2, $E220&lt;AG$2), IF($I220= "I", $J220/($F220-$E220+1), $J220/(($F220*($F220+1)/2)-(($E220-1)*($E220-1+1)/2))*AF$2), 0)+IF(IF(time+1&gt;=AG$2, $K220/time_cap/(time+1)*AF$2, 0) = 0, $K220/(time_cap),0)),0)</f>
        <v/>
      </c>
      <c r="AG220" s="4395">
        <f>IFERROR(IF((time+time_cap)&lt;AG$2, 0,IF(AND(time+1&gt;=AH$2, $E220&lt;AH$2), IF($I220= "I", $J220/($F220-$E220+1), $J220/(($F220*($F220+1)/2)-(($E220-1)*($E220-1+1)/2))*AG$2), 0)+IF(IF(time+1&gt;=AH$2, $K220/time_cap/(time+1)*AG$2, 0) = 0, $K220/(time_cap),0)),0)</f>
        <v/>
      </c>
      <c r="AH220" s="4395">
        <f>IFERROR(IF((time+time_cap)&lt;AH$2, 0,IF(AND(time+1&gt;=AI$2, $E220&lt;AI$2), IF($I220= "I", $J220/($F220-$E220+1), $J220/(($F220*($F220+1)/2)-(($E220-1)*($E220-1+1)/2))*AH$2), 0)+IF(IF(time+1&gt;=AI$2, $K220/time_cap/(time+1)*AH$2, 0) = 0, $K220/(time_cap),0)),0)</f>
        <v/>
      </c>
      <c r="AI220" s="4395">
        <f>IFERROR(IF((time+time_cap)&lt;AI$2, 0,IF(AND(time+1&gt;=AJ$2, $E220&lt;AJ$2), IF($I220= "I", $J220/($F220-$E220+1), $J220/(($F220*($F220+1)/2)-(($E220-1)*($E220-1+1)/2))*AI$2), 0)+IF(IF(time+1&gt;=AJ$2, $K220/time_cap/(time+1)*AI$2, 0) = 0, $K220/(time_cap),0)),0)</f>
        <v/>
      </c>
      <c r="AJ220" s="4395">
        <f>IFERROR(IF((time+time_cap)&lt;AJ$2, 0,IF(AND(time+1&gt;=AK$2, $E220&lt;AK$2), IF($I220= "I", $J220/($F220-$E220+1), $J220/(($F220*($F220+1)/2)-(($E220-1)*($E220-1+1)/2))*AJ$2), 0)+IF(IF(time+1&gt;=AK$2, $K220/time_cap/(time+1)*AJ$2, 0) = 0, $K220/(time_cap),0)),0)</f>
        <v/>
      </c>
      <c r="AK220" s="4395">
        <f>IFERROR(IF((time+time_cap)&lt;AK$2, 0,IF(AND(time+1&gt;=AL$2, $E220&lt;AL$2), IF($I220= "I", $J220/($F220-$E220+1), $J220/(($F220*($F220+1)/2)-(($E220-1)*($E220-1+1)/2))*AK$2), 0)+IF(IF(time+1&gt;=AL$2, $K220/time_cap/(time+1)*AK$2, 0) = 0, $K220/(time_cap),0)),0)</f>
        <v/>
      </c>
      <c r="AL220" s="4395">
        <f>IFERROR(IF((time+time_cap)&lt;AL$2, 0,IF(AND(time+1&gt;=AM$2, $E220&lt;AM$2), IF($I220= "I", $J220/($F220-$E220+1), $J220/(($F220*($F220+1)/2)-(($E220-1)*($E220-1+1)/2))*AL$2), 0)+IF(IF(time+1&gt;=AM$2, $K220/time_cap/(time+1)*AL$2, 0) = 0, $K220/(time_cap),0)),0)</f>
        <v/>
      </c>
      <c r="AM220" s="4395">
        <f>IFERROR(IF((time+time_cap)&lt;AM$2, 0,IF(AND(time+1&gt;=AN$2, $E220&lt;AN$2), IF($I220= "I", $J220/($F220-$E220+1), $J220/(($F220*($F220+1)/2)-(($E220-1)*($E220-1+1)/2))*AM$2), 0)+IF(IF(time+1&gt;=AN$2, $K220/time_cap/(time+1)*AM$2, 0) = 0, $K220/(time_cap),0)),0)</f>
        <v/>
      </c>
      <c r="AN220" s="4395">
        <f>IFERROR(IF((time+time_cap)&lt;AN$2, 0,IF(AND(time+1&gt;=AO$2, $E220&lt;AO$2), IF($I220= "I", $J220/($F220-$E220+1), $J220/(($F220*($F220+1)/2)-(($E220-1)*($E220-1+1)/2))*AN$2), 0)+IF(IF(time+1&gt;=AO$2, $K220/time_cap/(time+1)*AN$2, 0) = 0, $K220/(time_cap),0)),0)</f>
        <v/>
      </c>
      <c r="AO220" s="4395">
        <f>IFERROR(IF((time+time_cap)&lt;AO$2, 0,IF(AND(time+1&gt;=AP$2, $E220&lt;AP$2), IF($I220= "I", $J220/($F220-$E220+1), $J220/(($F220*($F220+1)/2)-(($E220-1)*($E220-1+1)/2))*AO$2), 0)+IF(IF(time+1&gt;=AP$2, $K220/time_cap/(time+1)*AO$2, 0) = 0, $K220/(time_cap),0)),0)</f>
        <v/>
      </c>
      <c r="AP220" s="4395">
        <f>IFERROR(IF((time+time_cap)&lt;AP$2, 0,IF(AND(time+1&gt;=AQ$2, $E220&lt;AQ$2), IF($I220= "I", $J220/($F220-$E220+1), $J220/(($F220*($F220+1)/2)-(($E220-1)*($E220-1+1)/2))*AP$2), 0)+IF(IF(time+1&gt;=AQ$2, $K220/time_cap/(time+1)*AP$2, 0) = 0, $K220/(time_cap),0)),0)</f>
        <v/>
      </c>
      <c r="AQ220" s="4395">
        <f>IFERROR(IF((time+time_cap)&lt;AQ$2, 0,IF(AND(time+1&gt;=AR$2, $E220&lt;AR$2), IF($I220= "I", $J220/($F220-$E220+1), $J220/(($F220*($F220+1)/2)-(($E220-1)*($E220-1+1)/2))*AQ$2), 0)+IF(IF(time+1&gt;=AR$2, $K220/time_cap/(time+1)*AQ$2, 0) = 0, $K220/(time_cap),0)),0)</f>
        <v/>
      </c>
      <c r="AR220" s="4395">
        <f>IFERROR(IF((time+time_cap)&lt;AR$2, 0,IF(AND(time+1&gt;=AS$2, $E220&lt;AS$2), IF($I220= "I", $J220/($F220-$E220+1), $J220/(($F220*($F220+1)/2)-(($E220-1)*($E220-1+1)/2))*AR$2), 0)+IF(IF(time+1&gt;=AS$2, $K220/time_cap/(time+1)*AR$2, 0) = 0, $K220/(time_cap),0)),0)</f>
        <v/>
      </c>
      <c r="AS220" s="4395">
        <f>IFERROR(IF((time+time_cap)&lt;AS$2, 0,IF(AND(time+1&gt;=AT$2, $E220&lt;AT$2), IF($I220= "I", $J220/($F220-$E220+1), $J220/(($F220*($F220+1)/2)-(($E220-1)*($E220-1+1)/2))*AS$2), 0)+IF(IF(time+1&gt;=AT$2, $K220/time_cap/(time+1)*AS$2, 0) = 0, $K220/(time_cap),0)),0)</f>
        <v/>
      </c>
      <c r="AT220" s="4395">
        <f>IFERROR(IF((time+time_cap)&lt;AT$2, 0,IF(AND(time+1&gt;=AU$2, $E220&lt;AU$2), IF($I220= "I", $J220/($F220-$E220+1), $J220/(($F220*($F220+1)/2)-(($E220-1)*($E220-1+1)/2))*AT$2), 0)+IF(IF(time+1&gt;=AU$2, $K220/time_cap/(time+1)*AT$2, 0) = 0, $K220/(time_cap),0)),0)</f>
        <v/>
      </c>
      <c r="AU220" s="4395">
        <f>IFERROR(IF((time+time_cap)&lt;AU$2, 0,IF(AND(time+1&gt;=AV$2, $E220&lt;AV$2), IF($I220= "I", $J220/($F220-$E220+1), $J220/(($F220*($F220+1)/2)-(($E220-1)*($E220-1+1)/2))*AU$2), 0)+IF(IF(time+1&gt;=AV$2, $K220/time_cap/(time+1)*AU$2, 0) = 0, $K220/(time_cap),0)),0)</f>
        <v/>
      </c>
      <c r="AV220" s="4395">
        <f>IFERROR(IF((time+time_cap)&lt;AV$2, 0,IF(AND(time+1&gt;=AW$2, $E220&lt;AW$2), IF($I220= "I", $J220/($F220-$E220+1), $J220/(($F220*($F220+1)/2)-(($E220-1)*($E220-1+1)/2))*AV$2), 0)+IF(IF(time+1&gt;=AW$2, $K220/time_cap/(time+1)*AV$2, 0) = 0, $K220/(time_cap),0)),0)</f>
        <v/>
      </c>
      <c r="AW220" s="4395">
        <f>IFERROR(IF((time+time_cap)&lt;AW$2, 0,IF(AND(time+1&gt;=AX$2, $E220&lt;AX$2), IF($I220= "I", $J220/($F220-$E220+1), $J220/(($F220*($F220+1)/2)-(($E220-1)*($E220-1+1)/2))*AW$2), 0)+IF(IF(time+1&gt;=AX$2, $K220/time_cap/(time+1)*AW$2, 0) = 0, $K220/(time_cap),0)),0)</f>
        <v/>
      </c>
      <c r="AX220" s="4395">
        <f>IFERROR(IF((time+time_cap)&lt;AX$2, 0,IF(AND(time+1&gt;=AY$2, $E220&lt;AY$2), IF($I220= "I", $J220/($F220-$E220+1), $J220/(($F220*($F220+1)/2)-(($E220-1)*($E220-1+1)/2))*AX$2), 0)+IF(IF(time+1&gt;=AY$2, $K220/time_cap/(time+1)*AX$2, 0) = 0, $K220/(time_cap),0)),0)</f>
        <v/>
      </c>
      <c r="AY220" s="4395">
        <f>IFERROR(IF((time+time_cap)&lt;AY$2, 0,IF(AND(time+1&gt;=AZ$2, $E220&lt;AZ$2), IF($I220= "I", $J220/($F220-$E220+1), $J220/(($F220*($F220+1)/2)-(($E220-1)*($E220-1+1)/2))*AY$2), 0)+IF(IF(time+1&gt;=AZ$2, $K220/time_cap/(time+1)*AY$2, 0) = 0, $K220/(time_cap),0)),0)</f>
        <v/>
      </c>
      <c r="AZ220" s="4395">
        <f>IFERROR(IF((time+time_cap)&lt;AZ$2, 0,IF(AND(time+1&gt;=BA$2, $E220&lt;BA$2), IF($I220= "I", $J220/($F220-$E220+1), $J220/(($F220*($F220+1)/2)-(($E220-1)*($E220-1+1)/2))*AZ$2), 0)+IF(IF(time+1&gt;=BA$2, $K220/time_cap/(time+1)*AZ$2, 0) = 0, $K220/(time_cap),0)),0)</f>
        <v/>
      </c>
      <c r="BA220" s="4395">
        <f>IFERROR(IF((time+time_cap)&lt;BA$2, 0,IF(AND(time+1&gt;=BB$2, $E220&lt;BB$2), IF($I220= "I", $J220/($F220-$E220+1), $J220/(($F220*($F220+1)/2)-(($E220-1)*($E220-1+1)/2))*BA$2), 0)+IF(IF(time+1&gt;=BB$2, $K220/time_cap/(time+1)*BA$2, 0) = 0, $K220/(time_cap),0)),0)</f>
        <v/>
      </c>
      <c r="BB220" s="4395">
        <f>IFERROR(IF((time+time_cap)&lt;BB$2, 0,IF(AND(time+1&gt;=BC$2, $E220&lt;BC$2), IF($I220= "I", $J220/($F220-$E220+1), $J220/(($F220*($F220+1)/2)-(($E220-1)*($E220-1+1)/2))*BB$2), 0)+IF(IF(time+1&gt;=BC$2, $K220/time_cap/(time+1)*BB$2, 0) = 0, $K220/(time_cap),0)),0)</f>
        <v/>
      </c>
      <c r="BC220" s="4395">
        <f>IFERROR(IF((time+time_cap)&lt;BC$2, 0,IF(AND(time+1&gt;=BD$2, $E220&lt;BD$2), IF($I220= "I", $J220/($F220-$E220+1), $J220/(($F220*($F220+1)/2)-(($E220-1)*($E220-1+1)/2))*BC$2), 0)+IF(IF(time+1&gt;=BD$2, $K220/time_cap/(time+1)*BC$2, 0) = 0, $K220/(time_cap),0)),0)</f>
        <v/>
      </c>
      <c r="BD220" s="4395">
        <f>IFERROR(IF((time+time_cap)&lt;BD$2, 0,IF(AND(time+1&gt;=BE$2, $E220&lt;BE$2), IF($I220= "I", $J220/($F220-$E220+1), $J220/(($F220*($F220+1)/2)-(($E220-1)*($E220-1+1)/2))*BD$2), 0)+IF(IF(time+1&gt;=BE$2, $K220/time_cap/(time+1)*BD$2, 0) = 0, $K220/(time_cap),0)),0)</f>
        <v/>
      </c>
      <c r="BE220" s="4395">
        <f>IFERROR(IF((time+time_cap)&lt;BE$2, 0,IF(AND(time+1&gt;=BF$2, $E220&lt;BF$2), IF($I220= "I", $J220/($F220-$E220+1), $J220/(($F220*($F220+1)/2)-(($E220-1)*($E220-1+1)/2))*BE$2), 0)+IF(IF(time+1&gt;=BF$2, $K220/time_cap/(time+1)*BE$2, 0) = 0, $K220/(time_cap),0)),0)</f>
        <v/>
      </c>
      <c r="BF220" s="4395">
        <f>IFERROR(IF((time+time_cap)&lt;BF$2, 0,IF(AND(time+1&gt;=BG$2, $E220&lt;BG$2), IF($I220= "I", $J220/($F220-$E220+1), $J220/(($F220*($F220+1)/2)-(($E220-1)*($E220-1+1)/2))*BF$2), 0)+IF(IF(time+1&gt;=BG$2, $K220/time_cap/(time+1)*BF$2, 0) = 0, $K220/(time_cap),0)),0)</f>
        <v/>
      </c>
      <c r="BG220" s="4395">
        <f>IFERROR(IF((time+time_cap)&lt;BG$2, 0,IF(AND(time+1&gt;=BH$2, $E220&lt;BH$2), IF($I220= "I", $J220/($F220-$E220+1), $J220/(($F220*($F220+1)/2)-(($E220-1)*($E220-1+1)/2))*BG$2), 0)+IF(IF(time+1&gt;=BH$2, $K220/time_cap/(time+1)*BG$2, 0) = 0, $K220/(time_cap),0)),0)</f>
        <v/>
      </c>
      <c r="BH220" s="4395">
        <f>IFERROR(IF((time+time_cap)&lt;BH$2, 0,IF(AND(time+1&gt;=BI$2, $E220&lt;BI$2), IF($I220= "I", $J220/($F220-$E220+1), $J220/(($F220*($F220+1)/2)-(($E220-1)*($E220-1+1)/2))*BH$2), 0)+IF(IF(time+1&gt;=BI$2, $K220/time_cap/(time+1)*BH$2, 0) = 0, $K220/(time_cap),0)),0)</f>
        <v/>
      </c>
      <c r="BI220" s="4395">
        <f>IFERROR(IF((time+time_cap)&lt;BI$2, 0,IF(AND(time+1&gt;=BJ$2, $E220&lt;BJ$2), IF($I220= "I", $J220/($F220-$E220+1), $J220/(($F220*($F220+1)/2)-(($E220-1)*($E220-1+1)/2))*BI$2), 0)+IF(IF(time+1&gt;=BJ$2, $K220/time_cap/(time+1)*BI$2, 0) = 0, $K220/(time_cap),0)),0)</f>
        <v/>
      </c>
      <c r="BJ220" s="4395">
        <f>IFERROR(IF((time+time_cap)&lt;BJ$2, 0,IF(AND(time+1&gt;=BK$2, $E220&lt;BK$2), IF($I220= "I", $J220/($F220-$E220+1), $J220/(($F220*($F220+1)/2)-(($E220-1)*($E220-1+1)/2))*BJ$2), 0)+IF(IF(time+1&gt;=BK$2, $K220/time_cap/(time+1)*BJ$2, 0) = 0, $K220/(time_cap),0)),0)</f>
        <v/>
      </c>
      <c r="BK220" s="4395" t="n"/>
      <c r="BL220" s="4395" t="n"/>
      <c r="BM220" s="4395" t="n"/>
      <c r="BN220" s="4395" t="n"/>
      <c r="BO220" s="4395" t="n"/>
      <c r="BP220" s="4395" t="n"/>
      <c r="BQ220" s="4395" t="n"/>
      <c r="BR220" s="4395" t="n"/>
      <c r="BS220" s="4395" t="n"/>
      <c r="BT220" s="4395" t="n"/>
      <c r="BU220" s="4395" t="n"/>
      <c r="BV220" s="4395" t="n"/>
      <c r="BW220" s="4395" t="n"/>
      <c r="BX220" s="4395" t="n"/>
      <c r="BY220" s="4395" t="n"/>
      <c r="BZ220" s="4395" t="n"/>
      <c r="CA220" s="4395" t="n"/>
      <c r="CB220" s="4395" t="n"/>
      <c r="CC220" s="4395" t="n"/>
      <c r="CD220" s="4395" t="n"/>
      <c r="CE220" s="4395" t="n"/>
      <c r="CF220" s="4395" t="n"/>
      <c r="CG220" s="4395" t="n"/>
      <c r="CH220" s="4395" t="n"/>
      <c r="CI220" s="4395" t="n"/>
      <c r="CJ220" s="4395" t="n"/>
      <c r="CK220" s="4395" t="n"/>
      <c r="CL220" s="4395" t="n"/>
      <c r="CM220" s="4395" t="n"/>
      <c r="CN220" s="4395" t="n"/>
      <c r="CO220" s="4395" t="n"/>
      <c r="CP220" s="4395" t="n"/>
      <c r="CQ220" s="4395" t="n"/>
      <c r="CR220" s="4395" t="n"/>
      <c r="CS220" s="4395" t="n"/>
      <c r="CT220" s="4395" t="n"/>
      <c r="CU220" s="4395" t="n"/>
      <c r="CV220" s="4395" t="n"/>
      <c r="CW220" s="4395" t="n"/>
      <c r="CX220" s="4395" t="n"/>
      <c r="CY220" s="4395" t="n"/>
      <c r="CZ220" s="4395" t="n"/>
      <c r="DA220" s="4395" t="n"/>
      <c r="DB220" s="4395" t="n"/>
      <c r="DC220" s="4395" t="n"/>
      <c r="DD220" s="4395" t="n"/>
      <c r="DE220" s="4395" t="n"/>
      <c r="DF220" s="4395" t="n"/>
      <c r="DG220" s="4395" t="n"/>
      <c r="DH220" s="4395" t="n"/>
    </row>
    <row r="221" ht="16" customHeight="1">
      <c r="A221" t="inlineStr">
        <is>
          <t>Energy</t>
        </is>
      </c>
      <c r="C221">
        <f>'9.Inputs'!C54</f>
        <v/>
      </c>
      <c r="D221">
        <f>'9.Inputs'!V54</f>
        <v/>
      </c>
      <c r="E221">
        <f>IF('9.Inputs'!BE54&lt;&gt;0,'9.Inputs'!BE54,'9.Inputs'!BD54)</f>
        <v/>
      </c>
      <c r="F221">
        <f>time</f>
        <v/>
      </c>
      <c r="G221" s="4395">
        <f>'9.Inputs'!F54</f>
        <v/>
      </c>
      <c r="H221" s="4395">
        <f>'9.Inputs'!H54</f>
        <v/>
      </c>
      <c r="I221" s="4395">
        <f>IF(OR(H221="I", G221="I"), "I", IF(OR(H221="E", G221="E"), "E", "D"))</f>
        <v/>
      </c>
      <c r="J221" s="4395">
        <f>((D221/(time_cap+((F221-E221+1)*VLOOKUP(I221,list!$I$48:$K$50,3, FALSE))))*(F221-E221+1)*VLOOKUP(I221,list!$I$48:$K$50,3, FALSE))</f>
        <v/>
      </c>
      <c r="K221" s="4395">
        <f>((D221/(time_cap+((F221-E221+1)*VLOOKUP(I221,list!$I$48:$K$50,3, FALSE))))*time_cap)</f>
        <v/>
      </c>
      <c r="M221" s="4395">
        <f>IFERROR(IF((time+time_cap)&lt;M$2, 0,IF(AND(time+1&gt;=N$2, $E221&lt;N$2), IF($I221= "I", $J221/($F221-$E221+1), $J221/(($F221*($F221+1)/2)-(($E221-1)*($E221-1+1)/2))*M$2), 0)+IF(IF(time+1&gt;=N$2, $K221/time_cap/(time+1)*M$2, 0) = 0, $K221/(time_cap),0)),0)</f>
        <v/>
      </c>
      <c r="N221" s="4395">
        <f>IFERROR(IF((time+time_cap)&lt;N$2, 0,IF(AND(time+1&gt;=O$2, $E221&lt;O$2), IF($I221= "I", $J221/($F221-$E221+1), $J221/(($F221*($F221+1)/2)-(($E221-1)*($E221-1+1)/2))*N$2), 0)+IF(IF(time+1&gt;=O$2, $K221/time_cap/(time+1)*N$2, 0) = 0, $K221/(time_cap),0)),0)</f>
        <v/>
      </c>
      <c r="O221" s="4395">
        <f>IFERROR(IF((time+time_cap)&lt;O$2, 0,IF(AND(time+1&gt;=P$2, $E221&lt;P$2), IF($I221= "I", $J221/($F221-$E221+1), $J221/(($F221*($F221+1)/2)-(($E221-1)*($E221-1+1)/2))*O$2), 0)+IF(IF(time+1&gt;=P$2, $K221/time_cap/(time+1)*O$2, 0) = 0, $K221/(time_cap),0)),0)</f>
        <v/>
      </c>
      <c r="P221" s="4395">
        <f>IFERROR(IF((time+time_cap)&lt;P$2, 0,IF(AND(time+1&gt;=Q$2, $E221&lt;Q$2), IF($I221= "I", $J221/($F221-$E221+1), $J221/(($F221*($F221+1)/2)-(($E221-1)*($E221-1+1)/2))*P$2), 0)+IF(IF(time+1&gt;=Q$2, $K221/time_cap/(time+1)*P$2, 0) = 0, $K221/(time_cap),0)),0)</f>
        <v/>
      </c>
      <c r="Q221" s="4395">
        <f>IFERROR(IF((time+time_cap)&lt;Q$2, 0,IF(AND(time+1&gt;=R$2, $E221&lt;R$2), IF($I221= "I", $J221/($F221-$E221+1), $J221/(($F221*($F221+1)/2)-(($E221-1)*($E221-1+1)/2))*Q$2), 0)+IF(IF(time+1&gt;=R$2, $K221/time_cap/(time+1)*Q$2, 0) = 0, $K221/(time_cap),0)),0)</f>
        <v/>
      </c>
      <c r="R221" s="4395">
        <f>IFERROR(IF((time+time_cap)&lt;R$2, 0,IF(AND(time+1&gt;=S$2, $E221&lt;S$2), IF($I221= "I", $J221/($F221-$E221+1), $J221/(($F221*($F221+1)/2)-(($E221-1)*($E221-1+1)/2))*R$2), 0)+IF(IF(time+1&gt;=S$2, $K221/time_cap/(time+1)*R$2, 0) = 0, $K221/(time_cap),0)),0)</f>
        <v/>
      </c>
      <c r="S221" s="4395">
        <f>IFERROR(IF((time+time_cap)&lt;S$2, 0,IF(AND(time+1&gt;=T$2, $E221&lt;T$2), IF($I221= "I", $J221/($F221-$E221+1), $J221/(($F221*($F221+1)/2)-(($E221-1)*($E221-1+1)/2))*S$2), 0)+IF(IF(time+1&gt;=T$2, $K221/time_cap/(time+1)*S$2, 0) = 0, $K221/(time_cap),0)),0)</f>
        <v/>
      </c>
      <c r="T221" s="4395">
        <f>IFERROR(IF((time+time_cap)&lt;T$2, 0,IF(AND(time+1&gt;=U$2, $E221&lt;U$2), IF($I221= "I", $J221/($F221-$E221+1), $J221/(($F221*($F221+1)/2)-(($E221-1)*($E221-1+1)/2))*T$2), 0)+IF(IF(time+1&gt;=U$2, $K221/time_cap/(time+1)*T$2, 0) = 0, $K221/(time_cap),0)),0)</f>
        <v/>
      </c>
      <c r="U221" s="4395">
        <f>IFERROR(IF((time+time_cap)&lt;U$2, 0,IF(AND(time+1&gt;=V$2, $E221&lt;V$2), IF($I221= "I", $J221/($F221-$E221+1), $J221/(($F221*($F221+1)/2)-(($E221-1)*($E221-1+1)/2))*U$2), 0)+IF(IF(time+1&gt;=V$2, $K221/time_cap/(time+1)*U$2, 0) = 0, $K221/(time_cap),0)),0)</f>
        <v/>
      </c>
      <c r="V221" s="4395">
        <f>IFERROR(IF((time+time_cap)&lt;V$2, 0,IF(AND(time+1&gt;=W$2, $E221&lt;W$2), IF($I221= "I", $J221/($F221-$E221+1), $J221/(($F221*($F221+1)/2)-(($E221-1)*($E221-1+1)/2))*V$2), 0)+IF(IF(time+1&gt;=W$2, $K221/time_cap/(time+1)*V$2, 0) = 0, $K221/(time_cap),0)),0)</f>
        <v/>
      </c>
      <c r="W221" s="4395">
        <f>IFERROR(IF((time+time_cap)&lt;W$2, 0,IF(AND(time+1&gt;=X$2, $E221&lt;X$2), IF($I221= "I", $J221/($F221-$E221+1), $J221/(($F221*($F221+1)/2)-(($E221-1)*($E221-1+1)/2))*W$2), 0)+IF(IF(time+1&gt;=X$2, $K221/time_cap/(time+1)*W$2, 0) = 0, $K221/(time_cap),0)),0)</f>
        <v/>
      </c>
      <c r="X221" s="4395">
        <f>IFERROR(IF((time+time_cap)&lt;X$2, 0,IF(AND(time+1&gt;=Y$2, $E221&lt;Y$2), IF($I221= "I", $J221/($F221-$E221+1), $J221/(($F221*($F221+1)/2)-(($E221-1)*($E221-1+1)/2))*X$2), 0)+IF(IF(time+1&gt;=Y$2, $K221/time_cap/(time+1)*X$2, 0) = 0, $K221/(time_cap),0)),0)</f>
        <v/>
      </c>
      <c r="Y221" s="4395">
        <f>IFERROR(IF((time+time_cap)&lt;Y$2, 0,IF(AND(time+1&gt;=Z$2, $E221&lt;Z$2), IF($I221= "I", $J221/($F221-$E221+1), $J221/(($F221*($F221+1)/2)-(($E221-1)*($E221-1+1)/2))*Y$2), 0)+IF(IF(time+1&gt;=Z$2, $K221/time_cap/(time+1)*Y$2, 0) = 0, $K221/(time_cap),0)),0)</f>
        <v/>
      </c>
      <c r="Z221" s="4395">
        <f>IFERROR(IF((time+time_cap)&lt;Z$2, 0,IF(AND(time+1&gt;=AA$2, $E221&lt;AA$2), IF($I221= "I", $J221/($F221-$E221+1), $J221/(($F221*($F221+1)/2)-(($E221-1)*($E221-1+1)/2))*Z$2), 0)+IF(IF(time+1&gt;=AA$2, $K221/time_cap/(time+1)*Z$2, 0) = 0, $K221/(time_cap),0)),0)</f>
        <v/>
      </c>
      <c r="AA221" s="4395">
        <f>IFERROR(IF((time+time_cap)&lt;AA$2, 0,IF(AND(time+1&gt;=AB$2, $E221&lt;AB$2), IF($I221= "I", $J221/($F221-$E221+1), $J221/(($F221*($F221+1)/2)-(($E221-1)*($E221-1+1)/2))*AA$2), 0)+IF(IF(time+1&gt;=AB$2, $K221/time_cap/(time+1)*AA$2, 0) = 0, $K221/(time_cap),0)),0)</f>
        <v/>
      </c>
      <c r="AB221" s="4395">
        <f>IFERROR(IF((time+time_cap)&lt;AB$2, 0,IF(AND(time+1&gt;=AC$2, $E221&lt;AC$2), IF($I221= "I", $J221/($F221-$E221+1), $J221/(($F221*($F221+1)/2)-(($E221-1)*($E221-1+1)/2))*AB$2), 0)+IF(IF(time+1&gt;=AC$2, $K221/time_cap/(time+1)*AB$2, 0) = 0, $K221/(time_cap),0)),0)</f>
        <v/>
      </c>
      <c r="AC221" s="4395">
        <f>IFERROR(IF((time+time_cap)&lt;AC$2, 0,IF(AND(time+1&gt;=AD$2, $E221&lt;AD$2), IF($I221= "I", $J221/($F221-$E221+1), $J221/(($F221*($F221+1)/2)-(($E221-1)*($E221-1+1)/2))*AC$2), 0)+IF(IF(time+1&gt;=AD$2, $K221/time_cap/(time+1)*AC$2, 0) = 0, $K221/(time_cap),0)),0)</f>
        <v/>
      </c>
      <c r="AD221" s="4395">
        <f>IFERROR(IF((time+time_cap)&lt;AD$2, 0,IF(AND(time+1&gt;=AE$2, $E221&lt;AE$2), IF($I221= "I", $J221/($F221-$E221+1), $J221/(($F221*($F221+1)/2)-(($E221-1)*($E221-1+1)/2))*AD$2), 0)+IF(IF(time+1&gt;=AE$2, $K221/time_cap/(time+1)*AD$2, 0) = 0, $K221/(time_cap),0)),0)</f>
        <v/>
      </c>
      <c r="AE221" s="4395">
        <f>IFERROR(IF((time+time_cap)&lt;AE$2, 0,IF(AND(time+1&gt;=AF$2, $E221&lt;AF$2), IF($I221= "I", $J221/($F221-$E221+1), $J221/(($F221*($F221+1)/2)-(($E221-1)*($E221-1+1)/2))*AE$2), 0)+IF(IF(time+1&gt;=AF$2, $K221/time_cap/(time+1)*AE$2, 0) = 0, $K221/(time_cap),0)),0)</f>
        <v/>
      </c>
      <c r="AF221" s="4395">
        <f>IFERROR(IF((time+time_cap)&lt;AF$2, 0,IF(AND(time+1&gt;=AG$2, $E221&lt;AG$2), IF($I221= "I", $J221/($F221-$E221+1), $J221/(($F221*($F221+1)/2)-(($E221-1)*($E221-1+1)/2))*AF$2), 0)+IF(IF(time+1&gt;=AG$2, $K221/time_cap/(time+1)*AF$2, 0) = 0, $K221/(time_cap),0)),0)</f>
        <v/>
      </c>
      <c r="AG221" s="4395">
        <f>IFERROR(IF((time+time_cap)&lt;AG$2, 0,IF(AND(time+1&gt;=AH$2, $E221&lt;AH$2), IF($I221= "I", $J221/($F221-$E221+1), $J221/(($F221*($F221+1)/2)-(($E221-1)*($E221-1+1)/2))*AG$2), 0)+IF(IF(time+1&gt;=AH$2, $K221/time_cap/(time+1)*AG$2, 0) = 0, $K221/(time_cap),0)),0)</f>
        <v/>
      </c>
      <c r="AH221" s="4395">
        <f>IFERROR(IF((time+time_cap)&lt;AH$2, 0,IF(AND(time+1&gt;=AI$2, $E221&lt;AI$2), IF($I221= "I", $J221/($F221-$E221+1), $J221/(($F221*($F221+1)/2)-(($E221-1)*($E221-1+1)/2))*AH$2), 0)+IF(IF(time+1&gt;=AI$2, $K221/time_cap/(time+1)*AH$2, 0) = 0, $K221/(time_cap),0)),0)</f>
        <v/>
      </c>
      <c r="AI221" s="4395">
        <f>IFERROR(IF((time+time_cap)&lt;AI$2, 0,IF(AND(time+1&gt;=AJ$2, $E221&lt;AJ$2), IF($I221= "I", $J221/($F221-$E221+1), $J221/(($F221*($F221+1)/2)-(($E221-1)*($E221-1+1)/2))*AI$2), 0)+IF(IF(time+1&gt;=AJ$2, $K221/time_cap/(time+1)*AI$2, 0) = 0, $K221/(time_cap),0)),0)</f>
        <v/>
      </c>
      <c r="AJ221" s="4395">
        <f>IFERROR(IF((time+time_cap)&lt;AJ$2, 0,IF(AND(time+1&gt;=AK$2, $E221&lt;AK$2), IF($I221= "I", $J221/($F221-$E221+1), $J221/(($F221*($F221+1)/2)-(($E221-1)*($E221-1+1)/2))*AJ$2), 0)+IF(IF(time+1&gt;=AK$2, $K221/time_cap/(time+1)*AJ$2, 0) = 0, $K221/(time_cap),0)),0)</f>
        <v/>
      </c>
      <c r="AK221" s="4395">
        <f>IFERROR(IF((time+time_cap)&lt;AK$2, 0,IF(AND(time+1&gt;=AL$2, $E221&lt;AL$2), IF($I221= "I", $J221/($F221-$E221+1), $J221/(($F221*($F221+1)/2)-(($E221-1)*($E221-1+1)/2))*AK$2), 0)+IF(IF(time+1&gt;=AL$2, $K221/time_cap/(time+1)*AK$2, 0) = 0, $K221/(time_cap),0)),0)</f>
        <v/>
      </c>
      <c r="AL221" s="4395">
        <f>IFERROR(IF((time+time_cap)&lt;AL$2, 0,IF(AND(time+1&gt;=AM$2, $E221&lt;AM$2), IF($I221= "I", $J221/($F221-$E221+1), $J221/(($F221*($F221+1)/2)-(($E221-1)*($E221-1+1)/2))*AL$2), 0)+IF(IF(time+1&gt;=AM$2, $K221/time_cap/(time+1)*AL$2, 0) = 0, $K221/(time_cap),0)),0)</f>
        <v/>
      </c>
      <c r="AM221" s="4395">
        <f>IFERROR(IF((time+time_cap)&lt;AM$2, 0,IF(AND(time+1&gt;=AN$2, $E221&lt;AN$2), IF($I221= "I", $J221/($F221-$E221+1), $J221/(($F221*($F221+1)/2)-(($E221-1)*($E221-1+1)/2))*AM$2), 0)+IF(IF(time+1&gt;=AN$2, $K221/time_cap/(time+1)*AM$2, 0) = 0, $K221/(time_cap),0)),0)</f>
        <v/>
      </c>
      <c r="AN221" s="4395">
        <f>IFERROR(IF((time+time_cap)&lt;AN$2, 0,IF(AND(time+1&gt;=AO$2, $E221&lt;AO$2), IF($I221= "I", $J221/($F221-$E221+1), $J221/(($F221*($F221+1)/2)-(($E221-1)*($E221-1+1)/2))*AN$2), 0)+IF(IF(time+1&gt;=AO$2, $K221/time_cap/(time+1)*AN$2, 0) = 0, $K221/(time_cap),0)),0)</f>
        <v/>
      </c>
      <c r="AO221" s="4395">
        <f>IFERROR(IF((time+time_cap)&lt;AO$2, 0,IF(AND(time+1&gt;=AP$2, $E221&lt;AP$2), IF($I221= "I", $J221/($F221-$E221+1), $J221/(($F221*($F221+1)/2)-(($E221-1)*($E221-1+1)/2))*AO$2), 0)+IF(IF(time+1&gt;=AP$2, $K221/time_cap/(time+1)*AO$2, 0) = 0, $K221/(time_cap),0)),0)</f>
        <v/>
      </c>
      <c r="AP221" s="4395">
        <f>IFERROR(IF((time+time_cap)&lt;AP$2, 0,IF(AND(time+1&gt;=AQ$2, $E221&lt;AQ$2), IF($I221= "I", $J221/($F221-$E221+1), $J221/(($F221*($F221+1)/2)-(($E221-1)*($E221-1+1)/2))*AP$2), 0)+IF(IF(time+1&gt;=AQ$2, $K221/time_cap/(time+1)*AP$2, 0) = 0, $K221/(time_cap),0)),0)</f>
        <v/>
      </c>
      <c r="AQ221" s="4395">
        <f>IFERROR(IF((time+time_cap)&lt;AQ$2, 0,IF(AND(time+1&gt;=AR$2, $E221&lt;AR$2), IF($I221= "I", $J221/($F221-$E221+1), $J221/(($F221*($F221+1)/2)-(($E221-1)*($E221-1+1)/2))*AQ$2), 0)+IF(IF(time+1&gt;=AR$2, $K221/time_cap/(time+1)*AQ$2, 0) = 0, $K221/(time_cap),0)),0)</f>
        <v/>
      </c>
      <c r="AR221" s="4395">
        <f>IFERROR(IF((time+time_cap)&lt;AR$2, 0,IF(AND(time+1&gt;=AS$2, $E221&lt;AS$2), IF($I221= "I", $J221/($F221-$E221+1), $J221/(($F221*($F221+1)/2)-(($E221-1)*($E221-1+1)/2))*AR$2), 0)+IF(IF(time+1&gt;=AS$2, $K221/time_cap/(time+1)*AR$2, 0) = 0, $K221/(time_cap),0)),0)</f>
        <v/>
      </c>
      <c r="AS221" s="4395">
        <f>IFERROR(IF((time+time_cap)&lt;AS$2, 0,IF(AND(time+1&gt;=AT$2, $E221&lt;AT$2), IF($I221= "I", $J221/($F221-$E221+1), $J221/(($F221*($F221+1)/2)-(($E221-1)*($E221-1+1)/2))*AS$2), 0)+IF(IF(time+1&gt;=AT$2, $K221/time_cap/(time+1)*AS$2, 0) = 0, $K221/(time_cap),0)),0)</f>
        <v/>
      </c>
      <c r="AT221" s="4395">
        <f>IFERROR(IF((time+time_cap)&lt;AT$2, 0,IF(AND(time+1&gt;=AU$2, $E221&lt;AU$2), IF($I221= "I", $J221/($F221-$E221+1), $J221/(($F221*($F221+1)/2)-(($E221-1)*($E221-1+1)/2))*AT$2), 0)+IF(IF(time+1&gt;=AU$2, $K221/time_cap/(time+1)*AT$2, 0) = 0, $K221/(time_cap),0)),0)</f>
        <v/>
      </c>
      <c r="AU221" s="4395">
        <f>IFERROR(IF((time+time_cap)&lt;AU$2, 0,IF(AND(time+1&gt;=AV$2, $E221&lt;AV$2), IF($I221= "I", $J221/($F221-$E221+1), $J221/(($F221*($F221+1)/2)-(($E221-1)*($E221-1+1)/2))*AU$2), 0)+IF(IF(time+1&gt;=AV$2, $K221/time_cap/(time+1)*AU$2, 0) = 0, $K221/(time_cap),0)),0)</f>
        <v/>
      </c>
      <c r="AV221" s="4395">
        <f>IFERROR(IF((time+time_cap)&lt;AV$2, 0,IF(AND(time+1&gt;=AW$2, $E221&lt;AW$2), IF($I221= "I", $J221/($F221-$E221+1), $J221/(($F221*($F221+1)/2)-(($E221-1)*($E221-1+1)/2))*AV$2), 0)+IF(IF(time+1&gt;=AW$2, $K221/time_cap/(time+1)*AV$2, 0) = 0, $K221/(time_cap),0)),0)</f>
        <v/>
      </c>
      <c r="AW221" s="4395">
        <f>IFERROR(IF((time+time_cap)&lt;AW$2, 0,IF(AND(time+1&gt;=AX$2, $E221&lt;AX$2), IF($I221= "I", $J221/($F221-$E221+1), $J221/(($F221*($F221+1)/2)-(($E221-1)*($E221-1+1)/2))*AW$2), 0)+IF(IF(time+1&gt;=AX$2, $K221/time_cap/(time+1)*AW$2, 0) = 0, $K221/(time_cap),0)),0)</f>
        <v/>
      </c>
      <c r="AX221" s="4395">
        <f>IFERROR(IF((time+time_cap)&lt;AX$2, 0,IF(AND(time+1&gt;=AY$2, $E221&lt;AY$2), IF($I221= "I", $J221/($F221-$E221+1), $J221/(($F221*($F221+1)/2)-(($E221-1)*($E221-1+1)/2))*AX$2), 0)+IF(IF(time+1&gt;=AY$2, $K221/time_cap/(time+1)*AX$2, 0) = 0, $K221/(time_cap),0)),0)</f>
        <v/>
      </c>
      <c r="AY221" s="4395">
        <f>IFERROR(IF((time+time_cap)&lt;AY$2, 0,IF(AND(time+1&gt;=AZ$2, $E221&lt;AZ$2), IF($I221= "I", $J221/($F221-$E221+1), $J221/(($F221*($F221+1)/2)-(($E221-1)*($E221-1+1)/2))*AY$2), 0)+IF(IF(time+1&gt;=AZ$2, $K221/time_cap/(time+1)*AY$2, 0) = 0, $K221/(time_cap),0)),0)</f>
        <v/>
      </c>
      <c r="AZ221" s="4395">
        <f>IFERROR(IF((time+time_cap)&lt;AZ$2, 0,IF(AND(time+1&gt;=BA$2, $E221&lt;BA$2), IF($I221= "I", $J221/($F221-$E221+1), $J221/(($F221*($F221+1)/2)-(($E221-1)*($E221-1+1)/2))*AZ$2), 0)+IF(IF(time+1&gt;=BA$2, $K221/time_cap/(time+1)*AZ$2, 0) = 0, $K221/(time_cap),0)),0)</f>
        <v/>
      </c>
      <c r="BA221" s="4395">
        <f>IFERROR(IF((time+time_cap)&lt;BA$2, 0,IF(AND(time+1&gt;=BB$2, $E221&lt;BB$2), IF($I221= "I", $J221/($F221-$E221+1), $J221/(($F221*($F221+1)/2)-(($E221-1)*($E221-1+1)/2))*BA$2), 0)+IF(IF(time+1&gt;=BB$2, $K221/time_cap/(time+1)*BA$2, 0) = 0, $K221/(time_cap),0)),0)</f>
        <v/>
      </c>
      <c r="BB221" s="4395">
        <f>IFERROR(IF((time+time_cap)&lt;BB$2, 0,IF(AND(time+1&gt;=BC$2, $E221&lt;BC$2), IF($I221= "I", $J221/($F221-$E221+1), $J221/(($F221*($F221+1)/2)-(($E221-1)*($E221-1+1)/2))*BB$2), 0)+IF(IF(time+1&gt;=BC$2, $K221/time_cap/(time+1)*BB$2, 0) = 0, $K221/(time_cap),0)),0)</f>
        <v/>
      </c>
      <c r="BC221" s="4395">
        <f>IFERROR(IF((time+time_cap)&lt;BC$2, 0,IF(AND(time+1&gt;=BD$2, $E221&lt;BD$2), IF($I221= "I", $J221/($F221-$E221+1), $J221/(($F221*($F221+1)/2)-(($E221-1)*($E221-1+1)/2))*BC$2), 0)+IF(IF(time+1&gt;=BD$2, $K221/time_cap/(time+1)*BC$2, 0) = 0, $K221/(time_cap),0)),0)</f>
        <v/>
      </c>
      <c r="BD221" s="4395">
        <f>IFERROR(IF((time+time_cap)&lt;BD$2, 0,IF(AND(time+1&gt;=BE$2, $E221&lt;BE$2), IF($I221= "I", $J221/($F221-$E221+1), $J221/(($F221*($F221+1)/2)-(($E221-1)*($E221-1+1)/2))*BD$2), 0)+IF(IF(time+1&gt;=BE$2, $K221/time_cap/(time+1)*BD$2, 0) = 0, $K221/(time_cap),0)),0)</f>
        <v/>
      </c>
      <c r="BE221" s="4395">
        <f>IFERROR(IF((time+time_cap)&lt;BE$2, 0,IF(AND(time+1&gt;=BF$2, $E221&lt;BF$2), IF($I221= "I", $J221/($F221-$E221+1), $J221/(($F221*($F221+1)/2)-(($E221-1)*($E221-1+1)/2))*BE$2), 0)+IF(IF(time+1&gt;=BF$2, $K221/time_cap/(time+1)*BE$2, 0) = 0, $K221/(time_cap),0)),0)</f>
        <v/>
      </c>
      <c r="BF221" s="4395">
        <f>IFERROR(IF((time+time_cap)&lt;BF$2, 0,IF(AND(time+1&gt;=BG$2, $E221&lt;BG$2), IF($I221= "I", $J221/($F221-$E221+1), $J221/(($F221*($F221+1)/2)-(($E221-1)*($E221-1+1)/2))*BF$2), 0)+IF(IF(time+1&gt;=BG$2, $K221/time_cap/(time+1)*BF$2, 0) = 0, $K221/(time_cap),0)),0)</f>
        <v/>
      </c>
      <c r="BG221" s="4395">
        <f>IFERROR(IF((time+time_cap)&lt;BG$2, 0,IF(AND(time+1&gt;=BH$2, $E221&lt;BH$2), IF($I221= "I", $J221/($F221-$E221+1), $J221/(($F221*($F221+1)/2)-(($E221-1)*($E221-1+1)/2))*BG$2), 0)+IF(IF(time+1&gt;=BH$2, $K221/time_cap/(time+1)*BG$2, 0) = 0, $K221/(time_cap),0)),0)</f>
        <v/>
      </c>
      <c r="BH221" s="4395">
        <f>IFERROR(IF((time+time_cap)&lt;BH$2, 0,IF(AND(time+1&gt;=BI$2, $E221&lt;BI$2), IF($I221= "I", $J221/($F221-$E221+1), $J221/(($F221*($F221+1)/2)-(($E221-1)*($E221-1+1)/2))*BH$2), 0)+IF(IF(time+1&gt;=BI$2, $K221/time_cap/(time+1)*BH$2, 0) = 0, $K221/(time_cap),0)),0)</f>
        <v/>
      </c>
      <c r="BI221" s="4395">
        <f>IFERROR(IF((time+time_cap)&lt;BI$2, 0,IF(AND(time+1&gt;=BJ$2, $E221&lt;BJ$2), IF($I221= "I", $J221/($F221-$E221+1), $J221/(($F221*($F221+1)/2)-(($E221-1)*($E221-1+1)/2))*BI$2), 0)+IF(IF(time+1&gt;=BJ$2, $K221/time_cap/(time+1)*BI$2, 0) = 0, $K221/(time_cap),0)),0)</f>
        <v/>
      </c>
      <c r="BJ221" s="4395">
        <f>IFERROR(IF((time+time_cap)&lt;BJ$2, 0,IF(AND(time+1&gt;=BK$2, $E221&lt;BK$2), IF($I221= "I", $J221/($F221-$E221+1), $J221/(($F221*($F221+1)/2)-(($E221-1)*($E221-1+1)/2))*BJ$2), 0)+IF(IF(time+1&gt;=BK$2, $K221/time_cap/(time+1)*BJ$2, 0) = 0, $K221/(time_cap),0)),0)</f>
        <v/>
      </c>
      <c r="BK221" s="4395" t="n"/>
      <c r="BL221" s="4395" t="n"/>
      <c r="BM221" s="4395" t="n"/>
      <c r="BN221" s="4395" t="n"/>
      <c r="BO221" s="4395" t="n"/>
      <c r="BP221" s="4395" t="n"/>
      <c r="BQ221" s="4395" t="n"/>
      <c r="BR221" s="4395" t="n"/>
      <c r="BS221" s="4395" t="n"/>
      <c r="BT221" s="4395" t="n"/>
      <c r="BU221" s="4395" t="n"/>
      <c r="BV221" s="4395" t="n"/>
      <c r="BW221" s="4395" t="n"/>
      <c r="BX221" s="4395" t="n"/>
      <c r="BY221" s="4395" t="n"/>
      <c r="BZ221" s="4395" t="n"/>
      <c r="CA221" s="4395" t="n"/>
      <c r="CB221" s="4395" t="n"/>
      <c r="CC221" s="4395" t="n"/>
      <c r="CD221" s="4395" t="n"/>
      <c r="CE221" s="4395" t="n"/>
      <c r="CF221" s="4395" t="n"/>
      <c r="CG221" s="4395" t="n"/>
      <c r="CH221" s="4395" t="n"/>
      <c r="CI221" s="4395" t="n"/>
      <c r="CJ221" s="4395" t="n"/>
      <c r="CK221" s="4395" t="n"/>
      <c r="CL221" s="4395" t="n"/>
      <c r="CM221" s="4395" t="n"/>
      <c r="CN221" s="4395" t="n"/>
      <c r="CO221" s="4395" t="n"/>
      <c r="CP221" s="4395" t="n"/>
      <c r="CQ221" s="4395" t="n"/>
      <c r="CR221" s="4395" t="n"/>
      <c r="CS221" s="4395" t="n"/>
      <c r="CT221" s="4395" t="n"/>
      <c r="CU221" s="4395" t="n"/>
      <c r="CV221" s="4395" t="n"/>
      <c r="CW221" s="4395" t="n"/>
      <c r="CX221" s="4395" t="n"/>
      <c r="CY221" s="4395" t="n"/>
      <c r="CZ221" s="4395" t="n"/>
      <c r="DA221" s="4395" t="n"/>
      <c r="DB221" s="4395" t="n"/>
      <c r="DC221" s="4395" t="n"/>
      <c r="DD221" s="4395" t="n"/>
      <c r="DE221" s="4395" t="n"/>
      <c r="DF221" s="4395" t="n"/>
      <c r="DG221" s="4395" t="n"/>
      <c r="DH221" s="4395" t="n"/>
    </row>
    <row r="222" ht="16" customHeight="1">
      <c r="A222" t="inlineStr">
        <is>
          <t>Energy</t>
        </is>
      </c>
      <c r="C222">
        <f>'9.Inputs'!C55</f>
        <v/>
      </c>
      <c r="D222">
        <f>'9.Inputs'!V55</f>
        <v/>
      </c>
      <c r="E222">
        <f>IF('9.Inputs'!BE55&lt;&gt;0,'9.Inputs'!BE55,'9.Inputs'!BD55)</f>
        <v/>
      </c>
      <c r="F222">
        <f>time</f>
        <v/>
      </c>
      <c r="G222" s="4395">
        <f>'9.Inputs'!F55</f>
        <v/>
      </c>
      <c r="H222" s="4395">
        <f>'9.Inputs'!H55</f>
        <v/>
      </c>
      <c r="I222" s="4395">
        <f>IF(OR(H222="I", G222="I"), "I", IF(OR(H222="E", G222="E"), "E", "D"))</f>
        <v/>
      </c>
      <c r="J222" s="4395">
        <f>((D222/(time_cap+((F222-E222+1)*VLOOKUP(I222,list!$I$48:$K$50,3, FALSE))))*(F222-E222+1)*VLOOKUP(I222,list!$I$48:$K$50,3, FALSE))</f>
        <v/>
      </c>
      <c r="K222" s="4395">
        <f>((D222/(time_cap+((F222-E222+1)*VLOOKUP(I222,list!$I$48:$K$50,3, FALSE))))*time_cap)</f>
        <v/>
      </c>
      <c r="M222" s="4395">
        <f>IFERROR(IF((time+time_cap)&lt;M$2, 0,IF(AND(time+1&gt;=N$2, $E222&lt;N$2), IF($I222= "I", $J222/($F222-$E222+1), $J222/(($F222*($F222+1)/2)-(($E222-1)*($E222-1+1)/2))*M$2), 0)+IF(IF(time+1&gt;=N$2, $K222/time_cap/(time+1)*M$2, 0) = 0, $K222/(time_cap),0)),0)</f>
        <v/>
      </c>
      <c r="N222" s="4395">
        <f>IFERROR(IF((time+time_cap)&lt;N$2, 0,IF(AND(time+1&gt;=O$2, $E222&lt;O$2), IF($I222= "I", $J222/($F222-$E222+1), $J222/(($F222*($F222+1)/2)-(($E222-1)*($E222-1+1)/2))*N$2), 0)+IF(IF(time+1&gt;=O$2, $K222/time_cap/(time+1)*N$2, 0) = 0, $K222/(time_cap),0)),0)</f>
        <v/>
      </c>
      <c r="O222" s="4395">
        <f>IFERROR(IF((time+time_cap)&lt;O$2, 0,IF(AND(time+1&gt;=P$2, $E222&lt;P$2), IF($I222= "I", $J222/($F222-$E222+1), $J222/(($F222*($F222+1)/2)-(($E222-1)*($E222-1+1)/2))*O$2), 0)+IF(IF(time+1&gt;=P$2, $K222/time_cap/(time+1)*O$2, 0) = 0, $K222/(time_cap),0)),0)</f>
        <v/>
      </c>
      <c r="P222" s="4395">
        <f>IFERROR(IF((time+time_cap)&lt;P$2, 0,IF(AND(time+1&gt;=Q$2, $E222&lt;Q$2), IF($I222= "I", $J222/($F222-$E222+1), $J222/(($F222*($F222+1)/2)-(($E222-1)*($E222-1+1)/2))*P$2), 0)+IF(IF(time+1&gt;=Q$2, $K222/time_cap/(time+1)*P$2, 0) = 0, $K222/(time_cap),0)),0)</f>
        <v/>
      </c>
      <c r="Q222" s="4395">
        <f>IFERROR(IF((time+time_cap)&lt;Q$2, 0,IF(AND(time+1&gt;=R$2, $E222&lt;R$2), IF($I222= "I", $J222/($F222-$E222+1), $J222/(($F222*($F222+1)/2)-(($E222-1)*($E222-1+1)/2))*Q$2), 0)+IF(IF(time+1&gt;=R$2, $K222/time_cap/(time+1)*Q$2, 0) = 0, $K222/(time_cap),0)),0)</f>
        <v/>
      </c>
      <c r="R222" s="4395">
        <f>IFERROR(IF((time+time_cap)&lt;R$2, 0,IF(AND(time+1&gt;=S$2, $E222&lt;S$2), IF($I222= "I", $J222/($F222-$E222+1), $J222/(($F222*($F222+1)/2)-(($E222-1)*($E222-1+1)/2))*R$2), 0)+IF(IF(time+1&gt;=S$2, $K222/time_cap/(time+1)*R$2, 0) = 0, $K222/(time_cap),0)),0)</f>
        <v/>
      </c>
      <c r="S222" s="4395">
        <f>IFERROR(IF((time+time_cap)&lt;S$2, 0,IF(AND(time+1&gt;=T$2, $E222&lt;T$2), IF($I222= "I", $J222/($F222-$E222+1), $J222/(($F222*($F222+1)/2)-(($E222-1)*($E222-1+1)/2))*S$2), 0)+IF(IF(time+1&gt;=T$2, $K222/time_cap/(time+1)*S$2, 0) = 0, $K222/(time_cap),0)),0)</f>
        <v/>
      </c>
      <c r="T222" s="4395">
        <f>IFERROR(IF((time+time_cap)&lt;T$2, 0,IF(AND(time+1&gt;=U$2, $E222&lt;U$2), IF($I222= "I", $J222/($F222-$E222+1), $J222/(($F222*($F222+1)/2)-(($E222-1)*($E222-1+1)/2))*T$2), 0)+IF(IF(time+1&gt;=U$2, $K222/time_cap/(time+1)*T$2, 0) = 0, $K222/(time_cap),0)),0)</f>
        <v/>
      </c>
      <c r="U222" s="4395">
        <f>IFERROR(IF((time+time_cap)&lt;U$2, 0,IF(AND(time+1&gt;=V$2, $E222&lt;V$2), IF($I222= "I", $J222/($F222-$E222+1), $J222/(($F222*($F222+1)/2)-(($E222-1)*($E222-1+1)/2))*U$2), 0)+IF(IF(time+1&gt;=V$2, $K222/time_cap/(time+1)*U$2, 0) = 0, $K222/(time_cap),0)),0)</f>
        <v/>
      </c>
      <c r="V222" s="4395">
        <f>IFERROR(IF((time+time_cap)&lt;V$2, 0,IF(AND(time+1&gt;=W$2, $E222&lt;W$2), IF($I222= "I", $J222/($F222-$E222+1), $J222/(($F222*($F222+1)/2)-(($E222-1)*($E222-1+1)/2))*V$2), 0)+IF(IF(time+1&gt;=W$2, $K222/time_cap/(time+1)*V$2, 0) = 0, $K222/(time_cap),0)),0)</f>
        <v/>
      </c>
      <c r="W222" s="4395">
        <f>IFERROR(IF((time+time_cap)&lt;W$2, 0,IF(AND(time+1&gt;=X$2, $E222&lt;X$2), IF($I222= "I", $J222/($F222-$E222+1), $J222/(($F222*($F222+1)/2)-(($E222-1)*($E222-1+1)/2))*W$2), 0)+IF(IF(time+1&gt;=X$2, $K222/time_cap/(time+1)*W$2, 0) = 0, $K222/(time_cap),0)),0)</f>
        <v/>
      </c>
      <c r="X222" s="4395">
        <f>IFERROR(IF((time+time_cap)&lt;X$2, 0,IF(AND(time+1&gt;=Y$2, $E222&lt;Y$2), IF($I222= "I", $J222/($F222-$E222+1), $J222/(($F222*($F222+1)/2)-(($E222-1)*($E222-1+1)/2))*X$2), 0)+IF(IF(time+1&gt;=Y$2, $K222/time_cap/(time+1)*X$2, 0) = 0, $K222/(time_cap),0)),0)</f>
        <v/>
      </c>
      <c r="Y222" s="4395">
        <f>IFERROR(IF((time+time_cap)&lt;Y$2, 0,IF(AND(time+1&gt;=Z$2, $E222&lt;Z$2), IF($I222= "I", $J222/($F222-$E222+1), $J222/(($F222*($F222+1)/2)-(($E222-1)*($E222-1+1)/2))*Y$2), 0)+IF(IF(time+1&gt;=Z$2, $K222/time_cap/(time+1)*Y$2, 0) = 0, $K222/(time_cap),0)),0)</f>
        <v/>
      </c>
      <c r="Z222" s="4395">
        <f>IFERROR(IF((time+time_cap)&lt;Z$2, 0,IF(AND(time+1&gt;=AA$2, $E222&lt;AA$2), IF($I222= "I", $J222/($F222-$E222+1), $J222/(($F222*($F222+1)/2)-(($E222-1)*($E222-1+1)/2))*Z$2), 0)+IF(IF(time+1&gt;=AA$2, $K222/time_cap/(time+1)*Z$2, 0) = 0, $K222/(time_cap),0)),0)</f>
        <v/>
      </c>
      <c r="AA222" s="4395">
        <f>IFERROR(IF((time+time_cap)&lt;AA$2, 0,IF(AND(time+1&gt;=AB$2, $E222&lt;AB$2), IF($I222= "I", $J222/($F222-$E222+1), $J222/(($F222*($F222+1)/2)-(($E222-1)*($E222-1+1)/2))*AA$2), 0)+IF(IF(time+1&gt;=AB$2, $K222/time_cap/(time+1)*AA$2, 0) = 0, $K222/(time_cap),0)),0)</f>
        <v/>
      </c>
      <c r="AB222" s="4395">
        <f>IFERROR(IF((time+time_cap)&lt;AB$2, 0,IF(AND(time+1&gt;=AC$2, $E222&lt;AC$2), IF($I222= "I", $J222/($F222-$E222+1), $J222/(($F222*($F222+1)/2)-(($E222-1)*($E222-1+1)/2))*AB$2), 0)+IF(IF(time+1&gt;=AC$2, $K222/time_cap/(time+1)*AB$2, 0) = 0, $K222/(time_cap),0)),0)</f>
        <v/>
      </c>
      <c r="AC222" s="4395">
        <f>IFERROR(IF((time+time_cap)&lt;AC$2, 0,IF(AND(time+1&gt;=AD$2, $E222&lt;AD$2), IF($I222= "I", $J222/($F222-$E222+1), $J222/(($F222*($F222+1)/2)-(($E222-1)*($E222-1+1)/2))*AC$2), 0)+IF(IF(time+1&gt;=AD$2, $K222/time_cap/(time+1)*AC$2, 0) = 0, $K222/(time_cap),0)),0)</f>
        <v/>
      </c>
      <c r="AD222" s="4395">
        <f>IFERROR(IF((time+time_cap)&lt;AD$2, 0,IF(AND(time+1&gt;=AE$2, $E222&lt;AE$2), IF($I222= "I", $J222/($F222-$E222+1), $J222/(($F222*($F222+1)/2)-(($E222-1)*($E222-1+1)/2))*AD$2), 0)+IF(IF(time+1&gt;=AE$2, $K222/time_cap/(time+1)*AD$2, 0) = 0, $K222/(time_cap),0)),0)</f>
        <v/>
      </c>
      <c r="AE222" s="4395">
        <f>IFERROR(IF((time+time_cap)&lt;AE$2, 0,IF(AND(time+1&gt;=AF$2, $E222&lt;AF$2), IF($I222= "I", $J222/($F222-$E222+1), $J222/(($F222*($F222+1)/2)-(($E222-1)*($E222-1+1)/2))*AE$2), 0)+IF(IF(time+1&gt;=AF$2, $K222/time_cap/(time+1)*AE$2, 0) = 0, $K222/(time_cap),0)),0)</f>
        <v/>
      </c>
      <c r="AF222" s="4395">
        <f>IFERROR(IF((time+time_cap)&lt;AF$2, 0,IF(AND(time+1&gt;=AG$2, $E222&lt;AG$2), IF($I222= "I", $J222/($F222-$E222+1), $J222/(($F222*($F222+1)/2)-(($E222-1)*($E222-1+1)/2))*AF$2), 0)+IF(IF(time+1&gt;=AG$2, $K222/time_cap/(time+1)*AF$2, 0) = 0, $K222/(time_cap),0)),0)</f>
        <v/>
      </c>
      <c r="AG222" s="4395">
        <f>IFERROR(IF((time+time_cap)&lt;AG$2, 0,IF(AND(time+1&gt;=AH$2, $E222&lt;AH$2), IF($I222= "I", $J222/($F222-$E222+1), $J222/(($F222*($F222+1)/2)-(($E222-1)*($E222-1+1)/2))*AG$2), 0)+IF(IF(time+1&gt;=AH$2, $K222/time_cap/(time+1)*AG$2, 0) = 0, $K222/(time_cap),0)),0)</f>
        <v/>
      </c>
      <c r="AH222" s="4395">
        <f>IFERROR(IF((time+time_cap)&lt;AH$2, 0,IF(AND(time+1&gt;=AI$2, $E222&lt;AI$2), IF($I222= "I", $J222/($F222-$E222+1), $J222/(($F222*($F222+1)/2)-(($E222-1)*($E222-1+1)/2))*AH$2), 0)+IF(IF(time+1&gt;=AI$2, $K222/time_cap/(time+1)*AH$2, 0) = 0, $K222/(time_cap),0)),0)</f>
        <v/>
      </c>
      <c r="AI222" s="4395">
        <f>IFERROR(IF((time+time_cap)&lt;AI$2, 0,IF(AND(time+1&gt;=AJ$2, $E222&lt;AJ$2), IF($I222= "I", $J222/($F222-$E222+1), $J222/(($F222*($F222+1)/2)-(($E222-1)*($E222-1+1)/2))*AI$2), 0)+IF(IF(time+1&gt;=AJ$2, $K222/time_cap/(time+1)*AI$2, 0) = 0, $K222/(time_cap),0)),0)</f>
        <v/>
      </c>
      <c r="AJ222" s="4395">
        <f>IFERROR(IF((time+time_cap)&lt;AJ$2, 0,IF(AND(time+1&gt;=AK$2, $E222&lt;AK$2), IF($I222= "I", $J222/($F222-$E222+1), $J222/(($F222*($F222+1)/2)-(($E222-1)*($E222-1+1)/2))*AJ$2), 0)+IF(IF(time+1&gt;=AK$2, $K222/time_cap/(time+1)*AJ$2, 0) = 0, $K222/(time_cap),0)),0)</f>
        <v/>
      </c>
      <c r="AK222" s="4395">
        <f>IFERROR(IF((time+time_cap)&lt;AK$2, 0,IF(AND(time+1&gt;=AL$2, $E222&lt;AL$2), IF($I222= "I", $J222/($F222-$E222+1), $J222/(($F222*($F222+1)/2)-(($E222-1)*($E222-1+1)/2))*AK$2), 0)+IF(IF(time+1&gt;=AL$2, $K222/time_cap/(time+1)*AK$2, 0) = 0, $K222/(time_cap),0)),0)</f>
        <v/>
      </c>
      <c r="AL222" s="4395">
        <f>IFERROR(IF((time+time_cap)&lt;AL$2, 0,IF(AND(time+1&gt;=AM$2, $E222&lt;AM$2), IF($I222= "I", $J222/($F222-$E222+1), $J222/(($F222*($F222+1)/2)-(($E222-1)*($E222-1+1)/2))*AL$2), 0)+IF(IF(time+1&gt;=AM$2, $K222/time_cap/(time+1)*AL$2, 0) = 0, $K222/(time_cap),0)),0)</f>
        <v/>
      </c>
      <c r="AM222" s="4395">
        <f>IFERROR(IF((time+time_cap)&lt;AM$2, 0,IF(AND(time+1&gt;=AN$2, $E222&lt;AN$2), IF($I222= "I", $J222/($F222-$E222+1), $J222/(($F222*($F222+1)/2)-(($E222-1)*($E222-1+1)/2))*AM$2), 0)+IF(IF(time+1&gt;=AN$2, $K222/time_cap/(time+1)*AM$2, 0) = 0, $K222/(time_cap),0)),0)</f>
        <v/>
      </c>
      <c r="AN222" s="4395">
        <f>IFERROR(IF((time+time_cap)&lt;AN$2, 0,IF(AND(time+1&gt;=AO$2, $E222&lt;AO$2), IF($I222= "I", $J222/($F222-$E222+1), $J222/(($F222*($F222+1)/2)-(($E222-1)*($E222-1+1)/2))*AN$2), 0)+IF(IF(time+1&gt;=AO$2, $K222/time_cap/(time+1)*AN$2, 0) = 0, $K222/(time_cap),0)),0)</f>
        <v/>
      </c>
      <c r="AO222" s="4395">
        <f>IFERROR(IF((time+time_cap)&lt;AO$2, 0,IF(AND(time+1&gt;=AP$2, $E222&lt;AP$2), IF($I222= "I", $J222/($F222-$E222+1), $J222/(($F222*($F222+1)/2)-(($E222-1)*($E222-1+1)/2))*AO$2), 0)+IF(IF(time+1&gt;=AP$2, $K222/time_cap/(time+1)*AO$2, 0) = 0, $K222/(time_cap),0)),0)</f>
        <v/>
      </c>
      <c r="AP222" s="4395">
        <f>IFERROR(IF((time+time_cap)&lt;AP$2, 0,IF(AND(time+1&gt;=AQ$2, $E222&lt;AQ$2), IF($I222= "I", $J222/($F222-$E222+1), $J222/(($F222*($F222+1)/2)-(($E222-1)*($E222-1+1)/2))*AP$2), 0)+IF(IF(time+1&gt;=AQ$2, $K222/time_cap/(time+1)*AP$2, 0) = 0, $K222/(time_cap),0)),0)</f>
        <v/>
      </c>
      <c r="AQ222" s="4395">
        <f>IFERROR(IF((time+time_cap)&lt;AQ$2, 0,IF(AND(time+1&gt;=AR$2, $E222&lt;AR$2), IF($I222= "I", $J222/($F222-$E222+1), $J222/(($F222*($F222+1)/2)-(($E222-1)*($E222-1+1)/2))*AQ$2), 0)+IF(IF(time+1&gt;=AR$2, $K222/time_cap/(time+1)*AQ$2, 0) = 0, $K222/(time_cap),0)),0)</f>
        <v/>
      </c>
      <c r="AR222" s="4395">
        <f>IFERROR(IF((time+time_cap)&lt;AR$2, 0,IF(AND(time+1&gt;=AS$2, $E222&lt;AS$2), IF($I222= "I", $J222/($F222-$E222+1), $J222/(($F222*($F222+1)/2)-(($E222-1)*($E222-1+1)/2))*AR$2), 0)+IF(IF(time+1&gt;=AS$2, $K222/time_cap/(time+1)*AR$2, 0) = 0, $K222/(time_cap),0)),0)</f>
        <v/>
      </c>
      <c r="AS222" s="4395">
        <f>IFERROR(IF((time+time_cap)&lt;AS$2, 0,IF(AND(time+1&gt;=AT$2, $E222&lt;AT$2), IF($I222= "I", $J222/($F222-$E222+1), $J222/(($F222*($F222+1)/2)-(($E222-1)*($E222-1+1)/2))*AS$2), 0)+IF(IF(time+1&gt;=AT$2, $K222/time_cap/(time+1)*AS$2, 0) = 0, $K222/(time_cap),0)),0)</f>
        <v/>
      </c>
      <c r="AT222" s="4395">
        <f>IFERROR(IF((time+time_cap)&lt;AT$2, 0,IF(AND(time+1&gt;=AU$2, $E222&lt;AU$2), IF($I222= "I", $J222/($F222-$E222+1), $J222/(($F222*($F222+1)/2)-(($E222-1)*($E222-1+1)/2))*AT$2), 0)+IF(IF(time+1&gt;=AU$2, $K222/time_cap/(time+1)*AT$2, 0) = 0, $K222/(time_cap),0)),0)</f>
        <v/>
      </c>
      <c r="AU222" s="4395">
        <f>IFERROR(IF((time+time_cap)&lt;AU$2, 0,IF(AND(time+1&gt;=AV$2, $E222&lt;AV$2), IF($I222= "I", $J222/($F222-$E222+1), $J222/(($F222*($F222+1)/2)-(($E222-1)*($E222-1+1)/2))*AU$2), 0)+IF(IF(time+1&gt;=AV$2, $K222/time_cap/(time+1)*AU$2, 0) = 0, $K222/(time_cap),0)),0)</f>
        <v/>
      </c>
      <c r="AV222" s="4395">
        <f>IFERROR(IF((time+time_cap)&lt;AV$2, 0,IF(AND(time+1&gt;=AW$2, $E222&lt;AW$2), IF($I222= "I", $J222/($F222-$E222+1), $J222/(($F222*($F222+1)/2)-(($E222-1)*($E222-1+1)/2))*AV$2), 0)+IF(IF(time+1&gt;=AW$2, $K222/time_cap/(time+1)*AV$2, 0) = 0, $K222/(time_cap),0)),0)</f>
        <v/>
      </c>
      <c r="AW222" s="4395">
        <f>IFERROR(IF((time+time_cap)&lt;AW$2, 0,IF(AND(time+1&gt;=AX$2, $E222&lt;AX$2), IF($I222= "I", $J222/($F222-$E222+1), $J222/(($F222*($F222+1)/2)-(($E222-1)*($E222-1+1)/2))*AW$2), 0)+IF(IF(time+1&gt;=AX$2, $K222/time_cap/(time+1)*AW$2, 0) = 0, $K222/(time_cap),0)),0)</f>
        <v/>
      </c>
      <c r="AX222" s="4395">
        <f>IFERROR(IF((time+time_cap)&lt;AX$2, 0,IF(AND(time+1&gt;=AY$2, $E222&lt;AY$2), IF($I222= "I", $J222/($F222-$E222+1), $J222/(($F222*($F222+1)/2)-(($E222-1)*($E222-1+1)/2))*AX$2), 0)+IF(IF(time+1&gt;=AY$2, $K222/time_cap/(time+1)*AX$2, 0) = 0, $K222/(time_cap),0)),0)</f>
        <v/>
      </c>
      <c r="AY222" s="4395">
        <f>IFERROR(IF((time+time_cap)&lt;AY$2, 0,IF(AND(time+1&gt;=AZ$2, $E222&lt;AZ$2), IF($I222= "I", $J222/($F222-$E222+1), $J222/(($F222*($F222+1)/2)-(($E222-1)*($E222-1+1)/2))*AY$2), 0)+IF(IF(time+1&gt;=AZ$2, $K222/time_cap/(time+1)*AY$2, 0) = 0, $K222/(time_cap),0)),0)</f>
        <v/>
      </c>
      <c r="AZ222" s="4395">
        <f>IFERROR(IF((time+time_cap)&lt;AZ$2, 0,IF(AND(time+1&gt;=BA$2, $E222&lt;BA$2), IF($I222= "I", $J222/($F222-$E222+1), $J222/(($F222*($F222+1)/2)-(($E222-1)*($E222-1+1)/2))*AZ$2), 0)+IF(IF(time+1&gt;=BA$2, $K222/time_cap/(time+1)*AZ$2, 0) = 0, $K222/(time_cap),0)),0)</f>
        <v/>
      </c>
      <c r="BA222" s="4395">
        <f>IFERROR(IF((time+time_cap)&lt;BA$2, 0,IF(AND(time+1&gt;=BB$2, $E222&lt;BB$2), IF($I222= "I", $J222/($F222-$E222+1), $J222/(($F222*($F222+1)/2)-(($E222-1)*($E222-1+1)/2))*BA$2), 0)+IF(IF(time+1&gt;=BB$2, $K222/time_cap/(time+1)*BA$2, 0) = 0, $K222/(time_cap),0)),0)</f>
        <v/>
      </c>
      <c r="BB222" s="4395">
        <f>IFERROR(IF((time+time_cap)&lt;BB$2, 0,IF(AND(time+1&gt;=BC$2, $E222&lt;BC$2), IF($I222= "I", $J222/($F222-$E222+1), $J222/(($F222*($F222+1)/2)-(($E222-1)*($E222-1+1)/2))*BB$2), 0)+IF(IF(time+1&gt;=BC$2, $K222/time_cap/(time+1)*BB$2, 0) = 0, $K222/(time_cap),0)),0)</f>
        <v/>
      </c>
      <c r="BC222" s="4395">
        <f>IFERROR(IF((time+time_cap)&lt;BC$2, 0,IF(AND(time+1&gt;=BD$2, $E222&lt;BD$2), IF($I222= "I", $J222/($F222-$E222+1), $J222/(($F222*($F222+1)/2)-(($E222-1)*($E222-1+1)/2))*BC$2), 0)+IF(IF(time+1&gt;=BD$2, $K222/time_cap/(time+1)*BC$2, 0) = 0, $K222/(time_cap),0)),0)</f>
        <v/>
      </c>
      <c r="BD222" s="4395">
        <f>IFERROR(IF((time+time_cap)&lt;BD$2, 0,IF(AND(time+1&gt;=BE$2, $E222&lt;BE$2), IF($I222= "I", $J222/($F222-$E222+1), $J222/(($F222*($F222+1)/2)-(($E222-1)*($E222-1+1)/2))*BD$2), 0)+IF(IF(time+1&gt;=BE$2, $K222/time_cap/(time+1)*BD$2, 0) = 0, $K222/(time_cap),0)),0)</f>
        <v/>
      </c>
      <c r="BE222" s="4395">
        <f>IFERROR(IF((time+time_cap)&lt;BE$2, 0,IF(AND(time+1&gt;=BF$2, $E222&lt;BF$2), IF($I222= "I", $J222/($F222-$E222+1), $J222/(($F222*($F222+1)/2)-(($E222-1)*($E222-1+1)/2))*BE$2), 0)+IF(IF(time+1&gt;=BF$2, $K222/time_cap/(time+1)*BE$2, 0) = 0, $K222/(time_cap),0)),0)</f>
        <v/>
      </c>
      <c r="BF222" s="4395">
        <f>IFERROR(IF((time+time_cap)&lt;BF$2, 0,IF(AND(time+1&gt;=BG$2, $E222&lt;BG$2), IF($I222= "I", $J222/($F222-$E222+1), $J222/(($F222*($F222+1)/2)-(($E222-1)*($E222-1+1)/2))*BF$2), 0)+IF(IF(time+1&gt;=BG$2, $K222/time_cap/(time+1)*BF$2, 0) = 0, $K222/(time_cap),0)),0)</f>
        <v/>
      </c>
      <c r="BG222" s="4395">
        <f>IFERROR(IF((time+time_cap)&lt;BG$2, 0,IF(AND(time+1&gt;=BH$2, $E222&lt;BH$2), IF($I222= "I", $J222/($F222-$E222+1), $J222/(($F222*($F222+1)/2)-(($E222-1)*($E222-1+1)/2))*BG$2), 0)+IF(IF(time+1&gt;=BH$2, $K222/time_cap/(time+1)*BG$2, 0) = 0, $K222/(time_cap),0)),0)</f>
        <v/>
      </c>
      <c r="BH222" s="4395">
        <f>IFERROR(IF((time+time_cap)&lt;BH$2, 0,IF(AND(time+1&gt;=BI$2, $E222&lt;BI$2), IF($I222= "I", $J222/($F222-$E222+1), $J222/(($F222*($F222+1)/2)-(($E222-1)*($E222-1+1)/2))*BH$2), 0)+IF(IF(time+1&gt;=BI$2, $K222/time_cap/(time+1)*BH$2, 0) = 0, $K222/(time_cap),0)),0)</f>
        <v/>
      </c>
      <c r="BI222" s="4395">
        <f>IFERROR(IF((time+time_cap)&lt;BI$2, 0,IF(AND(time+1&gt;=BJ$2, $E222&lt;BJ$2), IF($I222= "I", $J222/($F222-$E222+1), $J222/(($F222*($F222+1)/2)-(($E222-1)*($E222-1+1)/2))*BI$2), 0)+IF(IF(time+1&gt;=BJ$2, $K222/time_cap/(time+1)*BI$2, 0) = 0, $K222/(time_cap),0)),0)</f>
        <v/>
      </c>
      <c r="BJ222" s="4395">
        <f>IFERROR(IF((time+time_cap)&lt;BJ$2, 0,IF(AND(time+1&gt;=BK$2, $E222&lt;BK$2), IF($I222= "I", $J222/($F222-$E222+1), $J222/(($F222*($F222+1)/2)-(($E222-1)*($E222-1+1)/2))*BJ$2), 0)+IF(IF(time+1&gt;=BK$2, $K222/time_cap/(time+1)*BJ$2, 0) = 0, $K222/(time_cap),0)),0)</f>
        <v/>
      </c>
      <c r="BK222" s="4395" t="n"/>
      <c r="BL222" s="4395" t="n"/>
      <c r="BM222" s="4395" t="n"/>
      <c r="BN222" s="4395" t="n"/>
      <c r="BO222" s="4395" t="n"/>
      <c r="BP222" s="4395" t="n"/>
      <c r="BQ222" s="4395" t="n"/>
      <c r="BR222" s="4395" t="n"/>
      <c r="BS222" s="4395" t="n"/>
      <c r="BT222" s="4395" t="n"/>
      <c r="BU222" s="4395" t="n"/>
      <c r="BV222" s="4395" t="n"/>
      <c r="BW222" s="4395" t="n"/>
      <c r="BX222" s="4395" t="n"/>
      <c r="BY222" s="4395" t="n"/>
      <c r="BZ222" s="4395" t="n"/>
      <c r="CA222" s="4395" t="n"/>
      <c r="CB222" s="4395" t="n"/>
      <c r="CC222" s="4395" t="n"/>
      <c r="CD222" s="4395" t="n"/>
      <c r="CE222" s="4395" t="n"/>
      <c r="CF222" s="4395" t="n"/>
      <c r="CG222" s="4395" t="n"/>
      <c r="CH222" s="4395" t="n"/>
      <c r="CI222" s="4395" t="n"/>
      <c r="CJ222" s="4395" t="n"/>
      <c r="CK222" s="4395" t="n"/>
      <c r="CL222" s="4395" t="n"/>
      <c r="CM222" s="4395" t="n"/>
      <c r="CN222" s="4395" t="n"/>
      <c r="CO222" s="4395" t="n"/>
      <c r="CP222" s="4395" t="n"/>
      <c r="CQ222" s="4395" t="n"/>
      <c r="CR222" s="4395" t="n"/>
      <c r="CS222" s="4395" t="n"/>
      <c r="CT222" s="4395" t="n"/>
      <c r="CU222" s="4395" t="n"/>
      <c r="CV222" s="4395" t="n"/>
      <c r="CW222" s="4395" t="n"/>
      <c r="CX222" s="4395" t="n"/>
      <c r="CY222" s="4395" t="n"/>
      <c r="CZ222" s="4395" t="n"/>
      <c r="DA222" s="4395" t="n"/>
      <c r="DB222" s="4395" t="n"/>
      <c r="DC222" s="4395" t="n"/>
      <c r="DD222" s="4395" t="n"/>
      <c r="DE222" s="4395" t="n"/>
      <c r="DF222" s="4395" t="n"/>
      <c r="DG222" s="4395" t="n"/>
      <c r="DH222" s="4395" t="n"/>
    </row>
    <row r="223" ht="16" customHeight="1">
      <c r="A223" t="inlineStr">
        <is>
          <t>Energy</t>
        </is>
      </c>
      <c r="C223">
        <f>'9.Inputs'!C56</f>
        <v/>
      </c>
      <c r="D223">
        <f>'9.Inputs'!V56</f>
        <v/>
      </c>
      <c r="E223">
        <f>IF('9.Inputs'!BE56&lt;&gt;0,'9.Inputs'!BE56,'9.Inputs'!BD56)</f>
        <v/>
      </c>
      <c r="F223">
        <f>time</f>
        <v/>
      </c>
      <c r="G223" s="4395">
        <f>'9.Inputs'!F56</f>
        <v/>
      </c>
      <c r="H223" s="4395">
        <f>'9.Inputs'!H56</f>
        <v/>
      </c>
      <c r="I223" s="4395">
        <f>IF(OR(H223="I", G223="I"), "I", IF(OR(H223="E", G223="E"), "E", "D"))</f>
        <v/>
      </c>
      <c r="J223" s="4395">
        <f>((D223/(time_cap+((F223-E223+1)*VLOOKUP(I223,list!$I$48:$K$50,3, FALSE))))*(F223-E223+1)*VLOOKUP(I223,list!$I$48:$K$50,3, FALSE))</f>
        <v/>
      </c>
      <c r="K223" s="4395">
        <f>((D223/(time_cap+((F223-E223+1)*VLOOKUP(I223,list!$I$48:$K$50,3, FALSE))))*time_cap)</f>
        <v/>
      </c>
      <c r="M223" s="4395">
        <f>IFERROR(IF((time+time_cap)&lt;M$2, 0,IF(AND(time+1&gt;=N$2, $E223&lt;N$2), IF($I223= "I", $J223/($F223-$E223+1), $J223/(($F223*($F223+1)/2)-(($E223-1)*($E223-1+1)/2))*M$2), 0)+IF(IF(time+1&gt;=N$2, $K223/time_cap/(time+1)*M$2, 0) = 0, $K223/(time_cap),0)),0)</f>
        <v/>
      </c>
      <c r="N223" s="4395">
        <f>IFERROR(IF((time+time_cap)&lt;N$2, 0,IF(AND(time+1&gt;=O$2, $E223&lt;O$2), IF($I223= "I", $J223/($F223-$E223+1), $J223/(($F223*($F223+1)/2)-(($E223-1)*($E223-1+1)/2))*N$2), 0)+IF(IF(time+1&gt;=O$2, $K223/time_cap/(time+1)*N$2, 0) = 0, $K223/(time_cap),0)),0)</f>
        <v/>
      </c>
      <c r="O223" s="4395">
        <f>IFERROR(IF((time+time_cap)&lt;O$2, 0,IF(AND(time+1&gt;=P$2, $E223&lt;P$2), IF($I223= "I", $J223/($F223-$E223+1), $J223/(($F223*($F223+1)/2)-(($E223-1)*($E223-1+1)/2))*O$2), 0)+IF(IF(time+1&gt;=P$2, $K223/time_cap/(time+1)*O$2, 0) = 0, $K223/(time_cap),0)),0)</f>
        <v/>
      </c>
      <c r="P223" s="4395">
        <f>IFERROR(IF((time+time_cap)&lt;P$2, 0,IF(AND(time+1&gt;=Q$2, $E223&lt;Q$2), IF($I223= "I", $J223/($F223-$E223+1), $J223/(($F223*($F223+1)/2)-(($E223-1)*($E223-1+1)/2))*P$2), 0)+IF(IF(time+1&gt;=Q$2, $K223/time_cap/(time+1)*P$2, 0) = 0, $K223/(time_cap),0)),0)</f>
        <v/>
      </c>
      <c r="Q223" s="4395">
        <f>IFERROR(IF((time+time_cap)&lt;Q$2, 0,IF(AND(time+1&gt;=R$2, $E223&lt;R$2), IF($I223= "I", $J223/($F223-$E223+1), $J223/(($F223*($F223+1)/2)-(($E223-1)*($E223-1+1)/2))*Q$2), 0)+IF(IF(time+1&gt;=R$2, $K223/time_cap/(time+1)*Q$2, 0) = 0, $K223/(time_cap),0)),0)</f>
        <v/>
      </c>
      <c r="R223" s="4395">
        <f>IFERROR(IF((time+time_cap)&lt;R$2, 0,IF(AND(time+1&gt;=S$2, $E223&lt;S$2), IF($I223= "I", $J223/($F223-$E223+1), $J223/(($F223*($F223+1)/2)-(($E223-1)*($E223-1+1)/2))*R$2), 0)+IF(IF(time+1&gt;=S$2, $K223/time_cap/(time+1)*R$2, 0) = 0, $K223/(time_cap),0)),0)</f>
        <v/>
      </c>
      <c r="S223" s="4395">
        <f>IFERROR(IF((time+time_cap)&lt;S$2, 0,IF(AND(time+1&gt;=T$2, $E223&lt;T$2), IF($I223= "I", $J223/($F223-$E223+1), $J223/(($F223*($F223+1)/2)-(($E223-1)*($E223-1+1)/2))*S$2), 0)+IF(IF(time+1&gt;=T$2, $K223/time_cap/(time+1)*S$2, 0) = 0, $K223/(time_cap),0)),0)</f>
        <v/>
      </c>
      <c r="T223" s="4395">
        <f>IFERROR(IF((time+time_cap)&lt;T$2, 0,IF(AND(time+1&gt;=U$2, $E223&lt;U$2), IF($I223= "I", $J223/($F223-$E223+1), $J223/(($F223*($F223+1)/2)-(($E223-1)*($E223-1+1)/2))*T$2), 0)+IF(IF(time+1&gt;=U$2, $K223/time_cap/(time+1)*T$2, 0) = 0, $K223/(time_cap),0)),0)</f>
        <v/>
      </c>
      <c r="U223" s="4395">
        <f>IFERROR(IF((time+time_cap)&lt;U$2, 0,IF(AND(time+1&gt;=V$2, $E223&lt;V$2), IF($I223= "I", $J223/($F223-$E223+1), $J223/(($F223*($F223+1)/2)-(($E223-1)*($E223-1+1)/2))*U$2), 0)+IF(IF(time+1&gt;=V$2, $K223/time_cap/(time+1)*U$2, 0) = 0, $K223/(time_cap),0)),0)</f>
        <v/>
      </c>
      <c r="V223" s="4395">
        <f>IFERROR(IF((time+time_cap)&lt;V$2, 0,IF(AND(time+1&gt;=W$2, $E223&lt;W$2), IF($I223= "I", $J223/($F223-$E223+1), $J223/(($F223*($F223+1)/2)-(($E223-1)*($E223-1+1)/2))*V$2), 0)+IF(IF(time+1&gt;=W$2, $K223/time_cap/(time+1)*V$2, 0) = 0, $K223/(time_cap),0)),0)</f>
        <v/>
      </c>
      <c r="W223" s="4395">
        <f>IFERROR(IF((time+time_cap)&lt;W$2, 0,IF(AND(time+1&gt;=X$2, $E223&lt;X$2), IF($I223= "I", $J223/($F223-$E223+1), $J223/(($F223*($F223+1)/2)-(($E223-1)*($E223-1+1)/2))*W$2), 0)+IF(IF(time+1&gt;=X$2, $K223/time_cap/(time+1)*W$2, 0) = 0, $K223/(time_cap),0)),0)</f>
        <v/>
      </c>
      <c r="X223" s="4395">
        <f>IFERROR(IF((time+time_cap)&lt;X$2, 0,IF(AND(time+1&gt;=Y$2, $E223&lt;Y$2), IF($I223= "I", $J223/($F223-$E223+1), $J223/(($F223*($F223+1)/2)-(($E223-1)*($E223-1+1)/2))*X$2), 0)+IF(IF(time+1&gt;=Y$2, $K223/time_cap/(time+1)*X$2, 0) = 0, $K223/(time_cap),0)),0)</f>
        <v/>
      </c>
      <c r="Y223" s="4395">
        <f>IFERROR(IF((time+time_cap)&lt;Y$2, 0,IF(AND(time+1&gt;=Z$2, $E223&lt;Z$2), IF($I223= "I", $J223/($F223-$E223+1), $J223/(($F223*($F223+1)/2)-(($E223-1)*($E223-1+1)/2))*Y$2), 0)+IF(IF(time+1&gt;=Z$2, $K223/time_cap/(time+1)*Y$2, 0) = 0, $K223/(time_cap),0)),0)</f>
        <v/>
      </c>
      <c r="Z223" s="4395">
        <f>IFERROR(IF((time+time_cap)&lt;Z$2, 0,IF(AND(time+1&gt;=AA$2, $E223&lt;AA$2), IF($I223= "I", $J223/($F223-$E223+1), $J223/(($F223*($F223+1)/2)-(($E223-1)*($E223-1+1)/2))*Z$2), 0)+IF(IF(time+1&gt;=AA$2, $K223/time_cap/(time+1)*Z$2, 0) = 0, $K223/(time_cap),0)),0)</f>
        <v/>
      </c>
      <c r="AA223" s="4395">
        <f>IFERROR(IF((time+time_cap)&lt;AA$2, 0,IF(AND(time+1&gt;=AB$2, $E223&lt;AB$2), IF($I223= "I", $J223/($F223-$E223+1), $J223/(($F223*($F223+1)/2)-(($E223-1)*($E223-1+1)/2))*AA$2), 0)+IF(IF(time+1&gt;=AB$2, $K223/time_cap/(time+1)*AA$2, 0) = 0, $K223/(time_cap),0)),0)</f>
        <v/>
      </c>
      <c r="AB223" s="4395">
        <f>IFERROR(IF((time+time_cap)&lt;AB$2, 0,IF(AND(time+1&gt;=AC$2, $E223&lt;AC$2), IF($I223= "I", $J223/($F223-$E223+1), $J223/(($F223*($F223+1)/2)-(($E223-1)*($E223-1+1)/2))*AB$2), 0)+IF(IF(time+1&gt;=AC$2, $K223/time_cap/(time+1)*AB$2, 0) = 0, $K223/(time_cap),0)),0)</f>
        <v/>
      </c>
      <c r="AC223" s="4395">
        <f>IFERROR(IF((time+time_cap)&lt;AC$2, 0,IF(AND(time+1&gt;=AD$2, $E223&lt;AD$2), IF($I223= "I", $J223/($F223-$E223+1), $J223/(($F223*($F223+1)/2)-(($E223-1)*($E223-1+1)/2))*AC$2), 0)+IF(IF(time+1&gt;=AD$2, $K223/time_cap/(time+1)*AC$2, 0) = 0, $K223/(time_cap),0)),0)</f>
        <v/>
      </c>
      <c r="AD223" s="4395">
        <f>IFERROR(IF((time+time_cap)&lt;AD$2, 0,IF(AND(time+1&gt;=AE$2, $E223&lt;AE$2), IF($I223= "I", $J223/($F223-$E223+1), $J223/(($F223*($F223+1)/2)-(($E223-1)*($E223-1+1)/2))*AD$2), 0)+IF(IF(time+1&gt;=AE$2, $K223/time_cap/(time+1)*AD$2, 0) = 0, $K223/(time_cap),0)),0)</f>
        <v/>
      </c>
      <c r="AE223" s="4395">
        <f>IFERROR(IF((time+time_cap)&lt;AE$2, 0,IF(AND(time+1&gt;=AF$2, $E223&lt;AF$2), IF($I223= "I", $J223/($F223-$E223+1), $J223/(($F223*($F223+1)/2)-(($E223-1)*($E223-1+1)/2))*AE$2), 0)+IF(IF(time+1&gt;=AF$2, $K223/time_cap/(time+1)*AE$2, 0) = 0, $K223/(time_cap),0)),0)</f>
        <v/>
      </c>
      <c r="AF223" s="4395">
        <f>IFERROR(IF((time+time_cap)&lt;AF$2, 0,IF(AND(time+1&gt;=AG$2, $E223&lt;AG$2), IF($I223= "I", $J223/($F223-$E223+1), $J223/(($F223*($F223+1)/2)-(($E223-1)*($E223-1+1)/2))*AF$2), 0)+IF(IF(time+1&gt;=AG$2, $K223/time_cap/(time+1)*AF$2, 0) = 0, $K223/(time_cap),0)),0)</f>
        <v/>
      </c>
      <c r="AG223" s="4395">
        <f>IFERROR(IF((time+time_cap)&lt;AG$2, 0,IF(AND(time+1&gt;=AH$2, $E223&lt;AH$2), IF($I223= "I", $J223/($F223-$E223+1), $J223/(($F223*($F223+1)/2)-(($E223-1)*($E223-1+1)/2))*AG$2), 0)+IF(IF(time+1&gt;=AH$2, $K223/time_cap/(time+1)*AG$2, 0) = 0, $K223/(time_cap),0)),0)</f>
        <v/>
      </c>
      <c r="AH223" s="4395">
        <f>IFERROR(IF((time+time_cap)&lt;AH$2, 0,IF(AND(time+1&gt;=AI$2, $E223&lt;AI$2), IF($I223= "I", $J223/($F223-$E223+1), $J223/(($F223*($F223+1)/2)-(($E223-1)*($E223-1+1)/2))*AH$2), 0)+IF(IF(time+1&gt;=AI$2, $K223/time_cap/(time+1)*AH$2, 0) = 0, $K223/(time_cap),0)),0)</f>
        <v/>
      </c>
      <c r="AI223" s="4395">
        <f>IFERROR(IF((time+time_cap)&lt;AI$2, 0,IF(AND(time+1&gt;=AJ$2, $E223&lt;AJ$2), IF($I223= "I", $J223/($F223-$E223+1), $J223/(($F223*($F223+1)/2)-(($E223-1)*($E223-1+1)/2))*AI$2), 0)+IF(IF(time+1&gt;=AJ$2, $K223/time_cap/(time+1)*AI$2, 0) = 0, $K223/(time_cap),0)),0)</f>
        <v/>
      </c>
      <c r="AJ223" s="4395">
        <f>IFERROR(IF((time+time_cap)&lt;AJ$2, 0,IF(AND(time+1&gt;=AK$2, $E223&lt;AK$2), IF($I223= "I", $J223/($F223-$E223+1), $J223/(($F223*($F223+1)/2)-(($E223-1)*($E223-1+1)/2))*AJ$2), 0)+IF(IF(time+1&gt;=AK$2, $K223/time_cap/(time+1)*AJ$2, 0) = 0, $K223/(time_cap),0)),0)</f>
        <v/>
      </c>
      <c r="AK223" s="4395">
        <f>IFERROR(IF((time+time_cap)&lt;AK$2, 0,IF(AND(time+1&gt;=AL$2, $E223&lt;AL$2), IF($I223= "I", $J223/($F223-$E223+1), $J223/(($F223*($F223+1)/2)-(($E223-1)*($E223-1+1)/2))*AK$2), 0)+IF(IF(time+1&gt;=AL$2, $K223/time_cap/(time+1)*AK$2, 0) = 0, $K223/(time_cap),0)),0)</f>
        <v/>
      </c>
      <c r="AL223" s="4395">
        <f>IFERROR(IF((time+time_cap)&lt;AL$2, 0,IF(AND(time+1&gt;=AM$2, $E223&lt;AM$2), IF($I223= "I", $J223/($F223-$E223+1), $J223/(($F223*($F223+1)/2)-(($E223-1)*($E223-1+1)/2))*AL$2), 0)+IF(IF(time+1&gt;=AM$2, $K223/time_cap/(time+1)*AL$2, 0) = 0, $K223/(time_cap),0)),0)</f>
        <v/>
      </c>
      <c r="AM223" s="4395">
        <f>IFERROR(IF((time+time_cap)&lt;AM$2, 0,IF(AND(time+1&gt;=AN$2, $E223&lt;AN$2), IF($I223= "I", $J223/($F223-$E223+1), $J223/(($F223*($F223+1)/2)-(($E223-1)*($E223-1+1)/2))*AM$2), 0)+IF(IF(time+1&gt;=AN$2, $K223/time_cap/(time+1)*AM$2, 0) = 0, $K223/(time_cap),0)),0)</f>
        <v/>
      </c>
      <c r="AN223" s="4395">
        <f>IFERROR(IF((time+time_cap)&lt;AN$2, 0,IF(AND(time+1&gt;=AO$2, $E223&lt;AO$2), IF($I223= "I", $J223/($F223-$E223+1), $J223/(($F223*($F223+1)/2)-(($E223-1)*($E223-1+1)/2))*AN$2), 0)+IF(IF(time+1&gt;=AO$2, $K223/time_cap/(time+1)*AN$2, 0) = 0, $K223/(time_cap),0)),0)</f>
        <v/>
      </c>
      <c r="AO223" s="4395">
        <f>IFERROR(IF((time+time_cap)&lt;AO$2, 0,IF(AND(time+1&gt;=AP$2, $E223&lt;AP$2), IF($I223= "I", $J223/($F223-$E223+1), $J223/(($F223*($F223+1)/2)-(($E223-1)*($E223-1+1)/2))*AO$2), 0)+IF(IF(time+1&gt;=AP$2, $K223/time_cap/(time+1)*AO$2, 0) = 0, $K223/(time_cap),0)),0)</f>
        <v/>
      </c>
      <c r="AP223" s="4395">
        <f>IFERROR(IF((time+time_cap)&lt;AP$2, 0,IF(AND(time+1&gt;=AQ$2, $E223&lt;AQ$2), IF($I223= "I", $J223/($F223-$E223+1), $J223/(($F223*($F223+1)/2)-(($E223-1)*($E223-1+1)/2))*AP$2), 0)+IF(IF(time+1&gt;=AQ$2, $K223/time_cap/(time+1)*AP$2, 0) = 0, $K223/(time_cap),0)),0)</f>
        <v/>
      </c>
      <c r="AQ223" s="4395">
        <f>IFERROR(IF((time+time_cap)&lt;AQ$2, 0,IF(AND(time+1&gt;=AR$2, $E223&lt;AR$2), IF($I223= "I", $J223/($F223-$E223+1), $J223/(($F223*($F223+1)/2)-(($E223-1)*($E223-1+1)/2))*AQ$2), 0)+IF(IF(time+1&gt;=AR$2, $K223/time_cap/(time+1)*AQ$2, 0) = 0, $K223/(time_cap),0)),0)</f>
        <v/>
      </c>
      <c r="AR223" s="4395">
        <f>IFERROR(IF((time+time_cap)&lt;AR$2, 0,IF(AND(time+1&gt;=AS$2, $E223&lt;AS$2), IF($I223= "I", $J223/($F223-$E223+1), $J223/(($F223*($F223+1)/2)-(($E223-1)*($E223-1+1)/2))*AR$2), 0)+IF(IF(time+1&gt;=AS$2, $K223/time_cap/(time+1)*AR$2, 0) = 0, $K223/(time_cap),0)),0)</f>
        <v/>
      </c>
      <c r="AS223" s="4395">
        <f>IFERROR(IF((time+time_cap)&lt;AS$2, 0,IF(AND(time+1&gt;=AT$2, $E223&lt;AT$2), IF($I223= "I", $J223/($F223-$E223+1), $J223/(($F223*($F223+1)/2)-(($E223-1)*($E223-1+1)/2))*AS$2), 0)+IF(IF(time+1&gt;=AT$2, $K223/time_cap/(time+1)*AS$2, 0) = 0, $K223/(time_cap),0)),0)</f>
        <v/>
      </c>
      <c r="AT223" s="4395">
        <f>IFERROR(IF((time+time_cap)&lt;AT$2, 0,IF(AND(time+1&gt;=AU$2, $E223&lt;AU$2), IF($I223= "I", $J223/($F223-$E223+1), $J223/(($F223*($F223+1)/2)-(($E223-1)*($E223-1+1)/2))*AT$2), 0)+IF(IF(time+1&gt;=AU$2, $K223/time_cap/(time+1)*AT$2, 0) = 0, $K223/(time_cap),0)),0)</f>
        <v/>
      </c>
      <c r="AU223" s="4395">
        <f>IFERROR(IF((time+time_cap)&lt;AU$2, 0,IF(AND(time+1&gt;=AV$2, $E223&lt;AV$2), IF($I223= "I", $J223/($F223-$E223+1), $J223/(($F223*($F223+1)/2)-(($E223-1)*($E223-1+1)/2))*AU$2), 0)+IF(IF(time+1&gt;=AV$2, $K223/time_cap/(time+1)*AU$2, 0) = 0, $K223/(time_cap),0)),0)</f>
        <v/>
      </c>
      <c r="AV223" s="4395">
        <f>IFERROR(IF((time+time_cap)&lt;AV$2, 0,IF(AND(time+1&gt;=AW$2, $E223&lt;AW$2), IF($I223= "I", $J223/($F223-$E223+1), $J223/(($F223*($F223+1)/2)-(($E223-1)*($E223-1+1)/2))*AV$2), 0)+IF(IF(time+1&gt;=AW$2, $K223/time_cap/(time+1)*AV$2, 0) = 0, $K223/(time_cap),0)),0)</f>
        <v/>
      </c>
      <c r="AW223" s="4395">
        <f>IFERROR(IF((time+time_cap)&lt;AW$2, 0,IF(AND(time+1&gt;=AX$2, $E223&lt;AX$2), IF($I223= "I", $J223/($F223-$E223+1), $J223/(($F223*($F223+1)/2)-(($E223-1)*($E223-1+1)/2))*AW$2), 0)+IF(IF(time+1&gt;=AX$2, $K223/time_cap/(time+1)*AW$2, 0) = 0, $K223/(time_cap),0)),0)</f>
        <v/>
      </c>
      <c r="AX223" s="4395">
        <f>IFERROR(IF((time+time_cap)&lt;AX$2, 0,IF(AND(time+1&gt;=AY$2, $E223&lt;AY$2), IF($I223= "I", $J223/($F223-$E223+1), $J223/(($F223*($F223+1)/2)-(($E223-1)*($E223-1+1)/2))*AX$2), 0)+IF(IF(time+1&gt;=AY$2, $K223/time_cap/(time+1)*AX$2, 0) = 0, $K223/(time_cap),0)),0)</f>
        <v/>
      </c>
      <c r="AY223" s="4395">
        <f>IFERROR(IF((time+time_cap)&lt;AY$2, 0,IF(AND(time+1&gt;=AZ$2, $E223&lt;AZ$2), IF($I223= "I", $J223/($F223-$E223+1), $J223/(($F223*($F223+1)/2)-(($E223-1)*($E223-1+1)/2))*AY$2), 0)+IF(IF(time+1&gt;=AZ$2, $K223/time_cap/(time+1)*AY$2, 0) = 0, $K223/(time_cap),0)),0)</f>
        <v/>
      </c>
      <c r="AZ223" s="4395">
        <f>IFERROR(IF((time+time_cap)&lt;AZ$2, 0,IF(AND(time+1&gt;=BA$2, $E223&lt;BA$2), IF($I223= "I", $J223/($F223-$E223+1), $J223/(($F223*($F223+1)/2)-(($E223-1)*($E223-1+1)/2))*AZ$2), 0)+IF(IF(time+1&gt;=BA$2, $K223/time_cap/(time+1)*AZ$2, 0) = 0, $K223/(time_cap),0)),0)</f>
        <v/>
      </c>
      <c r="BA223" s="4395">
        <f>IFERROR(IF((time+time_cap)&lt;BA$2, 0,IF(AND(time+1&gt;=BB$2, $E223&lt;BB$2), IF($I223= "I", $J223/($F223-$E223+1), $J223/(($F223*($F223+1)/2)-(($E223-1)*($E223-1+1)/2))*BA$2), 0)+IF(IF(time+1&gt;=BB$2, $K223/time_cap/(time+1)*BA$2, 0) = 0, $K223/(time_cap),0)),0)</f>
        <v/>
      </c>
      <c r="BB223" s="4395">
        <f>IFERROR(IF((time+time_cap)&lt;BB$2, 0,IF(AND(time+1&gt;=BC$2, $E223&lt;BC$2), IF($I223= "I", $J223/($F223-$E223+1), $J223/(($F223*($F223+1)/2)-(($E223-1)*($E223-1+1)/2))*BB$2), 0)+IF(IF(time+1&gt;=BC$2, $K223/time_cap/(time+1)*BB$2, 0) = 0, $K223/(time_cap),0)),0)</f>
        <v/>
      </c>
      <c r="BC223" s="4395">
        <f>IFERROR(IF((time+time_cap)&lt;BC$2, 0,IF(AND(time+1&gt;=BD$2, $E223&lt;BD$2), IF($I223= "I", $J223/($F223-$E223+1), $J223/(($F223*($F223+1)/2)-(($E223-1)*($E223-1+1)/2))*BC$2), 0)+IF(IF(time+1&gt;=BD$2, $K223/time_cap/(time+1)*BC$2, 0) = 0, $K223/(time_cap),0)),0)</f>
        <v/>
      </c>
      <c r="BD223" s="4395">
        <f>IFERROR(IF((time+time_cap)&lt;BD$2, 0,IF(AND(time+1&gt;=BE$2, $E223&lt;BE$2), IF($I223= "I", $J223/($F223-$E223+1), $J223/(($F223*($F223+1)/2)-(($E223-1)*($E223-1+1)/2))*BD$2), 0)+IF(IF(time+1&gt;=BE$2, $K223/time_cap/(time+1)*BD$2, 0) = 0, $K223/(time_cap),0)),0)</f>
        <v/>
      </c>
      <c r="BE223" s="4395">
        <f>IFERROR(IF((time+time_cap)&lt;BE$2, 0,IF(AND(time+1&gt;=BF$2, $E223&lt;BF$2), IF($I223= "I", $J223/($F223-$E223+1), $J223/(($F223*($F223+1)/2)-(($E223-1)*($E223-1+1)/2))*BE$2), 0)+IF(IF(time+1&gt;=BF$2, $K223/time_cap/(time+1)*BE$2, 0) = 0, $K223/(time_cap),0)),0)</f>
        <v/>
      </c>
      <c r="BF223" s="4395">
        <f>IFERROR(IF((time+time_cap)&lt;BF$2, 0,IF(AND(time+1&gt;=BG$2, $E223&lt;BG$2), IF($I223= "I", $J223/($F223-$E223+1), $J223/(($F223*($F223+1)/2)-(($E223-1)*($E223-1+1)/2))*BF$2), 0)+IF(IF(time+1&gt;=BG$2, $K223/time_cap/(time+1)*BF$2, 0) = 0, $K223/(time_cap),0)),0)</f>
        <v/>
      </c>
      <c r="BG223" s="4395">
        <f>IFERROR(IF((time+time_cap)&lt;BG$2, 0,IF(AND(time+1&gt;=BH$2, $E223&lt;BH$2), IF($I223= "I", $J223/($F223-$E223+1), $J223/(($F223*($F223+1)/2)-(($E223-1)*($E223-1+1)/2))*BG$2), 0)+IF(IF(time+1&gt;=BH$2, $K223/time_cap/(time+1)*BG$2, 0) = 0, $K223/(time_cap),0)),0)</f>
        <v/>
      </c>
      <c r="BH223" s="4395">
        <f>IFERROR(IF((time+time_cap)&lt;BH$2, 0,IF(AND(time+1&gt;=BI$2, $E223&lt;BI$2), IF($I223= "I", $J223/($F223-$E223+1), $J223/(($F223*($F223+1)/2)-(($E223-1)*($E223-1+1)/2))*BH$2), 0)+IF(IF(time+1&gt;=BI$2, $K223/time_cap/(time+1)*BH$2, 0) = 0, $K223/(time_cap),0)),0)</f>
        <v/>
      </c>
      <c r="BI223" s="4395">
        <f>IFERROR(IF((time+time_cap)&lt;BI$2, 0,IF(AND(time+1&gt;=BJ$2, $E223&lt;BJ$2), IF($I223= "I", $J223/($F223-$E223+1), $J223/(($F223*($F223+1)/2)-(($E223-1)*($E223-1+1)/2))*BI$2), 0)+IF(IF(time+1&gt;=BJ$2, $K223/time_cap/(time+1)*BI$2, 0) = 0, $K223/(time_cap),0)),0)</f>
        <v/>
      </c>
      <c r="BJ223" s="4395">
        <f>IFERROR(IF((time+time_cap)&lt;BJ$2, 0,IF(AND(time+1&gt;=BK$2, $E223&lt;BK$2), IF($I223= "I", $J223/($F223-$E223+1), $J223/(($F223*($F223+1)/2)-(($E223-1)*($E223-1+1)/2))*BJ$2), 0)+IF(IF(time+1&gt;=BK$2, $K223/time_cap/(time+1)*BJ$2, 0) = 0, $K223/(time_cap),0)),0)</f>
        <v/>
      </c>
      <c r="BK223" s="4395" t="n"/>
      <c r="BL223" s="4395" t="n"/>
      <c r="BM223" s="4395" t="n"/>
      <c r="BN223" s="4395" t="n"/>
      <c r="BO223" s="4395" t="n"/>
      <c r="BP223" s="4395" t="n"/>
      <c r="BQ223" s="4395" t="n"/>
      <c r="BR223" s="4395" t="n"/>
      <c r="BS223" s="4395" t="n"/>
      <c r="BT223" s="4395" t="n"/>
      <c r="BU223" s="4395" t="n"/>
      <c r="BV223" s="4395" t="n"/>
      <c r="BW223" s="4395" t="n"/>
      <c r="BX223" s="4395" t="n"/>
      <c r="BY223" s="4395" t="n"/>
      <c r="BZ223" s="4395" t="n"/>
      <c r="CA223" s="4395" t="n"/>
      <c r="CB223" s="4395" t="n"/>
      <c r="CC223" s="4395" t="n"/>
      <c r="CD223" s="4395" t="n"/>
      <c r="CE223" s="4395" t="n"/>
      <c r="CF223" s="4395" t="n"/>
      <c r="CG223" s="4395" t="n"/>
      <c r="CH223" s="4395" t="n"/>
      <c r="CI223" s="4395" t="n"/>
      <c r="CJ223" s="4395" t="n"/>
      <c r="CK223" s="4395" t="n"/>
      <c r="CL223" s="4395" t="n"/>
      <c r="CM223" s="4395" t="n"/>
      <c r="CN223" s="4395" t="n"/>
      <c r="CO223" s="4395" t="n"/>
      <c r="CP223" s="4395" t="n"/>
      <c r="CQ223" s="4395" t="n"/>
      <c r="CR223" s="4395" t="n"/>
      <c r="CS223" s="4395" t="n"/>
      <c r="CT223" s="4395" t="n"/>
      <c r="CU223" s="4395" t="n"/>
      <c r="CV223" s="4395" t="n"/>
      <c r="CW223" s="4395" t="n"/>
      <c r="CX223" s="4395" t="n"/>
      <c r="CY223" s="4395" t="n"/>
      <c r="CZ223" s="4395" t="n"/>
      <c r="DA223" s="4395" t="n"/>
      <c r="DB223" s="4395" t="n"/>
      <c r="DC223" s="4395" t="n"/>
      <c r="DD223" s="4395" t="n"/>
      <c r="DE223" s="4395" t="n"/>
      <c r="DF223" s="4395" t="n"/>
      <c r="DG223" s="4395" t="n"/>
      <c r="DH223" s="4395" t="n"/>
    </row>
    <row r="224" ht="16" customHeight="1">
      <c r="A224" t="inlineStr">
        <is>
          <t>Energy</t>
        </is>
      </c>
      <c r="C224">
        <f>'9.Inputs'!C57</f>
        <v/>
      </c>
      <c r="D224">
        <f>'9.Inputs'!V57</f>
        <v/>
      </c>
      <c r="E224">
        <f>IF('9.Inputs'!BE57&lt;&gt;0,'9.Inputs'!BE57,'9.Inputs'!BD57)</f>
        <v/>
      </c>
      <c r="F224">
        <f>time</f>
        <v/>
      </c>
      <c r="G224" s="4395">
        <f>'9.Inputs'!F57</f>
        <v/>
      </c>
      <c r="H224" s="4395">
        <f>'9.Inputs'!H57</f>
        <v/>
      </c>
      <c r="I224" s="4395">
        <f>IF(OR(H224="I", G224="I"), "I", IF(OR(H224="E", G224="E"), "E", "D"))</f>
        <v/>
      </c>
      <c r="J224" s="4395">
        <f>((D224/(time_cap+((F224-E224+1)*VLOOKUP(I224,list!$I$48:$K$50,3, FALSE))))*(F224-E224+1)*VLOOKUP(I224,list!$I$48:$K$50,3, FALSE))</f>
        <v/>
      </c>
      <c r="K224" s="4395">
        <f>((D224/(time_cap+((F224-E224+1)*VLOOKUP(I224,list!$I$48:$K$50,3, FALSE))))*time_cap)</f>
        <v/>
      </c>
      <c r="M224" s="4395">
        <f>IFERROR(IF((time+time_cap)&lt;M$2, 0,IF(AND(time+1&gt;=N$2, $E224&lt;N$2), IF($I224= "I", $J224/($F224-$E224+1), $J224/(($F224*($F224+1)/2)-(($E224-1)*($E224-1+1)/2))*M$2), 0)+IF(IF(time+1&gt;=N$2, $K224/time_cap/(time+1)*M$2, 0) = 0, $K224/(time_cap),0)),0)</f>
        <v/>
      </c>
      <c r="N224" s="4395">
        <f>IFERROR(IF((time+time_cap)&lt;N$2, 0,IF(AND(time+1&gt;=O$2, $E224&lt;O$2), IF($I224= "I", $J224/($F224-$E224+1), $J224/(($F224*($F224+1)/2)-(($E224-1)*($E224-1+1)/2))*N$2), 0)+IF(IF(time+1&gt;=O$2, $K224/time_cap/(time+1)*N$2, 0) = 0, $K224/(time_cap),0)),0)</f>
        <v/>
      </c>
      <c r="O224" s="4395">
        <f>IFERROR(IF((time+time_cap)&lt;O$2, 0,IF(AND(time+1&gt;=P$2, $E224&lt;P$2), IF($I224= "I", $J224/($F224-$E224+1), $J224/(($F224*($F224+1)/2)-(($E224-1)*($E224-1+1)/2))*O$2), 0)+IF(IF(time+1&gt;=P$2, $K224/time_cap/(time+1)*O$2, 0) = 0, $K224/(time_cap),0)),0)</f>
        <v/>
      </c>
      <c r="P224" s="4395">
        <f>IFERROR(IF((time+time_cap)&lt;P$2, 0,IF(AND(time+1&gt;=Q$2, $E224&lt;Q$2), IF($I224= "I", $J224/($F224-$E224+1), $J224/(($F224*($F224+1)/2)-(($E224-1)*($E224-1+1)/2))*P$2), 0)+IF(IF(time+1&gt;=Q$2, $K224/time_cap/(time+1)*P$2, 0) = 0, $K224/(time_cap),0)),0)</f>
        <v/>
      </c>
      <c r="Q224" s="4395">
        <f>IFERROR(IF((time+time_cap)&lt;Q$2, 0,IF(AND(time+1&gt;=R$2, $E224&lt;R$2), IF($I224= "I", $J224/($F224-$E224+1), $J224/(($F224*($F224+1)/2)-(($E224-1)*($E224-1+1)/2))*Q$2), 0)+IF(IF(time+1&gt;=R$2, $K224/time_cap/(time+1)*Q$2, 0) = 0, $K224/(time_cap),0)),0)</f>
        <v/>
      </c>
      <c r="R224" s="4395">
        <f>IFERROR(IF((time+time_cap)&lt;R$2, 0,IF(AND(time+1&gt;=S$2, $E224&lt;S$2), IF($I224= "I", $J224/($F224-$E224+1), $J224/(($F224*($F224+1)/2)-(($E224-1)*($E224-1+1)/2))*R$2), 0)+IF(IF(time+1&gt;=S$2, $K224/time_cap/(time+1)*R$2, 0) = 0, $K224/(time_cap),0)),0)</f>
        <v/>
      </c>
      <c r="S224" s="4395">
        <f>IFERROR(IF((time+time_cap)&lt;S$2, 0,IF(AND(time+1&gt;=T$2, $E224&lt;T$2), IF($I224= "I", $J224/($F224-$E224+1), $J224/(($F224*($F224+1)/2)-(($E224-1)*($E224-1+1)/2))*S$2), 0)+IF(IF(time+1&gt;=T$2, $K224/time_cap/(time+1)*S$2, 0) = 0, $K224/(time_cap),0)),0)</f>
        <v/>
      </c>
      <c r="T224" s="4395">
        <f>IFERROR(IF((time+time_cap)&lt;T$2, 0,IF(AND(time+1&gt;=U$2, $E224&lt;U$2), IF($I224= "I", $J224/($F224-$E224+1), $J224/(($F224*($F224+1)/2)-(($E224-1)*($E224-1+1)/2))*T$2), 0)+IF(IF(time+1&gt;=U$2, $K224/time_cap/(time+1)*T$2, 0) = 0, $K224/(time_cap),0)),0)</f>
        <v/>
      </c>
      <c r="U224" s="4395">
        <f>IFERROR(IF((time+time_cap)&lt;U$2, 0,IF(AND(time+1&gt;=V$2, $E224&lt;V$2), IF($I224= "I", $J224/($F224-$E224+1), $J224/(($F224*($F224+1)/2)-(($E224-1)*($E224-1+1)/2))*U$2), 0)+IF(IF(time+1&gt;=V$2, $K224/time_cap/(time+1)*U$2, 0) = 0, $K224/(time_cap),0)),0)</f>
        <v/>
      </c>
      <c r="V224" s="4395">
        <f>IFERROR(IF((time+time_cap)&lt;V$2, 0,IF(AND(time+1&gt;=W$2, $E224&lt;W$2), IF($I224= "I", $J224/($F224-$E224+1), $J224/(($F224*($F224+1)/2)-(($E224-1)*($E224-1+1)/2))*V$2), 0)+IF(IF(time+1&gt;=W$2, $K224/time_cap/(time+1)*V$2, 0) = 0, $K224/(time_cap),0)),0)</f>
        <v/>
      </c>
      <c r="W224" s="4395">
        <f>IFERROR(IF((time+time_cap)&lt;W$2, 0,IF(AND(time+1&gt;=X$2, $E224&lt;X$2), IF($I224= "I", $J224/($F224-$E224+1), $J224/(($F224*($F224+1)/2)-(($E224-1)*($E224-1+1)/2))*W$2), 0)+IF(IF(time+1&gt;=X$2, $K224/time_cap/(time+1)*W$2, 0) = 0, $K224/(time_cap),0)),0)</f>
        <v/>
      </c>
      <c r="X224" s="4395">
        <f>IFERROR(IF((time+time_cap)&lt;X$2, 0,IF(AND(time+1&gt;=Y$2, $E224&lt;Y$2), IF($I224= "I", $J224/($F224-$E224+1), $J224/(($F224*($F224+1)/2)-(($E224-1)*($E224-1+1)/2))*X$2), 0)+IF(IF(time+1&gt;=Y$2, $K224/time_cap/(time+1)*X$2, 0) = 0, $K224/(time_cap),0)),0)</f>
        <v/>
      </c>
      <c r="Y224" s="4395">
        <f>IFERROR(IF((time+time_cap)&lt;Y$2, 0,IF(AND(time+1&gt;=Z$2, $E224&lt;Z$2), IF($I224= "I", $J224/($F224-$E224+1), $J224/(($F224*($F224+1)/2)-(($E224-1)*($E224-1+1)/2))*Y$2), 0)+IF(IF(time+1&gt;=Z$2, $K224/time_cap/(time+1)*Y$2, 0) = 0, $K224/(time_cap),0)),0)</f>
        <v/>
      </c>
      <c r="Z224" s="4395">
        <f>IFERROR(IF((time+time_cap)&lt;Z$2, 0,IF(AND(time+1&gt;=AA$2, $E224&lt;AA$2), IF($I224= "I", $J224/($F224-$E224+1), $J224/(($F224*($F224+1)/2)-(($E224-1)*($E224-1+1)/2))*Z$2), 0)+IF(IF(time+1&gt;=AA$2, $K224/time_cap/(time+1)*Z$2, 0) = 0, $K224/(time_cap),0)),0)</f>
        <v/>
      </c>
      <c r="AA224" s="4395">
        <f>IFERROR(IF((time+time_cap)&lt;AA$2, 0,IF(AND(time+1&gt;=AB$2, $E224&lt;AB$2), IF($I224= "I", $J224/($F224-$E224+1), $J224/(($F224*($F224+1)/2)-(($E224-1)*($E224-1+1)/2))*AA$2), 0)+IF(IF(time+1&gt;=AB$2, $K224/time_cap/(time+1)*AA$2, 0) = 0, $K224/(time_cap),0)),0)</f>
        <v/>
      </c>
      <c r="AB224" s="4395">
        <f>IFERROR(IF((time+time_cap)&lt;AB$2, 0,IF(AND(time+1&gt;=AC$2, $E224&lt;AC$2), IF($I224= "I", $J224/($F224-$E224+1), $J224/(($F224*($F224+1)/2)-(($E224-1)*($E224-1+1)/2))*AB$2), 0)+IF(IF(time+1&gt;=AC$2, $K224/time_cap/(time+1)*AB$2, 0) = 0, $K224/(time_cap),0)),0)</f>
        <v/>
      </c>
      <c r="AC224" s="4395">
        <f>IFERROR(IF((time+time_cap)&lt;AC$2, 0,IF(AND(time+1&gt;=AD$2, $E224&lt;AD$2), IF($I224= "I", $J224/($F224-$E224+1), $J224/(($F224*($F224+1)/2)-(($E224-1)*($E224-1+1)/2))*AC$2), 0)+IF(IF(time+1&gt;=AD$2, $K224/time_cap/(time+1)*AC$2, 0) = 0, $K224/(time_cap),0)),0)</f>
        <v/>
      </c>
      <c r="AD224" s="4395">
        <f>IFERROR(IF((time+time_cap)&lt;AD$2, 0,IF(AND(time+1&gt;=AE$2, $E224&lt;AE$2), IF($I224= "I", $J224/($F224-$E224+1), $J224/(($F224*($F224+1)/2)-(($E224-1)*($E224-1+1)/2))*AD$2), 0)+IF(IF(time+1&gt;=AE$2, $K224/time_cap/(time+1)*AD$2, 0) = 0, $K224/(time_cap),0)),0)</f>
        <v/>
      </c>
      <c r="AE224" s="4395">
        <f>IFERROR(IF((time+time_cap)&lt;AE$2, 0,IF(AND(time+1&gt;=AF$2, $E224&lt;AF$2), IF($I224= "I", $J224/($F224-$E224+1), $J224/(($F224*($F224+1)/2)-(($E224-1)*($E224-1+1)/2))*AE$2), 0)+IF(IF(time+1&gt;=AF$2, $K224/time_cap/(time+1)*AE$2, 0) = 0, $K224/(time_cap),0)),0)</f>
        <v/>
      </c>
      <c r="AF224" s="4395">
        <f>IFERROR(IF((time+time_cap)&lt;AF$2, 0,IF(AND(time+1&gt;=AG$2, $E224&lt;AG$2), IF($I224= "I", $J224/($F224-$E224+1), $J224/(($F224*($F224+1)/2)-(($E224-1)*($E224-1+1)/2))*AF$2), 0)+IF(IF(time+1&gt;=AG$2, $K224/time_cap/(time+1)*AF$2, 0) = 0, $K224/(time_cap),0)),0)</f>
        <v/>
      </c>
      <c r="AG224" s="4395">
        <f>IFERROR(IF((time+time_cap)&lt;AG$2, 0,IF(AND(time+1&gt;=AH$2, $E224&lt;AH$2), IF($I224= "I", $J224/($F224-$E224+1), $J224/(($F224*($F224+1)/2)-(($E224-1)*($E224-1+1)/2))*AG$2), 0)+IF(IF(time+1&gt;=AH$2, $K224/time_cap/(time+1)*AG$2, 0) = 0, $K224/(time_cap),0)),0)</f>
        <v/>
      </c>
      <c r="AH224" s="4395">
        <f>IFERROR(IF((time+time_cap)&lt;AH$2, 0,IF(AND(time+1&gt;=AI$2, $E224&lt;AI$2), IF($I224= "I", $J224/($F224-$E224+1), $J224/(($F224*($F224+1)/2)-(($E224-1)*($E224-1+1)/2))*AH$2), 0)+IF(IF(time+1&gt;=AI$2, $K224/time_cap/(time+1)*AH$2, 0) = 0, $K224/(time_cap),0)),0)</f>
        <v/>
      </c>
      <c r="AI224" s="4395">
        <f>IFERROR(IF((time+time_cap)&lt;AI$2, 0,IF(AND(time+1&gt;=AJ$2, $E224&lt;AJ$2), IF($I224= "I", $J224/($F224-$E224+1), $J224/(($F224*($F224+1)/2)-(($E224-1)*($E224-1+1)/2))*AI$2), 0)+IF(IF(time+1&gt;=AJ$2, $K224/time_cap/(time+1)*AI$2, 0) = 0, $K224/(time_cap),0)),0)</f>
        <v/>
      </c>
      <c r="AJ224" s="4395">
        <f>IFERROR(IF((time+time_cap)&lt;AJ$2, 0,IF(AND(time+1&gt;=AK$2, $E224&lt;AK$2), IF($I224= "I", $J224/($F224-$E224+1), $J224/(($F224*($F224+1)/2)-(($E224-1)*($E224-1+1)/2))*AJ$2), 0)+IF(IF(time+1&gt;=AK$2, $K224/time_cap/(time+1)*AJ$2, 0) = 0, $K224/(time_cap),0)),0)</f>
        <v/>
      </c>
      <c r="AK224" s="4395">
        <f>IFERROR(IF((time+time_cap)&lt;AK$2, 0,IF(AND(time+1&gt;=AL$2, $E224&lt;AL$2), IF($I224= "I", $J224/($F224-$E224+1), $J224/(($F224*($F224+1)/2)-(($E224-1)*($E224-1+1)/2))*AK$2), 0)+IF(IF(time+1&gt;=AL$2, $K224/time_cap/(time+1)*AK$2, 0) = 0, $K224/(time_cap),0)),0)</f>
        <v/>
      </c>
      <c r="AL224" s="4395">
        <f>IFERROR(IF((time+time_cap)&lt;AL$2, 0,IF(AND(time+1&gt;=AM$2, $E224&lt;AM$2), IF($I224= "I", $J224/($F224-$E224+1), $J224/(($F224*($F224+1)/2)-(($E224-1)*($E224-1+1)/2))*AL$2), 0)+IF(IF(time+1&gt;=AM$2, $K224/time_cap/(time+1)*AL$2, 0) = 0, $K224/(time_cap),0)),0)</f>
        <v/>
      </c>
      <c r="AM224" s="4395">
        <f>IFERROR(IF((time+time_cap)&lt;AM$2, 0,IF(AND(time+1&gt;=AN$2, $E224&lt;AN$2), IF($I224= "I", $J224/($F224-$E224+1), $J224/(($F224*($F224+1)/2)-(($E224-1)*($E224-1+1)/2))*AM$2), 0)+IF(IF(time+1&gt;=AN$2, $K224/time_cap/(time+1)*AM$2, 0) = 0, $K224/(time_cap),0)),0)</f>
        <v/>
      </c>
      <c r="AN224" s="4395">
        <f>IFERROR(IF((time+time_cap)&lt;AN$2, 0,IF(AND(time+1&gt;=AO$2, $E224&lt;AO$2), IF($I224= "I", $J224/($F224-$E224+1), $J224/(($F224*($F224+1)/2)-(($E224-1)*($E224-1+1)/2))*AN$2), 0)+IF(IF(time+1&gt;=AO$2, $K224/time_cap/(time+1)*AN$2, 0) = 0, $K224/(time_cap),0)),0)</f>
        <v/>
      </c>
      <c r="AO224" s="4395">
        <f>IFERROR(IF((time+time_cap)&lt;AO$2, 0,IF(AND(time+1&gt;=AP$2, $E224&lt;AP$2), IF($I224= "I", $J224/($F224-$E224+1), $J224/(($F224*($F224+1)/2)-(($E224-1)*($E224-1+1)/2))*AO$2), 0)+IF(IF(time+1&gt;=AP$2, $K224/time_cap/(time+1)*AO$2, 0) = 0, $K224/(time_cap),0)),0)</f>
        <v/>
      </c>
      <c r="AP224" s="4395">
        <f>IFERROR(IF((time+time_cap)&lt;AP$2, 0,IF(AND(time+1&gt;=AQ$2, $E224&lt;AQ$2), IF($I224= "I", $J224/($F224-$E224+1), $J224/(($F224*($F224+1)/2)-(($E224-1)*($E224-1+1)/2))*AP$2), 0)+IF(IF(time+1&gt;=AQ$2, $K224/time_cap/(time+1)*AP$2, 0) = 0, $K224/(time_cap),0)),0)</f>
        <v/>
      </c>
      <c r="AQ224" s="4395">
        <f>IFERROR(IF((time+time_cap)&lt;AQ$2, 0,IF(AND(time+1&gt;=AR$2, $E224&lt;AR$2), IF($I224= "I", $J224/($F224-$E224+1), $J224/(($F224*($F224+1)/2)-(($E224-1)*($E224-1+1)/2))*AQ$2), 0)+IF(IF(time+1&gt;=AR$2, $K224/time_cap/(time+1)*AQ$2, 0) = 0, $K224/(time_cap),0)),0)</f>
        <v/>
      </c>
      <c r="AR224" s="4395">
        <f>IFERROR(IF((time+time_cap)&lt;AR$2, 0,IF(AND(time+1&gt;=AS$2, $E224&lt;AS$2), IF($I224= "I", $J224/($F224-$E224+1), $J224/(($F224*($F224+1)/2)-(($E224-1)*($E224-1+1)/2))*AR$2), 0)+IF(IF(time+1&gt;=AS$2, $K224/time_cap/(time+1)*AR$2, 0) = 0, $K224/(time_cap),0)),0)</f>
        <v/>
      </c>
      <c r="AS224" s="4395">
        <f>IFERROR(IF((time+time_cap)&lt;AS$2, 0,IF(AND(time+1&gt;=AT$2, $E224&lt;AT$2), IF($I224= "I", $J224/($F224-$E224+1), $J224/(($F224*($F224+1)/2)-(($E224-1)*($E224-1+1)/2))*AS$2), 0)+IF(IF(time+1&gt;=AT$2, $K224/time_cap/(time+1)*AS$2, 0) = 0, $K224/(time_cap),0)),0)</f>
        <v/>
      </c>
      <c r="AT224" s="4395">
        <f>IFERROR(IF((time+time_cap)&lt;AT$2, 0,IF(AND(time+1&gt;=AU$2, $E224&lt;AU$2), IF($I224= "I", $J224/($F224-$E224+1), $J224/(($F224*($F224+1)/2)-(($E224-1)*($E224-1+1)/2))*AT$2), 0)+IF(IF(time+1&gt;=AU$2, $K224/time_cap/(time+1)*AT$2, 0) = 0, $K224/(time_cap),0)),0)</f>
        <v/>
      </c>
      <c r="AU224" s="4395">
        <f>IFERROR(IF((time+time_cap)&lt;AU$2, 0,IF(AND(time+1&gt;=AV$2, $E224&lt;AV$2), IF($I224= "I", $J224/($F224-$E224+1), $J224/(($F224*($F224+1)/2)-(($E224-1)*($E224-1+1)/2))*AU$2), 0)+IF(IF(time+1&gt;=AV$2, $K224/time_cap/(time+1)*AU$2, 0) = 0, $K224/(time_cap),0)),0)</f>
        <v/>
      </c>
      <c r="AV224" s="4395">
        <f>IFERROR(IF((time+time_cap)&lt;AV$2, 0,IF(AND(time+1&gt;=AW$2, $E224&lt;AW$2), IF($I224= "I", $J224/($F224-$E224+1), $J224/(($F224*($F224+1)/2)-(($E224-1)*($E224-1+1)/2))*AV$2), 0)+IF(IF(time+1&gt;=AW$2, $K224/time_cap/(time+1)*AV$2, 0) = 0, $K224/(time_cap),0)),0)</f>
        <v/>
      </c>
      <c r="AW224" s="4395">
        <f>IFERROR(IF((time+time_cap)&lt;AW$2, 0,IF(AND(time+1&gt;=AX$2, $E224&lt;AX$2), IF($I224= "I", $J224/($F224-$E224+1), $J224/(($F224*($F224+1)/2)-(($E224-1)*($E224-1+1)/2))*AW$2), 0)+IF(IF(time+1&gt;=AX$2, $K224/time_cap/(time+1)*AW$2, 0) = 0, $K224/(time_cap),0)),0)</f>
        <v/>
      </c>
      <c r="AX224" s="4395">
        <f>IFERROR(IF((time+time_cap)&lt;AX$2, 0,IF(AND(time+1&gt;=AY$2, $E224&lt;AY$2), IF($I224= "I", $J224/($F224-$E224+1), $J224/(($F224*($F224+1)/2)-(($E224-1)*($E224-1+1)/2))*AX$2), 0)+IF(IF(time+1&gt;=AY$2, $K224/time_cap/(time+1)*AX$2, 0) = 0, $K224/(time_cap),0)),0)</f>
        <v/>
      </c>
      <c r="AY224" s="4395">
        <f>IFERROR(IF((time+time_cap)&lt;AY$2, 0,IF(AND(time+1&gt;=AZ$2, $E224&lt;AZ$2), IF($I224= "I", $J224/($F224-$E224+1), $J224/(($F224*($F224+1)/2)-(($E224-1)*($E224-1+1)/2))*AY$2), 0)+IF(IF(time+1&gt;=AZ$2, $K224/time_cap/(time+1)*AY$2, 0) = 0, $K224/(time_cap),0)),0)</f>
        <v/>
      </c>
      <c r="AZ224" s="4395">
        <f>IFERROR(IF((time+time_cap)&lt;AZ$2, 0,IF(AND(time+1&gt;=BA$2, $E224&lt;BA$2), IF($I224= "I", $J224/($F224-$E224+1), $J224/(($F224*($F224+1)/2)-(($E224-1)*($E224-1+1)/2))*AZ$2), 0)+IF(IF(time+1&gt;=BA$2, $K224/time_cap/(time+1)*AZ$2, 0) = 0, $K224/(time_cap),0)),0)</f>
        <v/>
      </c>
      <c r="BA224" s="4395">
        <f>IFERROR(IF((time+time_cap)&lt;BA$2, 0,IF(AND(time+1&gt;=BB$2, $E224&lt;BB$2), IF($I224= "I", $J224/($F224-$E224+1), $J224/(($F224*($F224+1)/2)-(($E224-1)*($E224-1+1)/2))*BA$2), 0)+IF(IF(time+1&gt;=BB$2, $K224/time_cap/(time+1)*BA$2, 0) = 0, $K224/(time_cap),0)),0)</f>
        <v/>
      </c>
      <c r="BB224" s="4395">
        <f>IFERROR(IF((time+time_cap)&lt;BB$2, 0,IF(AND(time+1&gt;=BC$2, $E224&lt;BC$2), IF($I224= "I", $J224/($F224-$E224+1), $J224/(($F224*($F224+1)/2)-(($E224-1)*($E224-1+1)/2))*BB$2), 0)+IF(IF(time+1&gt;=BC$2, $K224/time_cap/(time+1)*BB$2, 0) = 0, $K224/(time_cap),0)),0)</f>
        <v/>
      </c>
      <c r="BC224" s="4395">
        <f>IFERROR(IF((time+time_cap)&lt;BC$2, 0,IF(AND(time+1&gt;=BD$2, $E224&lt;BD$2), IF($I224= "I", $J224/($F224-$E224+1), $J224/(($F224*($F224+1)/2)-(($E224-1)*($E224-1+1)/2))*BC$2), 0)+IF(IF(time+1&gt;=BD$2, $K224/time_cap/(time+1)*BC$2, 0) = 0, $K224/(time_cap),0)),0)</f>
        <v/>
      </c>
      <c r="BD224" s="4395">
        <f>IFERROR(IF((time+time_cap)&lt;BD$2, 0,IF(AND(time+1&gt;=BE$2, $E224&lt;BE$2), IF($I224= "I", $J224/($F224-$E224+1), $J224/(($F224*($F224+1)/2)-(($E224-1)*($E224-1+1)/2))*BD$2), 0)+IF(IF(time+1&gt;=BE$2, $K224/time_cap/(time+1)*BD$2, 0) = 0, $K224/(time_cap),0)),0)</f>
        <v/>
      </c>
      <c r="BE224" s="4395">
        <f>IFERROR(IF((time+time_cap)&lt;BE$2, 0,IF(AND(time+1&gt;=BF$2, $E224&lt;BF$2), IF($I224= "I", $J224/($F224-$E224+1), $J224/(($F224*($F224+1)/2)-(($E224-1)*($E224-1+1)/2))*BE$2), 0)+IF(IF(time+1&gt;=BF$2, $K224/time_cap/(time+1)*BE$2, 0) = 0, $K224/(time_cap),0)),0)</f>
        <v/>
      </c>
      <c r="BF224" s="4395">
        <f>IFERROR(IF((time+time_cap)&lt;BF$2, 0,IF(AND(time+1&gt;=BG$2, $E224&lt;BG$2), IF($I224= "I", $J224/($F224-$E224+1), $J224/(($F224*($F224+1)/2)-(($E224-1)*($E224-1+1)/2))*BF$2), 0)+IF(IF(time+1&gt;=BG$2, $K224/time_cap/(time+1)*BF$2, 0) = 0, $K224/(time_cap),0)),0)</f>
        <v/>
      </c>
      <c r="BG224" s="4395">
        <f>IFERROR(IF((time+time_cap)&lt;BG$2, 0,IF(AND(time+1&gt;=BH$2, $E224&lt;BH$2), IF($I224= "I", $J224/($F224-$E224+1), $J224/(($F224*($F224+1)/2)-(($E224-1)*($E224-1+1)/2))*BG$2), 0)+IF(IF(time+1&gt;=BH$2, $K224/time_cap/(time+1)*BG$2, 0) = 0, $K224/(time_cap),0)),0)</f>
        <v/>
      </c>
      <c r="BH224" s="4395">
        <f>IFERROR(IF((time+time_cap)&lt;BH$2, 0,IF(AND(time+1&gt;=BI$2, $E224&lt;BI$2), IF($I224= "I", $J224/($F224-$E224+1), $J224/(($F224*($F224+1)/2)-(($E224-1)*($E224-1+1)/2))*BH$2), 0)+IF(IF(time+1&gt;=BI$2, $K224/time_cap/(time+1)*BH$2, 0) = 0, $K224/(time_cap),0)),0)</f>
        <v/>
      </c>
      <c r="BI224" s="4395">
        <f>IFERROR(IF((time+time_cap)&lt;BI$2, 0,IF(AND(time+1&gt;=BJ$2, $E224&lt;BJ$2), IF($I224= "I", $J224/($F224-$E224+1), $J224/(($F224*($F224+1)/2)-(($E224-1)*($E224-1+1)/2))*BI$2), 0)+IF(IF(time+1&gt;=BJ$2, $K224/time_cap/(time+1)*BI$2, 0) = 0, $K224/(time_cap),0)),0)</f>
        <v/>
      </c>
      <c r="BJ224" s="4395">
        <f>IFERROR(IF((time+time_cap)&lt;BJ$2, 0,IF(AND(time+1&gt;=BK$2, $E224&lt;BK$2), IF($I224= "I", $J224/($F224-$E224+1), $J224/(($F224*($F224+1)/2)-(($E224-1)*($E224-1+1)/2))*BJ$2), 0)+IF(IF(time+1&gt;=BK$2, $K224/time_cap/(time+1)*BJ$2, 0) = 0, $K224/(time_cap),0)),0)</f>
        <v/>
      </c>
      <c r="BK224" s="4395" t="n"/>
      <c r="BL224" s="4395" t="n"/>
      <c r="BM224" s="4395" t="n"/>
      <c r="BN224" s="4395" t="n"/>
      <c r="BO224" s="4395" t="n"/>
      <c r="BP224" s="4395" t="n"/>
      <c r="BQ224" s="4395" t="n"/>
      <c r="BR224" s="4395" t="n"/>
      <c r="BS224" s="4395" t="n"/>
      <c r="BT224" s="4395" t="n"/>
      <c r="BU224" s="4395" t="n"/>
      <c r="BV224" s="4395" t="n"/>
      <c r="BW224" s="4395" t="n"/>
      <c r="BX224" s="4395" t="n"/>
      <c r="BY224" s="4395" t="n"/>
      <c r="BZ224" s="4395" t="n"/>
      <c r="CA224" s="4395" t="n"/>
      <c r="CB224" s="4395" t="n"/>
      <c r="CC224" s="4395" t="n"/>
      <c r="CD224" s="4395" t="n"/>
      <c r="CE224" s="4395" t="n"/>
      <c r="CF224" s="4395" t="n"/>
      <c r="CG224" s="4395" t="n"/>
      <c r="CH224" s="4395" t="n"/>
      <c r="CI224" s="4395" t="n"/>
      <c r="CJ224" s="4395" t="n"/>
      <c r="CK224" s="4395" t="n"/>
      <c r="CL224" s="4395" t="n"/>
      <c r="CM224" s="4395" t="n"/>
      <c r="CN224" s="4395" t="n"/>
      <c r="CO224" s="4395" t="n"/>
      <c r="CP224" s="4395" t="n"/>
      <c r="CQ224" s="4395" t="n"/>
      <c r="CR224" s="4395" t="n"/>
      <c r="CS224" s="4395" t="n"/>
      <c r="CT224" s="4395" t="n"/>
      <c r="CU224" s="4395" t="n"/>
      <c r="CV224" s="4395" t="n"/>
      <c r="CW224" s="4395" t="n"/>
      <c r="CX224" s="4395" t="n"/>
      <c r="CY224" s="4395" t="n"/>
      <c r="CZ224" s="4395" t="n"/>
      <c r="DA224" s="4395" t="n"/>
      <c r="DB224" s="4395" t="n"/>
      <c r="DC224" s="4395" t="n"/>
      <c r="DD224" s="4395" t="n"/>
      <c r="DE224" s="4395" t="n"/>
      <c r="DF224" s="4395" t="n"/>
      <c r="DG224" s="4395" t="n"/>
      <c r="DH224" s="4395" t="n"/>
    </row>
    <row r="225" ht="16" customHeight="1">
      <c r="A225" t="inlineStr">
        <is>
          <t>Energy</t>
        </is>
      </c>
      <c r="C225">
        <f>'9.Inputs'!C60</f>
        <v/>
      </c>
      <c r="D225">
        <f>'9.Inputs'!V60</f>
        <v/>
      </c>
      <c r="E225">
        <f>IF('9.Inputs'!BE60&lt;&gt;0,'9.Inputs'!BE60,'9.Inputs'!BD60)</f>
        <v/>
      </c>
      <c r="F225">
        <f>time</f>
        <v/>
      </c>
      <c r="G225" s="4395">
        <f>'9.Inputs'!F60</f>
        <v/>
      </c>
      <c r="H225" s="4395">
        <f>'9.Inputs'!H60</f>
        <v/>
      </c>
      <c r="I225" s="4395">
        <f>IF(OR(H225="I", G225="I"), "I", IF(OR(H225="E", G225="E"), "E", "D"))</f>
        <v/>
      </c>
      <c r="J225" s="4395">
        <f>((D225/(time_cap+((F225-E225+1)*VLOOKUP(I225,list!$I$48:$K$50,3, FALSE))))*(F225-E225+1)*VLOOKUP(I225,list!$I$48:$K$50,3, FALSE))</f>
        <v/>
      </c>
      <c r="K225" s="4395">
        <f>((D225/(time_cap+((F225-E225+1)*VLOOKUP(I225,list!$I$48:$K$50,3, FALSE))))*time_cap)</f>
        <v/>
      </c>
      <c r="M225" s="4395">
        <f>IFERROR(IF((time+time_cap)&lt;M$2, 0,IF(AND(time+1&gt;=N$2, $E225&lt;N$2), IF($I225= "I", $J225/($F225-$E225+1), $J225/(($F225*($F225+1)/2)-(($E225-1)*($E225-1+1)/2))*M$2), 0)+IF(IF(time+1&gt;=N$2, $K225/time_cap/(time+1)*M$2, 0) = 0, $K225/(time_cap),0)),0)</f>
        <v/>
      </c>
      <c r="N225" s="4395">
        <f>IFERROR(IF((time+time_cap)&lt;N$2, 0,IF(AND(time+1&gt;=O$2, $E225&lt;O$2), IF($I225= "I", $J225/($F225-$E225+1), $J225/(($F225*($F225+1)/2)-(($E225-1)*($E225-1+1)/2))*N$2), 0)+IF(IF(time+1&gt;=O$2, $K225/time_cap/(time+1)*N$2, 0) = 0, $K225/(time_cap),0)),0)</f>
        <v/>
      </c>
      <c r="O225" s="4395">
        <f>IFERROR(IF((time+time_cap)&lt;O$2, 0,IF(AND(time+1&gt;=P$2, $E225&lt;P$2), IF($I225= "I", $J225/($F225-$E225+1), $J225/(($F225*($F225+1)/2)-(($E225-1)*($E225-1+1)/2))*O$2), 0)+IF(IF(time+1&gt;=P$2, $K225/time_cap/(time+1)*O$2, 0) = 0, $K225/(time_cap),0)),0)</f>
        <v/>
      </c>
      <c r="P225" s="4395">
        <f>IFERROR(IF((time+time_cap)&lt;P$2, 0,IF(AND(time+1&gt;=Q$2, $E225&lt;Q$2), IF($I225= "I", $J225/($F225-$E225+1), $J225/(($F225*($F225+1)/2)-(($E225-1)*($E225-1+1)/2))*P$2), 0)+IF(IF(time+1&gt;=Q$2, $K225/time_cap/(time+1)*P$2, 0) = 0, $K225/(time_cap),0)),0)</f>
        <v/>
      </c>
      <c r="Q225" s="4395">
        <f>IFERROR(IF((time+time_cap)&lt;Q$2, 0,IF(AND(time+1&gt;=R$2, $E225&lt;R$2), IF($I225= "I", $J225/($F225-$E225+1), $J225/(($F225*($F225+1)/2)-(($E225-1)*($E225-1+1)/2))*Q$2), 0)+IF(IF(time+1&gt;=R$2, $K225/time_cap/(time+1)*Q$2, 0) = 0, $K225/(time_cap),0)),0)</f>
        <v/>
      </c>
      <c r="R225" s="4395">
        <f>IFERROR(IF((time+time_cap)&lt;R$2, 0,IF(AND(time+1&gt;=S$2, $E225&lt;S$2), IF($I225= "I", $J225/($F225-$E225+1), $J225/(($F225*($F225+1)/2)-(($E225-1)*($E225-1+1)/2))*R$2), 0)+IF(IF(time+1&gt;=S$2, $K225/time_cap/(time+1)*R$2, 0) = 0, $K225/(time_cap),0)),0)</f>
        <v/>
      </c>
      <c r="S225" s="4395">
        <f>IFERROR(IF((time+time_cap)&lt;S$2, 0,IF(AND(time+1&gt;=T$2, $E225&lt;T$2), IF($I225= "I", $J225/($F225-$E225+1), $J225/(($F225*($F225+1)/2)-(($E225-1)*($E225-1+1)/2))*S$2), 0)+IF(IF(time+1&gt;=T$2, $K225/time_cap/(time+1)*S$2, 0) = 0, $K225/(time_cap),0)),0)</f>
        <v/>
      </c>
      <c r="T225" s="4395">
        <f>IFERROR(IF((time+time_cap)&lt;T$2, 0,IF(AND(time+1&gt;=U$2, $E225&lt;U$2), IF($I225= "I", $J225/($F225-$E225+1), $J225/(($F225*($F225+1)/2)-(($E225-1)*($E225-1+1)/2))*T$2), 0)+IF(IF(time+1&gt;=U$2, $K225/time_cap/(time+1)*T$2, 0) = 0, $K225/(time_cap),0)),0)</f>
        <v/>
      </c>
      <c r="U225" s="4395">
        <f>IFERROR(IF((time+time_cap)&lt;U$2, 0,IF(AND(time+1&gt;=V$2, $E225&lt;V$2), IF($I225= "I", $J225/($F225-$E225+1), $J225/(($F225*($F225+1)/2)-(($E225-1)*($E225-1+1)/2))*U$2), 0)+IF(IF(time+1&gt;=V$2, $K225/time_cap/(time+1)*U$2, 0) = 0, $K225/(time_cap),0)),0)</f>
        <v/>
      </c>
      <c r="V225" s="4395">
        <f>IFERROR(IF((time+time_cap)&lt;V$2, 0,IF(AND(time+1&gt;=W$2, $E225&lt;W$2), IF($I225= "I", $J225/($F225-$E225+1), $J225/(($F225*($F225+1)/2)-(($E225-1)*($E225-1+1)/2))*V$2), 0)+IF(IF(time+1&gt;=W$2, $K225/time_cap/(time+1)*V$2, 0) = 0, $K225/(time_cap),0)),0)</f>
        <v/>
      </c>
      <c r="W225" s="4395">
        <f>IFERROR(IF((time+time_cap)&lt;W$2, 0,IF(AND(time+1&gt;=X$2, $E225&lt;X$2), IF($I225= "I", $J225/($F225-$E225+1), $J225/(($F225*($F225+1)/2)-(($E225-1)*($E225-1+1)/2))*W$2), 0)+IF(IF(time+1&gt;=X$2, $K225/time_cap/(time+1)*W$2, 0) = 0, $K225/(time_cap),0)),0)</f>
        <v/>
      </c>
      <c r="X225" s="4395">
        <f>IFERROR(IF((time+time_cap)&lt;X$2, 0,IF(AND(time+1&gt;=Y$2, $E225&lt;Y$2), IF($I225= "I", $J225/($F225-$E225+1), $J225/(($F225*($F225+1)/2)-(($E225-1)*($E225-1+1)/2))*X$2), 0)+IF(IF(time+1&gt;=Y$2, $K225/time_cap/(time+1)*X$2, 0) = 0, $K225/(time_cap),0)),0)</f>
        <v/>
      </c>
      <c r="Y225" s="4395">
        <f>IFERROR(IF((time+time_cap)&lt;Y$2, 0,IF(AND(time+1&gt;=Z$2, $E225&lt;Z$2), IF($I225= "I", $J225/($F225-$E225+1), $J225/(($F225*($F225+1)/2)-(($E225-1)*($E225-1+1)/2))*Y$2), 0)+IF(IF(time+1&gt;=Z$2, $K225/time_cap/(time+1)*Y$2, 0) = 0, $K225/(time_cap),0)),0)</f>
        <v/>
      </c>
      <c r="Z225" s="4395">
        <f>IFERROR(IF((time+time_cap)&lt;Z$2, 0,IF(AND(time+1&gt;=AA$2, $E225&lt;AA$2), IF($I225= "I", $J225/($F225-$E225+1), $J225/(($F225*($F225+1)/2)-(($E225-1)*($E225-1+1)/2))*Z$2), 0)+IF(IF(time+1&gt;=AA$2, $K225/time_cap/(time+1)*Z$2, 0) = 0, $K225/(time_cap),0)),0)</f>
        <v/>
      </c>
      <c r="AA225" s="4395">
        <f>IFERROR(IF((time+time_cap)&lt;AA$2, 0,IF(AND(time+1&gt;=AB$2, $E225&lt;AB$2), IF($I225= "I", $J225/($F225-$E225+1), $J225/(($F225*($F225+1)/2)-(($E225-1)*($E225-1+1)/2))*AA$2), 0)+IF(IF(time+1&gt;=AB$2, $K225/time_cap/(time+1)*AA$2, 0) = 0, $K225/(time_cap),0)),0)</f>
        <v/>
      </c>
      <c r="AB225" s="4395">
        <f>IFERROR(IF((time+time_cap)&lt;AB$2, 0,IF(AND(time+1&gt;=AC$2, $E225&lt;AC$2), IF($I225= "I", $J225/($F225-$E225+1), $J225/(($F225*($F225+1)/2)-(($E225-1)*($E225-1+1)/2))*AB$2), 0)+IF(IF(time+1&gt;=AC$2, $K225/time_cap/(time+1)*AB$2, 0) = 0, $K225/(time_cap),0)),0)</f>
        <v/>
      </c>
      <c r="AC225" s="4395">
        <f>IFERROR(IF((time+time_cap)&lt;AC$2, 0,IF(AND(time+1&gt;=AD$2, $E225&lt;AD$2), IF($I225= "I", $J225/($F225-$E225+1), $J225/(($F225*($F225+1)/2)-(($E225-1)*($E225-1+1)/2))*AC$2), 0)+IF(IF(time+1&gt;=AD$2, $K225/time_cap/(time+1)*AC$2, 0) = 0, $K225/(time_cap),0)),0)</f>
        <v/>
      </c>
      <c r="AD225" s="4395">
        <f>IFERROR(IF((time+time_cap)&lt;AD$2, 0,IF(AND(time+1&gt;=AE$2, $E225&lt;AE$2), IF($I225= "I", $J225/($F225-$E225+1), $J225/(($F225*($F225+1)/2)-(($E225-1)*($E225-1+1)/2))*AD$2), 0)+IF(IF(time+1&gt;=AE$2, $K225/time_cap/(time+1)*AD$2, 0) = 0, $K225/(time_cap),0)),0)</f>
        <v/>
      </c>
      <c r="AE225" s="4395">
        <f>IFERROR(IF((time+time_cap)&lt;AE$2, 0,IF(AND(time+1&gt;=AF$2, $E225&lt;AF$2), IF($I225= "I", $J225/($F225-$E225+1), $J225/(($F225*($F225+1)/2)-(($E225-1)*($E225-1+1)/2))*AE$2), 0)+IF(IF(time+1&gt;=AF$2, $K225/time_cap/(time+1)*AE$2, 0) = 0, $K225/(time_cap),0)),0)</f>
        <v/>
      </c>
      <c r="AF225" s="4395">
        <f>IFERROR(IF((time+time_cap)&lt;AF$2, 0,IF(AND(time+1&gt;=AG$2, $E225&lt;AG$2), IF($I225= "I", $J225/($F225-$E225+1), $J225/(($F225*($F225+1)/2)-(($E225-1)*($E225-1+1)/2))*AF$2), 0)+IF(IF(time+1&gt;=AG$2, $K225/time_cap/(time+1)*AF$2, 0) = 0, $K225/(time_cap),0)),0)</f>
        <v/>
      </c>
      <c r="AG225" s="4395">
        <f>IFERROR(IF((time+time_cap)&lt;AG$2, 0,IF(AND(time+1&gt;=AH$2, $E225&lt;AH$2), IF($I225= "I", $J225/($F225-$E225+1), $J225/(($F225*($F225+1)/2)-(($E225-1)*($E225-1+1)/2))*AG$2), 0)+IF(IF(time+1&gt;=AH$2, $K225/time_cap/(time+1)*AG$2, 0) = 0, $K225/(time_cap),0)),0)</f>
        <v/>
      </c>
      <c r="AH225" s="4395">
        <f>IFERROR(IF((time+time_cap)&lt;AH$2, 0,IF(AND(time+1&gt;=AI$2, $E225&lt;AI$2), IF($I225= "I", $J225/($F225-$E225+1), $J225/(($F225*($F225+1)/2)-(($E225-1)*($E225-1+1)/2))*AH$2), 0)+IF(IF(time+1&gt;=AI$2, $K225/time_cap/(time+1)*AH$2, 0) = 0, $K225/(time_cap),0)),0)</f>
        <v/>
      </c>
      <c r="AI225" s="4395">
        <f>IFERROR(IF((time+time_cap)&lt;AI$2, 0,IF(AND(time+1&gt;=AJ$2, $E225&lt;AJ$2), IF($I225= "I", $J225/($F225-$E225+1), $J225/(($F225*($F225+1)/2)-(($E225-1)*($E225-1+1)/2))*AI$2), 0)+IF(IF(time+1&gt;=AJ$2, $K225/time_cap/(time+1)*AI$2, 0) = 0, $K225/(time_cap),0)),0)</f>
        <v/>
      </c>
      <c r="AJ225" s="4395">
        <f>IFERROR(IF((time+time_cap)&lt;AJ$2, 0,IF(AND(time+1&gt;=AK$2, $E225&lt;AK$2), IF($I225= "I", $J225/($F225-$E225+1), $J225/(($F225*($F225+1)/2)-(($E225-1)*($E225-1+1)/2))*AJ$2), 0)+IF(IF(time+1&gt;=AK$2, $K225/time_cap/(time+1)*AJ$2, 0) = 0, $K225/(time_cap),0)),0)</f>
        <v/>
      </c>
      <c r="AK225" s="4395">
        <f>IFERROR(IF((time+time_cap)&lt;AK$2, 0,IF(AND(time+1&gt;=AL$2, $E225&lt;AL$2), IF($I225= "I", $J225/($F225-$E225+1), $J225/(($F225*($F225+1)/2)-(($E225-1)*($E225-1+1)/2))*AK$2), 0)+IF(IF(time+1&gt;=AL$2, $K225/time_cap/(time+1)*AK$2, 0) = 0, $K225/(time_cap),0)),0)</f>
        <v/>
      </c>
      <c r="AL225" s="4395">
        <f>IFERROR(IF((time+time_cap)&lt;AL$2, 0,IF(AND(time+1&gt;=AM$2, $E225&lt;AM$2), IF($I225= "I", $J225/($F225-$E225+1), $J225/(($F225*($F225+1)/2)-(($E225-1)*($E225-1+1)/2))*AL$2), 0)+IF(IF(time+1&gt;=AM$2, $K225/time_cap/(time+1)*AL$2, 0) = 0, $K225/(time_cap),0)),0)</f>
        <v/>
      </c>
      <c r="AM225" s="4395">
        <f>IFERROR(IF((time+time_cap)&lt;AM$2, 0,IF(AND(time+1&gt;=AN$2, $E225&lt;AN$2), IF($I225= "I", $J225/($F225-$E225+1), $J225/(($F225*($F225+1)/2)-(($E225-1)*($E225-1+1)/2))*AM$2), 0)+IF(IF(time+1&gt;=AN$2, $K225/time_cap/(time+1)*AM$2, 0) = 0, $K225/(time_cap),0)),0)</f>
        <v/>
      </c>
      <c r="AN225" s="4395">
        <f>IFERROR(IF((time+time_cap)&lt;AN$2, 0,IF(AND(time+1&gt;=AO$2, $E225&lt;AO$2), IF($I225= "I", $J225/($F225-$E225+1), $J225/(($F225*($F225+1)/2)-(($E225-1)*($E225-1+1)/2))*AN$2), 0)+IF(IF(time+1&gt;=AO$2, $K225/time_cap/(time+1)*AN$2, 0) = 0, $K225/(time_cap),0)),0)</f>
        <v/>
      </c>
      <c r="AO225" s="4395">
        <f>IFERROR(IF((time+time_cap)&lt;AO$2, 0,IF(AND(time+1&gt;=AP$2, $E225&lt;AP$2), IF($I225= "I", $J225/($F225-$E225+1), $J225/(($F225*($F225+1)/2)-(($E225-1)*($E225-1+1)/2))*AO$2), 0)+IF(IF(time+1&gt;=AP$2, $K225/time_cap/(time+1)*AO$2, 0) = 0, $K225/(time_cap),0)),0)</f>
        <v/>
      </c>
      <c r="AP225" s="4395">
        <f>IFERROR(IF((time+time_cap)&lt;AP$2, 0,IF(AND(time+1&gt;=AQ$2, $E225&lt;AQ$2), IF($I225= "I", $J225/($F225-$E225+1), $J225/(($F225*($F225+1)/2)-(($E225-1)*($E225-1+1)/2))*AP$2), 0)+IF(IF(time+1&gt;=AQ$2, $K225/time_cap/(time+1)*AP$2, 0) = 0, $K225/(time_cap),0)),0)</f>
        <v/>
      </c>
      <c r="AQ225" s="4395">
        <f>IFERROR(IF((time+time_cap)&lt;AQ$2, 0,IF(AND(time+1&gt;=AR$2, $E225&lt;AR$2), IF($I225= "I", $J225/($F225-$E225+1), $J225/(($F225*($F225+1)/2)-(($E225-1)*($E225-1+1)/2))*AQ$2), 0)+IF(IF(time+1&gt;=AR$2, $K225/time_cap/(time+1)*AQ$2, 0) = 0, $K225/(time_cap),0)),0)</f>
        <v/>
      </c>
      <c r="AR225" s="4395">
        <f>IFERROR(IF((time+time_cap)&lt;AR$2, 0,IF(AND(time+1&gt;=AS$2, $E225&lt;AS$2), IF($I225= "I", $J225/($F225-$E225+1), $J225/(($F225*($F225+1)/2)-(($E225-1)*($E225-1+1)/2))*AR$2), 0)+IF(IF(time+1&gt;=AS$2, $K225/time_cap/(time+1)*AR$2, 0) = 0, $K225/(time_cap),0)),0)</f>
        <v/>
      </c>
      <c r="AS225" s="4395">
        <f>IFERROR(IF((time+time_cap)&lt;AS$2, 0,IF(AND(time+1&gt;=AT$2, $E225&lt;AT$2), IF($I225= "I", $J225/($F225-$E225+1), $J225/(($F225*($F225+1)/2)-(($E225-1)*($E225-1+1)/2))*AS$2), 0)+IF(IF(time+1&gt;=AT$2, $K225/time_cap/(time+1)*AS$2, 0) = 0, $K225/(time_cap),0)),0)</f>
        <v/>
      </c>
      <c r="AT225" s="4395">
        <f>IFERROR(IF((time+time_cap)&lt;AT$2, 0,IF(AND(time+1&gt;=AU$2, $E225&lt;AU$2), IF($I225= "I", $J225/($F225-$E225+1), $J225/(($F225*($F225+1)/2)-(($E225-1)*($E225-1+1)/2))*AT$2), 0)+IF(IF(time+1&gt;=AU$2, $K225/time_cap/(time+1)*AT$2, 0) = 0, $K225/(time_cap),0)),0)</f>
        <v/>
      </c>
      <c r="AU225" s="4395">
        <f>IFERROR(IF((time+time_cap)&lt;AU$2, 0,IF(AND(time+1&gt;=AV$2, $E225&lt;AV$2), IF($I225= "I", $J225/($F225-$E225+1), $J225/(($F225*($F225+1)/2)-(($E225-1)*($E225-1+1)/2))*AU$2), 0)+IF(IF(time+1&gt;=AV$2, $K225/time_cap/(time+1)*AU$2, 0) = 0, $K225/(time_cap),0)),0)</f>
        <v/>
      </c>
      <c r="AV225" s="4395">
        <f>IFERROR(IF((time+time_cap)&lt;AV$2, 0,IF(AND(time+1&gt;=AW$2, $E225&lt;AW$2), IF($I225= "I", $J225/($F225-$E225+1), $J225/(($F225*($F225+1)/2)-(($E225-1)*($E225-1+1)/2))*AV$2), 0)+IF(IF(time+1&gt;=AW$2, $K225/time_cap/(time+1)*AV$2, 0) = 0, $K225/(time_cap),0)),0)</f>
        <v/>
      </c>
      <c r="AW225" s="4395">
        <f>IFERROR(IF((time+time_cap)&lt;AW$2, 0,IF(AND(time+1&gt;=AX$2, $E225&lt;AX$2), IF($I225= "I", $J225/($F225-$E225+1), $J225/(($F225*($F225+1)/2)-(($E225-1)*($E225-1+1)/2))*AW$2), 0)+IF(IF(time+1&gt;=AX$2, $K225/time_cap/(time+1)*AW$2, 0) = 0, $K225/(time_cap),0)),0)</f>
        <v/>
      </c>
      <c r="AX225" s="4395">
        <f>IFERROR(IF((time+time_cap)&lt;AX$2, 0,IF(AND(time+1&gt;=AY$2, $E225&lt;AY$2), IF($I225= "I", $J225/($F225-$E225+1), $J225/(($F225*($F225+1)/2)-(($E225-1)*($E225-1+1)/2))*AX$2), 0)+IF(IF(time+1&gt;=AY$2, $K225/time_cap/(time+1)*AX$2, 0) = 0, $K225/(time_cap),0)),0)</f>
        <v/>
      </c>
      <c r="AY225" s="4395">
        <f>IFERROR(IF((time+time_cap)&lt;AY$2, 0,IF(AND(time+1&gt;=AZ$2, $E225&lt;AZ$2), IF($I225= "I", $J225/($F225-$E225+1), $J225/(($F225*($F225+1)/2)-(($E225-1)*($E225-1+1)/2))*AY$2), 0)+IF(IF(time+1&gt;=AZ$2, $K225/time_cap/(time+1)*AY$2, 0) = 0, $K225/(time_cap),0)),0)</f>
        <v/>
      </c>
      <c r="AZ225" s="4395">
        <f>IFERROR(IF((time+time_cap)&lt;AZ$2, 0,IF(AND(time+1&gt;=BA$2, $E225&lt;BA$2), IF($I225= "I", $J225/($F225-$E225+1), $J225/(($F225*($F225+1)/2)-(($E225-1)*($E225-1+1)/2))*AZ$2), 0)+IF(IF(time+1&gt;=BA$2, $K225/time_cap/(time+1)*AZ$2, 0) = 0, $K225/(time_cap),0)),0)</f>
        <v/>
      </c>
      <c r="BA225" s="4395">
        <f>IFERROR(IF((time+time_cap)&lt;BA$2, 0,IF(AND(time+1&gt;=BB$2, $E225&lt;BB$2), IF($I225= "I", $J225/($F225-$E225+1), $J225/(($F225*($F225+1)/2)-(($E225-1)*($E225-1+1)/2))*BA$2), 0)+IF(IF(time+1&gt;=BB$2, $K225/time_cap/(time+1)*BA$2, 0) = 0, $K225/(time_cap),0)),0)</f>
        <v/>
      </c>
      <c r="BB225" s="4395">
        <f>IFERROR(IF((time+time_cap)&lt;BB$2, 0,IF(AND(time+1&gt;=BC$2, $E225&lt;BC$2), IF($I225= "I", $J225/($F225-$E225+1), $J225/(($F225*($F225+1)/2)-(($E225-1)*($E225-1+1)/2))*BB$2), 0)+IF(IF(time+1&gt;=BC$2, $K225/time_cap/(time+1)*BB$2, 0) = 0, $K225/(time_cap),0)),0)</f>
        <v/>
      </c>
      <c r="BC225" s="4395">
        <f>IFERROR(IF((time+time_cap)&lt;BC$2, 0,IF(AND(time+1&gt;=BD$2, $E225&lt;BD$2), IF($I225= "I", $J225/($F225-$E225+1), $J225/(($F225*($F225+1)/2)-(($E225-1)*($E225-1+1)/2))*BC$2), 0)+IF(IF(time+1&gt;=BD$2, $K225/time_cap/(time+1)*BC$2, 0) = 0, $K225/(time_cap),0)),0)</f>
        <v/>
      </c>
      <c r="BD225" s="4395">
        <f>IFERROR(IF((time+time_cap)&lt;BD$2, 0,IF(AND(time+1&gt;=BE$2, $E225&lt;BE$2), IF($I225= "I", $J225/($F225-$E225+1), $J225/(($F225*($F225+1)/2)-(($E225-1)*($E225-1+1)/2))*BD$2), 0)+IF(IF(time+1&gt;=BE$2, $K225/time_cap/(time+1)*BD$2, 0) = 0, $K225/(time_cap),0)),0)</f>
        <v/>
      </c>
      <c r="BE225" s="4395">
        <f>IFERROR(IF((time+time_cap)&lt;BE$2, 0,IF(AND(time+1&gt;=BF$2, $E225&lt;BF$2), IF($I225= "I", $J225/($F225-$E225+1), $J225/(($F225*($F225+1)/2)-(($E225-1)*($E225-1+1)/2))*BE$2), 0)+IF(IF(time+1&gt;=BF$2, $K225/time_cap/(time+1)*BE$2, 0) = 0, $K225/(time_cap),0)),0)</f>
        <v/>
      </c>
      <c r="BF225" s="4395">
        <f>IFERROR(IF((time+time_cap)&lt;BF$2, 0,IF(AND(time+1&gt;=BG$2, $E225&lt;BG$2), IF($I225= "I", $J225/($F225-$E225+1), $J225/(($F225*($F225+1)/2)-(($E225-1)*($E225-1+1)/2))*BF$2), 0)+IF(IF(time+1&gt;=BG$2, $K225/time_cap/(time+1)*BF$2, 0) = 0, $K225/(time_cap),0)),0)</f>
        <v/>
      </c>
      <c r="BG225" s="4395">
        <f>IFERROR(IF((time+time_cap)&lt;BG$2, 0,IF(AND(time+1&gt;=BH$2, $E225&lt;BH$2), IF($I225= "I", $J225/($F225-$E225+1), $J225/(($F225*($F225+1)/2)-(($E225-1)*($E225-1+1)/2))*BG$2), 0)+IF(IF(time+1&gt;=BH$2, $K225/time_cap/(time+1)*BG$2, 0) = 0, $K225/(time_cap),0)),0)</f>
        <v/>
      </c>
      <c r="BH225" s="4395">
        <f>IFERROR(IF((time+time_cap)&lt;BH$2, 0,IF(AND(time+1&gt;=BI$2, $E225&lt;BI$2), IF($I225= "I", $J225/($F225-$E225+1), $J225/(($F225*($F225+1)/2)-(($E225-1)*($E225-1+1)/2))*BH$2), 0)+IF(IF(time+1&gt;=BI$2, $K225/time_cap/(time+1)*BH$2, 0) = 0, $K225/(time_cap),0)),0)</f>
        <v/>
      </c>
      <c r="BI225" s="4395">
        <f>IFERROR(IF((time+time_cap)&lt;BI$2, 0,IF(AND(time+1&gt;=BJ$2, $E225&lt;BJ$2), IF($I225= "I", $J225/($F225-$E225+1), $J225/(($F225*($F225+1)/2)-(($E225-1)*($E225-1+1)/2))*BI$2), 0)+IF(IF(time+1&gt;=BJ$2, $K225/time_cap/(time+1)*BI$2, 0) = 0, $K225/(time_cap),0)),0)</f>
        <v/>
      </c>
      <c r="BJ225" s="4395">
        <f>IFERROR(IF((time+time_cap)&lt;BJ$2, 0,IF(AND(time+1&gt;=BK$2, $E225&lt;BK$2), IF($I225= "I", $J225/($F225-$E225+1), $J225/(($F225*($F225+1)/2)-(($E225-1)*($E225-1+1)/2))*BJ$2), 0)+IF(IF(time+1&gt;=BK$2, $K225/time_cap/(time+1)*BJ$2, 0) = 0, $K225/(time_cap),0)),0)</f>
        <v/>
      </c>
      <c r="BK225" s="4395" t="n"/>
      <c r="BL225" s="4395" t="n"/>
      <c r="BM225" s="4395" t="n"/>
      <c r="BN225" s="4395" t="n"/>
      <c r="BO225" s="4395" t="n"/>
      <c r="BP225" s="4395" t="n"/>
      <c r="BQ225" s="4395" t="n"/>
      <c r="BR225" s="4395" t="n"/>
      <c r="BS225" s="4395" t="n"/>
      <c r="BT225" s="4395" t="n"/>
      <c r="BU225" s="4395" t="n"/>
      <c r="BV225" s="4395" t="n"/>
      <c r="BW225" s="4395" t="n"/>
      <c r="BX225" s="4395" t="n"/>
      <c r="BY225" s="4395" t="n"/>
      <c r="BZ225" s="4395" t="n"/>
      <c r="CA225" s="4395" t="n"/>
      <c r="CB225" s="4395" t="n"/>
      <c r="CC225" s="4395" t="n"/>
      <c r="CD225" s="4395" t="n"/>
      <c r="CE225" s="4395" t="n"/>
      <c r="CF225" s="4395" t="n"/>
      <c r="CG225" s="4395" t="n"/>
      <c r="CH225" s="4395" t="n"/>
      <c r="CI225" s="4395" t="n"/>
      <c r="CJ225" s="4395" t="n"/>
      <c r="CK225" s="4395" t="n"/>
      <c r="CL225" s="4395" t="n"/>
      <c r="CM225" s="4395" t="n"/>
      <c r="CN225" s="4395" t="n"/>
      <c r="CO225" s="4395" t="n"/>
      <c r="CP225" s="4395" t="n"/>
      <c r="CQ225" s="4395" t="n"/>
      <c r="CR225" s="4395" t="n"/>
      <c r="CS225" s="4395" t="n"/>
      <c r="CT225" s="4395" t="n"/>
      <c r="CU225" s="4395" t="n"/>
      <c r="CV225" s="4395" t="n"/>
      <c r="CW225" s="4395" t="n"/>
      <c r="CX225" s="4395" t="n"/>
      <c r="CY225" s="4395" t="n"/>
      <c r="CZ225" s="4395" t="n"/>
      <c r="DA225" s="4395" t="n"/>
      <c r="DB225" s="4395" t="n"/>
      <c r="DC225" s="4395" t="n"/>
      <c r="DD225" s="4395" t="n"/>
      <c r="DE225" s="4395" t="n"/>
      <c r="DF225" s="4395" t="n"/>
      <c r="DG225" s="4395" t="n"/>
      <c r="DH225" s="4395" t="n"/>
    </row>
    <row r="226" ht="16" customHeight="1">
      <c r="A226" t="inlineStr">
        <is>
          <t>Energy</t>
        </is>
      </c>
      <c r="C226">
        <f>'9.Inputs'!C61</f>
        <v/>
      </c>
      <c r="D226">
        <f>'9.Inputs'!V61</f>
        <v/>
      </c>
      <c r="E226">
        <f>IF('9.Inputs'!BE61&lt;&gt;0,'9.Inputs'!BE61,'9.Inputs'!BD61)</f>
        <v/>
      </c>
      <c r="F226">
        <f>time</f>
        <v/>
      </c>
      <c r="G226" s="4395">
        <f>'9.Inputs'!F61</f>
        <v/>
      </c>
      <c r="H226" s="4395">
        <f>'9.Inputs'!H61</f>
        <v/>
      </c>
      <c r="I226" s="4395">
        <f>IF(OR(H226="I", G226="I"), "I", IF(OR(H226="E", G226="E"), "E", "D"))</f>
        <v/>
      </c>
      <c r="J226" s="4395">
        <f>((D226/(time_cap+((F226-E226+1)*VLOOKUP(I226,list!$I$48:$K$50,3, FALSE))))*(F226-E226+1)*VLOOKUP(I226,list!$I$48:$K$50,3, FALSE))</f>
        <v/>
      </c>
      <c r="K226" s="4395">
        <f>((D226/(time_cap+((F226-E226+1)*VLOOKUP(I226,list!$I$48:$K$50,3, FALSE))))*time_cap)</f>
        <v/>
      </c>
      <c r="M226" s="4395">
        <f>IFERROR(IF((time+time_cap)&lt;M$2, 0,IF(AND(time+1&gt;=N$2, $E226&lt;N$2), IF($I226= "I", $J226/($F226-$E226+1), $J226/(($F226*($F226+1)/2)-(($E226-1)*($E226-1+1)/2))*M$2), 0)+IF(IF(time+1&gt;=N$2, $K226/time_cap/(time+1)*M$2, 0) = 0, $K226/(time_cap),0)),0)</f>
        <v/>
      </c>
      <c r="N226" s="4395">
        <f>IFERROR(IF((time+time_cap)&lt;N$2, 0,IF(AND(time+1&gt;=O$2, $E226&lt;O$2), IF($I226= "I", $J226/($F226-$E226+1), $J226/(($F226*($F226+1)/2)-(($E226-1)*($E226-1+1)/2))*N$2), 0)+IF(IF(time+1&gt;=O$2, $K226/time_cap/(time+1)*N$2, 0) = 0, $K226/(time_cap),0)),0)</f>
        <v/>
      </c>
      <c r="O226" s="4395">
        <f>IFERROR(IF((time+time_cap)&lt;O$2, 0,IF(AND(time+1&gt;=P$2, $E226&lt;P$2), IF($I226= "I", $J226/($F226-$E226+1), $J226/(($F226*($F226+1)/2)-(($E226-1)*($E226-1+1)/2))*O$2), 0)+IF(IF(time+1&gt;=P$2, $K226/time_cap/(time+1)*O$2, 0) = 0, $K226/(time_cap),0)),0)</f>
        <v/>
      </c>
      <c r="P226" s="4395">
        <f>IFERROR(IF((time+time_cap)&lt;P$2, 0,IF(AND(time+1&gt;=Q$2, $E226&lt;Q$2), IF($I226= "I", $J226/($F226-$E226+1), $J226/(($F226*($F226+1)/2)-(($E226-1)*($E226-1+1)/2))*P$2), 0)+IF(IF(time+1&gt;=Q$2, $K226/time_cap/(time+1)*P$2, 0) = 0, $K226/(time_cap),0)),0)</f>
        <v/>
      </c>
      <c r="Q226" s="4395">
        <f>IFERROR(IF((time+time_cap)&lt;Q$2, 0,IF(AND(time+1&gt;=R$2, $E226&lt;R$2), IF($I226= "I", $J226/($F226-$E226+1), $J226/(($F226*($F226+1)/2)-(($E226-1)*($E226-1+1)/2))*Q$2), 0)+IF(IF(time+1&gt;=R$2, $K226/time_cap/(time+1)*Q$2, 0) = 0, $K226/(time_cap),0)),0)</f>
        <v/>
      </c>
      <c r="R226" s="4395">
        <f>IFERROR(IF((time+time_cap)&lt;R$2, 0,IF(AND(time+1&gt;=S$2, $E226&lt;S$2), IF($I226= "I", $J226/($F226-$E226+1), $J226/(($F226*($F226+1)/2)-(($E226-1)*($E226-1+1)/2))*R$2), 0)+IF(IF(time+1&gt;=S$2, $K226/time_cap/(time+1)*R$2, 0) = 0, $K226/(time_cap),0)),0)</f>
        <v/>
      </c>
      <c r="S226" s="4395">
        <f>IFERROR(IF((time+time_cap)&lt;S$2, 0,IF(AND(time+1&gt;=T$2, $E226&lt;T$2), IF($I226= "I", $J226/($F226-$E226+1), $J226/(($F226*($F226+1)/2)-(($E226-1)*($E226-1+1)/2))*S$2), 0)+IF(IF(time+1&gt;=T$2, $K226/time_cap/(time+1)*S$2, 0) = 0, $K226/(time_cap),0)),0)</f>
        <v/>
      </c>
      <c r="T226" s="4395">
        <f>IFERROR(IF((time+time_cap)&lt;T$2, 0,IF(AND(time+1&gt;=U$2, $E226&lt;U$2), IF($I226= "I", $J226/($F226-$E226+1), $J226/(($F226*($F226+1)/2)-(($E226-1)*($E226-1+1)/2))*T$2), 0)+IF(IF(time+1&gt;=U$2, $K226/time_cap/(time+1)*T$2, 0) = 0, $K226/(time_cap),0)),0)</f>
        <v/>
      </c>
      <c r="U226" s="4395">
        <f>IFERROR(IF((time+time_cap)&lt;U$2, 0,IF(AND(time+1&gt;=V$2, $E226&lt;V$2), IF($I226= "I", $J226/($F226-$E226+1), $J226/(($F226*($F226+1)/2)-(($E226-1)*($E226-1+1)/2))*U$2), 0)+IF(IF(time+1&gt;=V$2, $K226/time_cap/(time+1)*U$2, 0) = 0, $K226/(time_cap),0)),0)</f>
        <v/>
      </c>
      <c r="V226" s="4395">
        <f>IFERROR(IF((time+time_cap)&lt;V$2, 0,IF(AND(time+1&gt;=W$2, $E226&lt;W$2), IF($I226= "I", $J226/($F226-$E226+1), $J226/(($F226*($F226+1)/2)-(($E226-1)*($E226-1+1)/2))*V$2), 0)+IF(IF(time+1&gt;=W$2, $K226/time_cap/(time+1)*V$2, 0) = 0, $K226/(time_cap),0)),0)</f>
        <v/>
      </c>
      <c r="W226" s="4395">
        <f>IFERROR(IF((time+time_cap)&lt;W$2, 0,IF(AND(time+1&gt;=X$2, $E226&lt;X$2), IF($I226= "I", $J226/($F226-$E226+1), $J226/(($F226*($F226+1)/2)-(($E226-1)*($E226-1+1)/2))*W$2), 0)+IF(IF(time+1&gt;=X$2, $K226/time_cap/(time+1)*W$2, 0) = 0, $K226/(time_cap),0)),0)</f>
        <v/>
      </c>
      <c r="X226" s="4395">
        <f>IFERROR(IF((time+time_cap)&lt;X$2, 0,IF(AND(time+1&gt;=Y$2, $E226&lt;Y$2), IF($I226= "I", $J226/($F226-$E226+1), $J226/(($F226*($F226+1)/2)-(($E226-1)*($E226-1+1)/2))*X$2), 0)+IF(IF(time+1&gt;=Y$2, $K226/time_cap/(time+1)*X$2, 0) = 0, $K226/(time_cap),0)),0)</f>
        <v/>
      </c>
      <c r="Y226" s="4395">
        <f>IFERROR(IF((time+time_cap)&lt;Y$2, 0,IF(AND(time+1&gt;=Z$2, $E226&lt;Z$2), IF($I226= "I", $J226/($F226-$E226+1), $J226/(($F226*($F226+1)/2)-(($E226-1)*($E226-1+1)/2))*Y$2), 0)+IF(IF(time+1&gt;=Z$2, $K226/time_cap/(time+1)*Y$2, 0) = 0, $K226/(time_cap),0)),0)</f>
        <v/>
      </c>
      <c r="Z226" s="4395">
        <f>IFERROR(IF((time+time_cap)&lt;Z$2, 0,IF(AND(time+1&gt;=AA$2, $E226&lt;AA$2), IF($I226= "I", $J226/($F226-$E226+1), $J226/(($F226*($F226+1)/2)-(($E226-1)*($E226-1+1)/2))*Z$2), 0)+IF(IF(time+1&gt;=AA$2, $K226/time_cap/(time+1)*Z$2, 0) = 0, $K226/(time_cap),0)),0)</f>
        <v/>
      </c>
      <c r="AA226" s="4395">
        <f>IFERROR(IF((time+time_cap)&lt;AA$2, 0,IF(AND(time+1&gt;=AB$2, $E226&lt;AB$2), IF($I226= "I", $J226/($F226-$E226+1), $J226/(($F226*($F226+1)/2)-(($E226-1)*($E226-1+1)/2))*AA$2), 0)+IF(IF(time+1&gt;=AB$2, $K226/time_cap/(time+1)*AA$2, 0) = 0, $K226/(time_cap),0)),0)</f>
        <v/>
      </c>
      <c r="AB226" s="4395">
        <f>IFERROR(IF((time+time_cap)&lt;AB$2, 0,IF(AND(time+1&gt;=AC$2, $E226&lt;AC$2), IF($I226= "I", $J226/($F226-$E226+1), $J226/(($F226*($F226+1)/2)-(($E226-1)*($E226-1+1)/2))*AB$2), 0)+IF(IF(time+1&gt;=AC$2, $K226/time_cap/(time+1)*AB$2, 0) = 0, $K226/(time_cap),0)),0)</f>
        <v/>
      </c>
      <c r="AC226" s="4395">
        <f>IFERROR(IF((time+time_cap)&lt;AC$2, 0,IF(AND(time+1&gt;=AD$2, $E226&lt;AD$2), IF($I226= "I", $J226/($F226-$E226+1), $J226/(($F226*($F226+1)/2)-(($E226-1)*($E226-1+1)/2))*AC$2), 0)+IF(IF(time+1&gt;=AD$2, $K226/time_cap/(time+1)*AC$2, 0) = 0, $K226/(time_cap),0)),0)</f>
        <v/>
      </c>
      <c r="AD226" s="4395">
        <f>IFERROR(IF((time+time_cap)&lt;AD$2, 0,IF(AND(time+1&gt;=AE$2, $E226&lt;AE$2), IF($I226= "I", $J226/($F226-$E226+1), $J226/(($F226*($F226+1)/2)-(($E226-1)*($E226-1+1)/2))*AD$2), 0)+IF(IF(time+1&gt;=AE$2, $K226/time_cap/(time+1)*AD$2, 0) = 0, $K226/(time_cap),0)),0)</f>
        <v/>
      </c>
      <c r="AE226" s="4395">
        <f>IFERROR(IF((time+time_cap)&lt;AE$2, 0,IF(AND(time+1&gt;=AF$2, $E226&lt;AF$2), IF($I226= "I", $J226/($F226-$E226+1), $J226/(($F226*($F226+1)/2)-(($E226-1)*($E226-1+1)/2))*AE$2), 0)+IF(IF(time+1&gt;=AF$2, $K226/time_cap/(time+1)*AE$2, 0) = 0, $K226/(time_cap),0)),0)</f>
        <v/>
      </c>
      <c r="AF226" s="4395">
        <f>IFERROR(IF((time+time_cap)&lt;AF$2, 0,IF(AND(time+1&gt;=AG$2, $E226&lt;AG$2), IF($I226= "I", $J226/($F226-$E226+1), $J226/(($F226*($F226+1)/2)-(($E226-1)*($E226-1+1)/2))*AF$2), 0)+IF(IF(time+1&gt;=AG$2, $K226/time_cap/(time+1)*AF$2, 0) = 0, $K226/(time_cap),0)),0)</f>
        <v/>
      </c>
      <c r="AG226" s="4395">
        <f>IFERROR(IF((time+time_cap)&lt;AG$2, 0,IF(AND(time+1&gt;=AH$2, $E226&lt;AH$2), IF($I226= "I", $J226/($F226-$E226+1), $J226/(($F226*($F226+1)/2)-(($E226-1)*($E226-1+1)/2))*AG$2), 0)+IF(IF(time+1&gt;=AH$2, $K226/time_cap/(time+1)*AG$2, 0) = 0, $K226/(time_cap),0)),0)</f>
        <v/>
      </c>
      <c r="AH226" s="4395">
        <f>IFERROR(IF((time+time_cap)&lt;AH$2, 0,IF(AND(time+1&gt;=AI$2, $E226&lt;AI$2), IF($I226= "I", $J226/($F226-$E226+1), $J226/(($F226*($F226+1)/2)-(($E226-1)*($E226-1+1)/2))*AH$2), 0)+IF(IF(time+1&gt;=AI$2, $K226/time_cap/(time+1)*AH$2, 0) = 0, $K226/(time_cap),0)),0)</f>
        <v/>
      </c>
      <c r="AI226" s="4395">
        <f>IFERROR(IF((time+time_cap)&lt;AI$2, 0,IF(AND(time+1&gt;=AJ$2, $E226&lt;AJ$2), IF($I226= "I", $J226/($F226-$E226+1), $J226/(($F226*($F226+1)/2)-(($E226-1)*($E226-1+1)/2))*AI$2), 0)+IF(IF(time+1&gt;=AJ$2, $K226/time_cap/(time+1)*AI$2, 0) = 0, $K226/(time_cap),0)),0)</f>
        <v/>
      </c>
      <c r="AJ226" s="4395">
        <f>IFERROR(IF((time+time_cap)&lt;AJ$2, 0,IF(AND(time+1&gt;=AK$2, $E226&lt;AK$2), IF($I226= "I", $J226/($F226-$E226+1), $J226/(($F226*($F226+1)/2)-(($E226-1)*($E226-1+1)/2))*AJ$2), 0)+IF(IF(time+1&gt;=AK$2, $K226/time_cap/(time+1)*AJ$2, 0) = 0, $K226/(time_cap),0)),0)</f>
        <v/>
      </c>
      <c r="AK226" s="4395">
        <f>IFERROR(IF((time+time_cap)&lt;AK$2, 0,IF(AND(time+1&gt;=AL$2, $E226&lt;AL$2), IF($I226= "I", $J226/($F226-$E226+1), $J226/(($F226*($F226+1)/2)-(($E226-1)*($E226-1+1)/2))*AK$2), 0)+IF(IF(time+1&gt;=AL$2, $K226/time_cap/(time+1)*AK$2, 0) = 0, $K226/(time_cap),0)),0)</f>
        <v/>
      </c>
      <c r="AL226" s="4395">
        <f>IFERROR(IF((time+time_cap)&lt;AL$2, 0,IF(AND(time+1&gt;=AM$2, $E226&lt;AM$2), IF($I226= "I", $J226/($F226-$E226+1), $J226/(($F226*($F226+1)/2)-(($E226-1)*($E226-1+1)/2))*AL$2), 0)+IF(IF(time+1&gt;=AM$2, $K226/time_cap/(time+1)*AL$2, 0) = 0, $K226/(time_cap),0)),0)</f>
        <v/>
      </c>
      <c r="AM226" s="4395">
        <f>IFERROR(IF((time+time_cap)&lt;AM$2, 0,IF(AND(time+1&gt;=AN$2, $E226&lt;AN$2), IF($I226= "I", $J226/($F226-$E226+1), $J226/(($F226*($F226+1)/2)-(($E226-1)*($E226-1+1)/2))*AM$2), 0)+IF(IF(time+1&gt;=AN$2, $K226/time_cap/(time+1)*AM$2, 0) = 0, $K226/(time_cap),0)),0)</f>
        <v/>
      </c>
      <c r="AN226" s="4395">
        <f>IFERROR(IF((time+time_cap)&lt;AN$2, 0,IF(AND(time+1&gt;=AO$2, $E226&lt;AO$2), IF($I226= "I", $J226/($F226-$E226+1), $J226/(($F226*($F226+1)/2)-(($E226-1)*($E226-1+1)/2))*AN$2), 0)+IF(IF(time+1&gt;=AO$2, $K226/time_cap/(time+1)*AN$2, 0) = 0, $K226/(time_cap),0)),0)</f>
        <v/>
      </c>
      <c r="AO226" s="4395">
        <f>IFERROR(IF((time+time_cap)&lt;AO$2, 0,IF(AND(time+1&gt;=AP$2, $E226&lt;AP$2), IF($I226= "I", $J226/($F226-$E226+1), $J226/(($F226*($F226+1)/2)-(($E226-1)*($E226-1+1)/2))*AO$2), 0)+IF(IF(time+1&gt;=AP$2, $K226/time_cap/(time+1)*AO$2, 0) = 0, $K226/(time_cap),0)),0)</f>
        <v/>
      </c>
      <c r="AP226" s="4395">
        <f>IFERROR(IF((time+time_cap)&lt;AP$2, 0,IF(AND(time+1&gt;=AQ$2, $E226&lt;AQ$2), IF($I226= "I", $J226/($F226-$E226+1), $J226/(($F226*($F226+1)/2)-(($E226-1)*($E226-1+1)/2))*AP$2), 0)+IF(IF(time+1&gt;=AQ$2, $K226/time_cap/(time+1)*AP$2, 0) = 0, $K226/(time_cap),0)),0)</f>
        <v/>
      </c>
      <c r="AQ226" s="4395">
        <f>IFERROR(IF((time+time_cap)&lt;AQ$2, 0,IF(AND(time+1&gt;=AR$2, $E226&lt;AR$2), IF($I226= "I", $J226/($F226-$E226+1), $J226/(($F226*($F226+1)/2)-(($E226-1)*($E226-1+1)/2))*AQ$2), 0)+IF(IF(time+1&gt;=AR$2, $K226/time_cap/(time+1)*AQ$2, 0) = 0, $K226/(time_cap),0)),0)</f>
        <v/>
      </c>
      <c r="AR226" s="4395">
        <f>IFERROR(IF((time+time_cap)&lt;AR$2, 0,IF(AND(time+1&gt;=AS$2, $E226&lt;AS$2), IF($I226= "I", $J226/($F226-$E226+1), $J226/(($F226*($F226+1)/2)-(($E226-1)*($E226-1+1)/2))*AR$2), 0)+IF(IF(time+1&gt;=AS$2, $K226/time_cap/(time+1)*AR$2, 0) = 0, $K226/(time_cap),0)),0)</f>
        <v/>
      </c>
      <c r="AS226" s="4395">
        <f>IFERROR(IF((time+time_cap)&lt;AS$2, 0,IF(AND(time+1&gt;=AT$2, $E226&lt;AT$2), IF($I226= "I", $J226/($F226-$E226+1), $J226/(($F226*($F226+1)/2)-(($E226-1)*($E226-1+1)/2))*AS$2), 0)+IF(IF(time+1&gt;=AT$2, $K226/time_cap/(time+1)*AS$2, 0) = 0, $K226/(time_cap),0)),0)</f>
        <v/>
      </c>
      <c r="AT226" s="4395">
        <f>IFERROR(IF((time+time_cap)&lt;AT$2, 0,IF(AND(time+1&gt;=AU$2, $E226&lt;AU$2), IF($I226= "I", $J226/($F226-$E226+1), $J226/(($F226*($F226+1)/2)-(($E226-1)*($E226-1+1)/2))*AT$2), 0)+IF(IF(time+1&gt;=AU$2, $K226/time_cap/(time+1)*AT$2, 0) = 0, $K226/(time_cap),0)),0)</f>
        <v/>
      </c>
      <c r="AU226" s="4395">
        <f>IFERROR(IF((time+time_cap)&lt;AU$2, 0,IF(AND(time+1&gt;=AV$2, $E226&lt;AV$2), IF($I226= "I", $J226/($F226-$E226+1), $J226/(($F226*($F226+1)/2)-(($E226-1)*($E226-1+1)/2))*AU$2), 0)+IF(IF(time+1&gt;=AV$2, $K226/time_cap/(time+1)*AU$2, 0) = 0, $K226/(time_cap),0)),0)</f>
        <v/>
      </c>
      <c r="AV226" s="4395">
        <f>IFERROR(IF((time+time_cap)&lt;AV$2, 0,IF(AND(time+1&gt;=AW$2, $E226&lt;AW$2), IF($I226= "I", $J226/($F226-$E226+1), $J226/(($F226*($F226+1)/2)-(($E226-1)*($E226-1+1)/2))*AV$2), 0)+IF(IF(time+1&gt;=AW$2, $K226/time_cap/(time+1)*AV$2, 0) = 0, $K226/(time_cap),0)),0)</f>
        <v/>
      </c>
      <c r="AW226" s="4395">
        <f>IFERROR(IF((time+time_cap)&lt;AW$2, 0,IF(AND(time+1&gt;=AX$2, $E226&lt;AX$2), IF($I226= "I", $J226/($F226-$E226+1), $J226/(($F226*($F226+1)/2)-(($E226-1)*($E226-1+1)/2))*AW$2), 0)+IF(IF(time+1&gt;=AX$2, $K226/time_cap/(time+1)*AW$2, 0) = 0, $K226/(time_cap),0)),0)</f>
        <v/>
      </c>
      <c r="AX226" s="4395">
        <f>IFERROR(IF((time+time_cap)&lt;AX$2, 0,IF(AND(time+1&gt;=AY$2, $E226&lt;AY$2), IF($I226= "I", $J226/($F226-$E226+1), $J226/(($F226*($F226+1)/2)-(($E226-1)*($E226-1+1)/2))*AX$2), 0)+IF(IF(time+1&gt;=AY$2, $K226/time_cap/(time+1)*AX$2, 0) = 0, $K226/(time_cap),0)),0)</f>
        <v/>
      </c>
      <c r="AY226" s="4395">
        <f>IFERROR(IF((time+time_cap)&lt;AY$2, 0,IF(AND(time+1&gt;=AZ$2, $E226&lt;AZ$2), IF($I226= "I", $J226/($F226-$E226+1), $J226/(($F226*($F226+1)/2)-(($E226-1)*($E226-1+1)/2))*AY$2), 0)+IF(IF(time+1&gt;=AZ$2, $K226/time_cap/(time+1)*AY$2, 0) = 0, $K226/(time_cap),0)),0)</f>
        <v/>
      </c>
      <c r="AZ226" s="4395">
        <f>IFERROR(IF((time+time_cap)&lt;AZ$2, 0,IF(AND(time+1&gt;=BA$2, $E226&lt;BA$2), IF($I226= "I", $J226/($F226-$E226+1), $J226/(($F226*($F226+1)/2)-(($E226-1)*($E226-1+1)/2))*AZ$2), 0)+IF(IF(time+1&gt;=BA$2, $K226/time_cap/(time+1)*AZ$2, 0) = 0, $K226/(time_cap),0)),0)</f>
        <v/>
      </c>
      <c r="BA226" s="4395">
        <f>IFERROR(IF((time+time_cap)&lt;BA$2, 0,IF(AND(time+1&gt;=BB$2, $E226&lt;BB$2), IF($I226= "I", $J226/($F226-$E226+1), $J226/(($F226*($F226+1)/2)-(($E226-1)*($E226-1+1)/2))*BA$2), 0)+IF(IF(time+1&gt;=BB$2, $K226/time_cap/(time+1)*BA$2, 0) = 0, $K226/(time_cap),0)),0)</f>
        <v/>
      </c>
      <c r="BB226" s="4395">
        <f>IFERROR(IF((time+time_cap)&lt;BB$2, 0,IF(AND(time+1&gt;=BC$2, $E226&lt;BC$2), IF($I226= "I", $J226/($F226-$E226+1), $J226/(($F226*($F226+1)/2)-(($E226-1)*($E226-1+1)/2))*BB$2), 0)+IF(IF(time+1&gt;=BC$2, $K226/time_cap/(time+1)*BB$2, 0) = 0, $K226/(time_cap),0)),0)</f>
        <v/>
      </c>
      <c r="BC226" s="4395">
        <f>IFERROR(IF((time+time_cap)&lt;BC$2, 0,IF(AND(time+1&gt;=BD$2, $E226&lt;BD$2), IF($I226= "I", $J226/($F226-$E226+1), $J226/(($F226*($F226+1)/2)-(($E226-1)*($E226-1+1)/2))*BC$2), 0)+IF(IF(time+1&gt;=BD$2, $K226/time_cap/(time+1)*BC$2, 0) = 0, $K226/(time_cap),0)),0)</f>
        <v/>
      </c>
      <c r="BD226" s="4395">
        <f>IFERROR(IF((time+time_cap)&lt;BD$2, 0,IF(AND(time+1&gt;=BE$2, $E226&lt;BE$2), IF($I226= "I", $J226/($F226-$E226+1), $J226/(($F226*($F226+1)/2)-(($E226-1)*($E226-1+1)/2))*BD$2), 0)+IF(IF(time+1&gt;=BE$2, $K226/time_cap/(time+1)*BD$2, 0) = 0, $K226/(time_cap),0)),0)</f>
        <v/>
      </c>
      <c r="BE226" s="4395">
        <f>IFERROR(IF((time+time_cap)&lt;BE$2, 0,IF(AND(time+1&gt;=BF$2, $E226&lt;BF$2), IF($I226= "I", $J226/($F226-$E226+1), $J226/(($F226*($F226+1)/2)-(($E226-1)*($E226-1+1)/2))*BE$2), 0)+IF(IF(time+1&gt;=BF$2, $K226/time_cap/(time+1)*BE$2, 0) = 0, $K226/(time_cap),0)),0)</f>
        <v/>
      </c>
      <c r="BF226" s="4395">
        <f>IFERROR(IF((time+time_cap)&lt;BF$2, 0,IF(AND(time+1&gt;=BG$2, $E226&lt;BG$2), IF($I226= "I", $J226/($F226-$E226+1), $J226/(($F226*($F226+1)/2)-(($E226-1)*($E226-1+1)/2))*BF$2), 0)+IF(IF(time+1&gt;=BG$2, $K226/time_cap/(time+1)*BF$2, 0) = 0, $K226/(time_cap),0)),0)</f>
        <v/>
      </c>
      <c r="BG226" s="4395">
        <f>IFERROR(IF((time+time_cap)&lt;BG$2, 0,IF(AND(time+1&gt;=BH$2, $E226&lt;BH$2), IF($I226= "I", $J226/($F226-$E226+1), $J226/(($F226*($F226+1)/2)-(($E226-1)*($E226-1+1)/2))*BG$2), 0)+IF(IF(time+1&gt;=BH$2, $K226/time_cap/(time+1)*BG$2, 0) = 0, $K226/(time_cap),0)),0)</f>
        <v/>
      </c>
      <c r="BH226" s="4395">
        <f>IFERROR(IF((time+time_cap)&lt;BH$2, 0,IF(AND(time+1&gt;=BI$2, $E226&lt;BI$2), IF($I226= "I", $J226/($F226-$E226+1), $J226/(($F226*($F226+1)/2)-(($E226-1)*($E226-1+1)/2))*BH$2), 0)+IF(IF(time+1&gt;=BI$2, $K226/time_cap/(time+1)*BH$2, 0) = 0, $K226/(time_cap),0)),0)</f>
        <v/>
      </c>
      <c r="BI226" s="4395">
        <f>IFERROR(IF((time+time_cap)&lt;BI$2, 0,IF(AND(time+1&gt;=BJ$2, $E226&lt;BJ$2), IF($I226= "I", $J226/($F226-$E226+1), $J226/(($F226*($F226+1)/2)-(($E226-1)*($E226-1+1)/2))*BI$2), 0)+IF(IF(time+1&gt;=BJ$2, $K226/time_cap/(time+1)*BI$2, 0) = 0, $K226/(time_cap),0)),0)</f>
        <v/>
      </c>
      <c r="BJ226" s="4395">
        <f>IFERROR(IF((time+time_cap)&lt;BJ$2, 0,IF(AND(time+1&gt;=BK$2, $E226&lt;BK$2), IF($I226= "I", $J226/($F226-$E226+1), $J226/(($F226*($F226+1)/2)-(($E226-1)*($E226-1+1)/2))*BJ$2), 0)+IF(IF(time+1&gt;=BK$2, $K226/time_cap/(time+1)*BJ$2, 0) = 0, $K226/(time_cap),0)),0)</f>
        <v/>
      </c>
      <c r="BK226" s="4395" t="n"/>
      <c r="BL226" s="4395" t="n"/>
      <c r="BM226" s="4395" t="n"/>
      <c r="BN226" s="4395" t="n"/>
      <c r="BO226" s="4395" t="n"/>
      <c r="BP226" s="4395" t="n"/>
      <c r="BQ226" s="4395" t="n"/>
      <c r="BR226" s="4395" t="n"/>
      <c r="BS226" s="4395" t="n"/>
      <c r="BT226" s="4395" t="n"/>
      <c r="BU226" s="4395" t="n"/>
      <c r="BV226" s="4395" t="n"/>
      <c r="BW226" s="4395" t="n"/>
      <c r="BX226" s="4395" t="n"/>
      <c r="BY226" s="4395" t="n"/>
      <c r="BZ226" s="4395" t="n"/>
      <c r="CA226" s="4395" t="n"/>
      <c r="CB226" s="4395" t="n"/>
      <c r="CC226" s="4395" t="n"/>
      <c r="CD226" s="4395" t="n"/>
      <c r="CE226" s="4395" t="n"/>
      <c r="CF226" s="4395" t="n"/>
      <c r="CG226" s="4395" t="n"/>
      <c r="CH226" s="4395" t="n"/>
      <c r="CI226" s="4395" t="n"/>
      <c r="CJ226" s="4395" t="n"/>
      <c r="CK226" s="4395" t="n"/>
      <c r="CL226" s="4395" t="n"/>
      <c r="CM226" s="4395" t="n"/>
      <c r="CN226" s="4395" t="n"/>
      <c r="CO226" s="4395" t="n"/>
      <c r="CP226" s="4395" t="n"/>
      <c r="CQ226" s="4395" t="n"/>
      <c r="CR226" s="4395" t="n"/>
      <c r="CS226" s="4395" t="n"/>
      <c r="CT226" s="4395" t="n"/>
      <c r="CU226" s="4395" t="n"/>
      <c r="CV226" s="4395" t="n"/>
      <c r="CW226" s="4395" t="n"/>
      <c r="CX226" s="4395" t="n"/>
      <c r="CY226" s="4395" t="n"/>
      <c r="CZ226" s="4395" t="n"/>
      <c r="DA226" s="4395" t="n"/>
      <c r="DB226" s="4395" t="n"/>
      <c r="DC226" s="4395" t="n"/>
      <c r="DD226" s="4395" t="n"/>
      <c r="DE226" s="4395" t="n"/>
      <c r="DF226" s="4395" t="n"/>
      <c r="DG226" s="4395" t="n"/>
      <c r="DH226" s="4395" t="n"/>
    </row>
    <row r="227" ht="16" customHeight="1">
      <c r="A227" t="inlineStr">
        <is>
          <t>Energy</t>
        </is>
      </c>
      <c r="C227">
        <f>'9.Inputs'!C62</f>
        <v/>
      </c>
      <c r="D227">
        <f>'9.Inputs'!V62</f>
        <v/>
      </c>
      <c r="E227">
        <f>IF('9.Inputs'!BE62&lt;&gt;0,'9.Inputs'!BE62,'9.Inputs'!BD62)</f>
        <v/>
      </c>
      <c r="F227">
        <f>time</f>
        <v/>
      </c>
      <c r="G227" s="4395">
        <f>'9.Inputs'!F62</f>
        <v/>
      </c>
      <c r="H227" s="4395">
        <f>'9.Inputs'!H62</f>
        <v/>
      </c>
      <c r="I227" s="4395">
        <f>IF(OR(H227="I", G227="I"), "I", IF(OR(H227="E", G227="E"), "E", "D"))</f>
        <v/>
      </c>
      <c r="J227" s="4395">
        <f>((D227/(time_cap+((F227-E227+1)*VLOOKUP(I227,list!$I$48:$K$50,3, FALSE))))*(F227-E227+1)*VLOOKUP(I227,list!$I$48:$K$50,3, FALSE))</f>
        <v/>
      </c>
      <c r="K227" s="4395">
        <f>((D227/(time_cap+((F227-E227+1)*VLOOKUP(I227,list!$I$48:$K$50,3, FALSE))))*time_cap)</f>
        <v/>
      </c>
      <c r="M227" s="4395">
        <f>IFERROR(IF((time+time_cap)&lt;M$2, 0,IF(AND(time+1&gt;=N$2, $E227&lt;N$2), IF($I227= "I", $J227/($F227-$E227+1), $J227/(($F227*($F227+1)/2)-(($E227-1)*($E227-1+1)/2))*M$2), 0)+IF(IF(time+1&gt;=N$2, $K227/time_cap/(time+1)*M$2, 0) = 0, $K227/(time_cap),0)),0)</f>
        <v/>
      </c>
      <c r="N227" s="4395">
        <f>IFERROR(IF((time+time_cap)&lt;N$2, 0,IF(AND(time+1&gt;=O$2, $E227&lt;O$2), IF($I227= "I", $J227/($F227-$E227+1), $J227/(($F227*($F227+1)/2)-(($E227-1)*($E227-1+1)/2))*N$2), 0)+IF(IF(time+1&gt;=O$2, $K227/time_cap/(time+1)*N$2, 0) = 0, $K227/(time_cap),0)),0)</f>
        <v/>
      </c>
      <c r="O227" s="4395">
        <f>IFERROR(IF((time+time_cap)&lt;O$2, 0,IF(AND(time+1&gt;=P$2, $E227&lt;P$2), IF($I227= "I", $J227/($F227-$E227+1), $J227/(($F227*($F227+1)/2)-(($E227-1)*($E227-1+1)/2))*O$2), 0)+IF(IF(time+1&gt;=P$2, $K227/time_cap/(time+1)*O$2, 0) = 0, $K227/(time_cap),0)),0)</f>
        <v/>
      </c>
      <c r="P227" s="4395">
        <f>IFERROR(IF((time+time_cap)&lt;P$2, 0,IF(AND(time+1&gt;=Q$2, $E227&lt;Q$2), IF($I227= "I", $J227/($F227-$E227+1), $J227/(($F227*($F227+1)/2)-(($E227-1)*($E227-1+1)/2))*P$2), 0)+IF(IF(time+1&gt;=Q$2, $K227/time_cap/(time+1)*P$2, 0) = 0, $K227/(time_cap),0)),0)</f>
        <v/>
      </c>
      <c r="Q227" s="4395">
        <f>IFERROR(IF((time+time_cap)&lt;Q$2, 0,IF(AND(time+1&gt;=R$2, $E227&lt;R$2), IF($I227= "I", $J227/($F227-$E227+1), $J227/(($F227*($F227+1)/2)-(($E227-1)*($E227-1+1)/2))*Q$2), 0)+IF(IF(time+1&gt;=R$2, $K227/time_cap/(time+1)*Q$2, 0) = 0, $K227/(time_cap),0)),0)</f>
        <v/>
      </c>
      <c r="R227" s="4395">
        <f>IFERROR(IF((time+time_cap)&lt;R$2, 0,IF(AND(time+1&gt;=S$2, $E227&lt;S$2), IF($I227= "I", $J227/($F227-$E227+1), $J227/(($F227*($F227+1)/2)-(($E227-1)*($E227-1+1)/2))*R$2), 0)+IF(IF(time+1&gt;=S$2, $K227/time_cap/(time+1)*R$2, 0) = 0, $K227/(time_cap),0)),0)</f>
        <v/>
      </c>
      <c r="S227" s="4395">
        <f>IFERROR(IF((time+time_cap)&lt;S$2, 0,IF(AND(time+1&gt;=T$2, $E227&lt;T$2), IF($I227= "I", $J227/($F227-$E227+1), $J227/(($F227*($F227+1)/2)-(($E227-1)*($E227-1+1)/2))*S$2), 0)+IF(IF(time+1&gt;=T$2, $K227/time_cap/(time+1)*S$2, 0) = 0, $K227/(time_cap),0)),0)</f>
        <v/>
      </c>
      <c r="T227" s="4395">
        <f>IFERROR(IF((time+time_cap)&lt;T$2, 0,IF(AND(time+1&gt;=U$2, $E227&lt;U$2), IF($I227= "I", $J227/($F227-$E227+1), $J227/(($F227*($F227+1)/2)-(($E227-1)*($E227-1+1)/2))*T$2), 0)+IF(IF(time+1&gt;=U$2, $K227/time_cap/(time+1)*T$2, 0) = 0, $K227/(time_cap),0)),0)</f>
        <v/>
      </c>
      <c r="U227" s="4395">
        <f>IFERROR(IF((time+time_cap)&lt;U$2, 0,IF(AND(time+1&gt;=V$2, $E227&lt;V$2), IF($I227= "I", $J227/($F227-$E227+1), $J227/(($F227*($F227+1)/2)-(($E227-1)*($E227-1+1)/2))*U$2), 0)+IF(IF(time+1&gt;=V$2, $K227/time_cap/(time+1)*U$2, 0) = 0, $K227/(time_cap),0)),0)</f>
        <v/>
      </c>
      <c r="V227" s="4395">
        <f>IFERROR(IF((time+time_cap)&lt;V$2, 0,IF(AND(time+1&gt;=W$2, $E227&lt;W$2), IF($I227= "I", $J227/($F227-$E227+1), $J227/(($F227*($F227+1)/2)-(($E227-1)*($E227-1+1)/2))*V$2), 0)+IF(IF(time+1&gt;=W$2, $K227/time_cap/(time+1)*V$2, 0) = 0, $K227/(time_cap),0)),0)</f>
        <v/>
      </c>
      <c r="W227" s="4395">
        <f>IFERROR(IF((time+time_cap)&lt;W$2, 0,IF(AND(time+1&gt;=X$2, $E227&lt;X$2), IF($I227= "I", $J227/($F227-$E227+1), $J227/(($F227*($F227+1)/2)-(($E227-1)*($E227-1+1)/2))*W$2), 0)+IF(IF(time+1&gt;=X$2, $K227/time_cap/(time+1)*W$2, 0) = 0, $K227/(time_cap),0)),0)</f>
        <v/>
      </c>
      <c r="X227" s="4395">
        <f>IFERROR(IF((time+time_cap)&lt;X$2, 0,IF(AND(time+1&gt;=Y$2, $E227&lt;Y$2), IF($I227= "I", $J227/($F227-$E227+1), $J227/(($F227*($F227+1)/2)-(($E227-1)*($E227-1+1)/2))*X$2), 0)+IF(IF(time+1&gt;=Y$2, $K227/time_cap/(time+1)*X$2, 0) = 0, $K227/(time_cap),0)),0)</f>
        <v/>
      </c>
      <c r="Y227" s="4395">
        <f>IFERROR(IF((time+time_cap)&lt;Y$2, 0,IF(AND(time+1&gt;=Z$2, $E227&lt;Z$2), IF($I227= "I", $J227/($F227-$E227+1), $J227/(($F227*($F227+1)/2)-(($E227-1)*($E227-1+1)/2))*Y$2), 0)+IF(IF(time+1&gt;=Z$2, $K227/time_cap/(time+1)*Y$2, 0) = 0, $K227/(time_cap),0)),0)</f>
        <v/>
      </c>
      <c r="Z227" s="4395">
        <f>IFERROR(IF((time+time_cap)&lt;Z$2, 0,IF(AND(time+1&gt;=AA$2, $E227&lt;AA$2), IF($I227= "I", $J227/($F227-$E227+1), $J227/(($F227*($F227+1)/2)-(($E227-1)*($E227-1+1)/2))*Z$2), 0)+IF(IF(time+1&gt;=AA$2, $K227/time_cap/(time+1)*Z$2, 0) = 0, $K227/(time_cap),0)),0)</f>
        <v/>
      </c>
      <c r="AA227" s="4395">
        <f>IFERROR(IF((time+time_cap)&lt;AA$2, 0,IF(AND(time+1&gt;=AB$2, $E227&lt;AB$2), IF($I227= "I", $J227/($F227-$E227+1), $J227/(($F227*($F227+1)/2)-(($E227-1)*($E227-1+1)/2))*AA$2), 0)+IF(IF(time+1&gt;=AB$2, $K227/time_cap/(time+1)*AA$2, 0) = 0, $K227/(time_cap),0)),0)</f>
        <v/>
      </c>
      <c r="AB227" s="4395">
        <f>IFERROR(IF((time+time_cap)&lt;AB$2, 0,IF(AND(time+1&gt;=AC$2, $E227&lt;AC$2), IF($I227= "I", $J227/($F227-$E227+1), $J227/(($F227*($F227+1)/2)-(($E227-1)*($E227-1+1)/2))*AB$2), 0)+IF(IF(time+1&gt;=AC$2, $K227/time_cap/(time+1)*AB$2, 0) = 0, $K227/(time_cap),0)),0)</f>
        <v/>
      </c>
      <c r="AC227" s="4395">
        <f>IFERROR(IF((time+time_cap)&lt;AC$2, 0,IF(AND(time+1&gt;=AD$2, $E227&lt;AD$2), IF($I227= "I", $J227/($F227-$E227+1), $J227/(($F227*($F227+1)/2)-(($E227-1)*($E227-1+1)/2))*AC$2), 0)+IF(IF(time+1&gt;=AD$2, $K227/time_cap/(time+1)*AC$2, 0) = 0, $K227/(time_cap),0)),0)</f>
        <v/>
      </c>
      <c r="AD227" s="4395">
        <f>IFERROR(IF((time+time_cap)&lt;AD$2, 0,IF(AND(time+1&gt;=AE$2, $E227&lt;AE$2), IF($I227= "I", $J227/($F227-$E227+1), $J227/(($F227*($F227+1)/2)-(($E227-1)*($E227-1+1)/2))*AD$2), 0)+IF(IF(time+1&gt;=AE$2, $K227/time_cap/(time+1)*AD$2, 0) = 0, $K227/(time_cap),0)),0)</f>
        <v/>
      </c>
      <c r="AE227" s="4395">
        <f>IFERROR(IF((time+time_cap)&lt;AE$2, 0,IF(AND(time+1&gt;=AF$2, $E227&lt;AF$2), IF($I227= "I", $J227/($F227-$E227+1), $J227/(($F227*($F227+1)/2)-(($E227-1)*($E227-1+1)/2))*AE$2), 0)+IF(IF(time+1&gt;=AF$2, $K227/time_cap/(time+1)*AE$2, 0) = 0, $K227/(time_cap),0)),0)</f>
        <v/>
      </c>
      <c r="AF227" s="4395">
        <f>IFERROR(IF((time+time_cap)&lt;AF$2, 0,IF(AND(time+1&gt;=AG$2, $E227&lt;AG$2), IF($I227= "I", $J227/($F227-$E227+1), $J227/(($F227*($F227+1)/2)-(($E227-1)*($E227-1+1)/2))*AF$2), 0)+IF(IF(time+1&gt;=AG$2, $K227/time_cap/(time+1)*AF$2, 0) = 0, $K227/(time_cap),0)),0)</f>
        <v/>
      </c>
      <c r="AG227" s="4395">
        <f>IFERROR(IF((time+time_cap)&lt;AG$2, 0,IF(AND(time+1&gt;=AH$2, $E227&lt;AH$2), IF($I227= "I", $J227/($F227-$E227+1), $J227/(($F227*($F227+1)/2)-(($E227-1)*($E227-1+1)/2))*AG$2), 0)+IF(IF(time+1&gt;=AH$2, $K227/time_cap/(time+1)*AG$2, 0) = 0, $K227/(time_cap),0)),0)</f>
        <v/>
      </c>
      <c r="AH227" s="4395">
        <f>IFERROR(IF((time+time_cap)&lt;AH$2, 0,IF(AND(time+1&gt;=AI$2, $E227&lt;AI$2), IF($I227= "I", $J227/($F227-$E227+1), $J227/(($F227*($F227+1)/2)-(($E227-1)*($E227-1+1)/2))*AH$2), 0)+IF(IF(time+1&gt;=AI$2, $K227/time_cap/(time+1)*AH$2, 0) = 0, $K227/(time_cap),0)),0)</f>
        <v/>
      </c>
      <c r="AI227" s="4395">
        <f>IFERROR(IF((time+time_cap)&lt;AI$2, 0,IF(AND(time+1&gt;=AJ$2, $E227&lt;AJ$2), IF($I227= "I", $J227/($F227-$E227+1), $J227/(($F227*($F227+1)/2)-(($E227-1)*($E227-1+1)/2))*AI$2), 0)+IF(IF(time+1&gt;=AJ$2, $K227/time_cap/(time+1)*AI$2, 0) = 0, $K227/(time_cap),0)),0)</f>
        <v/>
      </c>
      <c r="AJ227" s="4395">
        <f>IFERROR(IF((time+time_cap)&lt;AJ$2, 0,IF(AND(time+1&gt;=AK$2, $E227&lt;AK$2), IF($I227= "I", $J227/($F227-$E227+1), $J227/(($F227*($F227+1)/2)-(($E227-1)*($E227-1+1)/2))*AJ$2), 0)+IF(IF(time+1&gt;=AK$2, $K227/time_cap/(time+1)*AJ$2, 0) = 0, $K227/(time_cap),0)),0)</f>
        <v/>
      </c>
      <c r="AK227" s="4395">
        <f>IFERROR(IF((time+time_cap)&lt;AK$2, 0,IF(AND(time+1&gt;=AL$2, $E227&lt;AL$2), IF($I227= "I", $J227/($F227-$E227+1), $J227/(($F227*($F227+1)/2)-(($E227-1)*($E227-1+1)/2))*AK$2), 0)+IF(IF(time+1&gt;=AL$2, $K227/time_cap/(time+1)*AK$2, 0) = 0, $K227/(time_cap),0)),0)</f>
        <v/>
      </c>
      <c r="AL227" s="4395">
        <f>IFERROR(IF((time+time_cap)&lt;AL$2, 0,IF(AND(time+1&gt;=AM$2, $E227&lt;AM$2), IF($I227= "I", $J227/($F227-$E227+1), $J227/(($F227*($F227+1)/2)-(($E227-1)*($E227-1+1)/2))*AL$2), 0)+IF(IF(time+1&gt;=AM$2, $K227/time_cap/(time+1)*AL$2, 0) = 0, $K227/(time_cap),0)),0)</f>
        <v/>
      </c>
      <c r="AM227" s="4395">
        <f>IFERROR(IF((time+time_cap)&lt;AM$2, 0,IF(AND(time+1&gt;=AN$2, $E227&lt;AN$2), IF($I227= "I", $J227/($F227-$E227+1), $J227/(($F227*($F227+1)/2)-(($E227-1)*($E227-1+1)/2))*AM$2), 0)+IF(IF(time+1&gt;=AN$2, $K227/time_cap/(time+1)*AM$2, 0) = 0, $K227/(time_cap),0)),0)</f>
        <v/>
      </c>
      <c r="AN227" s="4395">
        <f>IFERROR(IF((time+time_cap)&lt;AN$2, 0,IF(AND(time+1&gt;=AO$2, $E227&lt;AO$2), IF($I227= "I", $J227/($F227-$E227+1), $J227/(($F227*($F227+1)/2)-(($E227-1)*($E227-1+1)/2))*AN$2), 0)+IF(IF(time+1&gt;=AO$2, $K227/time_cap/(time+1)*AN$2, 0) = 0, $K227/(time_cap),0)),0)</f>
        <v/>
      </c>
      <c r="AO227" s="4395">
        <f>IFERROR(IF((time+time_cap)&lt;AO$2, 0,IF(AND(time+1&gt;=AP$2, $E227&lt;AP$2), IF($I227= "I", $J227/($F227-$E227+1), $J227/(($F227*($F227+1)/2)-(($E227-1)*($E227-1+1)/2))*AO$2), 0)+IF(IF(time+1&gt;=AP$2, $K227/time_cap/(time+1)*AO$2, 0) = 0, $K227/(time_cap),0)),0)</f>
        <v/>
      </c>
      <c r="AP227" s="4395">
        <f>IFERROR(IF((time+time_cap)&lt;AP$2, 0,IF(AND(time+1&gt;=AQ$2, $E227&lt;AQ$2), IF($I227= "I", $J227/($F227-$E227+1), $J227/(($F227*($F227+1)/2)-(($E227-1)*($E227-1+1)/2))*AP$2), 0)+IF(IF(time+1&gt;=AQ$2, $K227/time_cap/(time+1)*AP$2, 0) = 0, $K227/(time_cap),0)),0)</f>
        <v/>
      </c>
      <c r="AQ227" s="4395">
        <f>IFERROR(IF((time+time_cap)&lt;AQ$2, 0,IF(AND(time+1&gt;=AR$2, $E227&lt;AR$2), IF($I227= "I", $J227/($F227-$E227+1), $J227/(($F227*($F227+1)/2)-(($E227-1)*($E227-1+1)/2))*AQ$2), 0)+IF(IF(time+1&gt;=AR$2, $K227/time_cap/(time+1)*AQ$2, 0) = 0, $K227/(time_cap),0)),0)</f>
        <v/>
      </c>
      <c r="AR227" s="4395">
        <f>IFERROR(IF((time+time_cap)&lt;AR$2, 0,IF(AND(time+1&gt;=AS$2, $E227&lt;AS$2), IF($I227= "I", $J227/($F227-$E227+1), $J227/(($F227*($F227+1)/2)-(($E227-1)*($E227-1+1)/2))*AR$2), 0)+IF(IF(time+1&gt;=AS$2, $K227/time_cap/(time+1)*AR$2, 0) = 0, $K227/(time_cap),0)),0)</f>
        <v/>
      </c>
      <c r="AS227" s="4395">
        <f>IFERROR(IF((time+time_cap)&lt;AS$2, 0,IF(AND(time+1&gt;=AT$2, $E227&lt;AT$2), IF($I227= "I", $J227/($F227-$E227+1), $J227/(($F227*($F227+1)/2)-(($E227-1)*($E227-1+1)/2))*AS$2), 0)+IF(IF(time+1&gt;=AT$2, $K227/time_cap/(time+1)*AS$2, 0) = 0, $K227/(time_cap),0)),0)</f>
        <v/>
      </c>
      <c r="AT227" s="4395">
        <f>IFERROR(IF((time+time_cap)&lt;AT$2, 0,IF(AND(time+1&gt;=AU$2, $E227&lt;AU$2), IF($I227= "I", $J227/($F227-$E227+1), $J227/(($F227*($F227+1)/2)-(($E227-1)*($E227-1+1)/2))*AT$2), 0)+IF(IF(time+1&gt;=AU$2, $K227/time_cap/(time+1)*AT$2, 0) = 0, $K227/(time_cap),0)),0)</f>
        <v/>
      </c>
      <c r="AU227" s="4395">
        <f>IFERROR(IF((time+time_cap)&lt;AU$2, 0,IF(AND(time+1&gt;=AV$2, $E227&lt;AV$2), IF($I227= "I", $J227/($F227-$E227+1), $J227/(($F227*($F227+1)/2)-(($E227-1)*($E227-1+1)/2))*AU$2), 0)+IF(IF(time+1&gt;=AV$2, $K227/time_cap/(time+1)*AU$2, 0) = 0, $K227/(time_cap),0)),0)</f>
        <v/>
      </c>
      <c r="AV227" s="4395">
        <f>IFERROR(IF((time+time_cap)&lt;AV$2, 0,IF(AND(time+1&gt;=AW$2, $E227&lt;AW$2), IF($I227= "I", $J227/($F227-$E227+1), $J227/(($F227*($F227+1)/2)-(($E227-1)*($E227-1+1)/2))*AV$2), 0)+IF(IF(time+1&gt;=AW$2, $K227/time_cap/(time+1)*AV$2, 0) = 0, $K227/(time_cap),0)),0)</f>
        <v/>
      </c>
      <c r="AW227" s="4395">
        <f>IFERROR(IF((time+time_cap)&lt;AW$2, 0,IF(AND(time+1&gt;=AX$2, $E227&lt;AX$2), IF($I227= "I", $J227/($F227-$E227+1), $J227/(($F227*($F227+1)/2)-(($E227-1)*($E227-1+1)/2))*AW$2), 0)+IF(IF(time+1&gt;=AX$2, $K227/time_cap/(time+1)*AW$2, 0) = 0, $K227/(time_cap),0)),0)</f>
        <v/>
      </c>
      <c r="AX227" s="4395">
        <f>IFERROR(IF((time+time_cap)&lt;AX$2, 0,IF(AND(time+1&gt;=AY$2, $E227&lt;AY$2), IF($I227= "I", $J227/($F227-$E227+1), $J227/(($F227*($F227+1)/2)-(($E227-1)*($E227-1+1)/2))*AX$2), 0)+IF(IF(time+1&gt;=AY$2, $K227/time_cap/(time+1)*AX$2, 0) = 0, $K227/(time_cap),0)),0)</f>
        <v/>
      </c>
      <c r="AY227" s="4395">
        <f>IFERROR(IF((time+time_cap)&lt;AY$2, 0,IF(AND(time+1&gt;=AZ$2, $E227&lt;AZ$2), IF($I227= "I", $J227/($F227-$E227+1), $J227/(($F227*($F227+1)/2)-(($E227-1)*($E227-1+1)/2))*AY$2), 0)+IF(IF(time+1&gt;=AZ$2, $K227/time_cap/(time+1)*AY$2, 0) = 0, $K227/(time_cap),0)),0)</f>
        <v/>
      </c>
      <c r="AZ227" s="4395">
        <f>IFERROR(IF((time+time_cap)&lt;AZ$2, 0,IF(AND(time+1&gt;=BA$2, $E227&lt;BA$2), IF($I227= "I", $J227/($F227-$E227+1), $J227/(($F227*($F227+1)/2)-(($E227-1)*($E227-1+1)/2))*AZ$2), 0)+IF(IF(time+1&gt;=BA$2, $K227/time_cap/(time+1)*AZ$2, 0) = 0, $K227/(time_cap),0)),0)</f>
        <v/>
      </c>
      <c r="BA227" s="4395">
        <f>IFERROR(IF((time+time_cap)&lt;BA$2, 0,IF(AND(time+1&gt;=BB$2, $E227&lt;BB$2), IF($I227= "I", $J227/($F227-$E227+1), $J227/(($F227*($F227+1)/2)-(($E227-1)*($E227-1+1)/2))*BA$2), 0)+IF(IF(time+1&gt;=BB$2, $K227/time_cap/(time+1)*BA$2, 0) = 0, $K227/(time_cap),0)),0)</f>
        <v/>
      </c>
      <c r="BB227" s="4395">
        <f>IFERROR(IF((time+time_cap)&lt;BB$2, 0,IF(AND(time+1&gt;=BC$2, $E227&lt;BC$2), IF($I227= "I", $J227/($F227-$E227+1), $J227/(($F227*($F227+1)/2)-(($E227-1)*($E227-1+1)/2))*BB$2), 0)+IF(IF(time+1&gt;=BC$2, $K227/time_cap/(time+1)*BB$2, 0) = 0, $K227/(time_cap),0)),0)</f>
        <v/>
      </c>
      <c r="BC227" s="4395">
        <f>IFERROR(IF((time+time_cap)&lt;BC$2, 0,IF(AND(time+1&gt;=BD$2, $E227&lt;BD$2), IF($I227= "I", $J227/($F227-$E227+1), $J227/(($F227*($F227+1)/2)-(($E227-1)*($E227-1+1)/2))*BC$2), 0)+IF(IF(time+1&gt;=BD$2, $K227/time_cap/(time+1)*BC$2, 0) = 0, $K227/(time_cap),0)),0)</f>
        <v/>
      </c>
      <c r="BD227" s="4395">
        <f>IFERROR(IF((time+time_cap)&lt;BD$2, 0,IF(AND(time+1&gt;=BE$2, $E227&lt;BE$2), IF($I227= "I", $J227/($F227-$E227+1), $J227/(($F227*($F227+1)/2)-(($E227-1)*($E227-1+1)/2))*BD$2), 0)+IF(IF(time+1&gt;=BE$2, $K227/time_cap/(time+1)*BD$2, 0) = 0, $K227/(time_cap),0)),0)</f>
        <v/>
      </c>
      <c r="BE227" s="4395">
        <f>IFERROR(IF((time+time_cap)&lt;BE$2, 0,IF(AND(time+1&gt;=BF$2, $E227&lt;BF$2), IF($I227= "I", $J227/($F227-$E227+1), $J227/(($F227*($F227+1)/2)-(($E227-1)*($E227-1+1)/2))*BE$2), 0)+IF(IF(time+1&gt;=BF$2, $K227/time_cap/(time+1)*BE$2, 0) = 0, $K227/(time_cap),0)),0)</f>
        <v/>
      </c>
      <c r="BF227" s="4395">
        <f>IFERROR(IF((time+time_cap)&lt;BF$2, 0,IF(AND(time+1&gt;=BG$2, $E227&lt;BG$2), IF($I227= "I", $J227/($F227-$E227+1), $J227/(($F227*($F227+1)/2)-(($E227-1)*($E227-1+1)/2))*BF$2), 0)+IF(IF(time+1&gt;=BG$2, $K227/time_cap/(time+1)*BF$2, 0) = 0, $K227/(time_cap),0)),0)</f>
        <v/>
      </c>
      <c r="BG227" s="4395">
        <f>IFERROR(IF((time+time_cap)&lt;BG$2, 0,IF(AND(time+1&gt;=BH$2, $E227&lt;BH$2), IF($I227= "I", $J227/($F227-$E227+1), $J227/(($F227*($F227+1)/2)-(($E227-1)*($E227-1+1)/2))*BG$2), 0)+IF(IF(time+1&gt;=BH$2, $K227/time_cap/(time+1)*BG$2, 0) = 0, $K227/(time_cap),0)),0)</f>
        <v/>
      </c>
      <c r="BH227" s="4395">
        <f>IFERROR(IF((time+time_cap)&lt;BH$2, 0,IF(AND(time+1&gt;=BI$2, $E227&lt;BI$2), IF($I227= "I", $J227/($F227-$E227+1), $J227/(($F227*($F227+1)/2)-(($E227-1)*($E227-1+1)/2))*BH$2), 0)+IF(IF(time+1&gt;=BI$2, $K227/time_cap/(time+1)*BH$2, 0) = 0, $K227/(time_cap),0)),0)</f>
        <v/>
      </c>
      <c r="BI227" s="4395">
        <f>IFERROR(IF((time+time_cap)&lt;BI$2, 0,IF(AND(time+1&gt;=BJ$2, $E227&lt;BJ$2), IF($I227= "I", $J227/($F227-$E227+1), $J227/(($F227*($F227+1)/2)-(($E227-1)*($E227-1+1)/2))*BI$2), 0)+IF(IF(time+1&gt;=BJ$2, $K227/time_cap/(time+1)*BI$2, 0) = 0, $K227/(time_cap),0)),0)</f>
        <v/>
      </c>
      <c r="BJ227" s="4395">
        <f>IFERROR(IF((time+time_cap)&lt;BJ$2, 0,IF(AND(time+1&gt;=BK$2, $E227&lt;BK$2), IF($I227= "I", $J227/($F227-$E227+1), $J227/(($F227*($F227+1)/2)-(($E227-1)*($E227-1+1)/2))*BJ$2), 0)+IF(IF(time+1&gt;=BK$2, $K227/time_cap/(time+1)*BJ$2, 0) = 0, $K227/(time_cap),0)),0)</f>
        <v/>
      </c>
      <c r="BK227" s="4395" t="n"/>
      <c r="BL227" s="4395" t="n"/>
      <c r="BM227" s="4395" t="n"/>
      <c r="BN227" s="4395" t="n"/>
      <c r="BO227" s="4395" t="n"/>
      <c r="BP227" s="4395" t="n"/>
      <c r="BQ227" s="4395" t="n"/>
      <c r="BR227" s="4395" t="n"/>
      <c r="BS227" s="4395" t="n"/>
      <c r="BT227" s="4395" t="n"/>
      <c r="BU227" s="4395" t="n"/>
      <c r="BV227" s="4395" t="n"/>
      <c r="BW227" s="4395" t="n"/>
      <c r="BX227" s="4395" t="n"/>
      <c r="BY227" s="4395" t="n"/>
      <c r="BZ227" s="4395" t="n"/>
      <c r="CA227" s="4395" t="n"/>
      <c r="CB227" s="4395" t="n"/>
      <c r="CC227" s="4395" t="n"/>
      <c r="CD227" s="4395" t="n"/>
      <c r="CE227" s="4395" t="n"/>
      <c r="CF227" s="4395" t="n"/>
      <c r="CG227" s="4395" t="n"/>
      <c r="CH227" s="4395" t="n"/>
      <c r="CI227" s="4395" t="n"/>
      <c r="CJ227" s="4395" t="n"/>
      <c r="CK227" s="4395" t="n"/>
      <c r="CL227" s="4395" t="n"/>
      <c r="CM227" s="4395" t="n"/>
      <c r="CN227" s="4395" t="n"/>
      <c r="CO227" s="4395" t="n"/>
      <c r="CP227" s="4395" t="n"/>
      <c r="CQ227" s="4395" t="n"/>
      <c r="CR227" s="4395" t="n"/>
      <c r="CS227" s="4395" t="n"/>
      <c r="CT227" s="4395" t="n"/>
      <c r="CU227" s="4395" t="n"/>
      <c r="CV227" s="4395" t="n"/>
      <c r="CW227" s="4395" t="n"/>
      <c r="CX227" s="4395" t="n"/>
      <c r="CY227" s="4395" t="n"/>
      <c r="CZ227" s="4395" t="n"/>
      <c r="DA227" s="4395" t="n"/>
      <c r="DB227" s="4395" t="n"/>
      <c r="DC227" s="4395" t="n"/>
      <c r="DD227" s="4395" t="n"/>
      <c r="DE227" s="4395" t="n"/>
      <c r="DF227" s="4395" t="n"/>
      <c r="DG227" s="4395" t="n"/>
      <c r="DH227" s="4395" t="n"/>
    </row>
    <row r="228" ht="16" customHeight="1">
      <c r="A228" t="inlineStr">
        <is>
          <t>Energy</t>
        </is>
      </c>
      <c r="C228">
        <f>'9.Inputs'!C63</f>
        <v/>
      </c>
      <c r="D228">
        <f>'9.Inputs'!V63</f>
        <v/>
      </c>
      <c r="E228">
        <f>IF('9.Inputs'!BE63&lt;&gt;0,'9.Inputs'!BE63,'9.Inputs'!BD63)</f>
        <v/>
      </c>
      <c r="F228">
        <f>time</f>
        <v/>
      </c>
      <c r="G228" s="4395">
        <f>'9.Inputs'!F63</f>
        <v/>
      </c>
      <c r="H228" s="4395">
        <f>'9.Inputs'!H63</f>
        <v/>
      </c>
      <c r="I228" s="4395">
        <f>IF(OR(H228="I", G228="I"), "I", IF(OR(H228="E", G228="E"), "E", "D"))</f>
        <v/>
      </c>
      <c r="J228" s="4395">
        <f>((D228/(time_cap+((F228-E228+1)*VLOOKUP(I228,list!$I$48:$K$50,3, FALSE))))*(F228-E228+1)*VLOOKUP(I228,list!$I$48:$K$50,3, FALSE))</f>
        <v/>
      </c>
      <c r="K228" s="4395">
        <f>((D228/(time_cap+((F228-E228+1)*VLOOKUP(I228,list!$I$48:$K$50,3, FALSE))))*time_cap)</f>
        <v/>
      </c>
      <c r="M228" s="4395">
        <f>IFERROR(IF((time+time_cap)&lt;M$2, 0,IF(AND(time+1&gt;=N$2, $E228&lt;N$2), IF($I228= "I", $J228/($F228-$E228+1), $J228/(($F228*($F228+1)/2)-(($E228-1)*($E228-1+1)/2))*M$2), 0)+IF(IF(time+1&gt;=N$2, $K228/time_cap/(time+1)*M$2, 0) = 0, $K228/(time_cap),0)),0)</f>
        <v/>
      </c>
      <c r="N228" s="4395">
        <f>IFERROR(IF((time+time_cap)&lt;N$2, 0,IF(AND(time+1&gt;=O$2, $E228&lt;O$2), IF($I228= "I", $J228/($F228-$E228+1), $J228/(($F228*($F228+1)/2)-(($E228-1)*($E228-1+1)/2))*N$2), 0)+IF(IF(time+1&gt;=O$2, $K228/time_cap/(time+1)*N$2, 0) = 0, $K228/(time_cap),0)),0)</f>
        <v/>
      </c>
      <c r="O228" s="4395">
        <f>IFERROR(IF((time+time_cap)&lt;O$2, 0,IF(AND(time+1&gt;=P$2, $E228&lt;P$2), IF($I228= "I", $J228/($F228-$E228+1), $J228/(($F228*($F228+1)/2)-(($E228-1)*($E228-1+1)/2))*O$2), 0)+IF(IF(time+1&gt;=P$2, $K228/time_cap/(time+1)*O$2, 0) = 0, $K228/(time_cap),0)),0)</f>
        <v/>
      </c>
      <c r="P228" s="4395">
        <f>IFERROR(IF((time+time_cap)&lt;P$2, 0,IF(AND(time+1&gt;=Q$2, $E228&lt;Q$2), IF($I228= "I", $J228/($F228-$E228+1), $J228/(($F228*($F228+1)/2)-(($E228-1)*($E228-1+1)/2))*P$2), 0)+IF(IF(time+1&gt;=Q$2, $K228/time_cap/(time+1)*P$2, 0) = 0, $K228/(time_cap),0)),0)</f>
        <v/>
      </c>
      <c r="Q228" s="4395">
        <f>IFERROR(IF((time+time_cap)&lt;Q$2, 0,IF(AND(time+1&gt;=R$2, $E228&lt;R$2), IF($I228= "I", $J228/($F228-$E228+1), $J228/(($F228*($F228+1)/2)-(($E228-1)*($E228-1+1)/2))*Q$2), 0)+IF(IF(time+1&gt;=R$2, $K228/time_cap/(time+1)*Q$2, 0) = 0, $K228/(time_cap),0)),0)</f>
        <v/>
      </c>
      <c r="R228" s="4395">
        <f>IFERROR(IF((time+time_cap)&lt;R$2, 0,IF(AND(time+1&gt;=S$2, $E228&lt;S$2), IF($I228= "I", $J228/($F228-$E228+1), $J228/(($F228*($F228+1)/2)-(($E228-1)*($E228-1+1)/2))*R$2), 0)+IF(IF(time+1&gt;=S$2, $K228/time_cap/(time+1)*R$2, 0) = 0, $K228/(time_cap),0)),0)</f>
        <v/>
      </c>
      <c r="S228" s="4395">
        <f>IFERROR(IF((time+time_cap)&lt;S$2, 0,IF(AND(time+1&gt;=T$2, $E228&lt;T$2), IF($I228= "I", $J228/($F228-$E228+1), $J228/(($F228*($F228+1)/2)-(($E228-1)*($E228-1+1)/2))*S$2), 0)+IF(IF(time+1&gt;=T$2, $K228/time_cap/(time+1)*S$2, 0) = 0, $K228/(time_cap),0)),0)</f>
        <v/>
      </c>
      <c r="T228" s="4395">
        <f>IFERROR(IF((time+time_cap)&lt;T$2, 0,IF(AND(time+1&gt;=U$2, $E228&lt;U$2), IF($I228= "I", $J228/($F228-$E228+1), $J228/(($F228*($F228+1)/2)-(($E228-1)*($E228-1+1)/2))*T$2), 0)+IF(IF(time+1&gt;=U$2, $K228/time_cap/(time+1)*T$2, 0) = 0, $K228/(time_cap),0)),0)</f>
        <v/>
      </c>
      <c r="U228" s="4395">
        <f>IFERROR(IF((time+time_cap)&lt;U$2, 0,IF(AND(time+1&gt;=V$2, $E228&lt;V$2), IF($I228= "I", $J228/($F228-$E228+1), $J228/(($F228*($F228+1)/2)-(($E228-1)*($E228-1+1)/2))*U$2), 0)+IF(IF(time+1&gt;=V$2, $K228/time_cap/(time+1)*U$2, 0) = 0, $K228/(time_cap),0)),0)</f>
        <v/>
      </c>
      <c r="V228" s="4395">
        <f>IFERROR(IF((time+time_cap)&lt;V$2, 0,IF(AND(time+1&gt;=W$2, $E228&lt;W$2), IF($I228= "I", $J228/($F228-$E228+1), $J228/(($F228*($F228+1)/2)-(($E228-1)*($E228-1+1)/2))*V$2), 0)+IF(IF(time+1&gt;=W$2, $K228/time_cap/(time+1)*V$2, 0) = 0, $K228/(time_cap),0)),0)</f>
        <v/>
      </c>
      <c r="W228" s="4395">
        <f>IFERROR(IF((time+time_cap)&lt;W$2, 0,IF(AND(time+1&gt;=X$2, $E228&lt;X$2), IF($I228= "I", $J228/($F228-$E228+1), $J228/(($F228*($F228+1)/2)-(($E228-1)*($E228-1+1)/2))*W$2), 0)+IF(IF(time+1&gt;=X$2, $K228/time_cap/(time+1)*W$2, 0) = 0, $K228/(time_cap),0)),0)</f>
        <v/>
      </c>
      <c r="X228" s="4395">
        <f>IFERROR(IF((time+time_cap)&lt;X$2, 0,IF(AND(time+1&gt;=Y$2, $E228&lt;Y$2), IF($I228= "I", $J228/($F228-$E228+1), $J228/(($F228*($F228+1)/2)-(($E228-1)*($E228-1+1)/2))*X$2), 0)+IF(IF(time+1&gt;=Y$2, $K228/time_cap/(time+1)*X$2, 0) = 0, $K228/(time_cap),0)),0)</f>
        <v/>
      </c>
      <c r="Y228" s="4395">
        <f>IFERROR(IF((time+time_cap)&lt;Y$2, 0,IF(AND(time+1&gt;=Z$2, $E228&lt;Z$2), IF($I228= "I", $J228/($F228-$E228+1), $J228/(($F228*($F228+1)/2)-(($E228-1)*($E228-1+1)/2))*Y$2), 0)+IF(IF(time+1&gt;=Z$2, $K228/time_cap/(time+1)*Y$2, 0) = 0, $K228/(time_cap),0)),0)</f>
        <v/>
      </c>
      <c r="Z228" s="4395">
        <f>IFERROR(IF((time+time_cap)&lt;Z$2, 0,IF(AND(time+1&gt;=AA$2, $E228&lt;AA$2), IF($I228= "I", $J228/($F228-$E228+1), $J228/(($F228*($F228+1)/2)-(($E228-1)*($E228-1+1)/2))*Z$2), 0)+IF(IF(time+1&gt;=AA$2, $K228/time_cap/(time+1)*Z$2, 0) = 0, $K228/(time_cap),0)),0)</f>
        <v/>
      </c>
      <c r="AA228" s="4395">
        <f>IFERROR(IF((time+time_cap)&lt;AA$2, 0,IF(AND(time+1&gt;=AB$2, $E228&lt;AB$2), IF($I228= "I", $J228/($F228-$E228+1), $J228/(($F228*($F228+1)/2)-(($E228-1)*($E228-1+1)/2))*AA$2), 0)+IF(IF(time+1&gt;=AB$2, $K228/time_cap/(time+1)*AA$2, 0) = 0, $K228/(time_cap),0)),0)</f>
        <v/>
      </c>
      <c r="AB228" s="4395">
        <f>IFERROR(IF((time+time_cap)&lt;AB$2, 0,IF(AND(time+1&gt;=AC$2, $E228&lt;AC$2), IF($I228= "I", $J228/($F228-$E228+1), $J228/(($F228*($F228+1)/2)-(($E228-1)*($E228-1+1)/2))*AB$2), 0)+IF(IF(time+1&gt;=AC$2, $K228/time_cap/(time+1)*AB$2, 0) = 0, $K228/(time_cap),0)),0)</f>
        <v/>
      </c>
      <c r="AC228" s="4395">
        <f>IFERROR(IF((time+time_cap)&lt;AC$2, 0,IF(AND(time+1&gt;=AD$2, $E228&lt;AD$2), IF($I228= "I", $J228/($F228-$E228+1), $J228/(($F228*($F228+1)/2)-(($E228-1)*($E228-1+1)/2))*AC$2), 0)+IF(IF(time+1&gt;=AD$2, $K228/time_cap/(time+1)*AC$2, 0) = 0, $K228/(time_cap),0)),0)</f>
        <v/>
      </c>
      <c r="AD228" s="4395">
        <f>IFERROR(IF((time+time_cap)&lt;AD$2, 0,IF(AND(time+1&gt;=AE$2, $E228&lt;AE$2), IF($I228= "I", $J228/($F228-$E228+1), $J228/(($F228*($F228+1)/2)-(($E228-1)*($E228-1+1)/2))*AD$2), 0)+IF(IF(time+1&gt;=AE$2, $K228/time_cap/(time+1)*AD$2, 0) = 0, $K228/(time_cap),0)),0)</f>
        <v/>
      </c>
      <c r="AE228" s="4395">
        <f>IFERROR(IF((time+time_cap)&lt;AE$2, 0,IF(AND(time+1&gt;=AF$2, $E228&lt;AF$2), IF($I228= "I", $J228/($F228-$E228+1), $J228/(($F228*($F228+1)/2)-(($E228-1)*($E228-1+1)/2))*AE$2), 0)+IF(IF(time+1&gt;=AF$2, $K228/time_cap/(time+1)*AE$2, 0) = 0, $K228/(time_cap),0)),0)</f>
        <v/>
      </c>
      <c r="AF228" s="4395">
        <f>IFERROR(IF((time+time_cap)&lt;AF$2, 0,IF(AND(time+1&gt;=AG$2, $E228&lt;AG$2), IF($I228= "I", $J228/($F228-$E228+1), $J228/(($F228*($F228+1)/2)-(($E228-1)*($E228-1+1)/2))*AF$2), 0)+IF(IF(time+1&gt;=AG$2, $K228/time_cap/(time+1)*AF$2, 0) = 0, $K228/(time_cap),0)),0)</f>
        <v/>
      </c>
      <c r="AG228" s="4395">
        <f>IFERROR(IF((time+time_cap)&lt;AG$2, 0,IF(AND(time+1&gt;=AH$2, $E228&lt;AH$2), IF($I228= "I", $J228/($F228-$E228+1), $J228/(($F228*($F228+1)/2)-(($E228-1)*($E228-1+1)/2))*AG$2), 0)+IF(IF(time+1&gt;=AH$2, $K228/time_cap/(time+1)*AG$2, 0) = 0, $K228/(time_cap),0)),0)</f>
        <v/>
      </c>
      <c r="AH228" s="4395">
        <f>IFERROR(IF((time+time_cap)&lt;AH$2, 0,IF(AND(time+1&gt;=AI$2, $E228&lt;AI$2), IF($I228= "I", $J228/($F228-$E228+1), $J228/(($F228*($F228+1)/2)-(($E228-1)*($E228-1+1)/2))*AH$2), 0)+IF(IF(time+1&gt;=AI$2, $K228/time_cap/(time+1)*AH$2, 0) = 0, $K228/(time_cap),0)),0)</f>
        <v/>
      </c>
      <c r="AI228" s="4395">
        <f>IFERROR(IF((time+time_cap)&lt;AI$2, 0,IF(AND(time+1&gt;=AJ$2, $E228&lt;AJ$2), IF($I228= "I", $J228/($F228-$E228+1), $J228/(($F228*($F228+1)/2)-(($E228-1)*($E228-1+1)/2))*AI$2), 0)+IF(IF(time+1&gt;=AJ$2, $K228/time_cap/(time+1)*AI$2, 0) = 0, $K228/(time_cap),0)),0)</f>
        <v/>
      </c>
      <c r="AJ228" s="4395">
        <f>IFERROR(IF((time+time_cap)&lt;AJ$2, 0,IF(AND(time+1&gt;=AK$2, $E228&lt;AK$2), IF($I228= "I", $J228/($F228-$E228+1), $J228/(($F228*($F228+1)/2)-(($E228-1)*($E228-1+1)/2))*AJ$2), 0)+IF(IF(time+1&gt;=AK$2, $K228/time_cap/(time+1)*AJ$2, 0) = 0, $K228/(time_cap),0)),0)</f>
        <v/>
      </c>
      <c r="AK228" s="4395">
        <f>IFERROR(IF((time+time_cap)&lt;AK$2, 0,IF(AND(time+1&gt;=AL$2, $E228&lt;AL$2), IF($I228= "I", $J228/($F228-$E228+1), $J228/(($F228*($F228+1)/2)-(($E228-1)*($E228-1+1)/2))*AK$2), 0)+IF(IF(time+1&gt;=AL$2, $K228/time_cap/(time+1)*AK$2, 0) = 0, $K228/(time_cap),0)),0)</f>
        <v/>
      </c>
      <c r="AL228" s="4395">
        <f>IFERROR(IF((time+time_cap)&lt;AL$2, 0,IF(AND(time+1&gt;=AM$2, $E228&lt;AM$2), IF($I228= "I", $J228/($F228-$E228+1), $J228/(($F228*($F228+1)/2)-(($E228-1)*($E228-1+1)/2))*AL$2), 0)+IF(IF(time+1&gt;=AM$2, $K228/time_cap/(time+1)*AL$2, 0) = 0, $K228/(time_cap),0)),0)</f>
        <v/>
      </c>
      <c r="AM228" s="4395">
        <f>IFERROR(IF((time+time_cap)&lt;AM$2, 0,IF(AND(time+1&gt;=AN$2, $E228&lt;AN$2), IF($I228= "I", $J228/($F228-$E228+1), $J228/(($F228*($F228+1)/2)-(($E228-1)*($E228-1+1)/2))*AM$2), 0)+IF(IF(time+1&gt;=AN$2, $K228/time_cap/(time+1)*AM$2, 0) = 0, $K228/(time_cap),0)),0)</f>
        <v/>
      </c>
      <c r="AN228" s="4395">
        <f>IFERROR(IF((time+time_cap)&lt;AN$2, 0,IF(AND(time+1&gt;=AO$2, $E228&lt;AO$2), IF($I228= "I", $J228/($F228-$E228+1), $J228/(($F228*($F228+1)/2)-(($E228-1)*($E228-1+1)/2))*AN$2), 0)+IF(IF(time+1&gt;=AO$2, $K228/time_cap/(time+1)*AN$2, 0) = 0, $K228/(time_cap),0)),0)</f>
        <v/>
      </c>
      <c r="AO228" s="4395">
        <f>IFERROR(IF((time+time_cap)&lt;AO$2, 0,IF(AND(time+1&gt;=AP$2, $E228&lt;AP$2), IF($I228= "I", $J228/($F228-$E228+1), $J228/(($F228*($F228+1)/2)-(($E228-1)*($E228-1+1)/2))*AO$2), 0)+IF(IF(time+1&gt;=AP$2, $K228/time_cap/(time+1)*AO$2, 0) = 0, $K228/(time_cap),0)),0)</f>
        <v/>
      </c>
      <c r="AP228" s="4395">
        <f>IFERROR(IF((time+time_cap)&lt;AP$2, 0,IF(AND(time+1&gt;=AQ$2, $E228&lt;AQ$2), IF($I228= "I", $J228/($F228-$E228+1), $J228/(($F228*($F228+1)/2)-(($E228-1)*($E228-1+1)/2))*AP$2), 0)+IF(IF(time+1&gt;=AQ$2, $K228/time_cap/(time+1)*AP$2, 0) = 0, $K228/(time_cap),0)),0)</f>
        <v/>
      </c>
      <c r="AQ228" s="4395">
        <f>IFERROR(IF((time+time_cap)&lt;AQ$2, 0,IF(AND(time+1&gt;=AR$2, $E228&lt;AR$2), IF($I228= "I", $J228/($F228-$E228+1), $J228/(($F228*($F228+1)/2)-(($E228-1)*($E228-1+1)/2))*AQ$2), 0)+IF(IF(time+1&gt;=AR$2, $K228/time_cap/(time+1)*AQ$2, 0) = 0, $K228/(time_cap),0)),0)</f>
        <v/>
      </c>
      <c r="AR228" s="4395">
        <f>IFERROR(IF((time+time_cap)&lt;AR$2, 0,IF(AND(time+1&gt;=AS$2, $E228&lt;AS$2), IF($I228= "I", $J228/($F228-$E228+1), $J228/(($F228*($F228+1)/2)-(($E228-1)*($E228-1+1)/2))*AR$2), 0)+IF(IF(time+1&gt;=AS$2, $K228/time_cap/(time+1)*AR$2, 0) = 0, $K228/(time_cap),0)),0)</f>
        <v/>
      </c>
      <c r="AS228" s="4395">
        <f>IFERROR(IF((time+time_cap)&lt;AS$2, 0,IF(AND(time+1&gt;=AT$2, $E228&lt;AT$2), IF($I228= "I", $J228/($F228-$E228+1), $J228/(($F228*($F228+1)/2)-(($E228-1)*($E228-1+1)/2))*AS$2), 0)+IF(IF(time+1&gt;=AT$2, $K228/time_cap/(time+1)*AS$2, 0) = 0, $K228/(time_cap),0)),0)</f>
        <v/>
      </c>
      <c r="AT228" s="4395">
        <f>IFERROR(IF((time+time_cap)&lt;AT$2, 0,IF(AND(time+1&gt;=AU$2, $E228&lt;AU$2), IF($I228= "I", $J228/($F228-$E228+1), $J228/(($F228*($F228+1)/2)-(($E228-1)*($E228-1+1)/2))*AT$2), 0)+IF(IF(time+1&gt;=AU$2, $K228/time_cap/(time+1)*AT$2, 0) = 0, $K228/(time_cap),0)),0)</f>
        <v/>
      </c>
      <c r="AU228" s="4395">
        <f>IFERROR(IF((time+time_cap)&lt;AU$2, 0,IF(AND(time+1&gt;=AV$2, $E228&lt;AV$2), IF($I228= "I", $J228/($F228-$E228+1), $J228/(($F228*($F228+1)/2)-(($E228-1)*($E228-1+1)/2))*AU$2), 0)+IF(IF(time+1&gt;=AV$2, $K228/time_cap/(time+1)*AU$2, 0) = 0, $K228/(time_cap),0)),0)</f>
        <v/>
      </c>
      <c r="AV228" s="4395">
        <f>IFERROR(IF((time+time_cap)&lt;AV$2, 0,IF(AND(time+1&gt;=AW$2, $E228&lt;AW$2), IF($I228= "I", $J228/($F228-$E228+1), $J228/(($F228*($F228+1)/2)-(($E228-1)*($E228-1+1)/2))*AV$2), 0)+IF(IF(time+1&gt;=AW$2, $K228/time_cap/(time+1)*AV$2, 0) = 0, $K228/(time_cap),0)),0)</f>
        <v/>
      </c>
      <c r="AW228" s="4395">
        <f>IFERROR(IF((time+time_cap)&lt;AW$2, 0,IF(AND(time+1&gt;=AX$2, $E228&lt;AX$2), IF($I228= "I", $J228/($F228-$E228+1), $J228/(($F228*($F228+1)/2)-(($E228-1)*($E228-1+1)/2))*AW$2), 0)+IF(IF(time+1&gt;=AX$2, $K228/time_cap/(time+1)*AW$2, 0) = 0, $K228/(time_cap),0)),0)</f>
        <v/>
      </c>
      <c r="AX228" s="4395">
        <f>IFERROR(IF((time+time_cap)&lt;AX$2, 0,IF(AND(time+1&gt;=AY$2, $E228&lt;AY$2), IF($I228= "I", $J228/($F228-$E228+1), $J228/(($F228*($F228+1)/2)-(($E228-1)*($E228-1+1)/2))*AX$2), 0)+IF(IF(time+1&gt;=AY$2, $K228/time_cap/(time+1)*AX$2, 0) = 0, $K228/(time_cap),0)),0)</f>
        <v/>
      </c>
      <c r="AY228" s="4395">
        <f>IFERROR(IF((time+time_cap)&lt;AY$2, 0,IF(AND(time+1&gt;=AZ$2, $E228&lt;AZ$2), IF($I228= "I", $J228/($F228-$E228+1), $J228/(($F228*($F228+1)/2)-(($E228-1)*($E228-1+1)/2))*AY$2), 0)+IF(IF(time+1&gt;=AZ$2, $K228/time_cap/(time+1)*AY$2, 0) = 0, $K228/(time_cap),0)),0)</f>
        <v/>
      </c>
      <c r="AZ228" s="4395">
        <f>IFERROR(IF((time+time_cap)&lt;AZ$2, 0,IF(AND(time+1&gt;=BA$2, $E228&lt;BA$2), IF($I228= "I", $J228/($F228-$E228+1), $J228/(($F228*($F228+1)/2)-(($E228-1)*($E228-1+1)/2))*AZ$2), 0)+IF(IF(time+1&gt;=BA$2, $K228/time_cap/(time+1)*AZ$2, 0) = 0, $K228/(time_cap),0)),0)</f>
        <v/>
      </c>
      <c r="BA228" s="4395">
        <f>IFERROR(IF((time+time_cap)&lt;BA$2, 0,IF(AND(time+1&gt;=BB$2, $E228&lt;BB$2), IF($I228= "I", $J228/($F228-$E228+1), $J228/(($F228*($F228+1)/2)-(($E228-1)*($E228-1+1)/2))*BA$2), 0)+IF(IF(time+1&gt;=BB$2, $K228/time_cap/(time+1)*BA$2, 0) = 0, $K228/(time_cap),0)),0)</f>
        <v/>
      </c>
      <c r="BB228" s="4395">
        <f>IFERROR(IF((time+time_cap)&lt;BB$2, 0,IF(AND(time+1&gt;=BC$2, $E228&lt;BC$2), IF($I228= "I", $J228/($F228-$E228+1), $J228/(($F228*($F228+1)/2)-(($E228-1)*($E228-1+1)/2))*BB$2), 0)+IF(IF(time+1&gt;=BC$2, $K228/time_cap/(time+1)*BB$2, 0) = 0, $K228/(time_cap),0)),0)</f>
        <v/>
      </c>
      <c r="BC228" s="4395">
        <f>IFERROR(IF((time+time_cap)&lt;BC$2, 0,IF(AND(time+1&gt;=BD$2, $E228&lt;BD$2), IF($I228= "I", $J228/($F228-$E228+1), $J228/(($F228*($F228+1)/2)-(($E228-1)*($E228-1+1)/2))*BC$2), 0)+IF(IF(time+1&gt;=BD$2, $K228/time_cap/(time+1)*BC$2, 0) = 0, $K228/(time_cap),0)),0)</f>
        <v/>
      </c>
      <c r="BD228" s="4395">
        <f>IFERROR(IF((time+time_cap)&lt;BD$2, 0,IF(AND(time+1&gt;=BE$2, $E228&lt;BE$2), IF($I228= "I", $J228/($F228-$E228+1), $J228/(($F228*($F228+1)/2)-(($E228-1)*($E228-1+1)/2))*BD$2), 0)+IF(IF(time+1&gt;=BE$2, $K228/time_cap/(time+1)*BD$2, 0) = 0, $K228/(time_cap),0)),0)</f>
        <v/>
      </c>
      <c r="BE228" s="4395">
        <f>IFERROR(IF((time+time_cap)&lt;BE$2, 0,IF(AND(time+1&gt;=BF$2, $E228&lt;BF$2), IF($I228= "I", $J228/($F228-$E228+1), $J228/(($F228*($F228+1)/2)-(($E228-1)*($E228-1+1)/2))*BE$2), 0)+IF(IF(time+1&gt;=BF$2, $K228/time_cap/(time+1)*BE$2, 0) = 0, $K228/(time_cap),0)),0)</f>
        <v/>
      </c>
      <c r="BF228" s="4395">
        <f>IFERROR(IF((time+time_cap)&lt;BF$2, 0,IF(AND(time+1&gt;=BG$2, $E228&lt;BG$2), IF($I228= "I", $J228/($F228-$E228+1), $J228/(($F228*($F228+1)/2)-(($E228-1)*($E228-1+1)/2))*BF$2), 0)+IF(IF(time+1&gt;=BG$2, $K228/time_cap/(time+1)*BF$2, 0) = 0, $K228/(time_cap),0)),0)</f>
        <v/>
      </c>
      <c r="BG228" s="4395">
        <f>IFERROR(IF((time+time_cap)&lt;BG$2, 0,IF(AND(time+1&gt;=BH$2, $E228&lt;BH$2), IF($I228= "I", $J228/($F228-$E228+1), $J228/(($F228*($F228+1)/2)-(($E228-1)*($E228-1+1)/2))*BG$2), 0)+IF(IF(time+1&gt;=BH$2, $K228/time_cap/(time+1)*BG$2, 0) = 0, $K228/(time_cap),0)),0)</f>
        <v/>
      </c>
      <c r="BH228" s="4395">
        <f>IFERROR(IF((time+time_cap)&lt;BH$2, 0,IF(AND(time+1&gt;=BI$2, $E228&lt;BI$2), IF($I228= "I", $J228/($F228-$E228+1), $J228/(($F228*($F228+1)/2)-(($E228-1)*($E228-1+1)/2))*BH$2), 0)+IF(IF(time+1&gt;=BI$2, $K228/time_cap/(time+1)*BH$2, 0) = 0, $K228/(time_cap),0)),0)</f>
        <v/>
      </c>
      <c r="BI228" s="4395">
        <f>IFERROR(IF((time+time_cap)&lt;BI$2, 0,IF(AND(time+1&gt;=BJ$2, $E228&lt;BJ$2), IF($I228= "I", $J228/($F228-$E228+1), $J228/(($F228*($F228+1)/2)-(($E228-1)*($E228-1+1)/2))*BI$2), 0)+IF(IF(time+1&gt;=BJ$2, $K228/time_cap/(time+1)*BI$2, 0) = 0, $K228/(time_cap),0)),0)</f>
        <v/>
      </c>
      <c r="BJ228" s="4395">
        <f>IFERROR(IF((time+time_cap)&lt;BJ$2, 0,IF(AND(time+1&gt;=BK$2, $E228&lt;BK$2), IF($I228= "I", $J228/($F228-$E228+1), $J228/(($F228*($F228+1)/2)-(($E228-1)*($E228-1+1)/2))*BJ$2), 0)+IF(IF(time+1&gt;=BK$2, $K228/time_cap/(time+1)*BJ$2, 0) = 0, $K228/(time_cap),0)),0)</f>
        <v/>
      </c>
      <c r="BK228" s="4395" t="n"/>
      <c r="BL228" s="4395" t="n"/>
      <c r="BM228" s="4395" t="n"/>
      <c r="BN228" s="4395" t="n"/>
      <c r="BO228" s="4395" t="n"/>
      <c r="BP228" s="4395" t="n"/>
      <c r="BQ228" s="4395" t="n"/>
      <c r="BR228" s="4395" t="n"/>
      <c r="BS228" s="4395" t="n"/>
      <c r="BT228" s="4395" t="n"/>
      <c r="BU228" s="4395" t="n"/>
      <c r="BV228" s="4395" t="n"/>
      <c r="BW228" s="4395" t="n"/>
      <c r="BX228" s="4395" t="n"/>
      <c r="BY228" s="4395" t="n"/>
      <c r="BZ228" s="4395" t="n"/>
      <c r="CA228" s="4395" t="n"/>
      <c r="CB228" s="4395" t="n"/>
      <c r="CC228" s="4395" t="n"/>
      <c r="CD228" s="4395" t="n"/>
      <c r="CE228" s="4395" t="n"/>
      <c r="CF228" s="4395" t="n"/>
      <c r="CG228" s="4395" t="n"/>
      <c r="CH228" s="4395" t="n"/>
      <c r="CI228" s="4395" t="n"/>
      <c r="CJ228" s="4395" t="n"/>
      <c r="CK228" s="4395" t="n"/>
      <c r="CL228" s="4395" t="n"/>
      <c r="CM228" s="4395" t="n"/>
      <c r="CN228" s="4395" t="n"/>
      <c r="CO228" s="4395" t="n"/>
      <c r="CP228" s="4395" t="n"/>
      <c r="CQ228" s="4395" t="n"/>
      <c r="CR228" s="4395" t="n"/>
      <c r="CS228" s="4395" t="n"/>
      <c r="CT228" s="4395" t="n"/>
      <c r="CU228" s="4395" t="n"/>
      <c r="CV228" s="4395" t="n"/>
      <c r="CW228" s="4395" t="n"/>
      <c r="CX228" s="4395" t="n"/>
      <c r="CY228" s="4395" t="n"/>
      <c r="CZ228" s="4395" t="n"/>
      <c r="DA228" s="4395" t="n"/>
      <c r="DB228" s="4395" t="n"/>
      <c r="DC228" s="4395" t="n"/>
      <c r="DD228" s="4395" t="n"/>
      <c r="DE228" s="4395" t="n"/>
      <c r="DF228" s="4395" t="n"/>
      <c r="DG228" s="4395" t="n"/>
      <c r="DH228" s="4395" t="n"/>
    </row>
    <row r="229" ht="16" customHeight="1">
      <c r="A229" t="inlineStr">
        <is>
          <t>Energy</t>
        </is>
      </c>
      <c r="C229">
        <f>'9.Inputs'!C64</f>
        <v/>
      </c>
      <c r="D229">
        <f>'9.Inputs'!V64</f>
        <v/>
      </c>
      <c r="E229">
        <f>IF('9.Inputs'!BE64&lt;&gt;0,'9.Inputs'!BE64,'9.Inputs'!BD64)</f>
        <v/>
      </c>
      <c r="F229">
        <f>time</f>
        <v/>
      </c>
      <c r="G229" s="4395">
        <f>'9.Inputs'!F64</f>
        <v/>
      </c>
      <c r="H229" s="4395">
        <f>'9.Inputs'!H64</f>
        <v/>
      </c>
      <c r="I229" s="4395">
        <f>IF(OR(H229="I", G229="I"), "I", IF(OR(H229="E", G229="E"), "E", "D"))</f>
        <v/>
      </c>
      <c r="J229" s="4395">
        <f>((D229/(time_cap+((F229-E229+1)*VLOOKUP(I229,list!$I$48:$K$50,3, FALSE))))*(F229-E229+1)*VLOOKUP(I229,list!$I$48:$K$50,3, FALSE))</f>
        <v/>
      </c>
      <c r="K229" s="4395">
        <f>((D229/(time_cap+((F229-E229+1)*VLOOKUP(I229,list!$I$48:$K$50,3, FALSE))))*time_cap)</f>
        <v/>
      </c>
      <c r="M229" s="4395">
        <f>IFERROR(IF((time+time_cap)&lt;M$2, 0,IF(AND(time+1&gt;=N$2, $E229&lt;N$2), IF($I229= "I", $J229/($F229-$E229+1), $J229/(($F229*($F229+1)/2)-(($E229-1)*($E229-1+1)/2))*M$2), 0)+IF(IF(time+1&gt;=N$2, $K229/time_cap/(time+1)*M$2, 0) = 0, $K229/(time_cap),0)),0)</f>
        <v/>
      </c>
      <c r="N229" s="4395">
        <f>IFERROR(IF((time+time_cap)&lt;N$2, 0,IF(AND(time+1&gt;=O$2, $E229&lt;O$2), IF($I229= "I", $J229/($F229-$E229+1), $J229/(($F229*($F229+1)/2)-(($E229-1)*($E229-1+1)/2))*N$2), 0)+IF(IF(time+1&gt;=O$2, $K229/time_cap/(time+1)*N$2, 0) = 0, $K229/(time_cap),0)),0)</f>
        <v/>
      </c>
      <c r="O229" s="4395">
        <f>IFERROR(IF((time+time_cap)&lt;O$2, 0,IF(AND(time+1&gt;=P$2, $E229&lt;P$2), IF($I229= "I", $J229/($F229-$E229+1), $J229/(($F229*($F229+1)/2)-(($E229-1)*($E229-1+1)/2))*O$2), 0)+IF(IF(time+1&gt;=P$2, $K229/time_cap/(time+1)*O$2, 0) = 0, $K229/(time_cap),0)),0)</f>
        <v/>
      </c>
      <c r="P229" s="4395">
        <f>IFERROR(IF((time+time_cap)&lt;P$2, 0,IF(AND(time+1&gt;=Q$2, $E229&lt;Q$2), IF($I229= "I", $J229/($F229-$E229+1), $J229/(($F229*($F229+1)/2)-(($E229-1)*($E229-1+1)/2))*P$2), 0)+IF(IF(time+1&gt;=Q$2, $K229/time_cap/(time+1)*P$2, 0) = 0, $K229/(time_cap),0)),0)</f>
        <v/>
      </c>
      <c r="Q229" s="4395">
        <f>IFERROR(IF((time+time_cap)&lt;Q$2, 0,IF(AND(time+1&gt;=R$2, $E229&lt;R$2), IF($I229= "I", $J229/($F229-$E229+1), $J229/(($F229*($F229+1)/2)-(($E229-1)*($E229-1+1)/2))*Q$2), 0)+IF(IF(time+1&gt;=R$2, $K229/time_cap/(time+1)*Q$2, 0) = 0, $K229/(time_cap),0)),0)</f>
        <v/>
      </c>
      <c r="R229" s="4395">
        <f>IFERROR(IF((time+time_cap)&lt;R$2, 0,IF(AND(time+1&gt;=S$2, $E229&lt;S$2), IF($I229= "I", $J229/($F229-$E229+1), $J229/(($F229*($F229+1)/2)-(($E229-1)*($E229-1+1)/2))*R$2), 0)+IF(IF(time+1&gt;=S$2, $K229/time_cap/(time+1)*R$2, 0) = 0, $K229/(time_cap),0)),0)</f>
        <v/>
      </c>
      <c r="S229" s="4395">
        <f>IFERROR(IF((time+time_cap)&lt;S$2, 0,IF(AND(time+1&gt;=T$2, $E229&lt;T$2), IF($I229= "I", $J229/($F229-$E229+1), $J229/(($F229*($F229+1)/2)-(($E229-1)*($E229-1+1)/2))*S$2), 0)+IF(IF(time+1&gt;=T$2, $K229/time_cap/(time+1)*S$2, 0) = 0, $K229/(time_cap),0)),0)</f>
        <v/>
      </c>
      <c r="T229" s="4395">
        <f>IFERROR(IF((time+time_cap)&lt;T$2, 0,IF(AND(time+1&gt;=U$2, $E229&lt;U$2), IF($I229= "I", $J229/($F229-$E229+1), $J229/(($F229*($F229+1)/2)-(($E229-1)*($E229-1+1)/2))*T$2), 0)+IF(IF(time+1&gt;=U$2, $K229/time_cap/(time+1)*T$2, 0) = 0, $K229/(time_cap),0)),0)</f>
        <v/>
      </c>
      <c r="U229" s="4395">
        <f>IFERROR(IF((time+time_cap)&lt;U$2, 0,IF(AND(time+1&gt;=V$2, $E229&lt;V$2), IF($I229= "I", $J229/($F229-$E229+1), $J229/(($F229*($F229+1)/2)-(($E229-1)*($E229-1+1)/2))*U$2), 0)+IF(IF(time+1&gt;=V$2, $K229/time_cap/(time+1)*U$2, 0) = 0, $K229/(time_cap),0)),0)</f>
        <v/>
      </c>
      <c r="V229" s="4395">
        <f>IFERROR(IF((time+time_cap)&lt;V$2, 0,IF(AND(time+1&gt;=W$2, $E229&lt;W$2), IF($I229= "I", $J229/($F229-$E229+1), $J229/(($F229*($F229+1)/2)-(($E229-1)*($E229-1+1)/2))*V$2), 0)+IF(IF(time+1&gt;=W$2, $K229/time_cap/(time+1)*V$2, 0) = 0, $K229/(time_cap),0)),0)</f>
        <v/>
      </c>
      <c r="W229" s="4395">
        <f>IFERROR(IF((time+time_cap)&lt;W$2, 0,IF(AND(time+1&gt;=X$2, $E229&lt;X$2), IF($I229= "I", $J229/($F229-$E229+1), $J229/(($F229*($F229+1)/2)-(($E229-1)*($E229-1+1)/2))*W$2), 0)+IF(IF(time+1&gt;=X$2, $K229/time_cap/(time+1)*W$2, 0) = 0, $K229/(time_cap),0)),0)</f>
        <v/>
      </c>
      <c r="X229" s="4395">
        <f>IFERROR(IF((time+time_cap)&lt;X$2, 0,IF(AND(time+1&gt;=Y$2, $E229&lt;Y$2), IF($I229= "I", $J229/($F229-$E229+1), $J229/(($F229*($F229+1)/2)-(($E229-1)*($E229-1+1)/2))*X$2), 0)+IF(IF(time+1&gt;=Y$2, $K229/time_cap/(time+1)*X$2, 0) = 0, $K229/(time_cap),0)),0)</f>
        <v/>
      </c>
      <c r="Y229" s="4395">
        <f>IFERROR(IF((time+time_cap)&lt;Y$2, 0,IF(AND(time+1&gt;=Z$2, $E229&lt;Z$2), IF($I229= "I", $J229/($F229-$E229+1), $J229/(($F229*($F229+1)/2)-(($E229-1)*($E229-1+1)/2))*Y$2), 0)+IF(IF(time+1&gt;=Z$2, $K229/time_cap/(time+1)*Y$2, 0) = 0, $K229/(time_cap),0)),0)</f>
        <v/>
      </c>
      <c r="Z229" s="4395">
        <f>IFERROR(IF((time+time_cap)&lt;Z$2, 0,IF(AND(time+1&gt;=AA$2, $E229&lt;AA$2), IF($I229= "I", $J229/($F229-$E229+1), $J229/(($F229*($F229+1)/2)-(($E229-1)*($E229-1+1)/2))*Z$2), 0)+IF(IF(time+1&gt;=AA$2, $K229/time_cap/(time+1)*Z$2, 0) = 0, $K229/(time_cap),0)),0)</f>
        <v/>
      </c>
      <c r="AA229" s="4395">
        <f>IFERROR(IF((time+time_cap)&lt;AA$2, 0,IF(AND(time+1&gt;=AB$2, $E229&lt;AB$2), IF($I229= "I", $J229/($F229-$E229+1), $J229/(($F229*($F229+1)/2)-(($E229-1)*($E229-1+1)/2))*AA$2), 0)+IF(IF(time+1&gt;=AB$2, $K229/time_cap/(time+1)*AA$2, 0) = 0, $K229/(time_cap),0)),0)</f>
        <v/>
      </c>
      <c r="AB229" s="4395">
        <f>IFERROR(IF((time+time_cap)&lt;AB$2, 0,IF(AND(time+1&gt;=AC$2, $E229&lt;AC$2), IF($I229= "I", $J229/($F229-$E229+1), $J229/(($F229*($F229+1)/2)-(($E229-1)*($E229-1+1)/2))*AB$2), 0)+IF(IF(time+1&gt;=AC$2, $K229/time_cap/(time+1)*AB$2, 0) = 0, $K229/(time_cap),0)),0)</f>
        <v/>
      </c>
      <c r="AC229" s="4395">
        <f>IFERROR(IF((time+time_cap)&lt;AC$2, 0,IF(AND(time+1&gt;=AD$2, $E229&lt;AD$2), IF($I229= "I", $J229/($F229-$E229+1), $J229/(($F229*($F229+1)/2)-(($E229-1)*($E229-1+1)/2))*AC$2), 0)+IF(IF(time+1&gt;=AD$2, $K229/time_cap/(time+1)*AC$2, 0) = 0, $K229/(time_cap),0)),0)</f>
        <v/>
      </c>
      <c r="AD229" s="4395">
        <f>IFERROR(IF((time+time_cap)&lt;AD$2, 0,IF(AND(time+1&gt;=AE$2, $E229&lt;AE$2), IF($I229= "I", $J229/($F229-$E229+1), $J229/(($F229*($F229+1)/2)-(($E229-1)*($E229-1+1)/2))*AD$2), 0)+IF(IF(time+1&gt;=AE$2, $K229/time_cap/(time+1)*AD$2, 0) = 0, $K229/(time_cap),0)),0)</f>
        <v/>
      </c>
      <c r="AE229" s="4395">
        <f>IFERROR(IF((time+time_cap)&lt;AE$2, 0,IF(AND(time+1&gt;=AF$2, $E229&lt;AF$2), IF($I229= "I", $J229/($F229-$E229+1), $J229/(($F229*($F229+1)/2)-(($E229-1)*($E229-1+1)/2))*AE$2), 0)+IF(IF(time+1&gt;=AF$2, $K229/time_cap/(time+1)*AE$2, 0) = 0, $K229/(time_cap),0)),0)</f>
        <v/>
      </c>
      <c r="AF229" s="4395">
        <f>IFERROR(IF((time+time_cap)&lt;AF$2, 0,IF(AND(time+1&gt;=AG$2, $E229&lt;AG$2), IF($I229= "I", $J229/($F229-$E229+1), $J229/(($F229*($F229+1)/2)-(($E229-1)*($E229-1+1)/2))*AF$2), 0)+IF(IF(time+1&gt;=AG$2, $K229/time_cap/(time+1)*AF$2, 0) = 0, $K229/(time_cap),0)),0)</f>
        <v/>
      </c>
      <c r="AG229" s="4395">
        <f>IFERROR(IF((time+time_cap)&lt;AG$2, 0,IF(AND(time+1&gt;=AH$2, $E229&lt;AH$2), IF($I229= "I", $J229/($F229-$E229+1), $J229/(($F229*($F229+1)/2)-(($E229-1)*($E229-1+1)/2))*AG$2), 0)+IF(IF(time+1&gt;=AH$2, $K229/time_cap/(time+1)*AG$2, 0) = 0, $K229/(time_cap),0)),0)</f>
        <v/>
      </c>
      <c r="AH229" s="4395">
        <f>IFERROR(IF((time+time_cap)&lt;AH$2, 0,IF(AND(time+1&gt;=AI$2, $E229&lt;AI$2), IF($I229= "I", $J229/($F229-$E229+1), $J229/(($F229*($F229+1)/2)-(($E229-1)*($E229-1+1)/2))*AH$2), 0)+IF(IF(time+1&gt;=AI$2, $K229/time_cap/(time+1)*AH$2, 0) = 0, $K229/(time_cap),0)),0)</f>
        <v/>
      </c>
      <c r="AI229" s="4395">
        <f>IFERROR(IF((time+time_cap)&lt;AI$2, 0,IF(AND(time+1&gt;=AJ$2, $E229&lt;AJ$2), IF($I229= "I", $J229/($F229-$E229+1), $J229/(($F229*($F229+1)/2)-(($E229-1)*($E229-1+1)/2))*AI$2), 0)+IF(IF(time+1&gt;=AJ$2, $K229/time_cap/(time+1)*AI$2, 0) = 0, $K229/(time_cap),0)),0)</f>
        <v/>
      </c>
      <c r="AJ229" s="4395">
        <f>IFERROR(IF((time+time_cap)&lt;AJ$2, 0,IF(AND(time+1&gt;=AK$2, $E229&lt;AK$2), IF($I229= "I", $J229/($F229-$E229+1), $J229/(($F229*($F229+1)/2)-(($E229-1)*($E229-1+1)/2))*AJ$2), 0)+IF(IF(time+1&gt;=AK$2, $K229/time_cap/(time+1)*AJ$2, 0) = 0, $K229/(time_cap),0)),0)</f>
        <v/>
      </c>
      <c r="AK229" s="4395">
        <f>IFERROR(IF((time+time_cap)&lt;AK$2, 0,IF(AND(time+1&gt;=AL$2, $E229&lt;AL$2), IF($I229= "I", $J229/($F229-$E229+1), $J229/(($F229*($F229+1)/2)-(($E229-1)*($E229-1+1)/2))*AK$2), 0)+IF(IF(time+1&gt;=AL$2, $K229/time_cap/(time+1)*AK$2, 0) = 0, $K229/(time_cap),0)),0)</f>
        <v/>
      </c>
      <c r="AL229" s="4395">
        <f>IFERROR(IF((time+time_cap)&lt;AL$2, 0,IF(AND(time+1&gt;=AM$2, $E229&lt;AM$2), IF($I229= "I", $J229/($F229-$E229+1), $J229/(($F229*($F229+1)/2)-(($E229-1)*($E229-1+1)/2))*AL$2), 0)+IF(IF(time+1&gt;=AM$2, $K229/time_cap/(time+1)*AL$2, 0) = 0, $K229/(time_cap),0)),0)</f>
        <v/>
      </c>
      <c r="AM229" s="4395">
        <f>IFERROR(IF((time+time_cap)&lt;AM$2, 0,IF(AND(time+1&gt;=AN$2, $E229&lt;AN$2), IF($I229= "I", $J229/($F229-$E229+1), $J229/(($F229*($F229+1)/2)-(($E229-1)*($E229-1+1)/2))*AM$2), 0)+IF(IF(time+1&gt;=AN$2, $K229/time_cap/(time+1)*AM$2, 0) = 0, $K229/(time_cap),0)),0)</f>
        <v/>
      </c>
      <c r="AN229" s="4395">
        <f>IFERROR(IF((time+time_cap)&lt;AN$2, 0,IF(AND(time+1&gt;=AO$2, $E229&lt;AO$2), IF($I229= "I", $J229/($F229-$E229+1), $J229/(($F229*($F229+1)/2)-(($E229-1)*($E229-1+1)/2))*AN$2), 0)+IF(IF(time+1&gt;=AO$2, $K229/time_cap/(time+1)*AN$2, 0) = 0, $K229/(time_cap),0)),0)</f>
        <v/>
      </c>
      <c r="AO229" s="4395">
        <f>IFERROR(IF((time+time_cap)&lt;AO$2, 0,IF(AND(time+1&gt;=AP$2, $E229&lt;AP$2), IF($I229= "I", $J229/($F229-$E229+1), $J229/(($F229*($F229+1)/2)-(($E229-1)*($E229-1+1)/2))*AO$2), 0)+IF(IF(time+1&gt;=AP$2, $K229/time_cap/(time+1)*AO$2, 0) = 0, $K229/(time_cap),0)),0)</f>
        <v/>
      </c>
      <c r="AP229" s="4395">
        <f>IFERROR(IF((time+time_cap)&lt;AP$2, 0,IF(AND(time+1&gt;=AQ$2, $E229&lt;AQ$2), IF($I229= "I", $J229/($F229-$E229+1), $J229/(($F229*($F229+1)/2)-(($E229-1)*($E229-1+1)/2))*AP$2), 0)+IF(IF(time+1&gt;=AQ$2, $K229/time_cap/(time+1)*AP$2, 0) = 0, $K229/(time_cap),0)),0)</f>
        <v/>
      </c>
      <c r="AQ229" s="4395">
        <f>IFERROR(IF((time+time_cap)&lt;AQ$2, 0,IF(AND(time+1&gt;=AR$2, $E229&lt;AR$2), IF($I229= "I", $J229/($F229-$E229+1), $J229/(($F229*($F229+1)/2)-(($E229-1)*($E229-1+1)/2))*AQ$2), 0)+IF(IF(time+1&gt;=AR$2, $K229/time_cap/(time+1)*AQ$2, 0) = 0, $K229/(time_cap),0)),0)</f>
        <v/>
      </c>
      <c r="AR229" s="4395">
        <f>IFERROR(IF((time+time_cap)&lt;AR$2, 0,IF(AND(time+1&gt;=AS$2, $E229&lt;AS$2), IF($I229= "I", $J229/($F229-$E229+1), $J229/(($F229*($F229+1)/2)-(($E229-1)*($E229-1+1)/2))*AR$2), 0)+IF(IF(time+1&gt;=AS$2, $K229/time_cap/(time+1)*AR$2, 0) = 0, $K229/(time_cap),0)),0)</f>
        <v/>
      </c>
      <c r="AS229" s="4395">
        <f>IFERROR(IF((time+time_cap)&lt;AS$2, 0,IF(AND(time+1&gt;=AT$2, $E229&lt;AT$2), IF($I229= "I", $J229/($F229-$E229+1), $J229/(($F229*($F229+1)/2)-(($E229-1)*($E229-1+1)/2))*AS$2), 0)+IF(IF(time+1&gt;=AT$2, $K229/time_cap/(time+1)*AS$2, 0) = 0, $K229/(time_cap),0)),0)</f>
        <v/>
      </c>
      <c r="AT229" s="4395">
        <f>IFERROR(IF((time+time_cap)&lt;AT$2, 0,IF(AND(time+1&gt;=AU$2, $E229&lt;AU$2), IF($I229= "I", $J229/($F229-$E229+1), $J229/(($F229*($F229+1)/2)-(($E229-1)*($E229-1+1)/2))*AT$2), 0)+IF(IF(time+1&gt;=AU$2, $K229/time_cap/(time+1)*AT$2, 0) = 0, $K229/(time_cap),0)),0)</f>
        <v/>
      </c>
      <c r="AU229" s="4395">
        <f>IFERROR(IF((time+time_cap)&lt;AU$2, 0,IF(AND(time+1&gt;=AV$2, $E229&lt;AV$2), IF($I229= "I", $J229/($F229-$E229+1), $J229/(($F229*($F229+1)/2)-(($E229-1)*($E229-1+1)/2))*AU$2), 0)+IF(IF(time+1&gt;=AV$2, $K229/time_cap/(time+1)*AU$2, 0) = 0, $K229/(time_cap),0)),0)</f>
        <v/>
      </c>
      <c r="AV229" s="4395">
        <f>IFERROR(IF((time+time_cap)&lt;AV$2, 0,IF(AND(time+1&gt;=AW$2, $E229&lt;AW$2), IF($I229= "I", $J229/($F229-$E229+1), $J229/(($F229*($F229+1)/2)-(($E229-1)*($E229-1+1)/2))*AV$2), 0)+IF(IF(time+1&gt;=AW$2, $K229/time_cap/(time+1)*AV$2, 0) = 0, $K229/(time_cap),0)),0)</f>
        <v/>
      </c>
      <c r="AW229" s="4395">
        <f>IFERROR(IF((time+time_cap)&lt;AW$2, 0,IF(AND(time+1&gt;=AX$2, $E229&lt;AX$2), IF($I229= "I", $J229/($F229-$E229+1), $J229/(($F229*($F229+1)/2)-(($E229-1)*($E229-1+1)/2))*AW$2), 0)+IF(IF(time+1&gt;=AX$2, $K229/time_cap/(time+1)*AW$2, 0) = 0, $K229/(time_cap),0)),0)</f>
        <v/>
      </c>
      <c r="AX229" s="4395">
        <f>IFERROR(IF((time+time_cap)&lt;AX$2, 0,IF(AND(time+1&gt;=AY$2, $E229&lt;AY$2), IF($I229= "I", $J229/($F229-$E229+1), $J229/(($F229*($F229+1)/2)-(($E229-1)*($E229-1+1)/2))*AX$2), 0)+IF(IF(time+1&gt;=AY$2, $K229/time_cap/(time+1)*AX$2, 0) = 0, $K229/(time_cap),0)),0)</f>
        <v/>
      </c>
      <c r="AY229" s="4395">
        <f>IFERROR(IF((time+time_cap)&lt;AY$2, 0,IF(AND(time+1&gt;=AZ$2, $E229&lt;AZ$2), IF($I229= "I", $J229/($F229-$E229+1), $J229/(($F229*($F229+1)/2)-(($E229-1)*($E229-1+1)/2))*AY$2), 0)+IF(IF(time+1&gt;=AZ$2, $K229/time_cap/(time+1)*AY$2, 0) = 0, $K229/(time_cap),0)),0)</f>
        <v/>
      </c>
      <c r="AZ229" s="4395">
        <f>IFERROR(IF((time+time_cap)&lt;AZ$2, 0,IF(AND(time+1&gt;=BA$2, $E229&lt;BA$2), IF($I229= "I", $J229/($F229-$E229+1), $J229/(($F229*($F229+1)/2)-(($E229-1)*($E229-1+1)/2))*AZ$2), 0)+IF(IF(time+1&gt;=BA$2, $K229/time_cap/(time+1)*AZ$2, 0) = 0, $K229/(time_cap),0)),0)</f>
        <v/>
      </c>
      <c r="BA229" s="4395">
        <f>IFERROR(IF((time+time_cap)&lt;BA$2, 0,IF(AND(time+1&gt;=BB$2, $E229&lt;BB$2), IF($I229= "I", $J229/($F229-$E229+1), $J229/(($F229*($F229+1)/2)-(($E229-1)*($E229-1+1)/2))*BA$2), 0)+IF(IF(time+1&gt;=BB$2, $K229/time_cap/(time+1)*BA$2, 0) = 0, $K229/(time_cap),0)),0)</f>
        <v/>
      </c>
      <c r="BB229" s="4395">
        <f>IFERROR(IF((time+time_cap)&lt;BB$2, 0,IF(AND(time+1&gt;=BC$2, $E229&lt;BC$2), IF($I229= "I", $J229/($F229-$E229+1), $J229/(($F229*($F229+1)/2)-(($E229-1)*($E229-1+1)/2))*BB$2), 0)+IF(IF(time+1&gt;=BC$2, $K229/time_cap/(time+1)*BB$2, 0) = 0, $K229/(time_cap),0)),0)</f>
        <v/>
      </c>
      <c r="BC229" s="4395">
        <f>IFERROR(IF((time+time_cap)&lt;BC$2, 0,IF(AND(time+1&gt;=BD$2, $E229&lt;BD$2), IF($I229= "I", $J229/($F229-$E229+1), $J229/(($F229*($F229+1)/2)-(($E229-1)*($E229-1+1)/2))*BC$2), 0)+IF(IF(time+1&gt;=BD$2, $K229/time_cap/(time+1)*BC$2, 0) = 0, $K229/(time_cap),0)),0)</f>
        <v/>
      </c>
      <c r="BD229" s="4395">
        <f>IFERROR(IF((time+time_cap)&lt;BD$2, 0,IF(AND(time+1&gt;=BE$2, $E229&lt;BE$2), IF($I229= "I", $J229/($F229-$E229+1), $J229/(($F229*($F229+1)/2)-(($E229-1)*($E229-1+1)/2))*BD$2), 0)+IF(IF(time+1&gt;=BE$2, $K229/time_cap/(time+1)*BD$2, 0) = 0, $K229/(time_cap),0)),0)</f>
        <v/>
      </c>
      <c r="BE229" s="4395">
        <f>IFERROR(IF((time+time_cap)&lt;BE$2, 0,IF(AND(time+1&gt;=BF$2, $E229&lt;BF$2), IF($I229= "I", $J229/($F229-$E229+1), $J229/(($F229*($F229+1)/2)-(($E229-1)*($E229-1+1)/2))*BE$2), 0)+IF(IF(time+1&gt;=BF$2, $K229/time_cap/(time+1)*BE$2, 0) = 0, $K229/(time_cap),0)),0)</f>
        <v/>
      </c>
      <c r="BF229" s="4395">
        <f>IFERROR(IF((time+time_cap)&lt;BF$2, 0,IF(AND(time+1&gt;=BG$2, $E229&lt;BG$2), IF($I229= "I", $J229/($F229-$E229+1), $J229/(($F229*($F229+1)/2)-(($E229-1)*($E229-1+1)/2))*BF$2), 0)+IF(IF(time+1&gt;=BG$2, $K229/time_cap/(time+1)*BF$2, 0) = 0, $K229/(time_cap),0)),0)</f>
        <v/>
      </c>
      <c r="BG229" s="4395">
        <f>IFERROR(IF((time+time_cap)&lt;BG$2, 0,IF(AND(time+1&gt;=BH$2, $E229&lt;BH$2), IF($I229= "I", $J229/($F229-$E229+1), $J229/(($F229*($F229+1)/2)-(($E229-1)*($E229-1+1)/2))*BG$2), 0)+IF(IF(time+1&gt;=BH$2, $K229/time_cap/(time+1)*BG$2, 0) = 0, $K229/(time_cap),0)),0)</f>
        <v/>
      </c>
      <c r="BH229" s="4395">
        <f>IFERROR(IF((time+time_cap)&lt;BH$2, 0,IF(AND(time+1&gt;=BI$2, $E229&lt;BI$2), IF($I229= "I", $J229/($F229-$E229+1), $J229/(($F229*($F229+1)/2)-(($E229-1)*($E229-1+1)/2))*BH$2), 0)+IF(IF(time+1&gt;=BI$2, $K229/time_cap/(time+1)*BH$2, 0) = 0, $K229/(time_cap),0)),0)</f>
        <v/>
      </c>
      <c r="BI229" s="4395">
        <f>IFERROR(IF((time+time_cap)&lt;BI$2, 0,IF(AND(time+1&gt;=BJ$2, $E229&lt;BJ$2), IF($I229= "I", $J229/($F229-$E229+1), $J229/(($F229*($F229+1)/2)-(($E229-1)*($E229-1+1)/2))*BI$2), 0)+IF(IF(time+1&gt;=BJ$2, $K229/time_cap/(time+1)*BI$2, 0) = 0, $K229/(time_cap),0)),0)</f>
        <v/>
      </c>
      <c r="BJ229" s="4395">
        <f>IFERROR(IF((time+time_cap)&lt;BJ$2, 0,IF(AND(time+1&gt;=BK$2, $E229&lt;BK$2), IF($I229= "I", $J229/($F229-$E229+1), $J229/(($F229*($F229+1)/2)-(($E229-1)*($E229-1+1)/2))*BJ$2), 0)+IF(IF(time+1&gt;=BK$2, $K229/time_cap/(time+1)*BJ$2, 0) = 0, $K229/(time_cap),0)),0)</f>
        <v/>
      </c>
      <c r="BK229" s="4395" t="n"/>
      <c r="BL229" s="4395" t="n"/>
      <c r="BM229" s="4395" t="n"/>
      <c r="BN229" s="4395" t="n"/>
      <c r="BO229" s="4395" t="n"/>
      <c r="BP229" s="4395" t="n"/>
      <c r="BQ229" s="4395" t="n"/>
      <c r="BR229" s="4395" t="n"/>
      <c r="BS229" s="4395" t="n"/>
      <c r="BT229" s="4395" t="n"/>
      <c r="BU229" s="4395" t="n"/>
      <c r="BV229" s="4395" t="n"/>
      <c r="BW229" s="4395" t="n"/>
      <c r="BX229" s="4395" t="n"/>
      <c r="BY229" s="4395" t="n"/>
      <c r="BZ229" s="4395" t="n"/>
      <c r="CA229" s="4395" t="n"/>
      <c r="CB229" s="4395" t="n"/>
      <c r="CC229" s="4395" t="n"/>
      <c r="CD229" s="4395" t="n"/>
      <c r="CE229" s="4395" t="n"/>
      <c r="CF229" s="4395" t="n"/>
      <c r="CG229" s="4395" t="n"/>
      <c r="CH229" s="4395" t="n"/>
      <c r="CI229" s="4395" t="n"/>
      <c r="CJ229" s="4395" t="n"/>
      <c r="CK229" s="4395" t="n"/>
      <c r="CL229" s="4395" t="n"/>
      <c r="CM229" s="4395" t="n"/>
      <c r="CN229" s="4395" t="n"/>
      <c r="CO229" s="4395" t="n"/>
      <c r="CP229" s="4395" t="n"/>
      <c r="CQ229" s="4395" t="n"/>
      <c r="CR229" s="4395" t="n"/>
      <c r="CS229" s="4395" t="n"/>
      <c r="CT229" s="4395" t="n"/>
      <c r="CU229" s="4395" t="n"/>
      <c r="CV229" s="4395" t="n"/>
      <c r="CW229" s="4395" t="n"/>
      <c r="CX229" s="4395" t="n"/>
      <c r="CY229" s="4395" t="n"/>
      <c r="CZ229" s="4395" t="n"/>
      <c r="DA229" s="4395" t="n"/>
      <c r="DB229" s="4395" t="n"/>
      <c r="DC229" s="4395" t="n"/>
      <c r="DD229" s="4395" t="n"/>
      <c r="DE229" s="4395" t="n"/>
      <c r="DF229" s="4395" t="n"/>
      <c r="DG229" s="4395" t="n"/>
      <c r="DH229" s="4395" t="n"/>
    </row>
    <row r="230" ht="16" customHeight="1">
      <c r="A230" t="inlineStr">
        <is>
          <t>Irrigation</t>
        </is>
      </c>
      <c r="C230">
        <f>'9.Inputs'!C78</f>
        <v/>
      </c>
      <c r="D230">
        <f>'9.Inputs'!V78</f>
        <v/>
      </c>
      <c r="E230">
        <f>IF('9.Inputs'!BE78&lt;&gt;0,'9.Inputs'!BE78,'9.Inputs'!BD78)</f>
        <v/>
      </c>
      <c r="F230">
        <f>time</f>
        <v/>
      </c>
      <c r="G230" s="4395" t="inlineStr">
        <is>
          <t>D</t>
        </is>
      </c>
      <c r="H230" s="4395" t="inlineStr">
        <is>
          <t>D</t>
        </is>
      </c>
      <c r="I230" s="4395">
        <f>IF(OR(H230="I", G230="I"), "I", IF(OR(H230="E", G230="E"), "E", "D"))</f>
        <v/>
      </c>
      <c r="J230" s="4395">
        <f>((D230/(time_cap+((F230-E230+1)*VLOOKUP(I230,list!$I$48:$K$50,3, FALSE))))*(F230-E230+1)*VLOOKUP(I230,list!$I$48:$K$50,3, FALSE))</f>
        <v/>
      </c>
      <c r="K230" s="4395">
        <f>((D230/(time_cap+((F230-E230+1)*VLOOKUP(I230,list!$I$48:$K$50,3, FALSE))))*time_cap)</f>
        <v/>
      </c>
      <c r="M230" s="4395">
        <f>IFERROR(IF((time+time_cap)&lt;M$2, 0,IF(AND(time+1&gt;=N$2, $E230&lt;N$2), IF($I230= "I", $J230/($F230-$E230+1), $J230/(($F230*($F230+1)/2)-(($E230-1)*($E230-1+1)/2))*M$2), 0)+IF(IF(time+1&gt;=N$2, $K230/time_cap/(time+1)*M$2, 0) = 0, $K230/(time_cap),0)),0)</f>
        <v/>
      </c>
      <c r="N230" s="4395">
        <f>IFERROR(IF((time+time_cap)&lt;N$2, 0,IF(AND(time+1&gt;=O$2, $E230&lt;O$2), IF($I230= "I", $J230/($F230-$E230+1), $J230/(($F230*($F230+1)/2)-(($E230-1)*($E230-1+1)/2))*N$2), 0)+IF(IF(time+1&gt;=O$2, $K230/time_cap/(time+1)*N$2, 0) = 0, $K230/(time_cap),0)),0)</f>
        <v/>
      </c>
      <c r="O230" s="4395">
        <f>IFERROR(IF((time+time_cap)&lt;O$2, 0,IF(AND(time+1&gt;=P$2, $E230&lt;P$2), IF($I230= "I", $J230/($F230-$E230+1), $J230/(($F230*($F230+1)/2)-(($E230-1)*($E230-1+1)/2))*O$2), 0)+IF(IF(time+1&gt;=P$2, $K230/time_cap/(time+1)*O$2, 0) = 0, $K230/(time_cap),0)),0)</f>
        <v/>
      </c>
      <c r="P230" s="4395">
        <f>IFERROR(IF((time+time_cap)&lt;P$2, 0,IF(AND(time+1&gt;=Q$2, $E230&lt;Q$2), IF($I230= "I", $J230/($F230-$E230+1), $J230/(($F230*($F230+1)/2)-(($E230-1)*($E230-1+1)/2))*P$2), 0)+IF(IF(time+1&gt;=Q$2, $K230/time_cap/(time+1)*P$2, 0) = 0, $K230/(time_cap),0)),0)</f>
        <v/>
      </c>
      <c r="Q230" s="4395">
        <f>IFERROR(IF((time+time_cap)&lt;Q$2, 0,IF(AND(time+1&gt;=R$2, $E230&lt;R$2), IF($I230= "I", $J230/($F230-$E230+1), $J230/(($F230*($F230+1)/2)-(($E230-1)*($E230-1+1)/2))*Q$2), 0)+IF(IF(time+1&gt;=R$2, $K230/time_cap/(time+1)*Q$2, 0) = 0, $K230/(time_cap),0)),0)</f>
        <v/>
      </c>
      <c r="R230" s="4395">
        <f>IFERROR(IF((time+time_cap)&lt;R$2, 0,IF(AND(time+1&gt;=S$2, $E230&lt;S$2), IF($I230= "I", $J230/($F230-$E230+1), $J230/(($F230*($F230+1)/2)-(($E230-1)*($E230-1+1)/2))*R$2), 0)+IF(IF(time+1&gt;=S$2, $K230/time_cap/(time+1)*R$2, 0) = 0, $K230/(time_cap),0)),0)</f>
        <v/>
      </c>
      <c r="S230" s="4395">
        <f>IFERROR(IF((time+time_cap)&lt;S$2, 0,IF(AND(time+1&gt;=T$2, $E230&lt;T$2), IF($I230= "I", $J230/($F230-$E230+1), $J230/(($F230*($F230+1)/2)-(($E230-1)*($E230-1+1)/2))*S$2), 0)+IF(IF(time+1&gt;=T$2, $K230/time_cap/(time+1)*S$2, 0) = 0, $K230/(time_cap),0)),0)</f>
        <v/>
      </c>
      <c r="T230" s="4395">
        <f>IFERROR(IF((time+time_cap)&lt;T$2, 0,IF(AND(time+1&gt;=U$2, $E230&lt;U$2), IF($I230= "I", $J230/($F230-$E230+1), $J230/(($F230*($F230+1)/2)-(($E230-1)*($E230-1+1)/2))*T$2), 0)+IF(IF(time+1&gt;=U$2, $K230/time_cap/(time+1)*T$2, 0) = 0, $K230/(time_cap),0)),0)</f>
        <v/>
      </c>
      <c r="U230" s="4395">
        <f>IFERROR(IF((time+time_cap)&lt;U$2, 0,IF(AND(time+1&gt;=V$2, $E230&lt;V$2), IF($I230= "I", $J230/($F230-$E230+1), $J230/(($F230*($F230+1)/2)-(($E230-1)*($E230-1+1)/2))*U$2), 0)+IF(IF(time+1&gt;=V$2, $K230/time_cap/(time+1)*U$2, 0) = 0, $K230/(time_cap),0)),0)</f>
        <v/>
      </c>
      <c r="V230" s="4395">
        <f>IFERROR(IF((time+time_cap)&lt;V$2, 0,IF(AND(time+1&gt;=W$2, $E230&lt;W$2), IF($I230= "I", $J230/($F230-$E230+1), $J230/(($F230*($F230+1)/2)-(($E230-1)*($E230-1+1)/2))*V$2), 0)+IF(IF(time+1&gt;=W$2, $K230/time_cap/(time+1)*V$2, 0) = 0, $K230/(time_cap),0)),0)</f>
        <v/>
      </c>
      <c r="W230" s="4395">
        <f>IFERROR(IF((time+time_cap)&lt;W$2, 0,IF(AND(time+1&gt;=X$2, $E230&lt;X$2), IF($I230= "I", $J230/($F230-$E230+1), $J230/(($F230*($F230+1)/2)-(($E230-1)*($E230-1+1)/2))*W$2), 0)+IF(IF(time+1&gt;=X$2, $K230/time_cap/(time+1)*W$2, 0) = 0, $K230/(time_cap),0)),0)</f>
        <v/>
      </c>
      <c r="X230" s="4395">
        <f>IFERROR(IF((time+time_cap)&lt;X$2, 0,IF(AND(time+1&gt;=Y$2, $E230&lt;Y$2), IF($I230= "I", $J230/($F230-$E230+1), $J230/(($F230*($F230+1)/2)-(($E230-1)*($E230-1+1)/2))*X$2), 0)+IF(IF(time+1&gt;=Y$2, $K230/time_cap/(time+1)*X$2, 0) = 0, $K230/(time_cap),0)),0)</f>
        <v/>
      </c>
      <c r="Y230" s="4395">
        <f>IFERROR(IF((time+time_cap)&lt;Y$2, 0,IF(AND(time+1&gt;=Z$2, $E230&lt;Z$2), IF($I230= "I", $J230/($F230-$E230+1), $J230/(($F230*($F230+1)/2)-(($E230-1)*($E230-1+1)/2))*Y$2), 0)+IF(IF(time+1&gt;=Z$2, $K230/time_cap/(time+1)*Y$2, 0) = 0, $K230/(time_cap),0)),0)</f>
        <v/>
      </c>
      <c r="Z230" s="4395">
        <f>IFERROR(IF((time+time_cap)&lt;Z$2, 0,IF(AND(time+1&gt;=AA$2, $E230&lt;AA$2), IF($I230= "I", $J230/($F230-$E230+1), $J230/(($F230*($F230+1)/2)-(($E230-1)*($E230-1+1)/2))*Z$2), 0)+IF(IF(time+1&gt;=AA$2, $K230/time_cap/(time+1)*Z$2, 0) = 0, $K230/(time_cap),0)),0)</f>
        <v/>
      </c>
      <c r="AA230" s="4395">
        <f>IFERROR(IF((time+time_cap)&lt;AA$2, 0,IF(AND(time+1&gt;=AB$2, $E230&lt;AB$2), IF($I230= "I", $J230/($F230-$E230+1), $J230/(($F230*($F230+1)/2)-(($E230-1)*($E230-1+1)/2))*AA$2), 0)+IF(IF(time+1&gt;=AB$2, $K230/time_cap/(time+1)*AA$2, 0) = 0, $K230/(time_cap),0)),0)</f>
        <v/>
      </c>
      <c r="AB230" s="4395">
        <f>IFERROR(IF((time+time_cap)&lt;AB$2, 0,IF(AND(time+1&gt;=AC$2, $E230&lt;AC$2), IF($I230= "I", $J230/($F230-$E230+1), $J230/(($F230*($F230+1)/2)-(($E230-1)*($E230-1+1)/2))*AB$2), 0)+IF(IF(time+1&gt;=AC$2, $K230/time_cap/(time+1)*AB$2, 0) = 0, $K230/(time_cap),0)),0)</f>
        <v/>
      </c>
      <c r="AC230" s="4395">
        <f>IFERROR(IF((time+time_cap)&lt;AC$2, 0,IF(AND(time+1&gt;=AD$2, $E230&lt;AD$2), IF($I230= "I", $J230/($F230-$E230+1), $J230/(($F230*($F230+1)/2)-(($E230-1)*($E230-1+1)/2))*AC$2), 0)+IF(IF(time+1&gt;=AD$2, $K230/time_cap/(time+1)*AC$2, 0) = 0, $K230/(time_cap),0)),0)</f>
        <v/>
      </c>
      <c r="AD230" s="4395">
        <f>IFERROR(IF((time+time_cap)&lt;AD$2, 0,IF(AND(time+1&gt;=AE$2, $E230&lt;AE$2), IF($I230= "I", $J230/($F230-$E230+1), $J230/(($F230*($F230+1)/2)-(($E230-1)*($E230-1+1)/2))*AD$2), 0)+IF(IF(time+1&gt;=AE$2, $K230/time_cap/(time+1)*AD$2, 0) = 0, $K230/(time_cap),0)),0)</f>
        <v/>
      </c>
      <c r="AE230" s="4395">
        <f>IFERROR(IF((time+time_cap)&lt;AE$2, 0,IF(AND(time+1&gt;=AF$2, $E230&lt;AF$2), IF($I230= "I", $J230/($F230-$E230+1), $J230/(($F230*($F230+1)/2)-(($E230-1)*($E230-1+1)/2))*AE$2), 0)+IF(IF(time+1&gt;=AF$2, $K230/time_cap/(time+1)*AE$2, 0) = 0, $K230/(time_cap),0)),0)</f>
        <v/>
      </c>
      <c r="AF230" s="4395">
        <f>IFERROR(IF((time+time_cap)&lt;AF$2, 0,IF(AND(time+1&gt;=AG$2, $E230&lt;AG$2), IF($I230= "I", $J230/($F230-$E230+1), $J230/(($F230*($F230+1)/2)-(($E230-1)*($E230-1+1)/2))*AF$2), 0)+IF(IF(time+1&gt;=AG$2, $K230/time_cap/(time+1)*AF$2, 0) = 0, $K230/(time_cap),0)),0)</f>
        <v/>
      </c>
      <c r="AG230" s="4395">
        <f>IFERROR(IF((time+time_cap)&lt;AG$2, 0,IF(AND(time+1&gt;=AH$2, $E230&lt;AH$2), IF($I230= "I", $J230/($F230-$E230+1), $J230/(($F230*($F230+1)/2)-(($E230-1)*($E230-1+1)/2))*AG$2), 0)+IF(IF(time+1&gt;=AH$2, $K230/time_cap/(time+1)*AG$2, 0) = 0, $K230/(time_cap),0)),0)</f>
        <v/>
      </c>
      <c r="AH230" s="4395">
        <f>IFERROR(IF((time+time_cap)&lt;AH$2, 0,IF(AND(time+1&gt;=AI$2, $E230&lt;AI$2), IF($I230= "I", $J230/($F230-$E230+1), $J230/(($F230*($F230+1)/2)-(($E230-1)*($E230-1+1)/2))*AH$2), 0)+IF(IF(time+1&gt;=AI$2, $K230/time_cap/(time+1)*AH$2, 0) = 0, $K230/(time_cap),0)),0)</f>
        <v/>
      </c>
      <c r="AI230" s="4395">
        <f>IFERROR(IF((time+time_cap)&lt;AI$2, 0,IF(AND(time+1&gt;=AJ$2, $E230&lt;AJ$2), IF($I230= "I", $J230/($F230-$E230+1), $J230/(($F230*($F230+1)/2)-(($E230-1)*($E230-1+1)/2))*AI$2), 0)+IF(IF(time+1&gt;=AJ$2, $K230/time_cap/(time+1)*AI$2, 0) = 0, $K230/(time_cap),0)),0)</f>
        <v/>
      </c>
      <c r="AJ230" s="4395">
        <f>IFERROR(IF((time+time_cap)&lt;AJ$2, 0,IF(AND(time+1&gt;=AK$2, $E230&lt;AK$2), IF($I230= "I", $J230/($F230-$E230+1), $J230/(($F230*($F230+1)/2)-(($E230-1)*($E230-1+1)/2))*AJ$2), 0)+IF(IF(time+1&gt;=AK$2, $K230/time_cap/(time+1)*AJ$2, 0) = 0, $K230/(time_cap),0)),0)</f>
        <v/>
      </c>
      <c r="AK230" s="4395">
        <f>IFERROR(IF((time+time_cap)&lt;AK$2, 0,IF(AND(time+1&gt;=AL$2, $E230&lt;AL$2), IF($I230= "I", $J230/($F230-$E230+1), $J230/(($F230*($F230+1)/2)-(($E230-1)*($E230-1+1)/2))*AK$2), 0)+IF(IF(time+1&gt;=AL$2, $K230/time_cap/(time+1)*AK$2, 0) = 0, $K230/(time_cap),0)),0)</f>
        <v/>
      </c>
      <c r="AL230" s="4395">
        <f>IFERROR(IF((time+time_cap)&lt;AL$2, 0,IF(AND(time+1&gt;=AM$2, $E230&lt;AM$2), IF($I230= "I", $J230/($F230-$E230+1), $J230/(($F230*($F230+1)/2)-(($E230-1)*($E230-1+1)/2))*AL$2), 0)+IF(IF(time+1&gt;=AM$2, $K230/time_cap/(time+1)*AL$2, 0) = 0, $K230/(time_cap),0)),0)</f>
        <v/>
      </c>
      <c r="AM230" s="4395">
        <f>IFERROR(IF((time+time_cap)&lt;AM$2, 0,IF(AND(time+1&gt;=AN$2, $E230&lt;AN$2), IF($I230= "I", $J230/($F230-$E230+1), $J230/(($F230*($F230+1)/2)-(($E230-1)*($E230-1+1)/2))*AM$2), 0)+IF(IF(time+1&gt;=AN$2, $K230/time_cap/(time+1)*AM$2, 0) = 0, $K230/(time_cap),0)),0)</f>
        <v/>
      </c>
      <c r="AN230" s="4395">
        <f>IFERROR(IF((time+time_cap)&lt;AN$2, 0,IF(AND(time+1&gt;=AO$2, $E230&lt;AO$2), IF($I230= "I", $J230/($F230-$E230+1), $J230/(($F230*($F230+1)/2)-(($E230-1)*($E230-1+1)/2))*AN$2), 0)+IF(IF(time+1&gt;=AO$2, $K230/time_cap/(time+1)*AN$2, 0) = 0, $K230/(time_cap),0)),0)</f>
        <v/>
      </c>
      <c r="AO230" s="4395">
        <f>IFERROR(IF((time+time_cap)&lt;AO$2, 0,IF(AND(time+1&gt;=AP$2, $E230&lt;AP$2), IF($I230= "I", $J230/($F230-$E230+1), $J230/(($F230*($F230+1)/2)-(($E230-1)*($E230-1+1)/2))*AO$2), 0)+IF(IF(time+1&gt;=AP$2, $K230/time_cap/(time+1)*AO$2, 0) = 0, $K230/(time_cap),0)),0)</f>
        <v/>
      </c>
      <c r="AP230" s="4395">
        <f>IFERROR(IF((time+time_cap)&lt;AP$2, 0,IF(AND(time+1&gt;=AQ$2, $E230&lt;AQ$2), IF($I230= "I", $J230/($F230-$E230+1), $J230/(($F230*($F230+1)/2)-(($E230-1)*($E230-1+1)/2))*AP$2), 0)+IF(IF(time+1&gt;=AQ$2, $K230/time_cap/(time+1)*AP$2, 0) = 0, $K230/(time_cap),0)),0)</f>
        <v/>
      </c>
      <c r="AQ230" s="4395">
        <f>IFERROR(IF((time+time_cap)&lt;AQ$2, 0,IF(AND(time+1&gt;=AR$2, $E230&lt;AR$2), IF($I230= "I", $J230/($F230-$E230+1), $J230/(($F230*($F230+1)/2)-(($E230-1)*($E230-1+1)/2))*AQ$2), 0)+IF(IF(time+1&gt;=AR$2, $K230/time_cap/(time+1)*AQ$2, 0) = 0, $K230/(time_cap),0)),0)</f>
        <v/>
      </c>
      <c r="AR230" s="4395">
        <f>IFERROR(IF((time+time_cap)&lt;AR$2, 0,IF(AND(time+1&gt;=AS$2, $E230&lt;AS$2), IF($I230= "I", $J230/($F230-$E230+1), $J230/(($F230*($F230+1)/2)-(($E230-1)*($E230-1+1)/2))*AR$2), 0)+IF(IF(time+1&gt;=AS$2, $K230/time_cap/(time+1)*AR$2, 0) = 0, $K230/(time_cap),0)),0)</f>
        <v/>
      </c>
      <c r="AS230" s="4395">
        <f>IFERROR(IF((time+time_cap)&lt;AS$2, 0,IF(AND(time+1&gt;=AT$2, $E230&lt;AT$2), IF($I230= "I", $J230/($F230-$E230+1), $J230/(($F230*($F230+1)/2)-(($E230-1)*($E230-1+1)/2))*AS$2), 0)+IF(IF(time+1&gt;=AT$2, $K230/time_cap/(time+1)*AS$2, 0) = 0, $K230/(time_cap),0)),0)</f>
        <v/>
      </c>
      <c r="AT230" s="4395">
        <f>IFERROR(IF((time+time_cap)&lt;AT$2, 0,IF(AND(time+1&gt;=AU$2, $E230&lt;AU$2), IF($I230= "I", $J230/($F230-$E230+1), $J230/(($F230*($F230+1)/2)-(($E230-1)*($E230-1+1)/2))*AT$2), 0)+IF(IF(time+1&gt;=AU$2, $K230/time_cap/(time+1)*AT$2, 0) = 0, $K230/(time_cap),0)),0)</f>
        <v/>
      </c>
      <c r="AU230" s="4395">
        <f>IFERROR(IF((time+time_cap)&lt;AU$2, 0,IF(AND(time+1&gt;=AV$2, $E230&lt;AV$2), IF($I230= "I", $J230/($F230-$E230+1), $J230/(($F230*($F230+1)/2)-(($E230-1)*($E230-1+1)/2))*AU$2), 0)+IF(IF(time+1&gt;=AV$2, $K230/time_cap/(time+1)*AU$2, 0) = 0, $K230/(time_cap),0)),0)</f>
        <v/>
      </c>
      <c r="AV230" s="4395">
        <f>IFERROR(IF((time+time_cap)&lt;AV$2, 0,IF(AND(time+1&gt;=AW$2, $E230&lt;AW$2), IF($I230= "I", $J230/($F230-$E230+1), $J230/(($F230*($F230+1)/2)-(($E230-1)*($E230-1+1)/2))*AV$2), 0)+IF(IF(time+1&gt;=AW$2, $K230/time_cap/(time+1)*AV$2, 0) = 0, $K230/(time_cap),0)),0)</f>
        <v/>
      </c>
      <c r="AW230" s="4395">
        <f>IFERROR(IF((time+time_cap)&lt;AW$2, 0,IF(AND(time+1&gt;=AX$2, $E230&lt;AX$2), IF($I230= "I", $J230/($F230-$E230+1), $J230/(($F230*($F230+1)/2)-(($E230-1)*($E230-1+1)/2))*AW$2), 0)+IF(IF(time+1&gt;=AX$2, $K230/time_cap/(time+1)*AW$2, 0) = 0, $K230/(time_cap),0)),0)</f>
        <v/>
      </c>
      <c r="AX230" s="4395">
        <f>IFERROR(IF((time+time_cap)&lt;AX$2, 0,IF(AND(time+1&gt;=AY$2, $E230&lt;AY$2), IF($I230= "I", $J230/($F230-$E230+1), $J230/(($F230*($F230+1)/2)-(($E230-1)*($E230-1+1)/2))*AX$2), 0)+IF(IF(time+1&gt;=AY$2, $K230/time_cap/(time+1)*AX$2, 0) = 0, $K230/(time_cap),0)),0)</f>
        <v/>
      </c>
      <c r="AY230" s="4395">
        <f>IFERROR(IF((time+time_cap)&lt;AY$2, 0,IF(AND(time+1&gt;=AZ$2, $E230&lt;AZ$2), IF($I230= "I", $J230/($F230-$E230+1), $J230/(($F230*($F230+1)/2)-(($E230-1)*($E230-1+1)/2))*AY$2), 0)+IF(IF(time+1&gt;=AZ$2, $K230/time_cap/(time+1)*AY$2, 0) = 0, $K230/(time_cap),0)),0)</f>
        <v/>
      </c>
      <c r="AZ230" s="4395">
        <f>IFERROR(IF((time+time_cap)&lt;AZ$2, 0,IF(AND(time+1&gt;=BA$2, $E230&lt;BA$2), IF($I230= "I", $J230/($F230-$E230+1), $J230/(($F230*($F230+1)/2)-(($E230-1)*($E230-1+1)/2))*AZ$2), 0)+IF(IF(time+1&gt;=BA$2, $K230/time_cap/(time+1)*AZ$2, 0) = 0, $K230/(time_cap),0)),0)</f>
        <v/>
      </c>
      <c r="BA230" s="4395">
        <f>IFERROR(IF((time+time_cap)&lt;BA$2, 0,IF(AND(time+1&gt;=BB$2, $E230&lt;BB$2), IF($I230= "I", $J230/($F230-$E230+1), $J230/(($F230*($F230+1)/2)-(($E230-1)*($E230-1+1)/2))*BA$2), 0)+IF(IF(time+1&gt;=BB$2, $K230/time_cap/(time+1)*BA$2, 0) = 0, $K230/(time_cap),0)),0)</f>
        <v/>
      </c>
      <c r="BB230" s="4395">
        <f>IFERROR(IF((time+time_cap)&lt;BB$2, 0,IF(AND(time+1&gt;=BC$2, $E230&lt;BC$2), IF($I230= "I", $J230/($F230-$E230+1), $J230/(($F230*($F230+1)/2)-(($E230-1)*($E230-1+1)/2))*BB$2), 0)+IF(IF(time+1&gt;=BC$2, $K230/time_cap/(time+1)*BB$2, 0) = 0, $K230/(time_cap),0)),0)</f>
        <v/>
      </c>
      <c r="BC230" s="4395">
        <f>IFERROR(IF((time+time_cap)&lt;BC$2, 0,IF(AND(time+1&gt;=BD$2, $E230&lt;BD$2), IF($I230= "I", $J230/($F230-$E230+1), $J230/(($F230*($F230+1)/2)-(($E230-1)*($E230-1+1)/2))*BC$2), 0)+IF(IF(time+1&gt;=BD$2, $K230/time_cap/(time+1)*BC$2, 0) = 0, $K230/(time_cap),0)),0)</f>
        <v/>
      </c>
      <c r="BD230" s="4395">
        <f>IFERROR(IF((time+time_cap)&lt;BD$2, 0,IF(AND(time+1&gt;=BE$2, $E230&lt;BE$2), IF($I230= "I", $J230/($F230-$E230+1), $J230/(($F230*($F230+1)/2)-(($E230-1)*($E230-1+1)/2))*BD$2), 0)+IF(IF(time+1&gt;=BE$2, $K230/time_cap/(time+1)*BD$2, 0) = 0, $K230/(time_cap),0)),0)</f>
        <v/>
      </c>
      <c r="BE230" s="4395">
        <f>IFERROR(IF((time+time_cap)&lt;BE$2, 0,IF(AND(time+1&gt;=BF$2, $E230&lt;BF$2), IF($I230= "I", $J230/($F230-$E230+1), $J230/(($F230*($F230+1)/2)-(($E230-1)*($E230-1+1)/2))*BE$2), 0)+IF(IF(time+1&gt;=BF$2, $K230/time_cap/(time+1)*BE$2, 0) = 0, $K230/(time_cap),0)),0)</f>
        <v/>
      </c>
      <c r="BF230" s="4395">
        <f>IFERROR(IF((time+time_cap)&lt;BF$2, 0,IF(AND(time+1&gt;=BG$2, $E230&lt;BG$2), IF($I230= "I", $J230/($F230-$E230+1), $J230/(($F230*($F230+1)/2)-(($E230-1)*($E230-1+1)/2))*BF$2), 0)+IF(IF(time+1&gt;=BG$2, $K230/time_cap/(time+1)*BF$2, 0) = 0, $K230/(time_cap),0)),0)</f>
        <v/>
      </c>
      <c r="BG230" s="4395">
        <f>IFERROR(IF((time+time_cap)&lt;BG$2, 0,IF(AND(time+1&gt;=BH$2, $E230&lt;BH$2), IF($I230= "I", $J230/($F230-$E230+1), $J230/(($F230*($F230+1)/2)-(($E230-1)*($E230-1+1)/2))*BG$2), 0)+IF(IF(time+1&gt;=BH$2, $K230/time_cap/(time+1)*BG$2, 0) = 0, $K230/(time_cap),0)),0)</f>
        <v/>
      </c>
      <c r="BH230" s="4395">
        <f>IFERROR(IF((time+time_cap)&lt;BH$2, 0,IF(AND(time+1&gt;=BI$2, $E230&lt;BI$2), IF($I230= "I", $J230/($F230-$E230+1), $J230/(($F230*($F230+1)/2)-(($E230-1)*($E230-1+1)/2))*BH$2), 0)+IF(IF(time+1&gt;=BI$2, $K230/time_cap/(time+1)*BH$2, 0) = 0, $K230/(time_cap),0)),0)</f>
        <v/>
      </c>
      <c r="BI230" s="4395">
        <f>IFERROR(IF((time+time_cap)&lt;BI$2, 0,IF(AND(time+1&gt;=BJ$2, $E230&lt;BJ$2), IF($I230= "I", $J230/($F230-$E230+1), $J230/(($F230*($F230+1)/2)-(($E230-1)*($E230-1+1)/2))*BI$2), 0)+IF(IF(time+1&gt;=BJ$2, $K230/time_cap/(time+1)*BI$2, 0) = 0, $K230/(time_cap),0)),0)</f>
        <v/>
      </c>
      <c r="BJ230" s="4395">
        <f>IFERROR(IF((time+time_cap)&lt;BJ$2, 0,IF(AND(time+1&gt;=BK$2, $E230&lt;BK$2), IF($I230= "I", $J230/($F230-$E230+1), $J230/(($F230*($F230+1)/2)-(($E230-1)*($E230-1+1)/2))*BJ$2), 0)+IF(IF(time+1&gt;=BK$2, $K230/time_cap/(time+1)*BJ$2, 0) = 0, $K230/(time_cap),0)),0)</f>
        <v/>
      </c>
      <c r="BK230" s="4395" t="n"/>
      <c r="BL230" s="4395" t="n"/>
      <c r="BM230" s="4395" t="n"/>
      <c r="BN230" s="4395" t="n"/>
      <c r="BO230" s="4395" t="n"/>
      <c r="BP230" s="4395" t="n"/>
      <c r="BQ230" s="4395" t="n"/>
      <c r="BR230" s="4395" t="n"/>
      <c r="BS230" s="4395" t="n"/>
      <c r="BT230" s="4395" t="n"/>
      <c r="BU230" s="4395" t="n"/>
      <c r="BV230" s="4395" t="n"/>
      <c r="BW230" s="4395" t="n"/>
      <c r="BX230" s="4395" t="n"/>
      <c r="BY230" s="4395" t="n"/>
      <c r="BZ230" s="4395" t="n"/>
      <c r="CA230" s="4395" t="n"/>
      <c r="CB230" s="4395" t="n"/>
      <c r="CC230" s="4395" t="n"/>
      <c r="CD230" s="4395" t="n"/>
      <c r="CE230" s="4395" t="n"/>
      <c r="CF230" s="4395" t="n"/>
      <c r="CG230" s="4395" t="n"/>
      <c r="CH230" s="4395" t="n"/>
      <c r="CI230" s="4395" t="n"/>
      <c r="CJ230" s="4395" t="n"/>
      <c r="CK230" s="4395" t="n"/>
      <c r="CL230" s="4395" t="n"/>
      <c r="CM230" s="4395" t="n"/>
      <c r="CN230" s="4395" t="n"/>
      <c r="CO230" s="4395" t="n"/>
      <c r="CP230" s="4395" t="n"/>
      <c r="CQ230" s="4395" t="n"/>
      <c r="CR230" s="4395" t="n"/>
      <c r="CS230" s="4395" t="n"/>
      <c r="CT230" s="4395" t="n"/>
      <c r="CU230" s="4395" t="n"/>
      <c r="CV230" s="4395" t="n"/>
      <c r="CW230" s="4395" t="n"/>
      <c r="CX230" s="4395" t="n"/>
      <c r="CY230" s="4395" t="n"/>
      <c r="CZ230" s="4395" t="n"/>
      <c r="DA230" s="4395" t="n"/>
      <c r="DB230" s="4395" t="n"/>
      <c r="DC230" s="4395" t="n"/>
      <c r="DD230" s="4395" t="n"/>
      <c r="DE230" s="4395" t="n"/>
      <c r="DF230" s="4395" t="n"/>
      <c r="DG230" s="4395" t="n"/>
      <c r="DH230" s="4395" t="n"/>
    </row>
    <row r="231" ht="16" customHeight="1">
      <c r="A231" t="inlineStr">
        <is>
          <t>Irrigation</t>
        </is>
      </c>
      <c r="C231">
        <f>'9.Inputs'!C79</f>
        <v/>
      </c>
      <c r="D231">
        <f>'9.Inputs'!V79</f>
        <v/>
      </c>
      <c r="E231">
        <f>IF('9.Inputs'!BE79&lt;&gt;0,'9.Inputs'!BE79,'9.Inputs'!BD79)</f>
        <v/>
      </c>
      <c r="F231">
        <f>time</f>
        <v/>
      </c>
      <c r="G231" s="4395" t="inlineStr">
        <is>
          <t>D</t>
        </is>
      </c>
      <c r="H231" s="4395" t="inlineStr">
        <is>
          <t>D</t>
        </is>
      </c>
      <c r="I231" s="4395">
        <f>IF(OR(H231="I", G231="I"), "I", IF(OR(H231="E", G231="E"), "E", "D"))</f>
        <v/>
      </c>
      <c r="J231" s="4395">
        <f>((D231/(time_cap+((F231-E231+1)*VLOOKUP(I231,list!$I$48:$K$50,3, FALSE))))*(F231-E231+1)*VLOOKUP(I231,list!$I$48:$K$50,3, FALSE))</f>
        <v/>
      </c>
      <c r="K231" s="4395">
        <f>((D231/(time_cap+((F231-E231+1)*VLOOKUP(I231,list!$I$48:$K$50,3, FALSE))))*time_cap)</f>
        <v/>
      </c>
      <c r="M231" s="4395">
        <f>IFERROR(IF((time+time_cap)&lt;M$2, 0,IF(AND(time+1&gt;=N$2, $E231&lt;N$2), IF($I231= "I", $J231/($F231-$E231+1), $J231/(($F231*($F231+1)/2)-(($E231-1)*($E231-1+1)/2))*M$2), 0)+IF(IF(time+1&gt;=N$2, $K231/time_cap/(time+1)*M$2, 0) = 0, $K231/(time_cap),0)),0)</f>
        <v/>
      </c>
      <c r="N231" s="4395">
        <f>IFERROR(IF((time+time_cap)&lt;N$2, 0,IF(AND(time+1&gt;=O$2, $E231&lt;O$2), IF($I231= "I", $J231/($F231-$E231+1), $J231/(($F231*($F231+1)/2)-(($E231-1)*($E231-1+1)/2))*N$2), 0)+IF(IF(time+1&gt;=O$2, $K231/time_cap/(time+1)*N$2, 0) = 0, $K231/(time_cap),0)),0)</f>
        <v/>
      </c>
      <c r="O231" s="4395">
        <f>IFERROR(IF((time+time_cap)&lt;O$2, 0,IF(AND(time+1&gt;=P$2, $E231&lt;P$2), IF($I231= "I", $J231/($F231-$E231+1), $J231/(($F231*($F231+1)/2)-(($E231-1)*($E231-1+1)/2))*O$2), 0)+IF(IF(time+1&gt;=P$2, $K231/time_cap/(time+1)*O$2, 0) = 0, $K231/(time_cap),0)),0)</f>
        <v/>
      </c>
      <c r="P231" s="4395">
        <f>IFERROR(IF((time+time_cap)&lt;P$2, 0,IF(AND(time+1&gt;=Q$2, $E231&lt;Q$2), IF($I231= "I", $J231/($F231-$E231+1), $J231/(($F231*($F231+1)/2)-(($E231-1)*($E231-1+1)/2))*P$2), 0)+IF(IF(time+1&gt;=Q$2, $K231/time_cap/(time+1)*P$2, 0) = 0, $K231/(time_cap),0)),0)</f>
        <v/>
      </c>
      <c r="Q231" s="4395">
        <f>IFERROR(IF((time+time_cap)&lt;Q$2, 0,IF(AND(time+1&gt;=R$2, $E231&lt;R$2), IF($I231= "I", $J231/($F231-$E231+1), $J231/(($F231*($F231+1)/2)-(($E231-1)*($E231-1+1)/2))*Q$2), 0)+IF(IF(time+1&gt;=R$2, $K231/time_cap/(time+1)*Q$2, 0) = 0, $K231/(time_cap),0)),0)</f>
        <v/>
      </c>
      <c r="R231" s="4395">
        <f>IFERROR(IF((time+time_cap)&lt;R$2, 0,IF(AND(time+1&gt;=S$2, $E231&lt;S$2), IF($I231= "I", $J231/($F231-$E231+1), $J231/(($F231*($F231+1)/2)-(($E231-1)*($E231-1+1)/2))*R$2), 0)+IF(IF(time+1&gt;=S$2, $K231/time_cap/(time+1)*R$2, 0) = 0, $K231/(time_cap),0)),0)</f>
        <v/>
      </c>
      <c r="S231" s="4395">
        <f>IFERROR(IF((time+time_cap)&lt;S$2, 0,IF(AND(time+1&gt;=T$2, $E231&lt;T$2), IF($I231= "I", $J231/($F231-$E231+1), $J231/(($F231*($F231+1)/2)-(($E231-1)*($E231-1+1)/2))*S$2), 0)+IF(IF(time+1&gt;=T$2, $K231/time_cap/(time+1)*S$2, 0) = 0, $K231/(time_cap),0)),0)</f>
        <v/>
      </c>
      <c r="T231" s="4395">
        <f>IFERROR(IF((time+time_cap)&lt;T$2, 0,IF(AND(time+1&gt;=U$2, $E231&lt;U$2), IF($I231= "I", $J231/($F231-$E231+1), $J231/(($F231*($F231+1)/2)-(($E231-1)*($E231-1+1)/2))*T$2), 0)+IF(IF(time+1&gt;=U$2, $K231/time_cap/(time+1)*T$2, 0) = 0, $K231/(time_cap),0)),0)</f>
        <v/>
      </c>
      <c r="U231" s="4395">
        <f>IFERROR(IF((time+time_cap)&lt;U$2, 0,IF(AND(time+1&gt;=V$2, $E231&lt;V$2), IF($I231= "I", $J231/($F231-$E231+1), $J231/(($F231*($F231+1)/2)-(($E231-1)*($E231-1+1)/2))*U$2), 0)+IF(IF(time+1&gt;=V$2, $K231/time_cap/(time+1)*U$2, 0) = 0, $K231/(time_cap),0)),0)</f>
        <v/>
      </c>
      <c r="V231" s="4395">
        <f>IFERROR(IF((time+time_cap)&lt;V$2, 0,IF(AND(time+1&gt;=W$2, $E231&lt;W$2), IF($I231= "I", $J231/($F231-$E231+1), $J231/(($F231*($F231+1)/2)-(($E231-1)*($E231-1+1)/2))*V$2), 0)+IF(IF(time+1&gt;=W$2, $K231/time_cap/(time+1)*V$2, 0) = 0, $K231/(time_cap),0)),0)</f>
        <v/>
      </c>
      <c r="W231" s="4395">
        <f>IFERROR(IF((time+time_cap)&lt;W$2, 0,IF(AND(time+1&gt;=X$2, $E231&lt;X$2), IF($I231= "I", $J231/($F231-$E231+1), $J231/(($F231*($F231+1)/2)-(($E231-1)*($E231-1+1)/2))*W$2), 0)+IF(IF(time+1&gt;=X$2, $K231/time_cap/(time+1)*W$2, 0) = 0, $K231/(time_cap),0)),0)</f>
        <v/>
      </c>
      <c r="X231" s="4395">
        <f>IFERROR(IF((time+time_cap)&lt;X$2, 0,IF(AND(time+1&gt;=Y$2, $E231&lt;Y$2), IF($I231= "I", $J231/($F231-$E231+1), $J231/(($F231*($F231+1)/2)-(($E231-1)*($E231-1+1)/2))*X$2), 0)+IF(IF(time+1&gt;=Y$2, $K231/time_cap/(time+1)*X$2, 0) = 0, $K231/(time_cap),0)),0)</f>
        <v/>
      </c>
      <c r="Y231" s="4395">
        <f>IFERROR(IF((time+time_cap)&lt;Y$2, 0,IF(AND(time+1&gt;=Z$2, $E231&lt;Z$2), IF($I231= "I", $J231/($F231-$E231+1), $J231/(($F231*($F231+1)/2)-(($E231-1)*($E231-1+1)/2))*Y$2), 0)+IF(IF(time+1&gt;=Z$2, $K231/time_cap/(time+1)*Y$2, 0) = 0, $K231/(time_cap),0)),0)</f>
        <v/>
      </c>
      <c r="Z231" s="4395">
        <f>IFERROR(IF((time+time_cap)&lt;Z$2, 0,IF(AND(time+1&gt;=AA$2, $E231&lt;AA$2), IF($I231= "I", $J231/($F231-$E231+1), $J231/(($F231*($F231+1)/2)-(($E231-1)*($E231-1+1)/2))*Z$2), 0)+IF(IF(time+1&gt;=AA$2, $K231/time_cap/(time+1)*Z$2, 0) = 0, $K231/(time_cap),0)),0)</f>
        <v/>
      </c>
      <c r="AA231" s="4395">
        <f>IFERROR(IF((time+time_cap)&lt;AA$2, 0,IF(AND(time+1&gt;=AB$2, $E231&lt;AB$2), IF($I231= "I", $J231/($F231-$E231+1), $J231/(($F231*($F231+1)/2)-(($E231-1)*($E231-1+1)/2))*AA$2), 0)+IF(IF(time+1&gt;=AB$2, $K231/time_cap/(time+1)*AA$2, 0) = 0, $K231/(time_cap),0)),0)</f>
        <v/>
      </c>
      <c r="AB231" s="4395">
        <f>IFERROR(IF((time+time_cap)&lt;AB$2, 0,IF(AND(time+1&gt;=AC$2, $E231&lt;AC$2), IF($I231= "I", $J231/($F231-$E231+1), $J231/(($F231*($F231+1)/2)-(($E231-1)*($E231-1+1)/2))*AB$2), 0)+IF(IF(time+1&gt;=AC$2, $K231/time_cap/(time+1)*AB$2, 0) = 0, $K231/(time_cap),0)),0)</f>
        <v/>
      </c>
      <c r="AC231" s="4395">
        <f>IFERROR(IF((time+time_cap)&lt;AC$2, 0,IF(AND(time+1&gt;=AD$2, $E231&lt;AD$2), IF($I231= "I", $J231/($F231-$E231+1), $J231/(($F231*($F231+1)/2)-(($E231-1)*($E231-1+1)/2))*AC$2), 0)+IF(IF(time+1&gt;=AD$2, $K231/time_cap/(time+1)*AC$2, 0) = 0, $K231/(time_cap),0)),0)</f>
        <v/>
      </c>
      <c r="AD231" s="4395">
        <f>IFERROR(IF((time+time_cap)&lt;AD$2, 0,IF(AND(time+1&gt;=AE$2, $E231&lt;AE$2), IF($I231= "I", $J231/($F231-$E231+1), $J231/(($F231*($F231+1)/2)-(($E231-1)*($E231-1+1)/2))*AD$2), 0)+IF(IF(time+1&gt;=AE$2, $K231/time_cap/(time+1)*AD$2, 0) = 0, $K231/(time_cap),0)),0)</f>
        <v/>
      </c>
      <c r="AE231" s="4395">
        <f>IFERROR(IF((time+time_cap)&lt;AE$2, 0,IF(AND(time+1&gt;=AF$2, $E231&lt;AF$2), IF($I231= "I", $J231/($F231-$E231+1), $J231/(($F231*($F231+1)/2)-(($E231-1)*($E231-1+1)/2))*AE$2), 0)+IF(IF(time+1&gt;=AF$2, $K231/time_cap/(time+1)*AE$2, 0) = 0, $K231/(time_cap),0)),0)</f>
        <v/>
      </c>
      <c r="AF231" s="4395">
        <f>IFERROR(IF((time+time_cap)&lt;AF$2, 0,IF(AND(time+1&gt;=AG$2, $E231&lt;AG$2), IF($I231= "I", $J231/($F231-$E231+1), $J231/(($F231*($F231+1)/2)-(($E231-1)*($E231-1+1)/2))*AF$2), 0)+IF(IF(time+1&gt;=AG$2, $K231/time_cap/(time+1)*AF$2, 0) = 0, $K231/(time_cap),0)),0)</f>
        <v/>
      </c>
      <c r="AG231" s="4395">
        <f>IFERROR(IF((time+time_cap)&lt;AG$2, 0,IF(AND(time+1&gt;=AH$2, $E231&lt;AH$2), IF($I231= "I", $J231/($F231-$E231+1), $J231/(($F231*($F231+1)/2)-(($E231-1)*($E231-1+1)/2))*AG$2), 0)+IF(IF(time+1&gt;=AH$2, $K231/time_cap/(time+1)*AG$2, 0) = 0, $K231/(time_cap),0)),0)</f>
        <v/>
      </c>
      <c r="AH231" s="4395">
        <f>IFERROR(IF((time+time_cap)&lt;AH$2, 0,IF(AND(time+1&gt;=AI$2, $E231&lt;AI$2), IF($I231= "I", $J231/($F231-$E231+1), $J231/(($F231*($F231+1)/2)-(($E231-1)*($E231-1+1)/2))*AH$2), 0)+IF(IF(time+1&gt;=AI$2, $K231/time_cap/(time+1)*AH$2, 0) = 0, $K231/(time_cap),0)),0)</f>
        <v/>
      </c>
      <c r="AI231" s="4395">
        <f>IFERROR(IF((time+time_cap)&lt;AI$2, 0,IF(AND(time+1&gt;=AJ$2, $E231&lt;AJ$2), IF($I231= "I", $J231/($F231-$E231+1), $J231/(($F231*($F231+1)/2)-(($E231-1)*($E231-1+1)/2))*AI$2), 0)+IF(IF(time+1&gt;=AJ$2, $K231/time_cap/(time+1)*AI$2, 0) = 0, $K231/(time_cap),0)),0)</f>
        <v/>
      </c>
      <c r="AJ231" s="4395">
        <f>IFERROR(IF((time+time_cap)&lt;AJ$2, 0,IF(AND(time+1&gt;=AK$2, $E231&lt;AK$2), IF($I231= "I", $J231/($F231-$E231+1), $J231/(($F231*($F231+1)/2)-(($E231-1)*($E231-1+1)/2))*AJ$2), 0)+IF(IF(time+1&gt;=AK$2, $K231/time_cap/(time+1)*AJ$2, 0) = 0, $K231/(time_cap),0)),0)</f>
        <v/>
      </c>
      <c r="AK231" s="4395">
        <f>IFERROR(IF((time+time_cap)&lt;AK$2, 0,IF(AND(time+1&gt;=AL$2, $E231&lt;AL$2), IF($I231= "I", $J231/($F231-$E231+1), $J231/(($F231*($F231+1)/2)-(($E231-1)*($E231-1+1)/2))*AK$2), 0)+IF(IF(time+1&gt;=AL$2, $K231/time_cap/(time+1)*AK$2, 0) = 0, $K231/(time_cap),0)),0)</f>
        <v/>
      </c>
      <c r="AL231" s="4395">
        <f>IFERROR(IF((time+time_cap)&lt;AL$2, 0,IF(AND(time+1&gt;=AM$2, $E231&lt;AM$2), IF($I231= "I", $J231/($F231-$E231+1), $J231/(($F231*($F231+1)/2)-(($E231-1)*($E231-1+1)/2))*AL$2), 0)+IF(IF(time+1&gt;=AM$2, $K231/time_cap/(time+1)*AL$2, 0) = 0, $K231/(time_cap),0)),0)</f>
        <v/>
      </c>
      <c r="AM231" s="4395">
        <f>IFERROR(IF((time+time_cap)&lt;AM$2, 0,IF(AND(time+1&gt;=AN$2, $E231&lt;AN$2), IF($I231= "I", $J231/($F231-$E231+1), $J231/(($F231*($F231+1)/2)-(($E231-1)*($E231-1+1)/2))*AM$2), 0)+IF(IF(time+1&gt;=AN$2, $K231/time_cap/(time+1)*AM$2, 0) = 0, $K231/(time_cap),0)),0)</f>
        <v/>
      </c>
      <c r="AN231" s="4395">
        <f>IFERROR(IF((time+time_cap)&lt;AN$2, 0,IF(AND(time+1&gt;=AO$2, $E231&lt;AO$2), IF($I231= "I", $J231/($F231-$E231+1), $J231/(($F231*($F231+1)/2)-(($E231-1)*($E231-1+1)/2))*AN$2), 0)+IF(IF(time+1&gt;=AO$2, $K231/time_cap/(time+1)*AN$2, 0) = 0, $K231/(time_cap),0)),0)</f>
        <v/>
      </c>
      <c r="AO231" s="4395">
        <f>IFERROR(IF((time+time_cap)&lt;AO$2, 0,IF(AND(time+1&gt;=AP$2, $E231&lt;AP$2), IF($I231= "I", $J231/($F231-$E231+1), $J231/(($F231*($F231+1)/2)-(($E231-1)*($E231-1+1)/2))*AO$2), 0)+IF(IF(time+1&gt;=AP$2, $K231/time_cap/(time+1)*AO$2, 0) = 0, $K231/(time_cap),0)),0)</f>
        <v/>
      </c>
      <c r="AP231" s="4395">
        <f>IFERROR(IF((time+time_cap)&lt;AP$2, 0,IF(AND(time+1&gt;=AQ$2, $E231&lt;AQ$2), IF($I231= "I", $J231/($F231-$E231+1), $J231/(($F231*($F231+1)/2)-(($E231-1)*($E231-1+1)/2))*AP$2), 0)+IF(IF(time+1&gt;=AQ$2, $K231/time_cap/(time+1)*AP$2, 0) = 0, $K231/(time_cap),0)),0)</f>
        <v/>
      </c>
      <c r="AQ231" s="4395">
        <f>IFERROR(IF((time+time_cap)&lt;AQ$2, 0,IF(AND(time+1&gt;=AR$2, $E231&lt;AR$2), IF($I231= "I", $J231/($F231-$E231+1), $J231/(($F231*($F231+1)/2)-(($E231-1)*($E231-1+1)/2))*AQ$2), 0)+IF(IF(time+1&gt;=AR$2, $K231/time_cap/(time+1)*AQ$2, 0) = 0, $K231/(time_cap),0)),0)</f>
        <v/>
      </c>
      <c r="AR231" s="4395">
        <f>IFERROR(IF((time+time_cap)&lt;AR$2, 0,IF(AND(time+1&gt;=AS$2, $E231&lt;AS$2), IF($I231= "I", $J231/($F231-$E231+1), $J231/(($F231*($F231+1)/2)-(($E231-1)*($E231-1+1)/2))*AR$2), 0)+IF(IF(time+1&gt;=AS$2, $K231/time_cap/(time+1)*AR$2, 0) = 0, $K231/(time_cap),0)),0)</f>
        <v/>
      </c>
      <c r="AS231" s="4395">
        <f>IFERROR(IF((time+time_cap)&lt;AS$2, 0,IF(AND(time+1&gt;=AT$2, $E231&lt;AT$2), IF($I231= "I", $J231/($F231-$E231+1), $J231/(($F231*($F231+1)/2)-(($E231-1)*($E231-1+1)/2))*AS$2), 0)+IF(IF(time+1&gt;=AT$2, $K231/time_cap/(time+1)*AS$2, 0) = 0, $K231/(time_cap),0)),0)</f>
        <v/>
      </c>
      <c r="AT231" s="4395">
        <f>IFERROR(IF((time+time_cap)&lt;AT$2, 0,IF(AND(time+1&gt;=AU$2, $E231&lt;AU$2), IF($I231= "I", $J231/($F231-$E231+1), $J231/(($F231*($F231+1)/2)-(($E231-1)*($E231-1+1)/2))*AT$2), 0)+IF(IF(time+1&gt;=AU$2, $K231/time_cap/(time+1)*AT$2, 0) = 0, $K231/(time_cap),0)),0)</f>
        <v/>
      </c>
      <c r="AU231" s="4395">
        <f>IFERROR(IF((time+time_cap)&lt;AU$2, 0,IF(AND(time+1&gt;=AV$2, $E231&lt;AV$2), IF($I231= "I", $J231/($F231-$E231+1), $J231/(($F231*($F231+1)/2)-(($E231-1)*($E231-1+1)/2))*AU$2), 0)+IF(IF(time+1&gt;=AV$2, $K231/time_cap/(time+1)*AU$2, 0) = 0, $K231/(time_cap),0)),0)</f>
        <v/>
      </c>
      <c r="AV231" s="4395">
        <f>IFERROR(IF((time+time_cap)&lt;AV$2, 0,IF(AND(time+1&gt;=AW$2, $E231&lt;AW$2), IF($I231= "I", $J231/($F231-$E231+1), $J231/(($F231*($F231+1)/2)-(($E231-1)*($E231-1+1)/2))*AV$2), 0)+IF(IF(time+1&gt;=AW$2, $K231/time_cap/(time+1)*AV$2, 0) = 0, $K231/(time_cap),0)),0)</f>
        <v/>
      </c>
      <c r="AW231" s="4395">
        <f>IFERROR(IF((time+time_cap)&lt;AW$2, 0,IF(AND(time+1&gt;=AX$2, $E231&lt;AX$2), IF($I231= "I", $J231/($F231-$E231+1), $J231/(($F231*($F231+1)/2)-(($E231-1)*($E231-1+1)/2))*AW$2), 0)+IF(IF(time+1&gt;=AX$2, $K231/time_cap/(time+1)*AW$2, 0) = 0, $K231/(time_cap),0)),0)</f>
        <v/>
      </c>
      <c r="AX231" s="4395">
        <f>IFERROR(IF((time+time_cap)&lt;AX$2, 0,IF(AND(time+1&gt;=AY$2, $E231&lt;AY$2), IF($I231= "I", $J231/($F231-$E231+1), $J231/(($F231*($F231+1)/2)-(($E231-1)*($E231-1+1)/2))*AX$2), 0)+IF(IF(time+1&gt;=AY$2, $K231/time_cap/(time+1)*AX$2, 0) = 0, $K231/(time_cap),0)),0)</f>
        <v/>
      </c>
      <c r="AY231" s="4395">
        <f>IFERROR(IF((time+time_cap)&lt;AY$2, 0,IF(AND(time+1&gt;=AZ$2, $E231&lt;AZ$2), IF($I231= "I", $J231/($F231-$E231+1), $J231/(($F231*($F231+1)/2)-(($E231-1)*($E231-1+1)/2))*AY$2), 0)+IF(IF(time+1&gt;=AZ$2, $K231/time_cap/(time+1)*AY$2, 0) = 0, $K231/(time_cap),0)),0)</f>
        <v/>
      </c>
      <c r="AZ231" s="4395">
        <f>IFERROR(IF((time+time_cap)&lt;AZ$2, 0,IF(AND(time+1&gt;=BA$2, $E231&lt;BA$2), IF($I231= "I", $J231/($F231-$E231+1), $J231/(($F231*($F231+1)/2)-(($E231-1)*($E231-1+1)/2))*AZ$2), 0)+IF(IF(time+1&gt;=BA$2, $K231/time_cap/(time+1)*AZ$2, 0) = 0, $K231/(time_cap),0)),0)</f>
        <v/>
      </c>
      <c r="BA231" s="4395">
        <f>IFERROR(IF((time+time_cap)&lt;BA$2, 0,IF(AND(time+1&gt;=BB$2, $E231&lt;BB$2), IF($I231= "I", $J231/($F231-$E231+1), $J231/(($F231*($F231+1)/2)-(($E231-1)*($E231-1+1)/2))*BA$2), 0)+IF(IF(time+1&gt;=BB$2, $K231/time_cap/(time+1)*BA$2, 0) = 0, $K231/(time_cap),0)),0)</f>
        <v/>
      </c>
      <c r="BB231" s="4395">
        <f>IFERROR(IF((time+time_cap)&lt;BB$2, 0,IF(AND(time+1&gt;=BC$2, $E231&lt;BC$2), IF($I231= "I", $J231/($F231-$E231+1), $J231/(($F231*($F231+1)/2)-(($E231-1)*($E231-1+1)/2))*BB$2), 0)+IF(IF(time+1&gt;=BC$2, $K231/time_cap/(time+1)*BB$2, 0) = 0, $K231/(time_cap),0)),0)</f>
        <v/>
      </c>
      <c r="BC231" s="4395">
        <f>IFERROR(IF((time+time_cap)&lt;BC$2, 0,IF(AND(time+1&gt;=BD$2, $E231&lt;BD$2), IF($I231= "I", $J231/($F231-$E231+1), $J231/(($F231*($F231+1)/2)-(($E231-1)*($E231-1+1)/2))*BC$2), 0)+IF(IF(time+1&gt;=BD$2, $K231/time_cap/(time+1)*BC$2, 0) = 0, $K231/(time_cap),0)),0)</f>
        <v/>
      </c>
      <c r="BD231" s="4395">
        <f>IFERROR(IF((time+time_cap)&lt;BD$2, 0,IF(AND(time+1&gt;=BE$2, $E231&lt;BE$2), IF($I231= "I", $J231/($F231-$E231+1), $J231/(($F231*($F231+1)/2)-(($E231-1)*($E231-1+1)/2))*BD$2), 0)+IF(IF(time+1&gt;=BE$2, $K231/time_cap/(time+1)*BD$2, 0) = 0, $K231/(time_cap),0)),0)</f>
        <v/>
      </c>
      <c r="BE231" s="4395">
        <f>IFERROR(IF((time+time_cap)&lt;BE$2, 0,IF(AND(time+1&gt;=BF$2, $E231&lt;BF$2), IF($I231= "I", $J231/($F231-$E231+1), $J231/(($F231*($F231+1)/2)-(($E231-1)*($E231-1+1)/2))*BE$2), 0)+IF(IF(time+1&gt;=BF$2, $K231/time_cap/(time+1)*BE$2, 0) = 0, $K231/(time_cap),0)),0)</f>
        <v/>
      </c>
      <c r="BF231" s="4395">
        <f>IFERROR(IF((time+time_cap)&lt;BF$2, 0,IF(AND(time+1&gt;=BG$2, $E231&lt;BG$2), IF($I231= "I", $J231/($F231-$E231+1), $J231/(($F231*($F231+1)/2)-(($E231-1)*($E231-1+1)/2))*BF$2), 0)+IF(IF(time+1&gt;=BG$2, $K231/time_cap/(time+1)*BF$2, 0) = 0, $K231/(time_cap),0)),0)</f>
        <v/>
      </c>
      <c r="BG231" s="4395">
        <f>IFERROR(IF((time+time_cap)&lt;BG$2, 0,IF(AND(time+1&gt;=BH$2, $E231&lt;BH$2), IF($I231= "I", $J231/($F231-$E231+1), $J231/(($F231*($F231+1)/2)-(($E231-1)*($E231-1+1)/2))*BG$2), 0)+IF(IF(time+1&gt;=BH$2, $K231/time_cap/(time+1)*BG$2, 0) = 0, $K231/(time_cap),0)),0)</f>
        <v/>
      </c>
      <c r="BH231" s="4395">
        <f>IFERROR(IF((time+time_cap)&lt;BH$2, 0,IF(AND(time+1&gt;=BI$2, $E231&lt;BI$2), IF($I231= "I", $J231/($F231-$E231+1), $J231/(($F231*($F231+1)/2)-(($E231-1)*($E231-1+1)/2))*BH$2), 0)+IF(IF(time+1&gt;=BI$2, $K231/time_cap/(time+1)*BH$2, 0) = 0, $K231/(time_cap),0)),0)</f>
        <v/>
      </c>
      <c r="BI231" s="4395">
        <f>IFERROR(IF((time+time_cap)&lt;BI$2, 0,IF(AND(time+1&gt;=BJ$2, $E231&lt;BJ$2), IF($I231= "I", $J231/($F231-$E231+1), $J231/(($F231*($F231+1)/2)-(($E231-1)*($E231-1+1)/2))*BI$2), 0)+IF(IF(time+1&gt;=BJ$2, $K231/time_cap/(time+1)*BI$2, 0) = 0, $K231/(time_cap),0)),0)</f>
        <v/>
      </c>
      <c r="BJ231" s="4395">
        <f>IFERROR(IF((time+time_cap)&lt;BJ$2, 0,IF(AND(time+1&gt;=BK$2, $E231&lt;BK$2), IF($I231= "I", $J231/($F231-$E231+1), $J231/(($F231*($F231+1)/2)-(($E231-1)*($E231-1+1)/2))*BJ$2), 0)+IF(IF(time+1&gt;=BK$2, $K231/time_cap/(time+1)*BJ$2, 0) = 0, $K231/(time_cap),0)),0)</f>
        <v/>
      </c>
      <c r="BK231" s="4395" t="n"/>
      <c r="BL231" s="4395" t="n"/>
      <c r="BM231" s="4395" t="n"/>
      <c r="BN231" s="4395" t="n"/>
      <c r="BO231" s="4395" t="n"/>
      <c r="BP231" s="4395" t="n"/>
      <c r="BQ231" s="4395" t="n"/>
      <c r="BR231" s="4395" t="n"/>
      <c r="BS231" s="4395" t="n"/>
      <c r="BT231" s="4395" t="n"/>
      <c r="BU231" s="4395" t="n"/>
      <c r="BV231" s="4395" t="n"/>
      <c r="BW231" s="4395" t="n"/>
      <c r="BX231" s="4395" t="n"/>
      <c r="BY231" s="4395" t="n"/>
      <c r="BZ231" s="4395" t="n"/>
      <c r="CA231" s="4395" t="n"/>
      <c r="CB231" s="4395" t="n"/>
      <c r="CC231" s="4395" t="n"/>
      <c r="CD231" s="4395" t="n"/>
      <c r="CE231" s="4395" t="n"/>
      <c r="CF231" s="4395" t="n"/>
      <c r="CG231" s="4395" t="n"/>
      <c r="CH231" s="4395" t="n"/>
      <c r="CI231" s="4395" t="n"/>
      <c r="CJ231" s="4395" t="n"/>
      <c r="CK231" s="4395" t="n"/>
      <c r="CL231" s="4395" t="n"/>
      <c r="CM231" s="4395" t="n"/>
      <c r="CN231" s="4395" t="n"/>
      <c r="CO231" s="4395" t="n"/>
      <c r="CP231" s="4395" t="n"/>
      <c r="CQ231" s="4395" t="n"/>
      <c r="CR231" s="4395" t="n"/>
      <c r="CS231" s="4395" t="n"/>
      <c r="CT231" s="4395" t="n"/>
      <c r="CU231" s="4395" t="n"/>
      <c r="CV231" s="4395" t="n"/>
      <c r="CW231" s="4395" t="n"/>
      <c r="CX231" s="4395" t="n"/>
      <c r="CY231" s="4395" t="n"/>
      <c r="CZ231" s="4395" t="n"/>
      <c r="DA231" s="4395" t="n"/>
      <c r="DB231" s="4395" t="n"/>
      <c r="DC231" s="4395" t="n"/>
      <c r="DD231" s="4395" t="n"/>
      <c r="DE231" s="4395" t="n"/>
      <c r="DF231" s="4395" t="n"/>
      <c r="DG231" s="4395" t="n"/>
      <c r="DH231" s="4395" t="n"/>
    </row>
    <row r="232" ht="16" customHeight="1">
      <c r="A232" t="inlineStr">
        <is>
          <t>Irrigation</t>
        </is>
      </c>
      <c r="C232">
        <f>'9.Inputs'!C80</f>
        <v/>
      </c>
      <c r="D232">
        <f>'9.Inputs'!V80</f>
        <v/>
      </c>
      <c r="E232">
        <f>IF('9.Inputs'!BE80&lt;&gt;0,'9.Inputs'!BE80,'9.Inputs'!BD80)</f>
        <v/>
      </c>
      <c r="F232">
        <f>time</f>
        <v/>
      </c>
      <c r="G232" s="4395" t="inlineStr">
        <is>
          <t>D</t>
        </is>
      </c>
      <c r="H232" s="4395" t="inlineStr">
        <is>
          <t>D</t>
        </is>
      </c>
      <c r="I232" s="4395">
        <f>IF(OR(H232="I", G232="I"), "I", IF(OR(H232="E", G232="E"), "E", "D"))</f>
        <v/>
      </c>
      <c r="J232" s="4395">
        <f>((D232/(time_cap+((F232-E232+1)*VLOOKUP(I232,list!$I$48:$K$50,3, FALSE))))*(F232-E232+1)*VLOOKUP(I232,list!$I$48:$K$50,3, FALSE))</f>
        <v/>
      </c>
      <c r="K232" s="4395">
        <f>((D232/(time_cap+((F232-E232+1)*VLOOKUP(I232,list!$I$48:$K$50,3, FALSE))))*time_cap)</f>
        <v/>
      </c>
      <c r="M232" s="4395">
        <f>IFERROR(IF((time+time_cap)&lt;M$2, 0,IF(AND(time+1&gt;=N$2, $E232&lt;N$2), IF($I232= "I", $J232/($F232-$E232+1), $J232/(($F232*($F232+1)/2)-(($E232-1)*($E232-1+1)/2))*M$2), 0)+IF(IF(time+1&gt;=N$2, $K232/time_cap/(time+1)*M$2, 0) = 0, $K232/(time_cap),0)),0)</f>
        <v/>
      </c>
      <c r="N232" s="4395">
        <f>IFERROR(IF((time+time_cap)&lt;N$2, 0,IF(AND(time+1&gt;=O$2, $E232&lt;O$2), IF($I232= "I", $J232/($F232-$E232+1), $J232/(($F232*($F232+1)/2)-(($E232-1)*($E232-1+1)/2))*N$2), 0)+IF(IF(time+1&gt;=O$2, $K232/time_cap/(time+1)*N$2, 0) = 0, $K232/(time_cap),0)),0)</f>
        <v/>
      </c>
      <c r="O232" s="4395">
        <f>IFERROR(IF((time+time_cap)&lt;O$2, 0,IF(AND(time+1&gt;=P$2, $E232&lt;P$2), IF($I232= "I", $J232/($F232-$E232+1), $J232/(($F232*($F232+1)/2)-(($E232-1)*($E232-1+1)/2))*O$2), 0)+IF(IF(time+1&gt;=P$2, $K232/time_cap/(time+1)*O$2, 0) = 0, $K232/(time_cap),0)),0)</f>
        <v/>
      </c>
      <c r="P232" s="4395">
        <f>IFERROR(IF((time+time_cap)&lt;P$2, 0,IF(AND(time+1&gt;=Q$2, $E232&lt;Q$2), IF($I232= "I", $J232/($F232-$E232+1), $J232/(($F232*($F232+1)/2)-(($E232-1)*($E232-1+1)/2))*P$2), 0)+IF(IF(time+1&gt;=Q$2, $K232/time_cap/(time+1)*P$2, 0) = 0, $K232/(time_cap),0)),0)</f>
        <v/>
      </c>
      <c r="Q232" s="4395">
        <f>IFERROR(IF((time+time_cap)&lt;Q$2, 0,IF(AND(time+1&gt;=R$2, $E232&lt;R$2), IF($I232= "I", $J232/($F232-$E232+1), $J232/(($F232*($F232+1)/2)-(($E232-1)*($E232-1+1)/2))*Q$2), 0)+IF(IF(time+1&gt;=R$2, $K232/time_cap/(time+1)*Q$2, 0) = 0, $K232/(time_cap),0)),0)</f>
        <v/>
      </c>
      <c r="R232" s="4395">
        <f>IFERROR(IF((time+time_cap)&lt;R$2, 0,IF(AND(time+1&gt;=S$2, $E232&lt;S$2), IF($I232= "I", $J232/($F232-$E232+1), $J232/(($F232*($F232+1)/2)-(($E232-1)*($E232-1+1)/2))*R$2), 0)+IF(IF(time+1&gt;=S$2, $K232/time_cap/(time+1)*R$2, 0) = 0, $K232/(time_cap),0)),0)</f>
        <v/>
      </c>
      <c r="S232" s="4395">
        <f>IFERROR(IF((time+time_cap)&lt;S$2, 0,IF(AND(time+1&gt;=T$2, $E232&lt;T$2), IF($I232= "I", $J232/($F232-$E232+1), $J232/(($F232*($F232+1)/2)-(($E232-1)*($E232-1+1)/2))*S$2), 0)+IF(IF(time+1&gt;=T$2, $K232/time_cap/(time+1)*S$2, 0) = 0, $K232/(time_cap),0)),0)</f>
        <v/>
      </c>
      <c r="T232" s="4395">
        <f>IFERROR(IF((time+time_cap)&lt;T$2, 0,IF(AND(time+1&gt;=U$2, $E232&lt;U$2), IF($I232= "I", $J232/($F232-$E232+1), $J232/(($F232*($F232+1)/2)-(($E232-1)*($E232-1+1)/2))*T$2), 0)+IF(IF(time+1&gt;=U$2, $K232/time_cap/(time+1)*T$2, 0) = 0, $K232/(time_cap),0)),0)</f>
        <v/>
      </c>
      <c r="U232" s="4395">
        <f>IFERROR(IF((time+time_cap)&lt;U$2, 0,IF(AND(time+1&gt;=V$2, $E232&lt;V$2), IF($I232= "I", $J232/($F232-$E232+1), $J232/(($F232*($F232+1)/2)-(($E232-1)*($E232-1+1)/2))*U$2), 0)+IF(IF(time+1&gt;=V$2, $K232/time_cap/(time+1)*U$2, 0) = 0, $K232/(time_cap),0)),0)</f>
        <v/>
      </c>
      <c r="V232" s="4395">
        <f>IFERROR(IF((time+time_cap)&lt;V$2, 0,IF(AND(time+1&gt;=W$2, $E232&lt;W$2), IF($I232= "I", $J232/($F232-$E232+1), $J232/(($F232*($F232+1)/2)-(($E232-1)*($E232-1+1)/2))*V$2), 0)+IF(IF(time+1&gt;=W$2, $K232/time_cap/(time+1)*V$2, 0) = 0, $K232/(time_cap),0)),0)</f>
        <v/>
      </c>
      <c r="W232" s="4395">
        <f>IFERROR(IF((time+time_cap)&lt;W$2, 0,IF(AND(time+1&gt;=X$2, $E232&lt;X$2), IF($I232= "I", $J232/($F232-$E232+1), $J232/(($F232*($F232+1)/2)-(($E232-1)*($E232-1+1)/2))*W$2), 0)+IF(IF(time+1&gt;=X$2, $K232/time_cap/(time+1)*W$2, 0) = 0, $K232/(time_cap),0)),0)</f>
        <v/>
      </c>
      <c r="X232" s="4395">
        <f>IFERROR(IF((time+time_cap)&lt;X$2, 0,IF(AND(time+1&gt;=Y$2, $E232&lt;Y$2), IF($I232= "I", $J232/($F232-$E232+1), $J232/(($F232*($F232+1)/2)-(($E232-1)*($E232-1+1)/2))*X$2), 0)+IF(IF(time+1&gt;=Y$2, $K232/time_cap/(time+1)*X$2, 0) = 0, $K232/(time_cap),0)),0)</f>
        <v/>
      </c>
      <c r="Y232" s="4395">
        <f>IFERROR(IF((time+time_cap)&lt;Y$2, 0,IF(AND(time+1&gt;=Z$2, $E232&lt;Z$2), IF($I232= "I", $J232/($F232-$E232+1), $J232/(($F232*($F232+1)/2)-(($E232-1)*($E232-1+1)/2))*Y$2), 0)+IF(IF(time+1&gt;=Z$2, $K232/time_cap/(time+1)*Y$2, 0) = 0, $K232/(time_cap),0)),0)</f>
        <v/>
      </c>
      <c r="Z232" s="4395">
        <f>IFERROR(IF((time+time_cap)&lt;Z$2, 0,IF(AND(time+1&gt;=AA$2, $E232&lt;AA$2), IF($I232= "I", $J232/($F232-$E232+1), $J232/(($F232*($F232+1)/2)-(($E232-1)*($E232-1+1)/2))*Z$2), 0)+IF(IF(time+1&gt;=AA$2, $K232/time_cap/(time+1)*Z$2, 0) = 0, $K232/(time_cap),0)),0)</f>
        <v/>
      </c>
      <c r="AA232" s="4395">
        <f>IFERROR(IF((time+time_cap)&lt;AA$2, 0,IF(AND(time+1&gt;=AB$2, $E232&lt;AB$2), IF($I232= "I", $J232/($F232-$E232+1), $J232/(($F232*($F232+1)/2)-(($E232-1)*($E232-1+1)/2))*AA$2), 0)+IF(IF(time+1&gt;=AB$2, $K232/time_cap/(time+1)*AA$2, 0) = 0, $K232/(time_cap),0)),0)</f>
        <v/>
      </c>
      <c r="AB232" s="4395">
        <f>IFERROR(IF((time+time_cap)&lt;AB$2, 0,IF(AND(time+1&gt;=AC$2, $E232&lt;AC$2), IF($I232= "I", $J232/($F232-$E232+1), $J232/(($F232*($F232+1)/2)-(($E232-1)*($E232-1+1)/2))*AB$2), 0)+IF(IF(time+1&gt;=AC$2, $K232/time_cap/(time+1)*AB$2, 0) = 0, $K232/(time_cap),0)),0)</f>
        <v/>
      </c>
      <c r="AC232" s="4395">
        <f>IFERROR(IF((time+time_cap)&lt;AC$2, 0,IF(AND(time+1&gt;=AD$2, $E232&lt;AD$2), IF($I232= "I", $J232/($F232-$E232+1), $J232/(($F232*($F232+1)/2)-(($E232-1)*($E232-1+1)/2))*AC$2), 0)+IF(IF(time+1&gt;=AD$2, $K232/time_cap/(time+1)*AC$2, 0) = 0, $K232/(time_cap),0)),0)</f>
        <v/>
      </c>
      <c r="AD232" s="4395">
        <f>IFERROR(IF((time+time_cap)&lt;AD$2, 0,IF(AND(time+1&gt;=AE$2, $E232&lt;AE$2), IF($I232= "I", $J232/($F232-$E232+1), $J232/(($F232*($F232+1)/2)-(($E232-1)*($E232-1+1)/2))*AD$2), 0)+IF(IF(time+1&gt;=AE$2, $K232/time_cap/(time+1)*AD$2, 0) = 0, $K232/(time_cap),0)),0)</f>
        <v/>
      </c>
      <c r="AE232" s="4395">
        <f>IFERROR(IF((time+time_cap)&lt;AE$2, 0,IF(AND(time+1&gt;=AF$2, $E232&lt;AF$2), IF($I232= "I", $J232/($F232-$E232+1), $J232/(($F232*($F232+1)/2)-(($E232-1)*($E232-1+1)/2))*AE$2), 0)+IF(IF(time+1&gt;=AF$2, $K232/time_cap/(time+1)*AE$2, 0) = 0, $K232/(time_cap),0)),0)</f>
        <v/>
      </c>
      <c r="AF232" s="4395">
        <f>IFERROR(IF((time+time_cap)&lt;AF$2, 0,IF(AND(time+1&gt;=AG$2, $E232&lt;AG$2), IF($I232= "I", $J232/($F232-$E232+1), $J232/(($F232*($F232+1)/2)-(($E232-1)*($E232-1+1)/2))*AF$2), 0)+IF(IF(time+1&gt;=AG$2, $K232/time_cap/(time+1)*AF$2, 0) = 0, $K232/(time_cap),0)),0)</f>
        <v/>
      </c>
      <c r="AG232" s="4395">
        <f>IFERROR(IF((time+time_cap)&lt;AG$2, 0,IF(AND(time+1&gt;=AH$2, $E232&lt;AH$2), IF($I232= "I", $J232/($F232-$E232+1), $J232/(($F232*($F232+1)/2)-(($E232-1)*($E232-1+1)/2))*AG$2), 0)+IF(IF(time+1&gt;=AH$2, $K232/time_cap/(time+1)*AG$2, 0) = 0, $K232/(time_cap),0)),0)</f>
        <v/>
      </c>
      <c r="AH232" s="4395">
        <f>IFERROR(IF((time+time_cap)&lt;AH$2, 0,IF(AND(time+1&gt;=AI$2, $E232&lt;AI$2), IF($I232= "I", $J232/($F232-$E232+1), $J232/(($F232*($F232+1)/2)-(($E232-1)*($E232-1+1)/2))*AH$2), 0)+IF(IF(time+1&gt;=AI$2, $K232/time_cap/(time+1)*AH$2, 0) = 0, $K232/(time_cap),0)),0)</f>
        <v/>
      </c>
      <c r="AI232" s="4395">
        <f>IFERROR(IF((time+time_cap)&lt;AI$2, 0,IF(AND(time+1&gt;=AJ$2, $E232&lt;AJ$2), IF($I232= "I", $J232/($F232-$E232+1), $J232/(($F232*($F232+1)/2)-(($E232-1)*($E232-1+1)/2))*AI$2), 0)+IF(IF(time+1&gt;=AJ$2, $K232/time_cap/(time+1)*AI$2, 0) = 0, $K232/(time_cap),0)),0)</f>
        <v/>
      </c>
      <c r="AJ232" s="4395">
        <f>IFERROR(IF((time+time_cap)&lt;AJ$2, 0,IF(AND(time+1&gt;=AK$2, $E232&lt;AK$2), IF($I232= "I", $J232/($F232-$E232+1), $J232/(($F232*($F232+1)/2)-(($E232-1)*($E232-1+1)/2))*AJ$2), 0)+IF(IF(time+1&gt;=AK$2, $K232/time_cap/(time+1)*AJ$2, 0) = 0, $K232/(time_cap),0)),0)</f>
        <v/>
      </c>
      <c r="AK232" s="4395">
        <f>IFERROR(IF((time+time_cap)&lt;AK$2, 0,IF(AND(time+1&gt;=AL$2, $E232&lt;AL$2), IF($I232= "I", $J232/($F232-$E232+1), $J232/(($F232*($F232+1)/2)-(($E232-1)*($E232-1+1)/2))*AK$2), 0)+IF(IF(time+1&gt;=AL$2, $K232/time_cap/(time+1)*AK$2, 0) = 0, $K232/(time_cap),0)),0)</f>
        <v/>
      </c>
      <c r="AL232" s="4395">
        <f>IFERROR(IF((time+time_cap)&lt;AL$2, 0,IF(AND(time+1&gt;=AM$2, $E232&lt;AM$2), IF($I232= "I", $J232/($F232-$E232+1), $J232/(($F232*($F232+1)/2)-(($E232-1)*($E232-1+1)/2))*AL$2), 0)+IF(IF(time+1&gt;=AM$2, $K232/time_cap/(time+1)*AL$2, 0) = 0, $K232/(time_cap),0)),0)</f>
        <v/>
      </c>
      <c r="AM232" s="4395">
        <f>IFERROR(IF((time+time_cap)&lt;AM$2, 0,IF(AND(time+1&gt;=AN$2, $E232&lt;AN$2), IF($I232= "I", $J232/($F232-$E232+1), $J232/(($F232*($F232+1)/2)-(($E232-1)*($E232-1+1)/2))*AM$2), 0)+IF(IF(time+1&gt;=AN$2, $K232/time_cap/(time+1)*AM$2, 0) = 0, $K232/(time_cap),0)),0)</f>
        <v/>
      </c>
      <c r="AN232" s="4395">
        <f>IFERROR(IF((time+time_cap)&lt;AN$2, 0,IF(AND(time+1&gt;=AO$2, $E232&lt;AO$2), IF($I232= "I", $J232/($F232-$E232+1), $J232/(($F232*($F232+1)/2)-(($E232-1)*($E232-1+1)/2))*AN$2), 0)+IF(IF(time+1&gt;=AO$2, $K232/time_cap/(time+1)*AN$2, 0) = 0, $K232/(time_cap),0)),0)</f>
        <v/>
      </c>
      <c r="AO232" s="4395">
        <f>IFERROR(IF((time+time_cap)&lt;AO$2, 0,IF(AND(time+1&gt;=AP$2, $E232&lt;AP$2), IF($I232= "I", $J232/($F232-$E232+1), $J232/(($F232*($F232+1)/2)-(($E232-1)*($E232-1+1)/2))*AO$2), 0)+IF(IF(time+1&gt;=AP$2, $K232/time_cap/(time+1)*AO$2, 0) = 0, $K232/(time_cap),0)),0)</f>
        <v/>
      </c>
      <c r="AP232" s="4395">
        <f>IFERROR(IF((time+time_cap)&lt;AP$2, 0,IF(AND(time+1&gt;=AQ$2, $E232&lt;AQ$2), IF($I232= "I", $J232/($F232-$E232+1), $J232/(($F232*($F232+1)/2)-(($E232-1)*($E232-1+1)/2))*AP$2), 0)+IF(IF(time+1&gt;=AQ$2, $K232/time_cap/(time+1)*AP$2, 0) = 0, $K232/(time_cap),0)),0)</f>
        <v/>
      </c>
      <c r="AQ232" s="4395">
        <f>IFERROR(IF((time+time_cap)&lt;AQ$2, 0,IF(AND(time+1&gt;=AR$2, $E232&lt;AR$2), IF($I232= "I", $J232/($F232-$E232+1), $J232/(($F232*($F232+1)/2)-(($E232-1)*($E232-1+1)/2))*AQ$2), 0)+IF(IF(time+1&gt;=AR$2, $K232/time_cap/(time+1)*AQ$2, 0) = 0, $K232/(time_cap),0)),0)</f>
        <v/>
      </c>
      <c r="AR232" s="4395">
        <f>IFERROR(IF((time+time_cap)&lt;AR$2, 0,IF(AND(time+1&gt;=AS$2, $E232&lt;AS$2), IF($I232= "I", $J232/($F232-$E232+1), $J232/(($F232*($F232+1)/2)-(($E232-1)*($E232-1+1)/2))*AR$2), 0)+IF(IF(time+1&gt;=AS$2, $K232/time_cap/(time+1)*AR$2, 0) = 0, $K232/(time_cap),0)),0)</f>
        <v/>
      </c>
      <c r="AS232" s="4395">
        <f>IFERROR(IF((time+time_cap)&lt;AS$2, 0,IF(AND(time+1&gt;=AT$2, $E232&lt;AT$2), IF($I232= "I", $J232/($F232-$E232+1), $J232/(($F232*($F232+1)/2)-(($E232-1)*($E232-1+1)/2))*AS$2), 0)+IF(IF(time+1&gt;=AT$2, $K232/time_cap/(time+1)*AS$2, 0) = 0, $K232/(time_cap),0)),0)</f>
        <v/>
      </c>
      <c r="AT232" s="4395">
        <f>IFERROR(IF((time+time_cap)&lt;AT$2, 0,IF(AND(time+1&gt;=AU$2, $E232&lt;AU$2), IF($I232= "I", $J232/($F232-$E232+1), $J232/(($F232*($F232+1)/2)-(($E232-1)*($E232-1+1)/2))*AT$2), 0)+IF(IF(time+1&gt;=AU$2, $K232/time_cap/(time+1)*AT$2, 0) = 0, $K232/(time_cap),0)),0)</f>
        <v/>
      </c>
      <c r="AU232" s="4395">
        <f>IFERROR(IF((time+time_cap)&lt;AU$2, 0,IF(AND(time+1&gt;=AV$2, $E232&lt;AV$2), IF($I232= "I", $J232/($F232-$E232+1), $J232/(($F232*($F232+1)/2)-(($E232-1)*($E232-1+1)/2))*AU$2), 0)+IF(IF(time+1&gt;=AV$2, $K232/time_cap/(time+1)*AU$2, 0) = 0, $K232/(time_cap),0)),0)</f>
        <v/>
      </c>
      <c r="AV232" s="4395">
        <f>IFERROR(IF((time+time_cap)&lt;AV$2, 0,IF(AND(time+1&gt;=AW$2, $E232&lt;AW$2), IF($I232= "I", $J232/($F232-$E232+1), $J232/(($F232*($F232+1)/2)-(($E232-1)*($E232-1+1)/2))*AV$2), 0)+IF(IF(time+1&gt;=AW$2, $K232/time_cap/(time+1)*AV$2, 0) = 0, $K232/(time_cap),0)),0)</f>
        <v/>
      </c>
      <c r="AW232" s="4395">
        <f>IFERROR(IF((time+time_cap)&lt;AW$2, 0,IF(AND(time+1&gt;=AX$2, $E232&lt;AX$2), IF($I232= "I", $J232/($F232-$E232+1), $J232/(($F232*($F232+1)/2)-(($E232-1)*($E232-1+1)/2))*AW$2), 0)+IF(IF(time+1&gt;=AX$2, $K232/time_cap/(time+1)*AW$2, 0) = 0, $K232/(time_cap),0)),0)</f>
        <v/>
      </c>
      <c r="AX232" s="4395">
        <f>IFERROR(IF((time+time_cap)&lt;AX$2, 0,IF(AND(time+1&gt;=AY$2, $E232&lt;AY$2), IF($I232= "I", $J232/($F232-$E232+1), $J232/(($F232*($F232+1)/2)-(($E232-1)*($E232-1+1)/2))*AX$2), 0)+IF(IF(time+1&gt;=AY$2, $K232/time_cap/(time+1)*AX$2, 0) = 0, $K232/(time_cap),0)),0)</f>
        <v/>
      </c>
      <c r="AY232" s="4395">
        <f>IFERROR(IF((time+time_cap)&lt;AY$2, 0,IF(AND(time+1&gt;=AZ$2, $E232&lt;AZ$2), IF($I232= "I", $J232/($F232-$E232+1), $J232/(($F232*($F232+1)/2)-(($E232-1)*($E232-1+1)/2))*AY$2), 0)+IF(IF(time+1&gt;=AZ$2, $K232/time_cap/(time+1)*AY$2, 0) = 0, $K232/(time_cap),0)),0)</f>
        <v/>
      </c>
      <c r="AZ232" s="4395">
        <f>IFERROR(IF((time+time_cap)&lt;AZ$2, 0,IF(AND(time+1&gt;=BA$2, $E232&lt;BA$2), IF($I232= "I", $J232/($F232-$E232+1), $J232/(($F232*($F232+1)/2)-(($E232-1)*($E232-1+1)/2))*AZ$2), 0)+IF(IF(time+1&gt;=BA$2, $K232/time_cap/(time+1)*AZ$2, 0) = 0, $K232/(time_cap),0)),0)</f>
        <v/>
      </c>
      <c r="BA232" s="4395">
        <f>IFERROR(IF((time+time_cap)&lt;BA$2, 0,IF(AND(time+1&gt;=BB$2, $E232&lt;BB$2), IF($I232= "I", $J232/($F232-$E232+1), $J232/(($F232*($F232+1)/2)-(($E232-1)*($E232-1+1)/2))*BA$2), 0)+IF(IF(time+1&gt;=BB$2, $K232/time_cap/(time+1)*BA$2, 0) = 0, $K232/(time_cap),0)),0)</f>
        <v/>
      </c>
      <c r="BB232" s="4395">
        <f>IFERROR(IF((time+time_cap)&lt;BB$2, 0,IF(AND(time+1&gt;=BC$2, $E232&lt;BC$2), IF($I232= "I", $J232/($F232-$E232+1), $J232/(($F232*($F232+1)/2)-(($E232-1)*($E232-1+1)/2))*BB$2), 0)+IF(IF(time+1&gt;=BC$2, $K232/time_cap/(time+1)*BB$2, 0) = 0, $K232/(time_cap),0)),0)</f>
        <v/>
      </c>
      <c r="BC232" s="4395">
        <f>IFERROR(IF((time+time_cap)&lt;BC$2, 0,IF(AND(time+1&gt;=BD$2, $E232&lt;BD$2), IF($I232= "I", $J232/($F232-$E232+1), $J232/(($F232*($F232+1)/2)-(($E232-1)*($E232-1+1)/2))*BC$2), 0)+IF(IF(time+1&gt;=BD$2, $K232/time_cap/(time+1)*BC$2, 0) = 0, $K232/(time_cap),0)),0)</f>
        <v/>
      </c>
      <c r="BD232" s="4395">
        <f>IFERROR(IF((time+time_cap)&lt;BD$2, 0,IF(AND(time+1&gt;=BE$2, $E232&lt;BE$2), IF($I232= "I", $J232/($F232-$E232+1), $J232/(($F232*($F232+1)/2)-(($E232-1)*($E232-1+1)/2))*BD$2), 0)+IF(IF(time+1&gt;=BE$2, $K232/time_cap/(time+1)*BD$2, 0) = 0, $K232/(time_cap),0)),0)</f>
        <v/>
      </c>
      <c r="BE232" s="4395">
        <f>IFERROR(IF((time+time_cap)&lt;BE$2, 0,IF(AND(time+1&gt;=BF$2, $E232&lt;BF$2), IF($I232= "I", $J232/($F232-$E232+1), $J232/(($F232*($F232+1)/2)-(($E232-1)*($E232-1+1)/2))*BE$2), 0)+IF(IF(time+1&gt;=BF$2, $K232/time_cap/(time+1)*BE$2, 0) = 0, $K232/(time_cap),0)),0)</f>
        <v/>
      </c>
      <c r="BF232" s="4395">
        <f>IFERROR(IF((time+time_cap)&lt;BF$2, 0,IF(AND(time+1&gt;=BG$2, $E232&lt;BG$2), IF($I232= "I", $J232/($F232-$E232+1), $J232/(($F232*($F232+1)/2)-(($E232-1)*($E232-1+1)/2))*BF$2), 0)+IF(IF(time+1&gt;=BG$2, $K232/time_cap/(time+1)*BF$2, 0) = 0, $K232/(time_cap),0)),0)</f>
        <v/>
      </c>
      <c r="BG232" s="4395">
        <f>IFERROR(IF((time+time_cap)&lt;BG$2, 0,IF(AND(time+1&gt;=BH$2, $E232&lt;BH$2), IF($I232= "I", $J232/($F232-$E232+1), $J232/(($F232*($F232+1)/2)-(($E232-1)*($E232-1+1)/2))*BG$2), 0)+IF(IF(time+1&gt;=BH$2, $K232/time_cap/(time+1)*BG$2, 0) = 0, $K232/(time_cap),0)),0)</f>
        <v/>
      </c>
      <c r="BH232" s="4395">
        <f>IFERROR(IF((time+time_cap)&lt;BH$2, 0,IF(AND(time+1&gt;=BI$2, $E232&lt;BI$2), IF($I232= "I", $J232/($F232-$E232+1), $J232/(($F232*($F232+1)/2)-(($E232-1)*($E232-1+1)/2))*BH$2), 0)+IF(IF(time+1&gt;=BI$2, $K232/time_cap/(time+1)*BH$2, 0) = 0, $K232/(time_cap),0)),0)</f>
        <v/>
      </c>
      <c r="BI232" s="4395">
        <f>IFERROR(IF((time+time_cap)&lt;BI$2, 0,IF(AND(time+1&gt;=BJ$2, $E232&lt;BJ$2), IF($I232= "I", $J232/($F232-$E232+1), $J232/(($F232*($F232+1)/2)-(($E232-1)*($E232-1+1)/2))*BI$2), 0)+IF(IF(time+1&gt;=BJ$2, $K232/time_cap/(time+1)*BI$2, 0) = 0, $K232/(time_cap),0)),0)</f>
        <v/>
      </c>
      <c r="BJ232" s="4395">
        <f>IFERROR(IF((time+time_cap)&lt;BJ$2, 0,IF(AND(time+1&gt;=BK$2, $E232&lt;BK$2), IF($I232= "I", $J232/($F232-$E232+1), $J232/(($F232*($F232+1)/2)-(($E232-1)*($E232-1+1)/2))*BJ$2), 0)+IF(IF(time+1&gt;=BK$2, $K232/time_cap/(time+1)*BJ$2, 0) = 0, $K232/(time_cap),0)),0)</f>
        <v/>
      </c>
      <c r="BK232" s="4395" t="n"/>
      <c r="BL232" s="4395" t="n"/>
      <c r="BM232" s="4395" t="n"/>
      <c r="BN232" s="4395" t="n"/>
      <c r="BO232" s="4395" t="n"/>
      <c r="BP232" s="4395" t="n"/>
      <c r="BQ232" s="4395" t="n"/>
      <c r="BR232" s="4395" t="n"/>
      <c r="BS232" s="4395" t="n"/>
      <c r="BT232" s="4395" t="n"/>
      <c r="BU232" s="4395" t="n"/>
      <c r="BV232" s="4395" t="n"/>
      <c r="BW232" s="4395" t="n"/>
      <c r="BX232" s="4395" t="n"/>
      <c r="BY232" s="4395" t="n"/>
      <c r="BZ232" s="4395" t="n"/>
      <c r="CA232" s="4395" t="n"/>
      <c r="CB232" s="4395" t="n"/>
      <c r="CC232" s="4395" t="n"/>
      <c r="CD232" s="4395" t="n"/>
      <c r="CE232" s="4395" t="n"/>
      <c r="CF232" s="4395" t="n"/>
      <c r="CG232" s="4395" t="n"/>
      <c r="CH232" s="4395" t="n"/>
      <c r="CI232" s="4395" t="n"/>
      <c r="CJ232" s="4395" t="n"/>
      <c r="CK232" s="4395" t="n"/>
      <c r="CL232" s="4395" t="n"/>
      <c r="CM232" s="4395" t="n"/>
      <c r="CN232" s="4395" t="n"/>
      <c r="CO232" s="4395" t="n"/>
      <c r="CP232" s="4395" t="n"/>
      <c r="CQ232" s="4395" t="n"/>
      <c r="CR232" s="4395" t="n"/>
      <c r="CS232" s="4395" t="n"/>
      <c r="CT232" s="4395" t="n"/>
      <c r="CU232" s="4395" t="n"/>
      <c r="CV232" s="4395" t="n"/>
      <c r="CW232" s="4395" t="n"/>
      <c r="CX232" s="4395" t="n"/>
      <c r="CY232" s="4395" t="n"/>
      <c r="CZ232" s="4395" t="n"/>
      <c r="DA232" s="4395" t="n"/>
      <c r="DB232" s="4395" t="n"/>
      <c r="DC232" s="4395" t="n"/>
      <c r="DD232" s="4395" t="n"/>
      <c r="DE232" s="4395" t="n"/>
      <c r="DF232" s="4395" t="n"/>
      <c r="DG232" s="4395" t="n"/>
      <c r="DH232" s="4395" t="n"/>
    </row>
    <row r="233" ht="16" customHeight="1">
      <c r="A233" t="inlineStr">
        <is>
          <t>Irrigation</t>
        </is>
      </c>
      <c r="C233">
        <f>'9.Inputs'!C81</f>
        <v/>
      </c>
      <c r="D233">
        <f>'9.Inputs'!V81</f>
        <v/>
      </c>
      <c r="E233">
        <f>IF('9.Inputs'!BE81&lt;&gt;0,'9.Inputs'!BE81,'9.Inputs'!BD81)</f>
        <v/>
      </c>
      <c r="F233">
        <f>time</f>
        <v/>
      </c>
      <c r="G233" s="4395" t="inlineStr">
        <is>
          <t>D</t>
        </is>
      </c>
      <c r="H233" s="4395" t="inlineStr">
        <is>
          <t>D</t>
        </is>
      </c>
      <c r="I233" s="4395">
        <f>IF(OR(H233="I", G233="I"), "I", IF(OR(H233="E", G233="E"), "E", "D"))</f>
        <v/>
      </c>
      <c r="J233" s="4395">
        <f>((D233/(time_cap+((F233-E233+1)*VLOOKUP(I233,list!$I$48:$K$50,3, FALSE))))*(F233-E233+1)*VLOOKUP(I233,list!$I$48:$K$50,3, FALSE))</f>
        <v/>
      </c>
      <c r="K233" s="4395">
        <f>((D233/(time_cap+((F233-E233+1)*VLOOKUP(I233,list!$I$48:$K$50,3, FALSE))))*time_cap)</f>
        <v/>
      </c>
      <c r="M233" s="4395">
        <f>IFERROR(IF((time+time_cap)&lt;M$2, 0,IF(AND(time+1&gt;=N$2, $E233&lt;N$2), IF($I233= "I", $J233/($F233-$E233+1), $J233/(($F233*($F233+1)/2)-(($E233-1)*($E233-1+1)/2))*M$2), 0)+IF(IF(time+1&gt;=N$2, $K233/time_cap/(time+1)*M$2, 0) = 0, $K233/(time_cap),0)),0)</f>
        <v/>
      </c>
      <c r="N233" s="4395">
        <f>IFERROR(IF((time+time_cap)&lt;N$2, 0,IF(AND(time+1&gt;=O$2, $E233&lt;O$2), IF($I233= "I", $J233/($F233-$E233+1), $J233/(($F233*($F233+1)/2)-(($E233-1)*($E233-1+1)/2))*N$2), 0)+IF(IF(time+1&gt;=O$2, $K233/time_cap/(time+1)*N$2, 0) = 0, $K233/(time_cap),0)),0)</f>
        <v/>
      </c>
      <c r="O233" s="4395">
        <f>IFERROR(IF((time+time_cap)&lt;O$2, 0,IF(AND(time+1&gt;=P$2, $E233&lt;P$2), IF($I233= "I", $J233/($F233-$E233+1), $J233/(($F233*($F233+1)/2)-(($E233-1)*($E233-1+1)/2))*O$2), 0)+IF(IF(time+1&gt;=P$2, $K233/time_cap/(time+1)*O$2, 0) = 0, $K233/(time_cap),0)),0)</f>
        <v/>
      </c>
      <c r="P233" s="4395">
        <f>IFERROR(IF((time+time_cap)&lt;P$2, 0,IF(AND(time+1&gt;=Q$2, $E233&lt;Q$2), IF($I233= "I", $J233/($F233-$E233+1), $J233/(($F233*($F233+1)/2)-(($E233-1)*($E233-1+1)/2))*P$2), 0)+IF(IF(time+1&gt;=Q$2, $K233/time_cap/(time+1)*P$2, 0) = 0, $K233/(time_cap),0)),0)</f>
        <v/>
      </c>
      <c r="Q233" s="4395">
        <f>IFERROR(IF((time+time_cap)&lt;Q$2, 0,IF(AND(time+1&gt;=R$2, $E233&lt;R$2), IF($I233= "I", $J233/($F233-$E233+1), $J233/(($F233*($F233+1)/2)-(($E233-1)*($E233-1+1)/2))*Q$2), 0)+IF(IF(time+1&gt;=R$2, $K233/time_cap/(time+1)*Q$2, 0) = 0, $K233/(time_cap),0)),0)</f>
        <v/>
      </c>
      <c r="R233" s="4395">
        <f>IFERROR(IF((time+time_cap)&lt;R$2, 0,IF(AND(time+1&gt;=S$2, $E233&lt;S$2), IF($I233= "I", $J233/($F233-$E233+1), $J233/(($F233*($F233+1)/2)-(($E233-1)*($E233-1+1)/2))*R$2), 0)+IF(IF(time+1&gt;=S$2, $K233/time_cap/(time+1)*R$2, 0) = 0, $K233/(time_cap),0)),0)</f>
        <v/>
      </c>
      <c r="S233" s="4395">
        <f>IFERROR(IF((time+time_cap)&lt;S$2, 0,IF(AND(time+1&gt;=T$2, $E233&lt;T$2), IF($I233= "I", $J233/($F233-$E233+1), $J233/(($F233*($F233+1)/2)-(($E233-1)*($E233-1+1)/2))*S$2), 0)+IF(IF(time+1&gt;=T$2, $K233/time_cap/(time+1)*S$2, 0) = 0, $K233/(time_cap),0)),0)</f>
        <v/>
      </c>
      <c r="T233" s="4395">
        <f>IFERROR(IF((time+time_cap)&lt;T$2, 0,IF(AND(time+1&gt;=U$2, $E233&lt;U$2), IF($I233= "I", $J233/($F233-$E233+1), $J233/(($F233*($F233+1)/2)-(($E233-1)*($E233-1+1)/2))*T$2), 0)+IF(IF(time+1&gt;=U$2, $K233/time_cap/(time+1)*T$2, 0) = 0, $K233/(time_cap),0)),0)</f>
        <v/>
      </c>
      <c r="U233" s="4395">
        <f>IFERROR(IF((time+time_cap)&lt;U$2, 0,IF(AND(time+1&gt;=V$2, $E233&lt;V$2), IF($I233= "I", $J233/($F233-$E233+1), $J233/(($F233*($F233+1)/2)-(($E233-1)*($E233-1+1)/2))*U$2), 0)+IF(IF(time+1&gt;=V$2, $K233/time_cap/(time+1)*U$2, 0) = 0, $K233/(time_cap),0)),0)</f>
        <v/>
      </c>
      <c r="V233" s="4395">
        <f>IFERROR(IF((time+time_cap)&lt;V$2, 0,IF(AND(time+1&gt;=W$2, $E233&lt;W$2), IF($I233= "I", $J233/($F233-$E233+1), $J233/(($F233*($F233+1)/2)-(($E233-1)*($E233-1+1)/2))*V$2), 0)+IF(IF(time+1&gt;=W$2, $K233/time_cap/(time+1)*V$2, 0) = 0, $K233/(time_cap),0)),0)</f>
        <v/>
      </c>
      <c r="W233" s="4395">
        <f>IFERROR(IF((time+time_cap)&lt;W$2, 0,IF(AND(time+1&gt;=X$2, $E233&lt;X$2), IF($I233= "I", $J233/($F233-$E233+1), $J233/(($F233*($F233+1)/2)-(($E233-1)*($E233-1+1)/2))*W$2), 0)+IF(IF(time+1&gt;=X$2, $K233/time_cap/(time+1)*W$2, 0) = 0, $K233/(time_cap),0)),0)</f>
        <v/>
      </c>
      <c r="X233" s="4395">
        <f>IFERROR(IF((time+time_cap)&lt;X$2, 0,IF(AND(time+1&gt;=Y$2, $E233&lt;Y$2), IF($I233= "I", $J233/($F233-$E233+1), $J233/(($F233*($F233+1)/2)-(($E233-1)*($E233-1+1)/2))*X$2), 0)+IF(IF(time+1&gt;=Y$2, $K233/time_cap/(time+1)*X$2, 0) = 0, $K233/(time_cap),0)),0)</f>
        <v/>
      </c>
      <c r="Y233" s="4395">
        <f>IFERROR(IF((time+time_cap)&lt;Y$2, 0,IF(AND(time+1&gt;=Z$2, $E233&lt;Z$2), IF($I233= "I", $J233/($F233-$E233+1), $J233/(($F233*($F233+1)/2)-(($E233-1)*($E233-1+1)/2))*Y$2), 0)+IF(IF(time+1&gt;=Z$2, $K233/time_cap/(time+1)*Y$2, 0) = 0, $K233/(time_cap),0)),0)</f>
        <v/>
      </c>
      <c r="Z233" s="4395">
        <f>IFERROR(IF((time+time_cap)&lt;Z$2, 0,IF(AND(time+1&gt;=AA$2, $E233&lt;AA$2), IF($I233= "I", $J233/($F233-$E233+1), $J233/(($F233*($F233+1)/2)-(($E233-1)*($E233-1+1)/2))*Z$2), 0)+IF(IF(time+1&gt;=AA$2, $K233/time_cap/(time+1)*Z$2, 0) = 0, $K233/(time_cap),0)),0)</f>
        <v/>
      </c>
      <c r="AA233" s="4395">
        <f>IFERROR(IF((time+time_cap)&lt;AA$2, 0,IF(AND(time+1&gt;=AB$2, $E233&lt;AB$2), IF($I233= "I", $J233/($F233-$E233+1), $J233/(($F233*($F233+1)/2)-(($E233-1)*($E233-1+1)/2))*AA$2), 0)+IF(IF(time+1&gt;=AB$2, $K233/time_cap/(time+1)*AA$2, 0) = 0, $K233/(time_cap),0)),0)</f>
        <v/>
      </c>
      <c r="AB233" s="4395">
        <f>IFERROR(IF((time+time_cap)&lt;AB$2, 0,IF(AND(time+1&gt;=AC$2, $E233&lt;AC$2), IF($I233= "I", $J233/($F233-$E233+1), $J233/(($F233*($F233+1)/2)-(($E233-1)*($E233-1+1)/2))*AB$2), 0)+IF(IF(time+1&gt;=AC$2, $K233/time_cap/(time+1)*AB$2, 0) = 0, $K233/(time_cap),0)),0)</f>
        <v/>
      </c>
      <c r="AC233" s="4395">
        <f>IFERROR(IF((time+time_cap)&lt;AC$2, 0,IF(AND(time+1&gt;=AD$2, $E233&lt;AD$2), IF($I233= "I", $J233/($F233-$E233+1), $J233/(($F233*($F233+1)/2)-(($E233-1)*($E233-1+1)/2))*AC$2), 0)+IF(IF(time+1&gt;=AD$2, $K233/time_cap/(time+1)*AC$2, 0) = 0, $K233/(time_cap),0)),0)</f>
        <v/>
      </c>
      <c r="AD233" s="4395">
        <f>IFERROR(IF((time+time_cap)&lt;AD$2, 0,IF(AND(time+1&gt;=AE$2, $E233&lt;AE$2), IF($I233= "I", $J233/($F233-$E233+1), $J233/(($F233*($F233+1)/2)-(($E233-1)*($E233-1+1)/2))*AD$2), 0)+IF(IF(time+1&gt;=AE$2, $K233/time_cap/(time+1)*AD$2, 0) = 0, $K233/(time_cap),0)),0)</f>
        <v/>
      </c>
      <c r="AE233" s="4395">
        <f>IFERROR(IF((time+time_cap)&lt;AE$2, 0,IF(AND(time+1&gt;=AF$2, $E233&lt;AF$2), IF($I233= "I", $J233/($F233-$E233+1), $J233/(($F233*($F233+1)/2)-(($E233-1)*($E233-1+1)/2))*AE$2), 0)+IF(IF(time+1&gt;=AF$2, $K233/time_cap/(time+1)*AE$2, 0) = 0, $K233/(time_cap),0)),0)</f>
        <v/>
      </c>
      <c r="AF233" s="4395">
        <f>IFERROR(IF((time+time_cap)&lt;AF$2, 0,IF(AND(time+1&gt;=AG$2, $E233&lt;AG$2), IF($I233= "I", $J233/($F233-$E233+1), $J233/(($F233*($F233+1)/2)-(($E233-1)*($E233-1+1)/2))*AF$2), 0)+IF(IF(time+1&gt;=AG$2, $K233/time_cap/(time+1)*AF$2, 0) = 0, $K233/(time_cap),0)),0)</f>
        <v/>
      </c>
      <c r="AG233" s="4395">
        <f>IFERROR(IF((time+time_cap)&lt;AG$2, 0,IF(AND(time+1&gt;=AH$2, $E233&lt;AH$2), IF($I233= "I", $J233/($F233-$E233+1), $J233/(($F233*($F233+1)/2)-(($E233-1)*($E233-1+1)/2))*AG$2), 0)+IF(IF(time+1&gt;=AH$2, $K233/time_cap/(time+1)*AG$2, 0) = 0, $K233/(time_cap),0)),0)</f>
        <v/>
      </c>
      <c r="AH233" s="4395">
        <f>IFERROR(IF((time+time_cap)&lt;AH$2, 0,IF(AND(time+1&gt;=AI$2, $E233&lt;AI$2), IF($I233= "I", $J233/($F233-$E233+1), $J233/(($F233*($F233+1)/2)-(($E233-1)*($E233-1+1)/2))*AH$2), 0)+IF(IF(time+1&gt;=AI$2, $K233/time_cap/(time+1)*AH$2, 0) = 0, $K233/(time_cap),0)),0)</f>
        <v/>
      </c>
      <c r="AI233" s="4395">
        <f>IFERROR(IF((time+time_cap)&lt;AI$2, 0,IF(AND(time+1&gt;=AJ$2, $E233&lt;AJ$2), IF($I233= "I", $J233/($F233-$E233+1), $J233/(($F233*($F233+1)/2)-(($E233-1)*($E233-1+1)/2))*AI$2), 0)+IF(IF(time+1&gt;=AJ$2, $K233/time_cap/(time+1)*AI$2, 0) = 0, $K233/(time_cap),0)),0)</f>
        <v/>
      </c>
      <c r="AJ233" s="4395">
        <f>IFERROR(IF((time+time_cap)&lt;AJ$2, 0,IF(AND(time+1&gt;=AK$2, $E233&lt;AK$2), IF($I233= "I", $J233/($F233-$E233+1), $J233/(($F233*($F233+1)/2)-(($E233-1)*($E233-1+1)/2))*AJ$2), 0)+IF(IF(time+1&gt;=AK$2, $K233/time_cap/(time+1)*AJ$2, 0) = 0, $K233/(time_cap),0)),0)</f>
        <v/>
      </c>
      <c r="AK233" s="4395">
        <f>IFERROR(IF((time+time_cap)&lt;AK$2, 0,IF(AND(time+1&gt;=AL$2, $E233&lt;AL$2), IF($I233= "I", $J233/($F233-$E233+1), $J233/(($F233*($F233+1)/2)-(($E233-1)*($E233-1+1)/2))*AK$2), 0)+IF(IF(time+1&gt;=AL$2, $K233/time_cap/(time+1)*AK$2, 0) = 0, $K233/(time_cap),0)),0)</f>
        <v/>
      </c>
      <c r="AL233" s="4395">
        <f>IFERROR(IF((time+time_cap)&lt;AL$2, 0,IF(AND(time+1&gt;=AM$2, $E233&lt;AM$2), IF($I233= "I", $J233/($F233-$E233+1), $J233/(($F233*($F233+1)/2)-(($E233-1)*($E233-1+1)/2))*AL$2), 0)+IF(IF(time+1&gt;=AM$2, $K233/time_cap/(time+1)*AL$2, 0) = 0, $K233/(time_cap),0)),0)</f>
        <v/>
      </c>
      <c r="AM233" s="4395">
        <f>IFERROR(IF((time+time_cap)&lt;AM$2, 0,IF(AND(time+1&gt;=AN$2, $E233&lt;AN$2), IF($I233= "I", $J233/($F233-$E233+1), $J233/(($F233*($F233+1)/2)-(($E233-1)*($E233-1+1)/2))*AM$2), 0)+IF(IF(time+1&gt;=AN$2, $K233/time_cap/(time+1)*AM$2, 0) = 0, $K233/(time_cap),0)),0)</f>
        <v/>
      </c>
      <c r="AN233" s="4395">
        <f>IFERROR(IF((time+time_cap)&lt;AN$2, 0,IF(AND(time+1&gt;=AO$2, $E233&lt;AO$2), IF($I233= "I", $J233/($F233-$E233+1), $J233/(($F233*($F233+1)/2)-(($E233-1)*($E233-1+1)/2))*AN$2), 0)+IF(IF(time+1&gt;=AO$2, $K233/time_cap/(time+1)*AN$2, 0) = 0, $K233/(time_cap),0)),0)</f>
        <v/>
      </c>
      <c r="AO233" s="4395">
        <f>IFERROR(IF((time+time_cap)&lt;AO$2, 0,IF(AND(time+1&gt;=AP$2, $E233&lt;AP$2), IF($I233= "I", $J233/($F233-$E233+1), $J233/(($F233*($F233+1)/2)-(($E233-1)*($E233-1+1)/2))*AO$2), 0)+IF(IF(time+1&gt;=AP$2, $K233/time_cap/(time+1)*AO$2, 0) = 0, $K233/(time_cap),0)),0)</f>
        <v/>
      </c>
      <c r="AP233" s="4395">
        <f>IFERROR(IF((time+time_cap)&lt;AP$2, 0,IF(AND(time+1&gt;=AQ$2, $E233&lt;AQ$2), IF($I233= "I", $J233/($F233-$E233+1), $J233/(($F233*($F233+1)/2)-(($E233-1)*($E233-1+1)/2))*AP$2), 0)+IF(IF(time+1&gt;=AQ$2, $K233/time_cap/(time+1)*AP$2, 0) = 0, $K233/(time_cap),0)),0)</f>
        <v/>
      </c>
      <c r="AQ233" s="4395">
        <f>IFERROR(IF((time+time_cap)&lt;AQ$2, 0,IF(AND(time+1&gt;=AR$2, $E233&lt;AR$2), IF($I233= "I", $J233/($F233-$E233+1), $J233/(($F233*($F233+1)/2)-(($E233-1)*($E233-1+1)/2))*AQ$2), 0)+IF(IF(time+1&gt;=AR$2, $K233/time_cap/(time+1)*AQ$2, 0) = 0, $K233/(time_cap),0)),0)</f>
        <v/>
      </c>
      <c r="AR233" s="4395">
        <f>IFERROR(IF((time+time_cap)&lt;AR$2, 0,IF(AND(time+1&gt;=AS$2, $E233&lt;AS$2), IF($I233= "I", $J233/($F233-$E233+1), $J233/(($F233*($F233+1)/2)-(($E233-1)*($E233-1+1)/2))*AR$2), 0)+IF(IF(time+1&gt;=AS$2, $K233/time_cap/(time+1)*AR$2, 0) = 0, $K233/(time_cap),0)),0)</f>
        <v/>
      </c>
      <c r="AS233" s="4395">
        <f>IFERROR(IF((time+time_cap)&lt;AS$2, 0,IF(AND(time+1&gt;=AT$2, $E233&lt;AT$2), IF($I233= "I", $J233/($F233-$E233+1), $J233/(($F233*($F233+1)/2)-(($E233-1)*($E233-1+1)/2))*AS$2), 0)+IF(IF(time+1&gt;=AT$2, $K233/time_cap/(time+1)*AS$2, 0) = 0, $K233/(time_cap),0)),0)</f>
        <v/>
      </c>
      <c r="AT233" s="4395">
        <f>IFERROR(IF((time+time_cap)&lt;AT$2, 0,IF(AND(time+1&gt;=AU$2, $E233&lt;AU$2), IF($I233= "I", $J233/($F233-$E233+1), $J233/(($F233*($F233+1)/2)-(($E233-1)*($E233-1+1)/2))*AT$2), 0)+IF(IF(time+1&gt;=AU$2, $K233/time_cap/(time+1)*AT$2, 0) = 0, $K233/(time_cap),0)),0)</f>
        <v/>
      </c>
      <c r="AU233" s="4395">
        <f>IFERROR(IF((time+time_cap)&lt;AU$2, 0,IF(AND(time+1&gt;=AV$2, $E233&lt;AV$2), IF($I233= "I", $J233/($F233-$E233+1), $J233/(($F233*($F233+1)/2)-(($E233-1)*($E233-1+1)/2))*AU$2), 0)+IF(IF(time+1&gt;=AV$2, $K233/time_cap/(time+1)*AU$2, 0) = 0, $K233/(time_cap),0)),0)</f>
        <v/>
      </c>
      <c r="AV233" s="4395">
        <f>IFERROR(IF((time+time_cap)&lt;AV$2, 0,IF(AND(time+1&gt;=AW$2, $E233&lt;AW$2), IF($I233= "I", $J233/($F233-$E233+1), $J233/(($F233*($F233+1)/2)-(($E233-1)*($E233-1+1)/2))*AV$2), 0)+IF(IF(time+1&gt;=AW$2, $K233/time_cap/(time+1)*AV$2, 0) = 0, $K233/(time_cap),0)),0)</f>
        <v/>
      </c>
      <c r="AW233" s="4395">
        <f>IFERROR(IF((time+time_cap)&lt;AW$2, 0,IF(AND(time+1&gt;=AX$2, $E233&lt;AX$2), IF($I233= "I", $J233/($F233-$E233+1), $J233/(($F233*($F233+1)/2)-(($E233-1)*($E233-1+1)/2))*AW$2), 0)+IF(IF(time+1&gt;=AX$2, $K233/time_cap/(time+1)*AW$2, 0) = 0, $K233/(time_cap),0)),0)</f>
        <v/>
      </c>
      <c r="AX233" s="4395">
        <f>IFERROR(IF((time+time_cap)&lt;AX$2, 0,IF(AND(time+1&gt;=AY$2, $E233&lt;AY$2), IF($I233= "I", $J233/($F233-$E233+1), $J233/(($F233*($F233+1)/2)-(($E233-1)*($E233-1+1)/2))*AX$2), 0)+IF(IF(time+1&gt;=AY$2, $K233/time_cap/(time+1)*AX$2, 0) = 0, $K233/(time_cap),0)),0)</f>
        <v/>
      </c>
      <c r="AY233" s="4395">
        <f>IFERROR(IF((time+time_cap)&lt;AY$2, 0,IF(AND(time+1&gt;=AZ$2, $E233&lt;AZ$2), IF($I233= "I", $J233/($F233-$E233+1), $J233/(($F233*($F233+1)/2)-(($E233-1)*($E233-1+1)/2))*AY$2), 0)+IF(IF(time+1&gt;=AZ$2, $K233/time_cap/(time+1)*AY$2, 0) = 0, $K233/(time_cap),0)),0)</f>
        <v/>
      </c>
      <c r="AZ233" s="4395">
        <f>IFERROR(IF((time+time_cap)&lt;AZ$2, 0,IF(AND(time+1&gt;=BA$2, $E233&lt;BA$2), IF($I233= "I", $J233/($F233-$E233+1), $J233/(($F233*($F233+1)/2)-(($E233-1)*($E233-1+1)/2))*AZ$2), 0)+IF(IF(time+1&gt;=BA$2, $K233/time_cap/(time+1)*AZ$2, 0) = 0, $K233/(time_cap),0)),0)</f>
        <v/>
      </c>
      <c r="BA233" s="4395">
        <f>IFERROR(IF((time+time_cap)&lt;BA$2, 0,IF(AND(time+1&gt;=BB$2, $E233&lt;BB$2), IF($I233= "I", $J233/($F233-$E233+1), $J233/(($F233*($F233+1)/2)-(($E233-1)*($E233-1+1)/2))*BA$2), 0)+IF(IF(time+1&gt;=BB$2, $K233/time_cap/(time+1)*BA$2, 0) = 0, $K233/(time_cap),0)),0)</f>
        <v/>
      </c>
      <c r="BB233" s="4395">
        <f>IFERROR(IF((time+time_cap)&lt;BB$2, 0,IF(AND(time+1&gt;=BC$2, $E233&lt;BC$2), IF($I233= "I", $J233/($F233-$E233+1), $J233/(($F233*($F233+1)/2)-(($E233-1)*($E233-1+1)/2))*BB$2), 0)+IF(IF(time+1&gt;=BC$2, $K233/time_cap/(time+1)*BB$2, 0) = 0, $K233/(time_cap),0)),0)</f>
        <v/>
      </c>
      <c r="BC233" s="4395">
        <f>IFERROR(IF((time+time_cap)&lt;BC$2, 0,IF(AND(time+1&gt;=BD$2, $E233&lt;BD$2), IF($I233= "I", $J233/($F233-$E233+1), $J233/(($F233*($F233+1)/2)-(($E233-1)*($E233-1+1)/2))*BC$2), 0)+IF(IF(time+1&gt;=BD$2, $K233/time_cap/(time+1)*BC$2, 0) = 0, $K233/(time_cap),0)),0)</f>
        <v/>
      </c>
      <c r="BD233" s="4395">
        <f>IFERROR(IF((time+time_cap)&lt;BD$2, 0,IF(AND(time+1&gt;=BE$2, $E233&lt;BE$2), IF($I233= "I", $J233/($F233-$E233+1), $J233/(($F233*($F233+1)/2)-(($E233-1)*($E233-1+1)/2))*BD$2), 0)+IF(IF(time+1&gt;=BE$2, $K233/time_cap/(time+1)*BD$2, 0) = 0, $K233/(time_cap),0)),0)</f>
        <v/>
      </c>
      <c r="BE233" s="4395">
        <f>IFERROR(IF((time+time_cap)&lt;BE$2, 0,IF(AND(time+1&gt;=BF$2, $E233&lt;BF$2), IF($I233= "I", $J233/($F233-$E233+1), $J233/(($F233*($F233+1)/2)-(($E233-1)*($E233-1+1)/2))*BE$2), 0)+IF(IF(time+1&gt;=BF$2, $K233/time_cap/(time+1)*BE$2, 0) = 0, $K233/(time_cap),0)),0)</f>
        <v/>
      </c>
      <c r="BF233" s="4395">
        <f>IFERROR(IF((time+time_cap)&lt;BF$2, 0,IF(AND(time+1&gt;=BG$2, $E233&lt;BG$2), IF($I233= "I", $J233/($F233-$E233+1), $J233/(($F233*($F233+1)/2)-(($E233-1)*($E233-1+1)/2))*BF$2), 0)+IF(IF(time+1&gt;=BG$2, $K233/time_cap/(time+1)*BF$2, 0) = 0, $K233/(time_cap),0)),0)</f>
        <v/>
      </c>
      <c r="BG233" s="4395">
        <f>IFERROR(IF((time+time_cap)&lt;BG$2, 0,IF(AND(time+1&gt;=BH$2, $E233&lt;BH$2), IF($I233= "I", $J233/($F233-$E233+1), $J233/(($F233*($F233+1)/2)-(($E233-1)*($E233-1+1)/2))*BG$2), 0)+IF(IF(time+1&gt;=BH$2, $K233/time_cap/(time+1)*BG$2, 0) = 0, $K233/(time_cap),0)),0)</f>
        <v/>
      </c>
      <c r="BH233" s="4395">
        <f>IFERROR(IF((time+time_cap)&lt;BH$2, 0,IF(AND(time+1&gt;=BI$2, $E233&lt;BI$2), IF($I233= "I", $J233/($F233-$E233+1), $J233/(($F233*($F233+1)/2)-(($E233-1)*($E233-1+1)/2))*BH$2), 0)+IF(IF(time+1&gt;=BI$2, $K233/time_cap/(time+1)*BH$2, 0) = 0, $K233/(time_cap),0)),0)</f>
        <v/>
      </c>
      <c r="BI233" s="4395">
        <f>IFERROR(IF((time+time_cap)&lt;BI$2, 0,IF(AND(time+1&gt;=BJ$2, $E233&lt;BJ$2), IF($I233= "I", $J233/($F233-$E233+1), $J233/(($F233*($F233+1)/2)-(($E233-1)*($E233-1+1)/2))*BI$2), 0)+IF(IF(time+1&gt;=BJ$2, $K233/time_cap/(time+1)*BI$2, 0) = 0, $K233/(time_cap),0)),0)</f>
        <v/>
      </c>
      <c r="BJ233" s="4395">
        <f>IFERROR(IF((time+time_cap)&lt;BJ$2, 0,IF(AND(time+1&gt;=BK$2, $E233&lt;BK$2), IF($I233= "I", $J233/($F233-$E233+1), $J233/(($F233*($F233+1)/2)-(($E233-1)*($E233-1+1)/2))*BJ$2), 0)+IF(IF(time+1&gt;=BK$2, $K233/time_cap/(time+1)*BJ$2, 0) = 0, $K233/(time_cap),0)),0)</f>
        <v/>
      </c>
      <c r="BK233" s="4395" t="n"/>
      <c r="BL233" s="4395" t="n"/>
      <c r="BM233" s="4395" t="n"/>
      <c r="BN233" s="4395" t="n"/>
      <c r="BO233" s="4395" t="n"/>
      <c r="BP233" s="4395" t="n"/>
      <c r="BQ233" s="4395" t="n"/>
      <c r="BR233" s="4395" t="n"/>
      <c r="BS233" s="4395" t="n"/>
      <c r="BT233" s="4395" t="n"/>
      <c r="BU233" s="4395" t="n"/>
      <c r="BV233" s="4395" t="n"/>
      <c r="BW233" s="4395" t="n"/>
      <c r="BX233" s="4395" t="n"/>
      <c r="BY233" s="4395" t="n"/>
      <c r="BZ233" s="4395" t="n"/>
      <c r="CA233" s="4395" t="n"/>
      <c r="CB233" s="4395" t="n"/>
      <c r="CC233" s="4395" t="n"/>
      <c r="CD233" s="4395" t="n"/>
      <c r="CE233" s="4395" t="n"/>
      <c r="CF233" s="4395" t="n"/>
      <c r="CG233" s="4395" t="n"/>
      <c r="CH233" s="4395" t="n"/>
      <c r="CI233" s="4395" t="n"/>
      <c r="CJ233" s="4395" t="n"/>
      <c r="CK233" s="4395" t="n"/>
      <c r="CL233" s="4395" t="n"/>
      <c r="CM233" s="4395" t="n"/>
      <c r="CN233" s="4395" t="n"/>
      <c r="CO233" s="4395" t="n"/>
      <c r="CP233" s="4395" t="n"/>
      <c r="CQ233" s="4395" t="n"/>
      <c r="CR233" s="4395" t="n"/>
      <c r="CS233" s="4395" t="n"/>
      <c r="CT233" s="4395" t="n"/>
      <c r="CU233" s="4395" t="n"/>
      <c r="CV233" s="4395" t="n"/>
      <c r="CW233" s="4395" t="n"/>
      <c r="CX233" s="4395" t="n"/>
      <c r="CY233" s="4395" t="n"/>
      <c r="CZ233" s="4395" t="n"/>
      <c r="DA233" s="4395" t="n"/>
      <c r="DB233" s="4395" t="n"/>
      <c r="DC233" s="4395" t="n"/>
      <c r="DD233" s="4395" t="n"/>
      <c r="DE233" s="4395" t="n"/>
      <c r="DF233" s="4395" t="n"/>
      <c r="DG233" s="4395" t="n"/>
      <c r="DH233" s="4395" t="n"/>
    </row>
    <row r="234" ht="16" customHeight="1">
      <c r="A234" t="inlineStr">
        <is>
          <t>Irrigation</t>
        </is>
      </c>
      <c r="C234">
        <f>'9.Inputs'!C86</f>
        <v/>
      </c>
      <c r="D234">
        <f>'9.Inputs'!V86</f>
        <v/>
      </c>
      <c r="E234">
        <f>IF('9.Inputs'!BE86&lt;&gt;0,'9.Inputs'!BE86,'9.Inputs'!BD86)</f>
        <v/>
      </c>
      <c r="F234">
        <f>time</f>
        <v/>
      </c>
      <c r="G234" s="4395">
        <f>'9.Inputs'!F86</f>
        <v/>
      </c>
      <c r="H234" s="4395">
        <f>'9.Inputs'!H86</f>
        <v/>
      </c>
      <c r="I234" s="4395">
        <f>IF(OR(H234="I", G234="I"), "I", IF(OR(H234="E", G234="E"), "E", "D"))</f>
        <v/>
      </c>
      <c r="J234" s="4395">
        <f>((D234/(time_cap+((F234-E234+1)*VLOOKUP(I234,list!$I$48:$K$50,3, FALSE))))*(F234-E234+1)*VLOOKUP(I234,list!$I$48:$K$50,3, FALSE))</f>
        <v/>
      </c>
      <c r="K234" s="4395">
        <f>((D234/(time_cap+((F234-E234+1)*VLOOKUP(I234,list!$I$48:$K$50,3, FALSE))))*time_cap)</f>
        <v/>
      </c>
      <c r="M234" s="4395">
        <f>IFERROR(IF((time+time_cap)&lt;M$2, 0,IF(AND(time+1&gt;=N$2, $E234&lt;N$2), IF($I234= "I", $J234/($F234-$E234+1), $J234/(($F234*($F234+1)/2)-(($E234-1)*($E234-1+1)/2))*M$2), 0)+IF(IF(time+1&gt;=N$2, $K234/time_cap/(time+1)*M$2, 0) = 0, $K234/(time_cap),0)),0)</f>
        <v/>
      </c>
      <c r="N234" s="4395">
        <f>IFERROR(IF((time+time_cap)&lt;N$2, 0,IF(AND(time+1&gt;=O$2, $E234&lt;O$2), IF($I234= "I", $J234/($F234-$E234+1), $J234/(($F234*($F234+1)/2)-(($E234-1)*($E234-1+1)/2))*N$2), 0)+IF(IF(time+1&gt;=O$2, $K234/time_cap/(time+1)*N$2, 0) = 0, $K234/(time_cap),0)),0)</f>
        <v/>
      </c>
      <c r="O234" s="4395">
        <f>IFERROR(IF((time+time_cap)&lt;O$2, 0,IF(AND(time+1&gt;=P$2, $E234&lt;P$2), IF($I234= "I", $J234/($F234-$E234+1), $J234/(($F234*($F234+1)/2)-(($E234-1)*($E234-1+1)/2))*O$2), 0)+IF(IF(time+1&gt;=P$2, $K234/time_cap/(time+1)*O$2, 0) = 0, $K234/(time_cap),0)),0)</f>
        <v/>
      </c>
      <c r="P234" s="4395">
        <f>IFERROR(IF((time+time_cap)&lt;P$2, 0,IF(AND(time+1&gt;=Q$2, $E234&lt;Q$2), IF($I234= "I", $J234/($F234-$E234+1), $J234/(($F234*($F234+1)/2)-(($E234-1)*($E234-1+1)/2))*P$2), 0)+IF(IF(time+1&gt;=Q$2, $K234/time_cap/(time+1)*P$2, 0) = 0, $K234/(time_cap),0)),0)</f>
        <v/>
      </c>
      <c r="Q234" s="4395">
        <f>IFERROR(IF((time+time_cap)&lt;Q$2, 0,IF(AND(time+1&gt;=R$2, $E234&lt;R$2), IF($I234= "I", $J234/($F234-$E234+1), $J234/(($F234*($F234+1)/2)-(($E234-1)*($E234-1+1)/2))*Q$2), 0)+IF(IF(time+1&gt;=R$2, $K234/time_cap/(time+1)*Q$2, 0) = 0, $K234/(time_cap),0)),0)</f>
        <v/>
      </c>
      <c r="R234" s="4395">
        <f>IFERROR(IF((time+time_cap)&lt;R$2, 0,IF(AND(time+1&gt;=S$2, $E234&lt;S$2), IF($I234= "I", $J234/($F234-$E234+1), $J234/(($F234*($F234+1)/2)-(($E234-1)*($E234-1+1)/2))*R$2), 0)+IF(IF(time+1&gt;=S$2, $K234/time_cap/(time+1)*R$2, 0) = 0, $K234/(time_cap),0)),0)</f>
        <v/>
      </c>
      <c r="S234" s="4395">
        <f>IFERROR(IF((time+time_cap)&lt;S$2, 0,IF(AND(time+1&gt;=T$2, $E234&lt;T$2), IF($I234= "I", $J234/($F234-$E234+1), $J234/(($F234*($F234+1)/2)-(($E234-1)*($E234-1+1)/2))*S$2), 0)+IF(IF(time+1&gt;=T$2, $K234/time_cap/(time+1)*S$2, 0) = 0, $K234/(time_cap),0)),0)</f>
        <v/>
      </c>
      <c r="T234" s="4395">
        <f>IFERROR(IF((time+time_cap)&lt;T$2, 0,IF(AND(time+1&gt;=U$2, $E234&lt;U$2), IF($I234= "I", $J234/($F234-$E234+1), $J234/(($F234*($F234+1)/2)-(($E234-1)*($E234-1+1)/2))*T$2), 0)+IF(IF(time+1&gt;=U$2, $K234/time_cap/(time+1)*T$2, 0) = 0, $K234/(time_cap),0)),0)</f>
        <v/>
      </c>
      <c r="U234" s="4395">
        <f>IFERROR(IF((time+time_cap)&lt;U$2, 0,IF(AND(time+1&gt;=V$2, $E234&lt;V$2), IF($I234= "I", $J234/($F234-$E234+1), $J234/(($F234*($F234+1)/2)-(($E234-1)*($E234-1+1)/2))*U$2), 0)+IF(IF(time+1&gt;=V$2, $K234/time_cap/(time+1)*U$2, 0) = 0, $K234/(time_cap),0)),0)</f>
        <v/>
      </c>
      <c r="V234" s="4395">
        <f>IFERROR(IF((time+time_cap)&lt;V$2, 0,IF(AND(time+1&gt;=W$2, $E234&lt;W$2), IF($I234= "I", $J234/($F234-$E234+1), $J234/(($F234*($F234+1)/2)-(($E234-1)*($E234-1+1)/2))*V$2), 0)+IF(IF(time+1&gt;=W$2, $K234/time_cap/(time+1)*V$2, 0) = 0, $K234/(time_cap),0)),0)</f>
        <v/>
      </c>
      <c r="W234" s="4395">
        <f>IFERROR(IF((time+time_cap)&lt;W$2, 0,IF(AND(time+1&gt;=X$2, $E234&lt;X$2), IF($I234= "I", $J234/($F234-$E234+1), $J234/(($F234*($F234+1)/2)-(($E234-1)*($E234-1+1)/2))*W$2), 0)+IF(IF(time+1&gt;=X$2, $K234/time_cap/(time+1)*W$2, 0) = 0, $K234/(time_cap),0)),0)</f>
        <v/>
      </c>
      <c r="X234" s="4395">
        <f>IFERROR(IF((time+time_cap)&lt;X$2, 0,IF(AND(time+1&gt;=Y$2, $E234&lt;Y$2), IF($I234= "I", $J234/($F234-$E234+1), $J234/(($F234*($F234+1)/2)-(($E234-1)*($E234-1+1)/2))*X$2), 0)+IF(IF(time+1&gt;=Y$2, $K234/time_cap/(time+1)*X$2, 0) = 0, $K234/(time_cap),0)),0)</f>
        <v/>
      </c>
      <c r="Y234" s="4395">
        <f>IFERROR(IF((time+time_cap)&lt;Y$2, 0,IF(AND(time+1&gt;=Z$2, $E234&lt;Z$2), IF($I234= "I", $J234/($F234-$E234+1), $J234/(($F234*($F234+1)/2)-(($E234-1)*($E234-1+1)/2))*Y$2), 0)+IF(IF(time+1&gt;=Z$2, $K234/time_cap/(time+1)*Y$2, 0) = 0, $K234/(time_cap),0)),0)</f>
        <v/>
      </c>
      <c r="Z234" s="4395">
        <f>IFERROR(IF((time+time_cap)&lt;Z$2, 0,IF(AND(time+1&gt;=AA$2, $E234&lt;AA$2), IF($I234= "I", $J234/($F234-$E234+1), $J234/(($F234*($F234+1)/2)-(($E234-1)*($E234-1+1)/2))*Z$2), 0)+IF(IF(time+1&gt;=AA$2, $K234/time_cap/(time+1)*Z$2, 0) = 0, $K234/(time_cap),0)),0)</f>
        <v/>
      </c>
      <c r="AA234" s="4395">
        <f>IFERROR(IF((time+time_cap)&lt;AA$2, 0,IF(AND(time+1&gt;=AB$2, $E234&lt;AB$2), IF($I234= "I", $J234/($F234-$E234+1), $J234/(($F234*($F234+1)/2)-(($E234-1)*($E234-1+1)/2))*AA$2), 0)+IF(IF(time+1&gt;=AB$2, $K234/time_cap/(time+1)*AA$2, 0) = 0, $K234/(time_cap),0)),0)</f>
        <v/>
      </c>
      <c r="AB234" s="4395">
        <f>IFERROR(IF((time+time_cap)&lt;AB$2, 0,IF(AND(time+1&gt;=AC$2, $E234&lt;AC$2), IF($I234= "I", $J234/($F234-$E234+1), $J234/(($F234*($F234+1)/2)-(($E234-1)*($E234-1+1)/2))*AB$2), 0)+IF(IF(time+1&gt;=AC$2, $K234/time_cap/(time+1)*AB$2, 0) = 0, $K234/(time_cap),0)),0)</f>
        <v/>
      </c>
      <c r="AC234" s="4395">
        <f>IFERROR(IF((time+time_cap)&lt;AC$2, 0,IF(AND(time+1&gt;=AD$2, $E234&lt;AD$2), IF($I234= "I", $J234/($F234-$E234+1), $J234/(($F234*($F234+1)/2)-(($E234-1)*($E234-1+1)/2))*AC$2), 0)+IF(IF(time+1&gt;=AD$2, $K234/time_cap/(time+1)*AC$2, 0) = 0, $K234/(time_cap),0)),0)</f>
        <v/>
      </c>
      <c r="AD234" s="4395">
        <f>IFERROR(IF((time+time_cap)&lt;AD$2, 0,IF(AND(time+1&gt;=AE$2, $E234&lt;AE$2), IF($I234= "I", $J234/($F234-$E234+1), $J234/(($F234*($F234+1)/2)-(($E234-1)*($E234-1+1)/2))*AD$2), 0)+IF(IF(time+1&gt;=AE$2, $K234/time_cap/(time+1)*AD$2, 0) = 0, $K234/(time_cap),0)),0)</f>
        <v/>
      </c>
      <c r="AE234" s="4395">
        <f>IFERROR(IF((time+time_cap)&lt;AE$2, 0,IF(AND(time+1&gt;=AF$2, $E234&lt;AF$2), IF($I234= "I", $J234/($F234-$E234+1), $J234/(($F234*($F234+1)/2)-(($E234-1)*($E234-1+1)/2))*AE$2), 0)+IF(IF(time+1&gt;=AF$2, $K234/time_cap/(time+1)*AE$2, 0) = 0, $K234/(time_cap),0)),0)</f>
        <v/>
      </c>
      <c r="AF234" s="4395">
        <f>IFERROR(IF((time+time_cap)&lt;AF$2, 0,IF(AND(time+1&gt;=AG$2, $E234&lt;AG$2), IF($I234= "I", $J234/($F234-$E234+1), $J234/(($F234*($F234+1)/2)-(($E234-1)*($E234-1+1)/2))*AF$2), 0)+IF(IF(time+1&gt;=AG$2, $K234/time_cap/(time+1)*AF$2, 0) = 0, $K234/(time_cap),0)),0)</f>
        <v/>
      </c>
      <c r="AG234" s="4395">
        <f>IFERROR(IF((time+time_cap)&lt;AG$2, 0,IF(AND(time+1&gt;=AH$2, $E234&lt;AH$2), IF($I234= "I", $J234/($F234-$E234+1), $J234/(($F234*($F234+1)/2)-(($E234-1)*($E234-1+1)/2))*AG$2), 0)+IF(IF(time+1&gt;=AH$2, $K234/time_cap/(time+1)*AG$2, 0) = 0, $K234/(time_cap),0)),0)</f>
        <v/>
      </c>
      <c r="AH234" s="4395">
        <f>IFERROR(IF((time+time_cap)&lt;AH$2, 0,IF(AND(time+1&gt;=AI$2, $E234&lt;AI$2), IF($I234= "I", $J234/($F234-$E234+1), $J234/(($F234*($F234+1)/2)-(($E234-1)*($E234-1+1)/2))*AH$2), 0)+IF(IF(time+1&gt;=AI$2, $K234/time_cap/(time+1)*AH$2, 0) = 0, $K234/(time_cap),0)),0)</f>
        <v/>
      </c>
      <c r="AI234" s="4395">
        <f>IFERROR(IF((time+time_cap)&lt;AI$2, 0,IF(AND(time+1&gt;=AJ$2, $E234&lt;AJ$2), IF($I234= "I", $J234/($F234-$E234+1), $J234/(($F234*($F234+1)/2)-(($E234-1)*($E234-1+1)/2))*AI$2), 0)+IF(IF(time+1&gt;=AJ$2, $K234/time_cap/(time+1)*AI$2, 0) = 0, $K234/(time_cap),0)),0)</f>
        <v/>
      </c>
      <c r="AJ234" s="4395">
        <f>IFERROR(IF((time+time_cap)&lt;AJ$2, 0,IF(AND(time+1&gt;=AK$2, $E234&lt;AK$2), IF($I234= "I", $J234/($F234-$E234+1), $J234/(($F234*($F234+1)/2)-(($E234-1)*($E234-1+1)/2))*AJ$2), 0)+IF(IF(time+1&gt;=AK$2, $K234/time_cap/(time+1)*AJ$2, 0) = 0, $K234/(time_cap),0)),0)</f>
        <v/>
      </c>
      <c r="AK234" s="4395">
        <f>IFERROR(IF((time+time_cap)&lt;AK$2, 0,IF(AND(time+1&gt;=AL$2, $E234&lt;AL$2), IF($I234= "I", $J234/($F234-$E234+1), $J234/(($F234*($F234+1)/2)-(($E234-1)*($E234-1+1)/2))*AK$2), 0)+IF(IF(time+1&gt;=AL$2, $K234/time_cap/(time+1)*AK$2, 0) = 0, $K234/(time_cap),0)),0)</f>
        <v/>
      </c>
      <c r="AL234" s="4395">
        <f>IFERROR(IF((time+time_cap)&lt;AL$2, 0,IF(AND(time+1&gt;=AM$2, $E234&lt;AM$2), IF($I234= "I", $J234/($F234-$E234+1), $J234/(($F234*($F234+1)/2)-(($E234-1)*($E234-1+1)/2))*AL$2), 0)+IF(IF(time+1&gt;=AM$2, $K234/time_cap/(time+1)*AL$2, 0) = 0, $K234/(time_cap),0)),0)</f>
        <v/>
      </c>
      <c r="AM234" s="4395">
        <f>IFERROR(IF((time+time_cap)&lt;AM$2, 0,IF(AND(time+1&gt;=AN$2, $E234&lt;AN$2), IF($I234= "I", $J234/($F234-$E234+1), $J234/(($F234*($F234+1)/2)-(($E234-1)*($E234-1+1)/2))*AM$2), 0)+IF(IF(time+1&gt;=AN$2, $K234/time_cap/(time+1)*AM$2, 0) = 0, $K234/(time_cap),0)),0)</f>
        <v/>
      </c>
      <c r="AN234" s="4395">
        <f>IFERROR(IF((time+time_cap)&lt;AN$2, 0,IF(AND(time+1&gt;=AO$2, $E234&lt;AO$2), IF($I234= "I", $J234/($F234-$E234+1), $J234/(($F234*($F234+1)/2)-(($E234-1)*($E234-1+1)/2))*AN$2), 0)+IF(IF(time+1&gt;=AO$2, $K234/time_cap/(time+1)*AN$2, 0) = 0, $K234/(time_cap),0)),0)</f>
        <v/>
      </c>
      <c r="AO234" s="4395">
        <f>IFERROR(IF((time+time_cap)&lt;AO$2, 0,IF(AND(time+1&gt;=AP$2, $E234&lt;AP$2), IF($I234= "I", $J234/($F234-$E234+1), $J234/(($F234*($F234+1)/2)-(($E234-1)*($E234-1+1)/2))*AO$2), 0)+IF(IF(time+1&gt;=AP$2, $K234/time_cap/(time+1)*AO$2, 0) = 0, $K234/(time_cap),0)),0)</f>
        <v/>
      </c>
      <c r="AP234" s="4395">
        <f>IFERROR(IF((time+time_cap)&lt;AP$2, 0,IF(AND(time+1&gt;=AQ$2, $E234&lt;AQ$2), IF($I234= "I", $J234/($F234-$E234+1), $J234/(($F234*($F234+1)/2)-(($E234-1)*($E234-1+1)/2))*AP$2), 0)+IF(IF(time+1&gt;=AQ$2, $K234/time_cap/(time+1)*AP$2, 0) = 0, $K234/(time_cap),0)),0)</f>
        <v/>
      </c>
      <c r="AQ234" s="4395">
        <f>IFERROR(IF((time+time_cap)&lt;AQ$2, 0,IF(AND(time+1&gt;=AR$2, $E234&lt;AR$2), IF($I234= "I", $J234/($F234-$E234+1), $J234/(($F234*($F234+1)/2)-(($E234-1)*($E234-1+1)/2))*AQ$2), 0)+IF(IF(time+1&gt;=AR$2, $K234/time_cap/(time+1)*AQ$2, 0) = 0, $K234/(time_cap),0)),0)</f>
        <v/>
      </c>
      <c r="AR234" s="4395">
        <f>IFERROR(IF((time+time_cap)&lt;AR$2, 0,IF(AND(time+1&gt;=AS$2, $E234&lt;AS$2), IF($I234= "I", $J234/($F234-$E234+1), $J234/(($F234*($F234+1)/2)-(($E234-1)*($E234-1+1)/2))*AR$2), 0)+IF(IF(time+1&gt;=AS$2, $K234/time_cap/(time+1)*AR$2, 0) = 0, $K234/(time_cap),0)),0)</f>
        <v/>
      </c>
      <c r="AS234" s="4395">
        <f>IFERROR(IF((time+time_cap)&lt;AS$2, 0,IF(AND(time+1&gt;=AT$2, $E234&lt;AT$2), IF($I234= "I", $J234/($F234-$E234+1), $J234/(($F234*($F234+1)/2)-(($E234-1)*($E234-1+1)/2))*AS$2), 0)+IF(IF(time+1&gt;=AT$2, $K234/time_cap/(time+1)*AS$2, 0) = 0, $K234/(time_cap),0)),0)</f>
        <v/>
      </c>
      <c r="AT234" s="4395">
        <f>IFERROR(IF((time+time_cap)&lt;AT$2, 0,IF(AND(time+1&gt;=AU$2, $E234&lt;AU$2), IF($I234= "I", $J234/($F234-$E234+1), $J234/(($F234*($F234+1)/2)-(($E234-1)*($E234-1+1)/2))*AT$2), 0)+IF(IF(time+1&gt;=AU$2, $K234/time_cap/(time+1)*AT$2, 0) = 0, $K234/(time_cap),0)),0)</f>
        <v/>
      </c>
      <c r="AU234" s="4395">
        <f>IFERROR(IF((time+time_cap)&lt;AU$2, 0,IF(AND(time+1&gt;=AV$2, $E234&lt;AV$2), IF($I234= "I", $J234/($F234-$E234+1), $J234/(($F234*($F234+1)/2)-(($E234-1)*($E234-1+1)/2))*AU$2), 0)+IF(IF(time+1&gt;=AV$2, $K234/time_cap/(time+1)*AU$2, 0) = 0, $K234/(time_cap),0)),0)</f>
        <v/>
      </c>
      <c r="AV234" s="4395">
        <f>IFERROR(IF((time+time_cap)&lt;AV$2, 0,IF(AND(time+1&gt;=AW$2, $E234&lt;AW$2), IF($I234= "I", $J234/($F234-$E234+1), $J234/(($F234*($F234+1)/2)-(($E234-1)*($E234-1+1)/2))*AV$2), 0)+IF(IF(time+1&gt;=AW$2, $K234/time_cap/(time+1)*AV$2, 0) = 0, $K234/(time_cap),0)),0)</f>
        <v/>
      </c>
      <c r="AW234" s="4395">
        <f>IFERROR(IF((time+time_cap)&lt;AW$2, 0,IF(AND(time+1&gt;=AX$2, $E234&lt;AX$2), IF($I234= "I", $J234/($F234-$E234+1), $J234/(($F234*($F234+1)/2)-(($E234-1)*($E234-1+1)/2))*AW$2), 0)+IF(IF(time+1&gt;=AX$2, $K234/time_cap/(time+1)*AW$2, 0) = 0, $K234/(time_cap),0)),0)</f>
        <v/>
      </c>
      <c r="AX234" s="4395">
        <f>IFERROR(IF((time+time_cap)&lt;AX$2, 0,IF(AND(time+1&gt;=AY$2, $E234&lt;AY$2), IF($I234= "I", $J234/($F234-$E234+1), $J234/(($F234*($F234+1)/2)-(($E234-1)*($E234-1+1)/2))*AX$2), 0)+IF(IF(time+1&gt;=AY$2, $K234/time_cap/(time+1)*AX$2, 0) = 0, $K234/(time_cap),0)),0)</f>
        <v/>
      </c>
      <c r="AY234" s="4395">
        <f>IFERROR(IF((time+time_cap)&lt;AY$2, 0,IF(AND(time+1&gt;=AZ$2, $E234&lt;AZ$2), IF($I234= "I", $J234/($F234-$E234+1), $J234/(($F234*($F234+1)/2)-(($E234-1)*($E234-1+1)/2))*AY$2), 0)+IF(IF(time+1&gt;=AZ$2, $K234/time_cap/(time+1)*AY$2, 0) = 0, $K234/(time_cap),0)),0)</f>
        <v/>
      </c>
      <c r="AZ234" s="4395">
        <f>IFERROR(IF((time+time_cap)&lt;AZ$2, 0,IF(AND(time+1&gt;=BA$2, $E234&lt;BA$2), IF($I234= "I", $J234/($F234-$E234+1), $J234/(($F234*($F234+1)/2)-(($E234-1)*($E234-1+1)/2))*AZ$2), 0)+IF(IF(time+1&gt;=BA$2, $K234/time_cap/(time+1)*AZ$2, 0) = 0, $K234/(time_cap),0)),0)</f>
        <v/>
      </c>
      <c r="BA234" s="4395">
        <f>IFERROR(IF((time+time_cap)&lt;BA$2, 0,IF(AND(time+1&gt;=BB$2, $E234&lt;BB$2), IF($I234= "I", $J234/($F234-$E234+1), $J234/(($F234*($F234+1)/2)-(($E234-1)*($E234-1+1)/2))*BA$2), 0)+IF(IF(time+1&gt;=BB$2, $K234/time_cap/(time+1)*BA$2, 0) = 0, $K234/(time_cap),0)),0)</f>
        <v/>
      </c>
      <c r="BB234" s="4395">
        <f>IFERROR(IF((time+time_cap)&lt;BB$2, 0,IF(AND(time+1&gt;=BC$2, $E234&lt;BC$2), IF($I234= "I", $J234/($F234-$E234+1), $J234/(($F234*($F234+1)/2)-(($E234-1)*($E234-1+1)/2))*BB$2), 0)+IF(IF(time+1&gt;=BC$2, $K234/time_cap/(time+1)*BB$2, 0) = 0, $K234/(time_cap),0)),0)</f>
        <v/>
      </c>
      <c r="BC234" s="4395">
        <f>IFERROR(IF((time+time_cap)&lt;BC$2, 0,IF(AND(time+1&gt;=BD$2, $E234&lt;BD$2), IF($I234= "I", $J234/($F234-$E234+1), $J234/(($F234*($F234+1)/2)-(($E234-1)*($E234-1+1)/2))*BC$2), 0)+IF(IF(time+1&gt;=BD$2, $K234/time_cap/(time+1)*BC$2, 0) = 0, $K234/(time_cap),0)),0)</f>
        <v/>
      </c>
      <c r="BD234" s="4395">
        <f>IFERROR(IF((time+time_cap)&lt;BD$2, 0,IF(AND(time+1&gt;=BE$2, $E234&lt;BE$2), IF($I234= "I", $J234/($F234-$E234+1), $J234/(($F234*($F234+1)/2)-(($E234-1)*($E234-1+1)/2))*BD$2), 0)+IF(IF(time+1&gt;=BE$2, $K234/time_cap/(time+1)*BD$2, 0) = 0, $K234/(time_cap),0)),0)</f>
        <v/>
      </c>
      <c r="BE234" s="4395">
        <f>IFERROR(IF((time+time_cap)&lt;BE$2, 0,IF(AND(time+1&gt;=BF$2, $E234&lt;BF$2), IF($I234= "I", $J234/($F234-$E234+1), $J234/(($F234*($F234+1)/2)-(($E234-1)*($E234-1+1)/2))*BE$2), 0)+IF(IF(time+1&gt;=BF$2, $K234/time_cap/(time+1)*BE$2, 0) = 0, $K234/(time_cap),0)),0)</f>
        <v/>
      </c>
      <c r="BF234" s="4395">
        <f>IFERROR(IF((time+time_cap)&lt;BF$2, 0,IF(AND(time+1&gt;=BG$2, $E234&lt;BG$2), IF($I234= "I", $J234/($F234-$E234+1), $J234/(($F234*($F234+1)/2)-(($E234-1)*($E234-1+1)/2))*BF$2), 0)+IF(IF(time+1&gt;=BG$2, $K234/time_cap/(time+1)*BF$2, 0) = 0, $K234/(time_cap),0)),0)</f>
        <v/>
      </c>
      <c r="BG234" s="4395">
        <f>IFERROR(IF((time+time_cap)&lt;BG$2, 0,IF(AND(time+1&gt;=BH$2, $E234&lt;BH$2), IF($I234= "I", $J234/($F234-$E234+1), $J234/(($F234*($F234+1)/2)-(($E234-1)*($E234-1+1)/2))*BG$2), 0)+IF(IF(time+1&gt;=BH$2, $K234/time_cap/(time+1)*BG$2, 0) = 0, $K234/(time_cap),0)),0)</f>
        <v/>
      </c>
      <c r="BH234" s="4395">
        <f>IFERROR(IF((time+time_cap)&lt;BH$2, 0,IF(AND(time+1&gt;=BI$2, $E234&lt;BI$2), IF($I234= "I", $J234/($F234-$E234+1), $J234/(($F234*($F234+1)/2)-(($E234-1)*($E234-1+1)/2))*BH$2), 0)+IF(IF(time+1&gt;=BI$2, $K234/time_cap/(time+1)*BH$2, 0) = 0, $K234/(time_cap),0)),0)</f>
        <v/>
      </c>
      <c r="BI234" s="4395">
        <f>IFERROR(IF((time+time_cap)&lt;BI$2, 0,IF(AND(time+1&gt;=BJ$2, $E234&lt;BJ$2), IF($I234= "I", $J234/($F234-$E234+1), $J234/(($F234*($F234+1)/2)-(($E234-1)*($E234-1+1)/2))*BI$2), 0)+IF(IF(time+1&gt;=BJ$2, $K234/time_cap/(time+1)*BI$2, 0) = 0, $K234/(time_cap),0)),0)</f>
        <v/>
      </c>
      <c r="BJ234" s="4395">
        <f>IFERROR(IF((time+time_cap)&lt;BJ$2, 0,IF(AND(time+1&gt;=BK$2, $E234&lt;BK$2), IF($I234= "I", $J234/($F234-$E234+1), $J234/(($F234*($F234+1)/2)-(($E234-1)*($E234-1+1)/2))*BJ$2), 0)+IF(IF(time+1&gt;=BK$2, $K234/time_cap/(time+1)*BJ$2, 0) = 0, $K234/(time_cap),0)),0)</f>
        <v/>
      </c>
      <c r="BK234" s="4395" t="n"/>
      <c r="BL234" s="4395" t="n"/>
      <c r="BM234" s="4395" t="n"/>
      <c r="BN234" s="4395" t="n"/>
      <c r="BO234" s="4395" t="n"/>
      <c r="BP234" s="4395" t="n"/>
      <c r="BQ234" s="4395" t="n"/>
      <c r="BR234" s="4395" t="n"/>
      <c r="BS234" s="4395" t="n"/>
      <c r="BT234" s="4395" t="n"/>
      <c r="BU234" s="4395" t="n"/>
      <c r="BV234" s="4395" t="n"/>
      <c r="BW234" s="4395" t="n"/>
      <c r="BX234" s="4395" t="n"/>
      <c r="BY234" s="4395" t="n"/>
      <c r="BZ234" s="4395" t="n"/>
      <c r="CA234" s="4395" t="n"/>
      <c r="CB234" s="4395" t="n"/>
      <c r="CC234" s="4395" t="n"/>
      <c r="CD234" s="4395" t="n"/>
      <c r="CE234" s="4395" t="n"/>
      <c r="CF234" s="4395" t="n"/>
      <c r="CG234" s="4395" t="n"/>
      <c r="CH234" s="4395" t="n"/>
      <c r="CI234" s="4395" t="n"/>
      <c r="CJ234" s="4395" t="n"/>
      <c r="CK234" s="4395" t="n"/>
      <c r="CL234" s="4395" t="n"/>
      <c r="CM234" s="4395" t="n"/>
      <c r="CN234" s="4395" t="n"/>
      <c r="CO234" s="4395" t="n"/>
      <c r="CP234" s="4395" t="n"/>
      <c r="CQ234" s="4395" t="n"/>
      <c r="CR234" s="4395" t="n"/>
      <c r="CS234" s="4395" t="n"/>
      <c r="CT234" s="4395" t="n"/>
      <c r="CU234" s="4395" t="n"/>
      <c r="CV234" s="4395" t="n"/>
      <c r="CW234" s="4395" t="n"/>
      <c r="CX234" s="4395" t="n"/>
      <c r="CY234" s="4395" t="n"/>
      <c r="CZ234" s="4395" t="n"/>
      <c r="DA234" s="4395" t="n"/>
      <c r="DB234" s="4395" t="n"/>
      <c r="DC234" s="4395" t="n"/>
      <c r="DD234" s="4395" t="n"/>
      <c r="DE234" s="4395" t="n"/>
      <c r="DF234" s="4395" t="n"/>
      <c r="DG234" s="4395" t="n"/>
      <c r="DH234" s="4395" t="n"/>
    </row>
    <row r="235" ht="16" customHeight="1">
      <c r="A235" t="inlineStr">
        <is>
          <t>Irrigation</t>
        </is>
      </c>
      <c r="C235">
        <f>'9.Inputs'!C87</f>
        <v/>
      </c>
      <c r="D235">
        <f>'9.Inputs'!V87</f>
        <v/>
      </c>
      <c r="E235">
        <f>IF('9.Inputs'!BE87&lt;&gt;0,'9.Inputs'!BE87,'9.Inputs'!BD87)</f>
        <v/>
      </c>
      <c r="F235">
        <f>time</f>
        <v/>
      </c>
      <c r="G235" s="4395">
        <f>'9.Inputs'!F87</f>
        <v/>
      </c>
      <c r="H235" s="4395">
        <f>'9.Inputs'!H87</f>
        <v/>
      </c>
      <c r="I235" s="4395">
        <f>IF(OR(H235="I", G235="I"), "I", IF(OR(H235="E", G235="E"), "E", "D"))</f>
        <v/>
      </c>
      <c r="J235" s="4395">
        <f>((D235/(time_cap+((F235-E235+1)*VLOOKUP(I235,list!$I$48:$K$50,3, FALSE))))*(F235-E235+1)*VLOOKUP(I235,list!$I$48:$K$50,3, FALSE))</f>
        <v/>
      </c>
      <c r="K235" s="4395">
        <f>((D235/(time_cap+((F235-E235+1)*VLOOKUP(I235,list!$I$48:$K$50,3, FALSE))))*time_cap)</f>
        <v/>
      </c>
      <c r="M235" s="4395">
        <f>IFERROR(IF((time+time_cap)&lt;M$2, 0,IF(AND(time+1&gt;=N$2, $E235&lt;N$2), IF($I235= "I", $J235/($F235-$E235+1), $J235/(($F235*($F235+1)/2)-(($E235-1)*($E235-1+1)/2))*M$2), 0)+IF(IF(time+1&gt;=N$2, $K235/time_cap/(time+1)*M$2, 0) = 0, $K235/(time_cap),0)),0)</f>
        <v/>
      </c>
      <c r="N235" s="4395">
        <f>IFERROR(IF((time+time_cap)&lt;N$2, 0,IF(AND(time+1&gt;=O$2, $E235&lt;O$2), IF($I235= "I", $J235/($F235-$E235+1), $J235/(($F235*($F235+1)/2)-(($E235-1)*($E235-1+1)/2))*N$2), 0)+IF(IF(time+1&gt;=O$2, $K235/time_cap/(time+1)*N$2, 0) = 0, $K235/(time_cap),0)),0)</f>
        <v/>
      </c>
      <c r="O235" s="4395">
        <f>IFERROR(IF((time+time_cap)&lt;O$2, 0,IF(AND(time+1&gt;=P$2, $E235&lt;P$2), IF($I235= "I", $J235/($F235-$E235+1), $J235/(($F235*($F235+1)/2)-(($E235-1)*($E235-1+1)/2))*O$2), 0)+IF(IF(time+1&gt;=P$2, $K235/time_cap/(time+1)*O$2, 0) = 0, $K235/(time_cap),0)),0)</f>
        <v/>
      </c>
      <c r="P235" s="4395">
        <f>IFERROR(IF((time+time_cap)&lt;P$2, 0,IF(AND(time+1&gt;=Q$2, $E235&lt;Q$2), IF($I235= "I", $J235/($F235-$E235+1), $J235/(($F235*($F235+1)/2)-(($E235-1)*($E235-1+1)/2))*P$2), 0)+IF(IF(time+1&gt;=Q$2, $K235/time_cap/(time+1)*P$2, 0) = 0, $K235/(time_cap),0)),0)</f>
        <v/>
      </c>
      <c r="Q235" s="4395">
        <f>IFERROR(IF((time+time_cap)&lt;Q$2, 0,IF(AND(time+1&gt;=R$2, $E235&lt;R$2), IF($I235= "I", $J235/($F235-$E235+1), $J235/(($F235*($F235+1)/2)-(($E235-1)*($E235-1+1)/2))*Q$2), 0)+IF(IF(time+1&gt;=R$2, $K235/time_cap/(time+1)*Q$2, 0) = 0, $K235/(time_cap),0)),0)</f>
        <v/>
      </c>
      <c r="R235" s="4395">
        <f>IFERROR(IF((time+time_cap)&lt;R$2, 0,IF(AND(time+1&gt;=S$2, $E235&lt;S$2), IF($I235= "I", $J235/($F235-$E235+1), $J235/(($F235*($F235+1)/2)-(($E235-1)*($E235-1+1)/2))*R$2), 0)+IF(IF(time+1&gt;=S$2, $K235/time_cap/(time+1)*R$2, 0) = 0, $K235/(time_cap),0)),0)</f>
        <v/>
      </c>
      <c r="S235" s="4395">
        <f>IFERROR(IF((time+time_cap)&lt;S$2, 0,IF(AND(time+1&gt;=T$2, $E235&lt;T$2), IF($I235= "I", $J235/($F235-$E235+1), $J235/(($F235*($F235+1)/2)-(($E235-1)*($E235-1+1)/2))*S$2), 0)+IF(IF(time+1&gt;=T$2, $K235/time_cap/(time+1)*S$2, 0) = 0, $K235/(time_cap),0)),0)</f>
        <v/>
      </c>
      <c r="T235" s="4395">
        <f>IFERROR(IF((time+time_cap)&lt;T$2, 0,IF(AND(time+1&gt;=U$2, $E235&lt;U$2), IF($I235= "I", $J235/($F235-$E235+1), $J235/(($F235*($F235+1)/2)-(($E235-1)*($E235-1+1)/2))*T$2), 0)+IF(IF(time+1&gt;=U$2, $K235/time_cap/(time+1)*T$2, 0) = 0, $K235/(time_cap),0)),0)</f>
        <v/>
      </c>
      <c r="U235" s="4395">
        <f>IFERROR(IF((time+time_cap)&lt;U$2, 0,IF(AND(time+1&gt;=V$2, $E235&lt;V$2), IF($I235= "I", $J235/($F235-$E235+1), $J235/(($F235*($F235+1)/2)-(($E235-1)*($E235-1+1)/2))*U$2), 0)+IF(IF(time+1&gt;=V$2, $K235/time_cap/(time+1)*U$2, 0) = 0, $K235/(time_cap),0)),0)</f>
        <v/>
      </c>
      <c r="V235" s="4395">
        <f>IFERROR(IF((time+time_cap)&lt;V$2, 0,IF(AND(time+1&gt;=W$2, $E235&lt;W$2), IF($I235= "I", $J235/($F235-$E235+1), $J235/(($F235*($F235+1)/2)-(($E235-1)*($E235-1+1)/2))*V$2), 0)+IF(IF(time+1&gt;=W$2, $K235/time_cap/(time+1)*V$2, 0) = 0, $K235/(time_cap),0)),0)</f>
        <v/>
      </c>
      <c r="W235" s="4395">
        <f>IFERROR(IF((time+time_cap)&lt;W$2, 0,IF(AND(time+1&gt;=X$2, $E235&lt;X$2), IF($I235= "I", $J235/($F235-$E235+1), $J235/(($F235*($F235+1)/2)-(($E235-1)*($E235-1+1)/2))*W$2), 0)+IF(IF(time+1&gt;=X$2, $K235/time_cap/(time+1)*W$2, 0) = 0, $K235/(time_cap),0)),0)</f>
        <v/>
      </c>
      <c r="X235" s="4395">
        <f>IFERROR(IF((time+time_cap)&lt;X$2, 0,IF(AND(time+1&gt;=Y$2, $E235&lt;Y$2), IF($I235= "I", $J235/($F235-$E235+1), $J235/(($F235*($F235+1)/2)-(($E235-1)*($E235-1+1)/2))*X$2), 0)+IF(IF(time+1&gt;=Y$2, $K235/time_cap/(time+1)*X$2, 0) = 0, $K235/(time_cap),0)),0)</f>
        <v/>
      </c>
      <c r="Y235" s="4395">
        <f>IFERROR(IF((time+time_cap)&lt;Y$2, 0,IF(AND(time+1&gt;=Z$2, $E235&lt;Z$2), IF($I235= "I", $J235/($F235-$E235+1), $J235/(($F235*($F235+1)/2)-(($E235-1)*($E235-1+1)/2))*Y$2), 0)+IF(IF(time+1&gt;=Z$2, $K235/time_cap/(time+1)*Y$2, 0) = 0, $K235/(time_cap),0)),0)</f>
        <v/>
      </c>
      <c r="Z235" s="4395">
        <f>IFERROR(IF((time+time_cap)&lt;Z$2, 0,IF(AND(time+1&gt;=AA$2, $E235&lt;AA$2), IF($I235= "I", $J235/($F235-$E235+1), $J235/(($F235*($F235+1)/2)-(($E235-1)*($E235-1+1)/2))*Z$2), 0)+IF(IF(time+1&gt;=AA$2, $K235/time_cap/(time+1)*Z$2, 0) = 0, $K235/(time_cap),0)),0)</f>
        <v/>
      </c>
      <c r="AA235" s="4395">
        <f>IFERROR(IF((time+time_cap)&lt;AA$2, 0,IF(AND(time+1&gt;=AB$2, $E235&lt;AB$2), IF($I235= "I", $J235/($F235-$E235+1), $J235/(($F235*($F235+1)/2)-(($E235-1)*($E235-1+1)/2))*AA$2), 0)+IF(IF(time+1&gt;=AB$2, $K235/time_cap/(time+1)*AA$2, 0) = 0, $K235/(time_cap),0)),0)</f>
        <v/>
      </c>
      <c r="AB235" s="4395">
        <f>IFERROR(IF((time+time_cap)&lt;AB$2, 0,IF(AND(time+1&gt;=AC$2, $E235&lt;AC$2), IF($I235= "I", $J235/($F235-$E235+1), $J235/(($F235*($F235+1)/2)-(($E235-1)*($E235-1+1)/2))*AB$2), 0)+IF(IF(time+1&gt;=AC$2, $K235/time_cap/(time+1)*AB$2, 0) = 0, $K235/(time_cap),0)),0)</f>
        <v/>
      </c>
      <c r="AC235" s="4395">
        <f>IFERROR(IF((time+time_cap)&lt;AC$2, 0,IF(AND(time+1&gt;=AD$2, $E235&lt;AD$2), IF($I235= "I", $J235/($F235-$E235+1), $J235/(($F235*($F235+1)/2)-(($E235-1)*($E235-1+1)/2))*AC$2), 0)+IF(IF(time+1&gt;=AD$2, $K235/time_cap/(time+1)*AC$2, 0) = 0, $K235/(time_cap),0)),0)</f>
        <v/>
      </c>
      <c r="AD235" s="4395">
        <f>IFERROR(IF((time+time_cap)&lt;AD$2, 0,IF(AND(time+1&gt;=AE$2, $E235&lt;AE$2), IF($I235= "I", $J235/($F235-$E235+1), $J235/(($F235*($F235+1)/2)-(($E235-1)*($E235-1+1)/2))*AD$2), 0)+IF(IF(time+1&gt;=AE$2, $K235/time_cap/(time+1)*AD$2, 0) = 0, $K235/(time_cap),0)),0)</f>
        <v/>
      </c>
      <c r="AE235" s="4395">
        <f>IFERROR(IF((time+time_cap)&lt;AE$2, 0,IF(AND(time+1&gt;=AF$2, $E235&lt;AF$2), IF($I235= "I", $J235/($F235-$E235+1), $J235/(($F235*($F235+1)/2)-(($E235-1)*($E235-1+1)/2))*AE$2), 0)+IF(IF(time+1&gt;=AF$2, $K235/time_cap/(time+1)*AE$2, 0) = 0, $K235/(time_cap),0)),0)</f>
        <v/>
      </c>
      <c r="AF235" s="4395">
        <f>IFERROR(IF((time+time_cap)&lt;AF$2, 0,IF(AND(time+1&gt;=AG$2, $E235&lt;AG$2), IF($I235= "I", $J235/($F235-$E235+1), $J235/(($F235*($F235+1)/2)-(($E235-1)*($E235-1+1)/2))*AF$2), 0)+IF(IF(time+1&gt;=AG$2, $K235/time_cap/(time+1)*AF$2, 0) = 0, $K235/(time_cap),0)),0)</f>
        <v/>
      </c>
      <c r="AG235" s="4395">
        <f>IFERROR(IF((time+time_cap)&lt;AG$2, 0,IF(AND(time+1&gt;=AH$2, $E235&lt;AH$2), IF($I235= "I", $J235/($F235-$E235+1), $J235/(($F235*($F235+1)/2)-(($E235-1)*($E235-1+1)/2))*AG$2), 0)+IF(IF(time+1&gt;=AH$2, $K235/time_cap/(time+1)*AG$2, 0) = 0, $K235/(time_cap),0)),0)</f>
        <v/>
      </c>
      <c r="AH235" s="4395">
        <f>IFERROR(IF((time+time_cap)&lt;AH$2, 0,IF(AND(time+1&gt;=AI$2, $E235&lt;AI$2), IF($I235= "I", $J235/($F235-$E235+1), $J235/(($F235*($F235+1)/2)-(($E235-1)*($E235-1+1)/2))*AH$2), 0)+IF(IF(time+1&gt;=AI$2, $K235/time_cap/(time+1)*AH$2, 0) = 0, $K235/(time_cap),0)),0)</f>
        <v/>
      </c>
      <c r="AI235" s="4395">
        <f>IFERROR(IF((time+time_cap)&lt;AI$2, 0,IF(AND(time+1&gt;=AJ$2, $E235&lt;AJ$2), IF($I235= "I", $J235/($F235-$E235+1), $J235/(($F235*($F235+1)/2)-(($E235-1)*($E235-1+1)/2))*AI$2), 0)+IF(IF(time+1&gt;=AJ$2, $K235/time_cap/(time+1)*AI$2, 0) = 0, $K235/(time_cap),0)),0)</f>
        <v/>
      </c>
      <c r="AJ235" s="4395">
        <f>IFERROR(IF((time+time_cap)&lt;AJ$2, 0,IF(AND(time+1&gt;=AK$2, $E235&lt;AK$2), IF($I235= "I", $J235/($F235-$E235+1), $J235/(($F235*($F235+1)/2)-(($E235-1)*($E235-1+1)/2))*AJ$2), 0)+IF(IF(time+1&gt;=AK$2, $K235/time_cap/(time+1)*AJ$2, 0) = 0, $K235/(time_cap),0)),0)</f>
        <v/>
      </c>
      <c r="AK235" s="4395">
        <f>IFERROR(IF((time+time_cap)&lt;AK$2, 0,IF(AND(time+1&gt;=AL$2, $E235&lt;AL$2), IF($I235= "I", $J235/($F235-$E235+1), $J235/(($F235*($F235+1)/2)-(($E235-1)*($E235-1+1)/2))*AK$2), 0)+IF(IF(time+1&gt;=AL$2, $K235/time_cap/(time+1)*AK$2, 0) = 0, $K235/(time_cap),0)),0)</f>
        <v/>
      </c>
      <c r="AL235" s="4395">
        <f>IFERROR(IF((time+time_cap)&lt;AL$2, 0,IF(AND(time+1&gt;=AM$2, $E235&lt;AM$2), IF($I235= "I", $J235/($F235-$E235+1), $J235/(($F235*($F235+1)/2)-(($E235-1)*($E235-1+1)/2))*AL$2), 0)+IF(IF(time+1&gt;=AM$2, $K235/time_cap/(time+1)*AL$2, 0) = 0, $K235/(time_cap),0)),0)</f>
        <v/>
      </c>
      <c r="AM235" s="4395">
        <f>IFERROR(IF((time+time_cap)&lt;AM$2, 0,IF(AND(time+1&gt;=AN$2, $E235&lt;AN$2), IF($I235= "I", $J235/($F235-$E235+1), $J235/(($F235*($F235+1)/2)-(($E235-1)*($E235-1+1)/2))*AM$2), 0)+IF(IF(time+1&gt;=AN$2, $K235/time_cap/(time+1)*AM$2, 0) = 0, $K235/(time_cap),0)),0)</f>
        <v/>
      </c>
      <c r="AN235" s="4395">
        <f>IFERROR(IF((time+time_cap)&lt;AN$2, 0,IF(AND(time+1&gt;=AO$2, $E235&lt;AO$2), IF($I235= "I", $J235/($F235-$E235+1), $J235/(($F235*($F235+1)/2)-(($E235-1)*($E235-1+1)/2))*AN$2), 0)+IF(IF(time+1&gt;=AO$2, $K235/time_cap/(time+1)*AN$2, 0) = 0, $K235/(time_cap),0)),0)</f>
        <v/>
      </c>
      <c r="AO235" s="4395">
        <f>IFERROR(IF((time+time_cap)&lt;AO$2, 0,IF(AND(time+1&gt;=AP$2, $E235&lt;AP$2), IF($I235= "I", $J235/($F235-$E235+1), $J235/(($F235*($F235+1)/2)-(($E235-1)*($E235-1+1)/2))*AO$2), 0)+IF(IF(time+1&gt;=AP$2, $K235/time_cap/(time+1)*AO$2, 0) = 0, $K235/(time_cap),0)),0)</f>
        <v/>
      </c>
      <c r="AP235" s="4395">
        <f>IFERROR(IF((time+time_cap)&lt;AP$2, 0,IF(AND(time+1&gt;=AQ$2, $E235&lt;AQ$2), IF($I235= "I", $J235/($F235-$E235+1), $J235/(($F235*($F235+1)/2)-(($E235-1)*($E235-1+1)/2))*AP$2), 0)+IF(IF(time+1&gt;=AQ$2, $K235/time_cap/(time+1)*AP$2, 0) = 0, $K235/(time_cap),0)),0)</f>
        <v/>
      </c>
      <c r="AQ235" s="4395">
        <f>IFERROR(IF((time+time_cap)&lt;AQ$2, 0,IF(AND(time+1&gt;=AR$2, $E235&lt;AR$2), IF($I235= "I", $J235/($F235-$E235+1), $J235/(($F235*($F235+1)/2)-(($E235-1)*($E235-1+1)/2))*AQ$2), 0)+IF(IF(time+1&gt;=AR$2, $K235/time_cap/(time+1)*AQ$2, 0) = 0, $K235/(time_cap),0)),0)</f>
        <v/>
      </c>
      <c r="AR235" s="4395">
        <f>IFERROR(IF((time+time_cap)&lt;AR$2, 0,IF(AND(time+1&gt;=AS$2, $E235&lt;AS$2), IF($I235= "I", $J235/($F235-$E235+1), $J235/(($F235*($F235+1)/2)-(($E235-1)*($E235-1+1)/2))*AR$2), 0)+IF(IF(time+1&gt;=AS$2, $K235/time_cap/(time+1)*AR$2, 0) = 0, $K235/(time_cap),0)),0)</f>
        <v/>
      </c>
      <c r="AS235" s="4395">
        <f>IFERROR(IF((time+time_cap)&lt;AS$2, 0,IF(AND(time+1&gt;=AT$2, $E235&lt;AT$2), IF($I235= "I", $J235/($F235-$E235+1), $J235/(($F235*($F235+1)/2)-(($E235-1)*($E235-1+1)/2))*AS$2), 0)+IF(IF(time+1&gt;=AT$2, $K235/time_cap/(time+1)*AS$2, 0) = 0, $K235/(time_cap),0)),0)</f>
        <v/>
      </c>
      <c r="AT235" s="4395">
        <f>IFERROR(IF((time+time_cap)&lt;AT$2, 0,IF(AND(time+1&gt;=AU$2, $E235&lt;AU$2), IF($I235= "I", $J235/($F235-$E235+1), $J235/(($F235*($F235+1)/2)-(($E235-1)*($E235-1+1)/2))*AT$2), 0)+IF(IF(time+1&gt;=AU$2, $K235/time_cap/(time+1)*AT$2, 0) = 0, $K235/(time_cap),0)),0)</f>
        <v/>
      </c>
      <c r="AU235" s="4395">
        <f>IFERROR(IF((time+time_cap)&lt;AU$2, 0,IF(AND(time+1&gt;=AV$2, $E235&lt;AV$2), IF($I235= "I", $J235/($F235-$E235+1), $J235/(($F235*($F235+1)/2)-(($E235-1)*($E235-1+1)/2))*AU$2), 0)+IF(IF(time+1&gt;=AV$2, $K235/time_cap/(time+1)*AU$2, 0) = 0, $K235/(time_cap),0)),0)</f>
        <v/>
      </c>
      <c r="AV235" s="4395">
        <f>IFERROR(IF((time+time_cap)&lt;AV$2, 0,IF(AND(time+1&gt;=AW$2, $E235&lt;AW$2), IF($I235= "I", $J235/($F235-$E235+1), $J235/(($F235*($F235+1)/2)-(($E235-1)*($E235-1+1)/2))*AV$2), 0)+IF(IF(time+1&gt;=AW$2, $K235/time_cap/(time+1)*AV$2, 0) = 0, $K235/(time_cap),0)),0)</f>
        <v/>
      </c>
      <c r="AW235" s="4395">
        <f>IFERROR(IF((time+time_cap)&lt;AW$2, 0,IF(AND(time+1&gt;=AX$2, $E235&lt;AX$2), IF($I235= "I", $J235/($F235-$E235+1), $J235/(($F235*($F235+1)/2)-(($E235-1)*($E235-1+1)/2))*AW$2), 0)+IF(IF(time+1&gt;=AX$2, $K235/time_cap/(time+1)*AW$2, 0) = 0, $K235/(time_cap),0)),0)</f>
        <v/>
      </c>
      <c r="AX235" s="4395">
        <f>IFERROR(IF((time+time_cap)&lt;AX$2, 0,IF(AND(time+1&gt;=AY$2, $E235&lt;AY$2), IF($I235= "I", $J235/($F235-$E235+1), $J235/(($F235*($F235+1)/2)-(($E235-1)*($E235-1+1)/2))*AX$2), 0)+IF(IF(time+1&gt;=AY$2, $K235/time_cap/(time+1)*AX$2, 0) = 0, $K235/(time_cap),0)),0)</f>
        <v/>
      </c>
      <c r="AY235" s="4395">
        <f>IFERROR(IF((time+time_cap)&lt;AY$2, 0,IF(AND(time+1&gt;=AZ$2, $E235&lt;AZ$2), IF($I235= "I", $J235/($F235-$E235+1), $J235/(($F235*($F235+1)/2)-(($E235-1)*($E235-1+1)/2))*AY$2), 0)+IF(IF(time+1&gt;=AZ$2, $K235/time_cap/(time+1)*AY$2, 0) = 0, $K235/(time_cap),0)),0)</f>
        <v/>
      </c>
      <c r="AZ235" s="4395">
        <f>IFERROR(IF((time+time_cap)&lt;AZ$2, 0,IF(AND(time+1&gt;=BA$2, $E235&lt;BA$2), IF($I235= "I", $J235/($F235-$E235+1), $J235/(($F235*($F235+1)/2)-(($E235-1)*($E235-1+1)/2))*AZ$2), 0)+IF(IF(time+1&gt;=BA$2, $K235/time_cap/(time+1)*AZ$2, 0) = 0, $K235/(time_cap),0)),0)</f>
        <v/>
      </c>
      <c r="BA235" s="4395">
        <f>IFERROR(IF((time+time_cap)&lt;BA$2, 0,IF(AND(time+1&gt;=BB$2, $E235&lt;BB$2), IF($I235= "I", $J235/($F235-$E235+1), $J235/(($F235*($F235+1)/2)-(($E235-1)*($E235-1+1)/2))*BA$2), 0)+IF(IF(time+1&gt;=BB$2, $K235/time_cap/(time+1)*BA$2, 0) = 0, $K235/(time_cap),0)),0)</f>
        <v/>
      </c>
      <c r="BB235" s="4395">
        <f>IFERROR(IF((time+time_cap)&lt;BB$2, 0,IF(AND(time+1&gt;=BC$2, $E235&lt;BC$2), IF($I235= "I", $J235/($F235-$E235+1), $J235/(($F235*($F235+1)/2)-(($E235-1)*($E235-1+1)/2))*BB$2), 0)+IF(IF(time+1&gt;=BC$2, $K235/time_cap/(time+1)*BB$2, 0) = 0, $K235/(time_cap),0)),0)</f>
        <v/>
      </c>
      <c r="BC235" s="4395">
        <f>IFERROR(IF((time+time_cap)&lt;BC$2, 0,IF(AND(time+1&gt;=BD$2, $E235&lt;BD$2), IF($I235= "I", $J235/($F235-$E235+1), $J235/(($F235*($F235+1)/2)-(($E235-1)*($E235-1+1)/2))*BC$2), 0)+IF(IF(time+1&gt;=BD$2, $K235/time_cap/(time+1)*BC$2, 0) = 0, $K235/(time_cap),0)),0)</f>
        <v/>
      </c>
      <c r="BD235" s="4395">
        <f>IFERROR(IF((time+time_cap)&lt;BD$2, 0,IF(AND(time+1&gt;=BE$2, $E235&lt;BE$2), IF($I235= "I", $J235/($F235-$E235+1), $J235/(($F235*($F235+1)/2)-(($E235-1)*($E235-1+1)/2))*BD$2), 0)+IF(IF(time+1&gt;=BE$2, $K235/time_cap/(time+1)*BD$2, 0) = 0, $K235/(time_cap),0)),0)</f>
        <v/>
      </c>
      <c r="BE235" s="4395">
        <f>IFERROR(IF((time+time_cap)&lt;BE$2, 0,IF(AND(time+1&gt;=BF$2, $E235&lt;BF$2), IF($I235= "I", $J235/($F235-$E235+1), $J235/(($F235*($F235+1)/2)-(($E235-1)*($E235-1+1)/2))*BE$2), 0)+IF(IF(time+1&gt;=BF$2, $K235/time_cap/(time+1)*BE$2, 0) = 0, $K235/(time_cap),0)),0)</f>
        <v/>
      </c>
      <c r="BF235" s="4395">
        <f>IFERROR(IF((time+time_cap)&lt;BF$2, 0,IF(AND(time+1&gt;=BG$2, $E235&lt;BG$2), IF($I235= "I", $J235/($F235-$E235+1), $J235/(($F235*($F235+1)/2)-(($E235-1)*($E235-1+1)/2))*BF$2), 0)+IF(IF(time+1&gt;=BG$2, $K235/time_cap/(time+1)*BF$2, 0) = 0, $K235/(time_cap),0)),0)</f>
        <v/>
      </c>
      <c r="BG235" s="4395">
        <f>IFERROR(IF((time+time_cap)&lt;BG$2, 0,IF(AND(time+1&gt;=BH$2, $E235&lt;BH$2), IF($I235= "I", $J235/($F235-$E235+1), $J235/(($F235*($F235+1)/2)-(($E235-1)*($E235-1+1)/2))*BG$2), 0)+IF(IF(time+1&gt;=BH$2, $K235/time_cap/(time+1)*BG$2, 0) = 0, $K235/(time_cap),0)),0)</f>
        <v/>
      </c>
      <c r="BH235" s="4395">
        <f>IFERROR(IF((time+time_cap)&lt;BH$2, 0,IF(AND(time+1&gt;=BI$2, $E235&lt;BI$2), IF($I235= "I", $J235/($F235-$E235+1), $J235/(($F235*($F235+1)/2)-(($E235-1)*($E235-1+1)/2))*BH$2), 0)+IF(IF(time+1&gt;=BI$2, $K235/time_cap/(time+1)*BH$2, 0) = 0, $K235/(time_cap),0)),0)</f>
        <v/>
      </c>
      <c r="BI235" s="4395">
        <f>IFERROR(IF((time+time_cap)&lt;BI$2, 0,IF(AND(time+1&gt;=BJ$2, $E235&lt;BJ$2), IF($I235= "I", $J235/($F235-$E235+1), $J235/(($F235*($F235+1)/2)-(($E235-1)*($E235-1+1)/2))*BI$2), 0)+IF(IF(time+1&gt;=BJ$2, $K235/time_cap/(time+1)*BI$2, 0) = 0, $K235/(time_cap),0)),0)</f>
        <v/>
      </c>
      <c r="BJ235" s="4395">
        <f>IFERROR(IF((time+time_cap)&lt;BJ$2, 0,IF(AND(time+1&gt;=BK$2, $E235&lt;BK$2), IF($I235= "I", $J235/($F235-$E235+1), $J235/(($F235*($F235+1)/2)-(($E235-1)*($E235-1+1)/2))*BJ$2), 0)+IF(IF(time+1&gt;=BK$2, $K235/time_cap/(time+1)*BJ$2, 0) = 0, $K235/(time_cap),0)),0)</f>
        <v/>
      </c>
      <c r="BK235" s="4395" t="n"/>
      <c r="BL235" s="4395" t="n"/>
      <c r="BM235" s="4395" t="n"/>
      <c r="BN235" s="4395" t="n"/>
      <c r="BO235" s="4395" t="n"/>
      <c r="BP235" s="4395" t="n"/>
      <c r="BQ235" s="4395" t="n"/>
      <c r="BR235" s="4395" t="n"/>
      <c r="BS235" s="4395" t="n"/>
      <c r="BT235" s="4395" t="n"/>
      <c r="BU235" s="4395" t="n"/>
      <c r="BV235" s="4395" t="n"/>
      <c r="BW235" s="4395" t="n"/>
      <c r="BX235" s="4395" t="n"/>
      <c r="BY235" s="4395" t="n"/>
      <c r="BZ235" s="4395" t="n"/>
      <c r="CA235" s="4395" t="n"/>
      <c r="CB235" s="4395" t="n"/>
      <c r="CC235" s="4395" t="n"/>
      <c r="CD235" s="4395" t="n"/>
      <c r="CE235" s="4395" t="n"/>
      <c r="CF235" s="4395" t="n"/>
      <c r="CG235" s="4395" t="n"/>
      <c r="CH235" s="4395" t="n"/>
      <c r="CI235" s="4395" t="n"/>
      <c r="CJ235" s="4395" t="n"/>
      <c r="CK235" s="4395" t="n"/>
      <c r="CL235" s="4395" t="n"/>
      <c r="CM235" s="4395" t="n"/>
      <c r="CN235" s="4395" t="n"/>
      <c r="CO235" s="4395" t="n"/>
      <c r="CP235" s="4395" t="n"/>
      <c r="CQ235" s="4395" t="n"/>
      <c r="CR235" s="4395" t="n"/>
      <c r="CS235" s="4395" t="n"/>
      <c r="CT235" s="4395" t="n"/>
      <c r="CU235" s="4395" t="n"/>
      <c r="CV235" s="4395" t="n"/>
      <c r="CW235" s="4395" t="n"/>
      <c r="CX235" s="4395" t="n"/>
      <c r="CY235" s="4395" t="n"/>
      <c r="CZ235" s="4395" t="n"/>
      <c r="DA235" s="4395" t="n"/>
      <c r="DB235" s="4395" t="n"/>
      <c r="DC235" s="4395" t="n"/>
      <c r="DD235" s="4395" t="n"/>
      <c r="DE235" s="4395" t="n"/>
      <c r="DF235" s="4395" t="n"/>
      <c r="DG235" s="4395" t="n"/>
      <c r="DH235" s="4395" t="n"/>
    </row>
    <row r="236" ht="16" customHeight="1">
      <c r="A236" t="inlineStr">
        <is>
          <t>Irrigation</t>
        </is>
      </c>
      <c r="C236">
        <f>'9.Inputs'!C88</f>
        <v/>
      </c>
      <c r="D236">
        <f>'9.Inputs'!V88</f>
        <v/>
      </c>
      <c r="E236">
        <f>IF('9.Inputs'!BE88&lt;&gt;0,'9.Inputs'!BE88,'9.Inputs'!BD88)</f>
        <v/>
      </c>
      <c r="F236">
        <f>time</f>
        <v/>
      </c>
      <c r="G236" s="4395">
        <f>'9.Inputs'!F88</f>
        <v/>
      </c>
      <c r="H236" s="4395">
        <f>'9.Inputs'!H88</f>
        <v/>
      </c>
      <c r="I236" s="4395">
        <f>IF(OR(H236="I", G236="I"), "I", IF(OR(H236="E", G236="E"), "E", "D"))</f>
        <v/>
      </c>
      <c r="J236" s="4395">
        <f>((D236/(time_cap+((F236-E236+1)*VLOOKUP(I236,list!$I$48:$K$50,3, FALSE))))*(F236-E236+1)*VLOOKUP(I236,list!$I$48:$K$50,3, FALSE))</f>
        <v/>
      </c>
      <c r="K236" s="4395">
        <f>((D236/(time_cap+((F236-E236+1)*VLOOKUP(I236,list!$I$48:$K$50,3, FALSE))))*time_cap)</f>
        <v/>
      </c>
      <c r="M236" s="4395">
        <f>IFERROR(IF((time+time_cap)&lt;M$2, 0,IF(AND(time+1&gt;=N$2, $E236&lt;N$2), IF($I236= "I", $J236/($F236-$E236+1), $J236/(($F236*($F236+1)/2)-(($E236-1)*($E236-1+1)/2))*M$2), 0)+IF(IF(time+1&gt;=N$2, $K236/time_cap/(time+1)*M$2, 0) = 0, $K236/(time_cap),0)),0)</f>
        <v/>
      </c>
      <c r="N236" s="4395">
        <f>IFERROR(IF((time+time_cap)&lt;N$2, 0,IF(AND(time+1&gt;=O$2, $E236&lt;O$2), IF($I236= "I", $J236/($F236-$E236+1), $J236/(($F236*($F236+1)/2)-(($E236-1)*($E236-1+1)/2))*N$2), 0)+IF(IF(time+1&gt;=O$2, $K236/time_cap/(time+1)*N$2, 0) = 0, $K236/(time_cap),0)),0)</f>
        <v/>
      </c>
      <c r="O236" s="4395">
        <f>IFERROR(IF((time+time_cap)&lt;O$2, 0,IF(AND(time+1&gt;=P$2, $E236&lt;P$2), IF($I236= "I", $J236/($F236-$E236+1), $J236/(($F236*($F236+1)/2)-(($E236-1)*($E236-1+1)/2))*O$2), 0)+IF(IF(time+1&gt;=P$2, $K236/time_cap/(time+1)*O$2, 0) = 0, $K236/(time_cap),0)),0)</f>
        <v/>
      </c>
      <c r="P236" s="4395">
        <f>IFERROR(IF((time+time_cap)&lt;P$2, 0,IF(AND(time+1&gt;=Q$2, $E236&lt;Q$2), IF($I236= "I", $J236/($F236-$E236+1), $J236/(($F236*($F236+1)/2)-(($E236-1)*($E236-1+1)/2))*P$2), 0)+IF(IF(time+1&gt;=Q$2, $K236/time_cap/(time+1)*P$2, 0) = 0, $K236/(time_cap),0)),0)</f>
        <v/>
      </c>
      <c r="Q236" s="4395">
        <f>IFERROR(IF((time+time_cap)&lt;Q$2, 0,IF(AND(time+1&gt;=R$2, $E236&lt;R$2), IF($I236= "I", $J236/($F236-$E236+1), $J236/(($F236*($F236+1)/2)-(($E236-1)*($E236-1+1)/2))*Q$2), 0)+IF(IF(time+1&gt;=R$2, $K236/time_cap/(time+1)*Q$2, 0) = 0, $K236/(time_cap),0)),0)</f>
        <v/>
      </c>
      <c r="R236" s="4395">
        <f>IFERROR(IF((time+time_cap)&lt;R$2, 0,IF(AND(time+1&gt;=S$2, $E236&lt;S$2), IF($I236= "I", $J236/($F236-$E236+1), $J236/(($F236*($F236+1)/2)-(($E236-1)*($E236-1+1)/2))*R$2), 0)+IF(IF(time+1&gt;=S$2, $K236/time_cap/(time+1)*R$2, 0) = 0, $K236/(time_cap),0)),0)</f>
        <v/>
      </c>
      <c r="S236" s="4395">
        <f>IFERROR(IF((time+time_cap)&lt;S$2, 0,IF(AND(time+1&gt;=T$2, $E236&lt;T$2), IF($I236= "I", $J236/($F236-$E236+1), $J236/(($F236*($F236+1)/2)-(($E236-1)*($E236-1+1)/2))*S$2), 0)+IF(IF(time+1&gt;=T$2, $K236/time_cap/(time+1)*S$2, 0) = 0, $K236/(time_cap),0)),0)</f>
        <v/>
      </c>
      <c r="T236" s="4395">
        <f>IFERROR(IF((time+time_cap)&lt;T$2, 0,IF(AND(time+1&gt;=U$2, $E236&lt;U$2), IF($I236= "I", $J236/($F236-$E236+1), $J236/(($F236*($F236+1)/2)-(($E236-1)*($E236-1+1)/2))*T$2), 0)+IF(IF(time+1&gt;=U$2, $K236/time_cap/(time+1)*T$2, 0) = 0, $K236/(time_cap),0)),0)</f>
        <v/>
      </c>
      <c r="U236" s="4395">
        <f>IFERROR(IF((time+time_cap)&lt;U$2, 0,IF(AND(time+1&gt;=V$2, $E236&lt;V$2), IF($I236= "I", $J236/($F236-$E236+1), $J236/(($F236*($F236+1)/2)-(($E236-1)*($E236-1+1)/2))*U$2), 0)+IF(IF(time+1&gt;=V$2, $K236/time_cap/(time+1)*U$2, 0) = 0, $K236/(time_cap),0)),0)</f>
        <v/>
      </c>
      <c r="V236" s="4395">
        <f>IFERROR(IF((time+time_cap)&lt;V$2, 0,IF(AND(time+1&gt;=W$2, $E236&lt;W$2), IF($I236= "I", $J236/($F236-$E236+1), $J236/(($F236*($F236+1)/2)-(($E236-1)*($E236-1+1)/2))*V$2), 0)+IF(IF(time+1&gt;=W$2, $K236/time_cap/(time+1)*V$2, 0) = 0, $K236/(time_cap),0)),0)</f>
        <v/>
      </c>
      <c r="W236" s="4395">
        <f>IFERROR(IF((time+time_cap)&lt;W$2, 0,IF(AND(time+1&gt;=X$2, $E236&lt;X$2), IF($I236= "I", $J236/($F236-$E236+1), $J236/(($F236*($F236+1)/2)-(($E236-1)*($E236-1+1)/2))*W$2), 0)+IF(IF(time+1&gt;=X$2, $K236/time_cap/(time+1)*W$2, 0) = 0, $K236/(time_cap),0)),0)</f>
        <v/>
      </c>
      <c r="X236" s="4395">
        <f>IFERROR(IF((time+time_cap)&lt;X$2, 0,IF(AND(time+1&gt;=Y$2, $E236&lt;Y$2), IF($I236= "I", $J236/($F236-$E236+1), $J236/(($F236*($F236+1)/2)-(($E236-1)*($E236-1+1)/2))*X$2), 0)+IF(IF(time+1&gt;=Y$2, $K236/time_cap/(time+1)*X$2, 0) = 0, $K236/(time_cap),0)),0)</f>
        <v/>
      </c>
      <c r="Y236" s="4395">
        <f>IFERROR(IF((time+time_cap)&lt;Y$2, 0,IF(AND(time+1&gt;=Z$2, $E236&lt;Z$2), IF($I236= "I", $J236/($F236-$E236+1), $J236/(($F236*($F236+1)/2)-(($E236-1)*($E236-1+1)/2))*Y$2), 0)+IF(IF(time+1&gt;=Z$2, $K236/time_cap/(time+1)*Y$2, 0) = 0, $K236/(time_cap),0)),0)</f>
        <v/>
      </c>
      <c r="Z236" s="4395">
        <f>IFERROR(IF((time+time_cap)&lt;Z$2, 0,IF(AND(time+1&gt;=AA$2, $E236&lt;AA$2), IF($I236= "I", $J236/($F236-$E236+1), $J236/(($F236*($F236+1)/2)-(($E236-1)*($E236-1+1)/2))*Z$2), 0)+IF(IF(time+1&gt;=AA$2, $K236/time_cap/(time+1)*Z$2, 0) = 0, $K236/(time_cap),0)),0)</f>
        <v/>
      </c>
      <c r="AA236" s="4395">
        <f>IFERROR(IF((time+time_cap)&lt;AA$2, 0,IF(AND(time+1&gt;=AB$2, $E236&lt;AB$2), IF($I236= "I", $J236/($F236-$E236+1), $J236/(($F236*($F236+1)/2)-(($E236-1)*($E236-1+1)/2))*AA$2), 0)+IF(IF(time+1&gt;=AB$2, $K236/time_cap/(time+1)*AA$2, 0) = 0, $K236/(time_cap),0)),0)</f>
        <v/>
      </c>
      <c r="AB236" s="4395">
        <f>IFERROR(IF((time+time_cap)&lt;AB$2, 0,IF(AND(time+1&gt;=AC$2, $E236&lt;AC$2), IF($I236= "I", $J236/($F236-$E236+1), $J236/(($F236*($F236+1)/2)-(($E236-1)*($E236-1+1)/2))*AB$2), 0)+IF(IF(time+1&gt;=AC$2, $K236/time_cap/(time+1)*AB$2, 0) = 0, $K236/(time_cap),0)),0)</f>
        <v/>
      </c>
      <c r="AC236" s="4395">
        <f>IFERROR(IF((time+time_cap)&lt;AC$2, 0,IF(AND(time+1&gt;=AD$2, $E236&lt;AD$2), IF($I236= "I", $J236/($F236-$E236+1), $J236/(($F236*($F236+1)/2)-(($E236-1)*($E236-1+1)/2))*AC$2), 0)+IF(IF(time+1&gt;=AD$2, $K236/time_cap/(time+1)*AC$2, 0) = 0, $K236/(time_cap),0)),0)</f>
        <v/>
      </c>
      <c r="AD236" s="4395">
        <f>IFERROR(IF((time+time_cap)&lt;AD$2, 0,IF(AND(time+1&gt;=AE$2, $E236&lt;AE$2), IF($I236= "I", $J236/($F236-$E236+1), $J236/(($F236*($F236+1)/2)-(($E236-1)*($E236-1+1)/2))*AD$2), 0)+IF(IF(time+1&gt;=AE$2, $K236/time_cap/(time+1)*AD$2, 0) = 0, $K236/(time_cap),0)),0)</f>
        <v/>
      </c>
      <c r="AE236" s="4395">
        <f>IFERROR(IF((time+time_cap)&lt;AE$2, 0,IF(AND(time+1&gt;=AF$2, $E236&lt;AF$2), IF($I236= "I", $J236/($F236-$E236+1), $J236/(($F236*($F236+1)/2)-(($E236-1)*($E236-1+1)/2))*AE$2), 0)+IF(IF(time+1&gt;=AF$2, $K236/time_cap/(time+1)*AE$2, 0) = 0, $K236/(time_cap),0)),0)</f>
        <v/>
      </c>
      <c r="AF236" s="4395">
        <f>IFERROR(IF((time+time_cap)&lt;AF$2, 0,IF(AND(time+1&gt;=AG$2, $E236&lt;AG$2), IF($I236= "I", $J236/($F236-$E236+1), $J236/(($F236*($F236+1)/2)-(($E236-1)*($E236-1+1)/2))*AF$2), 0)+IF(IF(time+1&gt;=AG$2, $K236/time_cap/(time+1)*AF$2, 0) = 0, $K236/(time_cap),0)),0)</f>
        <v/>
      </c>
      <c r="AG236" s="4395">
        <f>IFERROR(IF((time+time_cap)&lt;AG$2, 0,IF(AND(time+1&gt;=AH$2, $E236&lt;AH$2), IF($I236= "I", $J236/($F236-$E236+1), $J236/(($F236*($F236+1)/2)-(($E236-1)*($E236-1+1)/2))*AG$2), 0)+IF(IF(time+1&gt;=AH$2, $K236/time_cap/(time+1)*AG$2, 0) = 0, $K236/(time_cap),0)),0)</f>
        <v/>
      </c>
      <c r="AH236" s="4395">
        <f>IFERROR(IF((time+time_cap)&lt;AH$2, 0,IF(AND(time+1&gt;=AI$2, $E236&lt;AI$2), IF($I236= "I", $J236/($F236-$E236+1), $J236/(($F236*($F236+1)/2)-(($E236-1)*($E236-1+1)/2))*AH$2), 0)+IF(IF(time+1&gt;=AI$2, $K236/time_cap/(time+1)*AH$2, 0) = 0, $K236/(time_cap),0)),0)</f>
        <v/>
      </c>
      <c r="AI236" s="4395">
        <f>IFERROR(IF((time+time_cap)&lt;AI$2, 0,IF(AND(time+1&gt;=AJ$2, $E236&lt;AJ$2), IF($I236= "I", $J236/($F236-$E236+1), $J236/(($F236*($F236+1)/2)-(($E236-1)*($E236-1+1)/2))*AI$2), 0)+IF(IF(time+1&gt;=AJ$2, $K236/time_cap/(time+1)*AI$2, 0) = 0, $K236/(time_cap),0)),0)</f>
        <v/>
      </c>
      <c r="AJ236" s="4395">
        <f>IFERROR(IF((time+time_cap)&lt;AJ$2, 0,IF(AND(time+1&gt;=AK$2, $E236&lt;AK$2), IF($I236= "I", $J236/($F236-$E236+1), $J236/(($F236*($F236+1)/2)-(($E236-1)*($E236-1+1)/2))*AJ$2), 0)+IF(IF(time+1&gt;=AK$2, $K236/time_cap/(time+1)*AJ$2, 0) = 0, $K236/(time_cap),0)),0)</f>
        <v/>
      </c>
      <c r="AK236" s="4395">
        <f>IFERROR(IF((time+time_cap)&lt;AK$2, 0,IF(AND(time+1&gt;=AL$2, $E236&lt;AL$2), IF($I236= "I", $J236/($F236-$E236+1), $J236/(($F236*($F236+1)/2)-(($E236-1)*($E236-1+1)/2))*AK$2), 0)+IF(IF(time+1&gt;=AL$2, $K236/time_cap/(time+1)*AK$2, 0) = 0, $K236/(time_cap),0)),0)</f>
        <v/>
      </c>
      <c r="AL236" s="4395">
        <f>IFERROR(IF((time+time_cap)&lt;AL$2, 0,IF(AND(time+1&gt;=AM$2, $E236&lt;AM$2), IF($I236= "I", $J236/($F236-$E236+1), $J236/(($F236*($F236+1)/2)-(($E236-1)*($E236-1+1)/2))*AL$2), 0)+IF(IF(time+1&gt;=AM$2, $K236/time_cap/(time+1)*AL$2, 0) = 0, $K236/(time_cap),0)),0)</f>
        <v/>
      </c>
      <c r="AM236" s="4395">
        <f>IFERROR(IF((time+time_cap)&lt;AM$2, 0,IF(AND(time+1&gt;=AN$2, $E236&lt;AN$2), IF($I236= "I", $J236/($F236-$E236+1), $J236/(($F236*($F236+1)/2)-(($E236-1)*($E236-1+1)/2))*AM$2), 0)+IF(IF(time+1&gt;=AN$2, $K236/time_cap/(time+1)*AM$2, 0) = 0, $K236/(time_cap),0)),0)</f>
        <v/>
      </c>
      <c r="AN236" s="4395">
        <f>IFERROR(IF((time+time_cap)&lt;AN$2, 0,IF(AND(time+1&gt;=AO$2, $E236&lt;AO$2), IF($I236= "I", $J236/($F236-$E236+1), $J236/(($F236*($F236+1)/2)-(($E236-1)*($E236-1+1)/2))*AN$2), 0)+IF(IF(time+1&gt;=AO$2, $K236/time_cap/(time+1)*AN$2, 0) = 0, $K236/(time_cap),0)),0)</f>
        <v/>
      </c>
      <c r="AO236" s="4395">
        <f>IFERROR(IF((time+time_cap)&lt;AO$2, 0,IF(AND(time+1&gt;=AP$2, $E236&lt;AP$2), IF($I236= "I", $J236/($F236-$E236+1), $J236/(($F236*($F236+1)/2)-(($E236-1)*($E236-1+1)/2))*AO$2), 0)+IF(IF(time+1&gt;=AP$2, $K236/time_cap/(time+1)*AO$2, 0) = 0, $K236/(time_cap),0)),0)</f>
        <v/>
      </c>
      <c r="AP236" s="4395">
        <f>IFERROR(IF((time+time_cap)&lt;AP$2, 0,IF(AND(time+1&gt;=AQ$2, $E236&lt;AQ$2), IF($I236= "I", $J236/($F236-$E236+1), $J236/(($F236*($F236+1)/2)-(($E236-1)*($E236-1+1)/2))*AP$2), 0)+IF(IF(time+1&gt;=AQ$2, $K236/time_cap/(time+1)*AP$2, 0) = 0, $K236/(time_cap),0)),0)</f>
        <v/>
      </c>
      <c r="AQ236" s="4395">
        <f>IFERROR(IF((time+time_cap)&lt;AQ$2, 0,IF(AND(time+1&gt;=AR$2, $E236&lt;AR$2), IF($I236= "I", $J236/($F236-$E236+1), $J236/(($F236*($F236+1)/2)-(($E236-1)*($E236-1+1)/2))*AQ$2), 0)+IF(IF(time+1&gt;=AR$2, $K236/time_cap/(time+1)*AQ$2, 0) = 0, $K236/(time_cap),0)),0)</f>
        <v/>
      </c>
      <c r="AR236" s="4395">
        <f>IFERROR(IF((time+time_cap)&lt;AR$2, 0,IF(AND(time+1&gt;=AS$2, $E236&lt;AS$2), IF($I236= "I", $J236/($F236-$E236+1), $J236/(($F236*($F236+1)/2)-(($E236-1)*($E236-1+1)/2))*AR$2), 0)+IF(IF(time+1&gt;=AS$2, $K236/time_cap/(time+1)*AR$2, 0) = 0, $K236/(time_cap),0)),0)</f>
        <v/>
      </c>
      <c r="AS236" s="4395">
        <f>IFERROR(IF((time+time_cap)&lt;AS$2, 0,IF(AND(time+1&gt;=AT$2, $E236&lt;AT$2), IF($I236= "I", $J236/($F236-$E236+1), $J236/(($F236*($F236+1)/2)-(($E236-1)*($E236-1+1)/2))*AS$2), 0)+IF(IF(time+1&gt;=AT$2, $K236/time_cap/(time+1)*AS$2, 0) = 0, $K236/(time_cap),0)),0)</f>
        <v/>
      </c>
      <c r="AT236" s="4395">
        <f>IFERROR(IF((time+time_cap)&lt;AT$2, 0,IF(AND(time+1&gt;=AU$2, $E236&lt;AU$2), IF($I236= "I", $J236/($F236-$E236+1), $J236/(($F236*($F236+1)/2)-(($E236-1)*($E236-1+1)/2))*AT$2), 0)+IF(IF(time+1&gt;=AU$2, $K236/time_cap/(time+1)*AT$2, 0) = 0, $K236/(time_cap),0)),0)</f>
        <v/>
      </c>
      <c r="AU236" s="4395">
        <f>IFERROR(IF((time+time_cap)&lt;AU$2, 0,IF(AND(time+1&gt;=AV$2, $E236&lt;AV$2), IF($I236= "I", $J236/($F236-$E236+1), $J236/(($F236*($F236+1)/2)-(($E236-1)*($E236-1+1)/2))*AU$2), 0)+IF(IF(time+1&gt;=AV$2, $K236/time_cap/(time+1)*AU$2, 0) = 0, $K236/(time_cap),0)),0)</f>
        <v/>
      </c>
      <c r="AV236" s="4395">
        <f>IFERROR(IF((time+time_cap)&lt;AV$2, 0,IF(AND(time+1&gt;=AW$2, $E236&lt;AW$2), IF($I236= "I", $J236/($F236-$E236+1), $J236/(($F236*($F236+1)/2)-(($E236-1)*($E236-1+1)/2))*AV$2), 0)+IF(IF(time+1&gt;=AW$2, $K236/time_cap/(time+1)*AV$2, 0) = 0, $K236/(time_cap),0)),0)</f>
        <v/>
      </c>
      <c r="AW236" s="4395">
        <f>IFERROR(IF((time+time_cap)&lt;AW$2, 0,IF(AND(time+1&gt;=AX$2, $E236&lt;AX$2), IF($I236= "I", $J236/($F236-$E236+1), $J236/(($F236*($F236+1)/2)-(($E236-1)*($E236-1+1)/2))*AW$2), 0)+IF(IF(time+1&gt;=AX$2, $K236/time_cap/(time+1)*AW$2, 0) = 0, $K236/(time_cap),0)),0)</f>
        <v/>
      </c>
      <c r="AX236" s="4395">
        <f>IFERROR(IF((time+time_cap)&lt;AX$2, 0,IF(AND(time+1&gt;=AY$2, $E236&lt;AY$2), IF($I236= "I", $J236/($F236-$E236+1), $J236/(($F236*($F236+1)/2)-(($E236-1)*($E236-1+1)/2))*AX$2), 0)+IF(IF(time+1&gt;=AY$2, $K236/time_cap/(time+1)*AX$2, 0) = 0, $K236/(time_cap),0)),0)</f>
        <v/>
      </c>
      <c r="AY236" s="4395">
        <f>IFERROR(IF((time+time_cap)&lt;AY$2, 0,IF(AND(time+1&gt;=AZ$2, $E236&lt;AZ$2), IF($I236= "I", $J236/($F236-$E236+1), $J236/(($F236*($F236+1)/2)-(($E236-1)*($E236-1+1)/2))*AY$2), 0)+IF(IF(time+1&gt;=AZ$2, $K236/time_cap/(time+1)*AY$2, 0) = 0, $K236/(time_cap),0)),0)</f>
        <v/>
      </c>
      <c r="AZ236" s="4395">
        <f>IFERROR(IF((time+time_cap)&lt;AZ$2, 0,IF(AND(time+1&gt;=BA$2, $E236&lt;BA$2), IF($I236= "I", $J236/($F236-$E236+1), $J236/(($F236*($F236+1)/2)-(($E236-1)*($E236-1+1)/2))*AZ$2), 0)+IF(IF(time+1&gt;=BA$2, $K236/time_cap/(time+1)*AZ$2, 0) = 0, $K236/(time_cap),0)),0)</f>
        <v/>
      </c>
      <c r="BA236" s="4395">
        <f>IFERROR(IF((time+time_cap)&lt;BA$2, 0,IF(AND(time+1&gt;=BB$2, $E236&lt;BB$2), IF($I236= "I", $J236/($F236-$E236+1), $J236/(($F236*($F236+1)/2)-(($E236-1)*($E236-1+1)/2))*BA$2), 0)+IF(IF(time+1&gt;=BB$2, $K236/time_cap/(time+1)*BA$2, 0) = 0, $K236/(time_cap),0)),0)</f>
        <v/>
      </c>
      <c r="BB236" s="4395">
        <f>IFERROR(IF((time+time_cap)&lt;BB$2, 0,IF(AND(time+1&gt;=BC$2, $E236&lt;BC$2), IF($I236= "I", $J236/($F236-$E236+1), $J236/(($F236*($F236+1)/2)-(($E236-1)*($E236-1+1)/2))*BB$2), 0)+IF(IF(time+1&gt;=BC$2, $K236/time_cap/(time+1)*BB$2, 0) = 0, $K236/(time_cap),0)),0)</f>
        <v/>
      </c>
      <c r="BC236" s="4395">
        <f>IFERROR(IF((time+time_cap)&lt;BC$2, 0,IF(AND(time+1&gt;=BD$2, $E236&lt;BD$2), IF($I236= "I", $J236/($F236-$E236+1), $J236/(($F236*($F236+1)/2)-(($E236-1)*($E236-1+1)/2))*BC$2), 0)+IF(IF(time+1&gt;=BD$2, $K236/time_cap/(time+1)*BC$2, 0) = 0, $K236/(time_cap),0)),0)</f>
        <v/>
      </c>
      <c r="BD236" s="4395">
        <f>IFERROR(IF((time+time_cap)&lt;BD$2, 0,IF(AND(time+1&gt;=BE$2, $E236&lt;BE$2), IF($I236= "I", $J236/($F236-$E236+1), $J236/(($F236*($F236+1)/2)-(($E236-1)*($E236-1+1)/2))*BD$2), 0)+IF(IF(time+1&gt;=BE$2, $K236/time_cap/(time+1)*BD$2, 0) = 0, $K236/(time_cap),0)),0)</f>
        <v/>
      </c>
      <c r="BE236" s="4395">
        <f>IFERROR(IF((time+time_cap)&lt;BE$2, 0,IF(AND(time+1&gt;=BF$2, $E236&lt;BF$2), IF($I236= "I", $J236/($F236-$E236+1), $J236/(($F236*($F236+1)/2)-(($E236-1)*($E236-1+1)/2))*BE$2), 0)+IF(IF(time+1&gt;=BF$2, $K236/time_cap/(time+1)*BE$2, 0) = 0, $K236/(time_cap),0)),0)</f>
        <v/>
      </c>
      <c r="BF236" s="4395">
        <f>IFERROR(IF((time+time_cap)&lt;BF$2, 0,IF(AND(time+1&gt;=BG$2, $E236&lt;BG$2), IF($I236= "I", $J236/($F236-$E236+1), $J236/(($F236*($F236+1)/2)-(($E236-1)*($E236-1+1)/2))*BF$2), 0)+IF(IF(time+1&gt;=BG$2, $K236/time_cap/(time+1)*BF$2, 0) = 0, $K236/(time_cap),0)),0)</f>
        <v/>
      </c>
      <c r="BG236" s="4395">
        <f>IFERROR(IF((time+time_cap)&lt;BG$2, 0,IF(AND(time+1&gt;=BH$2, $E236&lt;BH$2), IF($I236= "I", $J236/($F236-$E236+1), $J236/(($F236*($F236+1)/2)-(($E236-1)*($E236-1+1)/2))*BG$2), 0)+IF(IF(time+1&gt;=BH$2, $K236/time_cap/(time+1)*BG$2, 0) = 0, $K236/(time_cap),0)),0)</f>
        <v/>
      </c>
      <c r="BH236" s="4395">
        <f>IFERROR(IF((time+time_cap)&lt;BH$2, 0,IF(AND(time+1&gt;=BI$2, $E236&lt;BI$2), IF($I236= "I", $J236/($F236-$E236+1), $J236/(($F236*($F236+1)/2)-(($E236-1)*($E236-1+1)/2))*BH$2), 0)+IF(IF(time+1&gt;=BI$2, $K236/time_cap/(time+1)*BH$2, 0) = 0, $K236/(time_cap),0)),0)</f>
        <v/>
      </c>
      <c r="BI236" s="4395">
        <f>IFERROR(IF((time+time_cap)&lt;BI$2, 0,IF(AND(time+1&gt;=BJ$2, $E236&lt;BJ$2), IF($I236= "I", $J236/($F236-$E236+1), $J236/(($F236*($F236+1)/2)-(($E236-1)*($E236-1+1)/2))*BI$2), 0)+IF(IF(time+1&gt;=BJ$2, $K236/time_cap/(time+1)*BI$2, 0) = 0, $K236/(time_cap),0)),0)</f>
        <v/>
      </c>
      <c r="BJ236" s="4395">
        <f>IFERROR(IF((time+time_cap)&lt;BJ$2, 0,IF(AND(time+1&gt;=BK$2, $E236&lt;BK$2), IF($I236= "I", $J236/($F236-$E236+1), $J236/(($F236*($F236+1)/2)-(($E236-1)*($E236-1+1)/2))*BJ$2), 0)+IF(IF(time+1&gt;=BK$2, $K236/time_cap/(time+1)*BJ$2, 0) = 0, $K236/(time_cap),0)),0)</f>
        <v/>
      </c>
      <c r="BK236" s="4395" t="n"/>
      <c r="BL236" s="4395" t="n"/>
      <c r="BM236" s="4395" t="n"/>
      <c r="BN236" s="4395" t="n"/>
      <c r="BO236" s="4395" t="n"/>
      <c r="BP236" s="4395" t="n"/>
      <c r="BQ236" s="4395" t="n"/>
      <c r="BR236" s="4395" t="n"/>
      <c r="BS236" s="4395" t="n"/>
      <c r="BT236" s="4395" t="n"/>
      <c r="BU236" s="4395" t="n"/>
      <c r="BV236" s="4395" t="n"/>
      <c r="BW236" s="4395" t="n"/>
      <c r="BX236" s="4395" t="n"/>
      <c r="BY236" s="4395" t="n"/>
      <c r="BZ236" s="4395" t="n"/>
      <c r="CA236" s="4395" t="n"/>
      <c r="CB236" s="4395" t="n"/>
      <c r="CC236" s="4395" t="n"/>
      <c r="CD236" s="4395" t="n"/>
      <c r="CE236" s="4395" t="n"/>
      <c r="CF236" s="4395" t="n"/>
      <c r="CG236" s="4395" t="n"/>
      <c r="CH236" s="4395" t="n"/>
      <c r="CI236" s="4395" t="n"/>
      <c r="CJ236" s="4395" t="n"/>
      <c r="CK236" s="4395" t="n"/>
      <c r="CL236" s="4395" t="n"/>
      <c r="CM236" s="4395" t="n"/>
      <c r="CN236" s="4395" t="n"/>
      <c r="CO236" s="4395" t="n"/>
      <c r="CP236" s="4395" t="n"/>
      <c r="CQ236" s="4395" t="n"/>
      <c r="CR236" s="4395" t="n"/>
      <c r="CS236" s="4395" t="n"/>
      <c r="CT236" s="4395" t="n"/>
      <c r="CU236" s="4395" t="n"/>
      <c r="CV236" s="4395" t="n"/>
      <c r="CW236" s="4395" t="n"/>
      <c r="CX236" s="4395" t="n"/>
      <c r="CY236" s="4395" t="n"/>
      <c r="CZ236" s="4395" t="n"/>
      <c r="DA236" s="4395" t="n"/>
      <c r="DB236" s="4395" t="n"/>
      <c r="DC236" s="4395" t="n"/>
      <c r="DD236" s="4395" t="n"/>
      <c r="DE236" s="4395" t="n"/>
      <c r="DF236" s="4395" t="n"/>
      <c r="DG236" s="4395" t="n"/>
      <c r="DH236" s="4395" t="n"/>
    </row>
    <row r="237" ht="16" customHeight="1">
      <c r="A237" t="inlineStr">
        <is>
          <t>Irrigation</t>
        </is>
      </c>
      <c r="C237">
        <f>'9.Inputs'!C89</f>
        <v/>
      </c>
      <c r="D237">
        <f>'9.Inputs'!V89</f>
        <v/>
      </c>
      <c r="E237">
        <f>IF('9.Inputs'!BE89&lt;&gt;0,'9.Inputs'!BE89,'9.Inputs'!BD89)</f>
        <v/>
      </c>
      <c r="F237">
        <f>time</f>
        <v/>
      </c>
      <c r="G237" s="4395">
        <f>'9.Inputs'!F89</f>
        <v/>
      </c>
      <c r="H237" s="4395">
        <f>'9.Inputs'!H89</f>
        <v/>
      </c>
      <c r="I237" s="4395">
        <f>IF(OR(H237="I", G237="I"), "I", IF(OR(H237="E", G237="E"), "E", "D"))</f>
        <v/>
      </c>
      <c r="J237" s="4395">
        <f>((D237/(time_cap+((F237-E237+1)*VLOOKUP(I237,list!$I$48:$K$50,3, FALSE))))*(F237-E237+1)*VLOOKUP(I237,list!$I$48:$K$50,3, FALSE))</f>
        <v/>
      </c>
      <c r="K237" s="4395">
        <f>((D237/(time_cap+((F237-E237+1)*VLOOKUP(I237,list!$I$48:$K$50,3, FALSE))))*time_cap)</f>
        <v/>
      </c>
      <c r="M237" s="4395">
        <f>IFERROR(IF((time+time_cap)&lt;M$2, 0,IF(AND(time+1&gt;=N$2, $E237&lt;N$2), IF($I237= "I", $J237/($F237-$E237+1), $J237/(($F237*($F237+1)/2)-(($E237-1)*($E237-1+1)/2))*M$2), 0)+IF(IF(time+1&gt;=N$2, $K237/time_cap/(time+1)*M$2, 0) = 0, $K237/(time_cap),0)),0)</f>
        <v/>
      </c>
      <c r="N237" s="4395">
        <f>IFERROR(IF((time+time_cap)&lt;N$2, 0,IF(AND(time+1&gt;=O$2, $E237&lt;O$2), IF($I237= "I", $J237/($F237-$E237+1), $J237/(($F237*($F237+1)/2)-(($E237-1)*($E237-1+1)/2))*N$2), 0)+IF(IF(time+1&gt;=O$2, $K237/time_cap/(time+1)*N$2, 0) = 0, $K237/(time_cap),0)),0)</f>
        <v/>
      </c>
      <c r="O237" s="4395">
        <f>IFERROR(IF((time+time_cap)&lt;O$2, 0,IF(AND(time+1&gt;=P$2, $E237&lt;P$2), IF($I237= "I", $J237/($F237-$E237+1), $J237/(($F237*($F237+1)/2)-(($E237-1)*($E237-1+1)/2))*O$2), 0)+IF(IF(time+1&gt;=P$2, $K237/time_cap/(time+1)*O$2, 0) = 0, $K237/(time_cap),0)),0)</f>
        <v/>
      </c>
      <c r="P237" s="4395">
        <f>IFERROR(IF((time+time_cap)&lt;P$2, 0,IF(AND(time+1&gt;=Q$2, $E237&lt;Q$2), IF($I237= "I", $J237/($F237-$E237+1), $J237/(($F237*($F237+1)/2)-(($E237-1)*($E237-1+1)/2))*P$2), 0)+IF(IF(time+1&gt;=Q$2, $K237/time_cap/(time+1)*P$2, 0) = 0, $K237/(time_cap),0)),0)</f>
        <v/>
      </c>
      <c r="Q237" s="4395">
        <f>IFERROR(IF((time+time_cap)&lt;Q$2, 0,IF(AND(time+1&gt;=R$2, $E237&lt;R$2), IF($I237= "I", $J237/($F237-$E237+1), $J237/(($F237*($F237+1)/2)-(($E237-1)*($E237-1+1)/2))*Q$2), 0)+IF(IF(time+1&gt;=R$2, $K237/time_cap/(time+1)*Q$2, 0) = 0, $K237/(time_cap),0)),0)</f>
        <v/>
      </c>
      <c r="R237" s="4395">
        <f>IFERROR(IF((time+time_cap)&lt;R$2, 0,IF(AND(time+1&gt;=S$2, $E237&lt;S$2), IF($I237= "I", $J237/($F237-$E237+1), $J237/(($F237*($F237+1)/2)-(($E237-1)*($E237-1+1)/2))*R$2), 0)+IF(IF(time+1&gt;=S$2, $K237/time_cap/(time+1)*R$2, 0) = 0, $K237/(time_cap),0)),0)</f>
        <v/>
      </c>
      <c r="S237" s="4395">
        <f>IFERROR(IF((time+time_cap)&lt;S$2, 0,IF(AND(time+1&gt;=T$2, $E237&lt;T$2), IF($I237= "I", $J237/($F237-$E237+1), $J237/(($F237*($F237+1)/2)-(($E237-1)*($E237-1+1)/2))*S$2), 0)+IF(IF(time+1&gt;=T$2, $K237/time_cap/(time+1)*S$2, 0) = 0, $K237/(time_cap),0)),0)</f>
        <v/>
      </c>
      <c r="T237" s="4395">
        <f>IFERROR(IF((time+time_cap)&lt;T$2, 0,IF(AND(time+1&gt;=U$2, $E237&lt;U$2), IF($I237= "I", $J237/($F237-$E237+1), $J237/(($F237*($F237+1)/2)-(($E237-1)*($E237-1+1)/2))*T$2), 0)+IF(IF(time+1&gt;=U$2, $K237/time_cap/(time+1)*T$2, 0) = 0, $K237/(time_cap),0)),0)</f>
        <v/>
      </c>
      <c r="U237" s="4395">
        <f>IFERROR(IF((time+time_cap)&lt;U$2, 0,IF(AND(time+1&gt;=V$2, $E237&lt;V$2), IF($I237= "I", $J237/($F237-$E237+1), $J237/(($F237*($F237+1)/2)-(($E237-1)*($E237-1+1)/2))*U$2), 0)+IF(IF(time+1&gt;=V$2, $K237/time_cap/(time+1)*U$2, 0) = 0, $K237/(time_cap),0)),0)</f>
        <v/>
      </c>
      <c r="V237" s="4395">
        <f>IFERROR(IF((time+time_cap)&lt;V$2, 0,IF(AND(time+1&gt;=W$2, $E237&lt;W$2), IF($I237= "I", $J237/($F237-$E237+1), $J237/(($F237*($F237+1)/2)-(($E237-1)*($E237-1+1)/2))*V$2), 0)+IF(IF(time+1&gt;=W$2, $K237/time_cap/(time+1)*V$2, 0) = 0, $K237/(time_cap),0)),0)</f>
        <v/>
      </c>
      <c r="W237" s="4395">
        <f>IFERROR(IF((time+time_cap)&lt;W$2, 0,IF(AND(time+1&gt;=X$2, $E237&lt;X$2), IF($I237= "I", $J237/($F237-$E237+1), $J237/(($F237*($F237+1)/2)-(($E237-1)*($E237-1+1)/2))*W$2), 0)+IF(IF(time+1&gt;=X$2, $K237/time_cap/(time+1)*W$2, 0) = 0, $K237/(time_cap),0)),0)</f>
        <v/>
      </c>
      <c r="X237" s="4395">
        <f>IFERROR(IF((time+time_cap)&lt;X$2, 0,IF(AND(time+1&gt;=Y$2, $E237&lt;Y$2), IF($I237= "I", $J237/($F237-$E237+1), $J237/(($F237*($F237+1)/2)-(($E237-1)*($E237-1+1)/2))*X$2), 0)+IF(IF(time+1&gt;=Y$2, $K237/time_cap/(time+1)*X$2, 0) = 0, $K237/(time_cap),0)),0)</f>
        <v/>
      </c>
      <c r="Y237" s="4395">
        <f>IFERROR(IF((time+time_cap)&lt;Y$2, 0,IF(AND(time+1&gt;=Z$2, $E237&lt;Z$2), IF($I237= "I", $J237/($F237-$E237+1), $J237/(($F237*($F237+1)/2)-(($E237-1)*($E237-1+1)/2))*Y$2), 0)+IF(IF(time+1&gt;=Z$2, $K237/time_cap/(time+1)*Y$2, 0) = 0, $K237/(time_cap),0)),0)</f>
        <v/>
      </c>
      <c r="Z237" s="4395">
        <f>IFERROR(IF((time+time_cap)&lt;Z$2, 0,IF(AND(time+1&gt;=AA$2, $E237&lt;AA$2), IF($I237= "I", $J237/($F237-$E237+1), $J237/(($F237*($F237+1)/2)-(($E237-1)*($E237-1+1)/2))*Z$2), 0)+IF(IF(time+1&gt;=AA$2, $K237/time_cap/(time+1)*Z$2, 0) = 0, $K237/(time_cap),0)),0)</f>
        <v/>
      </c>
      <c r="AA237" s="4395">
        <f>IFERROR(IF((time+time_cap)&lt;AA$2, 0,IF(AND(time+1&gt;=AB$2, $E237&lt;AB$2), IF($I237= "I", $J237/($F237-$E237+1), $J237/(($F237*($F237+1)/2)-(($E237-1)*($E237-1+1)/2))*AA$2), 0)+IF(IF(time+1&gt;=AB$2, $K237/time_cap/(time+1)*AA$2, 0) = 0, $K237/(time_cap),0)),0)</f>
        <v/>
      </c>
      <c r="AB237" s="4395">
        <f>IFERROR(IF((time+time_cap)&lt;AB$2, 0,IF(AND(time+1&gt;=AC$2, $E237&lt;AC$2), IF($I237= "I", $J237/($F237-$E237+1), $J237/(($F237*($F237+1)/2)-(($E237-1)*($E237-1+1)/2))*AB$2), 0)+IF(IF(time+1&gt;=AC$2, $K237/time_cap/(time+1)*AB$2, 0) = 0, $K237/(time_cap),0)),0)</f>
        <v/>
      </c>
      <c r="AC237" s="4395">
        <f>IFERROR(IF((time+time_cap)&lt;AC$2, 0,IF(AND(time+1&gt;=AD$2, $E237&lt;AD$2), IF($I237= "I", $J237/($F237-$E237+1), $J237/(($F237*($F237+1)/2)-(($E237-1)*($E237-1+1)/2))*AC$2), 0)+IF(IF(time+1&gt;=AD$2, $K237/time_cap/(time+1)*AC$2, 0) = 0, $K237/(time_cap),0)),0)</f>
        <v/>
      </c>
      <c r="AD237" s="4395">
        <f>IFERROR(IF((time+time_cap)&lt;AD$2, 0,IF(AND(time+1&gt;=AE$2, $E237&lt;AE$2), IF($I237= "I", $J237/($F237-$E237+1), $J237/(($F237*($F237+1)/2)-(($E237-1)*($E237-1+1)/2))*AD$2), 0)+IF(IF(time+1&gt;=AE$2, $K237/time_cap/(time+1)*AD$2, 0) = 0, $K237/(time_cap),0)),0)</f>
        <v/>
      </c>
      <c r="AE237" s="4395">
        <f>IFERROR(IF((time+time_cap)&lt;AE$2, 0,IF(AND(time+1&gt;=AF$2, $E237&lt;AF$2), IF($I237= "I", $J237/($F237-$E237+1), $J237/(($F237*($F237+1)/2)-(($E237-1)*($E237-1+1)/2))*AE$2), 0)+IF(IF(time+1&gt;=AF$2, $K237/time_cap/(time+1)*AE$2, 0) = 0, $K237/(time_cap),0)),0)</f>
        <v/>
      </c>
      <c r="AF237" s="4395">
        <f>IFERROR(IF((time+time_cap)&lt;AF$2, 0,IF(AND(time+1&gt;=AG$2, $E237&lt;AG$2), IF($I237= "I", $J237/($F237-$E237+1), $J237/(($F237*($F237+1)/2)-(($E237-1)*($E237-1+1)/2))*AF$2), 0)+IF(IF(time+1&gt;=AG$2, $K237/time_cap/(time+1)*AF$2, 0) = 0, $K237/(time_cap),0)),0)</f>
        <v/>
      </c>
      <c r="AG237" s="4395">
        <f>IFERROR(IF((time+time_cap)&lt;AG$2, 0,IF(AND(time+1&gt;=AH$2, $E237&lt;AH$2), IF($I237= "I", $J237/($F237-$E237+1), $J237/(($F237*($F237+1)/2)-(($E237-1)*($E237-1+1)/2))*AG$2), 0)+IF(IF(time+1&gt;=AH$2, $K237/time_cap/(time+1)*AG$2, 0) = 0, $K237/(time_cap),0)),0)</f>
        <v/>
      </c>
      <c r="AH237" s="4395">
        <f>IFERROR(IF((time+time_cap)&lt;AH$2, 0,IF(AND(time+1&gt;=AI$2, $E237&lt;AI$2), IF($I237= "I", $J237/($F237-$E237+1), $J237/(($F237*($F237+1)/2)-(($E237-1)*($E237-1+1)/2))*AH$2), 0)+IF(IF(time+1&gt;=AI$2, $K237/time_cap/(time+1)*AH$2, 0) = 0, $K237/(time_cap),0)),0)</f>
        <v/>
      </c>
      <c r="AI237" s="4395">
        <f>IFERROR(IF((time+time_cap)&lt;AI$2, 0,IF(AND(time+1&gt;=AJ$2, $E237&lt;AJ$2), IF($I237= "I", $J237/($F237-$E237+1), $J237/(($F237*($F237+1)/2)-(($E237-1)*($E237-1+1)/2))*AI$2), 0)+IF(IF(time+1&gt;=AJ$2, $K237/time_cap/(time+1)*AI$2, 0) = 0, $K237/(time_cap),0)),0)</f>
        <v/>
      </c>
      <c r="AJ237" s="4395">
        <f>IFERROR(IF((time+time_cap)&lt;AJ$2, 0,IF(AND(time+1&gt;=AK$2, $E237&lt;AK$2), IF($I237= "I", $J237/($F237-$E237+1), $J237/(($F237*($F237+1)/2)-(($E237-1)*($E237-1+1)/2))*AJ$2), 0)+IF(IF(time+1&gt;=AK$2, $K237/time_cap/(time+1)*AJ$2, 0) = 0, $K237/(time_cap),0)),0)</f>
        <v/>
      </c>
      <c r="AK237" s="4395">
        <f>IFERROR(IF((time+time_cap)&lt;AK$2, 0,IF(AND(time+1&gt;=AL$2, $E237&lt;AL$2), IF($I237= "I", $J237/($F237-$E237+1), $J237/(($F237*($F237+1)/2)-(($E237-1)*($E237-1+1)/2))*AK$2), 0)+IF(IF(time+1&gt;=AL$2, $K237/time_cap/(time+1)*AK$2, 0) = 0, $K237/(time_cap),0)),0)</f>
        <v/>
      </c>
      <c r="AL237" s="4395">
        <f>IFERROR(IF((time+time_cap)&lt;AL$2, 0,IF(AND(time+1&gt;=AM$2, $E237&lt;AM$2), IF($I237= "I", $J237/($F237-$E237+1), $J237/(($F237*($F237+1)/2)-(($E237-1)*($E237-1+1)/2))*AL$2), 0)+IF(IF(time+1&gt;=AM$2, $K237/time_cap/(time+1)*AL$2, 0) = 0, $K237/(time_cap),0)),0)</f>
        <v/>
      </c>
      <c r="AM237" s="4395">
        <f>IFERROR(IF((time+time_cap)&lt;AM$2, 0,IF(AND(time+1&gt;=AN$2, $E237&lt;AN$2), IF($I237= "I", $J237/($F237-$E237+1), $J237/(($F237*($F237+1)/2)-(($E237-1)*($E237-1+1)/2))*AM$2), 0)+IF(IF(time+1&gt;=AN$2, $K237/time_cap/(time+1)*AM$2, 0) = 0, $K237/(time_cap),0)),0)</f>
        <v/>
      </c>
      <c r="AN237" s="4395">
        <f>IFERROR(IF((time+time_cap)&lt;AN$2, 0,IF(AND(time+1&gt;=AO$2, $E237&lt;AO$2), IF($I237= "I", $J237/($F237-$E237+1), $J237/(($F237*($F237+1)/2)-(($E237-1)*($E237-1+1)/2))*AN$2), 0)+IF(IF(time+1&gt;=AO$2, $K237/time_cap/(time+1)*AN$2, 0) = 0, $K237/(time_cap),0)),0)</f>
        <v/>
      </c>
      <c r="AO237" s="4395">
        <f>IFERROR(IF((time+time_cap)&lt;AO$2, 0,IF(AND(time+1&gt;=AP$2, $E237&lt;AP$2), IF($I237= "I", $J237/($F237-$E237+1), $J237/(($F237*($F237+1)/2)-(($E237-1)*($E237-1+1)/2))*AO$2), 0)+IF(IF(time+1&gt;=AP$2, $K237/time_cap/(time+1)*AO$2, 0) = 0, $K237/(time_cap),0)),0)</f>
        <v/>
      </c>
      <c r="AP237" s="4395">
        <f>IFERROR(IF((time+time_cap)&lt;AP$2, 0,IF(AND(time+1&gt;=AQ$2, $E237&lt;AQ$2), IF($I237= "I", $J237/($F237-$E237+1), $J237/(($F237*($F237+1)/2)-(($E237-1)*($E237-1+1)/2))*AP$2), 0)+IF(IF(time+1&gt;=AQ$2, $K237/time_cap/(time+1)*AP$2, 0) = 0, $K237/(time_cap),0)),0)</f>
        <v/>
      </c>
      <c r="AQ237" s="4395">
        <f>IFERROR(IF((time+time_cap)&lt;AQ$2, 0,IF(AND(time+1&gt;=AR$2, $E237&lt;AR$2), IF($I237= "I", $J237/($F237-$E237+1), $J237/(($F237*($F237+1)/2)-(($E237-1)*($E237-1+1)/2))*AQ$2), 0)+IF(IF(time+1&gt;=AR$2, $K237/time_cap/(time+1)*AQ$2, 0) = 0, $K237/(time_cap),0)),0)</f>
        <v/>
      </c>
      <c r="AR237" s="4395">
        <f>IFERROR(IF((time+time_cap)&lt;AR$2, 0,IF(AND(time+1&gt;=AS$2, $E237&lt;AS$2), IF($I237= "I", $J237/($F237-$E237+1), $J237/(($F237*($F237+1)/2)-(($E237-1)*($E237-1+1)/2))*AR$2), 0)+IF(IF(time+1&gt;=AS$2, $K237/time_cap/(time+1)*AR$2, 0) = 0, $K237/(time_cap),0)),0)</f>
        <v/>
      </c>
      <c r="AS237" s="4395">
        <f>IFERROR(IF((time+time_cap)&lt;AS$2, 0,IF(AND(time+1&gt;=AT$2, $E237&lt;AT$2), IF($I237= "I", $J237/($F237-$E237+1), $J237/(($F237*($F237+1)/2)-(($E237-1)*($E237-1+1)/2))*AS$2), 0)+IF(IF(time+1&gt;=AT$2, $K237/time_cap/(time+1)*AS$2, 0) = 0, $K237/(time_cap),0)),0)</f>
        <v/>
      </c>
      <c r="AT237" s="4395">
        <f>IFERROR(IF((time+time_cap)&lt;AT$2, 0,IF(AND(time+1&gt;=AU$2, $E237&lt;AU$2), IF($I237= "I", $J237/($F237-$E237+1), $J237/(($F237*($F237+1)/2)-(($E237-1)*($E237-1+1)/2))*AT$2), 0)+IF(IF(time+1&gt;=AU$2, $K237/time_cap/(time+1)*AT$2, 0) = 0, $K237/(time_cap),0)),0)</f>
        <v/>
      </c>
      <c r="AU237" s="4395">
        <f>IFERROR(IF((time+time_cap)&lt;AU$2, 0,IF(AND(time+1&gt;=AV$2, $E237&lt;AV$2), IF($I237= "I", $J237/($F237-$E237+1), $J237/(($F237*($F237+1)/2)-(($E237-1)*($E237-1+1)/2))*AU$2), 0)+IF(IF(time+1&gt;=AV$2, $K237/time_cap/(time+1)*AU$2, 0) = 0, $K237/(time_cap),0)),0)</f>
        <v/>
      </c>
      <c r="AV237" s="4395">
        <f>IFERROR(IF((time+time_cap)&lt;AV$2, 0,IF(AND(time+1&gt;=AW$2, $E237&lt;AW$2), IF($I237= "I", $J237/($F237-$E237+1), $J237/(($F237*($F237+1)/2)-(($E237-1)*($E237-1+1)/2))*AV$2), 0)+IF(IF(time+1&gt;=AW$2, $K237/time_cap/(time+1)*AV$2, 0) = 0, $K237/(time_cap),0)),0)</f>
        <v/>
      </c>
      <c r="AW237" s="4395">
        <f>IFERROR(IF((time+time_cap)&lt;AW$2, 0,IF(AND(time+1&gt;=AX$2, $E237&lt;AX$2), IF($I237= "I", $J237/($F237-$E237+1), $J237/(($F237*($F237+1)/2)-(($E237-1)*($E237-1+1)/2))*AW$2), 0)+IF(IF(time+1&gt;=AX$2, $K237/time_cap/(time+1)*AW$2, 0) = 0, $K237/(time_cap),0)),0)</f>
        <v/>
      </c>
      <c r="AX237" s="4395">
        <f>IFERROR(IF((time+time_cap)&lt;AX$2, 0,IF(AND(time+1&gt;=AY$2, $E237&lt;AY$2), IF($I237= "I", $J237/($F237-$E237+1), $J237/(($F237*($F237+1)/2)-(($E237-1)*($E237-1+1)/2))*AX$2), 0)+IF(IF(time+1&gt;=AY$2, $K237/time_cap/(time+1)*AX$2, 0) = 0, $K237/(time_cap),0)),0)</f>
        <v/>
      </c>
      <c r="AY237" s="4395">
        <f>IFERROR(IF((time+time_cap)&lt;AY$2, 0,IF(AND(time+1&gt;=AZ$2, $E237&lt;AZ$2), IF($I237= "I", $J237/($F237-$E237+1), $J237/(($F237*($F237+1)/2)-(($E237-1)*($E237-1+1)/2))*AY$2), 0)+IF(IF(time+1&gt;=AZ$2, $K237/time_cap/(time+1)*AY$2, 0) = 0, $K237/(time_cap),0)),0)</f>
        <v/>
      </c>
      <c r="AZ237" s="4395">
        <f>IFERROR(IF((time+time_cap)&lt;AZ$2, 0,IF(AND(time+1&gt;=BA$2, $E237&lt;BA$2), IF($I237= "I", $J237/($F237-$E237+1), $J237/(($F237*($F237+1)/2)-(($E237-1)*($E237-1+1)/2))*AZ$2), 0)+IF(IF(time+1&gt;=BA$2, $K237/time_cap/(time+1)*AZ$2, 0) = 0, $K237/(time_cap),0)),0)</f>
        <v/>
      </c>
      <c r="BA237" s="4395">
        <f>IFERROR(IF((time+time_cap)&lt;BA$2, 0,IF(AND(time+1&gt;=BB$2, $E237&lt;BB$2), IF($I237= "I", $J237/($F237-$E237+1), $J237/(($F237*($F237+1)/2)-(($E237-1)*($E237-1+1)/2))*BA$2), 0)+IF(IF(time+1&gt;=BB$2, $K237/time_cap/(time+1)*BA$2, 0) = 0, $K237/(time_cap),0)),0)</f>
        <v/>
      </c>
      <c r="BB237" s="4395">
        <f>IFERROR(IF((time+time_cap)&lt;BB$2, 0,IF(AND(time+1&gt;=BC$2, $E237&lt;BC$2), IF($I237= "I", $J237/($F237-$E237+1), $J237/(($F237*($F237+1)/2)-(($E237-1)*($E237-1+1)/2))*BB$2), 0)+IF(IF(time+1&gt;=BC$2, $K237/time_cap/(time+1)*BB$2, 0) = 0, $K237/(time_cap),0)),0)</f>
        <v/>
      </c>
      <c r="BC237" s="4395">
        <f>IFERROR(IF((time+time_cap)&lt;BC$2, 0,IF(AND(time+1&gt;=BD$2, $E237&lt;BD$2), IF($I237= "I", $J237/($F237-$E237+1), $J237/(($F237*($F237+1)/2)-(($E237-1)*($E237-1+1)/2))*BC$2), 0)+IF(IF(time+1&gt;=BD$2, $K237/time_cap/(time+1)*BC$2, 0) = 0, $K237/(time_cap),0)),0)</f>
        <v/>
      </c>
      <c r="BD237" s="4395">
        <f>IFERROR(IF((time+time_cap)&lt;BD$2, 0,IF(AND(time+1&gt;=BE$2, $E237&lt;BE$2), IF($I237= "I", $J237/($F237-$E237+1), $J237/(($F237*($F237+1)/2)-(($E237-1)*($E237-1+1)/2))*BD$2), 0)+IF(IF(time+1&gt;=BE$2, $K237/time_cap/(time+1)*BD$2, 0) = 0, $K237/(time_cap),0)),0)</f>
        <v/>
      </c>
      <c r="BE237" s="4395">
        <f>IFERROR(IF((time+time_cap)&lt;BE$2, 0,IF(AND(time+1&gt;=BF$2, $E237&lt;BF$2), IF($I237= "I", $J237/($F237-$E237+1), $J237/(($F237*($F237+1)/2)-(($E237-1)*($E237-1+1)/2))*BE$2), 0)+IF(IF(time+1&gt;=BF$2, $K237/time_cap/(time+1)*BE$2, 0) = 0, $K237/(time_cap),0)),0)</f>
        <v/>
      </c>
      <c r="BF237" s="4395">
        <f>IFERROR(IF((time+time_cap)&lt;BF$2, 0,IF(AND(time+1&gt;=BG$2, $E237&lt;BG$2), IF($I237= "I", $J237/($F237-$E237+1), $J237/(($F237*($F237+1)/2)-(($E237-1)*($E237-1+1)/2))*BF$2), 0)+IF(IF(time+1&gt;=BG$2, $K237/time_cap/(time+1)*BF$2, 0) = 0, $K237/(time_cap),0)),0)</f>
        <v/>
      </c>
      <c r="BG237" s="4395">
        <f>IFERROR(IF((time+time_cap)&lt;BG$2, 0,IF(AND(time+1&gt;=BH$2, $E237&lt;BH$2), IF($I237= "I", $J237/($F237-$E237+1), $J237/(($F237*($F237+1)/2)-(($E237-1)*($E237-1+1)/2))*BG$2), 0)+IF(IF(time+1&gt;=BH$2, $K237/time_cap/(time+1)*BG$2, 0) = 0, $K237/(time_cap),0)),0)</f>
        <v/>
      </c>
      <c r="BH237" s="4395">
        <f>IFERROR(IF((time+time_cap)&lt;BH$2, 0,IF(AND(time+1&gt;=BI$2, $E237&lt;BI$2), IF($I237= "I", $J237/($F237-$E237+1), $J237/(($F237*($F237+1)/2)-(($E237-1)*($E237-1+1)/2))*BH$2), 0)+IF(IF(time+1&gt;=BI$2, $K237/time_cap/(time+1)*BH$2, 0) = 0, $K237/(time_cap),0)),0)</f>
        <v/>
      </c>
      <c r="BI237" s="4395">
        <f>IFERROR(IF((time+time_cap)&lt;BI$2, 0,IF(AND(time+1&gt;=BJ$2, $E237&lt;BJ$2), IF($I237= "I", $J237/($F237-$E237+1), $J237/(($F237*($F237+1)/2)-(($E237-1)*($E237-1+1)/2))*BI$2), 0)+IF(IF(time+1&gt;=BJ$2, $K237/time_cap/(time+1)*BI$2, 0) = 0, $K237/(time_cap),0)),0)</f>
        <v/>
      </c>
      <c r="BJ237" s="4395">
        <f>IFERROR(IF((time+time_cap)&lt;BJ$2, 0,IF(AND(time+1&gt;=BK$2, $E237&lt;BK$2), IF($I237= "I", $J237/($F237-$E237+1), $J237/(($F237*($F237+1)/2)-(($E237-1)*($E237-1+1)/2))*BJ$2), 0)+IF(IF(time+1&gt;=BK$2, $K237/time_cap/(time+1)*BJ$2, 0) = 0, $K237/(time_cap),0)),0)</f>
        <v/>
      </c>
      <c r="BK237" s="4395" t="n"/>
      <c r="BL237" s="4395" t="n"/>
      <c r="BM237" s="4395" t="n"/>
      <c r="BN237" s="4395" t="n"/>
      <c r="BO237" s="4395" t="n"/>
      <c r="BP237" s="4395" t="n"/>
      <c r="BQ237" s="4395" t="n"/>
      <c r="BR237" s="4395" t="n"/>
      <c r="BS237" s="4395" t="n"/>
      <c r="BT237" s="4395" t="n"/>
      <c r="BU237" s="4395" t="n"/>
      <c r="BV237" s="4395" t="n"/>
      <c r="BW237" s="4395" t="n"/>
      <c r="BX237" s="4395" t="n"/>
      <c r="BY237" s="4395" t="n"/>
      <c r="BZ237" s="4395" t="n"/>
      <c r="CA237" s="4395" t="n"/>
      <c r="CB237" s="4395" t="n"/>
      <c r="CC237" s="4395" t="n"/>
      <c r="CD237" s="4395" t="n"/>
      <c r="CE237" s="4395" t="n"/>
      <c r="CF237" s="4395" t="n"/>
      <c r="CG237" s="4395" t="n"/>
      <c r="CH237" s="4395" t="n"/>
      <c r="CI237" s="4395" t="n"/>
      <c r="CJ237" s="4395" t="n"/>
      <c r="CK237" s="4395" t="n"/>
      <c r="CL237" s="4395" t="n"/>
      <c r="CM237" s="4395" t="n"/>
      <c r="CN237" s="4395" t="n"/>
      <c r="CO237" s="4395" t="n"/>
      <c r="CP237" s="4395" t="n"/>
      <c r="CQ237" s="4395" t="n"/>
      <c r="CR237" s="4395" t="n"/>
      <c r="CS237" s="4395" t="n"/>
      <c r="CT237" s="4395" t="n"/>
      <c r="CU237" s="4395" t="n"/>
      <c r="CV237" s="4395" t="n"/>
      <c r="CW237" s="4395" t="n"/>
      <c r="CX237" s="4395" t="n"/>
      <c r="CY237" s="4395" t="n"/>
      <c r="CZ237" s="4395" t="n"/>
      <c r="DA237" s="4395" t="n"/>
      <c r="DB237" s="4395" t="n"/>
      <c r="DC237" s="4395" t="n"/>
      <c r="DD237" s="4395" t="n"/>
      <c r="DE237" s="4395" t="n"/>
      <c r="DF237" s="4395" t="n"/>
      <c r="DG237" s="4395" t="n"/>
      <c r="DH237" s="4395" t="n"/>
    </row>
    <row r="238" ht="16" customHeight="1">
      <c r="A238" t="inlineStr">
        <is>
          <t>Infrastructure</t>
        </is>
      </c>
      <c r="C238">
        <f>'9.Inputs'!C109</f>
        <v/>
      </c>
      <c r="D238">
        <f>'9.Inputs'!V109</f>
        <v/>
      </c>
      <c r="E238">
        <f>IF('9.Inputs'!AW109&lt;&gt;0,'9.Inputs'!AW109,'9.Inputs'!AV109)</f>
        <v/>
      </c>
      <c r="F238">
        <f>time</f>
        <v/>
      </c>
      <c r="G238" s="4395" t="inlineStr">
        <is>
          <t>D</t>
        </is>
      </c>
      <c r="H238" s="4395" t="inlineStr">
        <is>
          <t>D</t>
        </is>
      </c>
      <c r="I238" s="4395">
        <f>IF(OR(H238="I", G238="I"), "I", IF(OR(H238="E", G238="E"), "E", "D"))</f>
        <v/>
      </c>
      <c r="J238" s="4395">
        <f>((D238/(time_cap+((F238-E238+1)*VLOOKUP(I238,list!$I$48:$K$50,3, FALSE))))*(F238-E238+1)*VLOOKUP(I238,list!$I$48:$K$50,3, FALSE))</f>
        <v/>
      </c>
      <c r="K238" s="4395">
        <f>((D238/(time_cap+((F238-E238+1)*VLOOKUP(I238,list!$I$48:$K$50,3, FALSE))))*time_cap)</f>
        <v/>
      </c>
      <c r="M238" s="4395">
        <f>IFERROR(IF((time+time_cap)&lt;M$2, 0,IF(AND(time+1&gt;=N$2, $E238&lt;N$2), IF($I238= "I", $J238/($F238-$E238+1), $J238/(($F238*($F238+1)/2)-(($E238-1)*($E238-1+1)/2))*M$2), 0)+IF(IF(time+1&gt;=N$2, $K238/time_cap/(time+1)*M$2, 0) = 0, $K238/(time_cap),0)),0)</f>
        <v/>
      </c>
      <c r="N238" s="4395">
        <f>IFERROR(IF((time+time_cap)&lt;N$2, 0,IF(AND(time+1&gt;=O$2, $E238&lt;O$2), IF($I238= "I", $J238/($F238-$E238+1), $J238/(($F238*($F238+1)/2)-(($E238-1)*($E238-1+1)/2))*N$2), 0)+IF(IF(time+1&gt;=O$2, $K238/time_cap/(time+1)*N$2, 0) = 0, $K238/(time_cap),0)),0)</f>
        <v/>
      </c>
      <c r="O238" s="4395">
        <f>IFERROR(IF((time+time_cap)&lt;O$2, 0,IF(AND(time+1&gt;=P$2, $E238&lt;P$2), IF($I238= "I", $J238/($F238-$E238+1), $J238/(($F238*($F238+1)/2)-(($E238-1)*($E238-1+1)/2))*O$2), 0)+IF(IF(time+1&gt;=P$2, $K238/time_cap/(time+1)*O$2, 0) = 0, $K238/(time_cap),0)),0)</f>
        <v/>
      </c>
      <c r="P238" s="4395">
        <f>IFERROR(IF((time+time_cap)&lt;P$2, 0,IF(AND(time+1&gt;=Q$2, $E238&lt;Q$2), IF($I238= "I", $J238/($F238-$E238+1), $J238/(($F238*($F238+1)/2)-(($E238-1)*($E238-1+1)/2))*P$2), 0)+IF(IF(time+1&gt;=Q$2, $K238/time_cap/(time+1)*P$2, 0) = 0, $K238/(time_cap),0)),0)</f>
        <v/>
      </c>
      <c r="Q238" s="4395">
        <f>IFERROR(IF((time+time_cap)&lt;Q$2, 0,IF(AND(time+1&gt;=R$2, $E238&lt;R$2), IF($I238= "I", $J238/($F238-$E238+1), $J238/(($F238*($F238+1)/2)-(($E238-1)*($E238-1+1)/2))*Q$2), 0)+IF(IF(time+1&gt;=R$2, $K238/time_cap/(time+1)*Q$2, 0) = 0, $K238/(time_cap),0)),0)</f>
        <v/>
      </c>
      <c r="R238" s="4395">
        <f>IFERROR(IF((time+time_cap)&lt;R$2, 0,IF(AND(time+1&gt;=S$2, $E238&lt;S$2), IF($I238= "I", $J238/($F238-$E238+1), $J238/(($F238*($F238+1)/2)-(($E238-1)*($E238-1+1)/2))*R$2), 0)+IF(IF(time+1&gt;=S$2, $K238/time_cap/(time+1)*R$2, 0) = 0, $K238/(time_cap),0)),0)</f>
        <v/>
      </c>
      <c r="S238" s="4395">
        <f>IFERROR(IF((time+time_cap)&lt;S$2, 0,IF(AND(time+1&gt;=T$2, $E238&lt;T$2), IF($I238= "I", $J238/($F238-$E238+1), $J238/(($F238*($F238+1)/2)-(($E238-1)*($E238-1+1)/2))*S$2), 0)+IF(IF(time+1&gt;=T$2, $K238/time_cap/(time+1)*S$2, 0) = 0, $K238/(time_cap),0)),0)</f>
        <v/>
      </c>
      <c r="T238" s="4395">
        <f>IFERROR(IF((time+time_cap)&lt;T$2, 0,IF(AND(time+1&gt;=U$2, $E238&lt;U$2), IF($I238= "I", $J238/($F238-$E238+1), $J238/(($F238*($F238+1)/2)-(($E238-1)*($E238-1+1)/2))*T$2), 0)+IF(IF(time+1&gt;=U$2, $K238/time_cap/(time+1)*T$2, 0) = 0, $K238/(time_cap),0)),0)</f>
        <v/>
      </c>
      <c r="U238" s="4395">
        <f>IFERROR(IF((time+time_cap)&lt;U$2, 0,IF(AND(time+1&gt;=V$2, $E238&lt;V$2), IF($I238= "I", $J238/($F238-$E238+1), $J238/(($F238*($F238+1)/2)-(($E238-1)*($E238-1+1)/2))*U$2), 0)+IF(IF(time+1&gt;=V$2, $K238/time_cap/(time+1)*U$2, 0) = 0, $K238/(time_cap),0)),0)</f>
        <v/>
      </c>
      <c r="V238" s="4395">
        <f>IFERROR(IF((time+time_cap)&lt;V$2, 0,IF(AND(time+1&gt;=W$2, $E238&lt;W$2), IF($I238= "I", $J238/($F238-$E238+1), $J238/(($F238*($F238+1)/2)-(($E238-1)*($E238-1+1)/2))*V$2), 0)+IF(IF(time+1&gt;=W$2, $K238/time_cap/(time+1)*V$2, 0) = 0, $K238/(time_cap),0)),0)</f>
        <v/>
      </c>
      <c r="W238" s="4395">
        <f>IFERROR(IF((time+time_cap)&lt;W$2, 0,IF(AND(time+1&gt;=X$2, $E238&lt;X$2), IF($I238= "I", $J238/($F238-$E238+1), $J238/(($F238*($F238+1)/2)-(($E238-1)*($E238-1+1)/2))*W$2), 0)+IF(IF(time+1&gt;=X$2, $K238/time_cap/(time+1)*W$2, 0) = 0, $K238/(time_cap),0)),0)</f>
        <v/>
      </c>
      <c r="X238" s="4395">
        <f>IFERROR(IF((time+time_cap)&lt;X$2, 0,IF(AND(time+1&gt;=Y$2, $E238&lt;Y$2), IF($I238= "I", $J238/($F238-$E238+1), $J238/(($F238*($F238+1)/2)-(($E238-1)*($E238-1+1)/2))*X$2), 0)+IF(IF(time+1&gt;=Y$2, $K238/time_cap/(time+1)*X$2, 0) = 0, $K238/(time_cap),0)),0)</f>
        <v/>
      </c>
      <c r="Y238" s="4395">
        <f>IFERROR(IF((time+time_cap)&lt;Y$2, 0,IF(AND(time+1&gt;=Z$2, $E238&lt;Z$2), IF($I238= "I", $J238/($F238-$E238+1), $J238/(($F238*($F238+1)/2)-(($E238-1)*($E238-1+1)/2))*Y$2), 0)+IF(IF(time+1&gt;=Z$2, $K238/time_cap/(time+1)*Y$2, 0) = 0, $K238/(time_cap),0)),0)</f>
        <v/>
      </c>
      <c r="Z238" s="4395">
        <f>IFERROR(IF((time+time_cap)&lt;Z$2, 0,IF(AND(time+1&gt;=AA$2, $E238&lt;AA$2), IF($I238= "I", $J238/($F238-$E238+1), $J238/(($F238*($F238+1)/2)-(($E238-1)*($E238-1+1)/2))*Z$2), 0)+IF(IF(time+1&gt;=AA$2, $K238/time_cap/(time+1)*Z$2, 0) = 0, $K238/(time_cap),0)),0)</f>
        <v/>
      </c>
      <c r="AA238" s="4395">
        <f>IFERROR(IF((time+time_cap)&lt;AA$2, 0,IF(AND(time+1&gt;=AB$2, $E238&lt;AB$2), IF($I238= "I", $J238/($F238-$E238+1), $J238/(($F238*($F238+1)/2)-(($E238-1)*($E238-1+1)/2))*AA$2), 0)+IF(IF(time+1&gt;=AB$2, $K238/time_cap/(time+1)*AA$2, 0) = 0, $K238/(time_cap),0)),0)</f>
        <v/>
      </c>
      <c r="AB238" s="4395">
        <f>IFERROR(IF((time+time_cap)&lt;AB$2, 0,IF(AND(time+1&gt;=AC$2, $E238&lt;AC$2), IF($I238= "I", $J238/($F238-$E238+1), $J238/(($F238*($F238+1)/2)-(($E238-1)*($E238-1+1)/2))*AB$2), 0)+IF(IF(time+1&gt;=AC$2, $K238/time_cap/(time+1)*AB$2, 0) = 0, $K238/(time_cap),0)),0)</f>
        <v/>
      </c>
      <c r="AC238" s="4395">
        <f>IFERROR(IF((time+time_cap)&lt;AC$2, 0,IF(AND(time+1&gt;=AD$2, $E238&lt;AD$2), IF($I238= "I", $J238/($F238-$E238+1), $J238/(($F238*($F238+1)/2)-(($E238-1)*($E238-1+1)/2))*AC$2), 0)+IF(IF(time+1&gt;=AD$2, $K238/time_cap/(time+1)*AC$2, 0) = 0, $K238/(time_cap),0)),0)</f>
        <v/>
      </c>
      <c r="AD238" s="4395">
        <f>IFERROR(IF((time+time_cap)&lt;AD$2, 0,IF(AND(time+1&gt;=AE$2, $E238&lt;AE$2), IF($I238= "I", $J238/($F238-$E238+1), $J238/(($F238*($F238+1)/2)-(($E238-1)*($E238-1+1)/2))*AD$2), 0)+IF(IF(time+1&gt;=AE$2, $K238/time_cap/(time+1)*AD$2, 0) = 0, $K238/(time_cap),0)),0)</f>
        <v/>
      </c>
      <c r="AE238" s="4395">
        <f>IFERROR(IF((time+time_cap)&lt;AE$2, 0,IF(AND(time+1&gt;=AF$2, $E238&lt;AF$2), IF($I238= "I", $J238/($F238-$E238+1), $J238/(($F238*($F238+1)/2)-(($E238-1)*($E238-1+1)/2))*AE$2), 0)+IF(IF(time+1&gt;=AF$2, $K238/time_cap/(time+1)*AE$2, 0) = 0, $K238/(time_cap),0)),0)</f>
        <v/>
      </c>
      <c r="AF238" s="4395">
        <f>IFERROR(IF((time+time_cap)&lt;AF$2, 0,IF(AND(time+1&gt;=AG$2, $E238&lt;AG$2), IF($I238= "I", $J238/($F238-$E238+1), $J238/(($F238*($F238+1)/2)-(($E238-1)*($E238-1+1)/2))*AF$2), 0)+IF(IF(time+1&gt;=AG$2, $K238/time_cap/(time+1)*AF$2, 0) = 0, $K238/(time_cap),0)),0)</f>
        <v/>
      </c>
      <c r="AG238" s="4395">
        <f>IFERROR(IF((time+time_cap)&lt;AG$2, 0,IF(AND(time+1&gt;=AH$2, $E238&lt;AH$2), IF($I238= "I", $J238/($F238-$E238+1), $J238/(($F238*($F238+1)/2)-(($E238-1)*($E238-1+1)/2))*AG$2), 0)+IF(IF(time+1&gt;=AH$2, $K238/time_cap/(time+1)*AG$2, 0) = 0, $K238/(time_cap),0)),0)</f>
        <v/>
      </c>
      <c r="AH238" s="4395">
        <f>IFERROR(IF((time+time_cap)&lt;AH$2, 0,IF(AND(time+1&gt;=AI$2, $E238&lt;AI$2), IF($I238= "I", $J238/($F238-$E238+1), $J238/(($F238*($F238+1)/2)-(($E238-1)*($E238-1+1)/2))*AH$2), 0)+IF(IF(time+1&gt;=AI$2, $K238/time_cap/(time+1)*AH$2, 0) = 0, $K238/(time_cap),0)),0)</f>
        <v/>
      </c>
      <c r="AI238" s="4395">
        <f>IFERROR(IF((time+time_cap)&lt;AI$2, 0,IF(AND(time+1&gt;=AJ$2, $E238&lt;AJ$2), IF($I238= "I", $J238/($F238-$E238+1), $J238/(($F238*($F238+1)/2)-(($E238-1)*($E238-1+1)/2))*AI$2), 0)+IF(IF(time+1&gt;=AJ$2, $K238/time_cap/(time+1)*AI$2, 0) = 0, $K238/(time_cap),0)),0)</f>
        <v/>
      </c>
      <c r="AJ238" s="4395">
        <f>IFERROR(IF((time+time_cap)&lt;AJ$2, 0,IF(AND(time+1&gt;=AK$2, $E238&lt;AK$2), IF($I238= "I", $J238/($F238-$E238+1), $J238/(($F238*($F238+1)/2)-(($E238-1)*($E238-1+1)/2))*AJ$2), 0)+IF(IF(time+1&gt;=AK$2, $K238/time_cap/(time+1)*AJ$2, 0) = 0, $K238/(time_cap),0)),0)</f>
        <v/>
      </c>
      <c r="AK238" s="4395">
        <f>IFERROR(IF((time+time_cap)&lt;AK$2, 0,IF(AND(time+1&gt;=AL$2, $E238&lt;AL$2), IF($I238= "I", $J238/($F238-$E238+1), $J238/(($F238*($F238+1)/2)-(($E238-1)*($E238-1+1)/2))*AK$2), 0)+IF(IF(time+1&gt;=AL$2, $K238/time_cap/(time+1)*AK$2, 0) = 0, $K238/(time_cap),0)),0)</f>
        <v/>
      </c>
      <c r="AL238" s="4395">
        <f>IFERROR(IF((time+time_cap)&lt;AL$2, 0,IF(AND(time+1&gt;=AM$2, $E238&lt;AM$2), IF($I238= "I", $J238/($F238-$E238+1), $J238/(($F238*($F238+1)/2)-(($E238-1)*($E238-1+1)/2))*AL$2), 0)+IF(IF(time+1&gt;=AM$2, $K238/time_cap/(time+1)*AL$2, 0) = 0, $K238/(time_cap),0)),0)</f>
        <v/>
      </c>
      <c r="AM238" s="4395">
        <f>IFERROR(IF((time+time_cap)&lt;AM$2, 0,IF(AND(time+1&gt;=AN$2, $E238&lt;AN$2), IF($I238= "I", $J238/($F238-$E238+1), $J238/(($F238*($F238+1)/2)-(($E238-1)*($E238-1+1)/2))*AM$2), 0)+IF(IF(time+1&gt;=AN$2, $K238/time_cap/(time+1)*AM$2, 0) = 0, $K238/(time_cap),0)),0)</f>
        <v/>
      </c>
      <c r="AN238" s="4395">
        <f>IFERROR(IF((time+time_cap)&lt;AN$2, 0,IF(AND(time+1&gt;=AO$2, $E238&lt;AO$2), IF($I238= "I", $J238/($F238-$E238+1), $J238/(($F238*($F238+1)/2)-(($E238-1)*($E238-1+1)/2))*AN$2), 0)+IF(IF(time+1&gt;=AO$2, $K238/time_cap/(time+1)*AN$2, 0) = 0, $K238/(time_cap),0)),0)</f>
        <v/>
      </c>
      <c r="AO238" s="4395">
        <f>IFERROR(IF((time+time_cap)&lt;AO$2, 0,IF(AND(time+1&gt;=AP$2, $E238&lt;AP$2), IF($I238= "I", $J238/($F238-$E238+1), $J238/(($F238*($F238+1)/2)-(($E238-1)*($E238-1+1)/2))*AO$2), 0)+IF(IF(time+1&gt;=AP$2, $K238/time_cap/(time+1)*AO$2, 0) = 0, $K238/(time_cap),0)),0)</f>
        <v/>
      </c>
      <c r="AP238" s="4395">
        <f>IFERROR(IF((time+time_cap)&lt;AP$2, 0,IF(AND(time+1&gt;=AQ$2, $E238&lt;AQ$2), IF($I238= "I", $J238/($F238-$E238+1), $J238/(($F238*($F238+1)/2)-(($E238-1)*($E238-1+1)/2))*AP$2), 0)+IF(IF(time+1&gt;=AQ$2, $K238/time_cap/(time+1)*AP$2, 0) = 0, $K238/(time_cap),0)),0)</f>
        <v/>
      </c>
      <c r="AQ238" s="4395">
        <f>IFERROR(IF((time+time_cap)&lt;AQ$2, 0,IF(AND(time+1&gt;=AR$2, $E238&lt;AR$2), IF($I238= "I", $J238/($F238-$E238+1), $J238/(($F238*($F238+1)/2)-(($E238-1)*($E238-1+1)/2))*AQ$2), 0)+IF(IF(time+1&gt;=AR$2, $K238/time_cap/(time+1)*AQ$2, 0) = 0, $K238/(time_cap),0)),0)</f>
        <v/>
      </c>
      <c r="AR238" s="4395">
        <f>IFERROR(IF((time+time_cap)&lt;AR$2, 0,IF(AND(time+1&gt;=AS$2, $E238&lt;AS$2), IF($I238= "I", $J238/($F238-$E238+1), $J238/(($F238*($F238+1)/2)-(($E238-1)*($E238-1+1)/2))*AR$2), 0)+IF(IF(time+1&gt;=AS$2, $K238/time_cap/(time+1)*AR$2, 0) = 0, $K238/(time_cap),0)),0)</f>
        <v/>
      </c>
      <c r="AS238" s="4395">
        <f>IFERROR(IF((time+time_cap)&lt;AS$2, 0,IF(AND(time+1&gt;=AT$2, $E238&lt;AT$2), IF($I238= "I", $J238/($F238-$E238+1), $J238/(($F238*($F238+1)/2)-(($E238-1)*($E238-1+1)/2))*AS$2), 0)+IF(IF(time+1&gt;=AT$2, $K238/time_cap/(time+1)*AS$2, 0) = 0, $K238/(time_cap),0)),0)</f>
        <v/>
      </c>
      <c r="AT238" s="4395">
        <f>IFERROR(IF((time+time_cap)&lt;AT$2, 0,IF(AND(time+1&gt;=AU$2, $E238&lt;AU$2), IF($I238= "I", $J238/($F238-$E238+1), $J238/(($F238*($F238+1)/2)-(($E238-1)*($E238-1+1)/2))*AT$2), 0)+IF(IF(time+1&gt;=AU$2, $K238/time_cap/(time+1)*AT$2, 0) = 0, $K238/(time_cap),0)),0)</f>
        <v/>
      </c>
      <c r="AU238" s="4395">
        <f>IFERROR(IF((time+time_cap)&lt;AU$2, 0,IF(AND(time+1&gt;=AV$2, $E238&lt;AV$2), IF($I238= "I", $J238/($F238-$E238+1), $J238/(($F238*($F238+1)/2)-(($E238-1)*($E238-1+1)/2))*AU$2), 0)+IF(IF(time+1&gt;=AV$2, $K238/time_cap/(time+1)*AU$2, 0) = 0, $K238/(time_cap),0)),0)</f>
        <v/>
      </c>
      <c r="AV238" s="4395">
        <f>IFERROR(IF((time+time_cap)&lt;AV$2, 0,IF(AND(time+1&gt;=AW$2, $E238&lt;AW$2), IF($I238= "I", $J238/($F238-$E238+1), $J238/(($F238*($F238+1)/2)-(($E238-1)*($E238-1+1)/2))*AV$2), 0)+IF(IF(time+1&gt;=AW$2, $K238/time_cap/(time+1)*AV$2, 0) = 0, $K238/(time_cap),0)),0)</f>
        <v/>
      </c>
      <c r="AW238" s="4395">
        <f>IFERROR(IF((time+time_cap)&lt;AW$2, 0,IF(AND(time+1&gt;=AX$2, $E238&lt;AX$2), IF($I238= "I", $J238/($F238-$E238+1), $J238/(($F238*($F238+1)/2)-(($E238-1)*($E238-1+1)/2))*AW$2), 0)+IF(IF(time+1&gt;=AX$2, $K238/time_cap/(time+1)*AW$2, 0) = 0, $K238/(time_cap),0)),0)</f>
        <v/>
      </c>
      <c r="AX238" s="4395">
        <f>IFERROR(IF((time+time_cap)&lt;AX$2, 0,IF(AND(time+1&gt;=AY$2, $E238&lt;AY$2), IF($I238= "I", $J238/($F238-$E238+1), $J238/(($F238*($F238+1)/2)-(($E238-1)*($E238-1+1)/2))*AX$2), 0)+IF(IF(time+1&gt;=AY$2, $K238/time_cap/(time+1)*AX$2, 0) = 0, $K238/(time_cap),0)),0)</f>
        <v/>
      </c>
      <c r="AY238" s="4395">
        <f>IFERROR(IF((time+time_cap)&lt;AY$2, 0,IF(AND(time+1&gt;=AZ$2, $E238&lt;AZ$2), IF($I238= "I", $J238/($F238-$E238+1), $J238/(($F238*($F238+1)/2)-(($E238-1)*($E238-1+1)/2))*AY$2), 0)+IF(IF(time+1&gt;=AZ$2, $K238/time_cap/(time+1)*AY$2, 0) = 0, $K238/(time_cap),0)),0)</f>
        <v/>
      </c>
      <c r="AZ238" s="4395">
        <f>IFERROR(IF((time+time_cap)&lt;AZ$2, 0,IF(AND(time+1&gt;=BA$2, $E238&lt;BA$2), IF($I238= "I", $J238/($F238-$E238+1), $J238/(($F238*($F238+1)/2)-(($E238-1)*($E238-1+1)/2))*AZ$2), 0)+IF(IF(time+1&gt;=BA$2, $K238/time_cap/(time+1)*AZ$2, 0) = 0, $K238/(time_cap),0)),0)</f>
        <v/>
      </c>
      <c r="BA238" s="4395">
        <f>IFERROR(IF((time+time_cap)&lt;BA$2, 0,IF(AND(time+1&gt;=BB$2, $E238&lt;BB$2), IF($I238= "I", $J238/($F238-$E238+1), $J238/(($F238*($F238+1)/2)-(($E238-1)*($E238-1+1)/2))*BA$2), 0)+IF(IF(time+1&gt;=BB$2, $K238/time_cap/(time+1)*BA$2, 0) = 0, $K238/(time_cap),0)),0)</f>
        <v/>
      </c>
      <c r="BB238" s="4395">
        <f>IFERROR(IF((time+time_cap)&lt;BB$2, 0,IF(AND(time+1&gt;=BC$2, $E238&lt;BC$2), IF($I238= "I", $J238/($F238-$E238+1), $J238/(($F238*($F238+1)/2)-(($E238-1)*($E238-1+1)/2))*BB$2), 0)+IF(IF(time+1&gt;=BC$2, $K238/time_cap/(time+1)*BB$2, 0) = 0, $K238/(time_cap),0)),0)</f>
        <v/>
      </c>
      <c r="BC238" s="4395">
        <f>IFERROR(IF((time+time_cap)&lt;BC$2, 0,IF(AND(time+1&gt;=BD$2, $E238&lt;BD$2), IF($I238= "I", $J238/($F238-$E238+1), $J238/(($F238*($F238+1)/2)-(($E238-1)*($E238-1+1)/2))*BC$2), 0)+IF(IF(time+1&gt;=BD$2, $K238/time_cap/(time+1)*BC$2, 0) = 0, $K238/(time_cap),0)),0)</f>
        <v/>
      </c>
      <c r="BD238" s="4395">
        <f>IFERROR(IF((time+time_cap)&lt;BD$2, 0,IF(AND(time+1&gt;=BE$2, $E238&lt;BE$2), IF($I238= "I", $J238/($F238-$E238+1), $J238/(($F238*($F238+1)/2)-(($E238-1)*($E238-1+1)/2))*BD$2), 0)+IF(IF(time+1&gt;=BE$2, $K238/time_cap/(time+1)*BD$2, 0) = 0, $K238/(time_cap),0)),0)</f>
        <v/>
      </c>
      <c r="BE238" s="4395">
        <f>IFERROR(IF((time+time_cap)&lt;BE$2, 0,IF(AND(time+1&gt;=BF$2, $E238&lt;BF$2), IF($I238= "I", $J238/($F238-$E238+1), $J238/(($F238*($F238+1)/2)-(($E238-1)*($E238-1+1)/2))*BE$2), 0)+IF(IF(time+1&gt;=BF$2, $K238/time_cap/(time+1)*BE$2, 0) = 0, $K238/(time_cap),0)),0)</f>
        <v/>
      </c>
      <c r="BF238" s="4395">
        <f>IFERROR(IF((time+time_cap)&lt;BF$2, 0,IF(AND(time+1&gt;=BG$2, $E238&lt;BG$2), IF($I238= "I", $J238/($F238-$E238+1), $J238/(($F238*($F238+1)/2)-(($E238-1)*($E238-1+1)/2))*BF$2), 0)+IF(IF(time+1&gt;=BG$2, $K238/time_cap/(time+1)*BF$2, 0) = 0, $K238/(time_cap),0)),0)</f>
        <v/>
      </c>
      <c r="BG238" s="4395">
        <f>IFERROR(IF((time+time_cap)&lt;BG$2, 0,IF(AND(time+1&gt;=BH$2, $E238&lt;BH$2), IF($I238= "I", $J238/($F238-$E238+1), $J238/(($F238*($F238+1)/2)-(($E238-1)*($E238-1+1)/2))*BG$2), 0)+IF(IF(time+1&gt;=BH$2, $K238/time_cap/(time+1)*BG$2, 0) = 0, $K238/(time_cap),0)),0)</f>
        <v/>
      </c>
      <c r="BH238" s="4395">
        <f>IFERROR(IF((time+time_cap)&lt;BH$2, 0,IF(AND(time+1&gt;=BI$2, $E238&lt;BI$2), IF($I238= "I", $J238/($F238-$E238+1), $J238/(($F238*($F238+1)/2)-(($E238-1)*($E238-1+1)/2))*BH$2), 0)+IF(IF(time+1&gt;=BI$2, $K238/time_cap/(time+1)*BH$2, 0) = 0, $K238/(time_cap),0)),0)</f>
        <v/>
      </c>
      <c r="BI238" s="4395">
        <f>IFERROR(IF((time+time_cap)&lt;BI$2, 0,IF(AND(time+1&gt;=BJ$2, $E238&lt;BJ$2), IF($I238= "I", $J238/($F238-$E238+1), $J238/(($F238*($F238+1)/2)-(($E238-1)*($E238-1+1)/2))*BI$2), 0)+IF(IF(time+1&gt;=BJ$2, $K238/time_cap/(time+1)*BI$2, 0) = 0, $K238/(time_cap),0)),0)</f>
        <v/>
      </c>
      <c r="BJ238" s="4395">
        <f>IFERROR(IF((time+time_cap)&lt;BJ$2, 0,IF(AND(time+1&gt;=BK$2, $E238&lt;BK$2), IF($I238= "I", $J238/($F238-$E238+1), $J238/(($F238*($F238+1)/2)-(($E238-1)*($E238-1+1)/2))*BJ$2), 0)+IF(IF(time+1&gt;=BK$2, $K238/time_cap/(time+1)*BJ$2, 0) = 0, $K238/(time_cap),0)),0)</f>
        <v/>
      </c>
      <c r="BK238" s="4395" t="n"/>
      <c r="BL238" s="4395" t="n"/>
      <c r="BM238" s="4395" t="n"/>
      <c r="BN238" s="4395" t="n"/>
      <c r="BO238" s="4395" t="n"/>
      <c r="BP238" s="4395" t="n"/>
      <c r="BQ238" s="4395" t="n"/>
      <c r="BR238" s="4395" t="n"/>
      <c r="BS238" s="4395" t="n"/>
      <c r="BT238" s="4395" t="n"/>
      <c r="BU238" s="4395" t="n"/>
      <c r="BV238" s="4395" t="n"/>
      <c r="BW238" s="4395" t="n"/>
      <c r="BX238" s="4395" t="n"/>
      <c r="BY238" s="4395" t="n"/>
      <c r="BZ238" s="4395" t="n"/>
      <c r="CA238" s="4395" t="n"/>
      <c r="CB238" s="4395" t="n"/>
      <c r="CC238" s="4395" t="n"/>
      <c r="CD238" s="4395" t="n"/>
      <c r="CE238" s="4395" t="n"/>
      <c r="CF238" s="4395" t="n"/>
      <c r="CG238" s="4395" t="n"/>
      <c r="CH238" s="4395" t="n"/>
      <c r="CI238" s="4395" t="n"/>
      <c r="CJ238" s="4395" t="n"/>
      <c r="CK238" s="4395" t="n"/>
      <c r="CL238" s="4395" t="n"/>
      <c r="CM238" s="4395" t="n"/>
      <c r="CN238" s="4395" t="n"/>
      <c r="CO238" s="4395" t="n"/>
      <c r="CP238" s="4395" t="n"/>
      <c r="CQ238" s="4395" t="n"/>
      <c r="CR238" s="4395" t="n"/>
      <c r="CS238" s="4395" t="n"/>
      <c r="CT238" s="4395" t="n"/>
      <c r="CU238" s="4395" t="n"/>
      <c r="CV238" s="4395" t="n"/>
      <c r="CW238" s="4395" t="n"/>
      <c r="CX238" s="4395" t="n"/>
      <c r="CY238" s="4395" t="n"/>
      <c r="CZ238" s="4395" t="n"/>
      <c r="DA238" s="4395" t="n"/>
      <c r="DB238" s="4395" t="n"/>
      <c r="DC238" s="4395" t="n"/>
      <c r="DD238" s="4395" t="n"/>
      <c r="DE238" s="4395" t="n"/>
      <c r="DF238" s="4395" t="n"/>
      <c r="DG238" s="4395" t="n"/>
      <c r="DH238" s="4395" t="n"/>
    </row>
    <row r="239" ht="16" customHeight="1">
      <c r="A239" t="inlineStr">
        <is>
          <t>Infrastructure</t>
        </is>
      </c>
      <c r="C239">
        <f>'9.Inputs'!C110</f>
        <v/>
      </c>
      <c r="D239">
        <f>'9.Inputs'!V110</f>
        <v/>
      </c>
      <c r="E239">
        <f>IF('9.Inputs'!AW110&lt;&gt;0,'9.Inputs'!AW110,'9.Inputs'!AV110)</f>
        <v/>
      </c>
      <c r="F239">
        <f>time</f>
        <v/>
      </c>
      <c r="G239" s="4395" t="inlineStr">
        <is>
          <t>D</t>
        </is>
      </c>
      <c r="H239" s="4395" t="inlineStr">
        <is>
          <t>D</t>
        </is>
      </c>
      <c r="I239" s="4395">
        <f>IF(OR(H239="I", G239="I"), "I", IF(OR(H239="E", G239="E"), "E", "D"))</f>
        <v/>
      </c>
      <c r="J239" s="4395">
        <f>((D239/(time_cap+((F239-E239+1)*VLOOKUP(I239,list!$I$48:$K$50,3, FALSE))))*(F239-E239+1)*VLOOKUP(I239,list!$I$48:$K$50,3, FALSE))</f>
        <v/>
      </c>
      <c r="K239" s="4395">
        <f>((D239/(time_cap+((F239-E239+1)*VLOOKUP(I239,list!$I$48:$K$50,3, FALSE))))*time_cap)</f>
        <v/>
      </c>
      <c r="M239" s="4395">
        <f>IFERROR(IF((time+time_cap)&lt;M$2, 0,IF(AND(time+1&gt;=N$2, $E239&lt;N$2), IF($I239= "I", $J239/($F239-$E239+1), $J239/(($F239*($F239+1)/2)-(($E239-1)*($E239-1+1)/2))*M$2), 0)+IF(IF(time+1&gt;=N$2, $K239/time_cap/(time+1)*M$2, 0) = 0, $K239/(time_cap),0)),0)</f>
        <v/>
      </c>
      <c r="N239" s="4395">
        <f>IFERROR(IF((time+time_cap)&lt;N$2, 0,IF(AND(time+1&gt;=O$2, $E239&lt;O$2), IF($I239= "I", $J239/($F239-$E239+1), $J239/(($F239*($F239+1)/2)-(($E239-1)*($E239-1+1)/2))*N$2), 0)+IF(IF(time+1&gt;=O$2, $K239/time_cap/(time+1)*N$2, 0) = 0, $K239/(time_cap),0)),0)</f>
        <v/>
      </c>
      <c r="O239" s="4395">
        <f>IFERROR(IF((time+time_cap)&lt;O$2, 0,IF(AND(time+1&gt;=P$2, $E239&lt;P$2), IF($I239= "I", $J239/($F239-$E239+1), $J239/(($F239*($F239+1)/2)-(($E239-1)*($E239-1+1)/2))*O$2), 0)+IF(IF(time+1&gt;=P$2, $K239/time_cap/(time+1)*O$2, 0) = 0, $K239/(time_cap),0)),0)</f>
        <v/>
      </c>
      <c r="P239" s="4395">
        <f>IFERROR(IF((time+time_cap)&lt;P$2, 0,IF(AND(time+1&gt;=Q$2, $E239&lt;Q$2), IF($I239= "I", $J239/($F239-$E239+1), $J239/(($F239*($F239+1)/2)-(($E239-1)*($E239-1+1)/2))*P$2), 0)+IF(IF(time+1&gt;=Q$2, $K239/time_cap/(time+1)*P$2, 0) = 0, $K239/(time_cap),0)),0)</f>
        <v/>
      </c>
      <c r="Q239" s="4395">
        <f>IFERROR(IF((time+time_cap)&lt;Q$2, 0,IF(AND(time+1&gt;=R$2, $E239&lt;R$2), IF($I239= "I", $J239/($F239-$E239+1), $J239/(($F239*($F239+1)/2)-(($E239-1)*($E239-1+1)/2))*Q$2), 0)+IF(IF(time+1&gt;=R$2, $K239/time_cap/(time+1)*Q$2, 0) = 0, $K239/(time_cap),0)),0)</f>
        <v/>
      </c>
      <c r="R239" s="4395">
        <f>IFERROR(IF((time+time_cap)&lt;R$2, 0,IF(AND(time+1&gt;=S$2, $E239&lt;S$2), IF($I239= "I", $J239/($F239-$E239+1), $J239/(($F239*($F239+1)/2)-(($E239-1)*($E239-1+1)/2))*R$2), 0)+IF(IF(time+1&gt;=S$2, $K239/time_cap/(time+1)*R$2, 0) = 0, $K239/(time_cap),0)),0)</f>
        <v/>
      </c>
      <c r="S239" s="4395">
        <f>IFERROR(IF((time+time_cap)&lt;S$2, 0,IF(AND(time+1&gt;=T$2, $E239&lt;T$2), IF($I239= "I", $J239/($F239-$E239+1), $J239/(($F239*($F239+1)/2)-(($E239-1)*($E239-1+1)/2))*S$2), 0)+IF(IF(time+1&gt;=T$2, $K239/time_cap/(time+1)*S$2, 0) = 0, $K239/(time_cap),0)),0)</f>
        <v/>
      </c>
      <c r="T239" s="4395">
        <f>IFERROR(IF((time+time_cap)&lt;T$2, 0,IF(AND(time+1&gt;=U$2, $E239&lt;U$2), IF($I239= "I", $J239/($F239-$E239+1), $J239/(($F239*($F239+1)/2)-(($E239-1)*($E239-1+1)/2))*T$2), 0)+IF(IF(time+1&gt;=U$2, $K239/time_cap/(time+1)*T$2, 0) = 0, $K239/(time_cap),0)),0)</f>
        <v/>
      </c>
      <c r="U239" s="4395">
        <f>IFERROR(IF((time+time_cap)&lt;U$2, 0,IF(AND(time+1&gt;=V$2, $E239&lt;V$2), IF($I239= "I", $J239/($F239-$E239+1), $J239/(($F239*($F239+1)/2)-(($E239-1)*($E239-1+1)/2))*U$2), 0)+IF(IF(time+1&gt;=V$2, $K239/time_cap/(time+1)*U$2, 0) = 0, $K239/(time_cap),0)),0)</f>
        <v/>
      </c>
      <c r="V239" s="4395">
        <f>IFERROR(IF((time+time_cap)&lt;V$2, 0,IF(AND(time+1&gt;=W$2, $E239&lt;W$2), IF($I239= "I", $J239/($F239-$E239+1), $J239/(($F239*($F239+1)/2)-(($E239-1)*($E239-1+1)/2))*V$2), 0)+IF(IF(time+1&gt;=W$2, $K239/time_cap/(time+1)*V$2, 0) = 0, $K239/(time_cap),0)),0)</f>
        <v/>
      </c>
      <c r="W239" s="4395">
        <f>IFERROR(IF((time+time_cap)&lt;W$2, 0,IF(AND(time+1&gt;=X$2, $E239&lt;X$2), IF($I239= "I", $J239/($F239-$E239+1), $J239/(($F239*($F239+1)/2)-(($E239-1)*($E239-1+1)/2))*W$2), 0)+IF(IF(time+1&gt;=X$2, $K239/time_cap/(time+1)*W$2, 0) = 0, $K239/(time_cap),0)),0)</f>
        <v/>
      </c>
      <c r="X239" s="4395">
        <f>IFERROR(IF((time+time_cap)&lt;X$2, 0,IF(AND(time+1&gt;=Y$2, $E239&lt;Y$2), IF($I239= "I", $J239/($F239-$E239+1), $J239/(($F239*($F239+1)/2)-(($E239-1)*($E239-1+1)/2))*X$2), 0)+IF(IF(time+1&gt;=Y$2, $K239/time_cap/(time+1)*X$2, 0) = 0, $K239/(time_cap),0)),0)</f>
        <v/>
      </c>
      <c r="Y239" s="4395">
        <f>IFERROR(IF((time+time_cap)&lt;Y$2, 0,IF(AND(time+1&gt;=Z$2, $E239&lt;Z$2), IF($I239= "I", $J239/($F239-$E239+1), $J239/(($F239*($F239+1)/2)-(($E239-1)*($E239-1+1)/2))*Y$2), 0)+IF(IF(time+1&gt;=Z$2, $K239/time_cap/(time+1)*Y$2, 0) = 0, $K239/(time_cap),0)),0)</f>
        <v/>
      </c>
      <c r="Z239" s="4395">
        <f>IFERROR(IF((time+time_cap)&lt;Z$2, 0,IF(AND(time+1&gt;=AA$2, $E239&lt;AA$2), IF($I239= "I", $J239/($F239-$E239+1), $J239/(($F239*($F239+1)/2)-(($E239-1)*($E239-1+1)/2))*Z$2), 0)+IF(IF(time+1&gt;=AA$2, $K239/time_cap/(time+1)*Z$2, 0) = 0, $K239/(time_cap),0)),0)</f>
        <v/>
      </c>
      <c r="AA239" s="4395">
        <f>IFERROR(IF((time+time_cap)&lt;AA$2, 0,IF(AND(time+1&gt;=AB$2, $E239&lt;AB$2), IF($I239= "I", $J239/($F239-$E239+1), $J239/(($F239*($F239+1)/2)-(($E239-1)*($E239-1+1)/2))*AA$2), 0)+IF(IF(time+1&gt;=AB$2, $K239/time_cap/(time+1)*AA$2, 0) = 0, $K239/(time_cap),0)),0)</f>
        <v/>
      </c>
      <c r="AB239" s="4395">
        <f>IFERROR(IF((time+time_cap)&lt;AB$2, 0,IF(AND(time+1&gt;=AC$2, $E239&lt;AC$2), IF($I239= "I", $J239/($F239-$E239+1), $J239/(($F239*($F239+1)/2)-(($E239-1)*($E239-1+1)/2))*AB$2), 0)+IF(IF(time+1&gt;=AC$2, $K239/time_cap/(time+1)*AB$2, 0) = 0, $K239/(time_cap),0)),0)</f>
        <v/>
      </c>
      <c r="AC239" s="4395">
        <f>IFERROR(IF((time+time_cap)&lt;AC$2, 0,IF(AND(time+1&gt;=AD$2, $E239&lt;AD$2), IF($I239= "I", $J239/($F239-$E239+1), $J239/(($F239*($F239+1)/2)-(($E239-1)*($E239-1+1)/2))*AC$2), 0)+IF(IF(time+1&gt;=AD$2, $K239/time_cap/(time+1)*AC$2, 0) = 0, $K239/(time_cap),0)),0)</f>
        <v/>
      </c>
      <c r="AD239" s="4395">
        <f>IFERROR(IF((time+time_cap)&lt;AD$2, 0,IF(AND(time+1&gt;=AE$2, $E239&lt;AE$2), IF($I239= "I", $J239/($F239-$E239+1), $J239/(($F239*($F239+1)/2)-(($E239-1)*($E239-1+1)/2))*AD$2), 0)+IF(IF(time+1&gt;=AE$2, $K239/time_cap/(time+1)*AD$2, 0) = 0, $K239/(time_cap),0)),0)</f>
        <v/>
      </c>
      <c r="AE239" s="4395">
        <f>IFERROR(IF((time+time_cap)&lt;AE$2, 0,IF(AND(time+1&gt;=AF$2, $E239&lt;AF$2), IF($I239= "I", $J239/($F239-$E239+1), $J239/(($F239*($F239+1)/2)-(($E239-1)*($E239-1+1)/2))*AE$2), 0)+IF(IF(time+1&gt;=AF$2, $K239/time_cap/(time+1)*AE$2, 0) = 0, $K239/(time_cap),0)),0)</f>
        <v/>
      </c>
      <c r="AF239" s="4395">
        <f>IFERROR(IF((time+time_cap)&lt;AF$2, 0,IF(AND(time+1&gt;=AG$2, $E239&lt;AG$2), IF($I239= "I", $J239/($F239-$E239+1), $J239/(($F239*($F239+1)/2)-(($E239-1)*($E239-1+1)/2))*AF$2), 0)+IF(IF(time+1&gt;=AG$2, $K239/time_cap/(time+1)*AF$2, 0) = 0, $K239/(time_cap),0)),0)</f>
        <v/>
      </c>
      <c r="AG239" s="4395">
        <f>IFERROR(IF((time+time_cap)&lt;AG$2, 0,IF(AND(time+1&gt;=AH$2, $E239&lt;AH$2), IF($I239= "I", $J239/($F239-$E239+1), $J239/(($F239*($F239+1)/2)-(($E239-1)*($E239-1+1)/2))*AG$2), 0)+IF(IF(time+1&gt;=AH$2, $K239/time_cap/(time+1)*AG$2, 0) = 0, $K239/(time_cap),0)),0)</f>
        <v/>
      </c>
      <c r="AH239" s="4395">
        <f>IFERROR(IF((time+time_cap)&lt;AH$2, 0,IF(AND(time+1&gt;=AI$2, $E239&lt;AI$2), IF($I239= "I", $J239/($F239-$E239+1), $J239/(($F239*($F239+1)/2)-(($E239-1)*($E239-1+1)/2))*AH$2), 0)+IF(IF(time+1&gt;=AI$2, $K239/time_cap/(time+1)*AH$2, 0) = 0, $K239/(time_cap),0)),0)</f>
        <v/>
      </c>
      <c r="AI239" s="4395">
        <f>IFERROR(IF((time+time_cap)&lt;AI$2, 0,IF(AND(time+1&gt;=AJ$2, $E239&lt;AJ$2), IF($I239= "I", $J239/($F239-$E239+1), $J239/(($F239*($F239+1)/2)-(($E239-1)*($E239-1+1)/2))*AI$2), 0)+IF(IF(time+1&gt;=AJ$2, $K239/time_cap/(time+1)*AI$2, 0) = 0, $K239/(time_cap),0)),0)</f>
        <v/>
      </c>
      <c r="AJ239" s="4395">
        <f>IFERROR(IF((time+time_cap)&lt;AJ$2, 0,IF(AND(time+1&gt;=AK$2, $E239&lt;AK$2), IF($I239= "I", $J239/($F239-$E239+1), $J239/(($F239*($F239+1)/2)-(($E239-1)*($E239-1+1)/2))*AJ$2), 0)+IF(IF(time+1&gt;=AK$2, $K239/time_cap/(time+1)*AJ$2, 0) = 0, $K239/(time_cap),0)),0)</f>
        <v/>
      </c>
      <c r="AK239" s="4395">
        <f>IFERROR(IF((time+time_cap)&lt;AK$2, 0,IF(AND(time+1&gt;=AL$2, $E239&lt;AL$2), IF($I239= "I", $J239/($F239-$E239+1), $J239/(($F239*($F239+1)/2)-(($E239-1)*($E239-1+1)/2))*AK$2), 0)+IF(IF(time+1&gt;=AL$2, $K239/time_cap/(time+1)*AK$2, 0) = 0, $K239/(time_cap),0)),0)</f>
        <v/>
      </c>
      <c r="AL239" s="4395">
        <f>IFERROR(IF((time+time_cap)&lt;AL$2, 0,IF(AND(time+1&gt;=AM$2, $E239&lt;AM$2), IF($I239= "I", $J239/($F239-$E239+1), $J239/(($F239*($F239+1)/2)-(($E239-1)*($E239-1+1)/2))*AL$2), 0)+IF(IF(time+1&gt;=AM$2, $K239/time_cap/(time+1)*AL$2, 0) = 0, $K239/(time_cap),0)),0)</f>
        <v/>
      </c>
      <c r="AM239" s="4395">
        <f>IFERROR(IF((time+time_cap)&lt;AM$2, 0,IF(AND(time+1&gt;=AN$2, $E239&lt;AN$2), IF($I239= "I", $J239/($F239-$E239+1), $J239/(($F239*($F239+1)/2)-(($E239-1)*($E239-1+1)/2))*AM$2), 0)+IF(IF(time+1&gt;=AN$2, $K239/time_cap/(time+1)*AM$2, 0) = 0, $K239/(time_cap),0)),0)</f>
        <v/>
      </c>
      <c r="AN239" s="4395">
        <f>IFERROR(IF((time+time_cap)&lt;AN$2, 0,IF(AND(time+1&gt;=AO$2, $E239&lt;AO$2), IF($I239= "I", $J239/($F239-$E239+1), $J239/(($F239*($F239+1)/2)-(($E239-1)*($E239-1+1)/2))*AN$2), 0)+IF(IF(time+1&gt;=AO$2, $K239/time_cap/(time+1)*AN$2, 0) = 0, $K239/(time_cap),0)),0)</f>
        <v/>
      </c>
      <c r="AO239" s="4395">
        <f>IFERROR(IF((time+time_cap)&lt;AO$2, 0,IF(AND(time+1&gt;=AP$2, $E239&lt;AP$2), IF($I239= "I", $J239/($F239-$E239+1), $J239/(($F239*($F239+1)/2)-(($E239-1)*($E239-1+1)/2))*AO$2), 0)+IF(IF(time+1&gt;=AP$2, $K239/time_cap/(time+1)*AO$2, 0) = 0, $K239/(time_cap),0)),0)</f>
        <v/>
      </c>
      <c r="AP239" s="4395">
        <f>IFERROR(IF((time+time_cap)&lt;AP$2, 0,IF(AND(time+1&gt;=AQ$2, $E239&lt;AQ$2), IF($I239= "I", $J239/($F239-$E239+1), $J239/(($F239*($F239+1)/2)-(($E239-1)*($E239-1+1)/2))*AP$2), 0)+IF(IF(time+1&gt;=AQ$2, $K239/time_cap/(time+1)*AP$2, 0) = 0, $K239/(time_cap),0)),0)</f>
        <v/>
      </c>
      <c r="AQ239" s="4395">
        <f>IFERROR(IF((time+time_cap)&lt;AQ$2, 0,IF(AND(time+1&gt;=AR$2, $E239&lt;AR$2), IF($I239= "I", $J239/($F239-$E239+1), $J239/(($F239*($F239+1)/2)-(($E239-1)*($E239-1+1)/2))*AQ$2), 0)+IF(IF(time+1&gt;=AR$2, $K239/time_cap/(time+1)*AQ$2, 0) = 0, $K239/(time_cap),0)),0)</f>
        <v/>
      </c>
      <c r="AR239" s="4395">
        <f>IFERROR(IF((time+time_cap)&lt;AR$2, 0,IF(AND(time+1&gt;=AS$2, $E239&lt;AS$2), IF($I239= "I", $J239/($F239-$E239+1), $J239/(($F239*($F239+1)/2)-(($E239-1)*($E239-1+1)/2))*AR$2), 0)+IF(IF(time+1&gt;=AS$2, $K239/time_cap/(time+1)*AR$2, 0) = 0, $K239/(time_cap),0)),0)</f>
        <v/>
      </c>
      <c r="AS239" s="4395">
        <f>IFERROR(IF((time+time_cap)&lt;AS$2, 0,IF(AND(time+1&gt;=AT$2, $E239&lt;AT$2), IF($I239= "I", $J239/($F239-$E239+1), $J239/(($F239*($F239+1)/2)-(($E239-1)*($E239-1+1)/2))*AS$2), 0)+IF(IF(time+1&gt;=AT$2, $K239/time_cap/(time+1)*AS$2, 0) = 0, $K239/(time_cap),0)),0)</f>
        <v/>
      </c>
      <c r="AT239" s="4395">
        <f>IFERROR(IF((time+time_cap)&lt;AT$2, 0,IF(AND(time+1&gt;=AU$2, $E239&lt;AU$2), IF($I239= "I", $J239/($F239-$E239+1), $J239/(($F239*($F239+1)/2)-(($E239-1)*($E239-1+1)/2))*AT$2), 0)+IF(IF(time+1&gt;=AU$2, $K239/time_cap/(time+1)*AT$2, 0) = 0, $K239/(time_cap),0)),0)</f>
        <v/>
      </c>
      <c r="AU239" s="4395">
        <f>IFERROR(IF((time+time_cap)&lt;AU$2, 0,IF(AND(time+1&gt;=AV$2, $E239&lt;AV$2), IF($I239= "I", $J239/($F239-$E239+1), $J239/(($F239*($F239+1)/2)-(($E239-1)*($E239-1+1)/2))*AU$2), 0)+IF(IF(time+1&gt;=AV$2, $K239/time_cap/(time+1)*AU$2, 0) = 0, $K239/(time_cap),0)),0)</f>
        <v/>
      </c>
      <c r="AV239" s="4395">
        <f>IFERROR(IF((time+time_cap)&lt;AV$2, 0,IF(AND(time+1&gt;=AW$2, $E239&lt;AW$2), IF($I239= "I", $J239/($F239-$E239+1), $J239/(($F239*($F239+1)/2)-(($E239-1)*($E239-1+1)/2))*AV$2), 0)+IF(IF(time+1&gt;=AW$2, $K239/time_cap/(time+1)*AV$2, 0) = 0, $K239/(time_cap),0)),0)</f>
        <v/>
      </c>
      <c r="AW239" s="4395">
        <f>IFERROR(IF((time+time_cap)&lt;AW$2, 0,IF(AND(time+1&gt;=AX$2, $E239&lt;AX$2), IF($I239= "I", $J239/($F239-$E239+1), $J239/(($F239*($F239+1)/2)-(($E239-1)*($E239-1+1)/2))*AW$2), 0)+IF(IF(time+1&gt;=AX$2, $K239/time_cap/(time+1)*AW$2, 0) = 0, $K239/(time_cap),0)),0)</f>
        <v/>
      </c>
      <c r="AX239" s="4395">
        <f>IFERROR(IF((time+time_cap)&lt;AX$2, 0,IF(AND(time+1&gt;=AY$2, $E239&lt;AY$2), IF($I239= "I", $J239/($F239-$E239+1), $J239/(($F239*($F239+1)/2)-(($E239-1)*($E239-1+1)/2))*AX$2), 0)+IF(IF(time+1&gt;=AY$2, $K239/time_cap/(time+1)*AX$2, 0) = 0, $K239/(time_cap),0)),0)</f>
        <v/>
      </c>
      <c r="AY239" s="4395">
        <f>IFERROR(IF((time+time_cap)&lt;AY$2, 0,IF(AND(time+1&gt;=AZ$2, $E239&lt;AZ$2), IF($I239= "I", $J239/($F239-$E239+1), $J239/(($F239*($F239+1)/2)-(($E239-1)*($E239-1+1)/2))*AY$2), 0)+IF(IF(time+1&gt;=AZ$2, $K239/time_cap/(time+1)*AY$2, 0) = 0, $K239/(time_cap),0)),0)</f>
        <v/>
      </c>
      <c r="AZ239" s="4395">
        <f>IFERROR(IF((time+time_cap)&lt;AZ$2, 0,IF(AND(time+1&gt;=BA$2, $E239&lt;BA$2), IF($I239= "I", $J239/($F239-$E239+1), $J239/(($F239*($F239+1)/2)-(($E239-1)*($E239-1+1)/2))*AZ$2), 0)+IF(IF(time+1&gt;=BA$2, $K239/time_cap/(time+1)*AZ$2, 0) = 0, $K239/(time_cap),0)),0)</f>
        <v/>
      </c>
      <c r="BA239" s="4395">
        <f>IFERROR(IF((time+time_cap)&lt;BA$2, 0,IF(AND(time+1&gt;=BB$2, $E239&lt;BB$2), IF($I239= "I", $J239/($F239-$E239+1), $J239/(($F239*($F239+1)/2)-(($E239-1)*($E239-1+1)/2))*BA$2), 0)+IF(IF(time+1&gt;=BB$2, $K239/time_cap/(time+1)*BA$2, 0) = 0, $K239/(time_cap),0)),0)</f>
        <v/>
      </c>
      <c r="BB239" s="4395">
        <f>IFERROR(IF((time+time_cap)&lt;BB$2, 0,IF(AND(time+1&gt;=BC$2, $E239&lt;BC$2), IF($I239= "I", $J239/($F239-$E239+1), $J239/(($F239*($F239+1)/2)-(($E239-1)*($E239-1+1)/2))*BB$2), 0)+IF(IF(time+1&gt;=BC$2, $K239/time_cap/(time+1)*BB$2, 0) = 0, $K239/(time_cap),0)),0)</f>
        <v/>
      </c>
      <c r="BC239" s="4395">
        <f>IFERROR(IF((time+time_cap)&lt;BC$2, 0,IF(AND(time+1&gt;=BD$2, $E239&lt;BD$2), IF($I239= "I", $J239/($F239-$E239+1), $J239/(($F239*($F239+1)/2)-(($E239-1)*($E239-1+1)/2))*BC$2), 0)+IF(IF(time+1&gt;=BD$2, $K239/time_cap/(time+1)*BC$2, 0) = 0, $K239/(time_cap),0)),0)</f>
        <v/>
      </c>
      <c r="BD239" s="4395">
        <f>IFERROR(IF((time+time_cap)&lt;BD$2, 0,IF(AND(time+1&gt;=BE$2, $E239&lt;BE$2), IF($I239= "I", $J239/($F239-$E239+1), $J239/(($F239*($F239+1)/2)-(($E239-1)*($E239-1+1)/2))*BD$2), 0)+IF(IF(time+1&gt;=BE$2, $K239/time_cap/(time+1)*BD$2, 0) = 0, $K239/(time_cap),0)),0)</f>
        <v/>
      </c>
      <c r="BE239" s="4395">
        <f>IFERROR(IF((time+time_cap)&lt;BE$2, 0,IF(AND(time+1&gt;=BF$2, $E239&lt;BF$2), IF($I239= "I", $J239/($F239-$E239+1), $J239/(($F239*($F239+1)/2)-(($E239-1)*($E239-1+1)/2))*BE$2), 0)+IF(IF(time+1&gt;=BF$2, $K239/time_cap/(time+1)*BE$2, 0) = 0, $K239/(time_cap),0)),0)</f>
        <v/>
      </c>
      <c r="BF239" s="4395">
        <f>IFERROR(IF((time+time_cap)&lt;BF$2, 0,IF(AND(time+1&gt;=BG$2, $E239&lt;BG$2), IF($I239= "I", $J239/($F239-$E239+1), $J239/(($F239*($F239+1)/2)-(($E239-1)*($E239-1+1)/2))*BF$2), 0)+IF(IF(time+1&gt;=BG$2, $K239/time_cap/(time+1)*BF$2, 0) = 0, $K239/(time_cap),0)),0)</f>
        <v/>
      </c>
      <c r="BG239" s="4395">
        <f>IFERROR(IF((time+time_cap)&lt;BG$2, 0,IF(AND(time+1&gt;=BH$2, $E239&lt;BH$2), IF($I239= "I", $J239/($F239-$E239+1), $J239/(($F239*($F239+1)/2)-(($E239-1)*($E239-1+1)/2))*BG$2), 0)+IF(IF(time+1&gt;=BH$2, $K239/time_cap/(time+1)*BG$2, 0) = 0, $K239/(time_cap),0)),0)</f>
        <v/>
      </c>
      <c r="BH239" s="4395">
        <f>IFERROR(IF((time+time_cap)&lt;BH$2, 0,IF(AND(time+1&gt;=BI$2, $E239&lt;BI$2), IF($I239= "I", $J239/($F239-$E239+1), $J239/(($F239*($F239+1)/2)-(($E239-1)*($E239-1+1)/2))*BH$2), 0)+IF(IF(time+1&gt;=BI$2, $K239/time_cap/(time+1)*BH$2, 0) = 0, $K239/(time_cap),0)),0)</f>
        <v/>
      </c>
      <c r="BI239" s="4395">
        <f>IFERROR(IF((time+time_cap)&lt;BI$2, 0,IF(AND(time+1&gt;=BJ$2, $E239&lt;BJ$2), IF($I239= "I", $J239/($F239-$E239+1), $J239/(($F239*($F239+1)/2)-(($E239-1)*($E239-1+1)/2))*BI$2), 0)+IF(IF(time+1&gt;=BJ$2, $K239/time_cap/(time+1)*BI$2, 0) = 0, $K239/(time_cap),0)),0)</f>
        <v/>
      </c>
      <c r="BJ239" s="4395">
        <f>IFERROR(IF((time+time_cap)&lt;BJ$2, 0,IF(AND(time+1&gt;=BK$2, $E239&lt;BK$2), IF($I239= "I", $J239/($F239-$E239+1), $J239/(($F239*($F239+1)/2)-(($E239-1)*($E239-1+1)/2))*BJ$2), 0)+IF(IF(time+1&gt;=BK$2, $K239/time_cap/(time+1)*BJ$2, 0) = 0, $K239/(time_cap),0)),0)</f>
        <v/>
      </c>
      <c r="BK239" s="4395" t="n"/>
      <c r="BL239" s="4395" t="n"/>
      <c r="BM239" s="4395" t="n"/>
      <c r="BN239" s="4395" t="n"/>
      <c r="BO239" s="4395" t="n"/>
      <c r="BP239" s="4395" t="n"/>
      <c r="BQ239" s="4395" t="n"/>
      <c r="BR239" s="4395" t="n"/>
      <c r="BS239" s="4395" t="n"/>
      <c r="BT239" s="4395" t="n"/>
      <c r="BU239" s="4395" t="n"/>
      <c r="BV239" s="4395" t="n"/>
      <c r="BW239" s="4395" t="n"/>
      <c r="BX239" s="4395" t="n"/>
      <c r="BY239" s="4395" t="n"/>
      <c r="BZ239" s="4395" t="n"/>
      <c r="CA239" s="4395" t="n"/>
      <c r="CB239" s="4395" t="n"/>
      <c r="CC239" s="4395" t="n"/>
      <c r="CD239" s="4395" t="n"/>
      <c r="CE239" s="4395" t="n"/>
      <c r="CF239" s="4395" t="n"/>
      <c r="CG239" s="4395" t="n"/>
      <c r="CH239" s="4395" t="n"/>
      <c r="CI239" s="4395" t="n"/>
      <c r="CJ239" s="4395" t="n"/>
      <c r="CK239" s="4395" t="n"/>
      <c r="CL239" s="4395" t="n"/>
      <c r="CM239" s="4395" t="n"/>
      <c r="CN239" s="4395" t="n"/>
      <c r="CO239" s="4395" t="n"/>
      <c r="CP239" s="4395" t="n"/>
      <c r="CQ239" s="4395" t="n"/>
      <c r="CR239" s="4395" t="n"/>
      <c r="CS239" s="4395" t="n"/>
      <c r="CT239" s="4395" t="n"/>
      <c r="CU239" s="4395" t="n"/>
      <c r="CV239" s="4395" t="n"/>
      <c r="CW239" s="4395" t="n"/>
      <c r="CX239" s="4395" t="n"/>
      <c r="CY239" s="4395" t="n"/>
      <c r="CZ239" s="4395" t="n"/>
      <c r="DA239" s="4395" t="n"/>
      <c r="DB239" s="4395" t="n"/>
      <c r="DC239" s="4395" t="n"/>
      <c r="DD239" s="4395" t="n"/>
      <c r="DE239" s="4395" t="n"/>
      <c r="DF239" s="4395" t="n"/>
      <c r="DG239" s="4395" t="n"/>
      <c r="DH239" s="4395" t="n"/>
    </row>
    <row r="240" ht="16" customHeight="1">
      <c r="A240" t="inlineStr">
        <is>
          <t>Infrastructure</t>
        </is>
      </c>
      <c r="C240">
        <f>'9.Inputs'!C111</f>
        <v/>
      </c>
      <c r="D240">
        <f>'9.Inputs'!V111</f>
        <v/>
      </c>
      <c r="E240">
        <f>IF('9.Inputs'!AW111&lt;&gt;0,'9.Inputs'!AW111,'9.Inputs'!AV111)</f>
        <v/>
      </c>
      <c r="F240">
        <f>time</f>
        <v/>
      </c>
      <c r="G240" s="4395" t="inlineStr">
        <is>
          <t>D</t>
        </is>
      </c>
      <c r="H240" s="4395" t="inlineStr">
        <is>
          <t>D</t>
        </is>
      </c>
      <c r="I240" s="4395">
        <f>IF(OR(H240="I", G240="I"), "I", IF(OR(H240="E", G240="E"), "E", "D"))</f>
        <v/>
      </c>
      <c r="J240" s="4395">
        <f>((D240/(time_cap+((F240-E240+1)*VLOOKUP(I240,list!$I$48:$K$50,3, FALSE))))*(F240-E240+1)*VLOOKUP(I240,list!$I$48:$K$50,3, FALSE))</f>
        <v/>
      </c>
      <c r="K240" s="4395">
        <f>((D240/(time_cap+((F240-E240+1)*VLOOKUP(I240,list!$I$48:$K$50,3, FALSE))))*time_cap)</f>
        <v/>
      </c>
      <c r="M240" s="4395">
        <f>IFERROR(IF((time+time_cap)&lt;M$2, 0,IF(AND(time+1&gt;=N$2, $E240&lt;N$2), IF($I240= "I", $J240/($F240-$E240+1), $J240/(($F240*($F240+1)/2)-(($E240-1)*($E240-1+1)/2))*M$2), 0)+IF(IF(time+1&gt;=N$2, $K240/time_cap/(time+1)*M$2, 0) = 0, $K240/(time_cap),0)),0)</f>
        <v/>
      </c>
      <c r="N240" s="4395">
        <f>IFERROR(IF((time+time_cap)&lt;N$2, 0,IF(AND(time+1&gt;=O$2, $E240&lt;O$2), IF($I240= "I", $J240/($F240-$E240+1), $J240/(($F240*($F240+1)/2)-(($E240-1)*($E240-1+1)/2))*N$2), 0)+IF(IF(time+1&gt;=O$2, $K240/time_cap/(time+1)*N$2, 0) = 0, $K240/(time_cap),0)),0)</f>
        <v/>
      </c>
      <c r="O240" s="4395">
        <f>IFERROR(IF((time+time_cap)&lt;O$2, 0,IF(AND(time+1&gt;=P$2, $E240&lt;P$2), IF($I240= "I", $J240/($F240-$E240+1), $J240/(($F240*($F240+1)/2)-(($E240-1)*($E240-1+1)/2))*O$2), 0)+IF(IF(time+1&gt;=P$2, $K240/time_cap/(time+1)*O$2, 0) = 0, $K240/(time_cap),0)),0)</f>
        <v/>
      </c>
      <c r="P240" s="4395">
        <f>IFERROR(IF((time+time_cap)&lt;P$2, 0,IF(AND(time+1&gt;=Q$2, $E240&lt;Q$2), IF($I240= "I", $J240/($F240-$E240+1), $J240/(($F240*($F240+1)/2)-(($E240-1)*($E240-1+1)/2))*P$2), 0)+IF(IF(time+1&gt;=Q$2, $K240/time_cap/(time+1)*P$2, 0) = 0, $K240/(time_cap),0)),0)</f>
        <v/>
      </c>
      <c r="Q240" s="4395">
        <f>IFERROR(IF((time+time_cap)&lt;Q$2, 0,IF(AND(time+1&gt;=R$2, $E240&lt;R$2), IF($I240= "I", $J240/($F240-$E240+1), $J240/(($F240*($F240+1)/2)-(($E240-1)*($E240-1+1)/2))*Q$2), 0)+IF(IF(time+1&gt;=R$2, $K240/time_cap/(time+1)*Q$2, 0) = 0, $K240/(time_cap),0)),0)</f>
        <v/>
      </c>
      <c r="R240" s="4395">
        <f>IFERROR(IF((time+time_cap)&lt;R$2, 0,IF(AND(time+1&gt;=S$2, $E240&lt;S$2), IF($I240= "I", $J240/($F240-$E240+1), $J240/(($F240*($F240+1)/2)-(($E240-1)*($E240-1+1)/2))*R$2), 0)+IF(IF(time+1&gt;=S$2, $K240/time_cap/(time+1)*R$2, 0) = 0, $K240/(time_cap),0)),0)</f>
        <v/>
      </c>
      <c r="S240" s="4395">
        <f>IFERROR(IF((time+time_cap)&lt;S$2, 0,IF(AND(time+1&gt;=T$2, $E240&lt;T$2), IF($I240= "I", $J240/($F240-$E240+1), $J240/(($F240*($F240+1)/2)-(($E240-1)*($E240-1+1)/2))*S$2), 0)+IF(IF(time+1&gt;=T$2, $K240/time_cap/(time+1)*S$2, 0) = 0, $K240/(time_cap),0)),0)</f>
        <v/>
      </c>
      <c r="T240" s="4395">
        <f>IFERROR(IF((time+time_cap)&lt;T$2, 0,IF(AND(time+1&gt;=U$2, $E240&lt;U$2), IF($I240= "I", $J240/($F240-$E240+1), $J240/(($F240*($F240+1)/2)-(($E240-1)*($E240-1+1)/2))*T$2), 0)+IF(IF(time+1&gt;=U$2, $K240/time_cap/(time+1)*T$2, 0) = 0, $K240/(time_cap),0)),0)</f>
        <v/>
      </c>
      <c r="U240" s="4395">
        <f>IFERROR(IF((time+time_cap)&lt;U$2, 0,IF(AND(time+1&gt;=V$2, $E240&lt;V$2), IF($I240= "I", $J240/($F240-$E240+1), $J240/(($F240*($F240+1)/2)-(($E240-1)*($E240-1+1)/2))*U$2), 0)+IF(IF(time+1&gt;=V$2, $K240/time_cap/(time+1)*U$2, 0) = 0, $K240/(time_cap),0)),0)</f>
        <v/>
      </c>
      <c r="V240" s="4395">
        <f>IFERROR(IF((time+time_cap)&lt;V$2, 0,IF(AND(time+1&gt;=W$2, $E240&lt;W$2), IF($I240= "I", $J240/($F240-$E240+1), $J240/(($F240*($F240+1)/2)-(($E240-1)*($E240-1+1)/2))*V$2), 0)+IF(IF(time+1&gt;=W$2, $K240/time_cap/(time+1)*V$2, 0) = 0, $K240/(time_cap),0)),0)</f>
        <v/>
      </c>
      <c r="W240" s="4395">
        <f>IFERROR(IF((time+time_cap)&lt;W$2, 0,IF(AND(time+1&gt;=X$2, $E240&lt;X$2), IF($I240= "I", $J240/($F240-$E240+1), $J240/(($F240*($F240+1)/2)-(($E240-1)*($E240-1+1)/2))*W$2), 0)+IF(IF(time+1&gt;=X$2, $K240/time_cap/(time+1)*W$2, 0) = 0, $K240/(time_cap),0)),0)</f>
        <v/>
      </c>
      <c r="X240" s="4395">
        <f>IFERROR(IF((time+time_cap)&lt;X$2, 0,IF(AND(time+1&gt;=Y$2, $E240&lt;Y$2), IF($I240= "I", $J240/($F240-$E240+1), $J240/(($F240*($F240+1)/2)-(($E240-1)*($E240-1+1)/2))*X$2), 0)+IF(IF(time+1&gt;=Y$2, $K240/time_cap/(time+1)*X$2, 0) = 0, $K240/(time_cap),0)),0)</f>
        <v/>
      </c>
      <c r="Y240" s="4395">
        <f>IFERROR(IF((time+time_cap)&lt;Y$2, 0,IF(AND(time+1&gt;=Z$2, $E240&lt;Z$2), IF($I240= "I", $J240/($F240-$E240+1), $J240/(($F240*($F240+1)/2)-(($E240-1)*($E240-1+1)/2))*Y$2), 0)+IF(IF(time+1&gt;=Z$2, $K240/time_cap/(time+1)*Y$2, 0) = 0, $K240/(time_cap),0)),0)</f>
        <v/>
      </c>
      <c r="Z240" s="4395">
        <f>IFERROR(IF((time+time_cap)&lt;Z$2, 0,IF(AND(time+1&gt;=AA$2, $E240&lt;AA$2), IF($I240= "I", $J240/($F240-$E240+1), $J240/(($F240*($F240+1)/2)-(($E240-1)*($E240-1+1)/2))*Z$2), 0)+IF(IF(time+1&gt;=AA$2, $K240/time_cap/(time+1)*Z$2, 0) = 0, $K240/(time_cap),0)),0)</f>
        <v/>
      </c>
      <c r="AA240" s="4395">
        <f>IFERROR(IF((time+time_cap)&lt;AA$2, 0,IF(AND(time+1&gt;=AB$2, $E240&lt;AB$2), IF($I240= "I", $J240/($F240-$E240+1), $J240/(($F240*($F240+1)/2)-(($E240-1)*($E240-1+1)/2))*AA$2), 0)+IF(IF(time+1&gt;=AB$2, $K240/time_cap/(time+1)*AA$2, 0) = 0, $K240/(time_cap),0)),0)</f>
        <v/>
      </c>
      <c r="AB240" s="4395">
        <f>IFERROR(IF((time+time_cap)&lt;AB$2, 0,IF(AND(time+1&gt;=AC$2, $E240&lt;AC$2), IF($I240= "I", $J240/($F240-$E240+1), $J240/(($F240*($F240+1)/2)-(($E240-1)*($E240-1+1)/2))*AB$2), 0)+IF(IF(time+1&gt;=AC$2, $K240/time_cap/(time+1)*AB$2, 0) = 0, $K240/(time_cap),0)),0)</f>
        <v/>
      </c>
      <c r="AC240" s="4395">
        <f>IFERROR(IF((time+time_cap)&lt;AC$2, 0,IF(AND(time+1&gt;=AD$2, $E240&lt;AD$2), IF($I240= "I", $J240/($F240-$E240+1), $J240/(($F240*($F240+1)/2)-(($E240-1)*($E240-1+1)/2))*AC$2), 0)+IF(IF(time+1&gt;=AD$2, $K240/time_cap/(time+1)*AC$2, 0) = 0, $K240/(time_cap),0)),0)</f>
        <v/>
      </c>
      <c r="AD240" s="4395">
        <f>IFERROR(IF((time+time_cap)&lt;AD$2, 0,IF(AND(time+1&gt;=AE$2, $E240&lt;AE$2), IF($I240= "I", $J240/($F240-$E240+1), $J240/(($F240*($F240+1)/2)-(($E240-1)*($E240-1+1)/2))*AD$2), 0)+IF(IF(time+1&gt;=AE$2, $K240/time_cap/(time+1)*AD$2, 0) = 0, $K240/(time_cap),0)),0)</f>
        <v/>
      </c>
      <c r="AE240" s="4395">
        <f>IFERROR(IF((time+time_cap)&lt;AE$2, 0,IF(AND(time+1&gt;=AF$2, $E240&lt;AF$2), IF($I240= "I", $J240/($F240-$E240+1), $J240/(($F240*($F240+1)/2)-(($E240-1)*($E240-1+1)/2))*AE$2), 0)+IF(IF(time+1&gt;=AF$2, $K240/time_cap/(time+1)*AE$2, 0) = 0, $K240/(time_cap),0)),0)</f>
        <v/>
      </c>
      <c r="AF240" s="4395">
        <f>IFERROR(IF((time+time_cap)&lt;AF$2, 0,IF(AND(time+1&gt;=AG$2, $E240&lt;AG$2), IF($I240= "I", $J240/($F240-$E240+1), $J240/(($F240*($F240+1)/2)-(($E240-1)*($E240-1+1)/2))*AF$2), 0)+IF(IF(time+1&gt;=AG$2, $K240/time_cap/(time+1)*AF$2, 0) = 0, $K240/(time_cap),0)),0)</f>
        <v/>
      </c>
      <c r="AG240" s="4395">
        <f>IFERROR(IF((time+time_cap)&lt;AG$2, 0,IF(AND(time+1&gt;=AH$2, $E240&lt;AH$2), IF($I240= "I", $J240/($F240-$E240+1), $J240/(($F240*($F240+1)/2)-(($E240-1)*($E240-1+1)/2))*AG$2), 0)+IF(IF(time+1&gt;=AH$2, $K240/time_cap/(time+1)*AG$2, 0) = 0, $K240/(time_cap),0)),0)</f>
        <v/>
      </c>
      <c r="AH240" s="4395">
        <f>IFERROR(IF((time+time_cap)&lt;AH$2, 0,IF(AND(time+1&gt;=AI$2, $E240&lt;AI$2), IF($I240= "I", $J240/($F240-$E240+1), $J240/(($F240*($F240+1)/2)-(($E240-1)*($E240-1+1)/2))*AH$2), 0)+IF(IF(time+1&gt;=AI$2, $K240/time_cap/(time+1)*AH$2, 0) = 0, $K240/(time_cap),0)),0)</f>
        <v/>
      </c>
      <c r="AI240" s="4395">
        <f>IFERROR(IF((time+time_cap)&lt;AI$2, 0,IF(AND(time+1&gt;=AJ$2, $E240&lt;AJ$2), IF($I240= "I", $J240/($F240-$E240+1), $J240/(($F240*($F240+1)/2)-(($E240-1)*($E240-1+1)/2))*AI$2), 0)+IF(IF(time+1&gt;=AJ$2, $K240/time_cap/(time+1)*AI$2, 0) = 0, $K240/(time_cap),0)),0)</f>
        <v/>
      </c>
      <c r="AJ240" s="4395">
        <f>IFERROR(IF((time+time_cap)&lt;AJ$2, 0,IF(AND(time+1&gt;=AK$2, $E240&lt;AK$2), IF($I240= "I", $J240/($F240-$E240+1), $J240/(($F240*($F240+1)/2)-(($E240-1)*($E240-1+1)/2))*AJ$2), 0)+IF(IF(time+1&gt;=AK$2, $K240/time_cap/(time+1)*AJ$2, 0) = 0, $K240/(time_cap),0)),0)</f>
        <v/>
      </c>
      <c r="AK240" s="4395">
        <f>IFERROR(IF((time+time_cap)&lt;AK$2, 0,IF(AND(time+1&gt;=AL$2, $E240&lt;AL$2), IF($I240= "I", $J240/($F240-$E240+1), $J240/(($F240*($F240+1)/2)-(($E240-1)*($E240-1+1)/2))*AK$2), 0)+IF(IF(time+1&gt;=AL$2, $K240/time_cap/(time+1)*AK$2, 0) = 0, $K240/(time_cap),0)),0)</f>
        <v/>
      </c>
      <c r="AL240" s="4395">
        <f>IFERROR(IF((time+time_cap)&lt;AL$2, 0,IF(AND(time+1&gt;=AM$2, $E240&lt;AM$2), IF($I240= "I", $J240/($F240-$E240+1), $J240/(($F240*($F240+1)/2)-(($E240-1)*($E240-1+1)/2))*AL$2), 0)+IF(IF(time+1&gt;=AM$2, $K240/time_cap/(time+1)*AL$2, 0) = 0, $K240/(time_cap),0)),0)</f>
        <v/>
      </c>
      <c r="AM240" s="4395">
        <f>IFERROR(IF((time+time_cap)&lt;AM$2, 0,IF(AND(time+1&gt;=AN$2, $E240&lt;AN$2), IF($I240= "I", $J240/($F240-$E240+1), $J240/(($F240*($F240+1)/2)-(($E240-1)*($E240-1+1)/2))*AM$2), 0)+IF(IF(time+1&gt;=AN$2, $K240/time_cap/(time+1)*AM$2, 0) = 0, $K240/(time_cap),0)),0)</f>
        <v/>
      </c>
      <c r="AN240" s="4395">
        <f>IFERROR(IF((time+time_cap)&lt;AN$2, 0,IF(AND(time+1&gt;=AO$2, $E240&lt;AO$2), IF($I240= "I", $J240/($F240-$E240+1), $J240/(($F240*($F240+1)/2)-(($E240-1)*($E240-1+1)/2))*AN$2), 0)+IF(IF(time+1&gt;=AO$2, $K240/time_cap/(time+1)*AN$2, 0) = 0, $K240/(time_cap),0)),0)</f>
        <v/>
      </c>
      <c r="AO240" s="4395">
        <f>IFERROR(IF((time+time_cap)&lt;AO$2, 0,IF(AND(time+1&gt;=AP$2, $E240&lt;AP$2), IF($I240= "I", $J240/($F240-$E240+1), $J240/(($F240*($F240+1)/2)-(($E240-1)*($E240-1+1)/2))*AO$2), 0)+IF(IF(time+1&gt;=AP$2, $K240/time_cap/(time+1)*AO$2, 0) = 0, $K240/(time_cap),0)),0)</f>
        <v/>
      </c>
      <c r="AP240" s="4395">
        <f>IFERROR(IF((time+time_cap)&lt;AP$2, 0,IF(AND(time+1&gt;=AQ$2, $E240&lt;AQ$2), IF($I240= "I", $J240/($F240-$E240+1), $J240/(($F240*($F240+1)/2)-(($E240-1)*($E240-1+1)/2))*AP$2), 0)+IF(IF(time+1&gt;=AQ$2, $K240/time_cap/(time+1)*AP$2, 0) = 0, $K240/(time_cap),0)),0)</f>
        <v/>
      </c>
      <c r="AQ240" s="4395">
        <f>IFERROR(IF((time+time_cap)&lt;AQ$2, 0,IF(AND(time+1&gt;=AR$2, $E240&lt;AR$2), IF($I240= "I", $J240/($F240-$E240+1), $J240/(($F240*($F240+1)/2)-(($E240-1)*($E240-1+1)/2))*AQ$2), 0)+IF(IF(time+1&gt;=AR$2, $K240/time_cap/(time+1)*AQ$2, 0) = 0, $K240/(time_cap),0)),0)</f>
        <v/>
      </c>
      <c r="AR240" s="4395">
        <f>IFERROR(IF((time+time_cap)&lt;AR$2, 0,IF(AND(time+1&gt;=AS$2, $E240&lt;AS$2), IF($I240= "I", $J240/($F240-$E240+1), $J240/(($F240*($F240+1)/2)-(($E240-1)*($E240-1+1)/2))*AR$2), 0)+IF(IF(time+1&gt;=AS$2, $K240/time_cap/(time+1)*AR$2, 0) = 0, $K240/(time_cap),0)),0)</f>
        <v/>
      </c>
      <c r="AS240" s="4395">
        <f>IFERROR(IF((time+time_cap)&lt;AS$2, 0,IF(AND(time+1&gt;=AT$2, $E240&lt;AT$2), IF($I240= "I", $J240/($F240-$E240+1), $J240/(($F240*($F240+1)/2)-(($E240-1)*($E240-1+1)/2))*AS$2), 0)+IF(IF(time+1&gt;=AT$2, $K240/time_cap/(time+1)*AS$2, 0) = 0, $K240/(time_cap),0)),0)</f>
        <v/>
      </c>
      <c r="AT240" s="4395">
        <f>IFERROR(IF((time+time_cap)&lt;AT$2, 0,IF(AND(time+1&gt;=AU$2, $E240&lt;AU$2), IF($I240= "I", $J240/($F240-$E240+1), $J240/(($F240*($F240+1)/2)-(($E240-1)*($E240-1+1)/2))*AT$2), 0)+IF(IF(time+1&gt;=AU$2, $K240/time_cap/(time+1)*AT$2, 0) = 0, $K240/(time_cap),0)),0)</f>
        <v/>
      </c>
      <c r="AU240" s="4395">
        <f>IFERROR(IF((time+time_cap)&lt;AU$2, 0,IF(AND(time+1&gt;=AV$2, $E240&lt;AV$2), IF($I240= "I", $J240/($F240-$E240+1), $J240/(($F240*($F240+1)/2)-(($E240-1)*($E240-1+1)/2))*AU$2), 0)+IF(IF(time+1&gt;=AV$2, $K240/time_cap/(time+1)*AU$2, 0) = 0, $K240/(time_cap),0)),0)</f>
        <v/>
      </c>
      <c r="AV240" s="4395">
        <f>IFERROR(IF((time+time_cap)&lt;AV$2, 0,IF(AND(time+1&gt;=AW$2, $E240&lt;AW$2), IF($I240= "I", $J240/($F240-$E240+1), $J240/(($F240*($F240+1)/2)-(($E240-1)*($E240-1+1)/2))*AV$2), 0)+IF(IF(time+1&gt;=AW$2, $K240/time_cap/(time+1)*AV$2, 0) = 0, $K240/(time_cap),0)),0)</f>
        <v/>
      </c>
      <c r="AW240" s="4395">
        <f>IFERROR(IF((time+time_cap)&lt;AW$2, 0,IF(AND(time+1&gt;=AX$2, $E240&lt;AX$2), IF($I240= "I", $J240/($F240-$E240+1), $J240/(($F240*($F240+1)/2)-(($E240-1)*($E240-1+1)/2))*AW$2), 0)+IF(IF(time+1&gt;=AX$2, $K240/time_cap/(time+1)*AW$2, 0) = 0, $K240/(time_cap),0)),0)</f>
        <v/>
      </c>
      <c r="AX240" s="4395">
        <f>IFERROR(IF((time+time_cap)&lt;AX$2, 0,IF(AND(time+1&gt;=AY$2, $E240&lt;AY$2), IF($I240= "I", $J240/($F240-$E240+1), $J240/(($F240*($F240+1)/2)-(($E240-1)*($E240-1+1)/2))*AX$2), 0)+IF(IF(time+1&gt;=AY$2, $K240/time_cap/(time+1)*AX$2, 0) = 0, $K240/(time_cap),0)),0)</f>
        <v/>
      </c>
      <c r="AY240" s="4395">
        <f>IFERROR(IF((time+time_cap)&lt;AY$2, 0,IF(AND(time+1&gt;=AZ$2, $E240&lt;AZ$2), IF($I240= "I", $J240/($F240-$E240+1), $J240/(($F240*($F240+1)/2)-(($E240-1)*($E240-1+1)/2))*AY$2), 0)+IF(IF(time+1&gt;=AZ$2, $K240/time_cap/(time+1)*AY$2, 0) = 0, $K240/(time_cap),0)),0)</f>
        <v/>
      </c>
      <c r="AZ240" s="4395">
        <f>IFERROR(IF((time+time_cap)&lt;AZ$2, 0,IF(AND(time+1&gt;=BA$2, $E240&lt;BA$2), IF($I240= "I", $J240/($F240-$E240+1), $J240/(($F240*($F240+1)/2)-(($E240-1)*($E240-1+1)/2))*AZ$2), 0)+IF(IF(time+1&gt;=BA$2, $K240/time_cap/(time+1)*AZ$2, 0) = 0, $K240/(time_cap),0)),0)</f>
        <v/>
      </c>
      <c r="BA240" s="4395">
        <f>IFERROR(IF((time+time_cap)&lt;BA$2, 0,IF(AND(time+1&gt;=BB$2, $E240&lt;BB$2), IF($I240= "I", $J240/($F240-$E240+1), $J240/(($F240*($F240+1)/2)-(($E240-1)*($E240-1+1)/2))*BA$2), 0)+IF(IF(time+1&gt;=BB$2, $K240/time_cap/(time+1)*BA$2, 0) = 0, $K240/(time_cap),0)),0)</f>
        <v/>
      </c>
      <c r="BB240" s="4395">
        <f>IFERROR(IF((time+time_cap)&lt;BB$2, 0,IF(AND(time+1&gt;=BC$2, $E240&lt;BC$2), IF($I240= "I", $J240/($F240-$E240+1), $J240/(($F240*($F240+1)/2)-(($E240-1)*($E240-1+1)/2))*BB$2), 0)+IF(IF(time+1&gt;=BC$2, $K240/time_cap/(time+1)*BB$2, 0) = 0, $K240/(time_cap),0)),0)</f>
        <v/>
      </c>
      <c r="BC240" s="4395">
        <f>IFERROR(IF((time+time_cap)&lt;BC$2, 0,IF(AND(time+1&gt;=BD$2, $E240&lt;BD$2), IF($I240= "I", $J240/($F240-$E240+1), $J240/(($F240*($F240+1)/2)-(($E240-1)*($E240-1+1)/2))*BC$2), 0)+IF(IF(time+1&gt;=BD$2, $K240/time_cap/(time+1)*BC$2, 0) = 0, $K240/(time_cap),0)),0)</f>
        <v/>
      </c>
      <c r="BD240" s="4395">
        <f>IFERROR(IF((time+time_cap)&lt;BD$2, 0,IF(AND(time+1&gt;=BE$2, $E240&lt;BE$2), IF($I240= "I", $J240/($F240-$E240+1), $J240/(($F240*($F240+1)/2)-(($E240-1)*($E240-1+1)/2))*BD$2), 0)+IF(IF(time+1&gt;=BE$2, $K240/time_cap/(time+1)*BD$2, 0) = 0, $K240/(time_cap),0)),0)</f>
        <v/>
      </c>
      <c r="BE240" s="4395">
        <f>IFERROR(IF((time+time_cap)&lt;BE$2, 0,IF(AND(time+1&gt;=BF$2, $E240&lt;BF$2), IF($I240= "I", $J240/($F240-$E240+1), $J240/(($F240*($F240+1)/2)-(($E240-1)*($E240-1+1)/2))*BE$2), 0)+IF(IF(time+1&gt;=BF$2, $K240/time_cap/(time+1)*BE$2, 0) = 0, $K240/(time_cap),0)),0)</f>
        <v/>
      </c>
      <c r="BF240" s="4395">
        <f>IFERROR(IF((time+time_cap)&lt;BF$2, 0,IF(AND(time+1&gt;=BG$2, $E240&lt;BG$2), IF($I240= "I", $J240/($F240-$E240+1), $J240/(($F240*($F240+1)/2)-(($E240-1)*($E240-1+1)/2))*BF$2), 0)+IF(IF(time+1&gt;=BG$2, $K240/time_cap/(time+1)*BF$2, 0) = 0, $K240/(time_cap),0)),0)</f>
        <v/>
      </c>
      <c r="BG240" s="4395">
        <f>IFERROR(IF((time+time_cap)&lt;BG$2, 0,IF(AND(time+1&gt;=BH$2, $E240&lt;BH$2), IF($I240= "I", $J240/($F240-$E240+1), $J240/(($F240*($F240+1)/2)-(($E240-1)*($E240-1+1)/2))*BG$2), 0)+IF(IF(time+1&gt;=BH$2, $K240/time_cap/(time+1)*BG$2, 0) = 0, $K240/(time_cap),0)),0)</f>
        <v/>
      </c>
      <c r="BH240" s="4395">
        <f>IFERROR(IF((time+time_cap)&lt;BH$2, 0,IF(AND(time+1&gt;=BI$2, $E240&lt;BI$2), IF($I240= "I", $J240/($F240-$E240+1), $J240/(($F240*($F240+1)/2)-(($E240-1)*($E240-1+1)/2))*BH$2), 0)+IF(IF(time+1&gt;=BI$2, $K240/time_cap/(time+1)*BH$2, 0) = 0, $K240/(time_cap),0)),0)</f>
        <v/>
      </c>
      <c r="BI240" s="4395">
        <f>IFERROR(IF((time+time_cap)&lt;BI$2, 0,IF(AND(time+1&gt;=BJ$2, $E240&lt;BJ$2), IF($I240= "I", $J240/($F240-$E240+1), $J240/(($F240*($F240+1)/2)-(($E240-1)*($E240-1+1)/2))*BI$2), 0)+IF(IF(time+1&gt;=BJ$2, $K240/time_cap/(time+1)*BI$2, 0) = 0, $K240/(time_cap),0)),0)</f>
        <v/>
      </c>
      <c r="BJ240" s="4395">
        <f>IFERROR(IF((time+time_cap)&lt;BJ$2, 0,IF(AND(time+1&gt;=BK$2, $E240&lt;BK$2), IF($I240= "I", $J240/($F240-$E240+1), $J240/(($F240*($F240+1)/2)-(($E240-1)*($E240-1+1)/2))*BJ$2), 0)+IF(IF(time+1&gt;=BK$2, $K240/time_cap/(time+1)*BJ$2, 0) = 0, $K240/(time_cap),0)),0)</f>
        <v/>
      </c>
      <c r="BK240" s="4395" t="n"/>
      <c r="BL240" s="4395" t="n"/>
      <c r="BM240" s="4395" t="n"/>
      <c r="BN240" s="4395" t="n"/>
      <c r="BO240" s="4395" t="n"/>
      <c r="BP240" s="4395" t="n"/>
      <c r="BQ240" s="4395" t="n"/>
      <c r="BR240" s="4395" t="n"/>
      <c r="BS240" s="4395" t="n"/>
      <c r="BT240" s="4395" t="n"/>
      <c r="BU240" s="4395" t="n"/>
      <c r="BV240" s="4395" t="n"/>
      <c r="BW240" s="4395" t="n"/>
      <c r="BX240" s="4395" t="n"/>
      <c r="BY240" s="4395" t="n"/>
      <c r="BZ240" s="4395" t="n"/>
      <c r="CA240" s="4395" t="n"/>
      <c r="CB240" s="4395" t="n"/>
      <c r="CC240" s="4395" t="n"/>
      <c r="CD240" s="4395" t="n"/>
      <c r="CE240" s="4395" t="n"/>
      <c r="CF240" s="4395" t="n"/>
      <c r="CG240" s="4395" t="n"/>
      <c r="CH240" s="4395" t="n"/>
      <c r="CI240" s="4395" t="n"/>
      <c r="CJ240" s="4395" t="n"/>
      <c r="CK240" s="4395" t="n"/>
      <c r="CL240" s="4395" t="n"/>
      <c r="CM240" s="4395" t="n"/>
      <c r="CN240" s="4395" t="n"/>
      <c r="CO240" s="4395" t="n"/>
      <c r="CP240" s="4395" t="n"/>
      <c r="CQ240" s="4395" t="n"/>
      <c r="CR240" s="4395" t="n"/>
      <c r="CS240" s="4395" t="n"/>
      <c r="CT240" s="4395" t="n"/>
      <c r="CU240" s="4395" t="n"/>
      <c r="CV240" s="4395" t="n"/>
      <c r="CW240" s="4395" t="n"/>
      <c r="CX240" s="4395" t="n"/>
      <c r="CY240" s="4395" t="n"/>
      <c r="CZ240" s="4395" t="n"/>
      <c r="DA240" s="4395" t="n"/>
      <c r="DB240" s="4395" t="n"/>
      <c r="DC240" s="4395" t="n"/>
      <c r="DD240" s="4395" t="n"/>
      <c r="DE240" s="4395" t="n"/>
      <c r="DF240" s="4395" t="n"/>
      <c r="DG240" s="4395" t="n"/>
      <c r="DH240" s="4395" t="n"/>
    </row>
    <row r="241" ht="16" customHeight="1">
      <c r="A241" t="inlineStr">
        <is>
          <t>Infrastructure</t>
        </is>
      </c>
      <c r="C241">
        <f>'9.Inputs'!C112</f>
        <v/>
      </c>
      <c r="D241">
        <f>'9.Inputs'!V112</f>
        <v/>
      </c>
      <c r="E241">
        <f>IF('9.Inputs'!AW112&lt;&gt;0,'9.Inputs'!AW112,'9.Inputs'!AV112)</f>
        <v/>
      </c>
      <c r="F241">
        <f>time</f>
        <v/>
      </c>
      <c r="G241" s="4395" t="inlineStr">
        <is>
          <t>D</t>
        </is>
      </c>
      <c r="H241" s="4395" t="inlineStr">
        <is>
          <t>D</t>
        </is>
      </c>
      <c r="I241" s="4395">
        <f>IF(OR(H241="I", G241="I"), "I", IF(OR(H241="E", G241="E"), "E", "D"))</f>
        <v/>
      </c>
      <c r="J241" s="4395">
        <f>((D241/(time_cap+((F241-E241+1)*VLOOKUP(I241,list!$I$48:$K$50,3, FALSE))))*(F241-E241+1)*VLOOKUP(I241,list!$I$48:$K$50,3, FALSE))</f>
        <v/>
      </c>
      <c r="K241" s="4395">
        <f>((D241/(time_cap+((F241-E241+1)*VLOOKUP(I241,list!$I$48:$K$50,3, FALSE))))*time_cap)</f>
        <v/>
      </c>
      <c r="M241" s="4395">
        <f>IFERROR(IF((time+time_cap)&lt;M$2, 0,IF(AND(time+1&gt;=N$2, $E241&lt;N$2), IF($I241= "I", $J241/($F241-$E241+1), $J241/(($F241*($F241+1)/2)-(($E241-1)*($E241-1+1)/2))*M$2), 0)+IF(IF(time+1&gt;=N$2, $K241/time_cap/(time+1)*M$2, 0) = 0, $K241/(time_cap),0)),0)</f>
        <v/>
      </c>
      <c r="N241" s="4395">
        <f>IFERROR(IF((time+time_cap)&lt;N$2, 0,IF(AND(time+1&gt;=O$2, $E241&lt;O$2), IF($I241= "I", $J241/($F241-$E241+1), $J241/(($F241*($F241+1)/2)-(($E241-1)*($E241-1+1)/2))*N$2), 0)+IF(IF(time+1&gt;=O$2, $K241/time_cap/(time+1)*N$2, 0) = 0, $K241/(time_cap),0)),0)</f>
        <v/>
      </c>
      <c r="O241" s="4395">
        <f>IFERROR(IF((time+time_cap)&lt;O$2, 0,IF(AND(time+1&gt;=P$2, $E241&lt;P$2), IF($I241= "I", $J241/($F241-$E241+1), $J241/(($F241*($F241+1)/2)-(($E241-1)*($E241-1+1)/2))*O$2), 0)+IF(IF(time+1&gt;=P$2, $K241/time_cap/(time+1)*O$2, 0) = 0, $K241/(time_cap),0)),0)</f>
        <v/>
      </c>
      <c r="P241" s="4395">
        <f>IFERROR(IF((time+time_cap)&lt;P$2, 0,IF(AND(time+1&gt;=Q$2, $E241&lt;Q$2), IF($I241= "I", $J241/($F241-$E241+1), $J241/(($F241*($F241+1)/2)-(($E241-1)*($E241-1+1)/2))*P$2), 0)+IF(IF(time+1&gt;=Q$2, $K241/time_cap/(time+1)*P$2, 0) = 0, $K241/(time_cap),0)),0)</f>
        <v/>
      </c>
      <c r="Q241" s="4395">
        <f>IFERROR(IF((time+time_cap)&lt;Q$2, 0,IF(AND(time+1&gt;=R$2, $E241&lt;R$2), IF($I241= "I", $J241/($F241-$E241+1), $J241/(($F241*($F241+1)/2)-(($E241-1)*($E241-1+1)/2))*Q$2), 0)+IF(IF(time+1&gt;=R$2, $K241/time_cap/(time+1)*Q$2, 0) = 0, $K241/(time_cap),0)),0)</f>
        <v/>
      </c>
      <c r="R241" s="4395">
        <f>IFERROR(IF((time+time_cap)&lt;R$2, 0,IF(AND(time+1&gt;=S$2, $E241&lt;S$2), IF($I241= "I", $J241/($F241-$E241+1), $J241/(($F241*($F241+1)/2)-(($E241-1)*($E241-1+1)/2))*R$2), 0)+IF(IF(time+1&gt;=S$2, $K241/time_cap/(time+1)*R$2, 0) = 0, $K241/(time_cap),0)),0)</f>
        <v/>
      </c>
      <c r="S241" s="4395">
        <f>IFERROR(IF((time+time_cap)&lt;S$2, 0,IF(AND(time+1&gt;=T$2, $E241&lt;T$2), IF($I241= "I", $J241/($F241-$E241+1), $J241/(($F241*($F241+1)/2)-(($E241-1)*($E241-1+1)/2))*S$2), 0)+IF(IF(time+1&gt;=T$2, $K241/time_cap/(time+1)*S$2, 0) = 0, $K241/(time_cap),0)),0)</f>
        <v/>
      </c>
      <c r="T241" s="4395">
        <f>IFERROR(IF((time+time_cap)&lt;T$2, 0,IF(AND(time+1&gt;=U$2, $E241&lt;U$2), IF($I241= "I", $J241/($F241-$E241+1), $J241/(($F241*($F241+1)/2)-(($E241-1)*($E241-1+1)/2))*T$2), 0)+IF(IF(time+1&gt;=U$2, $K241/time_cap/(time+1)*T$2, 0) = 0, $K241/(time_cap),0)),0)</f>
        <v/>
      </c>
      <c r="U241" s="4395">
        <f>IFERROR(IF((time+time_cap)&lt;U$2, 0,IF(AND(time+1&gt;=V$2, $E241&lt;V$2), IF($I241= "I", $J241/($F241-$E241+1), $J241/(($F241*($F241+1)/2)-(($E241-1)*($E241-1+1)/2))*U$2), 0)+IF(IF(time+1&gt;=V$2, $K241/time_cap/(time+1)*U$2, 0) = 0, $K241/(time_cap),0)),0)</f>
        <v/>
      </c>
      <c r="V241" s="4395">
        <f>IFERROR(IF((time+time_cap)&lt;V$2, 0,IF(AND(time+1&gt;=W$2, $E241&lt;W$2), IF($I241= "I", $J241/($F241-$E241+1), $J241/(($F241*($F241+1)/2)-(($E241-1)*($E241-1+1)/2))*V$2), 0)+IF(IF(time+1&gt;=W$2, $K241/time_cap/(time+1)*V$2, 0) = 0, $K241/(time_cap),0)),0)</f>
        <v/>
      </c>
      <c r="W241" s="4395">
        <f>IFERROR(IF((time+time_cap)&lt;W$2, 0,IF(AND(time+1&gt;=X$2, $E241&lt;X$2), IF($I241= "I", $J241/($F241-$E241+1), $J241/(($F241*($F241+1)/2)-(($E241-1)*($E241-1+1)/2))*W$2), 0)+IF(IF(time+1&gt;=X$2, $K241/time_cap/(time+1)*W$2, 0) = 0, $K241/(time_cap),0)),0)</f>
        <v/>
      </c>
      <c r="X241" s="4395">
        <f>IFERROR(IF((time+time_cap)&lt;X$2, 0,IF(AND(time+1&gt;=Y$2, $E241&lt;Y$2), IF($I241= "I", $J241/($F241-$E241+1), $J241/(($F241*($F241+1)/2)-(($E241-1)*($E241-1+1)/2))*X$2), 0)+IF(IF(time+1&gt;=Y$2, $K241/time_cap/(time+1)*X$2, 0) = 0, $K241/(time_cap),0)),0)</f>
        <v/>
      </c>
      <c r="Y241" s="4395">
        <f>IFERROR(IF((time+time_cap)&lt;Y$2, 0,IF(AND(time+1&gt;=Z$2, $E241&lt;Z$2), IF($I241= "I", $J241/($F241-$E241+1), $J241/(($F241*($F241+1)/2)-(($E241-1)*($E241-1+1)/2))*Y$2), 0)+IF(IF(time+1&gt;=Z$2, $K241/time_cap/(time+1)*Y$2, 0) = 0, $K241/(time_cap),0)),0)</f>
        <v/>
      </c>
      <c r="Z241" s="4395">
        <f>IFERROR(IF((time+time_cap)&lt;Z$2, 0,IF(AND(time+1&gt;=AA$2, $E241&lt;AA$2), IF($I241= "I", $J241/($F241-$E241+1), $J241/(($F241*($F241+1)/2)-(($E241-1)*($E241-1+1)/2))*Z$2), 0)+IF(IF(time+1&gt;=AA$2, $K241/time_cap/(time+1)*Z$2, 0) = 0, $K241/(time_cap),0)),0)</f>
        <v/>
      </c>
      <c r="AA241" s="4395">
        <f>IFERROR(IF((time+time_cap)&lt;AA$2, 0,IF(AND(time+1&gt;=AB$2, $E241&lt;AB$2), IF($I241= "I", $J241/($F241-$E241+1), $J241/(($F241*($F241+1)/2)-(($E241-1)*($E241-1+1)/2))*AA$2), 0)+IF(IF(time+1&gt;=AB$2, $K241/time_cap/(time+1)*AA$2, 0) = 0, $K241/(time_cap),0)),0)</f>
        <v/>
      </c>
      <c r="AB241" s="4395">
        <f>IFERROR(IF((time+time_cap)&lt;AB$2, 0,IF(AND(time+1&gt;=AC$2, $E241&lt;AC$2), IF($I241= "I", $J241/($F241-$E241+1), $J241/(($F241*($F241+1)/2)-(($E241-1)*($E241-1+1)/2))*AB$2), 0)+IF(IF(time+1&gt;=AC$2, $K241/time_cap/(time+1)*AB$2, 0) = 0, $K241/(time_cap),0)),0)</f>
        <v/>
      </c>
      <c r="AC241" s="4395">
        <f>IFERROR(IF((time+time_cap)&lt;AC$2, 0,IF(AND(time+1&gt;=AD$2, $E241&lt;AD$2), IF($I241= "I", $J241/($F241-$E241+1), $J241/(($F241*($F241+1)/2)-(($E241-1)*($E241-1+1)/2))*AC$2), 0)+IF(IF(time+1&gt;=AD$2, $K241/time_cap/(time+1)*AC$2, 0) = 0, $K241/(time_cap),0)),0)</f>
        <v/>
      </c>
      <c r="AD241" s="4395">
        <f>IFERROR(IF((time+time_cap)&lt;AD$2, 0,IF(AND(time+1&gt;=AE$2, $E241&lt;AE$2), IF($I241= "I", $J241/($F241-$E241+1), $J241/(($F241*($F241+1)/2)-(($E241-1)*($E241-1+1)/2))*AD$2), 0)+IF(IF(time+1&gt;=AE$2, $K241/time_cap/(time+1)*AD$2, 0) = 0, $K241/(time_cap),0)),0)</f>
        <v/>
      </c>
      <c r="AE241" s="4395">
        <f>IFERROR(IF((time+time_cap)&lt;AE$2, 0,IF(AND(time+1&gt;=AF$2, $E241&lt;AF$2), IF($I241= "I", $J241/($F241-$E241+1), $J241/(($F241*($F241+1)/2)-(($E241-1)*($E241-1+1)/2))*AE$2), 0)+IF(IF(time+1&gt;=AF$2, $K241/time_cap/(time+1)*AE$2, 0) = 0, $K241/(time_cap),0)),0)</f>
        <v/>
      </c>
      <c r="AF241" s="4395">
        <f>IFERROR(IF((time+time_cap)&lt;AF$2, 0,IF(AND(time+1&gt;=AG$2, $E241&lt;AG$2), IF($I241= "I", $J241/($F241-$E241+1), $J241/(($F241*($F241+1)/2)-(($E241-1)*($E241-1+1)/2))*AF$2), 0)+IF(IF(time+1&gt;=AG$2, $K241/time_cap/(time+1)*AF$2, 0) = 0, $K241/(time_cap),0)),0)</f>
        <v/>
      </c>
      <c r="AG241" s="4395">
        <f>IFERROR(IF((time+time_cap)&lt;AG$2, 0,IF(AND(time+1&gt;=AH$2, $E241&lt;AH$2), IF($I241= "I", $J241/($F241-$E241+1), $J241/(($F241*($F241+1)/2)-(($E241-1)*($E241-1+1)/2))*AG$2), 0)+IF(IF(time+1&gt;=AH$2, $K241/time_cap/(time+1)*AG$2, 0) = 0, $K241/(time_cap),0)),0)</f>
        <v/>
      </c>
      <c r="AH241" s="4395">
        <f>IFERROR(IF((time+time_cap)&lt;AH$2, 0,IF(AND(time+1&gt;=AI$2, $E241&lt;AI$2), IF($I241= "I", $J241/($F241-$E241+1), $J241/(($F241*($F241+1)/2)-(($E241-1)*($E241-1+1)/2))*AH$2), 0)+IF(IF(time+1&gt;=AI$2, $K241/time_cap/(time+1)*AH$2, 0) = 0, $K241/(time_cap),0)),0)</f>
        <v/>
      </c>
      <c r="AI241" s="4395">
        <f>IFERROR(IF((time+time_cap)&lt;AI$2, 0,IF(AND(time+1&gt;=AJ$2, $E241&lt;AJ$2), IF($I241= "I", $J241/($F241-$E241+1), $J241/(($F241*($F241+1)/2)-(($E241-1)*($E241-1+1)/2))*AI$2), 0)+IF(IF(time+1&gt;=AJ$2, $K241/time_cap/(time+1)*AI$2, 0) = 0, $K241/(time_cap),0)),0)</f>
        <v/>
      </c>
      <c r="AJ241" s="4395">
        <f>IFERROR(IF((time+time_cap)&lt;AJ$2, 0,IF(AND(time+1&gt;=AK$2, $E241&lt;AK$2), IF($I241= "I", $J241/($F241-$E241+1), $J241/(($F241*($F241+1)/2)-(($E241-1)*($E241-1+1)/2))*AJ$2), 0)+IF(IF(time+1&gt;=AK$2, $K241/time_cap/(time+1)*AJ$2, 0) = 0, $K241/(time_cap),0)),0)</f>
        <v/>
      </c>
      <c r="AK241" s="4395">
        <f>IFERROR(IF((time+time_cap)&lt;AK$2, 0,IF(AND(time+1&gt;=AL$2, $E241&lt;AL$2), IF($I241= "I", $J241/($F241-$E241+1), $J241/(($F241*($F241+1)/2)-(($E241-1)*($E241-1+1)/2))*AK$2), 0)+IF(IF(time+1&gt;=AL$2, $K241/time_cap/(time+1)*AK$2, 0) = 0, $K241/(time_cap),0)),0)</f>
        <v/>
      </c>
      <c r="AL241" s="4395">
        <f>IFERROR(IF((time+time_cap)&lt;AL$2, 0,IF(AND(time+1&gt;=AM$2, $E241&lt;AM$2), IF($I241= "I", $J241/($F241-$E241+1), $J241/(($F241*($F241+1)/2)-(($E241-1)*($E241-1+1)/2))*AL$2), 0)+IF(IF(time+1&gt;=AM$2, $K241/time_cap/(time+1)*AL$2, 0) = 0, $K241/(time_cap),0)),0)</f>
        <v/>
      </c>
      <c r="AM241" s="4395">
        <f>IFERROR(IF((time+time_cap)&lt;AM$2, 0,IF(AND(time+1&gt;=AN$2, $E241&lt;AN$2), IF($I241= "I", $J241/($F241-$E241+1), $J241/(($F241*($F241+1)/2)-(($E241-1)*($E241-1+1)/2))*AM$2), 0)+IF(IF(time+1&gt;=AN$2, $K241/time_cap/(time+1)*AM$2, 0) = 0, $K241/(time_cap),0)),0)</f>
        <v/>
      </c>
      <c r="AN241" s="4395">
        <f>IFERROR(IF((time+time_cap)&lt;AN$2, 0,IF(AND(time+1&gt;=AO$2, $E241&lt;AO$2), IF($I241= "I", $J241/($F241-$E241+1), $J241/(($F241*($F241+1)/2)-(($E241-1)*($E241-1+1)/2))*AN$2), 0)+IF(IF(time+1&gt;=AO$2, $K241/time_cap/(time+1)*AN$2, 0) = 0, $K241/(time_cap),0)),0)</f>
        <v/>
      </c>
      <c r="AO241" s="4395">
        <f>IFERROR(IF((time+time_cap)&lt;AO$2, 0,IF(AND(time+1&gt;=AP$2, $E241&lt;AP$2), IF($I241= "I", $J241/($F241-$E241+1), $J241/(($F241*($F241+1)/2)-(($E241-1)*($E241-1+1)/2))*AO$2), 0)+IF(IF(time+1&gt;=AP$2, $K241/time_cap/(time+1)*AO$2, 0) = 0, $K241/(time_cap),0)),0)</f>
        <v/>
      </c>
      <c r="AP241" s="4395">
        <f>IFERROR(IF((time+time_cap)&lt;AP$2, 0,IF(AND(time+1&gt;=AQ$2, $E241&lt;AQ$2), IF($I241= "I", $J241/($F241-$E241+1), $J241/(($F241*($F241+1)/2)-(($E241-1)*($E241-1+1)/2))*AP$2), 0)+IF(IF(time+1&gt;=AQ$2, $K241/time_cap/(time+1)*AP$2, 0) = 0, $K241/(time_cap),0)),0)</f>
        <v/>
      </c>
      <c r="AQ241" s="4395">
        <f>IFERROR(IF((time+time_cap)&lt;AQ$2, 0,IF(AND(time+1&gt;=AR$2, $E241&lt;AR$2), IF($I241= "I", $J241/($F241-$E241+1), $J241/(($F241*($F241+1)/2)-(($E241-1)*($E241-1+1)/2))*AQ$2), 0)+IF(IF(time+1&gt;=AR$2, $K241/time_cap/(time+1)*AQ$2, 0) = 0, $K241/(time_cap),0)),0)</f>
        <v/>
      </c>
      <c r="AR241" s="4395">
        <f>IFERROR(IF((time+time_cap)&lt;AR$2, 0,IF(AND(time+1&gt;=AS$2, $E241&lt;AS$2), IF($I241= "I", $J241/($F241-$E241+1), $J241/(($F241*($F241+1)/2)-(($E241-1)*($E241-1+1)/2))*AR$2), 0)+IF(IF(time+1&gt;=AS$2, $K241/time_cap/(time+1)*AR$2, 0) = 0, $K241/(time_cap),0)),0)</f>
        <v/>
      </c>
      <c r="AS241" s="4395">
        <f>IFERROR(IF((time+time_cap)&lt;AS$2, 0,IF(AND(time+1&gt;=AT$2, $E241&lt;AT$2), IF($I241= "I", $J241/($F241-$E241+1), $J241/(($F241*($F241+1)/2)-(($E241-1)*($E241-1+1)/2))*AS$2), 0)+IF(IF(time+1&gt;=AT$2, $K241/time_cap/(time+1)*AS$2, 0) = 0, $K241/(time_cap),0)),0)</f>
        <v/>
      </c>
      <c r="AT241" s="4395">
        <f>IFERROR(IF((time+time_cap)&lt;AT$2, 0,IF(AND(time+1&gt;=AU$2, $E241&lt;AU$2), IF($I241= "I", $J241/($F241-$E241+1), $J241/(($F241*($F241+1)/2)-(($E241-1)*($E241-1+1)/2))*AT$2), 0)+IF(IF(time+1&gt;=AU$2, $K241/time_cap/(time+1)*AT$2, 0) = 0, $K241/(time_cap),0)),0)</f>
        <v/>
      </c>
      <c r="AU241" s="4395">
        <f>IFERROR(IF((time+time_cap)&lt;AU$2, 0,IF(AND(time+1&gt;=AV$2, $E241&lt;AV$2), IF($I241= "I", $J241/($F241-$E241+1), $J241/(($F241*($F241+1)/2)-(($E241-1)*($E241-1+1)/2))*AU$2), 0)+IF(IF(time+1&gt;=AV$2, $K241/time_cap/(time+1)*AU$2, 0) = 0, $K241/(time_cap),0)),0)</f>
        <v/>
      </c>
      <c r="AV241" s="4395">
        <f>IFERROR(IF((time+time_cap)&lt;AV$2, 0,IF(AND(time+1&gt;=AW$2, $E241&lt;AW$2), IF($I241= "I", $J241/($F241-$E241+1), $J241/(($F241*($F241+1)/2)-(($E241-1)*($E241-1+1)/2))*AV$2), 0)+IF(IF(time+1&gt;=AW$2, $K241/time_cap/(time+1)*AV$2, 0) = 0, $K241/(time_cap),0)),0)</f>
        <v/>
      </c>
      <c r="AW241" s="4395">
        <f>IFERROR(IF((time+time_cap)&lt;AW$2, 0,IF(AND(time+1&gt;=AX$2, $E241&lt;AX$2), IF($I241= "I", $J241/($F241-$E241+1), $J241/(($F241*($F241+1)/2)-(($E241-1)*($E241-1+1)/2))*AW$2), 0)+IF(IF(time+1&gt;=AX$2, $K241/time_cap/(time+1)*AW$2, 0) = 0, $K241/(time_cap),0)),0)</f>
        <v/>
      </c>
      <c r="AX241" s="4395">
        <f>IFERROR(IF((time+time_cap)&lt;AX$2, 0,IF(AND(time+1&gt;=AY$2, $E241&lt;AY$2), IF($I241= "I", $J241/($F241-$E241+1), $J241/(($F241*($F241+1)/2)-(($E241-1)*($E241-1+1)/2))*AX$2), 0)+IF(IF(time+1&gt;=AY$2, $K241/time_cap/(time+1)*AX$2, 0) = 0, $K241/(time_cap),0)),0)</f>
        <v/>
      </c>
      <c r="AY241" s="4395">
        <f>IFERROR(IF((time+time_cap)&lt;AY$2, 0,IF(AND(time+1&gt;=AZ$2, $E241&lt;AZ$2), IF($I241= "I", $J241/($F241-$E241+1), $J241/(($F241*($F241+1)/2)-(($E241-1)*($E241-1+1)/2))*AY$2), 0)+IF(IF(time+1&gt;=AZ$2, $K241/time_cap/(time+1)*AY$2, 0) = 0, $K241/(time_cap),0)),0)</f>
        <v/>
      </c>
      <c r="AZ241" s="4395">
        <f>IFERROR(IF((time+time_cap)&lt;AZ$2, 0,IF(AND(time+1&gt;=BA$2, $E241&lt;BA$2), IF($I241= "I", $J241/($F241-$E241+1), $J241/(($F241*($F241+1)/2)-(($E241-1)*($E241-1+1)/2))*AZ$2), 0)+IF(IF(time+1&gt;=BA$2, $K241/time_cap/(time+1)*AZ$2, 0) = 0, $K241/(time_cap),0)),0)</f>
        <v/>
      </c>
      <c r="BA241" s="4395">
        <f>IFERROR(IF((time+time_cap)&lt;BA$2, 0,IF(AND(time+1&gt;=BB$2, $E241&lt;BB$2), IF($I241= "I", $J241/($F241-$E241+1), $J241/(($F241*($F241+1)/2)-(($E241-1)*($E241-1+1)/2))*BA$2), 0)+IF(IF(time+1&gt;=BB$2, $K241/time_cap/(time+1)*BA$2, 0) = 0, $K241/(time_cap),0)),0)</f>
        <v/>
      </c>
      <c r="BB241" s="4395">
        <f>IFERROR(IF((time+time_cap)&lt;BB$2, 0,IF(AND(time+1&gt;=BC$2, $E241&lt;BC$2), IF($I241= "I", $J241/($F241-$E241+1), $J241/(($F241*($F241+1)/2)-(($E241-1)*($E241-1+1)/2))*BB$2), 0)+IF(IF(time+1&gt;=BC$2, $K241/time_cap/(time+1)*BB$2, 0) = 0, $K241/(time_cap),0)),0)</f>
        <v/>
      </c>
      <c r="BC241" s="4395">
        <f>IFERROR(IF((time+time_cap)&lt;BC$2, 0,IF(AND(time+1&gt;=BD$2, $E241&lt;BD$2), IF($I241= "I", $J241/($F241-$E241+1), $J241/(($F241*($F241+1)/2)-(($E241-1)*($E241-1+1)/2))*BC$2), 0)+IF(IF(time+1&gt;=BD$2, $K241/time_cap/(time+1)*BC$2, 0) = 0, $K241/(time_cap),0)),0)</f>
        <v/>
      </c>
      <c r="BD241" s="4395">
        <f>IFERROR(IF((time+time_cap)&lt;BD$2, 0,IF(AND(time+1&gt;=BE$2, $E241&lt;BE$2), IF($I241= "I", $J241/($F241-$E241+1), $J241/(($F241*($F241+1)/2)-(($E241-1)*($E241-1+1)/2))*BD$2), 0)+IF(IF(time+1&gt;=BE$2, $K241/time_cap/(time+1)*BD$2, 0) = 0, $K241/(time_cap),0)),0)</f>
        <v/>
      </c>
      <c r="BE241" s="4395">
        <f>IFERROR(IF((time+time_cap)&lt;BE$2, 0,IF(AND(time+1&gt;=BF$2, $E241&lt;BF$2), IF($I241= "I", $J241/($F241-$E241+1), $J241/(($F241*($F241+1)/2)-(($E241-1)*($E241-1+1)/2))*BE$2), 0)+IF(IF(time+1&gt;=BF$2, $K241/time_cap/(time+1)*BE$2, 0) = 0, $K241/(time_cap),0)),0)</f>
        <v/>
      </c>
      <c r="BF241" s="4395">
        <f>IFERROR(IF((time+time_cap)&lt;BF$2, 0,IF(AND(time+1&gt;=BG$2, $E241&lt;BG$2), IF($I241= "I", $J241/($F241-$E241+1), $J241/(($F241*($F241+1)/2)-(($E241-1)*($E241-1+1)/2))*BF$2), 0)+IF(IF(time+1&gt;=BG$2, $K241/time_cap/(time+1)*BF$2, 0) = 0, $K241/(time_cap),0)),0)</f>
        <v/>
      </c>
      <c r="BG241" s="4395">
        <f>IFERROR(IF((time+time_cap)&lt;BG$2, 0,IF(AND(time+1&gt;=BH$2, $E241&lt;BH$2), IF($I241= "I", $J241/($F241-$E241+1), $J241/(($F241*($F241+1)/2)-(($E241-1)*($E241-1+1)/2))*BG$2), 0)+IF(IF(time+1&gt;=BH$2, $K241/time_cap/(time+1)*BG$2, 0) = 0, $K241/(time_cap),0)),0)</f>
        <v/>
      </c>
      <c r="BH241" s="4395">
        <f>IFERROR(IF((time+time_cap)&lt;BH$2, 0,IF(AND(time+1&gt;=BI$2, $E241&lt;BI$2), IF($I241= "I", $J241/($F241-$E241+1), $J241/(($F241*($F241+1)/2)-(($E241-1)*($E241-1+1)/2))*BH$2), 0)+IF(IF(time+1&gt;=BI$2, $K241/time_cap/(time+1)*BH$2, 0) = 0, $K241/(time_cap),0)),0)</f>
        <v/>
      </c>
      <c r="BI241" s="4395">
        <f>IFERROR(IF((time+time_cap)&lt;BI$2, 0,IF(AND(time+1&gt;=BJ$2, $E241&lt;BJ$2), IF($I241= "I", $J241/($F241-$E241+1), $J241/(($F241*($F241+1)/2)-(($E241-1)*($E241-1+1)/2))*BI$2), 0)+IF(IF(time+1&gt;=BJ$2, $K241/time_cap/(time+1)*BI$2, 0) = 0, $K241/(time_cap),0)),0)</f>
        <v/>
      </c>
      <c r="BJ241" s="4395">
        <f>IFERROR(IF((time+time_cap)&lt;BJ$2, 0,IF(AND(time+1&gt;=BK$2, $E241&lt;BK$2), IF($I241= "I", $J241/($F241-$E241+1), $J241/(($F241*($F241+1)/2)-(($E241-1)*($E241-1+1)/2))*BJ$2), 0)+IF(IF(time+1&gt;=BK$2, $K241/time_cap/(time+1)*BJ$2, 0) = 0, $K241/(time_cap),0)),0)</f>
        <v/>
      </c>
      <c r="BK241" s="4395" t="n"/>
      <c r="BL241" s="4395" t="n"/>
      <c r="BM241" s="4395" t="n"/>
      <c r="BN241" s="4395" t="n"/>
      <c r="BO241" s="4395" t="n"/>
      <c r="BP241" s="4395" t="n"/>
      <c r="BQ241" s="4395" t="n"/>
      <c r="BR241" s="4395" t="n"/>
      <c r="BS241" s="4395" t="n"/>
      <c r="BT241" s="4395" t="n"/>
      <c r="BU241" s="4395" t="n"/>
      <c r="BV241" s="4395" t="n"/>
      <c r="BW241" s="4395" t="n"/>
      <c r="BX241" s="4395" t="n"/>
      <c r="BY241" s="4395" t="n"/>
      <c r="BZ241" s="4395" t="n"/>
      <c r="CA241" s="4395" t="n"/>
      <c r="CB241" s="4395" t="n"/>
      <c r="CC241" s="4395" t="n"/>
      <c r="CD241" s="4395" t="n"/>
      <c r="CE241" s="4395" t="n"/>
      <c r="CF241" s="4395" t="n"/>
      <c r="CG241" s="4395" t="n"/>
      <c r="CH241" s="4395" t="n"/>
      <c r="CI241" s="4395" t="n"/>
      <c r="CJ241" s="4395" t="n"/>
      <c r="CK241" s="4395" t="n"/>
      <c r="CL241" s="4395" t="n"/>
      <c r="CM241" s="4395" t="n"/>
      <c r="CN241" s="4395" t="n"/>
      <c r="CO241" s="4395" t="n"/>
      <c r="CP241" s="4395" t="n"/>
      <c r="CQ241" s="4395" t="n"/>
      <c r="CR241" s="4395" t="n"/>
      <c r="CS241" s="4395" t="n"/>
      <c r="CT241" s="4395" t="n"/>
      <c r="CU241" s="4395" t="n"/>
      <c r="CV241" s="4395" t="n"/>
      <c r="CW241" s="4395" t="n"/>
      <c r="CX241" s="4395" t="n"/>
      <c r="CY241" s="4395" t="n"/>
      <c r="CZ241" s="4395" t="n"/>
      <c r="DA241" s="4395" t="n"/>
      <c r="DB241" s="4395" t="n"/>
      <c r="DC241" s="4395" t="n"/>
      <c r="DD241" s="4395" t="n"/>
      <c r="DE241" s="4395" t="n"/>
      <c r="DF241" s="4395" t="n"/>
      <c r="DG241" s="4395" t="n"/>
      <c r="DH241" s="4395" t="n"/>
    </row>
    <row r="242">
      <c r="A242" t="inlineStr">
        <is>
          <t>Infrastructure</t>
        </is>
      </c>
      <c r="C242">
        <f>'9.Inputs'!C113</f>
        <v/>
      </c>
      <c r="D242">
        <f>'9.Inputs'!V113</f>
        <v/>
      </c>
      <c r="E242">
        <f>IF('9.Inputs'!AW113&lt;&gt;0,'9.Inputs'!AW113,'9.Inputs'!AV113)</f>
        <v/>
      </c>
      <c r="F242">
        <f>time</f>
        <v/>
      </c>
      <c r="H242" s="4395" t="n"/>
      <c r="I242" s="4395">
        <f>IF(OR(H242="I", G242="I"), "I", IF(OR(H242="E", G242="E"), "E", "D"))</f>
        <v/>
      </c>
      <c r="J242" s="4395">
        <f>((D242/(time_cap+((F242-E242+1)*VLOOKUP(I242,list!$I$48:$K$50,3, FALSE))))*(F242-E242+1)*VLOOKUP(I242,list!$I$48:$K$50,3, FALSE))</f>
        <v/>
      </c>
      <c r="K242" s="4395">
        <f>((D242/(time_cap+((F242-E242+1)*VLOOKUP(I242,list!$I$48:$K$50,3, FALSE))))*time_cap)</f>
        <v/>
      </c>
      <c r="M242" s="4395">
        <f>IFERROR(IF((time+time_cap)&lt;M$2, 0,IF(AND(time+1&gt;=N$2, $E242&lt;N$2), IF($I242= "I", $J242/($F242-$E242+1), $J242/(($F242*($F242+1)/2)-(($E242-1)*($E242-1+1)/2))*M$2), 0)+IF(IF(time+1&gt;=N$2, $K242/time_cap/(time+1)*M$2, 0) = 0, $K242/(time_cap),0)),0)</f>
        <v/>
      </c>
      <c r="N242" s="4395">
        <f>IFERROR(IF((time+time_cap)&lt;N$2, 0,IF(AND(time+1&gt;=O$2, $E242&lt;O$2), IF($I242= "I", $J242/($F242-$E242+1), $J242/(($F242*($F242+1)/2)-(($E242-1)*($E242-1+1)/2))*N$2), 0)+IF(IF(time+1&gt;=O$2, $K242/time_cap/(time+1)*N$2, 0) = 0, $K242/(time_cap),0)),0)</f>
        <v/>
      </c>
      <c r="O242" s="4395">
        <f>IFERROR(IF((time+time_cap)&lt;O$2, 0,IF(AND(time+1&gt;=P$2, $E242&lt;P$2), IF($I242= "I", $J242/($F242-$E242+1), $J242/(($F242*($F242+1)/2)-(($E242-1)*($E242-1+1)/2))*O$2), 0)+IF(IF(time+1&gt;=P$2, $K242/time_cap/(time+1)*O$2, 0) = 0, $K242/(time_cap),0)),0)</f>
        <v/>
      </c>
      <c r="P242" s="4395">
        <f>IFERROR(IF((time+time_cap)&lt;P$2, 0,IF(AND(time+1&gt;=Q$2, $E242&lt;Q$2), IF($I242= "I", $J242/($F242-$E242+1), $J242/(($F242*($F242+1)/2)-(($E242-1)*($E242-1+1)/2))*P$2), 0)+IF(IF(time+1&gt;=Q$2, $K242/time_cap/(time+1)*P$2, 0) = 0, $K242/(time_cap),0)),0)</f>
        <v/>
      </c>
      <c r="Q242" s="4395">
        <f>IFERROR(IF((time+time_cap)&lt;Q$2, 0,IF(AND(time+1&gt;=R$2, $E242&lt;R$2), IF($I242= "I", $J242/($F242-$E242+1), $J242/(($F242*($F242+1)/2)-(($E242-1)*($E242-1+1)/2))*Q$2), 0)+IF(IF(time+1&gt;=R$2, $K242/time_cap/(time+1)*Q$2, 0) = 0, $K242/(time_cap),0)),0)</f>
        <v/>
      </c>
      <c r="R242" s="4395">
        <f>IFERROR(IF((time+time_cap)&lt;R$2, 0,IF(AND(time+1&gt;=S$2, $E242&lt;S$2), IF($I242= "I", $J242/($F242-$E242+1), $J242/(($F242*($F242+1)/2)-(($E242-1)*($E242-1+1)/2))*R$2), 0)+IF(IF(time+1&gt;=S$2, $K242/time_cap/(time+1)*R$2, 0) = 0, $K242/(time_cap),0)),0)</f>
        <v/>
      </c>
      <c r="S242" s="4395">
        <f>IFERROR(IF((time+time_cap)&lt;S$2, 0,IF(AND(time+1&gt;=T$2, $E242&lt;T$2), IF($I242= "I", $J242/($F242-$E242+1), $J242/(($F242*($F242+1)/2)-(($E242-1)*($E242-1+1)/2))*S$2), 0)+IF(IF(time+1&gt;=T$2, $K242/time_cap/(time+1)*S$2, 0) = 0, $K242/(time_cap),0)),0)</f>
        <v/>
      </c>
      <c r="T242" s="4395">
        <f>IFERROR(IF((time+time_cap)&lt;T$2, 0,IF(AND(time+1&gt;=U$2, $E242&lt;U$2), IF($I242= "I", $J242/($F242-$E242+1), $J242/(($F242*($F242+1)/2)-(($E242-1)*($E242-1+1)/2))*T$2), 0)+IF(IF(time+1&gt;=U$2, $K242/time_cap/(time+1)*T$2, 0) = 0, $K242/(time_cap),0)),0)</f>
        <v/>
      </c>
      <c r="U242" s="4395">
        <f>IFERROR(IF((time+time_cap)&lt;U$2, 0,IF(AND(time+1&gt;=V$2, $E242&lt;V$2), IF($I242= "I", $J242/($F242-$E242+1), $J242/(($F242*($F242+1)/2)-(($E242-1)*($E242-1+1)/2))*U$2), 0)+IF(IF(time+1&gt;=V$2, $K242/time_cap/(time+1)*U$2, 0) = 0, $K242/(time_cap),0)),0)</f>
        <v/>
      </c>
      <c r="V242" s="4395">
        <f>IFERROR(IF((time+time_cap)&lt;V$2, 0,IF(AND(time+1&gt;=W$2, $E242&lt;W$2), IF($I242= "I", $J242/($F242-$E242+1), $J242/(($F242*($F242+1)/2)-(($E242-1)*($E242-1+1)/2))*V$2), 0)+IF(IF(time+1&gt;=W$2, $K242/time_cap/(time+1)*V$2, 0) = 0, $K242/(time_cap),0)),0)</f>
        <v/>
      </c>
      <c r="W242" s="4395">
        <f>IFERROR(IF((time+time_cap)&lt;W$2, 0,IF(AND(time+1&gt;=X$2, $E242&lt;X$2), IF($I242= "I", $J242/($F242-$E242+1), $J242/(($F242*($F242+1)/2)-(($E242-1)*($E242-1+1)/2))*W$2), 0)+IF(IF(time+1&gt;=X$2, $K242/time_cap/(time+1)*W$2, 0) = 0, $K242/(time_cap),0)),0)</f>
        <v/>
      </c>
      <c r="X242" s="4395">
        <f>IFERROR(IF((time+time_cap)&lt;X$2, 0,IF(AND(time+1&gt;=Y$2, $E242&lt;Y$2), IF($I242= "I", $J242/($F242-$E242+1), $J242/(($F242*($F242+1)/2)-(($E242-1)*($E242-1+1)/2))*X$2), 0)+IF(IF(time+1&gt;=Y$2, $K242/time_cap/(time+1)*X$2, 0) = 0, $K242/(time_cap),0)),0)</f>
        <v/>
      </c>
      <c r="Y242" s="4395">
        <f>IFERROR(IF((time+time_cap)&lt;Y$2, 0,IF(AND(time+1&gt;=Z$2, $E242&lt;Z$2), IF($I242= "I", $J242/($F242-$E242+1), $J242/(($F242*($F242+1)/2)-(($E242-1)*($E242-1+1)/2))*Y$2), 0)+IF(IF(time+1&gt;=Z$2, $K242/time_cap/(time+1)*Y$2, 0) = 0, $K242/(time_cap),0)),0)</f>
        <v/>
      </c>
      <c r="Z242" s="4395">
        <f>IFERROR(IF((time+time_cap)&lt;Z$2, 0,IF(AND(time+1&gt;=AA$2, $E242&lt;AA$2), IF($I242= "I", $J242/($F242-$E242+1), $J242/(($F242*($F242+1)/2)-(($E242-1)*($E242-1+1)/2))*Z$2), 0)+IF(IF(time+1&gt;=AA$2, $K242/time_cap/(time+1)*Z$2, 0) = 0, $K242/(time_cap),0)),0)</f>
        <v/>
      </c>
      <c r="AA242" s="4395">
        <f>IFERROR(IF((time+time_cap)&lt;AA$2, 0,IF(AND(time+1&gt;=AB$2, $E242&lt;AB$2), IF($I242= "I", $J242/($F242-$E242+1), $J242/(($F242*($F242+1)/2)-(($E242-1)*($E242-1+1)/2))*AA$2), 0)+IF(IF(time+1&gt;=AB$2, $K242/time_cap/(time+1)*AA$2, 0) = 0, $K242/(time_cap),0)),0)</f>
        <v/>
      </c>
      <c r="AB242" s="4395">
        <f>IFERROR(IF((time+time_cap)&lt;AB$2, 0,IF(AND(time+1&gt;=AC$2, $E242&lt;AC$2), IF($I242= "I", $J242/($F242-$E242+1), $J242/(($F242*($F242+1)/2)-(($E242-1)*($E242-1+1)/2))*AB$2), 0)+IF(IF(time+1&gt;=AC$2, $K242/time_cap/(time+1)*AB$2, 0) = 0, $K242/(time_cap),0)),0)</f>
        <v/>
      </c>
      <c r="AC242" s="4395">
        <f>IFERROR(IF((time+time_cap)&lt;AC$2, 0,IF(AND(time+1&gt;=AD$2, $E242&lt;AD$2), IF($I242= "I", $J242/($F242-$E242+1), $J242/(($F242*($F242+1)/2)-(($E242-1)*($E242-1+1)/2))*AC$2), 0)+IF(IF(time+1&gt;=AD$2, $K242/time_cap/(time+1)*AC$2, 0) = 0, $K242/(time_cap),0)),0)</f>
        <v/>
      </c>
      <c r="AD242" s="4395">
        <f>IFERROR(IF((time+time_cap)&lt;AD$2, 0,IF(AND(time+1&gt;=AE$2, $E242&lt;AE$2), IF($I242= "I", $J242/($F242-$E242+1), $J242/(($F242*($F242+1)/2)-(($E242-1)*($E242-1+1)/2))*AD$2), 0)+IF(IF(time+1&gt;=AE$2, $K242/time_cap/(time+1)*AD$2, 0) = 0, $K242/(time_cap),0)),0)</f>
        <v/>
      </c>
      <c r="AE242" s="4395">
        <f>IFERROR(IF((time+time_cap)&lt;AE$2, 0,IF(AND(time+1&gt;=AF$2, $E242&lt;AF$2), IF($I242= "I", $J242/($F242-$E242+1), $J242/(($F242*($F242+1)/2)-(($E242-1)*($E242-1+1)/2))*AE$2), 0)+IF(IF(time+1&gt;=AF$2, $K242/time_cap/(time+1)*AE$2, 0) = 0, $K242/(time_cap),0)),0)</f>
        <v/>
      </c>
      <c r="AF242" s="4395">
        <f>IFERROR(IF((time+time_cap)&lt;AF$2, 0,IF(AND(time+1&gt;=AG$2, $E242&lt;AG$2), IF($I242= "I", $J242/($F242-$E242+1), $J242/(($F242*($F242+1)/2)-(($E242-1)*($E242-1+1)/2))*AF$2), 0)+IF(IF(time+1&gt;=AG$2, $K242/time_cap/(time+1)*AF$2, 0) = 0, $K242/(time_cap),0)),0)</f>
        <v/>
      </c>
      <c r="AG242" s="4395">
        <f>IFERROR(IF((time+time_cap)&lt;AG$2, 0,IF(AND(time+1&gt;=AH$2, $E242&lt;AH$2), IF($I242= "I", $J242/($F242-$E242+1), $J242/(($F242*($F242+1)/2)-(($E242-1)*($E242-1+1)/2))*AG$2), 0)+IF(IF(time+1&gt;=AH$2, $K242/time_cap/(time+1)*AG$2, 0) = 0, $K242/(time_cap),0)),0)</f>
        <v/>
      </c>
      <c r="AH242" s="4395">
        <f>IFERROR(IF((time+time_cap)&lt;AH$2, 0,IF(AND(time+1&gt;=AI$2, $E242&lt;AI$2), IF($I242= "I", $J242/($F242-$E242+1), $J242/(($F242*($F242+1)/2)-(($E242-1)*($E242-1+1)/2))*AH$2), 0)+IF(IF(time+1&gt;=AI$2, $K242/time_cap/(time+1)*AH$2, 0) = 0, $K242/(time_cap),0)),0)</f>
        <v/>
      </c>
      <c r="AI242" s="4395">
        <f>IFERROR(IF((time+time_cap)&lt;AI$2, 0,IF(AND(time+1&gt;=AJ$2, $E242&lt;AJ$2), IF($I242= "I", $J242/($F242-$E242+1), $J242/(($F242*($F242+1)/2)-(($E242-1)*($E242-1+1)/2))*AI$2), 0)+IF(IF(time+1&gt;=AJ$2, $K242/time_cap/(time+1)*AI$2, 0) = 0, $K242/(time_cap),0)),0)</f>
        <v/>
      </c>
      <c r="AJ242" s="4395">
        <f>IFERROR(IF((time+time_cap)&lt;AJ$2, 0,IF(AND(time+1&gt;=AK$2, $E242&lt;AK$2), IF($I242= "I", $J242/($F242-$E242+1), $J242/(($F242*($F242+1)/2)-(($E242-1)*($E242-1+1)/2))*AJ$2), 0)+IF(IF(time+1&gt;=AK$2, $K242/time_cap/(time+1)*AJ$2, 0) = 0, $K242/(time_cap),0)),0)</f>
        <v/>
      </c>
      <c r="AK242" s="4395">
        <f>IFERROR(IF((time+time_cap)&lt;AK$2, 0,IF(AND(time+1&gt;=AL$2, $E242&lt;AL$2), IF($I242= "I", $J242/($F242-$E242+1), $J242/(($F242*($F242+1)/2)-(($E242-1)*($E242-1+1)/2))*AK$2), 0)+IF(IF(time+1&gt;=AL$2, $K242/time_cap/(time+1)*AK$2, 0) = 0, $K242/(time_cap),0)),0)</f>
        <v/>
      </c>
      <c r="AL242" s="4395">
        <f>IFERROR(IF((time+time_cap)&lt;AL$2, 0,IF(AND(time+1&gt;=AM$2, $E242&lt;AM$2), IF($I242= "I", $J242/($F242-$E242+1), $J242/(($F242*($F242+1)/2)-(($E242-1)*($E242-1+1)/2))*AL$2), 0)+IF(IF(time+1&gt;=AM$2, $K242/time_cap/(time+1)*AL$2, 0) = 0, $K242/(time_cap),0)),0)</f>
        <v/>
      </c>
      <c r="AM242" s="4395">
        <f>IFERROR(IF((time+time_cap)&lt;AM$2, 0,IF(AND(time+1&gt;=AN$2, $E242&lt;AN$2), IF($I242= "I", $J242/($F242-$E242+1), $J242/(($F242*($F242+1)/2)-(($E242-1)*($E242-1+1)/2))*AM$2), 0)+IF(IF(time+1&gt;=AN$2, $K242/time_cap/(time+1)*AM$2, 0) = 0, $K242/(time_cap),0)),0)</f>
        <v/>
      </c>
      <c r="AN242" s="4395">
        <f>IFERROR(IF((time+time_cap)&lt;AN$2, 0,IF(AND(time+1&gt;=AO$2, $E242&lt;AO$2), IF($I242= "I", $J242/($F242-$E242+1), $J242/(($F242*($F242+1)/2)-(($E242-1)*($E242-1+1)/2))*AN$2), 0)+IF(IF(time+1&gt;=AO$2, $K242/time_cap/(time+1)*AN$2, 0) = 0, $K242/(time_cap),0)),0)</f>
        <v/>
      </c>
      <c r="AO242" s="4395">
        <f>IFERROR(IF((time+time_cap)&lt;AO$2, 0,IF(AND(time+1&gt;=AP$2, $E242&lt;AP$2), IF($I242= "I", $J242/($F242-$E242+1), $J242/(($F242*($F242+1)/2)-(($E242-1)*($E242-1+1)/2))*AO$2), 0)+IF(IF(time+1&gt;=AP$2, $K242/time_cap/(time+1)*AO$2, 0) = 0, $K242/(time_cap),0)),0)</f>
        <v/>
      </c>
      <c r="AP242" s="4395">
        <f>IFERROR(IF((time+time_cap)&lt;AP$2, 0,IF(AND(time+1&gt;=AQ$2, $E242&lt;AQ$2), IF($I242= "I", $J242/($F242-$E242+1), $J242/(($F242*($F242+1)/2)-(($E242-1)*($E242-1+1)/2))*AP$2), 0)+IF(IF(time+1&gt;=AQ$2, $K242/time_cap/(time+1)*AP$2, 0) = 0, $K242/(time_cap),0)),0)</f>
        <v/>
      </c>
      <c r="AQ242" s="4395">
        <f>IFERROR(IF((time+time_cap)&lt;AQ$2, 0,IF(AND(time+1&gt;=AR$2, $E242&lt;AR$2), IF($I242= "I", $J242/($F242-$E242+1), $J242/(($F242*($F242+1)/2)-(($E242-1)*($E242-1+1)/2))*AQ$2), 0)+IF(IF(time+1&gt;=AR$2, $K242/time_cap/(time+1)*AQ$2, 0) = 0, $K242/(time_cap),0)),0)</f>
        <v/>
      </c>
      <c r="AR242" s="4395">
        <f>IFERROR(IF((time+time_cap)&lt;AR$2, 0,IF(AND(time+1&gt;=AS$2, $E242&lt;AS$2), IF($I242= "I", $J242/($F242-$E242+1), $J242/(($F242*($F242+1)/2)-(($E242-1)*($E242-1+1)/2))*AR$2), 0)+IF(IF(time+1&gt;=AS$2, $K242/time_cap/(time+1)*AR$2, 0) = 0, $K242/(time_cap),0)),0)</f>
        <v/>
      </c>
      <c r="AS242" s="4395">
        <f>IFERROR(IF((time+time_cap)&lt;AS$2, 0,IF(AND(time+1&gt;=AT$2, $E242&lt;AT$2), IF($I242= "I", $J242/($F242-$E242+1), $J242/(($F242*($F242+1)/2)-(($E242-1)*($E242-1+1)/2))*AS$2), 0)+IF(IF(time+1&gt;=AT$2, $K242/time_cap/(time+1)*AS$2, 0) = 0, $K242/(time_cap),0)),0)</f>
        <v/>
      </c>
      <c r="AT242" s="4395">
        <f>IFERROR(IF((time+time_cap)&lt;AT$2, 0,IF(AND(time+1&gt;=AU$2, $E242&lt;AU$2), IF($I242= "I", $J242/($F242-$E242+1), $J242/(($F242*($F242+1)/2)-(($E242-1)*($E242-1+1)/2))*AT$2), 0)+IF(IF(time+1&gt;=AU$2, $K242/time_cap/(time+1)*AT$2, 0) = 0, $K242/(time_cap),0)),0)</f>
        <v/>
      </c>
      <c r="AU242" s="4395">
        <f>IFERROR(IF((time+time_cap)&lt;AU$2, 0,IF(AND(time+1&gt;=AV$2, $E242&lt;AV$2), IF($I242= "I", $J242/($F242-$E242+1), $J242/(($F242*($F242+1)/2)-(($E242-1)*($E242-1+1)/2))*AU$2), 0)+IF(IF(time+1&gt;=AV$2, $K242/time_cap/(time+1)*AU$2, 0) = 0, $K242/(time_cap),0)),0)</f>
        <v/>
      </c>
      <c r="AV242" s="4395">
        <f>IFERROR(IF((time+time_cap)&lt;AV$2, 0,IF(AND(time+1&gt;=AW$2, $E242&lt;AW$2), IF($I242= "I", $J242/($F242-$E242+1), $J242/(($F242*($F242+1)/2)-(($E242-1)*($E242-1+1)/2))*AV$2), 0)+IF(IF(time+1&gt;=AW$2, $K242/time_cap/(time+1)*AV$2, 0) = 0, $K242/(time_cap),0)),0)</f>
        <v/>
      </c>
      <c r="AW242" s="4395">
        <f>IFERROR(IF((time+time_cap)&lt;AW$2, 0,IF(AND(time+1&gt;=AX$2, $E242&lt;AX$2), IF($I242= "I", $J242/($F242-$E242+1), $J242/(($F242*($F242+1)/2)-(($E242-1)*($E242-1+1)/2))*AW$2), 0)+IF(IF(time+1&gt;=AX$2, $K242/time_cap/(time+1)*AW$2, 0) = 0, $K242/(time_cap),0)),0)</f>
        <v/>
      </c>
      <c r="AX242" s="4395">
        <f>IFERROR(IF((time+time_cap)&lt;AX$2, 0,IF(AND(time+1&gt;=AY$2, $E242&lt;AY$2), IF($I242= "I", $J242/($F242-$E242+1), $J242/(($F242*($F242+1)/2)-(($E242-1)*($E242-1+1)/2))*AX$2), 0)+IF(IF(time+1&gt;=AY$2, $K242/time_cap/(time+1)*AX$2, 0) = 0, $K242/(time_cap),0)),0)</f>
        <v/>
      </c>
      <c r="AY242" s="4395">
        <f>IFERROR(IF((time+time_cap)&lt;AY$2, 0,IF(AND(time+1&gt;=AZ$2, $E242&lt;AZ$2), IF($I242= "I", $J242/($F242-$E242+1), $J242/(($F242*($F242+1)/2)-(($E242-1)*($E242-1+1)/2))*AY$2), 0)+IF(IF(time+1&gt;=AZ$2, $K242/time_cap/(time+1)*AY$2, 0) = 0, $K242/(time_cap),0)),0)</f>
        <v/>
      </c>
      <c r="AZ242" s="4395">
        <f>IFERROR(IF((time+time_cap)&lt;AZ$2, 0,IF(AND(time+1&gt;=BA$2, $E242&lt;BA$2), IF($I242= "I", $J242/($F242-$E242+1), $J242/(($F242*($F242+1)/2)-(($E242-1)*($E242-1+1)/2))*AZ$2), 0)+IF(IF(time+1&gt;=BA$2, $K242/time_cap/(time+1)*AZ$2, 0) = 0, $K242/(time_cap),0)),0)</f>
        <v/>
      </c>
      <c r="BA242" s="4395">
        <f>IFERROR(IF((time+time_cap)&lt;BA$2, 0,IF(AND(time+1&gt;=BB$2, $E242&lt;BB$2), IF($I242= "I", $J242/($F242-$E242+1), $J242/(($F242*($F242+1)/2)-(($E242-1)*($E242-1+1)/2))*BA$2), 0)+IF(IF(time+1&gt;=BB$2, $K242/time_cap/(time+1)*BA$2, 0) = 0, $K242/(time_cap),0)),0)</f>
        <v/>
      </c>
      <c r="BB242" s="4395">
        <f>IFERROR(IF((time+time_cap)&lt;BB$2, 0,IF(AND(time+1&gt;=BC$2, $E242&lt;BC$2), IF($I242= "I", $J242/($F242-$E242+1), $J242/(($F242*($F242+1)/2)-(($E242-1)*($E242-1+1)/2))*BB$2), 0)+IF(IF(time+1&gt;=BC$2, $K242/time_cap/(time+1)*BB$2, 0) = 0, $K242/(time_cap),0)),0)</f>
        <v/>
      </c>
      <c r="BC242" s="4395">
        <f>IFERROR(IF((time+time_cap)&lt;BC$2, 0,IF(AND(time+1&gt;=BD$2, $E242&lt;BD$2), IF($I242= "I", $J242/($F242-$E242+1), $J242/(($F242*($F242+1)/2)-(($E242-1)*($E242-1+1)/2))*BC$2), 0)+IF(IF(time+1&gt;=BD$2, $K242/time_cap/(time+1)*BC$2, 0) = 0, $K242/(time_cap),0)),0)</f>
        <v/>
      </c>
      <c r="BD242" s="4395">
        <f>IFERROR(IF((time+time_cap)&lt;BD$2, 0,IF(AND(time+1&gt;=BE$2, $E242&lt;BE$2), IF($I242= "I", $J242/($F242-$E242+1), $J242/(($F242*($F242+1)/2)-(($E242-1)*($E242-1+1)/2))*BD$2), 0)+IF(IF(time+1&gt;=BE$2, $K242/time_cap/(time+1)*BD$2, 0) = 0, $K242/(time_cap),0)),0)</f>
        <v/>
      </c>
      <c r="BE242" s="4395">
        <f>IFERROR(IF((time+time_cap)&lt;BE$2, 0,IF(AND(time+1&gt;=BF$2, $E242&lt;BF$2), IF($I242= "I", $J242/($F242-$E242+1), $J242/(($F242*($F242+1)/2)-(($E242-1)*($E242-1+1)/2))*BE$2), 0)+IF(IF(time+1&gt;=BF$2, $K242/time_cap/(time+1)*BE$2, 0) = 0, $K242/(time_cap),0)),0)</f>
        <v/>
      </c>
      <c r="BF242" s="4395">
        <f>IFERROR(IF((time+time_cap)&lt;BF$2, 0,IF(AND(time+1&gt;=BG$2, $E242&lt;BG$2), IF($I242= "I", $J242/($F242-$E242+1), $J242/(($F242*($F242+1)/2)-(($E242-1)*($E242-1+1)/2))*BF$2), 0)+IF(IF(time+1&gt;=BG$2, $K242/time_cap/(time+1)*BF$2, 0) = 0, $K242/(time_cap),0)),0)</f>
        <v/>
      </c>
      <c r="BG242" s="4395">
        <f>IFERROR(IF((time+time_cap)&lt;BG$2, 0,IF(AND(time+1&gt;=BH$2, $E242&lt;BH$2), IF($I242= "I", $J242/($F242-$E242+1), $J242/(($F242*($F242+1)/2)-(($E242-1)*($E242-1+1)/2))*BG$2), 0)+IF(IF(time+1&gt;=BH$2, $K242/time_cap/(time+1)*BG$2, 0) = 0, $K242/(time_cap),0)),0)</f>
        <v/>
      </c>
      <c r="BH242" s="4395">
        <f>IFERROR(IF((time+time_cap)&lt;BH$2, 0,IF(AND(time+1&gt;=BI$2, $E242&lt;BI$2), IF($I242= "I", $J242/($F242-$E242+1), $J242/(($F242*($F242+1)/2)-(($E242-1)*($E242-1+1)/2))*BH$2), 0)+IF(IF(time+1&gt;=BI$2, $K242/time_cap/(time+1)*BH$2, 0) = 0, $K242/(time_cap),0)),0)</f>
        <v/>
      </c>
      <c r="BI242" s="4395">
        <f>IFERROR(IF((time+time_cap)&lt;BI$2, 0,IF(AND(time+1&gt;=BJ$2, $E242&lt;BJ$2), IF($I242= "I", $J242/($F242-$E242+1), $J242/(($F242*($F242+1)/2)-(($E242-1)*($E242-1+1)/2))*BI$2), 0)+IF(IF(time+1&gt;=BJ$2, $K242/time_cap/(time+1)*BI$2, 0) = 0, $K242/(time_cap),0)),0)</f>
        <v/>
      </c>
      <c r="BJ242" s="4395">
        <f>IFERROR(IF((time+time_cap)&lt;BJ$2, 0,IF(AND(time+1&gt;=BK$2, $E242&lt;BK$2), IF($I242= "I", $J242/($F242-$E242+1), $J242/(($F242*($F242+1)/2)-(($E242-1)*($E242-1+1)/2))*BJ$2), 0)+IF(IF(time+1&gt;=BK$2, $K242/time_cap/(time+1)*BJ$2, 0) = 0, $K242/(time_cap),0)),0)</f>
        <v/>
      </c>
    </row>
    <row r="243">
      <c r="A243" t="inlineStr">
        <is>
          <t>Infrastructure</t>
        </is>
      </c>
      <c r="C243">
        <f>'9.Inputs'!C114</f>
        <v/>
      </c>
      <c r="D243">
        <f>'9.Inputs'!V114</f>
        <v/>
      </c>
      <c r="E243">
        <f>IF('9.Inputs'!AW114&lt;&gt;0,'9.Inputs'!AW114,'9.Inputs'!AV114)</f>
        <v/>
      </c>
      <c r="F243">
        <f>time</f>
        <v/>
      </c>
      <c r="H243" s="4395" t="n"/>
      <c r="I243" s="4395">
        <f>IF(OR(H243="I", G243="I"), "I", IF(OR(H243="E", G243="E"), "E", "D"))</f>
        <v/>
      </c>
      <c r="J243" s="4395">
        <f>((D243/(time_cap+((F243-E243+1)*VLOOKUP(I243,list!$I$48:$K$50,3, FALSE))))*(F243-E243+1)*VLOOKUP(I243,list!$I$48:$K$50,3, FALSE))</f>
        <v/>
      </c>
      <c r="K243" s="4395">
        <f>((D243/(time_cap+((F243-E243+1)*VLOOKUP(I243,list!$I$48:$K$50,3, FALSE))))*time_cap)</f>
        <v/>
      </c>
      <c r="M243" s="4395">
        <f>IFERROR(IF((time+time_cap)&lt;M$2, 0,IF(AND(time+1&gt;=N$2, $E243&lt;N$2), IF($I243= "I", $J243/($F243-$E243+1), $J243/(($F243*($F243+1)/2)-(($E243-1)*($E243-1+1)/2))*M$2), 0)+IF(IF(time+1&gt;=N$2, $K243/time_cap/(time+1)*M$2, 0) = 0, $K243/(time_cap),0)),0)</f>
        <v/>
      </c>
      <c r="N243" s="4395">
        <f>IFERROR(IF((time+time_cap)&lt;N$2, 0,IF(AND(time+1&gt;=O$2, $E243&lt;O$2), IF($I243= "I", $J243/($F243-$E243+1), $J243/(($F243*($F243+1)/2)-(($E243-1)*($E243-1+1)/2))*N$2), 0)+IF(IF(time+1&gt;=O$2, $K243/time_cap/(time+1)*N$2, 0) = 0, $K243/(time_cap),0)),0)</f>
        <v/>
      </c>
      <c r="O243" s="4395">
        <f>IFERROR(IF((time+time_cap)&lt;O$2, 0,IF(AND(time+1&gt;=P$2, $E243&lt;P$2), IF($I243= "I", $J243/($F243-$E243+1), $J243/(($F243*($F243+1)/2)-(($E243-1)*($E243-1+1)/2))*O$2), 0)+IF(IF(time+1&gt;=P$2, $K243/time_cap/(time+1)*O$2, 0) = 0, $K243/(time_cap),0)),0)</f>
        <v/>
      </c>
      <c r="P243" s="4395">
        <f>IFERROR(IF((time+time_cap)&lt;P$2, 0,IF(AND(time+1&gt;=Q$2, $E243&lt;Q$2), IF($I243= "I", $J243/($F243-$E243+1), $J243/(($F243*($F243+1)/2)-(($E243-1)*($E243-1+1)/2))*P$2), 0)+IF(IF(time+1&gt;=Q$2, $K243/time_cap/(time+1)*P$2, 0) = 0, $K243/(time_cap),0)),0)</f>
        <v/>
      </c>
      <c r="Q243" s="4395">
        <f>IFERROR(IF((time+time_cap)&lt;Q$2, 0,IF(AND(time+1&gt;=R$2, $E243&lt;R$2), IF($I243= "I", $J243/($F243-$E243+1), $J243/(($F243*($F243+1)/2)-(($E243-1)*($E243-1+1)/2))*Q$2), 0)+IF(IF(time+1&gt;=R$2, $K243/time_cap/(time+1)*Q$2, 0) = 0, $K243/(time_cap),0)),0)</f>
        <v/>
      </c>
      <c r="R243" s="4395">
        <f>IFERROR(IF((time+time_cap)&lt;R$2, 0,IF(AND(time+1&gt;=S$2, $E243&lt;S$2), IF($I243= "I", $J243/($F243-$E243+1), $J243/(($F243*($F243+1)/2)-(($E243-1)*($E243-1+1)/2))*R$2), 0)+IF(IF(time+1&gt;=S$2, $K243/time_cap/(time+1)*R$2, 0) = 0, $K243/(time_cap),0)),0)</f>
        <v/>
      </c>
      <c r="S243" s="4395">
        <f>IFERROR(IF((time+time_cap)&lt;S$2, 0,IF(AND(time+1&gt;=T$2, $E243&lt;T$2), IF($I243= "I", $J243/($F243-$E243+1), $J243/(($F243*($F243+1)/2)-(($E243-1)*($E243-1+1)/2))*S$2), 0)+IF(IF(time+1&gt;=T$2, $K243/time_cap/(time+1)*S$2, 0) = 0, $K243/(time_cap),0)),0)</f>
        <v/>
      </c>
      <c r="T243" s="4395">
        <f>IFERROR(IF((time+time_cap)&lt;T$2, 0,IF(AND(time+1&gt;=U$2, $E243&lt;U$2), IF($I243= "I", $J243/($F243-$E243+1), $J243/(($F243*($F243+1)/2)-(($E243-1)*($E243-1+1)/2))*T$2), 0)+IF(IF(time+1&gt;=U$2, $K243/time_cap/(time+1)*T$2, 0) = 0, $K243/(time_cap),0)),0)</f>
        <v/>
      </c>
      <c r="U243" s="4395">
        <f>IFERROR(IF((time+time_cap)&lt;U$2, 0,IF(AND(time+1&gt;=V$2, $E243&lt;V$2), IF($I243= "I", $J243/($F243-$E243+1), $J243/(($F243*($F243+1)/2)-(($E243-1)*($E243-1+1)/2))*U$2), 0)+IF(IF(time+1&gt;=V$2, $K243/time_cap/(time+1)*U$2, 0) = 0, $K243/(time_cap),0)),0)</f>
        <v/>
      </c>
      <c r="V243" s="4395">
        <f>IFERROR(IF((time+time_cap)&lt;V$2, 0,IF(AND(time+1&gt;=W$2, $E243&lt;W$2), IF($I243= "I", $J243/($F243-$E243+1), $J243/(($F243*($F243+1)/2)-(($E243-1)*($E243-1+1)/2))*V$2), 0)+IF(IF(time+1&gt;=W$2, $K243/time_cap/(time+1)*V$2, 0) = 0, $K243/(time_cap),0)),0)</f>
        <v/>
      </c>
      <c r="W243" s="4395">
        <f>IFERROR(IF((time+time_cap)&lt;W$2, 0,IF(AND(time+1&gt;=X$2, $E243&lt;X$2), IF($I243= "I", $J243/($F243-$E243+1), $J243/(($F243*($F243+1)/2)-(($E243-1)*($E243-1+1)/2))*W$2), 0)+IF(IF(time+1&gt;=X$2, $K243/time_cap/(time+1)*W$2, 0) = 0, $K243/(time_cap),0)),0)</f>
        <v/>
      </c>
      <c r="X243" s="4395">
        <f>IFERROR(IF((time+time_cap)&lt;X$2, 0,IF(AND(time+1&gt;=Y$2, $E243&lt;Y$2), IF($I243= "I", $J243/($F243-$E243+1), $J243/(($F243*($F243+1)/2)-(($E243-1)*($E243-1+1)/2))*X$2), 0)+IF(IF(time+1&gt;=Y$2, $K243/time_cap/(time+1)*X$2, 0) = 0, $K243/(time_cap),0)),0)</f>
        <v/>
      </c>
      <c r="Y243" s="4395">
        <f>IFERROR(IF((time+time_cap)&lt;Y$2, 0,IF(AND(time+1&gt;=Z$2, $E243&lt;Z$2), IF($I243= "I", $J243/($F243-$E243+1), $J243/(($F243*($F243+1)/2)-(($E243-1)*($E243-1+1)/2))*Y$2), 0)+IF(IF(time+1&gt;=Z$2, $K243/time_cap/(time+1)*Y$2, 0) = 0, $K243/(time_cap),0)),0)</f>
        <v/>
      </c>
      <c r="Z243" s="4395">
        <f>IFERROR(IF((time+time_cap)&lt;Z$2, 0,IF(AND(time+1&gt;=AA$2, $E243&lt;AA$2), IF($I243= "I", $J243/($F243-$E243+1), $J243/(($F243*($F243+1)/2)-(($E243-1)*($E243-1+1)/2))*Z$2), 0)+IF(IF(time+1&gt;=AA$2, $K243/time_cap/(time+1)*Z$2, 0) = 0, $K243/(time_cap),0)),0)</f>
        <v/>
      </c>
      <c r="AA243" s="4395">
        <f>IFERROR(IF((time+time_cap)&lt;AA$2, 0,IF(AND(time+1&gt;=AB$2, $E243&lt;AB$2), IF($I243= "I", $J243/($F243-$E243+1), $J243/(($F243*($F243+1)/2)-(($E243-1)*($E243-1+1)/2))*AA$2), 0)+IF(IF(time+1&gt;=AB$2, $K243/time_cap/(time+1)*AA$2, 0) = 0, $K243/(time_cap),0)),0)</f>
        <v/>
      </c>
      <c r="AB243" s="4395">
        <f>IFERROR(IF((time+time_cap)&lt;AB$2, 0,IF(AND(time+1&gt;=AC$2, $E243&lt;AC$2), IF($I243= "I", $J243/($F243-$E243+1), $J243/(($F243*($F243+1)/2)-(($E243-1)*($E243-1+1)/2))*AB$2), 0)+IF(IF(time+1&gt;=AC$2, $K243/time_cap/(time+1)*AB$2, 0) = 0, $K243/(time_cap),0)),0)</f>
        <v/>
      </c>
      <c r="AC243" s="4395">
        <f>IFERROR(IF((time+time_cap)&lt;AC$2, 0,IF(AND(time+1&gt;=AD$2, $E243&lt;AD$2), IF($I243= "I", $J243/($F243-$E243+1), $J243/(($F243*($F243+1)/2)-(($E243-1)*($E243-1+1)/2))*AC$2), 0)+IF(IF(time+1&gt;=AD$2, $K243/time_cap/(time+1)*AC$2, 0) = 0, $K243/(time_cap),0)),0)</f>
        <v/>
      </c>
      <c r="AD243" s="4395">
        <f>IFERROR(IF((time+time_cap)&lt;AD$2, 0,IF(AND(time+1&gt;=AE$2, $E243&lt;AE$2), IF($I243= "I", $J243/($F243-$E243+1), $J243/(($F243*($F243+1)/2)-(($E243-1)*($E243-1+1)/2))*AD$2), 0)+IF(IF(time+1&gt;=AE$2, $K243/time_cap/(time+1)*AD$2, 0) = 0, $K243/(time_cap),0)),0)</f>
        <v/>
      </c>
      <c r="AE243" s="4395">
        <f>IFERROR(IF((time+time_cap)&lt;AE$2, 0,IF(AND(time+1&gt;=AF$2, $E243&lt;AF$2), IF($I243= "I", $J243/($F243-$E243+1), $J243/(($F243*($F243+1)/2)-(($E243-1)*($E243-1+1)/2))*AE$2), 0)+IF(IF(time+1&gt;=AF$2, $K243/time_cap/(time+1)*AE$2, 0) = 0, $K243/(time_cap),0)),0)</f>
        <v/>
      </c>
      <c r="AF243" s="4395">
        <f>IFERROR(IF((time+time_cap)&lt;AF$2, 0,IF(AND(time+1&gt;=AG$2, $E243&lt;AG$2), IF($I243= "I", $J243/($F243-$E243+1), $J243/(($F243*($F243+1)/2)-(($E243-1)*($E243-1+1)/2))*AF$2), 0)+IF(IF(time+1&gt;=AG$2, $K243/time_cap/(time+1)*AF$2, 0) = 0, $K243/(time_cap),0)),0)</f>
        <v/>
      </c>
      <c r="AG243" s="4395">
        <f>IFERROR(IF((time+time_cap)&lt;AG$2, 0,IF(AND(time+1&gt;=AH$2, $E243&lt;AH$2), IF($I243= "I", $J243/($F243-$E243+1), $J243/(($F243*($F243+1)/2)-(($E243-1)*($E243-1+1)/2))*AG$2), 0)+IF(IF(time+1&gt;=AH$2, $K243/time_cap/(time+1)*AG$2, 0) = 0, $K243/(time_cap),0)),0)</f>
        <v/>
      </c>
      <c r="AH243" s="4395">
        <f>IFERROR(IF((time+time_cap)&lt;AH$2, 0,IF(AND(time+1&gt;=AI$2, $E243&lt;AI$2), IF($I243= "I", $J243/($F243-$E243+1), $J243/(($F243*($F243+1)/2)-(($E243-1)*($E243-1+1)/2))*AH$2), 0)+IF(IF(time+1&gt;=AI$2, $K243/time_cap/(time+1)*AH$2, 0) = 0, $K243/(time_cap),0)),0)</f>
        <v/>
      </c>
      <c r="AI243" s="4395">
        <f>IFERROR(IF((time+time_cap)&lt;AI$2, 0,IF(AND(time+1&gt;=AJ$2, $E243&lt;AJ$2), IF($I243= "I", $J243/($F243-$E243+1), $J243/(($F243*($F243+1)/2)-(($E243-1)*($E243-1+1)/2))*AI$2), 0)+IF(IF(time+1&gt;=AJ$2, $K243/time_cap/(time+1)*AI$2, 0) = 0, $K243/(time_cap),0)),0)</f>
        <v/>
      </c>
      <c r="AJ243" s="4395">
        <f>IFERROR(IF((time+time_cap)&lt;AJ$2, 0,IF(AND(time+1&gt;=AK$2, $E243&lt;AK$2), IF($I243= "I", $J243/($F243-$E243+1), $J243/(($F243*($F243+1)/2)-(($E243-1)*($E243-1+1)/2))*AJ$2), 0)+IF(IF(time+1&gt;=AK$2, $K243/time_cap/(time+1)*AJ$2, 0) = 0, $K243/(time_cap),0)),0)</f>
        <v/>
      </c>
      <c r="AK243" s="4395">
        <f>IFERROR(IF((time+time_cap)&lt;AK$2, 0,IF(AND(time+1&gt;=AL$2, $E243&lt;AL$2), IF($I243= "I", $J243/($F243-$E243+1), $J243/(($F243*($F243+1)/2)-(($E243-1)*($E243-1+1)/2))*AK$2), 0)+IF(IF(time+1&gt;=AL$2, $K243/time_cap/(time+1)*AK$2, 0) = 0, $K243/(time_cap),0)),0)</f>
        <v/>
      </c>
      <c r="AL243" s="4395">
        <f>IFERROR(IF((time+time_cap)&lt;AL$2, 0,IF(AND(time+1&gt;=AM$2, $E243&lt;AM$2), IF($I243= "I", $J243/($F243-$E243+1), $J243/(($F243*($F243+1)/2)-(($E243-1)*($E243-1+1)/2))*AL$2), 0)+IF(IF(time+1&gt;=AM$2, $K243/time_cap/(time+1)*AL$2, 0) = 0, $K243/(time_cap),0)),0)</f>
        <v/>
      </c>
      <c r="AM243" s="4395">
        <f>IFERROR(IF((time+time_cap)&lt;AM$2, 0,IF(AND(time+1&gt;=AN$2, $E243&lt;AN$2), IF($I243= "I", $J243/($F243-$E243+1), $J243/(($F243*($F243+1)/2)-(($E243-1)*($E243-1+1)/2))*AM$2), 0)+IF(IF(time+1&gt;=AN$2, $K243/time_cap/(time+1)*AM$2, 0) = 0, $K243/(time_cap),0)),0)</f>
        <v/>
      </c>
      <c r="AN243" s="4395">
        <f>IFERROR(IF((time+time_cap)&lt;AN$2, 0,IF(AND(time+1&gt;=AO$2, $E243&lt;AO$2), IF($I243= "I", $J243/($F243-$E243+1), $J243/(($F243*($F243+1)/2)-(($E243-1)*($E243-1+1)/2))*AN$2), 0)+IF(IF(time+1&gt;=AO$2, $K243/time_cap/(time+1)*AN$2, 0) = 0, $K243/(time_cap),0)),0)</f>
        <v/>
      </c>
      <c r="AO243" s="4395">
        <f>IFERROR(IF((time+time_cap)&lt;AO$2, 0,IF(AND(time+1&gt;=AP$2, $E243&lt;AP$2), IF($I243= "I", $J243/($F243-$E243+1), $J243/(($F243*($F243+1)/2)-(($E243-1)*($E243-1+1)/2))*AO$2), 0)+IF(IF(time+1&gt;=AP$2, $K243/time_cap/(time+1)*AO$2, 0) = 0, $K243/(time_cap),0)),0)</f>
        <v/>
      </c>
      <c r="AP243" s="4395">
        <f>IFERROR(IF((time+time_cap)&lt;AP$2, 0,IF(AND(time+1&gt;=AQ$2, $E243&lt;AQ$2), IF($I243= "I", $J243/($F243-$E243+1), $J243/(($F243*($F243+1)/2)-(($E243-1)*($E243-1+1)/2))*AP$2), 0)+IF(IF(time+1&gt;=AQ$2, $K243/time_cap/(time+1)*AP$2, 0) = 0, $K243/(time_cap),0)),0)</f>
        <v/>
      </c>
      <c r="AQ243" s="4395">
        <f>IFERROR(IF((time+time_cap)&lt;AQ$2, 0,IF(AND(time+1&gt;=AR$2, $E243&lt;AR$2), IF($I243= "I", $J243/($F243-$E243+1), $J243/(($F243*($F243+1)/2)-(($E243-1)*($E243-1+1)/2))*AQ$2), 0)+IF(IF(time+1&gt;=AR$2, $K243/time_cap/(time+1)*AQ$2, 0) = 0, $K243/(time_cap),0)),0)</f>
        <v/>
      </c>
      <c r="AR243" s="4395">
        <f>IFERROR(IF((time+time_cap)&lt;AR$2, 0,IF(AND(time+1&gt;=AS$2, $E243&lt;AS$2), IF($I243= "I", $J243/($F243-$E243+1), $J243/(($F243*($F243+1)/2)-(($E243-1)*($E243-1+1)/2))*AR$2), 0)+IF(IF(time+1&gt;=AS$2, $K243/time_cap/(time+1)*AR$2, 0) = 0, $K243/(time_cap),0)),0)</f>
        <v/>
      </c>
      <c r="AS243" s="4395">
        <f>IFERROR(IF((time+time_cap)&lt;AS$2, 0,IF(AND(time+1&gt;=AT$2, $E243&lt;AT$2), IF($I243= "I", $J243/($F243-$E243+1), $J243/(($F243*($F243+1)/2)-(($E243-1)*($E243-1+1)/2))*AS$2), 0)+IF(IF(time+1&gt;=AT$2, $K243/time_cap/(time+1)*AS$2, 0) = 0, $K243/(time_cap),0)),0)</f>
        <v/>
      </c>
      <c r="AT243" s="4395">
        <f>IFERROR(IF((time+time_cap)&lt;AT$2, 0,IF(AND(time+1&gt;=AU$2, $E243&lt;AU$2), IF($I243= "I", $J243/($F243-$E243+1), $J243/(($F243*($F243+1)/2)-(($E243-1)*($E243-1+1)/2))*AT$2), 0)+IF(IF(time+1&gt;=AU$2, $K243/time_cap/(time+1)*AT$2, 0) = 0, $K243/(time_cap),0)),0)</f>
        <v/>
      </c>
      <c r="AU243" s="4395">
        <f>IFERROR(IF((time+time_cap)&lt;AU$2, 0,IF(AND(time+1&gt;=AV$2, $E243&lt;AV$2), IF($I243= "I", $J243/($F243-$E243+1), $J243/(($F243*($F243+1)/2)-(($E243-1)*($E243-1+1)/2))*AU$2), 0)+IF(IF(time+1&gt;=AV$2, $K243/time_cap/(time+1)*AU$2, 0) = 0, $K243/(time_cap),0)),0)</f>
        <v/>
      </c>
      <c r="AV243" s="4395">
        <f>IFERROR(IF((time+time_cap)&lt;AV$2, 0,IF(AND(time+1&gt;=AW$2, $E243&lt;AW$2), IF($I243= "I", $J243/($F243-$E243+1), $J243/(($F243*($F243+1)/2)-(($E243-1)*($E243-1+1)/2))*AV$2), 0)+IF(IF(time+1&gt;=AW$2, $K243/time_cap/(time+1)*AV$2, 0) = 0, $K243/(time_cap),0)),0)</f>
        <v/>
      </c>
      <c r="AW243" s="4395">
        <f>IFERROR(IF((time+time_cap)&lt;AW$2, 0,IF(AND(time+1&gt;=AX$2, $E243&lt;AX$2), IF($I243= "I", $J243/($F243-$E243+1), $J243/(($F243*($F243+1)/2)-(($E243-1)*($E243-1+1)/2))*AW$2), 0)+IF(IF(time+1&gt;=AX$2, $K243/time_cap/(time+1)*AW$2, 0) = 0, $K243/(time_cap),0)),0)</f>
        <v/>
      </c>
      <c r="AX243" s="4395">
        <f>IFERROR(IF((time+time_cap)&lt;AX$2, 0,IF(AND(time+1&gt;=AY$2, $E243&lt;AY$2), IF($I243= "I", $J243/($F243-$E243+1), $J243/(($F243*($F243+1)/2)-(($E243-1)*($E243-1+1)/2))*AX$2), 0)+IF(IF(time+1&gt;=AY$2, $K243/time_cap/(time+1)*AX$2, 0) = 0, $K243/(time_cap),0)),0)</f>
        <v/>
      </c>
      <c r="AY243" s="4395">
        <f>IFERROR(IF((time+time_cap)&lt;AY$2, 0,IF(AND(time+1&gt;=AZ$2, $E243&lt;AZ$2), IF($I243= "I", $J243/($F243-$E243+1), $J243/(($F243*($F243+1)/2)-(($E243-1)*($E243-1+1)/2))*AY$2), 0)+IF(IF(time+1&gt;=AZ$2, $K243/time_cap/(time+1)*AY$2, 0) = 0, $K243/(time_cap),0)),0)</f>
        <v/>
      </c>
      <c r="AZ243" s="4395">
        <f>IFERROR(IF((time+time_cap)&lt;AZ$2, 0,IF(AND(time+1&gt;=BA$2, $E243&lt;BA$2), IF($I243= "I", $J243/($F243-$E243+1), $J243/(($F243*($F243+1)/2)-(($E243-1)*($E243-1+1)/2))*AZ$2), 0)+IF(IF(time+1&gt;=BA$2, $K243/time_cap/(time+1)*AZ$2, 0) = 0, $K243/(time_cap),0)),0)</f>
        <v/>
      </c>
      <c r="BA243" s="4395">
        <f>IFERROR(IF((time+time_cap)&lt;BA$2, 0,IF(AND(time+1&gt;=BB$2, $E243&lt;BB$2), IF($I243= "I", $J243/($F243-$E243+1), $J243/(($F243*($F243+1)/2)-(($E243-1)*($E243-1+1)/2))*BA$2), 0)+IF(IF(time+1&gt;=BB$2, $K243/time_cap/(time+1)*BA$2, 0) = 0, $K243/(time_cap),0)),0)</f>
        <v/>
      </c>
      <c r="BB243" s="4395">
        <f>IFERROR(IF((time+time_cap)&lt;BB$2, 0,IF(AND(time+1&gt;=BC$2, $E243&lt;BC$2), IF($I243= "I", $J243/($F243-$E243+1), $J243/(($F243*($F243+1)/2)-(($E243-1)*($E243-1+1)/2))*BB$2), 0)+IF(IF(time+1&gt;=BC$2, $K243/time_cap/(time+1)*BB$2, 0) = 0, $K243/(time_cap),0)),0)</f>
        <v/>
      </c>
      <c r="BC243" s="4395">
        <f>IFERROR(IF((time+time_cap)&lt;BC$2, 0,IF(AND(time+1&gt;=BD$2, $E243&lt;BD$2), IF($I243= "I", $J243/($F243-$E243+1), $J243/(($F243*($F243+1)/2)-(($E243-1)*($E243-1+1)/2))*BC$2), 0)+IF(IF(time+1&gt;=BD$2, $K243/time_cap/(time+1)*BC$2, 0) = 0, $K243/(time_cap),0)),0)</f>
        <v/>
      </c>
      <c r="BD243" s="4395">
        <f>IFERROR(IF((time+time_cap)&lt;BD$2, 0,IF(AND(time+1&gt;=BE$2, $E243&lt;BE$2), IF($I243= "I", $J243/($F243-$E243+1), $J243/(($F243*($F243+1)/2)-(($E243-1)*($E243-1+1)/2))*BD$2), 0)+IF(IF(time+1&gt;=BE$2, $K243/time_cap/(time+1)*BD$2, 0) = 0, $K243/(time_cap),0)),0)</f>
        <v/>
      </c>
      <c r="BE243" s="4395">
        <f>IFERROR(IF((time+time_cap)&lt;BE$2, 0,IF(AND(time+1&gt;=BF$2, $E243&lt;BF$2), IF($I243= "I", $J243/($F243-$E243+1), $J243/(($F243*($F243+1)/2)-(($E243-1)*($E243-1+1)/2))*BE$2), 0)+IF(IF(time+1&gt;=BF$2, $K243/time_cap/(time+1)*BE$2, 0) = 0, $K243/(time_cap),0)),0)</f>
        <v/>
      </c>
      <c r="BF243" s="4395">
        <f>IFERROR(IF((time+time_cap)&lt;BF$2, 0,IF(AND(time+1&gt;=BG$2, $E243&lt;BG$2), IF($I243= "I", $J243/($F243-$E243+1), $J243/(($F243*($F243+1)/2)-(($E243-1)*($E243-1+1)/2))*BF$2), 0)+IF(IF(time+1&gt;=BG$2, $K243/time_cap/(time+1)*BF$2, 0) = 0, $K243/(time_cap),0)),0)</f>
        <v/>
      </c>
      <c r="BG243" s="4395">
        <f>IFERROR(IF((time+time_cap)&lt;BG$2, 0,IF(AND(time+1&gt;=BH$2, $E243&lt;BH$2), IF($I243= "I", $J243/($F243-$E243+1), $J243/(($F243*($F243+1)/2)-(($E243-1)*($E243-1+1)/2))*BG$2), 0)+IF(IF(time+1&gt;=BH$2, $K243/time_cap/(time+1)*BG$2, 0) = 0, $K243/(time_cap),0)),0)</f>
        <v/>
      </c>
      <c r="BH243" s="4395">
        <f>IFERROR(IF((time+time_cap)&lt;BH$2, 0,IF(AND(time+1&gt;=BI$2, $E243&lt;BI$2), IF($I243= "I", $J243/($F243-$E243+1), $J243/(($F243*($F243+1)/2)-(($E243-1)*($E243-1+1)/2))*BH$2), 0)+IF(IF(time+1&gt;=BI$2, $K243/time_cap/(time+1)*BH$2, 0) = 0, $K243/(time_cap),0)),0)</f>
        <v/>
      </c>
      <c r="BI243" s="4395">
        <f>IFERROR(IF((time+time_cap)&lt;BI$2, 0,IF(AND(time+1&gt;=BJ$2, $E243&lt;BJ$2), IF($I243= "I", $J243/($F243-$E243+1), $J243/(($F243*($F243+1)/2)-(($E243-1)*($E243-1+1)/2))*BI$2), 0)+IF(IF(time+1&gt;=BJ$2, $K243/time_cap/(time+1)*BI$2, 0) = 0, $K243/(time_cap),0)),0)</f>
        <v/>
      </c>
      <c r="BJ243" s="4395">
        <f>IFERROR(IF((time+time_cap)&lt;BJ$2, 0,IF(AND(time+1&gt;=BK$2, $E243&lt;BK$2), IF($I243= "I", $J243/($F243-$E243+1), $J243/(($F243*($F243+1)/2)-(($E243-1)*($E243-1+1)/2))*BJ$2), 0)+IF(IF(time+1&gt;=BK$2, $K243/time_cap/(time+1)*BJ$2, 0) = 0, $K243/(time_cap),0)),0)</f>
        <v/>
      </c>
    </row>
    <row r="244">
      <c r="A244" t="inlineStr">
        <is>
          <t>Infrastructure</t>
        </is>
      </c>
      <c r="C244">
        <f>'9.Inputs'!C115</f>
        <v/>
      </c>
      <c r="D244">
        <f>'9.Inputs'!V115</f>
        <v/>
      </c>
      <c r="E244">
        <f>IF('9.Inputs'!AW115&lt;&gt;0,'9.Inputs'!AW115,'9.Inputs'!AV115)</f>
        <v/>
      </c>
      <c r="F244">
        <f>time</f>
        <v/>
      </c>
      <c r="H244" s="4395" t="n"/>
      <c r="I244" s="4395">
        <f>IF(OR(H244="I", G244="I"), "I", IF(OR(H244="E", G244="E"), "E", "D"))</f>
        <v/>
      </c>
      <c r="J244" s="4395">
        <f>((D244/(time_cap+((F244-E244+1)*VLOOKUP(I244,list!$I$48:$K$50,3, FALSE))))*(F244-E244+1)*VLOOKUP(I244,list!$I$48:$K$50,3, FALSE))</f>
        <v/>
      </c>
      <c r="K244" s="4395">
        <f>((D244/(time_cap+((F244-E244+1)*VLOOKUP(I244,list!$I$48:$K$50,3, FALSE))))*time_cap)</f>
        <v/>
      </c>
      <c r="M244" s="4395">
        <f>IFERROR(IF((time+time_cap)&lt;M$2, 0,IF(AND(time+1&gt;=N$2, $E244&lt;N$2), IF($I244= "I", $J244/($F244-$E244+1), $J244/(($F244*($F244+1)/2)-(($E244-1)*($E244-1+1)/2))*M$2), 0)+IF(IF(time+1&gt;=N$2, $K244/time_cap/(time+1)*M$2, 0) = 0, $K244/(time_cap),0)),0)</f>
        <v/>
      </c>
      <c r="N244" s="4395">
        <f>IFERROR(IF((time+time_cap)&lt;N$2, 0,IF(AND(time+1&gt;=O$2, $E244&lt;O$2), IF($I244= "I", $J244/($F244-$E244+1), $J244/(($F244*($F244+1)/2)-(($E244-1)*($E244-1+1)/2))*N$2), 0)+IF(IF(time+1&gt;=O$2, $K244/time_cap/(time+1)*N$2, 0) = 0, $K244/(time_cap),0)),0)</f>
        <v/>
      </c>
      <c r="O244" s="4395">
        <f>IFERROR(IF((time+time_cap)&lt;O$2, 0,IF(AND(time+1&gt;=P$2, $E244&lt;P$2), IF($I244= "I", $J244/($F244-$E244+1), $J244/(($F244*($F244+1)/2)-(($E244-1)*($E244-1+1)/2))*O$2), 0)+IF(IF(time+1&gt;=P$2, $K244/time_cap/(time+1)*O$2, 0) = 0, $K244/(time_cap),0)),0)</f>
        <v/>
      </c>
      <c r="P244" s="4395">
        <f>IFERROR(IF((time+time_cap)&lt;P$2, 0,IF(AND(time+1&gt;=Q$2, $E244&lt;Q$2), IF($I244= "I", $J244/($F244-$E244+1), $J244/(($F244*($F244+1)/2)-(($E244-1)*($E244-1+1)/2))*P$2), 0)+IF(IF(time+1&gt;=Q$2, $K244/time_cap/(time+1)*P$2, 0) = 0, $K244/(time_cap),0)),0)</f>
        <v/>
      </c>
      <c r="Q244" s="4395">
        <f>IFERROR(IF((time+time_cap)&lt;Q$2, 0,IF(AND(time+1&gt;=R$2, $E244&lt;R$2), IF($I244= "I", $J244/($F244-$E244+1), $J244/(($F244*($F244+1)/2)-(($E244-1)*($E244-1+1)/2))*Q$2), 0)+IF(IF(time+1&gt;=R$2, $K244/time_cap/(time+1)*Q$2, 0) = 0, $K244/(time_cap),0)),0)</f>
        <v/>
      </c>
      <c r="R244" s="4395">
        <f>IFERROR(IF((time+time_cap)&lt;R$2, 0,IF(AND(time+1&gt;=S$2, $E244&lt;S$2), IF($I244= "I", $J244/($F244-$E244+1), $J244/(($F244*($F244+1)/2)-(($E244-1)*($E244-1+1)/2))*R$2), 0)+IF(IF(time+1&gt;=S$2, $K244/time_cap/(time+1)*R$2, 0) = 0, $K244/(time_cap),0)),0)</f>
        <v/>
      </c>
      <c r="S244" s="4395">
        <f>IFERROR(IF((time+time_cap)&lt;S$2, 0,IF(AND(time+1&gt;=T$2, $E244&lt;T$2), IF($I244= "I", $J244/($F244-$E244+1), $J244/(($F244*($F244+1)/2)-(($E244-1)*($E244-1+1)/2))*S$2), 0)+IF(IF(time+1&gt;=T$2, $K244/time_cap/(time+1)*S$2, 0) = 0, $K244/(time_cap),0)),0)</f>
        <v/>
      </c>
      <c r="T244" s="4395">
        <f>IFERROR(IF((time+time_cap)&lt;T$2, 0,IF(AND(time+1&gt;=U$2, $E244&lt;U$2), IF($I244= "I", $J244/($F244-$E244+1), $J244/(($F244*($F244+1)/2)-(($E244-1)*($E244-1+1)/2))*T$2), 0)+IF(IF(time+1&gt;=U$2, $K244/time_cap/(time+1)*T$2, 0) = 0, $K244/(time_cap),0)),0)</f>
        <v/>
      </c>
      <c r="U244" s="4395">
        <f>IFERROR(IF((time+time_cap)&lt;U$2, 0,IF(AND(time+1&gt;=V$2, $E244&lt;V$2), IF($I244= "I", $J244/($F244-$E244+1), $J244/(($F244*($F244+1)/2)-(($E244-1)*($E244-1+1)/2))*U$2), 0)+IF(IF(time+1&gt;=V$2, $K244/time_cap/(time+1)*U$2, 0) = 0, $K244/(time_cap),0)),0)</f>
        <v/>
      </c>
      <c r="V244" s="4395">
        <f>IFERROR(IF((time+time_cap)&lt;V$2, 0,IF(AND(time+1&gt;=W$2, $E244&lt;W$2), IF($I244= "I", $J244/($F244-$E244+1), $J244/(($F244*($F244+1)/2)-(($E244-1)*($E244-1+1)/2))*V$2), 0)+IF(IF(time+1&gt;=W$2, $K244/time_cap/(time+1)*V$2, 0) = 0, $K244/(time_cap),0)),0)</f>
        <v/>
      </c>
      <c r="W244" s="4395">
        <f>IFERROR(IF((time+time_cap)&lt;W$2, 0,IF(AND(time+1&gt;=X$2, $E244&lt;X$2), IF($I244= "I", $J244/($F244-$E244+1), $J244/(($F244*($F244+1)/2)-(($E244-1)*($E244-1+1)/2))*W$2), 0)+IF(IF(time+1&gt;=X$2, $K244/time_cap/(time+1)*W$2, 0) = 0, $K244/(time_cap),0)),0)</f>
        <v/>
      </c>
      <c r="X244" s="4395">
        <f>IFERROR(IF((time+time_cap)&lt;X$2, 0,IF(AND(time+1&gt;=Y$2, $E244&lt;Y$2), IF($I244= "I", $J244/($F244-$E244+1), $J244/(($F244*($F244+1)/2)-(($E244-1)*($E244-1+1)/2))*X$2), 0)+IF(IF(time+1&gt;=Y$2, $K244/time_cap/(time+1)*X$2, 0) = 0, $K244/(time_cap),0)),0)</f>
        <v/>
      </c>
      <c r="Y244" s="4395">
        <f>IFERROR(IF((time+time_cap)&lt;Y$2, 0,IF(AND(time+1&gt;=Z$2, $E244&lt;Z$2), IF($I244= "I", $J244/($F244-$E244+1), $J244/(($F244*($F244+1)/2)-(($E244-1)*($E244-1+1)/2))*Y$2), 0)+IF(IF(time+1&gt;=Z$2, $K244/time_cap/(time+1)*Y$2, 0) = 0, $K244/(time_cap),0)),0)</f>
        <v/>
      </c>
      <c r="Z244" s="4395">
        <f>IFERROR(IF((time+time_cap)&lt;Z$2, 0,IF(AND(time+1&gt;=AA$2, $E244&lt;AA$2), IF($I244= "I", $J244/($F244-$E244+1), $J244/(($F244*($F244+1)/2)-(($E244-1)*($E244-1+1)/2))*Z$2), 0)+IF(IF(time+1&gt;=AA$2, $K244/time_cap/(time+1)*Z$2, 0) = 0, $K244/(time_cap),0)),0)</f>
        <v/>
      </c>
      <c r="AA244" s="4395">
        <f>IFERROR(IF((time+time_cap)&lt;AA$2, 0,IF(AND(time+1&gt;=AB$2, $E244&lt;AB$2), IF($I244= "I", $J244/($F244-$E244+1), $J244/(($F244*($F244+1)/2)-(($E244-1)*($E244-1+1)/2))*AA$2), 0)+IF(IF(time+1&gt;=AB$2, $K244/time_cap/(time+1)*AA$2, 0) = 0, $K244/(time_cap),0)),0)</f>
        <v/>
      </c>
      <c r="AB244" s="4395">
        <f>IFERROR(IF((time+time_cap)&lt;AB$2, 0,IF(AND(time+1&gt;=AC$2, $E244&lt;AC$2), IF($I244= "I", $J244/($F244-$E244+1), $J244/(($F244*($F244+1)/2)-(($E244-1)*($E244-1+1)/2))*AB$2), 0)+IF(IF(time+1&gt;=AC$2, $K244/time_cap/(time+1)*AB$2, 0) = 0, $K244/(time_cap),0)),0)</f>
        <v/>
      </c>
      <c r="AC244" s="4395">
        <f>IFERROR(IF((time+time_cap)&lt;AC$2, 0,IF(AND(time+1&gt;=AD$2, $E244&lt;AD$2), IF($I244= "I", $J244/($F244-$E244+1), $J244/(($F244*($F244+1)/2)-(($E244-1)*($E244-1+1)/2))*AC$2), 0)+IF(IF(time+1&gt;=AD$2, $K244/time_cap/(time+1)*AC$2, 0) = 0, $K244/(time_cap),0)),0)</f>
        <v/>
      </c>
      <c r="AD244" s="4395">
        <f>IFERROR(IF((time+time_cap)&lt;AD$2, 0,IF(AND(time+1&gt;=AE$2, $E244&lt;AE$2), IF($I244= "I", $J244/($F244-$E244+1), $J244/(($F244*($F244+1)/2)-(($E244-1)*($E244-1+1)/2))*AD$2), 0)+IF(IF(time+1&gt;=AE$2, $K244/time_cap/(time+1)*AD$2, 0) = 0, $K244/(time_cap),0)),0)</f>
        <v/>
      </c>
      <c r="AE244" s="4395">
        <f>IFERROR(IF((time+time_cap)&lt;AE$2, 0,IF(AND(time+1&gt;=AF$2, $E244&lt;AF$2), IF($I244= "I", $J244/($F244-$E244+1), $J244/(($F244*($F244+1)/2)-(($E244-1)*($E244-1+1)/2))*AE$2), 0)+IF(IF(time+1&gt;=AF$2, $K244/time_cap/(time+1)*AE$2, 0) = 0, $K244/(time_cap),0)),0)</f>
        <v/>
      </c>
      <c r="AF244" s="4395">
        <f>IFERROR(IF((time+time_cap)&lt;AF$2, 0,IF(AND(time+1&gt;=AG$2, $E244&lt;AG$2), IF($I244= "I", $J244/($F244-$E244+1), $J244/(($F244*($F244+1)/2)-(($E244-1)*($E244-1+1)/2))*AF$2), 0)+IF(IF(time+1&gt;=AG$2, $K244/time_cap/(time+1)*AF$2, 0) = 0, $K244/(time_cap),0)),0)</f>
        <v/>
      </c>
      <c r="AG244" s="4395">
        <f>IFERROR(IF((time+time_cap)&lt;AG$2, 0,IF(AND(time+1&gt;=AH$2, $E244&lt;AH$2), IF($I244= "I", $J244/($F244-$E244+1), $J244/(($F244*($F244+1)/2)-(($E244-1)*($E244-1+1)/2))*AG$2), 0)+IF(IF(time+1&gt;=AH$2, $K244/time_cap/(time+1)*AG$2, 0) = 0, $K244/(time_cap),0)),0)</f>
        <v/>
      </c>
      <c r="AH244" s="4395">
        <f>IFERROR(IF((time+time_cap)&lt;AH$2, 0,IF(AND(time+1&gt;=AI$2, $E244&lt;AI$2), IF($I244= "I", $J244/($F244-$E244+1), $J244/(($F244*($F244+1)/2)-(($E244-1)*($E244-1+1)/2))*AH$2), 0)+IF(IF(time+1&gt;=AI$2, $K244/time_cap/(time+1)*AH$2, 0) = 0, $K244/(time_cap),0)),0)</f>
        <v/>
      </c>
      <c r="AI244" s="4395">
        <f>IFERROR(IF((time+time_cap)&lt;AI$2, 0,IF(AND(time+1&gt;=AJ$2, $E244&lt;AJ$2), IF($I244= "I", $J244/($F244-$E244+1), $J244/(($F244*($F244+1)/2)-(($E244-1)*($E244-1+1)/2))*AI$2), 0)+IF(IF(time+1&gt;=AJ$2, $K244/time_cap/(time+1)*AI$2, 0) = 0, $K244/(time_cap),0)),0)</f>
        <v/>
      </c>
      <c r="AJ244" s="4395">
        <f>IFERROR(IF((time+time_cap)&lt;AJ$2, 0,IF(AND(time+1&gt;=AK$2, $E244&lt;AK$2), IF($I244= "I", $J244/($F244-$E244+1), $J244/(($F244*($F244+1)/2)-(($E244-1)*($E244-1+1)/2))*AJ$2), 0)+IF(IF(time+1&gt;=AK$2, $K244/time_cap/(time+1)*AJ$2, 0) = 0, $K244/(time_cap),0)),0)</f>
        <v/>
      </c>
      <c r="AK244" s="4395">
        <f>IFERROR(IF((time+time_cap)&lt;AK$2, 0,IF(AND(time+1&gt;=AL$2, $E244&lt;AL$2), IF($I244= "I", $J244/($F244-$E244+1), $J244/(($F244*($F244+1)/2)-(($E244-1)*($E244-1+1)/2))*AK$2), 0)+IF(IF(time+1&gt;=AL$2, $K244/time_cap/(time+1)*AK$2, 0) = 0, $K244/(time_cap),0)),0)</f>
        <v/>
      </c>
      <c r="AL244" s="4395">
        <f>IFERROR(IF((time+time_cap)&lt;AL$2, 0,IF(AND(time+1&gt;=AM$2, $E244&lt;AM$2), IF($I244= "I", $J244/($F244-$E244+1), $J244/(($F244*($F244+1)/2)-(($E244-1)*($E244-1+1)/2))*AL$2), 0)+IF(IF(time+1&gt;=AM$2, $K244/time_cap/(time+1)*AL$2, 0) = 0, $K244/(time_cap),0)),0)</f>
        <v/>
      </c>
      <c r="AM244" s="4395">
        <f>IFERROR(IF((time+time_cap)&lt;AM$2, 0,IF(AND(time+1&gt;=AN$2, $E244&lt;AN$2), IF($I244= "I", $J244/($F244-$E244+1), $J244/(($F244*($F244+1)/2)-(($E244-1)*($E244-1+1)/2))*AM$2), 0)+IF(IF(time+1&gt;=AN$2, $K244/time_cap/(time+1)*AM$2, 0) = 0, $K244/(time_cap),0)),0)</f>
        <v/>
      </c>
      <c r="AN244" s="4395">
        <f>IFERROR(IF((time+time_cap)&lt;AN$2, 0,IF(AND(time+1&gt;=AO$2, $E244&lt;AO$2), IF($I244= "I", $J244/($F244-$E244+1), $J244/(($F244*($F244+1)/2)-(($E244-1)*($E244-1+1)/2))*AN$2), 0)+IF(IF(time+1&gt;=AO$2, $K244/time_cap/(time+1)*AN$2, 0) = 0, $K244/(time_cap),0)),0)</f>
        <v/>
      </c>
      <c r="AO244" s="4395">
        <f>IFERROR(IF((time+time_cap)&lt;AO$2, 0,IF(AND(time+1&gt;=AP$2, $E244&lt;AP$2), IF($I244= "I", $J244/($F244-$E244+1), $J244/(($F244*($F244+1)/2)-(($E244-1)*($E244-1+1)/2))*AO$2), 0)+IF(IF(time+1&gt;=AP$2, $K244/time_cap/(time+1)*AO$2, 0) = 0, $K244/(time_cap),0)),0)</f>
        <v/>
      </c>
      <c r="AP244" s="4395">
        <f>IFERROR(IF((time+time_cap)&lt;AP$2, 0,IF(AND(time+1&gt;=AQ$2, $E244&lt;AQ$2), IF($I244= "I", $J244/($F244-$E244+1), $J244/(($F244*($F244+1)/2)-(($E244-1)*($E244-1+1)/2))*AP$2), 0)+IF(IF(time+1&gt;=AQ$2, $K244/time_cap/(time+1)*AP$2, 0) = 0, $K244/(time_cap),0)),0)</f>
        <v/>
      </c>
      <c r="AQ244" s="4395">
        <f>IFERROR(IF((time+time_cap)&lt;AQ$2, 0,IF(AND(time+1&gt;=AR$2, $E244&lt;AR$2), IF($I244= "I", $J244/($F244-$E244+1), $J244/(($F244*($F244+1)/2)-(($E244-1)*($E244-1+1)/2))*AQ$2), 0)+IF(IF(time+1&gt;=AR$2, $K244/time_cap/(time+1)*AQ$2, 0) = 0, $K244/(time_cap),0)),0)</f>
        <v/>
      </c>
      <c r="AR244" s="4395">
        <f>IFERROR(IF((time+time_cap)&lt;AR$2, 0,IF(AND(time+1&gt;=AS$2, $E244&lt;AS$2), IF($I244= "I", $J244/($F244-$E244+1), $J244/(($F244*($F244+1)/2)-(($E244-1)*($E244-1+1)/2))*AR$2), 0)+IF(IF(time+1&gt;=AS$2, $K244/time_cap/(time+1)*AR$2, 0) = 0, $K244/(time_cap),0)),0)</f>
        <v/>
      </c>
      <c r="AS244" s="4395">
        <f>IFERROR(IF((time+time_cap)&lt;AS$2, 0,IF(AND(time+1&gt;=AT$2, $E244&lt;AT$2), IF($I244= "I", $J244/($F244-$E244+1), $J244/(($F244*($F244+1)/2)-(($E244-1)*($E244-1+1)/2))*AS$2), 0)+IF(IF(time+1&gt;=AT$2, $K244/time_cap/(time+1)*AS$2, 0) = 0, $K244/(time_cap),0)),0)</f>
        <v/>
      </c>
      <c r="AT244" s="4395">
        <f>IFERROR(IF((time+time_cap)&lt;AT$2, 0,IF(AND(time+1&gt;=AU$2, $E244&lt;AU$2), IF($I244= "I", $J244/($F244-$E244+1), $J244/(($F244*($F244+1)/2)-(($E244-1)*($E244-1+1)/2))*AT$2), 0)+IF(IF(time+1&gt;=AU$2, $K244/time_cap/(time+1)*AT$2, 0) = 0, $K244/(time_cap),0)),0)</f>
        <v/>
      </c>
      <c r="AU244" s="4395">
        <f>IFERROR(IF((time+time_cap)&lt;AU$2, 0,IF(AND(time+1&gt;=AV$2, $E244&lt;AV$2), IF($I244= "I", $J244/($F244-$E244+1), $J244/(($F244*($F244+1)/2)-(($E244-1)*($E244-1+1)/2))*AU$2), 0)+IF(IF(time+1&gt;=AV$2, $K244/time_cap/(time+1)*AU$2, 0) = 0, $K244/(time_cap),0)),0)</f>
        <v/>
      </c>
      <c r="AV244" s="4395">
        <f>IFERROR(IF((time+time_cap)&lt;AV$2, 0,IF(AND(time+1&gt;=AW$2, $E244&lt;AW$2), IF($I244= "I", $J244/($F244-$E244+1), $J244/(($F244*($F244+1)/2)-(($E244-1)*($E244-1+1)/2))*AV$2), 0)+IF(IF(time+1&gt;=AW$2, $K244/time_cap/(time+1)*AV$2, 0) = 0, $K244/(time_cap),0)),0)</f>
        <v/>
      </c>
      <c r="AW244" s="4395">
        <f>IFERROR(IF((time+time_cap)&lt;AW$2, 0,IF(AND(time+1&gt;=AX$2, $E244&lt;AX$2), IF($I244= "I", $J244/($F244-$E244+1), $J244/(($F244*($F244+1)/2)-(($E244-1)*($E244-1+1)/2))*AW$2), 0)+IF(IF(time+1&gt;=AX$2, $K244/time_cap/(time+1)*AW$2, 0) = 0, $K244/(time_cap),0)),0)</f>
        <v/>
      </c>
      <c r="AX244" s="4395">
        <f>IFERROR(IF((time+time_cap)&lt;AX$2, 0,IF(AND(time+1&gt;=AY$2, $E244&lt;AY$2), IF($I244= "I", $J244/($F244-$E244+1), $J244/(($F244*($F244+1)/2)-(($E244-1)*($E244-1+1)/2))*AX$2), 0)+IF(IF(time+1&gt;=AY$2, $K244/time_cap/(time+1)*AX$2, 0) = 0, $K244/(time_cap),0)),0)</f>
        <v/>
      </c>
      <c r="AY244" s="4395">
        <f>IFERROR(IF((time+time_cap)&lt;AY$2, 0,IF(AND(time+1&gt;=AZ$2, $E244&lt;AZ$2), IF($I244= "I", $J244/($F244-$E244+1), $J244/(($F244*($F244+1)/2)-(($E244-1)*($E244-1+1)/2))*AY$2), 0)+IF(IF(time+1&gt;=AZ$2, $K244/time_cap/(time+1)*AY$2, 0) = 0, $K244/(time_cap),0)),0)</f>
        <v/>
      </c>
      <c r="AZ244" s="4395">
        <f>IFERROR(IF((time+time_cap)&lt;AZ$2, 0,IF(AND(time+1&gt;=BA$2, $E244&lt;BA$2), IF($I244= "I", $J244/($F244-$E244+1), $J244/(($F244*($F244+1)/2)-(($E244-1)*($E244-1+1)/2))*AZ$2), 0)+IF(IF(time+1&gt;=BA$2, $K244/time_cap/(time+1)*AZ$2, 0) = 0, $K244/(time_cap),0)),0)</f>
        <v/>
      </c>
      <c r="BA244" s="4395">
        <f>IFERROR(IF((time+time_cap)&lt;BA$2, 0,IF(AND(time+1&gt;=BB$2, $E244&lt;BB$2), IF($I244= "I", $J244/($F244-$E244+1), $J244/(($F244*($F244+1)/2)-(($E244-1)*($E244-1+1)/2))*BA$2), 0)+IF(IF(time+1&gt;=BB$2, $K244/time_cap/(time+1)*BA$2, 0) = 0, $K244/(time_cap),0)),0)</f>
        <v/>
      </c>
      <c r="BB244" s="4395">
        <f>IFERROR(IF((time+time_cap)&lt;BB$2, 0,IF(AND(time+1&gt;=BC$2, $E244&lt;BC$2), IF($I244= "I", $J244/($F244-$E244+1), $J244/(($F244*($F244+1)/2)-(($E244-1)*($E244-1+1)/2))*BB$2), 0)+IF(IF(time+1&gt;=BC$2, $K244/time_cap/(time+1)*BB$2, 0) = 0, $K244/(time_cap),0)),0)</f>
        <v/>
      </c>
      <c r="BC244" s="4395">
        <f>IFERROR(IF((time+time_cap)&lt;BC$2, 0,IF(AND(time+1&gt;=BD$2, $E244&lt;BD$2), IF($I244= "I", $J244/($F244-$E244+1), $J244/(($F244*($F244+1)/2)-(($E244-1)*($E244-1+1)/2))*BC$2), 0)+IF(IF(time+1&gt;=BD$2, $K244/time_cap/(time+1)*BC$2, 0) = 0, $K244/(time_cap),0)),0)</f>
        <v/>
      </c>
      <c r="BD244" s="4395">
        <f>IFERROR(IF((time+time_cap)&lt;BD$2, 0,IF(AND(time+1&gt;=BE$2, $E244&lt;BE$2), IF($I244= "I", $J244/($F244-$E244+1), $J244/(($F244*($F244+1)/2)-(($E244-1)*($E244-1+1)/2))*BD$2), 0)+IF(IF(time+1&gt;=BE$2, $K244/time_cap/(time+1)*BD$2, 0) = 0, $K244/(time_cap),0)),0)</f>
        <v/>
      </c>
      <c r="BE244" s="4395">
        <f>IFERROR(IF((time+time_cap)&lt;BE$2, 0,IF(AND(time+1&gt;=BF$2, $E244&lt;BF$2), IF($I244= "I", $J244/($F244-$E244+1), $J244/(($F244*($F244+1)/2)-(($E244-1)*($E244-1+1)/2))*BE$2), 0)+IF(IF(time+1&gt;=BF$2, $K244/time_cap/(time+1)*BE$2, 0) = 0, $K244/(time_cap),0)),0)</f>
        <v/>
      </c>
      <c r="BF244" s="4395">
        <f>IFERROR(IF((time+time_cap)&lt;BF$2, 0,IF(AND(time+1&gt;=BG$2, $E244&lt;BG$2), IF($I244= "I", $J244/($F244-$E244+1), $J244/(($F244*($F244+1)/2)-(($E244-1)*($E244-1+1)/2))*BF$2), 0)+IF(IF(time+1&gt;=BG$2, $K244/time_cap/(time+1)*BF$2, 0) = 0, $K244/(time_cap),0)),0)</f>
        <v/>
      </c>
      <c r="BG244" s="4395">
        <f>IFERROR(IF((time+time_cap)&lt;BG$2, 0,IF(AND(time+1&gt;=BH$2, $E244&lt;BH$2), IF($I244= "I", $J244/($F244-$E244+1), $J244/(($F244*($F244+1)/2)-(($E244-1)*($E244-1+1)/2))*BG$2), 0)+IF(IF(time+1&gt;=BH$2, $K244/time_cap/(time+1)*BG$2, 0) = 0, $K244/(time_cap),0)),0)</f>
        <v/>
      </c>
      <c r="BH244" s="4395">
        <f>IFERROR(IF((time+time_cap)&lt;BH$2, 0,IF(AND(time+1&gt;=BI$2, $E244&lt;BI$2), IF($I244= "I", $J244/($F244-$E244+1), $J244/(($F244*($F244+1)/2)-(($E244-1)*($E244-1+1)/2))*BH$2), 0)+IF(IF(time+1&gt;=BI$2, $K244/time_cap/(time+1)*BH$2, 0) = 0, $K244/(time_cap),0)),0)</f>
        <v/>
      </c>
      <c r="BI244" s="4395">
        <f>IFERROR(IF((time+time_cap)&lt;BI$2, 0,IF(AND(time+1&gt;=BJ$2, $E244&lt;BJ$2), IF($I244= "I", $J244/($F244-$E244+1), $J244/(($F244*($F244+1)/2)-(($E244-1)*($E244-1+1)/2))*BI$2), 0)+IF(IF(time+1&gt;=BJ$2, $K244/time_cap/(time+1)*BI$2, 0) = 0, $K244/(time_cap),0)),0)</f>
        <v/>
      </c>
      <c r="BJ244" s="4395">
        <f>IFERROR(IF((time+time_cap)&lt;BJ$2, 0,IF(AND(time+1&gt;=BK$2, $E244&lt;BK$2), IF($I244= "I", $J244/($F244-$E244+1), $J244/(($F244*($F244+1)/2)-(($E244-1)*($E244-1+1)/2))*BJ$2), 0)+IF(IF(time+1&gt;=BK$2, $K244/time_cap/(time+1)*BJ$2, 0) = 0, $K244/(time_cap),0)),0)</f>
        <v/>
      </c>
    </row>
    <row r="245">
      <c r="A245" t="inlineStr">
        <is>
          <t>Infrastructure</t>
        </is>
      </c>
      <c r="C245">
        <f>'9.Inputs'!C116</f>
        <v/>
      </c>
      <c r="D245">
        <f>'9.Inputs'!V116</f>
        <v/>
      </c>
      <c r="E245">
        <f>IF('9.Inputs'!AW116&lt;&gt;0,'9.Inputs'!AW116,'9.Inputs'!AV116)</f>
        <v/>
      </c>
      <c r="F245">
        <f>time</f>
        <v/>
      </c>
      <c r="H245" s="4395" t="n"/>
      <c r="I245" s="4395">
        <f>IF(OR(H245="I", G245="I"), "I", IF(OR(H245="E", G245="E"), "E", "D"))</f>
        <v/>
      </c>
      <c r="J245" s="4395">
        <f>((D245/(time_cap+((F245-E245+1)*VLOOKUP(I245,list!$I$48:$K$50,3, FALSE))))*(F245-E245+1)*VLOOKUP(I245,list!$I$48:$K$50,3, FALSE))</f>
        <v/>
      </c>
      <c r="K245" s="4395">
        <f>((D245/(time_cap+((F245-E245+1)*VLOOKUP(I245,list!$I$48:$K$50,3, FALSE))))*time_cap)</f>
        <v/>
      </c>
      <c r="M245" s="4395">
        <f>IFERROR(IF((time+time_cap)&lt;M$2, 0,IF(AND(time+1&gt;=N$2, $E245&lt;N$2), IF($I245= "I", $J245/($F245-$E245+1), $J245/(($F245*($F245+1)/2)-(($E245-1)*($E245-1+1)/2))*M$2), 0)+IF(IF(time+1&gt;=N$2, $K245/time_cap/(time+1)*M$2, 0) = 0, $K245/(time_cap),0)),0)</f>
        <v/>
      </c>
      <c r="N245" s="4395">
        <f>IFERROR(IF((time+time_cap)&lt;N$2, 0,IF(AND(time+1&gt;=O$2, $E245&lt;O$2), IF($I245= "I", $J245/($F245-$E245+1), $J245/(($F245*($F245+1)/2)-(($E245-1)*($E245-1+1)/2))*N$2), 0)+IF(IF(time+1&gt;=O$2, $K245/time_cap/(time+1)*N$2, 0) = 0, $K245/(time_cap),0)),0)</f>
        <v/>
      </c>
      <c r="O245" s="4395">
        <f>IFERROR(IF((time+time_cap)&lt;O$2, 0,IF(AND(time+1&gt;=P$2, $E245&lt;P$2), IF($I245= "I", $J245/($F245-$E245+1), $J245/(($F245*($F245+1)/2)-(($E245-1)*($E245-1+1)/2))*O$2), 0)+IF(IF(time+1&gt;=P$2, $K245/time_cap/(time+1)*O$2, 0) = 0, $K245/(time_cap),0)),0)</f>
        <v/>
      </c>
      <c r="P245" s="4395">
        <f>IFERROR(IF((time+time_cap)&lt;P$2, 0,IF(AND(time+1&gt;=Q$2, $E245&lt;Q$2), IF($I245= "I", $J245/($F245-$E245+1), $J245/(($F245*($F245+1)/2)-(($E245-1)*($E245-1+1)/2))*P$2), 0)+IF(IF(time+1&gt;=Q$2, $K245/time_cap/(time+1)*P$2, 0) = 0, $K245/(time_cap),0)),0)</f>
        <v/>
      </c>
      <c r="Q245" s="4395">
        <f>IFERROR(IF((time+time_cap)&lt;Q$2, 0,IF(AND(time+1&gt;=R$2, $E245&lt;R$2), IF($I245= "I", $J245/($F245-$E245+1), $J245/(($F245*($F245+1)/2)-(($E245-1)*($E245-1+1)/2))*Q$2), 0)+IF(IF(time+1&gt;=R$2, $K245/time_cap/(time+1)*Q$2, 0) = 0, $K245/(time_cap),0)),0)</f>
        <v/>
      </c>
      <c r="R245" s="4395">
        <f>IFERROR(IF((time+time_cap)&lt;R$2, 0,IF(AND(time+1&gt;=S$2, $E245&lt;S$2), IF($I245= "I", $J245/($F245-$E245+1), $J245/(($F245*($F245+1)/2)-(($E245-1)*($E245-1+1)/2))*R$2), 0)+IF(IF(time+1&gt;=S$2, $K245/time_cap/(time+1)*R$2, 0) = 0, $K245/(time_cap),0)),0)</f>
        <v/>
      </c>
      <c r="S245" s="4395">
        <f>IFERROR(IF((time+time_cap)&lt;S$2, 0,IF(AND(time+1&gt;=T$2, $E245&lt;T$2), IF($I245= "I", $J245/($F245-$E245+1), $J245/(($F245*($F245+1)/2)-(($E245-1)*($E245-1+1)/2))*S$2), 0)+IF(IF(time+1&gt;=T$2, $K245/time_cap/(time+1)*S$2, 0) = 0, $K245/(time_cap),0)),0)</f>
        <v/>
      </c>
      <c r="T245" s="4395">
        <f>IFERROR(IF((time+time_cap)&lt;T$2, 0,IF(AND(time+1&gt;=U$2, $E245&lt;U$2), IF($I245= "I", $J245/($F245-$E245+1), $J245/(($F245*($F245+1)/2)-(($E245-1)*($E245-1+1)/2))*T$2), 0)+IF(IF(time+1&gt;=U$2, $K245/time_cap/(time+1)*T$2, 0) = 0, $K245/(time_cap),0)),0)</f>
        <v/>
      </c>
      <c r="U245" s="4395">
        <f>IFERROR(IF((time+time_cap)&lt;U$2, 0,IF(AND(time+1&gt;=V$2, $E245&lt;V$2), IF($I245= "I", $J245/($F245-$E245+1), $J245/(($F245*($F245+1)/2)-(($E245-1)*($E245-1+1)/2))*U$2), 0)+IF(IF(time+1&gt;=V$2, $K245/time_cap/(time+1)*U$2, 0) = 0, $K245/(time_cap),0)),0)</f>
        <v/>
      </c>
      <c r="V245" s="4395">
        <f>IFERROR(IF((time+time_cap)&lt;V$2, 0,IF(AND(time+1&gt;=W$2, $E245&lt;W$2), IF($I245= "I", $J245/($F245-$E245+1), $J245/(($F245*($F245+1)/2)-(($E245-1)*($E245-1+1)/2))*V$2), 0)+IF(IF(time+1&gt;=W$2, $K245/time_cap/(time+1)*V$2, 0) = 0, $K245/(time_cap),0)),0)</f>
        <v/>
      </c>
      <c r="W245" s="4395">
        <f>IFERROR(IF((time+time_cap)&lt;W$2, 0,IF(AND(time+1&gt;=X$2, $E245&lt;X$2), IF($I245= "I", $J245/($F245-$E245+1), $J245/(($F245*($F245+1)/2)-(($E245-1)*($E245-1+1)/2))*W$2), 0)+IF(IF(time+1&gt;=X$2, $K245/time_cap/(time+1)*W$2, 0) = 0, $K245/(time_cap),0)),0)</f>
        <v/>
      </c>
      <c r="X245" s="4395">
        <f>IFERROR(IF((time+time_cap)&lt;X$2, 0,IF(AND(time+1&gt;=Y$2, $E245&lt;Y$2), IF($I245= "I", $J245/($F245-$E245+1), $J245/(($F245*($F245+1)/2)-(($E245-1)*($E245-1+1)/2))*X$2), 0)+IF(IF(time+1&gt;=Y$2, $K245/time_cap/(time+1)*X$2, 0) = 0, $K245/(time_cap),0)),0)</f>
        <v/>
      </c>
      <c r="Y245" s="4395">
        <f>IFERROR(IF((time+time_cap)&lt;Y$2, 0,IF(AND(time+1&gt;=Z$2, $E245&lt;Z$2), IF($I245= "I", $J245/($F245-$E245+1), $J245/(($F245*($F245+1)/2)-(($E245-1)*($E245-1+1)/2))*Y$2), 0)+IF(IF(time+1&gt;=Z$2, $K245/time_cap/(time+1)*Y$2, 0) = 0, $K245/(time_cap),0)),0)</f>
        <v/>
      </c>
      <c r="Z245" s="4395">
        <f>IFERROR(IF((time+time_cap)&lt;Z$2, 0,IF(AND(time+1&gt;=AA$2, $E245&lt;AA$2), IF($I245= "I", $J245/($F245-$E245+1), $J245/(($F245*($F245+1)/2)-(($E245-1)*($E245-1+1)/2))*Z$2), 0)+IF(IF(time+1&gt;=AA$2, $K245/time_cap/(time+1)*Z$2, 0) = 0, $K245/(time_cap),0)),0)</f>
        <v/>
      </c>
      <c r="AA245" s="4395">
        <f>IFERROR(IF((time+time_cap)&lt;AA$2, 0,IF(AND(time+1&gt;=AB$2, $E245&lt;AB$2), IF($I245= "I", $J245/($F245-$E245+1), $J245/(($F245*($F245+1)/2)-(($E245-1)*($E245-1+1)/2))*AA$2), 0)+IF(IF(time+1&gt;=AB$2, $K245/time_cap/(time+1)*AA$2, 0) = 0, $K245/(time_cap),0)),0)</f>
        <v/>
      </c>
      <c r="AB245" s="4395">
        <f>IFERROR(IF((time+time_cap)&lt;AB$2, 0,IF(AND(time+1&gt;=AC$2, $E245&lt;AC$2), IF($I245= "I", $J245/($F245-$E245+1), $J245/(($F245*($F245+1)/2)-(($E245-1)*($E245-1+1)/2))*AB$2), 0)+IF(IF(time+1&gt;=AC$2, $K245/time_cap/(time+1)*AB$2, 0) = 0, $K245/(time_cap),0)),0)</f>
        <v/>
      </c>
      <c r="AC245" s="4395">
        <f>IFERROR(IF((time+time_cap)&lt;AC$2, 0,IF(AND(time+1&gt;=AD$2, $E245&lt;AD$2), IF($I245= "I", $J245/($F245-$E245+1), $J245/(($F245*($F245+1)/2)-(($E245-1)*($E245-1+1)/2))*AC$2), 0)+IF(IF(time+1&gt;=AD$2, $K245/time_cap/(time+1)*AC$2, 0) = 0, $K245/(time_cap),0)),0)</f>
        <v/>
      </c>
      <c r="AD245" s="4395">
        <f>IFERROR(IF((time+time_cap)&lt;AD$2, 0,IF(AND(time+1&gt;=AE$2, $E245&lt;AE$2), IF($I245= "I", $J245/($F245-$E245+1), $J245/(($F245*($F245+1)/2)-(($E245-1)*($E245-1+1)/2))*AD$2), 0)+IF(IF(time+1&gt;=AE$2, $K245/time_cap/(time+1)*AD$2, 0) = 0, $K245/(time_cap),0)),0)</f>
        <v/>
      </c>
      <c r="AE245" s="4395">
        <f>IFERROR(IF((time+time_cap)&lt;AE$2, 0,IF(AND(time+1&gt;=AF$2, $E245&lt;AF$2), IF($I245= "I", $J245/($F245-$E245+1), $J245/(($F245*($F245+1)/2)-(($E245-1)*($E245-1+1)/2))*AE$2), 0)+IF(IF(time+1&gt;=AF$2, $K245/time_cap/(time+1)*AE$2, 0) = 0, $K245/(time_cap),0)),0)</f>
        <v/>
      </c>
      <c r="AF245" s="4395">
        <f>IFERROR(IF((time+time_cap)&lt;AF$2, 0,IF(AND(time+1&gt;=AG$2, $E245&lt;AG$2), IF($I245= "I", $J245/($F245-$E245+1), $J245/(($F245*($F245+1)/2)-(($E245-1)*($E245-1+1)/2))*AF$2), 0)+IF(IF(time+1&gt;=AG$2, $K245/time_cap/(time+1)*AF$2, 0) = 0, $K245/(time_cap),0)),0)</f>
        <v/>
      </c>
      <c r="AG245" s="4395">
        <f>IFERROR(IF((time+time_cap)&lt;AG$2, 0,IF(AND(time+1&gt;=AH$2, $E245&lt;AH$2), IF($I245= "I", $J245/($F245-$E245+1), $J245/(($F245*($F245+1)/2)-(($E245-1)*($E245-1+1)/2))*AG$2), 0)+IF(IF(time+1&gt;=AH$2, $K245/time_cap/(time+1)*AG$2, 0) = 0, $K245/(time_cap),0)),0)</f>
        <v/>
      </c>
      <c r="AH245" s="4395">
        <f>IFERROR(IF((time+time_cap)&lt;AH$2, 0,IF(AND(time+1&gt;=AI$2, $E245&lt;AI$2), IF($I245= "I", $J245/($F245-$E245+1), $J245/(($F245*($F245+1)/2)-(($E245-1)*($E245-1+1)/2))*AH$2), 0)+IF(IF(time+1&gt;=AI$2, $K245/time_cap/(time+1)*AH$2, 0) = 0, $K245/(time_cap),0)),0)</f>
        <v/>
      </c>
      <c r="AI245" s="4395">
        <f>IFERROR(IF((time+time_cap)&lt;AI$2, 0,IF(AND(time+1&gt;=AJ$2, $E245&lt;AJ$2), IF($I245= "I", $J245/($F245-$E245+1), $J245/(($F245*($F245+1)/2)-(($E245-1)*($E245-1+1)/2))*AI$2), 0)+IF(IF(time+1&gt;=AJ$2, $K245/time_cap/(time+1)*AI$2, 0) = 0, $K245/(time_cap),0)),0)</f>
        <v/>
      </c>
      <c r="AJ245" s="4395">
        <f>IFERROR(IF((time+time_cap)&lt;AJ$2, 0,IF(AND(time+1&gt;=AK$2, $E245&lt;AK$2), IF($I245= "I", $J245/($F245-$E245+1), $J245/(($F245*($F245+1)/2)-(($E245-1)*($E245-1+1)/2))*AJ$2), 0)+IF(IF(time+1&gt;=AK$2, $K245/time_cap/(time+1)*AJ$2, 0) = 0, $K245/(time_cap),0)),0)</f>
        <v/>
      </c>
      <c r="AK245" s="4395">
        <f>IFERROR(IF((time+time_cap)&lt;AK$2, 0,IF(AND(time+1&gt;=AL$2, $E245&lt;AL$2), IF($I245= "I", $J245/($F245-$E245+1), $J245/(($F245*($F245+1)/2)-(($E245-1)*($E245-1+1)/2))*AK$2), 0)+IF(IF(time+1&gt;=AL$2, $K245/time_cap/(time+1)*AK$2, 0) = 0, $K245/(time_cap),0)),0)</f>
        <v/>
      </c>
      <c r="AL245" s="4395">
        <f>IFERROR(IF((time+time_cap)&lt;AL$2, 0,IF(AND(time+1&gt;=AM$2, $E245&lt;AM$2), IF($I245= "I", $J245/($F245-$E245+1), $J245/(($F245*($F245+1)/2)-(($E245-1)*($E245-1+1)/2))*AL$2), 0)+IF(IF(time+1&gt;=AM$2, $K245/time_cap/(time+1)*AL$2, 0) = 0, $K245/(time_cap),0)),0)</f>
        <v/>
      </c>
      <c r="AM245" s="4395">
        <f>IFERROR(IF((time+time_cap)&lt;AM$2, 0,IF(AND(time+1&gt;=AN$2, $E245&lt;AN$2), IF($I245= "I", $J245/($F245-$E245+1), $J245/(($F245*($F245+1)/2)-(($E245-1)*($E245-1+1)/2))*AM$2), 0)+IF(IF(time+1&gt;=AN$2, $K245/time_cap/(time+1)*AM$2, 0) = 0, $K245/(time_cap),0)),0)</f>
        <v/>
      </c>
      <c r="AN245" s="4395">
        <f>IFERROR(IF((time+time_cap)&lt;AN$2, 0,IF(AND(time+1&gt;=AO$2, $E245&lt;AO$2), IF($I245= "I", $J245/($F245-$E245+1), $J245/(($F245*($F245+1)/2)-(($E245-1)*($E245-1+1)/2))*AN$2), 0)+IF(IF(time+1&gt;=AO$2, $K245/time_cap/(time+1)*AN$2, 0) = 0, $K245/(time_cap),0)),0)</f>
        <v/>
      </c>
      <c r="AO245" s="4395">
        <f>IFERROR(IF((time+time_cap)&lt;AO$2, 0,IF(AND(time+1&gt;=AP$2, $E245&lt;AP$2), IF($I245= "I", $J245/($F245-$E245+1), $J245/(($F245*($F245+1)/2)-(($E245-1)*($E245-1+1)/2))*AO$2), 0)+IF(IF(time+1&gt;=AP$2, $K245/time_cap/(time+1)*AO$2, 0) = 0, $K245/(time_cap),0)),0)</f>
        <v/>
      </c>
      <c r="AP245" s="4395">
        <f>IFERROR(IF((time+time_cap)&lt;AP$2, 0,IF(AND(time+1&gt;=AQ$2, $E245&lt;AQ$2), IF($I245= "I", $J245/($F245-$E245+1), $J245/(($F245*($F245+1)/2)-(($E245-1)*($E245-1+1)/2))*AP$2), 0)+IF(IF(time+1&gt;=AQ$2, $K245/time_cap/(time+1)*AP$2, 0) = 0, $K245/(time_cap),0)),0)</f>
        <v/>
      </c>
      <c r="AQ245" s="4395">
        <f>IFERROR(IF((time+time_cap)&lt;AQ$2, 0,IF(AND(time+1&gt;=AR$2, $E245&lt;AR$2), IF($I245= "I", $J245/($F245-$E245+1), $J245/(($F245*($F245+1)/2)-(($E245-1)*($E245-1+1)/2))*AQ$2), 0)+IF(IF(time+1&gt;=AR$2, $K245/time_cap/(time+1)*AQ$2, 0) = 0, $K245/(time_cap),0)),0)</f>
        <v/>
      </c>
      <c r="AR245" s="4395">
        <f>IFERROR(IF((time+time_cap)&lt;AR$2, 0,IF(AND(time+1&gt;=AS$2, $E245&lt;AS$2), IF($I245= "I", $J245/($F245-$E245+1), $J245/(($F245*($F245+1)/2)-(($E245-1)*($E245-1+1)/2))*AR$2), 0)+IF(IF(time+1&gt;=AS$2, $K245/time_cap/(time+1)*AR$2, 0) = 0, $K245/(time_cap),0)),0)</f>
        <v/>
      </c>
      <c r="AS245" s="4395">
        <f>IFERROR(IF((time+time_cap)&lt;AS$2, 0,IF(AND(time+1&gt;=AT$2, $E245&lt;AT$2), IF($I245= "I", $J245/($F245-$E245+1), $J245/(($F245*($F245+1)/2)-(($E245-1)*($E245-1+1)/2))*AS$2), 0)+IF(IF(time+1&gt;=AT$2, $K245/time_cap/(time+1)*AS$2, 0) = 0, $K245/(time_cap),0)),0)</f>
        <v/>
      </c>
      <c r="AT245" s="4395">
        <f>IFERROR(IF((time+time_cap)&lt;AT$2, 0,IF(AND(time+1&gt;=AU$2, $E245&lt;AU$2), IF($I245= "I", $J245/($F245-$E245+1), $J245/(($F245*($F245+1)/2)-(($E245-1)*($E245-1+1)/2))*AT$2), 0)+IF(IF(time+1&gt;=AU$2, $K245/time_cap/(time+1)*AT$2, 0) = 0, $K245/(time_cap),0)),0)</f>
        <v/>
      </c>
      <c r="AU245" s="4395">
        <f>IFERROR(IF((time+time_cap)&lt;AU$2, 0,IF(AND(time+1&gt;=AV$2, $E245&lt;AV$2), IF($I245= "I", $J245/($F245-$E245+1), $J245/(($F245*($F245+1)/2)-(($E245-1)*($E245-1+1)/2))*AU$2), 0)+IF(IF(time+1&gt;=AV$2, $K245/time_cap/(time+1)*AU$2, 0) = 0, $K245/(time_cap),0)),0)</f>
        <v/>
      </c>
      <c r="AV245" s="4395">
        <f>IFERROR(IF((time+time_cap)&lt;AV$2, 0,IF(AND(time+1&gt;=AW$2, $E245&lt;AW$2), IF($I245= "I", $J245/($F245-$E245+1), $J245/(($F245*($F245+1)/2)-(($E245-1)*($E245-1+1)/2))*AV$2), 0)+IF(IF(time+1&gt;=AW$2, $K245/time_cap/(time+1)*AV$2, 0) = 0, $K245/(time_cap),0)),0)</f>
        <v/>
      </c>
      <c r="AW245" s="4395">
        <f>IFERROR(IF((time+time_cap)&lt;AW$2, 0,IF(AND(time+1&gt;=AX$2, $E245&lt;AX$2), IF($I245= "I", $J245/($F245-$E245+1), $J245/(($F245*($F245+1)/2)-(($E245-1)*($E245-1+1)/2))*AW$2), 0)+IF(IF(time+1&gt;=AX$2, $K245/time_cap/(time+1)*AW$2, 0) = 0, $K245/(time_cap),0)),0)</f>
        <v/>
      </c>
      <c r="AX245" s="4395">
        <f>IFERROR(IF((time+time_cap)&lt;AX$2, 0,IF(AND(time+1&gt;=AY$2, $E245&lt;AY$2), IF($I245= "I", $J245/($F245-$E245+1), $J245/(($F245*($F245+1)/2)-(($E245-1)*($E245-1+1)/2))*AX$2), 0)+IF(IF(time+1&gt;=AY$2, $K245/time_cap/(time+1)*AX$2, 0) = 0, $K245/(time_cap),0)),0)</f>
        <v/>
      </c>
      <c r="AY245" s="4395">
        <f>IFERROR(IF((time+time_cap)&lt;AY$2, 0,IF(AND(time+1&gt;=AZ$2, $E245&lt;AZ$2), IF($I245= "I", $J245/($F245-$E245+1), $J245/(($F245*($F245+1)/2)-(($E245-1)*($E245-1+1)/2))*AY$2), 0)+IF(IF(time+1&gt;=AZ$2, $K245/time_cap/(time+1)*AY$2, 0) = 0, $K245/(time_cap),0)),0)</f>
        <v/>
      </c>
      <c r="AZ245" s="4395">
        <f>IFERROR(IF((time+time_cap)&lt;AZ$2, 0,IF(AND(time+1&gt;=BA$2, $E245&lt;BA$2), IF($I245= "I", $J245/($F245-$E245+1), $J245/(($F245*($F245+1)/2)-(($E245-1)*($E245-1+1)/2))*AZ$2), 0)+IF(IF(time+1&gt;=BA$2, $K245/time_cap/(time+1)*AZ$2, 0) = 0, $K245/(time_cap),0)),0)</f>
        <v/>
      </c>
      <c r="BA245" s="4395">
        <f>IFERROR(IF((time+time_cap)&lt;BA$2, 0,IF(AND(time+1&gt;=BB$2, $E245&lt;BB$2), IF($I245= "I", $J245/($F245-$E245+1), $J245/(($F245*($F245+1)/2)-(($E245-1)*($E245-1+1)/2))*BA$2), 0)+IF(IF(time+1&gt;=BB$2, $K245/time_cap/(time+1)*BA$2, 0) = 0, $K245/(time_cap),0)),0)</f>
        <v/>
      </c>
      <c r="BB245" s="4395">
        <f>IFERROR(IF((time+time_cap)&lt;BB$2, 0,IF(AND(time+1&gt;=BC$2, $E245&lt;BC$2), IF($I245= "I", $J245/($F245-$E245+1), $J245/(($F245*($F245+1)/2)-(($E245-1)*($E245-1+1)/2))*BB$2), 0)+IF(IF(time+1&gt;=BC$2, $K245/time_cap/(time+1)*BB$2, 0) = 0, $K245/(time_cap),0)),0)</f>
        <v/>
      </c>
      <c r="BC245" s="4395">
        <f>IFERROR(IF((time+time_cap)&lt;BC$2, 0,IF(AND(time+1&gt;=BD$2, $E245&lt;BD$2), IF($I245= "I", $J245/($F245-$E245+1), $J245/(($F245*($F245+1)/2)-(($E245-1)*($E245-1+1)/2))*BC$2), 0)+IF(IF(time+1&gt;=BD$2, $K245/time_cap/(time+1)*BC$2, 0) = 0, $K245/(time_cap),0)),0)</f>
        <v/>
      </c>
      <c r="BD245" s="4395">
        <f>IFERROR(IF((time+time_cap)&lt;BD$2, 0,IF(AND(time+1&gt;=BE$2, $E245&lt;BE$2), IF($I245= "I", $J245/($F245-$E245+1), $J245/(($F245*($F245+1)/2)-(($E245-1)*($E245-1+1)/2))*BD$2), 0)+IF(IF(time+1&gt;=BE$2, $K245/time_cap/(time+1)*BD$2, 0) = 0, $K245/(time_cap),0)),0)</f>
        <v/>
      </c>
      <c r="BE245" s="4395">
        <f>IFERROR(IF((time+time_cap)&lt;BE$2, 0,IF(AND(time+1&gt;=BF$2, $E245&lt;BF$2), IF($I245= "I", $J245/($F245-$E245+1), $J245/(($F245*($F245+1)/2)-(($E245-1)*($E245-1+1)/2))*BE$2), 0)+IF(IF(time+1&gt;=BF$2, $K245/time_cap/(time+1)*BE$2, 0) = 0, $K245/(time_cap),0)),0)</f>
        <v/>
      </c>
      <c r="BF245" s="4395">
        <f>IFERROR(IF((time+time_cap)&lt;BF$2, 0,IF(AND(time+1&gt;=BG$2, $E245&lt;BG$2), IF($I245= "I", $J245/($F245-$E245+1), $J245/(($F245*($F245+1)/2)-(($E245-1)*($E245-1+1)/2))*BF$2), 0)+IF(IF(time+1&gt;=BG$2, $K245/time_cap/(time+1)*BF$2, 0) = 0, $K245/(time_cap),0)),0)</f>
        <v/>
      </c>
      <c r="BG245" s="4395">
        <f>IFERROR(IF((time+time_cap)&lt;BG$2, 0,IF(AND(time+1&gt;=BH$2, $E245&lt;BH$2), IF($I245= "I", $J245/($F245-$E245+1), $J245/(($F245*($F245+1)/2)-(($E245-1)*($E245-1+1)/2))*BG$2), 0)+IF(IF(time+1&gt;=BH$2, $K245/time_cap/(time+1)*BG$2, 0) = 0, $K245/(time_cap),0)),0)</f>
        <v/>
      </c>
      <c r="BH245" s="4395">
        <f>IFERROR(IF((time+time_cap)&lt;BH$2, 0,IF(AND(time+1&gt;=BI$2, $E245&lt;BI$2), IF($I245= "I", $J245/($F245-$E245+1), $J245/(($F245*($F245+1)/2)-(($E245-1)*($E245-1+1)/2))*BH$2), 0)+IF(IF(time+1&gt;=BI$2, $K245/time_cap/(time+1)*BH$2, 0) = 0, $K245/(time_cap),0)),0)</f>
        <v/>
      </c>
      <c r="BI245" s="4395">
        <f>IFERROR(IF((time+time_cap)&lt;BI$2, 0,IF(AND(time+1&gt;=BJ$2, $E245&lt;BJ$2), IF($I245= "I", $J245/($F245-$E245+1), $J245/(($F245*($F245+1)/2)-(($E245-1)*($E245-1+1)/2))*BI$2), 0)+IF(IF(time+1&gt;=BJ$2, $K245/time_cap/(time+1)*BI$2, 0) = 0, $K245/(time_cap),0)),0)</f>
        <v/>
      </c>
      <c r="BJ245" s="4395">
        <f>IFERROR(IF((time+time_cap)&lt;BJ$2, 0,IF(AND(time+1&gt;=BK$2, $E245&lt;BK$2), IF($I245= "I", $J245/($F245-$E245+1), $J245/(($F245*($F245+1)/2)-(($E245-1)*($E245-1+1)/2))*BJ$2), 0)+IF(IF(time+1&gt;=BK$2, $K245/time_cap/(time+1)*BJ$2, 0) = 0, $K245/(time_cap),0)),0)</f>
        <v/>
      </c>
    </row>
    <row r="246">
      <c r="A246" t="inlineStr">
        <is>
          <t>Infrastructure</t>
        </is>
      </c>
      <c r="C246">
        <f>'9.Inputs'!C117</f>
        <v/>
      </c>
      <c r="D246">
        <f>'9.Inputs'!V117</f>
        <v/>
      </c>
      <c r="E246">
        <f>IF('9.Inputs'!AW117&lt;&gt;0,'9.Inputs'!AW117,'9.Inputs'!AV117)</f>
        <v/>
      </c>
      <c r="F246">
        <f>time</f>
        <v/>
      </c>
      <c r="H246" s="4395" t="n"/>
      <c r="I246" s="4395">
        <f>IF(OR(H246="I", G246="I"), "I", IF(OR(H246="E", G246="E"), "E", "D"))</f>
        <v/>
      </c>
      <c r="J246" s="4395">
        <f>((D246/(time_cap+((F246-E246+1)*VLOOKUP(I246,list!$I$48:$K$50,3, FALSE))))*(F246-E246+1)*VLOOKUP(I246,list!$I$48:$K$50,3, FALSE))</f>
        <v/>
      </c>
      <c r="K246" s="4395">
        <f>((D246/(time_cap+((F246-E246+1)*VLOOKUP(I246,list!$I$48:$K$50,3, FALSE))))*time_cap)</f>
        <v/>
      </c>
      <c r="M246" s="4395">
        <f>IFERROR(IF((time+time_cap)&lt;M$2, 0,IF(AND(time+1&gt;=N$2, $E246&lt;N$2), IF($I246= "I", $J246/($F246-$E246+1), $J246/(($F246*($F246+1)/2)-(($E246-1)*($E246-1+1)/2))*M$2), 0)+IF(IF(time+1&gt;=N$2, $K246/time_cap/(time+1)*M$2, 0) = 0, $K246/(time_cap),0)),0)</f>
        <v/>
      </c>
      <c r="N246" s="4395">
        <f>IFERROR(IF((time+time_cap)&lt;N$2, 0,IF(AND(time+1&gt;=O$2, $E246&lt;O$2), IF($I246= "I", $J246/($F246-$E246+1), $J246/(($F246*($F246+1)/2)-(($E246-1)*($E246-1+1)/2))*N$2), 0)+IF(IF(time+1&gt;=O$2, $K246/time_cap/(time+1)*N$2, 0) = 0, $K246/(time_cap),0)),0)</f>
        <v/>
      </c>
      <c r="O246" s="4395">
        <f>IFERROR(IF((time+time_cap)&lt;O$2, 0,IF(AND(time+1&gt;=P$2, $E246&lt;P$2), IF($I246= "I", $J246/($F246-$E246+1), $J246/(($F246*($F246+1)/2)-(($E246-1)*($E246-1+1)/2))*O$2), 0)+IF(IF(time+1&gt;=P$2, $K246/time_cap/(time+1)*O$2, 0) = 0, $K246/(time_cap),0)),0)</f>
        <v/>
      </c>
      <c r="P246" s="4395">
        <f>IFERROR(IF((time+time_cap)&lt;P$2, 0,IF(AND(time+1&gt;=Q$2, $E246&lt;Q$2), IF($I246= "I", $J246/($F246-$E246+1), $J246/(($F246*($F246+1)/2)-(($E246-1)*($E246-1+1)/2))*P$2), 0)+IF(IF(time+1&gt;=Q$2, $K246/time_cap/(time+1)*P$2, 0) = 0, $K246/(time_cap),0)),0)</f>
        <v/>
      </c>
      <c r="Q246" s="4395">
        <f>IFERROR(IF((time+time_cap)&lt;Q$2, 0,IF(AND(time+1&gt;=R$2, $E246&lt;R$2), IF($I246= "I", $J246/($F246-$E246+1), $J246/(($F246*($F246+1)/2)-(($E246-1)*($E246-1+1)/2))*Q$2), 0)+IF(IF(time+1&gt;=R$2, $K246/time_cap/(time+1)*Q$2, 0) = 0, $K246/(time_cap),0)),0)</f>
        <v/>
      </c>
      <c r="R246" s="4395">
        <f>IFERROR(IF((time+time_cap)&lt;R$2, 0,IF(AND(time+1&gt;=S$2, $E246&lt;S$2), IF($I246= "I", $J246/($F246-$E246+1), $J246/(($F246*($F246+1)/2)-(($E246-1)*($E246-1+1)/2))*R$2), 0)+IF(IF(time+1&gt;=S$2, $K246/time_cap/(time+1)*R$2, 0) = 0, $K246/(time_cap),0)),0)</f>
        <v/>
      </c>
      <c r="S246" s="4395">
        <f>IFERROR(IF((time+time_cap)&lt;S$2, 0,IF(AND(time+1&gt;=T$2, $E246&lt;T$2), IF($I246= "I", $J246/($F246-$E246+1), $J246/(($F246*($F246+1)/2)-(($E246-1)*($E246-1+1)/2))*S$2), 0)+IF(IF(time+1&gt;=T$2, $K246/time_cap/(time+1)*S$2, 0) = 0, $K246/(time_cap),0)),0)</f>
        <v/>
      </c>
      <c r="T246" s="4395">
        <f>IFERROR(IF((time+time_cap)&lt;T$2, 0,IF(AND(time+1&gt;=U$2, $E246&lt;U$2), IF($I246= "I", $J246/($F246-$E246+1), $J246/(($F246*($F246+1)/2)-(($E246-1)*($E246-1+1)/2))*T$2), 0)+IF(IF(time+1&gt;=U$2, $K246/time_cap/(time+1)*T$2, 0) = 0, $K246/(time_cap),0)),0)</f>
        <v/>
      </c>
      <c r="U246" s="4395">
        <f>IFERROR(IF((time+time_cap)&lt;U$2, 0,IF(AND(time+1&gt;=V$2, $E246&lt;V$2), IF($I246= "I", $J246/($F246-$E246+1), $J246/(($F246*($F246+1)/2)-(($E246-1)*($E246-1+1)/2))*U$2), 0)+IF(IF(time+1&gt;=V$2, $K246/time_cap/(time+1)*U$2, 0) = 0, $K246/(time_cap),0)),0)</f>
        <v/>
      </c>
      <c r="V246" s="4395">
        <f>IFERROR(IF((time+time_cap)&lt;V$2, 0,IF(AND(time+1&gt;=W$2, $E246&lt;W$2), IF($I246= "I", $J246/($F246-$E246+1), $J246/(($F246*($F246+1)/2)-(($E246-1)*($E246-1+1)/2))*V$2), 0)+IF(IF(time+1&gt;=W$2, $K246/time_cap/(time+1)*V$2, 0) = 0, $K246/(time_cap),0)),0)</f>
        <v/>
      </c>
      <c r="W246" s="4395">
        <f>IFERROR(IF((time+time_cap)&lt;W$2, 0,IF(AND(time+1&gt;=X$2, $E246&lt;X$2), IF($I246= "I", $J246/($F246-$E246+1), $J246/(($F246*($F246+1)/2)-(($E246-1)*($E246-1+1)/2))*W$2), 0)+IF(IF(time+1&gt;=X$2, $K246/time_cap/(time+1)*W$2, 0) = 0, $K246/(time_cap),0)),0)</f>
        <v/>
      </c>
      <c r="X246" s="4395">
        <f>IFERROR(IF((time+time_cap)&lt;X$2, 0,IF(AND(time+1&gt;=Y$2, $E246&lt;Y$2), IF($I246= "I", $J246/($F246-$E246+1), $J246/(($F246*($F246+1)/2)-(($E246-1)*($E246-1+1)/2))*X$2), 0)+IF(IF(time+1&gt;=Y$2, $K246/time_cap/(time+1)*X$2, 0) = 0, $K246/(time_cap),0)),0)</f>
        <v/>
      </c>
      <c r="Y246" s="4395">
        <f>IFERROR(IF((time+time_cap)&lt;Y$2, 0,IF(AND(time+1&gt;=Z$2, $E246&lt;Z$2), IF($I246= "I", $J246/($F246-$E246+1), $J246/(($F246*($F246+1)/2)-(($E246-1)*($E246-1+1)/2))*Y$2), 0)+IF(IF(time+1&gt;=Z$2, $K246/time_cap/(time+1)*Y$2, 0) = 0, $K246/(time_cap),0)),0)</f>
        <v/>
      </c>
      <c r="Z246" s="4395">
        <f>IFERROR(IF((time+time_cap)&lt;Z$2, 0,IF(AND(time+1&gt;=AA$2, $E246&lt;AA$2), IF($I246= "I", $J246/($F246-$E246+1), $J246/(($F246*($F246+1)/2)-(($E246-1)*($E246-1+1)/2))*Z$2), 0)+IF(IF(time+1&gt;=AA$2, $K246/time_cap/(time+1)*Z$2, 0) = 0, $K246/(time_cap),0)),0)</f>
        <v/>
      </c>
      <c r="AA246" s="4395">
        <f>IFERROR(IF((time+time_cap)&lt;AA$2, 0,IF(AND(time+1&gt;=AB$2, $E246&lt;AB$2), IF($I246= "I", $J246/($F246-$E246+1), $J246/(($F246*($F246+1)/2)-(($E246-1)*($E246-1+1)/2))*AA$2), 0)+IF(IF(time+1&gt;=AB$2, $K246/time_cap/(time+1)*AA$2, 0) = 0, $K246/(time_cap),0)),0)</f>
        <v/>
      </c>
      <c r="AB246" s="4395">
        <f>IFERROR(IF((time+time_cap)&lt;AB$2, 0,IF(AND(time+1&gt;=AC$2, $E246&lt;AC$2), IF($I246= "I", $J246/($F246-$E246+1), $J246/(($F246*($F246+1)/2)-(($E246-1)*($E246-1+1)/2))*AB$2), 0)+IF(IF(time+1&gt;=AC$2, $K246/time_cap/(time+1)*AB$2, 0) = 0, $K246/(time_cap),0)),0)</f>
        <v/>
      </c>
      <c r="AC246" s="4395">
        <f>IFERROR(IF((time+time_cap)&lt;AC$2, 0,IF(AND(time+1&gt;=AD$2, $E246&lt;AD$2), IF($I246= "I", $J246/($F246-$E246+1), $J246/(($F246*($F246+1)/2)-(($E246-1)*($E246-1+1)/2))*AC$2), 0)+IF(IF(time+1&gt;=AD$2, $K246/time_cap/(time+1)*AC$2, 0) = 0, $K246/(time_cap),0)),0)</f>
        <v/>
      </c>
      <c r="AD246" s="4395">
        <f>IFERROR(IF((time+time_cap)&lt;AD$2, 0,IF(AND(time+1&gt;=AE$2, $E246&lt;AE$2), IF($I246= "I", $J246/($F246-$E246+1), $J246/(($F246*($F246+1)/2)-(($E246-1)*($E246-1+1)/2))*AD$2), 0)+IF(IF(time+1&gt;=AE$2, $K246/time_cap/(time+1)*AD$2, 0) = 0, $K246/(time_cap),0)),0)</f>
        <v/>
      </c>
      <c r="AE246" s="4395">
        <f>IFERROR(IF((time+time_cap)&lt;AE$2, 0,IF(AND(time+1&gt;=AF$2, $E246&lt;AF$2), IF($I246= "I", $J246/($F246-$E246+1), $J246/(($F246*($F246+1)/2)-(($E246-1)*($E246-1+1)/2))*AE$2), 0)+IF(IF(time+1&gt;=AF$2, $K246/time_cap/(time+1)*AE$2, 0) = 0, $K246/(time_cap),0)),0)</f>
        <v/>
      </c>
      <c r="AF246" s="4395">
        <f>IFERROR(IF((time+time_cap)&lt;AF$2, 0,IF(AND(time+1&gt;=AG$2, $E246&lt;AG$2), IF($I246= "I", $J246/($F246-$E246+1), $J246/(($F246*($F246+1)/2)-(($E246-1)*($E246-1+1)/2))*AF$2), 0)+IF(IF(time+1&gt;=AG$2, $K246/time_cap/(time+1)*AF$2, 0) = 0, $K246/(time_cap),0)),0)</f>
        <v/>
      </c>
      <c r="AG246" s="4395">
        <f>IFERROR(IF((time+time_cap)&lt;AG$2, 0,IF(AND(time+1&gt;=AH$2, $E246&lt;AH$2), IF($I246= "I", $J246/($F246-$E246+1), $J246/(($F246*($F246+1)/2)-(($E246-1)*($E246-1+1)/2))*AG$2), 0)+IF(IF(time+1&gt;=AH$2, $K246/time_cap/(time+1)*AG$2, 0) = 0, $K246/(time_cap),0)),0)</f>
        <v/>
      </c>
      <c r="AH246" s="4395">
        <f>IFERROR(IF((time+time_cap)&lt;AH$2, 0,IF(AND(time+1&gt;=AI$2, $E246&lt;AI$2), IF($I246= "I", $J246/($F246-$E246+1), $J246/(($F246*($F246+1)/2)-(($E246-1)*($E246-1+1)/2))*AH$2), 0)+IF(IF(time+1&gt;=AI$2, $K246/time_cap/(time+1)*AH$2, 0) = 0, $K246/(time_cap),0)),0)</f>
        <v/>
      </c>
      <c r="AI246" s="4395">
        <f>IFERROR(IF((time+time_cap)&lt;AI$2, 0,IF(AND(time+1&gt;=AJ$2, $E246&lt;AJ$2), IF($I246= "I", $J246/($F246-$E246+1), $J246/(($F246*($F246+1)/2)-(($E246-1)*($E246-1+1)/2))*AI$2), 0)+IF(IF(time+1&gt;=AJ$2, $K246/time_cap/(time+1)*AI$2, 0) = 0, $K246/(time_cap),0)),0)</f>
        <v/>
      </c>
      <c r="AJ246" s="4395">
        <f>IFERROR(IF((time+time_cap)&lt;AJ$2, 0,IF(AND(time+1&gt;=AK$2, $E246&lt;AK$2), IF($I246= "I", $J246/($F246-$E246+1), $J246/(($F246*($F246+1)/2)-(($E246-1)*($E246-1+1)/2))*AJ$2), 0)+IF(IF(time+1&gt;=AK$2, $K246/time_cap/(time+1)*AJ$2, 0) = 0, $K246/(time_cap),0)),0)</f>
        <v/>
      </c>
      <c r="AK246" s="4395">
        <f>IFERROR(IF((time+time_cap)&lt;AK$2, 0,IF(AND(time+1&gt;=AL$2, $E246&lt;AL$2), IF($I246= "I", $J246/($F246-$E246+1), $J246/(($F246*($F246+1)/2)-(($E246-1)*($E246-1+1)/2))*AK$2), 0)+IF(IF(time+1&gt;=AL$2, $K246/time_cap/(time+1)*AK$2, 0) = 0, $K246/(time_cap),0)),0)</f>
        <v/>
      </c>
      <c r="AL246" s="4395">
        <f>IFERROR(IF((time+time_cap)&lt;AL$2, 0,IF(AND(time+1&gt;=AM$2, $E246&lt;AM$2), IF($I246= "I", $J246/($F246-$E246+1), $J246/(($F246*($F246+1)/2)-(($E246-1)*($E246-1+1)/2))*AL$2), 0)+IF(IF(time+1&gt;=AM$2, $K246/time_cap/(time+1)*AL$2, 0) = 0, $K246/(time_cap),0)),0)</f>
        <v/>
      </c>
      <c r="AM246" s="4395">
        <f>IFERROR(IF((time+time_cap)&lt;AM$2, 0,IF(AND(time+1&gt;=AN$2, $E246&lt;AN$2), IF($I246= "I", $J246/($F246-$E246+1), $J246/(($F246*($F246+1)/2)-(($E246-1)*($E246-1+1)/2))*AM$2), 0)+IF(IF(time+1&gt;=AN$2, $K246/time_cap/(time+1)*AM$2, 0) = 0, $K246/(time_cap),0)),0)</f>
        <v/>
      </c>
      <c r="AN246" s="4395">
        <f>IFERROR(IF((time+time_cap)&lt;AN$2, 0,IF(AND(time+1&gt;=AO$2, $E246&lt;AO$2), IF($I246= "I", $J246/($F246-$E246+1), $J246/(($F246*($F246+1)/2)-(($E246-1)*($E246-1+1)/2))*AN$2), 0)+IF(IF(time+1&gt;=AO$2, $K246/time_cap/(time+1)*AN$2, 0) = 0, $K246/(time_cap),0)),0)</f>
        <v/>
      </c>
      <c r="AO246" s="4395">
        <f>IFERROR(IF((time+time_cap)&lt;AO$2, 0,IF(AND(time+1&gt;=AP$2, $E246&lt;AP$2), IF($I246= "I", $J246/($F246-$E246+1), $J246/(($F246*($F246+1)/2)-(($E246-1)*($E246-1+1)/2))*AO$2), 0)+IF(IF(time+1&gt;=AP$2, $K246/time_cap/(time+1)*AO$2, 0) = 0, $K246/(time_cap),0)),0)</f>
        <v/>
      </c>
      <c r="AP246" s="4395">
        <f>IFERROR(IF((time+time_cap)&lt;AP$2, 0,IF(AND(time+1&gt;=AQ$2, $E246&lt;AQ$2), IF($I246= "I", $J246/($F246-$E246+1), $J246/(($F246*($F246+1)/2)-(($E246-1)*($E246-1+1)/2))*AP$2), 0)+IF(IF(time+1&gt;=AQ$2, $K246/time_cap/(time+1)*AP$2, 0) = 0, $K246/(time_cap),0)),0)</f>
        <v/>
      </c>
      <c r="AQ246" s="4395">
        <f>IFERROR(IF((time+time_cap)&lt;AQ$2, 0,IF(AND(time+1&gt;=AR$2, $E246&lt;AR$2), IF($I246= "I", $J246/($F246-$E246+1), $J246/(($F246*($F246+1)/2)-(($E246-1)*($E246-1+1)/2))*AQ$2), 0)+IF(IF(time+1&gt;=AR$2, $K246/time_cap/(time+1)*AQ$2, 0) = 0, $K246/(time_cap),0)),0)</f>
        <v/>
      </c>
      <c r="AR246" s="4395">
        <f>IFERROR(IF((time+time_cap)&lt;AR$2, 0,IF(AND(time+1&gt;=AS$2, $E246&lt;AS$2), IF($I246= "I", $J246/($F246-$E246+1), $J246/(($F246*($F246+1)/2)-(($E246-1)*($E246-1+1)/2))*AR$2), 0)+IF(IF(time+1&gt;=AS$2, $K246/time_cap/(time+1)*AR$2, 0) = 0, $K246/(time_cap),0)),0)</f>
        <v/>
      </c>
      <c r="AS246" s="4395">
        <f>IFERROR(IF((time+time_cap)&lt;AS$2, 0,IF(AND(time+1&gt;=AT$2, $E246&lt;AT$2), IF($I246= "I", $J246/($F246-$E246+1), $J246/(($F246*($F246+1)/2)-(($E246-1)*($E246-1+1)/2))*AS$2), 0)+IF(IF(time+1&gt;=AT$2, $K246/time_cap/(time+1)*AS$2, 0) = 0, $K246/(time_cap),0)),0)</f>
        <v/>
      </c>
      <c r="AT246" s="4395">
        <f>IFERROR(IF((time+time_cap)&lt;AT$2, 0,IF(AND(time+1&gt;=AU$2, $E246&lt;AU$2), IF($I246= "I", $J246/($F246-$E246+1), $J246/(($F246*($F246+1)/2)-(($E246-1)*($E246-1+1)/2))*AT$2), 0)+IF(IF(time+1&gt;=AU$2, $K246/time_cap/(time+1)*AT$2, 0) = 0, $K246/(time_cap),0)),0)</f>
        <v/>
      </c>
      <c r="AU246" s="4395">
        <f>IFERROR(IF((time+time_cap)&lt;AU$2, 0,IF(AND(time+1&gt;=AV$2, $E246&lt;AV$2), IF($I246= "I", $J246/($F246-$E246+1), $J246/(($F246*($F246+1)/2)-(($E246-1)*($E246-1+1)/2))*AU$2), 0)+IF(IF(time+1&gt;=AV$2, $K246/time_cap/(time+1)*AU$2, 0) = 0, $K246/(time_cap),0)),0)</f>
        <v/>
      </c>
      <c r="AV246" s="4395">
        <f>IFERROR(IF((time+time_cap)&lt;AV$2, 0,IF(AND(time+1&gt;=AW$2, $E246&lt;AW$2), IF($I246= "I", $J246/($F246-$E246+1), $J246/(($F246*($F246+1)/2)-(($E246-1)*($E246-1+1)/2))*AV$2), 0)+IF(IF(time+1&gt;=AW$2, $K246/time_cap/(time+1)*AV$2, 0) = 0, $K246/(time_cap),0)),0)</f>
        <v/>
      </c>
      <c r="AW246" s="4395">
        <f>IFERROR(IF((time+time_cap)&lt;AW$2, 0,IF(AND(time+1&gt;=AX$2, $E246&lt;AX$2), IF($I246= "I", $J246/($F246-$E246+1), $J246/(($F246*($F246+1)/2)-(($E246-1)*($E246-1+1)/2))*AW$2), 0)+IF(IF(time+1&gt;=AX$2, $K246/time_cap/(time+1)*AW$2, 0) = 0, $K246/(time_cap),0)),0)</f>
        <v/>
      </c>
      <c r="AX246" s="4395">
        <f>IFERROR(IF((time+time_cap)&lt;AX$2, 0,IF(AND(time+1&gt;=AY$2, $E246&lt;AY$2), IF($I246= "I", $J246/($F246-$E246+1), $J246/(($F246*($F246+1)/2)-(($E246-1)*($E246-1+1)/2))*AX$2), 0)+IF(IF(time+1&gt;=AY$2, $K246/time_cap/(time+1)*AX$2, 0) = 0, $K246/(time_cap),0)),0)</f>
        <v/>
      </c>
      <c r="AY246" s="4395">
        <f>IFERROR(IF((time+time_cap)&lt;AY$2, 0,IF(AND(time+1&gt;=AZ$2, $E246&lt;AZ$2), IF($I246= "I", $J246/($F246-$E246+1), $J246/(($F246*($F246+1)/2)-(($E246-1)*($E246-1+1)/2))*AY$2), 0)+IF(IF(time+1&gt;=AZ$2, $K246/time_cap/(time+1)*AY$2, 0) = 0, $K246/(time_cap),0)),0)</f>
        <v/>
      </c>
      <c r="AZ246" s="4395">
        <f>IFERROR(IF((time+time_cap)&lt;AZ$2, 0,IF(AND(time+1&gt;=BA$2, $E246&lt;BA$2), IF($I246= "I", $J246/($F246-$E246+1), $J246/(($F246*($F246+1)/2)-(($E246-1)*($E246-1+1)/2))*AZ$2), 0)+IF(IF(time+1&gt;=BA$2, $K246/time_cap/(time+1)*AZ$2, 0) = 0, $K246/(time_cap),0)),0)</f>
        <v/>
      </c>
      <c r="BA246" s="4395">
        <f>IFERROR(IF((time+time_cap)&lt;BA$2, 0,IF(AND(time+1&gt;=BB$2, $E246&lt;BB$2), IF($I246= "I", $J246/($F246-$E246+1), $J246/(($F246*($F246+1)/2)-(($E246-1)*($E246-1+1)/2))*BA$2), 0)+IF(IF(time+1&gt;=BB$2, $K246/time_cap/(time+1)*BA$2, 0) = 0, $K246/(time_cap),0)),0)</f>
        <v/>
      </c>
      <c r="BB246" s="4395">
        <f>IFERROR(IF((time+time_cap)&lt;BB$2, 0,IF(AND(time+1&gt;=BC$2, $E246&lt;BC$2), IF($I246= "I", $J246/($F246-$E246+1), $J246/(($F246*($F246+1)/2)-(($E246-1)*($E246-1+1)/2))*BB$2), 0)+IF(IF(time+1&gt;=BC$2, $K246/time_cap/(time+1)*BB$2, 0) = 0, $K246/(time_cap),0)),0)</f>
        <v/>
      </c>
      <c r="BC246" s="4395">
        <f>IFERROR(IF((time+time_cap)&lt;BC$2, 0,IF(AND(time+1&gt;=BD$2, $E246&lt;BD$2), IF($I246= "I", $J246/($F246-$E246+1), $J246/(($F246*($F246+1)/2)-(($E246-1)*($E246-1+1)/2))*BC$2), 0)+IF(IF(time+1&gt;=BD$2, $K246/time_cap/(time+1)*BC$2, 0) = 0, $K246/(time_cap),0)),0)</f>
        <v/>
      </c>
      <c r="BD246" s="4395">
        <f>IFERROR(IF((time+time_cap)&lt;BD$2, 0,IF(AND(time+1&gt;=BE$2, $E246&lt;BE$2), IF($I246= "I", $J246/($F246-$E246+1), $J246/(($F246*($F246+1)/2)-(($E246-1)*($E246-1+1)/2))*BD$2), 0)+IF(IF(time+1&gt;=BE$2, $K246/time_cap/(time+1)*BD$2, 0) = 0, $K246/(time_cap),0)),0)</f>
        <v/>
      </c>
      <c r="BE246" s="4395">
        <f>IFERROR(IF((time+time_cap)&lt;BE$2, 0,IF(AND(time+1&gt;=BF$2, $E246&lt;BF$2), IF($I246= "I", $J246/($F246-$E246+1), $J246/(($F246*($F246+1)/2)-(($E246-1)*($E246-1+1)/2))*BE$2), 0)+IF(IF(time+1&gt;=BF$2, $K246/time_cap/(time+1)*BE$2, 0) = 0, $K246/(time_cap),0)),0)</f>
        <v/>
      </c>
      <c r="BF246" s="4395">
        <f>IFERROR(IF((time+time_cap)&lt;BF$2, 0,IF(AND(time+1&gt;=BG$2, $E246&lt;BG$2), IF($I246= "I", $J246/($F246-$E246+1), $J246/(($F246*($F246+1)/2)-(($E246-1)*($E246-1+1)/2))*BF$2), 0)+IF(IF(time+1&gt;=BG$2, $K246/time_cap/(time+1)*BF$2, 0) = 0, $K246/(time_cap),0)),0)</f>
        <v/>
      </c>
      <c r="BG246" s="4395">
        <f>IFERROR(IF((time+time_cap)&lt;BG$2, 0,IF(AND(time+1&gt;=BH$2, $E246&lt;BH$2), IF($I246= "I", $J246/($F246-$E246+1), $J246/(($F246*($F246+1)/2)-(($E246-1)*($E246-1+1)/2))*BG$2), 0)+IF(IF(time+1&gt;=BH$2, $K246/time_cap/(time+1)*BG$2, 0) = 0, $K246/(time_cap),0)),0)</f>
        <v/>
      </c>
      <c r="BH246" s="4395">
        <f>IFERROR(IF((time+time_cap)&lt;BH$2, 0,IF(AND(time+1&gt;=BI$2, $E246&lt;BI$2), IF($I246= "I", $J246/($F246-$E246+1), $J246/(($F246*($F246+1)/2)-(($E246-1)*($E246-1+1)/2))*BH$2), 0)+IF(IF(time+1&gt;=BI$2, $K246/time_cap/(time+1)*BH$2, 0) = 0, $K246/(time_cap),0)),0)</f>
        <v/>
      </c>
      <c r="BI246" s="4395">
        <f>IFERROR(IF((time+time_cap)&lt;BI$2, 0,IF(AND(time+1&gt;=BJ$2, $E246&lt;BJ$2), IF($I246= "I", $J246/($F246-$E246+1), $J246/(($F246*($F246+1)/2)-(($E246-1)*($E246-1+1)/2))*BI$2), 0)+IF(IF(time+1&gt;=BJ$2, $K246/time_cap/(time+1)*BI$2, 0) = 0, $K246/(time_cap),0)),0)</f>
        <v/>
      </c>
      <c r="BJ246" s="4395">
        <f>IFERROR(IF((time+time_cap)&lt;BJ$2, 0,IF(AND(time+1&gt;=BK$2, $E246&lt;BK$2), IF($I246= "I", $J246/($F246-$E246+1), $J246/(($F246*($F246+1)/2)-(($E246-1)*($E246-1+1)/2))*BJ$2), 0)+IF(IF(time+1&gt;=BK$2, $K246/time_cap/(time+1)*BJ$2, 0) = 0, $K246/(time_cap),0)),0)</f>
        <v/>
      </c>
    </row>
    <row r="247">
      <c r="A247" t="inlineStr">
        <is>
          <t>Infrastructure</t>
        </is>
      </c>
      <c r="C247">
        <f>'9.Inputs'!C118</f>
        <v/>
      </c>
      <c r="D247">
        <f>'9.Inputs'!V118</f>
        <v/>
      </c>
      <c r="E247">
        <f>IF('9.Inputs'!AW118&lt;&gt;0,'9.Inputs'!AW118,'9.Inputs'!AV118)</f>
        <v/>
      </c>
      <c r="F247">
        <f>time</f>
        <v/>
      </c>
      <c r="H247" s="4395" t="n"/>
      <c r="I247" s="4395">
        <f>IF(OR(H247="I", G247="I"), "I", IF(OR(H247="E", G247="E"), "E", "D"))</f>
        <v/>
      </c>
      <c r="J247" s="4395">
        <f>((D247/(time_cap+((F247-E247+1)*VLOOKUP(I247,list!$I$48:$K$50,3, FALSE))))*(F247-E247+1)*VLOOKUP(I247,list!$I$48:$K$50,3, FALSE))</f>
        <v/>
      </c>
      <c r="K247" s="4395">
        <f>((D247/(time_cap+((F247-E247+1)*VLOOKUP(I247,list!$I$48:$K$50,3, FALSE))))*time_cap)</f>
        <v/>
      </c>
      <c r="M247" s="4395">
        <f>IFERROR(IF((time+time_cap)&lt;M$2, 0,IF(AND(time+1&gt;=N$2, $E247&lt;N$2), IF($I247= "I", $J247/($F247-$E247+1), $J247/(($F247*($F247+1)/2)-(($E247-1)*($E247-1+1)/2))*M$2), 0)+IF(IF(time+1&gt;=N$2, $K247/time_cap/(time+1)*M$2, 0) = 0, $K247/(time_cap),0)),0)</f>
        <v/>
      </c>
      <c r="N247" s="4395">
        <f>IFERROR(IF((time+time_cap)&lt;N$2, 0,IF(AND(time+1&gt;=O$2, $E247&lt;O$2), IF($I247= "I", $J247/($F247-$E247+1), $J247/(($F247*($F247+1)/2)-(($E247-1)*($E247-1+1)/2))*N$2), 0)+IF(IF(time+1&gt;=O$2, $K247/time_cap/(time+1)*N$2, 0) = 0, $K247/(time_cap),0)),0)</f>
        <v/>
      </c>
      <c r="O247" s="4395">
        <f>IFERROR(IF((time+time_cap)&lt;O$2, 0,IF(AND(time+1&gt;=P$2, $E247&lt;P$2), IF($I247= "I", $J247/($F247-$E247+1), $J247/(($F247*($F247+1)/2)-(($E247-1)*($E247-1+1)/2))*O$2), 0)+IF(IF(time+1&gt;=P$2, $K247/time_cap/(time+1)*O$2, 0) = 0, $K247/(time_cap),0)),0)</f>
        <v/>
      </c>
      <c r="P247" s="4395">
        <f>IFERROR(IF((time+time_cap)&lt;P$2, 0,IF(AND(time+1&gt;=Q$2, $E247&lt;Q$2), IF($I247= "I", $J247/($F247-$E247+1), $J247/(($F247*($F247+1)/2)-(($E247-1)*($E247-1+1)/2))*P$2), 0)+IF(IF(time+1&gt;=Q$2, $K247/time_cap/(time+1)*P$2, 0) = 0, $K247/(time_cap),0)),0)</f>
        <v/>
      </c>
      <c r="Q247" s="4395">
        <f>IFERROR(IF((time+time_cap)&lt;Q$2, 0,IF(AND(time+1&gt;=R$2, $E247&lt;R$2), IF($I247= "I", $J247/($F247-$E247+1), $J247/(($F247*($F247+1)/2)-(($E247-1)*($E247-1+1)/2))*Q$2), 0)+IF(IF(time+1&gt;=R$2, $K247/time_cap/(time+1)*Q$2, 0) = 0, $K247/(time_cap),0)),0)</f>
        <v/>
      </c>
      <c r="R247" s="4395">
        <f>IFERROR(IF((time+time_cap)&lt;R$2, 0,IF(AND(time+1&gt;=S$2, $E247&lt;S$2), IF($I247= "I", $J247/($F247-$E247+1), $J247/(($F247*($F247+1)/2)-(($E247-1)*($E247-1+1)/2))*R$2), 0)+IF(IF(time+1&gt;=S$2, $K247/time_cap/(time+1)*R$2, 0) = 0, $K247/(time_cap),0)),0)</f>
        <v/>
      </c>
      <c r="S247" s="4395">
        <f>IFERROR(IF((time+time_cap)&lt;S$2, 0,IF(AND(time+1&gt;=T$2, $E247&lt;T$2), IF($I247= "I", $J247/($F247-$E247+1), $J247/(($F247*($F247+1)/2)-(($E247-1)*($E247-1+1)/2))*S$2), 0)+IF(IF(time+1&gt;=T$2, $K247/time_cap/(time+1)*S$2, 0) = 0, $K247/(time_cap),0)),0)</f>
        <v/>
      </c>
      <c r="T247" s="4395">
        <f>IFERROR(IF((time+time_cap)&lt;T$2, 0,IF(AND(time+1&gt;=U$2, $E247&lt;U$2), IF($I247= "I", $J247/($F247-$E247+1), $J247/(($F247*($F247+1)/2)-(($E247-1)*($E247-1+1)/2))*T$2), 0)+IF(IF(time+1&gt;=U$2, $K247/time_cap/(time+1)*T$2, 0) = 0, $K247/(time_cap),0)),0)</f>
        <v/>
      </c>
      <c r="U247" s="4395">
        <f>IFERROR(IF((time+time_cap)&lt;U$2, 0,IF(AND(time+1&gt;=V$2, $E247&lt;V$2), IF($I247= "I", $J247/($F247-$E247+1), $J247/(($F247*($F247+1)/2)-(($E247-1)*($E247-1+1)/2))*U$2), 0)+IF(IF(time+1&gt;=V$2, $K247/time_cap/(time+1)*U$2, 0) = 0, $K247/(time_cap),0)),0)</f>
        <v/>
      </c>
      <c r="V247" s="4395">
        <f>IFERROR(IF((time+time_cap)&lt;V$2, 0,IF(AND(time+1&gt;=W$2, $E247&lt;W$2), IF($I247= "I", $J247/($F247-$E247+1), $J247/(($F247*($F247+1)/2)-(($E247-1)*($E247-1+1)/2))*V$2), 0)+IF(IF(time+1&gt;=W$2, $K247/time_cap/(time+1)*V$2, 0) = 0, $K247/(time_cap),0)),0)</f>
        <v/>
      </c>
      <c r="W247" s="4395">
        <f>IFERROR(IF((time+time_cap)&lt;W$2, 0,IF(AND(time+1&gt;=X$2, $E247&lt;X$2), IF($I247= "I", $J247/($F247-$E247+1), $J247/(($F247*($F247+1)/2)-(($E247-1)*($E247-1+1)/2))*W$2), 0)+IF(IF(time+1&gt;=X$2, $K247/time_cap/(time+1)*W$2, 0) = 0, $K247/(time_cap),0)),0)</f>
        <v/>
      </c>
      <c r="X247" s="4395">
        <f>IFERROR(IF((time+time_cap)&lt;X$2, 0,IF(AND(time+1&gt;=Y$2, $E247&lt;Y$2), IF($I247= "I", $J247/($F247-$E247+1), $J247/(($F247*($F247+1)/2)-(($E247-1)*($E247-1+1)/2))*X$2), 0)+IF(IF(time+1&gt;=Y$2, $K247/time_cap/(time+1)*X$2, 0) = 0, $K247/(time_cap),0)),0)</f>
        <v/>
      </c>
      <c r="Y247" s="4395">
        <f>IFERROR(IF((time+time_cap)&lt;Y$2, 0,IF(AND(time+1&gt;=Z$2, $E247&lt;Z$2), IF($I247= "I", $J247/($F247-$E247+1), $J247/(($F247*($F247+1)/2)-(($E247-1)*($E247-1+1)/2))*Y$2), 0)+IF(IF(time+1&gt;=Z$2, $K247/time_cap/(time+1)*Y$2, 0) = 0, $K247/(time_cap),0)),0)</f>
        <v/>
      </c>
      <c r="Z247" s="4395">
        <f>IFERROR(IF((time+time_cap)&lt;Z$2, 0,IF(AND(time+1&gt;=AA$2, $E247&lt;AA$2), IF($I247= "I", $J247/($F247-$E247+1), $J247/(($F247*($F247+1)/2)-(($E247-1)*($E247-1+1)/2))*Z$2), 0)+IF(IF(time+1&gt;=AA$2, $K247/time_cap/(time+1)*Z$2, 0) = 0, $K247/(time_cap),0)),0)</f>
        <v/>
      </c>
      <c r="AA247" s="4395">
        <f>IFERROR(IF((time+time_cap)&lt;AA$2, 0,IF(AND(time+1&gt;=AB$2, $E247&lt;AB$2), IF($I247= "I", $J247/($F247-$E247+1), $J247/(($F247*($F247+1)/2)-(($E247-1)*($E247-1+1)/2))*AA$2), 0)+IF(IF(time+1&gt;=AB$2, $K247/time_cap/(time+1)*AA$2, 0) = 0, $K247/(time_cap),0)),0)</f>
        <v/>
      </c>
      <c r="AB247" s="4395">
        <f>IFERROR(IF((time+time_cap)&lt;AB$2, 0,IF(AND(time+1&gt;=AC$2, $E247&lt;AC$2), IF($I247= "I", $J247/($F247-$E247+1), $J247/(($F247*($F247+1)/2)-(($E247-1)*($E247-1+1)/2))*AB$2), 0)+IF(IF(time+1&gt;=AC$2, $K247/time_cap/(time+1)*AB$2, 0) = 0, $K247/(time_cap),0)),0)</f>
        <v/>
      </c>
      <c r="AC247" s="4395">
        <f>IFERROR(IF((time+time_cap)&lt;AC$2, 0,IF(AND(time+1&gt;=AD$2, $E247&lt;AD$2), IF($I247= "I", $J247/($F247-$E247+1), $J247/(($F247*($F247+1)/2)-(($E247-1)*($E247-1+1)/2))*AC$2), 0)+IF(IF(time+1&gt;=AD$2, $K247/time_cap/(time+1)*AC$2, 0) = 0, $K247/(time_cap),0)),0)</f>
        <v/>
      </c>
      <c r="AD247" s="4395">
        <f>IFERROR(IF((time+time_cap)&lt;AD$2, 0,IF(AND(time+1&gt;=AE$2, $E247&lt;AE$2), IF($I247= "I", $J247/($F247-$E247+1), $J247/(($F247*($F247+1)/2)-(($E247-1)*($E247-1+1)/2))*AD$2), 0)+IF(IF(time+1&gt;=AE$2, $K247/time_cap/(time+1)*AD$2, 0) = 0, $K247/(time_cap),0)),0)</f>
        <v/>
      </c>
      <c r="AE247" s="4395">
        <f>IFERROR(IF((time+time_cap)&lt;AE$2, 0,IF(AND(time+1&gt;=AF$2, $E247&lt;AF$2), IF($I247= "I", $J247/($F247-$E247+1), $J247/(($F247*($F247+1)/2)-(($E247-1)*($E247-1+1)/2))*AE$2), 0)+IF(IF(time+1&gt;=AF$2, $K247/time_cap/(time+1)*AE$2, 0) = 0, $K247/(time_cap),0)),0)</f>
        <v/>
      </c>
      <c r="AF247" s="4395">
        <f>IFERROR(IF((time+time_cap)&lt;AF$2, 0,IF(AND(time+1&gt;=AG$2, $E247&lt;AG$2), IF($I247= "I", $J247/($F247-$E247+1), $J247/(($F247*($F247+1)/2)-(($E247-1)*($E247-1+1)/2))*AF$2), 0)+IF(IF(time+1&gt;=AG$2, $K247/time_cap/(time+1)*AF$2, 0) = 0, $K247/(time_cap),0)),0)</f>
        <v/>
      </c>
      <c r="AG247" s="4395">
        <f>IFERROR(IF((time+time_cap)&lt;AG$2, 0,IF(AND(time+1&gt;=AH$2, $E247&lt;AH$2), IF($I247= "I", $J247/($F247-$E247+1), $J247/(($F247*($F247+1)/2)-(($E247-1)*($E247-1+1)/2))*AG$2), 0)+IF(IF(time+1&gt;=AH$2, $K247/time_cap/(time+1)*AG$2, 0) = 0, $K247/(time_cap),0)),0)</f>
        <v/>
      </c>
      <c r="AH247" s="4395">
        <f>IFERROR(IF((time+time_cap)&lt;AH$2, 0,IF(AND(time+1&gt;=AI$2, $E247&lt;AI$2), IF($I247= "I", $J247/($F247-$E247+1), $J247/(($F247*($F247+1)/2)-(($E247-1)*($E247-1+1)/2))*AH$2), 0)+IF(IF(time+1&gt;=AI$2, $K247/time_cap/(time+1)*AH$2, 0) = 0, $K247/(time_cap),0)),0)</f>
        <v/>
      </c>
      <c r="AI247" s="4395">
        <f>IFERROR(IF((time+time_cap)&lt;AI$2, 0,IF(AND(time+1&gt;=AJ$2, $E247&lt;AJ$2), IF($I247= "I", $J247/($F247-$E247+1), $J247/(($F247*($F247+1)/2)-(($E247-1)*($E247-1+1)/2))*AI$2), 0)+IF(IF(time+1&gt;=AJ$2, $K247/time_cap/(time+1)*AI$2, 0) = 0, $K247/(time_cap),0)),0)</f>
        <v/>
      </c>
      <c r="AJ247" s="4395">
        <f>IFERROR(IF((time+time_cap)&lt;AJ$2, 0,IF(AND(time+1&gt;=AK$2, $E247&lt;AK$2), IF($I247= "I", $J247/($F247-$E247+1), $J247/(($F247*($F247+1)/2)-(($E247-1)*($E247-1+1)/2))*AJ$2), 0)+IF(IF(time+1&gt;=AK$2, $K247/time_cap/(time+1)*AJ$2, 0) = 0, $K247/(time_cap),0)),0)</f>
        <v/>
      </c>
      <c r="AK247" s="4395">
        <f>IFERROR(IF((time+time_cap)&lt;AK$2, 0,IF(AND(time+1&gt;=AL$2, $E247&lt;AL$2), IF($I247= "I", $J247/($F247-$E247+1), $J247/(($F247*($F247+1)/2)-(($E247-1)*($E247-1+1)/2))*AK$2), 0)+IF(IF(time+1&gt;=AL$2, $K247/time_cap/(time+1)*AK$2, 0) = 0, $K247/(time_cap),0)),0)</f>
        <v/>
      </c>
      <c r="AL247" s="4395">
        <f>IFERROR(IF((time+time_cap)&lt;AL$2, 0,IF(AND(time+1&gt;=AM$2, $E247&lt;AM$2), IF($I247= "I", $J247/($F247-$E247+1), $J247/(($F247*($F247+1)/2)-(($E247-1)*($E247-1+1)/2))*AL$2), 0)+IF(IF(time+1&gt;=AM$2, $K247/time_cap/(time+1)*AL$2, 0) = 0, $K247/(time_cap),0)),0)</f>
        <v/>
      </c>
      <c r="AM247" s="4395">
        <f>IFERROR(IF((time+time_cap)&lt;AM$2, 0,IF(AND(time+1&gt;=AN$2, $E247&lt;AN$2), IF($I247= "I", $J247/($F247-$E247+1), $J247/(($F247*($F247+1)/2)-(($E247-1)*($E247-1+1)/2))*AM$2), 0)+IF(IF(time+1&gt;=AN$2, $K247/time_cap/(time+1)*AM$2, 0) = 0, $K247/(time_cap),0)),0)</f>
        <v/>
      </c>
      <c r="AN247" s="4395">
        <f>IFERROR(IF((time+time_cap)&lt;AN$2, 0,IF(AND(time+1&gt;=AO$2, $E247&lt;AO$2), IF($I247= "I", $J247/($F247-$E247+1), $J247/(($F247*($F247+1)/2)-(($E247-1)*($E247-1+1)/2))*AN$2), 0)+IF(IF(time+1&gt;=AO$2, $K247/time_cap/(time+1)*AN$2, 0) = 0, $K247/(time_cap),0)),0)</f>
        <v/>
      </c>
      <c r="AO247" s="4395">
        <f>IFERROR(IF((time+time_cap)&lt;AO$2, 0,IF(AND(time+1&gt;=AP$2, $E247&lt;AP$2), IF($I247= "I", $J247/($F247-$E247+1), $J247/(($F247*($F247+1)/2)-(($E247-1)*($E247-1+1)/2))*AO$2), 0)+IF(IF(time+1&gt;=AP$2, $K247/time_cap/(time+1)*AO$2, 0) = 0, $K247/(time_cap),0)),0)</f>
        <v/>
      </c>
      <c r="AP247" s="4395">
        <f>IFERROR(IF((time+time_cap)&lt;AP$2, 0,IF(AND(time+1&gt;=AQ$2, $E247&lt;AQ$2), IF($I247= "I", $J247/($F247-$E247+1), $J247/(($F247*($F247+1)/2)-(($E247-1)*($E247-1+1)/2))*AP$2), 0)+IF(IF(time+1&gt;=AQ$2, $K247/time_cap/(time+1)*AP$2, 0) = 0, $K247/(time_cap),0)),0)</f>
        <v/>
      </c>
      <c r="AQ247" s="4395">
        <f>IFERROR(IF((time+time_cap)&lt;AQ$2, 0,IF(AND(time+1&gt;=AR$2, $E247&lt;AR$2), IF($I247= "I", $J247/($F247-$E247+1), $J247/(($F247*($F247+1)/2)-(($E247-1)*($E247-1+1)/2))*AQ$2), 0)+IF(IF(time+1&gt;=AR$2, $K247/time_cap/(time+1)*AQ$2, 0) = 0, $K247/(time_cap),0)),0)</f>
        <v/>
      </c>
      <c r="AR247" s="4395">
        <f>IFERROR(IF((time+time_cap)&lt;AR$2, 0,IF(AND(time+1&gt;=AS$2, $E247&lt;AS$2), IF($I247= "I", $J247/($F247-$E247+1), $J247/(($F247*($F247+1)/2)-(($E247-1)*($E247-1+1)/2))*AR$2), 0)+IF(IF(time+1&gt;=AS$2, $K247/time_cap/(time+1)*AR$2, 0) = 0, $K247/(time_cap),0)),0)</f>
        <v/>
      </c>
      <c r="AS247" s="4395">
        <f>IFERROR(IF((time+time_cap)&lt;AS$2, 0,IF(AND(time+1&gt;=AT$2, $E247&lt;AT$2), IF($I247= "I", $J247/($F247-$E247+1), $J247/(($F247*($F247+1)/2)-(($E247-1)*($E247-1+1)/2))*AS$2), 0)+IF(IF(time+1&gt;=AT$2, $K247/time_cap/(time+1)*AS$2, 0) = 0, $K247/(time_cap),0)),0)</f>
        <v/>
      </c>
      <c r="AT247" s="4395">
        <f>IFERROR(IF((time+time_cap)&lt;AT$2, 0,IF(AND(time+1&gt;=AU$2, $E247&lt;AU$2), IF($I247= "I", $J247/($F247-$E247+1), $J247/(($F247*($F247+1)/2)-(($E247-1)*($E247-1+1)/2))*AT$2), 0)+IF(IF(time+1&gt;=AU$2, $K247/time_cap/(time+1)*AT$2, 0) = 0, $K247/(time_cap),0)),0)</f>
        <v/>
      </c>
      <c r="AU247" s="4395">
        <f>IFERROR(IF((time+time_cap)&lt;AU$2, 0,IF(AND(time+1&gt;=AV$2, $E247&lt;AV$2), IF($I247= "I", $J247/($F247-$E247+1), $J247/(($F247*($F247+1)/2)-(($E247-1)*($E247-1+1)/2))*AU$2), 0)+IF(IF(time+1&gt;=AV$2, $K247/time_cap/(time+1)*AU$2, 0) = 0, $K247/(time_cap),0)),0)</f>
        <v/>
      </c>
      <c r="AV247" s="4395">
        <f>IFERROR(IF((time+time_cap)&lt;AV$2, 0,IF(AND(time+1&gt;=AW$2, $E247&lt;AW$2), IF($I247= "I", $J247/($F247-$E247+1), $J247/(($F247*($F247+1)/2)-(($E247-1)*($E247-1+1)/2))*AV$2), 0)+IF(IF(time+1&gt;=AW$2, $K247/time_cap/(time+1)*AV$2, 0) = 0, $K247/(time_cap),0)),0)</f>
        <v/>
      </c>
      <c r="AW247" s="4395">
        <f>IFERROR(IF((time+time_cap)&lt;AW$2, 0,IF(AND(time+1&gt;=AX$2, $E247&lt;AX$2), IF($I247= "I", $J247/($F247-$E247+1), $J247/(($F247*($F247+1)/2)-(($E247-1)*($E247-1+1)/2))*AW$2), 0)+IF(IF(time+1&gt;=AX$2, $K247/time_cap/(time+1)*AW$2, 0) = 0, $K247/(time_cap),0)),0)</f>
        <v/>
      </c>
      <c r="AX247" s="4395">
        <f>IFERROR(IF((time+time_cap)&lt;AX$2, 0,IF(AND(time+1&gt;=AY$2, $E247&lt;AY$2), IF($I247= "I", $J247/($F247-$E247+1), $J247/(($F247*($F247+1)/2)-(($E247-1)*($E247-1+1)/2))*AX$2), 0)+IF(IF(time+1&gt;=AY$2, $K247/time_cap/(time+1)*AX$2, 0) = 0, $K247/(time_cap),0)),0)</f>
        <v/>
      </c>
      <c r="AY247" s="4395">
        <f>IFERROR(IF((time+time_cap)&lt;AY$2, 0,IF(AND(time+1&gt;=AZ$2, $E247&lt;AZ$2), IF($I247= "I", $J247/($F247-$E247+1), $J247/(($F247*($F247+1)/2)-(($E247-1)*($E247-1+1)/2))*AY$2), 0)+IF(IF(time+1&gt;=AZ$2, $K247/time_cap/(time+1)*AY$2, 0) = 0, $K247/(time_cap),0)),0)</f>
        <v/>
      </c>
      <c r="AZ247" s="4395">
        <f>IFERROR(IF((time+time_cap)&lt;AZ$2, 0,IF(AND(time+1&gt;=BA$2, $E247&lt;BA$2), IF($I247= "I", $J247/($F247-$E247+1), $J247/(($F247*($F247+1)/2)-(($E247-1)*($E247-1+1)/2))*AZ$2), 0)+IF(IF(time+1&gt;=BA$2, $K247/time_cap/(time+1)*AZ$2, 0) = 0, $K247/(time_cap),0)),0)</f>
        <v/>
      </c>
      <c r="BA247" s="4395">
        <f>IFERROR(IF((time+time_cap)&lt;BA$2, 0,IF(AND(time+1&gt;=BB$2, $E247&lt;BB$2), IF($I247= "I", $J247/($F247-$E247+1), $J247/(($F247*($F247+1)/2)-(($E247-1)*($E247-1+1)/2))*BA$2), 0)+IF(IF(time+1&gt;=BB$2, $K247/time_cap/(time+1)*BA$2, 0) = 0, $K247/(time_cap),0)),0)</f>
        <v/>
      </c>
      <c r="BB247" s="4395">
        <f>IFERROR(IF((time+time_cap)&lt;BB$2, 0,IF(AND(time+1&gt;=BC$2, $E247&lt;BC$2), IF($I247= "I", $J247/($F247-$E247+1), $J247/(($F247*($F247+1)/2)-(($E247-1)*($E247-1+1)/2))*BB$2), 0)+IF(IF(time+1&gt;=BC$2, $K247/time_cap/(time+1)*BB$2, 0) = 0, $K247/(time_cap),0)),0)</f>
        <v/>
      </c>
      <c r="BC247" s="4395">
        <f>IFERROR(IF((time+time_cap)&lt;BC$2, 0,IF(AND(time+1&gt;=BD$2, $E247&lt;BD$2), IF($I247= "I", $J247/($F247-$E247+1), $J247/(($F247*($F247+1)/2)-(($E247-1)*($E247-1+1)/2))*BC$2), 0)+IF(IF(time+1&gt;=BD$2, $K247/time_cap/(time+1)*BC$2, 0) = 0, $K247/(time_cap),0)),0)</f>
        <v/>
      </c>
      <c r="BD247" s="4395">
        <f>IFERROR(IF((time+time_cap)&lt;BD$2, 0,IF(AND(time+1&gt;=BE$2, $E247&lt;BE$2), IF($I247= "I", $J247/($F247-$E247+1), $J247/(($F247*($F247+1)/2)-(($E247-1)*($E247-1+1)/2))*BD$2), 0)+IF(IF(time+1&gt;=BE$2, $K247/time_cap/(time+1)*BD$2, 0) = 0, $K247/(time_cap),0)),0)</f>
        <v/>
      </c>
      <c r="BE247" s="4395">
        <f>IFERROR(IF((time+time_cap)&lt;BE$2, 0,IF(AND(time+1&gt;=BF$2, $E247&lt;BF$2), IF($I247= "I", $J247/($F247-$E247+1), $J247/(($F247*($F247+1)/2)-(($E247-1)*($E247-1+1)/2))*BE$2), 0)+IF(IF(time+1&gt;=BF$2, $K247/time_cap/(time+1)*BE$2, 0) = 0, $K247/(time_cap),0)),0)</f>
        <v/>
      </c>
      <c r="BF247" s="4395">
        <f>IFERROR(IF((time+time_cap)&lt;BF$2, 0,IF(AND(time+1&gt;=BG$2, $E247&lt;BG$2), IF($I247= "I", $J247/($F247-$E247+1), $J247/(($F247*($F247+1)/2)-(($E247-1)*($E247-1+1)/2))*BF$2), 0)+IF(IF(time+1&gt;=BG$2, $K247/time_cap/(time+1)*BF$2, 0) = 0, $K247/(time_cap),0)),0)</f>
        <v/>
      </c>
      <c r="BG247" s="4395">
        <f>IFERROR(IF((time+time_cap)&lt;BG$2, 0,IF(AND(time+1&gt;=BH$2, $E247&lt;BH$2), IF($I247= "I", $J247/($F247-$E247+1), $J247/(($F247*($F247+1)/2)-(($E247-1)*($E247-1+1)/2))*BG$2), 0)+IF(IF(time+1&gt;=BH$2, $K247/time_cap/(time+1)*BG$2, 0) = 0, $K247/(time_cap),0)),0)</f>
        <v/>
      </c>
      <c r="BH247" s="4395">
        <f>IFERROR(IF((time+time_cap)&lt;BH$2, 0,IF(AND(time+1&gt;=BI$2, $E247&lt;BI$2), IF($I247= "I", $J247/($F247-$E247+1), $J247/(($F247*($F247+1)/2)-(($E247-1)*($E247-1+1)/2))*BH$2), 0)+IF(IF(time+1&gt;=BI$2, $K247/time_cap/(time+1)*BH$2, 0) = 0, $K247/(time_cap),0)),0)</f>
        <v/>
      </c>
      <c r="BI247" s="4395">
        <f>IFERROR(IF((time+time_cap)&lt;BI$2, 0,IF(AND(time+1&gt;=BJ$2, $E247&lt;BJ$2), IF($I247= "I", $J247/($F247-$E247+1), $J247/(($F247*($F247+1)/2)-(($E247-1)*($E247-1+1)/2))*BI$2), 0)+IF(IF(time+1&gt;=BJ$2, $K247/time_cap/(time+1)*BI$2, 0) = 0, $K247/(time_cap),0)),0)</f>
        <v/>
      </c>
      <c r="BJ247" s="4395">
        <f>IFERROR(IF((time+time_cap)&lt;BJ$2, 0,IF(AND(time+1&gt;=BK$2, $E247&lt;BK$2), IF($I247= "I", $J247/($F247-$E247+1), $J247/(($F247*($F247+1)/2)-(($E247-1)*($E247-1+1)/2))*BJ$2), 0)+IF(IF(time+1&gt;=BK$2, $K247/time_cap/(time+1)*BJ$2, 0) = 0, $K247/(time_cap),0)),0)</f>
        <v/>
      </c>
    </row>
    <row r="248">
      <c r="H248" s="4395" t="n"/>
      <c r="I248" s="4395" t="n"/>
    </row>
    <row r="249">
      <c r="H249" s="4395" t="n"/>
      <c r="I249" s="4395" t="n"/>
    </row>
    <row r="250">
      <c r="H250" s="4395" t="n"/>
      <c r="I250" s="4395" t="n"/>
    </row>
    <row r="251">
      <c r="H251" s="4395" t="n"/>
      <c r="I251" s="4395" t="n"/>
    </row>
    <row r="252">
      <c r="H252" s="4395" t="n"/>
      <c r="I252" s="4395" t="n"/>
    </row>
    <row r="253">
      <c r="H253" s="4395" t="n"/>
      <c r="I253" s="4395" t="n"/>
    </row>
    <row r="254">
      <c r="H254" s="4395" t="n"/>
      <c r="I254" s="4395" t="n"/>
    </row>
    <row r="255">
      <c r="H255" s="4395" t="n"/>
      <c r="I255" s="4395" t="n"/>
    </row>
    <row r="256">
      <c r="H256" s="4395" t="n"/>
      <c r="I256" s="4395" t="n"/>
    </row>
    <row r="257">
      <c r="H257" s="4395" t="n"/>
      <c r="I257" s="4395" t="n"/>
    </row>
    <row r="258">
      <c r="H258" s="4395" t="n"/>
      <c r="I258" s="4395" t="n"/>
    </row>
    <row r="259">
      <c r="H259" s="4395" t="n"/>
      <c r="I259" s="4395" t="n"/>
    </row>
    <row r="260">
      <c r="H260" s="4395" t="n"/>
      <c r="I260" s="4395" t="n"/>
    </row>
    <row r="261">
      <c r="H261" s="4395" t="n"/>
      <c r="I261" s="4395" t="n"/>
    </row>
    <row r="262">
      <c r="H262" s="4395" t="n"/>
      <c r="I262" s="4395" t="n"/>
    </row>
    <row r="263">
      <c r="H263" s="4395" t="n"/>
      <c r="I263" s="4395" t="n"/>
    </row>
    <row r="264">
      <c r="H264" s="4395" t="n"/>
      <c r="I264" s="4395" t="n"/>
    </row>
    <row r="265">
      <c r="H265" s="4395" t="n"/>
      <c r="I265" s="4395" t="n"/>
    </row>
    <row r="266">
      <c r="H266" s="4395" t="n"/>
      <c r="I266" s="4395" t="n"/>
    </row>
    <row r="267">
      <c r="H267" s="4395" t="n"/>
      <c r="I267" s="4395" t="n"/>
    </row>
    <row r="268">
      <c r="H268" s="4395" t="n"/>
      <c r="I268" s="4395" t="n"/>
    </row>
    <row r="269">
      <c r="H269" s="4395" t="n"/>
      <c r="I269" s="4395" t="n"/>
    </row>
    <row r="270">
      <c r="H270" s="4395" t="n"/>
      <c r="I270" s="4395" t="n"/>
    </row>
    <row r="271">
      <c r="H271" s="4395" t="n"/>
      <c r="I271" s="4395" t="n"/>
    </row>
    <row r="272">
      <c r="H272" s="4395" t="n"/>
      <c r="I272" s="4395" t="n"/>
    </row>
    <row r="273">
      <c r="H273" s="4395" t="n"/>
      <c r="I273" s="4395" t="n"/>
    </row>
    <row r="274">
      <c r="H274" s="4395" t="n"/>
      <c r="I274" s="4395" t="n"/>
    </row>
    <row r="275">
      <c r="H275" s="4395" t="n"/>
      <c r="I275" s="4395" t="n"/>
    </row>
    <row r="276">
      <c r="H276" s="4395" t="n"/>
      <c r="I276" s="4395" t="n"/>
    </row>
    <row r="277">
      <c r="H277" s="4395" t="n"/>
      <c r="I277" s="4395" t="n"/>
    </row>
    <row r="278">
      <c r="H278" s="4395" t="n"/>
      <c r="I278" s="4395" t="n"/>
    </row>
    <row r="279">
      <c r="H279" s="4395" t="n"/>
      <c r="I279" s="4395" t="n"/>
    </row>
    <row r="280">
      <c r="H280" s="4395" t="n"/>
      <c r="I280" s="4395" t="n"/>
    </row>
    <row r="281">
      <c r="H281" s="4395" t="n"/>
      <c r="I281" s="4395" t="n"/>
    </row>
    <row r="282">
      <c r="H282" s="4395" t="n"/>
      <c r="I282" s="4395" t="n"/>
    </row>
    <row r="283">
      <c r="H283" s="4395" t="n"/>
      <c r="I283" s="4395" t="n"/>
    </row>
    <row r="284">
      <c r="H284" s="4395" t="n"/>
      <c r="I284" s="4395" t="n"/>
    </row>
    <row r="285">
      <c r="H285" s="4395" t="n"/>
      <c r="I285" s="4395" t="n"/>
    </row>
    <row r="286">
      <c r="H286" s="4395" t="n"/>
      <c r="I286" s="4395" t="n"/>
    </row>
    <row r="287">
      <c r="H287" s="4395" t="n"/>
      <c r="I287" s="4395" t="n"/>
    </row>
    <row r="288">
      <c r="H288" s="4395" t="n"/>
      <c r="I288" s="4395" t="n"/>
    </row>
    <row r="289">
      <c r="H289" s="4395" t="n"/>
      <c r="I289" s="4395" t="n"/>
    </row>
    <row r="290">
      <c r="H290" s="4395" t="n"/>
      <c r="I290" s="4395" t="n"/>
    </row>
    <row r="291">
      <c r="H291" s="4395" t="n"/>
      <c r="I291" s="4395" t="n"/>
    </row>
    <row r="292">
      <c r="H292" s="4395" t="n"/>
      <c r="I292" s="4395" t="n"/>
    </row>
    <row r="293">
      <c r="H293" s="4395" t="n"/>
      <c r="I293" s="4395" t="n"/>
    </row>
    <row r="294">
      <c r="H294" s="4395" t="n"/>
      <c r="I294" s="4395" t="n"/>
    </row>
    <row r="295">
      <c r="H295" s="4395" t="n"/>
      <c r="I295" s="4395" t="n"/>
    </row>
    <row r="296">
      <c r="H296" s="4395" t="n"/>
      <c r="I296" s="4395" t="n"/>
    </row>
    <row r="297">
      <c r="H297" s="4395" t="n"/>
      <c r="I297" s="4395" t="n"/>
    </row>
    <row r="298">
      <c r="H298" s="4395" t="n"/>
      <c r="I298" s="4395" t="n"/>
    </row>
    <row r="299">
      <c r="H299" s="4395" t="n"/>
      <c r="I299" s="4395" t="n"/>
    </row>
    <row r="300">
      <c r="H300" s="4395" t="n"/>
      <c r="I300" s="4395" t="n"/>
    </row>
    <row r="301">
      <c r="H301" s="4395" t="n"/>
      <c r="I301" s="4395" t="n"/>
    </row>
    <row r="302">
      <c r="H302" s="4395" t="n"/>
      <c r="I302" s="4395" t="n"/>
    </row>
    <row r="303">
      <c r="H303" s="4395" t="n"/>
      <c r="I303" s="4395" t="n"/>
    </row>
    <row r="304">
      <c r="H304" s="4395" t="n"/>
      <c r="I304" s="4395" t="n"/>
    </row>
    <row r="305">
      <c r="H305" s="4395" t="n"/>
      <c r="I305" s="4395" t="n"/>
    </row>
    <row r="306">
      <c r="H306" s="4395" t="n"/>
      <c r="I306" s="4395" t="n"/>
    </row>
    <row r="307">
      <c r="H307" s="4395" t="n"/>
      <c r="I307" s="4395" t="n"/>
    </row>
    <row r="308">
      <c r="H308" s="4395" t="n"/>
      <c r="I308" s="4395" t="n"/>
    </row>
    <row r="309">
      <c r="H309" s="4395" t="n"/>
      <c r="I309" s="4395" t="n"/>
    </row>
    <row r="310">
      <c r="H310" s="4395" t="n"/>
      <c r="I310" s="4395" t="n"/>
    </row>
    <row r="311">
      <c r="H311" s="4395" t="n"/>
      <c r="I311" s="4395" t="n"/>
    </row>
    <row r="312">
      <c r="H312" s="4395" t="n"/>
      <c r="I312" s="4395" t="n"/>
    </row>
    <row r="313">
      <c r="H313" s="4395" t="n"/>
      <c r="I313" s="4395" t="n"/>
    </row>
    <row r="314">
      <c r="H314" s="4395" t="n"/>
      <c r="I314" s="4395" t="n"/>
    </row>
    <row r="315">
      <c r="H315" s="4395" t="n"/>
      <c r="I315" s="4395" t="n"/>
    </row>
    <row r="316">
      <c r="H316" s="4395" t="n"/>
      <c r="I316" s="4395" t="n"/>
    </row>
    <row r="317">
      <c r="H317" s="4395" t="n"/>
      <c r="I317" s="4395" t="n"/>
    </row>
    <row r="318">
      <c r="H318" s="4395" t="n"/>
      <c r="I318" s="4395" t="n"/>
    </row>
    <row r="319">
      <c r="H319" s="4395" t="n"/>
      <c r="I319" s="4395" t="n"/>
    </row>
    <row r="320">
      <c r="H320" s="4395" t="n"/>
      <c r="I320" s="4395" t="n"/>
    </row>
    <row r="321">
      <c r="H321" s="4395" t="n"/>
      <c r="I321" s="4395" t="n"/>
    </row>
    <row r="322">
      <c r="H322" s="4395" t="n"/>
      <c r="I322" s="4395" t="n"/>
    </row>
    <row r="323">
      <c r="H323" s="4395" t="n"/>
      <c r="I323" s="4395" t="n"/>
    </row>
    <row r="324">
      <c r="H324" s="4395" t="n"/>
      <c r="I324" s="4395" t="n"/>
    </row>
    <row r="325">
      <c r="H325" s="4395" t="n"/>
      <c r="I325" s="4395" t="n"/>
    </row>
    <row r="326">
      <c r="H326" s="4395" t="n"/>
      <c r="I326" s="4395" t="n"/>
    </row>
    <row r="327">
      <c r="H327" s="4395" t="n"/>
      <c r="I327" s="4395" t="n"/>
    </row>
    <row r="328">
      <c r="H328" s="4395" t="n"/>
      <c r="I328" s="4395" t="n"/>
    </row>
    <row r="329">
      <c r="H329" s="4395" t="n"/>
      <c r="I329" s="4395" t="n"/>
    </row>
    <row r="330">
      <c r="H330" s="4395" t="n"/>
      <c r="I330" s="4395" t="n"/>
    </row>
    <row r="331">
      <c r="H331" s="4395" t="n"/>
      <c r="I331" s="4395" t="n"/>
    </row>
    <row r="332">
      <c r="H332" s="4395" t="n"/>
      <c r="I332" s="4395" t="n"/>
    </row>
    <row r="333">
      <c r="H333" s="4395" t="n"/>
      <c r="I333" s="4395" t="n"/>
    </row>
    <row r="334">
      <c r="H334" s="4395" t="n"/>
      <c r="I334" s="4395" t="n"/>
    </row>
    <row r="335">
      <c r="H335" s="4395" t="n"/>
      <c r="I335" s="4395" t="n"/>
    </row>
    <row r="336">
      <c r="H336" s="4395" t="n"/>
      <c r="I336" s="4395" t="n"/>
    </row>
    <row r="337">
      <c r="H337" s="4395" t="n"/>
      <c r="I337" s="4395" t="n"/>
    </row>
    <row r="338">
      <c r="H338" s="4395" t="n"/>
      <c r="I338" s="4395" t="n"/>
    </row>
    <row r="339">
      <c r="H339" s="4395" t="n"/>
      <c r="I339" s="4395" t="n"/>
    </row>
    <row r="340">
      <c r="H340" s="4395" t="n"/>
      <c r="I340" s="4395" t="n"/>
    </row>
    <row r="341">
      <c r="H341" s="4395" t="n"/>
      <c r="I341" s="4395" t="n"/>
    </row>
    <row r="342">
      <c r="H342" s="4395" t="n"/>
      <c r="I342" s="4395" t="n"/>
    </row>
    <row r="343">
      <c r="H343" s="4395" t="n"/>
      <c r="I343" s="4395" t="n"/>
    </row>
    <row r="344">
      <c r="H344" s="4395" t="n"/>
      <c r="I344" s="4395" t="n"/>
    </row>
    <row r="345">
      <c r="H345" s="4395" t="n"/>
      <c r="I345" s="4395" t="n"/>
    </row>
    <row r="346">
      <c r="H346" s="4395" t="n"/>
      <c r="I346" s="4395" t="n"/>
    </row>
    <row r="347">
      <c r="H347" s="4395" t="n"/>
      <c r="I347" s="4395" t="n"/>
    </row>
    <row r="348">
      <c r="H348" s="4395" t="n"/>
      <c r="I348" s="4395" t="n"/>
    </row>
    <row r="349">
      <c r="H349" s="4395" t="n"/>
      <c r="I349" s="4395" t="n"/>
    </row>
    <row r="350">
      <c r="H350" s="4395" t="n"/>
      <c r="I350" s="4395" t="n"/>
    </row>
    <row r="351">
      <c r="H351" s="4395" t="n"/>
      <c r="I351" s="4395" t="n"/>
    </row>
    <row r="352">
      <c r="H352" s="4395" t="n"/>
      <c r="I352" s="4395" t="n"/>
    </row>
    <row r="353">
      <c r="H353" s="4395" t="n"/>
      <c r="I353" s="4395" t="n"/>
    </row>
    <row r="354">
      <c r="H354" s="4395" t="n"/>
      <c r="I354" s="4395" t="n"/>
    </row>
    <row r="355">
      <c r="H355" s="4395" t="n"/>
      <c r="I355" s="4395" t="n"/>
    </row>
    <row r="356">
      <c r="H356" s="4395" t="n"/>
      <c r="I356" s="4395" t="n"/>
    </row>
    <row r="357">
      <c r="H357" s="4395" t="n"/>
      <c r="I357" s="4395" t="n"/>
    </row>
    <row r="358">
      <c r="H358" s="4395" t="n"/>
      <c r="I358" s="4395" t="n"/>
    </row>
    <row r="359">
      <c r="H359" s="4395" t="n"/>
      <c r="I359" s="4395" t="n"/>
    </row>
    <row r="360">
      <c r="H360" s="4395" t="n"/>
      <c r="I360" s="4395" t="n"/>
    </row>
    <row r="361">
      <c r="H361" s="4395" t="n"/>
      <c r="I361" s="4395" t="n"/>
    </row>
    <row r="362">
      <c r="H362" s="4395" t="n"/>
      <c r="I362" s="4395" t="n"/>
    </row>
    <row r="363">
      <c r="H363" s="4395" t="n"/>
      <c r="I363" s="4395" t="n"/>
    </row>
    <row r="364">
      <c r="H364" s="4395" t="n"/>
      <c r="I364" s="4395" t="n"/>
    </row>
    <row r="365">
      <c r="H365" s="4395" t="n"/>
      <c r="I365" s="4395" t="n"/>
    </row>
    <row r="366">
      <c r="H366" s="4395" t="n"/>
      <c r="I366" s="4395" t="n"/>
    </row>
    <row r="367">
      <c r="H367" s="4395" t="n"/>
      <c r="I367" s="4395" t="n"/>
    </row>
    <row r="368">
      <c r="H368" s="4395" t="n"/>
      <c r="I368" s="4395" t="n"/>
    </row>
    <row r="369">
      <c r="H369" s="4395" t="n"/>
      <c r="I369" s="4395" t="n"/>
    </row>
    <row r="370">
      <c r="H370" s="4395" t="n"/>
      <c r="I370" s="4395" t="n"/>
    </row>
    <row r="371">
      <c r="H371" s="4395" t="n"/>
      <c r="I371" s="4395" t="n"/>
    </row>
    <row r="372">
      <c r="H372" s="4395" t="n"/>
      <c r="I372" s="4395" t="n"/>
    </row>
    <row r="373">
      <c r="H373" s="4395" t="n"/>
      <c r="I373" s="4395" t="n"/>
    </row>
    <row r="374">
      <c r="H374" s="4395" t="n"/>
      <c r="I374" s="4395" t="n"/>
    </row>
    <row r="375">
      <c r="H375" s="4395" t="n"/>
      <c r="I375" s="4395" t="n"/>
    </row>
    <row r="376">
      <c r="H376" s="4395" t="n"/>
      <c r="I376" s="4395" t="n"/>
    </row>
    <row r="377">
      <c r="H377" s="4395" t="n"/>
      <c r="I377" s="4395" t="n"/>
    </row>
    <row r="378">
      <c r="H378" s="4395" t="n"/>
      <c r="I378" s="4395" t="n"/>
    </row>
    <row r="379">
      <c r="H379" s="4395" t="n"/>
      <c r="I379" s="4395" t="n"/>
    </row>
    <row r="380">
      <c r="H380" s="4395" t="n"/>
      <c r="I380" s="4395" t="n"/>
    </row>
    <row r="381">
      <c r="H381" s="4395" t="n"/>
      <c r="I381" s="4395" t="n"/>
    </row>
    <row r="382">
      <c r="H382" s="4395" t="n"/>
      <c r="I382" s="4395" t="n"/>
    </row>
    <row r="383">
      <c r="H383" s="4395" t="n"/>
      <c r="I383" s="4395" t="n"/>
    </row>
    <row r="384">
      <c r="H384" s="4395" t="n"/>
      <c r="I384" s="4395" t="n"/>
    </row>
    <row r="385">
      <c r="H385" s="4395" t="n"/>
      <c r="I385" s="4395" t="n"/>
    </row>
    <row r="386">
      <c r="H386" s="4395" t="n"/>
      <c r="I386" s="4395" t="n"/>
    </row>
    <row r="387">
      <c r="H387" s="4395" t="n"/>
      <c r="I387" s="4395" t="n"/>
    </row>
    <row r="388">
      <c r="H388" s="4395" t="n"/>
      <c r="I388" s="4395" t="n"/>
    </row>
    <row r="389">
      <c r="H389" s="4395" t="n"/>
      <c r="I389" s="4395" t="n"/>
    </row>
    <row r="390">
      <c r="H390" s="4395" t="n"/>
      <c r="I390" s="4395" t="n"/>
    </row>
    <row r="391">
      <c r="H391" s="4395" t="n"/>
      <c r="I391" s="4395" t="n"/>
    </row>
    <row r="392">
      <c r="H392" s="4395" t="n"/>
      <c r="I392" s="4395" t="n"/>
    </row>
    <row r="393">
      <c r="H393" s="4395" t="n"/>
      <c r="I393" s="4395" t="n"/>
    </row>
    <row r="394">
      <c r="H394" s="4395" t="n"/>
      <c r="I394" s="4395" t="n"/>
    </row>
    <row r="395">
      <c r="H395" s="4395" t="n"/>
      <c r="I395" s="4395" t="n"/>
    </row>
    <row r="396">
      <c r="H396" s="4395" t="n"/>
      <c r="I396" s="4395" t="n"/>
    </row>
    <row r="397">
      <c r="H397" s="4395" t="n"/>
      <c r="I397" s="4395" t="n"/>
    </row>
    <row r="398">
      <c r="H398" s="4395" t="n"/>
      <c r="I398" s="4395" t="n"/>
    </row>
    <row r="399">
      <c r="H399" s="4395" t="n"/>
      <c r="I399" s="4395" t="n"/>
    </row>
    <row r="400">
      <c r="H400" s="4395" t="n"/>
      <c r="I400" s="4395" t="n"/>
    </row>
    <row r="401">
      <c r="H401" s="4395" t="n"/>
      <c r="I401" s="4395" t="n"/>
    </row>
    <row r="402">
      <c r="H402" s="4395" t="n"/>
      <c r="I402" s="4395" t="n"/>
    </row>
    <row r="403">
      <c r="H403" s="4395" t="n"/>
      <c r="I403" s="4395" t="n"/>
    </row>
    <row r="404">
      <c r="H404" s="4395" t="n"/>
      <c r="I404" s="4395" t="n"/>
    </row>
    <row r="405">
      <c r="H405" s="4395" t="n"/>
      <c r="I405" s="4395" t="n"/>
    </row>
    <row r="406">
      <c r="H406" s="4395" t="n"/>
      <c r="I406" s="4395" t="n"/>
    </row>
    <row r="407">
      <c r="H407" s="4395" t="n"/>
      <c r="I407" s="4395" t="n"/>
    </row>
    <row r="408">
      <c r="H408" s="4395" t="n"/>
      <c r="I408" s="4395" t="n"/>
    </row>
  </sheetData>
  <pageMargins left="0.7" right="0.7" top="0.75" bottom="0.75" header="0.3" footer="0.3"/>
</worksheet>
</file>

<file path=xl/worksheets/sheet39.xml><?xml version="1.0" encoding="utf-8"?>
<worksheet xmlns="http://schemas.openxmlformats.org/spreadsheetml/2006/main">
  <sheetPr codeName="Sheet8">
    <outlinePr summaryBelow="1" summaryRight="1"/>
    <pageSetUpPr/>
  </sheetPr>
  <dimension ref="A1:J819"/>
  <sheetViews>
    <sheetView zoomScale="110" zoomScaleNormal="110" workbookViewId="0">
      <pane xSplit="1" ySplit="1" topLeftCell="B41" activePane="bottomRight" state="frozen"/>
      <selection pane="topRight" activeCell="C136" sqref="C136"/>
      <selection pane="bottomLeft" activeCell="C136" sqref="C136"/>
      <selection pane="bottomRight" activeCell="B54" sqref="B54"/>
    </sheetView>
  </sheetViews>
  <sheetFormatPr baseColWidth="10" defaultColWidth="8.6640625" defaultRowHeight="12"/>
  <cols>
    <col width="21.5" customWidth="1" style="1064" min="1" max="1"/>
    <col width="103.5" customWidth="1" style="1064" min="2" max="2"/>
    <col width="16.6640625" customWidth="1" style="1064" min="3" max="3"/>
    <col width="17.6640625" customWidth="1" style="1064" min="4" max="4"/>
    <col width="8.5" customWidth="1" style="1064" min="5" max="7"/>
    <col width="7.5" bestFit="1" customWidth="1" style="1064" min="8" max="9"/>
    <col width="8.6640625" customWidth="1" style="1065" min="10" max="16384"/>
  </cols>
  <sheetData>
    <row r="1" ht="13" customFormat="1" customHeight="1" s="1225">
      <c r="A1" s="1060" t="inlineStr">
        <is>
          <t>Spreadsheet</t>
        </is>
      </c>
      <c r="B1" s="1061" t="inlineStr">
        <is>
          <t>English</t>
        </is>
      </c>
      <c r="C1" s="1060" t="inlineStr">
        <is>
          <t>English</t>
        </is>
      </c>
      <c r="D1" s="1061" t="inlineStr">
        <is>
          <t>French</t>
        </is>
      </c>
      <c r="E1" s="1061" t="inlineStr">
        <is>
          <t>Spanish</t>
        </is>
      </c>
      <c r="F1" s="1061" t="inlineStr">
        <is>
          <t>Arabic</t>
        </is>
      </c>
      <c r="G1" s="1061" t="inlineStr">
        <is>
          <t>Chinese</t>
        </is>
      </c>
      <c r="H1" s="1061" t="inlineStr">
        <is>
          <t>Russian</t>
        </is>
      </c>
      <c r="I1" s="1061" t="inlineStr">
        <is>
          <t>Polish</t>
        </is>
      </c>
    </row>
    <row r="2" customFormat="1" s="1068">
      <c r="A2" s="1067" t="inlineStr">
        <is>
          <t>0.Start</t>
        </is>
      </c>
      <c r="B2" s="1067" t="inlineStr">
        <is>
          <t>English</t>
        </is>
      </c>
      <c r="C2" s="1067" t="n"/>
      <c r="D2" s="1067" t="n"/>
      <c r="E2" s="1067" t="n"/>
      <c r="F2" s="1067" t="n"/>
      <c r="G2" s="1067" t="n"/>
      <c r="H2" s="1067" t="n"/>
      <c r="I2" s="1067" t="n"/>
    </row>
    <row r="3" customFormat="1" s="1068">
      <c r="A3" s="1067" t="inlineStr">
        <is>
          <t>0.Start</t>
        </is>
      </c>
      <c r="B3" s="1067" t="inlineStr">
        <is>
          <t>Français</t>
        </is>
      </c>
      <c r="C3" s="1067" t="n"/>
      <c r="D3" s="1067" t="n"/>
      <c r="E3" s="1067" t="n"/>
      <c r="F3" s="1067" t="n"/>
      <c r="G3" s="1067" t="n"/>
      <c r="H3" s="1067" t="n"/>
      <c r="I3" s="1067" t="n"/>
    </row>
    <row r="4" customFormat="1" s="1068">
      <c r="A4" s="1067" t="inlineStr">
        <is>
          <t>0.Start</t>
        </is>
      </c>
      <c r="B4" s="1067" t="inlineStr">
        <is>
          <t>Español</t>
        </is>
      </c>
      <c r="C4" s="1067" t="n"/>
      <c r="D4" s="1067" t="n"/>
      <c r="E4" s="1067" t="n"/>
      <c r="F4" s="1067" t="n"/>
      <c r="G4" s="1067" t="n"/>
      <c r="H4" s="1067" t="n"/>
      <c r="I4" s="1067" t="n"/>
    </row>
    <row r="5" customFormat="1" s="1068">
      <c r="A5" s="1067" t="n"/>
      <c r="B5" s="4485" t="n"/>
      <c r="C5" s="1067" t="n"/>
      <c r="D5" s="1067" t="n"/>
      <c r="E5" s="1067" t="n"/>
      <c r="F5" s="1067" t="n"/>
      <c r="G5" s="1067" t="n"/>
      <c r="H5" s="1067" t="n"/>
      <c r="I5" s="1067" t="n"/>
    </row>
    <row r="6" customFormat="1" s="1068">
      <c r="A6" s="1067" t="n"/>
      <c r="B6" s="4485" t="n"/>
      <c r="C6" s="1067" t="n"/>
      <c r="D6" s="1067" t="n"/>
      <c r="E6" s="1067" t="n"/>
      <c r="F6" s="1067" t="n"/>
      <c r="G6" s="1067" t="n"/>
      <c r="H6" s="1067" t="n"/>
      <c r="I6" s="1067" t="n"/>
    </row>
    <row r="7" customFormat="1" s="1068">
      <c r="A7" s="1067" t="n"/>
      <c r="B7" s="4485" t="n"/>
      <c r="C7" s="1067" t="n"/>
      <c r="D7" s="1067" t="n"/>
      <c r="E7" s="1067" t="n"/>
      <c r="F7" s="1067" t="n"/>
      <c r="G7" s="1067" t="n"/>
      <c r="H7" s="1067" t="n"/>
      <c r="I7" s="1067" t="n"/>
    </row>
    <row r="8" customFormat="1" s="1068">
      <c r="A8" s="1067" t="n"/>
      <c r="B8" s="4485" t="n"/>
      <c r="C8" s="1067" t="n"/>
      <c r="D8" s="1067" t="n"/>
      <c r="E8" s="1067" t="n"/>
      <c r="F8" s="1067" t="n"/>
      <c r="G8" s="1067" t="n"/>
      <c r="H8" s="1067" t="n"/>
      <c r="I8" s="1067" t="n"/>
    </row>
    <row r="9">
      <c r="A9" s="1064" t="inlineStr">
        <is>
          <t>General</t>
        </is>
      </c>
      <c r="B9" s="2266">
        <f>IF(IF('1.Description'!$AA$9="english",C9,IF('1.Description'!$AA$9="français",D9,E9))=0,"",IF('1.Description'!$AA$9="english",C9,IF('1.Description'!$AA$9="français",D9,E9)))</f>
        <v/>
      </c>
      <c r="C9" s="1064" t="inlineStr">
        <is>
          <t>Total emissions (tCO2-e)</t>
        </is>
      </c>
      <c r="D9" s="1064" t="inlineStr">
        <is>
          <t>Émissions totales (tCO2-e)</t>
        </is>
      </c>
      <c r="E9" s="1064" t="inlineStr">
        <is>
          <t>Emisiones totales (tCO2-e)</t>
        </is>
      </c>
    </row>
    <row r="10">
      <c r="A10" s="1064" t="inlineStr">
        <is>
          <t>General</t>
        </is>
      </c>
      <c r="B10" s="2266">
        <f>IF(IF('1.Description'!$AA$9="english",C10,IF('1.Description'!$AA$9="français",D10,E10))=0,"",IF('1.Description'!$AA$9="english",C10,IF('1.Description'!$AA$9="français",D10,E10)))</f>
        <v/>
      </c>
      <c r="C10" s="1064" t="inlineStr">
        <is>
          <t>Balance</t>
        </is>
      </c>
      <c r="D10" s="1064" t="inlineStr">
        <is>
          <t>Balance</t>
        </is>
      </c>
      <c r="E10" s="1064" t="inlineStr">
        <is>
          <t xml:space="preserve">Balance </t>
        </is>
      </c>
    </row>
    <row r="11">
      <c r="A11" s="1064" t="inlineStr">
        <is>
          <t>General</t>
        </is>
      </c>
      <c r="B11" s="2266">
        <f>IF(IF('1.Description'!$AA$9="english",C11,IF('1.Description'!$AA$9="français",D11,E11))=0,"",IF('1.Description'!$AA$9="english",C11,IF('1.Description'!$AA$9="français",D11,E11)))</f>
        <v/>
      </c>
      <c r="C11" s="1064" t="inlineStr">
        <is>
          <t>Start</t>
        </is>
      </c>
      <c r="D11" s="1064" t="inlineStr">
        <is>
          <t>Initial</t>
        </is>
      </c>
      <c r="E11" s="1064" t="inlineStr">
        <is>
          <t>Inicio</t>
        </is>
      </c>
    </row>
    <row r="12">
      <c r="A12" s="1064" t="inlineStr">
        <is>
          <t>General</t>
        </is>
      </c>
      <c r="B12" s="2266">
        <f>IF(IF('1.Description'!$AA$9="english",C12,IF('1.Description'!$AA$9="français",D12,E12))=0,"",IF('1.Description'!$AA$9="english",C12,IF('1.Description'!$AA$9="français",D12,E12)))</f>
        <v/>
      </c>
      <c r="C12" s="1064" t="inlineStr">
        <is>
          <t>Without</t>
        </is>
      </c>
      <c r="D12" s="1064" t="inlineStr">
        <is>
          <t>Sans</t>
        </is>
      </c>
      <c r="E12" s="1064" t="inlineStr">
        <is>
          <t>Sin</t>
        </is>
      </c>
    </row>
    <row r="13">
      <c r="A13" s="1064" t="inlineStr">
        <is>
          <t>General</t>
        </is>
      </c>
      <c r="B13" s="2266">
        <f>IF(IF('1.Description'!$AA$9="english",C13,IF('1.Description'!$AA$9="français",D13,E13))=0,"",IF('1.Description'!$AA$9="english",C13,IF('1.Description'!$AA$9="français",D13,E13)))</f>
        <v/>
      </c>
      <c r="C13" s="1064" t="inlineStr">
        <is>
          <t>With</t>
        </is>
      </c>
      <c r="D13" s="1064" t="inlineStr">
        <is>
          <t>Avec</t>
        </is>
      </c>
      <c r="E13" s="1064" t="inlineStr">
        <is>
          <t>Con</t>
        </is>
      </c>
    </row>
    <row r="14">
      <c r="A14" s="1064" t="inlineStr">
        <is>
          <t>General</t>
        </is>
      </c>
      <c r="B14" s="2266">
        <f>IF(IF('1.Description'!$AA$9="english",C14,IF('1.Description'!$AA$9="français",D14,E14))=0,"",IF('1.Description'!$AA$9="english",C14,IF('1.Description'!$AA$9="français",D14,E14)))</f>
        <v/>
      </c>
      <c r="C14" s="1064" t="inlineStr">
        <is>
          <t>Emissions factors</t>
        </is>
      </c>
      <c r="D14" s="1064" t="inlineStr">
        <is>
          <t>Facteurs d'émission</t>
        </is>
      </c>
      <c r="E14" s="1064" t="inlineStr">
        <is>
          <t>Factor de emisión</t>
        </is>
      </c>
    </row>
    <row r="15">
      <c r="A15" s="1064" t="inlineStr">
        <is>
          <t>General</t>
        </is>
      </c>
      <c r="B15" s="2266">
        <f>IF(IF('1.Description'!$AA$9="english",C15,IF('1.Description'!$AA$9="français",D15,E15))=0,"",IF('1.Description'!$AA$9="english",C15,IF('1.Description'!$AA$9="français",D15,E15)))</f>
        <v/>
      </c>
      <c r="C15" s="1064" t="inlineStr">
        <is>
          <t>Unit</t>
        </is>
      </c>
      <c r="D15" s="1064" t="inlineStr">
        <is>
          <t>Unité</t>
        </is>
      </c>
      <c r="E15" s="1064" t="inlineStr">
        <is>
          <t>Unidades</t>
        </is>
      </c>
    </row>
    <row r="16">
      <c r="A16" s="1064" t="inlineStr">
        <is>
          <t>General</t>
        </is>
      </c>
      <c r="B16" s="2266">
        <f>IF(IF('1.Description'!$AA$9="english",C16,IF('1.Description'!$AA$9="français",D16,E16))=0,"",IF('1.Description'!$AA$9="english",C16,IF('1.Description'!$AA$9="français",D16,E16)))</f>
        <v/>
      </c>
      <c r="C16" s="1064" t="inlineStr">
        <is>
          <t>Default</t>
        </is>
      </c>
      <c r="D16" s="1064" t="inlineStr">
        <is>
          <t>Défaut</t>
        </is>
      </c>
      <c r="E16" s="1064" t="inlineStr">
        <is>
          <t>Defecto</t>
        </is>
      </c>
    </row>
    <row r="17">
      <c r="A17" s="1064" t="inlineStr">
        <is>
          <t>General</t>
        </is>
      </c>
      <c r="B17" s="2266">
        <f>IF(IF('1.Description'!$AA$9="english",C17,IF('1.Description'!$AA$9="français",D17,E17))=0,"",IF('1.Description'!$AA$9="english",C17,IF('1.Description'!$AA$9="français",D17,E17)))</f>
        <v/>
      </c>
      <c r="C17" s="1064" t="inlineStr">
        <is>
          <t>Tier 2</t>
        </is>
      </c>
      <c r="D17" s="1064" t="inlineStr">
        <is>
          <t>Tier 2</t>
        </is>
      </c>
      <c r="E17" s="1064" t="inlineStr">
        <is>
          <t>Tier 2</t>
        </is>
      </c>
    </row>
    <row r="18">
      <c r="A18" s="1064" t="inlineStr">
        <is>
          <t>General</t>
        </is>
      </c>
      <c r="B18" s="2266">
        <f>IF(IF('1.Description'!$AA$9="english",C18,IF('1.Description'!$AA$9="français",D18,E18))=0,"",IF('1.Description'!$AA$9="english",C18,IF('1.Description'!$AA$9="français",D18,E18)))</f>
        <v/>
      </c>
      <c r="C18" s="1064" t="inlineStr">
        <is>
          <t>Final land-use</t>
        </is>
      </c>
      <c r="D18" s="1064" t="inlineStr">
        <is>
          <t>Utilisation finale des terres</t>
        </is>
      </c>
      <c r="E18" s="1064" t="inlineStr">
        <is>
          <t>Uso del suelo final</t>
        </is>
      </c>
    </row>
    <row r="19">
      <c r="A19" s="1064" t="inlineStr">
        <is>
          <t>General</t>
        </is>
      </c>
      <c r="B19" s="2266">
        <f>IF(IF('1.Description'!$AA$9="english",C19,IF('1.Description'!$AA$9="français",D19,E19))=0,"",IF('1.Description'!$AA$9="english",C19,IF('1.Description'!$AA$9="français",D19,E19)))</f>
        <v/>
      </c>
      <c r="C19" s="1064" t="inlineStr">
        <is>
          <t>Initial land-use</t>
        </is>
      </c>
      <c r="D19" s="1064" t="inlineStr">
        <is>
          <t>Utilisation initiale des terres</t>
        </is>
      </c>
      <c r="E19" s="1064" t="inlineStr">
        <is>
          <t>Uso del suelo inicial</t>
        </is>
      </c>
    </row>
    <row r="20">
      <c r="A20" s="1064" t="inlineStr">
        <is>
          <t>General</t>
        </is>
      </c>
      <c r="B20" s="2266">
        <f>IF(IF('1.Description'!$AA$9="english",C20,IF('1.Description'!$AA$9="français",D20,E20))=0,"",IF('1.Description'!$AA$9="english",C20,IF('1.Description'!$AA$9="français",D20,E20)))</f>
        <v/>
      </c>
      <c r="C20" s="1064" t="inlineStr">
        <is>
          <t>Use this part only if you want to refine the analysis at Tier 2</t>
        </is>
      </c>
      <c r="D20" s="1064" t="inlineStr">
        <is>
          <t>Utilisez cette partie uniquement si vous souhaitez affiner l'analyse au niveau Tier 2</t>
        </is>
      </c>
      <c r="E20" s="1064" t="inlineStr">
        <is>
          <t>Utilice esta parte solamente si desea refinar el análisis con valores Tier 2</t>
        </is>
      </c>
    </row>
    <row r="21">
      <c r="A21" s="1064" t="inlineStr">
        <is>
          <t>General</t>
        </is>
      </c>
      <c r="B21" s="2266">
        <f>IF(IF('1.Description'!$AA$9="english",C21,IF('1.Description'!$AA$9="français",D21,E21))=0,"",IF('1.Description'!$AA$9="english",C21,IF('1.Description'!$AA$9="français",D21,E21)))</f>
        <v/>
      </c>
      <c r="C21" s="1064" t="inlineStr">
        <is>
          <t>IPCC default values are provided for your information only; EX-ACT will use Tier 2 values automatically wherever specified.</t>
        </is>
      </c>
      <c r="D21" s="1064" t="inlineStr">
        <is>
          <t>Les valeurs par défaut du GIEC sont fournies à titre indicatif uniquement ; EX-ACT utilisera automatiquement les valeurs de niveau Tier 2 partout où cela est spécifié.</t>
        </is>
      </c>
      <c r="E21" s="1064" t="inlineStr">
        <is>
          <t>Los valores por defecto de IPCC se ofrecen a título informativo, EX-ACT utilizará automáticamente valores de Tier 2 siempre que se especifiquen</t>
        </is>
      </c>
    </row>
    <row r="22">
      <c r="A22" s="1064" t="inlineStr">
        <is>
          <t>General</t>
        </is>
      </c>
      <c r="B22" s="2266">
        <f>IF(IF('1.Description'!$AA$9="english",C22,IF('1.Description'!$AA$9="français",D22,E22))=0,"",IF('1.Description'!$AA$9="english",C22,IF('1.Description'!$AA$9="français",D22,E22)))</f>
        <v/>
      </c>
      <c r="C22" s="1064" t="inlineStr">
        <is>
          <t>If country-specific data are available, please go to Tier 2:</t>
        </is>
      </c>
      <c r="D22" s="1064" t="inlineStr">
        <is>
          <t>Si des données spécifiques à un pays sont disponibles, veuillez passer au niveau Tier 2 :</t>
        </is>
      </c>
      <c r="E22" s="1064" t="inlineStr">
        <is>
          <t xml:space="preserve">Si dispone de datos especificos del país, vaya al Tier 2: </t>
        </is>
      </c>
    </row>
    <row r="23">
      <c r="A23" s="1064" t="inlineStr">
        <is>
          <t>General</t>
        </is>
      </c>
      <c r="B23" s="2266">
        <f>IF(IF('1.Description'!$AA$9="english",C23,IF('1.Description'!$AA$9="français",D23,E23))=0,"",IF('1.Description'!$AA$9="english",C23,IF('1.Description'!$AA$9="français",D23,E23)))</f>
        <v/>
      </c>
      <c r="C23" s="1064" t="inlineStr">
        <is>
          <t>*The selection of "D" corresponds to a default (linear) dynamics of change. Other selection options include "I" for immediate changes and "E" for exponential - please refer to the guidelines for further explanation of these assumptions.</t>
        </is>
      </c>
      <c r="D23" s="1064" t="inlineStr">
        <is>
          <t>*La sélection de "D" correspond à une dynamique de changement (linéaire) par défaut. D'autres options de sélection incluent "I" pour les changements immédiats et "E" pour exponentiel - veuillez vous référer aux directives pour plus d'explications sur ces hypothèses.</t>
        </is>
      </c>
      <c r="E23" s="1064" t="inlineStr">
        <is>
          <t>La selección de "D" corresponde a una dinámica de cambio por defecto (lineal). Otras opciones de selección incluyen  "I" para cambio Inmediatos y "E" para cambios exponenciales - Consulte la guía para más información respecto a estas suposiciones.</t>
        </is>
      </c>
    </row>
    <row r="24">
      <c r="A24" s="1064" t="inlineStr">
        <is>
          <t>General</t>
        </is>
      </c>
      <c r="B24" s="2266">
        <f>IF(IF('1.Description'!$AA$9="english",C24,IF('1.Description'!$AA$9="français",D24,E24))=0,"",IF('1.Description'!$AA$9="english",C24,IF('1.Description'!$AA$9="français",D24,E24)))</f>
        <v/>
      </c>
      <c r="C24" s="1064" t="inlineStr">
        <is>
          <t>Land-use cover</t>
        </is>
      </c>
      <c r="D24" s="1064" t="inlineStr">
        <is>
          <t>Occupation des sols</t>
        </is>
      </c>
      <c r="E24" s="1064" t="inlineStr">
        <is>
          <t>Cobertura vegetal</t>
        </is>
      </c>
    </row>
    <row r="25">
      <c r="A25" s="1064" t="inlineStr">
        <is>
          <t>General</t>
        </is>
      </c>
      <c r="B25" s="2266">
        <f>IF(IF('1.Description'!$AA$9="english",C25,IF('1.Description'!$AA$9="français",D25,E25))=0,"",IF('1.Description'!$AA$9="english",C25,IF('1.Description'!$AA$9="français",D25,E25)))</f>
        <v/>
      </c>
      <c r="C25" s="1064" t="inlineStr">
        <is>
          <t>Total area (ha)</t>
        </is>
      </c>
      <c r="D25" s="1064" t="inlineStr">
        <is>
          <t>Superficie totale (ha)</t>
        </is>
      </c>
      <c r="E25" s="1064" t="inlineStr">
        <is>
          <t>Área total (ha)</t>
        </is>
      </c>
    </row>
    <row r="26">
      <c r="A26" s="1064" t="inlineStr">
        <is>
          <t>General</t>
        </is>
      </c>
      <c r="B26" s="2266">
        <f>IF(IF('1.Description'!$AA$9="english",C26,IF('1.Description'!$AA$9="français",D26,E26))=0,"",IF('1.Description'!$AA$9="english",C26,IF('1.Description'!$AA$9="français",D26,E26)))</f>
        <v/>
      </c>
      <c r="C26" s="1064" t="inlineStr">
        <is>
          <t>Above-ground</t>
        </is>
      </c>
      <c r="D26" s="1064" t="inlineStr">
        <is>
          <t>Aérienne</t>
        </is>
      </c>
      <c r="E26" s="1064" t="inlineStr">
        <is>
          <t>Aérea</t>
        </is>
      </c>
    </row>
    <row r="27">
      <c r="A27" s="1064" t="inlineStr">
        <is>
          <t>General</t>
        </is>
      </c>
      <c r="B27" s="2266">
        <f>IF(IF('1.Description'!$AA$9="english",C27,IF('1.Description'!$AA$9="français",D27,E27))=0,"",IF('1.Description'!$AA$9="english",C27,IF('1.Description'!$AA$9="français",D27,E27)))</f>
        <v/>
      </c>
      <c r="C27" s="1064" t="inlineStr">
        <is>
          <t>Below-ground</t>
        </is>
      </c>
      <c r="D27" s="1064" t="inlineStr">
        <is>
          <t>Sousterraine</t>
        </is>
      </c>
      <c r="E27" s="1064" t="inlineStr">
        <is>
          <t>Subterránea</t>
        </is>
      </c>
    </row>
    <row r="28">
      <c r="A28" s="1064" t="inlineStr">
        <is>
          <t>General</t>
        </is>
      </c>
      <c r="B28" s="2266">
        <f>IF(IF('1.Description'!$AA$9="english",C28,IF('1.Description'!$AA$9="français",D28,E28))=0,"",IF('1.Description'!$AA$9="english",C28,IF('1.Description'!$AA$9="français",D28,E28)))</f>
        <v/>
      </c>
      <c r="C28" s="1064" t="inlineStr">
        <is>
          <t>Litter</t>
        </is>
      </c>
      <c r="D28" s="1064" t="inlineStr">
        <is>
          <t>Litière</t>
        </is>
      </c>
      <c r="E28" s="1064" t="inlineStr">
        <is>
          <t>Hojarasca</t>
        </is>
      </c>
    </row>
    <row r="29">
      <c r="A29" s="1064" t="inlineStr">
        <is>
          <t>General</t>
        </is>
      </c>
      <c r="B29" s="2266">
        <f>IF(IF('1.Description'!$AA$9="english",C29,IF('1.Description'!$AA$9="français",D29,E29))=0,"",IF('1.Description'!$AA$9="english",C29,IF('1.Description'!$AA$9="français",D29,E29)))</f>
        <v/>
      </c>
      <c r="C29" s="1064" t="inlineStr">
        <is>
          <t>Deadwood</t>
        </is>
      </c>
      <c r="D29" s="1064" t="inlineStr">
        <is>
          <t>Bois morts</t>
        </is>
      </c>
      <c r="E29" s="1064" t="inlineStr">
        <is>
          <t>Madera muerta</t>
        </is>
      </c>
    </row>
    <row r="30">
      <c r="A30" s="1064" t="inlineStr">
        <is>
          <t>General</t>
        </is>
      </c>
      <c r="B30" s="2266">
        <f>IF(IF('1.Description'!$AA$9="english",C30,IF('1.Description'!$AA$9="français",D30,E30))=0,"",IF('1.Description'!$AA$9="english",C30,IF('1.Description'!$AA$9="français",D30,E30)))</f>
        <v/>
      </c>
      <c r="C30" s="1064" t="inlineStr">
        <is>
          <t>Year</t>
        </is>
      </c>
      <c r="D30" s="1064" t="inlineStr">
        <is>
          <t>An</t>
        </is>
      </c>
      <c r="E30" s="1064" t="inlineStr">
        <is>
          <t>Año</t>
        </is>
      </c>
    </row>
    <row r="31">
      <c r="A31" s="1067" t="inlineStr">
        <is>
          <t>1.Description</t>
        </is>
      </c>
      <c r="B31" s="2266">
        <f>IF(IF('1.Description'!$AA$9="english",C31,IF('1.Description'!$AA$9="français",D31,E31))=0,"",IF('1.Description'!$AA$9="english",C31,IF('1.Description'!$AA$9="français",D31,E31)))</f>
        <v/>
      </c>
      <c r="C31" s="1064" t="inlineStr">
        <is>
          <t>1. DESCRIPTION</t>
        </is>
      </c>
      <c r="D31" s="1064" t="inlineStr">
        <is>
          <t>1. DESCRIPTION</t>
        </is>
      </c>
      <c r="E31" s="1064" t="inlineStr">
        <is>
          <t>1. DESCRIPCIÓN</t>
        </is>
      </c>
    </row>
    <row r="32">
      <c r="A32" s="1064" t="inlineStr">
        <is>
          <t>1.Description</t>
        </is>
      </c>
      <c r="B32" s="2266">
        <f>IF(IF('1.Description'!$AA$9="english",C32,IF('1.Description'!$AA$9="français",D32,E32))=0,"",IF('1.Description'!$AA$9="english",C32,IF('1.Description'!$AA$9="français",D32,E32)))</f>
        <v/>
      </c>
      <c r="C32" s="1064" t="inlineStr">
        <is>
          <t>1.1 Project description</t>
        </is>
      </c>
      <c r="D32" s="1064" t="inlineStr">
        <is>
          <t>1.1 Description du projet</t>
        </is>
      </c>
      <c r="E32" s="1064" t="inlineStr">
        <is>
          <t>1.1 Descripción del proyecto</t>
        </is>
      </c>
    </row>
    <row r="33">
      <c r="A33" s="1064" t="inlineStr">
        <is>
          <t>1.Description</t>
        </is>
      </c>
      <c r="B33" s="2266">
        <f>IF(IF('1.Description'!$AA$9="english",C33,IF('1.Description'!$AA$9="français",D33,E33))=0,"",IF('1.Description'!$AA$9="english",C33,IF('1.Description'!$AA$9="français",D33,E33)))</f>
        <v/>
      </c>
      <c r="C33" s="1064" t="inlineStr">
        <is>
          <t xml:space="preserve">Project Name </t>
        </is>
      </c>
      <c r="D33" s="1064" t="inlineStr">
        <is>
          <t>Nom du projet</t>
        </is>
      </c>
      <c r="E33" s="1064" t="inlineStr">
        <is>
          <t>Nombre del proyecto</t>
        </is>
      </c>
    </row>
    <row r="34">
      <c r="A34" s="1064" t="inlineStr">
        <is>
          <t>1.Description</t>
        </is>
      </c>
      <c r="B34" s="2266">
        <f>IF(IF('1.Description'!$AA$9="english",C34,IF('1.Description'!$AA$9="français",D34,E34))=0,"",IF('1.Description'!$AA$9="english",C34,IF('1.Description'!$AA$9="français",D34,E34)))</f>
        <v/>
      </c>
      <c r="C34" s="1064" t="inlineStr">
        <is>
          <t>User Name</t>
        </is>
      </c>
      <c r="D34" s="1064" t="inlineStr">
        <is>
          <t>Nom d'utilisateur</t>
        </is>
      </c>
      <c r="E34" s="1064" t="inlineStr">
        <is>
          <t>Nombre del ususario</t>
        </is>
      </c>
    </row>
    <row r="35">
      <c r="A35" s="1064" t="inlineStr">
        <is>
          <t>1.Description</t>
        </is>
      </c>
      <c r="B35" s="2266">
        <f>IF(IF('1.Description'!$AA$9="english",C35,IF('1.Description'!$AA$9="français",D35,E35))=0,"",IF('1.Description'!$AA$9="english",C35,IF('1.Description'!$AA$9="français",D35,E35)))</f>
        <v/>
      </c>
      <c r="C35" s="1064" t="inlineStr">
        <is>
          <t>Date</t>
        </is>
      </c>
      <c r="D35" s="1064" t="inlineStr">
        <is>
          <t>Date</t>
        </is>
      </c>
      <c r="E35" s="1064" t="inlineStr">
        <is>
          <t>Fecha</t>
        </is>
      </c>
    </row>
    <row r="36">
      <c r="A36" s="1064" t="inlineStr">
        <is>
          <t>1.Description</t>
        </is>
      </c>
      <c r="B36" s="2266">
        <f>IF(IF('1.Description'!$AA$9="english",C36,IF('1.Description'!$AA$9="français",D36,E36))=0,"",IF('1.Description'!$AA$9="english",C36,IF('1.Description'!$AA$9="français",D36,E36)))</f>
        <v/>
      </c>
      <c r="C36" s="1064" t="inlineStr">
        <is>
          <t xml:space="preserve">Project name </t>
        </is>
      </c>
      <c r="D36" s="1064" t="inlineStr">
        <is>
          <t>Nom du projet</t>
        </is>
      </c>
      <c r="E36" s="1064" t="inlineStr">
        <is>
          <t>Nombre del proyecto</t>
        </is>
      </c>
    </row>
    <row r="37">
      <c r="A37" s="1064" t="inlineStr">
        <is>
          <t>1.Description</t>
        </is>
      </c>
      <c r="B37" s="2266">
        <f>IF(IF('1.Description'!$AA$9="english",C37,IF('1.Description'!$AA$9="français",D37,E37))=0,"",IF('1.Description'!$AA$9="english",C37,IF('1.Description'!$AA$9="français",D37,E37)))</f>
        <v/>
      </c>
      <c r="C37" s="1064" t="inlineStr">
        <is>
          <t>Project code</t>
        </is>
      </c>
      <c r="D37" s="1064" t="inlineStr">
        <is>
          <t>Code de projet</t>
        </is>
      </c>
      <c r="E37" s="1064" t="inlineStr">
        <is>
          <t>Código del proyecto</t>
        </is>
      </c>
    </row>
    <row r="38">
      <c r="A38" s="1064" t="inlineStr">
        <is>
          <t>1.Description</t>
        </is>
      </c>
      <c r="B38" s="2266">
        <f>IF(IF('1.Description'!$AA$9="english",C38,IF('1.Description'!$AA$9="français",D38,E38))=0,"",IF('1.Description'!$AA$9="english",C38,IF('1.Description'!$AA$9="français",D38,E38)))</f>
        <v/>
      </c>
      <c r="C38" s="1064" t="inlineStr">
        <is>
          <t>Project cost (in USD)</t>
        </is>
      </c>
      <c r="D38" s="1064" t="inlineStr">
        <is>
          <t>Coût du projet (en USD)</t>
        </is>
      </c>
      <c r="E38" s="1064" t="inlineStr">
        <is>
          <t>Coste del proyecto (en USD)</t>
        </is>
      </c>
    </row>
    <row r="39">
      <c r="A39" s="1064" t="inlineStr">
        <is>
          <t>1.Description</t>
        </is>
      </c>
      <c r="B39" s="2266">
        <f>IF(IF('1.Description'!$AA$9="english",C39,IF('1.Description'!$AA$9="français",D39,E39))=0,"",IF('1.Description'!$AA$9="english",C39,IF('1.Description'!$AA$9="français",D39,E39)))</f>
        <v/>
      </c>
      <c r="C39" s="1064" t="inlineStr">
        <is>
          <t xml:space="preserve">Funding agency </t>
        </is>
      </c>
      <c r="D39" s="1064" t="inlineStr">
        <is>
          <t>Organisme de financement</t>
        </is>
      </c>
      <c r="E39" s="1064" t="inlineStr">
        <is>
          <t>Organismo de financiación / Organización financiadora / Organismo financiador</t>
        </is>
      </c>
    </row>
    <row r="40">
      <c r="A40" s="1064" t="inlineStr">
        <is>
          <t>1.Description</t>
        </is>
      </c>
      <c r="B40" s="2266">
        <f>IF(IF('1.Description'!$AA$9="english",C40,IF('1.Description'!$AA$9="français",D40,E40))=0,"",IF('1.Description'!$AA$9="english",C40,IF('1.Description'!$AA$9="français",D40,E40)))</f>
        <v/>
      </c>
      <c r="C40" s="1064" t="inlineStr">
        <is>
          <t>Executing agency</t>
        </is>
      </c>
      <c r="D40" s="1064" t="inlineStr">
        <is>
          <t>Agence d'exécution</t>
        </is>
      </c>
      <c r="E40" s="1064" t="inlineStr">
        <is>
          <t>Organismo ejecutor</t>
        </is>
      </c>
    </row>
    <row r="41">
      <c r="A41" s="1064" t="inlineStr">
        <is>
          <t>1.Description</t>
        </is>
      </c>
      <c r="B41" s="2266">
        <f>IF(IF('1.Description'!$AA$9="english",C41,IF('1.Description'!$AA$9="français",D41,E41))=0,"",IF('1.Description'!$AA$9="english",C41,IF('1.Description'!$AA$9="français",D41,E41)))</f>
        <v/>
      </c>
      <c r="C41" s="1064" t="inlineStr">
        <is>
          <t>Project status</t>
        </is>
      </c>
      <c r="D41" s="1064" t="inlineStr">
        <is>
          <t>Statut du projet</t>
        </is>
      </c>
      <c r="E41" s="1064" t="inlineStr">
        <is>
          <t>Estatus del proyecto</t>
        </is>
      </c>
    </row>
    <row r="42">
      <c r="A42" s="1064" t="inlineStr">
        <is>
          <t>1.Description</t>
        </is>
      </c>
      <c r="B42" s="2266">
        <f>IF(IF('1.Description'!$AA$9="english",C42,IF('1.Description'!$AA$9="français",D42,E42))=0,"",IF('1.Description'!$AA$9="english",C42,IF('1.Description'!$AA$9="français",D42,E42)))</f>
        <v/>
      </c>
      <c r="C42" s="1064" t="inlineStr">
        <is>
          <t>1.2 Project site and duration</t>
        </is>
      </c>
      <c r="D42" s="1064" t="inlineStr">
        <is>
          <t>1.2 Site et durée du projet</t>
        </is>
      </c>
      <c r="E42" s="1064" t="inlineStr">
        <is>
          <t>1.2 Ubicación y duración del proyecto</t>
        </is>
      </c>
    </row>
    <row r="43">
      <c r="A43" s="1064" t="inlineStr">
        <is>
          <t>1.Description</t>
        </is>
      </c>
      <c r="B43" s="2266">
        <f>IF(IF('1.Description'!$AA$9="english",C43,IF('1.Description'!$AA$9="français",D43,E43))=0,"",IF('1.Description'!$AA$9="english",C43,IF('1.Description'!$AA$9="français",D43,E43)))</f>
        <v/>
      </c>
      <c r="C43" s="1064" t="inlineStr">
        <is>
          <t xml:space="preserve">Continent </t>
        </is>
      </c>
      <c r="D43" s="1064" t="inlineStr">
        <is>
          <t xml:space="preserve"> Continent</t>
        </is>
      </c>
      <c r="E43" s="1064" t="inlineStr">
        <is>
          <t>Continente</t>
        </is>
      </c>
    </row>
    <row r="44">
      <c r="A44" s="1064" t="inlineStr">
        <is>
          <t>1.Description</t>
        </is>
      </c>
      <c r="B44" s="2266">
        <f>IF(IF('1.Description'!$AA$9="english",C44,IF('1.Description'!$AA$9="français",D44,E44))=0,"",IF('1.Description'!$AA$9="english",C44,IF('1.Description'!$AA$9="français",D44,E44)))</f>
        <v/>
      </c>
      <c r="C44" s="1064" t="inlineStr">
        <is>
          <t>Country</t>
        </is>
      </c>
      <c r="D44" s="1064" t="inlineStr">
        <is>
          <t>Pays</t>
        </is>
      </c>
      <c r="E44" s="1064" t="inlineStr">
        <is>
          <t>País</t>
        </is>
      </c>
    </row>
    <row r="45">
      <c r="A45" s="1064" t="inlineStr">
        <is>
          <t>1.Description</t>
        </is>
      </c>
      <c r="B45" s="2266">
        <f>IF(IF('1.Description'!$AA$9="english",C45,IF('1.Description'!$AA$9="français",D45,E45))=0,"",IF('1.Description'!$AA$9="english",C45,IF('1.Description'!$AA$9="français",D45,E45)))</f>
        <v/>
      </c>
      <c r="C45" s="1064" t="inlineStr">
        <is>
          <t xml:space="preserve">Climate </t>
        </is>
      </c>
      <c r="D45" s="1064" t="inlineStr">
        <is>
          <t>Climat</t>
        </is>
      </c>
      <c r="E45" s="1064" t="inlineStr">
        <is>
          <t>Clima</t>
        </is>
      </c>
    </row>
    <row r="46">
      <c r="A46" s="1064" t="inlineStr">
        <is>
          <t>1.Description</t>
        </is>
      </c>
      <c r="B46" s="2266">
        <f>IF(IF('1.Description'!$AA$9="english",C46,IF('1.Description'!$AA$9="français",D46,E46))=0,"",IF('1.Description'!$AA$9="english",C46,IF('1.Description'!$AA$9="français",D46,E46)))</f>
        <v/>
      </c>
      <c r="C46" s="1064" t="inlineStr">
        <is>
          <t xml:space="preserve">Moisture </t>
        </is>
      </c>
      <c r="D46" s="1064" t="inlineStr">
        <is>
          <t>Humidité</t>
        </is>
      </c>
      <c r="E46" s="1064" t="inlineStr">
        <is>
          <t>Humedad</t>
        </is>
      </c>
    </row>
    <row r="47">
      <c r="A47" s="1064" t="inlineStr">
        <is>
          <t>1.Description</t>
        </is>
      </c>
      <c r="B47" s="2266">
        <f>IF(IF('1.Description'!$AA$9="english",C47,IF('1.Description'!$AA$9="français",D47,E47))=0,"",IF('1.Description'!$AA$9="english",C47,IF('1.Description'!$AA$9="français",D47,E47)))</f>
        <v/>
      </c>
      <c r="C47" s="1064" t="inlineStr">
        <is>
          <t xml:space="preserve">Soil Type </t>
        </is>
      </c>
      <c r="D47" s="1064" t="inlineStr">
        <is>
          <t>Type de sol</t>
        </is>
      </c>
      <c r="E47" s="1064" t="inlineStr">
        <is>
          <t>Tipo de suelo</t>
        </is>
      </c>
    </row>
    <row r="48">
      <c r="A48" s="1064" t="inlineStr">
        <is>
          <t>1.Description</t>
        </is>
      </c>
      <c r="B48" s="2266">
        <f>IF(IF('1.Description'!$AA$9="english",C48,IF('1.Description'!$AA$9="français",D48,E48))=0,"",IF('1.Description'!$AA$9="english",C48,IF('1.Description'!$AA$9="français",D48,E48)))</f>
        <v/>
      </c>
      <c r="C48" s="1064" t="inlineStr">
        <is>
          <t>Project duration (in years)</t>
        </is>
      </c>
      <c r="D48" s="1064" t="inlineStr">
        <is>
          <t>Durée du projet (en années)</t>
        </is>
      </c>
      <c r="E48" s="1064" t="inlineStr">
        <is>
          <t>Duración del proyecto  (años)</t>
        </is>
      </c>
    </row>
    <row r="49">
      <c r="A49" s="1064" t="inlineStr">
        <is>
          <t>1.Description</t>
        </is>
      </c>
      <c r="B49" s="2266">
        <f>IF(IF('1.Description'!$AA$9="english",C49,IF('1.Description'!$AA$9="français",D49,E49))=0,"",IF('1.Description'!$AA$9="english",C49,IF('1.Description'!$AA$9="français",D49,E49)))</f>
        <v/>
      </c>
      <c r="C49" s="1064" t="inlineStr">
        <is>
          <t xml:space="preserve">Implementation Phase </t>
        </is>
      </c>
      <c r="D49" s="1064" t="inlineStr">
        <is>
          <t xml:space="preserve"> Phase de mise en oeuvre</t>
        </is>
      </c>
      <c r="E49" s="1064" t="inlineStr">
        <is>
          <t>Fase de implementación</t>
        </is>
      </c>
    </row>
    <row r="50">
      <c r="A50" s="1064" t="inlineStr">
        <is>
          <t>1.Description</t>
        </is>
      </c>
      <c r="B50" s="2266">
        <f>IF(IF('1.Description'!$AA$9="english",C50,IF('1.Description'!$AA$9="français",D50,E50))=0,"",IF('1.Description'!$AA$9="english",C50,IF('1.Description'!$AA$9="français",D50,E50)))</f>
        <v/>
      </c>
      <c r="C50" s="1064" t="inlineStr">
        <is>
          <t xml:space="preserve">Capitalization Phase </t>
        </is>
      </c>
      <c r="D50" s="1064" t="inlineStr">
        <is>
          <t xml:space="preserve"> Phase de capitalisation</t>
        </is>
      </c>
      <c r="E50" s="1064" t="inlineStr">
        <is>
          <t>Fase de capitalización</t>
        </is>
      </c>
    </row>
    <row r="51">
      <c r="A51" s="1064" t="inlineStr">
        <is>
          <t>1.Description</t>
        </is>
      </c>
      <c r="B51" s="2266">
        <f>IF(IF('1.Description'!$AA$9="english",C51,IF('1.Description'!$AA$9="français",D51,E51))=0,"",IF('1.Description'!$AA$9="english",C51,IF('1.Description'!$AA$9="français",D51,E51)))</f>
        <v/>
      </c>
      <c r="C51" s="1064" t="inlineStr">
        <is>
          <t>Total Duration of Accounting</t>
        </is>
      </c>
      <c r="D51" s="1064" t="inlineStr">
        <is>
          <t>Durée totale d'analyse</t>
        </is>
      </c>
      <c r="E51" s="1064" t="inlineStr">
        <is>
          <t>Duración total de la estimación</t>
        </is>
      </c>
    </row>
    <row r="52">
      <c r="A52" s="1064" t="inlineStr">
        <is>
          <t>1.Description</t>
        </is>
      </c>
      <c r="B52" s="2266">
        <f>IF(IF('1.Description'!$AA$9="english",C52,IF('1.Description'!$AA$9="français",D52,E52))=0,"",IF('1.Description'!$AA$9="english",C52,IF('1.Description'!$AA$9="français",D52,E52)))</f>
        <v/>
      </c>
      <c r="C52" s="1064" t="inlineStr">
        <is>
          <t>1.4 Reference soil organic carbon stock</t>
        </is>
      </c>
      <c r="D52" s="1064" t="inlineStr">
        <is>
          <t>1.4 Stock de carbone organique du sol de référence</t>
        </is>
      </c>
      <c r="E52" s="1064" t="inlineStr">
        <is>
          <t>1.4 Valor de Referencia para carbono orgánico del suelo</t>
        </is>
      </c>
    </row>
    <row r="53">
      <c r="A53" s="1064" t="inlineStr">
        <is>
          <t>1.Description</t>
        </is>
      </c>
      <c r="B53" s="2266">
        <f>IF(IF('1.Description'!$AA$9="english",C53,IF('1.Description'!$AA$9="français",D53,E53))=0,"",IF('1.Description'!$AA$9="english",C53,IF('1.Description'!$AA$9="français",D53,E53)))</f>
        <v/>
      </c>
      <c r="C53" s="1064" t="inlineStr">
        <is>
          <t>1.3 Global warming potential</t>
        </is>
      </c>
      <c r="D53" s="1064" t="inlineStr">
        <is>
          <t>1.3 Potentiel de réchauffement global</t>
        </is>
      </c>
      <c r="E53" s="1064" t="inlineStr">
        <is>
          <t>1.3 Potencial de calentamiento global</t>
        </is>
      </c>
    </row>
    <row r="54">
      <c r="A54" s="1064" t="inlineStr">
        <is>
          <t>1.Description</t>
        </is>
      </c>
      <c r="B54" s="2266">
        <f>IF(IF('1.Description'!$AA$9="english",C54,IF('1.Description'!$AA$9="français",D54,E54))=0,"",IF('1.Description'!$AA$9="english",C54,IF('1.Description'!$AA$9="français",D54,E54)))</f>
        <v/>
      </c>
      <c r="C54" s="1064" t="inlineStr">
        <is>
          <t>Source:</t>
        </is>
      </c>
      <c r="D54" s="1064" t="inlineStr">
        <is>
          <t>Référence:</t>
        </is>
      </c>
      <c r="E54" s="1064" t="inlineStr">
        <is>
          <t>Fuente:</t>
        </is>
      </c>
    </row>
    <row r="55">
      <c r="A55" s="1064" t="inlineStr">
        <is>
          <t>1.Description</t>
        </is>
      </c>
      <c r="B55" s="2266">
        <f>IF(IF('1.Description'!$AA$9="english",C55,IF('1.Description'!$AA$9="français",D55,E55))=0,"",IF('1.Description'!$AA$9="english",C55,IF('1.Description'!$AA$9="français",D55,E55)))</f>
        <v/>
      </c>
      <c r="C55" s="1064" t="inlineStr">
        <is>
          <t>Default</t>
        </is>
      </c>
      <c r="D55" s="1064" t="inlineStr">
        <is>
          <t>Défaut</t>
        </is>
      </c>
      <c r="E55" s="1064" t="inlineStr">
        <is>
          <t>Defecto</t>
        </is>
      </c>
    </row>
    <row r="56">
      <c r="B56" s="2266">
        <f>IF(IF('1.Description'!$AA$9="english",C56,IF('1.Description'!$AA$9="français",D56,E56))=0,"",IF('1.Description'!$AA$9="english",C56,IF('1.Description'!$AA$9="français",D56,E56)))</f>
        <v/>
      </c>
      <c r="C56" s="1064" t="inlineStr">
        <is>
          <t>Choose a language</t>
        </is>
      </c>
      <c r="D56" s="1064" t="inlineStr">
        <is>
          <t>Choisissez la langue</t>
        </is>
      </c>
      <c r="E56" s="1064" t="inlineStr">
        <is>
          <t>Elige un idioma</t>
        </is>
      </c>
    </row>
    <row r="57" customFormat="1" s="1068">
      <c r="A57" s="1067" t="inlineStr">
        <is>
          <t>2. LUC</t>
        </is>
      </c>
      <c r="B57" s="2266">
        <f>IF(IF('1.Description'!$AA$9="english",C57,IF('1.Description'!$AA$9="français",D57,E57))=0,"",IF('1.Description'!$AA$9="english",C57,IF('1.Description'!$AA$9="français",D57,E57)))</f>
        <v/>
      </c>
      <c r="C57" s="1067" t="inlineStr">
        <is>
          <t>2.1 DEFORESTATION</t>
        </is>
      </c>
      <c r="D57" s="1067" t="inlineStr">
        <is>
          <t>2.1 DÉFORESTATION</t>
        </is>
      </c>
      <c r="E57" s="1064" t="inlineStr">
        <is>
          <t>2.1 DEFORESTACIÓN</t>
        </is>
      </c>
      <c r="F57" s="1067" t="n"/>
      <c r="G57" s="1067" t="n"/>
      <c r="H57" s="1067" t="n"/>
      <c r="I57" s="1067" t="n"/>
    </row>
    <row r="58">
      <c r="A58" s="1064" t="inlineStr">
        <is>
          <t>2. LUC</t>
        </is>
      </c>
      <c r="B58" s="2266">
        <f>IF(IF('1.Description'!$AA$9="english",C58,IF('1.Description'!$AA$9="français",D58,E58))=0,"",IF('1.Description'!$AA$9="english",C58,IF('1.Description'!$AA$9="français",D58,E58)))</f>
        <v/>
      </c>
      <c r="C58" s="1064" t="inlineStr">
        <is>
          <t xml:space="preserve">Type of vegetation </t>
        </is>
      </c>
      <c r="D58" s="1064" t="inlineStr">
        <is>
          <t xml:space="preserve"> Type de végétation</t>
        </is>
      </c>
      <c r="E58" s="1064" t="inlineStr">
        <is>
          <t>Tipo de vegetación</t>
        </is>
      </c>
    </row>
    <row r="59">
      <c r="A59" s="1064" t="inlineStr">
        <is>
          <t>2. LUC</t>
        </is>
      </c>
      <c r="B59" s="2266">
        <f>IF(IF('1.Description'!$AA$9="english",C59,IF('1.Description'!$AA$9="français",D59,E59))=0,"",IF('1.Description'!$AA$9="english",C59,IF('1.Description'!$AA$9="français",D59,E59)))</f>
        <v/>
      </c>
      <c r="C59" s="1064" t="inlineStr">
        <is>
          <t>that will be deforested</t>
        </is>
      </c>
      <c r="D59" s="1064" t="inlineStr">
        <is>
          <t>qui sera déforestée</t>
        </is>
      </c>
      <c r="E59" s="1064" t="inlineStr">
        <is>
          <t>que será deforestada</t>
        </is>
      </c>
    </row>
    <row r="60">
      <c r="A60" s="1064" t="inlineStr">
        <is>
          <t>2. LUC</t>
        </is>
      </c>
      <c r="B60" s="2266">
        <f>IF(IF('1.Description'!$AA$9="english",C60,IF('1.Description'!$AA$9="français",D60,E60))=0,"",IF('1.Description'!$AA$9="english",C60,IF('1.Description'!$AA$9="français",D60,E60)))</f>
        <v/>
      </c>
      <c r="C60" s="1064" t="inlineStr">
        <is>
          <t>HWPs</t>
        </is>
      </c>
      <c r="D60" s="1064" t="inlineStr">
        <is>
          <t>PLR</t>
        </is>
      </c>
      <c r="E60" s="1064" t="inlineStr">
        <is>
          <t>PMR</t>
        </is>
      </c>
    </row>
    <row r="61">
      <c r="A61" s="1064" t="inlineStr">
        <is>
          <t>2. LUC</t>
        </is>
      </c>
      <c r="B61" s="2266">
        <f>IF(IF('1.Description'!$AA$9="english",C61,IF('1.Description'!$AA$9="français",D61,E61))=0,"",IF('1.Description'!$AA$9="english",C61,IF('1.Description'!$AA$9="français",D61,E61)))</f>
        <v/>
      </c>
      <c r="C61" s="1064" t="inlineStr">
        <is>
          <t>Fire used?</t>
        </is>
      </c>
      <c r="D61" s="1064" t="inlineStr">
        <is>
          <t>Feu utilisé ?</t>
        </is>
      </c>
      <c r="E61" s="1064" t="inlineStr">
        <is>
          <t>Uso de fuego?</t>
        </is>
      </c>
    </row>
    <row r="62">
      <c r="A62" s="1064" t="inlineStr">
        <is>
          <t>2. LUC</t>
        </is>
      </c>
      <c r="B62" s="2266">
        <f>IF(IF('1.Description'!$AA$9="english",C62,IF('1.Description'!$AA$9="français",D62,E62))=0,"",IF('1.Description'!$AA$9="english",C62,IF('1.Description'!$AA$9="français",D62,E62)))</f>
        <v/>
      </c>
      <c r="C62" s="1064" t="inlineStr">
        <is>
          <t>(y/n)</t>
        </is>
      </c>
      <c r="D62" s="1064" t="inlineStr">
        <is>
          <t>(o/n)</t>
        </is>
      </c>
      <c r="E62" s="1064" t="inlineStr">
        <is>
          <t>(si/no)</t>
        </is>
      </c>
    </row>
    <row r="63">
      <c r="A63" s="1064" t="inlineStr">
        <is>
          <t>2. LUC</t>
        </is>
      </c>
      <c r="B63" s="2266">
        <f>IF(IF('1.Description'!$AA$9="english",C63,IF('1.Description'!$AA$9="français",D63,E63))=0,"",IF('1.Description'!$AA$9="english",C63,IF('1.Description'!$AA$9="français",D63,E63)))</f>
        <v/>
      </c>
      <c r="C63" s="1064" t="inlineStr">
        <is>
          <t>Final land-use</t>
        </is>
      </c>
      <c r="D63" s="1064" t="inlineStr">
        <is>
          <t>Utilisation finale des terres</t>
        </is>
      </c>
      <c r="E63" s="1064" t="inlineStr">
        <is>
          <t>Uso del suelo final</t>
        </is>
      </c>
    </row>
    <row r="64">
      <c r="A64" s="1064" t="inlineStr">
        <is>
          <t>2. LUC</t>
        </is>
      </c>
      <c r="B64" s="2266">
        <f>IF(IF('1.Description'!$AA$9="english",C64,IF('1.Description'!$AA$9="français",D64,E64))=0,"",IF('1.Description'!$AA$9="english",C64,IF('1.Description'!$AA$9="français",D64,E64)))</f>
        <v/>
      </c>
      <c r="C64" s="1064" t="inlineStr">
        <is>
          <t>after deforestation</t>
        </is>
      </c>
      <c r="D64" s="1064" t="inlineStr">
        <is>
          <t>après déforestation</t>
        </is>
      </c>
      <c r="E64" s="1064" t="inlineStr">
        <is>
          <t>Después de la deforestación</t>
        </is>
      </c>
    </row>
    <row r="65">
      <c r="A65" s="1064" t="inlineStr">
        <is>
          <t>2. LUC</t>
        </is>
      </c>
      <c r="B65" s="2266">
        <f>IF(IF('1.Description'!$AA$9="english",C65,IF('1.Description'!$AA$9="français",D65,E65))=0,"",IF('1.Description'!$AA$9="english",C65,IF('1.Description'!$AA$9="français",D65,E65)))</f>
        <v/>
      </c>
      <c r="C65" s="1064" t="inlineStr">
        <is>
          <t>Initial agroforestry system</t>
        </is>
      </c>
      <c r="D65" s="1064" t="inlineStr">
        <is>
          <t>Système agroforestier initial</t>
        </is>
      </c>
      <c r="E65" s="1064" t="inlineStr">
        <is>
          <t>Sistema agroforestal inicial</t>
        </is>
      </c>
    </row>
    <row r="66">
      <c r="A66" s="1064" t="inlineStr">
        <is>
          <t>2. LUC</t>
        </is>
      </c>
      <c r="B66" s="2266">
        <f>IF(IF('1.Description'!$AA$9="english",C66,IF('1.Description'!$AA$9="français",D66,E66))=0,"",IF('1.Description'!$AA$9="english",C66,IF('1.Description'!$AA$9="français",D66,E66)))</f>
        <v/>
      </c>
      <c r="C66" s="1064" t="inlineStr">
        <is>
          <t>Forested area (ha)</t>
        </is>
      </c>
      <c r="D66" s="1064" t="inlineStr">
        <is>
          <t>Surface forestée (ha)</t>
        </is>
      </c>
      <c r="E66" s="1064" t="inlineStr">
        <is>
          <t>Área boscosa (ha)</t>
        </is>
      </c>
    </row>
    <row r="67">
      <c r="A67" s="1064" t="inlineStr">
        <is>
          <t>2. LUC</t>
        </is>
      </c>
      <c r="B67" s="2266">
        <f>IF(IF('1.Description'!$AA$9="english",C67,IF('1.Description'!$AA$9="français",D67,E67))=0,"",IF('1.Description'!$AA$9="english",C67,IF('1.Description'!$AA$9="français",D67,E67)))</f>
        <v/>
      </c>
      <c r="C67" s="1064" t="inlineStr">
        <is>
          <t>Above-ground</t>
        </is>
      </c>
      <c r="D67" s="1064" t="inlineStr">
        <is>
          <t>Aérienne</t>
        </is>
      </c>
      <c r="E67" s="1064" t="inlineStr">
        <is>
          <t>Aérea</t>
        </is>
      </c>
    </row>
    <row r="68">
      <c r="A68" s="1064" t="inlineStr">
        <is>
          <t>2. LUC</t>
        </is>
      </c>
      <c r="B68" s="2266">
        <f>IF(IF('1.Description'!$AA$9="english",C68,IF('1.Description'!$AA$9="français",D68,E68))=0,"",IF('1.Description'!$AA$9="english",C68,IF('1.Description'!$AA$9="français",D68,E68)))</f>
        <v/>
      </c>
      <c r="C68" s="1064" t="inlineStr">
        <is>
          <t>Below-ground</t>
        </is>
      </c>
      <c r="D68" s="1064" t="inlineStr">
        <is>
          <t>Sousterraine</t>
        </is>
      </c>
      <c r="E68" s="1064" t="inlineStr">
        <is>
          <t>Subterránea</t>
        </is>
      </c>
    </row>
    <row r="69">
      <c r="A69" s="1064" t="inlineStr">
        <is>
          <t>2. LUC</t>
        </is>
      </c>
      <c r="B69" s="2266">
        <f>IF(IF('1.Description'!$AA$9="english",C69,IF('1.Description'!$AA$9="français",D69,E69))=0,"",IF('1.Description'!$AA$9="english",C69,IF('1.Description'!$AA$9="français",D69,E69)))</f>
        <v/>
      </c>
      <c r="C69" s="1064" t="inlineStr">
        <is>
          <t>Deforested area (ha)</t>
        </is>
      </c>
      <c r="D69" s="1064" t="inlineStr">
        <is>
          <t>Surface déforestée (ha)</t>
        </is>
      </c>
      <c r="E69" s="1064" t="inlineStr">
        <is>
          <t>Área deforestada (ha)</t>
        </is>
      </c>
    </row>
    <row r="70">
      <c r="A70" s="1064" t="inlineStr">
        <is>
          <t>2. LUC</t>
        </is>
      </c>
      <c r="B70" s="2266">
        <f>IF(IF('1.Description'!$AA$9="english",C70,IF('1.Description'!$AA$9="français",D70,E70))=0,"",IF('1.Description'!$AA$9="english",C70,IF('1.Description'!$AA$9="français",D70,E70)))</f>
        <v/>
      </c>
      <c r="C70" s="1064" t="inlineStr">
        <is>
          <t>Reforested area (ha)</t>
        </is>
      </c>
      <c r="D70" s="1064" t="inlineStr">
        <is>
          <t>Surface reboisée (ha)</t>
        </is>
      </c>
      <c r="E70" s="1064" t="inlineStr">
        <is>
          <t>Área reforestada (ha)</t>
        </is>
      </c>
    </row>
    <row r="71">
      <c r="A71" s="1064" t="inlineStr">
        <is>
          <t>2. LUC</t>
        </is>
      </c>
      <c r="B71" s="2266">
        <f>IF(IF('1.Description'!$AA$9="english",C71,IF('1.Description'!$AA$9="français",D71,E71))=0,"",IF('1.Description'!$AA$9="english",C71,IF('1.Description'!$AA$9="français",D71,E71)))</f>
        <v/>
      </c>
      <c r="C71" s="1064" t="inlineStr">
        <is>
          <t>Above-ground biomass growth</t>
        </is>
      </c>
      <c r="D71" s="1064" t="inlineStr">
        <is>
          <t>Croissance de la biomasse aérienne</t>
        </is>
      </c>
      <c r="E71" s="1064" t="inlineStr">
        <is>
          <t>Crecimiento de la biomasa aérea</t>
        </is>
      </c>
    </row>
    <row r="72">
      <c r="A72" s="1064" t="inlineStr">
        <is>
          <t>2. LUC</t>
        </is>
      </c>
      <c r="B72" s="2266">
        <f>IF(IF('1.Description'!$AA$9="english",C72,IF('1.Description'!$AA$9="français",D72,E72))=0,"",IF('1.Description'!$AA$9="english",C72,IF('1.Description'!$AA$9="français",D72,E72)))</f>
        <v/>
      </c>
      <c r="C72" s="1064" t="inlineStr">
        <is>
          <t>Below-ground biomass growth</t>
        </is>
      </c>
      <c r="D72" s="1064" t="inlineStr">
        <is>
          <t>Croissance de la biomasse souterraine</t>
        </is>
      </c>
      <c r="E72" s="1064" t="inlineStr">
        <is>
          <t>Crecimiento de la biomasa subterránea</t>
        </is>
      </c>
    </row>
    <row r="73">
      <c r="A73" s="1064" t="inlineStr">
        <is>
          <t>2. LUC</t>
        </is>
      </c>
      <c r="B73" s="2266">
        <f>IF(IF('1.Description'!$AA$9="english",C73,IF('1.Description'!$AA$9="français",D73,E73))=0,"",IF('1.Description'!$AA$9="english",C73,IF('1.Description'!$AA$9="français",D73,E73)))</f>
        <v/>
      </c>
      <c r="C73" s="1064" t="inlineStr">
        <is>
          <t>Litter</t>
        </is>
      </c>
      <c r="D73" s="1064" t="inlineStr">
        <is>
          <t>Litière</t>
        </is>
      </c>
      <c r="E73" s="1064" t="inlineStr">
        <is>
          <t>Hojarasca</t>
        </is>
      </c>
    </row>
    <row r="74">
      <c r="A74" s="1064" t="inlineStr">
        <is>
          <t>2. LUC</t>
        </is>
      </c>
      <c r="B74" s="2266">
        <f>IF(IF('1.Description'!$AA$9="english",C74,IF('1.Description'!$AA$9="français",D74,E74))=0,"",IF('1.Description'!$AA$9="english",C74,IF('1.Description'!$AA$9="français",D74,E74)))</f>
        <v/>
      </c>
      <c r="C74" s="1064" t="inlineStr">
        <is>
          <t>Dead wood</t>
        </is>
      </c>
      <c r="D74" s="1064" t="inlineStr">
        <is>
          <t>Bois mort</t>
        </is>
      </c>
      <c r="E74" s="1064" t="inlineStr">
        <is>
          <t>Madera muerta</t>
        </is>
      </c>
    </row>
    <row r="75">
      <c r="A75" s="1064" t="inlineStr">
        <is>
          <t>2. LUC</t>
        </is>
      </c>
      <c r="B75" s="2266">
        <f>IF(IF('1.Description'!$AA$9="english",C75,IF('1.Description'!$AA$9="français",D75,E75))=0,"",IF('1.Description'!$AA$9="english",C75,IF('1.Description'!$AA$9="français",D75,E75)))</f>
        <v/>
      </c>
      <c r="C75" s="1064" t="inlineStr">
        <is>
          <t>Soil carbon</t>
        </is>
      </c>
      <c r="D75" s="1064" t="inlineStr">
        <is>
          <t>Carbone du sol</t>
        </is>
      </c>
      <c r="E75" s="1064" t="inlineStr">
        <is>
          <t>Carbono del suelo</t>
        </is>
      </c>
    </row>
    <row r="76">
      <c r="A76" s="1064" t="inlineStr">
        <is>
          <t>2. LUC</t>
        </is>
      </c>
      <c r="B76" s="2266">
        <f>IF(IF('1.Description'!$AA$9="english",C76,IF('1.Description'!$AA$9="français",D76,E76))=0,"",IF('1.Description'!$AA$9="english",C76,IF('1.Description'!$AA$9="français",D76,E76)))</f>
        <v/>
      </c>
      <c r="C76" s="1064" t="inlineStr">
        <is>
          <t>Total deforestation (tCO2-e)</t>
        </is>
      </c>
      <c r="D76" s="1064" t="inlineStr">
        <is>
          <t>Déforestation totale (tCO2-e)</t>
        </is>
      </c>
      <c r="E76" s="1064" t="inlineStr">
        <is>
          <t>Deforestación total</t>
        </is>
      </c>
    </row>
    <row r="77">
      <c r="A77" s="1064" t="inlineStr">
        <is>
          <t>2. LUC</t>
        </is>
      </c>
      <c r="B77" s="2266">
        <f>IF(IF('1.Description'!$AA$9="english",C77,IF('1.Description'!$AA$9="français",D77,E77))=0,"",IF('1.Description'!$AA$9="english",C77,IF('1.Description'!$AA$9="français",D77,E77)))</f>
        <v/>
      </c>
      <c r="C77" s="1064" t="inlineStr">
        <is>
          <t>2.2 AFFORESTATION &amp; REFORESTATION</t>
        </is>
      </c>
      <c r="D77" s="1064" t="inlineStr">
        <is>
          <t>2.2 AFFORESTATION &amp; REFORESTATION</t>
        </is>
      </c>
      <c r="E77" s="1064" t="inlineStr">
        <is>
          <t>2.2 AFORESTACIÓN Y REFORESTACIÓN</t>
        </is>
      </c>
    </row>
    <row r="78">
      <c r="A78" s="1064" t="inlineStr">
        <is>
          <t>2. LUC</t>
        </is>
      </c>
      <c r="B78" s="2266">
        <f>IF(IF('1.Description'!$AA$9="english",C78,IF('1.Description'!$AA$9="français",D78,E78))=0,"",IF('1.Description'!$AA$9="english",C78,IF('1.Description'!$AA$9="français",D78,E78)))</f>
        <v/>
      </c>
      <c r="C78" s="1064" t="inlineStr">
        <is>
          <t>Total af/re forestation (tCO2-e)</t>
        </is>
      </c>
      <c r="D78" s="1064" t="inlineStr">
        <is>
          <t>Total af/reforestation (tCO2-e)</t>
        </is>
      </c>
      <c r="E78" s="1064" t="inlineStr">
        <is>
          <t>Área total af/reforestada (ha)</t>
        </is>
      </c>
    </row>
    <row r="79">
      <c r="A79" s="1064" t="inlineStr">
        <is>
          <t>2. LUC</t>
        </is>
      </c>
      <c r="B79" s="2266">
        <f>IF(IF('1.Description'!$AA$9="english",C79,IF('1.Description'!$AA$9="français",D79,E79))=0,"",IF('1.Description'!$AA$9="english",C79,IF('1.Description'!$AA$9="français",D79,E79)))</f>
        <v/>
      </c>
      <c r="C79" s="1064" t="inlineStr">
        <is>
          <t>2.3 OTHER LAND-USE CHANGES</t>
        </is>
      </c>
      <c r="D79" s="1064" t="inlineStr">
        <is>
          <t>2.3 AUTRES CHANGEMENTS D'UTILISATION DES TERRES</t>
        </is>
      </c>
      <c r="E79" s="1064" t="inlineStr">
        <is>
          <t>2.3 OTROS CAMBIOS EN LOS USOS DE LA TIERRA</t>
        </is>
      </c>
    </row>
    <row r="80">
      <c r="A80" s="1064" t="inlineStr">
        <is>
          <t>2. LUC</t>
        </is>
      </c>
      <c r="B80" s="2266">
        <f>IF(IF('1.Description'!$AA$9="english",C80,IF('1.Description'!$AA$9="français",D80,E80))=0,"",IF('1.Description'!$AA$9="english",C80,IF('1.Description'!$AA$9="français",D80,E80)))</f>
        <v/>
      </c>
      <c r="C80" s="1064" t="inlineStr">
        <is>
          <t>User notes</t>
        </is>
      </c>
      <c r="D80" s="1064" t="inlineStr">
        <is>
          <t>Notes d'utilisateur</t>
        </is>
      </c>
      <c r="E80" s="1064" t="inlineStr">
        <is>
          <t>Notas del ususario</t>
        </is>
      </c>
    </row>
    <row r="81">
      <c r="A81" s="1064" t="inlineStr">
        <is>
          <t>2. LUC</t>
        </is>
      </c>
      <c r="B81" s="2266">
        <f>IF(IF('1.Description'!$AA$9="english",C81,IF('1.Description'!$AA$9="français",D81,E81))=0,"",IF('1.Description'!$AA$9="english",C81,IF('1.Description'!$AA$9="français",D81,E81)))</f>
        <v/>
      </c>
      <c r="C81" s="1064" t="inlineStr">
        <is>
          <t>Total non forest land-use change (tCO2-e)</t>
        </is>
      </c>
      <c r="D81" s="1064" t="inlineStr">
        <is>
          <t>Changement total d'affectation des terres non forestières (tCO2-e)</t>
        </is>
      </c>
      <c r="E81" s="1064" t="inlineStr">
        <is>
          <t>Total de los cambios de los usos de la tierra  no forestales  (tCO2-e)</t>
        </is>
      </c>
    </row>
    <row r="82">
      <c r="A82" s="1064" t="inlineStr">
        <is>
          <t>2. LUC</t>
        </is>
      </c>
      <c r="B82" s="2266">
        <f>IF(IF('1.Description'!$AA$9="english",C82,IF('1.Description'!$AA$9="français",D82,E82))=0,"",IF('1.Description'!$AA$9="english",C82,IF('1.Description'!$AA$9="français",D82,E82)))</f>
        <v/>
      </c>
      <c r="C82" s="1064" t="inlineStr">
        <is>
          <t>Area of land use change (ha)</t>
        </is>
      </c>
      <c r="D82" s="1064" t="inlineStr">
        <is>
          <t>Surface de changement d'affectation des terres (ha)</t>
        </is>
      </c>
      <c r="E82" s="1064" t="inlineStr">
        <is>
          <t>Área de cambio de los usos de la tierra</t>
        </is>
      </c>
    </row>
    <row r="83">
      <c r="B83" s="2266">
        <f>IF(IF('1.Description'!$AA$9="english",C83,IF('1.Description'!$AA$9="français",D83,E83))=0,"",IF('1.Description'!$AA$9="english",C83,IF('1.Description'!$AA$9="français",D83,E83)))</f>
        <v/>
      </c>
      <c r="C83" s="1064" t="inlineStr">
        <is>
          <t>Reference carbon stocks</t>
        </is>
      </c>
      <c r="D83" s="1064" t="inlineStr">
        <is>
          <t>Stocks de carbone de référence</t>
        </is>
      </c>
      <c r="E83" s="1064" t="inlineStr">
        <is>
          <t>Valores de referencia de las reservas de carbono</t>
        </is>
      </c>
    </row>
    <row r="84">
      <c r="B84" s="2266">
        <f>IF(IF('1.Description'!$AA$9="english",C84,IF('1.Description'!$AA$9="français",D84,E84))=0,"",IF('1.Description'!$AA$9="english",C84,IF('1.Description'!$AA$9="français",D84,E84)))</f>
        <v/>
      </c>
      <c r="C84" s="1064" t="inlineStr">
        <is>
          <t>All units are in tC/ha</t>
        </is>
      </c>
      <c r="D84" s="1064" t="inlineStr">
        <is>
          <t>Toutes les unités sont en tC/ha</t>
        </is>
      </c>
      <c r="E84" s="1064" t="inlineStr">
        <is>
          <t>Todas las unidades están en tC/ha</t>
        </is>
      </c>
    </row>
    <row r="85">
      <c r="B85" s="2266">
        <f>IF(IF('1.Description'!$AA$9="english",C85,IF('1.Description'!$AA$9="français",D85,E85))=0,"",IF('1.Description'!$AA$9="english",C85,IF('1.Description'!$AA$9="français",D85,E85)))</f>
        <v/>
      </c>
      <c r="C85" s="1064" t="inlineStr">
        <is>
          <t>after A/R</t>
        </is>
      </c>
      <c r="D85" s="1064" t="inlineStr">
        <is>
          <t>après A/R</t>
        </is>
      </c>
      <c r="E85" s="1064" t="inlineStr">
        <is>
          <t>Después de A/R</t>
        </is>
      </c>
    </row>
    <row r="86">
      <c r="B86" s="2266">
        <f>IF(IF('1.Description'!$AA$9="english",C86,IF('1.Description'!$AA$9="français",D86,E86))=0,"",IF('1.Description'!$AA$9="english",C86,IF('1.Description'!$AA$9="français",D86,E86)))</f>
        <v/>
      </c>
      <c r="C86" s="1064" t="inlineStr">
        <is>
          <t>Biomass</t>
        </is>
      </c>
      <c r="D86" s="1064" t="inlineStr">
        <is>
          <t>Biomasse</t>
        </is>
      </c>
      <c r="E86" s="1064" t="inlineStr">
        <is>
          <t>Biomasa</t>
        </is>
      </c>
    </row>
    <row r="87">
      <c r="B87" s="2266">
        <f>IF(IF('1.Description'!$AA$9="english",C87,IF('1.Description'!$AA$9="français",D87,E87))=0,"",IF('1.Description'!$AA$9="english",C87,IF('1.Description'!$AA$9="français",D87,E87)))</f>
        <v/>
      </c>
      <c r="C87" s="1064" t="inlineStr">
        <is>
          <t>( ≤ 20 years )</t>
        </is>
      </c>
      <c r="D87" s="1064" t="inlineStr">
        <is>
          <t>( ≤ 20 ans )</t>
        </is>
      </c>
      <c r="E87" s="1064" t="inlineStr">
        <is>
          <t>( ≤ 20 años )</t>
        </is>
      </c>
    </row>
    <row r="88">
      <c r="B88" s="2266">
        <f>IF(IF('1.Description'!$AA$9="english",C88,IF('1.Description'!$AA$9="français",D88,E88))=0,"",IF('1.Description'!$AA$9="english",C88,IF('1.Description'!$AA$9="français",D88,E88)))</f>
        <v/>
      </c>
      <c r="C88" s="1064" t="inlineStr">
        <is>
          <t>( &gt; 20 years )</t>
        </is>
      </c>
      <c r="D88" s="1064" t="inlineStr">
        <is>
          <t>( &gt; 20 ans )</t>
        </is>
      </c>
      <c r="E88" s="1064" t="inlineStr">
        <is>
          <t>( &gt; 20 años )</t>
        </is>
      </c>
    </row>
    <row r="89">
      <c r="B89" s="2266">
        <f>IF(IF('1.Description'!$AA$9="english",C89,IF('1.Description'!$AA$9="français",D89,E89))=0,"",IF('1.Description'!$AA$9="english",C89,IF('1.Description'!$AA$9="français",D89,E89)))</f>
        <v/>
      </c>
      <c r="C89" s="1064" t="inlineStr">
        <is>
          <t>tC/ha/yr</t>
        </is>
      </c>
      <c r="D89" s="1064" t="inlineStr">
        <is>
          <t>tC/ha/an</t>
        </is>
      </c>
      <c r="E89" s="1064" t="inlineStr">
        <is>
          <t>tC/ha/año</t>
        </is>
      </c>
    </row>
    <row r="90">
      <c r="B90" s="2266">
        <f>IF(IF('1.Description'!$AA$9="english",C90,IF('1.Description'!$AA$9="français",D90,E90))=0,"",IF('1.Description'!$AA$9="english",C90,IF('1.Description'!$AA$9="français",D90,E90)))</f>
        <v/>
      </c>
      <c r="C90" s="1064" t="inlineStr">
        <is>
          <t>tC/ha</t>
        </is>
      </c>
      <c r="D90" s="1064" t="inlineStr">
        <is>
          <t>tC/ha</t>
        </is>
      </c>
      <c r="E90" s="1064" t="inlineStr">
        <is>
          <t>tC/ha</t>
        </is>
      </c>
    </row>
    <row r="91">
      <c r="B91" s="2266">
        <f>IF(IF('1.Description'!$AA$9="english",C91,IF('1.Description'!$AA$9="français",D91,E91))=0,"",IF('1.Description'!$AA$9="english",C91,IF('1.Description'!$AA$9="français",D91,E91)))</f>
        <v/>
      </c>
      <c r="C91" s="1064" t="inlineStr">
        <is>
          <t>In tC/ha in the first year</t>
        </is>
      </c>
      <c r="D91" s="1064" t="inlineStr">
        <is>
          <t>En tC/ha la première année</t>
        </is>
      </c>
      <c r="E91" s="1064" t="inlineStr">
        <is>
          <t>en tC/ha el primer año</t>
        </is>
      </c>
    </row>
    <row r="92">
      <c r="B92" s="2266">
        <f>IF(IF('1.Description'!$AA$9="english",C92,IF('1.Description'!$AA$9="français",D92,E92))=0,"",IF('1.Description'!$AA$9="english",C92,IF('1.Description'!$AA$9="français",D92,E92)))</f>
        <v/>
      </c>
      <c r="C92" s="4478" t="inlineStr">
        <is>
          <t>kgCH4/ha/yr</t>
        </is>
      </c>
      <c r="D92" s="4478" t="inlineStr">
        <is>
          <t>kgCH4/ha/yr</t>
        </is>
      </c>
      <c r="E92" s="1064" t="inlineStr">
        <is>
          <t>KgCH4/ha/año</t>
        </is>
      </c>
    </row>
    <row r="93">
      <c r="B93" s="2266">
        <f>IF(IF('1.Description'!$AA$9="english",C93,IF('1.Description'!$AA$9="français",D93,E93))=0,"",IF('1.Description'!$AA$9="english",C93,IF('1.Description'!$AA$9="français",D93,E93)))</f>
        <v/>
      </c>
      <c r="C93" s="4478" t="inlineStr">
        <is>
          <t>kgN2O-N/ha/yr</t>
        </is>
      </c>
      <c r="D93" s="4478" t="inlineStr">
        <is>
          <t>kgN2O-N/ha/yr</t>
        </is>
      </c>
      <c r="E93" s="1064" t="inlineStr">
        <is>
          <t>kgN2O-N/ha/año</t>
        </is>
      </c>
    </row>
    <row r="94">
      <c r="B94" s="2266">
        <f>IF(IF('1.Description'!$AA$9="english",C94,IF('1.Description'!$AA$9="français",D94,E94))=0,"",IF('1.Description'!$AA$9="english",C94,IF('1.Description'!$AA$9="français",D94,E94)))</f>
        <v/>
      </c>
      <c r="C94" s="4478" t="inlineStr">
        <is>
          <t>DOC</t>
        </is>
      </c>
      <c r="D94" s="4478" t="inlineStr">
        <is>
          <t>COD</t>
        </is>
      </c>
      <c r="E94" s="1064" t="inlineStr">
        <is>
          <t>MOD (Materia Orgánica Disuelta)</t>
        </is>
      </c>
    </row>
    <row r="95">
      <c r="B95" s="2266">
        <f>IF(IF('1.Description'!$AA$9="english",C95,IF('1.Description'!$AA$9="français",D95,E95))=0,"",IF('1.Description'!$AA$9="english",C95,IF('1.Description'!$AA$9="français",D95,E95)))</f>
        <v/>
      </c>
      <c r="C95" s="4478" t="inlineStr">
        <is>
          <t>CH4</t>
        </is>
      </c>
      <c r="D95" s="4478" t="inlineStr">
        <is>
          <t>CH4</t>
        </is>
      </c>
      <c r="E95" s="1064" t="inlineStr">
        <is>
          <t>CH4</t>
        </is>
      </c>
    </row>
    <row r="96">
      <c r="B96" s="2266">
        <f>IF(IF('1.Description'!$AA$9="english",C96,IF('1.Description'!$AA$9="français",D96,E96))=0,"",IF('1.Description'!$AA$9="english",C96,IF('1.Description'!$AA$9="français",D96,E96)))</f>
        <v/>
      </c>
      <c r="C96" s="4478" t="inlineStr">
        <is>
          <t>N2O</t>
        </is>
      </c>
      <c r="D96" s="4478" t="inlineStr">
        <is>
          <t>N2O</t>
        </is>
      </c>
      <c r="E96" s="1064" t="inlineStr">
        <is>
          <t>N2O</t>
        </is>
      </c>
    </row>
    <row r="97">
      <c r="B97" s="2266">
        <f>IF(IF('1.Description'!$AA$9="english",C97,IF('1.Description'!$AA$9="français",D97,E97))=0,"",IF('1.Description'!$AA$9="english",C97,IF('1.Description'!$AA$9="français",D97,E97)))</f>
        <v/>
      </c>
      <c r="C97" s="4478" t="inlineStr">
        <is>
          <t>gC/kg d.m.</t>
        </is>
      </c>
      <c r="D97" s="4478" t="inlineStr">
        <is>
          <t>gC/kg m.s.</t>
        </is>
      </c>
      <c r="E97" s="1064" t="inlineStr">
        <is>
          <t xml:space="preserve">gC/kg m.s. </t>
        </is>
      </c>
    </row>
    <row r="98">
      <c r="B98" s="2266">
        <f>IF(IF('1.Description'!$AA$9="english",C98,IF('1.Description'!$AA$9="français",D98,E98))=0,"",IF('1.Description'!$AA$9="english",C98,IF('1.Description'!$AA$9="français",D98,E98)))</f>
        <v/>
      </c>
      <c r="C98" s="4478" t="inlineStr">
        <is>
          <t>gCO/kg d.m.</t>
        </is>
      </c>
      <c r="D98" s="4478" t="inlineStr">
        <is>
          <t>gCO/kg m.s.</t>
        </is>
      </c>
      <c r="E98" s="1064" t="inlineStr">
        <is>
          <t xml:space="preserve">gCO/kg m.s. </t>
        </is>
      </c>
    </row>
    <row r="99">
      <c r="B99" s="2266">
        <f>IF(IF('1.Description'!$AA$9="english",C99,IF('1.Description'!$AA$9="français",D99,E99))=0,"",IF('1.Description'!$AA$9="english",C99,IF('1.Description'!$AA$9="français",D99,E99)))</f>
        <v/>
      </c>
      <c r="C99" s="4478" t="inlineStr">
        <is>
          <t>gCH4/kg d.m.</t>
        </is>
      </c>
      <c r="D99" s="4478" t="inlineStr">
        <is>
          <t>gCH4/kg m.s.</t>
        </is>
      </c>
      <c r="E99" s="1064" t="inlineStr">
        <is>
          <t xml:space="preserve">gCH4/kg m.s. </t>
        </is>
      </c>
    </row>
    <row r="100">
      <c r="B100" s="2266">
        <f>IF(IF('1.Description'!$AA$9="english",C100,IF('1.Description'!$AA$9="français",D100,E100))=0,"",IF('1.Description'!$AA$9="english",C100,IF('1.Description'!$AA$9="français",D100,E100)))</f>
        <v/>
      </c>
      <c r="C100" s="4478" t="n"/>
    </row>
    <row r="101">
      <c r="B101" s="2266">
        <f>IF(IF('1.Description'!$AA$9="english",C101,IF('1.Description'!$AA$9="français",D101,E101))=0,"",IF('1.Description'!$AA$9="english",C101,IF('1.Description'!$AA$9="français",D101,E101)))</f>
        <v/>
      </c>
    </row>
    <row r="102">
      <c r="B102" s="2266">
        <f>IF(IF('1.Description'!$AA$9="english",C102,IF('1.Description'!$AA$9="français",D102,E102))=0,"",IF('1.Description'!$AA$9="english",C102,IF('1.Description'!$AA$9="français",D102,E102)))</f>
        <v/>
      </c>
    </row>
    <row r="103">
      <c r="B103" s="2266">
        <f>IF(IF('1.Description'!$AA$9="english",C103,IF('1.Description'!$AA$9="français",D103,E103))=0,"",IF('1.Description'!$AA$9="english",C103,IF('1.Description'!$AA$9="français",D103,E103)))</f>
        <v/>
      </c>
    </row>
    <row r="104">
      <c r="B104" s="2266">
        <f>IF(IF('1.Description'!$AA$9="english",C104,IF('1.Description'!$AA$9="français",D104,E104))=0,"",IF('1.Description'!$AA$9="english",C104,IF('1.Description'!$AA$9="français",D104,E104)))</f>
        <v/>
      </c>
      <c r="C104" s="1064" t="inlineStr">
        <is>
          <t>Description</t>
        </is>
      </c>
      <c r="D104" s="1064" t="inlineStr">
        <is>
          <t>Description</t>
        </is>
      </c>
      <c r="E104" s="1064" t="inlineStr">
        <is>
          <t>Descripción</t>
        </is>
      </c>
    </row>
    <row r="105">
      <c r="A105" s="1064" t="inlineStr">
        <is>
          <t>3. Cropland</t>
        </is>
      </c>
      <c r="B105" s="2266">
        <f>IF(IF('1.Description'!$AA$9="english",C105,IF('1.Description'!$AA$9="français",D105,E105))=0,"",IF('1.Description'!$AA$9="english",C105,IF('1.Description'!$AA$9="français",D105,E105)))</f>
        <v/>
      </c>
      <c r="C105" s="1064" t="inlineStr">
        <is>
          <t>Fill with your description</t>
        </is>
      </c>
      <c r="D105" s="1064" t="inlineStr">
        <is>
          <t>Remplissez avec votre description</t>
        </is>
      </c>
      <c r="E105" s="1064" t="inlineStr">
        <is>
          <t>Rellene con su descripción</t>
        </is>
      </c>
    </row>
    <row r="106">
      <c r="A106" s="1064" t="inlineStr">
        <is>
          <t>3. Cropland</t>
        </is>
      </c>
      <c r="B106" s="2266">
        <f>IF(IF('1.Description'!$AA$9="english",C106,IF('1.Description'!$AA$9="français",D106,E106))=0,"",IF('1.Description'!$AA$9="english",C106,IF('1.Description'!$AA$9="français",D106,E106)))</f>
        <v/>
      </c>
      <c r="C106" s="1064" t="inlineStr">
        <is>
          <t xml:space="preserve">Main season  </t>
        </is>
      </c>
      <c r="D106" s="1064" t="inlineStr">
        <is>
          <t xml:space="preserve"> Saison principale</t>
        </is>
      </c>
      <c r="E106" s="1064" t="inlineStr">
        <is>
          <t>Estación principal</t>
        </is>
      </c>
    </row>
    <row r="107">
      <c r="A107" s="1064" t="inlineStr">
        <is>
          <t>3. Cropland</t>
        </is>
      </c>
      <c r="B107" s="2266">
        <f>IF(IF('1.Description'!$AA$9="english",C107,IF('1.Description'!$AA$9="français",D107,E107))=0,"",IF('1.Description'!$AA$9="english",C107,IF('1.Description'!$AA$9="français",D107,E107)))</f>
        <v/>
      </c>
      <c r="C107" s="1064" t="inlineStr">
        <is>
          <t>crop</t>
        </is>
      </c>
      <c r="D107" s="1064" t="inlineStr">
        <is>
          <t>culture</t>
        </is>
      </c>
      <c r="E107" s="1064" t="inlineStr">
        <is>
          <t>Cultivo</t>
        </is>
      </c>
    </row>
    <row r="108">
      <c r="A108" s="1064" t="inlineStr">
        <is>
          <t>3. Cropland</t>
        </is>
      </c>
      <c r="B108" s="2266">
        <f>IF(IF('1.Description'!$AA$9="english",C108,IF('1.Description'!$AA$9="français",D108,E108))=0,"",IF('1.Description'!$AA$9="english",C108,IF('1.Description'!$AA$9="français",D108,E108)))</f>
        <v/>
      </c>
      <c r="C108" s="1064" t="inlineStr">
        <is>
          <t>Tillage</t>
        </is>
      </c>
      <c r="D108" s="1064" t="inlineStr">
        <is>
          <t>Labour du sol</t>
        </is>
      </c>
      <c r="E108" s="1064" t="inlineStr">
        <is>
          <t>Gestión de Laboreo</t>
        </is>
      </c>
    </row>
    <row r="109">
      <c r="A109" s="1064" t="inlineStr">
        <is>
          <t>3. Cropland</t>
        </is>
      </c>
      <c r="B109" s="2266">
        <f>IF(IF('1.Description'!$AA$9="english",C109,IF('1.Description'!$AA$9="français",D109,E109))=0,"",IF('1.Description'!$AA$9="english",C109,IF('1.Description'!$AA$9="français",D109,E109)))</f>
        <v/>
      </c>
      <c r="C109" s="1064" t="inlineStr">
        <is>
          <t>management</t>
        </is>
      </c>
    </row>
    <row r="110">
      <c r="A110" s="1064" t="inlineStr">
        <is>
          <t>3. Cropland</t>
        </is>
      </c>
      <c r="B110" s="2266">
        <f>IF(IF('1.Description'!$AA$9="english",C110,IF('1.Description'!$AA$9="français",D110,E110))=0,"",IF('1.Description'!$AA$9="english",C110,IF('1.Description'!$AA$9="français",D110,E110)))</f>
        <v/>
      </c>
      <c r="C110" s="1064" t="inlineStr">
        <is>
          <t>Input of</t>
        </is>
      </c>
      <c r="D110" s="1064" t="inlineStr">
        <is>
          <t>Apport de</t>
        </is>
      </c>
      <c r="E110" s="1064" t="inlineStr">
        <is>
          <t>Aporte de</t>
        </is>
      </c>
    </row>
    <row r="111">
      <c r="A111" s="1064" t="inlineStr">
        <is>
          <t>3. Cropland</t>
        </is>
      </c>
      <c r="B111" s="2266">
        <f>IF(IF('1.Description'!$AA$9="english",C111,IF('1.Description'!$AA$9="français",D111,E111))=0,"",IF('1.Description'!$AA$9="english",C111,IF('1.Description'!$AA$9="français",D111,E111)))</f>
        <v/>
      </c>
      <c r="C111" s="1064" t="inlineStr">
        <is>
          <t xml:space="preserve"> organic material</t>
        </is>
      </c>
      <c r="D111" s="1064" t="inlineStr">
        <is>
          <t xml:space="preserve"> matière organique</t>
        </is>
      </c>
      <c r="E111" s="1064" t="inlineStr">
        <is>
          <t>materia orgánica</t>
        </is>
      </c>
    </row>
    <row r="112">
      <c r="A112" s="1064" t="inlineStr">
        <is>
          <t>3. Cropland</t>
        </is>
      </c>
      <c r="B112" s="2266">
        <f>IF(IF('1.Description'!$AA$9="english",C112,IF('1.Description'!$AA$9="français",D112,E112))=0,"",IF('1.Description'!$AA$9="english",C112,IF('1.Description'!$AA$9="français",D112,E112)))</f>
        <v/>
      </c>
      <c r="C112" s="1064" t="inlineStr">
        <is>
          <t xml:space="preserve">Residue </t>
        </is>
      </c>
      <c r="D112" s="1064" t="inlineStr">
        <is>
          <t>Géstion</t>
        </is>
      </c>
      <c r="E112" s="1064" t="inlineStr">
        <is>
          <t>Gestión</t>
        </is>
      </c>
    </row>
    <row r="113">
      <c r="A113" s="1064" t="inlineStr">
        <is>
          <t>3. Cropland</t>
        </is>
      </c>
      <c r="B113" s="2266">
        <f>IF(IF('1.Description'!$AA$9="english",C113,IF('1.Description'!$AA$9="français",D113,E113))=0,"",IF('1.Description'!$AA$9="english",C113,IF('1.Description'!$AA$9="français",D113,E113)))</f>
        <v/>
      </c>
      <c r="C113" s="1064" t="inlineStr">
        <is>
          <t>management</t>
        </is>
      </c>
      <c r="D113" s="1064" t="inlineStr">
        <is>
          <t xml:space="preserve"> des résidus</t>
        </is>
      </c>
      <c r="E113" s="1064" t="inlineStr">
        <is>
          <t>de residuos</t>
        </is>
      </c>
    </row>
    <row r="114">
      <c r="A114" s="1064" t="inlineStr">
        <is>
          <t>3. Cropland</t>
        </is>
      </c>
      <c r="B114" s="2266">
        <f>IF(IF('1.Description'!$AA$9="english",C114,IF('1.Description'!$AA$9="français",D114,E114))=0,"",IF('1.Description'!$AA$9="english",C114,IF('1.Description'!$AA$9="français",D114,E114)))</f>
        <v/>
      </c>
      <c r="C114" s="1064" t="inlineStr">
        <is>
          <t>Yield</t>
        </is>
      </c>
      <c r="D114" s="1064" t="inlineStr">
        <is>
          <t>Rendement</t>
        </is>
      </c>
      <c r="E114" s="1064" t="inlineStr">
        <is>
          <t>Rendimiento</t>
        </is>
      </c>
    </row>
    <row r="115">
      <c r="A115" s="1064" t="inlineStr">
        <is>
          <t>3. Cropland</t>
        </is>
      </c>
      <c r="B115" s="2266">
        <f>IF(IF('1.Description'!$AA$9="english",C115,IF('1.Description'!$AA$9="français",D115,E115))=0,"",IF('1.Description'!$AA$9="english",C115,IF('1.Description'!$AA$9="français",D115,E115)))</f>
        <v/>
      </c>
      <c r="C115" s="1064" t="inlineStr">
        <is>
          <t>Area (ha)</t>
        </is>
      </c>
      <c r="D115" s="1064" t="inlineStr">
        <is>
          <t>Superficie (ha)</t>
        </is>
      </c>
      <c r="E115" s="1064" t="inlineStr">
        <is>
          <t>Área (ha)</t>
        </is>
      </c>
    </row>
    <row r="116">
      <c r="A116" s="1064" t="inlineStr">
        <is>
          <t>3. Cropland</t>
        </is>
      </c>
      <c r="B116" s="2266">
        <f>IF(IF('1.Description'!$AA$9="english",C116,IF('1.Description'!$AA$9="français",D116,E116))=0,"",IF('1.Description'!$AA$9="english",C116,IF('1.Description'!$AA$9="français",D116,E116)))</f>
        <v/>
      </c>
      <c r="C116" s="1064" t="inlineStr">
        <is>
          <t>Start</t>
        </is>
      </c>
      <c r="D116" s="1064" t="inlineStr">
        <is>
          <t>Initial</t>
        </is>
      </c>
      <c r="E116" s="1064" t="inlineStr">
        <is>
          <t>Inicio</t>
        </is>
      </c>
    </row>
    <row r="117">
      <c r="A117" s="1064" t="inlineStr">
        <is>
          <t>3. Cropland</t>
        </is>
      </c>
      <c r="B117" s="2266">
        <f>IF(IF('1.Description'!$AA$9="english",C117,IF('1.Description'!$AA$9="français",D117,E117))=0,"",IF('1.Description'!$AA$9="english",C117,IF('1.Description'!$AA$9="français",D117,E117)))</f>
        <v/>
      </c>
      <c r="C117" s="1064" t="inlineStr">
        <is>
          <t>Without</t>
        </is>
      </c>
      <c r="D117" s="1064" t="inlineStr">
        <is>
          <t>Sans</t>
        </is>
      </c>
      <c r="E117" s="1064" t="inlineStr">
        <is>
          <t>Sin</t>
        </is>
      </c>
    </row>
    <row r="118">
      <c r="A118" s="1064" t="inlineStr">
        <is>
          <t>3. Cropland</t>
        </is>
      </c>
      <c r="B118" s="2266">
        <f>IF(IF('1.Description'!$AA$9="english",C118,IF('1.Description'!$AA$9="français",D118,E118))=0,"",IF('1.Description'!$AA$9="english",C118,IF('1.Description'!$AA$9="français",D118,E118)))</f>
        <v/>
      </c>
      <c r="C118" s="1064" t="inlineStr">
        <is>
          <t>With</t>
        </is>
      </c>
      <c r="D118" s="1064" t="inlineStr">
        <is>
          <t>Avec</t>
        </is>
      </c>
      <c r="E118" s="1064" t="inlineStr">
        <is>
          <t>Con</t>
        </is>
      </c>
    </row>
    <row r="119">
      <c r="A119" s="1064" t="inlineStr">
        <is>
          <t>3. Cropland</t>
        </is>
      </c>
      <c r="B119" s="2266">
        <f>IF(IF('1.Description'!$AA$9="english",C119,IF('1.Description'!$AA$9="français",D119,E119))=0,"",IF('1.Description'!$AA$9="english",C119,IF('1.Description'!$AA$9="français",D119,E119)))</f>
        <v/>
      </c>
      <c r="C119" s="1064" t="inlineStr">
        <is>
          <t>Total Emissions (tCO2-e)</t>
        </is>
      </c>
      <c r="D119" s="1064" t="inlineStr">
        <is>
          <t>Émissions totales (tCO2-e)</t>
        </is>
      </c>
      <c r="E119" s="1064" t="inlineStr">
        <is>
          <t>Emisiones totales (tCO2-e)</t>
        </is>
      </c>
    </row>
    <row r="120">
      <c r="A120" s="1064" t="inlineStr">
        <is>
          <t>3. Cropland</t>
        </is>
      </c>
      <c r="B120" s="2266">
        <f>IF(IF('1.Description'!$AA$9="english",C120,IF('1.Description'!$AA$9="français",D120,E120))=0,"",IF('1.Description'!$AA$9="english",C120,IF('1.Description'!$AA$9="français",D120,E120)))</f>
        <v/>
      </c>
      <c r="C120" s="1064" t="inlineStr">
        <is>
          <t>Balance</t>
        </is>
      </c>
      <c r="D120" s="1064" t="inlineStr">
        <is>
          <t>Balance</t>
        </is>
      </c>
      <c r="E120" s="1064" t="inlineStr">
        <is>
          <t xml:space="preserve">Balance </t>
        </is>
      </c>
    </row>
    <row r="121">
      <c r="A121" s="1064" t="inlineStr">
        <is>
          <t>3. Cropland</t>
        </is>
      </c>
      <c r="B121" s="2266">
        <f>IF(IF('1.Description'!$AA$9="english",C121,IF('1.Description'!$AA$9="français",D121,E121))=0,"",IF('1.Description'!$AA$9="english",C121,IF('1.Description'!$AA$9="français",D121,E121)))</f>
        <v/>
      </c>
      <c r="C121" s="1064" t="inlineStr">
        <is>
          <t>Total annual cropping systems (tCO2-e)</t>
        </is>
      </c>
      <c r="D121" s="1064" t="inlineStr">
        <is>
          <t>Total systèmes de cultures annuelles (tCO2-e)</t>
        </is>
      </c>
      <c r="E121" s="1064" t="inlineStr">
        <is>
          <t>Totales de los cultivos anuales (tCO2-e))</t>
        </is>
      </c>
    </row>
    <row r="122">
      <c r="A122" s="1064" t="inlineStr">
        <is>
          <t>3. Cropland</t>
        </is>
      </c>
      <c r="B122" s="2266">
        <f>IF(IF('1.Description'!$AA$9="english",C122,IF('1.Description'!$AA$9="français",D122,E122))=0,"",IF('1.Description'!$AA$9="english",C122,IF('1.Description'!$AA$9="français",D122,E122)))</f>
        <v/>
      </c>
      <c r="C122" s="1064" t="inlineStr">
        <is>
          <t>If country-specific data are available, please go to:</t>
        </is>
      </c>
      <c r="D122" s="1064" t="inlineStr">
        <is>
          <t>Si des données spécifiques à un pays sont disponibles, veuillez consulter :</t>
        </is>
      </c>
      <c r="E122" s="1064" t="inlineStr">
        <is>
          <t xml:space="preserve">Si dispone de datos especificos del país, vaya al nivel 2: </t>
        </is>
      </c>
    </row>
    <row r="123">
      <c r="A123" s="1064" t="inlineStr">
        <is>
          <t>3. Cropland</t>
        </is>
      </c>
      <c r="B123" s="2266">
        <f>IF(IF('1.Description'!$AA$9="english",C123,IF('1.Description'!$AA$9="français",D123,E123))=0,"",IF('1.Description'!$AA$9="english",C123,IF('1.Description'!$AA$9="français",D123,E123)))</f>
        <v/>
      </c>
      <c r="C123" s="1064" t="inlineStr">
        <is>
          <t>*The selection of "D"corresponds to a default (linear) dynamics of change. Other selection options include "I" for immediate changes and "E" for exponential - please refer to the guidelines for further explanation of these assumptions.</t>
        </is>
      </c>
      <c r="D123" s="1064" t="inlineStr">
        <is>
          <t>*La sélection de "D" correspond à une dynamique de changement par défaut (linéaire). D'autres options de sélection incluent "I" pour les changements immédiats et "E" pour exponentiel - veuillez vous référer aux directives pour plus d'explications sur ces hypothèses.</t>
        </is>
      </c>
      <c r="E123" s="1064" t="inlineStr">
        <is>
          <t>La selección de "D" corresponde a una dinámica de cambio por defecto (lineal). Otras opciones de selección incluyen  "I" para cambio Inmediatos y "E" para cambios exponenciales - Consulte la guía para más información respecto a estas suposiciones.</t>
        </is>
      </c>
    </row>
    <row r="124" customFormat="1" s="1068">
      <c r="A124" s="1067" t="inlineStr">
        <is>
          <t>3. Cropland</t>
        </is>
      </c>
      <c r="B124" s="2266">
        <f>IF(IF('1.Description'!$AA$9="english",C124,IF('1.Description'!$AA$9="français",D124,E124))=0,"",IF('1.Description'!$AA$9="english",C124,IF('1.Description'!$AA$9="français",D124,E124)))</f>
        <v/>
      </c>
      <c r="C124" s="1067" t="inlineStr">
        <is>
          <t>3.1. ANNUAL CROPPING SYSTEMS (to be used also for pluri-annual systems such as cotton or sugarcane)</t>
        </is>
      </c>
      <c r="D124" s="1067" t="inlineStr">
        <is>
          <t>3.1. SYSTEMES DE CULTURES ANNUELLES (à utiliser également pour les systèmes pluriannuels tels que le coton ou la canne à sucre)</t>
        </is>
      </c>
      <c r="E124" s="1064" t="inlineStr">
        <is>
          <t>3.1 SISTEMAS DE CULTIVOS ANUALES ( ser utilizados también por sistemas pluri-anuales como el algodón o la caña de azúcar)</t>
        </is>
      </c>
      <c r="F124" s="1067" t="n"/>
      <c r="G124" s="1067" t="n"/>
      <c r="H124" s="1067" t="n"/>
      <c r="I124" s="1067" t="n"/>
    </row>
    <row r="125" customFormat="1" s="1068">
      <c r="A125" s="1067" t="n"/>
      <c r="B125" s="2266">
        <f>IF(IF('1.Description'!$AA$9="english",C125,IF('1.Description'!$AA$9="français",D125,E125))=0,"",IF('1.Description'!$AA$9="english",C125,IF('1.Description'!$AA$9="français",D125,E125)))</f>
        <v/>
      </c>
      <c r="C125" s="1067" t="inlineStr">
        <is>
          <t>Annuals after deforestation</t>
        </is>
      </c>
      <c r="D125" s="1067" t="inlineStr">
        <is>
          <t>Cultures annuelles après déforestation</t>
        </is>
      </c>
      <c r="E125" s="1064" t="inlineStr">
        <is>
          <t>Cultivos anuales después de la deforestación</t>
        </is>
      </c>
      <c r="F125" s="1067" t="n"/>
      <c r="G125" s="1067" t="n"/>
      <c r="H125" s="1067" t="n"/>
      <c r="I125" s="1067" t="n"/>
    </row>
    <row r="126" customFormat="1" s="1068">
      <c r="A126" s="1067" t="n"/>
      <c r="B126" s="2266">
        <f>IF(IF('1.Description'!$AA$9="english",C126,IF('1.Description'!$AA$9="français",D126,E126))=0,"",IF('1.Description'!$AA$9="english",C126,IF('1.Description'!$AA$9="français",D126,E126)))</f>
        <v/>
      </c>
      <c r="C126" s="1067" t="inlineStr">
        <is>
          <t>Annuals converted to forest land</t>
        </is>
      </c>
      <c r="D126" s="1067" t="inlineStr">
        <is>
          <t>Cultures annuelles converties en terres forestières</t>
        </is>
      </c>
      <c r="E126" s="1064" t="inlineStr">
        <is>
          <t>Cultivos anuales convertidos en bosque</t>
        </is>
      </c>
      <c r="F126" s="1067" t="n"/>
      <c r="G126" s="1067" t="n"/>
      <c r="H126" s="1067" t="n"/>
      <c r="I126" s="1067" t="n"/>
    </row>
    <row r="127" customFormat="1" s="1068">
      <c r="A127" s="1067" t="n"/>
      <c r="B127" s="2266">
        <f>IF(IF('1.Description'!$AA$9="english",C127,IF('1.Description'!$AA$9="français",D127,E127))=0,"",IF('1.Description'!$AA$9="english",C127,IF('1.Description'!$AA$9="français",D127,E127)))</f>
        <v/>
      </c>
      <c r="C127" s="1067" t="inlineStr">
        <is>
          <t>Annuals converted from non-forest LUs</t>
        </is>
      </c>
      <c r="D127" s="1067" t="inlineStr">
        <is>
          <t>Cultures annuelles converties à partir d'UT non forestières</t>
        </is>
      </c>
      <c r="E127" s="1064" t="inlineStr">
        <is>
          <t>Cultivos anuales provenientes de usos de la tierra no forestales</t>
        </is>
      </c>
      <c r="F127" s="1067" t="n"/>
      <c r="G127" s="1067" t="n"/>
      <c r="H127" s="1067" t="n"/>
      <c r="I127" s="1067" t="n"/>
    </row>
    <row r="128" customFormat="1" s="1068">
      <c r="A128" s="1067" t="n"/>
      <c r="B128" s="2266">
        <f>IF(IF('1.Description'!$AA$9="english",C128,IF('1.Description'!$AA$9="français",D128,E128))=0,"",IF('1.Description'!$AA$9="english",C128,IF('1.Description'!$AA$9="français",D128,E128)))</f>
        <v/>
      </c>
      <c r="C128" s="1067" t="inlineStr">
        <is>
          <t>Annuals converted to non-forest Lus</t>
        </is>
      </c>
      <c r="D128" s="1067" t="inlineStr">
        <is>
          <t>Cultures annuelles converties en UT non forestières</t>
        </is>
      </c>
      <c r="E128" s="1064" t="inlineStr">
        <is>
          <t>Cultivos anuales convertidos a usos de la tierra no forestales</t>
        </is>
      </c>
      <c r="F128" s="1067" t="n"/>
      <c r="G128" s="1067" t="n"/>
      <c r="H128" s="1067" t="n"/>
      <c r="I128" s="1067" t="n"/>
    </row>
    <row r="129" customFormat="1" s="1068">
      <c r="A129" s="1067" t="n"/>
      <c r="B129" s="2266">
        <f>IF(IF('1.Description'!$AA$9="english",C129,IF('1.Description'!$AA$9="français",D129,E129))=0,"",IF('1.Description'!$AA$9="english",C129,IF('1.Description'!$AA$9="français",D129,E129)))</f>
        <v/>
      </c>
      <c r="C129" s="1067" t="inlineStr">
        <is>
          <t>You can use it to describe your system</t>
        </is>
      </c>
      <c r="D129" s="1067" t="inlineStr">
        <is>
          <t>Vous pouvez l'utiliser pour décrire votre système</t>
        </is>
      </c>
      <c r="E129" s="1064" t="inlineStr">
        <is>
          <t>Puede utilizarlo para describir su sistema</t>
        </is>
      </c>
      <c r="F129" s="1067" t="n"/>
      <c r="G129" s="1067" t="n"/>
      <c r="H129" s="1067" t="n"/>
      <c r="I129" s="1067" t="n"/>
    </row>
    <row r="130">
      <c r="A130" s="1064" t="inlineStr">
        <is>
          <t>3. Cropland</t>
        </is>
      </c>
      <c r="B130" s="2266">
        <f>IF(IF('1.Description'!$AA$9="english",C130,IF('1.Description'!$AA$9="français",D130,E130))=0,"",IF('1.Description'!$AA$9="english",C130,IF('1.Description'!$AA$9="français",D130,E130)))</f>
        <v/>
      </c>
      <c r="C130" s="1064" t="inlineStr">
        <is>
          <t>3.1.1. Annual cropping systems from other LU or converted to other LU</t>
        </is>
      </c>
      <c r="D130" s="1064" t="inlineStr">
        <is>
          <t>3.1.1. Systèmes de cultures annuelles d'autres UT ou convertis en d'autres UT</t>
        </is>
      </c>
      <c r="E130" s="1064" t="inlineStr">
        <is>
          <t>3.1.1. Sistemas de cultivos anuales provenientes de otros usos de la tierra o convertidos en otros usos de la tierra</t>
        </is>
      </c>
    </row>
    <row r="131">
      <c r="A131" s="1064" t="inlineStr">
        <is>
          <t>3. Cropland</t>
        </is>
      </c>
      <c r="B131" s="2266">
        <f>IF(IF('1.Description'!$AA$9="english",C131,IF('1.Description'!$AA$9="français",D131,E131))=0,"",IF('1.Description'!$AA$9="english",C131,IF('1.Description'!$AA$9="français",D131,E131)))</f>
        <v/>
      </c>
      <c r="C131" s="1064" t="inlineStr">
        <is>
          <t>3.1.2. Annual cropping systems remaining annual cropping systems (total area must remain constant)</t>
        </is>
      </c>
      <c r="D131" s="1064" t="inlineStr">
        <is>
          <t>3.1.2. Systèmes de cultures annuelles restant systèmes de culture annuels (la superficie totale doit rester constante)</t>
        </is>
      </c>
      <c r="E131" s="1064" t="inlineStr">
        <is>
          <t>3.1.2  Sistemas de cultivos anuales que permanecen como sistemas de cultivos anuales (el área total debe permanecer constante)</t>
        </is>
      </c>
    </row>
    <row r="132">
      <c r="A132" s="1064" t="inlineStr">
        <is>
          <t>3. Cropland</t>
        </is>
      </c>
      <c r="B132" s="2266">
        <f>IF(IF('1.Description'!$AA$9="english",C132,IF('1.Description'!$AA$9="français",D132,E132))=0,"",IF('1.Description'!$AA$9="english",C132,IF('1.Description'!$AA$9="français",D132,E132)))</f>
        <v/>
      </c>
      <c r="C132" s="1064" t="inlineStr">
        <is>
          <t>Annual systems from (or to) other land-use</t>
        </is>
      </c>
      <c r="D132" s="1064" t="inlineStr">
        <is>
          <t>Systèmes de cultures annuelles de (ou vers) d'autres utilisations des terres</t>
        </is>
      </c>
      <c r="E132" s="1064" t="inlineStr">
        <is>
          <t>Sistemas de cultivos anuales  provenentes de (o convertidos en) otros usos de la tierra</t>
        </is>
      </c>
    </row>
    <row r="133">
      <c r="A133" s="1064" t="inlineStr">
        <is>
          <t>3. Cropland</t>
        </is>
      </c>
      <c r="B133" s="2266">
        <f>IF(IF('1.Description'!$AA$9="english",C133,IF('1.Description'!$AA$9="français",D133,E133))=0,"",IF('1.Description'!$AA$9="english",C133,IF('1.Description'!$AA$9="français",D133,E133)))</f>
        <v/>
      </c>
      <c r="C133" s="1064" t="inlineStr">
        <is>
          <t xml:space="preserve">Annual systems remaining annual systems </t>
        </is>
      </c>
      <c r="D133" s="1064" t="inlineStr">
        <is>
          <t xml:space="preserve"> Systèmes de cultures annuelles restant systèmes annuels</t>
        </is>
      </c>
      <c r="E133" s="1064" t="inlineStr">
        <is>
          <t>Sistemas de cultivos anuales que permanecen sistemas de cultivo anuales</t>
        </is>
      </c>
    </row>
    <row r="134">
      <c r="A134" s="1064" t="inlineStr">
        <is>
          <t>3. Cropland</t>
        </is>
      </c>
      <c r="B134" s="2266">
        <f>IF(IF('1.Description'!$AA$9="english",C134,IF('1.Description'!$AA$9="français",D134,E134))=0,"",IF('1.Description'!$AA$9="english",C134,IF('1.Description'!$AA$9="français",D134,E134)))</f>
        <v/>
      </c>
      <c r="C134" s="1064" t="inlineStr">
        <is>
          <t>Reference SOC</t>
        </is>
      </c>
      <c r="D134" s="1064" t="inlineStr">
        <is>
          <t>COS de référence</t>
        </is>
      </c>
      <c r="E134" s="1064" t="inlineStr">
        <is>
          <t>Carbono Orgánico del Suelo (COS) de referencia</t>
        </is>
      </c>
    </row>
    <row r="135">
      <c r="A135" s="1064" t="inlineStr">
        <is>
          <t>3. Cropland</t>
        </is>
      </c>
      <c r="B135" s="2266">
        <f>IF(IF('1.Description'!$AA$9="english",C135,IF('1.Description'!$AA$9="français",D135,E135))=0,"",IF('1.Description'!$AA$9="english",C135,IF('1.Description'!$AA$9="français",D135,E135)))</f>
        <v/>
      </c>
      <c r="C135" s="1064" t="inlineStr">
        <is>
          <t>Land-use factor</t>
        </is>
      </c>
      <c r="D135" s="1064" t="inlineStr">
        <is>
          <t>Facteur d'utilisation des terres</t>
        </is>
      </c>
      <c r="E135" s="1064" t="inlineStr">
        <is>
          <t>Factor del uso de la tierra</t>
        </is>
      </c>
    </row>
    <row r="136">
      <c r="A136" s="1064" t="inlineStr">
        <is>
          <t>3. Cropland</t>
        </is>
      </c>
      <c r="B136" s="2266">
        <f>IF(IF('1.Description'!$AA$9="english",C136,IF('1.Description'!$AA$9="français",D136,E136))=0,"",IF('1.Description'!$AA$9="english",C136,IF('1.Description'!$AA$9="français",D136,E136)))</f>
        <v/>
      </c>
      <c r="C136" s="1064" t="inlineStr">
        <is>
          <t>Tillage factor</t>
        </is>
      </c>
      <c r="D136" s="1064" t="inlineStr">
        <is>
          <t>Facteur de travail du sol</t>
        </is>
      </c>
      <c r="E136" s="1064" t="inlineStr">
        <is>
          <t>Factor del laboreo</t>
        </is>
      </c>
    </row>
    <row r="137">
      <c r="A137" s="1064" t="inlineStr">
        <is>
          <t>3. Cropland</t>
        </is>
      </c>
      <c r="B137" s="2266">
        <f>IF(IF('1.Description'!$AA$9="english",C137,IF('1.Description'!$AA$9="français",D137,E137))=0,"",IF('1.Description'!$AA$9="english",C137,IF('1.Description'!$AA$9="français",D137,E137)))</f>
        <v/>
      </c>
      <c r="C137" s="1064" t="inlineStr">
        <is>
          <t>Input factor</t>
        </is>
      </c>
      <c r="D137" s="1064" t="inlineStr">
        <is>
          <t>Facteur d'apport de matière organique</t>
        </is>
      </c>
      <c r="E137" s="1064" t="inlineStr">
        <is>
          <t>Factor de los insumos</t>
        </is>
      </c>
    </row>
    <row r="138">
      <c r="A138" s="1064" t="inlineStr">
        <is>
          <t>3. Cropland</t>
        </is>
      </c>
      <c r="B138" s="2266">
        <f>IF(IF('1.Description'!$AA$9="english",C138,IF('1.Description'!$AA$9="français",D138,E138))=0,"",IF('1.Description'!$AA$9="english",C138,IF('1.Description'!$AA$9="français",D138,E138)))</f>
        <v/>
      </c>
      <c r="C138" s="1064" t="inlineStr">
        <is>
          <t>Minor season crop/intercrop</t>
        </is>
      </c>
      <c r="D138" s="1064" t="inlineStr">
        <is>
          <t>Culture de saison mineure/culture intercalaire</t>
        </is>
      </c>
      <c r="E138" s="1064" t="inlineStr">
        <is>
          <t>Estación de cultivo secundaria / intercultivo</t>
        </is>
      </c>
    </row>
    <row r="139">
      <c r="A139" s="1064" t="inlineStr">
        <is>
          <t>3. Cropland</t>
        </is>
      </c>
      <c r="B139" s="2266">
        <f>IF(IF('1.Description'!$AA$9="english",C139,IF('1.Description'!$AA$9="français",D139,E139))=0,"",IF('1.Description'!$AA$9="english",C139,IF('1.Description'!$AA$9="français",D139,E139)))</f>
        <v/>
      </c>
      <c r="C139" s="1064" t="inlineStr">
        <is>
          <t>Residue/Biomass available</t>
        </is>
      </c>
      <c r="D139" s="1064" t="inlineStr">
        <is>
          <t>Résidus/Biomasse disponible</t>
        </is>
      </c>
      <c r="E139" s="1064" t="inlineStr">
        <is>
          <t>Residuo/biomasa disponible</t>
        </is>
      </c>
    </row>
    <row r="140">
      <c r="A140" s="1064" t="inlineStr">
        <is>
          <t>3. Cropland</t>
        </is>
      </c>
      <c r="B140" s="2266">
        <f>IF(IF('1.Description'!$AA$9="english",C140,IF('1.Description'!$AA$9="français",D140,E140))=0,"",IF('1.Description'!$AA$9="english",C140,IF('1.Description'!$AA$9="français",D140,E140)))</f>
        <v/>
      </c>
      <c r="C140" s="1064" t="inlineStr">
        <is>
          <t>Default</t>
        </is>
      </c>
      <c r="D140" s="1064" t="inlineStr">
        <is>
          <t>Défaut</t>
        </is>
      </c>
      <c r="E140" s="1064" t="inlineStr">
        <is>
          <t>Valor por defecto/ predeterminado</t>
        </is>
      </c>
    </row>
    <row r="141">
      <c r="A141" s="1064" t="inlineStr">
        <is>
          <t>3. Cropland</t>
        </is>
      </c>
      <c r="B141" s="2266">
        <f>IF(IF('1.Description'!$AA$9="english",C141,IF('1.Description'!$AA$9="français",D141,E141))=0,"",IF('1.Description'!$AA$9="english",C141,IF('1.Description'!$AA$9="français",D141,E141)))</f>
        <v/>
      </c>
      <c r="C141" s="1064" t="inlineStr">
        <is>
          <t>Tier 2</t>
        </is>
      </c>
      <c r="D141" s="1064" t="inlineStr">
        <is>
          <t>Tier 2</t>
        </is>
      </c>
      <c r="E141" s="1064" t="inlineStr">
        <is>
          <t>Tier 2</t>
        </is>
      </c>
    </row>
    <row r="142">
      <c r="A142" s="1064" t="inlineStr">
        <is>
          <t>3. Cropland</t>
        </is>
      </c>
      <c r="B142" s="2266">
        <f>IF(IF('1.Description'!$AA$9="english",C142,IF('1.Description'!$AA$9="français",D142,E142))=0,"",IF('1.Description'!$AA$9="english",C142,IF('1.Description'!$AA$9="français",D142,E142)))</f>
        <v/>
      </c>
      <c r="C142" s="1064" t="inlineStr">
        <is>
          <t>Crop</t>
        </is>
      </c>
      <c r="D142" s="1064" t="inlineStr">
        <is>
          <t>Culture</t>
        </is>
      </c>
      <c r="E142" s="1064" t="inlineStr">
        <is>
          <t>Cultivo principal</t>
        </is>
      </c>
    </row>
    <row r="143">
      <c r="A143" s="1064" t="inlineStr">
        <is>
          <t>3. Cropland</t>
        </is>
      </c>
      <c r="B143" s="2266">
        <f>IF(IF('1.Description'!$AA$9="english",C143,IF('1.Description'!$AA$9="français",D143,E143))=0,"",IF('1.Description'!$AA$9="english",C143,IF('1.Description'!$AA$9="français",D143,E143)))</f>
        <v/>
      </c>
      <c r="C143" s="1064" t="inlineStr">
        <is>
          <t>Yield</t>
        </is>
      </c>
      <c r="D143" s="1064" t="inlineStr">
        <is>
          <t>Rendement</t>
        </is>
      </c>
      <c r="E143" s="1064" t="inlineStr">
        <is>
          <t>Rendimiento</t>
        </is>
      </c>
    </row>
    <row r="144">
      <c r="A144" s="1064" t="inlineStr">
        <is>
          <t>3. Cropland</t>
        </is>
      </c>
      <c r="B144" s="2266">
        <f>IF(IF('1.Description'!$AA$9="english",C144,IF('1.Description'!$AA$9="français",D144,E144))=0,"",IF('1.Description'!$AA$9="english",C144,IF('1.Description'!$AA$9="français",D144,E144)))</f>
        <v/>
      </c>
      <c r="C144" s="1064" t="inlineStr">
        <is>
          <t>Main season</t>
        </is>
      </c>
      <c r="D144" s="1064" t="inlineStr">
        <is>
          <t>Saison principale</t>
        </is>
      </c>
      <c r="E144" s="1064" t="inlineStr">
        <is>
          <t>Estación de</t>
        </is>
      </c>
    </row>
    <row r="145">
      <c r="A145" s="1064" t="inlineStr">
        <is>
          <t>3. Cropland</t>
        </is>
      </c>
      <c r="B145" s="2266">
        <f>IF(IF('1.Description'!$AA$9="english",C145,IF('1.Description'!$AA$9="français",D145,E145))=0,"",IF('1.Description'!$AA$9="english",C145,IF('1.Description'!$AA$9="français",D145,E145)))</f>
        <v/>
      </c>
      <c r="C145" s="1064" t="inlineStr">
        <is>
          <t>Minor season crop</t>
        </is>
      </c>
      <c r="D145" s="1064" t="inlineStr">
        <is>
          <t>Culture de saison mineure</t>
        </is>
      </c>
      <c r="E145" s="1064" t="inlineStr">
        <is>
          <t>Cultivo de la estación secundaria</t>
        </is>
      </c>
    </row>
    <row r="146">
      <c r="A146" s="1064" t="inlineStr">
        <is>
          <t>3. Cropland</t>
        </is>
      </c>
      <c r="B146" s="2266">
        <f>IF(IF('1.Description'!$AA$9="english",C146,IF('1.Description'!$AA$9="français",D146,E146))=0,"",IF('1.Description'!$AA$9="english",C146,IF('1.Description'!$AA$9="français",D146,E146)))</f>
        <v/>
      </c>
      <c r="C146" s="1064" t="inlineStr">
        <is>
          <t>Management options for annual cropping systems</t>
        </is>
      </c>
      <c r="D146" s="1064" t="inlineStr">
        <is>
          <t>Options de gestion pour les systèmes de cultures annuelles</t>
        </is>
      </c>
      <c r="E146" s="1064" t="inlineStr">
        <is>
          <t>Opciones de manejo para sistemas de cultivos anuales</t>
        </is>
      </c>
    </row>
    <row r="147">
      <c r="A147" s="1064" t="inlineStr">
        <is>
          <t>3. Cropland</t>
        </is>
      </c>
      <c r="B147" s="2266">
        <f>IF(IF('1.Description'!$AA$9="english",C147,IF('1.Description'!$AA$9="français",D147,E147))=0,"",IF('1.Description'!$AA$9="english",C147,IF('1.Description'!$AA$9="français",D147,E147)))</f>
        <v/>
      </c>
      <c r="C147" s="1064" t="inlineStr">
        <is>
          <t>3.2. PERENNIAL CROPPING SYSTEMS (e.g. agroforestry, orchards, tree crops etc.)</t>
        </is>
      </c>
      <c r="D147" s="1064" t="inlineStr">
        <is>
          <t>3.2. SYSTÈMES DE CULTURES PÉRENNES (par exemple agroforesterie, vergers, cultures arbustives, etc.)</t>
        </is>
      </c>
      <c r="E147" s="1064" t="inlineStr">
        <is>
          <t xml:space="preserve">3.2 SISTEMAS DE CULTIVOS PERENNES   (Agroforestales, huertos frutales,  cultivos arbóreos) </t>
        </is>
      </c>
    </row>
    <row r="148">
      <c r="A148" s="1064" t="inlineStr">
        <is>
          <t>3. Cropland</t>
        </is>
      </c>
      <c r="B148" s="2266">
        <f>IF(IF('1.Description'!$AA$9="english",C148,IF('1.Description'!$AA$9="français",D148,E148))=0,"",IF('1.Description'!$AA$9="english",C148,IF('1.Description'!$AA$9="français",D148,E148)))</f>
        <v/>
      </c>
      <c r="C148" s="1064" t="inlineStr">
        <is>
          <t xml:space="preserve">3.2.1. Perennial systems from other LU or converted to other LU </t>
        </is>
      </c>
      <c r="D148" s="1064" t="inlineStr">
        <is>
          <t xml:space="preserve"> 3.2.1. Systèmes de cultures pérennes d'autres UT ou convertis en d'autres UT</t>
        </is>
      </c>
      <c r="E148" s="1064" t="inlineStr">
        <is>
          <t>3.2.1 Sistemas de cultivos perennes provenientes de otros usos de la tierra o convertidos en otros usos de la tierra</t>
        </is>
      </c>
    </row>
    <row r="149">
      <c r="A149" s="1064" t="inlineStr">
        <is>
          <t>3. Cropland</t>
        </is>
      </c>
      <c r="B149" s="2266">
        <f>IF(IF('1.Description'!$AA$9="english",C149,IF('1.Description'!$AA$9="français",D149,E149))=0,"",IF('1.Description'!$AA$9="english",C149,IF('1.Description'!$AA$9="français",D149,E149)))</f>
        <v/>
      </c>
      <c r="C149" s="1064" t="inlineStr">
        <is>
          <t>3.2.2. Perennial systems remaining perennial systems (total area must remain constant)</t>
        </is>
      </c>
      <c r="D149" s="1064" t="inlineStr">
        <is>
          <t>3.2.2. Systèmes de cultures pérennes restant systèmes pérennes (la superficie totale doit rester constante)</t>
        </is>
      </c>
      <c r="E149" s="1064" t="inlineStr">
        <is>
          <t>3.2.2 Sistemas de cultivos perennes que permanecen como sistemas de cultivos perennes (el área total debe permanecer constante)</t>
        </is>
      </c>
    </row>
    <row r="150">
      <c r="A150" s="1064" t="inlineStr">
        <is>
          <t>3. Cropland</t>
        </is>
      </c>
      <c r="B150" s="2266">
        <f>IF(IF('1.Description'!$AA$9="english",C150,IF('1.Description'!$AA$9="français",D150,E150))=0,"",IF('1.Description'!$AA$9="english",C150,IF('1.Description'!$AA$9="français",D150,E150)))</f>
        <v/>
      </c>
      <c r="C150" s="1064" t="inlineStr">
        <is>
          <t>Fill with your description</t>
        </is>
      </c>
      <c r="D150" s="1064" t="inlineStr">
        <is>
          <t>Remplissez avec votre description</t>
        </is>
      </c>
      <c r="E150" s="1064" t="inlineStr">
        <is>
          <t>Rellene con su descripción</t>
        </is>
      </c>
    </row>
    <row r="151">
      <c r="A151" s="1064" t="inlineStr">
        <is>
          <t>3. Cropland</t>
        </is>
      </c>
      <c r="B151" s="2266">
        <f>IF(IF('1.Description'!$AA$9="english",C151,IF('1.Description'!$AA$9="français",D151,E151))=0,"",IF('1.Description'!$AA$9="english",C151,IF('1.Description'!$AA$9="français",D151,E151)))</f>
        <v/>
      </c>
      <c r="C151" s="1064" t="inlineStr">
        <is>
          <t xml:space="preserve"> Agroforestry </t>
        </is>
      </c>
      <c r="D151" s="1064" t="inlineStr">
        <is>
          <t>Systèmes</t>
        </is>
      </c>
      <c r="E151" s="1064" t="inlineStr">
        <is>
          <t>Sistemas</t>
        </is>
      </c>
    </row>
    <row r="152">
      <c r="A152" s="1064" t="inlineStr">
        <is>
          <t>3. Cropland</t>
        </is>
      </c>
      <c r="B152" s="2266">
        <f>IF(IF('1.Description'!$AA$9="english",C152,IF('1.Description'!$AA$9="français",D152,E152))=0,"",IF('1.Description'!$AA$9="english",C152,IF('1.Description'!$AA$9="français",D152,E152)))</f>
        <v/>
      </c>
      <c r="C152" s="1064" t="inlineStr">
        <is>
          <t>systems</t>
        </is>
      </c>
      <c r="D152" s="1064" t="inlineStr">
        <is>
          <t xml:space="preserve"> agroforestiers</t>
        </is>
      </c>
      <c r="E152" s="1064" t="inlineStr">
        <is>
          <t>Agroforestales</t>
        </is>
      </c>
    </row>
    <row r="153">
      <c r="A153" s="1064" t="inlineStr">
        <is>
          <t>3. Cropland</t>
        </is>
      </c>
      <c r="B153" s="2266">
        <f>IF(IF('1.Description'!$AA$9="english",C153,IF('1.Description'!$AA$9="français",D153,E153))=0,"",IF('1.Description'!$AA$9="english",C153,IF('1.Description'!$AA$9="français",D153,E153)))</f>
        <v/>
      </c>
      <c r="C153" s="1064" t="inlineStr">
        <is>
          <t>Total perennial cropping systems (tCO2-e)</t>
        </is>
      </c>
      <c r="D153" s="1064" t="inlineStr">
        <is>
          <t>Total systèmes de cultures pérennes (tCO2-e)</t>
        </is>
      </c>
      <c r="E153" s="1064" t="inlineStr">
        <is>
          <t>Totales de los sistemas de cultivos perennes (tCO2-e)</t>
        </is>
      </c>
    </row>
    <row r="154">
      <c r="A154" s="1064" t="inlineStr">
        <is>
          <t>3. Cropland</t>
        </is>
      </c>
      <c r="B154" s="2266">
        <f>IF(IF('1.Description'!$AA$9="english",C154,IF('1.Description'!$AA$9="français",D154,E154))=0,"",IF('1.Description'!$AA$9="english",C154,IF('1.Description'!$AA$9="français",D154,E154)))</f>
        <v/>
      </c>
      <c r="C154" s="1064" t="inlineStr">
        <is>
          <t>Management options for perennial cropping systems</t>
        </is>
      </c>
      <c r="D154" s="1064" t="inlineStr">
        <is>
          <t>Options de gestion pour les systèmes de cultures pérennes</t>
        </is>
      </c>
      <c r="E154" s="1064" t="inlineStr">
        <is>
          <t>Opciones de manejo para sistemas de cultivos perennes</t>
        </is>
      </c>
    </row>
    <row r="155">
      <c r="A155" s="1064" t="inlineStr">
        <is>
          <t>3. Cropland</t>
        </is>
      </c>
      <c r="B155" s="2266">
        <f>IF(IF('1.Description'!$AA$9="english",C155,IF('1.Description'!$AA$9="français",D155,E155))=0,"",IF('1.Description'!$AA$9="english",C155,IF('1.Description'!$AA$9="français",D155,E155)))</f>
        <v/>
      </c>
      <c r="C155" s="1064" t="inlineStr">
        <is>
          <t>Systems</t>
        </is>
      </c>
      <c r="D155" s="1064" t="inlineStr">
        <is>
          <t>Systèmes</t>
        </is>
      </c>
      <c r="E155" s="1064" t="inlineStr">
        <is>
          <t>Sistemas</t>
        </is>
      </c>
    </row>
    <row r="156" ht="15" customHeight="1">
      <c r="A156" s="1064" t="inlineStr">
        <is>
          <t>3. Cropland</t>
        </is>
      </c>
      <c r="B156" s="2266">
        <f>IF(IF('1.Description'!$AA$9="english",C156,IF('1.Description'!$AA$9="français",D156,E156))=0,"",IF('1.Description'!$AA$9="english",C156,IF('1.Description'!$AA$9="français",D156,E156)))</f>
        <v/>
      </c>
      <c r="C156" s="1062" t="inlineStr">
        <is>
          <t>Perennial systems from (or to) other land-uses</t>
        </is>
      </c>
      <c r="D156" s="1064" t="inlineStr">
        <is>
          <t>Systèmes pérennes provenant (ou vers) d'autres utilisations des terres</t>
        </is>
      </c>
      <c r="E156" s="1064" t="inlineStr">
        <is>
          <t xml:space="preserve">Sistemas de cultivos perennes provenientes de (o convertidos en) otros usos de la tierra </t>
        </is>
      </c>
    </row>
    <row r="157">
      <c r="A157" s="1064" t="inlineStr">
        <is>
          <t>3. Cropland</t>
        </is>
      </c>
      <c r="B157" s="2266">
        <f>IF(IF('1.Description'!$AA$9="english",C157,IF('1.Description'!$AA$9="français",D157,E157))=0,"",IF('1.Description'!$AA$9="english",C157,IF('1.Description'!$AA$9="français",D157,E157)))</f>
        <v/>
      </c>
      <c r="C157" s="1062" t="inlineStr">
        <is>
          <t xml:space="preserve">Perennial systems remaining perennial systems </t>
        </is>
      </c>
      <c r="D157" s="1064" t="inlineStr">
        <is>
          <t xml:space="preserve"> Systèmes pérennes restant systèmes pérennes</t>
        </is>
      </c>
      <c r="E157" s="1064" t="inlineStr">
        <is>
          <t>Sistemas de cultivos perennes que permanecen sistemas de cultivos perennes</t>
        </is>
      </c>
    </row>
    <row r="158">
      <c r="A158" s="1064" t="inlineStr">
        <is>
          <t>3. Cropland</t>
        </is>
      </c>
      <c r="B158" s="2266">
        <f>IF(IF('1.Description'!$AA$9="english",C158,IF('1.Description'!$AA$9="français",D158,E158))=0,"",IF('1.Description'!$AA$9="english",C158,IF('1.Description'!$AA$9="français",D158,E158)))</f>
        <v/>
      </c>
      <c r="C158" s="1063" t="inlineStr">
        <is>
          <t xml:space="preserve">Above-ground </t>
        </is>
      </c>
      <c r="D158" s="1064" t="inlineStr">
        <is>
          <t>Taux de croissance</t>
        </is>
      </c>
      <c r="E158" s="1064" t="inlineStr">
        <is>
          <t>Aérea</t>
        </is>
      </c>
    </row>
    <row r="159">
      <c r="A159" s="1064" t="inlineStr">
        <is>
          <t>3. Cropland</t>
        </is>
      </c>
      <c r="B159" s="2266">
        <f>IF(IF('1.Description'!$AA$9="english",C159,IF('1.Description'!$AA$9="français",D159,E159))=0,"",IF('1.Description'!$AA$9="english",C159,IF('1.Description'!$AA$9="français",D159,E159)))</f>
        <v/>
      </c>
      <c r="C159" s="1063" t="inlineStr">
        <is>
          <t>growth rate (tC/ha/yr)</t>
        </is>
      </c>
      <c r="D159" s="1064" t="inlineStr">
        <is>
          <t>aérienne (tC/ha/an)</t>
        </is>
      </c>
      <c r="E159" s="1064" t="inlineStr">
        <is>
          <t>Tasa de crecimiento  (tC/ha/año)</t>
        </is>
      </c>
    </row>
    <row r="160">
      <c r="A160" s="1064" t="inlineStr">
        <is>
          <t>3. Cropland</t>
        </is>
      </c>
      <c r="B160" s="2266">
        <f>IF(IF('1.Description'!$AA$9="english",C160,IF('1.Description'!$AA$9="français",D160,E160))=0,"",IF('1.Description'!$AA$9="english",C160,IF('1.Description'!$AA$9="français",D160,E160)))</f>
        <v/>
      </c>
      <c r="C160" s="1064" t="inlineStr">
        <is>
          <t xml:space="preserve">Below-ground </t>
        </is>
      </c>
      <c r="D160" s="1064" t="inlineStr">
        <is>
          <t>Taux de croissance</t>
        </is>
      </c>
      <c r="E160" s="1064" t="inlineStr">
        <is>
          <t>Subterránea</t>
        </is>
      </c>
    </row>
    <row r="161">
      <c r="A161" s="1064" t="inlineStr">
        <is>
          <t>3. Cropland</t>
        </is>
      </c>
      <c r="B161" s="2266">
        <f>IF(IF('1.Description'!$AA$9="english",C161,IF('1.Description'!$AA$9="français",D161,E161))=0,"",IF('1.Description'!$AA$9="english",C161,IF('1.Description'!$AA$9="français",D161,E161)))</f>
        <v/>
      </c>
      <c r="C161" s="1064" t="inlineStr">
        <is>
          <t>growth rate (tC/ha/yr)</t>
        </is>
      </c>
      <c r="D161" s="1064" t="inlineStr">
        <is>
          <t>sousterraine (tC/ha/an)</t>
        </is>
      </c>
      <c r="E161" s="1064" t="inlineStr">
        <is>
          <t>Tasa de crecimiento  (tC/ha/año)</t>
        </is>
      </c>
    </row>
    <row r="162">
      <c r="A162" s="1064" t="inlineStr">
        <is>
          <t>3. Cropland</t>
        </is>
      </c>
      <c r="B162" s="2266">
        <f>IF(IF('1.Description'!$AA$9="english",C162,IF('1.Description'!$AA$9="français",D162,E162))=0,"",IF('1.Description'!$AA$9="english",C162,IF('1.Description'!$AA$9="français",D162,E162)))</f>
        <v/>
      </c>
      <c r="C162" s="1064" t="inlineStr">
        <is>
          <t>Reference SOC</t>
        </is>
      </c>
      <c r="D162" s="1064" t="inlineStr">
        <is>
          <t>COS de référence</t>
        </is>
      </c>
      <c r="E162" s="1064" t="inlineStr">
        <is>
          <t>Carbono Orgánico del Suelo (COS) de referencia</t>
        </is>
      </c>
    </row>
    <row r="163">
      <c r="A163" s="1064" t="inlineStr">
        <is>
          <t>3. Cropland</t>
        </is>
      </c>
      <c r="B163" s="2266">
        <f>IF(IF('1.Description'!$AA$9="english",C163,IF('1.Description'!$AA$9="français",D163,E163))=0,"",IF('1.Description'!$AA$9="english",C163,IF('1.Description'!$AA$9="français",D163,E163)))</f>
        <v/>
      </c>
      <c r="C163" s="1064" t="inlineStr">
        <is>
          <t>Land-use factor</t>
        </is>
      </c>
      <c r="D163" s="1064" t="inlineStr">
        <is>
          <t>Facteur d'utilisation des terres</t>
        </is>
      </c>
      <c r="E163" s="1064" t="inlineStr">
        <is>
          <t>Factor del uso de la tierra</t>
        </is>
      </c>
    </row>
    <row r="164">
      <c r="A164" s="1064" t="inlineStr">
        <is>
          <t>3. Cropland</t>
        </is>
      </c>
      <c r="B164" s="2266">
        <f>IF(IF('1.Description'!$AA$9="english",C164,IF('1.Description'!$AA$9="français",D164,E164))=0,"",IF('1.Description'!$AA$9="english",C164,IF('1.Description'!$AA$9="français",D164,E164)))</f>
        <v/>
      </c>
      <c r="C164" s="1064" t="inlineStr">
        <is>
          <t>Tillage factor</t>
        </is>
      </c>
      <c r="D164" s="1064" t="inlineStr">
        <is>
          <t>Facteur de travail du sol</t>
        </is>
      </c>
      <c r="E164" s="1064" t="inlineStr">
        <is>
          <t>Factor del laboreo</t>
        </is>
      </c>
    </row>
    <row r="165">
      <c r="A165" s="1064" t="inlineStr">
        <is>
          <t>3. Cropland</t>
        </is>
      </c>
      <c r="B165" s="2266">
        <f>IF(IF('1.Description'!$AA$9="english",C165,IF('1.Description'!$AA$9="français",D165,E165))=0,"",IF('1.Description'!$AA$9="english",C165,IF('1.Description'!$AA$9="français",D165,E165)))</f>
        <v/>
      </c>
      <c r="C165" s="1064" t="inlineStr">
        <is>
          <t>Input factor</t>
        </is>
      </c>
      <c r="D165" s="1064" t="inlineStr">
        <is>
          <t>Facteur d'apport en matière organique</t>
        </is>
      </c>
      <c r="E165" s="1064" t="inlineStr">
        <is>
          <t>Factor de los insumos</t>
        </is>
      </c>
    </row>
    <row r="166">
      <c r="B166" s="2266">
        <f>IF(IF('1.Description'!$AA$9="english",C166,IF('1.Description'!$AA$9="français",D166,E166))=0,"",IF('1.Description'!$AA$9="english",C166,IF('1.Description'!$AA$9="français",D166,E166)))</f>
        <v/>
      </c>
      <c r="C166" s="1064" t="inlineStr">
        <is>
          <t>Residue/</t>
        </is>
      </c>
      <c r="D166" s="1064" t="inlineStr">
        <is>
          <t>Résidu/</t>
        </is>
      </c>
      <c r="E166" s="1064" t="inlineStr">
        <is>
          <t>Residuo/</t>
        </is>
      </c>
    </row>
    <row r="167">
      <c r="B167" s="2266">
        <f>IF(IF('1.Description'!$AA$9="english",C167,IF('1.Description'!$AA$9="français",D167,E167))=0,"",IF('1.Description'!$AA$9="english",C167,IF('1.Description'!$AA$9="français",D167,E167)))</f>
        <v/>
      </c>
      <c r="C167" s="1064" t="inlineStr">
        <is>
          <t xml:space="preserve">Biomass burning </t>
        </is>
      </c>
      <c r="D167" s="1064" t="inlineStr">
        <is>
          <t xml:space="preserve"> Combustion de la biomasse</t>
        </is>
      </c>
      <c r="E167" s="1064" t="inlineStr">
        <is>
          <t>Quema de biomasa</t>
        </is>
      </c>
    </row>
    <row r="168">
      <c r="B168" s="2266">
        <f>IF(IF('1.Description'!$AA$9="english",C168,IF('1.Description'!$AA$9="français",D168,E168))=0,"",IF('1.Description'!$AA$9="english",C168,IF('1.Description'!$AA$9="français",D168,E168)))</f>
        <v/>
      </c>
      <c r="C168" s="1064" t="inlineStr">
        <is>
          <t>Total (ha)</t>
        </is>
      </c>
      <c r="D168" s="1064" t="inlineStr">
        <is>
          <t>Totale (ha)</t>
        </is>
      </c>
      <c r="E168" s="1064" t="inlineStr">
        <is>
          <t>Total (ha)</t>
        </is>
      </c>
    </row>
    <row r="169">
      <c r="B169" s="2266">
        <f>IF(IF('1.Description'!$AA$9="english",C169,IF('1.Description'!$AA$9="français",D169,E169))=0,"",IF('1.Description'!$AA$9="english",C169,IF('1.Description'!$AA$9="français",D169,E169)))</f>
        <v/>
      </c>
      <c r="C169" s="1064" t="inlineStr">
        <is>
          <t>Main season crop</t>
        </is>
      </c>
      <c r="D169" s="1064" t="inlineStr">
        <is>
          <t>Culture de la saison principale</t>
        </is>
      </c>
      <c r="E169" s="1064" t="inlineStr">
        <is>
          <t>Cultivo estacional principal</t>
        </is>
      </c>
    </row>
    <row r="170">
      <c r="B170" s="2266">
        <f>IF(IF('1.Description'!$AA$9="english",C170,IF('1.Description'!$AA$9="français",D170,E170))=0,"",IF('1.Description'!$AA$9="english",C170,IF('1.Description'!$AA$9="français",D170,E170)))</f>
        <v/>
      </c>
      <c r="C170" s="1064" t="inlineStr">
        <is>
          <t>Crop type</t>
        </is>
      </c>
      <c r="D170" s="1064" t="inlineStr">
        <is>
          <t>Type de culture</t>
        </is>
      </c>
      <c r="E170" s="1064" t="inlineStr">
        <is>
          <t>Tipo de cultivo</t>
        </is>
      </c>
    </row>
    <row r="171">
      <c r="B171" s="2266">
        <f>IF(IF('1.Description'!$AA$9="english",C171,IF('1.Description'!$AA$9="français",D171,E171))=0,"",IF('1.Description'!$AA$9="english",C171,IF('1.Description'!$AA$9="français",D171,E171)))</f>
        <v/>
      </c>
      <c r="C171" s="1064" t="inlineStr">
        <is>
          <t>Perennials after deforestation</t>
        </is>
      </c>
      <c r="D171" s="1064" t="inlineStr">
        <is>
          <t>Sytèmes de cultures pérennes après déforestation</t>
        </is>
      </c>
      <c r="E171" s="1064" t="inlineStr">
        <is>
          <t>Cultivos perennes después de la deforestación</t>
        </is>
      </c>
    </row>
    <row r="172">
      <c r="B172" s="2266">
        <f>IF(IF('1.Description'!$AA$9="english",C172,IF('1.Description'!$AA$9="français",D172,E172))=0,"",IF('1.Description'!$AA$9="english",C172,IF('1.Description'!$AA$9="français",D172,E172)))</f>
        <v/>
      </c>
      <c r="C172" s="1064" t="inlineStr">
        <is>
          <t>Perennials converted to forest land</t>
        </is>
      </c>
      <c r="D172" s="1064" t="inlineStr">
        <is>
          <t>Sytèmes de cultures pérennes converties en terres forestières</t>
        </is>
      </c>
      <c r="E172" s="1064" t="inlineStr">
        <is>
          <t>Cultivos perennes convertidos en bosque</t>
        </is>
      </c>
    </row>
    <row r="173">
      <c r="B173" s="2266">
        <f>IF(IF('1.Description'!$AA$9="english",C173,IF('1.Description'!$AA$9="français",D173,E173))=0,"",IF('1.Description'!$AA$9="english",C173,IF('1.Description'!$AA$9="français",D173,E173)))</f>
        <v/>
      </c>
      <c r="C173" s="1064" t="inlineStr">
        <is>
          <t>Perennials converted from non-forest LUs</t>
        </is>
      </c>
      <c r="D173" s="1064" t="inlineStr">
        <is>
          <t>Sytèmes de cultures pérennes converties à partir d'UT non forestières</t>
        </is>
      </c>
      <c r="E173" s="1064" t="inlineStr">
        <is>
          <t>Cultivos perennes provenientes de usos de la tierra no forestales</t>
        </is>
      </c>
    </row>
    <row r="174">
      <c r="B174" s="2266">
        <f>IF(IF('1.Description'!$AA$9="english",C174,IF('1.Description'!$AA$9="français",D174,E174))=0,"",IF('1.Description'!$AA$9="english",C174,IF('1.Description'!$AA$9="français",D174,E174)))</f>
        <v/>
      </c>
      <c r="C174" s="1064" t="inlineStr">
        <is>
          <t>Perennials converted to non-forest Lus</t>
        </is>
      </c>
      <c r="D174" s="1064" t="inlineStr">
        <is>
          <t xml:space="preserve"> Sytèmes de cultures pérennes converties en UT non forestières</t>
        </is>
      </c>
      <c r="E174" s="1064" t="inlineStr">
        <is>
          <t>Cultivos perennes convertidos en usos de la tierra no forestales</t>
        </is>
      </c>
    </row>
    <row r="175">
      <c r="B175" s="2266">
        <f>IF(IF('1.Description'!$AA$9="english",C175,IF('1.Description'!$AA$9="français",D175,E175))=0,"",IF('1.Description'!$AA$9="english",C175,IF('1.Description'!$AA$9="français",D175,E175)))</f>
        <v/>
      </c>
      <c r="C175" s="1064" t="inlineStr">
        <is>
          <t>Rice after deforestation</t>
        </is>
      </c>
      <c r="D175" s="1064" t="inlineStr">
        <is>
          <t>Riz après déforestation</t>
        </is>
      </c>
      <c r="E175" s="1064" t="inlineStr">
        <is>
          <t>Arrozales después de la deforestación</t>
        </is>
      </c>
    </row>
    <row r="176">
      <c r="B176" s="2266">
        <f>IF(IF('1.Description'!$AA$9="english",C176,IF('1.Description'!$AA$9="français",D176,E176))=0,"",IF('1.Description'!$AA$9="english",C176,IF('1.Description'!$AA$9="français",D176,E176)))</f>
        <v/>
      </c>
      <c r="C176" s="1064" t="inlineStr">
        <is>
          <t>Rice converted to forest land</t>
        </is>
      </c>
      <c r="D176" s="1064" t="inlineStr">
        <is>
          <t>Riz converti en terres forestières</t>
        </is>
      </c>
      <c r="E176" s="1064" t="inlineStr">
        <is>
          <t>Arrozales convertidos en bosque</t>
        </is>
      </c>
    </row>
    <row r="177">
      <c r="B177" s="2266">
        <f>IF(IF('1.Description'!$AA$9="english",C177,IF('1.Description'!$AA$9="français",D177,E177))=0,"",IF('1.Description'!$AA$9="english",C177,IF('1.Description'!$AA$9="français",D177,E177)))</f>
        <v/>
      </c>
      <c r="C177" s="1064" t="inlineStr">
        <is>
          <t>Rice converted from non-forest LUs</t>
        </is>
      </c>
      <c r="D177" s="1064" t="inlineStr">
        <is>
          <t>Riz converti à partir d'UT non forestières</t>
        </is>
      </c>
      <c r="E177" s="1064" t="inlineStr">
        <is>
          <t>Arrozales provenientes de usos de la tierra no forestales</t>
        </is>
      </c>
    </row>
    <row r="178">
      <c r="B178" s="2266">
        <f>IF(IF('1.Description'!$AA$9="english",C178,IF('1.Description'!$AA$9="français",D178,E178))=0,"",IF('1.Description'!$AA$9="english",C178,IF('1.Description'!$AA$9="français",D178,E178)))</f>
        <v/>
      </c>
      <c r="C178" s="1064" t="inlineStr">
        <is>
          <t>Rice converted to non-forest Lus</t>
        </is>
      </c>
      <c r="D178" s="1064" t="inlineStr">
        <is>
          <t xml:space="preserve"> Riz converti en UT non forestières</t>
        </is>
      </c>
      <c r="E178" s="1064" t="inlineStr">
        <is>
          <t>Arrozales anuales convertidos en usos de la tierra no forestales</t>
        </is>
      </c>
    </row>
    <row r="179">
      <c r="B179" s="2266">
        <f>IF(IF('1.Description'!$AA$9="english",C179,IF('1.Description'!$AA$9="français",D179,E179))=0,"",IF('1.Description'!$AA$9="english",C179,IF('1.Description'!$AA$9="français",D179,E179)))</f>
        <v/>
      </c>
      <c r="C179" s="1064" t="inlineStr">
        <is>
          <t>Residues burned</t>
        </is>
      </c>
      <c r="D179" s="1064" t="inlineStr">
        <is>
          <t>Résidus brûlés</t>
        </is>
      </c>
      <c r="E179" s="1064" t="inlineStr">
        <is>
          <t>Quema de residuos</t>
        </is>
      </c>
    </row>
    <row r="180">
      <c r="B180" s="2266">
        <f>IF(IF('1.Description'!$AA$9="english",C180,IF('1.Description'!$AA$9="français",D180,E180))=0,"",IF('1.Description'!$AA$9="english",C180,IF('1.Description'!$AA$9="français",D180,E180)))</f>
        <v/>
      </c>
      <c r="C180" s="1064" t="inlineStr">
        <is>
          <t>3.3.2. Flooded rice systems remaining flooded rice systems</t>
        </is>
      </c>
      <c r="D180" s="1064" t="inlineStr">
        <is>
          <t>3.3.2. Systèmes de riz inondé restant systèmes de riz inondé</t>
        </is>
      </c>
      <c r="E180" s="1064" t="inlineStr">
        <is>
          <t>3.3.2 Arrozales inundados que permanecen Arrozales inundados</t>
        </is>
      </c>
    </row>
    <row r="181">
      <c r="A181" s="1064" t="inlineStr">
        <is>
          <t>3. Cropland</t>
        </is>
      </c>
      <c r="B181" s="2266">
        <f>IF(IF('1.Description'!$AA$9="english",C181,IF('1.Description'!$AA$9="français",D181,E181))=0,"",IF('1.Description'!$AA$9="english",C181,IF('1.Description'!$AA$9="français",D181,E181)))</f>
        <v/>
      </c>
      <c r="C181" s="1064" t="inlineStr">
        <is>
          <t>Quantity of residues burned</t>
        </is>
      </c>
      <c r="D181" s="1064" t="inlineStr">
        <is>
          <t>Quantité de résidus brûlés</t>
        </is>
      </c>
      <c r="E181" s="1064" t="inlineStr">
        <is>
          <t>Cantidad de residuos de campo quemados</t>
        </is>
      </c>
    </row>
    <row r="182">
      <c r="A182" s="1064" t="inlineStr">
        <is>
          <t>3. Cropland</t>
        </is>
      </c>
      <c r="B182" s="2266">
        <f>IF(IF('1.Description'!$AA$9="english",C182,IF('1.Description'!$AA$9="français",D182,E182))=0,"",IF('1.Description'!$AA$9="english",C182,IF('1.Description'!$AA$9="français",D182,E182)))</f>
        <v/>
      </c>
      <c r="C182" s="1064" t="inlineStr">
        <is>
          <t>Main season crop (t dm/ha)</t>
        </is>
      </c>
      <c r="D182" s="1064" t="inlineStr">
        <is>
          <t>Culture principale (t ms/ha)</t>
        </is>
      </c>
      <c r="E182" s="1064" t="inlineStr">
        <is>
          <t>Cultivo de la estación principal (t matera seca/ ha)</t>
        </is>
      </c>
    </row>
    <row r="183">
      <c r="A183" s="1064" t="inlineStr">
        <is>
          <t>3. Cropland</t>
        </is>
      </c>
      <c r="B183" s="2266">
        <f>IF(IF('1.Description'!$AA$9="english",C183,IF('1.Description'!$AA$9="français",D183,E183))=0,"",IF('1.Description'!$AA$9="english",C183,IF('1.Description'!$AA$9="français",D183,E183)))</f>
        <v/>
      </c>
      <c r="C183" s="1064" t="inlineStr">
        <is>
          <t xml:space="preserve">Fire periodicity </t>
        </is>
      </c>
      <c r="D183" s="1064" t="inlineStr">
        <is>
          <t xml:space="preserve"> Périodicité des incendies</t>
        </is>
      </c>
      <c r="E183" s="1064" t="inlineStr">
        <is>
          <t>Frecuencia de los incendios</t>
        </is>
      </c>
    </row>
    <row r="184">
      <c r="A184" s="1064" t="inlineStr">
        <is>
          <t>3. Cropland</t>
        </is>
      </c>
      <c r="B184" s="2266">
        <f>IF(IF('1.Description'!$AA$9="english",C184,IF('1.Description'!$AA$9="français",D184,E184))=0,"",IF('1.Description'!$AA$9="english",C184,IF('1.Description'!$AA$9="français",D184,E184)))</f>
        <v/>
      </c>
      <c r="C184" s="1064" t="inlineStr">
        <is>
          <t>3.3. FLOODED RICE SYSTEMS</t>
        </is>
      </c>
      <c r="D184" s="1064" t="inlineStr">
        <is>
          <t>3.3. SYSTÈMES DE RIZ INONDÉS</t>
        </is>
      </c>
      <c r="E184" s="1064" t="inlineStr">
        <is>
          <t>3.3 SISTEMAS DE ARROZALES INUNDADOS</t>
        </is>
      </c>
    </row>
    <row r="185">
      <c r="A185" s="1064" t="inlineStr">
        <is>
          <t>3. Cropland</t>
        </is>
      </c>
      <c r="B185" s="2266">
        <f>IF(IF('1.Description'!$AA$9="english",C185,IF('1.Description'!$AA$9="français",D185,E185))=0,"",IF('1.Description'!$AA$9="english",C185,IF('1.Description'!$AA$9="français",D185,E185)))</f>
        <v/>
      </c>
      <c r="C185" s="1064" t="inlineStr">
        <is>
          <t xml:space="preserve">3.3.1. Flooded rice systems from other land-use  or converted to other land-use (please fill 'Land-use change' module)  </t>
        </is>
      </c>
      <c r="D185" s="1064" t="inlineStr">
        <is>
          <t xml:space="preserve"> 3.3.1. Riz inondé provenant d'une autre utilisation des terres ou converties à une autre utilisation des terres (veuillez remplir le module « Changement d'utilisation des terres »)</t>
        </is>
      </c>
      <c r="E185" s="1064" t="inlineStr">
        <is>
          <t>3.3.1 Arrozales inundados provenientes de otros usos de la tierra o convertidos en otros usos de la tierra (rellene el módulo 'Cambios de los usos de la tierra')</t>
        </is>
      </c>
    </row>
    <row r="186">
      <c r="A186" s="1064" t="inlineStr">
        <is>
          <t>3. Cropland</t>
        </is>
      </c>
      <c r="B186" s="2266">
        <f>IF(IF('1.Description'!$AA$9="english",C186,IF('1.Description'!$AA$9="français",D186,E186))=0,"",IF('1.Description'!$AA$9="english",C186,IF('1.Description'!$AA$9="français",D186,E186)))</f>
        <v/>
      </c>
      <c r="C186" s="1064" t="inlineStr">
        <is>
          <t>Total flooded-rice systems (tCO2-e)</t>
        </is>
      </c>
      <c r="D186" s="1064" t="inlineStr">
        <is>
          <t>Total des systèmes de riz inondé (tCO2-e)</t>
        </is>
      </c>
      <c r="E186" s="1064" t="inlineStr">
        <is>
          <t>Total de los sistemas de arrozales inundados (tCO2-e)</t>
        </is>
      </c>
    </row>
    <row r="187">
      <c r="A187" s="1064" t="inlineStr">
        <is>
          <t>3. Cropland</t>
        </is>
      </c>
      <c r="B187" s="2266">
        <f>IF(IF('1.Description'!$AA$9="english",C187,IF('1.Description'!$AA$9="français",D187,E187))=0,"",IF('1.Description'!$AA$9="english",C187,IF('1.Description'!$AA$9="français",D187,E187)))</f>
        <v/>
      </c>
      <c r="C187" s="1064" t="inlineStr">
        <is>
          <t>Please confirm total area of flooded rice remaining flooded rice (ha)</t>
        </is>
      </c>
      <c r="D187" s="1064" t="inlineStr">
        <is>
          <t>Veuillez confirmer la superficie totale de riz inondé restant riz inondé (ha)</t>
        </is>
      </c>
      <c r="E187" s="1064" t="inlineStr">
        <is>
          <t>Confirme el área  total de arrozales inundados que permanecen arrozales inundados (ha)</t>
        </is>
      </c>
    </row>
    <row r="188">
      <c r="A188" s="1064" t="inlineStr">
        <is>
          <t>3. Cropland</t>
        </is>
      </c>
      <c r="B188" s="2266">
        <f>IF(IF('1.Description'!$AA$9="english",C188,IF('1.Description'!$AA$9="français",D188,E188))=0,"",IF('1.Description'!$AA$9="english",C188,IF('1.Description'!$AA$9="français",D188,E188)))</f>
        <v/>
      </c>
      <c r="C188" s="1064" t="inlineStr">
        <is>
          <t>During</t>
        </is>
      </c>
      <c r="D188" s="1064" t="inlineStr">
        <is>
          <t>Durant</t>
        </is>
      </c>
      <c r="E188" s="1064" t="inlineStr">
        <is>
          <t>Durante</t>
        </is>
      </c>
    </row>
    <row r="189">
      <c r="A189" s="1064" t="inlineStr">
        <is>
          <t>3. Cropland</t>
        </is>
      </c>
      <c r="B189" s="2266">
        <f>IF(IF('1.Description'!$AA$9="english",C189,IF('1.Description'!$AA$9="français",D189,E189))=0,"",IF('1.Description'!$AA$9="english",C189,IF('1.Description'!$AA$9="français",D189,E189)))</f>
        <v/>
      </c>
      <c r="C189" s="1064" t="inlineStr">
        <is>
          <t xml:space="preserve">Cultivation period </t>
        </is>
      </c>
      <c r="D189" s="1064" t="inlineStr">
        <is>
          <t xml:space="preserve"> Période de culture</t>
        </is>
      </c>
      <c r="E189" s="1064" t="inlineStr">
        <is>
          <t>Período de cultivo</t>
        </is>
      </c>
    </row>
    <row r="190">
      <c r="B190" s="2266">
        <f>IF(IF('1.Description'!$AA$9="english",C190,IF('1.Description'!$AA$9="français",D190,E190))=0,"",IF('1.Description'!$AA$9="english",C190,IF('1.Description'!$AA$9="français",D190,E190)))</f>
        <v/>
      </c>
      <c r="C190" s="1064" t="inlineStr">
        <is>
          <t>(days)</t>
        </is>
      </c>
      <c r="D190" s="1064" t="inlineStr">
        <is>
          <t>(jours)</t>
        </is>
      </c>
      <c r="E190" s="1064" t="inlineStr">
        <is>
          <t>(días)</t>
        </is>
      </c>
    </row>
    <row r="191">
      <c r="A191" s="1064" t="inlineStr">
        <is>
          <t>3. Cropland</t>
        </is>
      </c>
      <c r="B191" s="2266">
        <f>IF(IF('1.Description'!$AA$9="english",C191,IF('1.Description'!$AA$9="français",D191,E191))=0,"",IF('1.Description'!$AA$9="english",C191,IF('1.Description'!$AA$9="français",D191,E191)))</f>
        <v/>
      </c>
      <c r="C191" s="1064" t="inlineStr">
        <is>
          <t xml:space="preserve">Before </t>
        </is>
      </c>
      <c r="D191" s="1064" t="inlineStr">
        <is>
          <t>Avant</t>
        </is>
      </c>
      <c r="E191" s="1064" t="inlineStr">
        <is>
          <t>Antes</t>
        </is>
      </c>
    </row>
    <row r="192">
      <c r="A192" s="1064" t="inlineStr">
        <is>
          <t>3. Cropland</t>
        </is>
      </c>
      <c r="B192" s="2266">
        <f>IF(IF('1.Description'!$AA$9="english",C192,IF('1.Description'!$AA$9="français",D192,E192))=0,"",IF('1.Description'!$AA$9="english",C192,IF('1.Description'!$AA$9="français",D192,E192)))</f>
        <v/>
      </c>
      <c r="C192" s="1064" t="inlineStr">
        <is>
          <t>Organic</t>
        </is>
      </c>
      <c r="D192" s="1064" t="inlineStr">
        <is>
          <t>Amendements</t>
        </is>
      </c>
      <c r="E192" s="1064" t="inlineStr">
        <is>
          <t xml:space="preserve">Abonos </t>
        </is>
      </c>
    </row>
    <row r="193">
      <c r="A193" s="1064" t="inlineStr">
        <is>
          <t>3. Cropland</t>
        </is>
      </c>
      <c r="B193" s="2266">
        <f>IF(IF('1.Description'!$AA$9="english",C193,IF('1.Description'!$AA$9="français",D193,E193))=0,"",IF('1.Description'!$AA$9="english",C193,IF('1.Description'!$AA$9="français",D193,E193)))</f>
        <v/>
      </c>
      <c r="C193" s="1064" t="inlineStr">
        <is>
          <t xml:space="preserve"> amendment</t>
        </is>
      </c>
      <c r="D193" s="1064" t="inlineStr">
        <is>
          <t xml:space="preserve"> organiques</t>
        </is>
      </c>
      <c r="E193" s="1064" t="inlineStr">
        <is>
          <t>orgánicos</t>
        </is>
      </c>
    </row>
    <row r="194">
      <c r="A194" s="1064" t="inlineStr">
        <is>
          <t>3. Cropland</t>
        </is>
      </c>
      <c r="B194" s="2266">
        <f>IF(IF('1.Description'!$AA$9="english",C194,IF('1.Description'!$AA$9="français",D194,E194))=0,"",IF('1.Description'!$AA$9="english",C194,IF('1.Description'!$AA$9="français",D194,E194)))</f>
        <v/>
      </c>
      <c r="C194" s="1064" t="inlineStr">
        <is>
          <t>(t/ha/yr)</t>
        </is>
      </c>
      <c r="D194" s="1064" t="inlineStr">
        <is>
          <t>(t/ha/an)</t>
        </is>
      </c>
      <c r="E194" s="1064" t="inlineStr">
        <is>
          <t>(t/ha/año)</t>
        </is>
      </c>
    </row>
    <row r="195">
      <c r="A195" s="1064" t="inlineStr">
        <is>
          <t>3. Cropland</t>
        </is>
      </c>
      <c r="B195" s="2266">
        <f>IF(IF('1.Description'!$AA$9="english",C195,IF('1.Description'!$AA$9="français",D195,E195))=0,"",IF('1.Description'!$AA$9="english",C195,IF('1.Description'!$AA$9="français",D195,E195)))</f>
        <v/>
      </c>
      <c r="C195" s="1064" t="inlineStr">
        <is>
          <t>Management options for water regime in flooded-rice</t>
        </is>
      </c>
      <c r="D195" s="1064" t="inlineStr">
        <is>
          <t>Options de gestion du régime hydrique dans le riz inondé</t>
        </is>
      </c>
      <c r="E195" s="1064" t="inlineStr">
        <is>
          <t>Opciones de gestión para el régimen hídrico en arroz inundado</t>
        </is>
      </c>
    </row>
    <row r="196">
      <c r="A196" s="1064" t="inlineStr">
        <is>
          <t>3. Cropland</t>
        </is>
      </c>
      <c r="B196" s="2266">
        <f>IF(IF('1.Description'!$AA$9="english",C196,IF('1.Description'!$AA$9="français",D196,E196))=0,"",IF('1.Description'!$AA$9="english",C196,IF('1.Description'!$AA$9="français",D196,E196)))</f>
        <v/>
      </c>
      <c r="C196" s="1064" t="inlineStr">
        <is>
          <t>**In case of flooded rice the total area considered for emissions calculations may be greater than actual total land under flooded rice if multicropping seasons are in place. It is key to provide the actual area under flooded rice in cell K122 to ensure correct area aggregation in the results.</t>
        </is>
      </c>
      <c r="D196" s="1064" t="inlineStr">
        <is>
          <t>**En cas de riz inondé, la superficie totale prise en compte pour les calculs d'émissions peut être supérieure à la superficie totale réelle sous riz inondé si des saisons de cultures multiples sont en place. Il est essentiel de fournir la superficie réelle sous riz inondé dans la cellule K122 pour assurer une agrégation correcte de la superficie dans les résultats.</t>
        </is>
      </c>
      <c r="E196" s="1064" t="inlineStr">
        <is>
          <t>**Para arrozales inundados el área total considerada para el cálculo de emisiones puede ser mayor que el área usado si el área se cultiva con arroz inundado en más de una estación. Es clave insertar el área usado para arrozales inundados en la celda K122 para asegurar que el agregado de hectareas es correcto.</t>
        </is>
      </c>
    </row>
    <row r="197">
      <c r="A197" s="1064" t="inlineStr">
        <is>
          <t>3. Cropland</t>
        </is>
      </c>
      <c r="B197" s="2266">
        <f>IF(IF('1.Description'!$AA$9="english",C197,IF('1.Description'!$AA$9="français",D197,E197))=0,"",IF('1.Description'!$AA$9="english",C197,IF('1.Description'!$AA$9="français",D197,E197)))</f>
        <v/>
      </c>
      <c r="C197" s="1064" t="inlineStr">
        <is>
          <t>Total (ha)**</t>
        </is>
      </c>
      <c r="D197" s="1064" t="inlineStr">
        <is>
          <t>Totale (ha)**</t>
        </is>
      </c>
      <c r="E197" s="1064" t="inlineStr">
        <is>
          <t>Total (ha)</t>
        </is>
      </c>
    </row>
    <row r="198">
      <c r="A198" s="1064" t="inlineStr">
        <is>
          <t>3. Cropland</t>
        </is>
      </c>
      <c r="B198" s="2266">
        <f>IF(IF('1.Description'!$AA$9="english",C198,IF('1.Description'!$AA$9="français",D198,E198))=0,"",IF('1.Description'!$AA$9="english",C198,IF('1.Description'!$AA$9="français",D198,E198)))</f>
        <v/>
      </c>
      <c r="C198" s="1064" t="inlineStr">
        <is>
          <t>Flooded-rice area (ha)</t>
        </is>
      </c>
      <c r="D198" s="1064" t="inlineStr">
        <is>
          <t>Superficie riz inondé (ha)</t>
        </is>
      </c>
      <c r="E198" s="1064" t="inlineStr">
        <is>
          <t>Área de arrozales inundados (ha)</t>
        </is>
      </c>
    </row>
    <row r="199">
      <c r="B199" s="2266">
        <f>IF(IF('1.Description'!$AA$9="english",C199,IF('1.Description'!$AA$9="français",D199,E199))=0,"",IF('1.Description'!$AA$9="english",C199,IF('1.Description'!$AA$9="français",D199,E199)))</f>
        <v/>
      </c>
      <c r="C199" s="1064" t="inlineStr">
        <is>
          <t>Flooded rice systems from (or to) other LU</t>
        </is>
      </c>
      <c r="D199" s="1064" t="inlineStr">
        <is>
          <t>Systèmes de riz inondé depuis (ou vers) d'autres UT</t>
        </is>
      </c>
      <c r="E199" s="1064" t="inlineStr">
        <is>
          <t>Arrozales inundados provenientes o convertidos a otros usos de la tierra</t>
        </is>
      </c>
    </row>
    <row r="200">
      <c r="B200" s="2266">
        <f>IF(IF('1.Description'!$AA$9="english",C200,IF('1.Description'!$AA$9="français",D200,E200))=0,"",IF('1.Description'!$AA$9="english",C200,IF('1.Description'!$AA$9="français",D200,E200)))</f>
        <v/>
      </c>
      <c r="C200" s="1064" t="inlineStr">
        <is>
          <t>Flooded rice syst remaining rice systems</t>
        </is>
      </c>
      <c r="D200" s="1064" t="inlineStr">
        <is>
          <t>Système de riz inondé restants systèmes de riz inondé</t>
        </is>
      </c>
      <c r="E200" s="1064" t="inlineStr">
        <is>
          <t>Arrozales inundados que permanecen arrozales inundados</t>
        </is>
      </c>
    </row>
    <row r="201">
      <c r="B201" s="2266">
        <f>IF(IF('1.Description'!$AA$9="english",C201,IF('1.Description'!$AA$9="français",D201,E201))=0,"",IF('1.Description'!$AA$9="english",C201,IF('1.Description'!$AA$9="français",D201,E201)))</f>
        <v/>
      </c>
    </row>
    <row r="202">
      <c r="B202" s="2266">
        <f>IF(IF('1.Description'!$AA$9="english",C202,IF('1.Description'!$AA$9="français",D202,E202))=0,"",IF('1.Description'!$AA$9="english",C202,IF('1.Description'!$AA$9="français",D202,E202)))</f>
        <v/>
      </c>
    </row>
    <row r="203">
      <c r="B203" s="2266">
        <f>IF(IF('1.Description'!$AA$9="english",C203,IF('1.Description'!$AA$9="français",D203,E203))=0,"",IF('1.Description'!$AA$9="english",C203,IF('1.Description'!$AA$9="français",D203,E203)))</f>
        <v/>
      </c>
      <c r="C203" s="1064" t="inlineStr">
        <is>
          <t>Daily emission factor for rice EF = EF-basis x SF-Before x CF-or Amendment</t>
        </is>
      </c>
      <c r="D203" s="1064" t="inlineStr">
        <is>
          <t>Facteur d'émission journalier pour le riz EF = base EF x SF-avant x CF-ou amendement</t>
        </is>
      </c>
      <c r="E203" s="1064" t="inlineStr">
        <is>
          <t>Factor de emission diario para arroz EF = EF-base x SF-antes x CF o enmienda</t>
        </is>
      </c>
    </row>
    <row r="204">
      <c r="B204" s="2266">
        <f>IF(IF('1.Description'!$AA$9="english",C204,IF('1.Description'!$AA$9="français",D204,E204))=0,"",IF('1.Description'!$AA$9="english",C204,IF('1.Description'!$AA$9="français",D204,E204)))</f>
        <v/>
      </c>
      <c r="C204" s="1064" t="inlineStr">
        <is>
          <t>EFc and EFi are in kg CH4 per ha per day</t>
        </is>
      </c>
      <c r="D204" s="1064" t="inlineStr">
        <is>
          <t>EFc et EFi sont en kg CH4 par ha par jour</t>
        </is>
      </c>
      <c r="E204" s="1064" t="inlineStr">
        <is>
          <t>EFc y EFi están en Kg CH4 por ha por año</t>
        </is>
      </c>
    </row>
    <row r="205">
      <c r="B205" s="2266">
        <f>IF(IF('1.Description'!$AA$9="english",C205,IF('1.Description'!$AA$9="français",D205,E205))=0,"",IF('1.Description'!$AA$9="english",C205,IF('1.Description'!$AA$9="français",D205,E205)))</f>
        <v/>
      </c>
      <c r="C205" s="1064" t="inlineStr">
        <is>
          <t>baseline EF, continously flooded rice w/out organic amendments</t>
        </is>
      </c>
      <c r="D205" s="1064" t="inlineStr">
        <is>
          <t>EF de base, riz continuellement inondé sans amendements organiques</t>
        </is>
      </c>
      <c r="E205" s="1064" t="inlineStr">
        <is>
          <t>EF-base, arroz continuamente inundado sin enmiendas orgánicas</t>
        </is>
      </c>
    </row>
    <row r="206">
      <c r="B206" s="2266">
        <f>IF(IF('1.Description'!$AA$9="english",C206,IF('1.Description'!$AA$9="français",D206,E206))=0,"",IF('1.Description'!$AA$9="english",C206,IF('1.Description'!$AA$9="français",D206,E206)))</f>
        <v/>
      </c>
      <c r="C206" s="1064" t="inlineStr">
        <is>
          <t>SF, water regime during cultivation period</t>
        </is>
      </c>
      <c r="D206" s="1064" t="inlineStr">
        <is>
          <t>SF, régime hydrique pendant la période de culture</t>
        </is>
      </c>
      <c r="E206" s="1064" t="inlineStr">
        <is>
          <t>SF, régimen hídrico durante el periodo de cultivo</t>
        </is>
      </c>
    </row>
    <row r="207">
      <c r="B207" s="2266">
        <f>IF(IF('1.Description'!$AA$9="english",C207,IF('1.Description'!$AA$9="français",D207,E207))=0,"",IF('1.Description'!$AA$9="english",C207,IF('1.Description'!$AA$9="français",D207,E207)))</f>
        <v/>
      </c>
      <c r="C207" s="1064" t="inlineStr">
        <is>
          <t>SF, water regime before cultivation period</t>
        </is>
      </c>
      <c r="D207" s="1064" t="inlineStr">
        <is>
          <t>SF, régime hydrique avant période de culture</t>
        </is>
      </c>
      <c r="E207" s="1064" t="inlineStr">
        <is>
          <t>SF, régimen hídrico antes del periodo de cultivo</t>
        </is>
      </c>
    </row>
    <row r="208">
      <c r="B208" s="2266">
        <f>IF(IF('1.Description'!$AA$9="english",C208,IF('1.Description'!$AA$9="français",D208,E208))=0,"",IF('1.Description'!$AA$9="english",C208,IF('1.Description'!$AA$9="français",D208,E208)))</f>
        <v/>
      </c>
      <c r="C208" s="1064" t="inlineStr">
        <is>
          <t>SF, organic amendement applied</t>
        </is>
      </c>
      <c r="D208" s="1064" t="inlineStr">
        <is>
          <t>SF, amendement organique appliqué</t>
        </is>
      </c>
      <c r="E208" s="1064" t="inlineStr">
        <is>
          <t>SF, enmienda orgánica aplicada</t>
        </is>
      </c>
    </row>
    <row r="209">
      <c r="B209" s="2266">
        <f>IF(IF('1.Description'!$AA$9="english",C209,IF('1.Description'!$AA$9="français",D209,E209))=0,"",IF('1.Description'!$AA$9="english",C209,IF('1.Description'!$AA$9="français",D209,E209)))</f>
        <v/>
      </c>
      <c r="C209" s="1064" t="inlineStr">
        <is>
          <t xml:space="preserve">adjusted daily EF </t>
        </is>
      </c>
      <c r="D209" s="1064" t="inlineStr">
        <is>
          <t>EF quotidien ajusté</t>
        </is>
      </c>
      <c r="E209" s="1064" t="inlineStr">
        <is>
          <t>EF diario ajustado</t>
        </is>
      </c>
    </row>
    <row r="210">
      <c r="B210" s="2266">
        <f>IF(IF('1.Description'!$AA$9="english",C210,IF('1.Description'!$AA$9="français",D210,E210))=0,"",IF('1.Description'!$AA$9="english",C210,IF('1.Description'!$AA$9="français",D210,E210)))</f>
        <v/>
      </c>
      <c r="C210" s="1064" t="inlineStr">
        <is>
          <t xml:space="preserve">Rice straw (Main season crop) </t>
        </is>
      </c>
      <c r="D210" s="1064" t="inlineStr">
        <is>
          <t xml:space="preserve"> Paille de riz (Culture principale)</t>
        </is>
      </c>
      <c r="E210" s="1064" t="inlineStr">
        <is>
          <t>Paja de arroz (cultivo estacional principal)</t>
        </is>
      </c>
    </row>
    <row r="211">
      <c r="B211" s="2266">
        <f>IF(IF('1.Description'!$AA$9="english",C211,IF('1.Description'!$AA$9="français",D211,E211))=0,"",IF('1.Description'!$AA$9="english",C211,IF('1.Description'!$AA$9="français",D211,E211)))</f>
        <v/>
      </c>
    </row>
    <row r="212">
      <c r="B212" s="2266">
        <f>IF(IF('1.Description'!$AA$9="english",C212,IF('1.Description'!$AA$9="français",D212,E212))=0,"",IF('1.Description'!$AA$9="english",C212,IF('1.Description'!$AA$9="français",D212,E212)))</f>
        <v/>
      </c>
    </row>
    <row r="213">
      <c r="B213" s="2266">
        <f>IF(IF('1.Description'!$AA$9="english",C213,IF('1.Description'!$AA$9="français",D213,E213))=0,"",IF('1.Description'!$AA$9="english",C213,IF('1.Description'!$AA$9="français",D213,E213)))</f>
        <v/>
      </c>
    </row>
    <row r="214">
      <c r="B214" s="2266">
        <f>IF(IF('1.Description'!$AA$9="english",C214,IF('1.Description'!$AA$9="français",D214,E214))=0,"",IF('1.Description'!$AA$9="english",C214,IF('1.Description'!$AA$9="français",D214,E214)))</f>
        <v/>
      </c>
    </row>
    <row r="215">
      <c r="B215" s="2266">
        <f>IF(IF('1.Description'!$AA$9="english",C215,IF('1.Description'!$AA$9="français",D215,E215))=0,"",IF('1.Description'!$AA$9="english",C215,IF('1.Description'!$AA$9="français",D215,E215)))</f>
        <v/>
      </c>
    </row>
    <row r="216">
      <c r="B216" s="2266">
        <f>IF(IF('1.Description'!$AA$9="english",C216,IF('1.Description'!$AA$9="français",D216,E216))=0,"",IF('1.Description'!$AA$9="english",C216,IF('1.Description'!$AA$9="français",D216,E216)))</f>
        <v/>
      </c>
    </row>
    <row r="217" customFormat="1" s="1068">
      <c r="A217" s="1067" t="inlineStr">
        <is>
          <t>4.Grassland</t>
        </is>
      </c>
      <c r="B217" s="2266">
        <f>IF(IF('1.Description'!$AA$9="english",C217,IF('1.Description'!$AA$9="français",D217,E217))=0,"",IF('1.Description'!$AA$9="english",C217,IF('1.Description'!$AA$9="français",D217,E217)))</f>
        <v/>
      </c>
      <c r="C217" s="1067" t="inlineStr">
        <is>
          <t>4.1. GRASSLAND MANAGEMENT</t>
        </is>
      </c>
      <c r="D217" s="1067" t="inlineStr">
        <is>
          <t>4.1. GESTION DES PRAIRIES</t>
        </is>
      </c>
      <c r="E217" s="1064" t="inlineStr">
        <is>
          <t xml:space="preserve">4.1 GESTIÓN / MANEJO DE PASTIZALES </t>
        </is>
      </c>
      <c r="F217" s="1067" t="n"/>
      <c r="G217" s="1067" t="n"/>
      <c r="H217" s="1067" t="n"/>
      <c r="I217" s="1067" t="n"/>
    </row>
    <row r="218">
      <c r="A218" s="1064" t="inlineStr">
        <is>
          <t>4.Grassland</t>
        </is>
      </c>
      <c r="B218" s="2266">
        <f>IF(IF('1.Description'!$AA$9="english",C218,IF('1.Description'!$AA$9="français",D218,E218))=0,"",IF('1.Description'!$AA$9="english",C218,IF('1.Description'!$AA$9="français",D218,E218)))</f>
        <v/>
      </c>
      <c r="C218" s="1064" t="inlineStr">
        <is>
          <t xml:space="preserve">4.1.1. Grassland systems from other land-use  or converted to other land-use (please fill 'Land-use change' module)  </t>
        </is>
      </c>
      <c r="D218" s="1064" t="inlineStr">
        <is>
          <t xml:space="preserve"> 4.1.1. Systèmes de prairies d'une autre utilisation des terres ou convertis en une autre utilisation des terres (veuillez remplir le module « Changement d'utilisation des terres »)</t>
        </is>
      </c>
      <c r="E218" s="1064" t="inlineStr">
        <is>
          <t>4.1.1. Pastizales  provenientes de otros usos de la tierra o convertidos en otros usos de la tierra</t>
        </is>
      </c>
    </row>
    <row r="219">
      <c r="A219" s="1064" t="inlineStr">
        <is>
          <t>4.Grassland</t>
        </is>
      </c>
      <c r="B219" s="2266">
        <f>IF(IF('1.Description'!$AA$9="english",C219,IF('1.Description'!$AA$9="français",D219,E219))=0,"",IF('1.Description'!$AA$9="english",C219,IF('1.Description'!$AA$9="français",D219,E219)))</f>
        <v/>
      </c>
      <c r="C219" s="1064" t="inlineStr">
        <is>
          <t>Description</t>
        </is>
      </c>
      <c r="D219" s="1064" t="inlineStr">
        <is>
          <t>Description</t>
        </is>
      </c>
      <c r="E219" s="1064" t="inlineStr">
        <is>
          <t>Descripción</t>
        </is>
      </c>
    </row>
    <row r="220">
      <c r="A220" s="1064" t="inlineStr">
        <is>
          <t>4.Grassland</t>
        </is>
      </c>
      <c r="B220" s="2266">
        <f>IF(IF('1.Description'!$AA$9="english",C220,IF('1.Description'!$AA$9="français",D220,E220))=0,"",IF('1.Description'!$AA$9="english",C220,IF('1.Description'!$AA$9="français",D220,E220)))</f>
        <v/>
      </c>
      <c r="C220" s="1064" t="inlineStr">
        <is>
          <t>Grasslands after deforestation</t>
        </is>
      </c>
      <c r="D220" s="1064" t="inlineStr">
        <is>
          <t>Prairies après déforestation</t>
        </is>
      </c>
      <c r="E220" s="1064" t="inlineStr">
        <is>
          <t>Pastizales después de la deforestación</t>
        </is>
      </c>
    </row>
    <row r="221">
      <c r="A221" s="1064" t="inlineStr">
        <is>
          <t>4.Grassland</t>
        </is>
      </c>
      <c r="B221" s="2266">
        <f>IF(IF('1.Description'!$AA$9="english",C221,IF('1.Description'!$AA$9="français",D221,E221))=0,"",IF('1.Description'!$AA$9="english",C221,IF('1.Description'!$AA$9="français",D221,E221)))</f>
        <v/>
      </c>
      <c r="C221" s="1064" t="inlineStr">
        <is>
          <t>Grasslands after non-forest LUs</t>
        </is>
      </c>
      <c r="D221" s="1064" t="inlineStr">
        <is>
          <t>Prairies après changements d'UT non forestières</t>
        </is>
      </c>
      <c r="E221" s="1064" t="inlineStr">
        <is>
          <t>Pastizales después de usos de la tierra no forestales</t>
        </is>
      </c>
    </row>
    <row r="222">
      <c r="A222" s="1064" t="inlineStr">
        <is>
          <t>4.Grassland</t>
        </is>
      </c>
      <c r="B222" s="2266">
        <f>IF(IF('1.Description'!$AA$9="english",C222,IF('1.Description'!$AA$9="français",D222,E222))=0,"",IF('1.Description'!$AA$9="english",C222,IF('1.Description'!$AA$9="français",D222,E222)))</f>
        <v/>
      </c>
      <c r="C222" s="1064" t="inlineStr">
        <is>
          <t>Grasslands converted to forest land</t>
        </is>
      </c>
      <c r="D222" s="1064" t="inlineStr">
        <is>
          <t>Prairies converties en terres forestières</t>
        </is>
      </c>
      <c r="E222" s="1064" t="inlineStr">
        <is>
          <t>Pastizales convertidos en bosques</t>
        </is>
      </c>
    </row>
    <row r="223">
      <c r="A223" s="1064" t="inlineStr">
        <is>
          <t>4.Grassland</t>
        </is>
      </c>
      <c r="B223" s="2266">
        <f>IF(IF('1.Description'!$AA$9="english",C223,IF('1.Description'!$AA$9="français",D223,E223))=0,"",IF('1.Description'!$AA$9="english",C223,IF('1.Description'!$AA$9="français",D223,E223)))</f>
        <v/>
      </c>
      <c r="C223" s="1064" t="inlineStr">
        <is>
          <t xml:space="preserve">Grasslands converted to non-forest LUs   </t>
        </is>
      </c>
      <c r="D223" s="1064" t="inlineStr">
        <is>
          <t xml:space="preserve"> Prairies converties en UT non forestières</t>
        </is>
      </c>
      <c r="E223" s="1064" t="inlineStr">
        <is>
          <t xml:space="preserve">Pastizales convertidos en  usos de la tierra no forestales </t>
        </is>
      </c>
    </row>
    <row r="224">
      <c r="A224" s="1064" t="inlineStr">
        <is>
          <t>4.Grassland</t>
        </is>
      </c>
      <c r="B224" s="2266">
        <f>IF(IF('1.Description'!$AA$9="english",C224,IF('1.Description'!$AA$9="français",D224,E224))=0,"",IF('1.Description'!$AA$9="english",C224,IF('1.Description'!$AA$9="français",D224,E224)))</f>
        <v/>
      </c>
      <c r="C224" s="1064" t="inlineStr">
        <is>
          <t>Grassland management</t>
        </is>
      </c>
      <c r="D224" s="1064" t="inlineStr">
        <is>
          <t>Gestion des prairies</t>
        </is>
      </c>
      <c r="E224" s="1064" t="inlineStr">
        <is>
          <t>Manejo de pastizales</t>
        </is>
      </c>
    </row>
    <row r="225">
      <c r="A225" s="1064" t="inlineStr">
        <is>
          <t>4.Grassland</t>
        </is>
      </c>
      <c r="B225" s="2266">
        <f>IF(IF('1.Description'!$AA$9="english",C225,IF('1.Description'!$AA$9="français",D225,E225))=0,"",IF('1.Description'!$AA$9="english",C225,IF('1.Description'!$AA$9="français",D225,E225)))</f>
        <v/>
      </c>
      <c r="C225" s="1064" t="inlineStr">
        <is>
          <t>Fire management &amp; periodicity</t>
        </is>
      </c>
      <c r="D225" s="1064" t="inlineStr">
        <is>
          <t>Gestion et périodicité des incendies</t>
        </is>
      </c>
      <c r="E225" s="1064" t="inlineStr">
        <is>
          <t>Gestión y frecuencia de los incendios</t>
        </is>
      </c>
    </row>
    <row r="226">
      <c r="A226" s="1064" t="inlineStr">
        <is>
          <t>4.Grassland</t>
        </is>
      </c>
      <c r="B226" s="2266">
        <f>IF(IF('1.Description'!$AA$9="english",C226,IF('1.Description'!$AA$9="français",D226,E226))=0,"",IF('1.Description'!$AA$9="english",C226,IF('1.Description'!$AA$9="français",D226,E226)))</f>
        <v/>
      </c>
      <c r="C226" s="1064" t="inlineStr">
        <is>
          <t>Yield (t/ha/year)</t>
        </is>
      </c>
      <c r="D226" s="1064" t="inlineStr">
        <is>
          <t>Rendement (t/ha/an)</t>
        </is>
      </c>
      <c r="E226" s="1064" t="inlineStr">
        <is>
          <t>Rendimiento (t/ha/año)</t>
        </is>
      </c>
    </row>
    <row r="227">
      <c r="A227" s="1064" t="inlineStr">
        <is>
          <t>4.Grassland</t>
        </is>
      </c>
      <c r="B227" s="2266">
        <f>IF(IF('1.Description'!$AA$9="english",C227,IF('1.Description'!$AA$9="français",D227,E227))=0,"",IF('1.Description'!$AA$9="english",C227,IF('1.Description'!$AA$9="français",D227,E227)))</f>
        <v/>
      </c>
      <c r="C227" s="1064" t="inlineStr">
        <is>
          <t>4.1.2. Grassland systems  remaining grassland systems  (total area must remain constant)</t>
        </is>
      </c>
      <c r="D227" s="1064" t="inlineStr">
        <is>
          <t>4.1.2. Systèmes prairies restant systèmes prairies (la superficie totale doit rester constante)</t>
        </is>
      </c>
      <c r="E227" s="1064" t="inlineStr">
        <is>
          <t>4.2 Pastizales  que permanecen pastizales (el área total debe permanecer constante)</t>
        </is>
      </c>
    </row>
    <row r="228">
      <c r="A228" s="1064" t="inlineStr">
        <is>
          <t>4.Grassland</t>
        </is>
      </c>
      <c r="B228" s="2266">
        <f>IF(IF('1.Description'!$AA$9="english",C228,IF('1.Description'!$AA$9="français",D228,E228))=0,"",IF('1.Description'!$AA$9="english",C228,IF('1.Description'!$AA$9="français",D228,E228)))</f>
        <v/>
      </c>
      <c r="C228" s="1064" t="inlineStr">
        <is>
          <t>Description</t>
        </is>
      </c>
      <c r="D228" s="1064" t="inlineStr">
        <is>
          <t>Description</t>
        </is>
      </c>
      <c r="E228" s="1064" t="inlineStr">
        <is>
          <t>Descripción</t>
        </is>
      </c>
    </row>
    <row r="229">
      <c r="A229" s="1064" t="inlineStr">
        <is>
          <t>4.Grassland</t>
        </is>
      </c>
      <c r="B229" s="2266">
        <f>IF(IF('1.Description'!$AA$9="english",C229,IF('1.Description'!$AA$9="français",D229,E229))=0,"",IF('1.Description'!$AA$9="english",C229,IF('1.Description'!$AA$9="français",D229,E229)))</f>
        <v/>
      </c>
      <c r="C229" s="1064" t="inlineStr">
        <is>
          <t>Grassland systems from (or to) other LU</t>
        </is>
      </c>
      <c r="D229" s="1064" t="inlineStr">
        <is>
          <t>Systèmes prairies depuis (ou vers) d'autres UT</t>
        </is>
      </c>
      <c r="E229" s="1064" t="inlineStr">
        <is>
          <t>Pastizales provenientes ( o convertidos) en otros usos de la tierra.</t>
        </is>
      </c>
    </row>
    <row r="230">
      <c r="A230" s="1064" t="inlineStr">
        <is>
          <t>4.Grassland</t>
        </is>
      </c>
      <c r="B230" s="2266">
        <f>IF(IF('1.Description'!$AA$9="english",C230,IF('1.Description'!$AA$9="français",D230,E230))=0,"",IF('1.Description'!$AA$9="english",C230,IF('1.Description'!$AA$9="français",D230,E230)))</f>
        <v/>
      </c>
      <c r="C230" s="1064" t="inlineStr">
        <is>
          <t>Soil carbon stocks (tC/ha)</t>
        </is>
      </c>
      <c r="D230" s="1064" t="inlineStr">
        <is>
          <t>Stocks de carbone du sol (tC/ha)</t>
        </is>
      </c>
      <c r="E230" s="1064" t="inlineStr">
        <is>
          <t>Depósitos de carbono en el suelo (tC/ha)</t>
        </is>
      </c>
    </row>
    <row r="231">
      <c r="A231" s="1064" t="inlineStr">
        <is>
          <t>4.Grassland</t>
        </is>
      </c>
      <c r="B231" s="2266">
        <f>IF(IF('1.Description'!$AA$9="english",C231,IF('1.Description'!$AA$9="français",D231,E231))=0,"",IF('1.Description'!$AA$9="english",C231,IF('1.Description'!$AA$9="français",D231,E231)))</f>
        <v/>
      </c>
      <c r="C231" s="1064" t="inlineStr">
        <is>
          <t>AGB (t d.m./ha)</t>
        </is>
      </c>
      <c r="D231" s="1064" t="inlineStr">
        <is>
          <t>BA (t ms/ha)</t>
        </is>
      </c>
      <c r="E231" s="1064" t="inlineStr">
        <is>
          <t>Biomasa aérea (t materia seca/ha)</t>
        </is>
      </c>
    </row>
    <row r="232">
      <c r="A232" s="1064" t="inlineStr">
        <is>
          <t>4.Grassland</t>
        </is>
      </c>
      <c r="B232" s="2266">
        <f>IF(IF('1.Description'!$AA$9="english",C232,IF('1.Description'!$AA$9="français",D232,E232))=0,"",IF('1.Description'!$AA$9="english",C232,IF('1.Description'!$AA$9="français",D232,E232)))</f>
        <v/>
      </c>
      <c r="C232" s="1064" t="inlineStr">
        <is>
          <t>Combustion factor (%)</t>
        </is>
      </c>
      <c r="D232" s="1064" t="inlineStr">
        <is>
          <t>Facteur de combustion (%)</t>
        </is>
      </c>
      <c r="E232" s="1064" t="inlineStr">
        <is>
          <t>Factor de combustión (%)</t>
        </is>
      </c>
    </row>
    <row r="233">
      <c r="A233" s="1064" t="inlineStr">
        <is>
          <t>4.Grassland</t>
        </is>
      </c>
      <c r="B233" s="2266">
        <f>IF(IF('1.Description'!$AA$9="english",C233,IF('1.Description'!$AA$9="français",D233,E233))=0,"",IF('1.Description'!$AA$9="english",C233,IF('1.Description'!$AA$9="français",D233,E233)))</f>
        <v/>
      </c>
      <c r="C233" s="1064" t="inlineStr">
        <is>
          <t>Grasslands remaining grasslands</t>
        </is>
      </c>
      <c r="D233" s="1064" t="inlineStr">
        <is>
          <t>Prairies restant prairies</t>
        </is>
      </c>
      <c r="E233" s="1064" t="inlineStr">
        <is>
          <t>Pastizales  que permanecen pastizales</t>
        </is>
      </c>
    </row>
    <row r="234">
      <c r="A234" s="1064" t="inlineStr">
        <is>
          <t>4.Grassland</t>
        </is>
      </c>
      <c r="B234" s="2266">
        <f>IF(IF('1.Description'!$AA$9="english",C234,IF('1.Description'!$AA$9="français",D234,E234))=0,"",IF('1.Description'!$AA$9="english",C234,IF('1.Description'!$AA$9="français",D234,E234)))</f>
        <v/>
      </c>
      <c r="C234" s="1064" t="inlineStr">
        <is>
          <t>Total grassland systems (tCO2-e)</t>
        </is>
      </c>
      <c r="D234" s="1064" t="inlineStr">
        <is>
          <t>Systèmes de prairies totaux (tCO2-e)</t>
        </is>
      </c>
      <c r="E234" s="1064" t="inlineStr">
        <is>
          <t>Total de los pastizales (tCO2-e)</t>
        </is>
      </c>
    </row>
    <row r="235">
      <c r="A235" s="1064" t="inlineStr">
        <is>
          <t>4. Livestock</t>
        </is>
      </c>
      <c r="B235" s="2266">
        <f>IF(IF('1.Description'!$AA$9="english",C235,IF('1.Description'!$AA$9="français",D235,E235))=0,"",IF('1.Description'!$AA$9="english",C235,IF('1.Description'!$AA$9="français",D235,E235)))</f>
        <v/>
      </c>
      <c r="C235" s="1065" t="inlineStr">
        <is>
          <t>4.2 LIVESTOCK AND MANURE MANAGEMENT</t>
        </is>
      </c>
      <c r="D235" s="1064" t="inlineStr">
        <is>
          <t>4.2 GESTION DU BÉTAIL ET DU FUMIER</t>
        </is>
      </c>
      <c r="E235" s="1064" t="inlineStr">
        <is>
          <t>4.2  MANEJO DEL GANADO Y ESTIÉRCOL</t>
        </is>
      </c>
    </row>
    <row r="236">
      <c r="B236" s="2266">
        <f>IF(IF('1.Description'!$AA$9="english",C236,IF('1.Description'!$AA$9="français",D236,E236))=0,"",IF('1.Description'!$AA$9="english",C236,IF('1.Description'!$AA$9="français",D236,E236)))</f>
        <v/>
      </c>
      <c r="C236" s="1065" t="inlineStr">
        <is>
          <t>Livestock system #1</t>
        </is>
      </c>
      <c r="D236" s="1064" t="inlineStr">
        <is>
          <t>Système d'élevage #1</t>
        </is>
      </c>
      <c r="E236" s="1064" t="inlineStr">
        <is>
          <t>Sistema ganadero #1</t>
        </is>
      </c>
    </row>
    <row r="237">
      <c r="B237" s="2266">
        <f>IF(IF('1.Description'!$AA$9="english",C237,IF('1.Description'!$AA$9="français",D237,E237))=0,"",IF('1.Description'!$AA$9="english",C237,IF('1.Description'!$AA$9="français",D237,E237)))</f>
        <v/>
      </c>
      <c r="C237" s="1065" t="inlineStr">
        <is>
          <t>Livestock system #2</t>
        </is>
      </c>
      <c r="D237" s="1064" t="inlineStr">
        <is>
          <t>Système d'élevage #2</t>
        </is>
      </c>
      <c r="E237" s="1064" t="inlineStr">
        <is>
          <t>Sistema ganadero #2</t>
        </is>
      </c>
    </row>
    <row r="238">
      <c r="B238" s="2266">
        <f>IF(IF('1.Description'!$AA$9="english",C238,IF('1.Description'!$AA$9="français",D238,E238))=0,"",IF('1.Description'!$AA$9="english",C238,IF('1.Description'!$AA$9="français",D238,E238)))</f>
        <v/>
      </c>
      <c r="C238" s="1065" t="inlineStr">
        <is>
          <t>Livestock system #3</t>
        </is>
      </c>
      <c r="D238" s="1064" t="inlineStr">
        <is>
          <t>Système d'élevage #3</t>
        </is>
      </c>
      <c r="E238" s="1064" t="inlineStr">
        <is>
          <t>Sistema ganadero #3</t>
        </is>
      </c>
    </row>
    <row r="239">
      <c r="B239" s="2266">
        <f>IF(IF('1.Description'!$AA$9="english",C239,IF('1.Description'!$AA$9="français",D239,E239))=0,"",IF('1.Description'!$AA$9="english",C239,IF('1.Description'!$AA$9="français",D239,E239)))</f>
        <v/>
      </c>
      <c r="C239" s="1065" t="inlineStr">
        <is>
          <t>Livestock system #4</t>
        </is>
      </c>
      <c r="D239" s="1064" t="inlineStr">
        <is>
          <t>Système d'élevage #4</t>
        </is>
      </c>
      <c r="E239" s="1064" t="inlineStr">
        <is>
          <t>Sistema ganadero #4</t>
        </is>
      </c>
    </row>
    <row r="240">
      <c r="B240" s="2266">
        <f>IF(IF('1.Description'!$AA$9="english",C240,IF('1.Description'!$AA$9="français",D240,E240))=0,"",IF('1.Description'!$AA$9="english",C240,IF('1.Description'!$AA$9="français",D240,E240)))</f>
        <v/>
      </c>
      <c r="C240" s="1065" t="inlineStr">
        <is>
          <t>Livestock system #5</t>
        </is>
      </c>
      <c r="D240" s="1064" t="inlineStr">
        <is>
          <t>Système d'élevage #5</t>
        </is>
      </c>
      <c r="E240" s="1064" t="inlineStr">
        <is>
          <t>Sistema ganadero #5</t>
        </is>
      </c>
    </row>
    <row r="241">
      <c r="B241" s="2266">
        <f>IF(IF('1.Description'!$AA$9="english",C241,IF('1.Description'!$AA$9="français",D241,E241))=0,"",IF('1.Description'!$AA$9="english",C241,IF('1.Description'!$AA$9="français",D241,E241)))</f>
        <v/>
      </c>
      <c r="C241" s="1065" t="inlineStr">
        <is>
          <t>Livestock system #6</t>
        </is>
      </c>
      <c r="D241" s="1064" t="inlineStr">
        <is>
          <t>Système d'élevage #6</t>
        </is>
      </c>
      <c r="E241" s="1064" t="inlineStr">
        <is>
          <t>Sistema ganadero #6</t>
        </is>
      </c>
    </row>
    <row r="242">
      <c r="B242" s="2266">
        <f>IF(IF('1.Description'!$AA$9="english",C242,IF('1.Description'!$AA$9="français",D242,E242))=0,"",IF('1.Description'!$AA$9="english",C242,IF('1.Description'!$AA$9="français",D242,E242)))</f>
        <v/>
      </c>
      <c r="C242" s="1065" t="inlineStr">
        <is>
          <t>Livestock system #7</t>
        </is>
      </c>
      <c r="D242" s="1064" t="inlineStr">
        <is>
          <t>Système d'élevage #7</t>
        </is>
      </c>
      <c r="E242" s="1064" t="inlineStr">
        <is>
          <t>Sistema ganadero #7</t>
        </is>
      </c>
    </row>
    <row r="243">
      <c r="B243" s="2266">
        <f>IF(IF('1.Description'!$AA$9="english",C243,IF('1.Description'!$AA$9="français",D243,E243))=0,"",IF('1.Description'!$AA$9="english",C243,IF('1.Description'!$AA$9="français",D243,E243)))</f>
        <v/>
      </c>
      <c r="C243" s="1065" t="inlineStr">
        <is>
          <t>Livestock system #8</t>
        </is>
      </c>
      <c r="D243" s="1064" t="inlineStr">
        <is>
          <t>Système d'élevage #8</t>
        </is>
      </c>
      <c r="E243" s="1064" t="inlineStr">
        <is>
          <t>Sistema ganadero #8</t>
        </is>
      </c>
    </row>
    <row r="244">
      <c r="B244" s="2266">
        <f>IF(IF('1.Description'!$AA$9="english",C244,IF('1.Description'!$AA$9="français",D244,E244))=0,"",IF('1.Description'!$AA$9="english",C244,IF('1.Description'!$AA$9="français",D244,E244)))</f>
        <v/>
      </c>
      <c r="C244" s="1065" t="inlineStr">
        <is>
          <t>Livestock system #9</t>
        </is>
      </c>
      <c r="D244" s="1064" t="inlineStr">
        <is>
          <t>Système d'élevage #9</t>
        </is>
      </c>
      <c r="E244" s="1064" t="inlineStr">
        <is>
          <t>Sistema ganadero #9</t>
        </is>
      </c>
    </row>
    <row r="245">
      <c r="B245" s="2266">
        <f>IF(IF('1.Description'!$AA$9="english",C245,IF('1.Description'!$AA$9="français",D245,E245))=0,"",IF('1.Description'!$AA$9="english",C245,IF('1.Description'!$AA$9="français",D245,E245)))</f>
        <v/>
      </c>
      <c r="C245" s="1065" t="inlineStr">
        <is>
          <t>Livestock system #10</t>
        </is>
      </c>
      <c r="D245" s="1064" t="inlineStr">
        <is>
          <t>Système d'élevage #10</t>
        </is>
      </c>
      <c r="E245" s="1064" t="inlineStr">
        <is>
          <t>Sistema ganadero #10</t>
        </is>
      </c>
    </row>
    <row r="246">
      <c r="B246" s="2266">
        <f>IF(IF('1.Description'!$AA$9="english",C246,IF('1.Description'!$AA$9="français",D246,E246))=0,"",IF('1.Description'!$AA$9="english",C246,IF('1.Description'!$AA$9="français",D246,E246)))</f>
        <v/>
      </c>
      <c r="C246" s="1065" t="inlineStr">
        <is>
          <t>Livestock system #11</t>
        </is>
      </c>
      <c r="D246" s="1064" t="inlineStr">
        <is>
          <t>Système d'élevage #11</t>
        </is>
      </c>
      <c r="E246" s="1064" t="inlineStr">
        <is>
          <t>Sistema ganadero #11</t>
        </is>
      </c>
    </row>
    <row r="247">
      <c r="B247" s="2266">
        <f>IF(IF('1.Description'!$AA$9="english",C247,IF('1.Description'!$AA$9="français",D247,E247))=0,"",IF('1.Description'!$AA$9="english",C247,IF('1.Description'!$AA$9="français",D247,E247)))</f>
        <v/>
      </c>
      <c r="C247" s="1065" t="inlineStr">
        <is>
          <t>Livestock system #12</t>
        </is>
      </c>
      <c r="D247" s="1064" t="inlineStr">
        <is>
          <t>Système d'élevage #12</t>
        </is>
      </c>
      <c r="E247" s="1064" t="inlineStr">
        <is>
          <t>Sistema ganadero #12</t>
        </is>
      </c>
    </row>
    <row r="248">
      <c r="B248" s="2266">
        <f>IF(IF('1.Description'!$AA$9="english",C248,IF('1.Description'!$AA$9="français",D248,E248))=0,"",IF('1.Description'!$AA$9="english",C248,IF('1.Description'!$AA$9="français",D248,E248)))</f>
        <v/>
      </c>
      <c r="C248" s="1065" t="inlineStr">
        <is>
          <t>Livestock system #13</t>
        </is>
      </c>
      <c r="D248" s="1064" t="inlineStr">
        <is>
          <t>Système d'élevage #13</t>
        </is>
      </c>
      <c r="E248" s="1064" t="inlineStr">
        <is>
          <t>Sistema ganadero #13</t>
        </is>
      </c>
    </row>
    <row r="249">
      <c r="B249" s="2266">
        <f>IF(IF('1.Description'!$AA$9="english",C249,IF('1.Description'!$AA$9="français",D249,E249))=0,"",IF('1.Description'!$AA$9="english",C249,IF('1.Description'!$AA$9="français",D249,E249)))</f>
        <v/>
      </c>
      <c r="C249" s="1065" t="inlineStr">
        <is>
          <t>Livestock system #14</t>
        </is>
      </c>
      <c r="D249" s="1064" t="inlineStr">
        <is>
          <t>Système d'élevage #14</t>
        </is>
      </c>
      <c r="E249" s="1064" t="inlineStr">
        <is>
          <t>Sistema ganadero #14</t>
        </is>
      </c>
    </row>
    <row r="250">
      <c r="B250" s="2266">
        <f>IF(IF('1.Description'!$AA$9="english",C250,IF('1.Description'!$AA$9="français",D250,E250))=0,"",IF('1.Description'!$AA$9="english",C250,IF('1.Description'!$AA$9="français",D250,E250)))</f>
        <v/>
      </c>
      <c r="C250" s="1065" t="inlineStr">
        <is>
          <t>Livestock system #15</t>
        </is>
      </c>
      <c r="D250" s="1064" t="inlineStr">
        <is>
          <t>Système d'élevage #15</t>
        </is>
      </c>
      <c r="E250" s="1064" t="inlineStr">
        <is>
          <t>Sistema ganadero #15</t>
        </is>
      </c>
    </row>
    <row r="251">
      <c r="B251" s="2266">
        <f>IF(IF('1.Description'!$AA$9="english",C251,IF('1.Description'!$AA$9="français",D251,E251))=0,"",IF('1.Description'!$AA$9="english",C251,IF('1.Description'!$AA$9="français",D251,E251)))</f>
        <v/>
      </c>
      <c r="C251" s="1065" t="inlineStr">
        <is>
          <t>Livestock system #16</t>
        </is>
      </c>
      <c r="D251" s="1064" t="inlineStr">
        <is>
          <t>Système d'élevage #16</t>
        </is>
      </c>
      <c r="E251" s="1064" t="inlineStr">
        <is>
          <t>Sistema ganadero #16</t>
        </is>
      </c>
    </row>
    <row r="252">
      <c r="B252" s="2266">
        <f>IF(IF('1.Description'!$AA$9="english",C252,IF('1.Description'!$AA$9="français",D252,E252))=0,"",IF('1.Description'!$AA$9="english",C252,IF('1.Description'!$AA$9="français",D252,E252)))</f>
        <v/>
      </c>
      <c r="C252" s="1065" t="inlineStr">
        <is>
          <t>Livestock system #17</t>
        </is>
      </c>
      <c r="D252" s="1064" t="inlineStr">
        <is>
          <t>Système d'élevage #17</t>
        </is>
      </c>
      <c r="E252" s="1064" t="inlineStr">
        <is>
          <t>Sistema ganadero #17</t>
        </is>
      </c>
    </row>
    <row r="253">
      <c r="B253" s="2266">
        <f>IF(IF('1.Description'!$AA$9="english",C253,IF('1.Description'!$AA$9="français",D253,E253))=0,"",IF('1.Description'!$AA$9="english",C253,IF('1.Description'!$AA$9="français",D253,E253)))</f>
        <v/>
      </c>
      <c r="C253" s="1065" t="inlineStr">
        <is>
          <t>Livestock categories/species</t>
        </is>
      </c>
      <c r="D253" s="1064" t="inlineStr">
        <is>
          <t>Catégories/espèces de bétail</t>
        </is>
      </c>
      <c r="E253" s="1064" t="inlineStr">
        <is>
          <t>Categorías de ganado/especies</t>
        </is>
      </c>
    </row>
    <row r="254">
      <c r="B254" s="2266">
        <f>IF(IF('1.Description'!$AA$9="english",C254,IF('1.Description'!$AA$9="français",D254,E254))=0,"",IF('1.Description'!$AA$9="english",C254,IF('1.Description'!$AA$9="français",D254,E254)))</f>
        <v/>
      </c>
      <c r="C254" s="1065" t="inlineStr">
        <is>
          <t>Livestock productivity/production system*</t>
        </is>
      </c>
      <c r="D254" s="1064" t="inlineStr">
        <is>
          <t>Productivité du bétail/système de production*</t>
        </is>
      </c>
      <c r="E254" s="1064" t="inlineStr">
        <is>
          <t>Productividad ganadera/ sistema de producción*</t>
        </is>
      </c>
    </row>
    <row r="255">
      <c r="B255" s="2266">
        <f>IF(IF('1.Description'!$AA$9="english",C255,IF('1.Description'!$AA$9="français",D255,E255))=0,"",IF('1.Description'!$AA$9="english",C255,IF('1.Description'!$AA$9="français",D255,E255)))</f>
        <v/>
      </c>
      <c r="C255" s="1065" t="inlineStr">
        <is>
          <t>Please ensure coherence between livestock keeping and feed need. Make sure feed comes either from I) crop-based activities (module 3), II) grassland systems (module 4.1) or III) exogenous dry matter (module 9).​</t>
        </is>
      </c>
      <c r="D255" s="1064" t="inlineStr">
        <is>
          <t>Veuillez assurer la cohérence entre l'élevage et les besoins alimentaires. Assurez-vous que les aliments proviennent soit I) d'activités basées sur les cultures (module 3), II) de systèmes de prairies (module 4.1) ou III) de matière sèche exogène (module 9).​</t>
        </is>
      </c>
      <c r="E255" s="1064" t="inlineStr">
        <is>
          <t>Por favor, asegure la coherencia entre el sistema ganadero y la necesidad de alimento. Asegure que el alimento proviene de I) actividades en sistemas de cultivo (módulo 3), II) pastizales (módulo 4.1) o III) matèria seca de origen externo (módulo 9)</t>
        </is>
      </c>
    </row>
    <row r="256">
      <c r="B256" s="2266">
        <f>IF(IF('1.Description'!$AA$9="english",C256,IF('1.Description'!$AA$9="français",D256,E256))=0,"",IF('1.Description'!$AA$9="english",C256,IF('1.Description'!$AA$9="français",D256,E256)))</f>
        <v/>
      </c>
      <c r="C256" s="1065" t="inlineStr">
        <is>
          <t>Please consider if livestock feed derives from grassland systems (e.g. natural pastures) of should be included as crop-based activities or as exogenous dry matter</t>
        </is>
      </c>
      <c r="D256" s="1064" t="inlineStr">
        <is>
          <t>Veuillez considérer si les aliments pour le bétail proviennent de systèmes de prairies (par exemple, les pâturages naturels) ou doivent être inclus en tant qu'activités basées sur les cultures ou en tant que matière sèche exogène</t>
        </is>
      </c>
      <c r="E256" s="1064" t="inlineStr">
        <is>
          <t xml:space="preserve">Por favor, considere si el alimento para ganado proviene de pastizales (e.g. Pasturas naturales) o debe incluirse en actividades en sistemas de cultivo o como materia seca de origen externo. </t>
        </is>
      </c>
    </row>
    <row r="257">
      <c r="B257" s="2266">
        <f>IF(IF('1.Description'!$AA$9="english",C257,IF('1.Description'!$AA$9="français",D257,E257))=0,"",IF('1.Description'!$AA$9="english",C257,IF('1.Description'!$AA$9="français",D257,E257)))</f>
        <v/>
      </c>
      <c r="C257" s="1065" t="inlineStr">
        <is>
          <t>* Please note that for some livestock categories, including buffalo, deer and ostrich, there are no Tier1 parametrs for each of the livestock productivity levels. As a result changing livestock productivity will not trigger change in the emission levels. You may use Tier 2 section to refine the parameters.</t>
        </is>
      </c>
      <c r="D257" s="1064" t="inlineStr">
        <is>
          <t>Veuillez noter que pour certaines catégories de bétail, y compris les buffles, les cerfs et les autruches, il n'y a pas de paramètres de Tier 1 pour chacun des niveaux de productivité du bétail. Par conséquent, l'évolution de la productivité du bétail n'entraînera pas de changement dans les niveaux d'émission. Vous pouvez utiliser la section Tier 2 pour affiner les paramètres.</t>
        </is>
      </c>
      <c r="E257" s="1064" t="inlineStr">
        <is>
          <t>Por favor, considere que para algunas categorías de ganado, incluyendo búfalo, ciervo y avestruz, no existen parámetros por defecto para cada uno de los sistemas de producción. Como resultado, al cambiar la productividad ganadera  no se va a producir un cambio en emisiones. Debe usar la sección para Tier 2 para refinar el análisis.</t>
        </is>
      </c>
    </row>
    <row r="258">
      <c r="B258" s="2266">
        <f>IF(IF('1.Description'!$AA$9="english",C258,IF('1.Description'!$AA$9="français",D258,E258))=0,"",IF('1.Description'!$AA$9="english",C258,IF('1.Description'!$AA$9="français",D258,E258)))</f>
        <v/>
      </c>
      <c r="C258" s="1065" t="inlineStr">
        <is>
          <t>Production (meat, milk, etc)</t>
        </is>
      </c>
      <c r="D258" s="1064" t="inlineStr">
        <is>
          <t>Production (viande, lait, etc.)</t>
        </is>
      </c>
      <c r="E258" s="1064" t="inlineStr">
        <is>
          <t>Producción (carne, leche, etc.)</t>
        </is>
      </c>
    </row>
    <row r="259">
      <c r="B259" s="2266">
        <f>IF(IF('1.Description'!$AA$9="english",C259,IF('1.Description'!$AA$9="français",D259,E259))=0,"",IF('1.Description'!$AA$9="english",C259,IF('1.Description'!$AA$9="français",D259,E259)))</f>
        <v/>
      </c>
      <c r="C259" s="1065" t="inlineStr">
        <is>
          <t>in tonnes of product per year</t>
        </is>
      </c>
      <c r="D259" s="1064" t="inlineStr">
        <is>
          <t>en tonnes de produit par an</t>
        </is>
      </c>
      <c r="E259" s="1064" t="inlineStr">
        <is>
          <t>En toneladas de producto por año</t>
        </is>
      </c>
    </row>
    <row r="260">
      <c r="B260" s="2266">
        <f>IF(IF('1.Description'!$AA$9="english",C260,IF('1.Description'!$AA$9="français",D260,E260))=0,"",IF('1.Description'!$AA$9="english",C260,IF('1.Description'!$AA$9="français",D260,E260)))</f>
        <v/>
      </c>
      <c r="C260" s="1065" t="inlineStr">
        <is>
          <t>Livestock management</t>
        </is>
      </c>
      <c r="D260" s="1064" t="inlineStr">
        <is>
          <t>Gestion du bétail</t>
        </is>
      </c>
      <c r="E260" s="1064" t="inlineStr">
        <is>
          <t>Gestión de ganado</t>
        </is>
      </c>
    </row>
    <row r="261">
      <c r="B261" s="2266">
        <f>IF(IF('1.Description'!$AA$9="english",C261,IF('1.Description'!$AA$9="français",D261,E261))=0,"",IF('1.Description'!$AA$9="english",C261,IF('1.Description'!$AA$9="français",D261,E261)))</f>
        <v/>
      </c>
      <c r="C261" s="1065" t="inlineStr">
        <is>
          <t>Number of heads</t>
        </is>
      </c>
      <c r="D261" s="1064" t="inlineStr">
        <is>
          <t>Nombre de têtes</t>
        </is>
      </c>
      <c r="E261" s="1064" t="inlineStr">
        <is>
          <t>Número de cabezas</t>
        </is>
      </c>
    </row>
    <row r="262">
      <c r="B262" s="2266">
        <f>IF(IF('1.Description'!$AA$9="english",C262,IF('1.Description'!$AA$9="français",D262,E262))=0,"",IF('1.Description'!$AA$9="english",C262,IF('1.Description'!$AA$9="français",D262,E262)))</f>
        <v/>
      </c>
      <c r="C262" s="1065" t="inlineStr">
        <is>
          <t>Total livestock (tCO2-e)</t>
        </is>
      </c>
      <c r="D262" s="1064" t="inlineStr">
        <is>
          <t>Total betail (tCO2-e)</t>
        </is>
      </c>
      <c r="E262" s="1064" t="inlineStr">
        <is>
          <t>Total ganado (tCO2-e)</t>
        </is>
      </c>
    </row>
    <row r="263">
      <c r="B263" s="2266">
        <f>IF(IF('1.Description'!$AA$9="english",C263,IF('1.Description'!$AA$9="français",D263,E263))=0,"",IF('1.Description'!$AA$9="english",C263,IF('1.Description'!$AA$9="français",D263,E263)))</f>
        <v/>
      </c>
      <c r="C263" s="1065" t="inlineStr">
        <is>
          <t>Soil organic carbon content per grassland degradation level</t>
        </is>
      </c>
      <c r="D263" s="1064" t="inlineStr">
        <is>
          <t>Teneur en carbone organique du sol par niveau de dégradation des prairies</t>
        </is>
      </c>
      <c r="E263" s="1064" t="inlineStr">
        <is>
          <t xml:space="preserve">Contenido Organico del Suelo para el nivel de degradación de pastizales </t>
        </is>
      </c>
    </row>
    <row r="264">
      <c r="B264" s="2266">
        <f>IF(IF('1.Description'!$AA$9="english",C264,IF('1.Description'!$AA$9="français",D264,E264))=0,"",IF('1.Description'!$AA$9="english",C264,IF('1.Description'!$AA$9="français",D264,E264)))</f>
        <v/>
      </c>
      <c r="C264" s="1065" t="inlineStr">
        <is>
          <t>Degradation level</t>
        </is>
      </c>
      <c r="D264" s="1064" t="inlineStr">
        <is>
          <t>Niveau de dégradation</t>
        </is>
      </c>
      <c r="E264" s="1064" t="inlineStr">
        <is>
          <t>Nivel de degradación</t>
        </is>
      </c>
    </row>
    <row r="265">
      <c r="B265" s="2266">
        <f>IF(IF('1.Description'!$AA$9="english",C265,IF('1.Description'!$AA$9="français",D265,E265))=0,"",IF('1.Description'!$AA$9="english",C265,IF('1.Description'!$AA$9="français",D265,E265)))</f>
        <v/>
      </c>
      <c r="C265" s="1065" t="inlineStr">
        <is>
          <t>Non-degraded</t>
        </is>
      </c>
      <c r="D265" s="1064" t="inlineStr">
        <is>
          <t>Non dégradé</t>
        </is>
      </c>
      <c r="E265" s="1064" t="inlineStr">
        <is>
          <t xml:space="preserve">no degradado </t>
        </is>
      </c>
    </row>
    <row r="266">
      <c r="B266" s="2266">
        <f>IF(IF('1.Description'!$AA$9="english",C266,IF('1.Description'!$AA$9="français",D266,E266))=0,"",IF('1.Description'!$AA$9="english",C266,IF('1.Description'!$AA$9="français",D266,E266)))</f>
        <v/>
      </c>
      <c r="C266" s="1065" t="inlineStr">
        <is>
          <t>High intensity grazing</t>
        </is>
      </c>
      <c r="D266" s="1064" t="inlineStr">
        <is>
          <t>Pâturage à haute intensité</t>
        </is>
      </c>
      <c r="E266" s="1064" t="inlineStr">
        <is>
          <t>Pastoreo de alta intensidad</t>
        </is>
      </c>
    </row>
    <row r="267">
      <c r="B267" s="2266">
        <f>IF(IF('1.Description'!$AA$9="english",C267,IF('1.Description'!$AA$9="français",D267,E267))=0,"",IF('1.Description'!$AA$9="english",C267,IF('1.Description'!$AA$9="français",D267,E267)))</f>
        <v/>
      </c>
      <c r="C267" s="1065" t="inlineStr">
        <is>
          <t>Severely degraded</t>
        </is>
      </c>
      <c r="D267" s="1064" t="inlineStr">
        <is>
          <t>Gravement dégradé</t>
        </is>
      </c>
      <c r="E267" s="1064" t="inlineStr">
        <is>
          <t>Severamente degradados</t>
        </is>
      </c>
    </row>
    <row r="268">
      <c r="B268" s="2266">
        <f>IF(IF('1.Description'!$AA$9="english",C268,IF('1.Description'!$AA$9="français",D268,E268))=0,"",IF('1.Description'!$AA$9="english",C268,IF('1.Description'!$AA$9="français",D268,E268)))</f>
        <v/>
      </c>
      <c r="C268" s="1065" t="inlineStr">
        <is>
          <t>Improved with medium inputs</t>
        </is>
      </c>
      <c r="D268" s="1064" t="inlineStr">
        <is>
          <t>Amélioré avec apport moyen d'intrants</t>
        </is>
      </c>
      <c r="E268" s="1064" t="inlineStr">
        <is>
          <t>Mejorado con un aporte mediano de insumos</t>
        </is>
      </c>
    </row>
    <row r="269">
      <c r="B269" s="2266">
        <f>IF(IF('1.Description'!$AA$9="english",C269,IF('1.Description'!$AA$9="français",D269,E269))=0,"",IF('1.Description'!$AA$9="english",C269,IF('1.Description'!$AA$9="français",D269,E269)))</f>
        <v/>
      </c>
      <c r="C269" s="1065" t="inlineStr">
        <is>
          <t>Improved grassland</t>
        </is>
      </c>
      <c r="D269" s="1064" t="inlineStr">
        <is>
          <t>Prairie améliorée</t>
        </is>
      </c>
      <c r="E269" s="1064" t="inlineStr">
        <is>
          <t>Pastizal mejorado</t>
        </is>
      </c>
    </row>
    <row r="270">
      <c r="B270" s="2266">
        <f>IF(IF('1.Description'!$AA$9="english",C270,IF('1.Description'!$AA$9="français",D270,E270))=0,"",IF('1.Description'!$AA$9="english",C270,IF('1.Description'!$AA$9="français",D270,E270)))</f>
        <v/>
      </c>
      <c r="C270" s="1065" t="inlineStr">
        <is>
          <t>Improved with high inputs</t>
        </is>
      </c>
      <c r="D270" s="1064" t="inlineStr">
        <is>
          <t>Amélioré avec apport élevé d'intrants</t>
        </is>
      </c>
      <c r="E270" s="1064" t="inlineStr">
        <is>
          <t>Mejorado con un aporte elevado de insumos</t>
        </is>
      </c>
    </row>
    <row r="271">
      <c r="B271" s="2266">
        <f>IF(IF('1.Description'!$AA$9="english",C271,IF('1.Description'!$AA$9="français",D271,E271))=0,"",IF('1.Description'!$AA$9="english",C271,IF('1.Description'!$AA$9="français",D271,E271)))</f>
        <v/>
      </c>
      <c r="C271" s="1065" t="inlineStr">
        <is>
          <t>Soil carbon stocks (tC/ha)</t>
        </is>
      </c>
      <c r="D271" s="1064" t="inlineStr">
        <is>
          <t>Stocks de carbone du sol (tC/ha)</t>
        </is>
      </c>
      <c r="E271" s="1064" t="inlineStr">
        <is>
          <t>Depósitos de carbono en el suelo (tC/ha)</t>
        </is>
      </c>
    </row>
    <row r="272">
      <c r="B272" s="2266">
        <f>IF(IF('1.Description'!$AA$9="english",C272,IF('1.Description'!$AA$9="français",D272,E272))=0,"",IF('1.Description'!$AA$9="english",C272,IF('1.Description'!$AA$9="français",D272,E272)))</f>
        <v/>
      </c>
      <c r="C272" s="1065" t="inlineStr">
        <is>
          <t>Enteric fermentation</t>
        </is>
      </c>
      <c r="D272" s="1064" t="inlineStr">
        <is>
          <t>Fermentation entérique</t>
        </is>
      </c>
      <c r="E272" s="1064" t="inlineStr">
        <is>
          <t>Fermentación entérica</t>
        </is>
      </c>
    </row>
    <row r="273">
      <c r="B273" s="2266">
        <f>IF(IF('1.Description'!$AA$9="english",C273,IF('1.Description'!$AA$9="français",D273,E273))=0,"",IF('1.Description'!$AA$9="english",C273,IF('1.Description'!$AA$9="français",D273,E273)))</f>
        <v/>
      </c>
      <c r="C273" s="1065" t="inlineStr">
        <is>
          <t xml:space="preserve">% corresponding to </t>
        </is>
      </c>
      <c r="D273" s="1064" t="inlineStr">
        <is>
          <t xml:space="preserve"> % correspond à</t>
        </is>
      </c>
      <c r="E273" s="1064" t="inlineStr">
        <is>
          <t>% corresponde a</t>
        </is>
      </c>
    </row>
    <row r="274">
      <c r="B274" s="2266">
        <f>IF(IF('1.Description'!$AA$9="english",C274,IF('1.Description'!$AA$9="français",D274,E274))=0,"",IF('1.Description'!$AA$9="english",C274,IF('1.Description'!$AA$9="français",D274,E274)))</f>
        <v/>
      </c>
      <c r="C274" s="1065" t="inlineStr">
        <is>
          <t>Pasture/Range/Paddock*</t>
        </is>
      </c>
      <c r="D274" s="1064" t="inlineStr">
        <is>
          <t>Pâturage/Plage/Enclos*</t>
        </is>
      </c>
      <c r="E274" s="1064" t="inlineStr">
        <is>
          <t>Pastura/pastizales</t>
        </is>
      </c>
    </row>
    <row r="275">
      <c r="B275" s="2266">
        <f>IF(IF('1.Description'!$AA$9="english",C275,IF('1.Description'!$AA$9="français",D275,E275))=0,"",IF('1.Description'!$AA$9="english",C275,IF('1.Description'!$AA$9="français",D275,E275)))</f>
        <v/>
      </c>
      <c r="C275" s="1065" t="inlineStr">
        <is>
          <t>*The nomenclature refers to extensive livestock management systems</t>
        </is>
      </c>
      <c r="D275" s="1064" t="inlineStr">
        <is>
          <t>*La nomenclature fait référence aux systèmes d'élevage extensifs</t>
        </is>
      </c>
      <c r="E275" s="1064" t="inlineStr">
        <is>
          <t>*La nomenclatura se refiere a manejo ganadero extensivo</t>
        </is>
      </c>
    </row>
    <row r="276">
      <c r="B276" s="2266">
        <f>IF(IF('1.Description'!$AA$9="english",C276,IF('1.Description'!$AA$9="français",D276,E276))=0,"",IF('1.Description'!$AA$9="english",C276,IF('1.Description'!$AA$9="français",D276,E276)))</f>
        <v/>
      </c>
      <c r="C276" s="1065" t="inlineStr">
        <is>
          <t>kgCH4/head/year</t>
        </is>
      </c>
      <c r="D276" s="1064" t="inlineStr">
        <is>
          <t>kgCH4/tête/an</t>
        </is>
      </c>
      <c r="E276" s="1064" t="inlineStr">
        <is>
          <t>KgCH4/cabeza/año</t>
        </is>
      </c>
    </row>
    <row r="277">
      <c r="B277" s="2266">
        <f>IF(IF('1.Description'!$AA$9="english",C277,IF('1.Description'!$AA$9="français",D277,E277))=0,"",IF('1.Description'!$AA$9="english",C277,IF('1.Description'!$AA$9="français",D277,E277)))</f>
        <v/>
      </c>
      <c r="C277" s="1065" t="inlineStr">
        <is>
          <t>kgN2O/head/year</t>
        </is>
      </c>
      <c r="D277" s="1064" t="inlineStr">
        <is>
          <t>kgN2O/tête/an</t>
        </is>
      </c>
      <c r="E277" s="1064" t="inlineStr">
        <is>
          <t>KgN2O/cabeza/año</t>
        </is>
      </c>
    </row>
    <row r="278">
      <c r="B278" s="2266">
        <f>IF(IF('1.Description'!$AA$9="english",C278,IF('1.Description'!$AA$9="français",D278,E278))=0,"",IF('1.Description'!$AA$9="english",C278,IF('1.Description'!$AA$9="français",D278,E278)))</f>
        <v/>
      </c>
      <c r="C278" s="1065" t="inlineStr">
        <is>
          <t>N2O from manure mngt.</t>
        </is>
      </c>
      <c r="D278" s="1064" t="inlineStr">
        <is>
          <t>N2O provenant de la gestion du fumier.</t>
        </is>
      </c>
      <c r="E278" s="1064" t="inlineStr">
        <is>
          <t>N2O provenientes del manejo de estiercol</t>
        </is>
      </c>
    </row>
    <row r="279">
      <c r="B279" s="2266">
        <f>IF(IF('1.Description'!$AA$9="english",C279,IF('1.Description'!$AA$9="français",D279,E279))=0,"",IF('1.Description'!$AA$9="english",C279,IF('1.Description'!$AA$9="français",D279,E279)))</f>
        <v/>
      </c>
      <c r="C279" s="1065" t="inlineStr">
        <is>
          <t>CH4 from manure mngt.</t>
        </is>
      </c>
      <c r="D279" s="1064" t="inlineStr">
        <is>
          <t>CH4 provenant de la gestion du fumier.</t>
        </is>
      </c>
      <c r="E279" s="1064" t="inlineStr">
        <is>
          <t>CH4 provenientes del manejo de estiercol</t>
        </is>
      </c>
    </row>
    <row r="280">
      <c r="B280" s="2266">
        <f>IF(IF('1.Description'!$AA$9="english",C280,IF('1.Description'!$AA$9="français",D280,E280))=0,"",IF('1.Description'!$AA$9="english",C280,IF('1.Description'!$AA$9="français",D280,E280)))</f>
        <v/>
      </c>
      <c r="C280" s="1065" t="inlineStr">
        <is>
          <t>Emission factors for Pasture/Range/Paddock*</t>
        </is>
      </c>
      <c r="D280" s="1064" t="inlineStr">
        <is>
          <t>Facteurs d'émission pour les pâturages/parcours/enclos*</t>
        </is>
      </c>
      <c r="E280" s="1064" t="inlineStr">
        <is>
          <t>Factores de emisión para pastura/pastizales</t>
        </is>
      </c>
    </row>
    <row r="281">
      <c r="B281" s="2266">
        <f>IF(IF('1.Description'!$AA$9="english",C281,IF('1.Description'!$AA$9="français",D281,E281))=0,"",IF('1.Description'!$AA$9="english",C281,IF('1.Description'!$AA$9="français",D281,E281)))</f>
        <v/>
      </c>
      <c r="C281" s="1065" t="inlineStr">
        <is>
          <t>Manure management</t>
        </is>
      </c>
      <c r="D281" s="1064" t="inlineStr">
        <is>
          <t>Gestion du fumier</t>
        </is>
      </c>
      <c r="E281" s="1064" t="inlineStr">
        <is>
          <t>Manejo de estiercol</t>
        </is>
      </c>
    </row>
    <row r="282">
      <c r="B282" s="2266">
        <f>IF(IF('1.Description'!$AA$9="english",C282,IF('1.Description'!$AA$9="français",D282,E282))=0,"",IF('1.Description'!$AA$9="english",C282,IF('1.Description'!$AA$9="français",D282,E282)))</f>
        <v/>
      </c>
      <c r="C282" s="1065" t="inlineStr">
        <is>
          <t>Complementary manure management system</t>
        </is>
      </c>
      <c r="D282" s="1064" t="inlineStr">
        <is>
          <t>Système complémentaire de gestion du fumier</t>
        </is>
      </c>
      <c r="E282" s="1064" t="inlineStr">
        <is>
          <t>Sistema complementario para el manejo de estiercol</t>
        </is>
      </c>
    </row>
    <row r="283">
      <c r="B283" s="2266">
        <f>IF(IF('1.Description'!$AA$9="english",C283,IF('1.Description'!$AA$9="français",D283,E283))=0,"",IF('1.Description'!$AA$9="english",C283,IF('1.Description'!$AA$9="français",D283,E283)))</f>
        <v/>
      </c>
      <c r="C283" s="1065" t="inlineStr">
        <is>
          <t>Emission factor CH4</t>
        </is>
      </c>
      <c r="D283" s="1064" t="inlineStr">
        <is>
          <t>Facteur d'émission CH4</t>
        </is>
      </c>
      <c r="E283" s="1064" t="inlineStr">
        <is>
          <t>Factor de emisión CH4</t>
        </is>
      </c>
    </row>
    <row r="284">
      <c r="B284" s="2266">
        <f>IF(IF('1.Description'!$AA$9="english",C284,IF('1.Description'!$AA$9="français",D284,E284))=0,"",IF('1.Description'!$AA$9="english",C284,IF('1.Description'!$AA$9="français",D284,E284)))</f>
        <v/>
      </c>
      <c r="C284" s="1065" t="inlineStr">
        <is>
          <t>Emission factor N2O</t>
        </is>
      </c>
      <c r="D284" s="1064" t="inlineStr">
        <is>
          <t>Facteur d'émission N2O</t>
        </is>
      </c>
      <c r="E284" s="1064" t="inlineStr">
        <is>
          <t>Factor de emisión N2O</t>
        </is>
      </c>
    </row>
    <row r="285">
      <c r="A285" s="1067" t="n"/>
      <c r="B285" s="2266">
        <f>IF(IF('1.Description'!$AA$9="english",C285,IF('1.Description'!$AA$9="français",D285,E285))=0,"",IF('1.Description'!$AA$9="english",C285,IF('1.Description'!$AA$9="français",D285,E285)))</f>
        <v/>
      </c>
      <c r="C285" s="1065" t="n"/>
    </row>
    <row r="286">
      <c r="B286" s="2266">
        <f>IF(IF('1.Description'!$AA$9="english",C286,IF('1.Description'!$AA$9="français",D286,E286))=0,"",IF('1.Description'!$AA$9="english",C286,IF('1.Description'!$AA$9="français",D286,E286)))</f>
        <v/>
      </c>
      <c r="C286" s="1065" t="inlineStr">
        <is>
          <t xml:space="preserve">Type of forest vegetation </t>
        </is>
      </c>
      <c r="D286" s="1064" t="inlineStr">
        <is>
          <t xml:space="preserve"> Type de végétation forestière</t>
        </is>
      </c>
      <c r="E286" s="1064" t="inlineStr">
        <is>
          <t>Tipo de vegetación forestal</t>
        </is>
      </c>
    </row>
    <row r="287">
      <c r="B287" s="2266">
        <f>IF(IF('1.Description'!$AA$9="english",C287,IF('1.Description'!$AA$9="français",D287,E287))=0,"",IF('1.Description'!$AA$9="english",C287,IF('1.Description'!$AA$9="français",D287,E287)))</f>
        <v/>
      </c>
      <c r="C287" s="1065" t="inlineStr">
        <is>
          <t>that will be managed</t>
        </is>
      </c>
      <c r="D287" s="1064" t="inlineStr">
        <is>
          <t>qui sera géré</t>
        </is>
      </c>
      <c r="E287" s="1064" t="inlineStr">
        <is>
          <t>que será gestionada</t>
        </is>
      </c>
    </row>
    <row r="288">
      <c r="B288" s="2266">
        <f>IF(IF('1.Description'!$AA$9="english",C288,IF('1.Description'!$AA$9="français",D288,E288))=0,"",IF('1.Description'!$AA$9="english",C288,IF('1.Description'!$AA$9="français",D288,E288)))</f>
        <v/>
      </c>
      <c r="C288" s="1065" t="inlineStr">
        <is>
          <t>Forest degradation level</t>
        </is>
      </c>
      <c r="D288" s="1064" t="inlineStr">
        <is>
          <t>Niveau de dégradation des forêts</t>
        </is>
      </c>
      <c r="E288" s="1064" t="inlineStr">
        <is>
          <t>Nivel de degradación de los bosques</t>
        </is>
      </c>
    </row>
    <row r="289">
      <c r="B289" s="2266">
        <f>IF(IF('1.Description'!$AA$9="english",C289,IF('1.Description'!$AA$9="français",D289,E289))=0,"",IF('1.Description'!$AA$9="english",C289,IF('1.Description'!$AA$9="français",D289,E289)))</f>
        <v/>
      </c>
      <c r="C289" s="1065" t="inlineStr">
        <is>
          <t>Fire</t>
        </is>
      </c>
      <c r="D289" s="1064" t="inlineStr">
        <is>
          <t>Feu:</t>
        </is>
      </c>
      <c r="E289" s="1064" t="inlineStr">
        <is>
          <t>Fuego:</t>
        </is>
      </c>
    </row>
    <row r="290">
      <c r="B290" s="2266">
        <f>IF(IF('1.Description'!$AA$9="english",C290,IF('1.Description'!$AA$9="français",D290,E290))=0,"",IF('1.Description'!$AA$9="english",C290,IF('1.Description'!$AA$9="français",D290,E290)))</f>
        <v/>
      </c>
      <c r="C290" s="1065" t="inlineStr">
        <is>
          <t>occurrence</t>
        </is>
      </c>
      <c r="D290" s="1064" t="inlineStr">
        <is>
          <t>fréquence</t>
        </is>
      </c>
      <c r="E290" s="1064" t="inlineStr">
        <is>
          <t xml:space="preserve">Ocurrencia </t>
        </is>
      </c>
    </row>
    <row r="291">
      <c r="B291" s="2266">
        <f>IF(IF('1.Description'!$AA$9="english",C291,IF('1.Description'!$AA$9="français",D291,E291))=0,"",IF('1.Description'!$AA$9="english",C291,IF('1.Description'!$AA$9="français",D291,E291)))</f>
        <v/>
      </c>
      <c r="C291" s="1065" t="inlineStr">
        <is>
          <t>periodicity</t>
        </is>
      </c>
      <c r="D291" s="1064" t="inlineStr">
        <is>
          <t>périodicité</t>
        </is>
      </c>
      <c r="E291" s="1064" t="inlineStr">
        <is>
          <t xml:space="preserve">Frecuencia </t>
        </is>
      </c>
    </row>
    <row r="292">
      <c r="B292" s="2266">
        <f>IF(IF('1.Description'!$AA$9="english",C292,IF('1.Description'!$AA$9="français",D292,E292))=0,"",IF('1.Description'!$AA$9="english",C292,IF('1.Description'!$AA$9="français",D292,E292)))</f>
        <v/>
      </c>
      <c r="C292" s="1065" t="inlineStr">
        <is>
          <t>impact (% burnt)</t>
        </is>
      </c>
      <c r="D292" s="1064" t="inlineStr">
        <is>
          <t>impact (% brûlé)</t>
        </is>
      </c>
      <c r="E292" s="1064" t="inlineStr">
        <is>
          <t>Impacto (% quemado)</t>
        </is>
      </c>
    </row>
    <row r="293">
      <c r="B293" s="2266">
        <f>IF(IF('1.Description'!$AA$9="english",C293,IF('1.Description'!$AA$9="français",D293,E293))=0,"",IF('1.Description'!$AA$9="english",C293,IF('1.Description'!$AA$9="français",D293,E293)))</f>
        <v/>
      </c>
      <c r="C293" s="1065" t="inlineStr">
        <is>
          <t>Forested area (ha)</t>
        </is>
      </c>
      <c r="D293" s="1064" t="inlineStr">
        <is>
          <t>Surface forestée (ha)</t>
        </is>
      </c>
      <c r="E293" s="1064" t="inlineStr">
        <is>
          <t>Área boscosa (ha)</t>
        </is>
      </c>
    </row>
    <row r="294">
      <c r="B294" s="2266">
        <f>IF(IF('1.Description'!$AA$9="english",C294,IF('1.Description'!$AA$9="français",D294,E294))=0,"",IF('1.Description'!$AA$9="english",C294,IF('1.Description'!$AA$9="français",D294,E294)))</f>
        <v/>
      </c>
      <c r="C294" s="1065" t="inlineStr">
        <is>
          <t>Forest degradation level (biomass loss) reference values</t>
        </is>
      </c>
      <c r="D294" s="1064" t="inlineStr">
        <is>
          <t>Valeurs de référence du niveau de dégradation des forêts (perte de biomasse)</t>
        </is>
      </c>
      <c r="E294" s="1064" t="inlineStr">
        <is>
          <t>Valores de referencia del nivel de degradación de los bosques (pérdida de biomasa)</t>
        </is>
      </c>
    </row>
    <row r="295">
      <c r="B295" s="2266">
        <f>IF(IF('1.Description'!$AA$9="english",C295,IF('1.Description'!$AA$9="français",D295,E295))=0,"",IF('1.Description'!$AA$9="english",C295,IF('1.Description'!$AA$9="français",D295,E295)))</f>
        <v/>
      </c>
      <c r="C295" s="1065" t="inlineStr">
        <is>
          <t>Degradation level</t>
        </is>
      </c>
      <c r="D295" s="1064" t="inlineStr">
        <is>
          <t>Niveau de dégradation</t>
        </is>
      </c>
      <c r="E295" s="1064" t="inlineStr">
        <is>
          <t>Nivel de degradación</t>
        </is>
      </c>
    </row>
    <row r="296">
      <c r="B296" s="2266">
        <f>IF(IF('1.Description'!$AA$9="english",C296,IF('1.Description'!$AA$9="français",D296,E296))=0,"",IF('1.Description'!$AA$9="english",C296,IF('1.Description'!$AA$9="français",D296,E296)))</f>
        <v/>
      </c>
      <c r="C296" s="1065" t="inlineStr">
        <is>
          <t>None</t>
        </is>
      </c>
      <c r="D296" s="1064" t="inlineStr">
        <is>
          <t>Aucun</t>
        </is>
      </c>
      <c r="E296" s="1064" t="inlineStr">
        <is>
          <t>Ninguno</t>
        </is>
      </c>
    </row>
    <row r="297">
      <c r="B297" s="2266">
        <f>IF(IF('1.Description'!$AA$9="english",C297,IF('1.Description'!$AA$9="français",D297,E297))=0,"",IF('1.Description'!$AA$9="english",C297,IF('1.Description'!$AA$9="français",D297,E297)))</f>
        <v/>
      </c>
      <c r="C297" s="1065" t="inlineStr">
        <is>
          <t>Very low</t>
        </is>
      </c>
      <c r="D297" s="1064" t="inlineStr">
        <is>
          <t>Très bas</t>
        </is>
      </c>
      <c r="E297" s="1064" t="inlineStr">
        <is>
          <t>Muy bajo</t>
        </is>
      </c>
    </row>
    <row r="298">
      <c r="B298" s="2266">
        <f>IF(IF('1.Description'!$AA$9="english",C298,IF('1.Description'!$AA$9="français",D298,E298))=0,"",IF('1.Description'!$AA$9="english",C298,IF('1.Description'!$AA$9="français",D298,E298)))</f>
        <v/>
      </c>
      <c r="C298" s="1065" t="inlineStr">
        <is>
          <t>Low</t>
        </is>
      </c>
      <c r="D298" s="1064" t="inlineStr">
        <is>
          <t>Bas</t>
        </is>
      </c>
      <c r="E298" s="1064" t="inlineStr">
        <is>
          <t>Bajo</t>
        </is>
      </c>
    </row>
    <row r="299">
      <c r="B299" s="2266">
        <f>IF(IF('1.Description'!$AA$9="english",C299,IF('1.Description'!$AA$9="français",D299,E299))=0,"",IF('1.Description'!$AA$9="english",C299,IF('1.Description'!$AA$9="français",D299,E299)))</f>
        <v/>
      </c>
      <c r="C299" s="1065" t="inlineStr">
        <is>
          <t>Moderate</t>
        </is>
      </c>
      <c r="D299" s="1064" t="inlineStr">
        <is>
          <t>Modéré</t>
        </is>
      </c>
      <c r="E299" s="1064" t="inlineStr">
        <is>
          <t>Moderado</t>
        </is>
      </c>
    </row>
    <row r="300">
      <c r="B300" s="2266">
        <f>IF(IF('1.Description'!$AA$9="english",C300,IF('1.Description'!$AA$9="français",D300,E300))=0,"",IF('1.Description'!$AA$9="english",C300,IF('1.Description'!$AA$9="français",D300,E300)))</f>
        <v/>
      </c>
      <c r="C300" s="1065" t="inlineStr">
        <is>
          <t>Large</t>
        </is>
      </c>
      <c r="D300" s="1064" t="inlineStr">
        <is>
          <t>Grand</t>
        </is>
      </c>
      <c r="E300" s="1064" t="inlineStr">
        <is>
          <t>Elevado</t>
        </is>
      </c>
    </row>
    <row r="301">
      <c r="B301" s="2266">
        <f>IF(IF('1.Description'!$AA$9="english",C301,IF('1.Description'!$AA$9="français",D301,E301))=0,"",IF('1.Description'!$AA$9="english",C301,IF('1.Description'!$AA$9="français",D301,E301)))</f>
        <v/>
      </c>
      <c r="C301" s="1065" t="inlineStr">
        <is>
          <t>Extreme</t>
        </is>
      </c>
      <c r="D301" s="1064" t="inlineStr">
        <is>
          <t>Extrême</t>
        </is>
      </c>
      <c r="E301" s="1064" t="inlineStr">
        <is>
          <t>Extremo</t>
        </is>
      </c>
    </row>
    <row r="302">
      <c r="B302" s="2266">
        <f>IF(IF('1.Description'!$AA$9="english",C302,IF('1.Description'!$AA$9="français",D302,E302))=0,"",IF('1.Description'!$AA$9="english",C302,IF('1.Description'!$AA$9="français",D302,E302)))</f>
        <v/>
      </c>
      <c r="C302" s="1065" t="inlineStr">
        <is>
          <t>% of biomass lost</t>
        </is>
      </c>
      <c r="D302" s="1064" t="inlineStr">
        <is>
          <t>% de biomasse perdue</t>
        </is>
      </c>
      <c r="E302" s="1064" t="inlineStr">
        <is>
          <t>% de biomasa perdida</t>
        </is>
      </c>
    </row>
    <row r="303">
      <c r="B303" s="2266">
        <f>IF(IF('1.Description'!$AA$9="english",C303,IF('1.Description'!$AA$9="français",D303,E303))=0,"",IF('1.Description'!$AA$9="english",C303,IF('1.Description'!$AA$9="français",D303,E303)))</f>
        <v/>
      </c>
      <c r="C303" s="1065" t="inlineStr">
        <is>
          <t>Forest degradation level ( in % of biomass lost)</t>
        </is>
      </c>
      <c r="D303" s="1064" t="inlineStr">
        <is>
          <t>Niveau de dégradation de la forêt (en % de biomasse perdue)</t>
        </is>
      </c>
      <c r="E303" s="1064" t="inlineStr">
        <is>
          <t>Nivel de degradación de los bosques (en % de pérdida de biomasa)</t>
        </is>
      </c>
    </row>
    <row r="304">
      <c r="B304" s="2266">
        <f>IF(IF('1.Description'!$AA$9="english",C304,IF('1.Description'!$AA$9="français",D304,E304))=0,"",IF('1.Description'!$AA$9="english",C304,IF('1.Description'!$AA$9="français",D304,E304)))</f>
        <v/>
      </c>
      <c r="C304" s="1065" t="inlineStr">
        <is>
          <t>Soil management and degradation</t>
        </is>
      </c>
      <c r="D304" s="1064" t="inlineStr">
        <is>
          <t>Gestion et dégradation des sols</t>
        </is>
      </c>
      <c r="E304" s="1064" t="inlineStr">
        <is>
          <t xml:space="preserve">Gestión y degradación de suelos </t>
        </is>
      </c>
    </row>
    <row r="305">
      <c r="B305" s="2266">
        <f>IF(IF('1.Description'!$AA$9="english",C305,IF('1.Description'!$AA$9="français",D305,E305))=0,"",IF('1.Description'!$AA$9="english",C305,IF('1.Description'!$AA$9="français",D305,E305)))</f>
        <v/>
      </c>
      <c r="C305" s="1065" t="inlineStr">
        <is>
          <t>Land use, mngt and input factor</t>
        </is>
      </c>
      <c r="D305" s="1064" t="inlineStr">
        <is>
          <t>Utilisation des terres, gestion et facteur d'entrée</t>
        </is>
      </c>
      <c r="E305" s="1064" t="inlineStr">
        <is>
          <t>Uso de la tierra, gestión y factor de insumos</t>
        </is>
      </c>
    </row>
    <row r="306">
      <c r="B306" s="2266">
        <f>IF(IF('1.Description'!$AA$9="english",C306,IF('1.Description'!$AA$9="français",D306,E306))=0,"",IF('1.Description'!$AA$9="english",C306,IF('1.Description'!$AA$9="français",D306,E306)))</f>
        <v/>
      </c>
      <c r="C306" s="1065" t="n"/>
    </row>
    <row r="307">
      <c r="B307" s="2266">
        <f>IF(IF('1.Description'!$AA$9="english",C307,IF('1.Description'!$AA$9="français",D307,E307))=0,"",IF('1.Description'!$AA$9="english",C307,IF('1.Description'!$AA$9="français",D307,E307)))</f>
        <v/>
      </c>
      <c r="C307" s="1065" t="n"/>
    </row>
    <row r="308">
      <c r="B308" s="2266">
        <f>IF(IF('1.Description'!$AA$9="english",C308,IF('1.Description'!$AA$9="français",D308,E308))=0,"",IF('1.Description'!$AA$9="english",C308,IF('1.Description'!$AA$9="français",D308,E308)))</f>
        <v/>
      </c>
      <c r="C308" s="1065" t="n"/>
    </row>
    <row r="309">
      <c r="B309" s="2266">
        <f>IF(IF('1.Description'!$AA$9="english",C309,IF('1.Description'!$AA$9="français",D309,E309))=0,"",IF('1.Description'!$AA$9="english",C309,IF('1.Description'!$AA$9="français",D309,E309)))</f>
        <v/>
      </c>
      <c r="C309" s="1065" t="n"/>
    </row>
    <row r="310">
      <c r="B310" s="2266">
        <f>IF(IF('1.Description'!$AA$9="english",C310,IF('1.Description'!$AA$9="français",D310,E310))=0,"",IF('1.Description'!$AA$9="english",C310,IF('1.Description'!$AA$9="français",D310,E310)))</f>
        <v/>
      </c>
      <c r="C310" s="1065" t="n"/>
    </row>
    <row r="311">
      <c r="B311" s="2266">
        <f>IF(IF('1.Description'!$AA$9="english",C311,IF('1.Description'!$AA$9="français",D311,E311))=0,"",IF('1.Description'!$AA$9="english",C311,IF('1.Description'!$AA$9="français",D311,E311)))</f>
        <v/>
      </c>
      <c r="C311" s="1065" t="n"/>
    </row>
    <row r="312">
      <c r="B312" s="2266">
        <f>IF(IF('1.Description'!$AA$9="english",C312,IF('1.Description'!$AA$9="français",D312,E312))=0,"",IF('1.Description'!$AA$9="english",C312,IF('1.Description'!$AA$9="français",D312,E312)))</f>
        <v/>
      </c>
      <c r="C312" s="1065" t="n"/>
    </row>
    <row r="313">
      <c r="B313" s="2266">
        <f>IF(IF('1.Description'!$AA$9="english",C313,IF('1.Description'!$AA$9="français",D313,E313))=0,"",IF('1.Description'!$AA$9="english",C313,IF('1.Description'!$AA$9="français",D313,E313)))</f>
        <v/>
      </c>
      <c r="C313" s="1065" t="n"/>
    </row>
    <row r="314">
      <c r="B314" s="2266">
        <f>IF(IF('1.Description'!$AA$9="english",C314,IF('1.Description'!$AA$9="français",D314,E314))=0,"",IF('1.Description'!$AA$9="english",C314,IF('1.Description'!$AA$9="français",D314,E314)))</f>
        <v/>
      </c>
      <c r="C314" s="1065" t="n"/>
    </row>
    <row r="315">
      <c r="B315" s="2266">
        <f>IF(IF('1.Description'!$AA$9="english",C315,IF('1.Description'!$AA$9="français",D315,E315))=0,"",IF('1.Description'!$AA$9="english",C315,IF('1.Description'!$AA$9="français",D315,E315)))</f>
        <v/>
      </c>
      <c r="C315" s="1065" t="n"/>
    </row>
    <row r="316">
      <c r="B316" s="2266">
        <f>IF(IF('1.Description'!$AA$9="english",C316,IF('1.Description'!$AA$9="français",D316,E316))=0,"",IF('1.Description'!$AA$9="english",C316,IF('1.Description'!$AA$9="français",D316,E316)))</f>
        <v/>
      </c>
      <c r="C316" s="1065" t="n"/>
    </row>
    <row r="317">
      <c r="B317" s="2266">
        <f>IF(IF('1.Description'!$AA$9="english",C317,IF('1.Description'!$AA$9="français",D317,E317))=0,"",IF('1.Description'!$AA$9="english",C317,IF('1.Description'!$AA$9="français",D317,E317)))</f>
        <v/>
      </c>
      <c r="C317" s="1065" t="n"/>
    </row>
    <row r="318">
      <c r="B318" s="2266">
        <f>IF(IF('1.Description'!$AA$9="english",C318,IF('1.Description'!$AA$9="français",D318,E318))=0,"",IF('1.Description'!$AA$9="english",C318,IF('1.Description'!$AA$9="français",D318,E318)))</f>
        <v/>
      </c>
      <c r="C318" s="1065" t="n"/>
    </row>
    <row r="319">
      <c r="B319" s="2266">
        <f>IF(IF('1.Description'!$AA$9="english",C319,IF('1.Description'!$AA$9="français",D319,E319))=0,"",IF('1.Description'!$AA$9="english",C319,IF('1.Description'!$AA$9="français",D319,E319)))</f>
        <v/>
      </c>
      <c r="C319" s="1065" t="n"/>
    </row>
    <row r="320">
      <c r="B320" s="2266">
        <f>IF(IF('1.Description'!$AA$9="english",C320,IF('1.Description'!$AA$9="français",D320,E320))=0,"",IF('1.Description'!$AA$9="english",C320,IF('1.Description'!$AA$9="français",D320,E320)))</f>
        <v/>
      </c>
      <c r="C320" s="1065" t="n"/>
    </row>
    <row r="321">
      <c r="B321" s="2266">
        <f>IF(IF('1.Description'!$AA$9="english",C321,IF('1.Description'!$AA$9="français",D321,E321))=0,"",IF('1.Description'!$AA$9="english",C321,IF('1.Description'!$AA$9="français",D321,E321)))</f>
        <v/>
      </c>
      <c r="C321" s="1065" t="n"/>
    </row>
    <row r="322">
      <c r="B322" s="2266">
        <f>IF(IF('1.Description'!$AA$9="english",C322,IF('1.Description'!$AA$9="français",D322,E322))=0,"",IF('1.Description'!$AA$9="english",C322,IF('1.Description'!$AA$9="français",D322,E322)))</f>
        <v/>
      </c>
      <c r="C322" s="1065" t="n"/>
    </row>
    <row r="323">
      <c r="A323" s="1064" t="inlineStr">
        <is>
          <t>7.Coastal wetlands</t>
        </is>
      </c>
      <c r="B323" s="2266">
        <f>IF(IF('1.Description'!$AA$9="english",C323,IF('1.Description'!$AA$9="français",D323,E323))=0,"",IF('1.Description'!$AA$9="english",C323,IF('1.Description'!$AA$9="français",D323,E323)))</f>
        <v/>
      </c>
      <c r="C323" s="1065" t="inlineStr">
        <is>
          <t>7.1.1 Extraction and excavation (construction of ports, aquaculture or salt ponds…)</t>
        </is>
      </c>
      <c r="D323" s="1064" t="inlineStr">
        <is>
          <t>7.1.1 Extraction et excavation (construction de ports, aquaculture ou étangs salés…)</t>
        </is>
      </c>
      <c r="E323" s="1064" t="inlineStr">
        <is>
          <t>7.1.1.  Extracción y excavación (construcción de puertos, acuicultura  o salinas)</t>
        </is>
      </c>
    </row>
    <row r="324">
      <c r="A324" s="1064" t="inlineStr">
        <is>
          <t>7.Coastal wetlands</t>
        </is>
      </c>
      <c r="B324" s="2266">
        <f>IF(IF('1.Description'!$AA$9="english",C324,IF('1.Description'!$AA$9="français",D324,E324))=0,"",IF('1.Description'!$AA$9="english",C324,IF('1.Description'!$AA$9="français",D324,E324)))</f>
        <v/>
      </c>
      <c r="C324" s="1065" t="inlineStr">
        <is>
          <t>Type of vegetation</t>
        </is>
      </c>
      <c r="D324" s="1064" t="inlineStr">
        <is>
          <t>Type de végétation</t>
        </is>
      </c>
      <c r="E324" s="1064" t="inlineStr">
        <is>
          <t>Tipo de vegetación</t>
        </is>
      </c>
    </row>
    <row r="325" customFormat="1" s="1068">
      <c r="A325" s="1067" t="inlineStr">
        <is>
          <t>6. Inland wetland</t>
        </is>
      </c>
      <c r="B325" s="2266">
        <f>IF(IF('1.Description'!$AA$9="english",C325,IF('1.Description'!$AA$9="français",D325,E325))=0,"",IF('1.Description'!$AA$9="english",C325,IF('1.Description'!$AA$9="français",D325,E325)))</f>
        <v/>
      </c>
      <c r="C325" s="1068" t="inlineStr">
        <is>
          <t>INLAND WETLAND</t>
        </is>
      </c>
      <c r="D325" s="1067" t="inlineStr">
        <is>
          <t>ZONES HUMIDES INTÉRIEURES</t>
        </is>
      </c>
      <c r="E325" s="1064" t="inlineStr">
        <is>
          <t xml:space="preserve">HUMEDALES INTERIORES </t>
        </is>
      </c>
      <c r="F325" s="1067" t="n"/>
      <c r="G325" s="1067" t="n"/>
      <c r="H325" s="1067" t="n"/>
      <c r="I325" s="1067" t="n"/>
    </row>
    <row r="326">
      <c r="A326" s="1064" t="inlineStr">
        <is>
          <t>6. Inland wetland</t>
        </is>
      </c>
      <c r="B326" s="2266">
        <f>IF(IF('1.Description'!$AA$9="english",C326,IF('1.Description'!$AA$9="français",D326,E326))=0,"",IF('1.Description'!$AA$9="english",C326,IF('1.Description'!$AA$9="français",D326,E326)))</f>
        <v/>
      </c>
      <c r="C326" s="1064" t="inlineStr">
        <is>
          <t>6.1 LAND-USE CHANGE ON ORGANIC SOIL</t>
        </is>
      </c>
      <c r="D326" s="1064" t="inlineStr">
        <is>
          <t>6.1 CHANGEMENT D'UTILISATION DES TERRES SUR LES SOLS ORGANIQUES</t>
        </is>
      </c>
      <c r="E326" s="1064" t="inlineStr">
        <is>
          <t>6.1  CAMBIO DE LOS USOS DE LA TIERRA EN SUELOS ORGÁNICOS</t>
        </is>
      </c>
    </row>
    <row r="327">
      <c r="A327" s="1064" t="inlineStr">
        <is>
          <t>6. Inland wetland</t>
        </is>
      </c>
      <c r="B327" s="2266">
        <f>IF(IF('1.Description'!$AA$9="english",C327,IF('1.Description'!$AA$9="français",D327,E327))=0,"",IF('1.Description'!$AA$9="english",C327,IF('1.Description'!$AA$9="français",D327,E327)))</f>
        <v/>
      </c>
      <c r="C327" s="1064" t="inlineStr">
        <is>
          <t>6.1.1 Organic soil management practices associated with deforestation</t>
        </is>
      </c>
      <c r="D327" s="1064" t="inlineStr">
        <is>
          <t>6.1.1 Pratiques de gestion organique des sols associées à la déforestation</t>
        </is>
      </c>
      <c r="E327" s="1064" t="inlineStr">
        <is>
          <t>6.1.1. Prácticas de gestión de suelos orgánicos asociados a la deforestación</t>
        </is>
      </c>
    </row>
    <row r="328">
      <c r="A328" s="1064" t="inlineStr">
        <is>
          <t>6. Inland wetland</t>
        </is>
      </c>
      <c r="B328" s="2266">
        <f>IF(IF('1.Description'!$AA$9="english",C328,IF('1.Description'!$AA$9="français",D328,E328))=0,"",IF('1.Description'!$AA$9="english",C328,IF('1.Description'!$AA$9="français",D328,E328)))</f>
        <v/>
      </c>
      <c r="C328" s="1064" t="inlineStr">
        <is>
          <t>% area occupied by ditches</t>
        </is>
      </c>
      <c r="D328" s="1064" t="inlineStr">
        <is>
          <t>% superficie occupée par les fossés</t>
        </is>
      </c>
      <c r="E328" s="1064" t="inlineStr">
        <is>
          <t>% de áreas ocupadas por acequias</t>
        </is>
      </c>
    </row>
    <row r="329">
      <c r="A329" s="1064" t="inlineStr">
        <is>
          <t>6. Inland wetland</t>
        </is>
      </c>
      <c r="B329" s="2266">
        <f>IF(IF('1.Description'!$AA$9="english",C329,IF('1.Description'!$AA$9="français",D329,E329))=0,"",IF('1.Description'!$AA$9="english",C329,IF('1.Description'!$AA$9="français",D329,E329)))</f>
        <v/>
      </c>
      <c r="C329" s="1064" t="inlineStr">
        <is>
          <t>Final land-use after deforestation</t>
        </is>
      </c>
      <c r="D329" s="1064" t="inlineStr">
        <is>
          <t>Utilisation finale des terres après déforestation</t>
        </is>
      </c>
      <c r="E329" s="1064" t="inlineStr">
        <is>
          <t>Uso final de la tierra después de la deforestación</t>
        </is>
      </c>
    </row>
    <row r="330">
      <c r="A330" s="1064" t="inlineStr">
        <is>
          <t>6. Inland wetland</t>
        </is>
      </c>
      <c r="B330" s="2266">
        <f>IF(IF('1.Description'!$AA$9="english",C330,IF('1.Description'!$AA$9="français",D330,E330))=0,"",IF('1.Description'!$AA$9="english",C330,IF('1.Description'!$AA$9="français",D330,E330)))</f>
        <v/>
      </c>
      <c r="C330" s="1064" t="inlineStr">
        <is>
          <t>Land-use type</t>
        </is>
      </c>
      <c r="D330" s="1064" t="inlineStr">
        <is>
          <t>Type d'utilisation des terres</t>
        </is>
      </c>
      <c r="E330" s="1064" t="inlineStr">
        <is>
          <t>Tipo de usos de la tierra</t>
        </is>
      </c>
    </row>
    <row r="331">
      <c r="A331" s="1064" t="inlineStr">
        <is>
          <t>6. Inland wetland</t>
        </is>
      </c>
      <c r="B331" s="2266">
        <f>IF(IF('1.Description'!$AA$9="english",C331,IF('1.Description'!$AA$9="français",D331,E331))=0,"",IF('1.Description'!$AA$9="english",C331,IF('1.Description'!$AA$9="français",D331,E331)))</f>
        <v/>
      </c>
      <c r="C331" s="1064" t="inlineStr">
        <is>
          <t>Agroforestry system</t>
        </is>
      </c>
      <c r="D331" s="1064" t="inlineStr">
        <is>
          <t>Système agroforestier</t>
        </is>
      </c>
      <c r="E331" s="1064" t="inlineStr">
        <is>
          <t>Sistema Agroforestal</t>
        </is>
      </c>
    </row>
    <row r="332">
      <c r="A332" s="1064" t="inlineStr">
        <is>
          <t>6. Inland wetland</t>
        </is>
      </c>
      <c r="B332" s="2266">
        <f>IF(IF('1.Description'!$AA$9="english",C332,IF('1.Description'!$AA$9="français",D332,E332))=0,"",IF('1.Description'!$AA$9="english",C332,IF('1.Description'!$AA$9="français",D332,E332)))</f>
        <v/>
      </c>
      <c r="C332" s="1064" t="inlineStr">
        <is>
          <t>Please indicate the dominant quality of peat, this can influence the emission factors above:</t>
        </is>
      </c>
      <c r="D332" s="1064" t="inlineStr">
        <is>
          <t>Veuillez indiquer la qualité dominante de la tourbe, cela peut influencer les facteurs d'émission ci-dessus :</t>
        </is>
      </c>
      <c r="E332" s="1064" t="inlineStr">
        <is>
          <t>Indique la calidad dominante de la turba, esto puede afectar los factores de emisión arriba:</t>
        </is>
      </c>
    </row>
    <row r="333">
      <c r="A333" s="1064" t="inlineStr">
        <is>
          <t>6. Inland wetland</t>
        </is>
      </c>
      <c r="B333" s="2266">
        <f>IF(IF('1.Description'!$AA$9="english",C333,IF('1.Description'!$AA$9="français",D333,E333))=0,"",IF('1.Description'!$AA$9="english",C333,IF('1.Description'!$AA$9="français",D333,E333)))</f>
        <v/>
      </c>
      <c r="C333" s="1064" t="inlineStr">
        <is>
          <t>Final land-use</t>
        </is>
      </c>
      <c r="D333" s="1064" t="inlineStr">
        <is>
          <t>Utilisation finale des terres</t>
        </is>
      </c>
      <c r="E333" s="1064" t="inlineStr">
        <is>
          <t>Uso del suelo final</t>
        </is>
      </c>
    </row>
    <row r="334">
      <c r="A334" s="1064" t="inlineStr">
        <is>
          <t>6. Inland wetland</t>
        </is>
      </c>
      <c r="B334" s="2266">
        <f>IF(IF('1.Description'!$AA$9="english",C334,IF('1.Description'!$AA$9="français",D334,E334))=0,"",IF('1.Description'!$AA$9="english",C334,IF('1.Description'!$AA$9="français",D334,E334)))</f>
        <v/>
      </c>
      <c r="C334" s="1064" t="inlineStr">
        <is>
          <t>On site emission factors</t>
        </is>
      </c>
      <c r="D334" s="1064" t="inlineStr">
        <is>
          <t>Facteurs d'émission sur site</t>
        </is>
      </c>
      <c r="E334" s="1064" t="inlineStr">
        <is>
          <t>Factores de emisión in situ</t>
        </is>
      </c>
    </row>
    <row r="335">
      <c r="A335" s="1064" t="inlineStr">
        <is>
          <t>6. Inland wetland</t>
        </is>
      </c>
      <c r="B335" s="2266">
        <f>IF(IF('1.Description'!$AA$9="english",C335,IF('1.Description'!$AA$9="français",D335,E335))=0,"",IF('1.Description'!$AA$9="english",C335,IF('1.Description'!$AA$9="français",D335,E335)))</f>
        <v/>
      </c>
      <c r="C335" s="1064" t="inlineStr">
        <is>
          <t>Fire occurrence and severity</t>
        </is>
      </c>
      <c r="D335" s="1064" t="inlineStr">
        <is>
          <t>Occurrence et gravité des incendies</t>
        </is>
      </c>
      <c r="E335" s="1064" t="inlineStr">
        <is>
          <t>Frecuencia y gravedad de los incendios</t>
        </is>
      </c>
    </row>
    <row r="336">
      <c r="A336" s="1064" t="inlineStr">
        <is>
          <t>6. Inland wetland</t>
        </is>
      </c>
      <c r="B336" s="2266">
        <f>IF(IF('1.Description'!$AA$9="english",C336,IF('1.Description'!$AA$9="français",D336,E336))=0,"",IF('1.Description'!$AA$9="english",C336,IF('1.Description'!$AA$9="français",D336,E336)))</f>
        <v/>
      </c>
      <c r="C336" s="1064" t="inlineStr">
        <is>
          <t>Periodicity</t>
        </is>
      </c>
      <c r="D336" s="1064" t="inlineStr">
        <is>
          <t>Périodicité</t>
        </is>
      </c>
      <c r="E336" s="1064" t="inlineStr">
        <is>
          <t xml:space="preserve">Frecuencia </t>
        </is>
      </c>
    </row>
    <row r="337">
      <c r="A337" s="1064" t="inlineStr">
        <is>
          <t>6. Inland wetland</t>
        </is>
      </c>
      <c r="B337" s="2266">
        <f>IF(IF('1.Description'!$AA$9="english",C337,IF('1.Description'!$AA$9="français",D337,E337))=0,"",IF('1.Description'!$AA$9="english",C337,IF('1.Description'!$AA$9="français",D337,E337)))</f>
        <v/>
      </c>
      <c r="C337" s="1064" t="inlineStr">
        <is>
          <t>Impact</t>
        </is>
      </c>
      <c r="D337" s="1064" t="inlineStr">
        <is>
          <t>Impact</t>
        </is>
      </c>
      <c r="E337" s="1064" t="inlineStr">
        <is>
          <t>Impacto</t>
        </is>
      </c>
    </row>
    <row r="338">
      <c r="A338" s="1064" t="inlineStr">
        <is>
          <t>6. Inland wetland</t>
        </is>
      </c>
      <c r="B338" s="2266">
        <f>IF(IF('1.Description'!$AA$9="english",C338,IF('1.Description'!$AA$9="français",D338,E338))=0,"",IF('1.Description'!$AA$9="english",C338,IF('1.Description'!$AA$9="français",D338,E338)))</f>
        <v/>
      </c>
      <c r="C338" s="1064" t="inlineStr">
        <is>
          <t>% area burnt</t>
        </is>
      </c>
      <c r="D338" s="1064" t="inlineStr">
        <is>
          <t>% de surface brûlée</t>
        </is>
      </c>
      <c r="E338" s="1064" t="inlineStr">
        <is>
          <t>% del área quemada</t>
        </is>
      </c>
    </row>
    <row r="339">
      <c r="A339" s="1064" t="inlineStr">
        <is>
          <t>6. Inland wetland</t>
        </is>
      </c>
      <c r="B339" s="2266">
        <f>IF(IF('1.Description'!$AA$9="english",C339,IF('1.Description'!$AA$9="français",D339,E339))=0,"",IF('1.Description'!$AA$9="english",C339,IF('1.Description'!$AA$9="français",D339,E339)))</f>
        <v/>
      </c>
      <c r="C339" s="1064" t="inlineStr">
        <is>
          <t>% burnt</t>
        </is>
      </c>
      <c r="D339" s="1064" t="inlineStr">
        <is>
          <t>% brûlé</t>
        </is>
      </c>
      <c r="E339" s="1064" t="inlineStr">
        <is>
          <t>% quemado</t>
        </is>
      </c>
    </row>
    <row r="340">
      <c r="A340" s="1064" t="inlineStr">
        <is>
          <t>6. Inland wetland</t>
        </is>
      </c>
      <c r="B340" s="2266">
        <f>IF(IF('1.Description'!$AA$9="english",C340,IF('1.Description'!$AA$9="français",D340,E340))=0,"",IF('1.Description'!$AA$9="english",C340,IF('1.Description'!$AA$9="français",D340,E340)))</f>
        <v/>
      </c>
      <c r="C340" s="1064" t="inlineStr">
        <is>
          <t>Year</t>
        </is>
      </c>
      <c r="D340" s="1064" t="inlineStr">
        <is>
          <t>An</t>
        </is>
      </c>
      <c r="E340" s="1064" t="inlineStr">
        <is>
          <t>Año</t>
        </is>
      </c>
    </row>
    <row r="341">
      <c r="A341" s="1064" t="inlineStr">
        <is>
          <t>6. Inland wetland</t>
        </is>
      </c>
      <c r="B341" s="2266">
        <f>IF(IF('1.Description'!$AA$9="english",C341,IF('1.Description'!$AA$9="français",D341,E341))=0,"",IF('1.Description'!$AA$9="english",C341,IF('1.Description'!$AA$9="français",D341,E341)))</f>
        <v/>
      </c>
      <c r="C341" s="1064" t="inlineStr">
        <is>
          <t>6.1.2 Organic soil management practices associated with afforestation / reforestation</t>
        </is>
      </c>
      <c r="D341" s="1064" t="inlineStr">
        <is>
          <t>6.1.2 Pratiques de gestion organique des sols associées à la reforestation/afforestation</t>
        </is>
      </c>
      <c r="E341" s="1064" t="inlineStr">
        <is>
          <t>6.1.2. Prácticas de gestión de suelos orgánicos asociados a la aforestación / reforestación</t>
        </is>
      </c>
    </row>
    <row r="342">
      <c r="A342" s="1064" t="inlineStr">
        <is>
          <t>6. Inland wetland</t>
        </is>
      </c>
      <c r="B342" s="2266">
        <f>IF(IF('1.Description'!$AA$9="english",C342,IF('1.Description'!$AA$9="français",D342,E342))=0,"",IF('1.Description'!$AA$9="english",C342,IF('1.Description'!$AA$9="français",D342,E342)))</f>
        <v/>
      </c>
      <c r="C342" s="1064" t="inlineStr">
        <is>
          <t>6.1.3 Organic soil management practices associated with other land-use changes</t>
        </is>
      </c>
      <c r="D342" s="1064" t="inlineStr">
        <is>
          <t>6.1.3 Pratiques de gestion organique des sols associées à d'autres changements d'utilisation des terres</t>
        </is>
      </c>
      <c r="E342" s="1064" t="inlineStr">
        <is>
          <t>6.1.2. Prácticas de gestión de suelos orgánicos asociados a otros cambios de los usos de la tierra</t>
        </is>
      </c>
    </row>
    <row r="343">
      <c r="A343" s="1064" t="inlineStr">
        <is>
          <t>6. Inland wetland</t>
        </is>
      </c>
      <c r="B343" s="2266">
        <f>IF(IF('1.Description'!$AA$9="english",C343,IF('1.Description'!$AA$9="français",D343,E343))=0,"",IF('1.Description'!$AA$9="english",C343,IF('1.Description'!$AA$9="français",D343,E343)))</f>
        <v/>
      </c>
      <c r="C343" s="1064" t="inlineStr">
        <is>
          <t>Management practices following conversion</t>
        </is>
      </c>
      <c r="D343" s="1064" t="inlineStr">
        <is>
          <t>Pratiques de gestion suite à la conversion</t>
        </is>
      </c>
      <c r="E343" s="1064" t="inlineStr">
        <is>
          <t>Prácticas de gestión después de la conversión</t>
        </is>
      </c>
    </row>
    <row r="344">
      <c r="A344" s="1064" t="inlineStr">
        <is>
          <t>6. Inland wetland</t>
        </is>
      </c>
      <c r="B344" s="2266">
        <f>IF(IF('1.Description'!$AA$9="english",C344,IF('1.Description'!$AA$9="français",D344,E344))=0,"",IF('1.Description'!$AA$9="english",C344,IF('1.Description'!$AA$9="français",D344,E344)))</f>
        <v/>
      </c>
      <c r="C344" s="1064" t="inlineStr">
        <is>
          <t>Water table level</t>
        </is>
      </c>
      <c r="D344" s="1064" t="inlineStr">
        <is>
          <t>Niveau de la nappe phréatique</t>
        </is>
      </c>
      <c r="E344" s="1064" t="inlineStr">
        <is>
          <t>Nivel de la capa freática</t>
        </is>
      </c>
    </row>
    <row r="345">
      <c r="A345" s="1064" t="inlineStr">
        <is>
          <t>6. Inland wetland</t>
        </is>
      </c>
      <c r="B345" s="2266">
        <f>IF(IF('1.Description'!$AA$9="english",C345,IF('1.Description'!$AA$9="français",D345,E345))=0,"",IF('1.Description'!$AA$9="english",C345,IF('1.Description'!$AA$9="français",D345,E345)))</f>
        <v/>
      </c>
      <c r="C345" s="1064" t="inlineStr">
        <is>
          <t>Off-site emission factors</t>
        </is>
      </c>
      <c r="D345" s="1064" t="inlineStr">
        <is>
          <t>Facteurs d'émission hors site</t>
        </is>
      </c>
      <c r="E345" s="1064" t="inlineStr">
        <is>
          <t>Factores de emisión fuera del sitio</t>
        </is>
      </c>
    </row>
    <row r="346">
      <c r="A346" s="1064" t="inlineStr">
        <is>
          <t>6. Inland wetland</t>
        </is>
      </c>
      <c r="B346" s="2266">
        <f>IF(IF('1.Description'!$AA$9="english",C346,IF('1.Description'!$AA$9="français",D346,E346))=0,"",IF('1.Description'!$AA$9="english",C346,IF('1.Description'!$AA$9="français",D346,E346)))</f>
        <v/>
      </c>
      <c r="C346" s="1064" t="inlineStr">
        <is>
          <t>On-site emission factors</t>
        </is>
      </c>
      <c r="D346" s="1064" t="inlineStr">
        <is>
          <t>Facteurs d'émission sur site</t>
        </is>
      </c>
      <c r="E346" s="1064" t="inlineStr">
        <is>
          <t>Factores de emisión in situ</t>
        </is>
      </c>
    </row>
    <row r="347">
      <c r="A347" s="1064" t="inlineStr">
        <is>
          <t>6. Inland wetland</t>
        </is>
      </c>
      <c r="B347" s="2266">
        <f>IF(IF('1.Description'!$AA$9="english",C347,IF('1.Description'!$AA$9="français",D347,E347))=0,"",IF('1.Description'!$AA$9="english",C347,IF('1.Description'!$AA$9="français",D347,E347)))</f>
        <v/>
      </c>
      <c r="C347" s="1064" t="inlineStr">
        <is>
          <t>Total peat extraction (tCO2-e)</t>
        </is>
      </c>
      <c r="D347" s="1064" t="inlineStr">
        <is>
          <t>Extraction totale de tourbe (tCO2-e)</t>
        </is>
      </c>
      <c r="E347" s="1064" t="inlineStr">
        <is>
          <t>Total de la extracción de turba (tCO2-e)</t>
        </is>
      </c>
    </row>
    <row r="348">
      <c r="A348" s="1064" t="inlineStr">
        <is>
          <t>6. Inland wetland</t>
        </is>
      </c>
      <c r="B348" s="2266">
        <f>IF(IF('1.Description'!$AA$9="english",C348,IF('1.Description'!$AA$9="français",D348,E348))=0,"",IF('1.Description'!$AA$9="english",C348,IF('1.Description'!$AA$9="français",D348,E348)))</f>
        <v/>
      </c>
      <c r="C348" s="1064" t="inlineStr">
        <is>
          <t>6.2 LAND MANAGEMENT ON ORGANIC SOIL</t>
        </is>
      </c>
      <c r="D348" s="1064" t="inlineStr">
        <is>
          <t>6.2 GESTION DES TERRES SUR SOL ORGANIQUE</t>
        </is>
      </c>
      <c r="E348" s="1064" t="inlineStr">
        <is>
          <t>6.2 GESTIÓN DE LAS TIERRAS EN SUELOS ORGÁNICOS</t>
        </is>
      </c>
    </row>
    <row r="349">
      <c r="A349" s="1064" t="inlineStr">
        <is>
          <t>6. Inland wetland</t>
        </is>
      </c>
      <c r="B349" s="2266">
        <f>IF(IF('1.Description'!$AA$9="english",C349,IF('1.Description'!$AA$9="français",D349,E349))=0,"",IF('1.Description'!$AA$9="english",C349,IF('1.Description'!$AA$9="français",D349,E349)))</f>
        <v/>
      </c>
      <c r="C349" s="1064" t="inlineStr">
        <is>
          <t>6.2.1 Forest management</t>
        </is>
      </c>
      <c r="D349" s="1064" t="inlineStr">
        <is>
          <t>6.2.1 Gestion forestière</t>
        </is>
      </c>
      <c r="E349" s="1064" t="inlineStr">
        <is>
          <t>6.2.1. Gestión forestal</t>
        </is>
      </c>
    </row>
    <row r="350">
      <c r="A350" s="1064" t="inlineStr">
        <is>
          <t>6. Inland wetland</t>
        </is>
      </c>
      <c r="B350" s="2266">
        <f>IF(IF('1.Description'!$AA$9="english",C350,IF('1.Description'!$AA$9="français",D350,E350))=0,"",IF('1.Description'!$AA$9="english",C350,IF('1.Description'!$AA$9="français",D350,E350)))</f>
        <v/>
      </c>
      <c r="C350" s="1064" t="inlineStr">
        <is>
          <t>6.2.2 Other land-use management</t>
        </is>
      </c>
      <c r="D350" s="1064" t="inlineStr">
        <is>
          <t>6.2.2 Autre gestion de l'utilisation des terres</t>
        </is>
      </c>
      <c r="E350" s="1064" t="inlineStr">
        <is>
          <t>6.2.2. Gestión de otros usos de la tierra</t>
        </is>
      </c>
    </row>
    <row r="351">
      <c r="A351" s="1064" t="inlineStr">
        <is>
          <t>6. Inland wetland</t>
        </is>
      </c>
      <c r="B351" s="2266">
        <f>IF(IF('1.Description'!$AA$9="english",C351,IF('1.Description'!$AA$9="français",D351,E351))=0,"",IF('1.Description'!$AA$9="english",C351,IF('1.Description'!$AA$9="français",D351,E351)))</f>
        <v/>
      </c>
      <c r="C351" s="1064" t="inlineStr">
        <is>
          <t>6.3 LAND MANAGED FOR PEAT EXTRACTION</t>
        </is>
      </c>
      <c r="D351" s="1064" t="inlineStr">
        <is>
          <t>6.3 TERRES GÉRÉES POUR L'EXTRACTION DE LA TOURBE</t>
        </is>
      </c>
      <c r="E351" s="1064" t="inlineStr">
        <is>
          <t>6.3. TIERRAS GESTIONADAS PARA LA EXTRACCIÓN DE TURBA</t>
        </is>
      </c>
    </row>
    <row r="352" ht="15" customHeight="1">
      <c r="A352" s="1064" t="inlineStr">
        <is>
          <t>6. Inland wetland</t>
        </is>
      </c>
      <c r="B352" s="2266">
        <f>IF(IF('1.Description'!$AA$9="english",C352,IF('1.Description'!$AA$9="français",D352,E352))=0,"",IF('1.Description'!$AA$9="english",C352,IF('1.Description'!$AA$9="français",D352,E352)))</f>
        <v/>
      </c>
      <c r="C352" s="1064" t="inlineStr">
        <is>
          <t>6.4 INLAND WATERBODIES</t>
        </is>
      </c>
      <c r="D352" s="1064" t="inlineStr">
        <is>
          <t>6.4 PLANS D'EAU INTÉRIEURS</t>
        </is>
      </c>
      <c r="E352" s="1064" t="inlineStr">
        <is>
          <t>6.4 CUERPOS DE AGUA INTERIORES</t>
        </is>
      </c>
    </row>
    <row r="353">
      <c r="A353" s="1064" t="inlineStr">
        <is>
          <t>6. Inland wetland</t>
        </is>
      </c>
      <c r="B353" s="2266">
        <f>IF(IF('1.Description'!$AA$9="english",C353,IF('1.Description'!$AA$9="français",D353,E353))=0,"",IF('1.Description'!$AA$9="english",C353,IF('1.Description'!$AA$9="français",D353,E353)))</f>
        <v/>
      </c>
      <c r="C353" s="1064" t="inlineStr">
        <is>
          <t>Waterbody type</t>
        </is>
      </c>
      <c r="D353" s="1064" t="inlineStr">
        <is>
          <t>Type de plan d'eau</t>
        </is>
      </c>
      <c r="E353" s="1064" t="inlineStr">
        <is>
          <t>Tipo de cuerpo de agua</t>
        </is>
      </c>
    </row>
    <row r="354">
      <c r="A354" s="1064" t="inlineStr">
        <is>
          <t>6. Inland wetland</t>
        </is>
      </c>
      <c r="B354" s="2266">
        <f>IF(IF('1.Description'!$AA$9="english",C354,IF('1.Description'!$AA$9="français",D354,E354))=0,"",IF('1.Description'!$AA$9="english",C354,IF('1.Description'!$AA$9="français",D354,E354)))</f>
        <v/>
      </c>
      <c r="C354" s="1064" t="inlineStr">
        <is>
          <t>Tota area of waterbodies (ha)</t>
        </is>
      </c>
      <c r="D354" s="1064" t="inlineStr">
        <is>
          <t>Surface totale des plans d'eau (ha)</t>
        </is>
      </c>
      <c r="E354" s="1064" t="inlineStr">
        <is>
          <t>Área total de cuerpos de Agua  (ha)</t>
        </is>
      </c>
    </row>
    <row r="355">
      <c r="A355" s="1064" t="inlineStr">
        <is>
          <t>6. Inland wetland</t>
        </is>
      </c>
      <c r="B355" s="2266">
        <f>IF(IF('1.Description'!$AA$9="english",C355,IF('1.Description'!$AA$9="français",D355,E355))=0,"",IF('1.Description'!$AA$9="english",C355,IF('1.Description'!$AA$9="français",D355,E355)))</f>
        <v/>
      </c>
      <c r="C355" s="1064" t="inlineStr">
        <is>
          <t>Trophic class</t>
        </is>
      </c>
      <c r="D355" s="1064" t="inlineStr">
        <is>
          <t>Classe trophique</t>
        </is>
      </c>
      <c r="E355" s="1064" t="inlineStr">
        <is>
          <t>Classe trófica</t>
        </is>
      </c>
    </row>
    <row r="356">
      <c r="A356" s="1064" t="inlineStr">
        <is>
          <t>6. Inland wetland</t>
        </is>
      </c>
      <c r="B356" s="2266">
        <f>IF(IF('1.Description'!$AA$9="english",C356,IF('1.Description'!$AA$9="français",D356,E356))=0,"",IF('1.Description'!$AA$9="english",C356,IF('1.Description'!$AA$9="français",D356,E356)))</f>
        <v/>
      </c>
      <c r="C356" s="1064" t="inlineStr">
        <is>
          <t>Fish production (tonne/year)</t>
        </is>
      </c>
      <c r="D356" s="1064" t="inlineStr">
        <is>
          <t>Production de poisson (tonne/an)</t>
        </is>
      </c>
      <c r="E356" s="1064" t="inlineStr">
        <is>
          <t>Producción pesquera (toneladas de pescado/año)</t>
        </is>
      </c>
    </row>
    <row r="357">
      <c r="A357" s="1064" t="inlineStr">
        <is>
          <t>6. Inland wetland</t>
        </is>
      </c>
      <c r="B357" s="2266">
        <f>IF(IF('1.Description'!$AA$9="english",C357,IF('1.Description'!$AA$9="français",D357,E357))=0,"",IF('1.Description'!$AA$9="english",C357,IF('1.Description'!$AA$9="français",D357,E357)))</f>
        <v/>
      </c>
      <c r="C357" s="1064" t="inlineStr">
        <is>
          <t>6.1.1 Emission factors for drainage associated with deforestation</t>
        </is>
      </c>
      <c r="D357" s="1064" t="inlineStr">
        <is>
          <t>6.1.1 Facteurs d'émission pour le drainage associé à la déforestation</t>
        </is>
      </c>
      <c r="E357" s="1064" t="inlineStr">
        <is>
          <t>6.1.1. Factores de emisión por el drenaje asociado a la deforestación</t>
        </is>
      </c>
    </row>
    <row r="358">
      <c r="A358" s="1064" t="inlineStr">
        <is>
          <t>6. Inland wetland</t>
        </is>
      </c>
      <c r="B358" s="2266">
        <f>IF(IF('1.Description'!$AA$9="english",C358,IF('1.Description'!$AA$9="français",D358,E358))=0,"",IF('1.Description'!$AA$9="english",C358,IF('1.Description'!$AA$9="français",D358,E358)))</f>
        <v/>
      </c>
      <c r="C358" s="1064" t="inlineStr">
        <is>
          <t>6.1.2 Emission factors for drainage associated with afforestation/reforestation</t>
        </is>
      </c>
      <c r="D358" s="1064" t="inlineStr">
        <is>
          <t>6.1.2 Facteurs d'émission pour le drainage associé à l'afforestation/reforestation</t>
        </is>
      </c>
      <c r="E358" s="1064" t="inlineStr">
        <is>
          <t>6.1.2. Factores de emisión por el drenaje asociado a la aforestación / reforestación</t>
        </is>
      </c>
    </row>
    <row r="359">
      <c r="A359" s="1064" t="inlineStr">
        <is>
          <t>6. Inland wetland</t>
        </is>
      </c>
      <c r="B359" s="2266">
        <f>IF(IF('1.Description'!$AA$9="english",C359,IF('1.Description'!$AA$9="français",D359,E359))=0,"",IF('1.Description'!$AA$9="english",C359,IF('1.Description'!$AA$9="français",D359,E359)))</f>
        <v/>
      </c>
      <c r="C359" s="1064" t="inlineStr">
        <is>
          <t>6.1.3 Emission factors for drainage associated with other land-use changes</t>
        </is>
      </c>
      <c r="D359" s="1064" t="inlineStr">
        <is>
          <t>6.1.3 Facteurs d'émission pour le drainage associés à d'autres changements d'utilisation des terres</t>
        </is>
      </c>
      <c r="E359" s="1064" t="inlineStr">
        <is>
          <t>6.1.3. Factores de emisión por el drenaje asociado a otros cambios de los usos de la tierra</t>
        </is>
      </c>
    </row>
    <row r="360">
      <c r="A360" s="1064" t="inlineStr">
        <is>
          <t>6. Inland wetland</t>
        </is>
      </c>
      <c r="B360" s="2266">
        <f>IF(IF('1.Description'!$AA$9="english",C360,IF('1.Description'!$AA$9="français",D360,E360))=0,"",IF('1.Description'!$AA$9="english",C360,IF('1.Description'!$AA$9="français",D360,E360)))</f>
        <v/>
      </c>
      <c r="C360" s="1064" t="inlineStr">
        <is>
          <t>6.2.1 Emission factors for drainage associated with forest management</t>
        </is>
      </c>
      <c r="D360" s="1064" t="inlineStr">
        <is>
          <t>6.2.1 Facteurs d'émission pour le drainage associé à la gestion forestière</t>
        </is>
      </c>
      <c r="E360" s="1064" t="inlineStr">
        <is>
          <t>6.2.1. Factores de emisión por el drenaje asociado a la gestión forestal</t>
        </is>
      </c>
    </row>
    <row r="361">
      <c r="A361" s="1064" t="inlineStr">
        <is>
          <t>6. Inland wetland</t>
        </is>
      </c>
      <c r="B361" s="2266">
        <f>IF(IF('1.Description'!$AA$9="english",C361,IF('1.Description'!$AA$9="français",D361,E361))=0,"",IF('1.Description'!$AA$9="english",C361,IF('1.Description'!$AA$9="français",D361,E361)))</f>
        <v/>
      </c>
      <c r="C361" s="1064" t="inlineStr">
        <is>
          <t>6.2.2 Emission factors for drainage associated with other land-use management</t>
        </is>
      </c>
      <c r="D361" s="1064" t="inlineStr">
        <is>
          <t>6.2.2 Facteurs d'émission pour le drainage associé à une autre gestion des terres</t>
        </is>
      </c>
      <c r="E361" s="1064" t="inlineStr">
        <is>
          <t>6.2.2. Factores de emisión por el drenaje asociado a la gestión de otros usos de la tierra</t>
        </is>
      </c>
    </row>
    <row r="362">
      <c r="A362" s="1064" t="inlineStr">
        <is>
          <t>6. Inland wetland</t>
        </is>
      </c>
      <c r="B362" s="2266">
        <f>IF(IF('1.Description'!$AA$9="english",C362,IF('1.Description'!$AA$9="français",D362,E362))=0,"",IF('1.Description'!$AA$9="english",C362,IF('1.Description'!$AA$9="français",D362,E362)))</f>
        <v/>
      </c>
      <c r="C362" s="1064" t="inlineStr">
        <is>
          <t>6.3 LAND MANAGED FOR PEAT EXTRACTION</t>
        </is>
      </c>
      <c r="D362" s="1064" t="inlineStr">
        <is>
          <t>6.3 TERRES GÉRÉES POUR L'EXTRACTION DE LA TOURBE</t>
        </is>
      </c>
      <c r="E362" s="1064" t="inlineStr">
        <is>
          <t>6.3. TIERRAS GESTIONADAS PARA LA EXTRACCIÓN DE TURBA</t>
        </is>
      </c>
    </row>
    <row r="363">
      <c r="A363" s="1064" t="inlineStr">
        <is>
          <t>6. Inland wetland</t>
        </is>
      </c>
      <c r="B363" s="2266">
        <f>IF(IF('1.Description'!$AA$9="english",C363,IF('1.Description'!$AA$9="français",D363,E363))=0,"",IF('1.Description'!$AA$9="english",C363,IF('1.Description'!$AA$9="français",D363,E363)))</f>
        <v/>
      </c>
      <c r="C363" s="1064" t="inlineStr">
        <is>
          <t>6.4 INLAND WATERBODIES</t>
        </is>
      </c>
      <c r="D363" s="1064" t="inlineStr">
        <is>
          <t>6.4 PLANS D'EAU INTÉRIEURS</t>
        </is>
      </c>
      <c r="E363" s="1064" t="inlineStr">
        <is>
          <t>6.4 CUERPOS DE AGUA INTERIORES</t>
        </is>
      </c>
    </row>
    <row r="364">
      <c r="A364" s="1064" t="inlineStr">
        <is>
          <t>6. Inland wetland</t>
        </is>
      </c>
      <c r="B364" s="2266">
        <f>IF(IF('1.Description'!$AA$9="english",C364,IF('1.Description'!$AA$9="français",D364,E364))=0,"",IF('1.Description'!$AA$9="english",C364,IF('1.Description'!$AA$9="français",D364,E364)))</f>
        <v/>
      </c>
      <c r="C364" s="1064" t="inlineStr">
        <is>
          <t>6.1.1 Emissions factors for fire on organic soils associated with deforestation</t>
        </is>
      </c>
      <c r="D364" s="1064" t="inlineStr">
        <is>
          <t>6.1.1 Facteurs d'émission pour les incendies sur les sols organiques associés à la déforestation</t>
        </is>
      </c>
      <c r="E364" s="1064" t="inlineStr">
        <is>
          <t>6.1.1. Factores de emisión por los incendios en suelos orgánicos asociados a la deforestación</t>
        </is>
      </c>
    </row>
    <row r="365">
      <c r="A365" s="1064" t="inlineStr">
        <is>
          <t>6. Inland wetland</t>
        </is>
      </c>
      <c r="B365" s="2266">
        <f>IF(IF('1.Description'!$AA$9="english",C365,IF('1.Description'!$AA$9="français",D365,E365))=0,"",IF('1.Description'!$AA$9="english",C365,IF('1.Description'!$AA$9="français",D365,E365)))</f>
        <v/>
      </c>
      <c r="C365" s="1064" t="inlineStr">
        <is>
          <t>6.1.2 Emissions factors for fire on organic soils associated with afforestation/reforestation</t>
        </is>
      </c>
      <c r="D365" s="1064" t="inlineStr">
        <is>
          <t>6.1.2 Facteurs d'émission pour les incendies sur les sols organiques associés au boisement/reboisement</t>
        </is>
      </c>
      <c r="E365" s="1064" t="inlineStr">
        <is>
          <t>6.1.2. Factores de emisión por  los incendios en suelos orgánicos asociados a la aforestación / reforestación</t>
        </is>
      </c>
    </row>
    <row r="366">
      <c r="A366" s="1064" t="inlineStr">
        <is>
          <t>6. Inland wetland</t>
        </is>
      </c>
      <c r="B366" s="2266">
        <f>IF(IF('1.Description'!$AA$9="english",C366,IF('1.Description'!$AA$9="français",D366,E366))=0,"",IF('1.Description'!$AA$9="english",C366,IF('1.Description'!$AA$9="français",D366,E366)))</f>
        <v/>
      </c>
      <c r="C366" s="1064" t="inlineStr">
        <is>
          <t>6.1.3 Emissions factors for fire on organic soils associated with other land-use change</t>
        </is>
      </c>
      <c r="D366" s="1064" t="inlineStr">
        <is>
          <t>6.1.3 Facteurs d'émission pour les incendies sur les sols organiques associés à d'autres changements d'utilisation des terres</t>
        </is>
      </c>
      <c r="E366" s="1064" t="inlineStr">
        <is>
          <t>6.1.3. Factores de emisión por  los incendios en suelos orgánicos asociados a otros cambios de los usos de la tierra</t>
        </is>
      </c>
    </row>
    <row r="367">
      <c r="A367" s="1064" t="inlineStr">
        <is>
          <t>6. Inland wetland</t>
        </is>
      </c>
      <c r="B367" s="2266">
        <f>IF(IF('1.Description'!$AA$9="english",C367,IF('1.Description'!$AA$9="français",D367,E367))=0,"",IF('1.Description'!$AA$9="english",C367,IF('1.Description'!$AA$9="français",D367,E367)))</f>
        <v/>
      </c>
      <c r="C367" s="1064" t="inlineStr">
        <is>
          <t>6.2.1 Emissions factors for fire on organic soils associated with forest management</t>
        </is>
      </c>
      <c r="D367" s="1064" t="inlineStr">
        <is>
          <t>6.2.1 Facteurs d'émission pour le feu sur les sols organiques associés à la gestion forestière</t>
        </is>
      </c>
      <c r="E367" s="1064" t="inlineStr">
        <is>
          <t>6.2.1. Factores de emisión por los incendios en suelos orgánicos asociados a la gestión forestal</t>
        </is>
      </c>
    </row>
    <row r="368">
      <c r="A368" s="1064" t="inlineStr">
        <is>
          <t>6. Inland wetland</t>
        </is>
      </c>
      <c r="B368" s="2266">
        <f>IF(IF('1.Description'!$AA$9="english",C368,IF('1.Description'!$AA$9="français",D368,E368))=0,"",IF('1.Description'!$AA$9="english",C368,IF('1.Description'!$AA$9="français",D368,E368)))</f>
        <v/>
      </c>
      <c r="C368" s="1064" t="inlineStr">
        <is>
          <t>6.2.2 Emissions factors for fire on organic soils associated with other land-use management</t>
        </is>
      </c>
      <c r="D368" s="1064" t="inlineStr">
        <is>
          <t>6.2.2 Facteurs d'émission pour les incendies sur les sols organiques associés à d'autres gestion des terres</t>
        </is>
      </c>
      <c r="E368" s="1064" t="inlineStr">
        <is>
          <t>6.2.2. Factores de emisión por  los incendios en suelos orgánicos asociados a la gestión de otros usos de la tierra</t>
        </is>
      </c>
    </row>
    <row r="369">
      <c r="A369" s="1064" t="inlineStr">
        <is>
          <t>6. Inland wetland</t>
        </is>
      </c>
      <c r="B369" s="2266">
        <f>IF(IF('1.Description'!$AA$9="english",C369,IF('1.Description'!$AA$9="français",D369,E369))=0,"",IF('1.Description'!$AA$9="english",C369,IF('1.Description'!$AA$9="français",D369,E369)))</f>
        <v/>
      </c>
      <c r="C369" s="1064" t="inlineStr">
        <is>
          <t>Total deforestation on organic soils (tCO2-e)</t>
        </is>
      </c>
      <c r="D369" s="1064" t="inlineStr">
        <is>
          <t>Déforestation totale sur sols organiques (tCO2-e)</t>
        </is>
      </c>
      <c r="E369" s="1064" t="inlineStr">
        <is>
          <t>Total de la deforestación total en suelos orgánicos (tCO2-e)</t>
        </is>
      </c>
    </row>
    <row r="370">
      <c r="A370" s="1064" t="inlineStr">
        <is>
          <t>6. Inland wetland</t>
        </is>
      </c>
      <c r="B370" s="2266">
        <f>IF(IF('1.Description'!$AA$9="english",C370,IF('1.Description'!$AA$9="français",D370,E370))=0,"",IF('1.Description'!$AA$9="english",C370,IF('1.Description'!$AA$9="français",D370,E370)))</f>
        <v/>
      </c>
      <c r="C370" s="1064" t="inlineStr">
        <is>
          <t>Total af/reforestation on organic soils (tCO2-e)</t>
        </is>
      </c>
      <c r="D370" s="1064" t="inlineStr">
        <is>
          <t>Total af/reforestation sur sols organiques (tCO2-e)</t>
        </is>
      </c>
      <c r="E370" s="1064" t="inlineStr">
        <is>
          <t>Total de la Aforestación / Reforestación  en suelos orgánicos (tCO2-e)</t>
        </is>
      </c>
    </row>
    <row r="371">
      <c r="A371" s="1064" t="inlineStr">
        <is>
          <t>6. Inland wetland</t>
        </is>
      </c>
      <c r="B371" s="2266">
        <f>IF(IF('1.Description'!$AA$9="english",C371,IF('1.Description'!$AA$9="français",D371,E371))=0,"",IF('1.Description'!$AA$9="english",C371,IF('1.Description'!$AA$9="français",D371,E371)))</f>
        <v/>
      </c>
      <c r="C371" s="1064" t="inlineStr">
        <is>
          <t>Total other land-use changes on organic soils (tCO2-e)</t>
        </is>
      </c>
      <c r="D371" s="1064" t="inlineStr">
        <is>
          <t>Total des autres changements d'affectation des terres sur les sols organiques (tCO2-e)</t>
        </is>
      </c>
      <c r="E371" s="1064" t="inlineStr">
        <is>
          <t>Total de los otros cambios de los usos de la tierra en suelos orgánicos (tCO2-e)</t>
        </is>
      </c>
    </row>
    <row r="372">
      <c r="A372" s="1064" t="inlineStr">
        <is>
          <t>6. Inland wetland</t>
        </is>
      </c>
      <c r="B372" s="2266">
        <f>IF(IF('1.Description'!$AA$9="english",C372,IF('1.Description'!$AA$9="français",D372,E372))=0,"",IF('1.Description'!$AA$9="english",C372,IF('1.Description'!$AA$9="français",D372,E372)))</f>
        <v/>
      </c>
      <c r="C372" s="1064" t="inlineStr">
        <is>
          <t>Total forest degradation and management (tCO2-e)</t>
        </is>
      </c>
      <c r="D372" s="1064" t="inlineStr">
        <is>
          <t>Dégradation et gestion totales des forêts (tCO2-e)</t>
        </is>
      </c>
      <c r="E372" s="1064" t="inlineStr">
        <is>
          <t>Total de la gestión y degradación forestal (tCO2e)</t>
        </is>
      </c>
    </row>
    <row r="373">
      <c r="A373" s="1064" t="inlineStr">
        <is>
          <t>6. Inland wetland</t>
        </is>
      </c>
      <c r="B373" s="2266">
        <f>IF(IF('1.Description'!$AA$9="english",C373,IF('1.Description'!$AA$9="français",D373,E373))=0,"",IF('1.Description'!$AA$9="english",C373,IF('1.Description'!$AA$9="français",D373,E373)))</f>
        <v/>
      </c>
      <c r="C373" s="1064" t="inlineStr">
        <is>
          <t>Total other land-use management (tCO2-e)</t>
        </is>
      </c>
      <c r="D373" s="1064" t="inlineStr">
        <is>
          <t>Total autre gestion des terres (tCO2-e)</t>
        </is>
      </c>
      <c r="E373" s="1064" t="inlineStr">
        <is>
          <t>Total de la gestión de otros usos de la tierra (tCO2-e)</t>
        </is>
      </c>
    </row>
    <row r="374">
      <c r="A374" s="1064" t="inlineStr">
        <is>
          <t>6. Inland wetland</t>
        </is>
      </c>
      <c r="B374" s="2266">
        <f>IF(IF('1.Description'!$AA$9="english",C374,IF('1.Description'!$AA$9="français",D374,E374))=0,"",IF('1.Description'!$AA$9="english",C374,IF('1.Description'!$AA$9="français",D374,E374)))</f>
        <v/>
      </c>
      <c r="C374" s="1064" t="inlineStr">
        <is>
          <t>6.1.1. Rewetting associated with deforestation</t>
        </is>
      </c>
      <c r="D374" s="1064" t="inlineStr">
        <is>
          <t>6.1.1. Remouillage associé à la déforestation</t>
        </is>
      </c>
      <c r="E374" s="1064" t="inlineStr">
        <is>
          <t>6.1.1. Rehumectación asociada a la deforestación</t>
        </is>
      </c>
    </row>
    <row r="375">
      <c r="A375" s="1064" t="inlineStr">
        <is>
          <t>6. Inland wetland</t>
        </is>
      </c>
      <c r="B375" s="2266">
        <f>IF(IF('1.Description'!$AA$9="english",C375,IF('1.Description'!$AA$9="français",D375,E375))=0,"",IF('1.Description'!$AA$9="english",C375,IF('1.Description'!$AA$9="français",D375,E375)))</f>
        <v/>
      </c>
      <c r="C375" s="1064" t="inlineStr">
        <is>
          <t>6.1.2. Rewetting associated with afforestation/reforestation</t>
        </is>
      </c>
      <c r="D375" s="1064" t="inlineStr">
        <is>
          <t>6.1.2. Remouillage associé au boisement/reboisement</t>
        </is>
      </c>
      <c r="E375" s="1064" t="inlineStr">
        <is>
          <t>6.1.1. Rehumectación asociada a la aforestación / reforestación</t>
        </is>
      </c>
    </row>
    <row r="376">
      <c r="A376" s="1064" t="inlineStr">
        <is>
          <t>6. Inland wetland</t>
        </is>
      </c>
      <c r="B376" s="2266">
        <f>IF(IF('1.Description'!$AA$9="english",C376,IF('1.Description'!$AA$9="français",D376,E376))=0,"",IF('1.Description'!$AA$9="english",C376,IF('1.Description'!$AA$9="français",D376,E376)))</f>
        <v/>
      </c>
      <c r="C376" s="1064" t="inlineStr">
        <is>
          <t>6.1.3 Rewetting associated with other land-use change</t>
        </is>
      </c>
      <c r="D376" s="1064" t="inlineStr">
        <is>
          <t>6.1.3 Remouillage associé à d'autres changements d'affectation des terres</t>
        </is>
      </c>
      <c r="E376" s="1064" t="inlineStr">
        <is>
          <t>6.1.1. Rehumectación asociada a otros cambios de los usos de la tierra</t>
        </is>
      </c>
    </row>
    <row r="377">
      <c r="A377" s="1064" t="inlineStr">
        <is>
          <t>6. Inland wetland</t>
        </is>
      </c>
      <c r="B377" s="2266">
        <f>IF(IF('1.Description'!$AA$9="english",C377,IF('1.Description'!$AA$9="français",D377,E377))=0,"",IF('1.Description'!$AA$9="english",C377,IF('1.Description'!$AA$9="français",D377,E377)))</f>
        <v/>
      </c>
      <c r="C377" s="1064" t="inlineStr">
        <is>
          <t>6.2.1 Rewetting associated with forest management</t>
        </is>
      </c>
      <c r="D377" s="1064" t="inlineStr">
        <is>
          <t>6.2.1 Remouillage associé à la gestion forestière</t>
        </is>
      </c>
      <c r="E377" s="1064" t="inlineStr">
        <is>
          <t>6.1.1. Rehumectación asociada a  la gestión forestal</t>
        </is>
      </c>
    </row>
    <row r="378">
      <c r="A378" s="1064" t="inlineStr">
        <is>
          <t>6. Inland wetland</t>
        </is>
      </c>
      <c r="B378" s="2266">
        <f>IF(IF('1.Description'!$AA$9="english",C378,IF('1.Description'!$AA$9="français",D378,E378))=0,"",IF('1.Description'!$AA$9="english",C378,IF('1.Description'!$AA$9="français",D378,E378)))</f>
        <v/>
      </c>
      <c r="C378" s="1064" t="inlineStr">
        <is>
          <t>6.2.2 Rewetting associated with other land-use management</t>
        </is>
      </c>
      <c r="D378" s="1064" t="inlineStr">
        <is>
          <t>6.2.2 Remouillage associé à une autre gestion de l'utilisation des terres</t>
        </is>
      </c>
      <c r="E378" s="1064" t="inlineStr">
        <is>
          <t>6.1.1. Rehumectación asociada a la gestión de otros usos de la tierra</t>
        </is>
      </c>
    </row>
    <row r="379">
      <c r="A379" s="1064" t="inlineStr">
        <is>
          <t>6. Inland wetland</t>
        </is>
      </c>
      <c r="B379" s="2266">
        <f>IF(IF('1.Description'!$AA$9="english",C379,IF('1.Description'!$AA$9="français",D379,E379))=0,"",IF('1.Description'!$AA$9="english",C379,IF('1.Description'!$AA$9="français",D379,E379)))</f>
        <v/>
      </c>
    </row>
    <row r="380">
      <c r="A380" s="1064" t="inlineStr">
        <is>
          <t>6. Inland wetland</t>
        </is>
      </c>
      <c r="B380" s="2266">
        <f>IF(IF('1.Description'!$AA$9="english",C380,IF('1.Description'!$AA$9="français",D380,E380))=0,"",IF('1.Description'!$AA$9="english",C380,IF('1.Description'!$AA$9="français",D380,E380)))</f>
        <v/>
      </c>
      <c r="C380" s="1064" t="inlineStr">
        <is>
          <t xml:space="preserve">For Mineral soil only - This accounts for CH4 emissions from (i) canals for water supply or navigation, (ii) ditches for agriculture (irrigation, drainage, etc.) ,and (iii) ponds for agriculture and aquaculture </t>
        </is>
      </c>
      <c r="D380" s="1064" t="inlineStr">
        <is>
          <t xml:space="preserve"> Pour les sols minéraux uniquement - Cela tient compte des émissions de CH4 provenant (i) des canaux pour l'approvisionnement en eau ou la navigation, (ii) des fossés pour l'agriculture (irrigation, drainage, etc.) et (iii) des étangs pour l'agriculture et l'aquaculture</t>
        </is>
      </c>
      <c r="E380" s="1064" t="inlineStr">
        <is>
          <t>Únicamente para suelos Minerales - Se contabilizan las emisiones de CH4 de (i) canales de abastecimiento o navegación, (ii) acequias para usos agrícolas (riego, drenaje, etc.), y (iii) estanques para la agricultura y acuicultura</t>
        </is>
      </c>
    </row>
    <row r="381">
      <c r="A381" s="1064" t="inlineStr">
        <is>
          <t>6. Inland wetland</t>
        </is>
      </c>
      <c r="B381" s="2266">
        <f>IF(IF('1.Description'!$AA$9="english",C381,IF('1.Description'!$AA$9="français",D381,E381))=0,"",IF('1.Description'!$AA$9="english",C381,IF('1.Description'!$AA$9="français",D381,E381)))</f>
        <v/>
      </c>
      <c r="C381" s="1064" t="inlineStr">
        <is>
          <t>For aquaculture in coastal wetland based pond go to "Coastal wetlands"</t>
        </is>
      </c>
      <c r="D381" s="1064" t="inlineStr">
        <is>
          <t>Pour l'aquaculture dans un étang basé sur des zones humides côtières, allez à "zones humides côtières"</t>
        </is>
      </c>
      <c r="E381" s="1064" t="inlineStr">
        <is>
          <t>Para la acuicultura en estanques en humedales costeros ir a "Humedales costeros"</t>
        </is>
      </c>
    </row>
    <row r="382">
      <c r="A382" s="1064" t="inlineStr">
        <is>
          <t>6. Inland wetland</t>
        </is>
      </c>
      <c r="B382" s="2266">
        <f>IF(IF('1.Description'!$AA$9="english",C382,IF('1.Description'!$AA$9="français",D382,E382))=0,"",IF('1.Description'!$AA$9="english",C382,IF('1.Description'!$AA$9="français",D382,E382)))</f>
        <v/>
      </c>
      <c r="C382" s="1064" t="inlineStr">
        <is>
          <t>Total inland waterbodies on mineral soil (tCO2-e)</t>
        </is>
      </c>
      <c r="D382" s="1064" t="inlineStr">
        <is>
          <t>Total des plans d'eau intérieurs sur sol minéral (tCO2-e)</t>
        </is>
      </c>
      <c r="E382" s="1064" t="inlineStr">
        <is>
          <t>Total de los cuerpos de agua interiores en suelos minerales (tCO2-e)</t>
        </is>
      </c>
    </row>
    <row r="383">
      <c r="B383" s="2266">
        <f>IF(IF('1.Description'!$AA$9="english",C383,IF('1.Description'!$AA$9="français",D383,E383))=0,"",IF('1.Description'!$AA$9="english",C383,IF('1.Description'!$AA$9="français",D383,E383)))</f>
        <v/>
      </c>
      <c r="C383" s="4478" t="inlineStr">
        <is>
          <t>Burning of</t>
        </is>
      </c>
      <c r="D383" s="4478" t="inlineStr">
        <is>
          <t>Combustion de</t>
        </is>
      </c>
      <c r="E383" s="1064" t="inlineStr">
        <is>
          <t xml:space="preserve">Quema de </t>
        </is>
      </c>
    </row>
    <row r="384">
      <c r="B384" s="2266">
        <f>IF(IF('1.Description'!$AA$9="english",C384,IF('1.Description'!$AA$9="français",D384,E384))=0,"",IF('1.Description'!$AA$9="english",C384,IF('1.Description'!$AA$9="français",D384,E384)))</f>
        <v/>
      </c>
      <c r="C384" s="4478" t="inlineStr">
        <is>
          <t xml:space="preserve">Biomass </t>
        </is>
      </c>
      <c r="D384" s="4478" t="inlineStr">
        <is>
          <t>Biomasse</t>
        </is>
      </c>
      <c r="E384" s="1064" t="inlineStr">
        <is>
          <t>Biomasa</t>
        </is>
      </c>
    </row>
    <row r="385">
      <c r="B385" s="2266">
        <f>IF(IF('1.Description'!$AA$9="english",C385,IF('1.Description'!$AA$9="français",D385,E385))=0,"",IF('1.Description'!$AA$9="english",C385,IF('1.Description'!$AA$9="français",D385,E385)))</f>
        <v/>
      </c>
      <c r="C385" s="4478" t="inlineStr">
        <is>
          <t>Maximum area available for</t>
        </is>
      </c>
      <c r="D385" s="4478" t="inlineStr">
        <is>
          <t>Surface maximum disponible pour</t>
        </is>
      </c>
      <c r="E385" s="1064" t="inlineStr">
        <is>
          <t>Área máxima disponible para</t>
        </is>
      </c>
    </row>
    <row r="386">
      <c r="B386" s="2266">
        <f>IF(IF('1.Description'!$AA$9="english",C386,IF('1.Description'!$AA$9="français",D386,E386))=0,"",IF('1.Description'!$AA$9="english",C386,IF('1.Description'!$AA$9="français",D386,E386)))</f>
        <v/>
      </c>
      <c r="C386" s="4478" t="inlineStr">
        <is>
          <t>water management</t>
        </is>
      </c>
      <c r="D386" s="4478" t="inlineStr">
        <is>
          <t>gestion de l'eau</t>
        </is>
      </c>
      <c r="E386" s="1064" t="inlineStr">
        <is>
          <t>gestión del agua</t>
        </is>
      </c>
    </row>
    <row r="387">
      <c r="B387" s="2266">
        <f>IF(IF('1.Description'!$AA$9="english",C387,IF('1.Description'!$AA$9="français",D387,E387))=0,"",IF('1.Description'!$AA$9="english",C387,IF('1.Description'!$AA$9="français",D387,E387)))</f>
        <v/>
      </c>
      <c r="C387" s="4478" t="inlineStr">
        <is>
          <t>Area under drainage (ha)</t>
        </is>
      </c>
      <c r="D387" s="4478" t="inlineStr">
        <is>
          <t>Surface drainée (ha)</t>
        </is>
      </c>
      <c r="E387" s="1064" t="inlineStr">
        <is>
          <t>Área drenada (ha)</t>
        </is>
      </c>
    </row>
    <row r="388">
      <c r="B388" s="2266">
        <f>IF(IF('1.Description'!$AA$9="english",C388,IF('1.Description'!$AA$9="français",D388,E388))=0,"",IF('1.Description'!$AA$9="english",C388,IF('1.Description'!$AA$9="français",D388,E388)))</f>
        <v/>
      </c>
      <c r="C388" s="4478" t="inlineStr">
        <is>
          <t>Area not drained or rewetted (ha)</t>
        </is>
      </c>
      <c r="D388" s="4478" t="inlineStr">
        <is>
          <t>Surface non drainée ou remouillée (ha)</t>
        </is>
      </c>
      <c r="E388" s="1064" t="inlineStr">
        <is>
          <t>Área no drenada o rehumedecida (ha)</t>
        </is>
      </c>
    </row>
    <row r="389">
      <c r="B389" s="2266">
        <f>IF(IF('1.Description'!$AA$9="english",C389,IF('1.Description'!$AA$9="français",D389,E389))=0,"",IF('1.Description'!$AA$9="english",C389,IF('1.Description'!$AA$9="français",D389,E389)))</f>
        <v/>
      </c>
      <c r="C389" s="4478" t="inlineStr">
        <is>
          <t>Fire on</t>
        </is>
      </c>
      <c r="D389" s="4478" t="inlineStr">
        <is>
          <t>Feu sur</t>
        </is>
      </c>
      <c r="E389" s="1064" t="inlineStr">
        <is>
          <t>Fuego en</t>
        </is>
      </c>
    </row>
    <row r="390">
      <c r="B390" s="2266">
        <f>IF(IF('1.Description'!$AA$9="english",C390,IF('1.Description'!$AA$9="français",D390,E390))=0,"",IF('1.Description'!$AA$9="english",C390,IF('1.Description'!$AA$9="français",D390,E390)))</f>
        <v/>
      </c>
      <c r="C390" s="4478" t="inlineStr">
        <is>
          <t>Soil</t>
        </is>
      </c>
      <c r="D390" s="4478" t="inlineStr">
        <is>
          <t>Sol</t>
        </is>
      </c>
      <c r="E390" s="1064" t="inlineStr">
        <is>
          <t>Suelo</t>
        </is>
      </c>
    </row>
    <row r="391">
      <c r="B391" s="2266">
        <f>IF(IF('1.Description'!$AA$9="english",C391,IF('1.Description'!$AA$9="français",D391,E391))=0,"",IF('1.Description'!$AA$9="english",C391,IF('1.Description'!$AA$9="français",D391,E391)))</f>
        <v/>
      </c>
      <c r="C391" s="4478" t="inlineStr">
        <is>
          <t>Total deforestation on organic soils (tCO2-e)</t>
        </is>
      </c>
      <c r="D391" s="4478" t="inlineStr">
        <is>
          <t>Total deforestation sur sols organiques (tCO2-e)</t>
        </is>
      </c>
      <c r="E391" s="1064" t="inlineStr">
        <is>
          <t>Total de la deforestación total en suelos orgánicos (tCO2-e)</t>
        </is>
      </c>
    </row>
    <row r="392">
      <c r="B392" s="2266">
        <f>IF(IF('1.Description'!$AA$9="english",C392,IF('1.Description'!$AA$9="français",D392,E392))=0,"",IF('1.Description'!$AA$9="english",C392,IF('1.Description'!$AA$9="français",D392,E392)))</f>
        <v/>
      </c>
      <c r="C392" s="4478" t="inlineStr">
        <is>
          <t>Total afforestation / reforestation on organic soils (tCO2-e)</t>
        </is>
      </c>
      <c r="D392" s="4478" t="inlineStr">
        <is>
          <t>Total afforestation/reforestation sur sols organiques (tCO2-e)</t>
        </is>
      </c>
      <c r="E392" s="1064" t="inlineStr">
        <is>
          <t>Total aforestado/ reforestado en suelos orgánicos (tCO2-e)</t>
        </is>
      </c>
    </row>
    <row r="393">
      <c r="B393" s="2266">
        <f>IF(IF('1.Description'!$AA$9="english",C393,IF('1.Description'!$AA$9="français",D393,E393))=0,"",IF('1.Description'!$AA$9="english",C393,IF('1.Description'!$AA$9="français",D393,E393)))</f>
        <v/>
      </c>
      <c r="C393" s="4478" t="n"/>
      <c r="D393" s="4478" t="n"/>
    </row>
    <row r="394">
      <c r="B394" s="2266">
        <f>IF(IF('1.Description'!$AA$9="english",C394,IF('1.Description'!$AA$9="français",D394,E394))=0,"",IF('1.Description'!$AA$9="english",C394,IF('1.Description'!$AA$9="français",D394,E394)))</f>
        <v/>
      </c>
      <c r="C394" s="4478" t="inlineStr">
        <is>
          <t>Converted areas (ha)</t>
        </is>
      </c>
      <c r="D394" s="4478" t="inlineStr">
        <is>
          <t>Surfaces converties (ha)</t>
        </is>
      </c>
      <c r="E394" s="1064" t="inlineStr">
        <is>
          <t>Áreas convertidas (ha)</t>
        </is>
      </c>
    </row>
    <row r="395" ht="13.25" customHeight="1">
      <c r="B395" s="2266">
        <f>IF(IF('1.Description'!$AA$9="english",C395,IF('1.Description'!$AA$9="français",D395,E395))=0,"",IF('1.Description'!$AA$9="english",C395,IF('1.Description'!$AA$9="français",D395,E395)))</f>
        <v/>
      </c>
      <c r="C395" s="4478" t="inlineStr">
        <is>
          <t>Management practices following conversion</t>
        </is>
      </c>
      <c r="D395" s="4478" t="inlineStr">
        <is>
          <t>Pratiques de gestion après conversion</t>
        </is>
      </c>
      <c r="E395" s="1064" t="inlineStr">
        <is>
          <t>Prácticas de gestión después de la conversión</t>
        </is>
      </c>
    </row>
    <row r="396" ht="13.25" customHeight="1">
      <c r="B396" s="2266">
        <f>IF(IF('1.Description'!$AA$9="english",C396,IF('1.Description'!$AA$9="français",D396,E396))=0,"",IF('1.Description'!$AA$9="english",C396,IF('1.Description'!$AA$9="français",D396,E396)))</f>
        <v/>
      </c>
      <c r="C396" s="4478" t="inlineStr">
        <is>
          <t>Management practices</t>
        </is>
      </c>
      <c r="D396" s="4478" t="inlineStr">
        <is>
          <t>Pratiques de gestion</t>
        </is>
      </c>
      <c r="E396" s="1064" t="inlineStr">
        <is>
          <t>Prácticas de gestión</t>
        </is>
      </c>
    </row>
    <row r="397" ht="13.25" customHeight="1">
      <c r="B397" s="2266">
        <f>IF(IF('1.Description'!$AA$9="english",C397,IF('1.Description'!$AA$9="français",D397,E397))=0,"",IF('1.Description'!$AA$9="english",C397,IF('1.Description'!$AA$9="français",D397,E397)))</f>
        <v/>
      </c>
      <c r="C397" s="4478" t="inlineStr">
        <is>
          <t>Total forest management on organic soils (tCO2-e)</t>
        </is>
      </c>
      <c r="D397" s="4478" t="inlineStr">
        <is>
          <t>Total gestion des forets sur sols organiques (tCO2-e)</t>
        </is>
      </c>
      <c r="E397" s="1064" t="inlineStr">
        <is>
          <t>Total de la gestión forestal en suelos orgánicos (tCO2e)</t>
        </is>
      </c>
    </row>
    <row r="398">
      <c r="B398" s="2266">
        <f>IF(IF('1.Description'!$AA$9="english",C398,IF('1.Description'!$AA$9="français",D398,E398))=0,"",IF('1.Description'!$AA$9="english",C398,IF('1.Description'!$AA$9="français",D398,E398)))</f>
        <v/>
      </c>
      <c r="C398" s="4478" t="inlineStr">
        <is>
          <t>Land use area (ha)</t>
        </is>
      </c>
      <c r="D398" s="4478" t="inlineStr">
        <is>
          <t>Surface d'utilisation des terres (ha)</t>
        </is>
      </c>
      <c r="E398" s="1064" t="inlineStr">
        <is>
          <t>Áreas de usos de la tierra (ha)</t>
        </is>
      </c>
    </row>
    <row r="399">
      <c r="B399" s="2266">
        <f>IF(IF('1.Description'!$AA$9="english",C399,IF('1.Description'!$AA$9="français",D399,E399))=0,"",IF('1.Description'!$AA$9="english",C399,IF('1.Description'!$AA$9="français",D399,E399)))</f>
        <v/>
      </c>
      <c r="C399" s="4478" t="inlineStr">
        <is>
          <t>Type of peat</t>
        </is>
      </c>
      <c r="D399" s="4478" t="inlineStr">
        <is>
          <t>Type de tourbe</t>
        </is>
      </c>
      <c r="E399" s="1064" t="inlineStr">
        <is>
          <t>Tipo de turba</t>
        </is>
      </c>
    </row>
    <row r="400">
      <c r="B400" s="2266">
        <f>IF(IF('1.Description'!$AA$9="english",C400,IF('1.Description'!$AA$9="français",D400,E400))=0,"",IF('1.Description'!$AA$9="english",C400,IF('1.Description'!$AA$9="français",D400,E400)))</f>
        <v/>
      </c>
      <c r="C400" s="4478" t="inlineStr">
        <is>
          <t>Surface where peat is extracted (ha)</t>
        </is>
      </c>
      <c r="D400" s="4478" t="inlineStr">
        <is>
          <t>Surface oú la tourbe est extraite (ha)</t>
        </is>
      </c>
      <c r="E400" s="1064" t="inlineStr">
        <is>
          <t>Área de extracción de turba (ha)</t>
        </is>
      </c>
    </row>
    <row r="401">
      <c r="B401" s="2266">
        <f>IF(IF('1.Description'!$AA$9="english",C401,IF('1.Description'!$AA$9="français",D401,E401))=0,"",IF('1.Description'!$AA$9="english",C401,IF('1.Description'!$AA$9="français",D401,E401)))</f>
        <v/>
      </c>
      <c r="C401" s="4478" t="inlineStr">
        <is>
          <t>Height of extraction (cm)</t>
        </is>
      </c>
      <c r="D401" s="4478" t="inlineStr">
        <is>
          <t>Profondeur d'extraction (cm)</t>
        </is>
      </c>
      <c r="E401" s="1064" t="inlineStr">
        <is>
          <t>Profundidad de extracción (ha)</t>
        </is>
      </c>
    </row>
    <row r="402">
      <c r="B402" s="2266">
        <f>IF(IF('1.Description'!$AA$9="english",C402,IF('1.Description'!$AA$9="français",D402,E402))=0,"",IF('1.Description'!$AA$9="english",C402,IF('1.Description'!$AA$9="français",D402,E402)))</f>
        <v/>
      </c>
      <c r="C402" s="4478" t="inlineStr">
        <is>
          <t>Quantity of peat produced (tonne/year)</t>
        </is>
      </c>
      <c r="D402" s="4478" t="inlineStr">
        <is>
          <t>Quantité de tourbe produite (tonne/an)</t>
        </is>
      </c>
      <c r="E402" s="1064" t="inlineStr">
        <is>
          <t>Cantidad de turba producida (toneladas/ año)</t>
        </is>
      </c>
    </row>
    <row r="403">
      <c r="B403" s="2266">
        <f>IF(IF('1.Description'!$AA$9="english",C403,IF('1.Description'!$AA$9="français",D403,E403))=0,"",IF('1.Description'!$AA$9="english",C403,IF('1.Description'!$AA$9="français",D403,E403)))</f>
        <v/>
      </c>
      <c r="C403" s="4478">
        <f>"Final land use biomass C pool (BGB+AGB)"</f>
        <v/>
      </c>
      <c r="D403" s="4478">
        <f>"Final land use biomass C pool (BGB+AGB)"</f>
        <v/>
      </c>
      <c r="E403" s="1064" t="inlineStr">
        <is>
          <t>Reserva de C en la biomasa del uso de la tierra final  (aerea + subterranea)</t>
        </is>
      </c>
    </row>
    <row r="404">
      <c r="B404" s="2266">
        <f>IF(IF('1.Description'!$AA$9="english",C404,IF('1.Description'!$AA$9="français",D404,E404))=0,"",IF('1.Description'!$AA$9="english",C404,IF('1.Description'!$AA$9="français",D404,E404)))</f>
        <v/>
      </c>
      <c r="C404" s="4478" t="inlineStr">
        <is>
          <t>Initial land use biomass C pool (BGB+AGB)</t>
        </is>
      </c>
      <c r="D404" s="4478" t="inlineStr">
        <is>
          <t>Reservoir C biomasse d'utilisation des terres initiale (BA + BS)</t>
        </is>
      </c>
      <c r="E404" s="1064" t="inlineStr">
        <is>
          <t>Reserva de C en la biomasa del uso de la tierra inicial  (aerea + subterranea)</t>
        </is>
      </c>
    </row>
    <row r="405">
      <c r="B405" s="2266">
        <f>IF(IF('1.Description'!$AA$9="english",C405,IF('1.Description'!$AA$9="français",D405,E405))=0,"",IF('1.Description'!$AA$9="english",C405,IF('1.Description'!$AA$9="français",D405,E405)))</f>
        <v/>
      </c>
      <c r="C405" s="4478" t="inlineStr">
        <is>
          <t>Type of fire</t>
        </is>
      </c>
      <c r="D405" s="4478" t="inlineStr">
        <is>
          <t>Type de feu</t>
        </is>
      </c>
      <c r="E405" s="1064" t="inlineStr">
        <is>
          <t>Tipo de fuego</t>
        </is>
      </c>
    </row>
    <row r="406">
      <c r="B406" s="2266">
        <f>IF(IF('1.Description'!$AA$9="english",C406,IF('1.Description'!$AA$9="français",D406,E406))=0,"",IF('1.Description'!$AA$9="english",C406,IF('1.Description'!$AA$9="français",D406,E406)))</f>
        <v/>
      </c>
      <c r="C406" s="4478" t="inlineStr">
        <is>
          <t xml:space="preserve">Mean dry matter </t>
        </is>
      </c>
      <c r="D406" s="4478" t="inlineStr">
        <is>
          <t>Matière sèche moyenne</t>
        </is>
      </c>
      <c r="E406" s="1064" t="inlineStr">
        <is>
          <t>Materia seca media</t>
        </is>
      </c>
    </row>
    <row r="407">
      <c r="B407" s="2266">
        <f>IF(IF('1.Description'!$AA$9="english",C407,IF('1.Description'!$AA$9="français",D407,E407))=0,"",IF('1.Description'!$AA$9="english",C407,IF('1.Description'!$AA$9="français",D407,E407)))</f>
        <v/>
      </c>
      <c r="C407" s="4478" t="inlineStr">
        <is>
          <t>Emission factors fire</t>
        </is>
      </c>
      <c r="D407" s="4478" t="inlineStr">
        <is>
          <t>Facteurs d'émission feu</t>
        </is>
      </c>
      <c r="E407" s="1064" t="inlineStr">
        <is>
          <t>Factor de emisión fuego</t>
        </is>
      </c>
    </row>
    <row r="408">
      <c r="B408" s="2266">
        <f>IF(IF('1.Description'!$AA$9="english",C408,IF('1.Description'!$AA$9="français",D408,E408))=0,"",IF('1.Description'!$AA$9="english",C408,IF('1.Description'!$AA$9="français",D408,E408)))</f>
        <v/>
      </c>
      <c r="C408" s="4478" t="inlineStr">
        <is>
          <t>Peat density</t>
        </is>
      </c>
      <c r="D408" s="4478" t="inlineStr">
        <is>
          <t>Densité tourbe</t>
        </is>
      </c>
      <c r="E408" s="1064" t="inlineStr">
        <is>
          <t>Densidad de la turba</t>
        </is>
      </c>
    </row>
    <row r="409">
      <c r="B409" s="2266">
        <f>IF(IF('1.Description'!$AA$9="english",C409,IF('1.Description'!$AA$9="français",D409,E409))=0,"",IF('1.Description'!$AA$9="english",C409,IF('1.Description'!$AA$9="français",D409,E409)))</f>
        <v/>
      </c>
      <c r="C409" s="4478" t="inlineStr">
        <is>
          <t>CO2 emission from peat use</t>
        </is>
      </c>
      <c r="D409" s="4478" t="inlineStr">
        <is>
          <t>Emissions CO2 d'utilisation de tourbe</t>
        </is>
      </c>
      <c r="E409" s="1064" t="inlineStr">
        <is>
          <t>Emisiones de CO2 del uso de la turba</t>
        </is>
      </c>
    </row>
    <row r="410">
      <c r="B410" s="2266">
        <f>IF(IF('1.Description'!$AA$9="english",C410,IF('1.Description'!$AA$9="français",D410,E410))=0,"",IF('1.Description'!$AA$9="english",C410,IF('1.Description'!$AA$9="français",D410,E410)))</f>
        <v/>
      </c>
      <c r="C410" s="4478" t="inlineStr">
        <is>
          <t>Use for energy?*</t>
        </is>
      </c>
      <c r="D410" s="4478" t="inlineStr">
        <is>
          <t xml:space="preserve">Utilisation comme energie ?* </t>
        </is>
      </c>
      <c r="E410" s="1064" t="inlineStr">
        <is>
          <t>Uso de energia?*</t>
        </is>
      </c>
    </row>
    <row r="411">
      <c r="B411" s="2266">
        <f>IF(IF('1.Description'!$AA$9="english",C411,IF('1.Description'!$AA$9="français",D411,E411))=0,"",IF('1.Description'!$AA$9="english",C411,IF('1.Description'!$AA$9="français",D411,E411)))</f>
        <v/>
      </c>
      <c r="C411" s="4478" t="inlineStr">
        <is>
          <t>CH4 emission factor from waterbodies</t>
        </is>
      </c>
      <c r="D411" s="4478" t="inlineStr">
        <is>
          <t>Facteur d'emissions CH4 des plans d'eau</t>
        </is>
      </c>
      <c r="E411" s="1064" t="inlineStr">
        <is>
          <t>Factor de emisión CH4 de los cuerpos de agua</t>
        </is>
      </c>
    </row>
    <row r="412">
      <c r="B412" s="2266">
        <f>IF(IF('1.Description'!$AA$9="english",C412,IF('1.Description'!$AA$9="français",D412,E412))=0,"",IF('1.Description'!$AA$9="english",C412,IF('1.Description'!$AA$9="français",D412,E412)))</f>
        <v/>
      </c>
      <c r="C412" s="4478" t="inlineStr">
        <is>
          <t>Mean annual [Chlo.a]</t>
        </is>
      </c>
      <c r="D412" s="4478" t="inlineStr">
        <is>
          <t>Moyenne annuelle[Chlo.a]</t>
        </is>
      </c>
      <c r="E412" s="1064" t="inlineStr">
        <is>
          <t>Media anual [Chlo.a]</t>
        </is>
      </c>
    </row>
    <row r="413">
      <c r="B413" s="2266">
        <f>IF(IF('1.Description'!$AA$9="english",C413,IF('1.Description'!$AA$9="français",D413,E413))=0,"",IF('1.Description'!$AA$9="english",C413,IF('1.Description'!$AA$9="français",D413,E413)))</f>
        <v/>
      </c>
      <c r="C413" s="4478" t="inlineStr">
        <is>
          <t>*If yes it is automatically accounted for in the 9.Inputs module</t>
        </is>
      </c>
      <c r="D413" s="4478" t="inlineStr">
        <is>
          <t>*Si oui, automatiquement comptabilisé dans le module 9. Intrants</t>
        </is>
      </c>
      <c r="E413" s="1064" t="inlineStr">
        <is>
          <t>* Si afirmativo, es automaticamente contabilizadfo en el módulo 9 - insumos</t>
        </is>
      </c>
    </row>
    <row r="414">
      <c r="B414" s="2266">
        <f>IF(IF('1.Description'!$AA$9="english",C414,IF('1.Description'!$AA$9="français",D414,E414))=0,"",IF('1.Description'!$AA$9="english",C414,IF('1.Description'!$AA$9="français",D414,E414)))</f>
        <v/>
      </c>
    </row>
    <row r="415">
      <c r="B415" s="2266">
        <f>IF(IF('1.Description'!$AA$9="english",C415,IF('1.Description'!$AA$9="français",D415,E415))=0,"",IF('1.Description'!$AA$9="english",C415,IF('1.Description'!$AA$9="français",D415,E415)))</f>
        <v/>
      </c>
    </row>
    <row r="416">
      <c r="B416" s="2266">
        <f>IF(IF('1.Description'!$AA$9="english",C416,IF('1.Description'!$AA$9="français",D416,E416))=0,"",IF('1.Description'!$AA$9="english",C416,IF('1.Description'!$AA$9="français",D416,E416)))</f>
        <v/>
      </c>
    </row>
    <row r="417" customFormat="1" s="2280">
      <c r="A417" s="2279" t="inlineStr">
        <is>
          <t>5. Forest management</t>
        </is>
      </c>
      <c r="B417" s="2266">
        <f>IF(IF('1.Description'!$AA$9="english",C417,IF('1.Description'!$AA$9="français",D417,E417))=0,"",IF('1.Description'!$AA$9="english",C417,IF('1.Description'!$AA$9="français",D417,E417)))</f>
        <v/>
      </c>
      <c r="C417" s="2279" t="inlineStr">
        <is>
          <t>5.1 FOREST DEGRADATION &amp; MANAGEMENT</t>
        </is>
      </c>
      <c r="D417" s="2279" t="inlineStr">
        <is>
          <t>5.1 DÉGRADATION ET GESTION DES FORÊTS</t>
        </is>
      </c>
      <c r="E417" s="1064" t="inlineStr">
        <is>
          <t>5.1  GESTIÓN Y DEGRADACIÓN FORESTAL</t>
        </is>
      </c>
      <c r="F417" s="2279" t="n"/>
      <c r="G417" s="2279" t="n"/>
      <c r="H417" s="2279" t="n"/>
      <c r="I417" s="2279" t="n"/>
    </row>
    <row r="418" customFormat="1" s="2282">
      <c r="A418" s="2281" t="inlineStr">
        <is>
          <t>8. Inputs</t>
        </is>
      </c>
      <c r="B418" s="2266">
        <f>IF(IF('1.Description'!$AA$9="english",C418,IF('1.Description'!$AA$9="français",D418,E418))=0,"",IF('1.Description'!$AA$9="english",C418,IF('1.Description'!$AA$9="français",D418,E418)))</f>
        <v/>
      </c>
      <c r="C418" s="4472" t="inlineStr">
        <is>
          <t>9.1 INPUTS (liming, fertilizers, pesticides)</t>
        </is>
      </c>
      <c r="D418" s="2279" t="inlineStr">
        <is>
          <t>9.1 INTRANTS (chaulage, engrais, pesticides)</t>
        </is>
      </c>
      <c r="E418" s="1064" t="inlineStr">
        <is>
          <t>9.1 INSUMOS (encalado, fertilizantes, pesticidas)</t>
        </is>
      </c>
      <c r="F418" s="2279" t="n"/>
      <c r="G418" s="2279" t="n"/>
      <c r="H418" s="2279" t="n"/>
      <c r="I418" s="2279" t="n"/>
    </row>
    <row r="419">
      <c r="A419" s="1062" t="inlineStr">
        <is>
          <t>8. Inputs</t>
        </is>
      </c>
      <c r="B419" s="2266">
        <f>IF(IF('1.Description'!$AA$9="english",C419,IF('1.Description'!$AA$9="français",D419,E419))=0,"",IF('1.Description'!$AA$9="english",C419,IF('1.Description'!$AA$9="français",D419,E419)))</f>
        <v/>
      </c>
      <c r="C419" s="1064" t="inlineStr">
        <is>
          <t>Amount applied per year (in tonne)</t>
        </is>
      </c>
      <c r="D419" s="1064" t="inlineStr">
        <is>
          <t>Quantité appliquée par an (en tonne)</t>
        </is>
      </c>
      <c r="E419" s="1064" t="inlineStr">
        <is>
          <t>Cantidad utilizada por año (en toneladas)</t>
        </is>
      </c>
    </row>
    <row r="420">
      <c r="A420" s="1062" t="inlineStr">
        <is>
          <t>8. Inputs</t>
        </is>
      </c>
      <c r="B420" s="2266">
        <f>IF(IF('1.Description'!$AA$9="english",C420,IF('1.Description'!$AA$9="français",D420,E420))=0,"",IF('1.Description'!$AA$9="english",C420,IF('1.Description'!$AA$9="français",D420,E420)))</f>
        <v/>
      </c>
      <c r="C420" s="1064" t="inlineStr">
        <is>
          <t>Description and unit to report</t>
        </is>
      </c>
      <c r="D420" s="1064" t="inlineStr">
        <is>
          <t>Description et unité à signaler</t>
        </is>
      </c>
      <c r="E420" s="1064" t="inlineStr">
        <is>
          <t xml:space="preserve">Descripción y unidad a reportar </t>
        </is>
      </c>
    </row>
    <row r="421">
      <c r="A421" s="1062" t="inlineStr">
        <is>
          <t>8. Inputs</t>
        </is>
      </c>
      <c r="B421" s="2266">
        <f>IF(IF('1.Description'!$AA$9="english",C421,IF('1.Description'!$AA$9="français",D421,E421))=0,"",IF('1.Description'!$AA$9="english",C421,IF('1.Description'!$AA$9="français",D421,E421)))</f>
        <v/>
      </c>
      <c r="C421" s="1064" t="inlineStr">
        <is>
          <t>Amount applied per year</t>
        </is>
      </c>
      <c r="D421" s="1064" t="inlineStr">
        <is>
          <t>Montant appliqué par an</t>
        </is>
      </c>
      <c r="E421" s="1064" t="inlineStr">
        <is>
          <t xml:space="preserve">Cantidad utilizada por año </t>
        </is>
      </c>
    </row>
    <row r="422">
      <c r="A422" s="1062" t="inlineStr">
        <is>
          <t>8. Inputs</t>
        </is>
      </c>
      <c r="B422" s="2266">
        <f>IF(IF('1.Description'!$AA$9="english",C422,IF('1.Description'!$AA$9="français",D422,E422))=0,"",IF('1.Description'!$AA$9="english",C422,IF('1.Description'!$AA$9="français",D422,E422)))</f>
        <v/>
      </c>
      <c r="C422" s="1064" t="inlineStr">
        <is>
          <t>Total emissions at field level (tCO2-e)</t>
        </is>
      </c>
      <c r="D422" s="1064" t="inlineStr">
        <is>
          <t>Émissions totales au niveau du champ (tCO2-e)</t>
        </is>
      </c>
      <c r="E422" s="1064" t="inlineStr">
        <is>
          <t>Emisiones totales a nivel de campo (tCO2-e)</t>
        </is>
      </c>
    </row>
    <row r="423">
      <c r="A423" s="1062" t="inlineStr">
        <is>
          <t>8. Inputs</t>
        </is>
      </c>
      <c r="B423" s="2266">
        <f>IF(IF('1.Description'!$AA$9="english",C423,IF('1.Description'!$AA$9="français",D423,E423))=0,"",IF('1.Description'!$AA$9="english",C423,IF('1.Description'!$AA$9="français",D423,E423)))</f>
        <v/>
      </c>
      <c r="C423" s="1064" t="inlineStr">
        <is>
          <t xml:space="preserve">Emissions from production, </t>
        </is>
      </c>
      <c r="D423" s="1064" t="inlineStr">
        <is>
          <t xml:space="preserve"> Émissions de production,</t>
        </is>
      </c>
      <c r="E423" s="1064" t="inlineStr">
        <is>
          <t xml:space="preserve">Emisiones en la producción, </t>
        </is>
      </c>
    </row>
    <row r="424">
      <c r="A424" s="1062" t="inlineStr">
        <is>
          <t>8. Inputs</t>
        </is>
      </c>
      <c r="B424" s="2266">
        <f>IF(IF('1.Description'!$AA$9="english",C424,IF('1.Description'!$AA$9="français",D424,E424))=0,"",IF('1.Description'!$AA$9="english",C424,IF('1.Description'!$AA$9="français",D424,E424)))</f>
        <v/>
      </c>
      <c r="C424" s="1064" t="inlineStr">
        <is>
          <t>transportation, storage and transfer (tCO2-e)</t>
        </is>
      </c>
      <c r="D424" s="1064" t="inlineStr">
        <is>
          <t>transport, stockage et transfert (tCO2-e)</t>
        </is>
      </c>
      <c r="E424" s="1064" t="inlineStr">
        <is>
          <t>transporte, almacenamiento y transferencia (tCO2-e)</t>
        </is>
      </c>
    </row>
    <row r="425">
      <c r="A425" s="1062" t="inlineStr">
        <is>
          <t>8. Inputs</t>
        </is>
      </c>
      <c r="B425" s="2266">
        <f>IF(IF('1.Description'!$AA$9="english",C425,IF('1.Description'!$AA$9="français",D425,E425))=0,"",IF('1.Description'!$AA$9="english",C425,IF('1.Description'!$AA$9="français",D425,E425)))</f>
        <v/>
      </c>
      <c r="C425" s="1064" t="inlineStr">
        <is>
          <t xml:space="preserve">Fertilizers </t>
        </is>
      </c>
      <c r="D425" s="1064" t="inlineStr">
        <is>
          <t>Engrais</t>
        </is>
      </c>
      <c r="E425" s="1064" t="inlineStr">
        <is>
          <t>Fertilizantes</t>
        </is>
      </c>
    </row>
    <row r="426">
      <c r="A426" s="1062" t="inlineStr">
        <is>
          <t>8. Inputs</t>
        </is>
      </c>
      <c r="B426" s="2266">
        <f>IF(IF('1.Description'!$AA$9="english",C426,IF('1.Description'!$AA$9="français",D426,E426))=0,"",IF('1.Description'!$AA$9="english",C426,IF('1.Description'!$AA$9="français",D426,E426)))</f>
        <v/>
      </c>
      <c r="C426" s="1064" t="inlineStr">
        <is>
          <t>Lime application</t>
        </is>
      </c>
      <c r="D426" s="1064" t="inlineStr">
        <is>
          <t>Application de chaux</t>
        </is>
      </c>
      <c r="E426" s="1064" t="inlineStr">
        <is>
          <t>Uso de cal</t>
        </is>
      </c>
    </row>
    <row r="427">
      <c r="A427" s="1062" t="inlineStr">
        <is>
          <t>8. Inputs</t>
        </is>
      </c>
      <c r="B427" s="2266">
        <f>IF(IF('1.Description'!$AA$9="english",C427,IF('1.Description'!$AA$9="français",D427,E427))=0,"",IF('1.Description'!$AA$9="english",C427,IF('1.Description'!$AA$9="français",D427,E427)))</f>
        <v/>
      </c>
      <c r="C427" s="1064" t="inlineStr">
        <is>
          <t>Limestone (tonnes per year)</t>
        </is>
      </c>
      <c r="D427" s="1064" t="inlineStr">
        <is>
          <t>Calcaire (tonnes par an)</t>
        </is>
      </c>
      <c r="E427" s="1064" t="inlineStr">
        <is>
          <t>Piedra caliza (toneladas por año)</t>
        </is>
      </c>
    </row>
    <row r="428">
      <c r="A428" s="1062" t="inlineStr">
        <is>
          <t>8. Inputs</t>
        </is>
      </c>
      <c r="B428" s="2266">
        <f>IF(IF('1.Description'!$AA$9="english",C428,IF('1.Description'!$AA$9="français",D428,E428))=0,"",IF('1.Description'!$AA$9="english",C428,IF('1.Description'!$AA$9="français",D428,E428)))</f>
        <v/>
      </c>
      <c r="C428" s="1064" t="inlineStr">
        <is>
          <t>Dolomite (tonne per year)</t>
        </is>
      </c>
      <c r="D428" s="1064" t="inlineStr">
        <is>
          <t>Dolomite (tonne par an)</t>
        </is>
      </c>
      <c r="E428" s="1064" t="inlineStr">
        <is>
          <t>Dolomita (toneladas por año)</t>
        </is>
      </c>
    </row>
    <row r="429">
      <c r="A429" s="1062" t="inlineStr">
        <is>
          <t>8. Inputs</t>
        </is>
      </c>
      <c r="B429" s="2266">
        <f>IF(IF('1.Description'!$AA$9="english",C429,IF('1.Description'!$AA$9="français",D429,E429))=0,"",IF('1.Description'!$AA$9="english",C429,IF('1.Description'!$AA$9="français",D429,E429)))</f>
        <v/>
      </c>
      <c r="C429" s="1064" t="inlineStr">
        <is>
          <t>Not-specified (tonnes per year)</t>
        </is>
      </c>
      <c r="D429" s="1064" t="inlineStr">
        <is>
          <t>Non spécifié (tonnes par an)</t>
        </is>
      </c>
      <c r="E429" s="1064" t="inlineStr">
        <is>
          <t>Sin especificar (toneladas por año)</t>
        </is>
      </c>
    </row>
    <row r="430">
      <c r="A430" s="1062" t="inlineStr">
        <is>
          <t>8. Inputs</t>
        </is>
      </c>
      <c r="B430" s="2266">
        <f>IF(IF('1.Description'!$AA$9="english",C430,IF('1.Description'!$AA$9="français",D430,E430))=0,"",IF('1.Description'!$AA$9="english",C430,IF('1.Description'!$AA$9="français",D430,E430)))</f>
        <v/>
      </c>
      <c r="C430" s="1064" t="inlineStr">
        <is>
          <t xml:space="preserve">Synthetic fertilizers </t>
        </is>
      </c>
      <c r="D430" s="1064" t="inlineStr">
        <is>
          <t xml:space="preserve"> Engrais synthétiques</t>
        </is>
      </c>
      <c r="E430" s="1064" t="inlineStr">
        <is>
          <t>Fertilizantes sintéticos</t>
        </is>
      </c>
    </row>
    <row r="431">
      <c r="A431" s="1062" t="inlineStr">
        <is>
          <t>8. Inputs</t>
        </is>
      </c>
      <c r="B431" s="2266">
        <f>IF(IF('1.Description'!$AA$9="english",C431,IF('1.Description'!$AA$9="français",D431,E431))=0,"",IF('1.Description'!$AA$9="english",C431,IF('1.Description'!$AA$9="français",D431,E431)))</f>
        <v/>
      </c>
      <c r="C431" s="1064" t="inlineStr">
        <is>
          <t>Urea (tonnes of Urea per year)</t>
        </is>
      </c>
      <c r="D431" s="1064" t="inlineStr">
        <is>
          <t>Urée (tonnes d'urée par an)</t>
        </is>
      </c>
      <c r="E431" s="1064" t="inlineStr">
        <is>
          <t>Urea (toneladas de urea por año)</t>
        </is>
      </c>
    </row>
    <row r="432">
      <c r="A432" s="1062" t="inlineStr">
        <is>
          <t>8. Inputs</t>
        </is>
      </c>
      <c r="B432" s="2266">
        <f>IF(IF('1.Description'!$AA$9="english",C432,IF('1.Description'!$AA$9="français",D432,E432))=0,"",IF('1.Description'!$AA$9="english",C432,IF('1.Description'!$AA$9="français",D432,E432)))</f>
        <v/>
      </c>
      <c r="C432" s="1064" t="inlineStr">
        <is>
          <t>Synthetic N-fertilizers other than Urea (tonnes of N per year)</t>
        </is>
      </c>
      <c r="D432" s="1064" t="inlineStr">
        <is>
          <t>Engrais synthétiques azotés autres que l'urée (tonnes de N par an)</t>
        </is>
      </c>
      <c r="E432" s="1064" t="inlineStr">
        <is>
          <t xml:space="preserve">Fertilizantes N sintéticos diferentes a la  Urea (tonnelads de N por año) </t>
        </is>
      </c>
    </row>
    <row r="433">
      <c r="A433" s="1062" t="inlineStr">
        <is>
          <t>8. Inputs</t>
        </is>
      </c>
      <c r="B433" s="2266">
        <f>IF(IF('1.Description'!$AA$9="english",C433,IF('1.Description'!$AA$9="français",D433,E433))=0,"",IF('1.Description'!$AA$9="english",C433,IF('1.Description'!$AA$9="français",D433,E433)))</f>
        <v/>
      </c>
      <c r="C433" s="1064" t="inlineStr">
        <is>
          <t>Phosphorus (tonnes of P2O5 per year)</t>
        </is>
      </c>
      <c r="D433" s="1064" t="inlineStr">
        <is>
          <t>Phosphore (tonnes de P2O5 par an)</t>
        </is>
      </c>
      <c r="E433" s="1064" t="inlineStr">
        <is>
          <t>Fósforo (tonneladas de P2O5 por año)</t>
        </is>
      </c>
    </row>
    <row r="434">
      <c r="A434" s="1062" t="inlineStr">
        <is>
          <t>8. Inputs</t>
        </is>
      </c>
      <c r="B434" s="2266">
        <f>IF(IF('1.Description'!$AA$9="english",C434,IF('1.Description'!$AA$9="français",D434,E434))=0,"",IF('1.Description'!$AA$9="english",C434,IF('1.Description'!$AA$9="français",D434,E434)))</f>
        <v/>
      </c>
      <c r="C434" s="1064" t="inlineStr">
        <is>
          <t>Potassium (tonnes of K2O per year)</t>
        </is>
      </c>
      <c r="D434" s="1064" t="inlineStr">
        <is>
          <t>Potassium (tonnes de K2O par an)</t>
        </is>
      </c>
      <c r="E434" s="1064" t="inlineStr">
        <is>
          <t>Potasio (tonelads de K2O por año)</t>
        </is>
      </c>
    </row>
    <row r="435">
      <c r="A435" s="1062" t="inlineStr">
        <is>
          <t>8. Inputs</t>
        </is>
      </c>
      <c r="B435" s="2266">
        <f>IF(IF('1.Description'!$AA$9="english",C435,IF('1.Description'!$AA$9="français",D435,E435))=0,"",IF('1.Description'!$AA$9="english",C435,IF('1.Description'!$AA$9="français",D435,E435)))</f>
        <v/>
      </c>
      <c r="C435" s="1064" t="inlineStr">
        <is>
          <t>N-fertilizers on irrigated rice</t>
        </is>
      </c>
      <c r="D435" s="1064" t="inlineStr">
        <is>
          <t>Engrais azotés sur riz irrigué</t>
        </is>
      </c>
      <c r="E435" s="1064" t="inlineStr">
        <is>
          <t>Fertilizantes - N en arrozales irrigados</t>
        </is>
      </c>
    </row>
    <row r="436">
      <c r="A436" s="1062" t="inlineStr">
        <is>
          <t>8. Inputs</t>
        </is>
      </c>
      <c r="B436" s="2266">
        <f>IF(IF('1.Description'!$AA$9="english",C436,IF('1.Description'!$AA$9="français",D436,E436))=0,"",IF('1.Description'!$AA$9="english",C436,IF('1.Description'!$AA$9="français",D436,E436)))</f>
        <v/>
      </c>
      <c r="C436" s="1064" t="inlineStr">
        <is>
          <t>N-fertilizer in continously irrigated rice (tonnes of N per year)</t>
        </is>
      </c>
      <c r="D436" s="1064" t="inlineStr">
        <is>
          <t>Engrais azotés dans le riz irrigué en continu (tonnes de N par an)</t>
        </is>
      </c>
      <c r="E436" s="1064" t="inlineStr">
        <is>
          <t>Fertilizantes - N en arrozales inundados permanentemente (toneladas de N por año)</t>
        </is>
      </c>
    </row>
    <row r="437">
      <c r="A437" s="1062" t="inlineStr">
        <is>
          <t>8. Inputs</t>
        </is>
      </c>
      <c r="B437" s="2266">
        <f>IF(IF('1.Description'!$AA$9="english",C437,IF('1.Description'!$AA$9="français",D437,E437))=0,"",IF('1.Description'!$AA$9="english",C437,IF('1.Description'!$AA$9="français",D437,E437)))</f>
        <v/>
      </c>
      <c r="C437" s="1064" t="inlineStr">
        <is>
          <t>N-fertilizer in wet and dry irrigated rice (tonnes of N per year)</t>
        </is>
      </c>
      <c r="D437" s="1064" t="inlineStr">
        <is>
          <t>Engrais azotés dans le riz irrigué humide et sec (tonnes de N par an)</t>
        </is>
      </c>
      <c r="E437" s="1064" t="inlineStr">
        <is>
          <t>Fertilizantes - N en arrozales inundados intermitentemente - seco y mojado  (toneladas por año)</t>
        </is>
      </c>
    </row>
    <row r="438">
      <c r="A438" s="1062" t="inlineStr">
        <is>
          <t>8. Inputs</t>
        </is>
      </c>
      <c r="B438" s="2266">
        <f>IF(IF('1.Description'!$AA$9="english",C438,IF('1.Description'!$AA$9="français",D438,E438))=0,"",IF('1.Description'!$AA$9="english",C438,IF('1.Description'!$AA$9="français",D438,E438)))</f>
        <v/>
      </c>
      <c r="C438" s="1064" t="inlineStr">
        <is>
          <t xml:space="preserve">Organic N-fertilizers </t>
        </is>
      </c>
      <c r="D438" s="1064" t="inlineStr">
        <is>
          <t xml:space="preserve"> Engrais azotés organiques</t>
        </is>
      </c>
      <c r="E438" s="1064" t="inlineStr">
        <is>
          <t>Fertilizantes N orgánicos</t>
        </is>
      </c>
    </row>
    <row r="439">
      <c r="A439" s="1062" t="inlineStr">
        <is>
          <t>8. Inputs</t>
        </is>
      </c>
      <c r="B439" s="2266">
        <f>IF(IF('1.Description'!$AA$9="english",C439,IF('1.Description'!$AA$9="français",D439,E439))=0,"",IF('1.Description'!$AA$9="english",C439,IF('1.Description'!$AA$9="français",D439,E439)))</f>
        <v/>
      </c>
      <c r="C439" s="1064" t="inlineStr">
        <is>
          <t>Sewage (tonnes of N per year)</t>
        </is>
      </c>
      <c r="D439" s="1064" t="inlineStr">
        <is>
          <t>Eaux usées (tonnes de N par an)</t>
        </is>
      </c>
      <c r="E439" s="1064" t="inlineStr">
        <is>
          <t>Aguas residuales (toneladas de N por año)</t>
        </is>
      </c>
    </row>
    <row r="440">
      <c r="A440" s="1062" t="inlineStr">
        <is>
          <t>8. Inputs</t>
        </is>
      </c>
      <c r="B440" s="2266">
        <f>IF(IF('1.Description'!$AA$9="english",C440,IF('1.Description'!$AA$9="français",D440,E440))=0,"",IF('1.Description'!$AA$9="english",C440,IF('1.Description'!$AA$9="français",D440,E440)))</f>
        <v/>
      </c>
      <c r="C440" s="1064" t="inlineStr">
        <is>
          <t>Compost (tonnes of N per year)</t>
        </is>
      </c>
      <c r="D440" s="1064" t="inlineStr">
        <is>
          <t>Compost (tonnes de N par an)</t>
        </is>
      </c>
      <c r="E440" s="1064" t="inlineStr">
        <is>
          <t>Compost (toneladas de N por año)</t>
        </is>
      </c>
    </row>
    <row r="441">
      <c r="A441" s="1062" t="inlineStr">
        <is>
          <t>8. Inputs</t>
        </is>
      </c>
      <c r="B441" s="2266">
        <f>IF(IF('1.Description'!$AA$9="english",C441,IF('1.Description'!$AA$9="français",D441,E441))=0,"",IF('1.Description'!$AA$9="english",C441,IF('1.Description'!$AA$9="français",D441,E441)))</f>
        <v/>
      </c>
      <c r="C441" s="1064" t="inlineStr">
        <is>
          <t>Rendering waste, brewery waste, guano (tonnes of N per year)</t>
        </is>
      </c>
      <c r="D441" s="1064" t="inlineStr">
        <is>
          <t>Déchets d'équarrissage, déchets de brasserie, guano (tonnes de N par an)</t>
        </is>
      </c>
      <c r="E441" s="1064" t="inlineStr">
        <is>
          <t>Residuos de reciclaje, residuos de cervecería, guano (toneladas de N por año)</t>
        </is>
      </c>
    </row>
    <row r="442">
      <c r="A442" s="1062" t="inlineStr">
        <is>
          <t>8. Inputs</t>
        </is>
      </c>
      <c r="B442" s="2266">
        <f>IF(IF('1.Description'!$AA$9="english",C442,IF('1.Description'!$AA$9="français",D442,E442))=0,"",IF('1.Description'!$AA$9="english",C442,IF('1.Description'!$AA$9="français",D442,E442)))</f>
        <v/>
      </c>
      <c r="C442" s="1064" t="inlineStr">
        <is>
          <t>Pesticides</t>
        </is>
      </c>
      <c r="D442" s="1064" t="inlineStr">
        <is>
          <t>Pesticides</t>
        </is>
      </c>
      <c r="E442" s="1064" t="inlineStr">
        <is>
          <t>Pesticidas</t>
        </is>
      </c>
    </row>
    <row r="443">
      <c r="A443" s="1062" t="inlineStr">
        <is>
          <t>8. Inputs</t>
        </is>
      </c>
      <c r="B443" s="2266">
        <f>IF(IF('1.Description'!$AA$9="english",C443,IF('1.Description'!$AA$9="français",D443,E443))=0,"",IF('1.Description'!$AA$9="english",C443,IF('1.Description'!$AA$9="français",D443,E443)))</f>
        <v/>
      </c>
      <c r="C443" s="1064" t="inlineStr">
        <is>
          <t>Fungicides (tonnes of active ingredient)</t>
        </is>
      </c>
      <c r="D443" s="1064" t="inlineStr">
        <is>
          <t>Fongicides (tonnes de matière active)</t>
        </is>
      </c>
      <c r="E443" s="1064" t="inlineStr">
        <is>
          <t>Fungicidas (toneladas de ingrediente activo)</t>
        </is>
      </c>
    </row>
    <row r="444">
      <c r="A444" s="1062" t="inlineStr">
        <is>
          <t>8. Inputs</t>
        </is>
      </c>
      <c r="B444" s="2266">
        <f>IF(IF('1.Description'!$AA$9="english",C444,IF('1.Description'!$AA$9="français",D444,E444))=0,"",IF('1.Description'!$AA$9="english",C444,IF('1.Description'!$AA$9="français",D444,E444)))</f>
        <v/>
      </c>
      <c r="C444" s="1064" t="inlineStr">
        <is>
          <t>Herbicides (tonnes of active ingredient)</t>
        </is>
      </c>
      <c r="D444" s="1064" t="inlineStr">
        <is>
          <t>Herbicides (tonnes de matière active)</t>
        </is>
      </c>
      <c r="E444" s="1064" t="inlineStr">
        <is>
          <t>Herbicidas (toneladas de ingrediente activo)</t>
        </is>
      </c>
    </row>
    <row r="445">
      <c r="A445" s="1062" t="inlineStr">
        <is>
          <t>8. Inputs</t>
        </is>
      </c>
      <c r="B445" s="2266">
        <f>IF(IF('1.Description'!$AA$9="english",C445,IF('1.Description'!$AA$9="français",D445,E445))=0,"",IF('1.Description'!$AA$9="english",C445,IF('1.Description'!$AA$9="français",D445,E445)))</f>
        <v/>
      </c>
      <c r="C445" s="1064" t="inlineStr">
        <is>
          <t>Insecticides (tonnes of active ingredient)</t>
        </is>
      </c>
      <c r="D445" s="1064" t="inlineStr">
        <is>
          <t>Insecticides (tonnes de matière active)</t>
        </is>
      </c>
      <c r="E445" s="1064" t="inlineStr">
        <is>
          <t>Insecticidas (toneladas de ingrediente activo)</t>
        </is>
      </c>
    </row>
    <row r="446">
      <c r="A446" s="1062" t="inlineStr">
        <is>
          <t>8. Inputs</t>
        </is>
      </c>
      <c r="B446" s="2266">
        <f>IF(IF('1.Description'!$AA$9="english",C446,IF('1.Description'!$AA$9="français",D446,E446))=0,"",IF('1.Description'!$AA$9="english",C446,IF('1.Description'!$AA$9="français",D446,E446)))</f>
        <v/>
      </c>
      <c r="C446" s="1064" t="inlineStr">
        <is>
          <t>Total inputs</t>
        </is>
      </c>
      <c r="D446" s="1064" t="inlineStr">
        <is>
          <t>Total intrants</t>
        </is>
      </c>
      <c r="E446" s="1064" t="inlineStr">
        <is>
          <t>Insumos totales</t>
        </is>
      </c>
    </row>
    <row r="447">
      <c r="A447" s="1062" t="inlineStr">
        <is>
          <t>8. Inputs</t>
        </is>
      </c>
      <c r="B447" s="2266">
        <f>IF(IF('1.Description'!$AA$9="english",C447,IF('1.Description'!$AA$9="français",D447,E447))=0,"",IF('1.Description'!$AA$9="english",C447,IF('1.Description'!$AA$9="français",D447,E447)))</f>
        <v/>
      </c>
      <c r="C447" s="1065" t="inlineStr">
        <is>
          <t xml:space="preserve">Urea </t>
        </is>
      </c>
      <c r="D447" s="1064" t="inlineStr">
        <is>
          <t xml:space="preserve"> Urée</t>
        </is>
      </c>
      <c r="E447" s="1064" t="inlineStr">
        <is>
          <t>Urea (tonneladas de urea por año, la Urea tiene un contenido de N del 46.7%)</t>
        </is>
      </c>
    </row>
    <row r="448">
      <c r="A448" s="1062" t="inlineStr">
        <is>
          <t>8. Inputs</t>
        </is>
      </c>
      <c r="B448" s="2266">
        <f>IF(IF('1.Description'!$AA$9="english",C448,IF('1.Description'!$AA$9="français",D448,E448))=0,"",IF('1.Description'!$AA$9="english",C448,IF('1.Description'!$AA$9="français",D448,E448)))</f>
        <v/>
      </c>
      <c r="C448" s="1064" t="inlineStr">
        <is>
          <t>CO2 removal from the atmosphere during urea manufacturing is estimated in the Industrial Processes and Product Use Sector by the country where urea was produced.</t>
        </is>
      </c>
      <c r="D448" s="1064" t="inlineStr">
        <is>
          <t>L'ëlimination du CO2 de l'atmosphère pendant la fabrication de l'urée est estimée dans le secteur des procédés industriels et de l'utilisation des produits par le pays où l'urée a été produite.</t>
        </is>
      </c>
      <c r="E448" s="1064" t="inlineStr">
        <is>
          <t xml:space="preserve">La absorción de CO2 de la atmosfera durante la producción de urea se estima en los sectores de Procesos Industriales y  Uso del Producto  del país donde la urea es producida. </t>
        </is>
      </c>
    </row>
    <row r="449">
      <c r="A449" s="1062" t="inlineStr">
        <is>
          <t>8. Inputs</t>
        </is>
      </c>
      <c r="B449" s="2266">
        <f>IF(IF('1.Description'!$AA$9="english",C449,IF('1.Description'!$AA$9="français",D449,E449))=0,"",IF('1.Description'!$AA$9="english",C449,IF('1.Description'!$AA$9="français",D449,E449)))</f>
        <v/>
      </c>
      <c r="C449" s="1064" t="inlineStr">
        <is>
          <t>By default EX-ACT considers that urea is imported and do not account for this sink, but you can force the calculation to do so:</t>
        </is>
      </c>
      <c r="D449" s="1064" t="inlineStr">
        <is>
          <t>Par défaut, EX-ACT considère que l'urée est importée et ne tient pas compte de ce puits, mais vous pouvez forcer le calcul à le faire :</t>
        </is>
      </c>
      <c r="E449" s="1064" t="inlineStr">
        <is>
          <t xml:space="preserve">Por defecto EX-ACT considera que la urea utilizada es importada y no contabiliza esta absorción, pero puede incluirla en el cálculo: </t>
        </is>
      </c>
    </row>
    <row r="450">
      <c r="A450" s="1062" t="inlineStr">
        <is>
          <t>8. Inputs</t>
        </is>
      </c>
      <c r="B450" s="2266">
        <f>IF(IF('1.Description'!$AA$9="english",C450,IF('1.Description'!$AA$9="français",D450,E450))=0,"",IF('1.Description'!$AA$9="english",C450,IF('1.Description'!$AA$9="français",D450,E450)))</f>
        <v/>
      </c>
      <c r="C450" s="1064" t="inlineStr">
        <is>
          <t>Account the manufacturing sink?</t>
        </is>
      </c>
      <c r="D450" s="1064" t="inlineStr">
        <is>
          <t>Compte le puit de fabrication?</t>
        </is>
      </c>
      <c r="E450" s="1064" t="inlineStr">
        <is>
          <t>Contabilizar la absorción durante la producción?</t>
        </is>
      </c>
    </row>
    <row r="451">
      <c r="A451" s="1062" t="inlineStr">
        <is>
          <t>8. Inputs</t>
        </is>
      </c>
      <c r="B451" s="2266">
        <f>IF(IF('1.Description'!$AA$9="english",C451,IF('1.Description'!$AA$9="français",D451,E451))=0,"",IF('1.Description'!$AA$9="english",C451,IF('1.Description'!$AA$9="français",D451,E451)))</f>
        <v/>
      </c>
      <c r="C451" s="1064" t="inlineStr">
        <is>
          <t>Emissions at field level</t>
        </is>
      </c>
      <c r="D451" s="1064" t="inlineStr">
        <is>
          <t>Émissions au niveau du champ</t>
        </is>
      </c>
      <c r="E451" s="1064" t="inlineStr">
        <is>
          <t>Emisiones a nivel de campo</t>
        </is>
      </c>
    </row>
    <row r="452">
      <c r="A452" s="1062" t="inlineStr">
        <is>
          <t>8. Inputs</t>
        </is>
      </c>
      <c r="B452" s="2266">
        <f>IF(IF('1.Description'!$AA$9="english",C452,IF('1.Description'!$AA$9="français",D452,E452))=0,"",IF('1.Description'!$AA$9="english",C452,IF('1.Description'!$AA$9="français",D452,E452)))</f>
        <v/>
      </c>
      <c r="C452" s="1064" t="inlineStr">
        <is>
          <t>CO2 emissions</t>
        </is>
      </c>
      <c r="D452" s="1064" t="inlineStr">
        <is>
          <t>Émissions de CO2</t>
        </is>
      </c>
      <c r="E452" s="1064" t="inlineStr">
        <is>
          <t>Emisiones de CO2</t>
        </is>
      </c>
    </row>
    <row r="453">
      <c r="A453" s="1062" t="inlineStr">
        <is>
          <t>8. Inputs</t>
        </is>
      </c>
      <c r="B453" s="2266">
        <f>IF(IF('1.Description'!$AA$9="english",C453,IF('1.Description'!$AA$9="français",D453,E453))=0,"",IF('1.Description'!$AA$9="english",C453,IF('1.Description'!$AA$9="français",D453,E453)))</f>
        <v/>
      </c>
      <c r="C453" s="1064" t="inlineStr">
        <is>
          <t>N2O emissions</t>
        </is>
      </c>
      <c r="D453" s="1064" t="inlineStr">
        <is>
          <t>Émissions de N2O</t>
        </is>
      </c>
      <c r="E453" s="1064" t="inlineStr">
        <is>
          <t>Emisiones de N2O</t>
        </is>
      </c>
    </row>
    <row r="454">
      <c r="A454" s="1062" t="inlineStr">
        <is>
          <t>8. Inputs</t>
        </is>
      </c>
      <c r="B454" s="2266">
        <f>IF(IF('1.Description'!$AA$9="english",C454,IF('1.Description'!$AA$9="français",D454,E454))=0,"",IF('1.Description'!$AA$9="english",C454,IF('1.Description'!$AA$9="français",D454,E454)))</f>
        <v/>
      </c>
      <c r="C454" s="1064" t="inlineStr">
        <is>
          <t>CO2-e emissions</t>
        </is>
      </c>
      <c r="D454" s="1064" t="inlineStr">
        <is>
          <t>Émissions de CO2-e</t>
        </is>
      </c>
      <c r="E454" s="1064" t="inlineStr">
        <is>
          <t>Emisiones de CO2-e</t>
        </is>
      </c>
    </row>
    <row r="455">
      <c r="A455" s="1062" t="inlineStr">
        <is>
          <t>8. Inputs</t>
        </is>
      </c>
      <c r="B455" s="2266">
        <f>IF(IF('1.Description'!$AA$9="english",C455,IF('1.Description'!$AA$9="français",D455,E455))=0,"",IF('1.Description'!$AA$9="english",C455,IF('1.Description'!$AA$9="français",D455,E455)))</f>
        <v/>
      </c>
      <c r="C455" s="1064" t="inlineStr">
        <is>
          <t>Emissions from production, transportation, storage and transfer</t>
        </is>
      </c>
      <c r="D455" s="1064" t="inlineStr">
        <is>
          <t>Émissions provenant de la production, du transport, du stockage et du transfert</t>
        </is>
      </c>
      <c r="E455" s="1064" t="inlineStr">
        <is>
          <t>Emisones en la producción, transporte, almacenamiento y transferencia</t>
        </is>
      </c>
    </row>
    <row r="456">
      <c r="A456" s="1062" t="inlineStr">
        <is>
          <t>8. Inputs</t>
        </is>
      </c>
      <c r="B456" s="2266">
        <f>IF(IF('1.Description'!$AA$9="english",C456,IF('1.Description'!$AA$9="français",D456,E456))=0,"",IF('1.Description'!$AA$9="english",C456,IF('1.Description'!$AA$9="français",D456,E456)))</f>
        <v/>
      </c>
      <c r="C456" s="1064" t="inlineStr">
        <is>
          <t>9.2. ENERGY CONSUMPTION (electricity, fuel…) except for irrigation, i.e. see next section</t>
        </is>
      </c>
      <c r="D456" s="1064" t="inlineStr">
        <is>
          <t>9.2. CONSOMMATION D'ÉNERGIE (électricité, carburant…) sauf pour l'irrigation, voir section suivante</t>
        </is>
      </c>
      <c r="E456" s="1064" t="inlineStr">
        <is>
          <t>9.2 CONSUMO DE ENERGÍA (electricidad, combustible,...) excepto riego, i.e. Ver sección a continuación</t>
        </is>
      </c>
    </row>
    <row r="457">
      <c r="A457" s="1062" t="inlineStr">
        <is>
          <t>8. Inputs</t>
        </is>
      </c>
      <c r="B457" s="2266">
        <f>IF(IF('1.Description'!$AA$9="english",C457,IF('1.Description'!$AA$9="français",D457,E457))=0,"",IF('1.Description'!$AA$9="english",C457,IF('1.Description'!$AA$9="français",D457,E457)))</f>
        <v/>
      </c>
      <c r="C457" s="1064" t="inlineStr">
        <is>
          <t>Description and unit to report</t>
        </is>
      </c>
      <c r="D457" s="1064" t="inlineStr">
        <is>
          <t>Description et unité à signaler</t>
        </is>
      </c>
      <c r="E457" s="1064" t="inlineStr">
        <is>
          <t xml:space="preserve">Descripción y unidad a reportar </t>
        </is>
      </c>
    </row>
    <row r="458">
      <c r="A458" s="1062" t="inlineStr">
        <is>
          <t>8. Inputs</t>
        </is>
      </c>
      <c r="B458" s="2266">
        <f>IF(IF('1.Description'!$AA$9="english",C458,IF('1.Description'!$AA$9="français",D458,E458))=0,"",IF('1.Description'!$AA$9="english",C458,IF('1.Description'!$AA$9="français",D458,E458)))</f>
        <v/>
      </c>
      <c r="C458" s="1064" t="inlineStr">
        <is>
          <t>Quantity consumed per year</t>
        </is>
      </c>
      <c r="D458" s="1064" t="inlineStr">
        <is>
          <t>Quantité consommée par an</t>
        </is>
      </c>
      <c r="E458" s="1064" t="inlineStr">
        <is>
          <t>Cantidad consumida por año</t>
        </is>
      </c>
    </row>
    <row r="459">
      <c r="A459" s="1062" t="inlineStr">
        <is>
          <t>8. Inputs</t>
        </is>
      </c>
      <c r="B459" s="2266">
        <f>IF(IF('1.Description'!$AA$9="english",C459,IF('1.Description'!$AA$9="français",D459,E459))=0,"",IF('1.Description'!$AA$9="english",C459,IF('1.Description'!$AA$9="français",D459,E459)))</f>
        <v/>
      </c>
      <c r="C459" s="1064" t="inlineStr">
        <is>
          <t>Country of origin of electricity</t>
        </is>
      </c>
      <c r="D459" s="1064" t="inlineStr">
        <is>
          <t>Pays d'origine de l'électricité</t>
        </is>
      </c>
      <c r="E459" s="1064" t="inlineStr">
        <is>
          <t>País de origen de la electricidad</t>
        </is>
      </c>
    </row>
    <row r="460">
      <c r="A460" s="1062" t="inlineStr">
        <is>
          <t>8. Inputs</t>
        </is>
      </c>
      <c r="B460" s="2266">
        <f>IF(IF('1.Description'!$AA$9="english",C460,IF('1.Description'!$AA$9="français",D460,E460))=0,"",IF('1.Description'!$AA$9="english",C460,IF('1.Description'!$AA$9="français",D460,E460)))</f>
        <v/>
      </c>
      <c r="C460" s="1064" t="inlineStr">
        <is>
          <t>Electricity (MWh per year)</t>
        </is>
      </c>
      <c r="D460" s="1064" t="inlineStr">
        <is>
          <t>Électricité (MWh par an)</t>
        </is>
      </c>
      <c r="E460" s="1064" t="inlineStr">
        <is>
          <t>Electricidad (MWh por año)</t>
        </is>
      </c>
    </row>
    <row r="461">
      <c r="A461" s="1062" t="inlineStr">
        <is>
          <t>8. Inputs</t>
        </is>
      </c>
      <c r="B461" s="2266">
        <f>IF(IF('1.Description'!$AA$9="english",C461,IF('1.Description'!$AA$9="français",D461,E461))=0,"",IF('1.Description'!$AA$9="english",C461,IF('1.Description'!$AA$9="français",D461,E461)))</f>
        <v/>
      </c>
      <c r="C461" s="1064" t="inlineStr">
        <is>
          <t>User defined (Tier 2)</t>
        </is>
      </c>
      <c r="D461" s="1064" t="inlineStr">
        <is>
          <t>Défini par l'utilisateur (Tier 2)</t>
        </is>
      </c>
      <c r="E461" s="1064" t="inlineStr">
        <is>
          <t>Definido por el usuario (Tier 2)</t>
        </is>
      </c>
    </row>
    <row r="462">
      <c r="A462" s="1062" t="inlineStr">
        <is>
          <t>8. Inputs</t>
        </is>
      </c>
      <c r="B462" s="2266">
        <f>IF(IF('1.Description'!$AA$9="english",C462,IF('1.Description'!$AA$9="français",D462,E462))=0,"",IF('1.Description'!$AA$9="english",C462,IF('1.Description'!$AA$9="français",D462,E462)))</f>
        <v/>
      </c>
      <c r="C462" s="1064" t="inlineStr">
        <is>
          <t>Liquid or gaseous (in m3 per year)</t>
        </is>
      </c>
      <c r="D462" s="1064" t="inlineStr">
        <is>
          <t>Liquide ou gazeux (en m3 par an)</t>
        </is>
      </c>
      <c r="E462" s="1064" t="inlineStr">
        <is>
          <t>Líquido o gaseoso (en m3 por año)</t>
        </is>
      </c>
    </row>
    <row r="463">
      <c r="A463" s="1062" t="inlineStr">
        <is>
          <t>8. Inputs</t>
        </is>
      </c>
      <c r="B463" s="2266">
        <f>IF(IF('1.Description'!$AA$9="english",C463,IF('1.Description'!$AA$9="français",D463,E463))=0,"",IF('1.Description'!$AA$9="english",C463,IF('1.Description'!$AA$9="français",D463,E463)))</f>
        <v/>
      </c>
      <c r="C463" s="1064" t="inlineStr">
        <is>
          <t>Liquid or gaseous</t>
        </is>
      </c>
      <c r="D463" s="1064" t="inlineStr">
        <is>
          <t>Liquide ou gazeux</t>
        </is>
      </c>
      <c r="E463" s="1064" t="inlineStr">
        <is>
          <t>Líquido o gaseoso</t>
        </is>
      </c>
    </row>
    <row r="464">
      <c r="A464" s="1062" t="inlineStr">
        <is>
          <t>8. Inputs</t>
        </is>
      </c>
      <c r="B464" s="2266">
        <f>IF(IF('1.Description'!$AA$9="english",C464,IF('1.Description'!$AA$9="français",D464,E464))=0,"",IF('1.Description'!$AA$9="english",C464,IF('1.Description'!$AA$9="français",D464,E464)))</f>
        <v/>
      </c>
      <c r="C464" s="1064" t="inlineStr">
        <is>
          <t>Solid (in tonnes of dry matter per year)</t>
        </is>
      </c>
      <c r="D464" s="1064" t="inlineStr">
        <is>
          <t>Solide (en tonnes de matière sèche par an)</t>
        </is>
      </c>
      <c r="E464" s="1064" t="inlineStr">
        <is>
          <t>Sólido (en toneladas de materia seca por año)</t>
        </is>
      </c>
    </row>
    <row r="465">
      <c r="A465" s="1062" t="inlineStr">
        <is>
          <t>8. Inputs</t>
        </is>
      </c>
      <c r="B465" s="2266">
        <f>IF(IF('1.Description'!$AA$9="english",C465,IF('1.Description'!$AA$9="français",D465,E465))=0,"",IF('1.Description'!$AA$9="english",C465,IF('1.Description'!$AA$9="français",D465,E465)))</f>
        <v/>
      </c>
      <c r="C465" s="1064" t="inlineStr">
        <is>
          <t>Solid</t>
        </is>
      </c>
      <c r="D465" s="1064" t="inlineStr">
        <is>
          <t>Solide</t>
        </is>
      </c>
      <c r="E465" s="1064" t="inlineStr">
        <is>
          <t xml:space="preserve">Sólido </t>
        </is>
      </c>
    </row>
    <row r="466">
      <c r="A466" s="1062" t="inlineStr">
        <is>
          <t>8. Inputs</t>
        </is>
      </c>
      <c r="B466" s="2266">
        <f>IF(IF('1.Description'!$AA$9="english",C466,IF('1.Description'!$AA$9="français",D466,E466))=0,"",IF('1.Description'!$AA$9="english",C466,IF('1.Description'!$AA$9="français",D466,E466)))</f>
        <v/>
      </c>
      <c r="C466" s="1064" t="inlineStr">
        <is>
          <t>Wood</t>
        </is>
      </c>
      <c r="D466" s="1064" t="inlineStr">
        <is>
          <t>Bois</t>
        </is>
      </c>
      <c r="E466" s="1064" t="inlineStr">
        <is>
          <t>Madera</t>
        </is>
      </c>
    </row>
    <row r="467">
      <c r="A467" s="1062" t="inlineStr">
        <is>
          <t>8. Inputs</t>
        </is>
      </c>
      <c r="B467" s="2266">
        <f>IF(IF('1.Description'!$AA$9="english",C467,IF('1.Description'!$AA$9="français",D467,E467))=0,"",IF('1.Description'!$AA$9="english",C467,IF('1.Description'!$AA$9="français",D467,E467)))</f>
        <v/>
      </c>
      <c r="C467" s="1064" t="inlineStr">
        <is>
          <t>Peat (from peatlands)</t>
        </is>
      </c>
      <c r="D467" s="1064" t="inlineStr">
        <is>
          <t>Tourbe (de tourbières)</t>
        </is>
      </c>
      <c r="E467" s="1064" t="inlineStr">
        <is>
          <t>Turba (proveniente de turberas)</t>
        </is>
      </c>
    </row>
    <row r="468">
      <c r="A468" s="1062" t="inlineStr">
        <is>
          <t>8. Inputs</t>
        </is>
      </c>
      <c r="B468" s="2266">
        <f>IF(IF('1.Description'!$AA$9="english",C468,IF('1.Description'!$AA$9="français",D468,E468))=0,"",IF('1.Description'!$AA$9="english",C468,IF('1.Description'!$AA$9="français",D468,E468)))</f>
        <v/>
      </c>
      <c r="C468" s="1064" t="inlineStr">
        <is>
          <t xml:space="preserve">Peat </t>
        </is>
      </c>
      <c r="D468" s="1064" t="inlineStr">
        <is>
          <t xml:space="preserve"> Tourbe</t>
        </is>
      </c>
      <c r="E468" s="1064" t="inlineStr">
        <is>
          <t xml:space="preserve">Turba </t>
        </is>
      </c>
    </row>
    <row r="469">
      <c r="A469" s="1062" t="inlineStr">
        <is>
          <t>8. Inputs</t>
        </is>
      </c>
      <c r="B469" s="2266">
        <f>IF(IF('1.Description'!$AA$9="english",C469,IF('1.Description'!$AA$9="français",D469,E469))=0,"",IF('1.Description'!$AA$9="english",C469,IF('1.Description'!$AA$9="français",D469,E469)))</f>
        <v/>
      </c>
      <c r="C469" s="1064" t="inlineStr">
        <is>
          <t>Electricity</t>
        </is>
      </c>
      <c r="D469" s="1064" t="inlineStr">
        <is>
          <t>Électricité</t>
        </is>
      </c>
      <c r="E469" s="1064" t="inlineStr">
        <is>
          <t xml:space="preserve">Electricidad </t>
        </is>
      </c>
    </row>
    <row r="470">
      <c r="A470" s="1062" t="inlineStr">
        <is>
          <t>8. Inputs</t>
        </is>
      </c>
      <c r="B470" s="2266">
        <f>IF(IF('1.Description'!$AA$9="english",C470,IF('1.Description'!$AA$9="français",D470,E470))=0,"",IF('1.Description'!$AA$9="english",C470,IF('1.Description'!$AA$9="français",D470,E470)))</f>
        <v/>
      </c>
      <c r="C470" s="1064" t="inlineStr">
        <is>
          <t>Emission factor for the selected country</t>
        </is>
      </c>
      <c r="D470" s="1064" t="inlineStr">
        <is>
          <t>Facteur d'émission pour le pays sélectionné</t>
        </is>
      </c>
      <c r="E470" s="1064" t="inlineStr">
        <is>
          <t>Factores de emision del país seleccionado</t>
        </is>
      </c>
    </row>
    <row r="471">
      <c r="A471" s="1062" t="inlineStr">
        <is>
          <t>8. Inputs</t>
        </is>
      </c>
      <c r="B471" s="2266">
        <f>IF(IF('1.Description'!$AA$9="english",C471,IF('1.Description'!$AA$9="français",D471,E471))=0,"",IF('1.Description'!$AA$9="english",C471,IF('1.Description'!$AA$9="français",D471,E471)))</f>
        <v/>
      </c>
      <c r="C471" s="1064" t="inlineStr">
        <is>
          <t>Losses of electricity during transportation</t>
        </is>
      </c>
      <c r="D471" s="1064" t="inlineStr">
        <is>
          <t>Pertes d'électricité pendant le transport</t>
        </is>
      </c>
      <c r="E471" s="1064" t="inlineStr">
        <is>
          <t>Pérdidas de electricidad durante el transporte</t>
        </is>
      </c>
    </row>
    <row r="472">
      <c r="A472" s="1062" t="inlineStr">
        <is>
          <t>8. Inputs</t>
        </is>
      </c>
      <c r="B472" s="2266">
        <f>IF(IF('1.Description'!$AA$9="english",C472,IF('1.Description'!$AA$9="français",D472,E472))=0,"",IF('1.Description'!$AA$9="english",C472,IF('1.Description'!$AA$9="français",D472,E472)))</f>
        <v/>
      </c>
      <c r="C472" s="1064" t="inlineStr">
        <is>
          <t>Liquid</t>
        </is>
      </c>
      <c r="D472" s="1064" t="inlineStr">
        <is>
          <t>Liquide</t>
        </is>
      </c>
      <c r="E472" s="1064" t="inlineStr">
        <is>
          <t>Líquido</t>
        </is>
      </c>
    </row>
    <row r="473">
      <c r="A473" s="1062" t="inlineStr">
        <is>
          <t>8. Inputs</t>
        </is>
      </c>
      <c r="B473" s="2266">
        <f>IF(IF('1.Description'!$AA$9="english",C473,IF('1.Description'!$AA$9="français",D473,E473))=0,"",IF('1.Description'!$AA$9="english",C473,IF('1.Description'!$AA$9="français",D473,E473)))</f>
        <v/>
      </c>
      <c r="C473" s="1064" t="inlineStr">
        <is>
          <t>Charcoal</t>
        </is>
      </c>
      <c r="D473" s="1064" t="inlineStr">
        <is>
          <t>Charbon</t>
        </is>
      </c>
      <c r="E473" s="1064" t="inlineStr">
        <is>
          <t>Carbón vegetal</t>
        </is>
      </c>
    </row>
    <row r="474">
      <c r="A474" s="1062" t="inlineStr">
        <is>
          <t>8. Inputs</t>
        </is>
      </c>
      <c r="B474" s="2266">
        <f>IF(IF('1.Description'!$AA$9="english",C474,IF('1.Description'!$AA$9="français",D474,E474))=0,"",IF('1.Description'!$AA$9="english",C474,IF('1.Description'!$AA$9="français",D474,E474)))</f>
        <v/>
      </c>
      <c r="C474" s="1064" t="inlineStr">
        <is>
          <t>9.3 IRRIGATION</t>
        </is>
      </c>
      <c r="D474" s="1064" t="inlineStr">
        <is>
          <t>9.3 IRRIGATION</t>
        </is>
      </c>
      <c r="E474" s="1064" t="inlineStr">
        <is>
          <t>9.3 RIEGO</t>
        </is>
      </c>
    </row>
    <row r="475">
      <c r="A475" s="1062" t="inlineStr">
        <is>
          <t>8. Inputs</t>
        </is>
      </c>
      <c r="B475" s="2266">
        <f>IF(IF('1.Description'!$AA$9="english",C475,IF('1.Description'!$AA$9="français",D475,E475))=0,"",IF('1.Description'!$AA$9="english",C475,IF('1.Description'!$AA$9="français",D475,E475)))</f>
        <v/>
      </c>
      <c r="C475" s="1064" t="inlineStr">
        <is>
          <t>Implementation of new irrigation systems</t>
        </is>
      </c>
      <c r="D475" s="1064" t="inlineStr">
        <is>
          <t>Mise en place de nouveaux systèmes d'irrigation</t>
        </is>
      </c>
      <c r="E475" s="1064" t="inlineStr">
        <is>
          <t>Implementación de sistemas de irrigación nuevos</t>
        </is>
      </c>
    </row>
    <row r="476">
      <c r="A476" s="1062" t="inlineStr">
        <is>
          <t>8. Inputs</t>
        </is>
      </c>
      <c r="B476" s="2266">
        <f>IF(IF('1.Description'!$AA$9="english",C476,IF('1.Description'!$AA$9="français",D476,E476))=0,"",IF('1.Description'!$AA$9="english",C476,IF('1.Description'!$AA$9="français",D476,E476)))</f>
        <v/>
      </c>
      <c r="C476" s="1064" t="inlineStr">
        <is>
          <t>Irrigation systems</t>
        </is>
      </c>
      <c r="D476" s="1064" t="inlineStr">
        <is>
          <t>Système d'irrigation</t>
        </is>
      </c>
      <c r="E476" s="1064" t="inlineStr">
        <is>
          <t>Sistemas de Irrigación</t>
        </is>
      </c>
    </row>
    <row r="477">
      <c r="A477" s="1062" t="inlineStr">
        <is>
          <t>8. Inputs</t>
        </is>
      </c>
      <c r="B477" s="2266">
        <f>IF(IF('1.Description'!$AA$9="english",C477,IF('1.Description'!$AA$9="français",D477,E477))=0,"",IF('1.Description'!$AA$9="english",C477,IF('1.Description'!$AA$9="français",D477,E477)))</f>
        <v/>
      </c>
      <c r="C477" s="1064" t="inlineStr">
        <is>
          <t>Operational phase of groundwater irrigated systems</t>
        </is>
      </c>
      <c r="D477" s="1064" t="inlineStr">
        <is>
          <t>Phase d'exploitation des systèmes irrigués par les eaux souterraines</t>
        </is>
      </c>
      <c r="E477" s="1064" t="inlineStr">
        <is>
          <t>Fase operativa de sistemas de irrigación con agua subterránea</t>
        </is>
      </c>
    </row>
    <row r="478">
      <c r="A478" s="1062" t="inlineStr">
        <is>
          <t>8. Inputs</t>
        </is>
      </c>
      <c r="B478" s="2266">
        <f>IF(IF('1.Description'!$AA$9="english",C478,IF('1.Description'!$AA$9="français",D478,E478))=0,"",IF('1.Description'!$AA$9="english",C478,IF('1.Description'!$AA$9="français",D478,E478)))</f>
        <v/>
      </c>
      <c r="C478" s="1064" t="inlineStr">
        <is>
          <t>Surfaces (in ha)</t>
        </is>
      </c>
      <c r="D478" s="1064" t="inlineStr">
        <is>
          <t>Superficies (en ha)</t>
        </is>
      </c>
      <c r="E478" s="1064" t="inlineStr">
        <is>
          <t>Superficie (en ha)</t>
        </is>
      </c>
    </row>
    <row r="479">
      <c r="A479" s="1062" t="inlineStr">
        <is>
          <t>8. Inputs</t>
        </is>
      </c>
      <c r="B479" s="2266">
        <f>IF(IF('1.Description'!$AA$9="english",C479,IF('1.Description'!$AA$9="français",D479,E479))=0,"",IF('1.Description'!$AA$9="english",C479,IF('1.Description'!$AA$9="français",D479,E479)))</f>
        <v/>
      </c>
      <c r="C479" s="1064" t="inlineStr">
        <is>
          <t>Source of energy</t>
        </is>
      </c>
      <c r="D479" s="1064" t="inlineStr">
        <is>
          <t>Source d'énergie</t>
        </is>
      </c>
      <c r="E479" s="1064" t="inlineStr">
        <is>
          <t>Fuente de energía</t>
        </is>
      </c>
    </row>
    <row r="480">
      <c r="A480" s="1062" t="inlineStr">
        <is>
          <t>8. Inputs</t>
        </is>
      </c>
      <c r="B480" s="2266">
        <f>IF(IF('1.Description'!$AA$9="english",C480,IF('1.Description'!$AA$9="français",D480,E480))=0,"",IF('1.Description'!$AA$9="english",C480,IF('1.Description'!$AA$9="français",D480,E480)))</f>
        <v/>
      </c>
      <c r="C480" s="1064" t="inlineStr">
        <is>
          <t>Crop type</t>
        </is>
      </c>
      <c r="D480" s="1064" t="inlineStr">
        <is>
          <t>Type de culture</t>
        </is>
      </c>
      <c r="E480" s="1064" t="inlineStr">
        <is>
          <t>Tipo de cultivo</t>
        </is>
      </c>
    </row>
    <row r="481">
      <c r="A481" s="1062" t="inlineStr">
        <is>
          <t>8. Inputs</t>
        </is>
      </c>
      <c r="B481" s="2266">
        <f>IF(IF('1.Description'!$AA$9="english",C481,IF('1.Description'!$AA$9="français",D481,E481))=0,"",IF('1.Description'!$AA$9="english",C481,IF('1.Description'!$AA$9="français",D481,E481)))</f>
        <v/>
      </c>
      <c r="C481" s="1064" t="inlineStr">
        <is>
          <t>Gross Irrigation Water Requirement</t>
        </is>
      </c>
      <c r="D481" s="1064" t="inlineStr">
        <is>
          <t>Besoins bruts en eau d'irrigation</t>
        </is>
      </c>
      <c r="E481" s="1064" t="inlineStr">
        <is>
          <t>Necesidad bruta de agua de riego</t>
        </is>
      </c>
    </row>
    <row r="482">
      <c r="A482" s="1062" t="inlineStr">
        <is>
          <t>8. Inputs</t>
        </is>
      </c>
      <c r="B482" s="2266">
        <f>IF(IF('1.Description'!$AA$9="english",C482,IF('1.Description'!$AA$9="français",D482,E482))=0,"",IF('1.Description'!$AA$9="english",C482,IF('1.Description'!$AA$9="français",D482,E482)))</f>
        <v/>
      </c>
      <c r="C482" s="1064" t="inlineStr">
        <is>
          <t>(in mm/year)</t>
        </is>
      </c>
      <c r="D482" s="1064" t="inlineStr">
        <is>
          <t>(en mm/an)</t>
        </is>
      </c>
      <c r="E482" s="1064" t="inlineStr">
        <is>
          <t>(en mm/año)</t>
        </is>
      </c>
    </row>
    <row r="483">
      <c r="A483" s="1062" t="inlineStr">
        <is>
          <t>8. Inputs</t>
        </is>
      </c>
      <c r="B483" s="2266">
        <f>IF(IF('1.Description'!$AA$9="english",C483,IF('1.Description'!$AA$9="français",D483,E483))=0,"",IF('1.Description'!$AA$9="english",C483,IF('1.Description'!$AA$9="français",D483,E483)))</f>
        <v/>
      </c>
      <c r="C483" s="1064" t="inlineStr">
        <is>
          <t xml:space="preserve">Depth H2O </t>
        </is>
      </c>
      <c r="D483" s="1064" t="inlineStr">
        <is>
          <t>Profondeur H2O</t>
        </is>
      </c>
      <c r="E483" s="1064" t="inlineStr">
        <is>
          <t>Profundidad H2O</t>
        </is>
      </c>
    </row>
    <row r="484">
      <c r="A484" s="1062" t="inlineStr">
        <is>
          <t>8. Inputs</t>
        </is>
      </c>
      <c r="B484" s="2266">
        <f>IF(IF('1.Description'!$AA$9="english",C484,IF('1.Description'!$AA$9="français",D484,E484))=0,"",IF('1.Description'!$AA$9="english",C484,IF('1.Description'!$AA$9="français",D484,E484)))</f>
        <v/>
      </c>
      <c r="C484" s="1064" t="inlineStr">
        <is>
          <t>(in m)</t>
        </is>
      </c>
      <c r="D484" s="1064" t="inlineStr">
        <is>
          <t>(en m)</t>
        </is>
      </c>
      <c r="E484" s="1064" t="inlineStr">
        <is>
          <t>(en m)</t>
        </is>
      </c>
    </row>
    <row r="485">
      <c r="A485" s="1062" t="inlineStr">
        <is>
          <t>8. Inputs</t>
        </is>
      </c>
      <c r="B485" s="2266">
        <f>IF(IF('1.Description'!$AA$9="english",C485,IF('1.Description'!$AA$9="français",D485,E485))=0,"",IF('1.Description'!$AA$9="english",C485,IF('1.Description'!$AA$9="français",D485,E485)))</f>
        <v/>
      </c>
      <c r="C485" s="1064" t="inlineStr">
        <is>
          <t>New installation</t>
        </is>
      </c>
      <c r="D485" s="1064" t="inlineStr">
        <is>
          <t>Nouvelle installation</t>
        </is>
      </c>
      <c r="E485" s="1064" t="inlineStr">
        <is>
          <t>Instalación nueva</t>
        </is>
      </c>
    </row>
    <row r="486">
      <c r="A486" s="1062" t="inlineStr">
        <is>
          <t>8. Inputs</t>
        </is>
      </c>
      <c r="B486" s="2266">
        <f>IF(IF('1.Description'!$AA$9="english",C486,IF('1.Description'!$AA$9="français",D486,E486))=0,"",IF('1.Description'!$AA$9="english",C486,IF('1.Description'!$AA$9="français",D486,E486)))</f>
        <v/>
      </c>
      <c r="C486" s="1064" t="inlineStr">
        <is>
          <t>Irrigation systems</t>
        </is>
      </c>
      <c r="D486" s="1064" t="inlineStr">
        <is>
          <t>Systèmes d'irrigation</t>
        </is>
      </c>
      <c r="E486" s="1064" t="inlineStr">
        <is>
          <t>Sistemas de Irrigación</t>
        </is>
      </c>
    </row>
    <row r="487">
      <c r="A487" s="1062" t="inlineStr">
        <is>
          <t>8. Inputs</t>
        </is>
      </c>
      <c r="B487" s="2266">
        <f>IF(IF('1.Description'!$AA$9="english",C487,IF('1.Description'!$AA$9="français",D487,E487))=0,"",IF('1.Description'!$AA$9="english",C487,IF('1.Description'!$AA$9="français",D487,E487)))</f>
        <v/>
      </c>
      <c r="C487" s="1064" t="inlineStr">
        <is>
          <t>Average pressure (in bar)</t>
        </is>
      </c>
      <c r="D487" s="1064" t="inlineStr">
        <is>
          <t>Pression moyenne (en bar)</t>
        </is>
      </c>
      <c r="E487" s="1064" t="inlineStr">
        <is>
          <t>Presión media</t>
        </is>
      </c>
    </row>
    <row r="488">
      <c r="A488" s="1062" t="inlineStr">
        <is>
          <t>8. Inputs</t>
        </is>
      </c>
      <c r="B488" s="2266">
        <f>IF(IF('1.Description'!$AA$9="english",C488,IF('1.Description'!$AA$9="français",D488,E488))=0,"",IF('1.Description'!$AA$9="english",C488,IF('1.Description'!$AA$9="français",D488,E488)))</f>
        <v/>
      </c>
      <c r="C488" s="1064" t="inlineStr">
        <is>
          <t>Emission factors source of energy</t>
        </is>
      </c>
      <c r="D488" s="1064" t="inlineStr">
        <is>
          <t>Facteurs d'émission source d'énergie</t>
        </is>
      </c>
      <c r="E488" s="1064" t="inlineStr">
        <is>
          <t>Factores de emisión de la fuente de energía</t>
        </is>
      </c>
    </row>
    <row r="489">
      <c r="A489" s="1062" t="inlineStr">
        <is>
          <t>8. Inputs</t>
        </is>
      </c>
      <c r="B489" s="2266">
        <f>IF(IF('1.Description'!$AA$9="english",C489,IF('1.Description'!$AA$9="français",D489,E489))=0,"",IF('1.Description'!$AA$9="english",C489,IF('1.Description'!$AA$9="français",D489,E489)))</f>
        <v/>
      </c>
      <c r="C489" s="1064" t="inlineStr">
        <is>
          <t>Total dynamic head (in meters head)</t>
        </is>
      </c>
      <c r="D489" s="1064" t="inlineStr">
        <is>
          <t>Hauteur dynamique totale (en mètres de hauteur)</t>
        </is>
      </c>
      <c r="E489" s="1064" t="inlineStr">
        <is>
          <t>Carga dinámica total / Altura manométrica total (en metros</t>
        </is>
      </c>
    </row>
    <row r="490">
      <c r="A490" s="1062" t="inlineStr">
        <is>
          <t>8. Inputs</t>
        </is>
      </c>
      <c r="B490" s="2266">
        <f>IF(IF('1.Description'!$AA$9="english",C490,IF('1.Description'!$AA$9="français",D490,E490))=0,"",IF('1.Description'!$AA$9="english",C490,IF('1.Description'!$AA$9="français",D490,E490)))</f>
        <v/>
      </c>
      <c r="C490" s="1064" t="inlineStr">
        <is>
          <t>Pumping efficiency (in %)</t>
        </is>
      </c>
      <c r="D490" s="1064" t="inlineStr">
        <is>
          <t>Efficacité de pompage (en %)</t>
        </is>
      </c>
      <c r="E490" s="1064" t="inlineStr">
        <is>
          <t>Eficiencia de bombeo (en %)</t>
        </is>
      </c>
    </row>
    <row r="491">
      <c r="A491" s="1062" t="inlineStr">
        <is>
          <t>8. Inputs</t>
        </is>
      </c>
      <c r="B491" s="2266">
        <f>IF(IF('1.Description'!$AA$9="english",C491,IF('1.Description'!$AA$9="français",D491,E491))=0,"",IF('1.Description'!$AA$9="english",C491,IF('1.Description'!$AA$9="français",D491,E491)))</f>
        <v/>
      </c>
      <c r="C491" s="1064" t="inlineStr">
        <is>
          <t>Over the main crop season</t>
        </is>
      </c>
      <c r="D491" s="1064" t="inlineStr">
        <is>
          <t>Au cours de la saison de culture principale</t>
        </is>
      </c>
      <c r="E491" s="1064" t="inlineStr">
        <is>
          <t xml:space="preserve">Durante la estación de cultivo principal </t>
        </is>
      </c>
    </row>
    <row r="492">
      <c r="A492" s="1062" t="inlineStr">
        <is>
          <t>8. Inputs</t>
        </is>
      </c>
      <c r="B492" s="2266">
        <f>IF(IF('1.Description'!$AA$9="english",C492,IF('1.Description'!$AA$9="français",D492,E492))=0,"",IF('1.Description'!$AA$9="english",C492,IF('1.Description'!$AA$9="français",D492,E492)))</f>
        <v/>
      </c>
      <c r="C492" s="1064" t="inlineStr">
        <is>
          <t>(in mm/growing season)</t>
        </is>
      </c>
      <c r="D492" s="1064" t="inlineStr">
        <is>
          <t>(en mm/saison de croissance)</t>
        </is>
      </c>
      <c r="E492" s="1064" t="inlineStr">
        <is>
          <t>(en mm/ estación de cultivo)</t>
        </is>
      </c>
    </row>
    <row r="493">
      <c r="A493" s="1062" t="inlineStr">
        <is>
          <t>8. Inputs</t>
        </is>
      </c>
      <c r="B493" s="2266">
        <f>IF(IF('1.Description'!$AA$9="english",C493,IF('1.Description'!$AA$9="français",D493,E493))=0,"",IF('1.Description'!$AA$9="english",C493,IF('1.Description'!$AA$9="français",D493,E493)))</f>
        <v/>
      </c>
      <c r="C493" s="1064" t="inlineStr">
        <is>
          <t>Main crop irrigation need</t>
        </is>
      </c>
      <c r="D493" s="1064" t="inlineStr">
        <is>
          <t>Principal besoin d'irrigation des cultures</t>
        </is>
      </c>
      <c r="E493" s="1064" t="inlineStr">
        <is>
          <t>Necesidad de irrigación del cultivo principal</t>
        </is>
      </c>
    </row>
    <row r="494">
      <c r="A494" s="1062" t="inlineStr">
        <is>
          <t>8. Inputs</t>
        </is>
      </c>
      <c r="B494" s="2266">
        <f>IF(IF('1.Description'!$AA$9="english",C494,IF('1.Description'!$AA$9="français",D494,E494))=0,"",IF('1.Description'!$AA$9="english",C494,IF('1.Description'!$AA$9="français",D494,E494)))</f>
        <v/>
      </c>
      <c r="C494" s="1064" t="inlineStr">
        <is>
          <t>Minor crop season</t>
        </is>
      </c>
      <c r="D494" s="1064" t="inlineStr">
        <is>
          <t>Saison de culture mineure</t>
        </is>
      </c>
      <c r="E494" s="1064" t="inlineStr">
        <is>
          <t>Estación de cultivo secundario</t>
        </is>
      </c>
    </row>
    <row r="495">
      <c r="A495" s="1062" t="inlineStr">
        <is>
          <t>8. Inputs</t>
        </is>
      </c>
      <c r="B495" s="2266">
        <f>IF(IF('1.Description'!$AA$9="english",C495,IF('1.Description'!$AA$9="français",D495,E495))=0,"",IF('1.Description'!$AA$9="english",C495,IF('1.Description'!$AA$9="français",D495,E495)))</f>
        <v/>
      </c>
      <c r="C495" s="1064" t="inlineStr">
        <is>
          <t>Irrigation need</t>
        </is>
      </c>
      <c r="D495" s="1064" t="inlineStr">
        <is>
          <t>Besoin d'irrigation</t>
        </is>
      </c>
      <c r="E495" s="1064" t="inlineStr">
        <is>
          <t>Necesidad de irrigación</t>
        </is>
      </c>
    </row>
    <row r="496">
      <c r="A496" s="1062" t="inlineStr">
        <is>
          <t>8. Inputs</t>
        </is>
      </c>
      <c r="B496" s="2266">
        <f>IF(IF('1.Description'!$AA$9="english",C496,IF('1.Description'!$AA$9="français",D496,E496))=0,"",IF('1.Description'!$AA$9="english",C496,IF('1.Description'!$AA$9="français",D496,E496)))</f>
        <v/>
      </c>
      <c r="C496" s="1064" t="inlineStr">
        <is>
          <t>Water need</t>
        </is>
      </c>
      <c r="D496" s="1064" t="inlineStr">
        <is>
          <t>Besoin en eau</t>
        </is>
      </c>
      <c r="E496" s="1064" t="inlineStr">
        <is>
          <t>Necesidad de agua</t>
        </is>
      </c>
    </row>
    <row r="497">
      <c r="A497" s="1062" t="inlineStr">
        <is>
          <t>8. Inputs</t>
        </is>
      </c>
      <c r="B497" s="2266">
        <f>IF(IF('1.Description'!$AA$9="english",C497,IF('1.Description'!$AA$9="français",D497,E497))=0,"",IF('1.Description'!$AA$9="english",C497,IF('1.Description'!$AA$9="français",D497,E497)))</f>
        <v/>
      </c>
      <c r="C497" s="1064" t="inlineStr">
        <is>
          <t>Pump</t>
        </is>
      </c>
      <c r="D497" s="1064" t="inlineStr">
        <is>
          <t>Pompe</t>
        </is>
      </c>
      <c r="E497" s="1064" t="inlineStr">
        <is>
          <t>Bomba</t>
        </is>
      </c>
    </row>
    <row r="498">
      <c r="A498" s="1062" t="inlineStr">
        <is>
          <t>8. Inputs</t>
        </is>
      </c>
      <c r="B498" s="2266">
        <f>IF(IF('1.Description'!$AA$9="english",C498,IF('1.Description'!$AA$9="français",D498,E498))=0,"",IF('1.Description'!$AA$9="english",C498,IF('1.Description'!$AA$9="français",D498,E498)))</f>
        <v/>
      </c>
      <c r="C498" s="1064" t="inlineStr">
        <is>
          <t>(in m3/ha)</t>
        </is>
      </c>
      <c r="D498" s="1064" t="inlineStr">
        <is>
          <t>(en m3/ha)</t>
        </is>
      </c>
      <c r="E498" s="1064" t="inlineStr">
        <is>
          <t>(en m3/ha)</t>
        </is>
      </c>
    </row>
    <row r="499">
      <c r="A499" s="1062" t="inlineStr">
        <is>
          <t>8. Inputs</t>
        </is>
      </c>
      <c r="B499" s="2266">
        <f>IF(IF('1.Description'!$AA$9="english",C499,IF('1.Description'!$AA$9="français",D499,E499))=0,"",IF('1.Description'!$AA$9="english",C499,IF('1.Description'!$AA$9="français",D499,E499)))</f>
        <v/>
      </c>
      <c r="C499" s="1064" t="inlineStr">
        <is>
          <t>9.4 BUILDINGS &amp; ROADS</t>
        </is>
      </c>
      <c r="D499" s="1064" t="inlineStr">
        <is>
          <t>9.4 BÂTIMENTS &amp; ROUTES</t>
        </is>
      </c>
      <c r="E499" s="1064" t="inlineStr">
        <is>
          <t>9.4 INFRAESTRUCTURAS Y CARRETERAS</t>
        </is>
      </c>
    </row>
    <row r="500">
      <c r="A500" s="1062" t="inlineStr">
        <is>
          <t>8. Inputs</t>
        </is>
      </c>
      <c r="B500" s="2266">
        <f>IF(IF('1.Description'!$AA$9="english",C500,IF('1.Description'!$AA$9="français",D500,E500))=0,"",IF('1.Description'!$AA$9="english",C500,IF('1.Description'!$AA$9="français",D500,E500)))</f>
        <v/>
      </c>
      <c r="C500" s="1064" t="inlineStr">
        <is>
          <t>Buildings and roads (in m2)</t>
        </is>
      </c>
      <c r="D500" s="1064" t="inlineStr">
        <is>
          <t>Bâtiments et routes (en m2)</t>
        </is>
      </c>
      <c r="E500" s="1064" t="inlineStr">
        <is>
          <t>Edificios / construcciones y carreters (en m2)</t>
        </is>
      </c>
    </row>
    <row r="501">
      <c r="A501" s="1062" t="inlineStr">
        <is>
          <t>8. Inputs</t>
        </is>
      </c>
      <c r="B501" s="2266">
        <f>IF(IF('1.Description'!$AA$9="english",C501,IF('1.Description'!$AA$9="français",D501,E501))=0,"",IF('1.Description'!$AA$9="english",C501,IF('1.Description'!$AA$9="français",D501,E501)))</f>
        <v/>
      </c>
      <c r="C501" s="1064" t="inlineStr">
        <is>
          <t>Surfaces (in m2)</t>
        </is>
      </c>
      <c r="D501" s="1064" t="inlineStr">
        <is>
          <t>Surfaces (en m2)</t>
        </is>
      </c>
      <c r="E501" s="1064" t="inlineStr">
        <is>
          <t>Superficies (en m2)</t>
        </is>
      </c>
    </row>
    <row r="502" customFormat="1" s="1066">
      <c r="A502" s="1062" t="inlineStr">
        <is>
          <t>8. Inputs</t>
        </is>
      </c>
      <c r="B502" s="2266">
        <f>IF(IF('1.Description'!$AA$9="english",C502,IF('1.Description'!$AA$9="français",D502,E502))=0,"",IF('1.Description'!$AA$9="english",C502,IF('1.Description'!$AA$9="français",D502,E502)))</f>
        <v/>
      </c>
      <c r="C502" s="1064" t="inlineStr">
        <is>
          <t>Roads and buildings (new and rehabilitated)</t>
        </is>
      </c>
      <c r="D502" s="1064" t="inlineStr">
        <is>
          <t>Routes et bâtiments (nouveaux et réhabilités)</t>
        </is>
      </c>
      <c r="E502" s="1064" t="inlineStr">
        <is>
          <t>Carreteras y edificios / construcciones ( nuevas y rehabilitadas)</t>
        </is>
      </c>
      <c r="F502" s="1064" t="n"/>
      <c r="G502" s="1064" t="n"/>
      <c r="H502" s="1064" t="n"/>
      <c r="I502" s="1064" t="n"/>
    </row>
    <row r="503">
      <c r="A503" s="1062" t="inlineStr">
        <is>
          <t>8. Inputs</t>
        </is>
      </c>
      <c r="B503" s="2266">
        <f>IF(IF('1.Description'!$AA$9="english",C503,IF('1.Description'!$AA$9="français",D503,E503))=0,"",IF('1.Description'!$AA$9="english",C503,IF('1.Description'!$AA$9="français",D503,E503)))</f>
        <v/>
      </c>
      <c r="C503" s="1064" t="inlineStr">
        <is>
          <t>Total energy (tCO2-e)</t>
        </is>
      </c>
      <c r="D503" s="1064" t="inlineStr">
        <is>
          <t>Total énergie (tCO2-e)</t>
        </is>
      </c>
      <c r="E503" s="1064" t="inlineStr">
        <is>
          <t>Total de energía (tCO2-e)</t>
        </is>
      </c>
    </row>
    <row r="504">
      <c r="A504" s="1062" t="inlineStr">
        <is>
          <t>8. Inputs</t>
        </is>
      </c>
      <c r="B504" s="2266">
        <f>IF(IF('1.Description'!$AA$9="english",C504,IF('1.Description'!$AA$9="français",D504,E504))=0,"",IF('1.Description'!$AA$9="english",C504,IF('1.Description'!$AA$9="français",D504,E504)))</f>
        <v/>
      </c>
      <c r="C504" s="1064" t="inlineStr">
        <is>
          <t>Total inputs (tCO2-e)</t>
        </is>
      </c>
      <c r="D504" s="1064" t="inlineStr">
        <is>
          <t>Total intrants (tCO2-e)</t>
        </is>
      </c>
      <c r="E504" s="1064" t="inlineStr">
        <is>
          <t>Total de insumos (tCO2-e)</t>
        </is>
      </c>
    </row>
    <row r="505">
      <c r="A505" s="1062" t="inlineStr">
        <is>
          <t>8. Inputs</t>
        </is>
      </c>
      <c r="B505" s="2266">
        <f>IF(IF('1.Description'!$AA$9="english",C505,IF('1.Description'!$AA$9="français",D505,E505))=0,"",IF('1.Description'!$AA$9="english",C505,IF('1.Description'!$AA$9="français",D505,E505)))</f>
        <v/>
      </c>
      <c r="C505" s="1064" t="inlineStr">
        <is>
          <t>Total irrigation (tCO2-e)</t>
        </is>
      </c>
      <c r="D505" s="1064" t="inlineStr">
        <is>
          <t>Total irrigation (tCO2-e)</t>
        </is>
      </c>
      <c r="E505" s="1064" t="inlineStr">
        <is>
          <t>Total de irrigación (tCO2-e)</t>
        </is>
      </c>
    </row>
    <row r="506">
      <c r="A506" s="1062" t="inlineStr">
        <is>
          <t>8. Inputs</t>
        </is>
      </c>
      <c r="B506" s="2266">
        <f>IF(IF('1.Description'!$AA$9="english",C506,IF('1.Description'!$AA$9="français",D506,E506))=0,"",IF('1.Description'!$AA$9="english",C506,IF('1.Description'!$AA$9="français",D506,E506)))</f>
        <v/>
      </c>
      <c r="C506" s="1064" t="inlineStr">
        <is>
          <t>Total buildings and roads (tCO2-e)</t>
        </is>
      </c>
      <c r="D506" s="1064" t="inlineStr">
        <is>
          <t>Total bâtiments et routes (tCO2-e)</t>
        </is>
      </c>
      <c r="E506" s="1064" t="inlineStr">
        <is>
          <t>Total de edificios / construcciones y carreteras (tCO2-e)</t>
        </is>
      </c>
    </row>
    <row r="507">
      <c r="A507" s="1062" t="n"/>
      <c r="B507" s="2266">
        <f>IF(IF('1.Description'!$AA$9="english",C507,IF('1.Description'!$AA$9="français",D507,E507))=0,"",IF('1.Description'!$AA$9="english",C507,IF('1.Description'!$AA$9="français",D507,E507)))</f>
        <v/>
      </c>
      <c r="C507" s="1064" t="inlineStr">
        <is>
          <t>Animal feed (in tonnes per year)</t>
        </is>
      </c>
      <c r="D507" s="1064" t="inlineStr">
        <is>
          <t>Aliments pour bétail (en tonnes par an)</t>
        </is>
      </c>
      <c r="E507" s="1064" t="inlineStr">
        <is>
          <t>Alimento para ganado (en toneladas por año)</t>
        </is>
      </c>
    </row>
    <row r="508">
      <c r="A508" s="1062" t="n"/>
      <c r="B508" s="2266">
        <f>IF(IF('1.Description'!$AA$9="english",C508,IF('1.Description'!$AA$9="français",D508,E508))=0,"",IF('1.Description'!$AA$9="english",C508,IF('1.Description'!$AA$9="français",D508,E508)))</f>
        <v/>
      </c>
      <c r="C508" s="1064" t="inlineStr">
        <is>
          <t xml:space="preserve">For guidance on the calculation of the Gross Irrigation Water Requirement, users can refer to the </t>
        </is>
      </c>
      <c r="D508" s="1064" t="inlineStr">
        <is>
          <t xml:space="preserve"> Pour obtenir des conseils sur le calcul des besoins bruts en eau d'irrigation, se référer á l'onglet:</t>
        </is>
      </c>
      <c r="E508" s="1064" t="inlineStr">
        <is>
          <t xml:space="preserve">Para obtener consejos sobre el cálculo de la necesidad bruta de agua, consulte la pestaña: </t>
        </is>
      </c>
    </row>
    <row r="509">
      <c r="A509" s="1062" t="n"/>
      <c r="B509" s="2266">
        <f>IF(IF('1.Description'!$AA$9="english",C509,IF('1.Description'!$AA$9="français",D509,E509))=0,"",IF('1.Description'!$AA$9="english",C509,IF('1.Description'!$AA$9="français",D509,E509)))</f>
        <v/>
      </c>
      <c r="C509" s="1064" t="inlineStr">
        <is>
          <t>Please make sure that feed does not derive from land-based activities that are already included within the project</t>
        </is>
      </c>
      <c r="D509" s="1064" t="inlineStr">
        <is>
          <t>Veuillez vous assurer que l'alimentation ne provient pas d'activités terrestres qui sont déjà incluses dans le projet</t>
        </is>
      </c>
      <c r="E509" s="1064" t="inlineStr">
        <is>
          <t>Asegure que el alimento para ganado no proviene de actividades agricolas que ya han sido contabilizadas dentro del proyecto.</t>
        </is>
      </c>
    </row>
    <row r="510">
      <c r="A510" s="1062" t="n"/>
      <c r="B510" s="2266">
        <f>IF(IF('1.Description'!$AA$9="english",C510,IF('1.Description'!$AA$9="français",D510,E510))=0,"",IF('1.Description'!$AA$9="english",C510,IF('1.Description'!$AA$9="français",D510,E510)))</f>
        <v/>
      </c>
      <c r="C510" s="1064" t="inlineStr">
        <is>
          <t>Source of Emission Factor</t>
        </is>
      </c>
      <c r="D510" s="1064" t="inlineStr">
        <is>
          <t>Source du facteur d'émission</t>
        </is>
      </c>
      <c r="E510" s="1064" t="inlineStr">
        <is>
          <t>Fuente del Factor de emisión</t>
        </is>
      </c>
    </row>
    <row r="511">
      <c r="A511" s="1062" t="n"/>
      <c r="B511" s="2266">
        <f>IF(IF('1.Description'!$AA$9="english",C511,IF('1.Description'!$AA$9="français",D511,E511))=0,"",IF('1.Description'!$AA$9="english",C511,IF('1.Description'!$AA$9="français",D511,E511)))</f>
        <v/>
      </c>
      <c r="C511" s="1064" t="inlineStr">
        <is>
          <t>Account for CO2 emissions?</t>
        </is>
      </c>
      <c r="D511" s="1064" t="inlineStr">
        <is>
          <t>Comptabiliser les émissions de CO2 ?</t>
        </is>
      </c>
      <c r="E511" s="1064" t="inlineStr">
        <is>
          <t>¿Contabilizar las emisiones de CO2?</t>
        </is>
      </c>
    </row>
    <row r="512">
      <c r="A512" s="1062" t="n"/>
      <c r="B512" s="2266">
        <f>IF(IF('1.Description'!$AA$9="english",C512,IF('1.Description'!$AA$9="français",D512,E512))=0,"",IF('1.Description'!$AA$9="english",C512,IF('1.Description'!$AA$9="français",D512,E512)))</f>
        <v/>
      </c>
      <c r="C512" s="1064" t="inlineStr">
        <is>
          <t>Pump Characteristics</t>
        </is>
      </c>
      <c r="D512" s="1064" t="inlineStr">
        <is>
          <t>Caractéristiques de la pompe</t>
        </is>
      </c>
      <c r="E512" s="1064" t="inlineStr">
        <is>
          <t>Características de la bomba</t>
        </is>
      </c>
    </row>
    <row r="513">
      <c r="A513" s="1062" t="n"/>
      <c r="B513" s="2266">
        <f>IF(IF('1.Description'!$AA$9="english",C513,IF('1.Description'!$AA$9="français",D513,E513))=0,"",IF('1.Description'!$AA$9="english",C513,IF('1.Description'!$AA$9="français",D513,E513)))</f>
        <v/>
      </c>
    </row>
    <row r="514">
      <c r="A514" s="1062" t="n"/>
      <c r="B514" s="2266">
        <f>IF(IF('1.Description'!$AA$9="english",C514,IF('1.Description'!$AA$9="français",D514,E514))=0,"",IF('1.Description'!$AA$9="english",C514,IF('1.Description'!$AA$9="français",D514,E514)))</f>
        <v/>
      </c>
    </row>
    <row r="515">
      <c r="A515" s="1062" t="n"/>
      <c r="B515" s="2266">
        <f>IF(IF('1.Description'!$AA$9="english",C515,IF('1.Description'!$AA$9="français",D515,E515))=0,"",IF('1.Description'!$AA$9="english",C515,IF('1.Description'!$AA$9="français",D515,E515)))</f>
        <v/>
      </c>
    </row>
    <row r="516">
      <c r="A516" s="1062" t="n"/>
      <c r="B516" s="2266">
        <f>IF(IF('1.Description'!$AA$9="english",C516,IF('1.Description'!$AA$9="français",D516,E516))=0,"",IF('1.Description'!$AA$9="english",C516,IF('1.Description'!$AA$9="français",D516,E516)))</f>
        <v/>
      </c>
    </row>
    <row r="517">
      <c r="A517" s="1062" t="n"/>
      <c r="B517" s="2266">
        <f>IF(IF('1.Description'!$AA$9="english",C517,IF('1.Description'!$AA$9="français",D517,E517))=0,"",IF('1.Description'!$AA$9="english",C517,IF('1.Description'!$AA$9="français",D517,E517)))</f>
        <v/>
      </c>
    </row>
    <row r="518">
      <c r="A518" s="1062" t="n"/>
      <c r="B518" s="2266">
        <f>IF(IF('1.Description'!$AA$9="english",C518,IF('1.Description'!$AA$9="français",D518,E518))=0,"",IF('1.Description'!$AA$9="english",C518,IF('1.Description'!$AA$9="français",D518,E518)))</f>
        <v/>
      </c>
    </row>
    <row r="519">
      <c r="A519" s="1062" t="n"/>
      <c r="B519" s="2266">
        <f>IF(IF('1.Description'!$AA$9="english",C519,IF('1.Description'!$AA$9="français",D519,E519))=0,"",IF('1.Description'!$AA$9="english",C519,IF('1.Description'!$AA$9="français",D519,E519)))</f>
        <v/>
      </c>
    </row>
    <row r="520">
      <c r="A520" s="1062" t="n"/>
      <c r="B520" s="2266">
        <f>IF(IF('1.Description'!$AA$9="english",C520,IF('1.Description'!$AA$9="français",D520,E520))=0,"",IF('1.Description'!$AA$9="english",C520,IF('1.Description'!$AA$9="français",D520,E520)))</f>
        <v/>
      </c>
    </row>
    <row r="521">
      <c r="A521" s="1062" t="n"/>
      <c r="B521" s="2266">
        <f>IF(IF('1.Description'!$AA$9="english",C521,IF('1.Description'!$AA$9="français",D521,E521))=0,"",IF('1.Description'!$AA$9="english",C521,IF('1.Description'!$AA$9="français",D521,E521)))</f>
        <v/>
      </c>
    </row>
    <row r="522">
      <c r="A522" s="1062" t="n"/>
      <c r="B522" s="2266">
        <f>IF(IF('1.Description'!$AA$9="english",C522,IF('1.Description'!$AA$9="français",D522,E522))=0,"",IF('1.Description'!$AA$9="english",C522,IF('1.Description'!$AA$9="français",D522,E522)))</f>
        <v/>
      </c>
    </row>
    <row r="523">
      <c r="A523" s="1062" t="n"/>
      <c r="B523" s="2266">
        <f>IF(IF('1.Description'!$AA$9="english",C523,IF('1.Description'!$AA$9="français",D523,E523))=0,"",IF('1.Description'!$AA$9="english",C523,IF('1.Description'!$AA$9="français",D523,E523)))</f>
        <v/>
      </c>
    </row>
    <row r="524">
      <c r="A524" s="1062" t="n"/>
      <c r="B524" s="2266">
        <f>IF(IF('1.Description'!$AA$9="english",C524,IF('1.Description'!$AA$9="français",D524,E524))=0,"",IF('1.Description'!$AA$9="english",C524,IF('1.Description'!$AA$9="français",D524,E524)))</f>
        <v/>
      </c>
    </row>
    <row r="525">
      <c r="A525" s="1062" t="n"/>
      <c r="B525" s="2266">
        <f>IF(IF('1.Description'!$AA$9="english",C525,IF('1.Description'!$AA$9="français",D525,E525))=0,"",IF('1.Description'!$AA$9="english",C525,IF('1.Description'!$AA$9="français",D525,E525)))</f>
        <v/>
      </c>
    </row>
    <row r="526">
      <c r="A526" s="1062" t="n"/>
      <c r="B526" s="2266">
        <f>IF(IF('1.Description'!$AA$9="english",C526,IF('1.Description'!$AA$9="français",D526,E526))=0,"",IF('1.Description'!$AA$9="english",C526,IF('1.Description'!$AA$9="français",D526,E526)))</f>
        <v/>
      </c>
    </row>
    <row r="527">
      <c r="A527" s="1067" t="inlineStr">
        <is>
          <t>7.Coastal wetlands</t>
        </is>
      </c>
      <c r="B527" s="2266">
        <f>IF(IF('1.Description'!$AA$9="english",C527,IF('1.Description'!$AA$9="français",D527,E527))=0,"",IF('1.Description'!$AA$9="english",C527,IF('1.Description'!$AA$9="français",D527,E527)))</f>
        <v/>
      </c>
      <c r="C527" s="4478" t="inlineStr">
        <is>
          <t>Area excavated (ha)</t>
        </is>
      </c>
      <c r="D527" s="4478" t="inlineStr">
        <is>
          <t>Surface excavée (ha)</t>
        </is>
      </c>
      <c r="E527" s="1064" t="inlineStr">
        <is>
          <t>Área excavada (ha)</t>
        </is>
      </c>
    </row>
    <row r="528">
      <c r="A528" s="1064" t="inlineStr">
        <is>
          <t>7.Coastal wetlands</t>
        </is>
      </c>
      <c r="B528" s="2266">
        <f>IF(IF('1.Description'!$AA$9="english",C528,IF('1.Description'!$AA$9="français",D528,E528))=0,"",IF('1.Description'!$AA$9="english",C528,IF('1.Description'!$AA$9="français",D528,E528)))</f>
        <v/>
      </c>
      <c r="C528" s="4478" t="inlineStr">
        <is>
          <t>Area drained (ha)</t>
        </is>
      </c>
      <c r="D528" s="4478" t="inlineStr">
        <is>
          <t>Surface drainée (ha)</t>
        </is>
      </c>
      <c r="E528" s="1064" t="inlineStr">
        <is>
          <t>Área drenada (ha)</t>
        </is>
      </c>
    </row>
    <row r="529">
      <c r="A529" s="1064" t="inlineStr">
        <is>
          <t>7.Coastal wetlands</t>
        </is>
      </c>
      <c r="B529" s="2266">
        <f>IF(IF('1.Description'!$AA$9="english",C529,IF('1.Description'!$AA$9="français",D529,E529))=0,"",IF('1.Description'!$AA$9="english",C529,IF('1.Description'!$AA$9="français",D529,E529)))</f>
        <v/>
      </c>
      <c r="C529" s="4478" t="inlineStr">
        <is>
          <t xml:space="preserve">Maximum area available for drainage </t>
        </is>
      </c>
      <c r="D529" s="4478" t="inlineStr">
        <is>
          <t>Surface maximum disponible pour drainage</t>
        </is>
      </c>
      <c r="E529" s="1064" t="inlineStr">
        <is>
          <t>Área máxima disponible para drenaje</t>
        </is>
      </c>
    </row>
    <row r="530">
      <c r="A530" s="1064" t="inlineStr">
        <is>
          <t>7.Coastal wetlands</t>
        </is>
      </c>
      <c r="B530" s="2266">
        <f>IF(IF('1.Description'!$AA$9="english",C530,IF('1.Description'!$AA$9="français",D530,E530))=0,"",IF('1.Description'!$AA$9="english",C530,IF('1.Description'!$AA$9="français",D530,E530)))</f>
        <v/>
      </c>
      <c r="C530" s="4478" t="inlineStr">
        <is>
          <t>For inland wetland waterbodies, go to the Inland Wetlands module</t>
        </is>
      </c>
      <c r="D530" s="4478" t="inlineStr">
        <is>
          <t>Pour les plans d'eau de zones humides interieures, allez vers le module "6. Zones Humides Interieures"</t>
        </is>
      </c>
      <c r="E530" s="1064" t="inlineStr">
        <is>
          <t>Para cuerpos de agua en humedales interiores, visite el módulo Humedales interiores</t>
        </is>
      </c>
    </row>
    <row r="531">
      <c r="A531" s="1064" t="inlineStr">
        <is>
          <t>7.Coastal wetlands</t>
        </is>
      </c>
      <c r="B531" s="2266">
        <f>IF(IF('1.Description'!$AA$9="english",C531,IF('1.Description'!$AA$9="français",D531,E531))=0,"",IF('1.Description'!$AA$9="english",C531,IF('1.Description'!$AA$9="français",D531,E531)))</f>
        <v/>
      </c>
      <c r="C531" s="4478" t="inlineStr">
        <is>
          <t>Total (ha)</t>
        </is>
      </c>
      <c r="D531" s="4478" t="inlineStr">
        <is>
          <t>Total (ha)</t>
        </is>
      </c>
      <c r="E531" s="1064" t="inlineStr">
        <is>
          <t>Total (ha)</t>
        </is>
      </c>
    </row>
    <row r="532">
      <c r="A532" s="1064" t="inlineStr">
        <is>
          <t>7.Coastal wetlands</t>
        </is>
      </c>
      <c r="B532" s="2266">
        <f>IF(IF('1.Description'!$AA$9="english",C532,IF('1.Description'!$AA$9="français",D532,E532))=0,"",IF('1.Description'!$AA$9="english",C532,IF('1.Description'!$AA$9="français",D532,E532)))</f>
        <v/>
      </c>
      <c r="C532" s="4478" t="inlineStr">
        <is>
          <t>Total for coastal water bodies (tCO2-e)</t>
        </is>
      </c>
      <c r="D532" s="4478" t="inlineStr">
        <is>
          <t>Total pour les plans d'eau cotiers (tCO2-e)</t>
        </is>
      </c>
      <c r="E532" s="1064" t="inlineStr">
        <is>
          <t>Total para cuerpos de agua costeros (tCO2-e)</t>
        </is>
      </c>
    </row>
    <row r="533">
      <c r="A533" s="1064" t="inlineStr">
        <is>
          <t>7.Coastal wetlands</t>
        </is>
      </c>
      <c r="B533" s="2266">
        <f>IF(IF('1.Description'!$AA$9="english",C533,IF('1.Description'!$AA$9="français",D533,E533))=0,"",IF('1.Description'!$AA$9="english",C533,IF('1.Description'!$AA$9="français",D533,E533)))</f>
        <v/>
      </c>
      <c r="C533" s="4478" t="inlineStr">
        <is>
          <t>EF drainage (tC/ha/yr)</t>
        </is>
      </c>
      <c r="D533" s="4478" t="inlineStr">
        <is>
          <t>Facteur d'émission drainage (tC/ha/yr)</t>
        </is>
      </c>
      <c r="E533" s="1064" t="inlineStr">
        <is>
          <t>Factor de emisión drenaje (tC/ha/año)</t>
        </is>
      </c>
    </row>
    <row r="534">
      <c r="A534" s="1064" t="inlineStr">
        <is>
          <t>7.Coastal wetlands</t>
        </is>
      </c>
      <c r="B534" s="2266">
        <f>IF(IF('1.Description'!$AA$9="english",C534,IF('1.Description'!$AA$9="français",D534,E534))=0,"",IF('1.Description'!$AA$9="english",C534,IF('1.Description'!$AA$9="français",D534,E534)))</f>
        <v/>
      </c>
      <c r="C534" s="4478" t="inlineStr">
        <is>
          <t>Average salinity</t>
        </is>
      </c>
      <c r="D534" s="4478" t="inlineStr">
        <is>
          <t>Salinité moyenne</t>
        </is>
      </c>
      <c r="E534" s="1064" t="inlineStr">
        <is>
          <t>Salinidad media</t>
        </is>
      </c>
    </row>
    <row r="535">
      <c r="A535" s="1064" t="inlineStr">
        <is>
          <t>7.Coastal wetlands</t>
        </is>
      </c>
      <c r="B535" s="2266">
        <f>IF(IF('1.Description'!$AA$9="english",C535,IF('1.Description'!$AA$9="français",D535,E535))=0,"",IF('1.Description'!$AA$9="english",C535,IF('1.Description'!$AA$9="français",D535,E535)))</f>
        <v/>
      </c>
      <c r="C535" s="4478" t="inlineStr">
        <is>
          <t>EF CO2 (tC/ha/yr)</t>
        </is>
      </c>
      <c r="D535" s="4478" t="inlineStr">
        <is>
          <t>FE CO2 (tC/ha/an)</t>
        </is>
      </c>
      <c r="E535" s="1064" t="inlineStr">
        <is>
          <t>EF CO2 (tC/ha/año)</t>
        </is>
      </c>
    </row>
    <row r="536">
      <c r="A536" s="1064" t="inlineStr">
        <is>
          <t>7.Coastal wetlands</t>
        </is>
      </c>
      <c r="B536" s="2266">
        <f>IF(IF('1.Description'!$AA$9="english",C536,IF('1.Description'!$AA$9="français",D536,E536))=0,"",IF('1.Description'!$AA$9="english",C536,IF('1.Description'!$AA$9="français",D536,E536)))</f>
        <v/>
      </c>
      <c r="C536" s="4478" t="inlineStr">
        <is>
          <t>EF CH4 (kgCH4/ha/yr)</t>
        </is>
      </c>
      <c r="D536" s="4478" t="inlineStr">
        <is>
          <t>FE CH4 (kgCH4/ha/an)</t>
        </is>
      </c>
      <c r="E536" s="1064" t="inlineStr">
        <is>
          <t>EF CH4 (kgCH4/ha/año)</t>
        </is>
      </c>
    </row>
    <row r="537">
      <c r="A537" s="1064" t="inlineStr">
        <is>
          <t>7.Coastal wetlands</t>
        </is>
      </c>
      <c r="B537" s="2266">
        <f>IF(IF('1.Description'!$AA$9="english",C537,IF('1.Description'!$AA$9="français",D537,E537))=0,"",IF('1.Description'!$AA$9="english",C537,IF('1.Description'!$AA$9="français",D537,E537)))</f>
        <v/>
      </c>
    </row>
    <row r="538">
      <c r="A538" s="1064" t="inlineStr">
        <is>
          <t>7.Coastal wetlands</t>
        </is>
      </c>
      <c r="B538" s="2266">
        <f>IF(IF('1.Description'!$AA$9="english",C538,IF('1.Description'!$AA$9="français",D538,E538))=0,"",IF('1.Description'!$AA$9="english",C538,IF('1.Description'!$AA$9="français",D538,E538)))</f>
        <v/>
      </c>
    </row>
    <row r="539">
      <c r="A539" s="1064" t="inlineStr">
        <is>
          <t>7.Coastal wetlands</t>
        </is>
      </c>
      <c r="B539" s="2266">
        <f>IF(IF('1.Description'!$AA$9="english",C539,IF('1.Description'!$AA$9="français",D539,E539))=0,"",IF('1.Description'!$AA$9="english",C539,IF('1.Description'!$AA$9="français",D539,E539)))</f>
        <v/>
      </c>
    </row>
    <row r="540">
      <c r="A540" s="1064" t="inlineStr">
        <is>
          <t>7.Coastal wetlands</t>
        </is>
      </c>
      <c r="B540" s="2266">
        <f>IF(IF('1.Description'!$AA$9="english",C540,IF('1.Description'!$AA$9="français",D540,E540))=0,"",IF('1.Description'!$AA$9="english",C540,IF('1.Description'!$AA$9="français",D540,E540)))</f>
        <v/>
      </c>
    </row>
    <row r="541">
      <c r="A541" s="1064" t="inlineStr">
        <is>
          <t>7.Coastal wetlands</t>
        </is>
      </c>
      <c r="B541" s="2266">
        <f>IF(IF('1.Description'!$AA$9="english",C541,IF('1.Description'!$AA$9="français",D541,E541))=0,"",IF('1.Description'!$AA$9="english",C541,IF('1.Description'!$AA$9="français",D541,E541)))</f>
        <v/>
      </c>
    </row>
    <row r="542">
      <c r="A542" s="1064" t="inlineStr">
        <is>
          <t>7.Coastal wetlands</t>
        </is>
      </c>
      <c r="B542" s="2266">
        <f>IF(IF('1.Description'!$AA$9="english",C542,IF('1.Description'!$AA$9="français",D542,E542))=0,"",IF('1.Description'!$AA$9="english",C542,IF('1.Description'!$AA$9="français",D542,E542)))</f>
        <v/>
      </c>
    </row>
    <row r="543" customFormat="1" s="1068">
      <c r="A543" s="1067" t="inlineStr">
        <is>
          <t>7.Coastal wetlands</t>
        </is>
      </c>
      <c r="B543" s="2266">
        <f>IF(IF('1.Description'!$AA$9="english",C543,IF('1.Description'!$AA$9="français",D543,E543))=0,"",IF('1.Description'!$AA$9="english",C543,IF('1.Description'!$AA$9="français",D543,E543)))</f>
        <v/>
      </c>
      <c r="C543" s="4473" t="inlineStr">
        <is>
          <t>7.1 MANAGEMENT OF COASTAL WETLANDS (mangroves, tidal marsh and seagrass meadow)</t>
        </is>
      </c>
      <c r="D543" s="1067" t="inlineStr">
        <is>
          <t>7.1 GESTION DES ZONES HUMIDES CÔTIÈRES (mangroves, marais littoraux et herbiers marins)</t>
        </is>
      </c>
      <c r="E543" s="1064" t="inlineStr">
        <is>
          <t>7.1. GESTIÓN DE HUMEDALES COSTEROS ( manglares, marismas y praderas marinas)</t>
        </is>
      </c>
      <c r="F543" s="1067" t="n"/>
      <c r="G543" s="1067" t="n"/>
      <c r="H543" s="1067" t="n"/>
      <c r="I543" s="1067" t="n"/>
    </row>
    <row r="544">
      <c r="A544" s="1064" t="inlineStr">
        <is>
          <t>7.Coastal wetlands</t>
        </is>
      </c>
      <c r="B544" s="2266">
        <f>IF(IF('1.Description'!$AA$9="english",C544,IF('1.Description'!$AA$9="français",D544,E544))=0,"",IF('1.Description'!$AA$9="english",C544,IF('1.Description'!$AA$9="français",D544,E544)))</f>
        <v/>
      </c>
      <c r="C544" s="1064" t="inlineStr">
        <is>
          <t>7.1.1. Extraction and excavation (port construction, construction of aquaculture or salt production)</t>
        </is>
      </c>
      <c r="D544" s="1064" t="inlineStr">
        <is>
          <t>7.1.1. Extraction et excavation (construction de port, construction d'aquaculture ou production de sel)</t>
        </is>
      </c>
      <c r="E544" s="1064" t="inlineStr">
        <is>
          <t>7.1.1.  Extracción y excavación (construcción de puertos, acuicultura  o salinas)</t>
        </is>
      </c>
    </row>
    <row r="545">
      <c r="A545" s="1064" t="inlineStr">
        <is>
          <t>7.Coastal wetlands</t>
        </is>
      </c>
      <c r="B545" s="2266">
        <f>IF(IF('1.Description'!$AA$9="english",C545,IF('1.Description'!$AA$9="français",D545,E545))=0,"",IF('1.Description'!$AA$9="english",C545,IF('1.Description'!$AA$9="français",D545,E545)))</f>
        <v/>
      </c>
      <c r="C545" s="1064" t="inlineStr">
        <is>
          <t>% excavated</t>
        </is>
      </c>
      <c r="D545" s="1064" t="inlineStr">
        <is>
          <t>% excavé</t>
        </is>
      </c>
      <c r="E545" s="1064" t="inlineStr">
        <is>
          <t>% excavado</t>
        </is>
      </c>
    </row>
    <row r="546">
      <c r="A546" s="1064" t="inlineStr">
        <is>
          <t>7.Coastal wetlands</t>
        </is>
      </c>
      <c r="B546" s="2266">
        <f>IF(IF('1.Description'!$AA$9="english",C546,IF('1.Description'!$AA$9="français",D546,E546))=0,"",IF('1.Description'!$AA$9="english",C546,IF('1.Description'!$AA$9="français",D546,E546)))</f>
        <v/>
      </c>
      <c r="C546" s="1064" t="inlineStr">
        <is>
          <t>7.1.2 Drainage</t>
        </is>
      </c>
      <c r="D546" s="1064" t="inlineStr">
        <is>
          <t>7.1.2 Drainage</t>
        </is>
      </c>
      <c r="E546" s="1064" t="inlineStr">
        <is>
          <t>7.1.2. Drenaje</t>
        </is>
      </c>
    </row>
    <row r="547">
      <c r="A547" s="1064" t="inlineStr">
        <is>
          <t>7.Coastal wetlands</t>
        </is>
      </c>
      <c r="B547" s="2266">
        <f>IF(IF('1.Description'!$AA$9="english",C547,IF('1.Description'!$AA$9="français",D547,E547))=0,"",IF('1.Description'!$AA$9="english",C547,IF('1.Description'!$AA$9="français",D547,E547)))</f>
        <v/>
      </c>
      <c r="C547" s="1064" t="inlineStr">
        <is>
          <t>Please specify area in the "Extraction and Excavation" module above.</t>
        </is>
      </c>
      <c r="D547" s="1064" t="inlineStr">
        <is>
          <t>Veuillez spécifier la superficie dans le module "Extraction et excavation" ci-dessus.</t>
        </is>
      </c>
      <c r="E547" s="1064" t="inlineStr">
        <is>
          <t xml:space="preserve">Especifique el área en el módulo " Extracción y excavación" arriba </t>
        </is>
      </c>
    </row>
    <row r="548">
      <c r="A548" s="1064" t="inlineStr">
        <is>
          <t>7.Coastal wetlands</t>
        </is>
      </c>
      <c r="B548" s="2266">
        <f>IF(IF('1.Description'!$AA$9="english",C548,IF('1.Description'!$AA$9="français",D548,E548))=0,"",IF('1.Description'!$AA$9="english",C548,IF('1.Description'!$AA$9="français",D548,E548)))</f>
        <v/>
      </c>
      <c r="C548" s="1064" t="inlineStr">
        <is>
          <t>% drained</t>
        </is>
      </c>
      <c r="D548" s="1064" t="inlineStr">
        <is>
          <t>% drainé</t>
        </is>
      </c>
      <c r="E548" s="1064" t="inlineStr">
        <is>
          <t>% drenado</t>
        </is>
      </c>
    </row>
    <row r="549">
      <c r="A549" s="1064" t="inlineStr">
        <is>
          <t>7.Coastal wetlands</t>
        </is>
      </c>
      <c r="B549" s="2266">
        <f>IF(IF('1.Description'!$AA$9="english",C549,IF('1.Description'!$AA$9="français",D549,E549))=0,"",IF('1.Description'!$AA$9="english",C549,IF('1.Description'!$AA$9="français",D549,E549)))</f>
        <v/>
      </c>
      <c r="C549" s="1064" t="inlineStr">
        <is>
          <t>Total for extraction and excavation (tCO2-e)</t>
        </is>
      </c>
      <c r="D549" s="1064" t="inlineStr">
        <is>
          <t>Total pour l'extraction et l'excavation (tCO2-e)</t>
        </is>
      </c>
      <c r="E549" s="1064" t="inlineStr">
        <is>
          <t>Total de la extracción y excavación (tCO2-e)</t>
        </is>
      </c>
    </row>
    <row r="550">
      <c r="A550" s="1064" t="inlineStr">
        <is>
          <t>7.Coastal wetlands</t>
        </is>
      </c>
      <c r="B550" s="2266">
        <f>IF(IF('1.Description'!$AA$9="english",C550,IF('1.Description'!$AA$9="français",D550,E550))=0,"",IF('1.Description'!$AA$9="english",C550,IF('1.Description'!$AA$9="français",D550,E550)))</f>
        <v/>
      </c>
      <c r="C550" s="1064" t="inlineStr">
        <is>
          <t>Total for drainage (tCO2-e)</t>
        </is>
      </c>
      <c r="D550" s="1064" t="inlineStr">
        <is>
          <t>Total pour le drainage (tCO2-e)</t>
        </is>
      </c>
      <c r="E550" s="1064" t="inlineStr">
        <is>
          <t>Total por el drenaje (tCO2-e)</t>
        </is>
      </c>
    </row>
    <row r="551">
      <c r="A551" s="1064" t="inlineStr">
        <is>
          <t>7.Coastal wetlands</t>
        </is>
      </c>
      <c r="B551" s="2266">
        <f>IF(IF('1.Description'!$AA$9="english",C551,IF('1.Description'!$AA$9="français",D551,E551))=0,"",IF('1.Description'!$AA$9="english",C551,IF('1.Description'!$AA$9="français",D551,E551)))</f>
        <v/>
      </c>
      <c r="C551" s="1064" t="inlineStr">
        <is>
          <t>Area rewetted (ha)</t>
        </is>
      </c>
      <c r="D551" s="1064" t="inlineStr">
        <is>
          <t>Superficie remouillée (ha)</t>
        </is>
      </c>
      <c r="E551" s="1064" t="inlineStr">
        <is>
          <t>Superficie rehumectada (ha)</t>
        </is>
      </c>
    </row>
    <row r="552">
      <c r="A552" s="1064" t="inlineStr">
        <is>
          <t>7.Coastal wetlands</t>
        </is>
      </c>
      <c r="B552" s="2266">
        <f>IF(IF('1.Description'!$AA$9="english",C552,IF('1.Description'!$AA$9="français",D552,E552))=0,"",IF('1.Description'!$AA$9="english",C552,IF('1.Description'!$AA$9="français",D552,E552)))</f>
        <v/>
      </c>
      <c r="C552" s="1064" t="inlineStr">
        <is>
          <t>Percentage of nominal biomass restored</t>
        </is>
      </c>
      <c r="D552" s="1064" t="inlineStr">
        <is>
          <t>Pourcentage de la biomasse nominale restaurée</t>
        </is>
      </c>
      <c r="E552" s="1064" t="inlineStr">
        <is>
          <t>Porcentaje de biomasa nominal restaurada</t>
        </is>
      </c>
    </row>
    <row r="553">
      <c r="A553" s="1064" t="inlineStr">
        <is>
          <t>7.Coastal wetlands</t>
        </is>
      </c>
      <c r="B553" s="2266">
        <f>IF(IF('1.Description'!$AA$9="english",C553,IF('1.Description'!$AA$9="français",D553,E553))=0,"",IF('1.Description'!$AA$9="english",C553,IF('1.Description'!$AA$9="français",D553,E553)))</f>
        <v/>
      </c>
      <c r="C553" s="1064" t="inlineStr">
        <is>
          <t>Total for rewetting &amp; revegetation (tCO2-e)</t>
        </is>
      </c>
      <c r="D553" s="1064" t="inlineStr">
        <is>
          <t>Total pour le remouillage et la revégétalisation (tCO2-e)</t>
        </is>
      </c>
      <c r="E553" s="1064" t="inlineStr">
        <is>
          <t>Total para rehumectación y revegetación (tCO2-e)</t>
        </is>
      </c>
    </row>
    <row r="554">
      <c r="A554" s="1064" t="inlineStr">
        <is>
          <t>7.Coastal wetlands</t>
        </is>
      </c>
      <c r="B554" s="2266">
        <f>IF(IF('1.Description'!$AA$9="english",C554,IF('1.Description'!$AA$9="français",D554,E554))=0,"",IF('1.Description'!$AA$9="english",C554,IF('1.Description'!$AA$9="français",D554,E554)))</f>
        <v/>
      </c>
      <c r="C554" s="1064" t="inlineStr">
        <is>
          <t>Type of soil</t>
        </is>
      </c>
      <c r="D554" s="1064" t="inlineStr">
        <is>
          <t>Type de sol</t>
        </is>
      </c>
      <c r="E554" s="1064" t="inlineStr">
        <is>
          <t>Tipo de suelo</t>
        </is>
      </c>
    </row>
    <row r="555">
      <c r="A555" s="1064" t="inlineStr">
        <is>
          <t>7.Coastal wetlands</t>
        </is>
      </c>
      <c r="B555" s="2266">
        <f>IF(IF('1.Description'!$AA$9="english",C555,IF('1.Description'!$AA$9="français",D555,E555))=0,"",IF('1.Description'!$AA$9="english",C555,IF('1.Description'!$AA$9="français",D555,E555)))</f>
        <v/>
      </c>
      <c r="C555" s="1064" t="inlineStr">
        <is>
          <t>Soil (1 m depth)</t>
        </is>
      </c>
      <c r="D555" s="1064" t="inlineStr">
        <is>
          <t>Sol (1 m de profondeur)</t>
        </is>
      </c>
      <c r="E555" s="1064" t="inlineStr">
        <is>
          <t>Suelo (1  m de profundidad)</t>
        </is>
      </c>
    </row>
    <row r="556">
      <c r="A556" s="1064" t="inlineStr">
        <is>
          <t>7.Coastal wetlands</t>
        </is>
      </c>
      <c r="B556" s="2266">
        <f>IF(IF('1.Description'!$AA$9="english",C556,IF('1.Description'!$AA$9="français",D556,E556))=0,"",IF('1.Description'!$AA$9="english",C556,IF('1.Description'!$AA$9="français",D556,E556)))</f>
        <v/>
      </c>
      <c r="C556" s="1064" t="inlineStr">
        <is>
          <t>Tier</t>
        </is>
      </c>
      <c r="D556" s="1064" t="inlineStr">
        <is>
          <t>Tier</t>
        </is>
      </c>
      <c r="E556" s="1064" t="inlineStr">
        <is>
          <t>Tier</t>
        </is>
      </c>
    </row>
    <row r="557">
      <c r="A557" s="1064" t="inlineStr">
        <is>
          <t>7.Coastal wetlands</t>
        </is>
      </c>
      <c r="B557" s="2266">
        <f>IF(IF('1.Description'!$AA$9="english",C557,IF('1.Description'!$AA$9="français",D557,E557))=0,"",IF('1.Description'!$AA$9="english",C557,IF('1.Description'!$AA$9="français",D557,E557)))</f>
        <v/>
      </c>
      <c r="C557" s="1064" t="inlineStr">
        <is>
          <t>% C lost after excavation</t>
        </is>
      </c>
      <c r="D557" s="1064" t="inlineStr">
        <is>
          <t>% C perdu après excavation</t>
        </is>
      </c>
      <c r="E557" s="1064" t="inlineStr">
        <is>
          <t>% C perdido después de la excavación</t>
        </is>
      </c>
    </row>
    <row r="558">
      <c r="A558" s="1064" t="inlineStr">
        <is>
          <t>7.Coastal wetlands</t>
        </is>
      </c>
      <c r="B558" s="2266">
        <f>IF(IF('1.Description'!$AA$9="english",C558,IF('1.Description'!$AA$9="français",D558,E558))=0,"",IF('1.Description'!$AA$9="english",C558,IF('1.Description'!$AA$9="français",D558,E558)))</f>
        <v/>
      </c>
      <c r="C558" s="1064" t="inlineStr">
        <is>
          <t>Total for coastal and marine fisheries (tCO2-e)</t>
        </is>
      </c>
      <c r="D558" s="1064" t="inlineStr">
        <is>
          <t>Total pour la pêche côtière et marine (tCO2-e)</t>
        </is>
      </c>
      <c r="E558" s="1064" t="inlineStr">
        <is>
          <t>Total de la pesca mostera y marina (tCO2-e)</t>
        </is>
      </c>
    </row>
    <row r="559">
      <c r="A559" s="1064" t="inlineStr">
        <is>
          <t>7.Coastal wetlands</t>
        </is>
      </c>
      <c r="B559" s="2266">
        <f>IF(IF('1.Description'!$AA$9="english",C559,IF('1.Description'!$AA$9="français",D559,E559))=0,"",IF('1.Description'!$AA$9="english",C559,IF('1.Description'!$AA$9="français",D559,E559)))</f>
        <v/>
      </c>
      <c r="C559" s="1064" t="inlineStr">
        <is>
          <t>Total for coastal-based aquaculture (tCO2-e)</t>
        </is>
      </c>
      <c r="D559" s="1064" t="inlineStr">
        <is>
          <t>Total pour l'aquaculture côtière (tCO2-e)</t>
        </is>
      </c>
      <c r="E559" s="1064" t="inlineStr">
        <is>
          <t>Total de la acuicultura costera (tCO2-e)</t>
        </is>
      </c>
    </row>
    <row r="560">
      <c r="B560" s="2266">
        <f>IF(IF('1.Description'!$AA$9="english",C560,IF('1.Description'!$AA$9="français",D560,E560))=0,"",IF('1.Description'!$AA$9="english",C560,IF('1.Description'!$AA$9="français",D560,E560)))</f>
        <v/>
      </c>
      <c r="C560" s="1064" t="inlineStr">
        <is>
          <t>7.1.3 Rewetting &amp; revegetation</t>
        </is>
      </c>
      <c r="D560" s="1064" t="inlineStr">
        <is>
          <t>7.1.3 Réhumidification &amp; végétalisation</t>
        </is>
      </c>
      <c r="E560" s="1064" t="inlineStr">
        <is>
          <t>7.1.3 Rehumedecidacion y revegetación</t>
        </is>
      </c>
    </row>
    <row r="561">
      <c r="B561" s="2266">
        <f>IF(IF('1.Description'!$AA$9="english",C561,IF('1.Description'!$AA$9="français",D561,E561))=0,"",IF('1.Description'!$AA$9="english",C561,IF('1.Description'!$AA$9="français",D561,E561)))</f>
        <v/>
      </c>
      <c r="C561" s="1064" t="inlineStr">
        <is>
          <t>7.2 Coastal waterbodies (total area must remain constant)</t>
        </is>
      </c>
      <c r="D561" s="1064" t="inlineStr">
        <is>
          <t>7.2 Plans d'eau côtiers (la superficie totale doit rester constante)</t>
        </is>
      </c>
      <c r="E561" s="1064" t="inlineStr">
        <is>
          <t>7.2 Cuerpos de agua costeros (el área total debe permanecer constante)</t>
        </is>
      </c>
    </row>
    <row r="562">
      <c r="A562" s="1067" t="inlineStr">
        <is>
          <t>Fisheries</t>
        </is>
      </c>
      <c r="B562" s="2266">
        <f>IF(IF('1.Description'!$AA$9="english",C562,IF('1.Description'!$AA$9="français",D562,E562))=0,"",IF('1.Description'!$AA$9="english",C562,IF('1.Description'!$AA$9="français",D562,E562)))</f>
        <v/>
      </c>
      <c r="C562" s="1067" t="n"/>
      <c r="D562" s="1067" t="n"/>
      <c r="E562" s="1064" t="inlineStr">
        <is>
          <t>Pesca</t>
        </is>
      </c>
      <c r="F562" s="1067" t="n"/>
      <c r="G562" s="1067" t="n"/>
      <c r="H562" s="1067" t="n"/>
      <c r="I562" s="1067" t="n"/>
      <c r="J562" s="1067" t="n"/>
    </row>
    <row r="563">
      <c r="B563" s="2266">
        <f>IF(IF('1.Description'!$AA$9="english",C563,IF('1.Description'!$AA$9="français",D563,E563))=0,"",IF('1.Description'!$AA$9="english",C563,IF('1.Description'!$AA$9="français",D563,E563)))</f>
        <v/>
      </c>
      <c r="C563" s="4478" t="inlineStr">
        <is>
          <t>8.1. Small-scale fisheries (marine and inland)</t>
        </is>
      </c>
      <c r="D563" s="4478" t="inlineStr">
        <is>
          <t>8.1. Peche de petite echelle (marine et interieure)</t>
        </is>
      </c>
      <c r="E563" s="1064" t="inlineStr">
        <is>
          <t>8.1 Pesca artesanal (marina e interior)</t>
        </is>
      </c>
    </row>
    <row r="564">
      <c r="B564" s="2266">
        <f>IF(IF('1.Description'!$AA$9="english",C564,IF('1.Description'!$AA$9="français",D564,E564))=0,"",IF('1.Description'!$AA$9="english",C564,IF('1.Description'!$AA$9="français",D564,E564)))</f>
        <v/>
      </c>
      <c r="C564" s="4478" t="inlineStr">
        <is>
          <t>8.2. Large-scale Fisheries (marine fisheries)</t>
        </is>
      </c>
      <c r="D564" s="4478" t="inlineStr">
        <is>
          <t>8.2. Peche de grande echelle (marine)</t>
        </is>
      </c>
      <c r="E564" s="1064" t="inlineStr">
        <is>
          <t>8.2 Pesca industrial (marina)</t>
        </is>
      </c>
    </row>
    <row r="565">
      <c r="B565" s="2266">
        <f>IF(IF('1.Description'!$AA$9="english",C565,IF('1.Description'!$AA$9="français",D565,E565))=0,"",IF('1.Description'!$AA$9="english",C565,IF('1.Description'!$AA$9="français",D565,E565)))</f>
        <v/>
      </c>
      <c r="C565" s="4478" t="inlineStr">
        <is>
          <t>8.3. Inland and coastal aquaculture</t>
        </is>
      </c>
      <c r="D565" s="4478" t="inlineStr">
        <is>
          <t>8.3. Acquaculture interieure et cotière</t>
        </is>
      </c>
      <c r="E565" s="1064" t="inlineStr">
        <is>
          <t>8.3 Acuicultura interior y costera</t>
        </is>
      </c>
    </row>
    <row r="566">
      <c r="B566" s="2266">
        <f>IF(IF('1.Description'!$AA$9="english",C566,IF('1.Description'!$AA$9="français",D566,E566))=0,"",IF('1.Description'!$AA$9="english",C566,IF('1.Description'!$AA$9="français",D566,E566)))</f>
        <v/>
      </c>
      <c r="C566" s="4478" t="inlineStr">
        <is>
          <t>Inputs &amp; Investments module can be used to complement this section</t>
        </is>
      </c>
      <c r="D566" s="4478" t="inlineStr">
        <is>
          <t>Le module "9.Intrants et investissements" peut etre utilisé pour compléter cette section</t>
        </is>
      </c>
      <c r="E566" s="1064" t="inlineStr">
        <is>
          <t xml:space="preserve">El módulo 9. Insumos e inversiones puede usarse para complementar esta sección </t>
        </is>
      </c>
    </row>
    <row r="567">
      <c r="B567" s="2266">
        <f>IF(IF('1.Description'!$AA$9="english",C567,IF('1.Description'!$AA$9="français",D567,E567))=0,"",IF('1.Description'!$AA$9="english",C567,IF('1.Description'!$AA$9="français",D567,E567)))</f>
        <v/>
      </c>
      <c r="C567" s="4478" t="inlineStr">
        <is>
          <t>Fishing operations (based on fuel use intensity, FUI, values)</t>
        </is>
      </c>
      <c r="D567" s="4478" t="inlineStr">
        <is>
          <t>Operation de peche (basée sur les valeurs d'intensité d'utilisation de carburant (FUI))</t>
        </is>
      </c>
      <c r="E567" s="1064" t="inlineStr">
        <is>
          <t>Operaciones pesqueras (basadas en los valores de la intensidad de uso de combustible (FUI))</t>
        </is>
      </c>
    </row>
    <row r="568">
      <c r="B568" s="2266">
        <f>IF(IF('1.Description'!$AA$9="english",C568,IF('1.Description'!$AA$9="français",D568,E568))=0,"",IF('1.Description'!$AA$9="english",C568,IF('1.Description'!$AA$9="français",D568,E568)))</f>
        <v/>
      </c>
      <c r="C568" s="4478" t="inlineStr">
        <is>
          <t>Type of fishery</t>
        </is>
      </c>
      <c r="D568" s="4478" t="inlineStr">
        <is>
          <t>Type de peche</t>
        </is>
      </c>
      <c r="E568" s="1064" t="inlineStr">
        <is>
          <t>Tipo de pesca</t>
        </is>
      </c>
    </row>
    <row r="569">
      <c r="B569" s="2266">
        <f>IF(IF('1.Description'!$AA$9="english",C569,IF('1.Description'!$AA$9="français",D569,E569))=0,"",IF('1.Description'!$AA$9="english",C569,IF('1.Description'!$AA$9="français",D569,E569)))</f>
        <v/>
      </c>
      <c r="C569" s="4478" t="inlineStr">
        <is>
          <t>Gear Category</t>
        </is>
      </c>
      <c r="D569" s="4478" t="inlineStr">
        <is>
          <t>Catégorie d'équipement</t>
        </is>
      </c>
      <c r="E569" s="1064" t="inlineStr">
        <is>
          <t>Categoría de arte de pesca</t>
        </is>
      </c>
    </row>
    <row r="570">
      <c r="B570" s="2266">
        <f>IF(IF('1.Description'!$AA$9="english",C570,IF('1.Description'!$AA$9="français",D570,E570))=0,"",IF('1.Description'!$AA$9="english",C570,IF('1.Description'!$AA$9="français",D570,E570)))</f>
        <v/>
      </c>
      <c r="C570" s="4478" t="inlineStr">
        <is>
          <t>% with refrigerant systems</t>
        </is>
      </c>
      <c r="D570" s="4478" t="inlineStr">
        <is>
          <t xml:space="preserve">% avec systèmes réfrigérants </t>
        </is>
      </c>
      <c r="E570" s="1064" t="inlineStr">
        <is>
          <t>% con sistemas de refrigeración</t>
        </is>
      </c>
    </row>
    <row r="571">
      <c r="B571" s="2266">
        <f>IF(IF('1.Description'!$AA$9="english",C571,IF('1.Description'!$AA$9="français",D571,E571))=0,"",IF('1.Description'!$AA$9="english",C571,IF('1.Description'!$AA$9="français",D571,E571)))</f>
        <v/>
      </c>
      <c r="C571" s="4478" t="inlineStr">
        <is>
          <t>Changes in FUI management (litre/tonne)</t>
        </is>
      </c>
      <c r="D571" s="4478" t="inlineStr">
        <is>
          <t>Changement dans la gestion du FUI (litre/tonne)</t>
        </is>
      </c>
      <c r="E571" s="1064" t="inlineStr">
        <is>
          <t>Cambios en la gestión de la FUI (litro/tonelada)</t>
        </is>
      </c>
    </row>
    <row r="572">
      <c r="B572" s="2266">
        <f>IF(IF('1.Description'!$AA$9="english",C572,IF('1.Description'!$AA$9="français",D572,E572))=0,"",IF('1.Description'!$AA$9="english",C572,IF('1.Description'!$AA$9="français",D572,E572)))</f>
        <v/>
      </c>
      <c r="C572" s="4478" t="inlineStr">
        <is>
          <t>Total catch per year (tonne/year)</t>
        </is>
      </c>
      <c r="D572" s="4478" t="inlineStr">
        <is>
          <t>Total capture par an (tonne/an)</t>
        </is>
      </c>
      <c r="E572" s="1064" t="inlineStr">
        <is>
          <t>Capturas totales por año (tonelada/año)</t>
        </is>
      </c>
    </row>
    <row r="573">
      <c r="B573" s="2266">
        <f>IF(IF('1.Description'!$AA$9="english",C573,IF('1.Description'!$AA$9="français",D573,E573))=0,"",IF('1.Description'!$AA$9="english",C573,IF('1.Description'!$AA$9="français",D573,E573)))</f>
        <v/>
      </c>
      <c r="C573" s="4478" t="inlineStr">
        <is>
          <t xml:space="preserve">FUI is the amount of fuel needed to land </t>
        </is>
      </c>
      <c r="D573" s="4478" t="inlineStr">
        <is>
          <t>FUI est la quantité de carburant nécessaire pour</t>
        </is>
      </c>
      <c r="E573" s="1064" t="inlineStr">
        <is>
          <t xml:space="preserve">La FUI es la cantidad de carburante necesario para  </t>
        </is>
      </c>
    </row>
    <row r="574">
      <c r="B574" s="2266">
        <f>IF(IF('1.Description'!$AA$9="english",C574,IF('1.Description'!$AA$9="français",D574,E574))=0,"",IF('1.Description'!$AA$9="english",C574,IF('1.Description'!$AA$9="français",D574,E574)))</f>
        <v/>
      </c>
      <c r="C574" s="4478" t="inlineStr">
        <is>
          <t>1 tonne of catch</t>
        </is>
      </c>
      <c r="D574" s="4478" t="inlineStr">
        <is>
          <t>rapatrier 1 tonne de capture</t>
        </is>
      </c>
      <c r="E574" s="1064" t="inlineStr">
        <is>
          <t>desembarcar 1 tonelada de captura</t>
        </is>
      </c>
    </row>
    <row r="575">
      <c r="B575" s="2266">
        <f>IF(IF('1.Description'!$AA$9="english",C575,IF('1.Description'!$AA$9="français",D575,E575))=0,"",IF('1.Description'!$AA$9="english",C575,IF('1.Description'!$AA$9="français",D575,E575)))</f>
        <v/>
      </c>
      <c r="C575" s="4478" t="inlineStr">
        <is>
          <t>On-board leakage from refrigeration systems</t>
        </is>
      </c>
      <c r="D575" s="4478" t="inlineStr">
        <is>
          <t>Fuite à bord des systèmes réfrigérants</t>
        </is>
      </c>
      <c r="E575" s="1064" t="inlineStr">
        <is>
          <t>Fugas a bordo de los sistemas de refrigeración</t>
        </is>
      </c>
    </row>
    <row r="576">
      <c r="B576" s="2266">
        <f>IF(IF('1.Description'!$AA$9="english",C576,IF('1.Description'!$AA$9="français",D576,E576))=0,"",IF('1.Description'!$AA$9="english",C576,IF('1.Description'!$AA$9="français",D576,E576)))</f>
        <v/>
      </c>
      <c r="C576" s="4478" t="inlineStr">
        <is>
          <t xml:space="preserve">Total catch with refrigerant systems </t>
        </is>
      </c>
      <c r="D576" s="4478" t="inlineStr">
        <is>
          <t>Total capture avec systèmes réfrigérants</t>
        </is>
      </c>
      <c r="E576" s="1064" t="inlineStr">
        <is>
          <t>Capturas totales con sistemas de refrigeración</t>
        </is>
      </c>
    </row>
    <row r="577">
      <c r="B577" s="2266">
        <f>IF(IF('1.Description'!$AA$9="english",C577,IF('1.Description'!$AA$9="français",D577,E577))=0,"",IF('1.Description'!$AA$9="english",C577,IF('1.Description'!$AA$9="français",D577,E577)))</f>
        <v/>
      </c>
      <c r="C577" s="4478" t="inlineStr">
        <is>
          <t>Emissions from production of ice produced inshore</t>
        </is>
      </c>
      <c r="D577" s="4478" t="inlineStr">
        <is>
          <t>Emissions de la production de glace à terre</t>
        </is>
      </c>
      <c r="E577" s="1064" t="inlineStr">
        <is>
          <t>Emisiones de la producción de hielo en tierra</t>
        </is>
      </c>
    </row>
    <row r="578">
      <c r="B578" s="2266">
        <f>IF(IF('1.Description'!$AA$9="english",C578,IF('1.Description'!$AA$9="français",D578,E578))=0,"",IF('1.Description'!$AA$9="english",C578,IF('1.Description'!$AA$9="français",D578,E578)))</f>
        <v/>
      </c>
      <c r="C578" s="4478" t="inlineStr">
        <is>
          <t>% of Total catch preserved by ice produced inshore</t>
        </is>
      </c>
      <c r="D578" s="4478" t="inlineStr">
        <is>
          <t>% de capture totale préservée par glace produite à terre</t>
        </is>
      </c>
      <c r="E578" s="1064" t="inlineStr">
        <is>
          <t>% de las capturas totales preservadas con hielo producido en tierra</t>
        </is>
      </c>
    </row>
    <row r="579">
      <c r="B579" s="2266">
        <f>IF(IF('1.Description'!$AA$9="english",C579,IF('1.Description'!$AA$9="français",D579,E579))=0,"",IF('1.Description'!$AA$9="english",C579,IF('1.Description'!$AA$9="français",D579,E579)))</f>
        <v/>
      </c>
      <c r="C579" s="4478" t="inlineStr">
        <is>
          <t>Total artisanal and coastal catch</t>
        </is>
      </c>
      <c r="D579" s="4478" t="inlineStr">
        <is>
          <t>Total caputre artisanale et cotière</t>
        </is>
      </c>
      <c r="E579" s="1064" t="inlineStr">
        <is>
          <t>Total de capturas artesanales y costeras</t>
        </is>
      </c>
    </row>
    <row r="580">
      <c r="B580" s="2266">
        <f>IF(IF('1.Description'!$AA$9="english",C580,IF('1.Description'!$AA$9="français",D580,E580))=0,"",IF('1.Description'!$AA$9="english",C580,IF('1.Description'!$AA$9="français",D580,E580)))</f>
        <v/>
      </c>
      <c r="C580" s="4478" t="inlineStr">
        <is>
          <t>Total for small scale fisheries (tCO2-e)</t>
        </is>
      </c>
      <c r="D580" s="4478" t="inlineStr">
        <is>
          <t>Total peche de petite echelle (tCO2-e)</t>
        </is>
      </c>
      <c r="E580" s="1064" t="inlineStr">
        <is>
          <t>Total para pesca artesanal (tCO2-e)</t>
        </is>
      </c>
    </row>
    <row r="581">
      <c r="B581" s="2266">
        <f>IF(IF('1.Description'!$AA$9="english",C581,IF('1.Description'!$AA$9="français",D581,E581))=0,"",IF('1.Description'!$AA$9="english",C581,IF('1.Description'!$AA$9="français",D581,E581)))</f>
        <v/>
      </c>
      <c r="C581" s="4478" t="inlineStr">
        <is>
          <t>Refrigerant GWP</t>
        </is>
      </c>
      <c r="D581" s="4478" t="inlineStr">
        <is>
          <t>Refrigerants PRG</t>
        </is>
      </c>
      <c r="E581" s="1064" t="inlineStr">
        <is>
          <t>PCB de los refrigerantes</t>
        </is>
      </c>
    </row>
    <row r="582">
      <c r="B582" s="2266">
        <f>IF(IF('1.Description'!$AA$9="english",C582,IF('1.Description'!$AA$9="français",D582,E582))=0,"",IF('1.Description'!$AA$9="english",C582,IF('1.Description'!$AA$9="français",D582,E582)))</f>
        <v/>
      </c>
      <c r="C582" s="4478" t="n"/>
      <c r="D582" s="4478" t="n"/>
    </row>
    <row r="583">
      <c r="B583" s="2266">
        <f>IF(IF('1.Description'!$AA$9="english",C583,IF('1.Description'!$AA$9="français",D583,E583))=0,"",IF('1.Description'!$AA$9="english",C583,IF('1.Description'!$AA$9="français",D583,E583)))</f>
        <v/>
      </c>
      <c r="C583" s="4478" t="inlineStr">
        <is>
          <t>Fish category</t>
        </is>
      </c>
      <c r="D583" s="4478" t="inlineStr">
        <is>
          <t>Categorie de poisson</t>
        </is>
      </c>
      <c r="E583" s="1064" t="inlineStr">
        <is>
          <t>Categoria de pescado</t>
        </is>
      </c>
    </row>
    <row r="584">
      <c r="B584" s="2266">
        <f>IF(IF('1.Description'!$AA$9="english",C584,IF('1.Description'!$AA$9="français",D584,E584))=0,"",IF('1.Description'!$AA$9="english",C584,IF('1.Description'!$AA$9="français",D584,E584)))</f>
        <v/>
      </c>
      <c r="C584" s="4478" t="inlineStr">
        <is>
          <t>Total coastal catch</t>
        </is>
      </c>
      <c r="D584" s="4478" t="inlineStr">
        <is>
          <t>Total capture cotière</t>
        </is>
      </c>
      <c r="E584" s="1064" t="inlineStr">
        <is>
          <t>Total de capturas costeras</t>
        </is>
      </c>
    </row>
    <row r="585">
      <c r="B585" s="2266">
        <f>IF(IF('1.Description'!$AA$9="english",C585,IF('1.Description'!$AA$9="français",D585,E585))=0,"",IF('1.Description'!$AA$9="english",C585,IF('1.Description'!$AA$9="français",D585,E585)))</f>
        <v/>
      </c>
      <c r="C585" s="4478" t="inlineStr">
        <is>
          <t>Total for large scale fisheries (tCO2-e)</t>
        </is>
      </c>
      <c r="D585" s="4478" t="inlineStr">
        <is>
          <t>Total peche de grande echelle (tCO2-e)</t>
        </is>
      </c>
      <c r="E585" s="1064" t="inlineStr">
        <is>
          <t>Total para pesca industrial (tCO2-e)</t>
        </is>
      </c>
    </row>
    <row r="586">
      <c r="B586" s="2266">
        <f>IF(IF('1.Description'!$AA$9="english",C586,IF('1.Description'!$AA$9="français",D586,E586))=0,"",IF('1.Description'!$AA$9="english",C586,IF('1.Description'!$AA$9="français",D586,E586)))</f>
        <v/>
      </c>
      <c r="C586" s="4478" t="inlineStr">
        <is>
          <t>Emissions from production and feed</t>
        </is>
      </c>
      <c r="D586" s="4478" t="inlineStr">
        <is>
          <t>Emissions de production et d'aliments</t>
        </is>
      </c>
      <c r="E586" s="1064" t="inlineStr">
        <is>
          <t xml:space="preserve">Emisiones de la producción y alimentos </t>
        </is>
      </c>
    </row>
    <row r="587">
      <c r="B587" s="2266">
        <f>IF(IF('1.Description'!$AA$9="english",C587,IF('1.Description'!$AA$9="français",D587,E587))=0,"",IF('1.Description'!$AA$9="english",C587,IF('1.Description'!$AA$9="français",D587,E587)))</f>
        <v/>
      </c>
      <c r="C587" s="4478" t="inlineStr">
        <is>
          <t>Annual quantity of feed (tonne/year)</t>
        </is>
      </c>
      <c r="D587" s="4478" t="inlineStr">
        <is>
          <t>Quantité annuelle d'aliments (tonne/an)</t>
        </is>
      </c>
      <c r="E587" s="1064" t="inlineStr">
        <is>
          <t>Cantidad anual de alimento (toneladas/año)</t>
        </is>
      </c>
    </row>
    <row r="588">
      <c r="B588" s="2266">
        <f>IF(IF('1.Description'!$AA$9="english",C588,IF('1.Description'!$AA$9="français",D588,E588))=0,"",IF('1.Description'!$AA$9="english",C588,IF('1.Description'!$AA$9="français",D588,E588)))</f>
        <v/>
      </c>
      <c r="C588" s="4478" t="inlineStr">
        <is>
          <t>Annual production (tonne/year)</t>
        </is>
      </c>
      <c r="D588" s="4478" t="inlineStr">
        <is>
          <t>Production annuelle (tonne/an)</t>
        </is>
      </c>
      <c r="E588" s="1064" t="inlineStr">
        <is>
          <t>Producción anual (toneladas/año)</t>
        </is>
      </c>
    </row>
    <row r="589">
      <c r="B589" s="2266">
        <f>IF(IF('1.Description'!$AA$9="english",C589,IF('1.Description'!$AA$9="français",D589,E589))=0,"",IF('1.Description'!$AA$9="english",C589,IF('1.Description'!$AA$9="français",D589,E589)))</f>
        <v/>
      </c>
      <c r="C589" s="4478" t="inlineStr">
        <is>
          <t>Emission factor (tCO2-e/m3)</t>
        </is>
      </c>
      <c r="D589" s="4478" t="inlineStr">
        <is>
          <t>Facteur d'émission (tCO2-e/m3)</t>
        </is>
      </c>
      <c r="E589" s="1064" t="inlineStr">
        <is>
          <t>Facotr de emisión (tCO2-e/m3)</t>
        </is>
      </c>
    </row>
    <row r="590">
      <c r="B590" s="2266">
        <f>IF(IF('1.Description'!$AA$9="english",C590,IF('1.Description'!$AA$9="français",D590,E590))=0,"",IF('1.Description'!$AA$9="english",C590,IF('1.Description'!$AA$9="français",D590,E590)))</f>
        <v/>
      </c>
      <c r="C590" s="4478" t="inlineStr">
        <is>
          <t>Emission factor (tCO2eq/t catch)</t>
        </is>
      </c>
      <c r="D590" s="4478" t="inlineStr">
        <is>
          <t>Facteur d'émission (tCO2eq/t capture)</t>
        </is>
      </c>
      <c r="E590" s="1064" t="inlineStr">
        <is>
          <t>Factor de emisión (tCO2-e/tonelada de captura)</t>
        </is>
      </c>
    </row>
    <row r="591">
      <c r="B591" s="2266">
        <f>IF(IF('1.Description'!$AA$9="english",C591,IF('1.Description'!$AA$9="français",D591,E591))=0,"",IF('1.Description'!$AA$9="english",C591,IF('1.Description'!$AA$9="français",D591,E591)))</f>
        <v/>
      </c>
      <c r="C591" s="4478" t="inlineStr">
        <is>
          <t>On-board leakage from refrigeration systems</t>
        </is>
      </c>
      <c r="D591" s="4478" t="inlineStr">
        <is>
          <t>Fuite à bord de syst1emes réfrigérants</t>
        </is>
      </c>
      <c r="E591" s="1064" t="inlineStr">
        <is>
          <t>Fugas a bordo de los sistemas de refrigeración</t>
        </is>
      </c>
    </row>
    <row r="592" ht="13.25" customHeight="1">
      <c r="B592" s="2266">
        <f>IF(IF('1.Description'!$AA$9="english",C592,IF('1.Description'!$AA$9="français",D592,E592))=0,"",IF('1.Description'!$AA$9="english",C592,IF('1.Description'!$AA$9="français",D592,E592)))</f>
        <v/>
      </c>
      <c r="C592" s="4478" t="inlineStr">
        <is>
          <t>Refrigerant lost per tonne of landed catch</t>
        </is>
      </c>
      <c r="D592" s="4478" t="inlineStr">
        <is>
          <t>Refrigerant perdu par tonne de capture rapatriée</t>
        </is>
      </c>
      <c r="E592" s="1064" t="inlineStr">
        <is>
          <t>Refrigerante perdido por tonelada de captura desembarcada</t>
        </is>
      </c>
    </row>
    <row r="593" ht="13.25" customHeight="1">
      <c r="B593" s="2266">
        <f>IF(IF('1.Description'!$AA$9="english",C593,IF('1.Description'!$AA$9="français",D593,E593))=0,"",IF('1.Description'!$AA$9="english",C593,IF('1.Description'!$AA$9="français",D593,E593)))</f>
        <v/>
      </c>
      <c r="C593" s="4478" t="inlineStr">
        <is>
          <t>Quantity lost (kg refrigerant)</t>
        </is>
      </c>
      <c r="D593" s="4478" t="inlineStr">
        <is>
          <t>Quantité perdue (kg de refrigerant)</t>
        </is>
      </c>
      <c r="E593" s="1064" t="inlineStr">
        <is>
          <t>Cantidad perdida (kg de refrigerante)</t>
        </is>
      </c>
    </row>
    <row r="594">
      <c r="B594" s="2266">
        <f>IF(IF('1.Description'!$AA$9="english",C594,IF('1.Description'!$AA$9="français",D594,E594))=0,"",IF('1.Description'!$AA$9="english",C594,IF('1.Description'!$AA$9="français",D594,E594)))</f>
        <v/>
      </c>
      <c r="C594" s="4478" t="inlineStr">
        <is>
          <t>GWP of refrigerant</t>
        </is>
      </c>
      <c r="D594" s="4478" t="inlineStr">
        <is>
          <t>PRG de refrigerant</t>
        </is>
      </c>
      <c r="E594" s="1064" t="inlineStr">
        <is>
          <t>Potencial de calentamiento global de los refrigerantes</t>
        </is>
      </c>
    </row>
    <row r="595">
      <c r="B595" s="2266">
        <f>IF(IF('1.Description'!$AA$9="english",C595,IF('1.Description'!$AA$9="français",D595,E595))=0,"",IF('1.Description'!$AA$9="english",C595,IF('1.Description'!$AA$9="français",D595,E595)))</f>
        <v/>
      </c>
      <c r="C595" s="4478" t="inlineStr">
        <is>
          <t>Emission factor</t>
        </is>
      </c>
      <c r="D595" s="4478" t="inlineStr">
        <is>
          <t>Facteur d'émission</t>
        </is>
      </c>
      <c r="E595" s="1064" t="inlineStr">
        <is>
          <t>Factor de emisión</t>
        </is>
      </c>
    </row>
    <row r="596">
      <c r="B596" s="2266">
        <f>IF(IF('1.Description'!$AA$9="english",C596,IF('1.Description'!$AA$9="français",D596,E596))=0,"",IF('1.Description'!$AA$9="english",C596,IF('1.Description'!$AA$9="français",D596,E596)))</f>
        <v/>
      </c>
      <c r="C596" s="4478" t="inlineStr">
        <is>
          <t>tCO2-e/t catch</t>
        </is>
      </c>
      <c r="D596" s="4478" t="inlineStr">
        <is>
          <t>tCO2-e/t capture</t>
        </is>
      </c>
      <c r="E596" s="1064" t="inlineStr">
        <is>
          <t>tCO2-e/ tonelada de captura</t>
        </is>
      </c>
    </row>
    <row r="597">
      <c r="B597" s="2266">
        <f>IF(IF('1.Description'!$AA$9="english",C597,IF('1.Description'!$AA$9="français",D597,E597))=0,"",IF('1.Description'!$AA$9="english",C597,IF('1.Description'!$AA$9="français",D597,E597)))</f>
        <v/>
      </c>
      <c r="C597" s="4478" t="inlineStr">
        <is>
          <t>Quantity (kWh/t ice)</t>
        </is>
      </c>
      <c r="D597" s="4478" t="inlineStr">
        <is>
          <t>Quantité (kWh/t glace)</t>
        </is>
      </c>
      <c r="E597" s="1064" t="inlineStr">
        <is>
          <t>Cantidad  (KWh/ tonelada hielo)</t>
        </is>
      </c>
    </row>
    <row r="598">
      <c r="B598" s="2266">
        <f>IF(IF('1.Description'!$AA$9="english",C598,IF('1.Description'!$AA$9="français",D598,E598))=0,"",IF('1.Description'!$AA$9="english",C598,IF('1.Description'!$AA$9="français",D598,E598)))</f>
        <v/>
      </c>
      <c r="C598" s="4478" t="inlineStr">
        <is>
          <t>Total fuel consumption (m3/year)</t>
        </is>
      </c>
      <c r="D598" s="4478" t="inlineStr">
        <is>
          <t>Total consommation carburant (m3/an)</t>
        </is>
      </c>
      <c r="E598" s="1064" t="inlineStr">
        <is>
          <t>Consumo total de combustible (m3/año)</t>
        </is>
      </c>
    </row>
    <row r="599">
      <c r="B599" s="2266">
        <f>IF(IF('1.Description'!$AA$9="english",C599,IF('1.Description'!$AA$9="français",D599,E599))=0,"",IF('1.Description'!$AA$9="english",C599,IF('1.Description'!$AA$9="français",D599,E599)))</f>
        <v/>
      </c>
      <c r="C599" s="4478" t="inlineStr">
        <is>
          <t>Quantity (tonne)</t>
        </is>
      </c>
      <c r="D599" s="4478" t="inlineStr">
        <is>
          <t>Quantité (tonne)</t>
        </is>
      </c>
      <c r="E599" s="1064" t="inlineStr">
        <is>
          <t>Cantidad (tonelada)</t>
        </is>
      </c>
    </row>
    <row r="600">
      <c r="B600" s="2266">
        <f>IF(IF('1.Description'!$AA$9="english",C600,IF('1.Description'!$AA$9="français",D600,E600))=0,"",IF('1.Description'!$AA$9="english",C600,IF('1.Description'!$AA$9="français",D600,E600)))</f>
        <v/>
      </c>
      <c r="C600" s="4478" t="inlineStr">
        <is>
          <t>Quantity of ice (tonne) per tonne of catch</t>
        </is>
      </c>
      <c r="D600" s="4478" t="inlineStr">
        <is>
          <t>Quantité de glace (tonne) par tonne de capture</t>
        </is>
      </c>
      <c r="E600" s="1064" t="inlineStr">
        <is>
          <t>Cantidad de hielo (tonelada) por tonelada de captura</t>
        </is>
      </c>
    </row>
    <row r="601">
      <c r="B601" s="2266">
        <f>IF(IF('1.Description'!$AA$9="english",C601,IF('1.Description'!$AA$9="français",D601,E601))=0,"",IF('1.Description'!$AA$9="english",C601,IF('1.Description'!$AA$9="français",D601,E601)))</f>
        <v/>
      </c>
      <c r="C601" s="4478" t="inlineStr">
        <is>
          <t xml:space="preserve">Electricity (kWh) used per tonne of ice </t>
        </is>
      </c>
      <c r="D601" s="4478" t="inlineStr">
        <is>
          <t>Electricité (kWh) utilisée par tonne de glace</t>
        </is>
      </c>
      <c r="E601" s="1064" t="inlineStr">
        <is>
          <t>Electricidad (KWh) usado por tonelada de hielo</t>
        </is>
      </c>
    </row>
    <row r="602">
      <c r="B602" s="2266">
        <f>IF(IF('1.Description'!$AA$9="english",C602,IF('1.Description'!$AA$9="français",D602,E602))=0,"",IF('1.Description'!$AA$9="english",C602,IF('1.Description'!$AA$9="français",D602,E602)))</f>
        <v/>
      </c>
      <c r="C602" s="4478" t="inlineStr">
        <is>
          <t>Country of origin of ice production</t>
        </is>
      </c>
      <c r="D602" s="4478" t="inlineStr">
        <is>
          <t>Pays d'origine de prodution de glace</t>
        </is>
      </c>
      <c r="E602" s="1064" t="inlineStr">
        <is>
          <t>País de origen de la producción de hielo</t>
        </is>
      </c>
    </row>
    <row r="603" customFormat="1" s="4476">
      <c r="A603" s="4475" t="n"/>
      <c r="B603" s="2266">
        <f>IF(IF('1.Description'!$AA$9="english",C603,IF('1.Description'!$AA$9="français",D603,E603))=0,"",IF('1.Description'!$AA$9="english",C603,IF('1.Description'!$AA$9="français",D603,E603)))</f>
        <v/>
      </c>
      <c r="C603" s="4478" t="inlineStr">
        <is>
          <t>UNFCCC operating margin</t>
        </is>
      </c>
      <c r="D603" s="4478" t="inlineStr">
        <is>
          <t>CNUCC marge d'opération</t>
        </is>
      </c>
      <c r="E603" s="1064" t="inlineStr">
        <is>
          <t>CMNUCC margen de operación</t>
        </is>
      </c>
      <c r="F603" s="4475" t="n"/>
      <c r="G603" s="4475" t="n"/>
      <c r="H603" s="4475" t="n"/>
      <c r="I603" s="4475" t="n"/>
    </row>
    <row r="604">
      <c r="B604" s="2266">
        <f>IF(IF('1.Description'!$AA$9="english",C604,IF('1.Description'!$AA$9="français",D604,E604))=0,"",IF('1.Description'!$AA$9="english",C604,IF('1.Description'!$AA$9="français",D604,E604)))</f>
        <v/>
      </c>
      <c r="C604" s="4478" t="inlineStr">
        <is>
          <t>Gasoil/Diesel</t>
        </is>
      </c>
      <c r="D604" s="4478" t="inlineStr">
        <is>
          <t>Gasoil/Diesel</t>
        </is>
      </c>
      <c r="E604" s="1064" t="inlineStr">
        <is>
          <t>Gasoil / diesel</t>
        </is>
      </c>
    </row>
    <row r="605">
      <c r="B605" s="2266">
        <f>IF(IF('1.Description'!$AA$9="english",C605,IF('1.Description'!$AA$9="français",D605,E605))=0,"",IF('1.Description'!$AA$9="english",C605,IF('1.Description'!$AA$9="français",D605,E605)))</f>
        <v/>
      </c>
      <c r="C605" s="4478" t="inlineStr">
        <is>
          <t>Emissions from feed use</t>
        </is>
      </c>
      <c r="D605" s="4478" t="inlineStr">
        <is>
          <t>Emissions d'utilisation d'aliments</t>
        </is>
      </c>
      <c r="E605" s="1064" t="inlineStr">
        <is>
          <t>Emisiones del uso de alimento</t>
        </is>
      </c>
    </row>
    <row r="606">
      <c r="B606" s="2266">
        <f>IF(IF('1.Description'!$AA$9="english",C606,IF('1.Description'!$AA$9="français",D606,E606))=0,"",IF('1.Description'!$AA$9="english",C606,IF('1.Description'!$AA$9="français",D606,E606)))</f>
        <v/>
      </c>
      <c r="C606" s="4478" t="inlineStr">
        <is>
          <t>(tCO2-e/t feed)</t>
        </is>
      </c>
      <c r="D606" s="4478" t="inlineStr">
        <is>
          <t>(tCO2-e/t aliment)</t>
        </is>
      </c>
      <c r="E606" s="1064" t="inlineStr">
        <is>
          <t>(tCO2-e/ toneladas de alimentos)</t>
        </is>
      </c>
    </row>
    <row r="607">
      <c r="B607" s="2266">
        <f>IF(IF('1.Description'!$AA$9="english",C607,IF('1.Description'!$AA$9="français",D607,E607))=0,"",IF('1.Description'!$AA$9="english",C607,IF('1.Description'!$AA$9="français",D607,E607)))</f>
        <v/>
      </c>
      <c r="C607" s="4478" t="inlineStr">
        <is>
          <t>N2O EF from fish production</t>
        </is>
      </c>
      <c r="D607" s="4478" t="inlineStr">
        <is>
          <t>N2O FE de production de poisson</t>
        </is>
      </c>
      <c r="E607" s="1064" t="inlineStr">
        <is>
          <t>N2O FE de la producción de pescado</t>
        </is>
      </c>
    </row>
    <row r="608">
      <c r="B608" s="2266">
        <f>IF(IF('1.Description'!$AA$9="english",C608,IF('1.Description'!$AA$9="français",D608,E608))=0,"",IF('1.Description'!$AA$9="english",C608,IF('1.Description'!$AA$9="français",D608,E608)))</f>
        <v/>
      </c>
      <c r="C608" s="4478" t="inlineStr">
        <is>
          <t>(t N2O-N/t production)</t>
        </is>
      </c>
      <c r="D608" s="4478" t="inlineStr">
        <is>
          <t>(t N2O-N/t production)</t>
        </is>
      </c>
      <c r="E608" s="1064" t="inlineStr">
        <is>
          <t>(tN2O-N/ tonelada producción)</t>
        </is>
      </c>
    </row>
    <row r="609">
      <c r="A609" s="4477" t="inlineStr">
        <is>
          <t>5. Management</t>
        </is>
      </c>
      <c r="B609" s="2266">
        <f>IF(IF('1.Description'!$AA$9="english",C609,IF('1.Description'!$AA$9="français",D609,E609))=0,"",IF('1.Description'!$AA$9="english",C609,IF('1.Description'!$AA$9="français",D609,E609)))</f>
        <v/>
      </c>
      <c r="C609" s="4477" t="inlineStr">
        <is>
          <t>Total forest degradation and management (tCO2-e)</t>
        </is>
      </c>
      <c r="D609" s="4477" t="inlineStr">
        <is>
          <t>Dégradation et gestion totales des forêts (tCO2-e)</t>
        </is>
      </c>
      <c r="E609" s="1064" t="inlineStr">
        <is>
          <t>Total de la gestión y degradación forestal (tCO2e)</t>
        </is>
      </c>
    </row>
    <row r="610">
      <c r="A610" s="1064" t="inlineStr">
        <is>
          <t>5. Management</t>
        </is>
      </c>
      <c r="B610" s="2266">
        <f>IF(IF('1.Description'!$AA$9="english",C610,IF('1.Description'!$AA$9="français",D610,E610))=0,"",IF('1.Description'!$AA$9="english",C610,IF('1.Description'!$AA$9="français",D610,E610)))</f>
        <v/>
      </c>
      <c r="C610" s="1064" t="inlineStr">
        <is>
          <t>Carbon pools of non-degraded forest (all values are in tC/ha)</t>
        </is>
      </c>
      <c r="D610" s="1064" t="inlineStr">
        <is>
          <t>Réservoirs de carbone des forêts non dégradées (toutes les valeurs sont en tC/ha)</t>
        </is>
      </c>
      <c r="E610" s="1064" t="inlineStr">
        <is>
          <t>Depósitos de carbono de bosques no degradados ( todos los valores están en tC/ha)</t>
        </is>
      </c>
    </row>
    <row r="611">
      <c r="A611" s="1064" t="inlineStr">
        <is>
          <t>5. Management</t>
        </is>
      </c>
      <c r="B611" s="2266">
        <f>IF(IF('1.Description'!$AA$9="english",C611,IF('1.Description'!$AA$9="français",D611,E611))=0,"",IF('1.Description'!$AA$9="english",C611,IF('1.Description'!$AA$9="français",D611,E611)))</f>
        <v/>
      </c>
      <c r="C611" s="1064" t="inlineStr">
        <is>
          <t>Soil management and degradation</t>
        </is>
      </c>
      <c r="D611" s="1064" t="inlineStr">
        <is>
          <t>Gestion et dégradation des sols</t>
        </is>
      </c>
      <c r="E611" s="1064" t="inlineStr">
        <is>
          <t xml:space="preserve">Gestión y degradación de suelos </t>
        </is>
      </c>
    </row>
    <row r="612">
      <c r="B612" s="2266">
        <f>IF(IF('1.Description'!$AA$9="english",C612,IF('1.Description'!$AA$9="français",D612,E612))=0,"",IF('1.Description'!$AA$9="english",C612,IF('1.Description'!$AA$9="français",D612,E612)))</f>
        <v/>
      </c>
    </row>
    <row r="613">
      <c r="A613" s="1064" t="inlineStr">
        <is>
          <t>Help</t>
        </is>
      </c>
      <c r="B613" s="2266">
        <f>IF(IF('1.Description'!$AA$9="english",C613,IF('1.Description'!$AA$9="français",D613,E613))=0,"",IF('1.Description'!$AA$9="english",C613,IF('1.Description'!$AA$9="français",D613,E613)))</f>
        <v/>
      </c>
      <c r="C613" s="1064" t="inlineStr">
        <is>
          <t>Climate and moisture regime to be specified in the "Description" module</t>
        </is>
      </c>
      <c r="D613" s="1064" t="inlineStr">
        <is>
          <t>Régime climatique et hygrométrique à préciser dans le module "Description"</t>
        </is>
      </c>
      <c r="E613" s="1064" t="inlineStr">
        <is>
          <t xml:space="preserve">Clima y régimen de humedad </t>
        </is>
      </c>
    </row>
    <row r="614">
      <c r="A614" s="1064" t="inlineStr">
        <is>
          <t>Help</t>
        </is>
      </c>
      <c r="B614" s="2266">
        <f>IF(IF('1.Description'!$AA$9="english",C614,IF('1.Description'!$AA$9="français",D614,E614))=0,"",IF('1.Description'!$AA$9="english",C614,IF('1.Description'!$AA$9="français",D614,E614)))</f>
        <v/>
      </c>
      <c r="C614" s="1064" t="inlineStr">
        <is>
          <t>Climate</t>
        </is>
      </c>
      <c r="D614" s="1064" t="inlineStr">
        <is>
          <t>Climat</t>
        </is>
      </c>
      <c r="E614" s="1064" t="inlineStr">
        <is>
          <t xml:space="preserve">Clima </t>
        </is>
      </c>
    </row>
    <row r="615">
      <c r="A615" s="1064" t="inlineStr">
        <is>
          <t>Help</t>
        </is>
      </c>
      <c r="B615" s="2266">
        <f>IF(IF('1.Description'!$AA$9="english",C615,IF('1.Description'!$AA$9="français",D615,E615))=0,"",IF('1.Description'!$AA$9="english",C615,IF('1.Description'!$AA$9="français",D615,E615)))</f>
        <v/>
      </c>
      <c r="C615" s="1064" t="inlineStr">
        <is>
          <t>Elevation in m</t>
        </is>
      </c>
      <c r="D615" s="1064" t="inlineStr">
        <is>
          <t>Altitude en m</t>
        </is>
      </c>
      <c r="E615" s="1064" t="inlineStr">
        <is>
          <t>Altitud en m</t>
        </is>
      </c>
    </row>
    <row r="616">
      <c r="A616" s="1064" t="inlineStr">
        <is>
          <t>Help</t>
        </is>
      </c>
      <c r="B616" s="2266">
        <f>IF(IF('1.Description'!$AA$9="english",C616,IF('1.Description'!$AA$9="français",D616,E616))=0,"",IF('1.Description'!$AA$9="english",C616,IF('1.Description'!$AA$9="français",D616,E616)))</f>
        <v/>
      </c>
      <c r="C616" s="1064" t="inlineStr">
        <is>
          <t>MAP and PET in mm</t>
        </is>
      </c>
      <c r="D616" s="1064" t="inlineStr">
        <is>
          <t>PAM et PET en mm</t>
        </is>
      </c>
      <c r="E616" s="1064" t="inlineStr">
        <is>
          <t>MAP (Precipitación Media Anual) y PET (Potencial evapotranspiración)</t>
        </is>
      </c>
    </row>
    <row r="617">
      <c r="A617" s="1064" t="inlineStr">
        <is>
          <t>Help</t>
        </is>
      </c>
      <c r="B617" s="2266">
        <f>IF(IF('1.Description'!$AA$9="english",C617,IF('1.Description'!$AA$9="français",D617,E617))=0,"",IF('1.Description'!$AA$9="english",C617,IF('1.Description'!$AA$9="français",D617,E617)))</f>
        <v/>
      </c>
      <c r="C617" s="1064" t="inlineStr">
        <is>
          <t>Climate &amp; Moisture regime</t>
        </is>
      </c>
      <c r="D617" s="1064" t="inlineStr">
        <is>
          <t>Climat et régime d'humidité</t>
        </is>
      </c>
      <c r="E617" s="1064" t="inlineStr">
        <is>
          <t xml:space="preserve">Clima y régimen de humedad </t>
        </is>
      </c>
    </row>
    <row r="618">
      <c r="A618" s="1064" t="inlineStr">
        <is>
          <t>Help</t>
        </is>
      </c>
      <c r="B618" s="2266">
        <f>IF(IF('1.Description'!$AA$9="english",C618,IF('1.Description'!$AA$9="français",D618,E618))=0,"",IF('1.Description'!$AA$9="english",C618,IF('1.Description'!$AA$9="français",D618,E618)))</f>
        <v/>
      </c>
      <c r="C618" s="1064" t="inlineStr">
        <is>
          <t>Mean Annual Temperature in C</t>
        </is>
      </c>
      <c r="D618" s="1064" t="inlineStr">
        <is>
          <t>Température annuelle moyenne en C</t>
        </is>
      </c>
      <c r="E618" s="1064" t="inlineStr">
        <is>
          <t>Temperatura Media Anual en ºC</t>
        </is>
      </c>
    </row>
    <row r="619">
      <c r="A619" s="1064" t="inlineStr">
        <is>
          <t>Help</t>
        </is>
      </c>
      <c r="B619" s="2266">
        <f>IF(IF('1.Description'!$AA$9="english",C619,IF('1.Description'!$AA$9="français",D619,E619))=0,"",IF('1.Description'!$AA$9="english",C619,IF('1.Description'!$AA$9="français",D619,E619)))</f>
        <v/>
      </c>
      <c r="C619" s="1064" t="inlineStr">
        <is>
          <t>Mean Annual Precipitation in mm</t>
        </is>
      </c>
      <c r="D619" s="1064" t="inlineStr">
        <is>
          <t>Précipitations annuelles moyennes en mm</t>
        </is>
      </c>
      <c r="E619" s="1064" t="inlineStr">
        <is>
          <t>Precipitación Media Anual en mm</t>
        </is>
      </c>
    </row>
    <row r="620">
      <c r="A620" s="1064" t="inlineStr">
        <is>
          <t>Help</t>
        </is>
      </c>
      <c r="B620" s="2266">
        <f>IF(IF('1.Description'!$AA$9="english",C620,IF('1.Description'!$AA$9="français",D620,E620))=0,"",IF('1.Description'!$AA$9="english",C620,IF('1.Description'!$AA$9="français",D620,E620)))</f>
        <v/>
      </c>
      <c r="C620" s="1064" t="inlineStr">
        <is>
          <t>Potential Evapotranspiration in mm</t>
        </is>
      </c>
      <c r="D620" s="1064" t="inlineStr">
        <is>
          <t>Évapotranspiration potentielle en mm</t>
        </is>
      </c>
      <c r="E620" s="1064" t="inlineStr">
        <is>
          <t>Potencial de Evapotranspiración en mm</t>
        </is>
      </c>
    </row>
    <row r="621">
      <c r="A621" s="1064" t="inlineStr">
        <is>
          <t>Help</t>
        </is>
      </c>
      <c r="B621" s="2266">
        <f>IF(IF('1.Description'!$AA$9="english",C621,IF('1.Description'!$AA$9="français",D621,E621))=0,"",IF('1.Description'!$AA$9="english",C621,IF('1.Description'!$AA$9="français",D621,E621)))</f>
        <v/>
      </c>
      <c r="C621" s="1064" t="inlineStr">
        <is>
          <t>Elevation above sea level</t>
        </is>
      </c>
      <c r="D621" s="1064" t="inlineStr">
        <is>
          <t>Altitude au-dessus du niveau de la mer</t>
        </is>
      </c>
      <c r="E621" s="1064" t="inlineStr">
        <is>
          <t>Altitud sobre el nivel del mar</t>
        </is>
      </c>
    </row>
    <row r="622">
      <c r="A622" s="1064" t="inlineStr">
        <is>
          <t>9.Results</t>
        </is>
      </c>
      <c r="B622" s="2266">
        <f>IF(IF('1.Description'!$AA$9="english",C622,IF('1.Description'!$AA$9="français",D622,E622))=0,"",IF('1.Description'!$AA$9="english",C622,IF('1.Description'!$AA$9="français",D622,E622)))</f>
        <v/>
      </c>
      <c r="C622" s="1064" t="inlineStr">
        <is>
          <t>Whole period analysis</t>
        </is>
      </c>
      <c r="D622" s="1064" t="inlineStr">
        <is>
          <t>Analyse de toute la période</t>
        </is>
      </c>
      <c r="E622" s="1064" t="inlineStr">
        <is>
          <t>Análisis para todo el período</t>
        </is>
      </c>
    </row>
    <row r="623">
      <c r="B623" s="2266">
        <f>IF(IF('1.Description'!$AA$9="english",C623,IF('1.Description'!$AA$9="français",D623,E623))=0,"",IF('1.Description'!$AA$9="english",C623,IF('1.Description'!$AA$9="français",D623,E623)))</f>
        <v/>
      </c>
      <c r="C623" s="1064" t="inlineStr">
        <is>
          <t>Summary GHG analysis</t>
        </is>
      </c>
      <c r="D623" s="1064" t="inlineStr">
        <is>
          <t>Résumé de l'analyse des GES</t>
        </is>
      </c>
      <c r="E623" s="1064" t="inlineStr">
        <is>
          <t>Resumen del análisis de GEI</t>
        </is>
      </c>
    </row>
    <row r="624">
      <c r="B624" s="2266">
        <f>IF(IF('1.Description'!$AA$9="english",C624,IF('1.Description'!$AA$9="français",D624,E624))=0,"",IF('1.Description'!$AA$9="english",C624,IF('1.Description'!$AA$9="français",D624,E624)))</f>
        <v/>
      </c>
      <c r="C624" s="1064" t="inlineStr">
        <is>
          <t>Net fluxes, in tCO2-e</t>
        </is>
      </c>
      <c r="D624" s="1064" t="inlineStr">
        <is>
          <t>Flux nets, en tCO2-e</t>
        </is>
      </c>
      <c r="E624" s="1064" t="inlineStr">
        <is>
          <t>Flujos netos, en tCO2-e</t>
        </is>
      </c>
    </row>
    <row r="625">
      <c r="B625" s="2266">
        <f>IF(IF('1.Description'!$AA$9="english",C625,IF('1.Description'!$AA$9="français",D625,E625))=0,"",IF('1.Description'!$AA$9="english",C625,IF('1.Description'!$AA$9="français",D625,E625)))</f>
        <v/>
      </c>
      <c r="C625" s="1064" t="inlineStr">
        <is>
          <t>DETAILED RESULTS</t>
        </is>
      </c>
      <c r="D625" s="1064" t="inlineStr">
        <is>
          <t>RÉSULTATS DÉTAILLÉS</t>
        </is>
      </c>
      <c r="E625" s="1064" t="inlineStr">
        <is>
          <t>RESULTADOS DETALLADOS</t>
        </is>
      </c>
    </row>
    <row r="626">
      <c r="B626" s="2266">
        <f>IF(IF('1.Description'!$AA$9="english",C626,IF('1.Description'!$AA$9="français",D626,E626))=0,"",IF('1.Description'!$AA$9="english",C626,IF('1.Description'!$AA$9="français",D626,E626)))</f>
        <v/>
      </c>
      <c r="C626" s="1064" t="inlineStr">
        <is>
          <t>GROSS FLUXES</t>
        </is>
      </c>
      <c r="D626" s="1064" t="inlineStr">
        <is>
          <t>FLUX BRUTS</t>
        </is>
      </c>
      <c r="E626" s="1064" t="inlineStr">
        <is>
          <t>FLUJOS BRUTOS</t>
        </is>
      </c>
    </row>
    <row r="627">
      <c r="B627" s="2266">
        <f>IF(IF('1.Description'!$AA$9="english",C627,IF('1.Description'!$AA$9="français",D627,E627))=0,"",IF('1.Description'!$AA$9="english",C627,IF('1.Description'!$AA$9="français",D627,E627)))</f>
        <v/>
      </c>
      <c r="C627" s="1064" t="inlineStr">
        <is>
          <t>In tCO2-e over the whole period analysis</t>
        </is>
      </c>
      <c r="D627" s="1064" t="inlineStr">
        <is>
          <t>En tCO2-e sur toute la période d'analyse</t>
        </is>
      </c>
      <c r="E627" s="1064" t="inlineStr">
        <is>
          <t>en tCO2-e sobre todo el periodo de análisis</t>
        </is>
      </c>
    </row>
    <row r="628">
      <c r="B628" s="2266">
        <f>IF(IF('1.Description'!$AA$9="english",C628,IF('1.Description'!$AA$9="français",D628,E628))=0,"",IF('1.Description'!$AA$9="english",C628,IF('1.Description'!$AA$9="français",D628,E628)))</f>
        <v/>
      </c>
      <c r="C628" s="1064" t="inlineStr">
        <is>
          <t>In tCO2-e/yr</t>
        </is>
      </c>
      <c r="D628" s="1064" t="inlineStr">
        <is>
          <t>En tCO2-e/an</t>
        </is>
      </c>
      <c r="E628" s="1064" t="inlineStr">
        <is>
          <t>en tCO2/año</t>
        </is>
      </c>
    </row>
    <row r="629">
      <c r="B629" s="2266">
        <f>IF(IF('1.Description'!$AA$9="english",C629,IF('1.Description'!$AA$9="français",D629,E629))=0,"",IF('1.Description'!$AA$9="english",C629,IF('1.Description'!$AA$9="français",D629,E629)))</f>
        <v/>
      </c>
      <c r="C629" s="1064" t="inlineStr">
        <is>
          <t>SHARE PER GHG OF THE BALANCE</t>
        </is>
      </c>
      <c r="D629" s="1064" t="inlineStr">
        <is>
          <t>PART DES GES DANS LA BALANCE</t>
        </is>
      </c>
      <c r="E629" s="1064" t="inlineStr">
        <is>
          <t xml:space="preserve">PORCIÓN DEL BALANCE POR GEI </t>
        </is>
      </c>
    </row>
    <row r="630">
      <c r="B630" s="2266">
        <f>IF(IF('1.Description'!$AA$9="english",C630,IF('1.Description'!$AA$9="français",D630,E630))=0,"",IF('1.Description'!$AA$9="english",C630,IF('1.Description'!$AA$9="français",D630,E630)))</f>
        <v/>
      </c>
      <c r="C630" s="1064" t="inlineStr">
        <is>
          <t>AVERAGE ANNUAL EMISSIONS</t>
        </is>
      </c>
      <c r="D630" s="1064" t="inlineStr">
        <is>
          <t>ÉMISSIONS ANNUELLES MOYENNES</t>
        </is>
      </c>
      <c r="E630" s="1064" t="inlineStr">
        <is>
          <t>EMISIONES ANUALES MEDIAS</t>
        </is>
      </c>
    </row>
    <row r="631">
      <c r="B631" s="2266">
        <f>IF(IF('1.Description'!$AA$9="english",C631,IF('1.Description'!$AA$9="français",D631,E631))=0,"",IF('1.Description'!$AA$9="english",C631,IF('1.Description'!$AA$9="français",D631,E631)))</f>
        <v/>
      </c>
      <c r="C631" s="1064" t="inlineStr">
        <is>
          <t>Global warming potential</t>
        </is>
      </c>
      <c r="D631" s="1064" t="inlineStr">
        <is>
          <t>Potentiel de réchauffement global</t>
        </is>
      </c>
      <c r="E631" s="1064" t="inlineStr">
        <is>
          <t>Potencial de calentamiento global</t>
        </is>
      </c>
    </row>
    <row r="632">
      <c r="B632" s="2266">
        <f>IF(IF('1.Description'!$AA$9="english",C632,IF('1.Description'!$AA$9="français",D632,E632))=0,"",IF('1.Description'!$AA$9="english",C632,IF('1.Description'!$AA$9="français",D632,E632)))</f>
        <v/>
      </c>
      <c r="C632" s="1064" t="inlineStr">
        <is>
          <t>Total area (ha)</t>
        </is>
      </c>
      <c r="D632" s="1064" t="inlineStr">
        <is>
          <t>Superficie totale (ha)</t>
        </is>
      </c>
      <c r="E632" s="1064" t="inlineStr">
        <is>
          <t>Área total (ha)</t>
        </is>
      </c>
    </row>
    <row r="633">
      <c r="B633" s="2266">
        <f>IF(IF('1.Description'!$AA$9="english",C633,IF('1.Description'!$AA$9="français",D633,E633))=0,"",IF('1.Description'!$AA$9="english",C633,IF('1.Description'!$AA$9="français",D633,E633)))</f>
        <v/>
      </c>
      <c r="C633" s="1064" t="inlineStr">
        <is>
          <t>Mineral soil</t>
        </is>
      </c>
      <c r="D633" s="1064" t="inlineStr">
        <is>
          <t>Sol minéral</t>
        </is>
      </c>
      <c r="E633" s="1064" t="inlineStr">
        <is>
          <t>Suelo mineral</t>
        </is>
      </c>
    </row>
    <row r="634">
      <c r="B634" s="2266">
        <f>IF(IF('1.Description'!$AA$9="english",C634,IF('1.Description'!$AA$9="français",D634,E634))=0,"",IF('1.Description'!$AA$9="english",C634,IF('1.Description'!$AA$9="français",D634,E634)))</f>
        <v/>
      </c>
      <c r="C634" s="1064" t="inlineStr">
        <is>
          <t>Organic soil</t>
        </is>
      </c>
      <c r="D634" s="1064" t="inlineStr">
        <is>
          <t>Sol organique</t>
        </is>
      </c>
      <c r="E634" s="1064" t="inlineStr">
        <is>
          <t>Suelo orgánico</t>
        </is>
      </c>
    </row>
    <row r="635">
      <c r="B635" s="2266">
        <f>IF(IF('1.Description'!$AA$9="english",C635,IF('1.Description'!$AA$9="français",D635,E635))=0,"",IF('1.Description'!$AA$9="english",C635,IF('1.Description'!$AA$9="français",D635,E635)))</f>
        <v/>
      </c>
      <c r="C635" s="1064" t="inlineStr">
        <is>
          <t>Waterbodies</t>
        </is>
      </c>
      <c r="D635" s="1064" t="inlineStr">
        <is>
          <t>Plans d'eau</t>
        </is>
      </c>
      <c r="E635" s="1064" t="inlineStr">
        <is>
          <t>Cuerpos de agua</t>
        </is>
      </c>
    </row>
    <row r="636">
      <c r="B636" s="2266">
        <f>IF(IF('1.Description'!$AA$9="english",C636,IF('1.Description'!$AA$9="français",D636,E636))=0,"",IF('1.Description'!$AA$9="english",C636,IF('1.Description'!$AA$9="français",D636,E636)))</f>
        <v/>
      </c>
      <c r="C636" s="1064" t="inlineStr">
        <is>
          <t>PROJECT COMPONENTS</t>
        </is>
      </c>
      <c r="D636" s="1064" t="inlineStr">
        <is>
          <t>COMPOSANTES DU PROJET</t>
        </is>
      </c>
      <c r="E636" s="1064" t="inlineStr">
        <is>
          <t>COMPONENTES DEL PROYECTO</t>
        </is>
      </c>
    </row>
    <row r="637">
      <c r="B637" s="2266">
        <f>IF(IF('1.Description'!$AA$9="english",C637,IF('1.Description'!$AA$9="français",D637,E637))=0,"",IF('1.Description'!$AA$9="english",C637,IF('1.Description'!$AA$9="français",D637,E637)))</f>
        <v/>
      </c>
      <c r="C637" s="1064" t="inlineStr">
        <is>
          <t>Deforestation</t>
        </is>
      </c>
      <c r="D637" s="1064" t="inlineStr">
        <is>
          <t>Déforestation</t>
        </is>
      </c>
      <c r="E637" s="1064" t="inlineStr">
        <is>
          <t>Deforestación</t>
        </is>
      </c>
    </row>
    <row r="638">
      <c r="B638" s="2266">
        <f>IF(IF('1.Description'!$AA$9="english",C638,IF('1.Description'!$AA$9="français",D638,E638))=0,"",IF('1.Description'!$AA$9="english",C638,IF('1.Description'!$AA$9="français",D638,E638)))</f>
        <v/>
      </c>
      <c r="C638" s="1064" t="inlineStr">
        <is>
          <t>Afforestation</t>
        </is>
      </c>
      <c r="D638" s="1064" t="inlineStr">
        <is>
          <t>Af/Reforestation</t>
        </is>
      </c>
      <c r="E638" s="1064" t="inlineStr">
        <is>
          <t>Af/ Reforestación</t>
        </is>
      </c>
    </row>
    <row r="639">
      <c r="B639" s="2266">
        <f>IF(IF('1.Description'!$AA$9="english",C639,IF('1.Description'!$AA$9="français",D639,E639))=0,"",IF('1.Description'!$AA$9="english",C639,IF('1.Description'!$AA$9="français",D639,E639)))</f>
        <v/>
      </c>
      <c r="C639" s="1064" t="inlineStr">
        <is>
          <t>Other land-use</t>
        </is>
      </c>
      <c r="D639" s="1064" t="inlineStr">
        <is>
          <t>Autre utilisation des terres</t>
        </is>
      </c>
      <c r="E639" s="1064" t="inlineStr">
        <is>
          <t>Otros usos de la tierra</t>
        </is>
      </c>
    </row>
    <row r="640">
      <c r="B640" s="2266">
        <f>IF(IF('1.Description'!$AA$9="english",C640,IF('1.Description'!$AA$9="français",D640,E640))=0,"",IF('1.Description'!$AA$9="english",C640,IF('1.Description'!$AA$9="français",D640,E640)))</f>
        <v/>
      </c>
      <c r="C640" s="1064" t="inlineStr">
        <is>
          <t>Annual</t>
        </is>
      </c>
      <c r="D640" s="1064" t="inlineStr">
        <is>
          <t>Annuelles</t>
        </is>
      </c>
      <c r="E640" s="1064" t="inlineStr">
        <is>
          <t>Anuales</t>
        </is>
      </c>
    </row>
    <row r="641">
      <c r="B641" s="2266">
        <f>IF(IF('1.Description'!$AA$9="english",C641,IF('1.Description'!$AA$9="français",D641,E641))=0,"",IF('1.Description'!$AA$9="english",C641,IF('1.Description'!$AA$9="français",D641,E641)))</f>
        <v/>
      </c>
      <c r="C641" s="1064" t="inlineStr">
        <is>
          <t>Perennial</t>
        </is>
      </c>
      <c r="D641" s="1064" t="inlineStr">
        <is>
          <t>Pérennes</t>
        </is>
      </c>
      <c r="E641" s="1064" t="inlineStr">
        <is>
          <t>Perennes</t>
        </is>
      </c>
    </row>
    <row r="642">
      <c r="B642" s="2266">
        <f>IF(IF('1.Description'!$AA$9="english",C642,IF('1.Description'!$AA$9="français",D642,E642))=0,"",IF('1.Description'!$AA$9="english",C642,IF('1.Description'!$AA$9="français",D642,E642)))</f>
        <v/>
      </c>
      <c r="C642" s="1064" t="inlineStr">
        <is>
          <t>Flooded rice</t>
        </is>
      </c>
      <c r="D642" s="1064" t="inlineStr">
        <is>
          <t>Riz inondé</t>
        </is>
      </c>
      <c r="E642" s="1064" t="inlineStr">
        <is>
          <t>Arroz inundado</t>
        </is>
      </c>
    </row>
    <row r="643">
      <c r="B643" s="2266">
        <f>IF(IF('1.Description'!$AA$9="english",C643,IF('1.Description'!$AA$9="français",D643,E643))=0,"",IF('1.Description'!$AA$9="english",C643,IF('1.Description'!$AA$9="français",D643,E643)))</f>
        <v/>
      </c>
      <c r="C643" s="1064" t="inlineStr">
        <is>
          <t xml:space="preserve">Grasslands </t>
        </is>
      </c>
      <c r="D643" s="1064" t="inlineStr">
        <is>
          <t>Prairies</t>
        </is>
      </c>
      <c r="E643" s="1064" t="inlineStr">
        <is>
          <t>Pastizales</t>
        </is>
      </c>
    </row>
    <row r="644">
      <c r="B644" s="2266">
        <f>IF(IF('1.Description'!$AA$9="english",C644,IF('1.Description'!$AA$9="français",D644,E644))=0,"",IF('1.Description'!$AA$9="english",C644,IF('1.Description'!$AA$9="français",D644,E644)))</f>
        <v/>
      </c>
      <c r="C644" s="1064" t="inlineStr">
        <is>
          <t>Livestock</t>
        </is>
      </c>
      <c r="D644" s="1064" t="inlineStr">
        <is>
          <t>Bétail</t>
        </is>
      </c>
      <c r="E644" s="1064" t="inlineStr">
        <is>
          <t>Ganadería</t>
        </is>
      </c>
    </row>
    <row r="645">
      <c r="B645" s="2266">
        <f>IF(IF('1.Description'!$AA$9="english",C645,IF('1.Description'!$AA$9="français",D645,E645))=0,"",IF('1.Description'!$AA$9="english",C645,IF('1.Description'!$AA$9="français",D645,E645)))</f>
        <v/>
      </c>
      <c r="C645" s="1064" t="inlineStr">
        <is>
          <t>Forest mngt.</t>
        </is>
      </c>
      <c r="D645" s="1064" t="inlineStr">
        <is>
          <t>Gestion forestière</t>
        </is>
      </c>
      <c r="E645" s="1064" t="inlineStr">
        <is>
          <t>Gestión Forestal</t>
        </is>
      </c>
    </row>
    <row r="646">
      <c r="B646" s="2266">
        <f>IF(IF('1.Description'!$AA$9="english",C646,IF('1.Description'!$AA$9="français",D646,E646))=0,"",IF('1.Description'!$AA$9="english",C646,IF('1.Description'!$AA$9="français",D646,E646)))</f>
        <v/>
      </c>
      <c r="C646" s="1064" t="inlineStr">
        <is>
          <t>Inland wetlands</t>
        </is>
      </c>
      <c r="D646" s="1064" t="inlineStr">
        <is>
          <t>Zones humides intérieures</t>
        </is>
      </c>
      <c r="E646" s="1064" t="inlineStr">
        <is>
          <t>huedales interiores</t>
        </is>
      </c>
    </row>
    <row r="647">
      <c r="B647" s="2266">
        <f>IF(IF('1.Description'!$AA$9="english",C647,IF('1.Description'!$AA$9="français",D647,E647))=0,"",IF('1.Description'!$AA$9="english",C647,IF('1.Description'!$AA$9="français",D647,E647)))</f>
        <v/>
      </c>
      <c r="C647" s="1064" t="inlineStr">
        <is>
          <t>Coastal wetlands</t>
        </is>
      </c>
      <c r="D647" s="1064" t="inlineStr">
        <is>
          <t>Zones humides côtières</t>
        </is>
      </c>
      <c r="E647" s="1064" t="inlineStr">
        <is>
          <t>Humedales costeros</t>
        </is>
      </c>
    </row>
    <row r="648">
      <c r="B648" s="2266">
        <f>IF(IF('1.Description'!$AA$9="english",C648,IF('1.Description'!$AA$9="français",D648,E648))=0,"",IF('1.Description'!$AA$9="english",C648,IF('1.Description'!$AA$9="français",D648,E648)))</f>
        <v/>
      </c>
      <c r="C648" s="1064" t="inlineStr">
        <is>
          <t>Fisheries and aquaculture</t>
        </is>
      </c>
      <c r="D648" s="1064" t="inlineStr">
        <is>
          <t>Pêche et aquaculture</t>
        </is>
      </c>
      <c r="E648" s="1064" t="inlineStr">
        <is>
          <t>Pesca y acuicultura</t>
        </is>
      </c>
    </row>
    <row r="649">
      <c r="B649" s="2266">
        <f>IF(IF('1.Description'!$AA$9="english",C649,IF('1.Description'!$AA$9="français",D649,E649))=0,"",IF('1.Description'!$AA$9="english",C649,IF('1.Description'!$AA$9="français",D649,E649)))</f>
        <v/>
      </c>
      <c r="C649" s="1064" t="inlineStr">
        <is>
          <t>Inputs &amp; Invest.</t>
        </is>
      </c>
      <c r="D649" s="1064" t="inlineStr">
        <is>
          <t>Intrants &amp; Invest.</t>
        </is>
      </c>
      <c r="E649" s="1064" t="inlineStr">
        <is>
          <t>Insumos e inversiones</t>
        </is>
      </c>
    </row>
    <row r="650">
      <c r="B650" s="2266">
        <f>IF(IF('1.Description'!$AA$9="english",C650,IF('1.Description'!$AA$9="français",D650,E650))=0,"",IF('1.Description'!$AA$9="english",C650,IF('1.Description'!$AA$9="français",D650,E650)))</f>
        <v/>
      </c>
      <c r="C650" s="1064" t="inlineStr">
        <is>
          <t>Land use changes</t>
        </is>
      </c>
      <c r="D650" s="1064" t="inlineStr">
        <is>
          <t>Changements d'utilisation des terres</t>
        </is>
      </c>
      <c r="E650" s="1064" t="inlineStr">
        <is>
          <t>Cambios en los usos de la tierra</t>
        </is>
      </c>
    </row>
    <row r="651">
      <c r="B651" s="2266">
        <f>IF(IF('1.Description'!$AA$9="english",C651,IF('1.Description'!$AA$9="français",D651,E651))=0,"",IF('1.Description'!$AA$9="english",C651,IF('1.Description'!$AA$9="français",D651,E651)))</f>
        <v/>
      </c>
      <c r="C651" s="1064" t="inlineStr">
        <is>
          <t>Cropland</t>
        </is>
      </c>
      <c r="D651" s="1064" t="inlineStr">
        <is>
          <t>Cultures</t>
        </is>
      </c>
      <c r="E651" s="1064" t="inlineStr">
        <is>
          <t>Cultivos</t>
        </is>
      </c>
    </row>
    <row r="652">
      <c r="B652" s="2266">
        <f>IF(IF('1.Description'!$AA$9="english",C652,IF('1.Description'!$AA$9="français",D652,E652))=0,"",IF('1.Description'!$AA$9="english",C652,IF('1.Description'!$AA$9="français",D652,E652)))</f>
        <v/>
      </c>
      <c r="C652" s="1064" t="inlineStr">
        <is>
          <t>Grasslands &amp; Livestock</t>
        </is>
      </c>
      <c r="D652" s="1064" t="inlineStr">
        <is>
          <t>Prairies et élevage</t>
        </is>
      </c>
      <c r="E652" s="1064" t="inlineStr">
        <is>
          <t>Pastizales y ganadería</t>
        </is>
      </c>
    </row>
    <row r="653">
      <c r="B653" s="2266">
        <f>IF(IF('1.Description'!$AA$9="english",C653,IF('1.Description'!$AA$9="français",D653,E653))=0,"",IF('1.Description'!$AA$9="english",C653,IF('1.Description'!$AA$9="français",D653,E653)))</f>
        <v/>
      </c>
      <c r="C653" s="1064" t="inlineStr">
        <is>
          <t>Total emissions, tCO2-e</t>
        </is>
      </c>
      <c r="D653" s="1064" t="inlineStr">
        <is>
          <t>Émissions totales, tCO2-e</t>
        </is>
      </c>
      <c r="E653" s="1064" t="inlineStr">
        <is>
          <t>Emisiones totales, tCO2-e</t>
        </is>
      </c>
    </row>
    <row r="654">
      <c r="B654" s="2266">
        <f>IF(IF('1.Description'!$AA$9="english",C654,IF('1.Description'!$AA$9="français",D654,E654))=0,"",IF('1.Description'!$AA$9="english",C654,IF('1.Description'!$AA$9="français",D654,E654)))</f>
        <v/>
      </c>
      <c r="C654" s="1064" t="inlineStr">
        <is>
          <t>Total emissions, tCO2-e/ha</t>
        </is>
      </c>
      <c r="D654" s="1064" t="inlineStr">
        <is>
          <t>Émissions totales, tCO2-e/ha</t>
        </is>
      </c>
      <c r="E654" s="1064" t="inlineStr">
        <is>
          <t>Emisiones totales, tCO2-e/año</t>
        </is>
      </c>
    </row>
    <row r="655">
      <c r="B655" s="2266">
        <f>IF(IF('1.Description'!$AA$9="english",C655,IF('1.Description'!$AA$9="français",D655,E655))=0,"",IF('1.Description'!$AA$9="english",C655,IF('1.Description'!$AA$9="français",D655,E655)))</f>
        <v/>
      </c>
      <c r="C655" s="1064" t="inlineStr">
        <is>
          <t>Total emissions, tCO2-e/ha/yr</t>
        </is>
      </c>
      <c r="D655" s="1064" t="inlineStr">
        <is>
          <t>Émissions totales, tCO2-e/ha/an</t>
        </is>
      </c>
      <c r="E655" s="1064" t="inlineStr">
        <is>
          <t>Emisiones totales, tCO2-e/ha/año</t>
        </is>
      </c>
    </row>
    <row r="656">
      <c r="B656" s="2266">
        <f>IF(IF('1.Description'!$AA$9="english",C656,IF('1.Description'!$AA$9="français",D656,E656))=0,"",IF('1.Description'!$AA$9="english",C656,IF('1.Description'!$AA$9="français",D656,E656)))</f>
        <v/>
      </c>
      <c r="C656" s="1064" t="inlineStr">
        <is>
          <t>+ = Source / - = Sink</t>
        </is>
      </c>
      <c r="D656" s="1064" t="inlineStr">
        <is>
          <t>+ = source / - = puits</t>
        </is>
      </c>
      <c r="E656" s="1064" t="inlineStr">
        <is>
          <t>+ = fuente / - = sumidero</t>
        </is>
      </c>
    </row>
    <row r="657">
      <c r="B657" s="2266">
        <f>IF(IF('1.Description'!$AA$9="english",C657,IF('1.Description'!$AA$9="français",D657,E657))=0,"",IF('1.Description'!$AA$9="english",C657,IF('1.Description'!$AA$9="français",D657,E657)))</f>
        <v/>
      </c>
      <c r="C657" s="1064" t="inlineStr">
        <is>
          <t>Results presented here include GHG fluxes on mineral and organic soils</t>
        </is>
      </c>
      <c r="D657" s="1064" t="inlineStr">
        <is>
          <t>Les résultats présentés ici incluent les flux de GES sur les sols minéraux et organiques</t>
        </is>
      </c>
      <c r="E657" s="1064" t="inlineStr">
        <is>
          <t>Los resultados presentados aquí incluyen los flujos de GEI en suelos minerales y orgánicos</t>
        </is>
      </c>
    </row>
    <row r="658">
      <c r="B658" s="2266">
        <f>IF(IF('1.Description'!$AA$9="english",C658,IF('1.Description'!$AA$9="français",D658,E658))=0,"",IF('1.Description'!$AA$9="english",C658,IF('1.Description'!$AA$9="français",D658,E658)))</f>
        <v/>
      </c>
      <c r="C658" s="1064" t="inlineStr">
        <is>
          <t>See further down for detailed results on organic soils</t>
        </is>
      </c>
      <c r="D658" s="1064" t="inlineStr">
        <is>
          <t>Voir plus bas pour les résultats détaillés sur les sols organiques</t>
        </is>
      </c>
      <c r="E658" s="1064" t="inlineStr">
        <is>
          <t>Mire abajo para los resultados detallados en suelos orgánicos</t>
        </is>
      </c>
    </row>
    <row r="659">
      <c r="B659" s="2266">
        <f>IF(IF('1.Description'!$AA$9="english",C659,IF('1.Description'!$AA$9="français",D659,E659))=0,"",IF('1.Description'!$AA$9="english",C659,IF('1.Description'!$AA$9="français",D659,E659)))</f>
        <v/>
      </c>
      <c r="C659" s="1064" t="inlineStr">
        <is>
          <t>* Includes fisheries, acquaculture and inputs &amp; investments that are not included in the AFOLU definition.</t>
        </is>
      </c>
      <c r="D659" s="1064" t="inlineStr">
        <is>
          <t>* Comprend la pêche, l'aquaculture et les intrants et investissements qui ne sont pas inclus dans la définition AFAT</t>
        </is>
      </c>
      <c r="E659" s="1064" t="inlineStr">
        <is>
          <t>*Incluye pesca, acuicultura e insumos e inversiones no incluidas en la definición de AFOLU</t>
        </is>
      </c>
    </row>
    <row r="660">
      <c r="B660" s="2266">
        <f>IF(IF('1.Description'!$AA$9="english",C660,IF('1.Description'!$AA$9="français",D660,E660))=0,"",IF('1.Description'!$AA$9="english",C660,IF('1.Description'!$AA$9="français",D660,E660)))</f>
        <v/>
      </c>
      <c r="C660" s="1064" t="inlineStr">
        <is>
          <t>CO2 BIOMASS</t>
        </is>
      </c>
      <c r="D660" s="1064" t="inlineStr">
        <is>
          <t>CO2 BIOMASSE</t>
        </is>
      </c>
      <c r="E660" s="1064" t="inlineStr">
        <is>
          <t>CO2 BIOMASA</t>
        </is>
      </c>
    </row>
    <row r="661">
      <c r="B661" s="2266">
        <f>IF(IF('1.Description'!$AA$9="english",C661,IF('1.Description'!$AA$9="français",D661,E661))=0,"",IF('1.Description'!$AA$9="english",C661,IF('1.Description'!$AA$9="français",D661,E661)))</f>
        <v/>
      </c>
      <c r="C661" s="1064" t="inlineStr">
        <is>
          <t>CO2 SOIL</t>
        </is>
      </c>
      <c r="D661" s="1064" t="inlineStr">
        <is>
          <t>CO2 SOL</t>
        </is>
      </c>
      <c r="E661" s="1064" t="inlineStr">
        <is>
          <t>CO2 SUELO</t>
        </is>
      </c>
    </row>
    <row r="662">
      <c r="B662" s="2266">
        <f>IF(IF('1.Description'!$AA$9="english",C662,IF('1.Description'!$AA$9="français",D662,E662))=0,"",IF('1.Description'!$AA$9="english",C662,IF('1.Description'!$AA$9="français",D662,E662)))</f>
        <v/>
      </c>
      <c r="C662" s="1064" t="inlineStr">
        <is>
          <t>ALL NON-AFOLU EMISSIONS*</t>
        </is>
      </c>
      <c r="D662" s="1064" t="inlineStr">
        <is>
          <t>TOUTES LES ÉMISSIONS NON AFAT*</t>
        </is>
      </c>
      <c r="E662" s="1064" t="inlineStr">
        <is>
          <t>TODAS LAS EMISIONES NO AFOLU</t>
        </is>
      </c>
    </row>
    <row r="663">
      <c r="B663" s="2266">
        <f>IF(IF('1.Description'!$AA$9="english",C663,IF('1.Description'!$AA$9="français",D663,E663))=0,"",IF('1.Description'!$AA$9="english",C663,IF('1.Description'!$AA$9="français",D663,E663)))</f>
        <v/>
      </c>
      <c r="C663" s="1064" t="inlineStr">
        <is>
          <t>WITHOUT</t>
        </is>
      </c>
      <c r="D663" s="1064" t="inlineStr">
        <is>
          <t>SANS</t>
        </is>
      </c>
      <c r="E663" s="1064" t="inlineStr">
        <is>
          <t>SIN</t>
        </is>
      </c>
    </row>
    <row r="664">
      <c r="B664" s="2266">
        <f>IF(IF('1.Description'!$AA$9="english",C664,IF('1.Description'!$AA$9="français",D664,E664))=0,"",IF('1.Description'!$AA$9="english",C664,IF('1.Description'!$AA$9="français",D664,E664)))</f>
        <v/>
      </c>
      <c r="C664" s="1064" t="inlineStr">
        <is>
          <t>WITH</t>
        </is>
      </c>
      <c r="D664" s="1064" t="inlineStr">
        <is>
          <t>AVEC</t>
        </is>
      </c>
      <c r="E664" s="1064" t="inlineStr">
        <is>
          <t>CON</t>
        </is>
      </c>
    </row>
    <row r="665">
      <c r="B665" s="2266">
        <f>IF(IF('1.Description'!$AA$9="english",C665,IF('1.Description'!$AA$9="français",D665,E665))=0,"",IF('1.Description'!$AA$9="english",C665,IF('1.Description'!$AA$9="français",D665,E665)))</f>
        <v/>
      </c>
      <c r="C665" s="1064" t="inlineStr">
        <is>
          <t>BALANCE</t>
        </is>
      </c>
      <c r="D665" s="1064" t="inlineStr">
        <is>
          <t>BALANCE</t>
        </is>
      </c>
      <c r="E665" s="1064" t="inlineStr">
        <is>
          <t xml:space="preserve">Balance </t>
        </is>
      </c>
    </row>
    <row r="666">
      <c r="B666" s="2266">
        <f>IF(IF('1.Description'!$AA$9="english",C666,IF('1.Description'!$AA$9="français",D666,E666))=0,"",IF('1.Description'!$AA$9="english",C666,IF('1.Description'!$AA$9="français",D666,E666)))</f>
        <v/>
      </c>
      <c r="C666" s="4478" t="inlineStr">
        <is>
          <t>Carbon-balance, in tCO2-e</t>
        </is>
      </c>
      <c r="D666" s="4478" t="inlineStr">
        <is>
          <t>Balance carbone, en tCO2-e</t>
        </is>
      </c>
      <c r="E666" s="1064" t="inlineStr">
        <is>
          <t>Balance de carbono, en tCO2-e</t>
        </is>
      </c>
    </row>
    <row r="667">
      <c r="B667" s="2266">
        <f>IF(IF('1.Description'!$AA$9="english",C667,IF('1.Description'!$AA$9="français",D667,E667))=0,"",IF('1.Description'!$AA$9="english",C667,IF('1.Description'!$AA$9="français",D667,E667)))</f>
        <v/>
      </c>
      <c r="C667" s="4478" t="inlineStr">
        <is>
          <t>Share of the balance per GHG, in tCO2-e</t>
        </is>
      </c>
      <c r="D667" s="4478" t="inlineStr">
        <is>
          <t>Part de GES dans la balance carbone, en tCO2-e</t>
        </is>
      </c>
      <c r="E667" s="1064" t="inlineStr">
        <is>
          <t>Porción del balance por GEI</t>
        </is>
      </c>
    </row>
    <row r="668">
      <c r="B668" s="2266">
        <f>IF(IF('1.Description'!$AA$9="english",C668,IF('1.Description'!$AA$9="français",D668,E668))=0,"",IF('1.Description'!$AA$9="english",C668,IF('1.Description'!$AA$9="français",D668,E668)))</f>
        <v/>
      </c>
      <c r="C668" s="4478" t="inlineStr">
        <is>
          <t>Annual carbon balance, in tCO2-e (20 years)</t>
        </is>
      </c>
      <c r="D668" s="4478" t="inlineStr">
        <is>
          <t>Balance carbone annuelle, en tCO2-e (20 ans)</t>
        </is>
      </c>
      <c r="E668" s="1064" t="inlineStr">
        <is>
          <t>Balance anual de carbono, en tCO2-e</t>
        </is>
      </c>
    </row>
    <row r="669">
      <c r="B669" s="2266">
        <f>IF(IF('1.Description'!$AA$9="english",C669,IF('1.Description'!$AA$9="français",D669,E669))=0,"",IF('1.Description'!$AA$9="english",C669,IF('1.Description'!$AA$9="français",D669,E669)))</f>
        <v/>
      </c>
      <c r="C669" s="4478" t="inlineStr">
        <is>
          <t>Cumulative carbon balance per year, in tCO2-e (20 years)</t>
        </is>
      </c>
      <c r="D669" s="4478" t="inlineStr">
        <is>
          <t>Balance carbone cumulée par an, en tCO2-e (20 ans)</t>
        </is>
      </c>
      <c r="E669" s="1064" t="inlineStr">
        <is>
          <t>Balance anual de carbono acumulado, en tCO2-e</t>
        </is>
      </c>
    </row>
    <row r="670">
      <c r="B670" s="2266">
        <f>IF(IF('1.Description'!$AA$9="english",C670,IF('1.Description'!$AA$9="français",D670,E670))=0,"",IF('1.Description'!$AA$9="english",C670,IF('1.Description'!$AA$9="français",D670,E670)))</f>
        <v/>
      </c>
      <c r="C670" s="4478" t="inlineStr">
        <is>
          <t>Annual carbon balance</t>
        </is>
      </c>
      <c r="D670" s="4478" t="inlineStr">
        <is>
          <t>Balance carbone annuelle</t>
        </is>
      </c>
      <c r="E670" s="1064" t="inlineStr">
        <is>
          <t>Balance anual de carbono</t>
        </is>
      </c>
    </row>
    <row r="671">
      <c r="B671" s="2266">
        <f>IF(IF('1.Description'!$AA$9="english",C671,IF('1.Description'!$AA$9="français",D671,E671))=0,"",IF('1.Description'!$AA$9="english",C671,IF('1.Description'!$AA$9="français",D671,E671)))</f>
        <v/>
      </c>
      <c r="C671" s="4478" t="inlineStr">
        <is>
          <t>Yearly carbon balance</t>
        </is>
      </c>
      <c r="D671" s="4478" t="inlineStr">
        <is>
          <t>Balance carbone par an</t>
        </is>
      </c>
      <c r="E671" s="1064" t="inlineStr">
        <is>
          <t>Balance anual de carbono</t>
        </is>
      </c>
    </row>
    <row r="672">
      <c r="B672" s="2266">
        <f>IF(IF('1.Description'!$AA$9="english",C672,IF('1.Description'!$AA$9="français",D672,E672))=0,"",IF('1.Description'!$AA$9="english",C672,IF('1.Description'!$AA$9="français",D672,E672)))</f>
        <v/>
      </c>
      <c r="C672" s="4478" t="inlineStr">
        <is>
          <t>Cumulative carbon balance</t>
        </is>
      </c>
      <c r="D672" s="4478" t="inlineStr">
        <is>
          <t>Balance carbone cumulée</t>
        </is>
      </c>
      <c r="E672" s="1064" t="inlineStr">
        <is>
          <t>Balance de carbono acumulativo</t>
        </is>
      </c>
    </row>
    <row r="673">
      <c r="B673" s="2266">
        <f>IF(IF('1.Description'!$AA$9="english",C673,IF('1.Description'!$AA$9="français",D673,E673))=0,"",IF('1.Description'!$AA$9="english",C673,IF('1.Description'!$AA$9="français",D673,E673)))</f>
        <v/>
      </c>
      <c r="C673" s="4478" t="inlineStr">
        <is>
          <t>* Please note the provided annual values are an approximation of the actual annual fluxes</t>
        </is>
      </c>
      <c r="D673" s="4478" t="inlineStr">
        <is>
          <t>* Veuillez noter que les valeurs annuelles proposées sont une approximation des flux annuels</t>
        </is>
      </c>
      <c r="E673" s="1064" t="inlineStr">
        <is>
          <t>*Por favor tenga en cuenta que los valores anuales representan una aproximación de los flujos anuales reales.</t>
        </is>
      </c>
    </row>
    <row r="674">
      <c r="B674" s="2266">
        <f>IF(IF('1.Description'!$AA$9="english",C674,IF('1.Description'!$AA$9="français",D674,E674))=0,"",IF('1.Description'!$AA$9="english",C674,IF('1.Description'!$AA$9="français",D674,E674)))</f>
        <v/>
      </c>
      <c r="C674" s="4478" t="inlineStr">
        <is>
          <t>DETAILED MATRIX OF CHANGES FOR MINERAL SOILS</t>
        </is>
      </c>
      <c r="D674" s="4478" t="inlineStr">
        <is>
          <t>MATRIX DE CHANGEMENTS DETAILLÉES POUR SOLS MINERAUX</t>
        </is>
      </c>
      <c r="E674" s="1064" t="inlineStr">
        <is>
          <t>MATRIZ DE CAMBIOS DETALLADA PARA SUELO MINERALES</t>
        </is>
      </c>
    </row>
    <row r="675">
      <c r="B675" s="2266">
        <f>IF(IF('1.Description'!$AA$9="english",C675,IF('1.Description'!$AA$9="français",D675,E675))=0,"",IF('1.Description'!$AA$9="english",C675,IF('1.Description'!$AA$9="français",D675,E675)))</f>
        <v/>
      </c>
      <c r="C675" s="4478" t="inlineStr">
        <is>
          <t>WITHOUT PROJECT</t>
        </is>
      </c>
      <c r="D675" s="4478" t="inlineStr">
        <is>
          <t>SANS PROJET</t>
        </is>
      </c>
      <c r="E675" s="1064" t="inlineStr">
        <is>
          <t>SIN PROYECTO</t>
        </is>
      </c>
    </row>
    <row r="676">
      <c r="B676" s="2266">
        <f>IF(IF('1.Description'!$AA$9="english",C676,IF('1.Description'!$AA$9="français",D676,E676))=0,"",IF('1.Description'!$AA$9="english",C676,IF('1.Description'!$AA$9="français",D676,E676)))</f>
        <v/>
      </c>
      <c r="C676" s="4478" t="inlineStr">
        <is>
          <t>Forest</t>
        </is>
      </c>
      <c r="D676" s="4478" t="inlineStr">
        <is>
          <t>Foret</t>
        </is>
      </c>
      <c r="E676" s="1064" t="inlineStr">
        <is>
          <t>Bosque</t>
        </is>
      </c>
    </row>
    <row r="677">
      <c r="B677" s="2266">
        <f>IF(IF('1.Description'!$AA$9="english",C677,IF('1.Description'!$AA$9="français",D677,E677))=0,"",IF('1.Description'!$AA$9="english",C677,IF('1.Description'!$AA$9="français",D677,E677)))</f>
        <v/>
      </c>
      <c r="C677" s="4478" t="inlineStr">
        <is>
          <t>Annual cropland</t>
        </is>
      </c>
      <c r="D677" s="4478" t="inlineStr">
        <is>
          <t>Cultures annuelles</t>
        </is>
      </c>
      <c r="E677" s="1064" t="inlineStr">
        <is>
          <t>Cultivos anuales</t>
        </is>
      </c>
    </row>
    <row r="678">
      <c r="B678" s="2266">
        <f>IF(IF('1.Description'!$AA$9="english",C678,IF('1.Description'!$AA$9="français",D678,E678))=0,"",IF('1.Description'!$AA$9="english",C678,IF('1.Description'!$AA$9="français",D678,E678)))</f>
        <v/>
      </c>
      <c r="C678" s="4478" t="inlineStr">
        <is>
          <t>Agroforestry</t>
        </is>
      </c>
      <c r="D678" s="4478" t="inlineStr">
        <is>
          <t>Agroforestrie</t>
        </is>
      </c>
      <c r="E678" s="1064" t="inlineStr">
        <is>
          <t>Agroforestería</t>
        </is>
      </c>
    </row>
    <row r="679">
      <c r="B679" s="2266">
        <f>IF(IF('1.Description'!$AA$9="english",C679,IF('1.Description'!$AA$9="français",D679,E679))=0,"",IF('1.Description'!$AA$9="english",C679,IF('1.Description'!$AA$9="français",D679,E679)))</f>
        <v/>
      </c>
      <c r="C679" s="4478" t="inlineStr">
        <is>
          <t>Flooded rice</t>
        </is>
      </c>
      <c r="D679" s="4478" t="inlineStr">
        <is>
          <t>Riz inondé</t>
        </is>
      </c>
      <c r="E679" s="1064" t="inlineStr">
        <is>
          <t>Arroz inundado</t>
        </is>
      </c>
    </row>
    <row r="680">
      <c r="B680" s="2266">
        <f>IF(IF('1.Description'!$AA$9="english",C680,IF('1.Description'!$AA$9="français",D680,E680))=0,"",IF('1.Description'!$AA$9="english",C680,IF('1.Description'!$AA$9="français",D680,E680)))</f>
        <v/>
      </c>
      <c r="C680" s="4478" t="inlineStr">
        <is>
          <t>Grassland</t>
        </is>
      </c>
      <c r="D680" s="4478" t="inlineStr">
        <is>
          <t>Prairie</t>
        </is>
      </c>
      <c r="E680" s="1064" t="inlineStr">
        <is>
          <t>Pastizales</t>
        </is>
      </c>
    </row>
    <row r="681">
      <c r="B681" s="2266">
        <f>IF(IF('1.Description'!$AA$9="english",C681,IF('1.Description'!$AA$9="français",D681,E681))=0,"",IF('1.Description'!$AA$9="english",C681,IF('1.Description'!$AA$9="français",D681,E681)))</f>
        <v/>
      </c>
      <c r="C681" s="4478" t="inlineStr">
        <is>
          <t>Degraded land</t>
        </is>
      </c>
      <c r="D681" s="4478" t="inlineStr">
        <is>
          <t>Terre dégradée</t>
        </is>
      </c>
      <c r="E681" s="1064" t="inlineStr">
        <is>
          <t>Tierra degradada</t>
        </is>
      </c>
    </row>
    <row r="682">
      <c r="B682" s="2266">
        <f>IF(IF('1.Description'!$AA$9="english",C682,IF('1.Description'!$AA$9="français",D682,E682))=0,"",IF('1.Description'!$AA$9="english",C682,IF('1.Description'!$AA$9="français",D682,E682)))</f>
        <v/>
      </c>
      <c r="C682" s="4478" t="inlineStr">
        <is>
          <t>Other land</t>
        </is>
      </c>
      <c r="D682" s="4478" t="inlineStr">
        <is>
          <t>Autre terre</t>
        </is>
      </c>
      <c r="E682" s="1064" t="inlineStr">
        <is>
          <t>Otras tierras</t>
        </is>
      </c>
    </row>
    <row r="683">
      <c r="B683" s="2266">
        <f>IF(IF('1.Description'!$AA$9="english",C683,IF('1.Description'!$AA$9="français",D683,E683))=0,"",IF('1.Description'!$AA$9="english",C683,IF('1.Description'!$AA$9="français",D683,E683)))</f>
        <v/>
      </c>
      <c r="C683" s="4478" t="inlineStr">
        <is>
          <t>Total area without project (ha)</t>
        </is>
      </c>
      <c r="D683" s="4478" t="inlineStr">
        <is>
          <t>Surface totale sans projet (ha)</t>
        </is>
      </c>
      <c r="E683" s="1064" t="inlineStr">
        <is>
          <t>Área total sin proyecto (ha)</t>
        </is>
      </c>
    </row>
    <row r="684">
      <c r="B684" s="2266">
        <f>IF(IF('1.Description'!$AA$9="english",C684,IF('1.Description'!$AA$9="français",D684,E684))=0,"",IF('1.Description'!$AA$9="english",C684,IF('1.Description'!$AA$9="français",D684,E684)))</f>
        <v/>
      </c>
      <c r="C684" s="4478" t="inlineStr">
        <is>
          <t>WITH PROJECT</t>
        </is>
      </c>
      <c r="D684" s="4478" t="inlineStr">
        <is>
          <t>AVEC PROJET</t>
        </is>
      </c>
      <c r="E684" s="1064" t="inlineStr">
        <is>
          <t>CON PROYECTO</t>
        </is>
      </c>
    </row>
    <row r="685">
      <c r="B685" s="2266">
        <f>IF(IF('1.Description'!$AA$9="english",C685,IF('1.Description'!$AA$9="français",D685,E685))=0,"",IF('1.Description'!$AA$9="english",C685,IF('1.Description'!$AA$9="français",D685,E685)))</f>
        <v/>
      </c>
      <c r="C685" s="4478" t="inlineStr">
        <is>
          <t>Total area with project (ha)</t>
        </is>
      </c>
      <c r="D685" s="4478" t="inlineStr">
        <is>
          <t>Surface totale avec projet (ha)</t>
        </is>
      </c>
      <c r="E685" s="1064" t="inlineStr">
        <is>
          <t>Área total con proyecto (ha)</t>
        </is>
      </c>
    </row>
    <row r="686">
      <c r="B686" s="2266">
        <f>IF(IF('1.Description'!$AA$9="english",C686,IF('1.Description'!$AA$9="français",D686,E686))=0,"",IF('1.Description'!$AA$9="english",C686,IF('1.Description'!$AA$9="français",D686,E686)))</f>
        <v/>
      </c>
      <c r="C686" s="4478" t="inlineStr">
        <is>
          <t>Forest</t>
        </is>
      </c>
      <c r="D686" s="4478" t="inlineStr">
        <is>
          <t>Foret</t>
        </is>
      </c>
      <c r="E686" s="1064" t="inlineStr">
        <is>
          <t>Bosque</t>
        </is>
      </c>
    </row>
    <row r="687">
      <c r="B687" s="2266">
        <f>IF(IF('1.Description'!$AA$9="english",C687,IF('1.Description'!$AA$9="français",D687,E687))=0,"",IF('1.Description'!$AA$9="english",C687,IF('1.Description'!$AA$9="français",D687,E687)))</f>
        <v/>
      </c>
      <c r="C687" s="4478" t="inlineStr">
        <is>
          <t>Annual</t>
        </is>
      </c>
      <c r="D687" s="4478" t="inlineStr">
        <is>
          <t>Cultures annuelles</t>
        </is>
      </c>
      <c r="E687" s="1064" t="inlineStr">
        <is>
          <t>Cultivos Anuales</t>
        </is>
      </c>
    </row>
    <row r="688">
      <c r="B688" s="2266">
        <f>IF(IF('1.Description'!$AA$9="english",C688,IF('1.Description'!$AA$9="français",D688,E688))=0,"",IF('1.Description'!$AA$9="english",C688,IF('1.Description'!$AA$9="français",D688,E688)))</f>
        <v/>
      </c>
      <c r="C688" s="4478" t="inlineStr">
        <is>
          <t>Perennial</t>
        </is>
      </c>
      <c r="D688" s="4478" t="inlineStr">
        <is>
          <t>Cultures perennes</t>
        </is>
      </c>
      <c r="E688" s="1064" t="inlineStr">
        <is>
          <t>Cultivos perennes</t>
        </is>
      </c>
    </row>
    <row r="689">
      <c r="B689" s="2266">
        <f>IF(IF('1.Description'!$AA$9="english",C689,IF('1.Description'!$AA$9="français",D689,E689))=0,"",IF('1.Description'!$AA$9="english",C689,IF('1.Description'!$AA$9="français",D689,E689)))</f>
        <v/>
      </c>
      <c r="C689" s="4478" t="inlineStr">
        <is>
          <t>Flooded rice</t>
        </is>
      </c>
      <c r="D689" s="4478" t="inlineStr">
        <is>
          <t>Riz inondé</t>
        </is>
      </c>
      <c r="E689" s="1064" t="inlineStr">
        <is>
          <t>Arroz inundado</t>
        </is>
      </c>
    </row>
    <row r="690">
      <c r="B690" s="2266">
        <f>IF(IF('1.Description'!$AA$9="english",C690,IF('1.Description'!$AA$9="français",D690,E690))=0,"",IF('1.Description'!$AA$9="english",C690,IF('1.Description'!$AA$9="français",D690,E690)))</f>
        <v/>
      </c>
      <c r="C690" s="4478" t="inlineStr">
        <is>
          <t>Grassland</t>
        </is>
      </c>
      <c r="D690" s="4478" t="inlineStr">
        <is>
          <t>Prairie</t>
        </is>
      </c>
      <c r="E690" s="1064" t="inlineStr">
        <is>
          <t>Pastizales</t>
        </is>
      </c>
    </row>
    <row r="691">
      <c r="B691" s="2266">
        <f>IF(IF('1.Description'!$AA$9="english",C691,IF('1.Description'!$AA$9="français",D691,E691))=0,"",IF('1.Description'!$AA$9="english",C691,IF('1.Description'!$AA$9="français",D691,E691)))</f>
        <v/>
      </c>
      <c r="C691" s="4478" t="inlineStr">
        <is>
          <t>Degraded land</t>
        </is>
      </c>
      <c r="D691" s="4478" t="inlineStr">
        <is>
          <t>Terre dégradée</t>
        </is>
      </c>
      <c r="E691" s="1064" t="inlineStr">
        <is>
          <t>Tierra degradada</t>
        </is>
      </c>
    </row>
    <row r="692">
      <c r="B692" s="2266">
        <f>IF(IF('1.Description'!$AA$9="english",C692,IF('1.Description'!$AA$9="français",D692,E692))=0,"",IF('1.Description'!$AA$9="english",C692,IF('1.Description'!$AA$9="français",D692,E692)))</f>
        <v/>
      </c>
      <c r="C692" s="4478" t="inlineStr">
        <is>
          <t>Other land</t>
        </is>
      </c>
      <c r="D692" s="4478" t="inlineStr">
        <is>
          <t>Autre terre</t>
        </is>
      </c>
      <c r="E692" s="1064" t="inlineStr">
        <is>
          <t>Otras tierras</t>
        </is>
      </c>
    </row>
    <row r="693">
      <c r="B693" s="2266">
        <f>IF(IF('1.Description'!$AA$9="english",C693,IF('1.Description'!$AA$9="français",D693,E693))=0,"",IF('1.Description'!$AA$9="english",C693,IF('1.Description'!$AA$9="français",D693,E693)))</f>
        <v/>
      </c>
      <c r="C693" s="4478" t="inlineStr">
        <is>
          <t>DETAILED RESULTS ORGANIC SOILS</t>
        </is>
      </c>
      <c r="D693" s="4478" t="inlineStr">
        <is>
          <t>RESULTATS DETAILLÉS POUR SOL ORGANIQUES</t>
        </is>
      </c>
      <c r="E693" s="1064" t="inlineStr">
        <is>
          <t>RESULTADOS DETALLADOS PARA SUELOS ORGÁNICOS</t>
        </is>
      </c>
    </row>
    <row r="694" ht="17" customHeight="1">
      <c r="B694" s="2266">
        <f>IF(IF('1.Description'!$AA$9="english",C694,IF('1.Description'!$AA$9="français",D694,E694))=0,"",IF('1.Description'!$AA$9="english",C694,IF('1.Description'!$AA$9="français",D694,E694)))</f>
        <v/>
      </c>
      <c r="C694" s="4478" t="inlineStr">
        <is>
          <t>N2O SOIL</t>
        </is>
      </c>
      <c r="D694" s="4478" t="inlineStr">
        <is>
          <t>N2O SOL</t>
        </is>
      </c>
      <c r="E694" s="1064" t="inlineStr">
        <is>
          <t>N2O SUELO</t>
        </is>
      </c>
    </row>
    <row r="695" ht="17" customHeight="1">
      <c r="B695" s="2266">
        <f>IF(IF('1.Description'!$AA$9="english",C695,IF('1.Description'!$AA$9="français",D695,E695))=0,"",IF('1.Description'!$AA$9="english",C695,IF('1.Description'!$AA$9="français",D695,E695)))</f>
        <v/>
      </c>
      <c r="C695" s="4478" t="inlineStr">
        <is>
          <t>CH4 SOIL</t>
        </is>
      </c>
      <c r="D695" s="4478" t="inlineStr">
        <is>
          <t>CH4 SOL</t>
        </is>
      </c>
      <c r="E695" s="1064" t="inlineStr">
        <is>
          <t>CH4 SUELO</t>
        </is>
      </c>
    </row>
    <row r="696">
      <c r="B696" s="2266">
        <f>IF(IF('1.Description'!$AA$9="english",C696,IF('1.Description'!$AA$9="français",D696,E696))=0,"",IF('1.Description'!$AA$9="english",C696,IF('1.Description'!$AA$9="français",D696,E696)))</f>
        <v/>
      </c>
      <c r="C696" s="4478" t="inlineStr">
        <is>
          <t>FIRE</t>
        </is>
      </c>
      <c r="D696" s="4478" t="inlineStr">
        <is>
          <t>FEU</t>
        </is>
      </c>
      <c r="E696" s="1064" t="inlineStr">
        <is>
          <t>FUEGO</t>
        </is>
      </c>
    </row>
    <row r="697">
      <c r="B697" s="2266">
        <f>IF(IF('1.Description'!$AA$9="english",C697,IF('1.Description'!$AA$9="français",D697,E697))=0,"",IF('1.Description'!$AA$9="english",C697,IF('1.Description'!$AA$9="français",D697,E697)))</f>
        <v/>
      </c>
      <c r="C697" s="4478" t="inlineStr">
        <is>
          <t>Share of the balance per activities, in tCO2-e</t>
        </is>
      </c>
      <c r="D697" s="4478" t="inlineStr">
        <is>
          <t>Part des activités dans la balance carbone, en tCO2-e</t>
        </is>
      </c>
      <c r="E697" s="1064" t="inlineStr">
        <is>
          <t>Porción del balance por actividad</t>
        </is>
      </c>
    </row>
    <row r="698">
      <c r="B698" s="2266">
        <f>IF(IF('1.Description'!$AA$9="english",C698,IF('1.Description'!$AA$9="français",D698,E698))=0,"",IF('1.Description'!$AA$9="english",C698,IF('1.Description'!$AA$9="français",D698,E698)))</f>
        <v/>
      </c>
      <c r="C698" s="4478" t="inlineStr">
        <is>
          <t>Gross Fluxes Without Project, in tCO2-e</t>
        </is>
      </c>
      <c r="D698" s="4478" t="inlineStr">
        <is>
          <t>Fluxs bruts sans projet, en tCO2-e</t>
        </is>
      </c>
      <c r="E698" s="1064" t="inlineStr">
        <is>
          <t>Flujos brutos sin proyecto, en tCO2-e</t>
        </is>
      </c>
    </row>
    <row r="699">
      <c r="B699" s="2266">
        <f>IF(IF('1.Description'!$AA$9="english",C699,IF('1.Description'!$AA$9="français",D699,E699))=0,"",IF('1.Description'!$AA$9="english",C699,IF('1.Description'!$AA$9="français",D699,E699)))</f>
        <v/>
      </c>
      <c r="C699" s="4478" t="inlineStr">
        <is>
          <t>Gross Fluxes With Project, in tCO2-e</t>
        </is>
      </c>
      <c r="D699" s="4478" t="inlineStr">
        <is>
          <t>Fluxs bruts avec projet, en tCO2-e</t>
        </is>
      </c>
      <c r="E699" s="1064" t="inlineStr">
        <is>
          <t>Flujos brutos con proyecto, en tCO2-e</t>
        </is>
      </c>
    </row>
    <row r="700">
      <c r="B700" s="2266">
        <f>IF(IF('1.Description'!$AA$9="english",C700,IF('1.Description'!$AA$9="français",D700,E700))=0,"",IF('1.Description'!$AA$9="english",C700,IF('1.Description'!$AA$9="français",D700,E700)))</f>
        <v/>
      </c>
      <c r="C700" s="4478" t="inlineStr">
        <is>
          <t>DETAILED MATRIX OF CHANGES FOR ORGANIC SOILS</t>
        </is>
      </c>
      <c r="D700" s="4478" t="inlineStr">
        <is>
          <t>MATRIX DETAILLÉE DES CHANGEMENTS SUR SOLS ORGANIQUES</t>
        </is>
      </c>
      <c r="E700" s="1064" t="inlineStr">
        <is>
          <t xml:space="preserve">MATRIZ DE CAMBIOS DETALLADA PARA SUELOS MINERALES </t>
        </is>
      </c>
    </row>
    <row r="701">
      <c r="B701" s="2266">
        <f>IF(IF('1.Description'!$AA$9="english",C701,IF('1.Description'!$AA$9="français",D701,E701))=0,"",IF('1.Description'!$AA$9="english",C701,IF('1.Description'!$AA$9="français",D701,E701)))</f>
        <v/>
      </c>
      <c r="C701" s="4478" t="inlineStr">
        <is>
          <t>Uncertainty level</t>
        </is>
      </c>
      <c r="D701" s="4478" t="inlineStr">
        <is>
          <t>Niveau d'incertitude</t>
        </is>
      </c>
      <c r="E701" s="1064" t="inlineStr">
        <is>
          <t>Nivel de incertidumbre</t>
        </is>
      </c>
    </row>
    <row r="702">
      <c r="B702" s="2266">
        <f>IF(IF('1.Description'!$AA$9="english",C702,IF('1.Description'!$AA$9="français",D702,E702))=0,"",IF('1.Description'!$AA$9="english",C702,IF('1.Description'!$AA$9="français",D702,E702)))</f>
        <v/>
      </c>
      <c r="C702" s="4478" t="inlineStr">
        <is>
          <t>tCO2-e/yr</t>
        </is>
      </c>
      <c r="D702" s="4478" t="inlineStr">
        <is>
          <t>tCO2-e/an</t>
        </is>
      </c>
      <c r="E702" s="1064" t="inlineStr">
        <is>
          <t>tCO2-e/año</t>
        </is>
      </c>
    </row>
    <row r="703">
      <c r="B703" s="2266">
        <f>IF(IF('1.Description'!$AA$9="english",C703,IF('1.Description'!$AA$9="français",D703,E703))=0,"",IF('1.Description'!$AA$9="english",C703,IF('1.Description'!$AA$9="français",D703,E703)))</f>
        <v/>
      </c>
      <c r="C703" s="4478" t="inlineStr">
        <is>
          <t>Percent</t>
        </is>
      </c>
      <c r="D703" s="4478" t="inlineStr">
        <is>
          <t>Pourcentage</t>
        </is>
      </c>
      <c r="E703" s="1064" t="inlineStr">
        <is>
          <t>Porcentaje</t>
        </is>
      </c>
    </row>
    <row r="704">
      <c r="B704" s="2266">
        <f>IF(IF('1.Description'!$AA$9="english",C704,IF('1.Description'!$AA$9="français",D704,E704))=0,"",IF('1.Description'!$AA$9="english",C704,IF('1.Description'!$AA$9="français",D704,E704)))</f>
        <v/>
      </c>
      <c r="C704" s="4478" t="inlineStr">
        <is>
          <t>Non-forest land management</t>
        </is>
      </c>
      <c r="D704" s="4478" t="inlineStr">
        <is>
          <t>Autre gestion de l'utilisation des terres</t>
        </is>
      </c>
      <c r="E704" s="1064" t="inlineStr">
        <is>
          <t>Gestión de otros usos de la tierra</t>
        </is>
      </c>
    </row>
    <row r="705">
      <c r="B705" s="2266">
        <f>IF(IF('1.Description'!$AA$9="english",C705,IF('1.Description'!$AA$9="français",D705,E705))=0,"",IF('1.Description'!$AA$9="english",C705,IF('1.Description'!$AA$9="français",D705,E705)))</f>
        <v/>
      </c>
      <c r="C705" s="4478" t="inlineStr">
        <is>
          <t>Peat extraction</t>
        </is>
      </c>
      <c r="D705" s="4478" t="inlineStr">
        <is>
          <t>Ectraction de tourbe</t>
        </is>
      </c>
      <c r="E705" s="1064" t="inlineStr">
        <is>
          <t xml:space="preserve">Extracción de turba </t>
        </is>
      </c>
    </row>
    <row r="706">
      <c r="A706" s="4477" t="n"/>
      <c r="B706" s="2266">
        <f>IF(IF('1.Description'!$AA$9="english",C706,IF('1.Description'!$AA$9="français",D706,E706))=0,"",IF('1.Description'!$AA$9="english",C706,IF('1.Description'!$AA$9="français",D706,E706)))</f>
        <v/>
      </c>
      <c r="C706" s="4477" t="n"/>
      <c r="D706" s="4477" t="n"/>
      <c r="E706" s="4477" t="n"/>
      <c r="F706" s="4477" t="n"/>
      <c r="G706" s="4477" t="n"/>
      <c r="H706" s="4477" t="n"/>
      <c r="I706" s="4477" t="n"/>
      <c r="J706" s="4477" t="n"/>
    </row>
    <row r="707">
      <c r="A707" s="1064" t="inlineStr">
        <is>
          <t>Definitions</t>
        </is>
      </c>
      <c r="B707" s="2266">
        <f>IF(IF('1.Description'!$AA$9="english",C707,IF('1.Description'!$AA$9="français",D707,E707))=0,"",IF('1.Description'!$AA$9="english",C707,IF('1.Description'!$AA$9="français",D707,E707)))</f>
        <v/>
      </c>
      <c r="C707" s="1064" t="inlineStr">
        <is>
          <t>Represents area that has been continuously managed for predominantly annual crops over 50 yrs.</t>
        </is>
      </c>
      <c r="D707" s="1064" t="inlineStr">
        <is>
          <t>Représente une zone qui a été gérée de manière continue majoritairement pour des cultures annuelles pendant plus de 50 ans.</t>
        </is>
      </c>
      <c r="E707" s="1064" t="inlineStr">
        <is>
          <t>Representa un área que se ha gestionado de forma continua para cultivos predominantemente anuales durante 50 años.</t>
        </is>
      </c>
    </row>
    <row r="708">
      <c r="B708" s="2266">
        <f>IF(IF('1.Description'!$AA$9="english",C708,IF('1.Description'!$AA$9="français",D708,E708))=0,"",IF('1.Description'!$AA$9="english",C708,IF('1.Description'!$AA$9="français",D708,E708)))</f>
        <v/>
      </c>
      <c r="C708" s="1064" t="inlineStr">
        <is>
          <t>Long-term perennial tree crops such as fruit and nut trees, coffee and cacao.</t>
        </is>
      </c>
      <c r="D708" s="1064" t="inlineStr">
        <is>
          <t>Les cultures arboricoles pérennes à long terme telles que les arbres fruitiers et les arbres à noix, le café et le cacao.</t>
        </is>
      </c>
      <c r="E708" s="1064" t="inlineStr">
        <is>
          <t>Cultivos arbóreos perennes de larga duración, como los árboles frutales y los frutos secos, el café y el cacao.</t>
        </is>
      </c>
    </row>
    <row r="709">
      <c r="B709" s="2266">
        <f>IF(IF('1.Description'!$AA$9="english",C709,IF('1.Description'!$AA$9="français",D709,E709))=0,"",IF('1.Description'!$AA$9="english",C709,IF('1.Description'!$AA$9="français",D709,E709)))</f>
        <v/>
      </c>
      <c r="C709" s="1064" t="inlineStr">
        <is>
          <t>Substantial soil disturbance with full inversion and/or frequent (within year) tillage operations.  At planting time, little (e.g., &lt;30%) of the surface is covered by residues.</t>
        </is>
      </c>
      <c r="D709" s="1064" t="inlineStr">
        <is>
          <t>Perturbation importante du sol avec inversion totale et/ou opérations de labour fréquentes (dans l'année). Au moment de la plantation, une petite partie (par exemple, &lt;30%) de la surface est couverte de résidus.</t>
        </is>
      </c>
      <c r="E709" s="1064" t="inlineStr">
        <is>
          <t>Alteración sustancial del suelo con inversión total y/o operaciones de laboreo frecuentes (en un año).  En el momento de la siembra, una pequeña parte (por ejemplo, &lt;30%) de la superficie está cubierta por residuos.</t>
        </is>
      </c>
    </row>
    <row r="710">
      <c r="B710" s="2266">
        <f>IF(IF('1.Description'!$AA$9="english",C710,IF('1.Description'!$AA$9="français",D710,E710))=0,"",IF('1.Description'!$AA$9="english",C710,IF('1.Description'!$AA$9="français",D710,E710)))</f>
        <v/>
      </c>
      <c r="C710" s="1064" t="inlineStr">
        <is>
          <t>Primary and/or secondary tillage but with reduced soil disturbance (usually shallow and without full soil inversion). Normally leaves surface with &gt;30% coverage by residues at planting.</t>
        </is>
      </c>
      <c r="D710" s="1064" t="inlineStr">
        <is>
          <t>Travail du sol primaire et/ou secondaire mais avec une perturbation réduite du sol (généralement peu profonde et sans inversion complète du sol). Normalement, il se traduit par une surface couverte à plus de 30 % par les résidus au moment de la plantation.</t>
        </is>
      </c>
      <c r="E710" s="1064" t="inlineStr">
        <is>
          <t>Labranza primaria y/o secundaria, pero con una alteración reducida del suelo (normalmente poco profunda y sin inversión total del suelo). Normalmente en el momento de la siembra, la superficie contiene una cobertura de residuos superior al 30%.</t>
        </is>
      </c>
    </row>
    <row r="711">
      <c r="B711" s="2266">
        <f>IF(IF('1.Description'!$AA$9="english",C711,IF('1.Description'!$AA$9="français",D711,E711))=0,"",IF('1.Description'!$AA$9="english",C711,IF('1.Description'!$AA$9="français",D711,E711)))</f>
        <v/>
      </c>
      <c r="C711" s="1064" t="inlineStr">
        <is>
          <t>Direct seeding without primary tillage, with only minimal soil disturbance in the seeding zone.  Herbicides are typically used for weed control.</t>
        </is>
      </c>
      <c r="D711" s="1064" t="inlineStr">
        <is>
          <t>Semis direct sans travail du sol primaire, avec une perturbation minimale du sol dans la zone de semis. Les herbicides sont généralement utilisés pour lutter contre les mauvaises herbes.</t>
        </is>
      </c>
      <c r="E711" s="1064" t="inlineStr">
        <is>
          <t>Siembra directa sin laboreo primario, con una mínima alteración del suelo en la zona de siembra.  Normalmente se utilizan herbicidas para el control de las malas hierbas.</t>
        </is>
      </c>
    </row>
    <row r="712">
      <c r="B712" s="2266">
        <f>IF(IF('1.Description'!$AA$9="english",C712,IF('1.Description'!$AA$9="français",D712,E712))=0,"",IF('1.Description'!$AA$9="english",C712,IF('1.Description'!$AA$9="français",D712,E712)))</f>
        <v/>
      </c>
      <c r="C712" s="1064" t="inlineStr">
        <is>
          <t>Low C input cropland systems are defined by one of the following conditions: 
(1) The crop residues of annual crops are removed or burnt without using organic amendments (e.g. manure) or 
(2) Low residue yielding crops are cultivated (e.g cotton, green maize, vegetables, tobacco) or frequent rotation with bare fallow without  organic  amendments, cover crops/green manures, and mixed crop/grass systems or 
(3) Annual crops with no mineral fertilization or N-fixing crops without irrigation, cover crops/green manures, vegetated fallows, high residue yielding crops and mixed crop/grass systems</t>
        </is>
      </c>
      <c r="D712" s="1064" t="inlineStr">
        <is>
          <t xml:space="preserve">Les systèmes de culture à faible apport en carbone sont définis par l'une des conditions suivantes : 
(1) les résidus des cultures annuelles sont enlevés ou brûlés sans utiliser d'amendements organiques (par exemple, du fumier) ou 
(2) des cultures à faible rendement en résidus sont cultivées (par exemple : coton, maïs vert, légumes, tabac) ou une rotation fréquente avec une jachère nue sans amendement organique, sans culture de couverture/fumier vert et sans système mixte culture/graminées ou 
(3) des cultures annuelles sans fertilisation minérale ou des cultures à fixation d'azote sans irrigation, sans culture de couverture/fumier vert ; sans jachère végétalisée, sans culture à haut rendement en résidus et des systèmes mixtes culture/graminées.
</t>
        </is>
      </c>
      <c r="E712" s="1064" t="inlineStr">
        <is>
          <t>Los sistemas de cultivo de bajo aporte de C se definen por una de las siguientes condiciones 
(1) Los residuos de los cultivos anuales se eliminan o se queman sin utilizar enmiendas orgánicas (por ejemplo, estiércol) o 
(2) Se realizan cultivos de bajo rendimiento de residuos (p. ej., algodón, maíz verde, hortalizas, tabaco) o una rotación frecuente con barbecho desnudo sin enmiendas orgánicas, cultivos de cobertura/abonos verdes y sistemas mixtos de cultivos y pastos o 
(3) Cultivos anuales sin fertilización mineral o cultivos fijadores de N sin riego, cultivos de cobertura/abonos verdes, barbechos con vegetación, cultivos de alto rendimiento de residuos y sistemas mixtos de cultivos y pastos</t>
        </is>
      </c>
    </row>
    <row r="713">
      <c r="B713" s="2266">
        <f>IF(IF('1.Description'!$AA$9="english",C713,IF('1.Description'!$AA$9="français",D713,E713))=0,"",IF('1.Description'!$AA$9="english",C713,IF('1.Description'!$AA$9="français",D713,E713)))</f>
        <v/>
      </c>
      <c r="C713" s="1064" t="inlineStr">
        <is>
          <t>Medium C input cropland systems are defined by one of the following conditions: 
(1) annual cropping with cereals where all crop residues are returned to the field; or 
(2) the crop residues of annual crops are removed or burnt BUT  organic amendments (e.g. manure) are applied or 
(3) low residue crops are cultivated (e.g cotton, green maize, vegetables, tobacco) or frequent rotation with bare fallow  BUT using practices that increase C input above low residue varieties such as using organic amendments,  cover crops/green manures, and mixed crop/grass systems or 
(4) annual crops with no mineral fertilization or N-fixing crops BUT using practices that increase C input by enhancing residue production such as irrigation, cover crops/green manures, vegetated fallows, high residue yielding.</t>
        </is>
      </c>
      <c r="D713" s="1064" t="inlineStr">
        <is>
          <t>Les systèmes de culture à apport moyen en carbone sont définis par l'une des conditions suivantes :
(1) culture annuelle avec céréales où tous les résidus de culture sont retournés au champ ou 
(2) les résidus des cultures annuelles sont enlevés ou brûlés MAIS des amendements organiques (par ex.
fumier) sont appliqués ou 
(3) des cultures à faible rendement résiduel sont cultivées (par ex. coton, maïs vert, légumes, tabac) ou une rotation fréquente avec jachère nue MAIS en utilisant des pratiques qui augmentent l'apport en carbone par rapport aux variétés à faibles résidus, telles que l'utilisation d'amendements organiques, des cultures de couverture/des engrais verts et des systèmes mixtes culture/herbe ou 
(4) cultures annuelles sans fertilisation minérale ou culture fixant l’azote MAIS en utilisant des pratiques qui augmentent l’apport de carbone en améliorant la production des résidus, telles que l’irrigation, les cultures de couverture/fumiers verts, les jachères végétalisées, les rendements élevés de résidus.</t>
        </is>
      </c>
      <c r="E713" s="1064" t="inlineStr">
        <is>
          <t>Los sistemas de cultivo con aportes medios de C se definen por una de las siguientes condiciones 
(1) cultivos anuales con cereales en los que todos los residuos de los cultivos se devuelven al campo; o 
(2) los residuos de los cultivos anuales se eliminan o se queman PERO se aplican enmiendas orgánicas (por ejemplo, estiércol) o 
(3) se realizan cultivos de bajo residuo (p. ej. algodón, maíz verde, hortalizas, tabaco) o rotación frecuente con barbecho desnudo PERO utilizando prácticas que aumentan el aporte de C por encima de las variedades de bajo residuo, como el uso de enmiendas orgánicas, cultivos de cobertura/abonos verdes y sistemas mixtos de cultivos y pastos o 
(4) cultivos anuales sin fertilización mineral o cultivos fijadores de N, PERO utilizando prácticas que aumenten el aporte de C mediante la mejora de la producción de residuos, como el riego, los cultivos de cobertura/abonos verdes, los barbechos con vegetación, el alto rendimiento de los residuos.</t>
        </is>
      </c>
    </row>
    <row r="714">
      <c r="B714" s="2266">
        <f>IF(IF('1.Description'!$AA$9="english",C714,IF('1.Description'!$AA$9="français",D714,E714))=0,"",IF('1.Description'!$AA$9="english",C714,IF('1.Description'!$AA$9="français",D714,E714)))</f>
        <v/>
      </c>
      <c r="C714" s="1064" t="inlineStr">
        <is>
          <t xml:space="preserve">The crop residues of annual crops are neither  removed nor burnt. It represents significantly greater crop residue inputs over medium C input cropping systems due to additional practices, such as production of high residue yielding crops, use of green manures, cover crops, improved vegetated fallows, irrigation, frequent use of perennial grasses in annual crop rotations,  but without manure applied. 
</t>
        </is>
      </c>
      <c r="D714" s="1064" t="inlineStr">
        <is>
          <t>Les résidus de cultures annuelles ne sont ni enlevés ni brûlés. Cela représente un apport de résidus de culture nettement plus important que des systèmes de culture à apport moyen de carbone, en raison de pratiques supplémentaires telles que la production de cultures à haut rendement de résidus, l’utilisation d’engrais verts, de cultures de couverture, de jachères améliorées, d’irrigation, et l’utilisation fréquente de graminées vivaces dans la rotation des cultures annuelles, mais sans épandage de fumier.</t>
        </is>
      </c>
      <c r="E714" s="1064" t="inlineStr">
        <is>
          <t xml:space="preserve">Los residuos de los cultivos anuales no se eliminan ni se queman. Representa un aporte de residuos de cultivos significativamente mayor que el de los sistemas de cultivo con aportes medios de C debido a prácticas adicionales, como la producción de cultivos con alto rendimiento de residuos, el uso de abonos verdes, los cultivos de cobertura, los barbechos con vegetación mejorada, el riego, el uso frecuente de hierbas perennes en las rotaciones de cultivos anuales, pero sin aplicar estiércol. </t>
        </is>
      </c>
    </row>
    <row r="715">
      <c r="B715" s="2266">
        <f>IF(IF('1.Description'!$AA$9="english",C715,IF('1.Description'!$AA$9="français",D715,E715))=0,"",IF('1.Description'!$AA$9="english",C715,IF('1.Description'!$AA$9="français",D715,E715)))</f>
        <v/>
      </c>
      <c r="C715" s="1064" t="inlineStr">
        <is>
          <t>Represents significantly higher C input over medium C input cropping systems due to an additional practice of regular addition of animal manure.</t>
        </is>
      </c>
      <c r="D715" s="1064" t="inlineStr">
        <is>
          <t>Représente un apport en carbone nettement plus élevé que dans les systèmes de culture à apport moyen de carbone, en raison d'une pratique supplémentaire consistant à ajouter régulièrement du fumier animal.</t>
        </is>
      </c>
      <c r="E715" s="1064" t="inlineStr">
        <is>
          <t xml:space="preserve">Representa una aportación de C significativamente mayor que los sistemas de cultivo con aportación media de C debido a una práctica adicional de adición regular de estiércol animal. </t>
        </is>
      </c>
    </row>
    <row r="716">
      <c r="B716" s="2266">
        <f>IF(IF('1.Description'!$AA$9="english",C716,IF('1.Description'!$AA$9="français",D716,E716))=0,"",IF('1.Description'!$AA$9="english",C716,IF('1.Description'!$AA$9="français",D716,E716)))</f>
        <v/>
      </c>
      <c r="C716" s="1064" t="inlineStr">
        <is>
          <t>Crop residues are left on the field site to decompose and be re-incorporated in the crop’s soil. Retaining of residues is usually associated with reduced or no-till practices.</t>
        </is>
      </c>
      <c r="D716" s="1064" t="inlineStr">
        <is>
          <t>Les résidus de culture sont laissés sur le site du champ pour se décomposer et être réincorporés dans le sol de la culture. La conservation des résidus est généralement associée à des pratiques de travail réduit du sol ou de semis direct.</t>
        </is>
      </c>
      <c r="E716" s="1064" t="inlineStr">
        <is>
          <t>Los residuos de los cultivos se dejan en el terreno para que se descompongan y se reincorporen al suelo del cultivo. La retención de residuos suele estar asociada a las prácticas de labranza reducida o sin labranza.</t>
        </is>
      </c>
    </row>
    <row r="717">
      <c r="B717" s="2266">
        <f>IF(IF('1.Description'!$AA$9="english",C717,IF('1.Description'!$AA$9="français",D717,E717))=0,"",IF('1.Description'!$AA$9="english",C717,IF('1.Description'!$AA$9="français",D717,E717)))</f>
        <v/>
      </c>
      <c r="C717" s="1064" t="inlineStr">
        <is>
          <t xml:space="preserve">Crop residues are removed from the field site, in order to be used for other activities (e.g. feeding, energy production). </t>
        </is>
      </c>
      <c r="D717" s="1064" t="inlineStr">
        <is>
          <t>Les résidus de culture sont retirés du site du champ, afin d'être utilisés pour d'autres activités (par exemple, l'alimentation, la production d'énergie).</t>
        </is>
      </c>
      <c r="E717" s="1064" t="inlineStr">
        <is>
          <t xml:space="preserve">Los residuos de las cosechas se retiran del campo para utilizarlos en otras actividades (por ejemplo, alimentación o producción de energía). </t>
        </is>
      </c>
    </row>
    <row r="718">
      <c r="B718" s="2266">
        <f>IF(IF('1.Description'!$AA$9="english",C718,IF('1.Description'!$AA$9="français",D718,E718))=0,"",IF('1.Description'!$AA$9="english",C718,IF('1.Description'!$AA$9="français",D718,E718)))</f>
        <v/>
      </c>
      <c r="C718" s="1064" t="inlineStr">
        <is>
          <t>Crop residues are burnt.</t>
        </is>
      </c>
      <c r="D718" s="1064" t="inlineStr">
        <is>
          <t>Les résidus de récoltes sont brûlés.</t>
        </is>
      </c>
      <c r="E718" s="1064" t="inlineStr">
        <is>
          <t>Los residuos de las cosechas se queman.</t>
        </is>
      </c>
    </row>
    <row r="719">
      <c r="B719" s="2266">
        <f>IF(IF('1.Description'!$AA$9="english",C719,IF('1.Description'!$AA$9="français",D719,E719))=0,"",IF('1.Description'!$AA$9="english",C719,IF('1.Description'!$AA$9="français",D719,E719)))</f>
        <v/>
      </c>
    </row>
    <row r="720">
      <c r="B720" s="2266">
        <f>IF(IF('1.Description'!$AA$9="english",C720,IF('1.Description'!$AA$9="français",D720,E720))=0,"",IF('1.Description'!$AA$9="english",C720,IF('1.Description'!$AA$9="français",D720,E720)))</f>
        <v/>
      </c>
      <c r="C720" s="1064" t="inlineStr">
        <is>
          <t>Land rested from cultivation, but comprises planted and managed trees, often leguminous, shrubs and herbaceous cover crops before it is cultivated again. Includes improved and natural fallows, and can be implemented before any of the following systems.</t>
        </is>
      </c>
      <c r="D720" s="1064" t="inlineStr">
        <is>
          <t>Les terres sont mises au repos, mais comprennent des arbres plantés et gérés, souvent des légumineuses, des arbustes et des plantes de couverture herbacées avant d'être à nouveau cultivées. Comprend les jachères améliorées et naturelles et peut être mis en oeuvre avant l'un des systèmes suivants.</t>
        </is>
      </c>
      <c r="E720" s="1064" t="inlineStr">
        <is>
          <t>Tierra en reposo del cultivo, pero que comprende árboles plantados y gestionados, a menudo leguminosas, arbustos y cultivos herbáceos de cobertura antes de volver a ser cultivada. Incluye los barbechos mejorados y naturales, y puede aplicarse antes de cualquiera de los siguientes sistemas.</t>
        </is>
      </c>
    </row>
    <row r="721">
      <c r="B721" s="2266">
        <f>IF(IF('1.Description'!$AA$9="english",C721,IF('1.Description'!$AA$9="français",D721,E721))=0,"",IF('1.Description'!$AA$9="english",C721,IF('1.Description'!$AA$9="français",D721,E721)))</f>
        <v/>
      </c>
      <c r="C721" s="1064" t="inlineStr">
        <is>
          <t>Linear plantation around fields, including shelterbelts, windbreaks, boundary plantings and live fences.</t>
        </is>
      </c>
      <c r="D721" s="1064" t="inlineStr">
        <is>
          <t>Plantations linéaires autour des champs, y compris les brise-vent, les plantations de limite et les clôtures vivantes.</t>
        </is>
      </c>
      <c r="E721" s="1064" t="inlineStr">
        <is>
          <t>Plantación lineal alrededor de los campos, incluyendo cinturones de protección, cortavientos, plantaciones en los límites y cercas vivas.</t>
        </is>
      </c>
    </row>
    <row r="722">
      <c r="B722" s="2266">
        <f>IF(IF('1.Description'!$AA$9="english",C722,IF('1.Description'!$AA$9="français",D722,E722))=0,"",IF('1.Description'!$AA$9="english",C722,IF('1.Description'!$AA$9="français",D722,E722)))</f>
        <v/>
      </c>
      <c r="C722" s="1064" t="inlineStr">
        <is>
          <t>Fast-growing, usually leguminous, woody species (mainly shrubs) grown in crop fields, usually at high densities. The woody species are regularly pruned  and the prunings are applied as mulch into the alleys as a source of organic matter and nutrients. Also known as intercropping.</t>
        </is>
      </c>
      <c r="D722" s="1064" t="inlineStr">
        <is>
          <t>Espèces ligneuses (principalement des arbustes) à croissance rapide, généralement des légumineuses, cultivées dans des champs de culture, généralement à forte densité. Les espèces ligneuses sont régulièrement taillées et les tailles sont appliquées comme paillis dans les allées comme source de matière organique et de nutriments.</t>
        </is>
      </c>
      <c r="E722" s="1064" t="inlineStr">
        <is>
          <t>Especies leñosas (principalmente arbustos) de crecimiento rápido, generalmente leguminosas, que se cultivan en los campos de cultivo, normalmente en altas densidades. Las especies leñosas se podan con regularidad y los restos de la poda se aplican como mantillo en los callejones como fuente de materia orgánica y nutrientes. También se conoce como cultivo intercalado.</t>
        </is>
      </c>
    </row>
    <row r="723">
      <c r="B723" s="2266">
        <f>IF(IF('1.Description'!$AA$9="english",C723,IF('1.Description'!$AA$9="français",D723,E723))=0,"",IF('1.Description'!$AA$9="english",C723,IF('1.Description'!$AA$9="français",D723,E723)))</f>
        <v/>
      </c>
      <c r="C723" s="1064" t="inlineStr">
        <is>
          <t>Multistorey combinations of a large number of various trees and perennial and annual crops. They include home gardens and agroforests.</t>
        </is>
      </c>
      <c r="D723" s="1064" t="inlineStr">
        <is>
          <t>Combinaisons à plusieurs étages d'un grand nombre d'arbres divers et de cultures pérennes et annuelles. Ils comprennent les jardins familiaux et les agroforêts.</t>
        </is>
      </c>
      <c r="E723" s="1064" t="inlineStr">
        <is>
          <t>Combinaciones de varios árboles y cultivos perennes y anuales. Incluyen los huertos domésticos y los agroforestales.</t>
        </is>
      </c>
    </row>
    <row r="724">
      <c r="B724" s="2266">
        <f>IF(IF('1.Description'!$AA$9="english",C724,IF('1.Description'!$AA$9="français",D724,E724))=0,"",IF('1.Description'!$AA$9="english",C724,IF('1.Description'!$AA$9="français",D724,E724)))</f>
        <v/>
      </c>
      <c r="C724" s="1064" t="inlineStr">
        <is>
          <t>Intercropping of agricultural crops or grazing land under low density mature scattered trees.  Typical of dry areas like Sahel (e.g. Faidherbia albida).</t>
        </is>
      </c>
      <c r="D724" s="1064" t="inlineStr">
        <is>
          <t>Espèces ligneuses (principalement des arbustes) à croissance rapide, généralement des légumineuses, cultivées dans des champs de culture, généralement à forte densité. Les espèces ligneuses sont régulièrement taillées et les tailles sont appliquées comme paillis dans les allées comme source de matière organique et de nutriments.</t>
        </is>
      </c>
      <c r="E724" s="1064" t="inlineStr">
        <is>
          <t>Intercalación de cultivos agrícolas o pastos bajo árboles maduros dispersos de baja densidad.  Típico de zonas secas como el Sahel (por ejemplo, Faidherbia albida).</t>
        </is>
      </c>
    </row>
    <row r="725">
      <c r="B725" s="2266">
        <f>IF(IF('1.Description'!$AA$9="english",C725,IF('1.Description'!$AA$9="français",D725,E725))=0,"",IF('1.Description'!$AA$9="english",C725,IF('1.Description'!$AA$9="français",D725,E725)))</f>
        <v/>
      </c>
      <c r="C725" s="1064" t="inlineStr">
        <is>
          <t>Growing shade-tolerant species such as cacao and coffee under, or in between, overstorey shade trees that can be used for timber or other commercial tree products</t>
        </is>
      </c>
      <c r="D725" s="1064" t="inlineStr">
        <is>
          <t>Culture d'espèces tolérantes à l'ombre, comme le cacao, sous ou entre les arbres d'ombrage de l'étage supérieur qui peuvent être utilisés pour le bois d'oeuvre ou d'autres produits commerciaux.</t>
        </is>
      </c>
      <c r="E725" s="1064" t="inlineStr">
        <is>
          <t>Cultivar especies tolerantes a la sombra, como el cacao y el café, debajo o entre los árboles de sombra que pueden utilizarse para obtener madera u otros productos arbóreos comerciales.</t>
        </is>
      </c>
    </row>
    <row r="726">
      <c r="B726" s="2266">
        <f>IF(IF('1.Description'!$AA$9="english",C726,IF('1.Description'!$AA$9="français",D726,E726))=0,"",IF('1.Description'!$AA$9="english",C726,IF('1.Description'!$AA$9="français",D726,E726)))</f>
        <v/>
      </c>
      <c r="C726" s="1064" t="inlineStr">
        <is>
          <t>Woody species planted in parallel tree rows to allow mechanization and intercropped with an annual crop; usually used for timber (e.p. Juglans spp), but also for fuel (e.g. Populus spp). Usually low tree density per hectare.</t>
        </is>
      </c>
      <c r="D726" s="1064" t="inlineStr">
        <is>
          <t>Espèces ligneuses plantées en rangées d'arbres parallèles pour permettre la mécanisation, et cultivées en intercalaire avec une culture annuelle, généralement utilisé pour le bois mais aussi pour le carburant. Faible densité d'arbres par ha.</t>
        </is>
      </c>
      <c r="E726" s="1064" t="inlineStr">
        <is>
          <t>Especies leñosas plantadas en hileras paralelas para permitir la mecanización e intercaladas con un cultivo anual; normalmente se utilizan para la madera (p. ej. Juglans spp), pero también como combustible (p. ej. Populus spp). Suele tener una baja densidad de árboles por hectárea.</t>
        </is>
      </c>
    </row>
    <row r="727">
      <c r="B727" s="2266">
        <f>IF(IF('1.Description'!$AA$9="english",C727,IF('1.Description'!$AA$9="français",D727,E727))=0,"",IF('1.Description'!$AA$9="english",C727,IF('1.Description'!$AA$9="français",D727,E727)))</f>
        <v/>
      </c>
      <c r="C727" s="1064" t="inlineStr">
        <is>
          <t>Woody species planted on permanent grasslands, often grazed.</t>
        </is>
      </c>
      <c r="D727" s="1064" t="inlineStr">
        <is>
          <t>Espèces ligneuses plantées sur des prairies permanentes, souvent pâturées.</t>
        </is>
      </c>
      <c r="E727" s="1064" t="inlineStr">
        <is>
          <t>Especies leñosas plantadas en praderas permanentes, a menudo pastoreadas.</t>
        </is>
      </c>
    </row>
    <row r="728">
      <c r="B728" s="2266">
        <f>IF(IF('1.Description'!$AA$9="english",C728,IF('1.Description'!$AA$9="français",D728,E728))=0,"",IF('1.Description'!$AA$9="english",C728,IF('1.Description'!$AA$9="français",D728,E728)))</f>
        <v/>
      </c>
    </row>
    <row r="729">
      <c r="B729" s="2266">
        <f>IF(IF('1.Description'!$AA$9="english",C729,IF('1.Description'!$AA$9="français",D729,E729))=0,"",IF('1.Description'!$AA$9="english",C729,IF('1.Description'!$AA$9="français",D729,E729)))</f>
        <v/>
      </c>
      <c r="C729" s="1064" t="inlineStr">
        <is>
          <t>Fields are flooded for a significant period of time and the water regime is fully controlled.</t>
        </is>
      </c>
      <c r="D729" s="1064" t="inlineStr">
        <is>
          <t>Les champs sont inondés pendant une longue période et le régime d'eau est entièrement contrôlé.</t>
        </is>
      </c>
      <c r="E729" s="1064" t="inlineStr">
        <is>
          <t>Los campos se inundan durante un periodo de tiempo considerable y el régimen hídrico está totalmente controlado.</t>
        </is>
      </c>
    </row>
    <row r="730">
      <c r="B730" s="2266">
        <f>IF(IF('1.Description'!$AA$9="english",C730,IF('1.Description'!$AA$9="français",D730,E730))=0,"",IF('1.Description'!$AA$9="english",C730,IF('1.Description'!$AA$9="français",D730,E730)))</f>
        <v/>
      </c>
      <c r="C730" s="1064" t="inlineStr">
        <is>
          <t>Fields have standing water throughout the rice growing season and may only dry out for harvest  end-season drainage. Rice is cultivated under continuously  flooded condintion but sometimes an end-season drainage before rice harvest included.</t>
        </is>
      </c>
      <c r="D730" s="1064" t="inlineStr">
        <is>
          <t>Les champs ont de l'eau stagnante pendant toute la saison de culture du riz et peuvent seulement s'assécher lors du drainage pour la récolte de fin de saison. Le riz est cultivé dans des conditions d'inondation continue, mais parfois un drainage de fin de saison avant la récolte du riz est inclus.</t>
        </is>
      </c>
      <c r="E730" s="1064" t="inlineStr">
        <is>
          <t>Los campos tienen agua estancada durante toda la temporada de cultivo de arroz y sólo pueden secarse para el drenaje de final de temporada de la cosecha. El arroz se cultiva en condiciones de inundación continua, pero a veces se incluye un drenaje de final de temporada antes de la cosecha de arroz.</t>
        </is>
      </c>
    </row>
    <row r="731">
      <c r="B731" s="2266">
        <f>IF(IF('1.Description'!$AA$9="english",C731,IF('1.Description'!$AA$9="français",D731,E731))=0,"",IF('1.Description'!$AA$9="english",C731,IF('1.Description'!$AA$9="français",D731,E731)))</f>
        <v/>
      </c>
      <c r="C731" s="1064" t="inlineStr">
        <is>
          <t>Fields have a single drainage event and period during the cropping season at any growth stage, in addition to the end of season drainage. One mid-season drainage and an end-season drainage are adopted over the entire rice-growing season.</t>
        </is>
      </c>
      <c r="D731" s="1064" t="inlineStr">
        <is>
          <t>Les champs ont un seul événement et une seule période de drainage pendant la saison de culture à n'importe quel stade de croissance, en plus du drainage de fin de saison. Un drainage de mi-saison et un drainage de fin de saison sont adoptés sur l'ensemble de la saison de riziculture.</t>
        </is>
      </c>
      <c r="E731" s="1064" t="inlineStr">
        <is>
          <t>Los campos tienen un único evento y período de drenaje durante la temporada de cultivo en cualquier etapa de crecimiento, además del drenaje de final de temporada. Se adopta un drenaje de mitad de temporada y un drenaje de final de temporada durante toda la temporada de cultivo de arroz.</t>
        </is>
      </c>
    </row>
    <row r="732">
      <c r="B732" s="2266">
        <f>IF(IF('1.Description'!$AA$9="english",C732,IF('1.Description'!$AA$9="français",D732,E732))=0,"",IF('1.Description'!$AA$9="english",C732,IF('1.Description'!$AA$9="français",D732,E732)))</f>
        <v/>
      </c>
      <c r="C732" s="1064" t="inlineStr">
        <is>
          <t>Fields have more than one drainage event and period of time without flooded conditions during the cropping season, in addition to an end of season drainage, including alternate wetting and drying (AWD). Also called 'intermittent irrigation', in which the number of drainage events was not clear, but there are more than one events during the growing season.</t>
        </is>
      </c>
      <c r="D732" s="1064" t="inlineStr">
        <is>
          <t>Les champs ont plus d'un événement de séchage et plus d'une période de drainage pendant la saison de culture, à n'importe quel stade de croissance, en plus du drainage de fin de saison, y compris l'alternance de mouillage et de séchage (AWD). Aussi appelé "irrigation intermittente", dans laquelle le nombre d'événements de drainage n'est pas déterminé, mais il y a plus d'un événement pendant la saison de croissance.</t>
        </is>
      </c>
      <c r="E732" s="1064" t="inlineStr">
        <is>
          <t>Los campos tienen más de un evento de drenaje y un periodo de tiempo sin condiciones de inundación durante la temporada de cultivo, además de un drenaje al final de la temporada, incluyendo el humedecimiento y secado alterno (AWD). También se denomina "riego intermitente", en el que el número de eventos de drenaje no está claro, pero hay más de un evento durante la temporada de cultivo.</t>
        </is>
      </c>
    </row>
    <row r="733">
      <c r="B733" s="2266">
        <f>IF(IF('1.Description'!$AA$9="english",C733,IF('1.Description'!$AA$9="français",D733,E733))=0,"",IF('1.Description'!$AA$9="english",C733,IF('1.Description'!$AA$9="français",D733,E733)))</f>
        <v/>
      </c>
      <c r="C733" s="1064" t="inlineStr">
        <is>
          <t>Fields are flooded for a significant period of time with water regimes that depend solely on precipitation.</t>
        </is>
      </c>
      <c r="D733" s="1064" t="inlineStr">
        <is>
          <t>Les champs sont inondés pendant une longue période avec des régimes hydriques qui dépendent uniquement des précipitations.</t>
        </is>
      </c>
      <c r="E733" s="1064" t="inlineStr">
        <is>
          <t>Los campos se inundan durante un periodo de tiempo considerable con regímenes hídricos que dependen únicamente de las precipitaciones.</t>
        </is>
      </c>
    </row>
    <row r="734">
      <c r="B734" s="2266">
        <f>IF(IF('1.Description'!$AA$9="english",C734,IF('1.Description'!$AA$9="français",D734,E734))=0,"",IF('1.Description'!$AA$9="english",C734,IF('1.Description'!$AA$9="français",D734,E734)))</f>
        <v/>
      </c>
      <c r="C734" s="1064" t="inlineStr">
        <is>
          <t>Rice cultivation that relies on rainfall for water, in this case the field is flood prone during the rice-growing season. The water level may rise up to 50 cm during the cropping season.</t>
        </is>
      </c>
      <c r="D734" s="1064" t="inlineStr">
        <is>
          <t>Riziculture qui dépend des précipitations pour l'eau, dans ce cas le champ est inondé pendant la saison de croissance du riz. Le niveau de l'eau peut monter jusqu'à 50 cm pendant la saison de culture.</t>
        </is>
      </c>
      <c r="E734" s="1064" t="inlineStr">
        <is>
          <t>El cultivo de arroz que depende de la lluvia para obtener agua, en este caso el campo es propenso a las inundaciones durante la temporada de cultivo de arroz. El nivel del agua puede subir hasta 50 cm durante la temporada de cultivo.</t>
        </is>
      </c>
    </row>
    <row r="735">
      <c r="B735" s="2266">
        <f>IF(IF('1.Description'!$AA$9="english",C735,IF('1.Description'!$AA$9="français",D735,E735))=0,"",IF('1.Description'!$AA$9="english",C735,IF('1.Description'!$AA$9="français",D735,E735)))</f>
        <v/>
      </c>
      <c r="C735" s="1064" t="inlineStr">
        <is>
          <t>Rice cultivation that relies on rainfall for water, in this case the field is drought prone during the rice-growing season. Drought periods occur during every cropping season.</t>
        </is>
      </c>
      <c r="D735" s="1064" t="inlineStr">
        <is>
          <t>Culture du riz qui dépend des pluies pour l'eau, dans ce cas le champ est sujet à la sécheresse pendant la saison de culture du riz. Les périodes de sécheresse surviennent à chaque saison de culture.</t>
        </is>
      </c>
      <c r="E735" s="1064" t="inlineStr">
        <is>
          <t>El cultivo de arroz, que depende de la lluvia para obtener agua, en este caso el campo es propenso a la sequía durante la temporada de cultivo de arroz. Los periodos de sequía se producen durante todas las temporadas de cultivo.</t>
        </is>
      </c>
    </row>
    <row r="736">
      <c r="B736" s="2266">
        <f>IF(IF('1.Description'!$AA$9="english",C736,IF('1.Description'!$AA$9="français",D736,E736))=0,"",IF('1.Description'!$AA$9="english",C736,IF('1.Description'!$AA$9="français",D736,E736)))</f>
        <v/>
      </c>
      <c r="C736" s="1064" t="inlineStr">
        <is>
          <t>Water level rises to more than 50 cm above the soil for a significant period of time during the cropping season.</t>
        </is>
      </c>
      <c r="D736" s="1064" t="inlineStr">
        <is>
          <t>Le niveau de l'eau s'élève à plus de 50 cm au-dessus du sol pendant une période significative au cours de la saison de culture.</t>
        </is>
      </c>
      <c r="E736" s="1064" t="inlineStr">
        <is>
          <t>El nivel del agua se eleva a más de 50 cm por encima del suelo durante un periodo de tiempo significativo durante la temporada de cultivo.</t>
        </is>
      </c>
    </row>
    <row r="737">
      <c r="B737" s="2266">
        <f>IF(IF('1.Description'!$AA$9="english",C737,IF('1.Description'!$AA$9="français",D737,E737))=0,"",IF('1.Description'!$AA$9="english",C737,IF('1.Description'!$AA$9="français",D737,E737)))</f>
        <v/>
      </c>
      <c r="C737" s="1064" t="inlineStr">
        <is>
          <t>Permanently flooded rice fields are assumed to have a preseason water regime of ‘flooded pre-season’. Late rice (e.g., in China) is usually planted immediately after early rice on the same field and is therefore regarded as having a pre-season water regime of ‘flooded pre-season’.</t>
        </is>
      </c>
      <c r="D737" s="1064" t="inlineStr">
        <is>
          <t>les rizières inondées en permanence sont supposées avoir un régime hydrique de pré-saison de "pré-saison inondée". Le riz tardif (par exemple, en Chine) est généralement planté immédiatement après le riz précoce dans la même rizière et est donc considéré
comme ayant un régime hydrique d'avant-saison de "pré-saison inondée".</t>
        </is>
      </c>
      <c r="E737" s="1064" t="inlineStr">
        <is>
          <t>Se supone que los campos de arroz permanentemente inundados tienen un régimen hídrico de pretemporada de "pretemporada inundada". El arroz tardío (por ejemplo, en China) suele plantarse inmediatamente después del arroz temprano en el mismo campo y, por tanto, se considera que tiene un régimen hídrico de pretemporada de "pretemporada inundada".</t>
        </is>
      </c>
    </row>
    <row r="738">
      <c r="B738" s="2266">
        <f>IF(IF('1.Description'!$AA$9="english",C738,IF('1.Description'!$AA$9="français",D738,E738))=0,"",IF('1.Description'!$AA$9="english",C738,IF('1.Description'!$AA$9="français",D738,E738)))</f>
        <v/>
      </c>
      <c r="C738" s="1064" t="inlineStr">
        <is>
          <t>If rice is planted once a year and the field is not flooded in the non-rice growing season, the preseason water regime is classified as  ‘non flooded pre-season &gt;180 d’.</t>
        </is>
      </c>
      <c r="D738" s="1064" t="inlineStr">
        <is>
          <t>Si le riz est planté une fois par an et que le champ n'est pas inondé pendant la saison de croissance non rizicole, le régime hydrique d'avant-saison est classé comme "avant-saison non-inondée&gt; 180".</t>
        </is>
      </c>
      <c r="E738" s="1064" t="inlineStr">
        <is>
          <t>Si el arroz se planta una vez al año y el campo no se inunda en la temporada de cultivo sin arroz, el régimen hídrico de pretemporada se clasifica como "pretemporada no inundada &gt;180 d".</t>
        </is>
      </c>
    </row>
    <row r="739">
      <c r="B739" s="2266">
        <f>IF(IF('1.Description'!$AA$9="english",C739,IF('1.Description'!$AA$9="français",D739,E739))=0,"",IF('1.Description'!$AA$9="english",C739,IF('1.Description'!$AA$9="français",D739,E739)))</f>
        <v/>
      </c>
      <c r="C739" s="1064" t="inlineStr">
        <is>
          <t>Rice is planted more than once a year, but there is more than one month of fallow time between the two seasons, ‘non-flooded pre-season &lt;180 d’ usually implies pre-season drainage.</t>
        </is>
      </c>
      <c r="D739" s="1064" t="inlineStr">
        <is>
          <t>Le riz est planté plus d'une fois par an, mais il y a plus d'un mois de jachère entre les deux saisons. Une “ pré-saison non inondée (&lt;180 jours)” implique généralement un drainage d'avant-saison.</t>
        </is>
      </c>
      <c r="E739" s="1064" t="inlineStr">
        <is>
          <t>El arroz se siembra más de una vez al año, pero hay más de un mes de barbecho entre las dos temporadas, "pretemporada no inundada &lt;180 d" suele implicar el drenaje de pretemporada.</t>
        </is>
      </c>
    </row>
    <row r="740">
      <c r="B740" s="2266">
        <f>IF(IF('1.Description'!$AA$9="english",C740,IF('1.Description'!$AA$9="français",D740,E740))=0,"",IF('1.Description'!$AA$9="english",C740,IF('1.Description'!$AA$9="français",D740,E740)))</f>
        <v/>
      </c>
      <c r="C740" s="1064" t="inlineStr">
        <is>
          <t>Refers to the number of times rice is harvested per year. By default 1.</t>
        </is>
      </c>
      <c r="D740" s="1064" t="inlineStr">
        <is>
          <t>Désigne le nombre de fois que le riz est récolté par an. Par défaut, 1.</t>
        </is>
      </c>
      <c r="E740" s="1064" t="inlineStr">
        <is>
          <t>Se refiere al número de veces que se cosecha el arroz al año. Por defecto 1.</t>
        </is>
      </c>
    </row>
    <row r="741">
      <c r="B741" s="2266">
        <f>IF(IF('1.Description'!$AA$9="english",C741,IF('1.Description'!$AA$9="français",D741,E741))=0,"",IF('1.Description'!$AA$9="english",C741,IF('1.Description'!$AA$9="français",D741,E741)))</f>
        <v/>
      </c>
      <c r="C741" s="1064" t="inlineStr">
        <is>
          <t>Straw applied just before rice transplanting as on-season; straw that is left on the soil surface in the fallow season and incorporated into the soil before the next rice transplanting is also categorized as ‘straw incorporated shortly (&lt;30 days) before cultivation’. The amount of straw return is expressed in dry weight (t ha-1).</t>
        </is>
      </c>
      <c r="D741" s="1064" t="inlineStr">
        <is>
          <t>Paille appliquée juste avant le repiquage du riz en cours de saison : la paille laissée à la surface du sol pendant la jachère et incorporée dans le sol avant le repiquage suivant du riz est également classée dans la catégorie “Paille incorporée peu de temps (&lt;30 jours) avant la culture”. La quantité de paille retournée est exprimée en poids sec (t ha-1)</t>
        </is>
      </c>
      <c r="E741" s="1064" t="inlineStr">
        <is>
          <t>La paja aplicada justo antes del trasplante de arroz se considera de temporada; la paja que se deja en la superficie del suelo en la temporada de barbecho y se incorpora al suelo antes del siguiente trasplante de arroz también se clasifica como "paja incorporada poco tiempo (&lt;30 días) antes del cultivo". La cantidad de paja devuelta se expresa en peso seco (t ha-1).</t>
        </is>
      </c>
    </row>
    <row r="742">
      <c r="B742" s="2266">
        <f>IF(IF('1.Description'!$AA$9="english",C742,IF('1.Description'!$AA$9="français",D742,E742))=0,"",IF('1.Description'!$AA$9="english",C742,IF('1.Description'!$AA$9="français",D742,E742)))</f>
        <v/>
      </c>
      <c r="C742" s="1064" t="inlineStr">
        <is>
          <t>Straw incorporated into soils in the previous season (upland crop or fallow) is categorized as ‘straw incorporated long (&gt;30 days) before cultivation’.  The amount of straw return is expressed in dry weight (t ha-1).</t>
        </is>
      </c>
      <c r="D742" s="1064" t="inlineStr">
        <is>
          <t>La paille incorporée dans les sols au cours de la saison précédente (culture de montagne ou jachère) est classée comme "paille incorporée longue (&gt;30 jours) avant la culture". La quantité de paille retournée est exprimée en poids sec (t ha-1)</t>
        </is>
      </c>
      <c r="E742" s="1064" t="inlineStr">
        <is>
          <t>La paja incorporada a los suelos en la temporada anterior (cultivo en tierras altas o barbecho) se clasifica como "paja incorporada mucho tiempo (&gt;30 días) antes del cultivo".  La cantidad de paja devuelta se expresa en peso seco (t ha-1).</t>
        </is>
      </c>
    </row>
    <row r="743">
      <c r="B743" s="2266">
        <f>IF(IF('1.Description'!$AA$9="english",C743,IF('1.Description'!$AA$9="français",D743,E743))=0,"",IF('1.Description'!$AA$9="english",C743,IF('1.Description'!$AA$9="français",D743,E743)))</f>
        <v/>
      </c>
    </row>
    <row r="744">
      <c r="B744" s="2266">
        <f>IF(IF('1.Description'!$AA$9="english",C744,IF('1.Description'!$AA$9="français",D744,E744))=0,"",IF('1.Description'!$AA$9="english",C744,IF('1.Description'!$AA$9="français",D744,E744)))</f>
        <v/>
      </c>
      <c r="C744" s="1064" t="inlineStr">
        <is>
          <t>Productivity systems</t>
        </is>
      </c>
      <c r="D744" s="1064" t="inlineStr">
        <is>
          <t>Systèmes de productivité</t>
        </is>
      </c>
      <c r="E744" s="1064" t="inlineStr">
        <is>
          <t>Sistemas de productividad</t>
        </is>
      </c>
    </row>
    <row r="745">
      <c r="B745" s="2266">
        <f>IF(IF('1.Description'!$AA$9="english",C745,IF('1.Description'!$AA$9="français",D745,E745))=0,"",IF('1.Description'!$AA$9="english",C745,IF('1.Description'!$AA$9="français",D745,E745)))</f>
        <v/>
      </c>
      <c r="C745" s="1064" t="inlineStr">
        <is>
          <t>Mature cows (first lactation and beyond) that are producing milk in commercial quantities for consumption. Dairy cow population should not be confused with multi-purpose cows that may be used for more than one production purpose milk, meat or draft.</t>
        </is>
      </c>
      <c r="D745" s="1064" t="inlineStr">
        <is>
          <t>Vaches adultes (à partir de la première lactation) qui produisent du lait en quantités commerciales pour la consommation ; la population de vaches laitières ne doit pas être confondue avec les vaches à usages multiples qui peuvent être utilisées pour plus d'un usage de production : lait, viande ou traite.</t>
        </is>
      </c>
      <c r="E745" s="1064" t="inlineStr">
        <is>
          <t>Vacas maduras (de primera lactancia en adelante) que producen leche en cantidades comerciales para el consumo. La población de vacas lecheras no debe confundirse con las vacas polivalentes que pueden utilizarse para más de un propósito de producción: leche, carne o tiro.</t>
        </is>
      </c>
    </row>
    <row r="746">
      <c r="B746" s="2266">
        <f>IF(IF('1.Description'!$AA$9="english",C746,IF('1.Description'!$AA$9="français",D746,E746))=0,"",IF('1.Description'!$AA$9="english",C746,IF('1.Description'!$AA$9="français",D746,E746)))</f>
        <v/>
      </c>
      <c r="C746" s="1064" t="inlineStr">
        <is>
          <t>High-yielding dairy cows that are concentrated in confinement production systems or grazing on high quality pastures with supplements. The farms are 100-percent market oriented for commercial milk production, for national markets and/or export; Purebred or crossbred cattle are genetically improved through selective breeding for milk production.</t>
        </is>
      </c>
      <c r="D746" s="1064" t="inlineStr">
        <is>
          <t>Les vaches laitières à haut rendement qui sont concentrées dans des systèmes de production en confinement ou qui paissent dans des pâturages de haute qualité avec des suppléments. Les exploitations sont orientées à 100 % vers le marché pour la production laitière commerciale, pour les marchés nationaux et/ou l'exportation ; les bovins de race pure ou croisée sont génétiquement améliorés par sélection pour la production laitière.</t>
        </is>
      </c>
      <c r="E746" s="1064" t="inlineStr">
        <is>
          <t>Vacas lecheras de alto rendimiento que se concentran en sistemas de producción en confinamiento o en pastos de alta calidad con suplementos. Las explotaciones están orientadas al 100% al mercado para la producción comercial de leche, para los mercados nacionales y/o la exportación; el ganado de raza pura o cruzada se mejora genéticamente mediante la cría selectiva para la producción de leche.</t>
        </is>
      </c>
    </row>
    <row r="747">
      <c r="B747" s="2266">
        <f>IF(IF('1.Description'!$AA$9="english",C747,IF('1.Description'!$AA$9="français",D747,E747))=0,"",IF('1.Description'!$AA$9="english",C747,IF('1.Description'!$AA$9="français",D747,E747)))</f>
        <v/>
      </c>
      <c r="C747" s="1064" t="inlineStr">
        <is>
          <t>Low-yielding dairy cows, grazing non improved pastures, and using locally produced roughage (e.g. crop residues), and agro-industrial by-products. Local breeds or crossbred cows are bred locally, without intensive selection for milk productivity. Milk production is mostly for local market and local consumption.</t>
        </is>
      </c>
      <c r="D747" s="1064" t="inlineStr">
        <is>
          <t>Les vaches laitières à faible rendement, élevées sur pâturages non améliorés et avec l'utilisation de fourrage grossier produit localement (par exemple, les résidus de culture) et de sous-produits agro-industriels. Les races locales ou les vaches croisées sont élevées localement, sans sélection intensive pour la productivité laitière. La production laitière est principalement destinée au marché local et à la consommation locale.</t>
        </is>
      </c>
      <c r="E747" s="1064" t="inlineStr">
        <is>
          <t>Vacas lecheras de bajo rendimiento, que pastan en pastos no mejorados y utilizan forraje producido localmente (por ejemplo, residuos de cultivos) y subproductos agroindustriales. Las razas locales o las vacas cruzadas se crían localmente, sin una selección intensiva para la productividad de la leche. La producción de leche se destina principalmente al mercado local y al consumo local.</t>
        </is>
      </c>
    </row>
    <row r="748">
      <c r="B748" s="2266">
        <f>IF(IF('1.Description'!$AA$9="english",C748,IF('1.Description'!$AA$9="français",D748,E748))=0,"",IF('1.Description'!$AA$9="english",C748,IF('1.Description'!$AA$9="français",D748,E748)))</f>
        <v/>
      </c>
      <c r="C748" s="1064" t="inlineStr">
        <is>
          <t>Based on animal feeding systems using forage (e.g. high-quality grass) and concentrates in confinement production systems or grazing with supplements or on improved pastures, producing high rates of daily weight gain. Animals can be purebred or crossbred and are genetically improved through selective breeding for improved commercial meat production. Growing cattle may be finished young in "intensive grazing with supplements" or feedlot systems, and meat is produced for national markets and/or export.</t>
        </is>
      </c>
      <c r="D748" s="1064" t="inlineStr">
        <is>
          <t>Basé sur des systèmes d'alimentation animale utilisant du fourrage (par exemple de l'herbe de haute qualité) et des concentrés dans des systèmes de production en confinement ou en pâturage avec des suppléments ou sur des pâturages améliorés, produisant des taux élevés de gain de poids quotidien. Les animaux peuvent être de race pure ou croisés et sont génétiquement améliorés par sélection pour une meilleure production commerciale de viande. Les bovins en croissance peuvent être finis jeunes dans des systèmes de "pâturage intensif avec suppléments" ou de parcs d'engraissement, et la viande est produite pour les marchés nationaux et/ou l'exportation.</t>
        </is>
      </c>
      <c r="E748" s="1064" t="inlineStr">
        <is>
          <t>Se basa en sistemas de alimentación animal que utilizan forraje (por ejemplo, hierba de alta calidad) y concentrados en sistemas de producción en confinamiento o en pastoreo con suplementos o en pastos mejorados, produciendo altas tasas de aumento de peso diario. Los animales pueden ser de raza pura o cruzados y se mejoran genéticamente mediante la cría selectiva para mejorar la producción comercial de carne. El ganado en crecimiento puede terminarse en sistemas de "pastoreo intensivo con suplementos" o en corrales de engorde, y la carne se produce para los mercados nacionales y/o la exportación.</t>
        </is>
      </c>
    </row>
    <row r="749">
      <c r="B749" s="2266">
        <f>IF(IF('1.Description'!$AA$9="english",C749,IF('1.Description'!$AA$9="français",D749,E749))=0,"",IF('1.Description'!$AA$9="english",C749,IF('1.Description'!$AA$9="français",D749,E749)))</f>
        <v/>
      </c>
      <c r="C749" s="1064" t="inlineStr">
        <is>
          <t>Based on animal feeding systems where locally produced roughage (e.g. crop residues) or low quality rangelands represent the major source of feed utilized, producing low rates of daily weight gain. Animals can be represented by local breeds or may be crossbred and can also be used for multiple purposes such as draft, meat and milk for self consumption and markets.</t>
        </is>
      </c>
      <c r="D749" s="1064" t="inlineStr">
        <is>
          <t>Basé sur des systèmes d'alimentation animale où les fourrages grossiers produits localement (par exemple, les résidus de récolte) ou les pâturages de mauvaise qualité représentent la principale source d'alimentation utilisée, produisant de faibles taux de gain de poids quotidien. Les animaux peuvent être représentés par des races locales ou être croisés et peuvent également être utilisés à des fins multiples telles que la traction, la viande et le lait pour l'autoconsommation et les marchés.</t>
        </is>
      </c>
      <c r="E749" s="1064" t="inlineStr">
        <is>
          <t>Se basa en sistemas de alimentación animal en los que los forrajes producidos localmente (por ejemplo, residuos de cultivos) o los pastizales de baja calidad representan la principal fuente de alimentación utilizada, produciendo bajas tasas de aumento de peso diario. Los animales pueden estar representados por razas locales o pueden ser cruzados y también pueden ser utilizados para múltiples propósitos como el tiro, la carne y la leche para el autoconsumo y los mercados.</t>
        </is>
      </c>
    </row>
    <row r="750">
      <c r="B750" s="2266">
        <f>IF(IF('1.Description'!$AA$9="english",C750,IF('1.Description'!$AA$9="français",D750,E750))=0,"",IF('1.Description'!$AA$9="english",C750,IF('1.Description'!$AA$9="français",D750,E750)))</f>
        <v/>
      </c>
      <c r="C750" s="1064" t="inlineStr">
        <is>
          <t>Are 100 percent market oriented with high level of capital input requirements and high level of overall herd (flock) performance. Feed is purchased from local or international market or intensively produced on farm. Animals are improved through breeding practices for commercial production. The high-productivity systems are common in swine, poultry, goats and sheep production.</t>
        </is>
      </c>
      <c r="D750" s="1064" t="inlineStr">
        <is>
          <t>Sont orientés à 100 % vers le marché, avec un niveau élevé d'exigences en matière d'intrants en capital et un niveau élevé de performance globale du troupeau. Les aliments pour animaux sont achetés sur le marché local ou international ou produits de manière intensive à la ferme. Les animaux sont améliorés par des pratiques de reproduction en vue d'une production commerciale. Les systèmes à haute productivité sont courants dans la production porcine, avicole, caprine et ovine.</t>
        </is>
      </c>
      <c r="E750" s="1064" t="inlineStr">
        <is>
          <t>Están orientados al 100 por cien al mercado, con un alto nivel de requisitos de insumos de capital y un alto nivel de rendimiento general del rebaño. Los piensos se compran en el mercado local o internacional o se producen de forma intensiva en la explotación. Los animales se mejoran mediante prácticas de cría para la producción comercial. Los sistemas de alta productividad son comunes en la producción porcina, avícola, caprina y ovina.</t>
        </is>
      </c>
    </row>
    <row r="751">
      <c r="B751" s="2266">
        <f>IF(IF('1.Description'!$AA$9="english",C751,IF('1.Description'!$AA$9="français",D751,E751))=0,"",IF('1.Description'!$AA$9="english",C751,IF('1.Description'!$AA$9="français",D751,E751)))</f>
        <v/>
      </c>
      <c r="C751" s="1064" t="inlineStr">
        <is>
          <t>Are mainly driven by local market or by self-consumption, with low capital input requirements and low level of overall herd (fowl) performance typically using large areas for production or backyards. Locally produced feed represents the major source of feed utilized or animals are kept-free range for major part or all of their production cycle, the yield of the activity being linked to the natural fertility of the land and the seasonal production of the pastures. The low-productivity systems are common in swine, poultry, goats and sheep production</t>
        </is>
      </c>
      <c r="D751" s="1064" t="inlineStr">
        <is>
          <t>Sont principalement axés sur le marché local ou sur l'autoconsommation, avec de faibles besoins en capitaux et un faible niveau de performance globale du troupeau (volaille), utilisant généralement de grandes surfaces pour la production ou des arrière-cours. Les aliments produits localement représentent la principale source d'alimentation utilisée ou les animaux sont élevés en liberté pendant une grande partie ou la totalité de leur cycle de production, le rendement de l'activité étant lié à la fertilité naturelle de la terre et à la production saisonnière des pâturages. Les systèmes à faible productivité sont courants dans la production porcine, avicole, caprine et ovine.</t>
        </is>
      </c>
      <c r="E751" s="1064" t="inlineStr">
        <is>
          <t>Se rigen principalmente por el mercado local o por el autoconsumo, con bajos requisitos de insumos de capital y bajo nivel de rendimiento general del rebaño (de aves), utilizando normalmente grandes áreas para la producción o patios traseros. Los piensos producidos localmente representan la principal fuente de alimentación utilizada o los animales se mantienen en libertad durante la mayor parte o la totalidad de su ciclo de producción, estando el rendimiento de la actividad ligado a la fertilidad natural de la tierra y a la producción estacional de los pastos. Los sistemas de baja productividad son habituales en la producción porcina, avícola, caprina y ovina.</t>
        </is>
      </c>
    </row>
    <row r="752">
      <c r="B752" s="2266">
        <f>IF(IF('1.Description'!$AA$9="english",C752,IF('1.Description'!$AA$9="français",D752,E752))=0,"",IF('1.Description'!$AA$9="english",C752,IF('1.Description'!$AA$9="français",D752,E752)))</f>
        <v/>
      </c>
    </row>
    <row r="753">
      <c r="B753" s="2266">
        <f>IF(IF('1.Description'!$AA$9="english",C753,IF('1.Description'!$AA$9="français",D753,E753))=0,"",IF('1.Description'!$AA$9="english",C753,IF('1.Description'!$AA$9="français",D753,E753)))</f>
        <v/>
      </c>
      <c r="C753" s="1064" t="inlineStr">
        <is>
          <t>Cattle: Highly productive commercialized dairy sector feeding high quality forage and grain. Separate beef cow herd, primarily grazing with feed supplements seasonally. Fast-growing beef steers/heifers finished in feedlots on grain. Dairy cows are a small part of the population. There are no buffalo herds, but American bison may be raised.</t>
        </is>
      </c>
      <c r="D753" s="1064" t="inlineStr">
        <is>
          <t>Bovins : Secteur laitier commercialisé très productif, alimenté par des fourrages et des céréales de haute qualité. Troupeau de vaches de boucherie séparé, principalement au pâturage avec des compléments alimentaires saisonniers. Les bouvillons et génisses à croissance rapide sont engraissés au grain dans des parcs d'engraissement. Les vaches laitières représentent une petite partie de la population. Il n'y a pas de troupeaux de bisons, mais le bison d'Amérique peut être élevé.</t>
        </is>
      </c>
      <c r="E753" s="1064" t="inlineStr">
        <is>
          <t>Ganado Vacuno: Sector lechero comercializado altamente productivo que se alimenta de forraje y grano de alta calidad. Rebaño de vacas de carne separado, principalmente en pastoreo con suplementos alimenticios estacionales. Novillos/novillas de carne de crecimiento rápido que se alimentan de grano en los cebaderos. Las vacas lecheras constituyen una pequeña parte de la población. No hay rebaños de búfalos, pero se pueden criar bisontes americanos.</t>
        </is>
      </c>
    </row>
    <row r="754">
      <c r="B754" s="2266">
        <f>IF(IF('1.Description'!$AA$9="english",C754,IF('1.Description'!$AA$9="français",D754,E754))=0,"",IF('1.Description'!$AA$9="english",C754,IF('1.Description'!$AA$9="français",D754,E754)))</f>
        <v/>
      </c>
      <c r="C754" s="1064" t="inlineStr">
        <is>
          <t>Cattle: Highly productive commercialised dairy sector feeding high quality forage and grain. Dairy cows also used for beef calf production. Very small dedicated beef cow herd. Minor amount of feedlot feeding with grains.
Buffalo: Buffalo farming system is exclusively intensive. The concentrates are largely used only during the lactation phase. Animals are maintained in paddocks, grazing practices are not widespread.</t>
        </is>
      </c>
      <c r="D754" s="1064" t="inlineStr">
        <is>
          <t>Bovins : Secteur laitier commercialisé très productif, alimenté par des fourrages et des céréales de haute qualité. Les vaches laitières sont également utilisées pour la production de veaux de boucherie. Très petit troupeau de vaches à viande. Quantité mineure d'alimentation en parc d'engraissement avec des céréales.
Bisons : Le système d'élevage de buffles est exclusivement intensif. Les concentrés sont en grande partie utilisés uniquement pendant la phase de lactation. Les animaux sont maintenus dans des enclos, les pratiques de pâturage ne sont pas répandues.</t>
        </is>
      </c>
      <c r="E754" s="1064" t="inlineStr">
        <is>
          <t>Ganado Vacuno: Sector lechero comercializado muy productivo que se alimenta de forraje y grano de alta calidad. Las vacas lecheras también se utilizan para la producción de terneros de carne. Un rebaño de vacas de carne muy pequeño. Pequeña cantidad de alimentación en corrales de engorde con granos.
Búfalos: El sistema de cría de búfalos es exclusivamente intensivo. Los concentrados se utilizan en gran medida sólo durante la fase de lactancia. Los animales se mantienen en potreros, las prácticas de pastoreo no están extendidas.</t>
        </is>
      </c>
    </row>
    <row r="755">
      <c r="B755" s="2266">
        <f>IF(IF('1.Description'!$AA$9="english",C755,IF('1.Description'!$AA$9="français",D755,E755))=0,"",IF('1.Description'!$AA$9="english",C755,IF('1.Description'!$AA$9="français",D755,E755)))</f>
        <v/>
      </c>
      <c r="C755" s="1064" t="inlineStr">
        <is>
          <t>Cattle: Commercialised dairy sector feeding based on forages and gains. Separate beef cow herd, primarily grazing. Minor amount of feedlot feeding with grains.
Buffalo: Commercialized buffalo sector feeding primarily with roughages. Buffaloes are managed according to their categories. Animals are maintained paddock and tied up during the winter, in summer they are allowed to graze.</t>
        </is>
      </c>
      <c r="D755" s="1064" t="inlineStr">
        <is>
          <t>Bovins : Alimentation du secteur laitier commercialisé basée sur les fourrages et les gains. Troupeau de vaches à viande séparé, principalement en pâturage. Alimentation en parc d'engraissement avec des céréales dans une moindre mesure.
Bisons : Secteur commercialisé de buffles alimentés principalement avec des fourrages grossiers. Les buffles sont gérés en fonction de leur catégorie. Les animaux sont maintenus en paddock et attachés pendant l'hiver, en été ils sont autorisés à paître.</t>
        </is>
      </c>
      <c r="E755" s="1064" t="inlineStr">
        <is>
          <t>Ganado Vacuno: Alimentación del sector lácteo comercializada a base de forrajes y granos. Rebaño separado de vacas de carne, principalmente de pastoreo. Pequeña parte de la alimentación de los cebaderos con granos.
Búfalos: Sector de búfalos comercializado que se alimenta principalmente con forrajes. Los búfalos se gestionan según sus categorías. Los animales se mantienen en un prado y se atan durante el invierno; en verano se les permite pastar.</t>
        </is>
      </c>
    </row>
    <row r="756">
      <c r="B756" s="2266">
        <f>IF(IF('1.Description'!$AA$9="english",C756,IF('1.Description'!$AA$9="français",D756,E756))=0,"",IF('1.Description'!$AA$9="english",C756,IF('1.Description'!$AA$9="français",D756,E756)))</f>
        <v/>
      </c>
      <c r="C756" s="1064" t="inlineStr">
        <is>
          <t>Cattle: Commercialised dairy sector based on grazing. Separate beef cow herd, primarily grazing rangelands5 and hill country of widely varying quality. Growing amount of feedlot feeding with grains. Dairy cows are a small part of the population. No Buffalo herd.</t>
        </is>
      </c>
      <c r="D756" s="1064" t="inlineStr">
        <is>
          <t>Bovins : Secteur laitier commercialisé basé sur le pâturage. Troupeau de vaches à viande séparé, qui pâture principalement des parcours5 et des collines de qualité très variable. L'alimentation des animaux en parcs d'engraissement à base de céréales est en augmentation. Les vaches laitières représentent une petite partie de la population. Pas de troupeau de buffles.</t>
        </is>
      </c>
      <c r="E756" s="1064" t="inlineStr">
        <is>
          <t>Ganado Vacuno: Sector lácteo comercializado basado en el pastoreo. Rebaño separado de vacas de carne, que pastan principalmente en pastizales y zonas de montaña de calidad muy variable. Creciente alimentación en cebaderos con cereales. Las vacas lecheras constituyen una pequeña parte de la población. No hay rebaño de búfalos.</t>
        </is>
      </c>
    </row>
    <row r="757">
      <c r="B757" s="2266">
        <f>IF(IF('1.Description'!$AA$9="english",C757,IF('1.Description'!$AA$9="français",D757,E757))=0,"",IF('1.Description'!$AA$9="english",C757,IF('1.Description'!$AA$9="français",D757,E757)))</f>
        <v/>
      </c>
      <c r="C757" s="1064" t="inlineStr">
        <is>
          <t>Cattle: Commercialised dairy sector based on grazing. Separate beef cow herd grazing pastures and rangelands. Minor amount of feedlot feeding with grains. Growing non-dairy cattle comprise a large portion of the population.
Buffalo: Buffalo husbandry is based on extensive systems in native or cultivated pastures in lowlands and uplands, most often without supply of concentrated feed. Milk production is based on pasture with frequent supplementation of roughage (sugar cane, silage, etc.), with a predominance of one single milking.</t>
        </is>
      </c>
      <c r="D757" s="1064" t="inlineStr">
        <is>
          <t>Bovins : Secteur laitier commercialisé basé sur le pâturage. Troupeau de vaches à viande séparé qui paît dans les pâturages et les parcours. Une petite partie de l'alimentation en parc d'engraissement est constituée de céréales. Le bétail non laitier en croissance représente une grande partie de la population.
Buffle : L'élevage de buffles est basé sur des systèmes extensifs dans des pâturages naturels ou cultivés dans les basses et hautes terres, le plus souvent sans apport d'aliments concentrés. La production laitière est basée sur le pâturage avec un complément fréquent de fourrage grossier (canne à sucre, ensilage, etc.), avec une prédominance d'une seule traite.</t>
        </is>
      </c>
      <c r="E757" s="1064" t="inlineStr">
        <is>
          <t>Ganado Vacuno: Sector lácteo comercializado basado en el pastoreo. Rebaño separado de vacas de carne que pastan en prados y pastizales. Pequeña parte de la alimentación en cebaderos con granos. El ganado no lechero en crecimiento constituye una gran parte de la población.
Búfalos: La cría de búfalos se basa en sistemas extensivos en pastos nativos o cultivados en tierras bajas y altas, casi siempre sin suministro de alimentos concentrados. La producción de leche se basa en los pastos con frecuentes suplementos de forraje (caña de azúcar, ensilado, etc.), con predominio de un solo ordeño.</t>
        </is>
      </c>
    </row>
    <row r="758">
      <c r="B758" s="2266">
        <f>IF(IF('1.Description'!$AA$9="english",C758,IF('1.Description'!$AA$9="français",D758,E758))=0,"",IF('1.Description'!$AA$9="english",C758,IF('1.Description'!$AA$9="français",D758,E758)))</f>
        <v/>
      </c>
      <c r="C758" s="1064" t="inlineStr">
        <is>
          <t>Cattle: Commercialised dairy sector is experienced fundamental changes due to increasing number of large farms with intensive production system based on grains and forage. Cattle kept in traditional production systems are multi-purpose, providing draft power and some milk within farming regions. Cattle of all types are smaller than those found in most other regions.
Buffalo: Buffaloes are generally swamp type. Buffaloes are raised by smallholder farmers as source of draft power. Animals are commonly grazed in field and fed on agriculture residual products. Milk yield per cow is low. Nevertheless, the dairy buffalo breeding is rapidly developing in countryside of Asia.</t>
        </is>
      </c>
      <c r="D758" s="1064" t="inlineStr">
        <is>
          <t>Bovins : Le secteur laitier commercialisé connaît des changements fondamentaux dus à l'augmentation du nombre de grandes exploitations avec un système de production intensif basé sur les céréales et le fourrage. Les bovins élevés dans des systèmes de production traditionnels sont polyvalents, fournissant une force de traction et un peu de lait dans les régions agricoles. Les bovins de tous types sont plus petits que ceux que l'on trouve dans la plupart des autres régions.
Buffle : Les buffles sont généralement de type marécageux. Les buffles sont élevés par les petits exploitants agricoles comme source de force de traction. Les animaux paissent généralement dans les champs et sont nourris de produits agricoles résiduels. Le rendement laitier par vache est faible. Néanmoins, l'élevage de buffles laitiers se développe rapidement dans les campagnes d'Asie.</t>
        </is>
      </c>
      <c r="E758" s="1064" t="inlineStr">
        <is>
          <t>Ganado Vacuno: El sector lácteo comercializado está experimentando cambios fundamentales debido al creciente número de grandes explotaciones con un sistema de producción intensivo basado en cereales y forraje. El ganado que se mantiene en los sistemas de producción tradicionales es polivalente y proporciona fuerza de tiro y algo de leche en las regiones agrícolas. Los bovinos de todo tipo son más pequeños que los de la mayoría de las demás regiones.
Búfalos: Los búfalos son generalmente de tipo pantanoso. Los pequeños agricultores los crían como fuente de fuerza de tiro. Los animales suelen pastar en el campo y se alimentan de productos residuales de la agricultura. La producción de leche por vaca es baja. Sin embargo, la cría de búfalos lecheros se está desarrollando rápidamente en las zonas rurales de Asia.</t>
        </is>
      </c>
    </row>
    <row r="759">
      <c r="B759" s="2266">
        <f>IF(IF('1.Description'!$AA$9="english",C759,IF('1.Description'!$AA$9="français",D759,E759))=0,"",IF('1.Description'!$AA$9="english",C759,IF('1.Description'!$AA$9="français",D759,E759)))</f>
        <v/>
      </c>
      <c r="C759" s="1064" t="inlineStr">
        <is>
          <t>Cattle: Commercialised dairy sector based on grazing with low production per cow. Most cattle are multi-purpose, providing draft power and some milk within farming regions. Some cattle graze over very large areas. Cattle are smaller than those found in most other regions.
Buffalo: Small-scale buffalo sector well-integrated with cropland. Animals are raised for multi-purpose. Feeding primarily depends on roughages and crop-residues. Minor commercial dairy buffalo farms feeding with concentrate feed mixture.</t>
        </is>
      </c>
      <c r="D759" s="1064" t="inlineStr">
        <is>
          <t>Bovins : Secteur laitier commercialisé basé sur le pâturage avec une faible production par vache. La plupart des bovins sont polyvalents, fournissant une force de traction et un peu de lait dans les régions agricoles. Certains bovins paissent sur de très grandes surfaces. Les bovins sont plus petits que ceux que l'on trouve dans la plupart des autres régions.
Le buffle : Le secteur du buffle à petite échelle est bien intégré aux terres cultivées. Les animaux sont élevés à des fins multiples. L'alimentation dépend principalement des fourrages grossiers et des résidus de récolte. De petites exploitations commerciales de buffles laitiers se nourrissent d'un mélange d'aliments concentrés.</t>
        </is>
      </c>
      <c r="E759" s="1064" t="inlineStr">
        <is>
          <t>Ganado Vacuno: Sector lácteo comercializado basado en el pastoreo con una baja producción por vaca. La mayoría de los bovinos son polivalentes y proporcionan fuerza de tiro y algo de leche en las regiones agrícolas. Algunas vacas pastan en zonas muy extensas. El ganado es más pequeño que el de la mayoría de las regiones.
Búfalos: El sector del búfalo a pequeña escala está bien integrado en las tierras de cultivo. Los animales se crían con fines múltiples. La alimentación depende principalmente de los forrajes y los residuos de los cultivos. Pequeñas explotaciones comerciales de búfalos lecheros se alimentan con una mezcla de piensos concentrados.</t>
        </is>
      </c>
    </row>
    <row r="760">
      <c r="B760" s="2266">
        <f>IF(IF('1.Description'!$AA$9="english",C760,IF('1.Description'!$AA$9="français",D760,E760))=0,"",IF('1.Description'!$AA$9="english",C760,IF('1.Description'!$AA$9="français",D760,E760)))</f>
        <v/>
      </c>
      <c r="C760" s="1064" t="inlineStr">
        <is>
          <t>Cattle: Majority of cattle population is still kept by small holders in the traditional production systems. The animals are fed primarily by crop residues and are grazed. Most animals are dual-purpose. In contrast to the small-scale farms, commercial dairy sector is generally intensive, mainly based on compound feed and grains.
Buffalo: Buffalo farming system primarily based on smallholders rearing animals for meat, milk and draught. Animals obtain their feeding by grazing. Minor commercialized buffalo sector feeding forage and concentrate supplemented feed.</t>
        </is>
      </c>
      <c r="D760" s="1064" t="inlineStr">
        <is>
          <t>Bovins : La majorité du cheptel bovin est encore détenue par les petits exploitants dans les systèmes de production traditionnels. Les animaux sont nourris principalement par des résidus de culture et sont mis en pâture. La plupart des animaux sont à double usage. Contrairement aux petites exploitations, le secteur laitier commercial est généralement intensif et repose principalement sur les aliments composés et les céréales.
Buffle : Le système d'élevage de buffles repose principalement sur les petits exploitants qui élèvent des animaux pour la viande, le lait et la traction. Les animaux se nourrissent en broutant. Le secteur commercial des buffles, peu développé, utilise des fourrages et des aliments concentrés.</t>
        </is>
      </c>
      <c r="E760" s="1064" t="inlineStr">
        <is>
          <t>Ganado Vacuno: La mayor parte de la población bovina sigue siendo mantenida por pequeños propietarios en los sistemas de producción tradicionales. Los animales se alimentan principalmente de los residuos de los cultivos y se pastorean. La mayoría de los animales son de doble propósito. A diferencia de las pequeñas explotaciones, el sector lácteo comercial suele ser intensivo y se basa principalmente en los piensos compuestos y los cereales.
Búfalos: El sistema de cría de búfalos se basa principalmente en los pequeños propietarios que crían animales para obtener carne, leche y tiro. Los animales se alimentan mediante el pastoreo. El sector del búfalo comercializado es menor y se alimenta con forraje y concentrado.</t>
        </is>
      </c>
    </row>
    <row r="761">
      <c r="B761" s="2266">
        <f>IF(IF('1.Description'!$AA$9="english",C761,IF('1.Description'!$AA$9="français",D761,E761))=0,"",IF('1.Description'!$AA$9="english",C761,IF('1.Description'!$AA$9="français",D761,E761)))</f>
        <v/>
      </c>
      <c r="C761" s="1064" t="inlineStr">
        <is>
          <t>Cattle: Commercialised dairy sector based on crop by-product feeding with low production per cow. Most bullocks provide draft power and cows provide some milk in farming regions. Cattle in this region are the smallest compared to cattle found in all other regions.
Buffalo: Smallholder buffalo sector feeding poor quality roughages and crop-residues. Buffaloes are primarily free grazing. Concentrates are fed to dairy animals during last months of pregnancy. Dairy and meat production are intimately related. Animals are used as draft power. Minor commercialized buffalo sector providing animals with balanced ration.</t>
        </is>
      </c>
      <c r="D761" s="1064" t="inlineStr">
        <is>
          <t>Bovins : Secteur laitier commercialisé basé sur l'alimentation à base de sous-produits agricoles avec une faible production par vache. La plupart des taureaux fournissent la force de traction et les vaches fournissent un peu de lait dans les régions agricoles. Les bovins de cette région sont les plus petits par rapport aux bovins de toutes les autres régions.
Buffle : Le secteur des buffles des petits exploitants se nourrit de fourrages grossiers de mauvaise qualité et de résidus de récolte. Les buffles sont principalement en pâturage libre. Des concentrés sont donnés aux animaux laitiers pendant les derniers mois de la gestation. La production laitière et la production de viande sont intimement liées. Les animaux sont utilisés comme force de traction. Le secteur du buffle est peu commercialisé et fournit aux animaux une ration équilibrée.</t>
        </is>
      </c>
      <c r="E761" s="1064" t="inlineStr">
        <is>
          <t>Ganado Vacuno: El sector lácteo comercializado se basa en la alimentación con subproductos de los cultivos, con una baja producción por vaca. La mayoría de los bueyes proporcionan fuerza de tiro y las vacas proporcionan algo de leche en las regiones agrícolas. El ganado de esta región es el más pequeño en comparación con el de las demás regiones.
Búfalos: El sector de los búfalos de los pequeños agricultores se alimenta de forrajes bastos de baja calidad y de residuos de cultivos. Los búfalos pastan principalmente en libertad. Los animales lecheros se alimentan con concentrados durante los últimos meses de gestación. La producción de leche y carne están íntimamente relacionadas. Los animales se utilizan como fuerza de tiro. El sector del búfalo, poco comercializado, proporciona a los animales una ración equilibrada.</t>
        </is>
      </c>
    </row>
    <row r="762">
      <c r="B762" s="2266">
        <f>IF(IF('1.Description'!$AA$9="english",C762,IF('1.Description'!$AA$9="français",D762,E762))=0,"",IF('1.Description'!$AA$9="english",C762,IF('1.Description'!$AA$9="français",D762,E762)))</f>
        <v/>
      </c>
    </row>
    <row r="763">
      <c r="B763" s="2266">
        <f>IF(IF('1.Description'!$AA$9="english",C763,IF('1.Description'!$AA$9="français",D763,E763))=0,"",IF('1.Description'!$AA$9="english",C763,IF('1.Description'!$AA$9="français",D763,E763)))</f>
        <v/>
      </c>
      <c r="C763" s="1064" t="inlineStr">
        <is>
          <t>The manure from pasture and range grazing animals is allowed to lie as deposited, and is not managed.</t>
        </is>
      </c>
      <c r="D763" s="1064" t="inlineStr">
        <is>
          <t>Le fumier des animaux de pâturage et de parcours est laissé en dépôt et n'est pas géré.</t>
        </is>
      </c>
      <c r="E763" s="1064" t="inlineStr">
        <is>
          <t>El estiércol de los animales de pastoreo y de las praderas se deja reposar tal y como se deposita, y no se gestiona.</t>
        </is>
      </c>
    </row>
    <row r="764">
      <c r="B764" s="2266">
        <f>IF(IF('1.Description'!$AA$9="english",C764,IF('1.Description'!$AA$9="français",D764,E764))=0,"",IF('1.Description'!$AA$9="english",C764,IF('1.Description'!$AA$9="français",D764,E764)))</f>
        <v/>
      </c>
      <c r="C764" s="1064" t="inlineStr">
        <is>
          <t>Manure is routinely removed from a confinement facility and is applied to cropland or pasture within 24 hours of excretion.</t>
        </is>
      </c>
      <c r="D764" s="1064" t="inlineStr">
        <is>
          <t>Le fumier est systématiquement retiré d'une installation de confinement et est appliqué sur les terres cultivées ou les pâturages dans les 24 heures suivant son excrétion.</t>
        </is>
      </c>
      <c r="E764" s="1064" t="inlineStr">
        <is>
          <t>El estiércol se retira rutinariamente de una instalación de confinamiento y se aplica a las tierras de cultivo o a los pastos en las 24 horas siguientes a su excreción.</t>
        </is>
      </c>
    </row>
    <row r="765">
      <c r="B765" s="2266">
        <f>IF(IF('1.Description'!$AA$9="english",C765,IF('1.Description'!$AA$9="français",D765,E765))=0,"",IF('1.Description'!$AA$9="english",C765,IF('1.Description'!$AA$9="français",D765,E765)))</f>
        <v/>
      </c>
      <c r="C765" s="1064" t="inlineStr">
        <is>
          <t>The storage of manure, typically for a period of several months, in unconfined piles or stacks. Manure is able to be stacked because of the presence of a sufficient amount of bedding material or loss of moisture by evaporation</t>
        </is>
      </c>
      <c r="D765" s="1064" t="inlineStr">
        <is>
          <t>Le stockage du fumier, généralement pour une période de plusieurs mois, en tas ou en piles non confinés. Le fumier peut être empilé en raison de la présence d'une quantité suffisante de litière ou de la perte d'humidité par évaporation.</t>
        </is>
      </c>
      <c r="E765" s="1064" t="inlineStr">
        <is>
          <t>El almacenamiento de estiércol, normalmente durante un periodo de varios meses, en montones o pilas no confinados. El estiércol puede apilarse gracias a la presencia de una cantidad suficiente de material de cama o a la pérdida de humedad por evaporación</t>
        </is>
      </c>
    </row>
    <row r="766">
      <c r="B766" s="2266">
        <f>IF(IF('1.Description'!$AA$9="english",C766,IF('1.Description'!$AA$9="français",D766,E766))=0,"",IF('1.Description'!$AA$9="english",C766,IF('1.Description'!$AA$9="français",D766,E766)))</f>
        <v/>
      </c>
      <c r="C766" s="1064" t="inlineStr">
        <is>
          <t>A paved or unpaved open confinement area without any significant vegetative cover. Dry lots do not require the addition of bedding to control moisture. Manure may be removed periodically and spread on fields.</t>
        </is>
      </c>
      <c r="D766" s="1064" t="inlineStr">
        <is>
          <t xml:space="preserve">Une zone de confinement ouverte, pavée ou non, sans couverture végétale significative. Les lots secs ne nécessitent pas l'ajout de litière pour contrôler l'humidité. Le fumier peut être enlevé périodiquement et épandu sur les champs.
</t>
        </is>
      </c>
      <c r="E766" s="1064" t="inlineStr">
        <is>
          <t>Un área de confinamiento abierta, pavimentada o no, sin ninguna cubierta vegetal significativa. Los lotes secos no requieren la adición de cama para controlar la humedad. El estiércol puede retirarse periódicamente y esparcirse por los campos.</t>
        </is>
      </c>
    </row>
    <row r="767">
      <c r="B767" s="2266">
        <f>IF(IF('1.Description'!$AA$9="english",C767,IF('1.Description'!$AA$9="français",D767,E767))=0,"",IF('1.Description'!$AA$9="english",C767,IF('1.Description'!$AA$9="français",D767,E767)))</f>
        <v/>
      </c>
      <c r="C767" s="1064" t="inlineStr">
        <is>
          <t>Manure is stored as excreted or with some minimal addition of water or bedding material in tanks or ponds outside the animal housing. Manure is removed and spread on fields once or more in a calendar year. Manure is agitated before removal from the tank/ponds to ensure that most of the VS are removed from the tank..</t>
        </is>
      </c>
      <c r="D767" s="1064" t="inlineStr">
        <is>
          <t>Le fumier est stocké tel qu'il est excrété ou avec un ajout minimal d'eau ou de litière dans des réservoirs ou des étangs à l'extérieur du logement des animaux. Le fumier est enlevé et épandu sur les champs une ou plusieurs fois par année civile. Le fumier est agité avant d'être retiré de la cuve/des étangs afin de s'assurer que la plupart des VS sont éliminés de la cuve.</t>
        </is>
      </c>
      <c r="E767" s="1064" t="inlineStr">
        <is>
          <t>El estiércol se almacena tal y como se excreta o con una mínima adición de agua o material de cama en tanques o estanques fuera del alojamiento de los animales. El estiércol se retira y se esparce por los campos una o varias veces al año. El estiércol se agita antes de sacarlo del tanque/estanque para garantizar que la mayor parte de los VS se eliminan del tanque..</t>
        </is>
      </c>
    </row>
    <row r="768">
      <c r="B768" s="2266">
        <f>IF(IF('1.Description'!$AA$9="english",C768,IF('1.Description'!$AA$9="français",D768,E768))=0,"",IF('1.Description'!$AA$9="english",C768,IF('1.Description'!$AA$9="français",D768,E768)))</f>
        <v/>
      </c>
      <c r="C768" s="1064" t="inlineStr">
        <is>
          <t>A type of liquid storage system designed and operated to combine waste stabilization and storage. Lagoons have a lower depth and a much larger surface compared to liquid slurry stores. Anaerobic lagoons are designed with varying lengths of storage (up to a year or greater), depending on the climate region, the volatile solids loading rate, and other operational factors. The supernatant water from the lagoon may be recycled as flush water or used to irrigate and fertilise fields.</t>
        </is>
      </c>
      <c r="D768" s="1064" t="inlineStr">
        <is>
          <t>Un type de système de stockage de liquides conçu et exploité pour combiner la stabilisation et le stockage des déchets. Les lagunes ont une profondeur plus faible et une surface beaucoup plus grande par rapport aux stockages de boues liquides. Les lagunes anaérobies sont conçues pour des durées de stockage variables (jusqu'à un an ou plus), en fonction de la région climatique, du taux de chargement en solides volatils et d'autres facteurs opérationnels. L'eau surnageante de la lagune peut être recyclée comme eau de chasse ou utilisée pour irriguer et fertiliser les champs.</t>
        </is>
      </c>
      <c r="E768" s="1064" t="inlineStr">
        <is>
          <t>Un tipo de sistema de almacenamiento de líquidos diseñado y operado para combinar la estabilización y el almacenamiento de residuos. Las lagunas tienen una profundidad menor y una superficie mucho mayor en comparación con los almacenes de lodos líquidos. Las lagunas anaeróbicas se diseñan con duraciones variables de almacenamiento (hasta un año o más), dependiendo de la región climática, la tasa de carga de sólidos volátiles y otros factores operativos. El agua sobrenadante de la laguna puede reciclarse como agua de lavado o utilizarse para regar y fertilizar los campos.</t>
        </is>
      </c>
    </row>
    <row r="769">
      <c r="B769" s="2266">
        <f>IF(IF('1.Description'!$AA$9="english",C769,IF('1.Description'!$AA$9="français",D769,E769))=0,"",IF('1.Description'!$AA$9="english",C769,IF('1.Description'!$AA$9="français",D769,E769)))</f>
        <v/>
      </c>
      <c r="C769" s="1064" t="inlineStr">
        <is>
          <t>Collection and storage of manure usually with little or no added water typically below a slatted floor in an enclosed animal confinement facility, usually for periods less than one year. Manure may be pumped out of the storage to a secondary storage tank multiple times in one year, or stored and applied directly to fields. It is assumed that VS removal rates on tank emptying are &gt;90%.</t>
        </is>
      </c>
      <c r="D769" s="1064" t="inlineStr">
        <is>
          <t>Collecte et stockage du fumier, généralement avec peu ou pas d'eau ajoutée, sous un sol en caillebotis dans une installation fermée de confinement des animaux, généralement pour des périodes inférieures à un an. Le fumier peut être pompé du stockage vers une cuve de stockage secondaire plusieurs fois par an, ou stocké et appliqué directement dans les champs. On suppose que les taux d'élimination des VS lors de la vidange de la cuve sont &gt;90%.</t>
        </is>
      </c>
      <c r="E769" s="1064" t="inlineStr">
        <is>
          <t>Recogida y almacenamiento de estiércol, normalmente con poca o ninguna agua añadida, por lo general debajo de un suelo de rejilla en una instalación cerrada de confinamiento de animales, normalmente por períodos inferiores a un año. El estiércol puede ser bombeado a un tanque de almacenamiento secundario varias veces en un año, o almacenado y aplicado directamente a los campos. Se supone que los índices de eliminación de VS al vaciar el tanque son superiores al 90%.</t>
        </is>
      </c>
    </row>
    <row r="770">
      <c r="B770" s="2266">
        <f>IF(IF('1.Description'!$AA$9="english",C770,IF('1.Description'!$AA$9="français",D770,E770))=0,"",IF('1.Description'!$AA$9="english",C770,IF('1.Description'!$AA$9="français",D770,E770)))</f>
        <v/>
      </c>
      <c r="C770" s="1064" t="inlineStr">
        <is>
          <t>Anaerobic fermentation of slurry and/or solid. Biogas is captured and flared or used as a fuel.</t>
        </is>
      </c>
      <c r="D770" s="1064" t="inlineStr">
        <is>
          <t>Fermentation anaérobie de boues et/ou de solides. Le biogaz est capté et brûlé ou utilisé comme combustible.</t>
        </is>
      </c>
      <c r="E770" s="1064" t="inlineStr">
        <is>
          <t>Fermentación anaeróbica de purines y/o sólidos. El biogás se captura y se quema o se utiliza como combustible.</t>
        </is>
      </c>
    </row>
    <row r="771">
      <c r="B771" s="2266">
        <f>IF(IF('1.Description'!$AA$9="english",C771,IF('1.Description'!$AA$9="français",D771,E771))=0,"",IF('1.Description'!$AA$9="english",C771,IF('1.Description'!$AA$9="français",D771,E771)))</f>
        <v/>
      </c>
      <c r="C771" s="1064" t="inlineStr">
        <is>
          <t>The dung and urine are excreted on fields. The sun dried dung cakes are burned for fuel</t>
        </is>
      </c>
      <c r="D771" s="1064" t="inlineStr">
        <is>
          <t>Le fumier et l'urine sont excrétés dans les champs. Les gâteaux de bouse séchés au soleil sont brûlés comme combustible.</t>
        </is>
      </c>
      <c r="E771" s="1064" t="inlineStr">
        <is>
          <t>El estiércol y la orina se excretan en los campos. Las tortas de estiércol secadas al sol se queman como combustible</t>
        </is>
      </c>
    </row>
    <row r="772">
      <c r="B772" s="2266">
        <f>IF(IF('1.Description'!$AA$9="english",C772,IF('1.Description'!$AA$9="français",D772,E772))=0,"",IF('1.Description'!$AA$9="english",C772,IF('1.Description'!$AA$9="français",D772,E772)))</f>
        <v/>
      </c>
      <c r="C772" s="1064" t="inlineStr">
        <is>
          <t>Mixture of excreta and washing water, stored within the livestock building, usually below the confined animals</t>
        </is>
      </c>
      <c r="D772" s="1064" t="inlineStr">
        <is>
          <t>Mélange d'excréments et d'eau de lavage, stocké dans le bâtiment d'élevage, généralement sous les animaux confinés.</t>
        </is>
      </c>
      <c r="E772" s="1064" t="inlineStr">
        <is>
          <t>Mezcla de excrementos y agua de lavado, almacenada dentro de la nave ganadera, normalmente debajo de los animales confinados</t>
        </is>
      </c>
    </row>
    <row r="773">
      <c r="B773" s="2266">
        <f>IF(IF('1.Description'!$AA$9="english",C773,IF('1.Description'!$AA$9="français",D773,E773))=0,"",IF('1.Description'!$AA$9="english",C773,IF('1.Description'!$AA$9="français",D773,E773)))</f>
        <v/>
      </c>
      <c r="C773" s="1064" t="inlineStr">
        <is>
          <t>Similar to cattle and swine deep bedding except usually not combined with a dry lot or pasture. Typically used for all poultry breeder flocks, for alternative systems for layers and for the production of meat type chickens (broilers) and other fowl. Litter and manure are left in place with added bedding during the poultry production cycle and cleaned between poultry cycles, typically 5 to 9 weeks in productive systems and greater in lower productivity systems.</t>
        </is>
      </c>
      <c r="D773" s="1064" t="inlineStr">
        <is>
          <t>Similaire à la litière profonde des bovins et des porcins, sauf qu'elle n'est généralement pas associée à un terrain sec ou à un pâturage. Généralement utilisée pour tous les troupeaux de volailles de reproduction, pour les systèmes alternatifs pour les pondeuses et pour la production de poulets de chair (broilers) et d'autres volailles. La litière et le fumier sont laissés en place avec de la litière ajoutée pendant le cycle de production de la volaille et nettoyés entre les cycles de la volaille, généralement de 5 à 9 semaines dans les systèmes productifs et plus dans les systèmes à faible productivité.</t>
        </is>
      </c>
      <c r="E773" s="1064" t="inlineStr">
        <is>
          <t>Similar a la cama profunda para ganado vacuno y porcino, excepto que normalmente no se combina con un lote seco o un pasto. Se utiliza normalmente para todas las manadas de reproductoras de aves de corral, para sistemas alternativos para ponedoras y para la producción de pollos de carne (broilers) y otras aves de corral. La cama y el estiércol se dejan en su sitio con la cama añadida durante el ciclo de producción de las aves de corral y se limpian entre los ciclos de las aves de corral, normalmente de 5 a 9 semanas en los sistemas productivos y más en los sistemas de menor productividad.</t>
        </is>
      </c>
    </row>
    <row r="774">
      <c r="B774" s="2266">
        <f>IF(IF('1.Description'!$AA$9="english",C774,IF('1.Description'!$AA$9="français",D774,E774))=0,"",IF('1.Description'!$AA$9="english",C774,IF('1.Description'!$AA$9="français",D774,E774)))</f>
        <v/>
      </c>
      <c r="C774" s="1064" t="inlineStr">
        <is>
          <t>Biological oxidation of a solid waste including manure usually with bedding or another organic carbon source typically at thermophilic temperatures produced by microbial heat production.</t>
        </is>
      </c>
      <c r="D774" s="1064" t="inlineStr">
        <is>
          <t>Oxydation biologique d'un déchet solide, y compris le fumier, généralement avec de la litière ou une autre source de carbone organique, généralement à des températures thermophiles produites par la production de chaleur microbienne.</t>
        </is>
      </c>
      <c r="E774" s="1064" t="inlineStr">
        <is>
          <t>Oxidación biológica de un residuo sólido, incluido el estiércol, generalmente con cama u otra fuente de carbono orgánico, normalmente a temperaturas termófilas producidas por la producción de calor microbiano.</t>
        </is>
      </c>
    </row>
    <row r="775">
      <c r="B775" s="2266">
        <f>IF(IF('1.Description'!$AA$9="english",C775,IF('1.Description'!$AA$9="français",D775,E775))=0,"",IF('1.Description'!$AA$9="english",C775,IF('1.Description'!$AA$9="français",D775,E775)))</f>
        <v/>
      </c>
    </row>
    <row r="776">
      <c r="B776" s="2266">
        <f>IF(IF('1.Description'!$AA$9="english",C776,IF('1.Description'!$AA$9="français",D776,E776))=0,"",IF('1.Description'!$AA$9="english",C776,IF('1.Description'!$AA$9="français",D776,E776)))</f>
        <v/>
      </c>
      <c r="C776" s="1064" t="inlineStr">
        <is>
          <t>Implies major long-term loss of productivity and vegetation cover, due to severe mechanical damage to the vegetation and/or severe soil erosion.</t>
        </is>
      </c>
      <c r="D776" s="1064" t="inlineStr">
        <is>
          <t>Implique une perte majeure à long terme de la productivité et du couvert végétal, due à de graves dommages mécaniques à la végétation et/ou à une forte érosion du sol.</t>
        </is>
      </c>
      <c r="E776" s="1064" t="inlineStr">
        <is>
          <t>Implica una importante pérdida a largo plazo de la productividad y de la cubierta vegetal, debido a los graves daños mecánicos sufridos por la vegetación y/o a la fuerte erosión del suelo.</t>
        </is>
      </c>
    </row>
    <row r="777">
      <c r="B777" s="2266">
        <f>IF(IF('1.Description'!$AA$9="english",C777,IF('1.Description'!$AA$9="français",D777,E777))=0,"",IF('1.Description'!$AA$9="english",C777,IF('1.Description'!$AA$9="français",D777,E777)))</f>
        <v/>
      </c>
      <c r="C777" s="1064" t="inlineStr">
        <is>
          <t>Represents high intensity grazing systems (or cutting and removal of vegetation) with shifts in vegetation composition and possibly productivity but is not severely degraded.</t>
        </is>
      </c>
      <c r="D777" s="1064" t="inlineStr">
        <is>
          <t>Représente les systèmes de pâturage à haute intensité (ou la coupe et l'enlèvement de la végétation) avec des changements dans la composition de la végétation et peut-être la productivité, mais n'est pas gravement dégradé.</t>
        </is>
      </c>
      <c r="E777" s="1064" t="inlineStr">
        <is>
          <t>Representa sistemas de pastoreo de alta intensidad (o corte y eliminación de la vegetación) con cambios en la composición de la vegetación y posiblemente en la productividad, pero no está gravemente degradada.</t>
        </is>
      </c>
    </row>
    <row r="778">
      <c r="B778" s="2266">
        <f>IF(IF('1.Description'!$AA$9="english",C778,IF('1.Description'!$AA$9="français",D778,E778))=0,"",IF('1.Description'!$AA$9="english",C778,IF('1.Description'!$AA$9="français",D778,E778)))</f>
        <v/>
      </c>
      <c r="C778" s="1064" t="inlineStr">
        <is>
          <t>Represents low or medium intensity grazing regimes, in addition to periodic cutting and removal of above-ground vegetation, without significant management improvements.</t>
        </is>
      </c>
      <c r="D778" s="1064" t="inlineStr">
        <is>
          <t>Représente des régimes de pâturage d'intensité faible ou moyenne, en plus de la coupe et de l'enlèvement périodiques de la végétation aérienne, sans amélioration significative de la gestion.</t>
        </is>
      </c>
      <c r="E778" s="1064" t="inlineStr">
        <is>
          <t>Representa regímenes de pastoreo de intensidad baja o media, además de la tala periódica y la eliminación de la vegetación sobre el suelo, sin mejoras significativas en la gestión.</t>
        </is>
      </c>
    </row>
    <row r="779">
      <c r="B779" s="2266">
        <f>IF(IF('1.Description'!$AA$9="english",C779,IF('1.Description'!$AA$9="français",D779,E779))=0,"",IF('1.Description'!$AA$9="english",C779,IF('1.Description'!$AA$9="français",D779,E779)))</f>
        <v/>
      </c>
      <c r="C779" s="1064" t="inlineStr">
        <is>
          <t>Represents grassland which is sustainably managed with light to moderate grazing pressure (or cutting and removal of vegetation) and that receive at least one improvement (e.g., fertilization, species improvement, irrigation).</t>
        </is>
      </c>
      <c r="D779" s="1064" t="inlineStr">
        <is>
          <t>Représente les prairies gérées durablement avec une pression de pâturage légère à modérée (ou la coupe et l'enlèvement de la végétation) et qui reçoivent au moins une amélioration (par exemple, fertilisation, amélioration des espèces, irrigation).</t>
        </is>
      </c>
      <c r="E779" s="1064" t="inlineStr">
        <is>
          <t>Representa los pastizales gestionados de forma sostenible con una presión de pastoreo de ligera a moderada (o corte y eliminación de la vegetación) y que reciben al menos una mejora (por ejemplo, fertilización, mejora de las especies, riego).</t>
        </is>
      </c>
    </row>
    <row r="780">
      <c r="B780" s="2266">
        <f>IF(IF('1.Description'!$AA$9="english",C780,IF('1.Description'!$AA$9="français",D780,E780))=0,"",IF('1.Description'!$AA$9="english",C780,IF('1.Description'!$AA$9="français",D780,E780)))</f>
        <v/>
      </c>
      <c r="C780" s="1064" t="inlineStr">
        <is>
          <t>Applies to improved grassland where no additional management inputs have been used.</t>
        </is>
      </c>
      <c r="D780" s="1064" t="inlineStr">
        <is>
          <t>S'applique aux prairies améliorées où aucun intrant de gestion supplémentaire n'a été utilisé.</t>
        </is>
      </c>
      <c r="E780" s="1064" t="inlineStr">
        <is>
          <t>Se aplica a las praderas mejoradas en las que no se han utilizado insumos de gestión adicionales.</t>
        </is>
      </c>
    </row>
    <row r="781">
      <c r="B781" s="2266">
        <f>IF(IF('1.Description'!$AA$9="english",C781,IF('1.Description'!$AA$9="français",D781,E781))=0,"",IF('1.Description'!$AA$9="english",C781,IF('1.Description'!$AA$9="français",D781,E781)))</f>
        <v/>
      </c>
      <c r="C781" s="1064" t="inlineStr">
        <is>
          <t>Applies to improved grassland where one or more additional management inputs/improvements have been used (beyond that required to be classified as improved grassland).</t>
        </is>
      </c>
      <c r="D781" s="1064" t="inlineStr">
        <is>
          <t>S'applique aux prairies améliorées où un ou plusieurs intrants/améliorations de gestion supplémentaires ont été utilisés (au-delà de ce qui est requis pour être classé comme prairie améliorée).</t>
        </is>
      </c>
      <c r="E781" s="1064" t="inlineStr">
        <is>
          <t>Se aplica a los pastizales mejorados en los que se han utilizado uno o más insumos/mejoras de gestión adicionales (más allá de los requeridos para ser clasificados como pastizales mejorados).</t>
        </is>
      </c>
    </row>
    <row r="782">
      <c r="B782" s="2266">
        <f>IF(IF('1.Description'!$AA$9="english",C782,IF('1.Description'!$AA$9="français",D782,E782))=0,"",IF('1.Description'!$AA$9="english",C782,IF('1.Description'!$AA$9="français",D782,E782)))</f>
        <v/>
      </c>
    </row>
    <row r="783">
      <c r="B783" s="2266">
        <f>IF(IF('1.Description'!$AA$9="english",C783,IF('1.Description'!$AA$9="français",D783,E783))=0,"",IF('1.Description'!$AA$9="english",C783,IF('1.Description'!$AA$9="français",D783,E783)))</f>
        <v/>
      </c>
      <c r="C783" s="1064" t="inlineStr">
        <is>
          <t>Global warming potential over 100 years from the Second Assessment Report (SAR), Climate Change 1995 - The science of climate change https://www.ipcc.ch/site/assets/uploads/2018/02/ipcc_sar_wg_I_full_report.pdf.</t>
        </is>
      </c>
      <c r="D783" s="1064" t="inlineStr">
        <is>
          <t>Potentiel de réchauffement global sur 100 ans d'après la Seconde évaluation du GIEC (SAR), Changements Climatiques 1995 - La science du changement climatique https://www.ipcc.ch/site/assets/uploads/2018/05/2nd-assessment-fr.pdf</t>
        </is>
      </c>
      <c r="E783" s="1064" t="inlineStr">
        <is>
          <t>Potencial de calentamiento global a lo largo de 100 años del Segundo Informe de Evaluación (SAR), Cambio Climático 1995 - La ciencia del cambio climático https://www.ipcc.ch/site/assets/uploads/2018/02/ipcc_sar_wg_I_full_report.pdf.</t>
        </is>
      </c>
    </row>
    <row r="784">
      <c r="B784" s="2266">
        <f>IF(IF('1.Description'!$AA$9="english",C784,IF('1.Description'!$AA$9="français",D784,E784))=0,"",IF('1.Description'!$AA$9="english",C784,IF('1.Description'!$AA$9="français",D784,E784)))</f>
        <v/>
      </c>
      <c r="C784" s="1064" t="inlineStr">
        <is>
          <t>Global warming potential over 100 years from the Fourth Assessment Report (AR4),  Climate Change 2007 - The physical science basis https://www.ipcc.ch/site/assets/uploads/2018/05/ar4_wg1_full_report-1.pdf.</t>
        </is>
      </c>
      <c r="D784" s="1064" t="inlineStr">
        <is>
          <t>Potentiel de réchauffement global sur 100 ans d'après le Quatrième Rapport d'évaluation du GIEC (AR4)  Changements Climatiques 2007 - Les éléments scientifiques https://www.ipcc.ch/site/assets/uploads/2020/02/ar4-wg1-sum-vol-fr.pdf</t>
        </is>
      </c>
      <c r="E784" s="1064" t="inlineStr">
        <is>
          <t>Potencial de calentamiento global a lo largo de 100 años del Cuarto Informe de Evaluación (AR4), Cambio Climático 2007 - La base científica física https://www.ipcc.ch/site/assets/uploads/2018/05/ar4_wg1_full_report-1.pdf.</t>
        </is>
      </c>
    </row>
    <row r="785">
      <c r="B785" s="2266">
        <f>IF(IF('1.Description'!$AA$9="english",C785,IF('1.Description'!$AA$9="français",D785,E785))=0,"",IF('1.Description'!$AA$9="english",C785,IF('1.Description'!$AA$9="français",D785,E785)))</f>
        <v/>
      </c>
      <c r="C785" s="1064" t="inlineStr">
        <is>
          <t>Global warming potential over 100 years from the Fifth Assessment Report (AR5) with climate carbon feedback, Climate Change 2013 - The physical science basis https://www.ipcc.ch/site/assets/uploads/2018/02/WG1AR5_all_final.pdf.</t>
        </is>
      </c>
      <c r="D785" s="1064" t="inlineStr">
        <is>
          <t>Potentiel de réchauffement global sur 100 ans d'après le Cinquième Rapport d'évaluation du GIEC (AR5) avec rétroaction du carbone dans le climat, Changements Climatiques 2014 - Les éléments scientifiques https://www.ipcc.ch/site/assets/uploads/2018/02/WG1AR5_all_final.pdf.</t>
        </is>
      </c>
      <c r="E785" s="1064" t="inlineStr">
        <is>
          <t>Potencial de calentamiento global a lo largo de 100 años a partir del Quinto Informe de Evaluación (AR5) con retroalimentación del carbono climático, Climate Change 2013 - The physical science basis https://www.ipcc.ch/site/assets/uploads/2018/02/WG1AR5_all_final.pdf.</t>
        </is>
      </c>
    </row>
    <row r="786">
      <c r="B786" s="2266">
        <f>IF(IF('1.Description'!$AA$9="english",C786,IF('1.Description'!$AA$9="français",D786,E786))=0,"",IF('1.Description'!$AA$9="english",C786,IF('1.Description'!$AA$9="français",D786,E786)))</f>
        <v/>
      </c>
      <c r="C786" s="1064" t="inlineStr">
        <is>
          <t>Global warming potential over 100 years from the Fifth Assessment Report (AR5) without climate carbon feedback, Climate Change 2013 - The physical science basis https://www.ipcc.ch/site/assets/uploads/2018/02/WG1AR5_all_final.pdf.</t>
        </is>
      </c>
      <c r="D786" s="1064" t="inlineStr">
        <is>
          <t>Potentiel de réchauffement global sur 100 ans d'après le Cinquième Rapport d'évaluation du GIEC (AR5) sans rétroaction du carbone dans le climat, Changements Climatiques 2014 - Les éléments scientifiques https://www.ipcc.ch/site/assets/uploads/2018/02/WG1AR5_all_final.pdf.</t>
        </is>
      </c>
      <c r="E786" s="1064" t="inlineStr">
        <is>
          <t>Potencial de calentamiento global a lo largo de 100 años a partir del Quinto Informe de Evaluación (AR5) sin retroalimentación del carbono climático, Cambio Climático 2013 - La base científica física https://www.ipcc.ch/site/assets/uploads/2018/02/WG1AR5_all_final.pdf.</t>
        </is>
      </c>
    </row>
    <row r="787">
      <c r="B787" s="2266">
        <f>IF(IF('1.Description'!$AA$9="english",C787,IF('1.Description'!$AA$9="français",D787,E787))=0,"",IF('1.Description'!$AA$9="english",C787,IF('1.Description'!$AA$9="français",D787,E787)))</f>
        <v/>
      </c>
      <c r="C787" s="1064" t="inlineStr">
        <is>
          <t>Global warming potential over 100 years from the Sixth Assessment Report (AR6),  Climate Change 2021 - The physical science basis https://www.ipcc.ch/report/ar6/wg1/. The AR6 includes a specific coefficient for the GWP of methane from fossil fuel origin. In the tool, this coefficient is applied to the energy use of charcoal and peat (inputs module).</t>
        </is>
      </c>
      <c r="D787" s="1064" t="inlineStr">
        <is>
          <t>Potentiel de réchauffement global sur 100 ans d'après le Sixième Rapport d'évaluation du GIEC (AR6), Changements Climatiques 2021 - Les éléments scientifiques https://www.ipcc.ch/report/ar6/wg1/. L'AR6 inclut un coefficient spécifique pour le PRG du méthane d'origine fossile. Dans l'outil, ce coefficient est appliqué à l'utilisation énergétique du charbon de bois et de la tourbe (module des intrants).</t>
        </is>
      </c>
      <c r="E787" s="1064" t="inlineStr">
        <is>
          <t>Potencial de calentamiento global en 100 años del Sexto Informe de Evaluación (IE6), Cambio Climático 2021 - La base científica física https://www.ipcc.ch/report/ar6/wg1/. El IE6 incluye un coeficiente específico para el PCG del metano de origen fósil. En la herramienta, este coeficiente se aplica al uso energético del carbón vegetal y la turba (módulo de entradas).</t>
        </is>
      </c>
    </row>
    <row r="788">
      <c r="B788" s="2266">
        <f>IF(IF('1.Description'!$AA$9="english",C788,IF('1.Description'!$AA$9="français",D788,E788))=0,"",IF('1.Description'!$AA$9="english",C788,IF('1.Description'!$AA$9="français",D788,E788)))</f>
        <v/>
      </c>
    </row>
    <row r="789">
      <c r="B789" s="2266">
        <f>IF(IF('1.Description'!$AA$9="english",C789,IF('1.Description'!$AA$9="français",D789,E789))=0,"",IF('1.Description'!$AA$9="english",C789,IF('1.Description'!$AA$9="français",D789,E789)))</f>
        <v/>
      </c>
      <c r="C789" s="1064" t="inlineStr">
        <is>
          <t>Surface irrigation without an irrigation runoff return system</t>
        </is>
      </c>
      <c r="D789" s="1064" t="inlineStr">
        <is>
          <t>Irrigation de surface sans système de retour des eaux de ruissellement</t>
        </is>
      </c>
      <c r="E789" s="1064" t="inlineStr">
        <is>
          <t>Riego de superficie sin sistema de retorno de la escorrentía</t>
        </is>
      </c>
    </row>
    <row r="790">
      <c r="B790" s="2266">
        <f>IF(IF('1.Description'!$AA$9="english",C790,IF('1.Description'!$AA$9="français",D790,E790))=0,"",IF('1.Description'!$AA$9="english",C790,IF('1.Description'!$AA$9="français",D790,E790)))</f>
        <v/>
      </c>
      <c r="C790" s="1064" t="inlineStr">
        <is>
          <t>Surface irrigation with an irrigation runoff return system</t>
        </is>
      </c>
      <c r="D790" s="1064" t="inlineStr">
        <is>
          <t>Irrigation de surface avec un système de retour des eaux de ruissellement</t>
        </is>
      </c>
      <c r="E790" s="1064" t="inlineStr">
        <is>
          <t>Riego de superficie con un sistema de retorno de la escorrentía</t>
        </is>
      </c>
    </row>
    <row r="791">
      <c r="B791" s="2266">
        <f>IF(IF('1.Description'!$AA$9="english",C791,IF('1.Description'!$AA$9="français",D791,E791))=0,"",IF('1.Description'!$AA$9="english",C791,IF('1.Description'!$AA$9="français",D791,E791)))</f>
        <v/>
      </c>
      <c r="C791" s="1064" t="inlineStr">
        <is>
          <t>Irrigation with vertical tubes that are stationary for the duration of the irrigation season</t>
        </is>
      </c>
      <c r="D791" s="1064" t="inlineStr">
        <is>
          <t xml:space="preserve">Irrigation avec des tubes verticaux qui sont stationnaires pour la durée de la saison d'irrigation.
</t>
        </is>
      </c>
      <c r="E791" s="1064" t="inlineStr">
        <is>
          <t>Riego con tubos verticales estacionarios durante toda la temporada de riego</t>
        </is>
      </c>
    </row>
    <row r="792">
      <c r="B792" s="2266">
        <f>IF(IF('1.Description'!$AA$9="english",C792,IF('1.Description'!$AA$9="français",D792,E792))=0,"",IF('1.Description'!$AA$9="english",C792,IF('1.Description'!$AA$9="français",D792,E792)))</f>
        <v/>
      </c>
      <c r="C792" s="1064" t="inlineStr">
        <is>
          <t>Irrigation with vertical tubes that cannot be moved from the moment they are installed</t>
        </is>
      </c>
      <c r="D792" s="1064" t="inlineStr">
        <is>
          <t>Irrigation avec des tubes verticaux qui ne peuvent être déplacés à partir du moment où ils sont installés.</t>
        </is>
      </c>
      <c r="E792" s="1064" t="inlineStr">
        <is>
          <t>Riego con tubos verticales que no se pueden mover desde el momento en que se instalan</t>
        </is>
      </c>
    </row>
    <row r="793">
      <c r="B793" s="2266">
        <f>IF(IF('1.Description'!$AA$9="english",C793,IF('1.Description'!$AA$9="français",D793,E793))=0,"",IF('1.Description'!$AA$9="english",C793,IF('1.Description'!$AA$9="français",D793,E793)))</f>
        <v/>
      </c>
      <c r="C793" s="1064" t="inlineStr">
        <is>
          <t>Irrigation with sprinklers that can be displaced throughout the irrigation season. This kind of sprinkler is usually used for smaller crop extensions as the continuous movement implies a high rate of labour</t>
        </is>
      </c>
      <c r="D793" s="1064" t="inlineStr">
        <is>
          <t>Irrigation avec des arroseurs qui peuvent être déplacés tout au long de la saison d'irrigation. Ce type d'arroseur est généralement utilisé pour les petites extensions de cultures car le mouvement continu implique un taux de travail élevé.</t>
        </is>
      </c>
      <c r="E793" s="1064" t="inlineStr">
        <is>
          <t>Riego con aspersores que pueden desplazarse a lo largo de la temporada de riego. Este tipo de aspersores se suele utilizar para las extensiones de cultivo más pequeñas, ya que el desplazamiento continuo implica una alta tasa de trabajo</t>
        </is>
      </c>
    </row>
    <row r="794">
      <c r="B794" s="2266">
        <f>IF(IF('1.Description'!$AA$9="english",C794,IF('1.Description'!$AA$9="français",D794,E794))=0,"",IF('1.Description'!$AA$9="english",C794,IF('1.Description'!$AA$9="français",D794,E794)))</f>
        <v/>
      </c>
      <c r="C794" s="1064" t="inlineStr">
        <is>
          <t>An aluminum sprinkler line mounted on wheels which irrigates in place. A mover unit powered by a small gasoline engine is located in the center of the line. The sprinkler line is connected to a supply or mainline by a flexible hose.</t>
        </is>
      </c>
      <c r="D794" s="1064" t="inlineStr">
        <is>
          <t>Une ligne d'arrosage en aluminium montée sur roues qui irrigue en place. Une unité de déplacement alimentée par un petit moteur à essence est située au centre de la ligne. La ligne d'arrosage est reliée à une alimentation ou à une ligne principale par un tuyau flexible.</t>
        </is>
      </c>
      <c r="E794" s="1064" t="inlineStr">
        <is>
          <t>Una línea de aspersión de aluminio montada sobre ruedas que riega en el lugar. En el centro de la línea se encuentra una unidad motriz accionada por un pequeño motor de gasolina. La línea de aspersión está conectada a una línea de suministro o principal mediante una manguera flexible.</t>
        </is>
      </c>
    </row>
    <row r="795">
      <c r="B795" s="2266">
        <f>IF(IF('1.Description'!$AA$9="english",C795,IF('1.Description'!$AA$9="français",D795,E795))=0,"",IF('1.Description'!$AA$9="english",C795,IF('1.Description'!$AA$9="français",D795,E795)))</f>
        <v/>
      </c>
      <c r="C795" s="1064" t="inlineStr">
        <is>
          <t>Overhead sprinkler irrigation consisting of several segments of pipe, with sprinklers positioned along their length, joined together and supported by trusses, and mounted on wheeled towers. The machine moves in a circular pattern and is fed with water from the pivot point at the center of the circle</t>
        </is>
      </c>
      <c r="D795" s="1064" t="inlineStr">
        <is>
          <t>Irrigation par aspersion aérienne constituée de plusieurs segments de tuyaux, avec des asperseurs positionnés sur leur longueur, reliés entre eux et soutenus par des fermes, et montés sur des tours à roues. La machine se déplace selon un schéma circulaire et est alimentée en eau à partir du point de pivot situé au centre du cercle.</t>
        </is>
      </c>
      <c r="E795" s="1064" t="inlineStr">
        <is>
          <t>Riego por aspersión aéreo que consiste en varios segmentos de tubería, con aspersores colocados a lo largo de su longitud, unidos entre sí y soportados por cerchas, y montados en torres con ruedas. La máquina se mueve en forma circular y se alimenta con agua desde el punto de pivote en el centro del círculo</t>
        </is>
      </c>
    </row>
    <row r="796">
      <c r="B796" s="2266">
        <f>IF(IF('1.Description'!$AA$9="english",C796,IF('1.Description'!$AA$9="français",D796,E796))=0,"",IF('1.Description'!$AA$9="english",C796,IF('1.Description'!$AA$9="français",D796,E796)))</f>
        <v/>
      </c>
      <c r="C796" s="1064" t="inlineStr">
        <is>
          <t>Fully movable irrigation system. It does not entail the construction of any stable irrigation infrastructure on the field</t>
        </is>
      </c>
      <c r="D796" s="1064" t="inlineStr">
        <is>
          <t>Système d'irrigation entièrement mobile. Il ne nécessite pas la construction d'une infrastructure d'irrigation stable sur le terrain.</t>
        </is>
      </c>
      <c r="E796" s="1064" t="inlineStr">
        <is>
          <t>Sistema de riego totalmente móvil. No implica la construcción de ninguna infraestructura de riego estable en el campo</t>
        </is>
      </c>
    </row>
    <row r="797">
      <c r="B797" s="2266">
        <f>IF(IF('1.Description'!$AA$9="english",C797,IF('1.Description'!$AA$9="français",D797,E797))=0,"",IF('1.Description'!$AA$9="english",C797,IF('1.Description'!$AA$9="français",D797,E797)))</f>
        <v/>
      </c>
      <c r="C797" s="1064" t="inlineStr">
        <is>
          <t>High precision, high efficiency drip irrigation</t>
        </is>
      </c>
      <c r="D797" s="1064" t="inlineStr">
        <is>
          <t>Irrigation goutte à goutte de haute précision et de haute efficacité</t>
        </is>
      </c>
      <c r="E797" s="1064" t="inlineStr">
        <is>
          <t>Riego por goteo de alta precisión y eficacia</t>
        </is>
      </c>
    </row>
    <row r="798">
      <c r="B798" s="2266">
        <f>IF(IF('1.Description'!$AA$9="english",C798,IF('1.Description'!$AA$9="français",D798,E798))=0,"",IF('1.Description'!$AA$9="english",C798,IF('1.Description'!$AA$9="français",D798,E798)))</f>
        <v/>
      </c>
    </row>
    <row r="799">
      <c r="B799" s="2266">
        <f>IF(IF('1.Description'!$AA$9="english",C799,IF('1.Description'!$AA$9="français",D799,E799))=0,"",IF('1.Description'!$AA$9="english",C799,IF('1.Description'!$AA$9="français",D799,E799)))</f>
        <v/>
      </c>
      <c r="C799" s="1064" t="inlineStr">
        <is>
          <t>A minimum area of land of 0.05 – 1.0 hectares with tree crown cover (or equivalent stocking level) of more than 10 – 30 per cent with trees with the potential to reach a minimum height of 2 – 5 meters at maturity in situ. It comprises several tree species of different age classes, spaced unevenly and according to their development needs.</t>
        </is>
      </c>
      <c r="D799" s="1064" t="inlineStr">
        <is>
          <t>Une surface minimale de 0,05 à 1,0 hectare avec un couvert arboré (ou un niveau de chargement équivalent) de plus de 10 à 30 % avec des arbres ayant le potentiel d'atteindre une hauteur minimale de 2 à 5 mètres à maturité in situ. Elle comprend plusieurs espèces d'arbres de différentes classes d'âge, espacées de manière irrégulière et en fonction de leurs besoins de développement.</t>
        </is>
      </c>
      <c r="E799" s="1064" t="inlineStr">
        <is>
          <t>Una superficie mínima de terreno de 0,05 - 1,0 hectáreas con una cobertura de copas (o nivel de población equivalente) superior al 10 - 30 por ciento con árboles con potencial para alcanzar una altura mínima de 2 - 5 metros en su madurez in situ. Comprende varias especies de árboles de diferentes clases de edad, espaciados de forma desigual y según sus necesidades de desarrollo.</t>
        </is>
      </c>
    </row>
    <row r="800">
      <c r="B800" s="2266">
        <f>IF(IF('1.Description'!$AA$9="english",C800,IF('1.Description'!$AA$9="français",D800,E800))=0,"",IF('1.Description'!$AA$9="english",C800,IF('1.Description'!$AA$9="français",D800,E800)))</f>
        <v/>
      </c>
      <c r="C800" s="1064" t="inlineStr">
        <is>
          <t>Forest stands of one or two species at planting, even age class and regular spacing. Usually established by planting or/and seeding in the process of afforestation or reforestation. They are either of introduced species (all planted stands), or intensively managed stands of indigenous species.</t>
        </is>
      </c>
      <c r="D800" s="1064" t="inlineStr">
        <is>
          <t>Peuplements forestiers d'une ou deux espèces à la plantation, classe d'âge égale et espacement régulier. Généralement établis par plantation ou/et semis dans le cadre d'un processus de boisement ou de reboisement. Il s'agit soit d'espèces introduites (tous les peuplements plantés), soit de peuplements d'espèces indigènes gérés de manière intensive.</t>
        </is>
      </c>
      <c r="E800" s="1064" t="inlineStr">
        <is>
          <t>Rodales forestales de una o dos especies en el momento de la plantación, con una clase de edad uniforme y un espaciado regular. Suelen establecerse mediante plantación y/o siembra en el proceso de forestación o reforestación. Son de especies introducidas (todos los rodales plantados), o rodales de especies autóctonas gestionados de forma intensiva.</t>
        </is>
      </c>
    </row>
    <row r="801">
      <c r="B801" s="2266">
        <f>IF(IF('1.Description'!$AA$9="english",C801,IF('1.Description'!$AA$9="français",D801,E801))=0,"",IF('1.Description'!$AA$9="english",C801,IF('1.Description'!$AA$9="français",D801,E801)))</f>
        <v/>
      </c>
      <c r="C801" s="1064" t="inlineStr">
        <is>
          <t>Plants that perform their entire life cycle from seed to flower to seed, within a single growing season. All roots, stems and leaves of the plant die annually. Only the dormant seed bridges the gap between one generation and the next. Selected, non woody pluriannual species are also included in this category (e.g. sugarcane) whenever their growth implies a harvest cycle for the entire plant.</t>
        </is>
      </c>
      <c r="D801" s="1064" t="inlineStr">
        <is>
          <t>Plantes qui accomplissent leur cycle de vie complet, de la graine à la fleur et à la graine, en une seule saison de croissance. Toutes les racines, tiges et feuilles de la plante meurent chaque année. Seule la graine dormante fait le pont entre une génération et la suivante. Certaines espèces pluriannuelles non ligneuses sont également incluses dans cette catégorie (par exemple, la canne à sucre) lorsque leur croissance implique un cycle de récolte pour la plante entière.</t>
        </is>
      </c>
      <c r="E801" s="1064" t="inlineStr">
        <is>
          <t>Plantas que realizan todo su ciclo vital, desde la semilla hasta la flor y la semilla, en una sola temporada de crecimiento. Todas las raíces, tallos y hojas de la planta mueren anualmente. Sólo la semilla latente sirve de puente entre una generación y la siguiente. Las especies plurianuales no leñosas seleccionadas también se incluyen en esta categoría (por ejemplo, la caña de azúcar) siempre que su crecimiento implique un ciclo de cosecha para toda la planta.</t>
        </is>
      </c>
    </row>
    <row r="802">
      <c r="B802" s="2266">
        <f>IF(IF('1.Description'!$AA$9="english",C802,IF('1.Description'!$AA$9="français",D802,E802))=0,"",IF('1.Description'!$AA$9="english",C802,IF('1.Description'!$AA$9="français",D802,E802)))</f>
        <v/>
      </c>
      <c r="C802" s="1064" t="inlineStr">
        <is>
          <t>It includes plants and other woody species that persist for many growing seasons. Generally the top portion of the plant dies back each winter and regrows the following spring from the same root system.</t>
        </is>
      </c>
      <c r="D802" s="1064" t="inlineStr">
        <is>
          <t>Elle comprend les plantes et autres espèces ligneuses qui persistent pendant de nombreuses saisons de croissance. En général, la partie supérieure de la plante meurt chaque hiver et repousse au printemps suivant à partir du même système racinaire.</t>
        </is>
      </c>
      <c r="E802" s="1064" t="inlineStr">
        <is>
          <t>Incluye plantas y otras especies leñosas que persisten durante muchas temporadas de crecimiento. Por lo general, la parte superior de la planta muere cada invierno y vuelve a crecer la primavera siguiente a partir del mismo sistema de raíces.</t>
        </is>
      </c>
    </row>
    <row r="803">
      <c r="B803" s="2266">
        <f>IF(IF('1.Description'!$AA$9="english",C803,IF('1.Description'!$AA$9="français",D803,E803))=0,"",IF('1.Description'!$AA$9="english",C803,IF('1.Description'!$AA$9="français",D803,E803)))</f>
        <v/>
      </c>
      <c r="C803" s="1064" t="inlineStr">
        <is>
          <t>It refers to only flooded (permanently or part of the year), lowland rice fields. Non flooded rice, i.e. upland rice or pure rain-fed rice is considered an annual crop.</t>
        </is>
      </c>
      <c r="D803" s="1064" t="inlineStr">
        <is>
          <t>Il s'agit uniquement des rizières de plaine inondées (en permanence ou une partie de l'année). Le riz non inondé, c'est-à-dire le riz des hautes terres ou le riz pluvial pur, est considéré comme une culture annuelle.</t>
        </is>
      </c>
      <c r="E803" s="1064" t="inlineStr">
        <is>
          <t>Se refiere únicamente a los arrozales inundados (permanentemente o parte del año), de tierras bajas. El arroz no inundado, es decir, el arroz de tierras altas o el arroz de secano puro, se considera un cultivo anual.</t>
        </is>
      </c>
    </row>
    <row r="804">
      <c r="B804" s="2266">
        <f>IF(IF('1.Description'!$AA$9="english",C804,IF('1.Description'!$AA$9="français",D804,E804))=0,"",IF('1.Description'!$AA$9="english",C804,IF('1.Description'!$AA$9="français",D804,E804)))</f>
        <v/>
      </c>
      <c r="C804" s="1064" t="inlineStr">
        <is>
          <t>Annual fallow land represents land that is temporary set aside from annual crop production (e.g., conservation reserves) or other idle cropland that has been revegetated</t>
        </is>
      </c>
      <c r="D804" s="1064" t="inlineStr">
        <is>
          <t>Les terres en jachère annuelle représentent les terres qui sont temporairement mises de côté pour la production de cultures annuelles (par exemple, les réserves de conservation) ou d'autres terres cultivées inutilisées qui ont été revégétalisées.</t>
        </is>
      </c>
      <c r="E804" s="1064" t="inlineStr">
        <is>
          <t>El barbecho anual representa la tierra que se aparta temporalmente de la producción de cultivos anuales (por ejemplo, reservas de conservación) u otras tierras de cultivo ociosas que han sido revegetadas</t>
        </is>
      </c>
    </row>
    <row r="805">
      <c r="B805" s="2266">
        <f>IF(IF('1.Description'!$AA$9="english",C805,IF('1.Description'!$AA$9="français",D805,E805))=0,"",IF('1.Description'!$AA$9="english",C805,IF('1.Description'!$AA$9="français",D805,E805)))</f>
        <v/>
      </c>
      <c r="C805" s="1064" t="inlineStr">
        <is>
          <t>Grasslands are generally defined by having vegetation that is dominated by perennial grasses, with grazing as the predominant land use.</t>
        </is>
      </c>
      <c r="D805" s="1064" t="inlineStr">
        <is>
          <t>Les prairies sont généralement définies comme ayant une végétation dominée par des graminées pérennes, le pâturage étant l'utilisation prédominante des terres.</t>
        </is>
      </c>
      <c r="E805" s="1064" t="inlineStr">
        <is>
          <t>Los pastizales se definen generalmente por tener una vegetación dominada por hierbas perennes, con el pastoreo como uso predominante de la tierra.</t>
        </is>
      </c>
    </row>
    <row r="806">
      <c r="B806" s="2266">
        <f>IF(IF('1.Description'!$AA$9="english",C806,IF('1.Description'!$AA$9="français",D806,E806))=0,"",IF('1.Description'!$AA$9="english",C806,IF('1.Description'!$AA$9="français",D806,E806)))</f>
        <v/>
      </c>
      <c r="C806" s="1064" t="inlineStr">
        <is>
          <t>Degraded lands are those whose native vegetation has been heavily disturbed. The land has strongly degraded biomass and soil organic carbon levels.</t>
        </is>
      </c>
      <c r="D806" s="1064" t="inlineStr">
        <is>
          <t>Les terres dégradées sont celles dont la végétation native a été fortement perturbée. Les terres présentent une forte dégradation de la biomasse et des niveaux de carbone organique du sol.</t>
        </is>
      </c>
      <c r="E806" s="1064" t="inlineStr">
        <is>
          <t>Las tierras degradadas son aquellas cuya vegetación nativa ha sido fuertemente perturbada. La tierra tiene niveles de biomasa y de carbono orgánico del suelo muy degradados.</t>
        </is>
      </c>
    </row>
    <row r="807">
      <c r="B807" s="2266">
        <f>IF(IF('1.Description'!$AA$9="english",C807,IF('1.Description'!$AA$9="français",D807,E807))=0,"",IF('1.Description'!$AA$9="english",C807,IF('1.Description'!$AA$9="français",D807,E807)))</f>
        <v/>
      </c>
      <c r="C807" s="1064" t="inlineStr">
        <is>
          <t>All developed land - i.e., residential, transportation, commercial, and production infrastructure of any size, unless it is already included under other land-use categories.</t>
        </is>
      </c>
      <c r="D807" s="1064" t="inlineStr">
        <is>
          <t>Tous les terrains aménagés - c'est-à-dire les infrastructures résidentielles, de transport, commerciales et de production de toute taille, à moins qu'ils ne soient déjà inclus dans d'autres catégories d'utilisation des sols.</t>
        </is>
      </c>
      <c r="E807" s="1064" t="inlineStr">
        <is>
          <t>Todos los terrenos urbanizados, es decir, las infraestructuras residenciales, de transporte, comerciales y de producción de cualquier tamaño, a menos que ya estén incluidos en otras categorías de uso del suelo.</t>
        </is>
      </c>
    </row>
    <row r="808">
      <c r="B808" s="2266">
        <f>IF(IF('1.Description'!$AA$9="english",C808,IF('1.Description'!$AA$9="français",D808,E808))=0,"",IF('1.Description'!$AA$9="english",C808,IF('1.Description'!$AA$9="français",D808,E808)))</f>
        <v/>
      </c>
    </row>
    <row r="809">
      <c r="B809" s="2266">
        <f>IF(IF('1.Description'!$AA$9="english",C809,IF('1.Description'!$AA$9="français",D809,E809))=0,"",IF('1.Description'!$AA$9="english",C809,IF('1.Description'!$AA$9="français",D809,E809)))</f>
        <v/>
      </c>
      <c r="C809" s="1064" t="inlineStr">
        <is>
          <t xml:space="preserve">Soils with high activity clay (HAC) minerals are lightly to moderately weathered soils which are dominated by
2:1 silicated clay minerals (in FAO classification included: Vertisols, Chernozems, Phaezems, Luvisols). </t>
        </is>
      </c>
      <c r="D809" s="1064" t="inlineStr">
        <is>
          <t xml:space="preserve">Les sols avec des minéraux d'argile à haute activité (HAC) sont des sols légèrement à modérément altérés qui sont dominés par
2:1 de minéraux argileux silicatés (inclus dans la classification FAO : Vertisols, Chernozems, Phaezems, Luvisols). </t>
        </is>
      </c>
      <c r="E809" s="1064" t="inlineStr">
        <is>
          <t xml:space="preserve">Los suelos con minerales de arcilla de alta actividad (HAC) son suelos de ligera a moderadamente meteorizados que están dominados por
2:1 minerales de arcilla silicatada (en la clasificación de la FAO se incluyen: Vertisoles, Chernozems, Faezems, Luvisoles). </t>
        </is>
      </c>
    </row>
    <row r="810">
      <c r="B810" s="2266">
        <f>IF(IF('1.Description'!$AA$9="english",C810,IF('1.Description'!$AA$9="français",D810,E810))=0,"",IF('1.Description'!$AA$9="english",C810,IF('1.Description'!$AA$9="français",D810,E810)))</f>
        <v/>
      </c>
      <c r="C810" s="1064" t="inlineStr">
        <is>
          <t>Soils with low activity clay (LAC) minerals are highly weathered soils dominated by 1:1 clay mineral and
amorphous iron and aluminium oxides (in FAO classification included: Acrisols, Nitosols, Ferrasols).</t>
        </is>
      </c>
      <c r="D810" s="1064" t="inlineStr">
        <is>
          <t>Les sols avec des minéraux argileux à faible activité (LAC) sont des sols très altérés dominés par des minéraux argileux 1:1 et des oxydes de fer et d'aluminium amorphes (dans la classification de la FAO, ils comprennent : les acrisols, les nitosols et les ferrasols).
d'oxydes de fer et d'aluminium amorphes (inclus dans la classification FAO : Acrisols, Nitosols, Ferrasols).</t>
        </is>
      </c>
      <c r="E810" s="1064" t="inlineStr">
        <is>
          <t>Los suelos con minerales de arcilla de baja actividad (LAC) son suelos altamente meteorizados dominados por minerales de arcilla 1:1 y
óxidos de hierro y aluminio amorfos (en la clasificación de la FAO se incluyen: Acrisoles, Nitosoles, Ferrasoles).</t>
        </is>
      </c>
    </row>
    <row r="811">
      <c r="B811" s="2266">
        <f>IF(IF('1.Description'!$AA$9="english",C811,IF('1.Description'!$AA$9="français",D811,E811))=0,"",IF('1.Description'!$AA$9="english",C811,IF('1.Description'!$AA$9="français",D811,E811)))</f>
        <v/>
      </c>
      <c r="C811" s="1064" t="inlineStr">
        <is>
          <t>Includes all soils (regardless of taxonomic classification) having &gt; 70% sand and &lt; 8 % clay (based on standard
textural measurements (in FAO classification include: Arenosols, sandy Regosols))</t>
        </is>
      </c>
      <c r="D811" s="1064" t="inlineStr">
        <is>
          <t>Comprend tous les sols (quelle que soit leur classification taxonomique) ayant &gt; 70 % de sable et &lt; 8 % d'argile (sur la base de mesures texturales standard
mesures texturales standard (dans la classification de la FAO, inclure : arénosols, régosols sableux).</t>
        </is>
      </c>
      <c r="E811" s="1064" t="inlineStr">
        <is>
          <t>Incluye todos los suelos (independientemente de la clasificación taxonómica) que tienen &gt; 70% de arena y &lt; 8 % de arcilla (según las mediciones de textura estándar
medidas de textura estándar (en la clasificación de la FAO incluye: Arenosoles, Regosoles arenosos))</t>
        </is>
      </c>
    </row>
    <row r="812">
      <c r="B812" s="2266">
        <f>IF(IF('1.Description'!$AA$9="english",C812,IF('1.Description'!$AA$9="français",D812,E812))=0,"",IF('1.Description'!$AA$9="english",C812,IF('1.Description'!$AA$9="français",D812,E812)))</f>
        <v/>
      </c>
      <c r="C812" s="1064" t="inlineStr">
        <is>
          <t>Soils exhibiting strong podzolization (in FAO classification includes many Podzolic groups).</t>
        </is>
      </c>
      <c r="D812" s="1064" t="inlineStr">
        <is>
          <t>Sols présentant une forte podzolisation (dans la classification FAO, comprend de nombreux groupes podzoliques).</t>
        </is>
      </c>
      <c r="E812" s="1064" t="inlineStr">
        <is>
          <t>Suelos que presentan una fuerte podzolización (en la clasificación de la FAO incluye muchos grupos podzólicos).</t>
        </is>
      </c>
    </row>
    <row r="813">
      <c r="B813" s="2266">
        <f>IF(IF('1.Description'!$AA$9="english",C813,IF('1.Description'!$AA$9="français",D813,E813))=0,"",IF('1.Description'!$AA$9="english",C813,IF('1.Description'!$AA$9="français",D813,E813)))</f>
        <v/>
      </c>
      <c r="C813" s="1064" t="inlineStr">
        <is>
          <t>Soils formed by weathering of volcanogenic materials. Most of them are classified as Andisols.</t>
        </is>
      </c>
      <c r="D813" s="1064" t="inlineStr">
        <is>
          <t>Sols formés par l'altération des matériaux volcanogènes. La plupart d'entre eux sont classés comme Andisols.</t>
        </is>
      </c>
      <c r="E813" s="1064" t="inlineStr">
        <is>
          <t>Suelos formados por la meteorización de materiales volcanogénicos. La mayoría de ellos se clasifican como Andisoles.</t>
        </is>
      </c>
    </row>
    <row r="814">
      <c r="B814" s="2266">
        <f>IF(IF('1.Description'!$AA$9="english",C814,IF('1.Description'!$AA$9="français",D814,E814))=0,"",IF('1.Description'!$AA$9="english",C814,IF('1.Description'!$AA$9="français",D814,E814)))</f>
        <v/>
      </c>
      <c r="C814" s="1064" t="inlineStr">
        <is>
          <t>This category includes soils that are covered or saturated by water for all or part of the year. Wetland soils include organic soils and mineral soils</t>
        </is>
      </c>
      <c r="D814" s="1064" t="inlineStr">
        <is>
          <t>Cette catégorie comprend les sols qui sont couverts ou saturés d'eau pendant tout ou partie de l'année. Les sols des zones humides comprennent les sols organiques et les sols minéraux.</t>
        </is>
      </c>
      <c r="E814" s="1064" t="inlineStr">
        <is>
          <t>Esta categoría incluye los suelos que están cubiertos o saturados de agua durante todo o parte del año. Los suelos de los humedales incluyen los suelos orgánicos y los suelos minerales</t>
        </is>
      </c>
    </row>
    <row r="815">
      <c r="B815" s="2266">
        <f>IF(IF('1.Description'!$AA$9="english",C815,IF('1.Description'!$AA$9="français",D815,E815))=0,"",IF('1.Description'!$AA$9="english",C815,IF('1.Description'!$AA$9="français",D815,E815)))</f>
        <v/>
      </c>
      <c r="C815" s="1064" t="inlineStr">
        <is>
          <t>Soils are organic if they satisfy the requirements 1 and 2, or 1 and 3 below (FAO, 1998):
1. Thickness of 10 cm or more. A horizon less than 20 cm thick must have 12 percent or more organic carbon
when mixed to a depth of 20 cm;
2. If the soil is never saturated with water for more than a few days, and contains more than 20 percent (by
weight) organic carbon (about 35 percent organic matter);
3. If the soil is subject to water saturation episodes and has either:
(i) At least 12 percent (by weight) organic carbon (about 20 percent organic matter) if it has no clay;
or
(ii) At least 18 percent (by weight) organic carbon (about 30 percent organic matter) if it has 60 percent
or more clay; or
(iii) An intermediate, proportional amount of organic carbon for intermediate amounts of clay.</t>
        </is>
      </c>
      <c r="D815" s="1064" t="inlineStr">
        <is>
          <t>Les sols sont biologiques s'ils satisfont aux exigences 1 et 2, ou 1 et 3 ci-dessous (FAO, 1998) :
1. Épaisseur de 10 cm ou plus. Un horizon de moins de 20 cm d'épaisseur doit contenir 12 pour cent ou plus de carbone organique
lorsqu'il est mélangé à une profondeur de 20 cm ;
2. Si le sol n'est jamais saturé d'eau pendant plus de quelques jours, et contient plus de 20 pour cent (en poids) de carbone organique (environ 35 pour cent de matière organique) ; 3.
poids) de carbone organique (environ 35 pour cent de matière organique) ;
3. Si le sol est soumis à des épisodes de saturation en eau et qu'il présente soit :
(i) Au moins 12 pour cent (en poids) de carbone organique (environ 20 pour cent de matière organique) s'il ne contient pas d'argile ;
ou
(ii) au moins 18 % (en poids) de carbone organique (environ 30 % de matière organique) s'il contient 60 % ou plus d'argile ; ou
ou plus d'argile ; ou
(iii) Une quantité intermédiaire et proportionnelle de carbone organique pour des quantités intermédiaires d'argile.</t>
        </is>
      </c>
      <c r="E815" s="1064" t="inlineStr">
        <is>
          <t>Los suelos son orgánicos si satisfacen los requisitos 1 y 2, o 1 y 3 siguientes (FAO, 1998):
1. Espesor de 10 cm o más. Un horizonte de menos de 20 cm de espesor debe tener un 12% o más de carbono orgánico
cuando se mezcla hasta una profundidad de 20 cm;
2. Si el suelo nunca está saturado de agua durante más de unos días, y contiene más del 20 por ciento (en peso) de
peso) de carbono orgánico (alrededor del 35 por ciento de materia orgánica);
3. Si el suelo está sujeto a episodios de saturación de agua y tiene
(i) Al menos un 12 por ciento (en peso) de carbono orgánico (aproximadamente un 20 por ciento de materia orgánica) si no tiene arcilla;
o
(ii) Al menos el 18 por ciento (en peso) de carbono orgánico (alrededor del 30 por ciento de materia orgánica) si tiene un 60 por ciento
o más de arcilla; o
(iii) Una cantidad intermedia y proporcional de carbono orgánico para cantidades intermedias de arcilla.</t>
        </is>
      </c>
    </row>
    <row r="816">
      <c r="B816" s="2266">
        <f>IF(IF('1.Description'!$AA$9="english",C816,IF('1.Description'!$AA$9="français",D816,E816))=0,"",IF('1.Description'!$AA$9="english",C816,IF('1.Description'!$AA$9="français",D816,E816)))</f>
        <v/>
      </c>
    </row>
    <row r="817">
      <c r="B817" s="2266">
        <f>IF(IF('1.Description'!$AA$9="english",C817,IF('1.Description'!$AA$9="français",D817,E817))=0,"",IF('1.Description'!$AA$9="english",C817,IF('1.Description'!$AA$9="français",D817,E817)))</f>
        <v/>
      </c>
      <c r="C817" s="1064" t="inlineStr">
        <is>
          <t>This worksheet is foreseen for user-defined calculations.</t>
        </is>
      </c>
      <c r="D817" s="1064" t="inlineStr">
        <is>
          <t>Cette feuille de calcul est prévue pour les calculs définis par l'utilisateur.</t>
        </is>
      </c>
      <c r="E817" s="1064" t="inlineStr">
        <is>
          <t>Esta hoja de trabajo está prevista para cálculos definidos por el usuario.</t>
        </is>
      </c>
    </row>
    <row r="818">
      <c r="B818" s="2266">
        <f>IF(IF('1.Description'!$AA$9="english",C818,IF('1.Description'!$AA$9="français",D818,E818))=0,"",IF('1.Description'!$AA$9="english",C818,IF('1.Description'!$AA$9="français",D818,E818)))</f>
        <v/>
      </c>
      <c r="C818" s="1064" t="inlineStr">
        <is>
          <t>Users can find climate and soil related data on Earth Map:</t>
        </is>
      </c>
      <c r="D818" s="1064" t="inlineStr">
        <is>
          <t>L'utilisateur peut trouver des données relatives au climat et au sol sur Earth Map :</t>
        </is>
      </c>
      <c r="E818" s="1064" t="inlineStr">
        <is>
          <t>El usuario puede encontrar datos relacionados con el clima y el suelo en Earth Map:</t>
        </is>
      </c>
    </row>
    <row r="819">
      <c r="B819" s="2266">
        <f>IF(IF('1.Description'!$AA$9="english",C819,IF('1.Description'!$AA$9="français",D819,E819))=0,"",IF('1.Description'!$AA$9="english",C819,IF('1.Description'!$AA$9="français",D819,E819)))</f>
        <v/>
      </c>
      <c r="C819" s="1064" t="inlineStr">
        <is>
          <t>The website allows to run a script to download all the data of interest to EX-ACT analysis for a preselected polygon (NB. The script may not run correctly for larger areas due to server calculation capaity limits). The downloaded data may be pasted here and subsequently must be processed by the user to derive the average values to be included in the EX-ACT analysis.</t>
        </is>
      </c>
      <c r="D819" s="1064" t="inlineStr">
        <is>
          <t>Le site Web permet également d'exécuter un script pour télécharger toutes les données d'intérêt pour l'analyse EX-ACT pour un polygone présélectionné (NB. Le script peut ne pas fonctionner correctement pour des zones plus grandes en raison des limites de capacité de calcul du serveur). Les données téléchargées peuvent être collées ici et doivent ensuite être traitées par l'utilisateur pour en déduire les valeurs moyennes à inclure dans l'analyse EX-ACT.</t>
        </is>
      </c>
      <c r="E819" s="1064" t="inlineStr">
        <is>
          <t>El sitio web también permite ejecutar un script para descargar todos los datos de interés para el análisis EX-ACT para un polígono preseleccionado (Nota: es posible que el script no se ejecute correctamente para áreas más grandes debido a los límites de capacidad de cálculo del servidor). Los datos descargados se pueden pegar aquí y, posteriormente, el usuario debe procesarlos para obtener los valores promedio que se incluirán en el análisis EX-ACT.</t>
        </is>
      </c>
    </row>
  </sheetData>
  <pageMargins left="0.7" right="0.7" top="0.75" bottom="0.75" header="0.3" footer="0.3"/>
  <pageSetup orientation="portrait" paperSize="9"/>
</worksheet>
</file>

<file path=xl/worksheets/sheet40.xml><?xml version="1.0" encoding="utf-8"?>
<worksheet xmlns:r="http://schemas.openxmlformats.org/officeDocument/2006/relationships" xmlns="http://schemas.openxmlformats.org/spreadsheetml/2006/main">
  <sheetPr>
    <outlinePr summaryBelow="1" summaryRight="1"/>
    <pageSetUpPr/>
  </sheetPr>
  <dimension ref="B1:AD239"/>
  <sheetViews>
    <sheetView topLeftCell="A88" zoomScale="90" zoomScaleNormal="90" workbookViewId="0">
      <selection activeCell="B88" sqref="B88"/>
    </sheetView>
  </sheetViews>
  <sheetFormatPr baseColWidth="10" defaultColWidth="8.6640625" defaultRowHeight="15"/>
  <cols>
    <col width="52.33203125" customWidth="1" min="2" max="2"/>
    <col width="19.5" customWidth="1" min="3" max="3"/>
    <col width="34.1640625" customWidth="1" min="4" max="4"/>
    <col width="33.83203125" customWidth="1" min="5" max="5"/>
    <col width="36.5" customWidth="1" min="6" max="6"/>
    <col width="41.6640625" customWidth="1" min="7" max="7"/>
    <col width="29.1640625" customWidth="1" min="8" max="8"/>
  </cols>
  <sheetData>
    <row r="1">
      <c r="B1" s="4315">
        <f>Languages!B817</f>
        <v/>
      </c>
    </row>
    <row r="3">
      <c r="B3" t="inlineStr">
        <is>
          <t>Global Soil Organic Carbon (tc/ha)</t>
        </is>
      </c>
      <c r="C3" s="17" t="n">
        <v>69.41</v>
      </c>
    </row>
    <row r="4">
      <c r="B4" t="inlineStr">
        <is>
          <t>Precipitation (mm)</t>
        </is>
      </c>
      <c r="C4" s="17" t="n">
        <v>137.1736663347397</v>
      </c>
    </row>
    <row r="5">
      <c r="B5" t="inlineStr">
        <is>
          <t>Temperature (c)</t>
        </is>
      </c>
      <c r="C5" s="17" t="n">
        <v>23.06891797023613</v>
      </c>
    </row>
    <row r="6">
      <c r="B6" t="inlineStr">
        <is>
          <t>Potential evapotranspiration (mm)</t>
        </is>
      </c>
      <c r="C6" s="17" t="n">
        <v>1201.66135100439</v>
      </c>
    </row>
    <row r="7">
      <c r="B7" t="inlineStr">
        <is>
          <t>Elevation m</t>
        </is>
      </c>
      <c r="C7" t="n">
        <v>338.62</v>
      </c>
    </row>
    <row r="9">
      <c r="B9" t="inlineStr">
        <is>
          <t>Source: Earthmap</t>
        </is>
      </c>
    </row>
    <row r="13" ht="45" customHeight="1">
      <c r="B13" s="4507" t="n"/>
      <c r="C13" s="4507" t="inlineStr">
        <is>
          <t>Area concerned ha</t>
        </is>
      </c>
      <c r="D13" s="4508" t="inlineStr">
        <is>
          <t>Initial situation</t>
        </is>
      </c>
      <c r="E13" s="4508" t="inlineStr">
        <is>
          <t>Without Project</t>
        </is>
      </c>
      <c r="F13" s="4508" t="inlineStr">
        <is>
          <t>With Project</t>
        </is>
      </c>
      <c r="G13" s="4509" t="inlineStr">
        <is>
          <t>Add comments</t>
        </is>
      </c>
      <c r="H13" s="4508" t="inlineStr">
        <is>
          <t>EX-ACT MODULE USED</t>
        </is>
      </c>
      <c r="I13" s="4488" t="n"/>
      <c r="J13" s="4488" t="n"/>
      <c r="K13" s="4488" t="n"/>
      <c r="L13" s="4488" t="n"/>
      <c r="M13" s="4488" t="n"/>
      <c r="N13" s="4488" t="n"/>
      <c r="O13" s="4488" t="n"/>
      <c r="P13" s="4488" t="n"/>
      <c r="Q13" s="4488" t="n"/>
      <c r="R13" s="4488" t="n"/>
      <c r="S13" s="4488" t="n"/>
      <c r="T13" s="4488" t="n"/>
      <c r="U13" s="4488" t="n"/>
      <c r="V13" s="4488" t="n"/>
      <c r="W13" s="4488" t="n"/>
      <c r="X13" s="4488" t="n"/>
      <c r="Y13" s="4488" t="n"/>
      <c r="Z13" s="4488" t="n"/>
      <c r="AA13" s="4488" t="n"/>
      <c r="AB13" s="4488" t="n"/>
      <c r="AC13" s="4488" t="n"/>
      <c r="AD13" s="4488" t="n"/>
    </row>
    <row r="14" ht="44" customHeight="1">
      <c r="B14" s="4491" t="inlineStr">
        <is>
          <t xml:space="preserve">Terrestrial protected areas created or under improved management (hectare) </t>
        </is>
      </c>
      <c r="C14" s="4492" t="n"/>
      <c r="D14" s="4503" t="n"/>
      <c r="E14" s="4503" t="n"/>
      <c r="F14" s="4503" t="n"/>
      <c r="G14" s="4504" t="n"/>
      <c r="H14" s="4503" t="n"/>
      <c r="I14" s="4488" t="n"/>
      <c r="J14" s="4488" t="n"/>
      <c r="K14" s="4488" t="n"/>
      <c r="L14" s="4488" t="n"/>
      <c r="M14" s="4488" t="n"/>
      <c r="N14" s="4488" t="n"/>
      <c r="O14" s="4488" t="n"/>
      <c r="P14" s="4488" t="n"/>
      <c r="Q14" s="4488" t="n"/>
      <c r="R14" s="4488" t="n"/>
      <c r="S14" s="4488" t="n"/>
      <c r="T14" s="4488" t="n"/>
      <c r="U14" s="4488" t="n"/>
      <c r="V14" s="4488" t="n"/>
      <c r="W14" s="4488" t="n"/>
      <c r="X14" s="4488" t="n"/>
      <c r="Y14" s="4488" t="n"/>
      <c r="Z14" s="4488" t="n"/>
      <c r="AA14" s="4488" t="n"/>
      <c r="AB14" s="4488" t="n"/>
      <c r="AC14" s="4488" t="n"/>
      <c r="AD14" s="4488" t="n"/>
    </row>
    <row r="15" ht="73.25" customHeight="1">
      <c r="B15" s="4490" t="inlineStr">
        <is>
          <t>Reduction of fire risk</t>
        </is>
      </c>
      <c r="C15" s="4493" t="n">
        <v>3000</v>
      </c>
      <c r="D15" s="4503" t="inlineStr">
        <is>
          <t>Forest degradation 10% (very low)</t>
        </is>
      </c>
      <c r="E15" s="4503" t="inlineStr">
        <is>
          <t>Forest degradation 15% ( low)</t>
        </is>
      </c>
      <c r="F15" s="4503" t="inlineStr">
        <is>
          <t>Non degraded</t>
        </is>
      </c>
      <c r="G15" s="4505" t="inlineStr">
        <is>
          <t>Replacement of trees, cleaning waterlines from invasive herbaceous, thinning dense hair type tree stands to allow growth of large trunks</t>
        </is>
      </c>
      <c r="H15" s="4503" t="inlineStr">
        <is>
          <t>Forest management</t>
        </is>
      </c>
      <c r="I15" s="4488" t="n"/>
      <c r="J15" s="4488" t="n"/>
      <c r="K15" s="4488" t="n"/>
      <c r="L15" s="4488" t="n"/>
      <c r="M15" s="4488" t="n"/>
      <c r="N15" s="4488" t="n"/>
      <c r="O15" s="4488" t="n"/>
      <c r="P15" s="4488" t="n"/>
      <c r="Q15" s="4488" t="n"/>
      <c r="R15" s="4488" t="n"/>
      <c r="S15" s="4488" t="n"/>
      <c r="T15" s="4488" t="n"/>
      <c r="U15" s="4488" t="n"/>
      <c r="V15" s="4488" t="n"/>
      <c r="W15" s="4488" t="n"/>
      <c r="X15" s="4488" t="n"/>
      <c r="Y15" s="4488" t="n"/>
      <c r="Z15" s="4488" t="n"/>
      <c r="AA15" s="4488" t="n"/>
      <c r="AB15" s="4488" t="n"/>
      <c r="AC15" s="4488" t="n"/>
      <c r="AD15" s="4488" t="n"/>
    </row>
    <row r="16" ht="66" customHeight="1">
      <c r="B16" s="4490" t="inlineStr">
        <is>
          <t>Management of tree stands with pruning, densification with adequate species, removal of invasives</t>
        </is>
      </c>
      <c r="C16" s="4493" t="n">
        <v>2000</v>
      </c>
      <c r="D16" s="4503" t="inlineStr">
        <is>
          <t>Forest degradation 40% (moderate)</t>
        </is>
      </c>
      <c r="E16" s="4503" t="inlineStr">
        <is>
          <t>Forest degradation 40% (moderate)</t>
        </is>
      </c>
      <c r="F16" s="4503" t="inlineStr">
        <is>
          <t>Forest degradation 20% (low)</t>
        </is>
      </c>
      <c r="G16" s="4504" t="n"/>
      <c r="H16" s="4503" t="inlineStr">
        <is>
          <t>Forest management</t>
        </is>
      </c>
      <c r="I16" s="4488" t="n"/>
      <c r="J16" s="4488" t="n"/>
      <c r="K16" s="4488" t="n"/>
      <c r="L16" s="4488" t="n"/>
      <c r="M16" s="4488" t="n"/>
      <c r="N16" s="4488" t="n"/>
      <c r="O16" s="4488" t="n"/>
      <c r="P16" s="4488" t="n"/>
      <c r="Q16" s="4488" t="n"/>
      <c r="R16" s="4488" t="n"/>
      <c r="S16" s="4488" t="n"/>
      <c r="T16" s="4488" t="n"/>
      <c r="U16" s="4488" t="n"/>
      <c r="V16" s="4488" t="n"/>
      <c r="W16" s="4488" t="n"/>
      <c r="X16" s="4488" t="n"/>
      <c r="Y16" s="4488" t="n"/>
      <c r="Z16" s="4488" t="n"/>
      <c r="AA16" s="4488" t="n"/>
      <c r="AB16" s="4488" t="n"/>
      <c r="AC16" s="4488" t="n"/>
      <c r="AD16" s="4488" t="n"/>
    </row>
    <row r="17" ht="40" customHeight="1">
      <c r="B17" s="4490" t="inlineStr">
        <is>
          <t>Restoration with endemic shrubs</t>
        </is>
      </c>
      <c r="C17" s="4493" t="n">
        <v>2000</v>
      </c>
      <c r="D17" s="4503" t="inlineStr">
        <is>
          <t>Forest degradation 40% (moderate)</t>
        </is>
      </c>
      <c r="E17" s="4503" t="inlineStr">
        <is>
          <t>Forest degradation 40% (moderate)</t>
        </is>
      </c>
      <c r="F17" s="4503" t="inlineStr">
        <is>
          <t>Forest degradation 20% (low)</t>
        </is>
      </c>
      <c r="G17" s="4504" t="n"/>
      <c r="H17" s="4503" t="inlineStr">
        <is>
          <t>Forest management</t>
        </is>
      </c>
      <c r="I17" s="4488" t="n"/>
      <c r="J17" s="4488" t="n"/>
      <c r="K17" s="4488" t="n"/>
      <c r="L17" s="4488" t="n"/>
      <c r="M17" s="4488" t="n"/>
      <c r="N17" s="4488" t="n"/>
      <c r="O17" s="4488" t="n"/>
      <c r="P17" s="4488" t="n"/>
      <c r="Q17" s="4488" t="n"/>
      <c r="R17" s="4488" t="n"/>
      <c r="S17" s="4488" t="n"/>
      <c r="T17" s="4488" t="n"/>
      <c r="U17" s="4488" t="n"/>
      <c r="V17" s="4488" t="n"/>
      <c r="W17" s="4488" t="n"/>
      <c r="X17" s="4488" t="n"/>
      <c r="Y17" s="4488" t="n"/>
      <c r="Z17" s="4488" t="n"/>
      <c r="AA17" s="4488" t="n"/>
      <c r="AB17" s="4488" t="n"/>
      <c r="AC17" s="4488" t="n"/>
      <c r="AD17" s="4488" t="n"/>
    </row>
    <row r="18" ht="22" customHeight="1">
      <c r="B18" s="4490" t="inlineStr">
        <is>
          <t>Plantation of trees</t>
        </is>
      </c>
      <c r="C18" s="4499" t="n">
        <v>1000</v>
      </c>
      <c r="D18" s="4503" t="inlineStr">
        <is>
          <t>Degraded area</t>
        </is>
      </c>
      <c r="E18" s="4503" t="inlineStr">
        <is>
          <t>Degraded Areas</t>
        </is>
      </c>
      <c r="F18" s="4503" t="inlineStr">
        <is>
          <t>Tropical dry forest</t>
        </is>
      </c>
      <c r="G18" s="4504" t="n"/>
      <c r="H18" s="4506" t="inlineStr">
        <is>
          <t>LUC-Afforestation</t>
        </is>
      </c>
      <c r="I18" s="4500" t="n"/>
      <c r="J18" s="4488" t="n"/>
      <c r="K18" s="4488" t="n"/>
      <c r="L18" s="4488" t="n"/>
      <c r="M18" s="4488" t="n"/>
      <c r="N18" s="4488" t="n"/>
      <c r="O18" s="4488" t="n"/>
      <c r="P18" s="4488" t="n"/>
      <c r="Q18" s="4488" t="n"/>
      <c r="R18" s="4488" t="n"/>
      <c r="S18" s="4488" t="n"/>
      <c r="T18" s="4488" t="n"/>
      <c r="U18" s="4488" t="n"/>
      <c r="V18" s="4488" t="n"/>
      <c r="W18" s="4488" t="n"/>
      <c r="X18" s="4488" t="n"/>
      <c r="Y18" s="4488" t="n"/>
      <c r="Z18" s="4488" t="n"/>
      <c r="AA18" s="4488" t="n"/>
      <c r="AB18" s="4488" t="n"/>
      <c r="AC18" s="4488" t="n"/>
      <c r="AD18" s="4488" t="n"/>
    </row>
    <row r="19" ht="44" customHeight="1">
      <c r="B19" s="4490" t="inlineStr">
        <is>
          <t xml:space="preserve">Conversion of degraded bare or agricultural areas into grasslands </t>
        </is>
      </c>
      <c r="C19" s="4493" t="n">
        <v>2500</v>
      </c>
      <c r="D19" s="4503" t="inlineStr">
        <is>
          <t>Degraded area</t>
        </is>
      </c>
      <c r="E19" s="4503" t="inlineStr">
        <is>
          <t>Degraded Areas</t>
        </is>
      </c>
      <c r="F19" s="4503" t="inlineStr">
        <is>
          <t>Grassland</t>
        </is>
      </c>
      <c r="G19" s="4504" t="n"/>
      <c r="H19" s="4503" t="inlineStr">
        <is>
          <t>LUC-Non forest LUC</t>
        </is>
      </c>
      <c r="I19" s="4488" t="n"/>
      <c r="J19" s="4488" t="n"/>
      <c r="K19" s="4488" t="n"/>
      <c r="L19" s="4488" t="n"/>
      <c r="M19" s="4488" t="n"/>
      <c r="N19" s="4488" t="n"/>
      <c r="O19" s="4488" t="n"/>
      <c r="P19" s="4488" t="n"/>
      <c r="Q19" s="4488" t="n"/>
      <c r="R19" s="4488" t="n"/>
      <c r="S19" s="4488" t="n"/>
      <c r="T19" s="4488" t="n"/>
      <c r="U19" s="4488" t="n"/>
      <c r="V19" s="4488" t="n"/>
      <c r="W19" s="4488" t="n"/>
      <c r="X19" s="4488" t="n"/>
      <c r="Y19" s="4488" t="n"/>
      <c r="Z19" s="4488" t="n"/>
      <c r="AA19" s="4488" t="n"/>
      <c r="AB19" s="4488" t="n"/>
      <c r="AC19" s="4488" t="n"/>
      <c r="AD19" s="4488" t="n"/>
    </row>
    <row r="20" ht="44" customHeight="1">
      <c r="B20" s="4494" t="inlineStr">
        <is>
          <t>Improvement of tracks and associated infrastructures</t>
        </is>
      </c>
      <c r="C20" s="4495" t="n">
        <v>3000</v>
      </c>
      <c r="D20" s="4503" t="n"/>
      <c r="E20" s="4503" t="n"/>
      <c r="F20" s="4503" t="n"/>
      <c r="G20" s="4504" t="n"/>
      <c r="H20" s="4503" t="n"/>
      <c r="I20" s="4488" t="n"/>
      <c r="J20" s="4488" t="n"/>
      <c r="K20" s="4488" t="n"/>
      <c r="L20" s="4488" t="n"/>
      <c r="M20" s="4488" t="n"/>
      <c r="N20" s="4488" t="n"/>
      <c r="O20" s="4488" t="n"/>
      <c r="P20" s="4488" t="n"/>
      <c r="Q20" s="4488" t="n"/>
      <c r="R20" s="4488" t="n"/>
      <c r="S20" s="4488" t="n"/>
      <c r="T20" s="4488" t="n"/>
      <c r="U20" s="4488" t="n"/>
      <c r="V20" s="4488" t="n"/>
      <c r="W20" s="4488" t="n"/>
      <c r="X20" s="4488" t="n"/>
      <c r="Y20" s="4488" t="n"/>
      <c r="Z20" s="4488" t="n"/>
      <c r="AA20" s="4488" t="n"/>
      <c r="AB20" s="4488" t="n"/>
      <c r="AC20" s="4488" t="n"/>
      <c r="AD20" s="4488" t="n"/>
    </row>
    <row r="21" ht="44" customHeight="1">
      <c r="B21" s="4494" t="inlineStr">
        <is>
          <t>Support nesting of bird species and other animals</t>
        </is>
      </c>
      <c r="C21" s="4495" t="n">
        <v>3000</v>
      </c>
      <c r="D21" s="4503" t="n"/>
      <c r="E21" s="4503" t="n"/>
      <c r="F21" s="4503" t="n"/>
      <c r="G21" s="4504" t="n"/>
      <c r="H21" s="4503" t="n"/>
      <c r="I21" s="4488" t="n"/>
      <c r="J21" s="4488" t="n"/>
      <c r="K21" s="4488" t="n"/>
      <c r="L21" s="4488" t="n"/>
      <c r="M21" s="4488" t="n"/>
      <c r="N21" s="4488" t="n"/>
      <c r="O21" s="4488" t="n"/>
      <c r="P21" s="4488" t="n"/>
      <c r="Q21" s="4488" t="n"/>
      <c r="R21" s="4488" t="n"/>
      <c r="S21" s="4488" t="n"/>
      <c r="T21" s="4488" t="n"/>
      <c r="U21" s="4488" t="n"/>
      <c r="V21" s="4488" t="n"/>
      <c r="W21" s="4488" t="n"/>
      <c r="X21" s="4488" t="n"/>
      <c r="Y21" s="4488" t="n"/>
      <c r="Z21" s="4488" t="n"/>
      <c r="AA21" s="4488" t="n"/>
      <c r="AB21" s="4488" t="n"/>
      <c r="AC21" s="4488" t="n"/>
      <c r="AD21" s="4488" t="n"/>
    </row>
    <row r="22" ht="22" customHeight="1">
      <c r="B22" s="4494" t="inlineStr">
        <is>
          <t xml:space="preserve">Work with communities </t>
        </is>
      </c>
      <c r="C22" s="4495" t="n">
        <v>3000</v>
      </c>
      <c r="D22" s="4503" t="n"/>
      <c r="E22" s="4503" t="n"/>
      <c r="F22" s="4503" t="n"/>
      <c r="G22" s="4504" t="n"/>
      <c r="H22" s="4503" t="n"/>
      <c r="I22" s="4488" t="n"/>
      <c r="J22" s="4488" t="n"/>
      <c r="K22" s="4488" t="n"/>
      <c r="L22" s="4488" t="n"/>
      <c r="M22" s="4488" t="n"/>
      <c r="N22" s="4488" t="n"/>
      <c r="O22" s="4488" t="n"/>
      <c r="P22" s="4488" t="n"/>
      <c r="Q22" s="4488" t="n"/>
      <c r="R22" s="4488" t="n"/>
      <c r="S22" s="4488" t="n"/>
      <c r="T22" s="4488" t="n"/>
      <c r="U22" s="4488" t="n"/>
      <c r="V22" s="4488" t="n"/>
      <c r="W22" s="4488" t="n"/>
      <c r="X22" s="4488" t="n"/>
      <c r="Y22" s="4488" t="n"/>
      <c r="Z22" s="4488" t="n"/>
      <c r="AA22" s="4488" t="n"/>
      <c r="AB22" s="4488" t="n"/>
      <c r="AC22" s="4488" t="n"/>
      <c r="AD22" s="4488" t="n"/>
    </row>
    <row r="23" ht="44" customHeight="1">
      <c r="B23" s="4494" t="inlineStr">
        <is>
          <t>Install nature based value chains such as honey / others</t>
        </is>
      </c>
      <c r="C23" s="4495" t="n">
        <v>3000</v>
      </c>
      <c r="D23" s="4503" t="n"/>
      <c r="E23" s="4503" t="n"/>
      <c r="F23" s="4503" t="n"/>
      <c r="G23" s="4504" t="n"/>
      <c r="H23" s="4503" t="n"/>
      <c r="I23" s="4488" t="n"/>
      <c r="J23" s="4488" t="n"/>
      <c r="K23" s="4488" t="n"/>
      <c r="L23" s="4488" t="n"/>
      <c r="M23" s="4488" t="n"/>
      <c r="N23" s="4488" t="n"/>
      <c r="O23" s="4488" t="n"/>
      <c r="P23" s="4488" t="n"/>
      <c r="Q23" s="4488" t="n"/>
      <c r="R23" s="4488" t="n"/>
      <c r="S23" s="4488" t="n"/>
      <c r="T23" s="4488" t="n"/>
      <c r="U23" s="4488" t="n"/>
      <c r="V23" s="4488" t="n"/>
      <c r="W23" s="4488" t="n"/>
      <c r="X23" s="4488" t="n"/>
      <c r="Y23" s="4488" t="n"/>
      <c r="Z23" s="4488" t="n"/>
      <c r="AA23" s="4488" t="n"/>
      <c r="AB23" s="4488" t="n"/>
      <c r="AC23" s="4488" t="n"/>
      <c r="AD23" s="4488" t="n"/>
    </row>
    <row r="24" ht="22" customHeight="1">
      <c r="B24" s="4496" t="inlineStr">
        <is>
          <t>Total area</t>
        </is>
      </c>
      <c r="C24" s="4497">
        <f>C15+C16+C17+C18+C19</f>
        <v/>
      </c>
      <c r="D24" s="4503" t="n"/>
      <c r="E24" s="4503" t="n"/>
      <c r="F24" s="4503" t="n"/>
      <c r="G24" s="4504" t="n"/>
      <c r="H24" s="4503" t="n"/>
      <c r="I24" s="4488" t="n"/>
      <c r="J24" s="4488" t="n"/>
      <c r="K24" s="4488" t="n"/>
      <c r="L24" s="4488" t="n"/>
      <c r="M24" s="4488" t="n"/>
      <c r="N24" s="4488" t="n"/>
      <c r="O24" s="4488" t="n"/>
      <c r="P24" s="4488" t="n"/>
      <c r="Q24" s="4488" t="n"/>
      <c r="R24" s="4488" t="n"/>
      <c r="S24" s="4488" t="n"/>
      <c r="T24" s="4488" t="n"/>
      <c r="U24" s="4488" t="n"/>
      <c r="V24" s="4488" t="n"/>
      <c r="W24" s="4488" t="n"/>
      <c r="X24" s="4488" t="n"/>
      <c r="Y24" s="4488" t="n"/>
      <c r="Z24" s="4488" t="n"/>
      <c r="AA24" s="4488" t="n"/>
      <c r="AB24" s="4488" t="n"/>
      <c r="AC24" s="4488" t="n"/>
      <c r="AD24" s="4488" t="n"/>
    </row>
    <row r="25" ht="21" customHeight="1">
      <c r="B25" s="4490" t="n"/>
      <c r="C25" s="4493" t="n"/>
      <c r="D25" s="4503" t="n"/>
      <c r="E25" s="4503" t="n"/>
      <c r="F25" s="4503" t="n"/>
      <c r="G25" s="4504" t="n"/>
      <c r="H25" s="4503" t="n"/>
      <c r="I25" s="4488" t="n"/>
      <c r="J25" s="4488" t="n"/>
      <c r="K25" s="4488" t="n"/>
      <c r="L25" s="4488" t="n"/>
      <c r="M25" s="4488" t="n"/>
      <c r="N25" s="4488" t="n"/>
      <c r="O25" s="4488" t="n"/>
      <c r="P25" s="4488" t="n"/>
      <c r="Q25" s="4488" t="n"/>
      <c r="R25" s="4488" t="n"/>
      <c r="S25" s="4488" t="n"/>
      <c r="T25" s="4488" t="n"/>
      <c r="U25" s="4488" t="n"/>
      <c r="V25" s="4488" t="n"/>
      <c r="W25" s="4488" t="n"/>
      <c r="X25" s="4488" t="n"/>
      <c r="Y25" s="4488" t="n"/>
      <c r="Z25" s="4488" t="n"/>
      <c r="AA25" s="4488" t="n"/>
      <c r="AB25" s="4488" t="n"/>
      <c r="AC25" s="4488" t="n"/>
      <c r="AD25" s="4488" t="n"/>
    </row>
    <row r="26" ht="66" customHeight="1">
      <c r="B26" s="4489" t="inlineStr">
        <is>
          <t>Area of landscapes under improved practices (outside PAs) (hectare) No land use change</t>
        </is>
      </c>
      <c r="C26" s="4492" t="n"/>
      <c r="D26" s="4503" t="n"/>
      <c r="E26" s="4503" t="n"/>
      <c r="F26" s="4503" t="n"/>
      <c r="G26" s="4504" t="n"/>
      <c r="H26" s="4503" t="n"/>
      <c r="I26" s="4488" t="n"/>
      <c r="J26" s="4488" t="n"/>
      <c r="K26" s="4488" t="n"/>
      <c r="L26" s="4488" t="n"/>
      <c r="M26" s="4488" t="n"/>
      <c r="N26" s="4488" t="n"/>
      <c r="O26" s="4488" t="n"/>
      <c r="P26" s="4488" t="n"/>
      <c r="Q26" s="4488" t="n"/>
      <c r="R26" s="4488" t="n"/>
      <c r="S26" s="4488" t="n"/>
      <c r="T26" s="4488" t="n"/>
      <c r="U26" s="4488" t="n"/>
      <c r="V26" s="4488" t="n"/>
      <c r="W26" s="4488" t="n"/>
      <c r="X26" s="4488" t="n"/>
      <c r="Y26" s="4488" t="n"/>
      <c r="Z26" s="4488" t="n"/>
      <c r="AA26" s="4488" t="n"/>
      <c r="AB26" s="4488" t="n"/>
      <c r="AC26" s="4488" t="n"/>
      <c r="AD26" s="4488" t="n"/>
    </row>
    <row r="27" ht="44" customHeight="1">
      <c r="B27" s="4490" t="inlineStr">
        <is>
          <t>Agroforestry Better management of rainfed intercropping and prosopis stands</t>
        </is>
      </c>
      <c r="C27" s="4493" t="n">
        <v>5000</v>
      </c>
      <c r="D27" s="4503" t="inlineStr">
        <is>
          <t>Full tillage and low carbon input</t>
        </is>
      </c>
      <c r="E27" s="4503" t="inlineStr">
        <is>
          <t>Full tillage and low carbon input</t>
        </is>
      </c>
      <c r="F27" s="4503" t="inlineStr">
        <is>
          <t>alley croping, reduced tillage, medium carbon input</t>
        </is>
      </c>
      <c r="G27" s="4504" t="n"/>
      <c r="H27" s="4503" t="inlineStr">
        <is>
          <t>Improved agroforestry system/ cropland</t>
        </is>
      </c>
      <c r="I27" s="4488" t="n"/>
      <c r="J27" s="4488" t="n"/>
      <c r="K27" s="4488" t="n"/>
      <c r="L27" s="4488" t="n"/>
      <c r="M27" s="4488" t="n"/>
      <c r="N27" s="4488" t="n"/>
      <c r="O27" s="4488" t="n"/>
      <c r="P27" s="4488" t="n"/>
      <c r="Q27" s="4488" t="n"/>
      <c r="R27" s="4488" t="n"/>
      <c r="S27" s="4488" t="n"/>
      <c r="T27" s="4488" t="n"/>
      <c r="U27" s="4488" t="n"/>
      <c r="V27" s="4488" t="n"/>
      <c r="W27" s="4488" t="n"/>
      <c r="X27" s="4488" t="n"/>
      <c r="Y27" s="4488" t="n"/>
      <c r="Z27" s="4488" t="n"/>
      <c r="AA27" s="4488" t="n"/>
      <c r="AB27" s="4488" t="n"/>
      <c r="AC27" s="4488" t="n"/>
      <c r="AD27" s="4488" t="n"/>
    </row>
    <row r="28" ht="44" customHeight="1">
      <c r="B28" s="4490" t="inlineStr">
        <is>
          <t>Improved use and management of agrosilvopastoral lands</t>
        </is>
      </c>
      <c r="C28" s="4493" t="n">
        <v>5000</v>
      </c>
      <c r="D28" s="4503" t="inlineStr">
        <is>
          <t>Reduced tillage, low carbon input</t>
        </is>
      </c>
      <c r="E28" s="4503" t="inlineStr">
        <is>
          <t>Reduced tillage, low carbon input</t>
        </is>
      </c>
      <c r="F28" s="4503" t="inlineStr">
        <is>
          <t>Silvopasture, No tillage, Meduim carbon input</t>
        </is>
      </c>
      <c r="G28" s="4504" t="n"/>
      <c r="H28" s="4503" t="inlineStr">
        <is>
          <t>Improved agroforestry system/ cropland</t>
        </is>
      </c>
      <c r="I28" s="4488" t="n"/>
      <c r="J28" s="4488" t="n"/>
      <c r="K28" s="4488" t="n"/>
      <c r="L28" s="4488" t="n"/>
      <c r="M28" s="4488" t="n"/>
      <c r="N28" s="4488" t="n"/>
      <c r="O28" s="4488" t="n"/>
      <c r="P28" s="4488" t="n"/>
      <c r="Q28" s="4488" t="n"/>
      <c r="R28" s="4488" t="n"/>
      <c r="S28" s="4488" t="n"/>
      <c r="T28" s="4488" t="n"/>
      <c r="U28" s="4488" t="n"/>
      <c r="V28" s="4488" t="n"/>
      <c r="W28" s="4488" t="n"/>
      <c r="X28" s="4488" t="n"/>
      <c r="Y28" s="4488" t="n"/>
      <c r="Z28" s="4488" t="n"/>
      <c r="AA28" s="4488" t="n"/>
      <c r="AB28" s="4488" t="n"/>
      <c r="AC28" s="4488" t="n"/>
      <c r="AD28" s="4488" t="n"/>
    </row>
    <row r="29" ht="22" customHeight="1">
      <c r="B29" s="4490" t="inlineStr">
        <is>
          <t>Improve biodiversity of grasslands</t>
        </is>
      </c>
      <c r="C29" s="4493" t="n">
        <v>2000</v>
      </c>
      <c r="D29" s="4503" t="inlineStr">
        <is>
          <t>Non degraded grassland</t>
        </is>
      </c>
      <c r="E29" s="4503" t="inlineStr">
        <is>
          <t>Non degraded grassland</t>
        </is>
      </c>
      <c r="F29" s="4503" t="inlineStr">
        <is>
          <t>Improved grassland</t>
        </is>
      </c>
      <c r="G29" s="4504" t="n"/>
      <c r="H29" s="4503" t="inlineStr">
        <is>
          <t>Grassland  management</t>
        </is>
      </c>
      <c r="I29" s="4488" t="n"/>
      <c r="J29" s="4488" t="n"/>
      <c r="K29" s="4488" t="n"/>
      <c r="L29" s="4488" t="n"/>
      <c r="M29" s="4488" t="n"/>
      <c r="N29" s="4488" t="n"/>
      <c r="O29" s="4488" t="n"/>
      <c r="P29" s="4488" t="n"/>
      <c r="Q29" s="4488" t="n"/>
      <c r="R29" s="4488" t="n"/>
      <c r="S29" s="4488" t="n"/>
      <c r="T29" s="4488" t="n"/>
      <c r="U29" s="4488" t="n"/>
      <c r="V29" s="4488" t="n"/>
      <c r="W29" s="4488" t="n"/>
      <c r="X29" s="4488" t="n"/>
      <c r="Y29" s="4488" t="n"/>
      <c r="Z29" s="4488" t="n"/>
      <c r="AA29" s="4488" t="n"/>
      <c r="AB29" s="4488" t="n"/>
      <c r="AC29" s="4488" t="n"/>
      <c r="AD29" s="4488" t="n"/>
    </row>
    <row r="30" ht="40" customHeight="1">
      <c r="B30" s="4490" t="inlineStr">
        <is>
          <t>Improve biodiversity of woodlands</t>
        </is>
      </c>
      <c r="C30" s="4493" t="n">
        <v>1000</v>
      </c>
      <c r="D30" s="4503" t="inlineStr">
        <is>
          <t>Forest degradation 10% (very low)</t>
        </is>
      </c>
      <c r="E30" s="4503" t="inlineStr">
        <is>
          <t>Forest degradation 15% ( low)</t>
        </is>
      </c>
      <c r="F30" s="4503" t="inlineStr">
        <is>
          <t>Non degraded</t>
        </is>
      </c>
      <c r="G30" s="4504" t="n"/>
      <c r="H30" s="4503" t="inlineStr">
        <is>
          <t>Woodland/ tropical shruland management</t>
        </is>
      </c>
      <c r="I30" s="4488" t="n"/>
      <c r="J30" s="4488" t="n"/>
      <c r="K30" s="4488" t="n"/>
      <c r="L30" s="4488" t="n"/>
      <c r="M30" s="4488" t="n"/>
      <c r="N30" s="4488" t="n"/>
      <c r="O30" s="4488" t="n"/>
      <c r="P30" s="4488" t="n"/>
      <c r="Q30" s="4488" t="n"/>
      <c r="R30" s="4488" t="n"/>
      <c r="S30" s="4488" t="n"/>
      <c r="T30" s="4488" t="n"/>
      <c r="U30" s="4488" t="n"/>
      <c r="V30" s="4488" t="n"/>
      <c r="W30" s="4488" t="n"/>
      <c r="X30" s="4488" t="n"/>
      <c r="Y30" s="4488" t="n"/>
      <c r="Z30" s="4488" t="n"/>
      <c r="AA30" s="4488" t="n"/>
      <c r="AB30" s="4488" t="n"/>
      <c r="AC30" s="4488" t="n"/>
      <c r="AD30" s="4488" t="n"/>
    </row>
    <row r="31" ht="22" customHeight="1">
      <c r="B31" s="4496" t="inlineStr">
        <is>
          <t>Total area</t>
        </is>
      </c>
      <c r="C31" s="4497">
        <f>C27+C28+C29+C30</f>
        <v/>
      </c>
      <c r="D31" s="4503" t="n"/>
      <c r="E31" s="4503" t="n"/>
      <c r="F31" s="4503" t="n"/>
      <c r="G31" s="4504" t="n"/>
      <c r="H31" s="4503" t="n"/>
      <c r="I31" s="4488" t="n"/>
      <c r="J31" s="4488" t="n"/>
      <c r="K31" s="4488" t="n"/>
      <c r="L31" s="4488" t="n"/>
      <c r="M31" s="4488" t="n"/>
      <c r="N31" s="4488" t="n"/>
      <c r="O31" s="4488" t="n"/>
      <c r="P31" s="4488" t="n"/>
      <c r="Q31" s="4488" t="n"/>
      <c r="R31" s="4488" t="n"/>
      <c r="S31" s="4488" t="n"/>
      <c r="T31" s="4488" t="n"/>
      <c r="U31" s="4488" t="n"/>
      <c r="V31" s="4488" t="n"/>
      <c r="W31" s="4488" t="n"/>
      <c r="X31" s="4488" t="n"/>
      <c r="Y31" s="4488" t="n"/>
      <c r="Z31" s="4488" t="n"/>
      <c r="AA31" s="4488" t="n"/>
      <c r="AB31" s="4488" t="n"/>
      <c r="AC31" s="4488" t="n"/>
      <c r="AD31" s="4488" t="n"/>
    </row>
    <row r="32" ht="21" customHeight="1">
      <c r="B32" s="4490" t="n"/>
      <c r="C32" s="4493" t="n"/>
      <c r="D32" s="4503" t="n"/>
      <c r="E32" s="4503" t="n"/>
      <c r="F32" s="4503" t="n"/>
      <c r="G32" s="4504" t="n"/>
      <c r="H32" s="4503" t="n"/>
      <c r="I32" s="4488" t="n"/>
      <c r="J32" s="4488" t="n"/>
      <c r="K32" s="4488" t="n"/>
      <c r="L32" s="4488" t="n"/>
      <c r="M32" s="4488" t="n"/>
      <c r="N32" s="4488" t="n"/>
      <c r="O32" s="4488" t="n"/>
      <c r="P32" s="4488" t="n"/>
      <c r="Q32" s="4488" t="n"/>
      <c r="R32" s="4488" t="n"/>
      <c r="S32" s="4488" t="n"/>
      <c r="T32" s="4488" t="n"/>
      <c r="U32" s="4488" t="n"/>
      <c r="V32" s="4488" t="n"/>
      <c r="W32" s="4488" t="n"/>
      <c r="X32" s="4488" t="n"/>
      <c r="Y32" s="4488" t="n"/>
      <c r="Z32" s="4488" t="n"/>
      <c r="AA32" s="4488" t="n"/>
      <c r="AB32" s="4488" t="n"/>
      <c r="AC32" s="4488" t="n"/>
      <c r="AD32" s="4488" t="n"/>
    </row>
    <row r="33" ht="66" customHeight="1">
      <c r="B33" s="4492" t="inlineStr">
        <is>
          <t>Area of land and ecosystems under restoration (outside PAs) (hectare) Land use change</t>
        </is>
      </c>
      <c r="C33" s="4492" t="n"/>
      <c r="D33" s="4503" t="n"/>
      <c r="E33" s="4503" t="n"/>
      <c r="F33" s="4503" t="n"/>
      <c r="G33" s="4504" t="n"/>
      <c r="H33" s="4503" t="inlineStr">
        <is>
          <t>All LUC</t>
        </is>
      </c>
      <c r="I33" s="4488" t="n"/>
      <c r="J33" s="4488" t="n"/>
      <c r="K33" s="4488" t="n"/>
      <c r="L33" s="4488" t="n"/>
      <c r="M33" s="4488" t="n"/>
      <c r="N33" s="4488" t="n"/>
      <c r="O33" s="4488" t="n"/>
      <c r="P33" s="4488" t="n"/>
      <c r="Q33" s="4488" t="n"/>
      <c r="R33" s="4488" t="n"/>
      <c r="S33" s="4488" t="n"/>
      <c r="T33" s="4488" t="n"/>
      <c r="U33" s="4488" t="n"/>
      <c r="V33" s="4488" t="n"/>
      <c r="W33" s="4488" t="n"/>
      <c r="X33" s="4488" t="n"/>
      <c r="Y33" s="4488" t="n"/>
      <c r="Z33" s="4488" t="n"/>
      <c r="AA33" s="4488" t="n"/>
      <c r="AB33" s="4488" t="n"/>
      <c r="AC33" s="4488" t="n"/>
      <c r="AD33" s="4488" t="n"/>
    </row>
    <row r="34" ht="40" customHeight="1">
      <c r="B34" s="4490" t="inlineStr">
        <is>
          <t>Plantation of trees in forest and forest land</t>
        </is>
      </c>
      <c r="C34" s="4493" t="n">
        <v>3000</v>
      </c>
      <c r="D34" s="4503" t="inlineStr">
        <is>
          <t>Degraded land</t>
        </is>
      </c>
      <c r="E34" s="4503" t="inlineStr">
        <is>
          <t>degraded land</t>
        </is>
      </c>
      <c r="F34" s="4503" t="inlineStr">
        <is>
          <t>Forest (tropical dry)</t>
        </is>
      </c>
      <c r="G34" s="4510" t="inlineStr">
        <is>
          <t>Plantation of trees over bare degraded lands that once had trees</t>
        </is>
      </c>
      <c r="H34" s="4503" t="inlineStr">
        <is>
          <t>LUC-Reforestation</t>
        </is>
      </c>
      <c r="I34" s="4488" t="n"/>
      <c r="J34" s="4488" t="n"/>
      <c r="K34" s="4488" t="n"/>
      <c r="L34" s="4488" t="n"/>
      <c r="M34" s="4488" t="n"/>
      <c r="N34" s="4488" t="n"/>
      <c r="O34" s="4488" t="n"/>
      <c r="P34" s="4488" t="n"/>
      <c r="Q34" s="4488" t="n"/>
      <c r="R34" s="4488" t="n"/>
      <c r="S34" s="4488" t="n"/>
      <c r="T34" s="4488" t="n"/>
      <c r="U34" s="4488" t="n"/>
      <c r="V34" s="4488" t="n"/>
      <c r="W34" s="4488" t="n"/>
      <c r="X34" s="4488" t="n"/>
      <c r="Y34" s="4488" t="n"/>
      <c r="Z34" s="4488" t="n"/>
      <c r="AA34" s="4488" t="n"/>
      <c r="AB34" s="4488" t="n"/>
      <c r="AC34" s="4488" t="n"/>
      <c r="AD34" s="4488" t="n"/>
    </row>
    <row r="35" ht="40" customHeight="1">
      <c r="B35" s="4490" t="inlineStr">
        <is>
          <t>Restore agricultural lands to croplands</t>
        </is>
      </c>
      <c r="C35" s="4493" t="n">
        <v>500</v>
      </c>
      <c r="D35" s="4511" t="inlineStr">
        <is>
          <t>Annual Fallow/ Degraded land</t>
        </is>
      </c>
      <c r="E35" s="4503" t="inlineStr">
        <is>
          <t>Annual fallow</t>
        </is>
      </c>
      <c r="F35" s="4503" t="inlineStr">
        <is>
          <t>Cropland (full tillage, meduim C input, residu retained</t>
        </is>
      </c>
      <c r="G35" s="4505" t="inlineStr">
        <is>
          <t xml:space="preserve">Diversified rainfed crops with organic inputs </t>
        </is>
      </c>
      <c r="H35" s="4503" t="inlineStr">
        <is>
          <t>LUC- Non forest LUC</t>
        </is>
      </c>
      <c r="I35" s="4488" t="n"/>
      <c r="J35" s="4488" t="n"/>
      <c r="K35" s="4488" t="n"/>
      <c r="L35" s="4488" t="n"/>
      <c r="M35" s="4488" t="n"/>
      <c r="N35" s="4488" t="n"/>
      <c r="O35" s="4488" t="n"/>
      <c r="P35" s="4488" t="n"/>
      <c r="Q35" s="4488" t="n"/>
      <c r="R35" s="4488" t="n"/>
      <c r="S35" s="4488" t="n"/>
      <c r="T35" s="4488" t="n"/>
      <c r="U35" s="4488" t="n"/>
      <c r="V35" s="4488" t="n"/>
      <c r="W35" s="4488" t="n"/>
      <c r="X35" s="4488" t="n"/>
      <c r="Y35" s="4488" t="n"/>
      <c r="Z35" s="4488" t="n"/>
      <c r="AA35" s="4488" t="n"/>
      <c r="AB35" s="4488" t="n"/>
      <c r="AC35" s="4488" t="n"/>
      <c r="AD35" s="4488" t="n"/>
    </row>
    <row r="36" ht="38.5" customHeight="1">
      <c r="B36" s="4490" t="inlineStr">
        <is>
          <t>Restore natural woodlands</t>
        </is>
      </c>
      <c r="C36" s="4493" t="n">
        <v>4000</v>
      </c>
      <c r="D36" s="4503" t="inlineStr">
        <is>
          <t>Degraded land</t>
        </is>
      </c>
      <c r="E36" s="4503" t="inlineStr">
        <is>
          <t>degraded land</t>
        </is>
      </c>
      <c r="F36" s="4503" t="inlineStr">
        <is>
          <t>Shrubland</t>
        </is>
      </c>
      <c r="G36" s="4505" t="inlineStr">
        <is>
          <t>Plantation of shrubs in degraded areas</t>
        </is>
      </c>
      <c r="H36" s="4503" t="inlineStr">
        <is>
          <t>LUC-Reforestation</t>
        </is>
      </c>
      <c r="I36" s="4488" t="n"/>
      <c r="J36" s="4488" t="n"/>
      <c r="K36" s="4488" t="n"/>
      <c r="L36" s="4488" t="n"/>
      <c r="M36" s="4488" t="n"/>
      <c r="N36" s="4488" t="n"/>
      <c r="O36" s="4488" t="n"/>
      <c r="P36" s="4488" t="n"/>
      <c r="Q36" s="4488" t="n"/>
      <c r="R36" s="4488" t="n"/>
      <c r="S36" s="4488" t="n"/>
      <c r="T36" s="4488" t="n"/>
      <c r="U36" s="4488" t="n"/>
      <c r="V36" s="4488" t="n"/>
      <c r="W36" s="4488" t="n"/>
      <c r="X36" s="4488" t="n"/>
      <c r="Y36" s="4488" t="n"/>
      <c r="Z36" s="4488" t="n"/>
      <c r="AA36" s="4488" t="n"/>
      <c r="AB36" s="4488" t="n"/>
      <c r="AC36" s="4488" t="n"/>
      <c r="AD36" s="4488" t="n"/>
    </row>
    <row r="37" ht="22" customHeight="1">
      <c r="B37" s="4490" t="inlineStr">
        <is>
          <t>Restore natural grasslands</t>
        </is>
      </c>
      <c r="C37" s="4493" t="n">
        <v>4500</v>
      </c>
      <c r="D37" s="4503" t="inlineStr">
        <is>
          <t>Degraded land</t>
        </is>
      </c>
      <c r="E37" s="4503" t="inlineStr">
        <is>
          <t>degraded land</t>
        </is>
      </c>
      <c r="F37" s="4503" t="inlineStr">
        <is>
          <t>Grassland</t>
        </is>
      </c>
      <c r="G37" s="4505" t="inlineStr">
        <is>
          <t>Seeding over degraded areas</t>
        </is>
      </c>
      <c r="H37" s="4503" t="n"/>
      <c r="I37" s="4488" t="n"/>
      <c r="J37" s="4488" t="n"/>
      <c r="K37" s="4488" t="n"/>
      <c r="L37" s="4488" t="n"/>
      <c r="M37" s="4488" t="n"/>
      <c r="N37" s="4488" t="n"/>
      <c r="O37" s="4488" t="n"/>
      <c r="P37" s="4488" t="n"/>
      <c r="Q37" s="4488" t="n"/>
      <c r="R37" s="4488" t="n"/>
      <c r="S37" s="4488" t="n"/>
      <c r="T37" s="4488" t="n"/>
      <c r="U37" s="4488" t="n"/>
      <c r="V37" s="4488" t="n"/>
      <c r="W37" s="4488" t="n"/>
      <c r="X37" s="4488" t="n"/>
      <c r="Y37" s="4488" t="n"/>
      <c r="Z37" s="4488" t="n"/>
      <c r="AA37" s="4488" t="n"/>
      <c r="AB37" s="4488" t="n"/>
      <c r="AC37" s="4488" t="n"/>
      <c r="AD37" s="4488" t="n"/>
    </row>
    <row r="38" ht="44" customHeight="1">
      <c r="B38" s="4490" t="inlineStr">
        <is>
          <t>Restore abandoned agricultural lands to rangelands</t>
        </is>
      </c>
      <c r="C38" s="4493" t="n">
        <v>1000</v>
      </c>
      <c r="D38" s="4503" t="inlineStr">
        <is>
          <t>Annual Fallow</t>
        </is>
      </c>
      <c r="E38" s="4503" t="inlineStr">
        <is>
          <t>Annual fallow</t>
        </is>
      </c>
      <c r="F38" s="4503" t="inlineStr">
        <is>
          <t>Grassland</t>
        </is>
      </c>
      <c r="G38" s="4505" t="inlineStr">
        <is>
          <t>Seeding over degraded areas</t>
        </is>
      </c>
      <c r="H38" s="4503" t="n"/>
      <c r="I38" s="4488" t="n"/>
      <c r="J38" s="4488" t="n"/>
      <c r="K38" s="4488" t="n"/>
      <c r="L38" s="4488" t="n"/>
      <c r="M38" s="4488" t="n"/>
      <c r="N38" s="4488" t="n"/>
      <c r="O38" s="4488" t="n"/>
      <c r="P38" s="4488" t="n"/>
      <c r="Q38" s="4488" t="n"/>
      <c r="R38" s="4488" t="n"/>
      <c r="S38" s="4488" t="n"/>
      <c r="T38" s="4488" t="n"/>
      <c r="U38" s="4488" t="n"/>
      <c r="V38" s="4488" t="n"/>
      <c r="W38" s="4488" t="n"/>
      <c r="X38" s="4488" t="n"/>
      <c r="Y38" s="4488" t="n"/>
      <c r="Z38" s="4488" t="n"/>
      <c r="AA38" s="4488" t="n"/>
      <c r="AB38" s="4488" t="n"/>
      <c r="AC38" s="4488" t="n"/>
      <c r="AD38" s="4488" t="n"/>
    </row>
    <row r="39" ht="22" customHeight="1">
      <c r="B39" s="4490" t="inlineStr">
        <is>
          <t xml:space="preserve">Restoration with endemic and fodder shrubs </t>
        </is>
      </c>
      <c r="C39" s="4493" t="n">
        <v>3000</v>
      </c>
      <c r="D39" s="4503" t="inlineStr">
        <is>
          <t>High intensity grazing</t>
        </is>
      </c>
      <c r="E39" s="4503" t="inlineStr">
        <is>
          <t>High intensity grazing</t>
        </is>
      </c>
      <c r="F39" s="4503" t="inlineStr">
        <is>
          <t>No degraded</t>
        </is>
      </c>
      <c r="G39" s="4504" t="n"/>
      <c r="H39" s="4503" t="inlineStr">
        <is>
          <t>Grassland  management</t>
        </is>
      </c>
      <c r="I39" s="4501" t="n"/>
      <c r="J39" s="4488" t="n"/>
      <c r="K39" s="4488" t="n"/>
      <c r="L39" s="4488" t="n"/>
      <c r="M39" s="4488" t="n"/>
      <c r="N39" s="4488" t="n"/>
      <c r="O39" s="4488" t="n"/>
      <c r="P39" s="4488" t="n"/>
      <c r="Q39" s="4488" t="n"/>
      <c r="R39" s="4488" t="n"/>
      <c r="S39" s="4488" t="n"/>
      <c r="T39" s="4488" t="n"/>
      <c r="U39" s="4488" t="n"/>
      <c r="V39" s="4488" t="n"/>
      <c r="W39" s="4488" t="n"/>
      <c r="X39" s="4488" t="n"/>
      <c r="Y39" s="4488" t="n"/>
      <c r="Z39" s="4488" t="n"/>
      <c r="AA39" s="4488" t="n"/>
      <c r="AB39" s="4488" t="n"/>
      <c r="AC39" s="4488" t="n"/>
      <c r="AD39" s="4488" t="n"/>
    </row>
    <row r="40" ht="22" customHeight="1">
      <c r="B40" s="4490" t="inlineStr">
        <is>
          <t>Seeding for grasslands</t>
        </is>
      </c>
      <c r="C40" s="4493" t="n">
        <v>2000</v>
      </c>
      <c r="D40" s="4503" t="inlineStr">
        <is>
          <t>No degraded</t>
        </is>
      </c>
      <c r="E40" s="4503" t="inlineStr">
        <is>
          <t>non degraded</t>
        </is>
      </c>
      <c r="F40" s="4503" t="inlineStr">
        <is>
          <t>Improved grassland</t>
        </is>
      </c>
      <c r="G40" s="4504" t="n"/>
      <c r="H40" s="4503" t="inlineStr">
        <is>
          <t>Grassland  management</t>
        </is>
      </c>
      <c r="I40" s="4501" t="n"/>
      <c r="J40" s="4488" t="n"/>
      <c r="K40" s="4488" t="n"/>
      <c r="L40" s="4488" t="n"/>
      <c r="M40" s="4488" t="n"/>
      <c r="N40" s="4488" t="n"/>
      <c r="O40" s="4488" t="n"/>
      <c r="P40" s="4488" t="n"/>
      <c r="Q40" s="4488" t="n"/>
      <c r="R40" s="4488" t="n"/>
      <c r="S40" s="4488" t="n"/>
      <c r="T40" s="4488" t="n"/>
      <c r="U40" s="4488" t="n"/>
      <c r="V40" s="4488" t="n"/>
      <c r="W40" s="4488" t="n"/>
      <c r="X40" s="4488" t="n"/>
      <c r="Y40" s="4488" t="n"/>
      <c r="Z40" s="4488" t="n"/>
      <c r="AA40" s="4488" t="n"/>
      <c r="AB40" s="4488" t="n"/>
      <c r="AC40" s="4488" t="n"/>
      <c r="AD40" s="4488" t="n"/>
    </row>
    <row r="41" ht="44" customHeight="1">
      <c r="B41" s="4490" t="inlineStr">
        <is>
          <t>Plantation of forest fruit trees in specific areas</t>
        </is>
      </c>
      <c r="C41" s="4493" t="n">
        <v>500</v>
      </c>
      <c r="D41" s="4503" t="inlineStr">
        <is>
          <t>Degraded land</t>
        </is>
      </c>
      <c r="E41" s="4503" t="inlineStr">
        <is>
          <t>degraded land</t>
        </is>
      </c>
      <c r="F41" s="4503" t="inlineStr">
        <is>
          <t>agroforestry</t>
        </is>
      </c>
      <c r="G41" s="4505" t="inlineStr">
        <is>
          <t>Plantation over bare areas - Agroforestry expansion/LUC</t>
        </is>
      </c>
      <c r="H41" s="4503" t="n"/>
      <c r="I41" s="4488" t="n"/>
      <c r="J41" s="4488" t="n"/>
      <c r="K41" s="4488" t="n"/>
      <c r="L41" s="4488" t="n"/>
      <c r="M41" s="4488" t="n"/>
      <c r="N41" s="4488" t="n"/>
      <c r="O41" s="4488" t="n"/>
      <c r="P41" s="4488" t="n"/>
      <c r="Q41" s="4488" t="n"/>
      <c r="R41" s="4488" t="n"/>
      <c r="S41" s="4488" t="n"/>
      <c r="T41" s="4488" t="n"/>
      <c r="U41" s="4488" t="n"/>
      <c r="V41" s="4488" t="n"/>
      <c r="W41" s="4488" t="n"/>
      <c r="X41" s="4488" t="n"/>
      <c r="Y41" s="4488" t="n"/>
      <c r="Z41" s="4488" t="n"/>
      <c r="AA41" s="4488" t="n"/>
      <c r="AB41" s="4488" t="n"/>
      <c r="AC41" s="4488" t="n"/>
      <c r="AD41" s="4488" t="n"/>
    </row>
    <row r="42" ht="22" customHeight="1">
      <c r="B42" s="4496" t="inlineStr">
        <is>
          <t>Total area</t>
        </is>
      </c>
      <c r="C42" s="4497">
        <f>C34+C35+C36+C37+C38+C39+C40+C41</f>
        <v/>
      </c>
      <c r="D42" s="4503" t="n"/>
      <c r="E42" s="4503" t="n"/>
      <c r="F42" s="4503" t="n"/>
      <c r="G42" s="4504" t="n"/>
      <c r="H42" s="4503" t="n"/>
      <c r="I42" s="4488" t="n"/>
      <c r="J42" s="4488" t="n"/>
      <c r="K42" s="4488" t="n"/>
      <c r="L42" s="4488" t="n"/>
      <c r="M42" s="4488" t="n"/>
      <c r="N42" s="4488" t="n"/>
      <c r="O42" s="4488" t="n"/>
      <c r="P42" s="4488" t="n"/>
      <c r="Q42" s="4488" t="n"/>
      <c r="R42" s="4488" t="n"/>
      <c r="S42" s="4488" t="n"/>
      <c r="T42" s="4488" t="n"/>
      <c r="U42" s="4488" t="n"/>
      <c r="V42" s="4488" t="n"/>
      <c r="W42" s="4488" t="n"/>
      <c r="X42" s="4488" t="n"/>
      <c r="Y42" s="4488" t="n"/>
      <c r="Z42" s="4488" t="n"/>
      <c r="AA42" s="4488" t="n"/>
      <c r="AB42" s="4488" t="n"/>
      <c r="AC42" s="4488" t="n"/>
      <c r="AD42" s="4488" t="n"/>
    </row>
    <row r="43" ht="21" customHeight="1">
      <c r="B43" s="4490" t="n"/>
      <c r="C43" s="4493" t="n"/>
      <c r="F43" s="4488" t="n"/>
      <c r="G43" s="4488" t="n"/>
      <c r="H43" s="4488" t="n"/>
      <c r="I43" s="4488" t="n"/>
      <c r="J43" s="4488" t="n"/>
      <c r="K43" s="4488" t="n"/>
      <c r="L43" s="4488" t="n"/>
      <c r="M43" s="4488" t="n"/>
      <c r="N43" s="4488" t="n"/>
      <c r="O43" s="4488" t="n"/>
      <c r="P43" s="4488" t="n"/>
      <c r="Q43" s="4488" t="n"/>
      <c r="R43" s="4488" t="n"/>
      <c r="S43" s="4488" t="n"/>
      <c r="T43" s="4488" t="n"/>
      <c r="U43" s="4488" t="n"/>
      <c r="V43" s="4488" t="n"/>
      <c r="W43" s="4488" t="n"/>
      <c r="X43" s="4488" t="n"/>
      <c r="Y43" s="4488" t="n"/>
      <c r="Z43" s="4488" t="n"/>
      <c r="AA43" s="4488" t="n"/>
      <c r="AB43" s="4488" t="n"/>
      <c r="AC43" s="4488" t="n"/>
      <c r="AD43" s="4488" t="n"/>
    </row>
    <row r="44" ht="44" customHeight="1">
      <c r="B44" s="4498" t="inlineStr">
        <is>
          <t xml:space="preserve">Marine protected areas created or under improved management (hectare) </t>
        </is>
      </c>
      <c r="C44" s="4495" t="n">
        <v>21000</v>
      </c>
      <c r="F44" s="4488" t="n"/>
      <c r="G44" s="4488" t="n"/>
      <c r="H44" s="4488" t="n"/>
      <c r="I44" s="4488" t="n"/>
      <c r="J44" s="4488" t="n"/>
      <c r="K44" s="4488" t="n"/>
      <c r="L44" s="4488" t="n"/>
      <c r="M44" s="4488" t="n"/>
      <c r="N44" s="4488" t="n"/>
      <c r="O44" s="4488" t="n"/>
      <c r="P44" s="4488" t="n"/>
      <c r="Q44" s="4488" t="n"/>
      <c r="R44" s="4488" t="n"/>
      <c r="S44" s="4488" t="n"/>
      <c r="T44" s="4488" t="n"/>
      <c r="U44" s="4488" t="n"/>
      <c r="V44" s="4488" t="n"/>
      <c r="W44" s="4488" t="n"/>
      <c r="X44" s="4488" t="n"/>
      <c r="Y44" s="4488" t="n"/>
      <c r="Z44" s="4488" t="n"/>
      <c r="AA44" s="4488" t="n"/>
      <c r="AB44" s="4488" t="n"/>
      <c r="AC44" s="4488" t="n"/>
      <c r="AD44" s="4488" t="n"/>
    </row>
    <row r="45" ht="21" customHeight="1">
      <c r="B45" s="4493" t="n"/>
      <c r="C45" s="4493" t="n"/>
      <c r="F45" s="4488" t="n"/>
      <c r="G45" s="4488" t="n"/>
      <c r="H45" s="4488" t="n"/>
      <c r="I45" s="4488" t="n"/>
      <c r="J45" s="4488" t="n"/>
      <c r="K45" s="4488" t="n"/>
      <c r="L45" s="4488" t="n"/>
      <c r="M45" s="4488" t="n"/>
      <c r="N45" s="4488" t="n"/>
      <c r="O45" s="4488" t="n"/>
      <c r="P45" s="4488" t="n"/>
      <c r="Q45" s="4488" t="n"/>
      <c r="R45" s="4488" t="n"/>
      <c r="S45" s="4488" t="n"/>
      <c r="T45" s="4488" t="n"/>
      <c r="U45" s="4488" t="n"/>
      <c r="V45" s="4488" t="n"/>
      <c r="W45" s="4488" t="n"/>
      <c r="X45" s="4488" t="n"/>
      <c r="Y45" s="4488" t="n"/>
      <c r="Z45" s="4488" t="n"/>
      <c r="AA45" s="4488" t="n"/>
      <c r="AB45" s="4488" t="n"/>
      <c r="AC45" s="4488" t="n"/>
      <c r="AD45" s="4488" t="n"/>
    </row>
    <row r="46" ht="22" customHeight="1">
      <c r="B46" s="4497" t="inlineStr">
        <is>
          <t>Total land area concerned</t>
        </is>
      </c>
      <c r="C46" s="4497">
        <f>C24+C31+C42</f>
        <v/>
      </c>
      <c r="F46" s="4488" t="n"/>
      <c r="G46" s="4488" t="n"/>
      <c r="H46" s="4488" t="n"/>
      <c r="I46" s="4488" t="n"/>
      <c r="J46" s="4488" t="n"/>
      <c r="K46" s="4488" t="n"/>
      <c r="L46" s="4488" t="n"/>
      <c r="M46" s="4488" t="n"/>
      <c r="N46" s="4488" t="n"/>
      <c r="O46" s="4488" t="n"/>
      <c r="P46" s="4488" t="n"/>
      <c r="Q46" s="4488" t="n"/>
      <c r="R46" s="4488" t="n"/>
      <c r="S46" s="4488" t="n"/>
      <c r="T46" s="4488" t="n"/>
      <c r="U46" s="4488" t="n"/>
      <c r="V46" s="4488" t="n"/>
      <c r="W46" s="4488" t="n"/>
      <c r="X46" s="4488" t="n"/>
      <c r="Y46" s="4488" t="n"/>
      <c r="Z46" s="4488" t="n"/>
      <c r="AA46" s="4488" t="n"/>
      <c r="AB46" s="4488" t="n"/>
      <c r="AC46" s="4488" t="n"/>
      <c r="AD46" s="4488" t="n"/>
    </row>
    <row r="47" ht="21" customHeight="1">
      <c r="B47" s="4488" t="n"/>
      <c r="C47" s="4488" t="n"/>
      <c r="D47" s="4488" t="n"/>
      <c r="E47" s="4488" t="n"/>
      <c r="F47" s="4488" t="n"/>
      <c r="G47" s="4488" t="n"/>
      <c r="H47" s="4488" t="n"/>
      <c r="I47" s="4488" t="n"/>
      <c r="J47" s="4488" t="n"/>
      <c r="K47" s="4488" t="n"/>
      <c r="L47" s="4488" t="n"/>
      <c r="M47" s="4488" t="n"/>
      <c r="N47" s="4488" t="n"/>
      <c r="O47" s="4488" t="n"/>
      <c r="P47" s="4488" t="n"/>
      <c r="Q47" s="4488" t="n"/>
      <c r="R47" s="4488" t="n"/>
      <c r="S47" s="4488" t="n"/>
      <c r="T47" s="4488" t="n"/>
      <c r="U47" s="4488" t="n"/>
      <c r="V47" s="4488" t="n"/>
      <c r="W47" s="4488" t="n"/>
      <c r="X47" s="4488" t="n"/>
      <c r="Y47" s="4488" t="n"/>
      <c r="Z47" s="4488" t="n"/>
      <c r="AA47" s="4488" t="n"/>
      <c r="AB47" s="4488" t="n"/>
      <c r="AC47" s="4488" t="n"/>
      <c r="AD47" s="4488" t="n"/>
    </row>
    <row r="48" ht="21" customHeight="1">
      <c r="B48" s="4488" t="n"/>
      <c r="C48" s="4488" t="n"/>
      <c r="D48" s="4488" t="n"/>
      <c r="E48" s="4488" t="n"/>
      <c r="F48" s="4488" t="n"/>
      <c r="G48" s="4488" t="n"/>
      <c r="H48" s="4488" t="n"/>
      <c r="I48" s="4488" t="n"/>
      <c r="J48" s="4488" t="n"/>
      <c r="K48" s="4488" t="n"/>
      <c r="L48" s="4488" t="n"/>
      <c r="M48" s="4488" t="n"/>
      <c r="N48" s="4488" t="n"/>
      <c r="O48" s="4488" t="n"/>
      <c r="P48" s="4488" t="n"/>
      <c r="Q48" s="4488" t="n"/>
      <c r="R48" s="4488" t="n"/>
      <c r="S48" s="4488" t="n"/>
      <c r="T48" s="4488" t="n"/>
      <c r="U48" s="4488" t="n"/>
      <c r="V48" s="4488" t="n"/>
      <c r="W48" s="4488" t="n"/>
      <c r="X48" s="4488" t="n"/>
      <c r="Y48" s="4488" t="n"/>
      <c r="Z48" s="4488" t="n"/>
      <c r="AA48" s="4488" t="n"/>
      <c r="AB48" s="4488" t="n"/>
      <c r="AC48" s="4488" t="n"/>
      <c r="AD48" s="4488" t="n"/>
    </row>
    <row r="49" ht="21" customHeight="1">
      <c r="B49" s="4488" t="n"/>
      <c r="C49" s="4488" t="n"/>
      <c r="D49" s="4488" t="n"/>
      <c r="E49" s="4488" t="n"/>
      <c r="F49" s="4488" t="n"/>
      <c r="G49" s="4488" t="n"/>
      <c r="H49" s="4488" t="n"/>
      <c r="I49" s="4488" t="n"/>
      <c r="J49" s="4488" t="n"/>
      <c r="K49" s="4488" t="n"/>
      <c r="L49" s="4488" t="n"/>
      <c r="M49" s="4488" t="n"/>
      <c r="N49" s="4488" t="n"/>
      <c r="O49" s="4488" t="n"/>
      <c r="P49" s="4488" t="n"/>
      <c r="Q49" s="4488" t="n"/>
      <c r="R49" s="4488" t="n"/>
      <c r="S49" s="4488" t="n"/>
      <c r="T49" s="4488" t="n"/>
      <c r="U49" s="4488" t="n"/>
      <c r="V49" s="4488" t="n"/>
      <c r="W49" s="4488" t="n"/>
      <c r="X49" s="4488" t="n"/>
      <c r="Y49" s="4488" t="n"/>
      <c r="Z49" s="4488" t="n"/>
      <c r="AA49" s="4488" t="n"/>
      <c r="AB49" s="4488" t="n"/>
      <c r="AC49" s="4488" t="n"/>
      <c r="AD49" s="4488" t="n"/>
    </row>
    <row r="50" ht="21" customHeight="1">
      <c r="B50" s="4488" t="n"/>
      <c r="C50" s="4632" t="inlineStr">
        <is>
          <t>Artisanal fishing</t>
        </is>
      </c>
      <c r="E50" s="4632" t="inlineStr">
        <is>
          <t>(semi)-industrial fishing</t>
        </is>
      </c>
      <c r="G50" s="4632" t="inlineStr">
        <is>
          <t>Fishing sector</t>
        </is>
      </c>
      <c r="I50" s="4488" t="n"/>
      <c r="J50" s="4488" t="n"/>
      <c r="K50" s="4488" t="n"/>
      <c r="L50" s="4488" t="n"/>
      <c r="M50" s="4488" t="n"/>
      <c r="N50" s="4488" t="n"/>
      <c r="O50" s="4488" t="n"/>
      <c r="P50" s="4488" t="n"/>
      <c r="Q50" s="4488" t="n"/>
      <c r="R50" s="4488" t="n"/>
      <c r="S50" s="4488" t="n"/>
      <c r="T50" s="4488" t="n"/>
      <c r="U50" s="4488" t="n"/>
      <c r="V50" s="4488" t="n"/>
      <c r="W50" s="4488" t="n"/>
      <c r="X50" s="4488" t="n"/>
      <c r="Y50" s="4488" t="n"/>
      <c r="Z50" s="4488" t="n"/>
      <c r="AA50" s="4488" t="n"/>
      <c r="AB50" s="4488" t="n"/>
      <c r="AC50" s="4488" t="n"/>
      <c r="AD50" s="4488" t="n"/>
    </row>
    <row r="51" ht="21" customHeight="1">
      <c r="C51" t="inlineStr">
        <is>
          <t>Number of boat</t>
        </is>
      </c>
      <c r="D51" t="inlineStr">
        <is>
          <t>Number of fishermen0</t>
        </is>
      </c>
      <c r="E51" t="inlineStr">
        <is>
          <t>Number of boats</t>
        </is>
      </c>
      <c r="F51" t="inlineStr">
        <is>
          <t>Number of fishermen</t>
        </is>
      </c>
      <c r="G51" t="inlineStr">
        <is>
          <t>Number of boats</t>
        </is>
      </c>
      <c r="H51" t="inlineStr">
        <is>
          <t>Number of fishermen</t>
        </is>
      </c>
      <c r="I51" s="4488" t="n"/>
      <c r="J51" s="4488" t="n"/>
      <c r="K51" s="4488" t="n"/>
      <c r="L51" s="4488" t="n"/>
      <c r="M51" s="4488" t="n"/>
      <c r="N51" s="4488" t="n"/>
      <c r="O51" s="4488" t="n"/>
      <c r="P51" s="4488" t="n"/>
      <c r="Q51" s="4488" t="n"/>
      <c r="R51" s="4488" t="n"/>
      <c r="S51" s="4488" t="n"/>
      <c r="T51" s="4488" t="n"/>
      <c r="U51" s="4488" t="n"/>
      <c r="V51" s="4488" t="n"/>
      <c r="W51" s="4488" t="n"/>
      <c r="X51" s="4488" t="n"/>
      <c r="Y51" s="4488" t="n"/>
      <c r="Z51" s="4488" t="n"/>
      <c r="AA51" s="4488" t="n"/>
      <c r="AB51" s="4488" t="n"/>
      <c r="AC51" s="4488" t="n"/>
      <c r="AD51" s="4488" t="n"/>
    </row>
    <row r="52" ht="21" customHeight="1">
      <c r="B52" t="inlineStr">
        <is>
          <t>Maio</t>
        </is>
      </c>
      <c r="C52" t="n">
        <v>103</v>
      </c>
      <c r="D52" t="n">
        <v>229</v>
      </c>
      <c r="E52" t="n">
        <v>0</v>
      </c>
      <c r="F52" t="n">
        <v>0</v>
      </c>
      <c r="G52" t="n">
        <v>103</v>
      </c>
      <c r="H52" t="n">
        <v>229</v>
      </c>
      <c r="I52" s="4488" t="n"/>
      <c r="J52" s="4488" t="n"/>
      <c r="K52" s="4488" t="n"/>
      <c r="L52" s="4488" t="n"/>
      <c r="M52" s="4488" t="n"/>
      <c r="N52" s="4488" t="n"/>
      <c r="O52" s="4488" t="n"/>
      <c r="P52" s="4488" t="n"/>
      <c r="Q52" s="4488" t="n"/>
      <c r="R52" s="4488" t="n"/>
      <c r="S52" s="4488" t="n"/>
      <c r="T52" s="4488" t="n"/>
      <c r="U52" s="4488" t="n"/>
      <c r="V52" s="4488" t="n"/>
      <c r="W52" s="4488" t="n"/>
      <c r="X52" s="4488" t="n"/>
      <c r="Y52" s="4488" t="n"/>
      <c r="Z52" s="4488" t="n"/>
      <c r="AA52" s="4488" t="n"/>
      <c r="AB52" s="4488" t="n"/>
      <c r="AC52" s="4488" t="n"/>
      <c r="AD52" s="4488" t="n"/>
    </row>
    <row r="53" ht="21" customHeight="1">
      <c r="B53" t="inlineStr">
        <is>
          <t>Fogo</t>
        </is>
      </c>
      <c r="C53" t="n">
        <v>157</v>
      </c>
      <c r="D53" t="n">
        <v>514</v>
      </c>
      <c r="E53" t="n">
        <v>4</v>
      </c>
      <c r="F53" t="n">
        <v>35</v>
      </c>
      <c r="G53" t="n">
        <v>161</v>
      </c>
      <c r="H53" t="n">
        <v>549</v>
      </c>
      <c r="I53" s="4488" t="n"/>
      <c r="J53" s="4488" t="n"/>
      <c r="K53" s="4488" t="n"/>
      <c r="L53" s="4488" t="n"/>
      <c r="M53" s="4488" t="n"/>
      <c r="N53" s="4488" t="n"/>
      <c r="O53" s="4488" t="n"/>
      <c r="P53" s="4488" t="n"/>
      <c r="Q53" s="4488" t="n"/>
      <c r="R53" s="4488" t="n"/>
      <c r="S53" s="4488" t="n"/>
      <c r="T53" s="4488" t="n"/>
      <c r="U53" s="4488" t="n"/>
      <c r="V53" s="4488" t="n"/>
      <c r="W53" s="4488" t="n"/>
      <c r="X53" s="4488" t="n"/>
      <c r="Y53" s="4488" t="n"/>
      <c r="Z53" s="4488" t="n"/>
      <c r="AA53" s="4488" t="n"/>
      <c r="AB53" s="4488" t="n"/>
      <c r="AC53" s="4488" t="n"/>
      <c r="AD53" s="4488" t="n"/>
    </row>
    <row r="54" ht="21" customHeight="1">
      <c r="B54" t="inlineStr">
        <is>
          <t>Brava</t>
        </is>
      </c>
      <c r="C54" t="n">
        <v>103</v>
      </c>
      <c r="D54" t="n">
        <v>251</v>
      </c>
      <c r="E54" t="n">
        <v>1</v>
      </c>
      <c r="F54" t="n">
        <v>9</v>
      </c>
      <c r="G54" t="n">
        <v>104</v>
      </c>
      <c r="H54" t="n">
        <v>260</v>
      </c>
      <c r="I54" s="4488" t="n"/>
      <c r="J54" s="4488" t="n"/>
      <c r="K54" s="4488" t="n"/>
      <c r="L54" s="4488" t="n"/>
      <c r="M54" s="4488" t="n"/>
      <c r="N54" s="4488" t="n"/>
      <c r="O54" s="4488" t="n"/>
      <c r="P54" s="4488" t="n"/>
      <c r="Q54" s="4488" t="n"/>
      <c r="R54" s="4488" t="n"/>
      <c r="S54" s="4488" t="n"/>
      <c r="T54" s="4488" t="n"/>
      <c r="U54" s="4488" t="n"/>
      <c r="V54" s="4488" t="n"/>
      <c r="W54" s="4488" t="n"/>
      <c r="X54" s="4488" t="n"/>
      <c r="Y54" s="4488" t="n"/>
      <c r="Z54" s="4488" t="n"/>
      <c r="AA54" s="4488" t="n"/>
      <c r="AB54" s="4488" t="n"/>
      <c r="AC54" s="4488" t="n"/>
      <c r="AD54" s="4488" t="n"/>
    </row>
    <row r="55" ht="21" customHeight="1">
      <c r="B55" s="4488" t="inlineStr">
        <is>
          <t>Total</t>
        </is>
      </c>
      <c r="C55" s="4488">
        <f>SUM(C52:C53)</f>
        <v/>
      </c>
      <c r="D55" s="4488">
        <f>SUM(D52:D53)</f>
        <v/>
      </c>
      <c r="E55" s="4488">
        <f>SUM(E52:E53)</f>
        <v/>
      </c>
      <c r="F55" s="4488">
        <f>SUM(F52:F53)</f>
        <v/>
      </c>
      <c r="G55" s="4488">
        <f>SUM(G52:G53)</f>
        <v/>
      </c>
      <c r="H55" s="4488">
        <f>SUM(H52:H53)</f>
        <v/>
      </c>
      <c r="I55" s="4488" t="n"/>
      <c r="J55" s="4488" t="n"/>
      <c r="K55" s="4488" t="n"/>
      <c r="L55" s="4488" t="n"/>
      <c r="M55" s="4488" t="n"/>
      <c r="N55" s="4488" t="n"/>
      <c r="O55" s="4488" t="n"/>
      <c r="P55" s="4488" t="n"/>
      <c r="Q55" s="4488" t="n"/>
      <c r="R55" s="4488" t="n"/>
      <c r="S55" s="4488" t="n"/>
      <c r="T55" s="4488" t="n"/>
      <c r="U55" s="4488" t="n"/>
      <c r="V55" s="4488" t="n"/>
      <c r="W55" s="4488" t="n"/>
      <c r="X55" s="4488" t="n"/>
      <c r="Y55" s="4488" t="n"/>
      <c r="Z55" s="4488" t="n"/>
      <c r="AA55" s="4488" t="n"/>
      <c r="AB55" s="4488" t="n"/>
      <c r="AC55" s="4488" t="n"/>
      <c r="AD55" s="4488" t="n"/>
    </row>
    <row r="56" ht="21" customHeight="1">
      <c r="B56" s="4488" t="n"/>
      <c r="C56" s="4488" t="n"/>
      <c r="D56" s="4488" t="n"/>
      <c r="E56" s="4488" t="n"/>
      <c r="F56" s="4488" t="n"/>
      <c r="G56" s="4488" t="n"/>
      <c r="H56" s="4488" t="n"/>
      <c r="I56" s="4488" t="n"/>
      <c r="J56" s="4488" t="n"/>
      <c r="K56" s="4488" t="n"/>
      <c r="L56" s="4488" t="n"/>
      <c r="M56" s="4488" t="n"/>
      <c r="N56" s="4488" t="n"/>
      <c r="O56" s="4488" t="n"/>
      <c r="P56" s="4488" t="n"/>
      <c r="Q56" s="4488" t="n"/>
      <c r="R56" s="4488" t="n"/>
      <c r="S56" s="4488" t="n"/>
      <c r="T56" s="4488" t="n"/>
      <c r="U56" s="4488" t="n"/>
      <c r="V56" s="4488" t="n"/>
      <c r="W56" s="4488" t="n"/>
      <c r="X56" s="4488" t="n"/>
      <c r="Y56" s="4488" t="n"/>
      <c r="Z56" s="4488" t="n"/>
      <c r="AA56" s="4488" t="n"/>
      <c r="AB56" s="4488" t="n"/>
      <c r="AC56" s="4488" t="n"/>
      <c r="AD56" s="4488" t="n"/>
    </row>
    <row r="57" ht="21" customHeight="1">
      <c r="B57" s="4488" t="inlineStr">
        <is>
          <t>source:</t>
        </is>
      </c>
      <c r="C57" s="4488" t="n"/>
      <c r="D57" s="4488" t="n"/>
      <c r="E57" s="4488" t="n"/>
      <c r="F57" s="4488" t="n"/>
      <c r="G57" s="4488" t="n"/>
      <c r="H57" s="4488" t="n"/>
      <c r="I57" s="4488" t="n"/>
      <c r="J57" s="4488" t="n"/>
      <c r="K57" s="4488" t="n"/>
      <c r="L57" s="4488" t="n"/>
      <c r="M57" s="4488" t="n"/>
      <c r="N57" s="4488" t="n"/>
      <c r="O57" s="4488" t="n"/>
      <c r="P57" s="4488" t="n"/>
      <c r="Q57" s="4488" t="n"/>
      <c r="R57" s="4488" t="n"/>
      <c r="S57" s="4488" t="n"/>
      <c r="T57" s="4488" t="n"/>
      <c r="U57" s="4488" t="n"/>
      <c r="V57" s="4488" t="n"/>
      <c r="W57" s="4488" t="n"/>
      <c r="X57" s="4488" t="n"/>
      <c r="Y57" s="4488" t="n"/>
      <c r="Z57" s="4488" t="n"/>
      <c r="AA57" s="4488" t="n"/>
      <c r="AB57" s="4488" t="n"/>
      <c r="AC57" s="4488" t="n"/>
      <c r="AD57" s="4488" t="n"/>
    </row>
    <row r="58" ht="21" customHeight="1">
      <c r="B58" s="145" t="inlineStr">
        <is>
          <t xml:space="preserve">https://macarofood.org/wp-content/uploads/2021/01/Gonzalez_et_al_2020_Fisheries_Cabo_Verde_Cybium.pdf </t>
        </is>
      </c>
      <c r="C58" s="4488" t="n"/>
      <c r="D58" s="4488" t="n"/>
      <c r="E58" s="4488" t="n"/>
      <c r="F58" s="4488" t="n"/>
      <c r="G58" s="4488" t="n"/>
      <c r="H58" s="4488" t="n"/>
      <c r="I58" s="4488" t="n"/>
      <c r="J58" s="4488" t="n"/>
      <c r="K58" s="4488" t="n"/>
      <c r="L58" s="4488" t="n"/>
      <c r="M58" s="4488" t="n"/>
      <c r="N58" s="4488" t="n"/>
      <c r="O58" s="4488" t="n"/>
      <c r="P58" s="4488" t="n"/>
      <c r="Q58" s="4488" t="n"/>
      <c r="R58" s="4488" t="n"/>
      <c r="S58" s="4488" t="n"/>
      <c r="T58" s="4488" t="n"/>
      <c r="U58" s="4488" t="n"/>
      <c r="V58" s="4488" t="n"/>
      <c r="W58" s="4488" t="n"/>
      <c r="X58" s="4488" t="n"/>
      <c r="Y58" s="4488" t="n"/>
      <c r="Z58" s="4488" t="n"/>
      <c r="AA58" s="4488" t="n"/>
      <c r="AB58" s="4488" t="n"/>
      <c r="AC58" s="4488" t="n"/>
      <c r="AD58" s="4488" t="n"/>
    </row>
    <row r="59" ht="21" customHeight="1">
      <c r="B59" s="4488" t="n"/>
      <c r="D59" s="4488" t="n"/>
      <c r="E59" s="4488" t="n"/>
      <c r="F59" s="4488" t="n"/>
      <c r="G59" s="4488" t="n"/>
      <c r="H59" s="4488" t="n"/>
      <c r="I59" s="4488" t="n"/>
      <c r="J59" s="4488" t="n"/>
      <c r="K59" s="4488" t="n"/>
      <c r="L59" s="4488" t="n"/>
      <c r="M59" s="4488" t="n"/>
      <c r="N59" s="4488" t="n"/>
      <c r="O59" s="4488" t="n"/>
      <c r="P59" s="4488" t="n"/>
      <c r="Q59" s="4488" t="n"/>
      <c r="R59" s="4488" t="n"/>
      <c r="S59" s="4488" t="n"/>
      <c r="T59" s="4488" t="n"/>
      <c r="U59" s="4488" t="n"/>
      <c r="V59" s="4488" t="n"/>
      <c r="W59" s="4488" t="n"/>
      <c r="X59" s="4488" t="n"/>
      <c r="Y59" s="4488" t="n"/>
      <c r="Z59" s="4488" t="n"/>
      <c r="AA59" s="4488" t="n"/>
      <c r="AB59" s="4488" t="n"/>
      <c r="AC59" s="4488" t="n"/>
      <c r="AD59" s="4488" t="n"/>
    </row>
    <row r="60" ht="21" customHeight="1">
      <c r="B60" s="4488" t="n"/>
      <c r="C60" s="4488" t="n"/>
      <c r="D60" s="4488" t="n"/>
      <c r="E60" s="4488" t="n"/>
      <c r="F60" s="4488" t="n"/>
      <c r="G60" s="4488" t="n"/>
      <c r="H60" s="4488" t="n"/>
      <c r="I60" s="4488" t="n"/>
      <c r="J60" s="4488" t="n"/>
      <c r="K60" s="4488" t="n"/>
      <c r="L60" s="4488" t="n"/>
      <c r="M60" s="4488" t="n"/>
      <c r="N60" s="4488" t="n"/>
      <c r="O60" s="4488" t="n"/>
      <c r="P60" s="4488" t="n"/>
      <c r="Q60" s="4488" t="n"/>
      <c r="R60" s="4488" t="n"/>
      <c r="S60" s="4488" t="n"/>
      <c r="T60" s="4488" t="n"/>
      <c r="U60" s="4488" t="n"/>
      <c r="V60" s="4488" t="n"/>
      <c r="W60" s="4488" t="n"/>
      <c r="X60" s="4488" t="n"/>
      <c r="Y60" s="4488" t="n"/>
      <c r="Z60" s="4488" t="n"/>
      <c r="AA60" s="4488" t="n"/>
      <c r="AB60" s="4488" t="n"/>
      <c r="AC60" s="4488" t="n"/>
      <c r="AD60" s="4488" t="n"/>
    </row>
    <row r="61" ht="21" customHeight="1">
      <c r="B61" s="4488" t="n"/>
      <c r="C61" s="4488" t="n"/>
      <c r="D61" s="4488" t="n"/>
      <c r="E61" s="4488" t="n"/>
      <c r="F61" s="4488" t="n"/>
      <c r="G61" s="4488" t="n"/>
      <c r="H61" s="4488" t="n"/>
      <c r="I61" s="4488" t="n"/>
      <c r="J61" s="4488" t="n"/>
      <c r="K61" s="4488" t="n"/>
      <c r="L61" s="4488" t="n"/>
      <c r="M61" s="4488" t="n"/>
      <c r="N61" s="4488" t="n"/>
      <c r="O61" s="4488" t="n"/>
      <c r="P61" s="4488" t="n"/>
      <c r="Q61" s="4488" t="n"/>
      <c r="R61" s="4488" t="n"/>
      <c r="S61" s="4488" t="n"/>
      <c r="T61" s="4488" t="n"/>
      <c r="U61" s="4488" t="n"/>
      <c r="V61" s="4488" t="n"/>
      <c r="W61" s="4488" t="n"/>
      <c r="X61" s="4488" t="n"/>
      <c r="Y61" s="4488" t="n"/>
      <c r="Z61" s="4488" t="n"/>
      <c r="AA61" s="4488" t="n"/>
      <c r="AB61" s="4488" t="n"/>
      <c r="AC61" s="4488" t="n"/>
      <c r="AD61" s="4488" t="n"/>
    </row>
    <row r="62" ht="21" customHeight="1">
      <c r="B62" s="4488" t="n"/>
      <c r="C62" s="4488" t="n"/>
      <c r="D62" s="4488" t="n"/>
      <c r="E62" s="4488" t="n"/>
      <c r="F62" s="4488" t="n"/>
      <c r="G62" s="4488" t="n"/>
      <c r="H62" s="4488" t="n"/>
      <c r="I62" s="4488" t="n"/>
      <c r="J62" s="4488" t="n"/>
      <c r="K62" s="4488" t="n"/>
      <c r="L62" s="4488" t="n"/>
      <c r="M62" s="4488" t="n"/>
      <c r="N62" s="4488" t="n"/>
      <c r="O62" s="4488" t="n"/>
      <c r="P62" s="4488" t="n"/>
      <c r="Q62" s="4488" t="n"/>
      <c r="R62" s="4488" t="n"/>
      <c r="S62" s="4488" t="n"/>
      <c r="T62" s="4488" t="n"/>
      <c r="U62" s="4488" t="n"/>
      <c r="V62" s="4488" t="n"/>
      <c r="W62" s="4488" t="n"/>
      <c r="X62" s="4488" t="n"/>
      <c r="Y62" s="4488" t="n"/>
      <c r="Z62" s="4488" t="n"/>
      <c r="AA62" s="4488" t="n"/>
      <c r="AB62" s="4488" t="n"/>
      <c r="AC62" s="4488" t="n"/>
      <c r="AD62" s="4488" t="n"/>
    </row>
    <row r="63" ht="21" customHeight="1">
      <c r="B63" t="inlineStr">
        <is>
          <t>Catch per unit of effort (CPUE)</t>
        </is>
      </c>
      <c r="C63" s="4488" t="n">
        <v>37</v>
      </c>
      <c r="D63" s="4488" t="inlineStr">
        <is>
          <t>kg per fishing trip (less than one day)</t>
        </is>
      </c>
      <c r="F63" s="4488" t="n"/>
      <c r="G63" s="4488" t="n"/>
      <c r="H63" s="4488" t="n"/>
      <c r="I63" s="4488" t="n"/>
      <c r="J63" s="4488" t="n"/>
      <c r="K63" s="4488" t="n"/>
      <c r="L63" s="4488" t="n"/>
      <c r="M63" s="4488" t="n"/>
      <c r="N63" s="4488" t="n"/>
      <c r="O63" s="4488" t="n"/>
      <c r="P63" s="4488" t="n"/>
      <c r="Q63" s="4488" t="n"/>
      <c r="R63" s="4488" t="n"/>
      <c r="S63" s="4488" t="n"/>
      <c r="T63" s="4488" t="n"/>
      <c r="U63" s="4488" t="n"/>
      <c r="V63" s="4488" t="n"/>
      <c r="W63" s="4488" t="n"/>
      <c r="X63" s="4488" t="n"/>
      <c r="Y63" s="4488" t="n"/>
      <c r="Z63" s="4488" t="n"/>
      <c r="AA63" s="4488" t="n"/>
      <c r="AB63" s="4488" t="n"/>
      <c r="AC63" s="4488" t="n"/>
      <c r="AD63" s="4488" t="n"/>
    </row>
    <row r="64" ht="21" customHeight="1">
      <c r="B64" s="4488" t="n"/>
      <c r="C64" s="4488" t="n">
        <v>5</v>
      </c>
      <c r="D64" s="4488" t="inlineStr">
        <is>
          <t>ton per boat and per year</t>
        </is>
      </c>
      <c r="E64" s="4488" t="n"/>
      <c r="F64" s="4488" t="n"/>
      <c r="G64" s="4488" t="n"/>
      <c r="H64" s="4488" t="n"/>
      <c r="I64" s="4488" t="n"/>
      <c r="J64" s="4488" t="n"/>
      <c r="K64" s="4488" t="n"/>
      <c r="L64" s="4488" t="n"/>
      <c r="M64" s="4488" t="n"/>
      <c r="N64" s="4488" t="n"/>
      <c r="O64" s="4488" t="n"/>
      <c r="P64" s="4488" t="n"/>
      <c r="Q64" s="4488" t="n"/>
      <c r="R64" s="4488" t="n"/>
      <c r="S64" s="4488" t="n"/>
      <c r="T64" s="4488" t="n"/>
      <c r="U64" s="4488" t="n"/>
      <c r="V64" s="4488" t="n"/>
      <c r="W64" s="4488" t="n"/>
      <c r="X64" s="4488" t="n"/>
      <c r="Y64" s="4488" t="n"/>
      <c r="Z64" s="4488" t="n"/>
      <c r="AA64" s="4488" t="n"/>
      <c r="AB64" s="4488" t="n"/>
      <c r="AC64" s="4488" t="n"/>
      <c r="AD64" s="4488" t="n"/>
    </row>
    <row r="65" ht="21" customHeight="1">
      <c r="B65" s="4488" t="n"/>
      <c r="C65" s="4488" t="n"/>
      <c r="D65" s="145" t="inlineStr">
        <is>
          <t xml:space="preserve">https://documents1.worldbank.org/curated/en/377811468006264103/pdf/AAA210ESW0Whit10strategy0assessment.pdf </t>
        </is>
      </c>
      <c r="E65" s="4488" t="n"/>
      <c r="F65" s="4488" t="n"/>
      <c r="G65" s="4488" t="n"/>
      <c r="H65" s="4488" t="n"/>
      <c r="I65" s="4488" t="n"/>
      <c r="J65" s="4488" t="n"/>
      <c r="K65" s="4488" t="n"/>
      <c r="L65" s="4488" t="n"/>
      <c r="M65" s="4488" t="n"/>
      <c r="N65" s="4488" t="n"/>
      <c r="O65" s="4488" t="n"/>
      <c r="P65" s="4488" t="n"/>
      <c r="Q65" s="4488" t="n"/>
      <c r="R65" s="4488" t="n"/>
      <c r="S65" s="4488" t="n"/>
      <c r="T65" s="4488" t="n"/>
      <c r="U65" s="4488" t="n"/>
      <c r="V65" s="4488" t="n"/>
      <c r="W65" s="4488" t="n"/>
      <c r="X65" s="4488" t="n"/>
      <c r="Y65" s="4488" t="n"/>
      <c r="Z65" s="4488" t="n"/>
      <c r="AA65" s="4488" t="n"/>
      <c r="AB65" s="4488" t="n"/>
      <c r="AC65" s="4488" t="n"/>
      <c r="AD65" s="4488" t="n"/>
    </row>
    <row r="66" ht="44" customHeight="1">
      <c r="B66" s="4502" t="inlineStr">
        <is>
          <t>Quantity of fish caught in MAIO and Fogo per year</t>
        </is>
      </c>
      <c r="C66" s="4488">
        <f>(C55+4)*C64</f>
        <v/>
      </c>
      <c r="D66" s="4488" t="inlineStr">
        <is>
          <t>Tons</t>
        </is>
      </c>
      <c r="E66" s="4488" t="n"/>
      <c r="F66" s="4488" t="n"/>
      <c r="G66" s="4488" t="n"/>
      <c r="H66" s="4488" t="n"/>
      <c r="I66" s="4488" t="n"/>
      <c r="J66" s="4488" t="n"/>
      <c r="K66" s="4488" t="n"/>
      <c r="L66" s="4488" t="n"/>
      <c r="M66" s="4488" t="n"/>
      <c r="N66" s="4488" t="n"/>
      <c r="O66" s="4488" t="n"/>
      <c r="P66" s="4488" t="n"/>
      <c r="Q66" s="4488" t="n"/>
      <c r="R66" s="4488" t="n"/>
      <c r="S66" s="4488" t="n"/>
      <c r="T66" s="4488" t="n"/>
      <c r="U66" s="4488" t="n"/>
      <c r="V66" s="4488" t="n"/>
      <c r="W66" s="4488" t="n"/>
      <c r="X66" s="4488" t="n"/>
      <c r="Y66" s="4488" t="n"/>
      <c r="Z66" s="4488" t="n"/>
      <c r="AA66" s="4488" t="n"/>
      <c r="AB66" s="4488" t="n"/>
      <c r="AC66" s="4488" t="n"/>
      <c r="AD66" s="4488" t="n"/>
    </row>
    <row r="67" ht="21" customHeight="1">
      <c r="B67" s="4488" t="n"/>
      <c r="C67" s="4488" t="n"/>
      <c r="D67" s="4488" t="n"/>
      <c r="E67" s="4488" t="n"/>
      <c r="F67" s="4488" t="n"/>
      <c r="G67" s="4488" t="n"/>
      <c r="H67" s="4488" t="n"/>
      <c r="I67" s="4488" t="n"/>
      <c r="J67" s="4488" t="n"/>
      <c r="K67" s="4488" t="n"/>
      <c r="L67" s="4488" t="n"/>
      <c r="M67" s="4488" t="n"/>
      <c r="N67" s="4488" t="n"/>
      <c r="O67" s="4488" t="n"/>
      <c r="P67" s="4488" t="n"/>
      <c r="Q67" s="4488" t="n"/>
      <c r="R67" s="4488" t="n"/>
      <c r="S67" s="4488" t="n"/>
      <c r="T67" s="4488" t="n"/>
      <c r="U67" s="4488" t="n"/>
      <c r="V67" s="4488" t="n"/>
      <c r="W67" s="4488" t="n"/>
      <c r="X67" s="4488" t="n"/>
      <c r="Y67" s="4488" t="n"/>
      <c r="Z67" s="4488" t="n"/>
      <c r="AA67" s="4488" t="n"/>
      <c r="AB67" s="4488" t="n"/>
      <c r="AC67" s="4488" t="n"/>
      <c r="AD67" s="4488" t="n"/>
    </row>
    <row r="68" ht="21" customHeight="1">
      <c r="B68" s="4488" t="n"/>
      <c r="C68" s="4488" t="n"/>
      <c r="D68" s="4488" t="n"/>
      <c r="E68" s="4488" t="n"/>
      <c r="F68" s="4488" t="n"/>
      <c r="G68" s="4488" t="n"/>
      <c r="H68" s="4488" t="n"/>
      <c r="I68" s="4488" t="n"/>
      <c r="J68" s="4488" t="n"/>
      <c r="K68" s="4488" t="n"/>
      <c r="L68" s="4488" t="n"/>
      <c r="M68" s="4488" t="n"/>
      <c r="N68" s="4488" t="n"/>
      <c r="O68" s="4488" t="n"/>
      <c r="P68" s="4488" t="n"/>
      <c r="Q68" s="4488" t="n"/>
      <c r="R68" s="4488" t="n"/>
      <c r="S68" s="4488" t="n"/>
      <c r="T68" s="4488" t="n"/>
      <c r="U68" s="4488" t="n"/>
      <c r="V68" s="4488" t="n"/>
      <c r="W68" s="4488" t="n"/>
      <c r="X68" s="4488" t="n"/>
      <c r="Y68" s="4488" t="n"/>
      <c r="Z68" s="4488" t="n"/>
      <c r="AA68" s="4488" t="n"/>
      <c r="AB68" s="4488" t="n"/>
      <c r="AC68" s="4488" t="n"/>
      <c r="AD68" s="4488" t="n"/>
    </row>
    <row r="69" ht="21" customHeight="1">
      <c r="B69" s="4488" t="n"/>
      <c r="C69" s="4488" t="n"/>
      <c r="D69" s="4488" t="n"/>
      <c r="E69" s="4488" t="n"/>
      <c r="F69" s="4488" t="n"/>
      <c r="G69" s="4488" t="n"/>
      <c r="H69" s="4488" t="n"/>
      <c r="I69" s="4488" t="n"/>
      <c r="J69" s="4488" t="n"/>
      <c r="K69" s="4488" t="n"/>
      <c r="L69" s="4488" t="n"/>
      <c r="M69" s="4488" t="n"/>
      <c r="N69" s="4488" t="n"/>
      <c r="O69" s="4488" t="n"/>
      <c r="P69" s="4488" t="n"/>
      <c r="Q69" s="4488" t="n"/>
      <c r="R69" s="4488" t="n"/>
      <c r="S69" s="4488" t="n"/>
      <c r="T69" s="4488" t="n"/>
      <c r="U69" s="4488" t="n"/>
      <c r="V69" s="4488" t="n"/>
      <c r="W69" s="4488" t="n"/>
      <c r="X69" s="4488" t="n"/>
      <c r="Y69" s="4488" t="n"/>
      <c r="Z69" s="4488" t="n"/>
      <c r="AA69" s="4488" t="n"/>
      <c r="AB69" s="4488" t="n"/>
      <c r="AC69" s="4488" t="n"/>
      <c r="AD69" s="4488" t="n"/>
    </row>
    <row r="70" ht="21" customHeight="1">
      <c r="C70" s="4512" t="inlineStr">
        <is>
          <t>MAIO</t>
        </is>
      </c>
      <c r="D70" s="4512" t="inlineStr">
        <is>
          <t>FOGO</t>
        </is>
      </c>
      <c r="E70" s="4512" t="inlineStr">
        <is>
          <t>BRAVA</t>
        </is>
      </c>
      <c r="F70" s="4512" t="inlineStr">
        <is>
          <t>Total</t>
        </is>
      </c>
      <c r="G70" s="4512" t="inlineStr">
        <is>
          <t>Gear category</t>
        </is>
      </c>
      <c r="H70" s="4488" t="n"/>
      <c r="I70" s="4488" t="n"/>
      <c r="J70" s="4488" t="n"/>
      <c r="K70" s="4488" t="n"/>
      <c r="L70" s="4488" t="n"/>
      <c r="M70" s="4488" t="n"/>
      <c r="N70" s="4488" t="n"/>
      <c r="O70" s="4488" t="n"/>
      <c r="P70" s="4488" t="n"/>
      <c r="Q70" s="4488" t="n"/>
      <c r="R70" s="4488" t="n"/>
      <c r="S70" s="4488" t="n"/>
      <c r="T70" s="4488" t="n"/>
      <c r="U70" s="4488" t="n"/>
      <c r="V70" s="4488" t="n"/>
      <c r="W70" s="4488" t="n"/>
      <c r="X70" s="4488" t="n"/>
      <c r="Y70" s="4488" t="n"/>
      <c r="Z70" s="4488" t="n"/>
      <c r="AA70" s="4488" t="n"/>
      <c r="AB70" s="4488" t="n"/>
      <c r="AC70" s="4488" t="n"/>
      <c r="AD70" s="4488" t="n"/>
    </row>
    <row r="71" ht="21" customHeight="1">
      <c r="H71" s="4488" t="n"/>
      <c r="I71" s="4488" t="n"/>
      <c r="J71" s="4488" t="n"/>
      <c r="K71" s="4488" t="n"/>
      <c r="L71" s="4488" t="n"/>
      <c r="M71" s="4488" t="n"/>
      <c r="N71" s="4488" t="n"/>
      <c r="O71" s="4488" t="n"/>
      <c r="P71" s="4488" t="n"/>
      <c r="Q71" s="4488" t="n"/>
      <c r="R71" s="4488" t="n"/>
      <c r="S71" s="4488" t="n"/>
      <c r="T71" s="4488" t="n"/>
      <c r="U71" s="4488" t="n"/>
      <c r="V71" s="4488" t="n"/>
      <c r="W71" s="4488" t="n"/>
      <c r="X71" s="4488" t="n"/>
      <c r="Y71" s="4488" t="n"/>
      <c r="Z71" s="4488" t="n"/>
      <c r="AA71" s="4488" t="n"/>
      <c r="AB71" s="4488" t="n"/>
      <c r="AC71" s="4488" t="n"/>
      <c r="AD71" s="4488" t="n"/>
    </row>
    <row r="72" ht="21" customHeight="1">
      <c r="B72" t="inlineStr">
        <is>
          <t>Number of actives boats</t>
        </is>
      </c>
      <c r="C72" t="n">
        <v>51</v>
      </c>
      <c r="D72" t="n">
        <v>64</v>
      </c>
      <c r="E72" t="n">
        <v>69</v>
      </c>
      <c r="F72">
        <f>SUM(C72:E72)</f>
        <v/>
      </c>
      <c r="H72" s="4488" t="n"/>
      <c r="I72" s="4488" t="n"/>
      <c r="J72" s="4488" t="n"/>
      <c r="K72" s="4488" t="n"/>
      <c r="L72" s="4488" t="n"/>
      <c r="M72" s="4488" t="n"/>
      <c r="N72" s="4488" t="n"/>
      <c r="O72" s="4488" t="n"/>
      <c r="P72" s="4488" t="n"/>
      <c r="Q72" s="4488" t="n"/>
      <c r="R72" s="4488" t="n"/>
      <c r="S72" s="4488" t="n"/>
      <c r="T72" s="4488" t="n"/>
      <c r="U72" s="4488" t="n"/>
      <c r="V72" s="4488" t="n"/>
      <c r="W72" s="4488" t="n"/>
      <c r="X72" s="4488" t="n"/>
      <c r="Y72" s="4488" t="n"/>
      <c r="Z72" s="4488" t="n"/>
      <c r="AA72" s="4488" t="n"/>
      <c r="AB72" s="4488" t="n"/>
      <c r="AC72" s="4488" t="n"/>
      <c r="AD72" s="4488" t="n"/>
    </row>
    <row r="73" ht="21" customHeight="1">
      <c r="B73" t="inlineStr">
        <is>
          <t>Number of unactives boats</t>
        </is>
      </c>
      <c r="C73" t="n">
        <v>17</v>
      </c>
      <c r="D73" t="n">
        <v>28</v>
      </c>
      <c r="E73" t="n">
        <v>9</v>
      </c>
      <c r="F73">
        <f>SUM(C73:E73)</f>
        <v/>
      </c>
      <c r="H73" s="4488" t="n"/>
      <c r="I73" s="4488" t="n"/>
      <c r="J73" s="4488" t="n"/>
      <c r="K73" s="4488" t="n"/>
      <c r="L73" s="4488" t="n"/>
      <c r="M73" s="4488" t="n"/>
      <c r="N73" s="4488" t="n"/>
      <c r="O73" s="4488" t="n"/>
      <c r="P73" s="4488" t="n"/>
      <c r="Q73" s="4488" t="n"/>
      <c r="R73" s="4488" t="n"/>
      <c r="S73" s="4488" t="n"/>
      <c r="T73" s="4488" t="n"/>
      <c r="U73" s="4488" t="n"/>
      <c r="V73" s="4488" t="n"/>
      <c r="W73" s="4488" t="n"/>
      <c r="X73" s="4488" t="n"/>
      <c r="Y73" s="4488" t="n"/>
      <c r="Z73" s="4488" t="n"/>
      <c r="AA73" s="4488" t="n"/>
      <c r="AB73" s="4488" t="n"/>
      <c r="AC73" s="4488" t="n"/>
      <c r="AD73" s="4488" t="n"/>
    </row>
    <row r="74" ht="21" customHeight="1">
      <c r="B74" t="inlineStr">
        <is>
          <t>Total Number of boats (with the project)</t>
        </is>
      </c>
      <c r="C74">
        <f>C72+C73*0.75</f>
        <v/>
      </c>
      <c r="D74">
        <f>D72+D73*0.75</f>
        <v/>
      </c>
      <c r="E74">
        <f>E72+E73*0.75</f>
        <v/>
      </c>
      <c r="F74">
        <f>F72+F73*0.75</f>
        <v/>
      </c>
      <c r="G74" t="inlineStr">
        <is>
          <t>Assuming 75% unactive boats will operate withthe project</t>
        </is>
      </c>
      <c r="H74" s="4488" t="n"/>
      <c r="I74" s="4488" t="n"/>
      <c r="J74" s="4488" t="n"/>
      <c r="K74" s="4488" t="n"/>
      <c r="L74" s="4488" t="n"/>
      <c r="M74" s="4488" t="n"/>
      <c r="N74" s="4488" t="n"/>
      <c r="O74" s="4488" t="n"/>
      <c r="P74" s="4488" t="n"/>
      <c r="Q74" s="4488" t="n"/>
      <c r="R74" s="4488" t="n"/>
      <c r="S74" s="4488" t="n"/>
      <c r="T74" s="4488" t="n"/>
      <c r="U74" s="4488" t="n"/>
      <c r="V74" s="4488" t="n"/>
      <c r="W74" s="4488" t="n"/>
      <c r="X74" s="4488" t="n"/>
      <c r="Y74" s="4488" t="n"/>
      <c r="Z74" s="4488" t="n"/>
      <c r="AA74" s="4488" t="n"/>
      <c r="AB74" s="4488" t="n"/>
      <c r="AC74" s="4488" t="n"/>
      <c r="AD74" s="4488" t="n"/>
    </row>
    <row r="75" ht="21" customHeight="1">
      <c r="B75" t="inlineStr">
        <is>
          <t>% of unmotorized boats</t>
        </is>
      </c>
      <c r="C75" s="231" t="n">
        <v>0.28</v>
      </c>
      <c r="D75" s="4513" t="n">
        <v>0.156</v>
      </c>
      <c r="E75" s="4513" t="n">
        <v>0.116</v>
      </c>
      <c r="F75" s="4514">
        <f>(F72-F76)/F72</f>
        <v/>
      </c>
      <c r="H75" s="4488" t="n"/>
      <c r="I75" s="4488" t="n"/>
      <c r="J75" s="4488" t="n"/>
      <c r="K75" s="4488" t="n"/>
      <c r="L75" s="4488" t="n"/>
      <c r="M75" s="4488" t="n"/>
      <c r="N75" s="4488" t="n"/>
      <c r="O75" s="4488" t="n"/>
      <c r="P75" s="4488" t="n"/>
      <c r="Q75" s="4488" t="n"/>
      <c r="R75" s="4488" t="n"/>
      <c r="S75" s="4488" t="n"/>
      <c r="T75" s="4488" t="n"/>
      <c r="U75" s="4488" t="n"/>
      <c r="V75" s="4488" t="n"/>
      <c r="W75" s="4488" t="n"/>
      <c r="X75" s="4488" t="n"/>
      <c r="Y75" s="4488" t="n"/>
      <c r="Z75" s="4488" t="n"/>
      <c r="AA75" s="4488" t="n"/>
      <c r="AB75" s="4488" t="n"/>
      <c r="AC75" s="4488" t="n"/>
      <c r="AD75" s="4488" t="n"/>
    </row>
    <row r="76" ht="21" customHeight="1">
      <c r="B76" t="inlineStr">
        <is>
          <t>Number of motorized boats</t>
        </is>
      </c>
      <c r="C76" s="17">
        <f>C72*(1-C75)</f>
        <v/>
      </c>
      <c r="D76" s="17">
        <f>D72*(1-D75)</f>
        <v/>
      </c>
      <c r="E76" s="17">
        <f>E72*(1-E75)</f>
        <v/>
      </c>
      <c r="F76" s="17">
        <f>SUM(C76:E76)</f>
        <v/>
      </c>
      <c r="H76" s="4488" t="n"/>
      <c r="I76" s="4488" t="n"/>
      <c r="J76" s="4488" t="n"/>
      <c r="K76" s="4488" t="n"/>
      <c r="L76" s="4488" t="n"/>
      <c r="M76" s="4488" t="n"/>
      <c r="N76" s="4488" t="n"/>
      <c r="O76" s="4488" t="n"/>
      <c r="P76" s="4488" t="n"/>
      <c r="Q76" s="4488" t="n"/>
      <c r="R76" s="4488" t="n"/>
      <c r="S76" s="4488" t="n"/>
      <c r="T76" s="4488" t="n"/>
      <c r="U76" s="4488" t="n"/>
      <c r="V76" s="4488" t="n"/>
      <c r="W76" s="4488" t="n"/>
      <c r="X76" s="4488" t="n"/>
      <c r="Y76" s="4488" t="n"/>
      <c r="Z76" s="4488" t="n"/>
      <c r="AA76" s="4488" t="n"/>
      <c r="AB76" s="4488" t="n"/>
      <c r="AC76" s="4488" t="n"/>
      <c r="AD76" s="4488" t="n"/>
    </row>
    <row r="77" ht="21" customHeight="1">
      <c r="B77" t="inlineStr">
        <is>
          <t>quantity of fish caught per year/boats in kg</t>
        </is>
      </c>
      <c r="C77" s="17">
        <f>C78/C72*1000</f>
        <v/>
      </c>
      <c r="D77" s="17">
        <f>D78/D72*1000</f>
        <v/>
      </c>
      <c r="E77" s="17">
        <f>E78/E72*1000</f>
        <v/>
      </c>
      <c r="F77" s="17">
        <f>SUM(C77:E77)</f>
        <v/>
      </c>
      <c r="H77" s="4488" t="n"/>
      <c r="I77" s="4488" t="n"/>
      <c r="J77" s="4488" t="n"/>
      <c r="K77" s="4488" t="n"/>
      <c r="L77" s="4488" t="n"/>
      <c r="M77" s="4488" t="n"/>
      <c r="N77" s="4488" t="n"/>
      <c r="O77" s="4488" t="n"/>
      <c r="P77" s="4488" t="n"/>
      <c r="Q77" s="4488" t="n"/>
      <c r="R77" s="4488" t="n"/>
      <c r="S77" s="4488" t="n"/>
      <c r="T77" s="4488" t="n"/>
      <c r="U77" s="4488" t="n"/>
      <c r="V77" s="4488" t="n"/>
      <c r="W77" s="4488" t="n"/>
      <c r="X77" s="4488" t="n"/>
      <c r="Y77" s="4488" t="n"/>
      <c r="Z77" s="4488" t="n"/>
      <c r="AA77" s="4488" t="n"/>
      <c r="AB77" s="4488" t="n"/>
      <c r="AC77" s="4488" t="n"/>
      <c r="AD77" s="4488" t="n"/>
    </row>
    <row r="78" ht="21" customHeight="1">
      <c r="B78" s="1604" t="inlineStr">
        <is>
          <t>total quantiy caught (tons) currently</t>
        </is>
      </c>
      <c r="C78" s="4515">
        <f>C101</f>
        <v/>
      </c>
      <c r="D78" s="4515">
        <f>D101</f>
        <v/>
      </c>
      <c r="E78" s="4515">
        <f>E101</f>
        <v/>
      </c>
      <c r="F78" s="4515">
        <f>SUM(C78:E78)</f>
        <v/>
      </c>
      <c r="G78" t="inlineStr">
        <is>
          <t>multiple</t>
        </is>
      </c>
      <c r="H78" s="4488" t="n"/>
      <c r="I78" s="4488" t="n"/>
      <c r="J78" s="4488" t="n"/>
      <c r="K78" s="4488" t="n"/>
      <c r="L78" s="4488" t="n"/>
      <c r="M78" s="4488" t="n"/>
      <c r="N78" s="4488" t="n"/>
      <c r="O78" s="4488" t="n"/>
      <c r="P78" s="4488" t="n"/>
      <c r="Q78" s="4488" t="n"/>
      <c r="R78" s="4488" t="n"/>
      <c r="S78" s="4488" t="n"/>
      <c r="T78" s="4488" t="n"/>
      <c r="U78" s="4488" t="n"/>
      <c r="V78" s="4488" t="n"/>
      <c r="W78" s="4488" t="n"/>
      <c r="X78" s="4488" t="n"/>
      <c r="Y78" s="4488" t="n"/>
      <c r="Z78" s="4488" t="n"/>
      <c r="AA78" s="4488" t="n"/>
      <c r="AB78" s="4488" t="n"/>
      <c r="AC78" s="4488" t="n"/>
      <c r="AD78" s="4488" t="n"/>
    </row>
    <row r="79" ht="21" customHeight="1">
      <c r="B79" s="1604" t="inlineStr">
        <is>
          <t>Quanrity with the project in tons</t>
        </is>
      </c>
      <c r="C79" s="4515">
        <f>C74*C77/1000</f>
        <v/>
      </c>
      <c r="D79" s="4515">
        <f>D74*D77/1000</f>
        <v/>
      </c>
      <c r="E79" s="4515">
        <f>E74*E77/1000</f>
        <v/>
      </c>
      <c r="F79" s="4515">
        <f>SUM(C79:E79)</f>
        <v/>
      </c>
      <c r="G79" t="inlineStr">
        <is>
          <t>multiple</t>
        </is>
      </c>
      <c r="H79" s="4488" t="n"/>
      <c r="I79" s="4488" t="n"/>
      <c r="J79" s="4488" t="n"/>
      <c r="K79" s="4488" t="n"/>
      <c r="L79" s="4488" t="n"/>
      <c r="M79" s="4488" t="n"/>
      <c r="N79" s="4488" t="n"/>
      <c r="O79" s="4488" t="n"/>
      <c r="P79" s="4488" t="n"/>
      <c r="Q79" s="4488" t="n"/>
      <c r="R79" s="4488" t="n"/>
      <c r="S79" s="4488" t="n"/>
      <c r="T79" s="4488" t="n"/>
      <c r="U79" s="4488" t="n"/>
      <c r="V79" s="4488" t="n"/>
      <c r="W79" s="4488" t="n"/>
      <c r="X79" s="4488" t="n"/>
      <c r="Y79" s="4488" t="n"/>
      <c r="Z79" s="4488" t="n"/>
      <c r="AA79" s="4488" t="n"/>
      <c r="AB79" s="4488" t="n"/>
      <c r="AC79" s="4488" t="n"/>
      <c r="AD79" s="4488" t="n"/>
    </row>
    <row r="80" ht="21" customHeight="1">
      <c r="B80" t="inlineStr">
        <is>
          <t>Hooks and lines</t>
        </is>
      </c>
      <c r="C80" s="4513" t="n">
        <v>0.9409999999999999</v>
      </c>
      <c r="D80" s="4513" t="n">
        <v>0.922</v>
      </c>
      <c r="E80" s="4513" t="n">
        <v>0.864</v>
      </c>
      <c r="H80" s="4488" t="n"/>
      <c r="I80" s="4488" t="n"/>
      <c r="J80" s="4488" t="n"/>
      <c r="K80" s="4488" t="n"/>
      <c r="L80" s="4488" t="n"/>
      <c r="M80" s="4488" t="n"/>
      <c r="N80" s="4488" t="n"/>
      <c r="O80" s="4488" t="n"/>
      <c r="P80" s="4488" t="n"/>
      <c r="Q80" s="4488" t="n"/>
      <c r="R80" s="4488" t="n"/>
      <c r="S80" s="4488" t="n"/>
      <c r="T80" s="4488" t="n"/>
      <c r="U80" s="4488" t="n"/>
      <c r="V80" s="4488" t="n"/>
      <c r="W80" s="4488" t="n"/>
      <c r="X80" s="4488" t="n"/>
      <c r="Y80" s="4488" t="n"/>
      <c r="Z80" s="4488" t="n"/>
      <c r="AA80" s="4488" t="n"/>
      <c r="AB80" s="4488" t="n"/>
      <c r="AC80" s="4488" t="n"/>
      <c r="AD80" s="4488" t="n"/>
    </row>
    <row r="81" ht="21" customHeight="1">
      <c r="H81" s="4488" t="n"/>
      <c r="I81" s="4488" t="n"/>
      <c r="J81" s="4488" t="n"/>
      <c r="K81" s="4488" t="n"/>
      <c r="L81" s="4488" t="n"/>
      <c r="M81" s="4488" t="n"/>
      <c r="N81" s="4488" t="n"/>
      <c r="O81" s="4488" t="n"/>
      <c r="P81" s="4488" t="n"/>
      <c r="Q81" s="4488" t="n"/>
      <c r="R81" s="4488" t="n"/>
      <c r="S81" s="4488" t="n"/>
      <c r="T81" s="4488" t="n"/>
      <c r="U81" s="4488" t="n"/>
      <c r="V81" s="4488" t="n"/>
      <c r="W81" s="4488" t="n"/>
      <c r="X81" s="4488" t="n"/>
      <c r="Y81" s="4488" t="n"/>
      <c r="Z81" s="4488" t="n"/>
      <c r="AA81" s="4488" t="n"/>
      <c r="AB81" s="4488" t="n"/>
      <c r="AC81" s="4488" t="n"/>
      <c r="AD81" s="4488" t="n"/>
    </row>
    <row r="82" ht="21" customHeight="1">
      <c r="H82" s="4488" t="n"/>
      <c r="I82" s="4488" t="n"/>
      <c r="J82" s="4488" t="n"/>
      <c r="K82" s="4488" t="n"/>
      <c r="L82" s="4488" t="n"/>
      <c r="M82" s="4488" t="n"/>
      <c r="N82" s="4488" t="n"/>
      <c r="O82" s="4488" t="n"/>
      <c r="P82" s="4488" t="n"/>
      <c r="Q82" s="4488" t="n"/>
      <c r="R82" s="4488" t="n"/>
      <c r="S82" s="4488" t="n"/>
      <c r="T82" s="4488" t="n"/>
      <c r="U82" s="4488" t="n"/>
      <c r="V82" s="4488" t="n"/>
      <c r="W82" s="4488" t="n"/>
      <c r="X82" s="4488" t="n"/>
      <c r="Y82" s="4488" t="n"/>
      <c r="Z82" s="4488" t="n"/>
      <c r="AA82" s="4488" t="n"/>
      <c r="AB82" s="4488" t="n"/>
      <c r="AC82" s="4488" t="n"/>
      <c r="AD82" s="4488" t="n"/>
    </row>
    <row r="83" ht="21" customHeight="1">
      <c r="H83" s="4488" t="n"/>
      <c r="I83" s="4488" t="n"/>
      <c r="J83" s="4488" t="n"/>
      <c r="K83" s="4488" t="n"/>
      <c r="L83" s="4488" t="n"/>
      <c r="M83" s="4488" t="n"/>
      <c r="N83" s="4488" t="n"/>
      <c r="O83" s="4488" t="n"/>
      <c r="P83" s="4488" t="n"/>
      <c r="Q83" s="4488" t="n"/>
      <c r="R83" s="4488" t="n"/>
      <c r="S83" s="4488" t="n"/>
      <c r="T83" s="4488" t="n"/>
      <c r="U83" s="4488" t="n"/>
      <c r="V83" s="4488" t="n"/>
      <c r="W83" s="4488" t="n"/>
      <c r="X83" s="4488" t="n"/>
      <c r="Y83" s="4488" t="n"/>
      <c r="Z83" s="4488" t="n"/>
      <c r="AA83" s="4488" t="n"/>
      <c r="AB83" s="4488" t="n"/>
      <c r="AC83" s="4488" t="n"/>
      <c r="AD83" s="4488" t="n"/>
    </row>
    <row r="84" ht="21" customHeight="1">
      <c r="B84" t="inlineStr">
        <is>
          <t>Artisanal fishing</t>
        </is>
      </c>
      <c r="H84" s="4488" t="n"/>
      <c r="I84" s="4488" t="n"/>
      <c r="J84" s="4488" t="n"/>
      <c r="K84" s="4488" t="n"/>
      <c r="L84" s="4488" t="n"/>
      <c r="M84" s="4488" t="n"/>
      <c r="N84" s="4488" t="n"/>
      <c r="O84" s="4488" t="n"/>
      <c r="P84" s="4488" t="n"/>
      <c r="Q84" s="4488" t="n"/>
      <c r="R84" s="4488" t="n"/>
      <c r="S84" s="4488" t="n"/>
      <c r="T84" s="4488" t="n"/>
      <c r="U84" s="4488" t="n"/>
      <c r="V84" s="4488" t="n"/>
      <c r="W84" s="4488" t="n"/>
      <c r="X84" s="4488" t="n"/>
      <c r="Y84" s="4488" t="n"/>
      <c r="Z84" s="4488" t="n"/>
      <c r="AA84" s="4488" t="n"/>
      <c r="AB84" s="4488" t="n"/>
      <c r="AC84" s="4488" t="n"/>
      <c r="AD84" s="4488" t="n"/>
    </row>
    <row r="85" ht="21" customHeight="1">
      <c r="B85" s="1604" t="inlineStr">
        <is>
          <t>AVerage catch per year / region (kg)</t>
        </is>
      </c>
      <c r="C85" s="4512" t="inlineStr">
        <is>
          <t>MAIO</t>
        </is>
      </c>
      <c r="D85" s="4512" t="inlineStr">
        <is>
          <t>FOGO</t>
        </is>
      </c>
      <c r="E85" s="4512" t="inlineStr">
        <is>
          <t>BRAVA</t>
        </is>
      </c>
      <c r="F85" s="4512" t="inlineStr">
        <is>
          <t>Total (tonnes)</t>
        </is>
      </c>
      <c r="H85" s="4488" t="n"/>
      <c r="I85" s="4488" t="n"/>
      <c r="J85" s="4488" t="n"/>
      <c r="K85" s="4488" t="n"/>
      <c r="L85" s="4488" t="n"/>
      <c r="M85" s="4488" t="n"/>
      <c r="N85" s="4488" t="n"/>
      <c r="O85" s="4488" t="n"/>
      <c r="P85" s="4488" t="n"/>
      <c r="Q85" s="4488" t="n"/>
      <c r="R85" s="4488" t="n"/>
      <c r="S85" s="4488" t="n"/>
      <c r="T85" s="4488" t="n"/>
      <c r="U85" s="4488" t="n"/>
      <c r="V85" s="4488" t="n"/>
      <c r="W85" s="4488" t="n"/>
      <c r="X85" s="4488" t="n"/>
      <c r="Y85" s="4488" t="n"/>
      <c r="Z85" s="4488" t="n"/>
    </row>
    <row r="86" ht="21" customHeight="1">
      <c r="B86" s="4517" t="n">
        <v>2004</v>
      </c>
      <c r="C86" s="4518" t="n">
        <v>398595</v>
      </c>
      <c r="D86" s="4519" t="n">
        <v>265749</v>
      </c>
      <c r="E86" s="4519" t="n">
        <v>361837</v>
      </c>
      <c r="F86">
        <f>SUM(C86:E86)/1000</f>
        <v/>
      </c>
      <c r="H86" s="4488" t="n"/>
      <c r="I86" s="4488" t="n"/>
      <c r="J86" s="4488" t="n"/>
      <c r="K86" s="4488" t="n"/>
      <c r="L86" s="4488" t="n"/>
      <c r="M86" s="4488" t="n"/>
      <c r="N86" s="4488" t="n"/>
      <c r="O86" s="4488" t="n"/>
      <c r="P86" s="4488" t="n"/>
      <c r="Q86" s="4488" t="n"/>
      <c r="R86" s="4488" t="n"/>
      <c r="S86" s="4488" t="n"/>
      <c r="T86" s="4488" t="n"/>
      <c r="U86" s="4488" t="n"/>
      <c r="V86" s="4488" t="n"/>
      <c r="W86" s="4488" t="n"/>
      <c r="X86" s="4488" t="n"/>
      <c r="Y86" s="4488" t="n"/>
      <c r="Z86" s="4488" t="n"/>
    </row>
    <row r="87" ht="21" customHeight="1">
      <c r="B87" t="n">
        <v>2005</v>
      </c>
      <c r="C87" s="4519" t="n">
        <v>446729</v>
      </c>
      <c r="D87" s="4519" t="n">
        <v>176462</v>
      </c>
      <c r="E87" s="4519" t="n">
        <v>325681</v>
      </c>
      <c r="F87">
        <f>SUM(C87:E87)/1000</f>
        <v/>
      </c>
      <c r="H87" s="4488" t="n"/>
      <c r="I87" s="4488" t="n"/>
      <c r="J87" s="4488" t="n"/>
      <c r="K87" s="4488" t="n"/>
      <c r="L87" s="4488" t="n"/>
      <c r="M87" s="4488" t="n"/>
      <c r="N87" s="4488" t="n"/>
      <c r="O87" s="4488" t="n"/>
      <c r="P87" s="4488" t="n"/>
      <c r="Q87" s="4488" t="n"/>
      <c r="R87" s="4488" t="n"/>
      <c r="S87" s="4488" t="n"/>
      <c r="T87" s="4488" t="n"/>
      <c r="U87" s="4488" t="n"/>
      <c r="V87" s="4488" t="n"/>
      <c r="W87" s="4488" t="n"/>
      <c r="X87" s="4488" t="n"/>
      <c r="Y87" s="4488" t="n"/>
      <c r="Z87" s="4488" t="n"/>
    </row>
    <row r="88" ht="21" customHeight="1">
      <c r="B88" s="4517" t="n">
        <v>2006</v>
      </c>
      <c r="C88" s="4521" t="inlineStr">
        <is>
          <t>512643</t>
        </is>
      </c>
      <c r="D88" s="4519" t="n">
        <v>179818</v>
      </c>
      <c r="E88" s="4519" t="n">
        <v>447340</v>
      </c>
      <c r="F88">
        <f>SUM(C88:E88)/1000</f>
        <v/>
      </c>
      <c r="H88" s="4488" t="n"/>
      <c r="I88" s="4488" t="n"/>
      <c r="J88" s="4488" t="n"/>
      <c r="K88" s="4488" t="n"/>
      <c r="L88" s="4488" t="n"/>
      <c r="M88" s="4488" t="n"/>
      <c r="N88" s="4488" t="n"/>
      <c r="O88" s="4488" t="n"/>
      <c r="P88" s="4488" t="n"/>
      <c r="Q88" s="4488" t="n"/>
      <c r="R88" s="4488" t="n"/>
      <c r="S88" s="4488" t="n"/>
      <c r="T88" s="4488" t="n"/>
      <c r="U88" s="4488" t="n"/>
      <c r="V88" s="4488" t="n"/>
      <c r="W88" s="4488" t="n"/>
      <c r="X88" s="4488" t="n"/>
      <c r="Y88" s="4488" t="n"/>
      <c r="Z88" s="4488" t="n"/>
    </row>
    <row r="89" ht="21" customHeight="1">
      <c r="B89" t="n">
        <v>2007</v>
      </c>
      <c r="C89" s="4519" t="n">
        <v>539541</v>
      </c>
      <c r="D89" s="4519" t="n">
        <v>228693</v>
      </c>
      <c r="E89" s="4519" t="n">
        <v>288769</v>
      </c>
      <c r="F89">
        <f>SUM(C89:E89)/1000</f>
        <v/>
      </c>
      <c r="H89" s="4488" t="n"/>
      <c r="I89" s="4488" t="n"/>
      <c r="J89" s="4488" t="n"/>
      <c r="K89" s="4488" t="n"/>
      <c r="L89" s="4488" t="n"/>
      <c r="M89" s="4488" t="n"/>
      <c r="N89" s="4488" t="n"/>
      <c r="O89" s="4488" t="n"/>
      <c r="P89" s="4488" t="n"/>
      <c r="Q89" s="4488" t="n"/>
      <c r="R89" s="4488" t="n"/>
      <c r="S89" s="4488" t="n"/>
      <c r="T89" s="4488" t="n"/>
      <c r="U89" s="4488" t="n"/>
      <c r="V89" s="4488" t="n"/>
      <c r="W89" s="4488" t="n"/>
      <c r="X89" s="4488" t="n"/>
      <c r="Y89" s="4488" t="n"/>
      <c r="Z89" s="4488" t="n"/>
    </row>
    <row r="90" ht="21" customHeight="1">
      <c r="B90" s="4517" t="n">
        <v>2008</v>
      </c>
      <c r="C90" s="4519" t="n">
        <v>539114</v>
      </c>
      <c r="D90" s="4519" t="n">
        <v>154729</v>
      </c>
      <c r="E90" s="4519" t="n">
        <v>235825</v>
      </c>
      <c r="F90">
        <f>SUM(C90:E90)/1000</f>
        <v/>
      </c>
      <c r="H90" s="4488" t="n"/>
      <c r="I90" s="4488" t="n"/>
      <c r="J90" s="4488" t="n"/>
      <c r="K90" s="4488" t="n"/>
      <c r="L90" s="4488" t="n"/>
      <c r="M90" s="4488" t="n"/>
      <c r="N90" s="4488" t="n"/>
      <c r="O90" s="4488" t="n"/>
      <c r="P90" s="4488" t="n"/>
      <c r="Q90" s="4488" t="n"/>
      <c r="R90" s="4488" t="n"/>
      <c r="S90" s="4488" t="n"/>
      <c r="T90" s="4488" t="n"/>
      <c r="U90" s="4488" t="n"/>
      <c r="V90" s="4488" t="n"/>
      <c r="W90" s="4488" t="n"/>
      <c r="X90" s="4488" t="n"/>
      <c r="Y90" s="4488" t="n"/>
      <c r="Z90" s="4488" t="n"/>
    </row>
    <row r="91" ht="21" customHeight="1">
      <c r="B91" t="n">
        <v>2009</v>
      </c>
      <c r="C91" s="4519" t="n">
        <v>586822</v>
      </c>
      <c r="D91" s="4519" t="n">
        <v>173353</v>
      </c>
      <c r="E91" s="4519" t="n">
        <v>239409</v>
      </c>
      <c r="F91">
        <f>SUM(C91:E91)/1000</f>
        <v/>
      </c>
      <c r="H91" s="4488" t="n"/>
      <c r="I91" s="4488" t="n"/>
      <c r="J91" s="4488" t="n"/>
      <c r="K91" s="4488" t="n"/>
      <c r="L91" s="4488" t="n"/>
      <c r="M91" s="4488" t="n"/>
      <c r="N91" s="4488" t="n"/>
      <c r="O91" s="4488" t="n"/>
      <c r="P91" s="4488" t="n"/>
      <c r="Q91" s="4488" t="n"/>
      <c r="R91" s="4488" t="n"/>
      <c r="S91" s="4488" t="n"/>
      <c r="T91" s="4488" t="n"/>
      <c r="U91" s="4488" t="n"/>
      <c r="V91" s="4488" t="n"/>
      <c r="W91" s="4488" t="n"/>
      <c r="X91" s="4488" t="n"/>
      <c r="Y91" s="4488" t="n"/>
      <c r="Z91" s="4488" t="n"/>
    </row>
    <row r="92" ht="21" customHeight="1">
      <c r="B92" s="4517" t="n">
        <v>2010</v>
      </c>
      <c r="C92" s="4519" t="n">
        <v>549162</v>
      </c>
      <c r="D92" s="4519" t="n">
        <v>218962</v>
      </c>
      <c r="E92" s="4519" t="n">
        <v>237987</v>
      </c>
      <c r="F92">
        <f>SUM(C92:E92)/1000</f>
        <v/>
      </c>
      <c r="H92" s="4488" t="n"/>
      <c r="I92" s="4488" t="n"/>
      <c r="J92" s="4488" t="n"/>
      <c r="K92" s="4488" t="n"/>
      <c r="L92" s="4488" t="n"/>
      <c r="M92" s="4488" t="n"/>
      <c r="N92" s="4488" t="n"/>
      <c r="O92" s="4488" t="n"/>
      <c r="P92" s="4488" t="n"/>
      <c r="Q92" s="4488" t="n"/>
      <c r="R92" s="4488" t="n"/>
      <c r="S92" s="4488" t="n"/>
      <c r="T92" s="4488" t="n"/>
      <c r="U92" s="4488" t="n"/>
      <c r="V92" s="4488" t="n"/>
      <c r="W92" s="4488" t="n"/>
      <c r="X92" s="4488" t="n"/>
      <c r="Y92" s="4488" t="n"/>
      <c r="Z92" s="4488" t="n"/>
    </row>
    <row r="93" ht="21" customHeight="1">
      <c r="B93" t="n">
        <v>2011</v>
      </c>
      <c r="C93" s="4519" t="n">
        <v>676668</v>
      </c>
      <c r="D93" s="4519" t="n">
        <v>194133</v>
      </c>
      <c r="E93" s="4519" t="n">
        <v>288906</v>
      </c>
      <c r="F93">
        <f>SUM(C93:E93)/1000</f>
        <v/>
      </c>
      <c r="H93" s="4488" t="n"/>
      <c r="I93" s="4488" t="n"/>
      <c r="J93" s="4488" t="n"/>
      <c r="K93" s="4488" t="n"/>
      <c r="L93" s="4488" t="n"/>
      <c r="M93" s="4488" t="n"/>
      <c r="N93" s="4488" t="n"/>
      <c r="O93" s="4488" t="n"/>
      <c r="P93" s="4488" t="n"/>
      <c r="Q93" s="4488" t="n"/>
      <c r="R93" s="4488" t="n"/>
      <c r="S93" s="4488" t="n"/>
      <c r="T93" s="4488" t="n"/>
      <c r="U93" s="4488" t="n"/>
      <c r="V93" s="4488" t="n"/>
      <c r="W93" s="4488" t="n"/>
      <c r="X93" s="4488" t="n"/>
      <c r="Y93" s="4488" t="n"/>
      <c r="Z93" s="4488" t="n"/>
    </row>
    <row r="94" ht="21" customHeight="1">
      <c r="B94" s="4517" t="n">
        <v>2012</v>
      </c>
      <c r="C94" s="4519" t="n">
        <v>833643</v>
      </c>
      <c r="D94" s="4519" t="n">
        <v>198648</v>
      </c>
      <c r="E94" s="4519" t="n">
        <v>263505</v>
      </c>
      <c r="F94">
        <f>SUM(C94:E94)/1000</f>
        <v/>
      </c>
      <c r="H94" s="4488" t="n"/>
      <c r="I94" s="4488" t="n"/>
      <c r="J94" s="4488" t="n"/>
      <c r="K94" s="4488" t="n"/>
      <c r="L94" s="4488" t="n"/>
      <c r="M94" s="4488" t="n"/>
      <c r="N94" s="4488" t="n"/>
      <c r="O94" s="4488" t="n"/>
      <c r="P94" s="4488" t="n"/>
      <c r="Q94" s="4488" t="n"/>
      <c r="R94" s="4488" t="n"/>
      <c r="S94" s="4488" t="n"/>
      <c r="T94" s="4488" t="n"/>
      <c r="U94" s="4488" t="n"/>
      <c r="V94" s="4488" t="n"/>
      <c r="W94" s="4488" t="n"/>
      <c r="X94" s="4488" t="n"/>
      <c r="Y94" s="4488" t="n"/>
      <c r="Z94" s="4488" t="n"/>
    </row>
    <row r="95" ht="21" customHeight="1">
      <c r="B95" t="n">
        <v>2013</v>
      </c>
      <c r="C95" s="4519" t="n">
        <v>525843</v>
      </c>
      <c r="D95" s="4519" t="n">
        <v>241286</v>
      </c>
      <c r="E95" s="4519" t="n">
        <v>132857</v>
      </c>
      <c r="F95">
        <f>SUM(C95:E95)/1000</f>
        <v/>
      </c>
      <c r="H95" s="4488" t="n"/>
      <c r="I95" s="4488" t="n"/>
      <c r="J95" s="4488" t="n"/>
      <c r="K95" s="4488" t="n"/>
      <c r="L95" s="4488" t="n"/>
      <c r="M95" s="4488" t="n"/>
      <c r="N95" s="4488" t="n"/>
      <c r="O95" s="4488" t="n"/>
      <c r="P95" s="4488" t="n"/>
      <c r="Q95" s="4488" t="n"/>
      <c r="R95" s="4488" t="n"/>
      <c r="S95" s="4488" t="n"/>
      <c r="T95" s="4488" t="n"/>
      <c r="U95" s="4488" t="n"/>
      <c r="V95" s="4488" t="n"/>
      <c r="W95" s="4488" t="n"/>
      <c r="X95" s="4488" t="n"/>
      <c r="Y95" s="4488" t="n"/>
      <c r="Z95" s="4488" t="n"/>
    </row>
    <row r="96" ht="21" customHeight="1">
      <c r="B96" s="4517" t="n">
        <v>2014</v>
      </c>
      <c r="C96" s="4519" t="n">
        <v>489971</v>
      </c>
      <c r="D96" s="4519" t="n">
        <v>321077</v>
      </c>
      <c r="E96" s="4519" t="n">
        <v>192071</v>
      </c>
      <c r="F96">
        <f>SUM(C96:E96)/1000</f>
        <v/>
      </c>
      <c r="H96" s="4488" t="n"/>
      <c r="I96" s="4488" t="n"/>
      <c r="J96" s="4488" t="n"/>
      <c r="K96" s="4488" t="n"/>
      <c r="L96" s="4488" t="n"/>
      <c r="M96" s="4488" t="n"/>
      <c r="N96" s="4488" t="n"/>
      <c r="O96" s="4488" t="n"/>
      <c r="P96" s="4488" t="n"/>
      <c r="Q96" s="4488" t="n"/>
      <c r="R96" s="4488" t="n"/>
      <c r="S96" s="4488" t="n"/>
      <c r="T96" s="4488" t="n"/>
      <c r="U96" s="4488" t="n"/>
      <c r="V96" s="4488" t="n"/>
      <c r="W96" s="4488" t="n"/>
      <c r="X96" s="4488" t="n"/>
      <c r="Y96" s="4488" t="n"/>
      <c r="Z96" s="4488" t="n"/>
    </row>
    <row r="97" ht="21" customHeight="1">
      <c r="B97" t="n">
        <v>2015</v>
      </c>
      <c r="C97" s="4519" t="n">
        <v>604810</v>
      </c>
      <c r="D97" s="4519" t="n">
        <v>450526</v>
      </c>
      <c r="E97" s="4519" t="n">
        <v>233391</v>
      </c>
      <c r="F97">
        <f>SUM(C97:E97)/1000</f>
        <v/>
      </c>
      <c r="H97" s="4488" t="n"/>
      <c r="I97" s="4488" t="n"/>
      <c r="J97" s="4488" t="n"/>
      <c r="K97" s="4488" t="n"/>
      <c r="L97" s="4488" t="n"/>
      <c r="M97" s="4488" t="n"/>
      <c r="N97" s="4488" t="n"/>
      <c r="O97" s="4488" t="n"/>
      <c r="P97" s="4488" t="n"/>
      <c r="Q97" s="4488" t="n"/>
      <c r="R97" s="4488" t="n"/>
      <c r="S97" s="4488" t="n"/>
      <c r="T97" s="4488" t="n"/>
      <c r="U97" s="4488" t="n"/>
      <c r="V97" s="4488" t="n"/>
      <c r="W97" s="4488" t="n"/>
      <c r="X97" s="4488" t="n"/>
      <c r="Y97" s="4488" t="n"/>
      <c r="Z97" s="4488" t="n"/>
    </row>
    <row r="98" ht="21" customHeight="1">
      <c r="B98" s="4517" t="n">
        <v>2016</v>
      </c>
      <c r="C98" s="4519" t="n">
        <v>601030</v>
      </c>
      <c r="D98" s="4519" t="n">
        <v>257538</v>
      </c>
      <c r="E98" s="4519" t="n">
        <v>153241</v>
      </c>
      <c r="F98">
        <f>SUM(C98:E98)/1000</f>
        <v/>
      </c>
      <c r="H98" s="4488" t="n"/>
      <c r="I98" s="4488" t="n"/>
      <c r="J98" s="4488" t="n"/>
      <c r="K98" s="4488" t="n"/>
      <c r="L98" s="4488" t="n"/>
      <c r="M98" s="4488" t="n"/>
      <c r="N98" s="4488" t="n"/>
      <c r="O98" s="4488" t="n"/>
      <c r="P98" s="4488" t="n"/>
      <c r="Q98" s="4488" t="n"/>
      <c r="R98" s="4488" t="n"/>
      <c r="S98" s="4488" t="n"/>
      <c r="T98" s="4488" t="n"/>
      <c r="U98" s="4488" t="n"/>
      <c r="V98" s="4488" t="n"/>
      <c r="W98" s="4488" t="n"/>
      <c r="X98" s="4488" t="n"/>
      <c r="Y98" s="4488" t="n"/>
      <c r="Z98" s="4488" t="n"/>
    </row>
    <row r="99" ht="21" customHeight="1">
      <c r="B99" t="n">
        <v>2017</v>
      </c>
      <c r="C99" s="4519" t="n">
        <v>675877</v>
      </c>
      <c r="D99" s="4519" t="n">
        <v>143584</v>
      </c>
      <c r="E99" s="4519" t="n">
        <v>297902</v>
      </c>
      <c r="F99">
        <f>SUM(C99:E99)/1000</f>
        <v/>
      </c>
      <c r="H99" s="4488" t="n"/>
      <c r="I99" s="4488" t="n"/>
      <c r="J99" s="4488" t="n"/>
      <c r="K99" s="4488" t="n"/>
      <c r="L99" s="4488" t="n"/>
      <c r="M99" s="4488" t="n"/>
      <c r="N99" s="4488" t="n"/>
      <c r="O99" s="4488" t="n"/>
      <c r="P99" s="4488" t="n"/>
      <c r="Q99" s="4488" t="n"/>
      <c r="R99" s="4488" t="n"/>
      <c r="S99" s="4488" t="n"/>
      <c r="T99" s="4488" t="n"/>
      <c r="U99" s="4488" t="n"/>
      <c r="V99" s="4488" t="n"/>
      <c r="W99" s="4488" t="n"/>
      <c r="X99" s="4488" t="n"/>
      <c r="Y99" s="4488" t="n"/>
      <c r="Z99" s="4488" t="n"/>
    </row>
    <row r="100" ht="21" customHeight="1">
      <c r="B100" s="4517" t="n">
        <v>2018</v>
      </c>
      <c r="C100" s="4519" t="n">
        <v>381411</v>
      </c>
      <c r="D100" s="4519" t="n">
        <v>97632</v>
      </c>
      <c r="E100" s="4519" t="n">
        <v>160998</v>
      </c>
      <c r="F100">
        <f>SUM(C100:E100)/1000</f>
        <v/>
      </c>
      <c r="G100" t="inlineStr">
        <is>
          <t>Highest amout caught</t>
        </is>
      </c>
      <c r="H100" s="4488" t="n"/>
      <c r="I100" s="4488" t="n"/>
      <c r="J100" s="4488" t="n"/>
      <c r="K100" s="4488" t="n"/>
      <c r="L100" s="4488" t="n"/>
      <c r="M100" s="4488" t="n"/>
      <c r="N100" s="4488" t="n"/>
      <c r="O100" s="4488" t="n"/>
      <c r="P100" s="4488" t="n"/>
      <c r="Q100" s="4488" t="n"/>
      <c r="R100" s="4488" t="n"/>
      <c r="S100" s="4488" t="n"/>
      <c r="T100" s="4488" t="n"/>
      <c r="U100" s="4488" t="n"/>
      <c r="V100" s="4488" t="n"/>
      <c r="W100" s="4488" t="n"/>
      <c r="X100" s="4488" t="n"/>
      <c r="Y100" s="4488" t="n"/>
      <c r="Z100" s="4488" t="n"/>
    </row>
    <row r="101" ht="21" customHeight="1">
      <c r="B101" s="4516" t="inlineStr">
        <is>
          <t>Average catch from 2004-2019 (Tonnes)</t>
        </is>
      </c>
      <c r="C101" s="4520">
        <f>AVERAGE(C86:C100)/1000</f>
        <v/>
      </c>
      <c r="D101" s="4520">
        <f>AVERAGE(D86:D100)/1000</f>
        <v/>
      </c>
      <c r="E101" s="4520">
        <f>AVERAGE(E86:E100)/1000</f>
        <v/>
      </c>
      <c r="F101" s="4515">
        <f>C101+D101+E101</f>
        <v/>
      </c>
      <c r="H101" s="4488" t="n"/>
      <c r="I101" s="4488" t="n"/>
      <c r="J101" s="4488" t="n"/>
      <c r="K101" s="4488" t="n"/>
      <c r="L101" s="4488" t="n"/>
      <c r="M101" s="4488" t="n"/>
      <c r="N101" s="4488" t="n"/>
      <c r="O101" s="4488" t="n"/>
      <c r="P101" s="4488" t="n"/>
      <c r="Q101" s="4488" t="n"/>
      <c r="R101" s="4488" t="n"/>
      <c r="S101" s="4488" t="n"/>
      <c r="T101" s="4488" t="n"/>
      <c r="U101" s="4488" t="n"/>
      <c r="V101" s="4488" t="n"/>
      <c r="W101" s="4488" t="n"/>
      <c r="X101" s="4488" t="n"/>
      <c r="Y101" s="4488" t="n"/>
      <c r="Z101" s="4488" t="n"/>
    </row>
    <row r="102" ht="21" customHeight="1">
      <c r="B102" s="4488" t="n"/>
      <c r="C102" s="4488" t="n"/>
      <c r="D102" s="4488" t="n"/>
      <c r="E102" s="4488" t="n"/>
      <c r="F102" s="4488" t="n"/>
      <c r="G102" s="4488" t="n"/>
      <c r="H102" s="4488" t="n"/>
      <c r="I102" s="4488" t="n"/>
      <c r="J102" s="4488" t="n"/>
      <c r="K102" s="4488" t="n"/>
      <c r="L102" s="4488" t="n"/>
      <c r="M102" s="4488" t="n"/>
      <c r="N102" s="4488" t="n"/>
      <c r="O102" s="4488" t="n"/>
      <c r="P102" s="4488" t="n"/>
      <c r="Q102" s="4488" t="n"/>
      <c r="R102" s="4488" t="n"/>
      <c r="S102" s="4488" t="n"/>
      <c r="T102" s="4488" t="n"/>
      <c r="U102" s="4488" t="n"/>
      <c r="V102" s="4488" t="n"/>
      <c r="W102" s="4488" t="n"/>
      <c r="X102" s="4488" t="n"/>
      <c r="Y102" s="4488" t="n"/>
      <c r="Z102" s="4488" t="n"/>
      <c r="AA102" s="4488" t="n"/>
      <c r="AB102" s="4488" t="n"/>
      <c r="AC102" s="4488" t="n"/>
      <c r="AD102" s="4488" t="n"/>
    </row>
    <row r="103" ht="21" customHeight="1">
      <c r="B103" s="4488" t="n"/>
      <c r="C103" s="4488" t="n"/>
      <c r="D103" s="4488" t="n"/>
      <c r="E103" s="4488" t="n"/>
      <c r="F103" s="4488" t="n"/>
      <c r="G103" s="4488" t="n"/>
      <c r="H103" s="4488" t="n"/>
      <c r="I103" s="4488" t="n"/>
      <c r="J103" s="4488" t="n"/>
      <c r="K103" s="4488" t="n"/>
      <c r="L103" s="4488" t="n"/>
      <c r="M103" s="4488" t="n"/>
      <c r="N103" s="4488" t="n"/>
      <c r="O103" s="4488" t="n"/>
      <c r="P103" s="4488" t="n"/>
      <c r="Q103" s="4488" t="n"/>
      <c r="R103" s="4488" t="n"/>
      <c r="S103" s="4488" t="n"/>
      <c r="T103" s="4488" t="n"/>
      <c r="U103" s="4488" t="n"/>
      <c r="V103" s="4488" t="n"/>
      <c r="W103" s="4488" t="n"/>
      <c r="X103" s="4488" t="n"/>
      <c r="Y103" s="4488" t="n"/>
      <c r="Z103" s="4488" t="n"/>
      <c r="AA103" s="4488" t="n"/>
      <c r="AB103" s="4488" t="n"/>
      <c r="AC103" s="4488" t="n"/>
      <c r="AD103" s="4488" t="n"/>
    </row>
    <row r="104" ht="21" customHeight="1">
      <c r="B104" s="4488" t="n"/>
      <c r="C104" s="4488" t="n"/>
      <c r="D104" s="4488" t="n"/>
      <c r="E104" s="4488" t="n"/>
      <c r="F104" s="4488" t="n"/>
      <c r="G104" s="4488" t="n"/>
      <c r="H104" s="4488" t="n"/>
      <c r="I104" s="4488" t="n"/>
      <c r="J104" s="4488" t="n"/>
      <c r="K104" s="4488" t="n"/>
      <c r="L104" s="4488" t="n"/>
      <c r="M104" s="4488" t="n"/>
      <c r="N104" s="4488" t="n"/>
      <c r="O104" s="4488" t="n"/>
      <c r="P104" s="4488" t="n"/>
      <c r="Q104" s="4488" t="n"/>
      <c r="R104" s="4488" t="n"/>
      <c r="S104" s="4488" t="n"/>
      <c r="T104" s="4488" t="n"/>
      <c r="U104" s="4488" t="n"/>
      <c r="V104" s="4488" t="n"/>
      <c r="W104" s="4488" t="n"/>
      <c r="X104" s="4488" t="n"/>
      <c r="Y104" s="4488" t="n"/>
      <c r="Z104" s="4488" t="n"/>
      <c r="AA104" s="4488" t="n"/>
      <c r="AB104" s="4488" t="n"/>
      <c r="AC104" s="4488" t="n"/>
      <c r="AD104" s="4488" t="n"/>
    </row>
    <row r="105" ht="21" customHeight="1">
      <c r="B105" s="4488" t="n"/>
      <c r="C105" s="4488" t="n"/>
      <c r="D105" s="4488" t="n"/>
      <c r="E105" s="4488" t="n"/>
      <c r="F105" s="4488" t="n"/>
      <c r="G105" s="4488" t="n"/>
      <c r="H105" s="4488" t="n"/>
      <c r="I105" s="4488" t="n"/>
      <c r="J105" s="4488" t="n"/>
      <c r="K105" s="4488" t="n"/>
      <c r="L105" s="4488" t="n"/>
      <c r="M105" s="4488" t="n"/>
      <c r="N105" s="4488" t="n"/>
      <c r="O105" s="4488" t="n"/>
      <c r="P105" s="4488" t="n"/>
      <c r="Q105" s="4488" t="n"/>
      <c r="R105" s="4488" t="n"/>
      <c r="S105" s="4488" t="n"/>
      <c r="T105" s="4488" t="n"/>
      <c r="U105" s="4488" t="n"/>
      <c r="V105" s="4488" t="n"/>
      <c r="W105" s="4488" t="n"/>
      <c r="X105" s="4488" t="n"/>
      <c r="Y105" s="4488" t="n"/>
      <c r="Z105" s="4488" t="n"/>
      <c r="AA105" s="4488" t="n"/>
      <c r="AB105" s="4488" t="n"/>
      <c r="AC105" s="4488" t="n"/>
      <c r="AD105" s="4488" t="n"/>
    </row>
    <row r="106" ht="21" customHeight="1">
      <c r="B106" s="4488" t="n"/>
      <c r="C106" s="4488" t="n"/>
      <c r="D106" s="4488" t="n"/>
      <c r="E106" s="4488" t="n"/>
      <c r="F106" s="4488" t="n"/>
      <c r="G106" s="4488" t="n"/>
      <c r="H106" s="4488" t="n"/>
      <c r="I106" s="4488" t="n"/>
      <c r="J106" s="4488" t="n"/>
      <c r="K106" s="4488" t="n"/>
      <c r="L106" s="4488" t="n"/>
      <c r="M106" s="4488" t="n"/>
      <c r="N106" s="4488" t="n"/>
      <c r="O106" s="4488" t="n"/>
      <c r="P106" s="4488" t="n"/>
      <c r="Q106" s="4488" t="n"/>
      <c r="R106" s="4488" t="n"/>
      <c r="S106" s="4488" t="n"/>
      <c r="T106" s="4488" t="n"/>
      <c r="U106" s="4488" t="n"/>
      <c r="V106" s="4488" t="n"/>
      <c r="W106" s="4488" t="n"/>
      <c r="X106" s="4488" t="n"/>
      <c r="Y106" s="4488" t="n"/>
      <c r="Z106" s="4488" t="n"/>
      <c r="AA106" s="4488" t="n"/>
      <c r="AB106" s="4488" t="n"/>
      <c r="AC106" s="4488" t="n"/>
      <c r="AD106" s="4488" t="n"/>
    </row>
    <row r="107" ht="21" customHeight="1">
      <c r="B107" s="4488" t="n"/>
      <c r="C107" s="4488" t="n"/>
      <c r="D107" s="4488" t="n"/>
      <c r="E107" s="4488" t="n"/>
      <c r="F107" s="4488" t="n"/>
      <c r="G107" s="4488" t="n"/>
      <c r="H107" s="4488" t="n"/>
      <c r="I107" s="4488" t="n"/>
      <c r="J107" s="4488" t="n"/>
      <c r="K107" s="4488" t="n"/>
      <c r="L107" s="4488" t="n"/>
      <c r="M107" s="4488" t="n"/>
      <c r="N107" s="4488" t="n"/>
      <c r="O107" s="4488" t="n"/>
      <c r="P107" s="4488" t="n"/>
      <c r="Q107" s="4488" t="n"/>
      <c r="R107" s="4488" t="n"/>
      <c r="S107" s="4488" t="n"/>
      <c r="T107" s="4488" t="n"/>
      <c r="U107" s="4488" t="n"/>
      <c r="V107" s="4488" t="n"/>
      <c r="W107" s="4488" t="n"/>
      <c r="X107" s="4488" t="n"/>
      <c r="Y107" s="4488" t="n"/>
      <c r="Z107" s="4488" t="n"/>
      <c r="AA107" s="4488" t="n"/>
      <c r="AB107" s="4488" t="n"/>
      <c r="AC107" s="4488" t="n"/>
      <c r="AD107" s="4488" t="n"/>
    </row>
    <row r="108" ht="21" customHeight="1">
      <c r="B108" s="4488" t="inlineStr">
        <is>
          <t>Semi industrial fishing</t>
        </is>
      </c>
      <c r="C108" s="4488" t="n"/>
      <c r="D108" s="4488" t="n"/>
      <c r="E108" s="4488" t="n"/>
      <c r="F108" s="4488" t="n"/>
      <c r="G108" s="4488" t="n"/>
      <c r="H108" s="4488" t="n"/>
      <c r="I108" s="4488" t="n"/>
      <c r="J108" s="4488" t="n"/>
      <c r="K108" s="4488" t="n"/>
      <c r="L108" s="4488" t="n"/>
      <c r="M108" s="4488" t="n"/>
      <c r="N108" s="4488" t="n"/>
      <c r="O108" s="4488" t="n"/>
      <c r="P108" s="4488" t="n"/>
      <c r="Q108" s="4488" t="n"/>
      <c r="R108" s="4488" t="n"/>
      <c r="S108" s="4488" t="n"/>
      <c r="T108" s="4488" t="n"/>
      <c r="U108" s="4488" t="n"/>
      <c r="V108" s="4488" t="n"/>
      <c r="W108" s="4488" t="n"/>
      <c r="X108" s="4488" t="n"/>
      <c r="Y108" s="4488" t="n"/>
      <c r="Z108" s="4488" t="n"/>
      <c r="AA108" s="4488" t="n"/>
      <c r="AB108" s="4488" t="n"/>
      <c r="AC108" s="4488" t="n"/>
      <c r="AD108" s="4488" t="n"/>
    </row>
    <row r="109" ht="21" customHeight="1">
      <c r="D109" s="4516" t="inlineStr">
        <is>
          <t>Average catch from 2017-2021 (Kg)</t>
        </is>
      </c>
      <c r="E109" s="4516" t="inlineStr">
        <is>
          <t>Average catch from 2017-2021 (Kg)</t>
        </is>
      </c>
      <c r="M109" s="4488" t="n"/>
      <c r="N109" s="4488" t="n"/>
      <c r="O109" s="4488" t="n"/>
      <c r="P109" s="4488" t="n"/>
      <c r="Q109" s="4488" t="n"/>
      <c r="R109" s="4488" t="n"/>
      <c r="S109" s="4488" t="n"/>
      <c r="T109" s="4488" t="n"/>
      <c r="U109" s="4488" t="n"/>
      <c r="V109" s="4488" t="n"/>
      <c r="W109" s="4488" t="n"/>
      <c r="X109" s="4488" t="n"/>
      <c r="Y109" s="4488" t="n"/>
      <c r="Z109" s="4488" t="n"/>
      <c r="AA109" s="4488" t="n"/>
      <c r="AB109" s="4488" t="n"/>
      <c r="AC109" s="4488" t="n"/>
      <c r="AD109" s="4488" t="n"/>
    </row>
    <row r="110" ht="21" customHeight="1">
      <c r="B110" s="4516" t="inlineStr">
        <is>
          <t>Average catch per year and per region (kg)</t>
        </is>
      </c>
      <c r="C110" s="4512" t="inlineStr">
        <is>
          <t>MAIO</t>
        </is>
      </c>
      <c r="D110" s="4512" t="inlineStr">
        <is>
          <t>FOGO</t>
        </is>
      </c>
      <c r="E110" s="4512" t="inlineStr">
        <is>
          <t>BRAVA</t>
        </is>
      </c>
      <c r="F110" s="4512" t="inlineStr">
        <is>
          <t>Total (tonnes)</t>
        </is>
      </c>
      <c r="G110" s="4488" t="n"/>
      <c r="H110" s="4488" t="n"/>
      <c r="I110" s="4488" t="n"/>
      <c r="J110" s="4488" t="n"/>
      <c r="K110" s="4488" t="n"/>
      <c r="L110" s="4488" t="n"/>
      <c r="M110" s="4488" t="n"/>
      <c r="N110" s="4488" t="n"/>
      <c r="O110" s="4488" t="n"/>
      <c r="P110" s="4488" t="n"/>
      <c r="Q110" s="4488" t="n"/>
      <c r="R110" s="4488" t="n"/>
      <c r="S110" s="4488" t="n"/>
      <c r="T110" s="4488" t="n"/>
      <c r="U110" s="4488" t="n"/>
      <c r="V110" s="4488" t="n"/>
    </row>
    <row r="111" ht="21" customHeight="1">
      <c r="B111" t="n">
        <v>2017</v>
      </c>
      <c r="C111" s="4522" t="n">
        <v>2693225</v>
      </c>
      <c r="D111" s="4519" t="n">
        <v>2115633</v>
      </c>
      <c r="E111" s="4523" t="n">
        <v>2418585</v>
      </c>
      <c r="F111" s="17">
        <f>SUM(C111:E111)/1000</f>
        <v/>
      </c>
      <c r="G111" s="4488" t="n"/>
      <c r="H111" s="4488" t="n"/>
      <c r="I111" s="4488" t="n"/>
      <c r="J111" s="4488" t="n"/>
      <c r="K111" s="4488" t="n"/>
      <c r="L111" s="4488" t="n"/>
      <c r="M111" s="4488" t="n"/>
      <c r="N111" s="4488" t="n"/>
      <c r="O111" s="4488" t="n"/>
      <c r="P111" s="4488" t="n"/>
      <c r="Q111" s="4488" t="n"/>
      <c r="R111" s="4488" t="n"/>
      <c r="S111" s="4488" t="n"/>
      <c r="T111" s="4488" t="n"/>
      <c r="U111" s="4488" t="n"/>
      <c r="V111" s="4488" t="n"/>
    </row>
    <row r="112" ht="21" customHeight="1">
      <c r="B112" t="n">
        <v>2018</v>
      </c>
      <c r="C112" s="4523" t="n">
        <v>7008547.5</v>
      </c>
      <c r="D112" s="4523" t="n">
        <v>6591636.5</v>
      </c>
      <c r="E112" s="4524" t="n">
        <v>6233937.5</v>
      </c>
      <c r="F112" s="17">
        <f>SUM(C112:E112)/1000</f>
        <v/>
      </c>
      <c r="G112" s="4488" t="n"/>
      <c r="H112" s="4488" t="n"/>
      <c r="I112" s="4488" t="n"/>
      <c r="J112" s="4488" t="n"/>
      <c r="K112" s="4488" t="n"/>
      <c r="L112" s="4488" t="n"/>
      <c r="M112" s="4488" t="n"/>
      <c r="N112" s="4488" t="n"/>
      <c r="O112" s="4488" t="n"/>
      <c r="P112" s="4488" t="n"/>
      <c r="Q112" s="4488" t="n"/>
      <c r="R112" s="4488" t="n"/>
      <c r="S112" s="4488" t="n"/>
      <c r="T112" s="4488" t="n"/>
      <c r="U112" s="4488" t="n"/>
      <c r="V112" s="4488" t="n"/>
    </row>
    <row r="113" ht="21" customHeight="1">
      <c r="B113" t="n">
        <v>2019</v>
      </c>
      <c r="C113" s="4524" t="n">
        <v>4770756</v>
      </c>
      <c r="D113" s="4523" t="n">
        <v>4682607</v>
      </c>
      <c r="E113" s="4523" t="n">
        <v>4287851</v>
      </c>
      <c r="F113" s="17">
        <f>SUM(C113:E113)/1000</f>
        <v/>
      </c>
      <c r="G113" s="4488" t="n"/>
      <c r="H113" s="4488" t="n"/>
      <c r="I113" s="4488" t="n"/>
      <c r="J113" s="4488" t="n"/>
      <c r="K113" s="4488" t="n"/>
      <c r="L113" s="4488" t="n"/>
      <c r="M113" s="4488" t="n"/>
      <c r="N113" s="4488" t="n"/>
      <c r="O113" s="4488" t="n"/>
      <c r="P113" s="4488" t="n"/>
      <c r="Q113" s="4488" t="n"/>
      <c r="R113" s="4488" t="n"/>
      <c r="S113" s="4488" t="n"/>
      <c r="T113" s="4488" t="n"/>
      <c r="U113" s="4488" t="n"/>
      <c r="V113" s="4488" t="n"/>
    </row>
    <row r="114" ht="21" customHeight="1">
      <c r="B114" t="n">
        <v>2020</v>
      </c>
      <c r="C114" s="4523" t="n">
        <v>5059096</v>
      </c>
      <c r="D114" s="4523" t="n">
        <v>4080040</v>
      </c>
      <c r="E114" s="4523" t="n">
        <v>5026060</v>
      </c>
      <c r="F114" s="17">
        <f>SUM(C114:E114)/1000</f>
        <v/>
      </c>
      <c r="G114" s="4488" t="n"/>
      <c r="H114" s="4488" t="n"/>
      <c r="I114" s="4488" t="n"/>
      <c r="J114" s="4488" t="n"/>
      <c r="K114" s="4488" t="n"/>
      <c r="L114" s="4488" t="n"/>
      <c r="M114" s="4488" t="n"/>
      <c r="N114" s="4488" t="n"/>
      <c r="O114" s="4488" t="n"/>
      <c r="P114" s="4488" t="n"/>
      <c r="Q114" s="4488" t="n"/>
      <c r="R114" s="4488" t="n"/>
      <c r="S114" s="4488" t="n"/>
      <c r="T114" s="4488" t="n"/>
      <c r="U114" s="4488" t="n"/>
      <c r="V114" s="4488" t="n"/>
    </row>
    <row r="115" ht="21" customHeight="1">
      <c r="B115" t="n">
        <v>2021</v>
      </c>
      <c r="C115" s="4523" t="n">
        <v>6924348</v>
      </c>
      <c r="D115" s="4523" t="n">
        <v>6533754</v>
      </c>
      <c r="E115" s="4523" t="n">
        <v>4446445</v>
      </c>
      <c r="F115" s="17">
        <f>SUM(C115:E115)/1000</f>
        <v/>
      </c>
      <c r="G115" s="4488" t="n"/>
      <c r="H115" s="4488" t="n"/>
      <c r="I115" s="4488" t="n"/>
      <c r="J115" s="4488" t="n"/>
      <c r="K115" s="4488" t="n"/>
      <c r="L115" s="4488" t="n"/>
      <c r="M115" s="4488" t="n"/>
      <c r="N115" s="4488" t="n"/>
      <c r="O115" s="4488" t="n"/>
      <c r="P115" s="4488" t="n"/>
      <c r="Q115" s="4488" t="n"/>
      <c r="R115" s="4488" t="n"/>
      <c r="S115" s="4488" t="n"/>
      <c r="T115" s="4488" t="n"/>
      <c r="U115" s="4488" t="n"/>
      <c r="V115" s="4488" t="n"/>
    </row>
    <row r="116" ht="21" customHeight="1">
      <c r="B116" s="4516" t="inlineStr">
        <is>
          <t>Total</t>
        </is>
      </c>
      <c r="C116" s="4520">
        <f>AVERAGE(C111:C115)/1000</f>
        <v/>
      </c>
      <c r="D116" s="4520">
        <f>AVERAGE(D111:D115)/1000</f>
        <v/>
      </c>
      <c r="E116" s="4520">
        <f>AVERAGE(E111:E115)/1000</f>
        <v/>
      </c>
      <c r="F116" s="17">
        <f>C116+D116+E116</f>
        <v/>
      </c>
      <c r="M116" s="4488" t="n"/>
      <c r="N116" s="4488" t="n"/>
      <c r="O116" s="4488" t="n"/>
      <c r="P116" s="4488" t="n"/>
      <c r="Q116" s="4488" t="n"/>
      <c r="R116" s="4488" t="n"/>
      <c r="S116" s="4488" t="n"/>
      <c r="T116" s="4488" t="n"/>
      <c r="U116" s="4488" t="n"/>
      <c r="V116" s="4488" t="n"/>
      <c r="W116" s="4488" t="n"/>
      <c r="X116" s="4488" t="n"/>
      <c r="Y116" s="4488" t="n"/>
      <c r="Z116" s="4488" t="n"/>
      <c r="AA116" s="4488" t="n"/>
      <c r="AB116" s="4488" t="n"/>
      <c r="AC116" s="4488" t="n"/>
      <c r="AD116" s="4488" t="n"/>
    </row>
    <row r="117" ht="21" customHeight="1">
      <c r="M117" s="4488" t="n"/>
      <c r="N117" s="4488" t="n"/>
      <c r="O117" s="4488" t="n"/>
      <c r="P117" s="4488" t="n"/>
      <c r="Q117" s="4488" t="n"/>
      <c r="R117" s="4488" t="n"/>
      <c r="S117" s="4488" t="n"/>
      <c r="T117" s="4488" t="n"/>
      <c r="U117" s="4488" t="n"/>
      <c r="V117" s="4488" t="n"/>
      <c r="W117" s="4488" t="n"/>
      <c r="X117" s="4488" t="n"/>
      <c r="Y117" s="4488" t="n"/>
      <c r="Z117" s="4488" t="n"/>
      <c r="AA117" s="4488" t="n"/>
      <c r="AB117" s="4488" t="n"/>
      <c r="AC117" s="4488" t="n"/>
      <c r="AD117" s="4488" t="n"/>
    </row>
    <row r="118" ht="21" customHeight="1">
      <c r="B118" s="1604" t="inlineStr">
        <is>
          <t>total quantiy caught (kg) with the project</t>
        </is>
      </c>
      <c r="C118" s="1604" t="n"/>
      <c r="D118" s="1604" t="n"/>
      <c r="E118" s="1604" t="n"/>
      <c r="F118" s="4515">
        <f>F116*1.75</f>
        <v/>
      </c>
      <c r="G118" s="1604" t="inlineStr">
        <is>
          <t>Assuming that the quantity will double as the number of boats double</t>
        </is>
      </c>
      <c r="M118" s="4488" t="n"/>
      <c r="N118" s="4488" t="n"/>
      <c r="O118" s="4488" t="n"/>
      <c r="P118" s="4488" t="n"/>
      <c r="Q118" s="4488" t="n"/>
      <c r="R118" s="4488" t="n"/>
      <c r="S118" s="4488" t="n"/>
      <c r="T118" s="4488" t="n"/>
      <c r="U118" s="4488" t="n"/>
      <c r="V118" s="4488" t="n"/>
      <c r="W118" s="4488" t="n"/>
      <c r="X118" s="4488" t="n"/>
      <c r="Y118" s="4488" t="n"/>
      <c r="Z118" s="4488" t="n"/>
      <c r="AA118" s="4488" t="n"/>
      <c r="AB118" s="4488" t="n"/>
      <c r="AC118" s="4488" t="n"/>
      <c r="AD118" s="4488" t="n"/>
    </row>
    <row r="119" ht="21" customHeight="1">
      <c r="M119" s="4488" t="n"/>
      <c r="N119" s="4488" t="n"/>
      <c r="O119" s="4488" t="n"/>
      <c r="P119" s="4488" t="n"/>
      <c r="Q119" s="4488" t="n"/>
      <c r="R119" s="4488" t="n"/>
      <c r="S119" s="4488" t="n"/>
      <c r="T119" s="4488" t="n"/>
      <c r="U119" s="4488" t="n"/>
      <c r="V119" s="4488" t="n"/>
      <c r="W119" s="4488" t="n"/>
      <c r="X119" s="4488" t="n"/>
      <c r="Y119" s="4488" t="n"/>
      <c r="Z119" s="4488" t="n"/>
      <c r="AA119" s="4488" t="n"/>
      <c r="AB119" s="4488" t="n"/>
      <c r="AC119" s="4488" t="n"/>
      <c r="AD119" s="4488" t="n"/>
    </row>
    <row r="120" ht="21" customHeight="1">
      <c r="M120" s="4488" t="n"/>
      <c r="N120" s="4488" t="n"/>
      <c r="O120" s="4488" t="n"/>
      <c r="P120" s="4488" t="n"/>
      <c r="Q120" s="4488" t="n"/>
      <c r="R120" s="4488" t="n"/>
      <c r="S120" s="4488" t="n"/>
      <c r="T120" s="4488" t="n"/>
      <c r="U120" s="4488" t="n"/>
      <c r="V120" s="4488" t="n"/>
      <c r="W120" s="4488" t="n"/>
      <c r="X120" s="4488" t="n"/>
      <c r="Y120" s="4488" t="n"/>
      <c r="Z120" s="4488" t="n"/>
      <c r="AA120" s="4488" t="n"/>
      <c r="AB120" s="4488" t="n"/>
      <c r="AC120" s="4488" t="n"/>
      <c r="AD120" s="4488" t="n"/>
    </row>
    <row r="121" ht="21" customHeight="1">
      <c r="M121" s="4488" t="n"/>
      <c r="N121" s="4488" t="n"/>
      <c r="O121" s="4488" t="n"/>
      <c r="P121" s="4488" t="n"/>
      <c r="Q121" s="4488" t="n"/>
      <c r="R121" s="4488" t="n"/>
      <c r="S121" s="4488" t="n"/>
      <c r="T121" s="4488" t="n"/>
      <c r="U121" s="4488" t="n"/>
      <c r="V121" s="4488" t="n"/>
      <c r="W121" s="4488" t="n"/>
      <c r="X121" s="4488" t="n"/>
      <c r="Y121" s="4488" t="n"/>
      <c r="Z121" s="4488" t="n"/>
      <c r="AA121" s="4488" t="n"/>
      <c r="AB121" s="4488" t="n"/>
      <c r="AC121" s="4488" t="n"/>
      <c r="AD121" s="4488" t="n"/>
    </row>
    <row r="122" ht="21" customHeight="1">
      <c r="B122" s="4488" t="n"/>
      <c r="C122" s="4488" t="n"/>
      <c r="D122" s="4488" t="n"/>
      <c r="E122" s="4488" t="n"/>
      <c r="F122" s="4488" t="n"/>
      <c r="G122" s="4488" t="n"/>
      <c r="H122" s="4488" t="n"/>
      <c r="I122" s="4488" t="n"/>
      <c r="J122" s="4488" t="n"/>
      <c r="K122" s="4488" t="n"/>
      <c r="L122" s="4488" t="n"/>
      <c r="M122" s="4488" t="n"/>
      <c r="N122" s="4488" t="n"/>
      <c r="O122" s="4488" t="n"/>
      <c r="P122" s="4488" t="n"/>
      <c r="Q122" s="4488" t="n"/>
      <c r="R122" s="4488" t="n"/>
      <c r="S122" s="4488" t="n"/>
      <c r="T122" s="4488" t="n"/>
      <c r="U122" s="4488" t="n"/>
      <c r="V122" s="4488" t="n"/>
      <c r="W122" s="4488" t="n"/>
      <c r="X122" s="4488" t="n"/>
      <c r="Y122" s="4488" t="n"/>
      <c r="Z122" s="4488" t="n"/>
      <c r="AA122" s="4488" t="n"/>
      <c r="AB122" s="4488" t="n"/>
      <c r="AC122" s="4488" t="n"/>
      <c r="AD122" s="4488" t="n"/>
    </row>
    <row r="123" ht="21" customHeight="1">
      <c r="B123" s="4488" t="n"/>
      <c r="C123" s="4488" t="n"/>
      <c r="D123" s="4488" t="n"/>
      <c r="E123" s="4488" t="n"/>
      <c r="F123" s="4488" t="n"/>
      <c r="G123" s="4488" t="n"/>
      <c r="H123" s="4488" t="n"/>
      <c r="I123" s="4488" t="n"/>
      <c r="J123" s="4488" t="n"/>
      <c r="K123" s="4488" t="n"/>
      <c r="L123" s="4488" t="n"/>
      <c r="M123" s="4488" t="n"/>
      <c r="N123" s="4488" t="n"/>
      <c r="O123" s="4488" t="n"/>
      <c r="P123" s="4488" t="n"/>
      <c r="Q123" s="4488" t="n"/>
      <c r="R123" s="4488" t="n"/>
      <c r="S123" s="4488" t="n"/>
      <c r="T123" s="4488" t="n"/>
      <c r="U123" s="4488" t="n"/>
      <c r="V123" s="4488" t="n"/>
      <c r="W123" s="4488" t="n"/>
      <c r="X123" s="4488" t="n"/>
      <c r="Y123" s="4488" t="n"/>
      <c r="Z123" s="4488" t="n"/>
      <c r="AA123" s="4488" t="n"/>
      <c r="AB123" s="4488" t="n"/>
      <c r="AC123" s="4488" t="n"/>
      <c r="AD123" s="4488" t="n"/>
    </row>
    <row r="124" ht="21" customHeight="1">
      <c r="B124" s="4488" t="n"/>
      <c r="C124" s="4488" t="n"/>
      <c r="D124" s="4488" t="n"/>
      <c r="E124" s="4488" t="n"/>
      <c r="F124" s="4488" t="n"/>
      <c r="G124" s="4488" t="n"/>
      <c r="H124" s="4488" t="n"/>
      <c r="I124" s="4488" t="n"/>
      <c r="J124" s="4488" t="n"/>
      <c r="K124" s="4488" t="n"/>
      <c r="L124" s="4488" t="n"/>
      <c r="M124" s="4488" t="n"/>
      <c r="N124" s="4488" t="n"/>
      <c r="O124" s="4488" t="n"/>
      <c r="P124" s="4488" t="n"/>
      <c r="Q124" s="4488" t="n"/>
      <c r="R124" s="4488" t="n"/>
      <c r="S124" s="4488" t="n"/>
      <c r="T124" s="4488" t="n"/>
      <c r="U124" s="4488" t="n"/>
      <c r="V124" s="4488" t="n"/>
      <c r="W124" s="4488" t="n"/>
      <c r="X124" s="4488" t="n"/>
      <c r="Y124" s="4488" t="n"/>
      <c r="Z124" s="4488" t="n"/>
      <c r="AA124" s="4488" t="n"/>
      <c r="AB124" s="4488" t="n"/>
      <c r="AC124" s="4488" t="n"/>
      <c r="AD124" s="4488" t="n"/>
    </row>
    <row r="125" ht="21" customHeight="1">
      <c r="B125" s="4488" t="n"/>
      <c r="C125" s="4488" t="n"/>
      <c r="D125" s="4488" t="n"/>
      <c r="E125" s="4488" t="n"/>
      <c r="F125" s="4488" t="n"/>
      <c r="G125" s="4488" t="n"/>
      <c r="H125" s="4488" t="n"/>
      <c r="I125" s="4488" t="n"/>
      <c r="J125" s="4488" t="n"/>
      <c r="K125" s="4488" t="n"/>
      <c r="L125" s="4488" t="n"/>
      <c r="M125" s="4488" t="n"/>
      <c r="N125" s="4488" t="n"/>
      <c r="O125" s="4488" t="n"/>
      <c r="P125" s="4488" t="n"/>
      <c r="Q125" s="4488" t="n"/>
      <c r="R125" s="4488" t="n"/>
      <c r="S125" s="4488" t="n"/>
      <c r="T125" s="4488" t="n"/>
      <c r="U125" s="4488" t="n"/>
      <c r="V125" s="4488" t="n"/>
      <c r="W125" s="4488" t="n"/>
      <c r="X125" s="4488" t="n"/>
      <c r="Y125" s="4488" t="n"/>
      <c r="Z125" s="4488" t="n"/>
      <c r="AA125" s="4488" t="n"/>
      <c r="AB125" s="4488" t="n"/>
      <c r="AC125" s="4488" t="n"/>
      <c r="AD125" s="4488" t="n"/>
    </row>
    <row r="126" ht="21" customHeight="1">
      <c r="B126" s="4488" t="n"/>
      <c r="C126" s="4488" t="n"/>
      <c r="D126" s="4488" t="n"/>
      <c r="E126" s="4488" t="n"/>
      <c r="F126" s="4488" t="n"/>
      <c r="G126" s="4488" t="n"/>
      <c r="H126" s="4488" t="n"/>
      <c r="I126" s="4488" t="n"/>
      <c r="J126" s="4488" t="n"/>
      <c r="K126" s="4488" t="n"/>
      <c r="L126" s="4488" t="n"/>
      <c r="M126" s="4488" t="n"/>
      <c r="N126" s="4488" t="n"/>
      <c r="O126" s="4488" t="n"/>
      <c r="P126" s="4488" t="n"/>
      <c r="Q126" s="4488" t="n"/>
      <c r="R126" s="4488" t="n"/>
      <c r="S126" s="4488" t="n"/>
      <c r="T126" s="4488" t="n"/>
      <c r="U126" s="4488" t="n"/>
      <c r="V126" s="4488" t="n"/>
      <c r="W126" s="4488" t="n"/>
      <c r="X126" s="4488" t="n"/>
      <c r="Y126" s="4488" t="n"/>
      <c r="Z126" s="4488" t="n"/>
      <c r="AA126" s="4488" t="n"/>
      <c r="AB126" s="4488" t="n"/>
      <c r="AC126" s="4488" t="n"/>
      <c r="AD126" s="4488" t="n"/>
    </row>
    <row r="127" ht="21" customHeight="1">
      <c r="B127" s="4488" t="n"/>
      <c r="C127" s="4488" t="n"/>
      <c r="D127" s="4488" t="n"/>
      <c r="E127" s="4488" t="n"/>
      <c r="F127" s="4488" t="n"/>
      <c r="G127" s="4488" t="n"/>
      <c r="H127" s="4488" t="n"/>
      <c r="I127" s="4488" t="n"/>
      <c r="J127" s="4488" t="n"/>
      <c r="K127" s="4488" t="n"/>
      <c r="L127" s="4488" t="n"/>
      <c r="M127" s="4488" t="n"/>
      <c r="N127" s="4488" t="n"/>
      <c r="O127" s="4488" t="n"/>
      <c r="P127" s="4488" t="n"/>
      <c r="Q127" s="4488" t="n"/>
      <c r="R127" s="4488" t="n"/>
      <c r="S127" s="4488" t="n"/>
      <c r="T127" s="4488" t="n"/>
      <c r="U127" s="4488" t="n"/>
      <c r="V127" s="4488" t="n"/>
      <c r="W127" s="4488" t="n"/>
      <c r="X127" s="4488" t="n"/>
      <c r="Y127" s="4488" t="n"/>
      <c r="Z127" s="4488" t="n"/>
      <c r="AA127" s="4488" t="n"/>
      <c r="AB127" s="4488" t="n"/>
      <c r="AC127" s="4488" t="n"/>
      <c r="AD127" s="4488" t="n"/>
    </row>
    <row r="128" ht="21" customHeight="1">
      <c r="B128" s="4488" t="n"/>
      <c r="C128" s="4488" t="n"/>
      <c r="D128" s="4488" t="n"/>
      <c r="E128" s="4488" t="n"/>
      <c r="F128" s="4488" t="n"/>
      <c r="G128" s="4488" t="n"/>
      <c r="H128" s="4488" t="n"/>
      <c r="I128" s="4488" t="n"/>
      <c r="J128" s="4488" t="n"/>
      <c r="K128" s="4488" t="n"/>
      <c r="L128" s="4488" t="n"/>
      <c r="M128" s="4488" t="n"/>
      <c r="N128" s="4488" t="n"/>
      <c r="O128" s="4488" t="n"/>
      <c r="P128" s="4488" t="n"/>
      <c r="Q128" s="4488" t="n"/>
      <c r="R128" s="4488" t="n"/>
      <c r="S128" s="4488" t="n"/>
      <c r="T128" s="4488" t="n"/>
      <c r="U128" s="4488" t="n"/>
      <c r="V128" s="4488" t="n"/>
      <c r="W128" s="4488" t="n"/>
      <c r="X128" s="4488" t="n"/>
      <c r="Y128" s="4488" t="n"/>
      <c r="Z128" s="4488" t="n"/>
      <c r="AA128" s="4488" t="n"/>
      <c r="AB128" s="4488" t="n"/>
      <c r="AC128" s="4488" t="n"/>
      <c r="AD128" s="4488" t="n"/>
    </row>
    <row r="129" ht="21" customHeight="1">
      <c r="B129" s="4488" t="n"/>
      <c r="C129" s="4488" t="n"/>
      <c r="D129" s="4488" t="n"/>
      <c r="E129" s="4488" t="n"/>
      <c r="F129" s="4488" t="n"/>
      <c r="G129" s="4488" t="n"/>
      <c r="H129" s="4488" t="n"/>
      <c r="I129" s="4488" t="n"/>
      <c r="J129" s="4488" t="n"/>
      <c r="K129" s="4488" t="n"/>
      <c r="L129" s="4488" t="n"/>
      <c r="M129" s="4488" t="n"/>
      <c r="N129" s="4488" t="n"/>
      <c r="O129" s="4488" t="n"/>
      <c r="P129" s="4488" t="n"/>
      <c r="Q129" s="4488" t="n"/>
      <c r="R129" s="4488" t="n"/>
      <c r="S129" s="4488" t="n"/>
      <c r="T129" s="4488" t="n"/>
      <c r="U129" s="4488" t="n"/>
      <c r="V129" s="4488" t="n"/>
      <c r="W129" s="4488" t="n"/>
      <c r="X129" s="4488" t="n"/>
      <c r="Y129" s="4488" t="n"/>
      <c r="Z129" s="4488" t="n"/>
      <c r="AA129" s="4488" t="n"/>
      <c r="AB129" s="4488" t="n"/>
      <c r="AC129" s="4488" t="n"/>
      <c r="AD129" s="4488" t="n"/>
    </row>
    <row r="130" ht="21" customHeight="1">
      <c r="B130" s="4488" t="n"/>
      <c r="C130" s="4488" t="n"/>
      <c r="D130" s="4488" t="n"/>
      <c r="E130" s="4488" t="n"/>
      <c r="F130" s="4488" t="n"/>
      <c r="G130" s="4488" t="n"/>
      <c r="H130" s="4488" t="n"/>
      <c r="I130" s="4488" t="n"/>
      <c r="J130" s="4488" t="n"/>
      <c r="K130" s="4488" t="n"/>
      <c r="L130" s="4488" t="n"/>
      <c r="M130" s="4488" t="n"/>
      <c r="N130" s="4488" t="n"/>
      <c r="O130" s="4488" t="n"/>
      <c r="P130" s="4488" t="n"/>
      <c r="Q130" s="4488" t="n"/>
      <c r="R130" s="4488" t="n"/>
      <c r="S130" s="4488" t="n"/>
      <c r="T130" s="4488" t="n"/>
      <c r="U130" s="4488" t="n"/>
      <c r="V130" s="4488" t="n"/>
      <c r="W130" s="4488" t="n"/>
      <c r="X130" s="4488" t="n"/>
      <c r="Y130" s="4488" t="n"/>
      <c r="Z130" s="4488" t="n"/>
      <c r="AA130" s="4488" t="n"/>
      <c r="AB130" s="4488" t="n"/>
      <c r="AC130" s="4488" t="n"/>
      <c r="AD130" s="4488" t="n"/>
    </row>
    <row r="131" ht="21" customHeight="1">
      <c r="B131" s="4488" t="n"/>
      <c r="C131" s="4488" t="n"/>
      <c r="D131" s="4488" t="n"/>
      <c r="E131" s="4488" t="n"/>
      <c r="F131" s="4488" t="n"/>
      <c r="G131" s="4488" t="n"/>
      <c r="H131" s="4488" t="n"/>
      <c r="I131" s="4488" t="n"/>
      <c r="J131" s="4488" t="n"/>
      <c r="K131" s="4488" t="n"/>
      <c r="L131" s="4488" t="n"/>
      <c r="M131" s="4488" t="n"/>
      <c r="N131" s="4488" t="n"/>
      <c r="O131" s="4488" t="n"/>
      <c r="P131" s="4488" t="n"/>
      <c r="Q131" s="4488" t="n"/>
      <c r="R131" s="4488" t="n"/>
      <c r="S131" s="4488" t="n"/>
      <c r="T131" s="4488" t="n"/>
      <c r="U131" s="4488" t="n"/>
      <c r="V131" s="4488" t="n"/>
      <c r="W131" s="4488" t="n"/>
      <c r="X131" s="4488" t="n"/>
      <c r="Y131" s="4488" t="n"/>
      <c r="Z131" s="4488" t="n"/>
      <c r="AA131" s="4488" t="n"/>
      <c r="AB131" s="4488" t="n"/>
      <c r="AC131" s="4488" t="n"/>
      <c r="AD131" s="4488" t="n"/>
    </row>
    <row r="132" ht="21" customHeight="1">
      <c r="B132" s="4488" t="n"/>
      <c r="C132" s="4488" t="n"/>
      <c r="D132" s="4488" t="n"/>
      <c r="E132" s="4488" t="n"/>
      <c r="F132" s="4488" t="n"/>
      <c r="G132" s="4488" t="n"/>
      <c r="H132" s="4488" t="n"/>
      <c r="I132" s="4488" t="n"/>
      <c r="J132" s="4488" t="n"/>
      <c r="K132" s="4488" t="n"/>
      <c r="L132" s="4488" t="n"/>
      <c r="M132" s="4488" t="n"/>
      <c r="N132" s="4488" t="n"/>
      <c r="O132" s="4488" t="n"/>
      <c r="P132" s="4488" t="n"/>
      <c r="Q132" s="4488" t="n"/>
      <c r="R132" s="4488" t="n"/>
      <c r="S132" s="4488" t="n"/>
      <c r="T132" s="4488" t="n"/>
      <c r="U132" s="4488" t="n"/>
      <c r="V132" s="4488" t="n"/>
      <c r="W132" s="4488" t="n"/>
      <c r="X132" s="4488" t="n"/>
      <c r="Y132" s="4488" t="n"/>
      <c r="Z132" s="4488" t="n"/>
      <c r="AA132" s="4488" t="n"/>
      <c r="AB132" s="4488" t="n"/>
      <c r="AC132" s="4488" t="n"/>
      <c r="AD132" s="4488" t="n"/>
    </row>
    <row r="133" ht="21" customHeight="1">
      <c r="B133" s="4488" t="n"/>
      <c r="C133" s="4488" t="n"/>
      <c r="D133" s="4488" t="n"/>
      <c r="E133" s="4488" t="n"/>
      <c r="F133" s="4488" t="n"/>
      <c r="G133" s="4488" t="n"/>
      <c r="H133" s="4488" t="n"/>
      <c r="I133" s="4488" t="n"/>
      <c r="J133" s="4488" t="n"/>
      <c r="K133" s="4488" t="n"/>
      <c r="L133" s="4488" t="n"/>
      <c r="M133" s="4488" t="n"/>
      <c r="N133" s="4488" t="n"/>
      <c r="O133" s="4488" t="n"/>
      <c r="P133" s="4488" t="n"/>
      <c r="Q133" s="4488" t="n"/>
      <c r="R133" s="4488" t="n"/>
      <c r="S133" s="4488" t="n"/>
      <c r="T133" s="4488" t="n"/>
      <c r="U133" s="4488" t="n"/>
      <c r="V133" s="4488" t="n"/>
      <c r="W133" s="4488" t="n"/>
      <c r="X133" s="4488" t="n"/>
      <c r="Y133" s="4488" t="n"/>
      <c r="Z133" s="4488" t="n"/>
      <c r="AA133" s="4488" t="n"/>
      <c r="AB133" s="4488" t="n"/>
      <c r="AC133" s="4488" t="n"/>
      <c r="AD133" s="4488" t="n"/>
    </row>
    <row r="134" ht="21" customHeight="1">
      <c r="B134" s="4488" t="n"/>
      <c r="C134" s="4488" t="n"/>
      <c r="D134" s="4488" t="n"/>
      <c r="E134" s="4488" t="n"/>
      <c r="F134" s="4488" t="n"/>
      <c r="G134" s="4488" t="n"/>
      <c r="H134" s="4488" t="n"/>
      <c r="I134" s="4488" t="n"/>
      <c r="J134" s="4488" t="n"/>
      <c r="K134" s="4488" t="n"/>
      <c r="L134" s="4488" t="n"/>
      <c r="M134" s="4488" t="n"/>
      <c r="N134" s="4488" t="n"/>
      <c r="O134" s="4488" t="n"/>
      <c r="P134" s="4488" t="n"/>
      <c r="Q134" s="4488" t="n"/>
      <c r="R134" s="4488" t="n"/>
      <c r="S134" s="4488" t="n"/>
      <c r="T134" s="4488" t="n"/>
      <c r="U134" s="4488" t="n"/>
      <c r="V134" s="4488" t="n"/>
      <c r="W134" s="4488" t="n"/>
      <c r="X134" s="4488" t="n"/>
      <c r="Y134" s="4488" t="n"/>
      <c r="Z134" s="4488" t="n"/>
      <c r="AA134" s="4488" t="n"/>
      <c r="AB134" s="4488" t="n"/>
      <c r="AC134" s="4488" t="n"/>
      <c r="AD134" s="4488" t="n"/>
    </row>
    <row r="135" ht="21" customHeight="1">
      <c r="B135" s="4488" t="n"/>
      <c r="C135" s="4488" t="n"/>
      <c r="D135" s="4488" t="n"/>
      <c r="E135" s="4488" t="n"/>
      <c r="F135" s="4488" t="n"/>
      <c r="G135" s="4488" t="n"/>
      <c r="H135" s="4488" t="n"/>
      <c r="I135" s="4488" t="n"/>
      <c r="J135" s="4488" t="n"/>
      <c r="K135" s="4488" t="n"/>
      <c r="L135" s="4488" t="n"/>
      <c r="M135" s="4488" t="n"/>
      <c r="N135" s="4488" t="n"/>
      <c r="O135" s="4488" t="n"/>
      <c r="P135" s="4488" t="n"/>
      <c r="Q135" s="4488" t="n"/>
      <c r="R135" s="4488" t="n"/>
      <c r="S135" s="4488" t="n"/>
      <c r="T135" s="4488" t="n"/>
      <c r="U135" s="4488" t="n"/>
      <c r="V135" s="4488" t="n"/>
      <c r="W135" s="4488" t="n"/>
      <c r="X135" s="4488" t="n"/>
      <c r="Y135" s="4488" t="n"/>
      <c r="Z135" s="4488" t="n"/>
      <c r="AA135" s="4488" t="n"/>
      <c r="AB135" s="4488" t="n"/>
      <c r="AC135" s="4488" t="n"/>
      <c r="AD135" s="4488" t="n"/>
    </row>
    <row r="136" ht="21" customHeight="1">
      <c r="B136" s="4488" t="n"/>
      <c r="C136" s="4488" t="n"/>
      <c r="D136" s="4488" t="n"/>
      <c r="E136" s="4488" t="n"/>
      <c r="F136" s="4488" t="n"/>
      <c r="G136" s="4488" t="n"/>
      <c r="H136" s="4488" t="n"/>
      <c r="I136" s="4488" t="n"/>
      <c r="J136" s="4488" t="n"/>
      <c r="K136" s="4488" t="n"/>
      <c r="L136" s="4488" t="n"/>
      <c r="M136" s="4488" t="n"/>
      <c r="N136" s="4488" t="n"/>
      <c r="O136" s="4488" t="n"/>
      <c r="P136" s="4488" t="n"/>
      <c r="Q136" s="4488" t="n"/>
      <c r="R136" s="4488" t="n"/>
      <c r="S136" s="4488" t="n"/>
      <c r="T136" s="4488" t="n"/>
      <c r="U136" s="4488" t="n"/>
      <c r="V136" s="4488" t="n"/>
      <c r="W136" s="4488" t="n"/>
      <c r="X136" s="4488" t="n"/>
      <c r="Y136" s="4488" t="n"/>
      <c r="Z136" s="4488" t="n"/>
      <c r="AA136" s="4488" t="n"/>
      <c r="AB136" s="4488" t="n"/>
      <c r="AC136" s="4488" t="n"/>
      <c r="AD136" s="4488" t="n"/>
    </row>
    <row r="137" ht="21" customHeight="1">
      <c r="B137" s="4488" t="n"/>
      <c r="C137" s="4488" t="n"/>
      <c r="D137" s="4488" t="n"/>
      <c r="E137" s="4488" t="n"/>
      <c r="F137" s="4488" t="n"/>
      <c r="G137" s="4488" t="n"/>
      <c r="H137" s="4488" t="n"/>
      <c r="I137" s="4488" t="n"/>
      <c r="J137" s="4488" t="n"/>
      <c r="K137" s="4488" t="n"/>
      <c r="L137" s="4488" t="n"/>
      <c r="M137" s="4488" t="n"/>
      <c r="N137" s="4488" t="n"/>
      <c r="O137" s="4488" t="n"/>
      <c r="P137" s="4488" t="n"/>
      <c r="Q137" s="4488" t="n"/>
      <c r="R137" s="4488" t="n"/>
      <c r="S137" s="4488" t="n"/>
      <c r="T137" s="4488" t="n"/>
      <c r="U137" s="4488" t="n"/>
      <c r="V137" s="4488" t="n"/>
      <c r="W137" s="4488" t="n"/>
      <c r="X137" s="4488" t="n"/>
      <c r="Y137" s="4488" t="n"/>
      <c r="Z137" s="4488" t="n"/>
      <c r="AA137" s="4488" t="n"/>
      <c r="AB137" s="4488" t="n"/>
      <c r="AC137" s="4488" t="n"/>
      <c r="AD137" s="4488" t="n"/>
    </row>
    <row r="138" ht="21" customHeight="1">
      <c r="B138" s="4488" t="n"/>
      <c r="C138" s="4488" t="n"/>
      <c r="D138" s="4488" t="n"/>
      <c r="E138" s="4488" t="n"/>
      <c r="F138" s="4488" t="n"/>
      <c r="G138" s="4488" t="n"/>
      <c r="H138" s="4488" t="n"/>
      <c r="I138" s="4488" t="n"/>
      <c r="J138" s="4488" t="n"/>
      <c r="K138" s="4488" t="n"/>
      <c r="L138" s="4488" t="n"/>
      <c r="M138" s="4488" t="n"/>
      <c r="N138" s="4488" t="n"/>
      <c r="O138" s="4488" t="n"/>
      <c r="P138" s="4488" t="n"/>
      <c r="Q138" s="4488" t="n"/>
      <c r="R138" s="4488" t="n"/>
      <c r="S138" s="4488" t="n"/>
      <c r="T138" s="4488" t="n"/>
      <c r="U138" s="4488" t="n"/>
      <c r="V138" s="4488" t="n"/>
      <c r="W138" s="4488" t="n"/>
      <c r="X138" s="4488" t="n"/>
      <c r="Y138" s="4488" t="n"/>
      <c r="Z138" s="4488" t="n"/>
      <c r="AA138" s="4488" t="n"/>
      <c r="AB138" s="4488" t="n"/>
      <c r="AC138" s="4488" t="n"/>
      <c r="AD138" s="4488" t="n"/>
    </row>
    <row r="139" ht="21" customHeight="1">
      <c r="B139" s="4488" t="n"/>
      <c r="C139" s="4488" t="n"/>
      <c r="D139" s="4488" t="n"/>
      <c r="E139" s="4488" t="n"/>
      <c r="F139" s="4488" t="n"/>
      <c r="G139" s="4488" t="n"/>
      <c r="H139" s="4488" t="n"/>
      <c r="I139" s="4488" t="n"/>
      <c r="J139" s="4488" t="n"/>
      <c r="K139" s="4488" t="n"/>
      <c r="L139" s="4488" t="n"/>
      <c r="M139" s="4488" t="n"/>
      <c r="N139" s="4488" t="n"/>
      <c r="O139" s="4488" t="n"/>
      <c r="P139" s="4488" t="n"/>
      <c r="Q139" s="4488" t="n"/>
      <c r="R139" s="4488" t="n"/>
      <c r="S139" s="4488" t="n"/>
      <c r="T139" s="4488" t="n"/>
      <c r="U139" s="4488" t="n"/>
      <c r="V139" s="4488" t="n"/>
      <c r="W139" s="4488" t="n"/>
      <c r="X139" s="4488" t="n"/>
      <c r="Y139" s="4488" t="n"/>
      <c r="Z139" s="4488" t="n"/>
      <c r="AA139" s="4488" t="n"/>
      <c r="AB139" s="4488" t="n"/>
      <c r="AC139" s="4488" t="n"/>
      <c r="AD139" s="4488" t="n"/>
    </row>
    <row r="140" ht="21" customHeight="1">
      <c r="B140" s="4488" t="n"/>
      <c r="C140" s="4488" t="n"/>
      <c r="D140" s="4488" t="n"/>
      <c r="E140" s="4488" t="n"/>
      <c r="F140" s="4488" t="n"/>
      <c r="G140" s="4488" t="n"/>
      <c r="H140" s="4488" t="n"/>
      <c r="I140" s="4488" t="n"/>
      <c r="J140" s="4488" t="n"/>
      <c r="K140" s="4488" t="n"/>
      <c r="L140" s="4488" t="n"/>
      <c r="M140" s="4488" t="n"/>
      <c r="N140" s="4488" t="n"/>
      <c r="O140" s="4488" t="n"/>
      <c r="P140" s="4488" t="n"/>
      <c r="Q140" s="4488" t="n"/>
      <c r="R140" s="4488" t="n"/>
      <c r="S140" s="4488" t="n"/>
      <c r="T140" s="4488" t="n"/>
      <c r="U140" s="4488" t="n"/>
      <c r="V140" s="4488" t="n"/>
      <c r="W140" s="4488" t="n"/>
      <c r="X140" s="4488" t="n"/>
      <c r="Y140" s="4488" t="n"/>
      <c r="Z140" s="4488" t="n"/>
      <c r="AA140" s="4488" t="n"/>
      <c r="AB140" s="4488" t="n"/>
      <c r="AC140" s="4488" t="n"/>
      <c r="AD140" s="4488" t="n"/>
    </row>
    <row r="141" ht="21" customHeight="1">
      <c r="B141" s="4488" t="n"/>
      <c r="C141" s="4488" t="n"/>
      <c r="D141" s="4488" t="n"/>
      <c r="E141" s="4488" t="n"/>
      <c r="F141" s="4488" t="n"/>
      <c r="G141" s="4488" t="n"/>
      <c r="H141" s="4488" t="n"/>
      <c r="I141" s="4488" t="n"/>
      <c r="J141" s="4488" t="n"/>
      <c r="K141" s="4488" t="n"/>
      <c r="L141" s="4488" t="n"/>
      <c r="M141" s="4488" t="n"/>
      <c r="N141" s="4488" t="n"/>
      <c r="O141" s="4488" t="n"/>
      <c r="P141" s="4488" t="n"/>
      <c r="Q141" s="4488" t="n"/>
      <c r="R141" s="4488" t="n"/>
      <c r="S141" s="4488" t="n"/>
      <c r="T141" s="4488" t="n"/>
      <c r="U141" s="4488" t="n"/>
      <c r="V141" s="4488" t="n"/>
      <c r="W141" s="4488" t="n"/>
      <c r="X141" s="4488" t="n"/>
      <c r="Y141" s="4488" t="n"/>
      <c r="Z141" s="4488" t="n"/>
      <c r="AA141" s="4488" t="n"/>
      <c r="AB141" s="4488" t="n"/>
      <c r="AC141" s="4488" t="n"/>
      <c r="AD141" s="4488" t="n"/>
    </row>
    <row r="142" ht="21" customHeight="1">
      <c r="B142" s="4488" t="n"/>
      <c r="C142" s="4488" t="n"/>
      <c r="D142" s="4488" t="n"/>
      <c r="E142" s="4488" t="n"/>
      <c r="F142" s="4488" t="n"/>
      <c r="G142" s="4488" t="n"/>
      <c r="H142" s="4488" t="n"/>
      <c r="I142" s="4488" t="n"/>
      <c r="J142" s="4488" t="n"/>
      <c r="K142" s="4488" t="n"/>
      <c r="L142" s="4488" t="n"/>
      <c r="M142" s="4488" t="n"/>
      <c r="N142" s="4488" t="n"/>
      <c r="O142" s="4488" t="n"/>
      <c r="P142" s="4488" t="n"/>
      <c r="Q142" s="4488" t="n"/>
      <c r="R142" s="4488" t="n"/>
      <c r="S142" s="4488" t="n"/>
      <c r="T142" s="4488" t="n"/>
      <c r="U142" s="4488" t="n"/>
      <c r="V142" s="4488" t="n"/>
      <c r="W142" s="4488" t="n"/>
      <c r="X142" s="4488" t="n"/>
      <c r="Y142" s="4488" t="n"/>
      <c r="Z142" s="4488" t="n"/>
      <c r="AA142" s="4488" t="n"/>
      <c r="AB142" s="4488" t="n"/>
      <c r="AC142" s="4488" t="n"/>
      <c r="AD142" s="4488" t="n"/>
    </row>
    <row r="143" ht="21" customHeight="1">
      <c r="B143" s="4488" t="n"/>
      <c r="C143" s="4488" t="n"/>
      <c r="D143" s="4488" t="n"/>
      <c r="E143" s="4488" t="n"/>
      <c r="F143" s="4488" t="n"/>
      <c r="G143" s="4488" t="n"/>
      <c r="H143" s="4488" t="n"/>
      <c r="I143" s="4488" t="n"/>
      <c r="J143" s="4488" t="n"/>
      <c r="K143" s="4488" t="n"/>
      <c r="L143" s="4488" t="n"/>
      <c r="M143" s="4488" t="n"/>
      <c r="N143" s="4488" t="n"/>
      <c r="O143" s="4488" t="n"/>
      <c r="P143" s="4488" t="n"/>
      <c r="Q143" s="4488" t="n"/>
      <c r="R143" s="4488" t="n"/>
      <c r="S143" s="4488" t="n"/>
      <c r="T143" s="4488" t="n"/>
      <c r="U143" s="4488" t="n"/>
      <c r="V143" s="4488" t="n"/>
      <c r="W143" s="4488" t="n"/>
      <c r="X143" s="4488" t="n"/>
      <c r="Y143" s="4488" t="n"/>
      <c r="Z143" s="4488" t="n"/>
      <c r="AA143" s="4488" t="n"/>
      <c r="AB143" s="4488" t="n"/>
      <c r="AC143" s="4488" t="n"/>
      <c r="AD143" s="4488" t="n"/>
    </row>
    <row r="144" ht="21" customHeight="1">
      <c r="B144" s="4488" t="n"/>
      <c r="C144" s="4488" t="n"/>
      <c r="D144" s="4488" t="n"/>
      <c r="E144" s="4488" t="n"/>
      <c r="F144" s="4488" t="n"/>
      <c r="G144" s="4488" t="n"/>
      <c r="H144" s="4488" t="n"/>
      <c r="I144" s="4488" t="n"/>
      <c r="J144" s="4488" t="n"/>
      <c r="K144" s="4488" t="n"/>
      <c r="L144" s="4488" t="n"/>
      <c r="M144" s="4488" t="n"/>
      <c r="N144" s="4488" t="n"/>
      <c r="O144" s="4488" t="n"/>
      <c r="P144" s="4488" t="n"/>
      <c r="Q144" s="4488" t="n"/>
      <c r="R144" s="4488" t="n"/>
      <c r="S144" s="4488" t="n"/>
      <c r="T144" s="4488" t="n"/>
      <c r="U144" s="4488" t="n"/>
      <c r="V144" s="4488" t="n"/>
      <c r="W144" s="4488" t="n"/>
      <c r="X144" s="4488" t="n"/>
      <c r="Y144" s="4488" t="n"/>
      <c r="Z144" s="4488" t="n"/>
      <c r="AA144" s="4488" t="n"/>
      <c r="AB144" s="4488" t="n"/>
      <c r="AC144" s="4488" t="n"/>
      <c r="AD144" s="4488" t="n"/>
    </row>
    <row r="145" ht="21" customHeight="1">
      <c r="B145" s="4488" t="n"/>
      <c r="C145" s="4488" t="n"/>
      <c r="D145" s="4488" t="n"/>
      <c r="E145" s="4488" t="n"/>
      <c r="F145" s="4488" t="n"/>
      <c r="G145" s="4488" t="n"/>
      <c r="H145" s="4488" t="n"/>
      <c r="I145" s="4488" t="n"/>
      <c r="J145" s="4488" t="n"/>
      <c r="K145" s="4488" t="n"/>
      <c r="L145" s="4488" t="n"/>
      <c r="M145" s="4488" t="n"/>
      <c r="N145" s="4488" t="n"/>
      <c r="O145" s="4488" t="n"/>
      <c r="P145" s="4488" t="n"/>
      <c r="Q145" s="4488" t="n"/>
      <c r="R145" s="4488" t="n"/>
      <c r="S145" s="4488" t="n"/>
      <c r="T145" s="4488" t="n"/>
      <c r="U145" s="4488" t="n"/>
      <c r="V145" s="4488" t="n"/>
      <c r="W145" s="4488" t="n"/>
      <c r="X145" s="4488" t="n"/>
      <c r="Y145" s="4488" t="n"/>
      <c r="Z145" s="4488" t="n"/>
      <c r="AA145" s="4488" t="n"/>
      <c r="AB145" s="4488" t="n"/>
      <c r="AC145" s="4488" t="n"/>
      <c r="AD145" s="4488" t="n"/>
    </row>
    <row r="146" ht="21" customHeight="1">
      <c r="B146" s="4488" t="n"/>
      <c r="C146" s="4488" t="n"/>
      <c r="D146" s="4488" t="n"/>
      <c r="E146" s="4488" t="n"/>
      <c r="F146" s="4488" t="n"/>
      <c r="G146" s="4488" t="n"/>
      <c r="H146" s="4488" t="n"/>
      <c r="I146" s="4488" t="n"/>
      <c r="J146" s="4488" t="n"/>
      <c r="K146" s="4488" t="n"/>
      <c r="L146" s="4488" t="n"/>
      <c r="M146" s="4488" t="n"/>
      <c r="N146" s="4488" t="n"/>
      <c r="O146" s="4488" t="n"/>
      <c r="P146" s="4488" t="n"/>
      <c r="Q146" s="4488" t="n"/>
      <c r="R146" s="4488" t="n"/>
      <c r="S146" s="4488" t="n"/>
      <c r="T146" s="4488" t="n"/>
      <c r="U146" s="4488" t="n"/>
      <c r="V146" s="4488" t="n"/>
      <c r="W146" s="4488" t="n"/>
      <c r="X146" s="4488" t="n"/>
      <c r="Y146" s="4488" t="n"/>
      <c r="Z146" s="4488" t="n"/>
      <c r="AA146" s="4488" t="n"/>
      <c r="AB146" s="4488" t="n"/>
      <c r="AC146" s="4488" t="n"/>
      <c r="AD146" s="4488" t="n"/>
    </row>
    <row r="147" ht="21" customHeight="1">
      <c r="B147" s="4488" t="n"/>
      <c r="C147" s="4488" t="n"/>
      <c r="D147" s="4488" t="n"/>
      <c r="E147" s="4488" t="n"/>
      <c r="F147" s="4488" t="n"/>
      <c r="G147" s="4488" t="n"/>
      <c r="H147" s="4488" t="n"/>
      <c r="I147" s="4488" t="n"/>
      <c r="J147" s="4488" t="n"/>
      <c r="K147" s="4488" t="n"/>
      <c r="L147" s="4488" t="n"/>
      <c r="M147" s="4488" t="n"/>
      <c r="N147" s="4488" t="n"/>
      <c r="O147" s="4488" t="n"/>
      <c r="P147" s="4488" t="n"/>
      <c r="Q147" s="4488" t="n"/>
      <c r="R147" s="4488" t="n"/>
      <c r="S147" s="4488" t="n"/>
      <c r="T147" s="4488" t="n"/>
      <c r="U147" s="4488" t="n"/>
      <c r="V147" s="4488" t="n"/>
      <c r="W147" s="4488" t="n"/>
      <c r="X147" s="4488" t="n"/>
      <c r="Y147" s="4488" t="n"/>
      <c r="Z147" s="4488" t="n"/>
      <c r="AA147" s="4488" t="n"/>
      <c r="AB147" s="4488" t="n"/>
      <c r="AC147" s="4488" t="n"/>
      <c r="AD147" s="4488" t="n"/>
    </row>
    <row r="148" ht="21" customHeight="1">
      <c r="B148" s="4488" t="n"/>
      <c r="C148" s="4488" t="n"/>
      <c r="D148" s="4488" t="n"/>
      <c r="E148" s="4488" t="n"/>
      <c r="F148" s="4488" t="n"/>
      <c r="G148" s="4488" t="n"/>
      <c r="H148" s="4488" t="n"/>
      <c r="I148" s="4488" t="n"/>
      <c r="J148" s="4488" t="n"/>
      <c r="K148" s="4488" t="n"/>
      <c r="L148" s="4488" t="n"/>
      <c r="M148" s="4488" t="n"/>
      <c r="N148" s="4488" t="n"/>
      <c r="O148" s="4488" t="n"/>
      <c r="P148" s="4488" t="n"/>
      <c r="Q148" s="4488" t="n"/>
      <c r="R148" s="4488" t="n"/>
      <c r="S148" s="4488" t="n"/>
      <c r="T148" s="4488" t="n"/>
      <c r="U148" s="4488" t="n"/>
      <c r="V148" s="4488" t="n"/>
      <c r="W148" s="4488" t="n"/>
      <c r="X148" s="4488" t="n"/>
      <c r="Y148" s="4488" t="n"/>
      <c r="Z148" s="4488" t="n"/>
      <c r="AA148" s="4488" t="n"/>
      <c r="AB148" s="4488" t="n"/>
      <c r="AC148" s="4488" t="n"/>
      <c r="AD148" s="4488" t="n"/>
    </row>
    <row r="149" ht="21" customHeight="1">
      <c r="B149" s="4488" t="n"/>
      <c r="C149" s="4488" t="n"/>
      <c r="D149" s="4488" t="n"/>
      <c r="E149" s="4488" t="n"/>
      <c r="F149" s="4488" t="n"/>
      <c r="G149" s="4488" t="n"/>
      <c r="H149" s="4488" t="n"/>
      <c r="I149" s="4488" t="n"/>
      <c r="J149" s="4488" t="n"/>
      <c r="K149" s="4488" t="n"/>
      <c r="L149" s="4488" t="n"/>
      <c r="M149" s="4488" t="n"/>
      <c r="N149" s="4488" t="n"/>
      <c r="O149" s="4488" t="n"/>
      <c r="P149" s="4488" t="n"/>
      <c r="Q149" s="4488" t="n"/>
      <c r="R149" s="4488" t="n"/>
      <c r="S149" s="4488" t="n"/>
      <c r="T149" s="4488" t="n"/>
      <c r="U149" s="4488" t="n"/>
      <c r="V149" s="4488" t="n"/>
      <c r="W149" s="4488" t="n"/>
      <c r="X149" s="4488" t="n"/>
      <c r="Y149" s="4488" t="n"/>
      <c r="Z149" s="4488" t="n"/>
      <c r="AA149" s="4488" t="n"/>
      <c r="AB149" s="4488" t="n"/>
      <c r="AC149" s="4488" t="n"/>
      <c r="AD149" s="4488" t="n"/>
    </row>
    <row r="150" ht="21" customHeight="1">
      <c r="B150" s="4488" t="n"/>
      <c r="C150" s="4488" t="n"/>
      <c r="D150" s="4488" t="n"/>
      <c r="E150" s="4488" t="n"/>
      <c r="F150" s="4488" t="n"/>
      <c r="G150" s="4488" t="n"/>
      <c r="H150" s="4488" t="n"/>
      <c r="I150" s="4488" t="n"/>
      <c r="J150" s="4488" t="n"/>
      <c r="K150" s="4488" t="n"/>
      <c r="L150" s="4488" t="n"/>
      <c r="M150" s="4488" t="n"/>
      <c r="N150" s="4488" t="n"/>
      <c r="O150" s="4488" t="n"/>
      <c r="P150" s="4488" t="n"/>
      <c r="Q150" s="4488" t="n"/>
      <c r="R150" s="4488" t="n"/>
      <c r="S150" s="4488" t="n"/>
      <c r="T150" s="4488" t="n"/>
      <c r="U150" s="4488" t="n"/>
      <c r="V150" s="4488" t="n"/>
      <c r="W150" s="4488" t="n"/>
      <c r="X150" s="4488" t="n"/>
      <c r="Y150" s="4488" t="n"/>
      <c r="Z150" s="4488" t="n"/>
      <c r="AA150" s="4488" t="n"/>
      <c r="AB150" s="4488" t="n"/>
      <c r="AC150" s="4488" t="n"/>
      <c r="AD150" s="4488" t="n"/>
    </row>
    <row r="151" ht="21" customHeight="1">
      <c r="B151" s="4488" t="n"/>
      <c r="C151" s="4488" t="n"/>
      <c r="D151" s="4488" t="n"/>
      <c r="E151" s="4488" t="n"/>
      <c r="F151" s="4488" t="n"/>
      <c r="G151" s="4488" t="n"/>
      <c r="H151" s="4488" t="n"/>
      <c r="I151" s="4488" t="n"/>
      <c r="J151" s="4488" t="n"/>
      <c r="K151" s="4488" t="n"/>
      <c r="L151" s="4488" t="n"/>
      <c r="M151" s="4488" t="n"/>
      <c r="N151" s="4488" t="n"/>
      <c r="O151" s="4488" t="n"/>
      <c r="P151" s="4488" t="n"/>
      <c r="Q151" s="4488" t="n"/>
      <c r="R151" s="4488" t="n"/>
      <c r="S151" s="4488" t="n"/>
      <c r="T151" s="4488" t="n"/>
      <c r="U151" s="4488" t="n"/>
      <c r="V151" s="4488" t="n"/>
      <c r="W151" s="4488" t="n"/>
      <c r="X151" s="4488" t="n"/>
      <c r="Y151" s="4488" t="n"/>
      <c r="Z151" s="4488" t="n"/>
      <c r="AA151" s="4488" t="n"/>
      <c r="AB151" s="4488" t="n"/>
      <c r="AC151" s="4488" t="n"/>
      <c r="AD151" s="4488" t="n"/>
    </row>
    <row r="152" ht="21" customHeight="1">
      <c r="B152" s="4488" t="n"/>
      <c r="C152" s="4488" t="n"/>
      <c r="D152" s="4488" t="n"/>
      <c r="E152" s="4488" t="n"/>
      <c r="F152" s="4488" t="n"/>
      <c r="G152" s="4488" t="n"/>
      <c r="H152" s="4488" t="n"/>
      <c r="I152" s="4488" t="n"/>
      <c r="J152" s="4488" t="n"/>
      <c r="K152" s="4488" t="n"/>
      <c r="L152" s="4488" t="n"/>
      <c r="M152" s="4488" t="n"/>
      <c r="N152" s="4488" t="n"/>
      <c r="O152" s="4488" t="n"/>
      <c r="P152" s="4488" t="n"/>
      <c r="Q152" s="4488" t="n"/>
      <c r="R152" s="4488" t="n"/>
      <c r="S152" s="4488" t="n"/>
      <c r="T152" s="4488" t="n"/>
      <c r="U152" s="4488" t="n"/>
      <c r="V152" s="4488" t="n"/>
      <c r="W152" s="4488" t="n"/>
      <c r="X152" s="4488" t="n"/>
      <c r="Y152" s="4488" t="n"/>
      <c r="Z152" s="4488" t="n"/>
      <c r="AA152" s="4488" t="n"/>
      <c r="AB152" s="4488" t="n"/>
      <c r="AC152" s="4488" t="n"/>
      <c r="AD152" s="4488" t="n"/>
    </row>
    <row r="153" ht="21" customHeight="1">
      <c r="B153" s="4488" t="n"/>
      <c r="C153" s="4488" t="n"/>
      <c r="D153" s="4488" t="n"/>
      <c r="E153" s="4488" t="n"/>
      <c r="F153" s="4488" t="n"/>
      <c r="G153" s="4488" t="n"/>
      <c r="H153" s="4488" t="n"/>
      <c r="I153" s="4488" t="n"/>
      <c r="J153" s="4488" t="n"/>
      <c r="K153" s="4488" t="n"/>
      <c r="L153" s="4488" t="n"/>
      <c r="M153" s="4488" t="n"/>
      <c r="N153" s="4488" t="n"/>
      <c r="O153" s="4488" t="n"/>
      <c r="P153" s="4488" t="n"/>
      <c r="Q153" s="4488" t="n"/>
      <c r="R153" s="4488" t="n"/>
      <c r="S153" s="4488" t="n"/>
      <c r="T153" s="4488" t="n"/>
      <c r="U153" s="4488" t="n"/>
      <c r="V153" s="4488" t="n"/>
      <c r="W153" s="4488" t="n"/>
      <c r="X153" s="4488" t="n"/>
      <c r="Y153" s="4488" t="n"/>
      <c r="Z153" s="4488" t="n"/>
      <c r="AA153" s="4488" t="n"/>
      <c r="AB153" s="4488" t="n"/>
      <c r="AC153" s="4488" t="n"/>
      <c r="AD153" s="4488" t="n"/>
    </row>
    <row r="154" ht="21" customHeight="1">
      <c r="B154" s="4488" t="n"/>
      <c r="C154" s="4488" t="n"/>
      <c r="D154" s="4488" t="n"/>
      <c r="E154" s="4488" t="n"/>
      <c r="F154" s="4488" t="n"/>
      <c r="G154" s="4488" t="n"/>
      <c r="H154" s="4488" t="n"/>
      <c r="I154" s="4488" t="n"/>
      <c r="J154" s="4488" t="n"/>
      <c r="K154" s="4488" t="n"/>
      <c r="L154" s="4488" t="n"/>
      <c r="M154" s="4488" t="n"/>
      <c r="N154" s="4488" t="n"/>
      <c r="O154" s="4488" t="n"/>
      <c r="P154" s="4488" t="n"/>
      <c r="Q154" s="4488" t="n"/>
      <c r="R154" s="4488" t="n"/>
      <c r="S154" s="4488" t="n"/>
      <c r="T154" s="4488" t="n"/>
      <c r="U154" s="4488" t="n"/>
      <c r="V154" s="4488" t="n"/>
      <c r="W154" s="4488" t="n"/>
      <c r="X154" s="4488" t="n"/>
      <c r="Y154" s="4488" t="n"/>
      <c r="Z154" s="4488" t="n"/>
      <c r="AA154" s="4488" t="n"/>
      <c r="AB154" s="4488" t="n"/>
      <c r="AC154" s="4488" t="n"/>
      <c r="AD154" s="4488" t="n"/>
    </row>
    <row r="155" ht="21" customHeight="1">
      <c r="B155" s="4488" t="n"/>
      <c r="C155" s="4488" t="n"/>
      <c r="D155" s="4488" t="n"/>
      <c r="E155" s="4488" t="n"/>
      <c r="F155" s="4488" t="n"/>
      <c r="G155" s="4488" t="n"/>
      <c r="H155" s="4488" t="n"/>
      <c r="I155" s="4488" t="n"/>
      <c r="J155" s="4488" t="n"/>
      <c r="K155" s="4488" t="n"/>
      <c r="L155" s="4488" t="n"/>
      <c r="M155" s="4488" t="n"/>
      <c r="N155" s="4488" t="n"/>
      <c r="O155" s="4488" t="n"/>
      <c r="P155" s="4488" t="n"/>
      <c r="Q155" s="4488" t="n"/>
      <c r="R155" s="4488" t="n"/>
      <c r="S155" s="4488" t="n"/>
      <c r="T155" s="4488" t="n"/>
      <c r="U155" s="4488" t="n"/>
      <c r="V155" s="4488" t="n"/>
      <c r="W155" s="4488" t="n"/>
      <c r="X155" s="4488" t="n"/>
      <c r="Y155" s="4488" t="n"/>
      <c r="Z155" s="4488" t="n"/>
      <c r="AA155" s="4488" t="n"/>
      <c r="AB155" s="4488" t="n"/>
      <c r="AC155" s="4488" t="n"/>
      <c r="AD155" s="4488" t="n"/>
    </row>
    <row r="156" ht="21" customHeight="1">
      <c r="B156" s="4488" t="n"/>
      <c r="C156" s="4488" t="n"/>
      <c r="D156" s="4488" t="n"/>
      <c r="E156" s="4488" t="n"/>
      <c r="F156" s="4488" t="n"/>
      <c r="G156" s="4488" t="n"/>
      <c r="H156" s="4488" t="n"/>
      <c r="I156" s="4488" t="n"/>
      <c r="J156" s="4488" t="n"/>
      <c r="K156" s="4488" t="n"/>
      <c r="L156" s="4488" t="n"/>
      <c r="M156" s="4488" t="n"/>
      <c r="N156" s="4488" t="n"/>
      <c r="O156" s="4488" t="n"/>
      <c r="P156" s="4488" t="n"/>
      <c r="Q156" s="4488" t="n"/>
      <c r="R156" s="4488" t="n"/>
      <c r="S156" s="4488" t="n"/>
      <c r="T156" s="4488" t="n"/>
      <c r="U156" s="4488" t="n"/>
      <c r="V156" s="4488" t="n"/>
      <c r="W156" s="4488" t="n"/>
      <c r="X156" s="4488" t="n"/>
      <c r="Y156" s="4488" t="n"/>
      <c r="Z156" s="4488" t="n"/>
      <c r="AA156" s="4488" t="n"/>
      <c r="AB156" s="4488" t="n"/>
      <c r="AC156" s="4488" t="n"/>
      <c r="AD156" s="4488" t="n"/>
    </row>
    <row r="157" ht="21" customHeight="1">
      <c r="B157" s="4488" t="n"/>
      <c r="C157" s="4488" t="n"/>
      <c r="D157" s="4488" t="n"/>
      <c r="E157" s="4488" t="n"/>
      <c r="F157" s="4488" t="n"/>
      <c r="G157" s="4488" t="n"/>
      <c r="H157" s="4488" t="n"/>
      <c r="I157" s="4488" t="n"/>
      <c r="J157" s="4488" t="n"/>
      <c r="K157" s="4488" t="n"/>
      <c r="L157" s="4488" t="n"/>
      <c r="M157" s="4488" t="n"/>
      <c r="N157" s="4488" t="n"/>
      <c r="O157" s="4488" t="n"/>
      <c r="P157" s="4488" t="n"/>
      <c r="Q157" s="4488" t="n"/>
      <c r="R157" s="4488" t="n"/>
      <c r="S157" s="4488" t="n"/>
      <c r="T157" s="4488" t="n"/>
      <c r="U157" s="4488" t="n"/>
      <c r="V157" s="4488" t="n"/>
      <c r="W157" s="4488" t="n"/>
      <c r="X157" s="4488" t="n"/>
      <c r="Y157" s="4488" t="n"/>
      <c r="Z157" s="4488" t="n"/>
      <c r="AA157" s="4488" t="n"/>
      <c r="AB157" s="4488" t="n"/>
      <c r="AC157" s="4488" t="n"/>
      <c r="AD157" s="4488" t="n"/>
    </row>
    <row r="158" ht="21" customHeight="1">
      <c r="B158" s="4488" t="n"/>
      <c r="C158" s="4488" t="n"/>
      <c r="D158" s="4488" t="n"/>
      <c r="E158" s="4488" t="n"/>
      <c r="F158" s="4488" t="n"/>
      <c r="G158" s="4488" t="n"/>
      <c r="H158" s="4488" t="n"/>
      <c r="I158" s="4488" t="n"/>
      <c r="J158" s="4488" t="n"/>
      <c r="K158" s="4488" t="n"/>
      <c r="L158" s="4488" t="n"/>
      <c r="M158" s="4488" t="n"/>
      <c r="N158" s="4488" t="n"/>
      <c r="O158" s="4488" t="n"/>
      <c r="P158" s="4488" t="n"/>
      <c r="Q158" s="4488" t="n"/>
      <c r="R158" s="4488" t="n"/>
      <c r="S158" s="4488" t="n"/>
      <c r="T158" s="4488" t="n"/>
      <c r="U158" s="4488" t="n"/>
      <c r="V158" s="4488" t="n"/>
      <c r="W158" s="4488" t="n"/>
      <c r="X158" s="4488" t="n"/>
      <c r="Y158" s="4488" t="n"/>
      <c r="Z158" s="4488" t="n"/>
      <c r="AA158" s="4488" t="n"/>
      <c r="AB158" s="4488" t="n"/>
      <c r="AC158" s="4488" t="n"/>
      <c r="AD158" s="4488" t="n"/>
    </row>
    <row r="159" ht="21" customHeight="1">
      <c r="B159" s="4488" t="n"/>
      <c r="C159" s="4488" t="n"/>
      <c r="D159" s="4488" t="n"/>
      <c r="E159" s="4488" t="n"/>
      <c r="F159" s="4488" t="n"/>
      <c r="G159" s="4488" t="n"/>
      <c r="H159" s="4488" t="n"/>
      <c r="I159" s="4488" t="n"/>
      <c r="J159" s="4488" t="n"/>
      <c r="K159" s="4488" t="n"/>
      <c r="L159" s="4488" t="n"/>
      <c r="M159" s="4488" t="n"/>
      <c r="N159" s="4488" t="n"/>
      <c r="O159" s="4488" t="n"/>
      <c r="P159" s="4488" t="n"/>
      <c r="Q159" s="4488" t="n"/>
      <c r="R159" s="4488" t="n"/>
      <c r="S159" s="4488" t="n"/>
      <c r="T159" s="4488" t="n"/>
      <c r="U159" s="4488" t="n"/>
      <c r="V159" s="4488" t="n"/>
      <c r="W159" s="4488" t="n"/>
      <c r="X159" s="4488" t="n"/>
      <c r="Y159" s="4488" t="n"/>
      <c r="Z159" s="4488" t="n"/>
      <c r="AA159" s="4488" t="n"/>
      <c r="AB159" s="4488" t="n"/>
      <c r="AC159" s="4488" t="n"/>
      <c r="AD159" s="4488" t="n"/>
    </row>
    <row r="160" ht="21" customHeight="1">
      <c r="B160" s="4488" t="n"/>
      <c r="C160" s="4488" t="n"/>
      <c r="D160" s="4488" t="n"/>
      <c r="E160" s="4488" t="n"/>
      <c r="F160" s="4488" t="n"/>
      <c r="G160" s="4488" t="n"/>
      <c r="H160" s="4488" t="n"/>
      <c r="I160" s="4488" t="n"/>
      <c r="J160" s="4488" t="n"/>
      <c r="K160" s="4488" t="n"/>
      <c r="L160" s="4488" t="n"/>
      <c r="M160" s="4488" t="n"/>
      <c r="N160" s="4488" t="n"/>
      <c r="O160" s="4488" t="n"/>
      <c r="P160" s="4488" t="n"/>
      <c r="Q160" s="4488" t="n"/>
      <c r="R160" s="4488" t="n"/>
      <c r="S160" s="4488" t="n"/>
      <c r="T160" s="4488" t="n"/>
      <c r="U160" s="4488" t="n"/>
      <c r="V160" s="4488" t="n"/>
      <c r="W160" s="4488" t="n"/>
      <c r="X160" s="4488" t="n"/>
      <c r="Y160" s="4488" t="n"/>
      <c r="Z160" s="4488" t="n"/>
      <c r="AA160" s="4488" t="n"/>
      <c r="AB160" s="4488" t="n"/>
      <c r="AC160" s="4488" t="n"/>
      <c r="AD160" s="4488" t="n"/>
    </row>
    <row r="161" ht="21" customHeight="1">
      <c r="B161" s="4488" t="n"/>
      <c r="C161" s="4488" t="n"/>
      <c r="D161" s="4488" t="n"/>
      <c r="E161" s="4488" t="n"/>
      <c r="F161" s="4488" t="n"/>
      <c r="G161" s="4488" t="n"/>
      <c r="H161" s="4488" t="n"/>
      <c r="I161" s="4488" t="n"/>
      <c r="J161" s="4488" t="n"/>
      <c r="K161" s="4488" t="n"/>
      <c r="L161" s="4488" t="n"/>
      <c r="M161" s="4488" t="n"/>
      <c r="N161" s="4488" t="n"/>
      <c r="O161" s="4488" t="n"/>
      <c r="P161" s="4488" t="n"/>
      <c r="Q161" s="4488" t="n"/>
      <c r="R161" s="4488" t="n"/>
      <c r="S161" s="4488" t="n"/>
      <c r="T161" s="4488" t="n"/>
      <c r="U161" s="4488" t="n"/>
      <c r="V161" s="4488" t="n"/>
      <c r="W161" s="4488" t="n"/>
      <c r="X161" s="4488" t="n"/>
      <c r="Y161" s="4488" t="n"/>
      <c r="Z161" s="4488" t="n"/>
      <c r="AA161" s="4488" t="n"/>
      <c r="AB161" s="4488" t="n"/>
      <c r="AC161" s="4488" t="n"/>
      <c r="AD161" s="4488" t="n"/>
    </row>
    <row r="162" ht="21" customHeight="1">
      <c r="B162" s="4488" t="n"/>
      <c r="C162" s="4488" t="n"/>
      <c r="D162" s="4488" t="n"/>
      <c r="E162" s="4488" t="n"/>
      <c r="F162" s="4488" t="n"/>
      <c r="G162" s="4488" t="n"/>
      <c r="H162" s="4488" t="n"/>
      <c r="I162" s="4488" t="n"/>
      <c r="J162" s="4488" t="n"/>
      <c r="K162" s="4488" t="n"/>
      <c r="L162" s="4488" t="n"/>
      <c r="M162" s="4488" t="n"/>
      <c r="N162" s="4488" t="n"/>
      <c r="O162" s="4488" t="n"/>
      <c r="P162" s="4488" t="n"/>
      <c r="Q162" s="4488" t="n"/>
      <c r="R162" s="4488" t="n"/>
      <c r="S162" s="4488" t="n"/>
      <c r="T162" s="4488" t="n"/>
      <c r="U162" s="4488" t="n"/>
      <c r="V162" s="4488" t="n"/>
      <c r="W162" s="4488" t="n"/>
      <c r="X162" s="4488" t="n"/>
      <c r="Y162" s="4488" t="n"/>
      <c r="Z162" s="4488" t="n"/>
      <c r="AA162" s="4488" t="n"/>
      <c r="AB162" s="4488" t="n"/>
      <c r="AC162" s="4488" t="n"/>
      <c r="AD162" s="4488" t="n"/>
    </row>
    <row r="163" ht="21" customHeight="1">
      <c r="B163" s="4488" t="n"/>
      <c r="C163" s="4488" t="n"/>
      <c r="D163" s="4488" t="n"/>
      <c r="E163" s="4488" t="n"/>
      <c r="F163" s="4488" t="n"/>
      <c r="G163" s="4488" t="n"/>
      <c r="H163" s="4488" t="n"/>
      <c r="I163" s="4488" t="n"/>
      <c r="J163" s="4488" t="n"/>
      <c r="K163" s="4488" t="n"/>
      <c r="L163" s="4488" t="n"/>
      <c r="M163" s="4488" t="n"/>
      <c r="N163" s="4488" t="n"/>
      <c r="O163" s="4488" t="n"/>
      <c r="P163" s="4488" t="n"/>
      <c r="Q163" s="4488" t="n"/>
      <c r="R163" s="4488" t="n"/>
      <c r="S163" s="4488" t="n"/>
      <c r="T163" s="4488" t="n"/>
      <c r="U163" s="4488" t="n"/>
      <c r="V163" s="4488" t="n"/>
      <c r="W163" s="4488" t="n"/>
      <c r="X163" s="4488" t="n"/>
      <c r="Y163" s="4488" t="n"/>
      <c r="Z163" s="4488" t="n"/>
      <c r="AA163" s="4488" t="n"/>
      <c r="AB163" s="4488" t="n"/>
      <c r="AC163" s="4488" t="n"/>
      <c r="AD163" s="4488" t="n"/>
    </row>
    <row r="164" ht="21" customHeight="1">
      <c r="B164" s="4488" t="n"/>
      <c r="C164" s="4488" t="n"/>
      <c r="D164" s="4488" t="n"/>
      <c r="E164" s="4488" t="n"/>
      <c r="F164" s="4488" t="n"/>
      <c r="G164" s="4488" t="n"/>
      <c r="H164" s="4488" t="n"/>
      <c r="I164" s="4488" t="n"/>
      <c r="J164" s="4488" t="n"/>
      <c r="K164" s="4488" t="n"/>
      <c r="L164" s="4488" t="n"/>
      <c r="M164" s="4488" t="n"/>
      <c r="N164" s="4488" t="n"/>
      <c r="O164" s="4488" t="n"/>
      <c r="P164" s="4488" t="n"/>
      <c r="Q164" s="4488" t="n"/>
      <c r="R164" s="4488" t="n"/>
      <c r="S164" s="4488" t="n"/>
      <c r="T164" s="4488" t="n"/>
      <c r="U164" s="4488" t="n"/>
      <c r="V164" s="4488" t="n"/>
      <c r="W164" s="4488" t="n"/>
      <c r="X164" s="4488" t="n"/>
      <c r="Y164" s="4488" t="n"/>
      <c r="Z164" s="4488" t="n"/>
      <c r="AA164" s="4488" t="n"/>
      <c r="AB164" s="4488" t="n"/>
      <c r="AC164" s="4488" t="n"/>
      <c r="AD164" s="4488" t="n"/>
    </row>
    <row r="165" ht="21" customHeight="1">
      <c r="B165" s="4488" t="n"/>
      <c r="C165" s="4488" t="n"/>
      <c r="D165" s="4488" t="n"/>
      <c r="E165" s="4488" t="n"/>
      <c r="F165" s="4488" t="n"/>
      <c r="G165" s="4488" t="n"/>
      <c r="H165" s="4488" t="n"/>
      <c r="I165" s="4488" t="n"/>
      <c r="J165" s="4488" t="n"/>
      <c r="K165" s="4488" t="n"/>
      <c r="L165" s="4488" t="n"/>
      <c r="M165" s="4488" t="n"/>
      <c r="N165" s="4488" t="n"/>
      <c r="O165" s="4488" t="n"/>
      <c r="P165" s="4488" t="n"/>
      <c r="Q165" s="4488" t="n"/>
      <c r="R165" s="4488" t="n"/>
      <c r="S165" s="4488" t="n"/>
      <c r="T165" s="4488" t="n"/>
      <c r="U165" s="4488" t="n"/>
      <c r="V165" s="4488" t="n"/>
      <c r="W165" s="4488" t="n"/>
      <c r="X165" s="4488" t="n"/>
      <c r="Y165" s="4488" t="n"/>
      <c r="Z165" s="4488" t="n"/>
      <c r="AA165" s="4488" t="n"/>
      <c r="AB165" s="4488" t="n"/>
      <c r="AC165" s="4488" t="n"/>
      <c r="AD165" s="4488" t="n"/>
    </row>
    <row r="166" ht="21" customHeight="1">
      <c r="B166" s="4488" t="n"/>
      <c r="C166" s="4488" t="n"/>
      <c r="D166" s="4488" t="n"/>
      <c r="E166" s="4488" t="n"/>
      <c r="F166" s="4488" t="n"/>
      <c r="G166" s="4488" t="n"/>
      <c r="H166" s="4488" t="n"/>
      <c r="I166" s="4488" t="n"/>
      <c r="J166" s="4488" t="n"/>
      <c r="K166" s="4488" t="n"/>
      <c r="L166" s="4488" t="n"/>
      <c r="M166" s="4488" t="n"/>
      <c r="N166" s="4488" t="n"/>
      <c r="O166" s="4488" t="n"/>
      <c r="P166" s="4488" t="n"/>
      <c r="Q166" s="4488" t="n"/>
      <c r="R166" s="4488" t="n"/>
      <c r="S166" s="4488" t="n"/>
      <c r="T166" s="4488" t="n"/>
      <c r="U166" s="4488" t="n"/>
      <c r="V166" s="4488" t="n"/>
      <c r="W166" s="4488" t="n"/>
      <c r="X166" s="4488" t="n"/>
      <c r="Y166" s="4488" t="n"/>
      <c r="Z166" s="4488" t="n"/>
      <c r="AA166" s="4488" t="n"/>
      <c r="AB166" s="4488" t="n"/>
      <c r="AC166" s="4488" t="n"/>
      <c r="AD166" s="4488" t="n"/>
    </row>
    <row r="167" ht="21" customHeight="1">
      <c r="B167" s="4488" t="n"/>
      <c r="C167" s="4488" t="n"/>
      <c r="D167" s="4488" t="n"/>
      <c r="E167" s="4488" t="n"/>
      <c r="F167" s="4488" t="n"/>
      <c r="G167" s="4488" t="n"/>
      <c r="H167" s="4488" t="n"/>
      <c r="I167" s="4488" t="n"/>
      <c r="J167" s="4488" t="n"/>
      <c r="K167" s="4488" t="n"/>
      <c r="L167" s="4488" t="n"/>
      <c r="M167" s="4488" t="n"/>
      <c r="N167" s="4488" t="n"/>
      <c r="O167" s="4488" t="n"/>
      <c r="P167" s="4488" t="n"/>
      <c r="Q167" s="4488" t="n"/>
      <c r="R167" s="4488" t="n"/>
      <c r="S167" s="4488" t="n"/>
      <c r="T167" s="4488" t="n"/>
      <c r="U167" s="4488" t="n"/>
      <c r="V167" s="4488" t="n"/>
      <c r="W167" s="4488" t="n"/>
      <c r="X167" s="4488" t="n"/>
      <c r="Y167" s="4488" t="n"/>
      <c r="Z167" s="4488" t="n"/>
      <c r="AA167" s="4488" t="n"/>
      <c r="AB167" s="4488" t="n"/>
      <c r="AC167" s="4488" t="n"/>
      <c r="AD167" s="4488" t="n"/>
    </row>
    <row r="168" ht="21" customHeight="1">
      <c r="B168" s="4488" t="n"/>
      <c r="C168" s="4488" t="n"/>
      <c r="D168" s="4488" t="n"/>
      <c r="E168" s="4488" t="n"/>
      <c r="F168" s="4488" t="n"/>
      <c r="G168" s="4488" t="n"/>
      <c r="H168" s="4488" t="n"/>
      <c r="I168" s="4488" t="n"/>
      <c r="J168" s="4488" t="n"/>
      <c r="K168" s="4488" t="n"/>
      <c r="L168" s="4488" t="n"/>
      <c r="M168" s="4488" t="n"/>
      <c r="N168" s="4488" t="n"/>
      <c r="O168" s="4488" t="n"/>
      <c r="P168" s="4488" t="n"/>
      <c r="Q168" s="4488" t="n"/>
      <c r="R168" s="4488" t="n"/>
      <c r="S168" s="4488" t="n"/>
      <c r="T168" s="4488" t="n"/>
      <c r="U168" s="4488" t="n"/>
      <c r="V168" s="4488" t="n"/>
      <c r="W168" s="4488" t="n"/>
      <c r="X168" s="4488" t="n"/>
      <c r="Y168" s="4488" t="n"/>
      <c r="Z168" s="4488" t="n"/>
      <c r="AA168" s="4488" t="n"/>
      <c r="AB168" s="4488" t="n"/>
      <c r="AC168" s="4488" t="n"/>
      <c r="AD168" s="4488" t="n"/>
    </row>
    <row r="169" ht="21" customHeight="1">
      <c r="B169" s="4488" t="n"/>
      <c r="C169" s="4488" t="n"/>
      <c r="D169" s="4488" t="n"/>
      <c r="E169" s="4488" t="n"/>
      <c r="F169" s="4488" t="n"/>
      <c r="G169" s="4488" t="n"/>
      <c r="H169" s="4488" t="n"/>
      <c r="I169" s="4488" t="n"/>
      <c r="J169" s="4488" t="n"/>
      <c r="K169" s="4488" t="n"/>
      <c r="L169" s="4488" t="n"/>
      <c r="M169" s="4488" t="n"/>
      <c r="N169" s="4488" t="n"/>
      <c r="O169" s="4488" t="n"/>
      <c r="P169" s="4488" t="n"/>
      <c r="Q169" s="4488" t="n"/>
      <c r="R169" s="4488" t="n"/>
      <c r="S169" s="4488" t="n"/>
      <c r="T169" s="4488" t="n"/>
      <c r="U169" s="4488" t="n"/>
      <c r="V169" s="4488" t="n"/>
      <c r="W169" s="4488" t="n"/>
      <c r="X169" s="4488" t="n"/>
      <c r="Y169" s="4488" t="n"/>
      <c r="Z169" s="4488" t="n"/>
      <c r="AA169" s="4488" t="n"/>
      <c r="AB169" s="4488" t="n"/>
      <c r="AC169" s="4488" t="n"/>
      <c r="AD169" s="4488" t="n"/>
    </row>
    <row r="170" ht="21" customHeight="1">
      <c r="B170" s="4488" t="n"/>
      <c r="C170" s="4488" t="n"/>
      <c r="D170" s="4488" t="n"/>
      <c r="E170" s="4488" t="n"/>
      <c r="F170" s="4488" t="n"/>
      <c r="G170" s="4488" t="n"/>
      <c r="H170" s="4488" t="n"/>
      <c r="I170" s="4488" t="n"/>
      <c r="J170" s="4488" t="n"/>
      <c r="K170" s="4488" t="n"/>
      <c r="L170" s="4488" t="n"/>
      <c r="M170" s="4488" t="n"/>
      <c r="N170" s="4488" t="n"/>
      <c r="O170" s="4488" t="n"/>
      <c r="P170" s="4488" t="n"/>
      <c r="Q170" s="4488" t="n"/>
      <c r="R170" s="4488" t="n"/>
      <c r="S170" s="4488" t="n"/>
      <c r="T170" s="4488" t="n"/>
      <c r="U170" s="4488" t="n"/>
      <c r="V170" s="4488" t="n"/>
      <c r="W170" s="4488" t="n"/>
      <c r="X170" s="4488" t="n"/>
      <c r="Y170" s="4488" t="n"/>
      <c r="Z170" s="4488" t="n"/>
      <c r="AA170" s="4488" t="n"/>
      <c r="AB170" s="4488" t="n"/>
      <c r="AC170" s="4488" t="n"/>
      <c r="AD170" s="4488" t="n"/>
    </row>
    <row r="171" ht="21" customHeight="1">
      <c r="B171" s="4488" t="n"/>
      <c r="C171" s="4488" t="n"/>
      <c r="D171" s="4488" t="n"/>
      <c r="E171" s="4488" t="n"/>
      <c r="F171" s="4488" t="n"/>
      <c r="G171" s="4488" t="n"/>
      <c r="H171" s="4488" t="n"/>
      <c r="I171" s="4488" t="n"/>
      <c r="J171" s="4488" t="n"/>
      <c r="K171" s="4488" t="n"/>
      <c r="L171" s="4488" t="n"/>
      <c r="M171" s="4488" t="n"/>
      <c r="N171" s="4488" t="n"/>
      <c r="O171" s="4488" t="n"/>
      <c r="P171" s="4488" t="n"/>
      <c r="Q171" s="4488" t="n"/>
      <c r="R171" s="4488" t="n"/>
      <c r="S171" s="4488" t="n"/>
      <c r="T171" s="4488" t="n"/>
      <c r="U171" s="4488" t="n"/>
      <c r="V171" s="4488" t="n"/>
      <c r="W171" s="4488" t="n"/>
      <c r="X171" s="4488" t="n"/>
      <c r="Y171" s="4488" t="n"/>
      <c r="Z171" s="4488" t="n"/>
      <c r="AA171" s="4488" t="n"/>
      <c r="AB171" s="4488" t="n"/>
      <c r="AC171" s="4488" t="n"/>
      <c r="AD171" s="4488" t="n"/>
    </row>
    <row r="172" ht="21" customHeight="1">
      <c r="B172" s="4488" t="n"/>
      <c r="C172" s="4488" t="n"/>
      <c r="D172" s="4488" t="n"/>
      <c r="E172" s="4488" t="n"/>
      <c r="F172" s="4488" t="n"/>
      <c r="G172" s="4488" t="n"/>
      <c r="H172" s="4488" t="n"/>
      <c r="I172" s="4488" t="n"/>
      <c r="J172" s="4488" t="n"/>
      <c r="K172" s="4488" t="n"/>
      <c r="L172" s="4488" t="n"/>
      <c r="M172" s="4488" t="n"/>
      <c r="N172" s="4488" t="n"/>
      <c r="O172" s="4488" t="n"/>
      <c r="P172" s="4488" t="n"/>
      <c r="Q172" s="4488" t="n"/>
      <c r="R172" s="4488" t="n"/>
      <c r="S172" s="4488" t="n"/>
      <c r="T172" s="4488" t="n"/>
      <c r="U172" s="4488" t="n"/>
      <c r="V172" s="4488" t="n"/>
      <c r="W172" s="4488" t="n"/>
      <c r="X172" s="4488" t="n"/>
      <c r="Y172" s="4488" t="n"/>
      <c r="Z172" s="4488" t="n"/>
      <c r="AA172" s="4488" t="n"/>
      <c r="AB172" s="4488" t="n"/>
      <c r="AC172" s="4488" t="n"/>
      <c r="AD172" s="4488" t="n"/>
    </row>
    <row r="173" ht="21" customHeight="1">
      <c r="B173" s="4488" t="n"/>
      <c r="C173" s="4488" t="n"/>
      <c r="D173" s="4488" t="n"/>
      <c r="E173" s="4488" t="n"/>
      <c r="F173" s="4488" t="n"/>
      <c r="G173" s="4488" t="n"/>
      <c r="H173" s="4488" t="n"/>
      <c r="I173" s="4488" t="n"/>
      <c r="J173" s="4488" t="n"/>
      <c r="K173" s="4488" t="n"/>
      <c r="L173" s="4488" t="n"/>
      <c r="M173" s="4488" t="n"/>
      <c r="N173" s="4488" t="n"/>
      <c r="O173" s="4488" t="n"/>
      <c r="P173" s="4488" t="n"/>
      <c r="Q173" s="4488" t="n"/>
      <c r="R173" s="4488" t="n"/>
      <c r="S173" s="4488" t="n"/>
      <c r="T173" s="4488" t="n"/>
      <c r="U173" s="4488" t="n"/>
      <c r="V173" s="4488" t="n"/>
      <c r="W173" s="4488" t="n"/>
      <c r="X173" s="4488" t="n"/>
      <c r="Y173" s="4488" t="n"/>
      <c r="Z173" s="4488" t="n"/>
      <c r="AA173" s="4488" t="n"/>
      <c r="AB173" s="4488" t="n"/>
      <c r="AC173" s="4488" t="n"/>
      <c r="AD173" s="4488" t="n"/>
    </row>
    <row r="174" ht="21" customHeight="1">
      <c r="B174" s="4488" t="n"/>
      <c r="C174" s="4488" t="n"/>
      <c r="D174" s="4488" t="n"/>
      <c r="E174" s="4488" t="n"/>
      <c r="F174" s="4488" t="n"/>
      <c r="G174" s="4488" t="n"/>
      <c r="H174" s="4488" t="n"/>
      <c r="I174" s="4488" t="n"/>
      <c r="J174" s="4488" t="n"/>
      <c r="K174" s="4488" t="n"/>
      <c r="L174" s="4488" t="n"/>
      <c r="M174" s="4488" t="n"/>
      <c r="N174" s="4488" t="n"/>
      <c r="O174" s="4488" t="n"/>
      <c r="P174" s="4488" t="n"/>
      <c r="Q174" s="4488" t="n"/>
      <c r="R174" s="4488" t="n"/>
      <c r="S174" s="4488" t="n"/>
      <c r="T174" s="4488" t="n"/>
      <c r="U174" s="4488" t="n"/>
      <c r="V174" s="4488" t="n"/>
      <c r="W174" s="4488" t="n"/>
      <c r="X174" s="4488" t="n"/>
      <c r="Y174" s="4488" t="n"/>
      <c r="Z174" s="4488" t="n"/>
      <c r="AA174" s="4488" t="n"/>
      <c r="AB174" s="4488" t="n"/>
      <c r="AC174" s="4488" t="n"/>
      <c r="AD174" s="4488" t="n"/>
    </row>
    <row r="175" ht="21" customHeight="1">
      <c r="B175" s="4488" t="n"/>
      <c r="C175" s="4488" t="n"/>
      <c r="D175" s="4488" t="n"/>
      <c r="E175" s="4488" t="n"/>
      <c r="F175" s="4488" t="n"/>
      <c r="G175" s="4488" t="n"/>
      <c r="H175" s="4488" t="n"/>
      <c r="I175" s="4488" t="n"/>
      <c r="J175" s="4488" t="n"/>
      <c r="K175" s="4488" t="n"/>
      <c r="L175" s="4488" t="n"/>
      <c r="M175" s="4488" t="n"/>
      <c r="N175" s="4488" t="n"/>
      <c r="O175" s="4488" t="n"/>
      <c r="P175" s="4488" t="n"/>
      <c r="Q175" s="4488" t="n"/>
      <c r="R175" s="4488" t="n"/>
      <c r="S175" s="4488" t="n"/>
      <c r="T175" s="4488" t="n"/>
      <c r="U175" s="4488" t="n"/>
      <c r="V175" s="4488" t="n"/>
      <c r="W175" s="4488" t="n"/>
      <c r="X175" s="4488" t="n"/>
      <c r="Y175" s="4488" t="n"/>
      <c r="Z175" s="4488" t="n"/>
      <c r="AA175" s="4488" t="n"/>
      <c r="AB175" s="4488" t="n"/>
      <c r="AC175" s="4488" t="n"/>
      <c r="AD175" s="4488" t="n"/>
    </row>
    <row r="176" ht="21" customHeight="1">
      <c r="B176" s="4488" t="n"/>
      <c r="C176" s="4488" t="n"/>
      <c r="D176" s="4488" t="n"/>
      <c r="E176" s="4488" t="n"/>
      <c r="F176" s="4488" t="n"/>
      <c r="G176" s="4488" t="n"/>
      <c r="H176" s="4488" t="n"/>
      <c r="I176" s="4488" t="n"/>
      <c r="J176" s="4488" t="n"/>
      <c r="K176" s="4488" t="n"/>
      <c r="L176" s="4488" t="n"/>
      <c r="M176" s="4488" t="n"/>
      <c r="N176" s="4488" t="n"/>
      <c r="O176" s="4488" t="n"/>
      <c r="P176" s="4488" t="n"/>
      <c r="Q176" s="4488" t="n"/>
      <c r="R176" s="4488" t="n"/>
      <c r="S176" s="4488" t="n"/>
      <c r="T176" s="4488" t="n"/>
      <c r="U176" s="4488" t="n"/>
      <c r="V176" s="4488" t="n"/>
      <c r="W176" s="4488" t="n"/>
      <c r="X176" s="4488" t="n"/>
      <c r="Y176" s="4488" t="n"/>
      <c r="Z176" s="4488" t="n"/>
      <c r="AA176" s="4488" t="n"/>
      <c r="AB176" s="4488" t="n"/>
      <c r="AC176" s="4488" t="n"/>
      <c r="AD176" s="4488" t="n"/>
    </row>
    <row r="177" ht="21" customHeight="1">
      <c r="B177" s="4488" t="n"/>
      <c r="C177" s="4488" t="n"/>
      <c r="D177" s="4488" t="n"/>
      <c r="E177" s="4488" t="n"/>
      <c r="F177" s="4488" t="n"/>
      <c r="G177" s="4488" t="n"/>
      <c r="H177" s="4488" t="n"/>
      <c r="I177" s="4488" t="n"/>
      <c r="J177" s="4488" t="n"/>
      <c r="K177" s="4488" t="n"/>
      <c r="L177" s="4488" t="n"/>
      <c r="M177" s="4488" t="n"/>
      <c r="N177" s="4488" t="n"/>
      <c r="O177" s="4488" t="n"/>
      <c r="P177" s="4488" t="n"/>
      <c r="Q177" s="4488" t="n"/>
      <c r="R177" s="4488" t="n"/>
      <c r="S177" s="4488" t="n"/>
      <c r="T177" s="4488" t="n"/>
      <c r="U177" s="4488" t="n"/>
      <c r="V177" s="4488" t="n"/>
      <c r="W177" s="4488" t="n"/>
      <c r="X177" s="4488" t="n"/>
      <c r="Y177" s="4488" t="n"/>
      <c r="Z177" s="4488" t="n"/>
      <c r="AA177" s="4488" t="n"/>
      <c r="AB177" s="4488" t="n"/>
      <c r="AC177" s="4488" t="n"/>
      <c r="AD177" s="4488" t="n"/>
    </row>
    <row r="178" ht="21" customHeight="1">
      <c r="B178" s="4488" t="n"/>
      <c r="C178" s="4488" t="n"/>
      <c r="D178" s="4488" t="n"/>
      <c r="E178" s="4488" t="n"/>
      <c r="F178" s="4488" t="n"/>
      <c r="G178" s="4488" t="n"/>
      <c r="H178" s="4488" t="n"/>
      <c r="I178" s="4488" t="n"/>
      <c r="J178" s="4488" t="n"/>
      <c r="K178" s="4488" t="n"/>
      <c r="L178" s="4488" t="n"/>
      <c r="M178" s="4488" t="n"/>
      <c r="N178" s="4488" t="n"/>
      <c r="O178" s="4488" t="n"/>
      <c r="P178" s="4488" t="n"/>
      <c r="Q178" s="4488" t="n"/>
      <c r="R178" s="4488" t="n"/>
      <c r="S178" s="4488" t="n"/>
      <c r="T178" s="4488" t="n"/>
      <c r="U178" s="4488" t="n"/>
      <c r="V178" s="4488" t="n"/>
      <c r="W178" s="4488" t="n"/>
      <c r="X178" s="4488" t="n"/>
      <c r="Y178" s="4488" t="n"/>
      <c r="Z178" s="4488" t="n"/>
      <c r="AA178" s="4488" t="n"/>
      <c r="AB178" s="4488" t="n"/>
      <c r="AC178" s="4488" t="n"/>
      <c r="AD178" s="4488" t="n"/>
    </row>
    <row r="179" ht="21" customHeight="1">
      <c r="B179" s="4488" t="n"/>
      <c r="C179" s="4488" t="n"/>
      <c r="D179" s="4488" t="n"/>
      <c r="E179" s="4488" t="n"/>
      <c r="F179" s="4488" t="n"/>
      <c r="G179" s="4488" t="n"/>
      <c r="H179" s="4488" t="n"/>
      <c r="I179" s="4488" t="n"/>
      <c r="J179" s="4488" t="n"/>
      <c r="K179" s="4488" t="n"/>
      <c r="L179" s="4488" t="n"/>
      <c r="M179" s="4488" t="n"/>
      <c r="N179" s="4488" t="n"/>
      <c r="O179" s="4488" t="n"/>
      <c r="P179" s="4488" t="n"/>
      <c r="Q179" s="4488" t="n"/>
      <c r="R179" s="4488" t="n"/>
      <c r="S179" s="4488" t="n"/>
      <c r="T179" s="4488" t="n"/>
      <c r="U179" s="4488" t="n"/>
      <c r="V179" s="4488" t="n"/>
      <c r="W179" s="4488" t="n"/>
      <c r="X179" s="4488" t="n"/>
      <c r="Y179" s="4488" t="n"/>
      <c r="Z179" s="4488" t="n"/>
      <c r="AA179" s="4488" t="n"/>
      <c r="AB179" s="4488" t="n"/>
      <c r="AC179" s="4488" t="n"/>
      <c r="AD179" s="4488" t="n"/>
    </row>
    <row r="180" ht="21" customHeight="1">
      <c r="B180" s="4488" t="n"/>
      <c r="C180" s="4488" t="n"/>
      <c r="D180" s="4488" t="n"/>
      <c r="E180" s="4488" t="n"/>
      <c r="F180" s="4488" t="n"/>
      <c r="G180" s="4488" t="n"/>
      <c r="H180" s="4488" t="n"/>
      <c r="I180" s="4488" t="n"/>
      <c r="J180" s="4488" t="n"/>
      <c r="K180" s="4488" t="n"/>
      <c r="L180" s="4488" t="n"/>
      <c r="M180" s="4488" t="n"/>
      <c r="N180" s="4488" t="n"/>
      <c r="O180" s="4488" t="n"/>
      <c r="P180" s="4488" t="n"/>
      <c r="Q180" s="4488" t="n"/>
      <c r="R180" s="4488" t="n"/>
      <c r="S180" s="4488" t="n"/>
      <c r="T180" s="4488" t="n"/>
      <c r="U180" s="4488" t="n"/>
      <c r="V180" s="4488" t="n"/>
      <c r="W180" s="4488" t="n"/>
      <c r="X180" s="4488" t="n"/>
      <c r="Y180" s="4488" t="n"/>
      <c r="Z180" s="4488" t="n"/>
      <c r="AA180" s="4488" t="n"/>
      <c r="AB180" s="4488" t="n"/>
      <c r="AC180" s="4488" t="n"/>
      <c r="AD180" s="4488" t="n"/>
    </row>
    <row r="181" ht="21" customHeight="1">
      <c r="B181" s="4488" t="n"/>
      <c r="C181" s="4488" t="n"/>
      <c r="D181" s="4488" t="n"/>
      <c r="E181" s="4488" t="n"/>
      <c r="F181" s="4488" t="n"/>
      <c r="G181" s="4488" t="n"/>
      <c r="H181" s="4488" t="n"/>
      <c r="I181" s="4488" t="n"/>
      <c r="J181" s="4488" t="n"/>
      <c r="K181" s="4488" t="n"/>
      <c r="L181" s="4488" t="n"/>
      <c r="M181" s="4488" t="n"/>
      <c r="N181" s="4488" t="n"/>
      <c r="O181" s="4488" t="n"/>
      <c r="P181" s="4488" t="n"/>
      <c r="Q181" s="4488" t="n"/>
      <c r="R181" s="4488" t="n"/>
      <c r="S181" s="4488" t="n"/>
      <c r="T181" s="4488" t="n"/>
      <c r="U181" s="4488" t="n"/>
      <c r="V181" s="4488" t="n"/>
      <c r="W181" s="4488" t="n"/>
      <c r="X181" s="4488" t="n"/>
      <c r="Y181" s="4488" t="n"/>
      <c r="Z181" s="4488" t="n"/>
      <c r="AA181" s="4488" t="n"/>
      <c r="AB181" s="4488" t="n"/>
      <c r="AC181" s="4488" t="n"/>
      <c r="AD181" s="4488" t="n"/>
    </row>
    <row r="182" ht="21" customHeight="1">
      <c r="B182" s="4488" t="n"/>
      <c r="C182" s="4488" t="n"/>
      <c r="D182" s="4488" t="n"/>
      <c r="E182" s="4488" t="n"/>
      <c r="F182" s="4488" t="n"/>
      <c r="G182" s="4488" t="n"/>
      <c r="H182" s="4488" t="n"/>
      <c r="I182" s="4488" t="n"/>
      <c r="J182" s="4488" t="n"/>
      <c r="K182" s="4488" t="n"/>
      <c r="L182" s="4488" t="n"/>
      <c r="M182" s="4488" t="n"/>
      <c r="N182" s="4488" t="n"/>
      <c r="O182" s="4488" t="n"/>
      <c r="P182" s="4488" t="n"/>
      <c r="Q182" s="4488" t="n"/>
      <c r="R182" s="4488" t="n"/>
      <c r="S182" s="4488" t="n"/>
      <c r="T182" s="4488" t="n"/>
      <c r="U182" s="4488" t="n"/>
      <c r="V182" s="4488" t="n"/>
      <c r="W182" s="4488" t="n"/>
      <c r="X182" s="4488" t="n"/>
      <c r="Y182" s="4488" t="n"/>
      <c r="Z182" s="4488" t="n"/>
      <c r="AA182" s="4488" t="n"/>
      <c r="AB182" s="4488" t="n"/>
      <c r="AC182" s="4488" t="n"/>
      <c r="AD182" s="4488" t="n"/>
    </row>
    <row r="183" ht="21" customHeight="1">
      <c r="B183" s="4488" t="n"/>
      <c r="C183" s="4488" t="n"/>
      <c r="D183" s="4488" t="n"/>
      <c r="E183" s="4488" t="n"/>
      <c r="F183" s="4488" t="n"/>
      <c r="G183" s="4488" t="n"/>
      <c r="H183" s="4488" t="n"/>
      <c r="I183" s="4488" t="n"/>
      <c r="J183" s="4488" t="n"/>
      <c r="K183" s="4488" t="n"/>
      <c r="L183" s="4488" t="n"/>
      <c r="M183" s="4488" t="n"/>
      <c r="N183" s="4488" t="n"/>
      <c r="O183" s="4488" t="n"/>
      <c r="P183" s="4488" t="n"/>
      <c r="Q183" s="4488" t="n"/>
      <c r="R183" s="4488" t="n"/>
      <c r="S183" s="4488" t="n"/>
      <c r="T183" s="4488" t="n"/>
      <c r="U183" s="4488" t="n"/>
      <c r="V183" s="4488" t="n"/>
      <c r="W183" s="4488" t="n"/>
      <c r="X183" s="4488" t="n"/>
      <c r="Y183" s="4488" t="n"/>
      <c r="Z183" s="4488" t="n"/>
      <c r="AA183" s="4488" t="n"/>
      <c r="AB183" s="4488" t="n"/>
      <c r="AC183" s="4488" t="n"/>
      <c r="AD183" s="4488" t="n"/>
    </row>
    <row r="184" ht="21" customHeight="1">
      <c r="B184" s="4488" t="n"/>
      <c r="C184" s="4488" t="n"/>
      <c r="D184" s="4488" t="n"/>
      <c r="E184" s="4488" t="n"/>
      <c r="F184" s="4488" t="n"/>
      <c r="G184" s="4488" t="n"/>
      <c r="H184" s="4488" t="n"/>
      <c r="I184" s="4488" t="n"/>
      <c r="J184" s="4488" t="n"/>
      <c r="K184" s="4488" t="n"/>
      <c r="L184" s="4488" t="n"/>
      <c r="M184" s="4488" t="n"/>
      <c r="N184" s="4488" t="n"/>
      <c r="O184" s="4488" t="n"/>
      <c r="P184" s="4488" t="n"/>
      <c r="Q184" s="4488" t="n"/>
      <c r="R184" s="4488" t="n"/>
      <c r="S184" s="4488" t="n"/>
      <c r="T184" s="4488" t="n"/>
      <c r="U184" s="4488" t="n"/>
      <c r="V184" s="4488" t="n"/>
      <c r="W184" s="4488" t="n"/>
      <c r="X184" s="4488" t="n"/>
      <c r="Y184" s="4488" t="n"/>
      <c r="Z184" s="4488" t="n"/>
      <c r="AA184" s="4488" t="n"/>
      <c r="AB184" s="4488" t="n"/>
      <c r="AC184" s="4488" t="n"/>
      <c r="AD184" s="4488" t="n"/>
    </row>
    <row r="185" ht="21" customHeight="1">
      <c r="B185" s="4488" t="n"/>
      <c r="C185" s="4488" t="n"/>
      <c r="D185" s="4488" t="n"/>
      <c r="E185" s="4488" t="n"/>
      <c r="F185" s="4488" t="n"/>
      <c r="G185" s="4488" t="n"/>
      <c r="H185" s="4488" t="n"/>
      <c r="I185" s="4488" t="n"/>
      <c r="J185" s="4488" t="n"/>
      <c r="K185" s="4488" t="n"/>
      <c r="L185" s="4488" t="n"/>
      <c r="M185" s="4488" t="n"/>
      <c r="N185" s="4488" t="n"/>
      <c r="O185" s="4488" t="n"/>
      <c r="P185" s="4488" t="n"/>
      <c r="Q185" s="4488" t="n"/>
      <c r="R185" s="4488" t="n"/>
      <c r="S185" s="4488" t="n"/>
      <c r="T185" s="4488" t="n"/>
      <c r="U185" s="4488" t="n"/>
      <c r="V185" s="4488" t="n"/>
      <c r="W185" s="4488" t="n"/>
      <c r="X185" s="4488" t="n"/>
      <c r="Y185" s="4488" t="n"/>
      <c r="Z185" s="4488" t="n"/>
      <c r="AA185" s="4488" t="n"/>
      <c r="AB185" s="4488" t="n"/>
      <c r="AC185" s="4488" t="n"/>
      <c r="AD185" s="4488" t="n"/>
    </row>
    <row r="186" ht="21" customHeight="1">
      <c r="B186" s="4488" t="n"/>
      <c r="C186" s="4488" t="n"/>
      <c r="D186" s="4488" t="n"/>
      <c r="E186" s="4488" t="n"/>
      <c r="F186" s="4488" t="n"/>
      <c r="G186" s="4488" t="n"/>
      <c r="H186" s="4488" t="n"/>
      <c r="I186" s="4488" t="n"/>
      <c r="J186" s="4488" t="n"/>
      <c r="K186" s="4488" t="n"/>
      <c r="L186" s="4488" t="n"/>
      <c r="M186" s="4488" t="n"/>
      <c r="N186" s="4488" t="n"/>
      <c r="O186" s="4488" t="n"/>
      <c r="P186" s="4488" t="n"/>
      <c r="Q186" s="4488" t="n"/>
      <c r="R186" s="4488" t="n"/>
      <c r="S186" s="4488" t="n"/>
      <c r="T186" s="4488" t="n"/>
      <c r="U186" s="4488" t="n"/>
      <c r="V186" s="4488" t="n"/>
      <c r="W186" s="4488" t="n"/>
      <c r="X186" s="4488" t="n"/>
      <c r="Y186" s="4488" t="n"/>
      <c r="Z186" s="4488" t="n"/>
      <c r="AA186" s="4488" t="n"/>
      <c r="AB186" s="4488" t="n"/>
      <c r="AC186" s="4488" t="n"/>
      <c r="AD186" s="4488" t="n"/>
    </row>
    <row r="187" ht="21" customHeight="1">
      <c r="B187" s="4488" t="n"/>
      <c r="C187" s="4488" t="n"/>
      <c r="D187" s="4488" t="n"/>
      <c r="E187" s="4488" t="n"/>
      <c r="F187" s="4488" t="n"/>
      <c r="G187" s="4488" t="n"/>
      <c r="H187" s="4488" t="n"/>
      <c r="I187" s="4488" t="n"/>
      <c r="J187" s="4488" t="n"/>
      <c r="K187" s="4488" t="n"/>
      <c r="L187" s="4488" t="n"/>
      <c r="M187" s="4488" t="n"/>
      <c r="N187" s="4488" t="n"/>
      <c r="O187" s="4488" t="n"/>
      <c r="P187" s="4488" t="n"/>
      <c r="Q187" s="4488" t="n"/>
      <c r="R187" s="4488" t="n"/>
      <c r="S187" s="4488" t="n"/>
      <c r="T187" s="4488" t="n"/>
      <c r="U187" s="4488" t="n"/>
      <c r="V187" s="4488" t="n"/>
      <c r="W187" s="4488" t="n"/>
      <c r="X187" s="4488" t="n"/>
      <c r="Y187" s="4488" t="n"/>
      <c r="Z187" s="4488" t="n"/>
      <c r="AA187" s="4488" t="n"/>
      <c r="AB187" s="4488" t="n"/>
      <c r="AC187" s="4488" t="n"/>
      <c r="AD187" s="4488" t="n"/>
    </row>
    <row r="188" ht="21" customHeight="1">
      <c r="B188" s="4488" t="n"/>
      <c r="C188" s="4488" t="n"/>
      <c r="D188" s="4488" t="n"/>
      <c r="E188" s="4488" t="n"/>
      <c r="F188" s="4488" t="n"/>
      <c r="G188" s="4488" t="n"/>
      <c r="H188" s="4488" t="n"/>
      <c r="I188" s="4488" t="n"/>
      <c r="J188" s="4488" t="n"/>
      <c r="K188" s="4488" t="n"/>
      <c r="L188" s="4488" t="n"/>
      <c r="M188" s="4488" t="n"/>
      <c r="N188" s="4488" t="n"/>
      <c r="O188" s="4488" t="n"/>
      <c r="P188" s="4488" t="n"/>
      <c r="Q188" s="4488" t="n"/>
      <c r="R188" s="4488" t="n"/>
      <c r="S188" s="4488" t="n"/>
      <c r="T188" s="4488" t="n"/>
      <c r="U188" s="4488" t="n"/>
      <c r="V188" s="4488" t="n"/>
      <c r="W188" s="4488" t="n"/>
      <c r="X188" s="4488" t="n"/>
      <c r="Y188" s="4488" t="n"/>
      <c r="Z188" s="4488" t="n"/>
      <c r="AA188" s="4488" t="n"/>
      <c r="AB188" s="4488" t="n"/>
      <c r="AC188" s="4488" t="n"/>
      <c r="AD188" s="4488" t="n"/>
    </row>
    <row r="189" ht="21" customHeight="1">
      <c r="B189" s="4488" t="n"/>
      <c r="C189" s="4488" t="n"/>
      <c r="D189" s="4488" t="n"/>
      <c r="E189" s="4488" t="n"/>
      <c r="F189" s="4488" t="n"/>
      <c r="G189" s="4488" t="n"/>
      <c r="H189" s="4488" t="n"/>
      <c r="I189" s="4488" t="n"/>
      <c r="J189" s="4488" t="n"/>
      <c r="K189" s="4488" t="n"/>
      <c r="L189" s="4488" t="n"/>
      <c r="M189" s="4488" t="n"/>
      <c r="N189" s="4488" t="n"/>
      <c r="O189" s="4488" t="n"/>
      <c r="P189" s="4488" t="n"/>
      <c r="Q189" s="4488" t="n"/>
      <c r="R189" s="4488" t="n"/>
      <c r="S189" s="4488" t="n"/>
      <c r="T189" s="4488" t="n"/>
      <c r="U189" s="4488" t="n"/>
      <c r="V189" s="4488" t="n"/>
      <c r="W189" s="4488" t="n"/>
      <c r="X189" s="4488" t="n"/>
      <c r="Y189" s="4488" t="n"/>
      <c r="Z189" s="4488" t="n"/>
      <c r="AA189" s="4488" t="n"/>
      <c r="AB189" s="4488" t="n"/>
      <c r="AC189" s="4488" t="n"/>
      <c r="AD189" s="4488" t="n"/>
    </row>
    <row r="190" ht="21" customHeight="1">
      <c r="B190" s="4488" t="n"/>
      <c r="C190" s="4488" t="n"/>
      <c r="D190" s="4488" t="n"/>
      <c r="E190" s="4488" t="n"/>
      <c r="F190" s="4488" t="n"/>
      <c r="G190" s="4488" t="n"/>
      <c r="H190" s="4488" t="n"/>
      <c r="I190" s="4488" t="n"/>
      <c r="J190" s="4488" t="n"/>
      <c r="K190" s="4488" t="n"/>
      <c r="L190" s="4488" t="n"/>
      <c r="M190" s="4488" t="n"/>
      <c r="N190" s="4488" t="n"/>
      <c r="O190" s="4488" t="n"/>
      <c r="P190" s="4488" t="n"/>
      <c r="Q190" s="4488" t="n"/>
      <c r="R190" s="4488" t="n"/>
      <c r="S190" s="4488" t="n"/>
      <c r="T190" s="4488" t="n"/>
      <c r="U190" s="4488" t="n"/>
      <c r="V190" s="4488" t="n"/>
      <c r="W190" s="4488" t="n"/>
      <c r="X190" s="4488" t="n"/>
      <c r="Y190" s="4488" t="n"/>
      <c r="Z190" s="4488" t="n"/>
      <c r="AA190" s="4488" t="n"/>
      <c r="AB190" s="4488" t="n"/>
      <c r="AC190" s="4488" t="n"/>
      <c r="AD190" s="4488" t="n"/>
    </row>
    <row r="191" ht="21" customHeight="1">
      <c r="B191" s="4488" t="n"/>
      <c r="C191" s="4488" t="n"/>
      <c r="D191" s="4488" t="n"/>
      <c r="E191" s="4488" t="n"/>
      <c r="F191" s="4488" t="n"/>
      <c r="G191" s="4488" t="n"/>
      <c r="H191" s="4488" t="n"/>
      <c r="I191" s="4488" t="n"/>
      <c r="J191" s="4488" t="n"/>
      <c r="K191" s="4488" t="n"/>
      <c r="L191" s="4488" t="n"/>
      <c r="M191" s="4488" t="n"/>
      <c r="N191" s="4488" t="n"/>
      <c r="O191" s="4488" t="n"/>
      <c r="P191" s="4488" t="n"/>
      <c r="Q191" s="4488" t="n"/>
      <c r="R191" s="4488" t="n"/>
      <c r="S191" s="4488" t="n"/>
      <c r="T191" s="4488" t="n"/>
      <c r="U191" s="4488" t="n"/>
      <c r="V191" s="4488" t="n"/>
      <c r="W191" s="4488" t="n"/>
      <c r="X191" s="4488" t="n"/>
      <c r="Y191" s="4488" t="n"/>
      <c r="Z191" s="4488" t="n"/>
      <c r="AA191" s="4488" t="n"/>
      <c r="AB191" s="4488" t="n"/>
      <c r="AC191" s="4488" t="n"/>
      <c r="AD191" s="4488" t="n"/>
    </row>
    <row r="192" ht="21" customHeight="1">
      <c r="B192" s="4488" t="n"/>
      <c r="C192" s="4488" t="n"/>
      <c r="D192" s="4488" t="n"/>
      <c r="E192" s="4488" t="n"/>
      <c r="F192" s="4488" t="n"/>
      <c r="G192" s="4488" t="n"/>
      <c r="H192" s="4488" t="n"/>
      <c r="I192" s="4488" t="n"/>
      <c r="J192" s="4488" t="n"/>
      <c r="K192" s="4488" t="n"/>
      <c r="L192" s="4488" t="n"/>
      <c r="M192" s="4488" t="n"/>
      <c r="N192" s="4488" t="n"/>
      <c r="O192" s="4488" t="n"/>
      <c r="P192" s="4488" t="n"/>
      <c r="Q192" s="4488" t="n"/>
      <c r="R192" s="4488" t="n"/>
      <c r="S192" s="4488" t="n"/>
      <c r="T192" s="4488" t="n"/>
      <c r="U192" s="4488" t="n"/>
      <c r="V192" s="4488" t="n"/>
      <c r="W192" s="4488" t="n"/>
      <c r="X192" s="4488" t="n"/>
      <c r="Y192" s="4488" t="n"/>
      <c r="Z192" s="4488" t="n"/>
      <c r="AA192" s="4488" t="n"/>
      <c r="AB192" s="4488" t="n"/>
      <c r="AC192" s="4488" t="n"/>
      <c r="AD192" s="4488" t="n"/>
    </row>
    <row r="193" ht="21" customHeight="1">
      <c r="B193" s="4488" t="n"/>
      <c r="C193" s="4488" t="n"/>
      <c r="D193" s="4488" t="n"/>
      <c r="E193" s="4488" t="n"/>
      <c r="F193" s="4488" t="n"/>
      <c r="G193" s="4488" t="n"/>
      <c r="H193" s="4488" t="n"/>
      <c r="I193" s="4488" t="n"/>
      <c r="J193" s="4488" t="n"/>
      <c r="K193" s="4488" t="n"/>
      <c r="L193" s="4488" t="n"/>
      <c r="M193" s="4488" t="n"/>
      <c r="N193" s="4488" t="n"/>
      <c r="O193" s="4488" t="n"/>
      <c r="P193" s="4488" t="n"/>
      <c r="Q193" s="4488" t="n"/>
      <c r="R193" s="4488" t="n"/>
      <c r="S193" s="4488" t="n"/>
      <c r="T193" s="4488" t="n"/>
      <c r="U193" s="4488" t="n"/>
      <c r="V193" s="4488" t="n"/>
      <c r="W193" s="4488" t="n"/>
      <c r="X193" s="4488" t="n"/>
      <c r="Y193" s="4488" t="n"/>
      <c r="Z193" s="4488" t="n"/>
      <c r="AA193" s="4488" t="n"/>
      <c r="AB193" s="4488" t="n"/>
      <c r="AC193" s="4488" t="n"/>
      <c r="AD193" s="4488" t="n"/>
    </row>
    <row r="194" ht="21" customHeight="1">
      <c r="B194" s="4488" t="n"/>
      <c r="C194" s="4488" t="n"/>
      <c r="D194" s="4488" t="n"/>
      <c r="E194" s="4488" t="n"/>
      <c r="F194" s="4488" t="n"/>
      <c r="G194" s="4488" t="n"/>
      <c r="H194" s="4488" t="n"/>
      <c r="I194" s="4488" t="n"/>
      <c r="J194" s="4488" t="n"/>
      <c r="K194" s="4488" t="n"/>
      <c r="L194" s="4488" t="n"/>
      <c r="M194" s="4488" t="n"/>
      <c r="N194" s="4488" t="n"/>
      <c r="O194" s="4488" t="n"/>
      <c r="P194" s="4488" t="n"/>
      <c r="Q194" s="4488" t="n"/>
      <c r="R194" s="4488" t="n"/>
      <c r="S194" s="4488" t="n"/>
      <c r="T194" s="4488" t="n"/>
      <c r="U194" s="4488" t="n"/>
      <c r="V194" s="4488" t="n"/>
      <c r="W194" s="4488" t="n"/>
      <c r="X194" s="4488" t="n"/>
      <c r="Y194" s="4488" t="n"/>
      <c r="Z194" s="4488" t="n"/>
      <c r="AA194" s="4488" t="n"/>
      <c r="AB194" s="4488" t="n"/>
      <c r="AC194" s="4488" t="n"/>
      <c r="AD194" s="4488" t="n"/>
    </row>
    <row r="195" ht="21" customHeight="1">
      <c r="B195" s="4488" t="n"/>
      <c r="C195" s="4488" t="n"/>
      <c r="D195" s="4488" t="n"/>
      <c r="E195" s="4488" t="n"/>
      <c r="F195" s="4488" t="n"/>
      <c r="G195" s="4488" t="n"/>
      <c r="H195" s="4488" t="n"/>
      <c r="I195" s="4488" t="n"/>
      <c r="J195" s="4488" t="n"/>
      <c r="K195" s="4488" t="n"/>
      <c r="L195" s="4488" t="n"/>
      <c r="M195" s="4488" t="n"/>
      <c r="N195" s="4488" t="n"/>
      <c r="O195" s="4488" t="n"/>
      <c r="P195" s="4488" t="n"/>
      <c r="Q195" s="4488" t="n"/>
      <c r="R195" s="4488" t="n"/>
      <c r="S195" s="4488" t="n"/>
      <c r="T195" s="4488" t="n"/>
      <c r="U195" s="4488" t="n"/>
      <c r="V195" s="4488" t="n"/>
      <c r="W195" s="4488" t="n"/>
      <c r="X195" s="4488" t="n"/>
      <c r="Y195" s="4488" t="n"/>
      <c r="Z195" s="4488" t="n"/>
      <c r="AA195" s="4488" t="n"/>
      <c r="AB195" s="4488" t="n"/>
      <c r="AC195" s="4488" t="n"/>
      <c r="AD195" s="4488" t="n"/>
    </row>
    <row r="196" ht="21" customHeight="1">
      <c r="B196" s="4488" t="n"/>
      <c r="C196" s="4488" t="n"/>
      <c r="D196" s="4488" t="n"/>
      <c r="E196" s="4488" t="n"/>
      <c r="F196" s="4488" t="n"/>
      <c r="G196" s="4488" t="n"/>
      <c r="H196" s="4488" t="n"/>
      <c r="I196" s="4488" t="n"/>
      <c r="J196" s="4488" t="n"/>
      <c r="K196" s="4488" t="n"/>
      <c r="L196" s="4488" t="n"/>
      <c r="M196" s="4488" t="n"/>
      <c r="N196" s="4488" t="n"/>
      <c r="O196" s="4488" t="n"/>
      <c r="P196" s="4488" t="n"/>
      <c r="Q196" s="4488" t="n"/>
      <c r="R196" s="4488" t="n"/>
      <c r="S196" s="4488" t="n"/>
      <c r="T196" s="4488" t="n"/>
      <c r="U196" s="4488" t="n"/>
      <c r="V196" s="4488" t="n"/>
      <c r="W196" s="4488" t="n"/>
      <c r="X196" s="4488" t="n"/>
      <c r="Y196" s="4488" t="n"/>
      <c r="Z196" s="4488" t="n"/>
      <c r="AA196" s="4488" t="n"/>
      <c r="AB196" s="4488" t="n"/>
      <c r="AC196" s="4488" t="n"/>
      <c r="AD196" s="4488" t="n"/>
    </row>
    <row r="197" ht="21" customHeight="1">
      <c r="B197" s="4488" t="n"/>
      <c r="C197" s="4488" t="n"/>
      <c r="D197" s="4488" t="n"/>
      <c r="E197" s="4488" t="n"/>
      <c r="F197" s="4488" t="n"/>
      <c r="G197" s="4488" t="n"/>
      <c r="H197" s="4488" t="n"/>
      <c r="I197" s="4488" t="n"/>
      <c r="J197" s="4488" t="n"/>
      <c r="K197" s="4488" t="n"/>
      <c r="L197" s="4488" t="n"/>
      <c r="M197" s="4488" t="n"/>
      <c r="N197" s="4488" t="n"/>
      <c r="O197" s="4488" t="n"/>
      <c r="P197" s="4488" t="n"/>
      <c r="Q197" s="4488" t="n"/>
      <c r="R197" s="4488" t="n"/>
      <c r="S197" s="4488" t="n"/>
      <c r="T197" s="4488" t="n"/>
      <c r="U197" s="4488" t="n"/>
      <c r="V197" s="4488" t="n"/>
      <c r="W197" s="4488" t="n"/>
      <c r="X197" s="4488" t="n"/>
      <c r="Y197" s="4488" t="n"/>
      <c r="Z197" s="4488" t="n"/>
      <c r="AA197" s="4488" t="n"/>
      <c r="AB197" s="4488" t="n"/>
      <c r="AC197" s="4488" t="n"/>
      <c r="AD197" s="4488" t="n"/>
    </row>
    <row r="198" ht="21" customHeight="1">
      <c r="B198" s="4488" t="n"/>
      <c r="C198" s="4488" t="n"/>
      <c r="D198" s="4488" t="n"/>
      <c r="E198" s="4488" t="n"/>
      <c r="F198" s="4488" t="n"/>
      <c r="G198" s="4488" t="n"/>
      <c r="H198" s="4488" t="n"/>
      <c r="I198" s="4488" t="n"/>
      <c r="J198" s="4488" t="n"/>
      <c r="K198" s="4488" t="n"/>
      <c r="L198" s="4488" t="n"/>
      <c r="M198" s="4488" t="n"/>
      <c r="N198" s="4488" t="n"/>
      <c r="O198" s="4488" t="n"/>
      <c r="P198" s="4488" t="n"/>
      <c r="Q198" s="4488" t="n"/>
      <c r="R198" s="4488" t="n"/>
      <c r="S198" s="4488" t="n"/>
      <c r="T198" s="4488" t="n"/>
      <c r="U198" s="4488" t="n"/>
      <c r="V198" s="4488" t="n"/>
      <c r="W198" s="4488" t="n"/>
      <c r="X198" s="4488" t="n"/>
      <c r="Y198" s="4488" t="n"/>
      <c r="Z198" s="4488" t="n"/>
      <c r="AA198" s="4488" t="n"/>
      <c r="AB198" s="4488" t="n"/>
      <c r="AC198" s="4488" t="n"/>
      <c r="AD198" s="4488" t="n"/>
    </row>
    <row r="199" ht="21" customHeight="1">
      <c r="B199" s="4488" t="n"/>
      <c r="C199" s="4488" t="n"/>
      <c r="D199" s="4488" t="n"/>
      <c r="E199" s="4488" t="n"/>
      <c r="F199" s="4488" t="n"/>
      <c r="G199" s="4488" t="n"/>
      <c r="H199" s="4488" t="n"/>
      <c r="I199" s="4488" t="n"/>
      <c r="J199" s="4488" t="n"/>
      <c r="K199" s="4488" t="n"/>
      <c r="L199" s="4488" t="n"/>
      <c r="M199" s="4488" t="n"/>
      <c r="N199" s="4488" t="n"/>
      <c r="O199" s="4488" t="n"/>
      <c r="P199" s="4488" t="n"/>
      <c r="Q199" s="4488" t="n"/>
      <c r="R199" s="4488" t="n"/>
      <c r="S199" s="4488" t="n"/>
      <c r="T199" s="4488" t="n"/>
      <c r="U199" s="4488" t="n"/>
      <c r="V199" s="4488" t="n"/>
      <c r="W199" s="4488" t="n"/>
      <c r="X199" s="4488" t="n"/>
      <c r="Y199" s="4488" t="n"/>
      <c r="Z199" s="4488" t="n"/>
      <c r="AA199" s="4488" t="n"/>
      <c r="AB199" s="4488" t="n"/>
      <c r="AC199" s="4488" t="n"/>
      <c r="AD199" s="4488" t="n"/>
    </row>
    <row r="200" ht="21" customHeight="1">
      <c r="B200" s="4488" t="n"/>
      <c r="C200" s="4488" t="n"/>
      <c r="D200" s="4488" t="n"/>
      <c r="E200" s="4488" t="n"/>
      <c r="F200" s="4488" t="n"/>
      <c r="G200" s="4488" t="n"/>
      <c r="H200" s="4488" t="n"/>
      <c r="I200" s="4488" t="n"/>
      <c r="J200" s="4488" t="n"/>
      <c r="K200" s="4488" t="n"/>
      <c r="L200" s="4488" t="n"/>
      <c r="M200" s="4488" t="n"/>
      <c r="N200" s="4488" t="n"/>
      <c r="O200" s="4488" t="n"/>
      <c r="P200" s="4488" t="n"/>
      <c r="Q200" s="4488" t="n"/>
      <c r="R200" s="4488" t="n"/>
      <c r="S200" s="4488" t="n"/>
      <c r="T200" s="4488" t="n"/>
      <c r="U200" s="4488" t="n"/>
      <c r="V200" s="4488" t="n"/>
      <c r="W200" s="4488" t="n"/>
      <c r="X200" s="4488" t="n"/>
      <c r="Y200" s="4488" t="n"/>
      <c r="Z200" s="4488" t="n"/>
      <c r="AA200" s="4488" t="n"/>
      <c r="AB200" s="4488" t="n"/>
      <c r="AC200" s="4488" t="n"/>
      <c r="AD200" s="4488" t="n"/>
    </row>
    <row r="201" ht="21" customHeight="1">
      <c r="B201" s="4488" t="n"/>
      <c r="C201" s="4488" t="n"/>
      <c r="D201" s="4488" t="n"/>
      <c r="E201" s="4488" t="n"/>
      <c r="F201" s="4488" t="n"/>
      <c r="G201" s="4488" t="n"/>
      <c r="H201" s="4488" t="n"/>
      <c r="I201" s="4488" t="n"/>
      <c r="J201" s="4488" t="n"/>
      <c r="K201" s="4488" t="n"/>
      <c r="L201" s="4488" t="n"/>
      <c r="M201" s="4488" t="n"/>
      <c r="N201" s="4488" t="n"/>
      <c r="O201" s="4488" t="n"/>
      <c r="P201" s="4488" t="n"/>
      <c r="Q201" s="4488" t="n"/>
      <c r="R201" s="4488" t="n"/>
      <c r="S201" s="4488" t="n"/>
      <c r="T201" s="4488" t="n"/>
      <c r="U201" s="4488" t="n"/>
      <c r="V201" s="4488" t="n"/>
      <c r="W201" s="4488" t="n"/>
      <c r="X201" s="4488" t="n"/>
      <c r="Y201" s="4488" t="n"/>
      <c r="Z201" s="4488" t="n"/>
      <c r="AA201" s="4488" t="n"/>
      <c r="AB201" s="4488" t="n"/>
      <c r="AC201" s="4488" t="n"/>
      <c r="AD201" s="4488" t="n"/>
    </row>
    <row r="202" ht="21" customHeight="1">
      <c r="B202" s="4488" t="n"/>
      <c r="C202" s="4488" t="n"/>
      <c r="D202" s="4488" t="n"/>
      <c r="E202" s="4488" t="n"/>
      <c r="F202" s="4488" t="n"/>
      <c r="G202" s="4488" t="n"/>
      <c r="H202" s="4488" t="n"/>
      <c r="I202" s="4488" t="n"/>
      <c r="J202" s="4488" t="n"/>
      <c r="K202" s="4488" t="n"/>
      <c r="L202" s="4488" t="n"/>
      <c r="M202" s="4488" t="n"/>
      <c r="N202" s="4488" t="n"/>
      <c r="O202" s="4488" t="n"/>
      <c r="P202" s="4488" t="n"/>
      <c r="Q202" s="4488" t="n"/>
      <c r="R202" s="4488" t="n"/>
      <c r="S202" s="4488" t="n"/>
      <c r="T202" s="4488" t="n"/>
      <c r="U202" s="4488" t="n"/>
      <c r="V202" s="4488" t="n"/>
      <c r="W202" s="4488" t="n"/>
      <c r="X202" s="4488" t="n"/>
      <c r="Y202" s="4488" t="n"/>
      <c r="Z202" s="4488" t="n"/>
      <c r="AA202" s="4488" t="n"/>
      <c r="AB202" s="4488" t="n"/>
      <c r="AC202" s="4488" t="n"/>
      <c r="AD202" s="4488" t="n"/>
    </row>
    <row r="203" ht="21" customHeight="1">
      <c r="B203" s="4488" t="n"/>
      <c r="C203" s="4488" t="n"/>
      <c r="D203" s="4488" t="n"/>
      <c r="E203" s="4488" t="n"/>
      <c r="F203" s="4488" t="n"/>
      <c r="G203" s="4488" t="n"/>
      <c r="H203" s="4488" t="n"/>
      <c r="I203" s="4488" t="n"/>
      <c r="J203" s="4488" t="n"/>
      <c r="K203" s="4488" t="n"/>
      <c r="L203" s="4488" t="n"/>
      <c r="M203" s="4488" t="n"/>
      <c r="N203" s="4488" t="n"/>
      <c r="O203" s="4488" t="n"/>
      <c r="P203" s="4488" t="n"/>
      <c r="Q203" s="4488" t="n"/>
      <c r="R203" s="4488" t="n"/>
      <c r="S203" s="4488" t="n"/>
      <c r="T203" s="4488" t="n"/>
      <c r="U203" s="4488" t="n"/>
      <c r="V203" s="4488" t="n"/>
      <c r="W203" s="4488" t="n"/>
      <c r="X203" s="4488" t="n"/>
      <c r="Y203" s="4488" t="n"/>
      <c r="Z203" s="4488" t="n"/>
      <c r="AA203" s="4488" t="n"/>
      <c r="AB203" s="4488" t="n"/>
      <c r="AC203" s="4488" t="n"/>
      <c r="AD203" s="4488" t="n"/>
    </row>
    <row r="204" ht="21" customHeight="1">
      <c r="B204" s="4488" t="n"/>
      <c r="C204" s="4488" t="n"/>
      <c r="D204" s="4488" t="n"/>
      <c r="E204" s="4488" t="n"/>
      <c r="F204" s="4488" t="n"/>
      <c r="G204" s="4488" t="n"/>
      <c r="H204" s="4488" t="n"/>
      <c r="I204" s="4488" t="n"/>
      <c r="J204" s="4488" t="n"/>
      <c r="K204" s="4488" t="n"/>
      <c r="L204" s="4488" t="n"/>
      <c r="M204" s="4488" t="n"/>
      <c r="N204" s="4488" t="n"/>
      <c r="O204" s="4488" t="n"/>
      <c r="P204" s="4488" t="n"/>
      <c r="Q204" s="4488" t="n"/>
      <c r="R204" s="4488" t="n"/>
      <c r="S204" s="4488" t="n"/>
      <c r="T204" s="4488" t="n"/>
      <c r="U204" s="4488" t="n"/>
      <c r="V204" s="4488" t="n"/>
      <c r="W204" s="4488" t="n"/>
      <c r="X204" s="4488" t="n"/>
      <c r="Y204" s="4488" t="n"/>
      <c r="Z204" s="4488" t="n"/>
      <c r="AA204" s="4488" t="n"/>
      <c r="AB204" s="4488" t="n"/>
      <c r="AC204" s="4488" t="n"/>
      <c r="AD204" s="4488" t="n"/>
    </row>
    <row r="205" ht="21" customHeight="1">
      <c r="B205" s="4488" t="n"/>
      <c r="C205" s="4488" t="n"/>
      <c r="D205" s="4488" t="n"/>
      <c r="E205" s="4488" t="n"/>
      <c r="F205" s="4488" t="n"/>
      <c r="G205" s="4488" t="n"/>
      <c r="H205" s="4488" t="n"/>
      <c r="I205" s="4488" t="n"/>
      <c r="J205" s="4488" t="n"/>
      <c r="K205" s="4488" t="n"/>
      <c r="L205" s="4488" t="n"/>
      <c r="M205" s="4488" t="n"/>
      <c r="N205" s="4488" t="n"/>
      <c r="O205" s="4488" t="n"/>
      <c r="P205" s="4488" t="n"/>
      <c r="Q205" s="4488" t="n"/>
      <c r="R205" s="4488" t="n"/>
      <c r="S205" s="4488" t="n"/>
      <c r="T205" s="4488" t="n"/>
      <c r="U205" s="4488" t="n"/>
      <c r="V205" s="4488" t="n"/>
      <c r="W205" s="4488" t="n"/>
      <c r="X205" s="4488" t="n"/>
      <c r="Y205" s="4488" t="n"/>
      <c r="Z205" s="4488" t="n"/>
      <c r="AA205" s="4488" t="n"/>
      <c r="AB205" s="4488" t="n"/>
      <c r="AC205" s="4488" t="n"/>
      <c r="AD205" s="4488" t="n"/>
    </row>
    <row r="206" ht="21" customHeight="1">
      <c r="B206" s="4488" t="n"/>
      <c r="C206" s="4488" t="n"/>
      <c r="D206" s="4488" t="n"/>
      <c r="E206" s="4488" t="n"/>
      <c r="F206" s="4488" t="n"/>
      <c r="G206" s="4488" t="n"/>
      <c r="H206" s="4488" t="n"/>
      <c r="I206" s="4488" t="n"/>
      <c r="J206" s="4488" t="n"/>
      <c r="K206" s="4488" t="n"/>
      <c r="L206" s="4488" t="n"/>
      <c r="M206" s="4488" t="n"/>
      <c r="N206" s="4488" t="n"/>
      <c r="O206" s="4488" t="n"/>
      <c r="P206" s="4488" t="n"/>
      <c r="Q206" s="4488" t="n"/>
      <c r="R206" s="4488" t="n"/>
      <c r="S206" s="4488" t="n"/>
      <c r="T206" s="4488" t="n"/>
      <c r="U206" s="4488" t="n"/>
      <c r="V206" s="4488" t="n"/>
      <c r="W206" s="4488" t="n"/>
      <c r="X206" s="4488" t="n"/>
      <c r="Y206" s="4488" t="n"/>
      <c r="Z206" s="4488" t="n"/>
      <c r="AA206" s="4488" t="n"/>
      <c r="AB206" s="4488" t="n"/>
      <c r="AC206" s="4488" t="n"/>
      <c r="AD206" s="4488" t="n"/>
    </row>
    <row r="207" ht="21" customHeight="1">
      <c r="B207" s="4488" t="n"/>
      <c r="C207" s="4488" t="n"/>
      <c r="D207" s="4488" t="n"/>
      <c r="E207" s="4488" t="n"/>
      <c r="F207" s="4488" t="n"/>
      <c r="G207" s="4488" t="n"/>
      <c r="H207" s="4488" t="n"/>
      <c r="I207" s="4488" t="n"/>
      <c r="J207" s="4488" t="n"/>
      <c r="K207" s="4488" t="n"/>
      <c r="L207" s="4488" t="n"/>
      <c r="M207" s="4488" t="n"/>
      <c r="N207" s="4488" t="n"/>
      <c r="O207" s="4488" t="n"/>
      <c r="P207" s="4488" t="n"/>
      <c r="Q207" s="4488" t="n"/>
      <c r="R207" s="4488" t="n"/>
      <c r="S207" s="4488" t="n"/>
      <c r="T207" s="4488" t="n"/>
      <c r="U207" s="4488" t="n"/>
      <c r="V207" s="4488" t="n"/>
      <c r="W207" s="4488" t="n"/>
      <c r="X207" s="4488" t="n"/>
      <c r="Y207" s="4488" t="n"/>
      <c r="Z207" s="4488" t="n"/>
      <c r="AA207" s="4488" t="n"/>
      <c r="AB207" s="4488" t="n"/>
      <c r="AC207" s="4488" t="n"/>
      <c r="AD207" s="4488" t="n"/>
    </row>
    <row r="208" ht="21" customHeight="1">
      <c r="B208" s="4488" t="n"/>
      <c r="C208" s="4488" t="n"/>
      <c r="D208" s="4488" t="n"/>
      <c r="E208" s="4488" t="n"/>
      <c r="F208" s="4488" t="n"/>
      <c r="G208" s="4488" t="n"/>
      <c r="H208" s="4488" t="n"/>
      <c r="I208" s="4488" t="n"/>
      <c r="J208" s="4488" t="n"/>
      <c r="K208" s="4488" t="n"/>
      <c r="L208" s="4488" t="n"/>
      <c r="M208" s="4488" t="n"/>
      <c r="N208" s="4488" t="n"/>
      <c r="O208" s="4488" t="n"/>
      <c r="P208" s="4488" t="n"/>
      <c r="Q208" s="4488" t="n"/>
      <c r="R208" s="4488" t="n"/>
      <c r="S208" s="4488" t="n"/>
      <c r="T208" s="4488" t="n"/>
      <c r="U208" s="4488" t="n"/>
      <c r="V208" s="4488" t="n"/>
      <c r="W208" s="4488" t="n"/>
      <c r="X208" s="4488" t="n"/>
      <c r="Y208" s="4488" t="n"/>
      <c r="Z208" s="4488" t="n"/>
      <c r="AA208" s="4488" t="n"/>
      <c r="AB208" s="4488" t="n"/>
      <c r="AC208" s="4488" t="n"/>
      <c r="AD208" s="4488" t="n"/>
    </row>
    <row r="209" ht="21" customHeight="1">
      <c r="B209" s="4488" t="n"/>
      <c r="C209" s="4488" t="n"/>
      <c r="D209" s="4488" t="n"/>
      <c r="E209" s="4488" t="n"/>
      <c r="F209" s="4488" t="n"/>
      <c r="G209" s="4488" t="n"/>
      <c r="H209" s="4488" t="n"/>
      <c r="I209" s="4488" t="n"/>
      <c r="J209" s="4488" t="n"/>
      <c r="K209" s="4488" t="n"/>
      <c r="L209" s="4488" t="n"/>
      <c r="M209" s="4488" t="n"/>
      <c r="N209" s="4488" t="n"/>
      <c r="O209" s="4488" t="n"/>
      <c r="P209" s="4488" t="n"/>
      <c r="Q209" s="4488" t="n"/>
      <c r="R209" s="4488" t="n"/>
      <c r="S209" s="4488" t="n"/>
      <c r="T209" s="4488" t="n"/>
      <c r="U209" s="4488" t="n"/>
      <c r="V209" s="4488" t="n"/>
      <c r="W209" s="4488" t="n"/>
      <c r="X209" s="4488" t="n"/>
      <c r="Y209" s="4488" t="n"/>
      <c r="Z209" s="4488" t="n"/>
      <c r="AA209" s="4488" t="n"/>
      <c r="AB209" s="4488" t="n"/>
      <c r="AC209" s="4488" t="n"/>
      <c r="AD209" s="4488" t="n"/>
    </row>
    <row r="210" ht="21" customHeight="1">
      <c r="B210" s="4488" t="n"/>
      <c r="C210" s="4488" t="n"/>
      <c r="D210" s="4488" t="n"/>
      <c r="E210" s="4488" t="n"/>
      <c r="F210" s="4488" t="n"/>
      <c r="G210" s="4488" t="n"/>
      <c r="H210" s="4488" t="n"/>
      <c r="I210" s="4488" t="n"/>
      <c r="J210" s="4488" t="n"/>
      <c r="K210" s="4488" t="n"/>
      <c r="L210" s="4488" t="n"/>
      <c r="M210" s="4488" t="n"/>
      <c r="N210" s="4488" t="n"/>
      <c r="O210" s="4488" t="n"/>
      <c r="P210" s="4488" t="n"/>
      <c r="Q210" s="4488" t="n"/>
      <c r="R210" s="4488" t="n"/>
      <c r="S210" s="4488" t="n"/>
      <c r="T210" s="4488" t="n"/>
      <c r="U210" s="4488" t="n"/>
      <c r="V210" s="4488" t="n"/>
      <c r="W210" s="4488" t="n"/>
      <c r="X210" s="4488" t="n"/>
      <c r="Y210" s="4488" t="n"/>
      <c r="Z210" s="4488" t="n"/>
      <c r="AA210" s="4488" t="n"/>
      <c r="AB210" s="4488" t="n"/>
      <c r="AC210" s="4488" t="n"/>
      <c r="AD210" s="4488" t="n"/>
    </row>
    <row r="211" ht="21" customHeight="1">
      <c r="B211" s="4488" t="n"/>
      <c r="C211" s="4488" t="n"/>
      <c r="D211" s="4488" t="n"/>
      <c r="E211" s="4488" t="n"/>
      <c r="F211" s="4488" t="n"/>
      <c r="G211" s="4488" t="n"/>
      <c r="H211" s="4488" t="n"/>
      <c r="I211" s="4488" t="n"/>
      <c r="J211" s="4488" t="n"/>
      <c r="K211" s="4488" t="n"/>
      <c r="L211" s="4488" t="n"/>
      <c r="M211" s="4488" t="n"/>
      <c r="N211" s="4488" t="n"/>
      <c r="O211" s="4488" t="n"/>
      <c r="P211" s="4488" t="n"/>
      <c r="Q211" s="4488" t="n"/>
      <c r="R211" s="4488" t="n"/>
      <c r="S211" s="4488" t="n"/>
      <c r="T211" s="4488" t="n"/>
      <c r="U211" s="4488" t="n"/>
      <c r="V211" s="4488" t="n"/>
      <c r="W211" s="4488" t="n"/>
      <c r="X211" s="4488" t="n"/>
      <c r="Y211" s="4488" t="n"/>
      <c r="Z211" s="4488" t="n"/>
      <c r="AA211" s="4488" t="n"/>
      <c r="AB211" s="4488" t="n"/>
      <c r="AC211" s="4488" t="n"/>
      <c r="AD211" s="4488" t="n"/>
    </row>
    <row r="212" ht="21" customHeight="1">
      <c r="B212" s="4488" t="n"/>
      <c r="C212" s="4488" t="n"/>
      <c r="D212" s="4488" t="n"/>
      <c r="E212" s="4488" t="n"/>
      <c r="F212" s="4488" t="n"/>
      <c r="G212" s="4488" t="n"/>
      <c r="H212" s="4488" t="n"/>
      <c r="I212" s="4488" t="n"/>
      <c r="J212" s="4488" t="n"/>
      <c r="K212" s="4488" t="n"/>
      <c r="L212" s="4488" t="n"/>
      <c r="M212" s="4488" t="n"/>
      <c r="N212" s="4488" t="n"/>
      <c r="O212" s="4488" t="n"/>
      <c r="P212" s="4488" t="n"/>
      <c r="Q212" s="4488" t="n"/>
      <c r="R212" s="4488" t="n"/>
      <c r="S212" s="4488" t="n"/>
      <c r="T212" s="4488" t="n"/>
      <c r="U212" s="4488" t="n"/>
      <c r="V212" s="4488" t="n"/>
      <c r="W212" s="4488" t="n"/>
      <c r="X212" s="4488" t="n"/>
      <c r="Y212" s="4488" t="n"/>
      <c r="Z212" s="4488" t="n"/>
      <c r="AA212" s="4488" t="n"/>
      <c r="AB212" s="4488" t="n"/>
      <c r="AC212" s="4488" t="n"/>
      <c r="AD212" s="4488" t="n"/>
    </row>
    <row r="213" ht="21" customHeight="1">
      <c r="B213" s="4488" t="n"/>
      <c r="C213" s="4488" t="n"/>
      <c r="D213" s="4488" t="n"/>
      <c r="E213" s="4488" t="n"/>
      <c r="F213" s="4488" t="n"/>
      <c r="G213" s="4488" t="n"/>
      <c r="H213" s="4488" t="n"/>
      <c r="I213" s="4488" t="n"/>
      <c r="J213" s="4488" t="n"/>
      <c r="K213" s="4488" t="n"/>
      <c r="L213" s="4488" t="n"/>
      <c r="M213" s="4488" t="n"/>
      <c r="N213" s="4488" t="n"/>
      <c r="O213" s="4488" t="n"/>
      <c r="P213" s="4488" t="n"/>
      <c r="Q213" s="4488" t="n"/>
      <c r="R213" s="4488" t="n"/>
      <c r="S213" s="4488" t="n"/>
      <c r="T213" s="4488" t="n"/>
      <c r="U213" s="4488" t="n"/>
      <c r="V213" s="4488" t="n"/>
      <c r="W213" s="4488" t="n"/>
      <c r="X213" s="4488" t="n"/>
      <c r="Y213" s="4488" t="n"/>
      <c r="Z213" s="4488" t="n"/>
      <c r="AA213" s="4488" t="n"/>
      <c r="AB213" s="4488" t="n"/>
      <c r="AC213" s="4488" t="n"/>
      <c r="AD213" s="4488" t="n"/>
    </row>
    <row r="214" ht="21" customHeight="1">
      <c r="B214" s="4488" t="n"/>
      <c r="C214" s="4488" t="n"/>
      <c r="D214" s="4488" t="n"/>
      <c r="E214" s="4488" t="n"/>
      <c r="F214" s="4488" t="n"/>
      <c r="G214" s="4488" t="n"/>
      <c r="H214" s="4488" t="n"/>
      <c r="I214" s="4488" t="n"/>
      <c r="J214" s="4488" t="n"/>
      <c r="K214" s="4488" t="n"/>
      <c r="L214" s="4488" t="n"/>
      <c r="M214" s="4488" t="n"/>
      <c r="N214" s="4488" t="n"/>
      <c r="O214" s="4488" t="n"/>
      <c r="P214" s="4488" t="n"/>
      <c r="Q214" s="4488" t="n"/>
      <c r="R214" s="4488" t="n"/>
      <c r="S214" s="4488" t="n"/>
      <c r="T214" s="4488" t="n"/>
      <c r="U214" s="4488" t="n"/>
      <c r="V214" s="4488" t="n"/>
      <c r="W214" s="4488" t="n"/>
      <c r="X214" s="4488" t="n"/>
      <c r="Y214" s="4488" t="n"/>
      <c r="Z214" s="4488" t="n"/>
      <c r="AA214" s="4488" t="n"/>
      <c r="AB214" s="4488" t="n"/>
      <c r="AC214" s="4488" t="n"/>
      <c r="AD214" s="4488" t="n"/>
    </row>
    <row r="215" ht="21" customHeight="1">
      <c r="B215" s="4488" t="n"/>
      <c r="C215" s="4488" t="n"/>
      <c r="D215" s="4488" t="n"/>
      <c r="E215" s="4488" t="n"/>
      <c r="F215" s="4488" t="n"/>
      <c r="G215" s="4488" t="n"/>
      <c r="H215" s="4488" t="n"/>
      <c r="I215" s="4488" t="n"/>
      <c r="J215" s="4488" t="n"/>
      <c r="K215" s="4488" t="n"/>
      <c r="L215" s="4488" t="n"/>
      <c r="M215" s="4488" t="n"/>
      <c r="N215" s="4488" t="n"/>
      <c r="O215" s="4488" t="n"/>
      <c r="P215" s="4488" t="n"/>
      <c r="Q215" s="4488" t="n"/>
      <c r="R215" s="4488" t="n"/>
      <c r="S215" s="4488" t="n"/>
      <c r="T215" s="4488" t="n"/>
      <c r="U215" s="4488" t="n"/>
      <c r="V215" s="4488" t="n"/>
      <c r="W215" s="4488" t="n"/>
      <c r="X215" s="4488" t="n"/>
      <c r="Y215" s="4488" t="n"/>
      <c r="Z215" s="4488" t="n"/>
      <c r="AA215" s="4488" t="n"/>
      <c r="AB215" s="4488" t="n"/>
      <c r="AC215" s="4488" t="n"/>
      <c r="AD215" s="4488" t="n"/>
    </row>
    <row r="216" ht="21" customHeight="1">
      <c r="B216" s="4488" t="n"/>
      <c r="C216" s="4488" t="n"/>
      <c r="D216" s="4488" t="n"/>
      <c r="E216" s="4488" t="n"/>
      <c r="F216" s="4488" t="n"/>
      <c r="G216" s="4488" t="n"/>
      <c r="H216" s="4488" t="n"/>
      <c r="I216" s="4488" t="n"/>
      <c r="J216" s="4488" t="n"/>
      <c r="K216" s="4488" t="n"/>
      <c r="L216" s="4488" t="n"/>
      <c r="M216" s="4488" t="n"/>
      <c r="N216" s="4488" t="n"/>
      <c r="O216" s="4488" t="n"/>
      <c r="P216" s="4488" t="n"/>
      <c r="Q216" s="4488" t="n"/>
      <c r="R216" s="4488" t="n"/>
      <c r="S216" s="4488" t="n"/>
      <c r="T216" s="4488" t="n"/>
      <c r="U216" s="4488" t="n"/>
      <c r="V216" s="4488" t="n"/>
      <c r="W216" s="4488" t="n"/>
      <c r="X216" s="4488" t="n"/>
      <c r="Y216" s="4488" t="n"/>
      <c r="Z216" s="4488" t="n"/>
      <c r="AA216" s="4488" t="n"/>
      <c r="AB216" s="4488" t="n"/>
      <c r="AC216" s="4488" t="n"/>
      <c r="AD216" s="4488" t="n"/>
    </row>
    <row r="217" ht="21" customHeight="1">
      <c r="B217" s="4488" t="n"/>
      <c r="C217" s="4488" t="n"/>
      <c r="D217" s="4488" t="n"/>
      <c r="E217" s="4488" t="n"/>
      <c r="F217" s="4488" t="n"/>
      <c r="G217" s="4488" t="n"/>
      <c r="H217" s="4488" t="n"/>
      <c r="I217" s="4488" t="n"/>
      <c r="J217" s="4488" t="n"/>
      <c r="K217" s="4488" t="n"/>
      <c r="L217" s="4488" t="n"/>
      <c r="M217" s="4488" t="n"/>
      <c r="N217" s="4488" t="n"/>
      <c r="O217" s="4488" t="n"/>
      <c r="P217" s="4488" t="n"/>
      <c r="Q217" s="4488" t="n"/>
      <c r="R217" s="4488" t="n"/>
      <c r="S217" s="4488" t="n"/>
      <c r="T217" s="4488" t="n"/>
      <c r="U217" s="4488" t="n"/>
      <c r="V217" s="4488" t="n"/>
      <c r="W217" s="4488" t="n"/>
      <c r="X217" s="4488" t="n"/>
      <c r="Y217" s="4488" t="n"/>
      <c r="Z217" s="4488" t="n"/>
      <c r="AA217" s="4488" t="n"/>
      <c r="AB217" s="4488" t="n"/>
      <c r="AC217" s="4488" t="n"/>
      <c r="AD217" s="4488" t="n"/>
    </row>
    <row r="218" ht="21" customHeight="1">
      <c r="B218" s="4488" t="n"/>
      <c r="C218" s="4488" t="n"/>
      <c r="D218" s="4488" t="n"/>
      <c r="E218" s="4488" t="n"/>
      <c r="F218" s="4488" t="n"/>
      <c r="G218" s="4488" t="n"/>
      <c r="H218" s="4488" t="n"/>
      <c r="I218" s="4488" t="n"/>
      <c r="J218" s="4488" t="n"/>
      <c r="K218" s="4488" t="n"/>
      <c r="L218" s="4488" t="n"/>
      <c r="M218" s="4488" t="n"/>
      <c r="N218" s="4488" t="n"/>
      <c r="O218" s="4488" t="n"/>
      <c r="P218" s="4488" t="n"/>
      <c r="Q218" s="4488" t="n"/>
      <c r="R218" s="4488" t="n"/>
      <c r="S218" s="4488" t="n"/>
      <c r="T218" s="4488" t="n"/>
      <c r="U218" s="4488" t="n"/>
      <c r="V218" s="4488" t="n"/>
      <c r="W218" s="4488" t="n"/>
      <c r="X218" s="4488" t="n"/>
      <c r="Y218" s="4488" t="n"/>
      <c r="Z218" s="4488" t="n"/>
      <c r="AA218" s="4488" t="n"/>
      <c r="AB218" s="4488" t="n"/>
      <c r="AC218" s="4488" t="n"/>
      <c r="AD218" s="4488" t="n"/>
    </row>
    <row r="219" ht="21" customHeight="1">
      <c r="B219" s="4488" t="n"/>
      <c r="C219" s="4488" t="n"/>
      <c r="D219" s="4488" t="n"/>
      <c r="E219" s="4488" t="n"/>
      <c r="F219" s="4488" t="n"/>
      <c r="G219" s="4488" t="n"/>
      <c r="H219" s="4488" t="n"/>
      <c r="I219" s="4488" t="n"/>
      <c r="J219" s="4488" t="n"/>
      <c r="K219" s="4488" t="n"/>
      <c r="L219" s="4488" t="n"/>
      <c r="M219" s="4488" t="n"/>
      <c r="N219" s="4488" t="n"/>
      <c r="O219" s="4488" t="n"/>
      <c r="P219" s="4488" t="n"/>
      <c r="Q219" s="4488" t="n"/>
      <c r="R219" s="4488" t="n"/>
      <c r="S219" s="4488" t="n"/>
      <c r="T219" s="4488" t="n"/>
      <c r="U219" s="4488" t="n"/>
      <c r="V219" s="4488" t="n"/>
      <c r="W219" s="4488" t="n"/>
      <c r="X219" s="4488" t="n"/>
      <c r="Y219" s="4488" t="n"/>
      <c r="Z219" s="4488" t="n"/>
      <c r="AA219" s="4488" t="n"/>
      <c r="AB219" s="4488" t="n"/>
      <c r="AC219" s="4488" t="n"/>
      <c r="AD219" s="4488" t="n"/>
    </row>
    <row r="220" ht="21" customHeight="1">
      <c r="B220" s="4488" t="n"/>
      <c r="C220" s="4488" t="n"/>
      <c r="D220" s="4488" t="n"/>
      <c r="E220" s="4488" t="n"/>
      <c r="F220" s="4488" t="n"/>
      <c r="G220" s="4488" t="n"/>
      <c r="H220" s="4488" t="n"/>
      <c r="I220" s="4488" t="n"/>
      <c r="J220" s="4488" t="n"/>
      <c r="K220" s="4488" t="n"/>
      <c r="L220" s="4488" t="n"/>
      <c r="M220" s="4488" t="n"/>
      <c r="N220" s="4488" t="n"/>
      <c r="O220" s="4488" t="n"/>
      <c r="P220" s="4488" t="n"/>
      <c r="Q220" s="4488" t="n"/>
      <c r="R220" s="4488" t="n"/>
      <c r="S220" s="4488" t="n"/>
      <c r="T220" s="4488" t="n"/>
      <c r="U220" s="4488" t="n"/>
      <c r="V220" s="4488" t="n"/>
      <c r="W220" s="4488" t="n"/>
      <c r="X220" s="4488" t="n"/>
      <c r="Y220" s="4488" t="n"/>
      <c r="Z220" s="4488" t="n"/>
      <c r="AA220" s="4488" t="n"/>
      <c r="AB220" s="4488" t="n"/>
      <c r="AC220" s="4488" t="n"/>
      <c r="AD220" s="4488" t="n"/>
    </row>
    <row r="221" ht="21" customHeight="1">
      <c r="B221" s="4488" t="n"/>
      <c r="C221" s="4488" t="n"/>
      <c r="D221" s="4488" t="n"/>
      <c r="E221" s="4488" t="n"/>
      <c r="F221" s="4488" t="n"/>
      <c r="G221" s="4488" t="n"/>
      <c r="H221" s="4488" t="n"/>
      <c r="I221" s="4488" t="n"/>
      <c r="J221" s="4488" t="n"/>
      <c r="K221" s="4488" t="n"/>
      <c r="L221" s="4488" t="n"/>
      <c r="M221" s="4488" t="n"/>
      <c r="N221" s="4488" t="n"/>
      <c r="O221" s="4488" t="n"/>
      <c r="P221" s="4488" t="n"/>
      <c r="Q221" s="4488" t="n"/>
      <c r="R221" s="4488" t="n"/>
      <c r="S221" s="4488" t="n"/>
      <c r="T221" s="4488" t="n"/>
      <c r="U221" s="4488" t="n"/>
      <c r="V221" s="4488" t="n"/>
      <c r="W221" s="4488" t="n"/>
      <c r="X221" s="4488" t="n"/>
      <c r="Y221" s="4488" t="n"/>
      <c r="Z221" s="4488" t="n"/>
      <c r="AA221" s="4488" t="n"/>
      <c r="AB221" s="4488" t="n"/>
      <c r="AC221" s="4488" t="n"/>
      <c r="AD221" s="4488" t="n"/>
    </row>
    <row r="222" ht="21" customHeight="1">
      <c r="B222" s="4488" t="n"/>
      <c r="C222" s="4488" t="n"/>
      <c r="D222" s="4488" t="n"/>
      <c r="E222" s="4488" t="n"/>
      <c r="F222" s="4488" t="n"/>
      <c r="G222" s="4488" t="n"/>
      <c r="H222" s="4488" t="n"/>
      <c r="I222" s="4488" t="n"/>
      <c r="J222" s="4488" t="n"/>
      <c r="K222" s="4488" t="n"/>
      <c r="L222" s="4488" t="n"/>
      <c r="M222" s="4488" t="n"/>
      <c r="N222" s="4488" t="n"/>
      <c r="O222" s="4488" t="n"/>
      <c r="P222" s="4488" t="n"/>
      <c r="Q222" s="4488" t="n"/>
      <c r="R222" s="4488" t="n"/>
      <c r="S222" s="4488" t="n"/>
      <c r="T222" s="4488" t="n"/>
      <c r="U222" s="4488" t="n"/>
      <c r="V222" s="4488" t="n"/>
      <c r="W222" s="4488" t="n"/>
      <c r="X222" s="4488" t="n"/>
      <c r="Y222" s="4488" t="n"/>
      <c r="Z222" s="4488" t="n"/>
      <c r="AA222" s="4488" t="n"/>
      <c r="AB222" s="4488" t="n"/>
      <c r="AC222" s="4488" t="n"/>
      <c r="AD222" s="4488" t="n"/>
    </row>
    <row r="223" ht="21" customHeight="1">
      <c r="B223" s="4488" t="n"/>
      <c r="C223" s="4488" t="n"/>
      <c r="D223" s="4488" t="n"/>
      <c r="E223" s="4488" t="n"/>
      <c r="F223" s="4488" t="n"/>
      <c r="G223" s="4488" t="n"/>
      <c r="H223" s="4488" t="n"/>
      <c r="I223" s="4488" t="n"/>
      <c r="J223" s="4488" t="n"/>
      <c r="K223" s="4488" t="n"/>
      <c r="L223" s="4488" t="n"/>
      <c r="M223" s="4488" t="n"/>
      <c r="N223" s="4488" t="n"/>
      <c r="O223" s="4488" t="n"/>
      <c r="P223" s="4488" t="n"/>
      <c r="Q223" s="4488" t="n"/>
      <c r="R223" s="4488" t="n"/>
      <c r="S223" s="4488" t="n"/>
      <c r="T223" s="4488" t="n"/>
      <c r="U223" s="4488" t="n"/>
      <c r="V223" s="4488" t="n"/>
      <c r="W223" s="4488" t="n"/>
      <c r="X223" s="4488" t="n"/>
      <c r="Y223" s="4488" t="n"/>
      <c r="Z223" s="4488" t="n"/>
      <c r="AA223" s="4488" t="n"/>
      <c r="AB223" s="4488" t="n"/>
      <c r="AC223" s="4488" t="n"/>
      <c r="AD223" s="4488" t="n"/>
    </row>
    <row r="224" ht="21" customHeight="1">
      <c r="B224" s="4488" t="n"/>
      <c r="C224" s="4488" t="n"/>
      <c r="D224" s="4488" t="n"/>
      <c r="E224" s="4488" t="n"/>
      <c r="F224" s="4488" t="n"/>
      <c r="G224" s="4488" t="n"/>
      <c r="H224" s="4488" t="n"/>
      <c r="I224" s="4488" t="n"/>
      <c r="J224" s="4488" t="n"/>
      <c r="K224" s="4488" t="n"/>
      <c r="L224" s="4488" t="n"/>
      <c r="M224" s="4488" t="n"/>
      <c r="N224" s="4488" t="n"/>
      <c r="O224" s="4488" t="n"/>
      <c r="P224" s="4488" t="n"/>
      <c r="Q224" s="4488" t="n"/>
      <c r="R224" s="4488" t="n"/>
      <c r="S224" s="4488" t="n"/>
      <c r="T224" s="4488" t="n"/>
      <c r="U224" s="4488" t="n"/>
      <c r="V224" s="4488" t="n"/>
      <c r="W224" s="4488" t="n"/>
      <c r="X224" s="4488" t="n"/>
      <c r="Y224" s="4488" t="n"/>
      <c r="Z224" s="4488" t="n"/>
      <c r="AA224" s="4488" t="n"/>
      <c r="AB224" s="4488" t="n"/>
      <c r="AC224" s="4488" t="n"/>
      <c r="AD224" s="4488" t="n"/>
    </row>
    <row r="225" ht="21" customHeight="1">
      <c r="B225" s="4488" t="n"/>
      <c r="C225" s="4488" t="n"/>
      <c r="D225" s="4488" t="n"/>
      <c r="E225" s="4488" t="n"/>
      <c r="F225" s="4488" t="n"/>
      <c r="G225" s="4488" t="n"/>
      <c r="H225" s="4488" t="n"/>
      <c r="I225" s="4488" t="n"/>
      <c r="J225" s="4488" t="n"/>
      <c r="K225" s="4488" t="n"/>
      <c r="L225" s="4488" t="n"/>
      <c r="M225" s="4488" t="n"/>
      <c r="N225" s="4488" t="n"/>
      <c r="O225" s="4488" t="n"/>
      <c r="P225" s="4488" t="n"/>
      <c r="Q225" s="4488" t="n"/>
      <c r="R225" s="4488" t="n"/>
      <c r="S225" s="4488" t="n"/>
      <c r="T225" s="4488" t="n"/>
      <c r="U225" s="4488" t="n"/>
      <c r="V225" s="4488" t="n"/>
      <c r="W225" s="4488" t="n"/>
      <c r="X225" s="4488" t="n"/>
      <c r="Y225" s="4488" t="n"/>
      <c r="Z225" s="4488" t="n"/>
      <c r="AA225" s="4488" t="n"/>
      <c r="AB225" s="4488" t="n"/>
      <c r="AC225" s="4488" t="n"/>
      <c r="AD225" s="4488" t="n"/>
    </row>
    <row r="226" ht="21" customHeight="1">
      <c r="B226" s="4488" t="n"/>
      <c r="C226" s="4488" t="n"/>
      <c r="D226" s="4488" t="n"/>
      <c r="E226" s="4488" t="n"/>
      <c r="F226" s="4488" t="n"/>
      <c r="G226" s="4488" t="n"/>
      <c r="H226" s="4488" t="n"/>
      <c r="I226" s="4488" t="n"/>
      <c r="J226" s="4488" t="n"/>
      <c r="K226" s="4488" t="n"/>
      <c r="L226" s="4488" t="n"/>
      <c r="M226" s="4488" t="n"/>
      <c r="N226" s="4488" t="n"/>
      <c r="O226" s="4488" t="n"/>
      <c r="P226" s="4488" t="n"/>
      <c r="Q226" s="4488" t="n"/>
      <c r="R226" s="4488" t="n"/>
      <c r="S226" s="4488" t="n"/>
      <c r="T226" s="4488" t="n"/>
      <c r="U226" s="4488" t="n"/>
      <c r="V226" s="4488" t="n"/>
      <c r="W226" s="4488" t="n"/>
      <c r="X226" s="4488" t="n"/>
      <c r="Y226" s="4488" t="n"/>
      <c r="Z226" s="4488" t="n"/>
      <c r="AA226" s="4488" t="n"/>
      <c r="AB226" s="4488" t="n"/>
      <c r="AC226" s="4488" t="n"/>
      <c r="AD226" s="4488" t="n"/>
    </row>
    <row r="227" ht="21" customHeight="1">
      <c r="B227" s="4488" t="n"/>
      <c r="C227" s="4488" t="n"/>
      <c r="D227" s="4488" t="n"/>
      <c r="E227" s="4488" t="n"/>
      <c r="F227" s="4488" t="n"/>
      <c r="G227" s="4488" t="n"/>
      <c r="H227" s="4488" t="n"/>
      <c r="I227" s="4488" t="n"/>
      <c r="J227" s="4488" t="n"/>
      <c r="K227" s="4488" t="n"/>
      <c r="L227" s="4488" t="n"/>
      <c r="M227" s="4488" t="n"/>
      <c r="N227" s="4488" t="n"/>
      <c r="O227" s="4488" t="n"/>
      <c r="P227" s="4488" t="n"/>
      <c r="Q227" s="4488" t="n"/>
      <c r="R227" s="4488" t="n"/>
      <c r="S227" s="4488" t="n"/>
      <c r="T227" s="4488" t="n"/>
      <c r="U227" s="4488" t="n"/>
      <c r="V227" s="4488" t="n"/>
      <c r="W227" s="4488" t="n"/>
      <c r="X227" s="4488" t="n"/>
      <c r="Y227" s="4488" t="n"/>
      <c r="Z227" s="4488" t="n"/>
      <c r="AA227" s="4488" t="n"/>
      <c r="AB227" s="4488" t="n"/>
      <c r="AC227" s="4488" t="n"/>
      <c r="AD227" s="4488" t="n"/>
    </row>
    <row r="228" ht="21" customHeight="1">
      <c r="B228" s="4488" t="n"/>
      <c r="C228" s="4488" t="n"/>
      <c r="D228" s="4488" t="n"/>
      <c r="E228" s="4488" t="n"/>
      <c r="F228" s="4488" t="n"/>
      <c r="G228" s="4488" t="n"/>
      <c r="H228" s="4488" t="n"/>
      <c r="I228" s="4488" t="n"/>
      <c r="J228" s="4488" t="n"/>
      <c r="K228" s="4488" t="n"/>
      <c r="L228" s="4488" t="n"/>
      <c r="M228" s="4488" t="n"/>
      <c r="N228" s="4488" t="n"/>
      <c r="O228" s="4488" t="n"/>
      <c r="P228" s="4488" t="n"/>
      <c r="Q228" s="4488" t="n"/>
      <c r="R228" s="4488" t="n"/>
      <c r="S228" s="4488" t="n"/>
      <c r="T228" s="4488" t="n"/>
      <c r="U228" s="4488" t="n"/>
      <c r="V228" s="4488" t="n"/>
      <c r="W228" s="4488" t="n"/>
      <c r="X228" s="4488" t="n"/>
      <c r="Y228" s="4488" t="n"/>
      <c r="Z228" s="4488" t="n"/>
      <c r="AA228" s="4488" t="n"/>
      <c r="AB228" s="4488" t="n"/>
      <c r="AC228" s="4488" t="n"/>
      <c r="AD228" s="4488" t="n"/>
    </row>
    <row r="229" ht="21" customHeight="1">
      <c r="B229" s="4488" t="n"/>
      <c r="C229" s="4488" t="n"/>
      <c r="D229" s="4488" t="n"/>
      <c r="E229" s="4488" t="n"/>
      <c r="F229" s="4488" t="n"/>
      <c r="G229" s="4488" t="n"/>
      <c r="H229" s="4488" t="n"/>
      <c r="I229" s="4488" t="n"/>
      <c r="J229" s="4488" t="n"/>
      <c r="K229" s="4488" t="n"/>
      <c r="L229" s="4488" t="n"/>
      <c r="M229" s="4488" t="n"/>
      <c r="N229" s="4488" t="n"/>
      <c r="O229" s="4488" t="n"/>
      <c r="P229" s="4488" t="n"/>
      <c r="Q229" s="4488" t="n"/>
      <c r="R229" s="4488" t="n"/>
      <c r="S229" s="4488" t="n"/>
      <c r="T229" s="4488" t="n"/>
      <c r="U229" s="4488" t="n"/>
      <c r="V229" s="4488" t="n"/>
      <c r="W229" s="4488" t="n"/>
      <c r="X229" s="4488" t="n"/>
      <c r="Y229" s="4488" t="n"/>
      <c r="Z229" s="4488" t="n"/>
      <c r="AA229" s="4488" t="n"/>
      <c r="AB229" s="4488" t="n"/>
      <c r="AC229" s="4488" t="n"/>
      <c r="AD229" s="4488" t="n"/>
    </row>
    <row r="230" ht="21" customHeight="1">
      <c r="B230" s="4488" t="n"/>
      <c r="C230" s="4488" t="n"/>
      <c r="D230" s="4488" t="n"/>
      <c r="E230" s="4488" t="n"/>
      <c r="F230" s="4488" t="n"/>
      <c r="G230" s="4488" t="n"/>
      <c r="H230" s="4488" t="n"/>
      <c r="I230" s="4488" t="n"/>
      <c r="J230" s="4488" t="n"/>
      <c r="K230" s="4488" t="n"/>
      <c r="L230" s="4488" t="n"/>
      <c r="M230" s="4488" t="n"/>
      <c r="N230" s="4488" t="n"/>
      <c r="O230" s="4488" t="n"/>
      <c r="P230" s="4488" t="n"/>
      <c r="Q230" s="4488" t="n"/>
      <c r="R230" s="4488" t="n"/>
      <c r="S230" s="4488" t="n"/>
      <c r="T230" s="4488" t="n"/>
      <c r="U230" s="4488" t="n"/>
      <c r="V230" s="4488" t="n"/>
      <c r="W230" s="4488" t="n"/>
      <c r="X230" s="4488" t="n"/>
      <c r="Y230" s="4488" t="n"/>
      <c r="Z230" s="4488" t="n"/>
      <c r="AA230" s="4488" t="n"/>
      <c r="AB230" s="4488" t="n"/>
      <c r="AC230" s="4488" t="n"/>
      <c r="AD230" s="4488" t="n"/>
    </row>
    <row r="231" ht="21" customHeight="1">
      <c r="B231" s="4488" t="n"/>
      <c r="C231" s="4488" t="n"/>
      <c r="D231" s="4488" t="n"/>
      <c r="E231" s="4488" t="n"/>
      <c r="F231" s="4488" t="n"/>
      <c r="G231" s="4488" t="n"/>
      <c r="H231" s="4488" t="n"/>
      <c r="I231" s="4488" t="n"/>
      <c r="J231" s="4488" t="n"/>
      <c r="K231" s="4488" t="n"/>
      <c r="L231" s="4488" t="n"/>
      <c r="M231" s="4488" t="n"/>
      <c r="N231" s="4488" t="n"/>
      <c r="O231" s="4488" t="n"/>
      <c r="P231" s="4488" t="n"/>
      <c r="Q231" s="4488" t="n"/>
      <c r="R231" s="4488" t="n"/>
      <c r="S231" s="4488" t="n"/>
      <c r="T231" s="4488" t="n"/>
      <c r="U231" s="4488" t="n"/>
      <c r="V231" s="4488" t="n"/>
      <c r="W231" s="4488" t="n"/>
      <c r="X231" s="4488" t="n"/>
      <c r="Y231" s="4488" t="n"/>
      <c r="Z231" s="4488" t="n"/>
      <c r="AA231" s="4488" t="n"/>
      <c r="AB231" s="4488" t="n"/>
      <c r="AC231" s="4488" t="n"/>
      <c r="AD231" s="4488" t="n"/>
    </row>
    <row r="232" ht="21" customHeight="1">
      <c r="B232" s="4488" t="n"/>
      <c r="C232" s="4488" t="n"/>
      <c r="D232" s="4488" t="n"/>
      <c r="E232" s="4488" t="n"/>
      <c r="F232" s="4488" t="n"/>
      <c r="G232" s="4488" t="n"/>
      <c r="H232" s="4488" t="n"/>
      <c r="I232" s="4488" t="n"/>
      <c r="J232" s="4488" t="n"/>
      <c r="K232" s="4488" t="n"/>
      <c r="L232" s="4488" t="n"/>
      <c r="M232" s="4488" t="n"/>
      <c r="N232" s="4488" t="n"/>
      <c r="O232" s="4488" t="n"/>
      <c r="P232" s="4488" t="n"/>
      <c r="Q232" s="4488" t="n"/>
      <c r="R232" s="4488" t="n"/>
      <c r="S232" s="4488" t="n"/>
      <c r="T232" s="4488" t="n"/>
      <c r="U232" s="4488" t="n"/>
      <c r="V232" s="4488" t="n"/>
      <c r="W232" s="4488" t="n"/>
      <c r="X232" s="4488" t="n"/>
      <c r="Y232" s="4488" t="n"/>
      <c r="Z232" s="4488" t="n"/>
      <c r="AA232" s="4488" t="n"/>
      <c r="AB232" s="4488" t="n"/>
      <c r="AC232" s="4488" t="n"/>
      <c r="AD232" s="4488" t="n"/>
    </row>
    <row r="233" ht="21" customHeight="1">
      <c r="B233" s="4488" t="n"/>
      <c r="C233" s="4488" t="n"/>
      <c r="D233" s="4488" t="n"/>
      <c r="E233" s="4488" t="n"/>
      <c r="F233" s="4488" t="n"/>
      <c r="G233" s="4488" t="n"/>
      <c r="H233" s="4488" t="n"/>
      <c r="I233" s="4488" t="n"/>
      <c r="J233" s="4488" t="n"/>
      <c r="K233" s="4488" t="n"/>
      <c r="L233" s="4488" t="n"/>
      <c r="M233" s="4488" t="n"/>
      <c r="N233" s="4488" t="n"/>
      <c r="O233" s="4488" t="n"/>
      <c r="P233" s="4488" t="n"/>
      <c r="Q233" s="4488" t="n"/>
      <c r="R233" s="4488" t="n"/>
      <c r="S233" s="4488" t="n"/>
      <c r="T233" s="4488" t="n"/>
      <c r="U233" s="4488" t="n"/>
      <c r="V233" s="4488" t="n"/>
      <c r="W233" s="4488" t="n"/>
      <c r="X233" s="4488" t="n"/>
      <c r="Y233" s="4488" t="n"/>
      <c r="Z233" s="4488" t="n"/>
      <c r="AA233" s="4488" t="n"/>
      <c r="AB233" s="4488" t="n"/>
      <c r="AC233" s="4488" t="n"/>
      <c r="AD233" s="4488" t="n"/>
    </row>
    <row r="234" ht="21" customHeight="1">
      <c r="B234" s="4488" t="n"/>
      <c r="C234" s="4488" t="n"/>
      <c r="D234" s="4488" t="n"/>
      <c r="E234" s="4488" t="n"/>
      <c r="F234" s="4488" t="n"/>
      <c r="G234" s="4488" t="n"/>
      <c r="H234" s="4488" t="n"/>
      <c r="I234" s="4488" t="n"/>
      <c r="J234" s="4488" t="n"/>
      <c r="K234" s="4488" t="n"/>
      <c r="L234" s="4488" t="n"/>
      <c r="M234" s="4488" t="n"/>
      <c r="N234" s="4488" t="n"/>
      <c r="O234" s="4488" t="n"/>
      <c r="P234" s="4488" t="n"/>
      <c r="Q234" s="4488" t="n"/>
      <c r="R234" s="4488" t="n"/>
      <c r="S234" s="4488" t="n"/>
      <c r="T234" s="4488" t="n"/>
      <c r="U234" s="4488" t="n"/>
      <c r="V234" s="4488" t="n"/>
      <c r="W234" s="4488" t="n"/>
      <c r="X234" s="4488" t="n"/>
      <c r="Y234" s="4488" t="n"/>
      <c r="Z234" s="4488" t="n"/>
      <c r="AA234" s="4488" t="n"/>
      <c r="AB234" s="4488" t="n"/>
      <c r="AC234" s="4488" t="n"/>
      <c r="AD234" s="4488" t="n"/>
    </row>
    <row r="235" ht="21" customHeight="1">
      <c r="B235" s="4488" t="n"/>
      <c r="C235" s="4488" t="n"/>
      <c r="D235" s="4488" t="n"/>
      <c r="E235" s="4488" t="n"/>
      <c r="F235" s="4488" t="n"/>
      <c r="G235" s="4488" t="n"/>
      <c r="H235" s="4488" t="n"/>
      <c r="I235" s="4488" t="n"/>
      <c r="J235" s="4488" t="n"/>
      <c r="K235" s="4488" t="n"/>
      <c r="L235" s="4488" t="n"/>
      <c r="M235" s="4488" t="n"/>
      <c r="N235" s="4488" t="n"/>
      <c r="O235" s="4488" t="n"/>
      <c r="P235" s="4488" t="n"/>
      <c r="Q235" s="4488" t="n"/>
      <c r="R235" s="4488" t="n"/>
      <c r="S235" s="4488" t="n"/>
      <c r="T235" s="4488" t="n"/>
      <c r="U235" s="4488" t="n"/>
      <c r="V235" s="4488" t="n"/>
      <c r="W235" s="4488" t="n"/>
      <c r="X235" s="4488" t="n"/>
      <c r="Y235" s="4488" t="n"/>
      <c r="Z235" s="4488" t="n"/>
      <c r="AA235" s="4488" t="n"/>
      <c r="AB235" s="4488" t="n"/>
      <c r="AC235" s="4488" t="n"/>
      <c r="AD235" s="4488" t="n"/>
    </row>
    <row r="236" ht="21" customHeight="1">
      <c r="B236" s="4488" t="n"/>
      <c r="C236" s="4488" t="n"/>
      <c r="D236" s="4488" t="n"/>
      <c r="E236" s="4488" t="n"/>
      <c r="F236" s="4488" t="n"/>
      <c r="G236" s="4488" t="n"/>
      <c r="H236" s="4488" t="n"/>
      <c r="I236" s="4488" t="n"/>
      <c r="J236" s="4488" t="n"/>
      <c r="K236" s="4488" t="n"/>
      <c r="L236" s="4488" t="n"/>
      <c r="M236" s="4488" t="n"/>
      <c r="N236" s="4488" t="n"/>
      <c r="O236" s="4488" t="n"/>
      <c r="P236" s="4488" t="n"/>
      <c r="Q236" s="4488" t="n"/>
      <c r="R236" s="4488" t="n"/>
      <c r="S236" s="4488" t="n"/>
      <c r="T236" s="4488" t="n"/>
      <c r="U236" s="4488" t="n"/>
      <c r="V236" s="4488" t="n"/>
      <c r="W236" s="4488" t="n"/>
      <c r="X236" s="4488" t="n"/>
      <c r="Y236" s="4488" t="n"/>
      <c r="Z236" s="4488" t="n"/>
      <c r="AA236" s="4488" t="n"/>
      <c r="AB236" s="4488" t="n"/>
      <c r="AC236" s="4488" t="n"/>
      <c r="AD236" s="4488" t="n"/>
    </row>
    <row r="237" ht="21" customHeight="1">
      <c r="B237" s="4488" t="n"/>
      <c r="C237" s="4488" t="n"/>
      <c r="D237" s="4488" t="n"/>
      <c r="E237" s="4488" t="n"/>
      <c r="F237" s="4488" t="n"/>
      <c r="G237" s="4488" t="n"/>
      <c r="H237" s="4488" t="n"/>
      <c r="I237" s="4488" t="n"/>
      <c r="J237" s="4488" t="n"/>
      <c r="K237" s="4488" t="n"/>
      <c r="L237" s="4488" t="n"/>
      <c r="M237" s="4488" t="n"/>
      <c r="N237" s="4488" t="n"/>
      <c r="O237" s="4488" t="n"/>
      <c r="P237" s="4488" t="n"/>
      <c r="Q237" s="4488" t="n"/>
      <c r="R237" s="4488" t="n"/>
      <c r="S237" s="4488" t="n"/>
      <c r="T237" s="4488" t="n"/>
      <c r="U237" s="4488" t="n"/>
      <c r="V237" s="4488" t="n"/>
      <c r="W237" s="4488" t="n"/>
      <c r="X237" s="4488" t="n"/>
      <c r="Y237" s="4488" t="n"/>
      <c r="Z237" s="4488" t="n"/>
      <c r="AA237" s="4488" t="n"/>
      <c r="AB237" s="4488" t="n"/>
      <c r="AC237" s="4488" t="n"/>
      <c r="AD237" s="4488" t="n"/>
    </row>
    <row r="238" ht="21" customHeight="1">
      <c r="B238" s="4488" t="n"/>
      <c r="C238" s="4488" t="n"/>
      <c r="D238" s="4488" t="n"/>
      <c r="E238" s="4488" t="n"/>
      <c r="F238" s="4488" t="n"/>
      <c r="G238" s="4488" t="n"/>
      <c r="H238" s="4488" t="n"/>
      <c r="I238" s="4488" t="n"/>
      <c r="J238" s="4488" t="n"/>
      <c r="K238" s="4488" t="n"/>
      <c r="L238" s="4488" t="n"/>
      <c r="M238" s="4488" t="n"/>
      <c r="N238" s="4488" t="n"/>
      <c r="O238" s="4488" t="n"/>
      <c r="P238" s="4488" t="n"/>
      <c r="Q238" s="4488" t="n"/>
      <c r="R238" s="4488" t="n"/>
      <c r="S238" s="4488" t="n"/>
      <c r="T238" s="4488" t="n"/>
      <c r="U238" s="4488" t="n"/>
      <c r="V238" s="4488" t="n"/>
      <c r="W238" s="4488" t="n"/>
      <c r="X238" s="4488" t="n"/>
      <c r="Y238" s="4488" t="n"/>
      <c r="Z238" s="4488" t="n"/>
      <c r="AA238" s="4488" t="n"/>
      <c r="AB238" s="4488" t="n"/>
      <c r="AC238" s="4488" t="n"/>
      <c r="AD238" s="4488" t="n"/>
    </row>
    <row r="239" ht="21" customHeight="1">
      <c r="B239" s="4488" t="n"/>
      <c r="C239" s="4488" t="n"/>
      <c r="D239" s="4488" t="n"/>
      <c r="E239" s="4488" t="n"/>
      <c r="F239" s="4488" t="n"/>
      <c r="G239" s="4488" t="n"/>
      <c r="H239" s="4488" t="n"/>
      <c r="I239" s="4488" t="n"/>
      <c r="J239" s="4488" t="n"/>
      <c r="K239" s="4488" t="n"/>
      <c r="L239" s="4488" t="n"/>
      <c r="M239" s="4488" t="n"/>
      <c r="N239" s="4488" t="n"/>
      <c r="O239" s="4488" t="n"/>
      <c r="P239" s="4488" t="n"/>
      <c r="Q239" s="4488" t="n"/>
      <c r="R239" s="4488" t="n"/>
      <c r="S239" s="4488" t="n"/>
      <c r="T239" s="4488" t="n"/>
      <c r="U239" s="4488" t="n"/>
      <c r="V239" s="4488" t="n"/>
      <c r="W239" s="4488" t="n"/>
      <c r="X239" s="4488" t="n"/>
      <c r="Y239" s="4488" t="n"/>
      <c r="Z239" s="4488" t="n"/>
      <c r="AA239" s="4488" t="n"/>
      <c r="AB239" s="4488" t="n"/>
      <c r="AC239" s="4488" t="n"/>
      <c r="AD239" s="4488" t="n"/>
    </row>
  </sheetData>
  <mergeCells count="3">
    <mergeCell ref="C50:D50"/>
    <mergeCell ref="G50:H50"/>
    <mergeCell ref="E50:F50"/>
  </mergeCells>
  <hyperlinks>
    <hyperlink ref="B58" r:id="rId1"/>
    <hyperlink ref="D65" r:id="rId2"/>
  </hyperlinks>
  <pageMargins left="0.7" right="0.7" top="0.75" bottom="0.75" header="0.3" footer="0.3"/>
  <pageSetup orientation="portrait"/>
</worksheet>
</file>

<file path=xl/worksheets/sheet41.xml><?xml version="1.0" encoding="utf-8"?>
<worksheet xmlns:r="http://schemas.openxmlformats.org/officeDocument/2006/relationships" xmlns="http://schemas.openxmlformats.org/spreadsheetml/2006/main">
  <sheetPr>
    <outlinePr summaryBelow="1" summaryRight="1"/>
    <pageSetUpPr/>
  </sheetPr>
  <dimension ref="A1:A3"/>
  <sheetViews>
    <sheetView workbookViewId="0">
      <selection activeCell="A1" sqref="A1"/>
    </sheetView>
  </sheetViews>
  <sheetFormatPr baseColWidth="10" defaultColWidth="8.6640625" defaultRowHeight="15"/>
  <sheetData>
    <row r="1">
      <c r="A1" s="4315">
        <f>Languages!B818</f>
        <v/>
      </c>
    </row>
    <row r="2">
      <c r="A2" s="145" t="inlineStr">
        <is>
          <t>www.earthmap.org</t>
        </is>
      </c>
    </row>
    <row r="3">
      <c r="A3" s="4315">
        <f>Languages!B819</f>
        <v/>
      </c>
    </row>
  </sheetData>
  <hyperlinks>
    <hyperlink ref="A2" r:id="rId1"/>
  </hyperlinks>
  <pageMargins left="0.7" right="0.7" top="0.75" bottom="0.75" header="0.3" footer="0.3"/>
</worksheet>
</file>

<file path=xl/worksheets/sheet42.xml><?xml version="1.0" encoding="utf-8"?>
<worksheet xmlns:r="http://schemas.openxmlformats.org/officeDocument/2006/relationships" xmlns="http://schemas.openxmlformats.org/spreadsheetml/2006/main">
  <sheetPr codeName="Sheet37">
    <tabColor rgb="FFFFC000"/>
    <outlinePr summaryBelow="1" summaryRight="1"/>
    <pageSetUpPr/>
  </sheetPr>
  <dimension ref="A1:G133"/>
  <sheetViews>
    <sheetView zoomScaleNormal="100" workbookViewId="0">
      <selection activeCell="C9" sqref="C9"/>
    </sheetView>
  </sheetViews>
  <sheetFormatPr baseColWidth="10" defaultColWidth="9.33203125" defaultRowHeight="14"/>
  <cols>
    <col width="9.33203125" customWidth="1" style="973" min="1" max="1"/>
    <col width="38" customWidth="1" style="1222" min="2" max="2"/>
    <col width="123.5" customWidth="1" style="1222" min="3" max="3"/>
    <col width="14.33203125" customWidth="1" style="973" min="4" max="4"/>
    <col width="74.33203125" customWidth="1" style="973" min="5" max="5"/>
    <col width="64.33203125" customWidth="1" style="973" min="6" max="6"/>
    <col width="9.33203125" customWidth="1" style="973" min="7" max="16384"/>
  </cols>
  <sheetData>
    <row r="1" ht="29.5" customHeight="1">
      <c r="B1" s="4633" t="n"/>
      <c r="D1" s="4466" t="n"/>
      <c r="E1" s="4466" t="n"/>
      <c r="F1" s="4466" t="n"/>
    </row>
    <row r="2" ht="13.25" customHeight="1">
      <c r="A2" s="1281" t="n"/>
      <c r="B2" s="1220" t="n"/>
      <c r="C2" s="1220" t="n"/>
      <c r="D2" s="1281" t="n"/>
      <c r="E2" s="1281" t="n"/>
      <c r="F2" s="1281" t="n"/>
      <c r="G2" s="1281" t="n"/>
    </row>
    <row r="3" ht="43.5" customHeight="1">
      <c r="A3" s="1281" t="n"/>
      <c r="B3" s="1223" t="inlineStr">
        <is>
          <t>Definitions cropland</t>
        </is>
      </c>
      <c r="C3" s="1221" t="n"/>
      <c r="D3" s="1281" t="n"/>
      <c r="E3" s="1223" t="inlineStr">
        <is>
          <t>More information on definitions used in EX-ACT can be found in:</t>
        </is>
      </c>
      <c r="G3" s="1204" t="n"/>
    </row>
    <row r="4" ht="12.75" customHeight="1">
      <c r="A4" s="1281" t="n"/>
    </row>
    <row r="5" ht="30.75" customHeight="1">
      <c r="A5" s="1281" t="n"/>
      <c r="B5" s="1209" t="inlineStr">
        <is>
          <t>Long-term cultivated</t>
        </is>
      </c>
      <c r="C5" s="1211">
        <f>Languages!B707</f>
        <v/>
      </c>
      <c r="D5" s="1203" t="n"/>
      <c r="E5" s="4479" t="inlineStr">
        <is>
          <t>the glossary of IPCC Good Practice Guidance for LULUCF (2003)</t>
        </is>
      </c>
      <c r="G5" s="1203" t="n"/>
    </row>
    <row r="6" ht="25.5" customHeight="1">
      <c r="A6" s="1281" t="n"/>
      <c r="B6" s="1212" t="inlineStr">
        <is>
          <t>Perennial tree/woody crops</t>
        </is>
      </c>
      <c r="C6" s="1211">
        <f>Languages!B708</f>
        <v/>
      </c>
      <c r="D6" s="1203" t="n"/>
      <c r="E6" s="4479" t="inlineStr">
        <is>
          <t>the glossary of IPCC Guidelines for National GHG Inventories (2006)</t>
        </is>
      </c>
      <c r="G6" s="1203" t="n"/>
    </row>
    <row r="7" ht="42" customHeight="1">
      <c r="A7" s="1281" t="n"/>
      <c r="B7" s="1212" t="inlineStr">
        <is>
          <t>Full tillage</t>
        </is>
      </c>
      <c r="C7" s="1211">
        <f>Languages!B709</f>
        <v/>
      </c>
      <c r="D7" s="1203" t="n"/>
      <c r="E7" s="4479" t="inlineStr">
        <is>
          <t>the glossary of IPCC Refinement to the 2006 Guidelines for National GHG Inventories (2019)</t>
        </is>
      </c>
      <c r="G7" s="1203" t="n"/>
    </row>
    <row r="8" ht="41.25" customHeight="1">
      <c r="A8" s="1281" t="n"/>
      <c r="B8" s="1212" t="inlineStr">
        <is>
          <t>Reduced tillage</t>
        </is>
      </c>
      <c r="C8" s="1211">
        <f>Languages!B710</f>
        <v/>
      </c>
      <c r="D8" s="1204" t="n"/>
      <c r="E8" s="1204" t="n"/>
      <c r="F8" s="1206" t="n"/>
      <c r="G8" s="1204" t="n"/>
    </row>
    <row r="9" ht="43.5" customHeight="1">
      <c r="A9" s="1281" t="n"/>
      <c r="B9" s="1213" t="inlineStr">
        <is>
          <t>No-till</t>
        </is>
      </c>
      <c r="C9" s="1211">
        <f>Languages!B711</f>
        <v/>
      </c>
      <c r="D9" s="1205" t="n"/>
      <c r="E9" s="1205" t="n"/>
      <c r="F9" s="1206" t="n"/>
      <c r="G9" s="1205" t="n"/>
    </row>
    <row r="10" ht="109.5" customHeight="1">
      <c r="A10" s="1281" t="n"/>
      <c r="B10" s="1212" t="inlineStr">
        <is>
          <t>Low carbon  input</t>
        </is>
      </c>
      <c r="C10" s="1211">
        <f>Languages!B712</f>
        <v/>
      </c>
      <c r="D10" s="1206" t="n"/>
      <c r="E10" s="1206" t="n"/>
      <c r="F10" s="1206" t="n"/>
      <c r="G10" s="1206" t="n"/>
    </row>
    <row r="11" ht="120" customHeight="1">
      <c r="A11" s="1281" t="n"/>
      <c r="B11" s="1212" t="inlineStr">
        <is>
          <t>Medium carbon input</t>
        </is>
      </c>
      <c r="C11" s="1211">
        <f>Languages!B713</f>
        <v/>
      </c>
      <c r="D11" s="1206" t="n"/>
      <c r="E11" s="1206" t="n"/>
      <c r="F11" s="1206" t="n"/>
      <c r="G11" s="1206" t="n"/>
    </row>
    <row r="12" ht="60" customHeight="1">
      <c r="A12" s="1281" t="n"/>
      <c r="B12" s="1212" t="inlineStr">
        <is>
          <t>High carbon input without organic amendments</t>
        </is>
      </c>
      <c r="C12" s="1211">
        <f>Languages!B714</f>
        <v/>
      </c>
      <c r="D12" s="1207" t="n"/>
      <c r="E12" s="1207" t="n"/>
      <c r="F12" s="1207" t="n"/>
      <c r="G12" s="1207" t="n"/>
    </row>
    <row r="13" ht="42.75" customHeight="1">
      <c r="A13" s="1281" t="n"/>
      <c r="B13" s="1214" t="inlineStr">
        <is>
          <t>High carbon input with organic amendments</t>
        </is>
      </c>
      <c r="C13" s="1211">
        <f>Languages!B715</f>
        <v/>
      </c>
      <c r="D13" s="1204" t="n"/>
      <c r="E13" s="1204" t="n"/>
      <c r="F13" s="1204" t="n"/>
      <c r="G13" s="1204" t="n"/>
    </row>
    <row r="14" ht="42.75" customHeight="1">
      <c r="A14" s="1281" t="n"/>
      <c r="B14" s="4343" t="inlineStr">
        <is>
          <t>Residues retained</t>
        </is>
      </c>
      <c r="C14" s="1211">
        <f>Languages!B716</f>
        <v/>
      </c>
      <c r="D14" s="1204" t="n"/>
      <c r="E14" s="1204" t="n"/>
      <c r="F14" s="1204" t="n"/>
      <c r="G14" s="1204" t="n"/>
    </row>
    <row r="15" ht="42.75" customHeight="1">
      <c r="A15" s="1281" t="n"/>
      <c r="B15" s="4343" t="inlineStr">
        <is>
          <t>Residues exported</t>
        </is>
      </c>
      <c r="C15" s="1211">
        <f>Languages!B717</f>
        <v/>
      </c>
      <c r="D15" s="1204" t="n"/>
      <c r="E15" s="1204" t="n"/>
      <c r="F15" s="1204" t="n"/>
      <c r="G15" s="1204" t="n"/>
    </row>
    <row r="16" ht="42.75" customHeight="1">
      <c r="A16" s="1281" t="n"/>
      <c r="B16" s="4343" t="inlineStr">
        <is>
          <t>Residues burnt</t>
        </is>
      </c>
      <c r="C16" s="1211">
        <f>Languages!B718</f>
        <v/>
      </c>
      <c r="D16" s="1204" t="n"/>
      <c r="E16" s="1204" t="n"/>
      <c r="F16" s="1204" t="n"/>
      <c r="G16" s="1204" t="n"/>
    </row>
    <row r="17" ht="42.75" customHeight="1">
      <c r="A17" s="1281" t="n"/>
      <c r="B17" s="1215" t="n"/>
      <c r="C17" s="1215" t="n"/>
      <c r="D17" s="1204" t="n"/>
      <c r="E17" s="1204" t="n"/>
      <c r="F17" s="1204" t="n"/>
      <c r="G17" s="1204" t="n"/>
    </row>
    <row r="18" ht="57.5" customHeight="1">
      <c r="A18" s="1281" t="n"/>
      <c r="B18" s="1223" t="inlineStr">
        <is>
          <t>Perennial systems / Agroforestry systems</t>
        </is>
      </c>
      <c r="C18" s="1223" t="n"/>
      <c r="D18" s="1204" t="n"/>
      <c r="E18" s="1204" t="n"/>
      <c r="F18" s="1204" t="n"/>
      <c r="G18" s="1204" t="n"/>
    </row>
    <row r="19" ht="30" customHeight="1">
      <c r="A19" s="1281" t="n"/>
      <c r="B19" s="1209" t="inlineStr">
        <is>
          <t>Fallows</t>
        </is>
      </c>
      <c r="C19" s="1211">
        <f>Languages!B720</f>
        <v/>
      </c>
      <c r="D19" s="1204" t="n"/>
      <c r="E19" s="1204" t="n"/>
      <c r="F19" s="1204" t="n"/>
      <c r="G19" s="1204" t="n"/>
    </row>
    <row r="20" ht="15" customHeight="1">
      <c r="A20" s="1281" t="n"/>
      <c r="B20" s="1212" t="inlineStr">
        <is>
          <t>Hedgerows</t>
        </is>
      </c>
      <c r="C20" s="1211">
        <f>Languages!B721</f>
        <v/>
      </c>
      <c r="D20" s="1204" t="n"/>
      <c r="E20" s="1204" t="n"/>
      <c r="F20" s="1204" t="n"/>
      <c r="G20" s="1204" t="n"/>
    </row>
    <row r="21" ht="45" customHeight="1">
      <c r="A21" s="1281" t="n"/>
      <c r="B21" s="1212" t="inlineStr">
        <is>
          <t>Alley cropping</t>
        </is>
      </c>
      <c r="C21" s="1211">
        <f>Languages!B722</f>
        <v/>
      </c>
      <c r="D21" s="1204" t="n"/>
      <c r="E21" s="1204" t="n"/>
      <c r="F21" s="1204" t="n"/>
      <c r="G21" s="1204" t="n"/>
    </row>
    <row r="22" ht="30" customHeight="1">
      <c r="A22" s="1281" t="n"/>
      <c r="B22" s="1212" t="inlineStr">
        <is>
          <t>Multistrata systems</t>
        </is>
      </c>
      <c r="C22" s="1211">
        <f>Languages!B723</f>
        <v/>
      </c>
      <c r="D22" s="1204" t="n"/>
      <c r="E22" s="1204" t="n"/>
      <c r="F22" s="1204" t="n"/>
      <c r="G22" s="1204" t="n"/>
    </row>
    <row r="23" ht="30" customHeight="1">
      <c r="A23" s="1281" t="n"/>
      <c r="B23" s="1212" t="inlineStr">
        <is>
          <t>Parklands</t>
        </is>
      </c>
      <c r="C23" s="1211">
        <f>Languages!B724</f>
        <v/>
      </c>
      <c r="D23" s="1208" t="n"/>
      <c r="E23" s="1208" t="n"/>
      <c r="F23" s="1208" t="n"/>
      <c r="G23" s="1208" t="n"/>
    </row>
    <row r="24" ht="30" customHeight="1">
      <c r="A24" s="1281" t="n"/>
      <c r="B24" s="1212" t="inlineStr">
        <is>
          <t>Shaded perennial crop systems</t>
        </is>
      </c>
      <c r="C24" s="1211">
        <f>Languages!B725</f>
        <v/>
      </c>
      <c r="D24" s="1204" t="n"/>
      <c r="E24" s="1204" t="n"/>
      <c r="F24" s="1204" t="n"/>
      <c r="G24" s="1204" t="n"/>
    </row>
    <row r="25" ht="30" customHeight="1">
      <c r="A25" s="1281" t="n"/>
      <c r="B25" s="1212" t="inlineStr">
        <is>
          <t>Silvoarable systems</t>
        </is>
      </c>
      <c r="C25" s="1211">
        <f>Languages!B726</f>
        <v/>
      </c>
      <c r="D25" s="1204" t="n"/>
      <c r="E25" s="1204" t="n"/>
      <c r="F25" s="1204" t="n"/>
      <c r="G25" s="1204" t="n"/>
    </row>
    <row r="26" ht="15" customHeight="1">
      <c r="A26" s="1281" t="n"/>
      <c r="B26" s="1214" t="inlineStr">
        <is>
          <t>Silvopastoral systems</t>
        </is>
      </c>
      <c r="C26" s="1211">
        <f>Languages!B727</f>
        <v/>
      </c>
      <c r="D26" s="1208" t="n"/>
      <c r="E26" s="1208" t="n"/>
      <c r="F26" s="1208" t="n"/>
      <c r="G26" s="1208" t="n"/>
    </row>
    <row r="27">
      <c r="A27" s="1281" t="n"/>
      <c r="B27" s="1216" t="n"/>
      <c r="C27" s="1217" t="n"/>
      <c r="D27" s="1208" t="n"/>
      <c r="E27" s="1208" t="n"/>
      <c r="F27" s="1208" t="n"/>
      <c r="G27" s="1208" t="n"/>
    </row>
    <row r="28" ht="44.75" customHeight="1">
      <c r="A28" s="1281" t="n"/>
      <c r="B28" s="1223" t="inlineStr">
        <is>
          <t>Flooded rice</t>
        </is>
      </c>
      <c r="C28" s="1223" t="n"/>
      <c r="D28" s="1208" t="n"/>
      <c r="E28" s="1208" t="n"/>
      <c r="F28" s="1208" t="n"/>
      <c r="G28" s="1208" t="n"/>
    </row>
    <row r="29" ht="27.75" customHeight="1">
      <c r="A29" s="1281" t="n"/>
      <c r="B29" s="1209" t="inlineStr">
        <is>
          <t>Irrigated</t>
        </is>
      </c>
      <c r="C29" s="1210">
        <f>Languages!B729</f>
        <v/>
      </c>
      <c r="D29" s="1208" t="n"/>
      <c r="E29" s="1208" t="n"/>
      <c r="F29" s="1208" t="n"/>
      <c r="G29" s="1208" t="n"/>
    </row>
    <row r="30" ht="59.25" customHeight="1">
      <c r="A30" s="1281" t="n"/>
      <c r="B30" s="1212" t="inlineStr">
        <is>
          <t>Continuously flooded</t>
        </is>
      </c>
      <c r="C30" s="1210">
        <f>Languages!B730</f>
        <v/>
      </c>
      <c r="D30" s="1204" t="n"/>
      <c r="E30" s="1204" t="n"/>
      <c r="F30" s="1204" t="n"/>
      <c r="G30" s="1204" t="n"/>
    </row>
    <row r="31" ht="60" customHeight="1">
      <c r="A31" s="1281" t="n"/>
      <c r="B31" s="1212" t="inlineStr">
        <is>
          <t xml:space="preserve">Single drainage </t>
        </is>
      </c>
      <c r="C31" s="1210">
        <f>Languages!B731</f>
        <v/>
      </c>
      <c r="D31" s="1204" t="n"/>
      <c r="E31" s="1204" t="n"/>
      <c r="F31" s="1204" t="n"/>
      <c r="G31" s="1204" t="n"/>
    </row>
    <row r="32" ht="78.75" customHeight="1">
      <c r="A32" s="1281" t="n"/>
      <c r="B32" s="1212" t="inlineStr">
        <is>
          <t xml:space="preserve">Multiple drainage </t>
        </is>
      </c>
      <c r="C32" s="1210">
        <f>Languages!B732</f>
        <v/>
      </c>
      <c r="D32" s="1204" t="n"/>
      <c r="E32" s="1204" t="n"/>
      <c r="F32" s="1204" t="n"/>
      <c r="G32" s="1204" t="n"/>
    </row>
    <row r="33" ht="32" customHeight="1">
      <c r="A33" s="1281" t="n"/>
      <c r="B33" s="1212" t="inlineStr">
        <is>
          <t>Rainfed and deep water</t>
        </is>
      </c>
      <c r="C33" s="1210">
        <f>Languages!B733</f>
        <v/>
      </c>
      <c r="D33" s="1204" t="n"/>
      <c r="E33" s="1204" t="n"/>
      <c r="F33" s="1204" t="n"/>
      <c r="G33" s="1204" t="n"/>
    </row>
    <row r="34" ht="41.25" customHeight="1">
      <c r="A34" s="1281" t="n"/>
      <c r="B34" s="1212" t="inlineStr">
        <is>
          <t>Rainfed, wet season (regular rainfed)</t>
        </is>
      </c>
      <c r="C34" s="1210">
        <f>Languages!B734</f>
        <v/>
      </c>
      <c r="D34" s="1204" t="n"/>
      <c r="E34" s="1204" t="n"/>
      <c r="F34" s="1204" t="n"/>
      <c r="G34" s="1204" t="n"/>
    </row>
    <row r="35" ht="30" customHeight="1">
      <c r="A35" s="1281" t="n"/>
      <c r="B35" s="1212" t="inlineStr">
        <is>
          <t>Rainfed, dry season (drought prone)</t>
        </is>
      </c>
      <c r="C35" s="1210">
        <f>Languages!B735</f>
        <v/>
      </c>
      <c r="D35" s="1204" t="n"/>
      <c r="E35" s="1204" t="n"/>
      <c r="F35" s="1204" t="n"/>
      <c r="G35" s="1204" t="n"/>
    </row>
    <row r="36" ht="15" customHeight="1">
      <c r="A36" s="1281" t="n"/>
      <c r="B36" s="1212" t="inlineStr">
        <is>
          <t>Deep water</t>
        </is>
      </c>
      <c r="C36" s="1210">
        <f>Languages!B736</f>
        <v/>
      </c>
      <c r="D36" s="1205" t="n"/>
      <c r="E36" s="1205" t="n"/>
      <c r="F36" s="1205" t="n"/>
      <c r="G36" s="1205" t="n"/>
    </row>
    <row r="37" ht="68" customHeight="1">
      <c r="A37" s="1281" t="n"/>
      <c r="B37" s="1212" t="inlineStr">
        <is>
          <t>Flooded pre-season (&gt;30 days)</t>
        </is>
      </c>
      <c r="C37" s="1210">
        <f>Languages!B737</f>
        <v/>
      </c>
      <c r="D37" s="1204" t="n"/>
      <c r="E37" s="1204" t="n"/>
      <c r="F37" s="1204" t="n"/>
      <c r="G37" s="1204" t="n"/>
    </row>
    <row r="38" ht="48.5" customHeight="1">
      <c r="A38" s="1281" t="n"/>
      <c r="B38" s="1212" t="inlineStr">
        <is>
          <t>Non flooded pre-season ( &gt;180 days )</t>
        </is>
      </c>
      <c r="C38" s="1210">
        <f>Languages!B738</f>
        <v/>
      </c>
      <c r="D38" s="1204" t="n"/>
      <c r="E38" s="1204" t="n"/>
      <c r="F38" s="1204" t="n"/>
      <c r="G38" s="1204" t="n"/>
    </row>
    <row r="39" ht="50.25" customHeight="1">
      <c r="A39" s="1281" t="n"/>
      <c r="B39" s="1212" t="inlineStr">
        <is>
          <t>Non flooded pre-season (&lt; 180 days)</t>
        </is>
      </c>
      <c r="C39" s="1210">
        <f>Languages!B739</f>
        <v/>
      </c>
      <c r="D39" s="1204" t="n"/>
      <c r="E39" s="1204" t="n"/>
      <c r="F39" s="1204" t="n"/>
      <c r="G39" s="1204" t="n"/>
    </row>
    <row r="40" ht="32" customHeight="1">
      <c r="A40" s="1281" t="n"/>
      <c r="B40" s="1212" t="inlineStr">
        <is>
          <t>Cropping season</t>
        </is>
      </c>
      <c r="C40" s="1210">
        <f>Languages!B740</f>
        <v/>
      </c>
      <c r="D40" s="1208" t="n"/>
      <c r="E40" s="1208" t="n"/>
      <c r="F40" s="1208" t="n"/>
      <c r="G40" s="1208" t="n"/>
    </row>
    <row r="41" ht="69.75" customHeight="1">
      <c r="A41" s="1281" t="n"/>
      <c r="B41" s="1212" t="inlineStr">
        <is>
          <t>Straw incorporated shortly  (&lt;30 days) before cultivation</t>
        </is>
      </c>
      <c r="C41" s="1210">
        <f>Languages!B741</f>
        <v/>
      </c>
      <c r="D41" s="1204" t="n"/>
      <c r="E41" s="1204" t="n"/>
      <c r="F41" s="1204" t="n"/>
      <c r="G41" s="1204" t="n"/>
    </row>
    <row r="42" ht="43.5" customHeight="1">
      <c r="A42" s="1281" t="n"/>
      <c r="B42" s="1214" t="inlineStr">
        <is>
          <t>Straw incorporated long  (&lt;30 days) before cultivation</t>
        </is>
      </c>
      <c r="C42" s="1210">
        <f>Languages!B742</f>
        <v/>
      </c>
      <c r="D42" s="1204" t="n"/>
      <c r="E42" s="1204" t="n"/>
      <c r="F42" s="1204" t="n"/>
      <c r="G42" s="1204" t="n"/>
    </row>
    <row r="44" ht="43.5" customHeight="1">
      <c r="A44" s="1281" t="n"/>
      <c r="B44" s="1223" t="inlineStr">
        <is>
          <t>Definitions livestock</t>
        </is>
      </c>
      <c r="C44" s="1221" t="n"/>
      <c r="D44" s="1281" t="n"/>
      <c r="E44" s="1281" t="n"/>
      <c r="F44" s="1281" t="n"/>
      <c r="G44" s="1281" t="n"/>
    </row>
    <row r="46" ht="15" customHeight="1">
      <c r="B46" s="1212" t="inlineStr">
        <is>
          <t>Main livestock categories</t>
        </is>
      </c>
      <c r="C46" s="1614">
        <f>Languages!B744</f>
        <v/>
      </c>
    </row>
    <row r="47" ht="30" customHeight="1">
      <c r="B47" s="1212" t="inlineStr">
        <is>
          <t>Dairy cattle</t>
        </is>
      </c>
      <c r="C47" s="1218">
        <f>Languages!B745</f>
        <v/>
      </c>
    </row>
    <row r="48" ht="45" customHeight="1">
      <c r="B48" s="1214" t="inlineStr">
        <is>
          <t>Dairy cattle in high-productivity systems</t>
        </is>
      </c>
      <c r="C48" s="1218">
        <f>Languages!B746</f>
        <v/>
      </c>
    </row>
    <row r="49" ht="45" customHeight="1">
      <c r="B49" s="1212" t="inlineStr">
        <is>
          <t>Dairy cattle in low-productivity systems</t>
        </is>
      </c>
      <c r="C49" s="1218">
        <f>Languages!B747</f>
        <v/>
      </c>
    </row>
    <row r="50" ht="60" customHeight="1">
      <c r="B50" s="1214" t="inlineStr">
        <is>
          <t>Other cattle in high-productivity systems</t>
        </is>
      </c>
      <c r="C50" s="1218">
        <f>Languages!B748</f>
        <v/>
      </c>
    </row>
    <row r="51" ht="45" customHeight="1">
      <c r="B51" s="1214" t="inlineStr">
        <is>
          <t>Other cattle in low-productivity systems</t>
        </is>
      </c>
      <c r="C51" s="1218">
        <f>Languages!B749</f>
        <v/>
      </c>
    </row>
    <row r="52" ht="45" customHeight="1">
      <c r="B52" s="1214" t="inlineStr">
        <is>
          <t>Other livestock in high-productivity systems</t>
        </is>
      </c>
      <c r="C52" s="1218">
        <f>Languages!B750</f>
        <v/>
      </c>
    </row>
    <row r="53" ht="75" customHeight="1">
      <c r="B53" s="1214" t="inlineStr">
        <is>
          <t>Other livestock in low-productivity systems</t>
        </is>
      </c>
      <c r="C53" s="1218">
        <f>Languages!B751</f>
        <v/>
      </c>
    </row>
    <row r="56">
      <c r="B56" s="1625" t="inlineStr">
        <is>
          <t>Regional characteristics for cattle and buffalo</t>
        </is>
      </c>
      <c r="C56" s="1619" t="n"/>
    </row>
    <row r="57" ht="45" customHeight="1">
      <c r="B57" s="1214" t="inlineStr">
        <is>
          <t>North America</t>
        </is>
      </c>
      <c r="C57" s="1219">
        <f>Languages!B753</f>
        <v/>
      </c>
    </row>
    <row r="58" ht="60" customHeight="1">
      <c r="B58" s="1214" t="inlineStr">
        <is>
          <t>Western Europe</t>
        </is>
      </c>
      <c r="C58" s="1219">
        <f>Languages!B754</f>
        <v/>
      </c>
    </row>
    <row r="59" ht="60" customHeight="1">
      <c r="B59" s="1214" t="inlineStr">
        <is>
          <t>Eastern Europe</t>
        </is>
      </c>
      <c r="C59" s="1219">
        <f>Languages!B755</f>
        <v/>
      </c>
    </row>
    <row r="60" ht="30" customHeight="1">
      <c r="B60" s="1214" t="inlineStr">
        <is>
          <t>Oceania</t>
        </is>
      </c>
      <c r="C60" s="1219">
        <f>Languages!B756</f>
        <v/>
      </c>
    </row>
    <row r="61" ht="75" customHeight="1">
      <c r="B61" s="1214" t="inlineStr">
        <is>
          <t>Latin America</t>
        </is>
      </c>
      <c r="C61" s="1219">
        <f>Languages!B757</f>
        <v/>
      </c>
    </row>
    <row r="62" ht="90" customHeight="1">
      <c r="B62" s="1214" t="inlineStr">
        <is>
          <t>Asia</t>
        </is>
      </c>
      <c r="C62" s="1219">
        <f>Languages!B758</f>
        <v/>
      </c>
    </row>
    <row r="63" ht="75" customHeight="1">
      <c r="B63" s="1214" t="inlineStr">
        <is>
          <t>Africa</t>
        </is>
      </c>
      <c r="C63" s="1219">
        <f>Languages!B759</f>
        <v/>
      </c>
    </row>
    <row r="64" ht="75" customHeight="1">
      <c r="B64" s="1214" t="inlineStr">
        <is>
          <t>Middle East</t>
        </is>
      </c>
      <c r="C64" s="1219">
        <f>Languages!B760</f>
        <v/>
      </c>
    </row>
    <row r="65" ht="90" customHeight="1">
      <c r="B65" s="1214" t="inlineStr">
        <is>
          <t>Indian subcontinent</t>
        </is>
      </c>
      <c r="C65" s="1219">
        <f>Languages!B761</f>
        <v/>
      </c>
    </row>
    <row r="66">
      <c r="B66" s="1215" t="n"/>
      <c r="C66" s="1627" t="n"/>
    </row>
    <row r="67">
      <c r="B67" s="1215" t="n"/>
      <c r="C67" s="1627" t="n"/>
    </row>
    <row r="68" ht="10.5" customHeight="1">
      <c r="B68" s="1215" t="n"/>
      <c r="C68" s="1627" t="n"/>
    </row>
    <row r="69" ht="6" customHeight="1">
      <c r="B69" s="1215" t="n"/>
      <c r="C69" s="1627" t="n"/>
    </row>
    <row r="70" ht="45" customHeight="1">
      <c r="B70" s="1223" t="inlineStr">
        <is>
          <t>Manure management systems</t>
        </is>
      </c>
      <c r="C70" s="1223" t="n"/>
    </row>
    <row r="71" ht="15" customHeight="1">
      <c r="B71" s="1626" t="inlineStr">
        <is>
          <t>Manure management systems</t>
        </is>
      </c>
      <c r="C71" s="1626" t="n"/>
    </row>
    <row r="72" ht="15" customHeight="1">
      <c r="B72" s="1214" t="inlineStr">
        <is>
          <t>Pasture/Range/Paddock</t>
        </is>
      </c>
      <c r="C72" s="1219">
        <f>Languages!B763</f>
        <v/>
      </c>
    </row>
    <row r="73" ht="15" customHeight="1">
      <c r="B73" s="1214" t="inlineStr">
        <is>
          <t>Daily spread</t>
        </is>
      </c>
      <c r="C73" s="1219">
        <f>Languages!B764</f>
        <v/>
      </c>
    </row>
    <row r="74" ht="30" customHeight="1">
      <c r="B74" s="1214" t="inlineStr">
        <is>
          <t>Solid storage</t>
        </is>
      </c>
      <c r="C74" s="1219">
        <f>Languages!B765</f>
        <v/>
      </c>
    </row>
    <row r="75" ht="30" customHeight="1">
      <c r="B75" s="1214" t="inlineStr">
        <is>
          <t>Dry lot</t>
        </is>
      </c>
      <c r="C75" s="1219">
        <f>Languages!B766</f>
        <v/>
      </c>
    </row>
    <row r="76" ht="45" customHeight="1">
      <c r="B76" s="1214" t="inlineStr">
        <is>
          <t>Liquid/Slurry</t>
        </is>
      </c>
      <c r="C76" s="1219">
        <f>Languages!B767</f>
        <v/>
      </c>
    </row>
    <row r="77" ht="60" customHeight="1">
      <c r="B77" s="1214" t="inlineStr">
        <is>
          <t>Lagoons (uncovered anaerobic)</t>
        </is>
      </c>
      <c r="C77" s="1219">
        <f>Languages!B768</f>
        <v/>
      </c>
    </row>
    <row r="78" ht="45" customHeight="1">
      <c r="B78" s="1214" t="inlineStr">
        <is>
          <t>Pit storage below animal confinements</t>
        </is>
      </c>
      <c r="C78" s="1219">
        <f>Languages!B769</f>
        <v/>
      </c>
    </row>
    <row r="79" ht="15" customHeight="1">
      <c r="B79" s="1214" t="inlineStr">
        <is>
          <t>Anaerobic digester</t>
        </is>
      </c>
      <c r="C79" s="1219">
        <f>Languages!B770</f>
        <v/>
      </c>
    </row>
    <row r="80" ht="15" customHeight="1">
      <c r="B80" s="1214" t="inlineStr">
        <is>
          <t>Burned for fuel</t>
        </is>
      </c>
      <c r="C80" s="1219">
        <f>Languages!B771</f>
        <v/>
      </c>
    </row>
    <row r="81" ht="15" customHeight="1">
      <c r="B81" s="1214" t="inlineStr">
        <is>
          <t>Pit storage below animal confinements</t>
        </is>
      </c>
      <c r="C81" s="1219">
        <f>Languages!B772</f>
        <v/>
      </c>
    </row>
    <row r="82" ht="60" customHeight="1">
      <c r="B82" s="1214" t="inlineStr">
        <is>
          <t>Poultry manure</t>
        </is>
      </c>
      <c r="C82" s="1219">
        <f>Languages!B773</f>
        <v/>
      </c>
    </row>
    <row r="83" ht="30" customHeight="1">
      <c r="B83" s="1214" t="inlineStr">
        <is>
          <t>Composting</t>
        </is>
      </c>
      <c r="C83" s="1219">
        <f>Languages!B774</f>
        <v/>
      </c>
    </row>
    <row r="87" ht="45" customHeight="1">
      <c r="B87" s="1223" t="inlineStr">
        <is>
          <t>Grassland degradation levels</t>
        </is>
      </c>
      <c r="C87" s="1223" t="n"/>
    </row>
    <row r="88" ht="31" customHeight="1" thickBot="1">
      <c r="B88" s="4336" t="inlineStr">
        <is>
          <t>Severely degraded</t>
        </is>
      </c>
      <c r="C88" s="4335">
        <f>Languages!B776</f>
        <v/>
      </c>
    </row>
    <row r="89" ht="31" customHeight="1" thickBot="1">
      <c r="B89" s="4336" t="inlineStr">
        <is>
          <t>High intensity grazing</t>
        </is>
      </c>
      <c r="C89" s="4335">
        <f>Languages!B777</f>
        <v/>
      </c>
    </row>
    <row r="90" ht="31" customHeight="1" thickBot="1">
      <c r="B90" s="4336" t="inlineStr">
        <is>
          <t>Non-degraded</t>
        </is>
      </c>
      <c r="C90" s="4335">
        <f>Languages!B778</f>
        <v/>
      </c>
    </row>
    <row r="91" ht="31" customHeight="1" thickBot="1">
      <c r="B91" s="4336" t="inlineStr">
        <is>
          <t>Improved grassland</t>
        </is>
      </c>
      <c r="C91" s="4335">
        <f>Languages!B779</f>
        <v/>
      </c>
    </row>
    <row r="92" ht="16" customHeight="1" thickBot="1">
      <c r="B92" s="4336" t="inlineStr">
        <is>
          <t>Improved with medium inputs</t>
        </is>
      </c>
      <c r="C92" s="4335">
        <f>Languages!B780</f>
        <v/>
      </c>
    </row>
    <row r="93" ht="31" customHeight="1" thickBot="1">
      <c r="B93" s="4334" t="inlineStr">
        <is>
          <t>Improved with high inputs</t>
        </is>
      </c>
      <c r="C93" s="4335">
        <f>Languages!B781</f>
        <v/>
      </c>
    </row>
    <row r="96" ht="45" customHeight="1">
      <c r="B96" s="1223" t="inlineStr">
        <is>
          <t>Global warming potential</t>
        </is>
      </c>
      <c r="C96" s="1223" t="n"/>
    </row>
    <row r="97" ht="31" customHeight="1" thickBot="1">
      <c r="B97" s="4336" t="inlineStr">
        <is>
          <t>100 yr SAR</t>
        </is>
      </c>
      <c r="C97" s="4335">
        <f>Languages!B783</f>
        <v/>
      </c>
    </row>
    <row r="98" ht="31" customHeight="1" thickBot="1">
      <c r="B98" s="4336" t="inlineStr">
        <is>
          <t>100 yr AR4</t>
        </is>
      </c>
      <c r="C98" s="4335">
        <f>Languages!B784</f>
        <v/>
      </c>
    </row>
    <row r="99" ht="31" customHeight="1" thickBot="1">
      <c r="B99" s="4336" t="inlineStr">
        <is>
          <t>100 yr AR5 with CC feedback</t>
        </is>
      </c>
      <c r="C99" s="4335">
        <f>Languages!B785</f>
        <v/>
      </c>
    </row>
    <row r="100" ht="31" customHeight="1" thickBot="1">
      <c r="B100" s="4336" t="inlineStr">
        <is>
          <t>100 yr AR5 w/out CC feedback</t>
        </is>
      </c>
      <c r="C100" s="4335">
        <f>Languages!B786</f>
        <v/>
      </c>
    </row>
    <row r="101" ht="46" customHeight="1" thickBot="1">
      <c r="B101" s="4336" t="inlineStr">
        <is>
          <t>100 yr AR6</t>
        </is>
      </c>
      <c r="C101" s="4335">
        <f>Languages!B787</f>
        <v/>
      </c>
    </row>
    <row r="103" ht="45" customHeight="1">
      <c r="B103" s="1223" t="inlineStr">
        <is>
          <t>Irrigation types</t>
        </is>
      </c>
      <c r="C103" s="1223" t="n"/>
    </row>
    <row r="104" ht="16" customHeight="1" thickBot="1">
      <c r="B104" s="4336" t="inlineStr">
        <is>
          <t>Surface without IRRS</t>
        </is>
      </c>
      <c r="C104" s="4335">
        <f>Languages!B789</f>
        <v/>
      </c>
    </row>
    <row r="105" ht="16" customHeight="1" thickBot="1">
      <c r="B105" s="4336" t="inlineStr">
        <is>
          <t>Surface with IRRS</t>
        </is>
      </c>
      <c r="C105" s="4335">
        <f>Languages!B790</f>
        <v/>
      </c>
    </row>
    <row r="106" ht="16" customHeight="1" thickBot="1">
      <c r="B106" s="4336" t="inlineStr">
        <is>
          <t>Solid set sprinkler</t>
        </is>
      </c>
      <c r="C106" s="4335">
        <f>Languages!B791</f>
        <v/>
      </c>
    </row>
    <row r="107" ht="16" customHeight="1" thickBot="1">
      <c r="B107" s="4336" t="inlineStr">
        <is>
          <t>Permanent sprinkler</t>
        </is>
      </c>
      <c r="C107" s="4335">
        <f>Languages!B792</f>
        <v/>
      </c>
    </row>
    <row r="108" ht="31" customHeight="1" thickBot="1">
      <c r="B108" s="4336" t="inlineStr">
        <is>
          <t>Hand moved sprinkler</t>
        </is>
      </c>
      <c r="C108" s="4335">
        <f>Languages!B793</f>
        <v/>
      </c>
    </row>
    <row r="109" ht="31" customHeight="1" thickBot="1">
      <c r="B109" s="4336" t="inlineStr">
        <is>
          <t>Solid roll sprinkler</t>
        </is>
      </c>
      <c r="C109" s="4335">
        <f>Languages!B794</f>
        <v/>
      </c>
    </row>
    <row r="110" ht="46" customHeight="1" thickBot="1">
      <c r="B110" s="4336" t="inlineStr">
        <is>
          <t>Center pivot sprinkler</t>
        </is>
      </c>
      <c r="C110" s="4335">
        <f>Languages!B795</f>
        <v/>
      </c>
    </row>
    <row r="111" ht="16" customHeight="1" thickBot="1">
      <c r="B111" s="4336" t="inlineStr">
        <is>
          <t>Traveler sprinkler</t>
        </is>
      </c>
      <c r="C111" s="4335">
        <f>Languages!B796</f>
        <v/>
      </c>
    </row>
    <row r="112" ht="16" customHeight="1" thickBot="1">
      <c r="B112" s="4336" t="inlineStr">
        <is>
          <t>Trickle</t>
        </is>
      </c>
      <c r="C112" s="4335">
        <f>Languages!B797</f>
        <v/>
      </c>
    </row>
    <row r="115" ht="24" customHeight="1">
      <c r="B115" s="1223" t="inlineStr">
        <is>
          <t>Land use definitions</t>
        </is>
      </c>
      <c r="C115" s="4457" t="inlineStr">
        <is>
          <t>Important note: definitions based on EX-ACT experts' interpretation of IPCC land use types</t>
        </is>
      </c>
    </row>
    <row r="116" ht="46" customHeight="1" thickBot="1">
      <c r="B116" s="4336" t="inlineStr">
        <is>
          <t>Forest land</t>
        </is>
      </c>
      <c r="C116" s="4335">
        <f>Languages!B799</f>
        <v/>
      </c>
    </row>
    <row r="117" ht="46" customHeight="1" thickBot="1">
      <c r="B117" s="4336" t="inlineStr">
        <is>
          <t>Plantations</t>
        </is>
      </c>
      <c r="C117" s="4335">
        <f>Languages!B800</f>
        <v/>
      </c>
    </row>
    <row r="118" ht="61" customHeight="1" thickBot="1">
      <c r="B118" s="4336" t="inlineStr">
        <is>
          <t>Annual cropland</t>
        </is>
      </c>
      <c r="C118" s="4335">
        <f>Languages!B801</f>
        <v/>
      </c>
    </row>
    <row r="119" ht="31" customHeight="1" thickBot="1">
      <c r="B119" s="4336" t="inlineStr">
        <is>
          <t>Perennial cropland (agroforestry)</t>
        </is>
      </c>
      <c r="C119" s="4335">
        <f>Languages!B802</f>
        <v/>
      </c>
    </row>
    <row r="120" ht="31" customHeight="1" thickBot="1">
      <c r="B120" s="4336" t="inlineStr">
        <is>
          <t>Flooded rice</t>
        </is>
      </c>
      <c r="C120" s="4335">
        <f>Languages!B803</f>
        <v/>
      </c>
    </row>
    <row r="121" ht="31" customHeight="1" thickBot="1">
      <c r="B121" s="4336" t="inlineStr">
        <is>
          <t>Annual fallow</t>
        </is>
      </c>
      <c r="C121" s="4335">
        <f>Languages!B804</f>
        <v/>
      </c>
    </row>
    <row r="122" ht="31" customHeight="1" thickBot="1">
      <c r="B122" s="4336" t="inlineStr">
        <is>
          <t>Grassland</t>
        </is>
      </c>
      <c r="C122" s="4335">
        <f>Languages!B805</f>
        <v/>
      </c>
    </row>
    <row r="123" ht="31" customHeight="1" thickBot="1">
      <c r="B123" s="4336" t="inlineStr">
        <is>
          <t>Degraded land</t>
        </is>
      </c>
      <c r="C123" s="4335">
        <f>Languages!B806</f>
        <v/>
      </c>
    </row>
    <row r="124" ht="31" customHeight="1" thickBot="1">
      <c r="B124" s="4336" t="inlineStr">
        <is>
          <t>Other land (degraded)</t>
        </is>
      </c>
      <c r="C124" s="4335">
        <f>Languages!B807</f>
        <v/>
      </c>
    </row>
    <row r="126" ht="43.25" customHeight="1">
      <c r="B126" s="1223" t="inlineStr">
        <is>
          <t>Soil types</t>
        </is>
      </c>
      <c r="C126" s="4457" t="inlineStr">
        <is>
          <t xml:space="preserve">Important note: IPCC definitions are complemented by EX-ACT experts' interpretation </t>
        </is>
      </c>
    </row>
    <row r="127" ht="31" customHeight="1" thickBot="1">
      <c r="B127" s="4336" t="inlineStr">
        <is>
          <t>High activity clay (HAC) soils</t>
        </is>
      </c>
      <c r="C127" s="4335">
        <f>Languages!B809</f>
        <v/>
      </c>
    </row>
    <row r="128" ht="31" customHeight="1" thickBot="1">
      <c r="B128" s="4336" t="inlineStr">
        <is>
          <t>Low activity clay (LAC) soils</t>
        </is>
      </c>
      <c r="C128" s="4335">
        <f>Languages!B810</f>
        <v/>
      </c>
    </row>
    <row r="129" ht="31" customHeight="1" thickBot="1">
      <c r="B129" s="4336" t="inlineStr">
        <is>
          <t>Sandy soils</t>
        </is>
      </c>
      <c r="C129" s="4335">
        <f>Languages!B811</f>
        <v/>
      </c>
    </row>
    <row r="130" ht="16" customHeight="1" thickBot="1">
      <c r="B130" s="4336" t="inlineStr">
        <is>
          <t>Spodic soils</t>
        </is>
      </c>
      <c r="C130" s="4335">
        <f>Languages!B812</f>
        <v/>
      </c>
    </row>
    <row r="131" ht="16" customHeight="1" thickBot="1">
      <c r="B131" s="4336" t="inlineStr">
        <is>
          <t>Volcanic soils</t>
        </is>
      </c>
      <c r="C131" s="4335">
        <f>Languages!B813</f>
        <v/>
      </c>
    </row>
    <row r="132" ht="31" customHeight="1" thickBot="1">
      <c r="B132" s="4336" t="inlineStr">
        <is>
          <t>Wetland soils</t>
        </is>
      </c>
      <c r="C132" s="4335">
        <f>Languages!B814</f>
        <v/>
      </c>
    </row>
    <row r="133" ht="186" customHeight="1" thickBot="1">
      <c r="B133" s="4336" t="inlineStr">
        <is>
          <t>Organic soils</t>
        </is>
      </c>
      <c r="C133" s="4335">
        <f>Languages!B815</f>
        <v/>
      </c>
    </row>
  </sheetData>
  <mergeCells count="1">
    <mergeCell ref="B1:C1"/>
  </mergeCells>
  <hyperlinks>
    <hyperlink ref="E5" r:id="rId1"/>
    <hyperlink ref="E6" r:id="rId2"/>
    <hyperlink ref="E7" display="the glossary of IPCC Refinement to the 2006 Guidelines for National GHG Inventories (2006)" r:id="rId3"/>
  </hyperlinks>
  <pageMargins left="0.7" right="0.7" top="0.75" bottom="0.75" header="0.3" footer="0.3"/>
  <pageSetup orientation="portrait"/>
</worksheet>
</file>

<file path=xl/worksheets/sheet43.xml><?xml version="1.0" encoding="utf-8"?>
<worksheet xmlns:r="http://schemas.openxmlformats.org/officeDocument/2006/relationships" xmlns="http://schemas.openxmlformats.org/spreadsheetml/2006/main">
  <sheetPr codeName="Sheet38">
    <tabColor rgb="FFFFC000"/>
    <outlinePr summaryBelow="1" summaryRight="1"/>
    <pageSetUpPr/>
  </sheetPr>
  <dimension ref="A2:AE141"/>
  <sheetViews>
    <sheetView zoomScale="85" zoomScaleNormal="85" workbookViewId="0">
      <selection activeCell="W13" sqref="W13"/>
    </sheetView>
  </sheetViews>
  <sheetFormatPr baseColWidth="10" defaultColWidth="9.33203125" defaultRowHeight="14"/>
  <cols>
    <col width="9.33203125" customWidth="1" style="973" min="1" max="18"/>
    <col width="10.6640625" customWidth="1" style="973" min="19" max="19"/>
    <col width="9.33203125" customWidth="1" style="973" min="20" max="20"/>
    <col width="20.5" customWidth="1" style="973" min="21" max="21"/>
    <col width="13.5" customWidth="1" style="973" min="22" max="22"/>
    <col width="9.33203125" customWidth="1" style="973" min="23" max="25"/>
    <col width="15.33203125" customWidth="1" style="973" min="26" max="26"/>
    <col width="15.5" customWidth="1" style="973" min="27" max="27"/>
    <col width="21.5" customWidth="1" style="973" min="28" max="28"/>
    <col width="31.5" customWidth="1" style="973" min="29" max="29"/>
    <col width="9.33203125" customWidth="1" style="973" min="30" max="16384"/>
  </cols>
  <sheetData>
    <row r="2" ht="45" customHeight="1">
      <c r="A2" s="1398" t="n"/>
      <c r="B2" s="1605" t="inlineStr">
        <is>
          <t>CLIMATE</t>
        </is>
      </c>
      <c r="C2" s="1398" t="n"/>
      <c r="D2" s="1398" t="n"/>
      <c r="E2" s="1398" t="n"/>
      <c r="F2" s="1398" t="n"/>
      <c r="G2" s="1398" t="n"/>
      <c r="H2" s="1398" t="n"/>
      <c r="I2" s="1398" t="n"/>
      <c r="J2" s="1398" t="n"/>
      <c r="K2" s="1398" t="n"/>
      <c r="L2" s="1398" t="n"/>
      <c r="M2" s="1398" t="n"/>
      <c r="N2" s="1398" t="n"/>
      <c r="O2" s="1398" t="n"/>
      <c r="P2" s="1398" t="n"/>
      <c r="Q2" s="1398" t="n"/>
      <c r="R2" s="1398" t="n"/>
      <c r="S2" s="1398" t="n"/>
      <c r="T2" s="1398" t="n"/>
      <c r="U2" s="1398" t="n"/>
      <c r="V2" s="1398" t="n"/>
      <c r="W2" s="1398" t="n"/>
      <c r="X2" s="1398" t="n"/>
      <c r="Y2" s="1398" t="n"/>
      <c r="Z2" s="1398" t="n"/>
      <c r="AA2" s="1398" t="n"/>
      <c r="AB2" s="1398" t="n"/>
      <c r="AC2" s="1398" t="n"/>
    </row>
    <row r="4" ht="15" customHeight="1" thickBot="1">
      <c r="Z4" s="2958">
        <f>Languages!B613</f>
        <v/>
      </c>
      <c r="AA4" s="2959" t="n"/>
      <c r="AB4" s="2959" t="n"/>
      <c r="AC4" s="2959" t="n"/>
    </row>
    <row r="5" ht="21" customHeight="1">
      <c r="S5" s="4280" t="inlineStr">
        <is>
          <t>CLIMATE IDENTIFIER</t>
        </is>
      </c>
      <c r="T5" s="4281" t="n"/>
      <c r="U5" s="4281" t="n"/>
      <c r="V5" s="4281" t="n"/>
      <c r="W5" s="4281" t="n"/>
      <c r="X5" s="4282" t="n"/>
      <c r="Z5" s="2960">
        <f>Languages!B614</f>
        <v/>
      </c>
      <c r="AA5" s="2960">
        <f>Languages!B615</f>
        <v/>
      </c>
      <c r="AB5" s="2960">
        <f>Languages!B616</f>
        <v/>
      </c>
      <c r="AC5" s="2960">
        <f>Languages!B617</f>
        <v/>
      </c>
      <c r="AD5" s="2959" t="n"/>
      <c r="AE5" s="1058" t="n"/>
    </row>
    <row r="6" ht="15" customHeight="1">
      <c r="S6" s="4283" t="inlineStr">
        <is>
          <t>MAT</t>
        </is>
      </c>
      <c r="T6" s="1116">
        <f>Languages!B618</f>
        <v/>
      </c>
      <c r="U6" s="1116" t="n"/>
      <c r="V6" s="1116" t="n"/>
      <c r="W6" s="4847">
        <f>Calculations!C5</f>
        <v/>
      </c>
      <c r="X6" s="4285" t="n"/>
      <c r="Z6" s="2959" t="inlineStr">
        <is>
          <t>MAT &gt; 18</t>
        </is>
      </c>
      <c r="AA6" s="2961" t="inlineStr">
        <is>
          <t>&lt; 1000</t>
        </is>
      </c>
      <c r="AB6" s="2959" t="inlineStr">
        <is>
          <t>MAP ≥ 2000</t>
        </is>
      </c>
      <c r="AC6" s="2959" t="inlineStr">
        <is>
          <t>Tropical Wet</t>
        </is>
      </c>
      <c r="AD6" s="2958" t="n"/>
    </row>
    <row r="7" ht="15" customHeight="1">
      <c r="S7" s="4286" t="n"/>
      <c r="T7" s="1116" t="n"/>
      <c r="U7" s="1116" t="n"/>
      <c r="V7" s="1116" t="n"/>
      <c r="W7" s="1116" t="n"/>
      <c r="X7" s="4285" t="n"/>
      <c r="Z7" s="2959" t="inlineStr">
        <is>
          <t>MAT &gt; 18</t>
        </is>
      </c>
      <c r="AA7" s="2961" t="inlineStr">
        <is>
          <t>&lt; 1000</t>
        </is>
      </c>
      <c r="AB7" s="2959" t="inlineStr">
        <is>
          <t>1000 ≤ MAP &lt; 2000</t>
        </is>
      </c>
      <c r="AC7" s="2959" t="inlineStr">
        <is>
          <t>Tropical Moist</t>
        </is>
      </c>
      <c r="AD7" s="2959" t="n"/>
    </row>
    <row r="8">
      <c r="S8" s="4283" t="inlineStr">
        <is>
          <t>MAP</t>
        </is>
      </c>
      <c r="T8" s="1116">
        <f>Languages!B619</f>
        <v/>
      </c>
      <c r="U8" s="1116" t="n"/>
      <c r="V8" s="1116" t="n"/>
      <c r="W8" s="4287">
        <f>Calculations!C4</f>
        <v/>
      </c>
      <c r="X8" s="4285" t="n"/>
      <c r="Z8" s="2959" t="inlineStr">
        <is>
          <t>MAT &gt; 18</t>
        </is>
      </c>
      <c r="AA8" s="2961" t="inlineStr">
        <is>
          <t>&lt; 1000</t>
        </is>
      </c>
      <c r="AB8" s="2959" t="inlineStr">
        <is>
          <t>MAP &lt; 1000</t>
        </is>
      </c>
      <c r="AC8" s="2959" t="inlineStr">
        <is>
          <t>Tropical Dry</t>
        </is>
      </c>
      <c r="AD8" s="2959" t="n"/>
    </row>
    <row r="9" ht="15" customHeight="1">
      <c r="S9" s="4286" t="n"/>
      <c r="T9" s="1116" t="n"/>
      <c r="U9" s="1116" t="n"/>
      <c r="V9" s="1116" t="n"/>
      <c r="W9" s="1116" t="n"/>
      <c r="X9" s="4285" t="n"/>
      <c r="Z9" s="2959" t="inlineStr">
        <is>
          <t>MAT &gt; 18</t>
        </is>
      </c>
      <c r="AA9" s="2961" t="inlineStr">
        <is>
          <t>≥ 1000</t>
        </is>
      </c>
      <c r="AB9" s="2959" t="inlineStr">
        <is>
          <t>MAP ≥ 1000</t>
        </is>
      </c>
      <c r="AC9" s="2959" t="inlineStr">
        <is>
          <t>Tropical Montane</t>
        </is>
      </c>
      <c r="AD9" s="2959" t="n"/>
    </row>
    <row r="10" ht="15" customHeight="1">
      <c r="S10" s="4283" t="inlineStr">
        <is>
          <t>PET</t>
        </is>
      </c>
      <c r="T10" s="1116">
        <f>Languages!B620</f>
        <v/>
      </c>
      <c r="U10" s="1116" t="n"/>
      <c r="V10" s="1116" t="n"/>
      <c r="W10" s="4287">
        <f>Calculations!C6</f>
        <v/>
      </c>
      <c r="X10" s="4285" t="n"/>
      <c r="Z10" s="2959" t="inlineStr">
        <is>
          <t>MAT &gt; 18</t>
        </is>
      </c>
      <c r="AA10" s="2961" t="inlineStr">
        <is>
          <t>≥ 1000</t>
        </is>
      </c>
      <c r="AB10" s="2959" t="inlineStr">
        <is>
          <t>MAP &lt; 1000</t>
        </is>
      </c>
      <c r="AC10" s="2959" t="inlineStr">
        <is>
          <t>Tropical Montane</t>
        </is>
      </c>
      <c r="AD10" s="2959" t="n"/>
    </row>
    <row r="11" ht="15" customHeight="1">
      <c r="S11" s="4286" t="n"/>
      <c r="T11" s="1116" t="n"/>
      <c r="U11" s="1116" t="n"/>
      <c r="V11" s="1116" t="n"/>
      <c r="W11" s="1116" t="n"/>
      <c r="X11" s="4285" t="n"/>
      <c r="Z11" s="2959" t="inlineStr">
        <is>
          <t>10 &lt; MAT ≤ 18</t>
        </is>
      </c>
      <c r="AA11" s="2961" t="inlineStr">
        <is>
          <t>&lt; 1000</t>
        </is>
      </c>
      <c r="AB11" s="2959" t="inlineStr">
        <is>
          <t>MAP &gt; PET</t>
        </is>
      </c>
      <c r="AC11" s="2959" t="inlineStr">
        <is>
          <t>Warm Temperate Moist</t>
        </is>
      </c>
      <c r="AD11" s="2959" t="n"/>
    </row>
    <row r="12" ht="15" customHeight="1">
      <c r="S12" s="4283" t="inlineStr">
        <is>
          <t>Elevation</t>
        </is>
      </c>
      <c r="T12" s="1116">
        <f>Languages!B621</f>
        <v/>
      </c>
      <c r="U12" s="1116" t="n"/>
      <c r="V12" s="1116" t="n"/>
      <c r="W12" s="4287">
        <f>Calculations!C7</f>
        <v/>
      </c>
      <c r="X12" s="4285" t="n"/>
      <c r="Z12" s="2959" t="inlineStr">
        <is>
          <t>10 &lt; MAT ≤ 18</t>
        </is>
      </c>
      <c r="AA12" s="2961" t="inlineStr">
        <is>
          <t>&lt; 1000</t>
        </is>
      </c>
      <c r="AB12" s="2959" t="inlineStr">
        <is>
          <t>MAP &lt; PET</t>
        </is>
      </c>
      <c r="AC12" s="2959" t="inlineStr">
        <is>
          <t>Warm Temperate Dry</t>
        </is>
      </c>
      <c r="AD12" s="2959" t="n"/>
    </row>
    <row r="13" ht="16" customHeight="1" thickBot="1">
      <c r="S13" s="4288" t="n"/>
      <c r="T13" s="4289" t="n"/>
      <c r="U13" s="4289" t="n"/>
      <c r="V13" s="4289" t="n"/>
      <c r="W13" s="4289" t="n"/>
      <c r="X13" s="4290" t="n"/>
      <c r="Z13" s="2959" t="inlineStr">
        <is>
          <t>0 &lt; MAT ≤ 10</t>
        </is>
      </c>
      <c r="AA13" s="2961" t="inlineStr">
        <is>
          <t>&lt; 1000</t>
        </is>
      </c>
      <c r="AB13" s="2959" t="inlineStr">
        <is>
          <t>MAP &gt; PET</t>
        </is>
      </c>
      <c r="AC13" s="2959" t="inlineStr">
        <is>
          <t>Cool Temperate Moist</t>
        </is>
      </c>
      <c r="AD13" s="2959" t="n"/>
    </row>
    <row r="14" ht="17" customHeight="1" thickBot="1">
      <c r="S14" s="4291" t="inlineStr">
        <is>
          <t>Climate</t>
        </is>
      </c>
      <c r="T14" s="4294">
        <f>IFERROR(IF(AND(W6&gt;=18,W12&gt;=1000),"Tropical Montane",IF(AND(W6&gt;18,W12&lt;1000), "Tropical",IF(AND(W6&lt;=18,W6&gt;10),"Warm Temperate",IF(AND(W6&lt;=10,W6&gt;0),"Cool Temperate",IF(AND(W6&lt;=0,W6&gt;-10),"Boreal","Polar"))))),0)</f>
        <v/>
      </c>
      <c r="U14" s="4292" t="n"/>
      <c r="V14" s="4292" t="n"/>
      <c r="W14" s="4292" t="n"/>
      <c r="X14" s="4293" t="n"/>
      <c r="Z14" s="2959" t="inlineStr">
        <is>
          <t>0 &lt; MAT ≤ 10</t>
        </is>
      </c>
      <c r="AA14" s="2961" t="inlineStr">
        <is>
          <t>&lt; 1000</t>
        </is>
      </c>
      <c r="AB14" s="2959" t="inlineStr">
        <is>
          <t>MAP &lt; PET</t>
        </is>
      </c>
      <c r="AC14" s="2959" t="inlineStr">
        <is>
          <t>Cool Temperate Dry</t>
        </is>
      </c>
      <c r="AD14" s="2959" t="n"/>
    </row>
    <row r="15" ht="17" customHeight="1" thickBot="1">
      <c r="S15" s="4291" t="inlineStr">
        <is>
          <t>Moisture</t>
        </is>
      </c>
      <c r="T15" s="4294">
        <f>IFERROR(IF(T14="Tropical Montane", "Dry",IF(T14="Tropical",IF(W8&gt;2000,"Wet",IF(AND(W8&lt;2000,W8&gt;=1000),"Moist","Dry")),IF(W8&gt;=W10,"Moist","Dry"))),0)</f>
        <v/>
      </c>
      <c r="U15" s="4292" t="n"/>
      <c r="V15" s="4292" t="n"/>
      <c r="W15" s="4292" t="n"/>
      <c r="X15" s="4293" t="n"/>
      <c r="Z15" s="2964" t="inlineStr">
        <is>
          <t>-10 &lt; MAT ≤ 0</t>
        </is>
      </c>
      <c r="AA15" s="2961" t="inlineStr">
        <is>
          <t>&lt; 1000</t>
        </is>
      </c>
      <c r="AB15" s="2959" t="inlineStr">
        <is>
          <t>MAP &gt; PET</t>
        </is>
      </c>
      <c r="AC15" s="2959" t="inlineStr">
        <is>
          <t>Boreal Moist</t>
        </is>
      </c>
      <c r="AD15" s="2959" t="n"/>
    </row>
    <row r="16" ht="15" customHeight="1">
      <c r="Z16" s="2964" t="inlineStr">
        <is>
          <t>-10 &lt; MAT ≤ 0</t>
        </is>
      </c>
      <c r="AA16" s="2961" t="inlineStr">
        <is>
          <t>&lt; 1000</t>
        </is>
      </c>
      <c r="AB16" s="2959" t="inlineStr">
        <is>
          <t>MAP &lt; PET</t>
        </is>
      </c>
      <c r="AC16" s="2959" t="inlineStr">
        <is>
          <t>Boreal Dry</t>
        </is>
      </c>
      <c r="AD16" s="2959" t="n"/>
    </row>
    <row r="17" ht="15" customHeight="1">
      <c r="Z17" s="2959" t="inlineStr">
        <is>
          <t>MAT ≤ -10</t>
        </is>
      </c>
      <c r="AA17" s="2961" t="inlineStr">
        <is>
          <t>&lt; 1000</t>
        </is>
      </c>
      <c r="AB17" s="2959" t="inlineStr">
        <is>
          <t>MAP &gt; PET</t>
        </is>
      </c>
      <c r="AC17" s="2959" t="inlineStr">
        <is>
          <t>Polar Moist</t>
        </is>
      </c>
      <c r="AD17" s="2959" t="n"/>
    </row>
    <row r="18" ht="15" customHeight="1">
      <c r="Z18" s="2959" t="inlineStr">
        <is>
          <t>MAT ≤ -10</t>
        </is>
      </c>
      <c r="AA18" s="2961" t="inlineStr">
        <is>
          <t>&lt; 1000</t>
        </is>
      </c>
      <c r="AB18" s="2959" t="inlineStr">
        <is>
          <t>MAP &lt; PET</t>
        </is>
      </c>
      <c r="AC18" s="2959" t="inlineStr">
        <is>
          <t>Polar Dry</t>
        </is>
      </c>
      <c r="AD18" s="2959" t="n"/>
    </row>
    <row r="19">
      <c r="AD19" s="2959" t="n"/>
    </row>
    <row r="20">
      <c r="AD20" s="2959" t="n"/>
    </row>
    <row r="21">
      <c r="Z21" s="2959" t="n"/>
      <c r="AA21" s="2959" t="n"/>
      <c r="AB21" s="2959" t="n"/>
      <c r="AC21" s="2959" t="n"/>
      <c r="AD21" s="2959" t="n"/>
    </row>
    <row r="22">
      <c r="Z22" s="2959" t="n"/>
      <c r="AA22" s="2959" t="n"/>
      <c r="AB22" s="2959" t="n"/>
      <c r="AC22" s="2959" t="n"/>
      <c r="AD22" s="2959" t="n"/>
    </row>
    <row r="23">
      <c r="AD23" s="2959" t="n"/>
    </row>
    <row r="24">
      <c r="AD24" s="2959" t="n"/>
    </row>
    <row r="25">
      <c r="AD25" s="2959" t="n"/>
    </row>
    <row r="26">
      <c r="AD26" s="2959" t="n"/>
    </row>
    <row r="27">
      <c r="AD27" s="2959" t="n"/>
    </row>
    <row r="30" ht="45" customHeight="1">
      <c r="A30" s="1398" t="n"/>
      <c r="B30" s="1605" t="inlineStr">
        <is>
          <t>SOIL</t>
        </is>
      </c>
      <c r="C30" s="1398" t="n"/>
      <c r="D30" s="1398" t="n"/>
      <c r="E30" s="1398" t="n"/>
      <c r="F30" s="1398" t="n"/>
      <c r="G30" s="1398" t="n"/>
      <c r="H30" s="1398" t="n"/>
      <c r="I30" s="1398" t="n"/>
      <c r="J30" s="1398" t="n"/>
      <c r="K30" s="1398" t="n"/>
      <c r="L30" s="1398" t="n"/>
      <c r="M30" s="1398" t="n"/>
      <c r="N30" s="1398" t="n"/>
      <c r="O30" s="1398" t="n"/>
      <c r="P30" s="1398" t="n"/>
      <c r="Q30" s="1398" t="n"/>
      <c r="R30" s="1398" t="n"/>
      <c r="S30" s="1398" t="n"/>
      <c r="T30" s="1398" t="n"/>
      <c r="U30" s="1398" t="n"/>
      <c r="V30" s="1398" t="n"/>
      <c r="W30" s="1398" t="n"/>
      <c r="X30" s="1398" t="n"/>
      <c r="Y30" s="1398" t="n"/>
      <c r="Z30" s="1398" t="n"/>
      <c r="AA30" s="1398" t="n"/>
      <c r="AB30" s="1398" t="n"/>
      <c r="AC30" s="1398" t="n"/>
    </row>
    <row r="31">
      <c r="U31" s="1608" t="inlineStr">
        <is>
          <t>Soil classification</t>
        </is>
      </c>
      <c r="V31" s="1606" t="n"/>
    </row>
    <row r="32">
      <c r="U32" s="1609" t="inlineStr">
        <is>
          <t>WRB-2014</t>
        </is>
      </c>
      <c r="V32" s="1609" t="inlineStr">
        <is>
          <t>IPCC</t>
        </is>
      </c>
    </row>
    <row r="33">
      <c r="U33" s="1607" t="n"/>
      <c r="V33" s="1607" t="n"/>
    </row>
    <row r="34">
      <c r="U34" s="1607" t="inlineStr">
        <is>
          <t>Acrisol AC</t>
        </is>
      </c>
      <c r="V34" s="1607" t="inlineStr">
        <is>
          <t>LAC Soils</t>
        </is>
      </c>
    </row>
    <row r="35">
      <c r="U35" s="1607" t="inlineStr">
        <is>
          <t>Alisol AL</t>
        </is>
      </c>
      <c r="V35" s="1607" t="inlineStr">
        <is>
          <t>HAC Soils</t>
        </is>
      </c>
    </row>
    <row r="36">
      <c r="U36" s="1607" t="inlineStr">
        <is>
          <t>Andosol AN</t>
        </is>
      </c>
      <c r="V36" s="1607" t="inlineStr">
        <is>
          <t>Volcanic Soils</t>
        </is>
      </c>
    </row>
    <row r="37">
      <c r="U37" s="1607" t="inlineStr">
        <is>
          <t>Anthrosol AT</t>
        </is>
      </c>
      <c r="V37" s="1607" t="inlineStr">
        <is>
          <t>LAC Soils</t>
        </is>
      </c>
    </row>
    <row r="38">
      <c r="U38" s="1607" t="inlineStr">
        <is>
          <t>Arenosol AR</t>
        </is>
      </c>
      <c r="V38" s="1607" t="inlineStr">
        <is>
          <t>Sandy Soils</t>
        </is>
      </c>
    </row>
    <row r="39">
      <c r="U39" s="1607" t="inlineStr">
        <is>
          <t>Calcisol CL</t>
        </is>
      </c>
      <c r="V39" s="1607" t="inlineStr">
        <is>
          <t>HAC Soils</t>
        </is>
      </c>
    </row>
    <row r="40">
      <c r="U40" s="1607" t="inlineStr">
        <is>
          <t>Cambisol CM</t>
        </is>
      </c>
      <c r="V40" s="1607" t="inlineStr">
        <is>
          <t>HAC Soils</t>
        </is>
      </c>
    </row>
    <row r="41">
      <c r="U41" s="1607" t="inlineStr">
        <is>
          <t>Chernozem CH</t>
        </is>
      </c>
      <c r="V41" s="1607" t="inlineStr">
        <is>
          <t>HAC Soils</t>
        </is>
      </c>
    </row>
    <row r="42">
      <c r="U42" s="1607" t="inlineStr">
        <is>
          <t>Cryosol CR</t>
        </is>
      </c>
      <c r="V42" s="1607" t="inlineStr">
        <is>
          <t>LAC Soils</t>
        </is>
      </c>
    </row>
    <row r="43">
      <c r="U43" s="1607" t="inlineStr">
        <is>
          <t>Durisol DU</t>
        </is>
      </c>
      <c r="V43" s="1607" t="inlineStr">
        <is>
          <t>LAC Soils</t>
        </is>
      </c>
    </row>
    <row r="44">
      <c r="U44" s="1607" t="inlineStr">
        <is>
          <t>Ferralsol FR</t>
        </is>
      </c>
      <c r="V44" s="1607" t="inlineStr">
        <is>
          <t>LAC Soils</t>
        </is>
      </c>
    </row>
    <row r="45">
      <c r="U45" s="1607" t="inlineStr">
        <is>
          <t>Fluvisol FL</t>
        </is>
      </c>
      <c r="V45" s="1607" t="inlineStr">
        <is>
          <t>HAC Soils</t>
        </is>
      </c>
    </row>
    <row r="46">
      <c r="U46" s="1607" t="inlineStr">
        <is>
          <t>Gleysol GL</t>
        </is>
      </c>
      <c r="V46" s="1607" t="inlineStr">
        <is>
          <t>Wetland Soils</t>
        </is>
      </c>
    </row>
    <row r="47">
      <c r="U47" s="1607" t="inlineStr">
        <is>
          <t>Gypsisol GY</t>
        </is>
      </c>
      <c r="V47" s="1607" t="inlineStr">
        <is>
          <t>HAC Soils</t>
        </is>
      </c>
    </row>
    <row r="48">
      <c r="U48" s="1607" t="inlineStr">
        <is>
          <t>Histosol HS</t>
        </is>
      </c>
      <c r="V48" s="1607" t="inlineStr">
        <is>
          <t>Organic Soils</t>
        </is>
      </c>
    </row>
    <row r="49">
      <c r="U49" s="1607" t="inlineStr">
        <is>
          <t>Kastanozem KS</t>
        </is>
      </c>
      <c r="V49" s="1607" t="inlineStr">
        <is>
          <t>HAC Soils</t>
        </is>
      </c>
    </row>
    <row r="50">
      <c r="U50" s="1607" t="inlineStr">
        <is>
          <t>Leptosol LP</t>
        </is>
      </c>
      <c r="V50" s="1607" t="inlineStr">
        <is>
          <t>HAC Soils</t>
        </is>
      </c>
    </row>
    <row r="51">
      <c r="U51" s="1607" t="inlineStr">
        <is>
          <t>Lixisol LX</t>
        </is>
      </c>
      <c r="V51" s="1607" t="inlineStr">
        <is>
          <t>LAC Soils</t>
        </is>
      </c>
    </row>
    <row r="52">
      <c r="U52" s="1607" t="inlineStr">
        <is>
          <t>Luvisol LV</t>
        </is>
      </c>
      <c r="V52" s="1607" t="inlineStr">
        <is>
          <t>HAC Soils</t>
        </is>
      </c>
    </row>
    <row r="53">
      <c r="U53" s="1607" t="inlineStr">
        <is>
          <t>Nitisol NT</t>
        </is>
      </c>
      <c r="V53" s="1607" t="inlineStr">
        <is>
          <t>LAC Soils</t>
        </is>
      </c>
    </row>
    <row r="54">
      <c r="U54" s="1607" t="inlineStr">
        <is>
          <t>Phaeozem PH</t>
        </is>
      </c>
      <c r="V54" s="1607" t="inlineStr">
        <is>
          <t>HAC Soils</t>
        </is>
      </c>
    </row>
    <row r="55">
      <c r="U55" s="1607" t="inlineStr">
        <is>
          <t>Planosol PL</t>
        </is>
      </c>
      <c r="V55" s="1607" t="inlineStr">
        <is>
          <t>LAC Soils</t>
        </is>
      </c>
    </row>
    <row r="56">
      <c r="U56" s="1607" t="inlineStr">
        <is>
          <t>Plinthosol PT</t>
        </is>
      </c>
      <c r="V56" s="1607" t="inlineStr">
        <is>
          <t>LAC Soils</t>
        </is>
      </c>
    </row>
    <row r="57">
      <c r="U57" s="1607" t="inlineStr">
        <is>
          <t>Podzol PZ</t>
        </is>
      </c>
      <c r="V57" s="1607" t="inlineStr">
        <is>
          <t>Spodic Soils</t>
        </is>
      </c>
    </row>
    <row r="58">
      <c r="U58" s="1607" t="inlineStr">
        <is>
          <t>Regosol RG</t>
        </is>
      </c>
      <c r="V58" s="1607" t="inlineStr">
        <is>
          <t>HAC Soils</t>
        </is>
      </c>
    </row>
    <row r="59">
      <c r="U59" s="1607" t="inlineStr">
        <is>
          <t>Retisol</t>
        </is>
      </c>
      <c r="V59" s="1607" t="inlineStr">
        <is>
          <t>HAC Soils</t>
        </is>
      </c>
    </row>
    <row r="60">
      <c r="B60" s="145" t="n"/>
      <c r="U60" s="1607" t="inlineStr">
        <is>
          <t>Solonchak SC</t>
        </is>
      </c>
      <c r="V60" s="1607" t="inlineStr">
        <is>
          <t>LAC Soils</t>
        </is>
      </c>
    </row>
    <row r="61">
      <c r="B61" s="973" t="inlineStr">
        <is>
          <t xml:space="preserve">Note: for more detailed maps users can refer to: </t>
        </is>
      </c>
      <c r="U61" s="1607" t="inlineStr">
        <is>
          <t>Solonetz SN</t>
        </is>
      </c>
      <c r="V61" s="1607" t="inlineStr">
        <is>
          <t>HAC Soils</t>
        </is>
      </c>
    </row>
    <row r="62">
      <c r="B62" s="1610" t="inlineStr">
        <is>
          <t xml:space="preserve">Harmonized World Soil Database </t>
        </is>
      </c>
      <c r="U62" s="1607" t="inlineStr">
        <is>
          <t>Stagnosol ST</t>
        </is>
      </c>
      <c r="V62" s="1607" t="inlineStr">
        <is>
          <t>LAC Soils</t>
        </is>
      </c>
    </row>
    <row r="63">
      <c r="B63" s="1610" t="inlineStr">
        <is>
          <t>Earthmap</t>
        </is>
      </c>
      <c r="U63" s="1607" t="inlineStr">
        <is>
          <t>Technosol TC</t>
        </is>
      </c>
      <c r="V63" s="1607" t="inlineStr">
        <is>
          <t>LAC Soils</t>
        </is>
      </c>
    </row>
    <row r="64">
      <c r="B64" s="973" t="inlineStr">
        <is>
          <t>For more info on the types of soil, users can refer to the</t>
        </is>
      </c>
      <c r="H64" s="1059" t="inlineStr">
        <is>
          <t>Definitions tab</t>
        </is>
      </c>
      <c r="U64" s="1607" t="inlineStr">
        <is>
          <t>Umbrisol UM</t>
        </is>
      </c>
      <c r="V64" s="1607" t="inlineStr">
        <is>
          <t>HAC Soils</t>
        </is>
      </c>
    </row>
    <row r="65">
      <c r="U65" s="1607" t="inlineStr">
        <is>
          <t>Vertisol VR</t>
        </is>
      </c>
      <c r="V65" s="1607" t="inlineStr">
        <is>
          <t>HAC Soils</t>
        </is>
      </c>
    </row>
    <row r="66" ht="45" customHeight="1">
      <c r="A66" s="1398" t="n"/>
      <c r="B66" s="1605" t="inlineStr">
        <is>
          <t>GLOBAL ECOLOGICAL ZONES</t>
        </is>
      </c>
      <c r="C66" s="1398" t="n"/>
      <c r="D66" s="1398" t="n"/>
      <c r="E66" s="1398" t="n"/>
      <c r="F66" s="1398" t="n"/>
      <c r="G66" s="1398" t="n"/>
      <c r="H66" s="1398" t="n"/>
      <c r="I66" s="1398" t="n"/>
      <c r="J66" s="1398" t="n"/>
      <c r="K66" s="1398" t="n"/>
      <c r="L66" s="1398" t="n"/>
      <c r="M66" s="1398" t="n"/>
      <c r="N66" s="1398" t="n"/>
      <c r="O66" s="1398" t="n"/>
      <c r="P66" s="1398" t="n"/>
      <c r="Q66" s="1398" t="n"/>
      <c r="R66" s="1398" t="n"/>
      <c r="S66" s="1398" t="n"/>
      <c r="T66" s="1398" t="n"/>
      <c r="U66" s="1398" t="n"/>
      <c r="V66" s="1398" t="n"/>
      <c r="W66" s="1398" t="n"/>
      <c r="X66" s="1398" t="n"/>
      <c r="Y66" s="1398" t="n"/>
      <c r="Z66" s="1398" t="n"/>
      <c r="AA66" s="1398" t="n"/>
      <c r="AB66" s="1398" t="n"/>
      <c r="AC66" s="1398" t="n"/>
    </row>
    <row r="99">
      <c r="B99" s="973" t="inlineStr">
        <is>
          <t>Source: FAO, 2015.</t>
        </is>
      </c>
    </row>
    <row r="100">
      <c r="B100" s="973" t="inlineStr">
        <is>
          <t>Global ecological zones for FAO Forest Reporting: 2010 Update, Forest Resources Assessment Working Paper 179.</t>
        </is>
      </c>
    </row>
    <row r="103" ht="45" customHeight="1">
      <c r="A103" s="1398" t="n"/>
      <c r="B103" s="1605" t="inlineStr">
        <is>
          <t>SIMULATED WATER TABLE DEPTH</t>
        </is>
      </c>
      <c r="C103" s="1398" t="n"/>
      <c r="D103" s="1398" t="n"/>
      <c r="E103" s="1398" t="n"/>
      <c r="F103" s="1398" t="n"/>
      <c r="G103" s="1398" t="n"/>
      <c r="H103" s="1398" t="n"/>
      <c r="I103" s="1398" t="n"/>
      <c r="J103" s="1398" t="n"/>
      <c r="K103" s="1398" t="n"/>
      <c r="L103" s="1398" t="n"/>
      <c r="M103" s="1398" t="n"/>
      <c r="N103" s="1398" t="n"/>
      <c r="O103" s="1398" t="n"/>
      <c r="P103" s="1398" t="n"/>
      <c r="Q103" s="1398" t="n"/>
      <c r="R103" s="1398" t="n"/>
      <c r="S103" s="1398" t="n"/>
      <c r="T103" s="1398" t="n"/>
      <c r="U103" s="1398" t="n"/>
      <c r="V103" s="1398" t="n"/>
      <c r="W103" s="1398" t="n"/>
      <c r="X103" s="1398" t="n"/>
      <c r="Y103" s="1398" t="n"/>
      <c r="Z103" s="1398" t="n"/>
      <c r="AA103" s="1398" t="n"/>
      <c r="AB103" s="1398" t="n"/>
      <c r="AC103" s="1398" t="n"/>
    </row>
    <row r="129">
      <c r="A129" s="973" t="inlineStr">
        <is>
          <t>Source: Fan Y. et al., 2013, Global Patterns of Groundwater Table Depth.</t>
        </is>
      </c>
    </row>
    <row r="130">
      <c r="A130" s="973" t="inlineStr">
        <is>
          <t>For more precise geographical localisation, users can also refer to Fan Y. et al., 2013, Supplementary Materials for Global Patterns of Groundwater Table Depth.</t>
        </is>
      </c>
    </row>
    <row r="133" ht="45" customHeight="1">
      <c r="A133" s="1398" t="n"/>
      <c r="B133" s="1605" t="inlineStr">
        <is>
          <t>CALCULATING THE GIWR WITH THE AQUASTAT CLIMATE INFO TOOL</t>
        </is>
      </c>
      <c r="C133" s="1398" t="n"/>
      <c r="D133" s="1398" t="n"/>
      <c r="E133" s="1398" t="n"/>
      <c r="F133" s="1398" t="n"/>
      <c r="G133" s="1398" t="n"/>
      <c r="H133" s="1398" t="n"/>
      <c r="I133" s="1398" t="n"/>
      <c r="J133" s="1398" t="n"/>
      <c r="K133" s="1398" t="n"/>
      <c r="L133" s="1398" t="n"/>
      <c r="M133" s="1398" t="n"/>
      <c r="N133" s="1398" t="n"/>
      <c r="O133" s="1398" t="n"/>
      <c r="P133" s="1398" t="n"/>
      <c r="Q133" s="1398" t="n"/>
      <c r="R133" s="1398" t="n"/>
      <c r="S133" s="1398" t="n"/>
      <c r="T133" s="1398" t="n"/>
      <c r="U133" s="1398" t="n"/>
      <c r="V133" s="1398" t="n"/>
      <c r="W133" s="1398" t="n"/>
      <c r="X133" s="1398" t="n"/>
      <c r="Y133" s="1398" t="n"/>
      <c r="Z133" s="1398" t="n"/>
      <c r="AA133" s="1398" t="n"/>
      <c r="AB133" s="1398" t="n"/>
      <c r="AC133" s="1398" t="n"/>
    </row>
    <row r="134" ht="15" customHeight="1">
      <c r="A134" s="973" t="inlineStr">
        <is>
          <t xml:space="preserve">The total amount of water applied through irrigation, including the irrigation system losses (conveyance, distribution and field application efficiencies), is defined as Gross Irrigation Water Requirement (GIWR). </t>
        </is>
      </c>
    </row>
    <row r="135" ht="40.5" customHeight="1">
      <c r="A135" s="973" t="inlineStr">
        <is>
          <t>Calculating the Gross Irrigation Water requirement in 6 steps:</t>
        </is>
      </c>
      <c r="V135" s="973" t="inlineStr">
        <is>
          <t>Reference links:</t>
        </is>
      </c>
    </row>
    <row r="136">
      <c r="A136" s="973" t="n">
        <v>1</v>
      </c>
      <c r="B136" s="973" t="inlineStr">
        <is>
          <t>Go to the FAO Aquastat online Climate Info Tool</t>
        </is>
      </c>
      <c r="V136" s="1059" t="inlineStr">
        <is>
          <t>Aquastat Climate Info Tool</t>
        </is>
      </c>
    </row>
    <row r="137">
      <c r="A137" s="973" t="n">
        <v>2</v>
      </c>
      <c r="B137" s="973" t="inlineStr">
        <is>
          <t xml:space="preserve">Select on the map the area that will be irrigated. This will provide climate and precipitation data. </t>
        </is>
      </c>
    </row>
    <row r="138">
      <c r="A138" s="973" t="n">
        <v>3</v>
      </c>
      <c r="B138" s="973" t="inlineStr">
        <is>
          <t>Click on CROPWAT On-line and select AgERA5 Data to start the assessment of water requirement in the targeted area</t>
        </is>
      </c>
    </row>
    <row r="139">
      <c r="A139" s="973" t="n">
        <v>4</v>
      </c>
      <c r="B139" s="973" t="inlineStr">
        <is>
          <t>Select the type of crop targeted and the planting/sowing date. More information on the planting date can be found through the FAO Crop Calendar</t>
        </is>
      </c>
      <c r="V139" s="1059" t="inlineStr">
        <is>
          <t>FAO Crop calendar</t>
        </is>
      </c>
    </row>
    <row r="140">
      <c r="A140" s="973" t="n">
        <v>5</v>
      </c>
      <c r="B140" s="973" t="inlineStr">
        <is>
          <t>Select the soil texture of the targeted area. More information on soil texture can be retrieved from the Harmnized World Soil Database and from the online platform Geofootpring</t>
        </is>
      </c>
      <c r="V140" s="1059" t="inlineStr">
        <is>
          <t>HWSD</t>
        </is>
      </c>
      <c r="W140" s="1059" t="inlineStr">
        <is>
          <t>Geofootprint</t>
        </is>
      </c>
      <c r="Y140" s="1059" t="n"/>
    </row>
    <row r="141">
      <c r="A141" s="973" t="n">
        <v>6</v>
      </c>
      <c r="B141" s="973" t="inlineStr">
        <is>
          <t>The "soil water balance" tab will contain data on the Crop Deficit expressed in mm. The Total Crop Deficit for the average year corresponds to the GIWR as required by the tool.</t>
        </is>
      </c>
    </row>
  </sheetData>
  <conditionalFormatting sqref="Z6:AC18">
    <cfRule type="expression" priority="2" dxfId="48">
      <formula>CONCATENATE($T$14," ",$T$15)=$AC6</formula>
    </cfRule>
  </conditionalFormatting>
  <conditionalFormatting sqref="Z9:AC10">
    <cfRule type="expression" priority="1" dxfId="48">
      <formula>$T$14="Tropical Montane"</formula>
    </cfRule>
  </conditionalFormatting>
  <conditionalFormatting sqref="AD7:AD27">
    <cfRule type="expression" priority="7" dxfId="46">
      <formula>CONCATENATE($L$33," ",$L$34)=$P7</formula>
    </cfRule>
  </conditionalFormatting>
  <conditionalFormatting sqref="AD8">
    <cfRule type="expression" priority="6" dxfId="46">
      <formula>CONCATENATE($L$33," ",$L$34)=AJ8</formula>
    </cfRule>
  </conditionalFormatting>
  <dataValidations count="1">
    <dataValidation sqref="W6" showDropDown="0" showInputMessage="1" showErrorMessage="1" allowBlank="0" type="decimal" operator="greaterThan">
      <formula1>-10</formula1>
    </dataValidation>
  </dataValidations>
  <hyperlinks>
    <hyperlink ref="B62" r:id="rId1"/>
    <hyperlink ref="B63" r:id="rId2"/>
    <hyperlink ref="H64" location="Definitions!B126" display="Definitions tab"/>
    <hyperlink ref="V136" r:id="rId3"/>
    <hyperlink ref="V139" location="/home" r:id="rId4"/>
    <hyperlink ref="V140" r:id="rId5"/>
    <hyperlink ref="W140" r:id="rId6"/>
  </hyperlinks>
  <pageMargins left="0.7" right="0.7" top="0.75" bottom="0.75" header="0.3" footer="0.3"/>
  <pageSetup orientation="portrait"/>
</worksheet>
</file>

<file path=xl/worksheets/sheet44.xml><?xml version="1.0" encoding="utf-8"?>
<worksheet xmlns:r="http://schemas.openxmlformats.org/officeDocument/2006/relationships" xmlns="http://schemas.openxmlformats.org/spreadsheetml/2006/main">
  <sheetPr codeName="Sheet15">
    <tabColor theme="8" tint="-0.499984740745262"/>
    <outlinePr summaryBelow="1" summaryRight="1"/>
    <pageSetUpPr/>
  </sheetPr>
  <dimension ref="A1:BN2640"/>
  <sheetViews>
    <sheetView zoomScale="115" zoomScaleNormal="115" workbookViewId="0">
      <pane ySplit="1" topLeftCell="A92" activePane="bottomLeft" state="frozen"/>
      <selection pane="bottomLeft" activeCell="L127" sqref="L127"/>
    </sheetView>
  </sheetViews>
  <sheetFormatPr baseColWidth="10" defaultColWidth="9.33203125" defaultRowHeight="15"/>
  <cols>
    <col width="60.5" customWidth="1" min="1" max="1"/>
    <col width="17" customWidth="1" min="2" max="2"/>
    <col width="33.5" customWidth="1" min="3" max="3"/>
    <col width="28.33203125" customWidth="1" min="4" max="4"/>
    <col width="46.5" customWidth="1" min="5" max="5"/>
    <col width="9" customWidth="1" min="6" max="9"/>
    <col width="9" customWidth="1" min="11" max="13"/>
    <col width="12.6640625" customWidth="1" min="62" max="62"/>
    <col width="20" customWidth="1" min="66" max="66"/>
  </cols>
  <sheetData>
    <row r="1">
      <c r="A1" s="205" t="inlineStr">
        <is>
          <t>Chain: area(FAOSTAT)-item(FAOSTAT)</t>
        </is>
      </c>
      <c r="B1" s="205" t="inlineStr">
        <is>
          <t>area (FAOSTAT)</t>
        </is>
      </c>
      <c r="C1" s="205" t="inlineStr">
        <is>
          <t>item (FAOSTAT)</t>
        </is>
      </c>
      <c r="D1" s="205" t="inlineStr">
        <is>
          <t>Corresponding EX-ACT area</t>
        </is>
      </c>
      <c r="E1" s="205" t="inlineStr">
        <is>
          <t>Chain:EX-ACT Area-FAOSTAT Item</t>
        </is>
      </c>
      <c r="F1" s="205" t="n">
        <v>2016</v>
      </c>
      <c r="G1" s="205" t="n">
        <v>2017</v>
      </c>
      <c r="H1" s="205" t="n">
        <v>2018</v>
      </c>
      <c r="I1" s="205" t="n">
        <v>2019</v>
      </c>
      <c r="J1" s="205" t="n">
        <v>2020</v>
      </c>
      <c r="K1" s="4434" t="n"/>
      <c r="L1" s="205" t="inlineStr">
        <is>
          <t>Avergae yield/year over 5 years in tonnes</t>
        </is>
      </c>
      <c r="M1" s="4434" t="n"/>
      <c r="N1" s="4434" t="n"/>
      <c r="O1" s="4434" t="n"/>
      <c r="P1" s="4434" t="n"/>
      <c r="Q1" s="4434" t="n"/>
      <c r="R1" s="4434" t="n"/>
      <c r="S1" s="4434" t="n"/>
      <c r="T1" s="4434" t="n"/>
      <c r="U1" s="4434" t="n"/>
      <c r="V1" s="4434" t="n"/>
      <c r="W1" s="4434" t="n"/>
      <c r="X1" s="4434" t="n"/>
      <c r="Y1" s="4434" t="n"/>
      <c r="Z1" s="4434" t="n"/>
      <c r="AA1" s="4434" t="n"/>
      <c r="AB1" s="4434" t="n"/>
      <c r="AC1" s="4434" t="n"/>
      <c r="AD1" s="4434" t="n"/>
      <c r="AE1" s="4434" t="n"/>
      <c r="AF1" s="4434" t="n"/>
      <c r="AG1" s="4434" t="n"/>
      <c r="AH1" s="4434" t="n"/>
      <c r="AI1" s="4434" t="n"/>
      <c r="AJ1" s="4434" t="n"/>
      <c r="AK1" s="4434" t="n"/>
      <c r="AL1" s="4434" t="n"/>
      <c r="AM1" s="4434" t="n"/>
      <c r="AN1" s="4434" t="n"/>
      <c r="AO1" s="4434" t="n"/>
      <c r="AP1" s="4434" t="n"/>
    </row>
    <row r="2">
      <c r="A2">
        <f>CONCATENATE(B2,C2)</f>
        <v/>
      </c>
      <c r="B2" t="inlineStr">
        <is>
          <t>Caribbean</t>
        </is>
      </c>
      <c r="C2" s="206" t="inlineStr">
        <is>
          <t>Cereals,Total</t>
        </is>
      </c>
      <c r="D2" s="206">
        <f>VLOOKUP(B2, [2]list_region_country!$B$3:$D$20, 3, FALSE)</f>
        <v/>
      </c>
      <c r="E2" s="206">
        <f>CONCATENATE(D2,C2)</f>
        <v/>
      </c>
      <c r="F2" t="n">
        <v>23524</v>
      </c>
      <c r="G2" t="n">
        <v>23897</v>
      </c>
      <c r="H2" t="n">
        <v>22463</v>
      </c>
      <c r="I2" t="n">
        <v>29280</v>
      </c>
      <c r="J2" t="n">
        <v>26349</v>
      </c>
      <c r="L2">
        <f>AVERAGE(F2:J2)/10000</f>
        <v/>
      </c>
      <c r="BK2" s="58" t="n"/>
      <c r="BL2" s="58" t="n"/>
      <c r="BM2" s="58" t="n"/>
      <c r="BN2" s="58" t="n"/>
    </row>
    <row r="3">
      <c r="A3">
        <f>CONCATENATE(B3,C3)</f>
        <v/>
      </c>
      <c r="B3" t="inlineStr">
        <is>
          <t>Caribbean</t>
        </is>
      </c>
      <c r="C3" s="207" t="inlineStr">
        <is>
          <t>Pulses,Total</t>
        </is>
      </c>
      <c r="D3" s="206">
        <f>VLOOKUP(B3, [2]list_region_country!$B$3:$D$20, 3, FALSE)</f>
        <v/>
      </c>
      <c r="E3" s="206">
        <f>CONCATENATE(D3,C3)</f>
        <v/>
      </c>
      <c r="F3" t="n">
        <v>7938</v>
      </c>
      <c r="G3" t="n">
        <v>7626</v>
      </c>
      <c r="H3" t="n">
        <v>6065</v>
      </c>
      <c r="I3" t="n">
        <v>7634</v>
      </c>
      <c r="J3" t="n">
        <v>7018</v>
      </c>
      <c r="L3">
        <f>AVERAGE(F3:J3)/10000</f>
        <v/>
      </c>
      <c r="BK3" s="58" t="n"/>
      <c r="BL3" s="58" t="n"/>
      <c r="BM3" s="58" t="n"/>
      <c r="BN3" s="58" t="n"/>
    </row>
    <row r="4">
      <c r="A4">
        <f>CONCATENATE(B4,C4)</f>
        <v/>
      </c>
      <c r="B4" t="inlineStr">
        <is>
          <t>Caribbean</t>
        </is>
      </c>
      <c r="C4" s="207" t="inlineStr">
        <is>
          <t>Roots and Tubers,Total</t>
        </is>
      </c>
      <c r="D4" s="206">
        <f>VLOOKUP(B4, [2]list_region_country!$B$3:$D$20, 3, FALSE)</f>
        <v/>
      </c>
      <c r="E4" s="206">
        <f>CONCATENATE(D4,C4)</f>
        <v/>
      </c>
      <c r="F4" t="n">
        <v>68510</v>
      </c>
      <c r="G4" t="n">
        <v>68613</v>
      </c>
      <c r="H4" t="n">
        <v>63025</v>
      </c>
      <c r="I4" t="n">
        <v>69023</v>
      </c>
      <c r="J4" t="n">
        <v>68243</v>
      </c>
      <c r="L4">
        <f>AVERAGE(F4:J4)/10000</f>
        <v/>
      </c>
      <c r="BK4" s="58" t="n"/>
      <c r="BL4" s="58" t="n"/>
      <c r="BM4" s="58" t="n"/>
      <c r="BN4" s="58" t="n"/>
    </row>
    <row r="5">
      <c r="A5">
        <f>CONCATENATE(B5,C5)</f>
        <v/>
      </c>
      <c r="B5" t="inlineStr">
        <is>
          <t>Caribbean</t>
        </is>
      </c>
      <c r="C5" s="206" t="inlineStr">
        <is>
          <t>Barley</t>
        </is>
      </c>
      <c r="D5" s="206">
        <f>VLOOKUP(B5, [2]list_region_country!$B$3:$D$20, 3, FALSE)</f>
        <v/>
      </c>
      <c r="E5" s="206">
        <f>CONCATENATE(D5,C5)</f>
        <v/>
      </c>
      <c r="F5" t="n">
        <v>0</v>
      </c>
      <c r="G5" t="n">
        <v>0</v>
      </c>
      <c r="H5" t="n">
        <v>0</v>
      </c>
      <c r="I5" t="n">
        <v>0</v>
      </c>
      <c r="J5" t="n">
        <v>0</v>
      </c>
      <c r="L5">
        <f>AVERAGE(F5:J5)/10000</f>
        <v/>
      </c>
      <c r="BK5" s="58" t="n"/>
      <c r="BL5" s="58" t="n"/>
      <c r="BM5" s="58" t="n"/>
      <c r="BN5" s="58" t="n"/>
    </row>
    <row r="6">
      <c r="A6">
        <f>CONCATENATE(B6,C6)</f>
        <v/>
      </c>
      <c r="B6" t="inlineStr">
        <is>
          <t>Caribbean</t>
        </is>
      </c>
      <c r="C6" s="207" t="inlineStr">
        <is>
          <t>Maize</t>
        </is>
      </c>
      <c r="D6" s="206">
        <f>VLOOKUP(B6, [2]list_region_country!$B$3:$D$20, 3, FALSE)</f>
        <v/>
      </c>
      <c r="E6" s="206">
        <f>CONCATENATE(D6,C6)</f>
        <v/>
      </c>
      <c r="F6" t="n">
        <v>13531</v>
      </c>
      <c r="G6" t="n">
        <v>13722</v>
      </c>
      <c r="H6" t="n">
        <v>10919</v>
      </c>
      <c r="I6" t="n">
        <v>16556</v>
      </c>
      <c r="J6" t="n">
        <v>13170</v>
      </c>
      <c r="L6">
        <f>AVERAGE(F6:J6)/10000</f>
        <v/>
      </c>
      <c r="BK6" s="58" t="n"/>
      <c r="BL6" s="58" t="n"/>
      <c r="BM6" s="58" t="n"/>
      <c r="BN6" s="58" t="n"/>
    </row>
    <row r="7">
      <c r="A7">
        <f>CONCATENATE(B7,C7)</f>
        <v/>
      </c>
      <c r="B7" t="inlineStr">
        <is>
          <t>Caribbean</t>
        </is>
      </c>
      <c r="C7" s="207" t="inlineStr">
        <is>
          <t>Oats</t>
        </is>
      </c>
      <c r="D7" s="206">
        <f>VLOOKUP(B7, [2]list_region_country!$B$3:$D$20, 3, FALSE)</f>
        <v/>
      </c>
      <c r="E7" s="206">
        <f>CONCATENATE(D7,C7)</f>
        <v/>
      </c>
      <c r="F7" t="n">
        <v>0</v>
      </c>
      <c r="G7" t="n">
        <v>0</v>
      </c>
      <c r="H7" t="n">
        <v>0</v>
      </c>
      <c r="I7" t="n">
        <v>0</v>
      </c>
      <c r="J7" t="n">
        <v>0</v>
      </c>
      <c r="L7">
        <f>AVERAGE(F7:J7)/10000</f>
        <v/>
      </c>
      <c r="BK7" s="58" t="n"/>
      <c r="BL7" s="58" t="n"/>
      <c r="BM7" s="58" t="n"/>
      <c r="BN7" s="58" t="n"/>
    </row>
    <row r="8">
      <c r="A8">
        <f>CONCATENATE(B8,C8)</f>
        <v/>
      </c>
      <c r="B8" t="inlineStr">
        <is>
          <t>Caribbean</t>
        </is>
      </c>
      <c r="C8" s="207" t="inlineStr">
        <is>
          <t>Potatoes</t>
        </is>
      </c>
      <c r="D8" s="206">
        <f>VLOOKUP(B8, [2]list_region_country!$B$3:$D$20, 3, FALSE)</f>
        <v/>
      </c>
      <c r="E8" s="206">
        <f>CONCATENATE(D8,C8)</f>
        <v/>
      </c>
      <c r="F8" t="n">
        <v>203783</v>
      </c>
      <c r="G8" t="n">
        <v>205092</v>
      </c>
      <c r="H8" t="n">
        <v>205171</v>
      </c>
      <c r="I8" t="n">
        <v>201210</v>
      </c>
      <c r="J8" t="n">
        <v>200469</v>
      </c>
      <c r="L8">
        <f>AVERAGE(F8:J8)/10000</f>
        <v/>
      </c>
      <c r="BK8" s="58" t="n"/>
      <c r="BL8" s="58" t="n"/>
      <c r="BM8" s="58" t="n"/>
      <c r="BN8" s="58" t="n"/>
    </row>
    <row r="9">
      <c r="A9">
        <f>CONCATENATE(B9,C9)</f>
        <v/>
      </c>
      <c r="B9" t="inlineStr">
        <is>
          <t>Caribbean</t>
        </is>
      </c>
      <c r="C9" s="207" t="inlineStr">
        <is>
          <t>Soybeans</t>
        </is>
      </c>
      <c r="D9" s="206">
        <f>VLOOKUP(B9, [2]list_region_country!$B$3:$D$20, 3, FALSE)</f>
        <v/>
      </c>
      <c r="E9" s="206">
        <f>CONCATENATE(D9,C9)</f>
        <v/>
      </c>
      <c r="F9" t="n">
        <v>0</v>
      </c>
      <c r="G9" t="n">
        <v>0</v>
      </c>
      <c r="H9" t="n">
        <v>0</v>
      </c>
      <c r="I9" t="n">
        <v>0</v>
      </c>
      <c r="J9" t="n">
        <v>0</v>
      </c>
      <c r="L9">
        <f>AVERAGE(F9:J9)/10000</f>
        <v/>
      </c>
      <c r="BK9" s="58" t="n"/>
      <c r="BL9" s="58" t="n"/>
      <c r="BM9" s="58" t="n"/>
      <c r="BN9" s="58" t="n"/>
    </row>
    <row r="10">
      <c r="A10">
        <f>CONCATENATE(B10,C10)</f>
        <v/>
      </c>
      <c r="B10" t="inlineStr">
        <is>
          <t>Caribbean</t>
        </is>
      </c>
      <c r="C10" s="206" t="inlineStr">
        <is>
          <t>Wheat</t>
        </is>
      </c>
      <c r="D10" s="206">
        <f>VLOOKUP(B10, [2]list_region_country!$B$3:$D$20, 3, FALSE)</f>
        <v/>
      </c>
      <c r="E10" s="206">
        <f>CONCATENATE(D10,C10)</f>
        <v/>
      </c>
      <c r="F10" t="n">
        <v>0</v>
      </c>
      <c r="G10" t="n">
        <v>0</v>
      </c>
      <c r="H10" t="n">
        <v>0</v>
      </c>
      <c r="I10" t="n">
        <v>0</v>
      </c>
      <c r="J10" t="n">
        <v>0</v>
      </c>
      <c r="L10">
        <f>AVERAGE(F10:J10)/10000</f>
        <v/>
      </c>
      <c r="BK10" s="58" t="n"/>
      <c r="BL10" s="58" t="n"/>
      <c r="BM10" s="58" t="n"/>
      <c r="BN10" s="58" t="n"/>
    </row>
    <row r="11">
      <c r="A11">
        <f>CONCATENATE(B11,C11)</f>
        <v/>
      </c>
      <c r="B11" t="inlineStr">
        <is>
          <t>Caribbean</t>
        </is>
      </c>
      <c r="C11" s="207" t="inlineStr">
        <is>
          <t>Millet</t>
        </is>
      </c>
      <c r="D11" s="206">
        <f>VLOOKUP(B11, [2]list_region_country!$B$3:$D$20, 3, FALSE)</f>
        <v/>
      </c>
      <c r="E11" s="206">
        <f>CONCATENATE(D11,C11)</f>
        <v/>
      </c>
      <c r="F11" t="n">
        <v>0</v>
      </c>
      <c r="G11" t="n">
        <v>0</v>
      </c>
      <c r="H11" t="n">
        <v>0</v>
      </c>
      <c r="I11" t="n">
        <v>0</v>
      </c>
      <c r="J11" t="n">
        <v>0</v>
      </c>
      <c r="L11">
        <f>AVERAGE(F11:J11)/10000</f>
        <v/>
      </c>
      <c r="BK11" s="58" t="n"/>
      <c r="BL11" s="58" t="n"/>
      <c r="BM11" s="58" t="n"/>
      <c r="BN11" s="58" t="n"/>
    </row>
    <row r="12">
      <c r="A12">
        <f>CONCATENATE(B12,C12)</f>
        <v/>
      </c>
      <c r="B12" t="inlineStr">
        <is>
          <t>Caribbean</t>
        </is>
      </c>
      <c r="C12" s="206" t="inlineStr">
        <is>
          <t>Sorghum</t>
        </is>
      </c>
      <c r="D12" s="206">
        <f>VLOOKUP(B12, [2]list_region_country!$B$3:$D$20, 3, FALSE)</f>
        <v/>
      </c>
      <c r="E12" s="206">
        <f>CONCATENATE(D12,C12)</f>
        <v/>
      </c>
      <c r="F12" t="n">
        <v>8827</v>
      </c>
      <c r="G12" t="n">
        <v>8289</v>
      </c>
      <c r="H12" t="n">
        <v>6333</v>
      </c>
      <c r="I12" t="n">
        <v>11549</v>
      </c>
      <c r="J12" t="n">
        <v>9230</v>
      </c>
      <c r="L12">
        <f>AVERAGE(F12:J12)/10000</f>
        <v/>
      </c>
      <c r="BK12" s="58" t="n"/>
      <c r="BL12" s="58" t="n"/>
      <c r="BM12" s="58" t="n"/>
      <c r="BN12" s="58" t="n"/>
    </row>
    <row r="13">
      <c r="A13">
        <f>CONCATENATE(B13,C13)</f>
        <v/>
      </c>
      <c r="B13" t="inlineStr">
        <is>
          <t>Caribbean</t>
        </is>
      </c>
      <c r="C13" s="4431" t="inlineStr">
        <is>
          <t>Rice, paddy</t>
        </is>
      </c>
      <c r="D13" s="206">
        <f>VLOOKUP(B13, [2]list_region_country!$B$3:$D$20, 3, FALSE)</f>
        <v/>
      </c>
      <c r="E13" s="206">
        <f>CONCATENATE(D13,C13)</f>
        <v/>
      </c>
      <c r="F13" t="n">
        <v>42098</v>
      </c>
      <c r="G13" t="n">
        <v>42406</v>
      </c>
      <c r="H13" t="n">
        <v>41454</v>
      </c>
      <c r="I13" t="n">
        <v>41958</v>
      </c>
      <c r="J13" t="n">
        <v>42997</v>
      </c>
      <c r="L13">
        <f>AVERAGE(F13:J13)/10000</f>
        <v/>
      </c>
      <c r="BK13" s="58" t="n"/>
      <c r="BL13" s="58" t="n"/>
      <c r="BM13" s="58" t="n"/>
      <c r="BN13" s="58" t="n"/>
    </row>
    <row r="14">
      <c r="A14">
        <f>CONCATENATE(B14,C14)</f>
        <v/>
      </c>
      <c r="B14" t="inlineStr">
        <is>
          <t>Caribbean</t>
        </is>
      </c>
      <c r="C14" s="206" t="inlineStr">
        <is>
          <t>Rye</t>
        </is>
      </c>
      <c r="D14" s="206">
        <f>VLOOKUP(B14, [2]list_region_country!$B$3:$D$20, 3, FALSE)</f>
        <v/>
      </c>
      <c r="E14" s="206">
        <f>CONCATENATE(D14,C14)</f>
        <v/>
      </c>
      <c r="F14" t="n">
        <v>0</v>
      </c>
      <c r="G14" t="n">
        <v>0</v>
      </c>
      <c r="H14" t="n">
        <v>0</v>
      </c>
      <c r="I14" t="n">
        <v>0</v>
      </c>
      <c r="J14" t="n">
        <v>0</v>
      </c>
      <c r="L14">
        <f>AVERAGE(F14:J14)/10000</f>
        <v/>
      </c>
      <c r="BK14" s="58" t="n"/>
      <c r="BL14" s="58" t="n"/>
      <c r="BM14" s="58" t="n"/>
      <c r="BN14" s="58" t="n"/>
    </row>
    <row r="15">
      <c r="A15">
        <f>CONCATENATE(B15,C15)</f>
        <v/>
      </c>
      <c r="B15" t="inlineStr">
        <is>
          <t>Caribbean</t>
        </is>
      </c>
      <c r="C15" s="206" t="inlineStr">
        <is>
          <t>Groundnuts, with shell</t>
        </is>
      </c>
      <c r="D15" s="206">
        <f>VLOOKUP(B15, [2]list_region_country!$B$3:$D$20, 3, FALSE)</f>
        <v/>
      </c>
      <c r="E15" s="206">
        <f>CONCATENATE(D15,C15)</f>
        <v/>
      </c>
      <c r="F15" t="n">
        <v>9192</v>
      </c>
      <c r="G15" t="n">
        <v>8860</v>
      </c>
      <c r="H15" t="n">
        <v>8543</v>
      </c>
      <c r="I15" t="n">
        <v>5942</v>
      </c>
      <c r="J15" t="n">
        <v>8847</v>
      </c>
      <c r="L15">
        <f>AVERAGE(F15:J15)/10000</f>
        <v/>
      </c>
      <c r="BK15" s="58" t="n"/>
      <c r="BL15" s="58" t="n"/>
      <c r="BM15" s="58" t="n"/>
      <c r="BN15" s="58" t="n"/>
    </row>
    <row r="16">
      <c r="A16">
        <f>CONCATENATE(B16,C16)</f>
        <v/>
      </c>
      <c r="B16" t="inlineStr">
        <is>
          <t>Caribbean</t>
        </is>
      </c>
      <c r="C16" s="206" t="inlineStr">
        <is>
          <t>Beans, dry</t>
        </is>
      </c>
      <c r="D16" s="206">
        <f>VLOOKUP(B16, [2]list_region_country!$B$3:$D$20, 3, FALSE)</f>
        <v/>
      </c>
      <c r="E16" s="206">
        <f>CONCATENATE(D16,C16)</f>
        <v/>
      </c>
      <c r="F16" t="n">
        <v>7465</v>
      </c>
      <c r="G16" t="n">
        <v>6970</v>
      </c>
      <c r="H16" t="n">
        <v>5226</v>
      </c>
      <c r="I16" t="n">
        <v>6963</v>
      </c>
      <c r="J16" t="n">
        <v>6067</v>
      </c>
      <c r="L16">
        <f>AVERAGE(F16:J16)/10000</f>
        <v/>
      </c>
      <c r="BK16" s="58" t="n"/>
      <c r="BL16" s="58" t="n"/>
      <c r="BM16" s="58" t="n"/>
      <c r="BN16" s="58" t="n"/>
    </row>
    <row r="17">
      <c r="A17">
        <f>CONCATENATE(B17,C17)</f>
        <v/>
      </c>
      <c r="B17" t="inlineStr">
        <is>
          <t>Caribbean</t>
        </is>
      </c>
      <c r="C17" s="207" t="inlineStr">
        <is>
          <t>Vegetables</t>
        </is>
      </c>
      <c r="D17" s="206">
        <f>VLOOKUP(B17, [2]list_region_country!$B$3:$D$20, 3, FALSE)</f>
        <v/>
      </c>
      <c r="E17" s="206">
        <f>CONCATENATE(D17,C17)</f>
        <v/>
      </c>
      <c r="F17" t="n">
        <v>124228</v>
      </c>
      <c r="G17" t="n">
        <v>122092</v>
      </c>
      <c r="H17" t="n">
        <v>123201</v>
      </c>
      <c r="I17" t="n">
        <v>123861</v>
      </c>
      <c r="J17" t="n">
        <v>120935</v>
      </c>
      <c r="L17">
        <f>AVERAGE(F17:J17)/10000</f>
        <v/>
      </c>
      <c r="BK17" s="58" t="n"/>
      <c r="BL17" s="58" t="n"/>
      <c r="BM17" s="58" t="n"/>
      <c r="BN17" s="58" t="n"/>
    </row>
    <row r="18">
      <c r="A18">
        <f>CONCATENATE(B18,C18)</f>
        <v/>
      </c>
      <c r="B18" t="inlineStr">
        <is>
          <t>Caribbean</t>
        </is>
      </c>
      <c r="C18" s="207" t="inlineStr">
        <is>
          <t>Oilseeds</t>
        </is>
      </c>
      <c r="D18" s="206">
        <f>VLOOKUP(B18, [2]list_region_country!$B$3:$D$20, 3, FALSE)</f>
        <v/>
      </c>
      <c r="E18" s="206">
        <f>CONCATENATE(D18,C18)</f>
        <v/>
      </c>
      <c r="F18" t="n">
        <v>5326</v>
      </c>
      <c r="G18" t="n">
        <v>5205</v>
      </c>
      <c r="H18" t="n">
        <v>5100</v>
      </c>
      <c r="I18" t="n">
        <v>4232.666666666667</v>
      </c>
      <c r="J18" t="n">
        <v>5204</v>
      </c>
      <c r="L18">
        <f>AVERAGE(F18:J18)/10000</f>
        <v/>
      </c>
      <c r="BK18" s="58" t="n"/>
      <c r="BL18" s="58" t="n"/>
      <c r="BM18" s="58" t="n"/>
      <c r="BN18" s="58" t="n"/>
    </row>
    <row r="19" customFormat="1" s="480">
      <c r="A19" s="480">
        <f>CONCATENATE(B19,C19)</f>
        <v/>
      </c>
      <c r="B19" s="480" t="inlineStr">
        <is>
          <t>Caribbean</t>
        </is>
      </c>
      <c r="C19" s="4432" t="inlineStr">
        <is>
          <t>Default</t>
        </is>
      </c>
      <c r="D19" s="483">
        <f>VLOOKUP(B19, [2]list_region_country!$B$3:$D$20, 3, FALSE)</f>
        <v/>
      </c>
      <c r="E19" s="483">
        <f>CONCATENATE(D19,C19)</f>
        <v/>
      </c>
      <c r="L19" s="480">
        <f>AVERAGEIF(L2:L18,"&gt;0")</f>
        <v/>
      </c>
      <c r="BK19" s="4435" t="n"/>
      <c r="BL19" s="4435" t="n"/>
      <c r="BM19" s="4435" t="n"/>
      <c r="BN19" s="4435" t="n"/>
    </row>
    <row r="20">
      <c r="A20">
        <f>CONCATENATE(B20,C20)</f>
        <v/>
      </c>
      <c r="B20" t="inlineStr">
        <is>
          <t>Central Africa</t>
        </is>
      </c>
      <c r="C20" s="206" t="inlineStr">
        <is>
          <t>Cereals,Total</t>
        </is>
      </c>
      <c r="D20" s="206">
        <f>VLOOKUP(B20, [2]list_region_country!$B$3:$D$20, 3, FALSE)</f>
        <v/>
      </c>
      <c r="E20" s="206">
        <f>CONCATENATE(D20,C20)</f>
        <v/>
      </c>
      <c r="F20" t="n">
        <v>9752</v>
      </c>
      <c r="G20" t="n">
        <v>9506</v>
      </c>
      <c r="H20" t="n">
        <v>10006</v>
      </c>
      <c r="I20" t="n">
        <v>10060</v>
      </c>
      <c r="J20" t="n">
        <v>10149</v>
      </c>
      <c r="L20">
        <f>AVERAGE(F20:J20)/10000</f>
        <v/>
      </c>
      <c r="BK20" s="58" t="n"/>
      <c r="BL20" s="58" t="n"/>
      <c r="BM20" s="58" t="n"/>
      <c r="BN20" s="58" t="n"/>
    </row>
    <row r="21">
      <c r="A21">
        <f>CONCATENATE(B21,C21)</f>
        <v/>
      </c>
      <c r="B21" t="inlineStr">
        <is>
          <t>Central Africa</t>
        </is>
      </c>
      <c r="C21" s="207" t="inlineStr">
        <is>
          <t>Pulses,Total</t>
        </is>
      </c>
      <c r="D21" s="206">
        <f>VLOOKUP(B21, [2]list_region_country!$B$3:$D$20, 3, FALSE)</f>
        <v/>
      </c>
      <c r="E21" s="206">
        <f>CONCATENATE(D21,C21)</f>
        <v/>
      </c>
      <c r="F21" t="n">
        <v>6450</v>
      </c>
      <c r="G21" t="n">
        <v>6403</v>
      </c>
      <c r="H21" t="n">
        <v>6377</v>
      </c>
      <c r="I21" t="n">
        <v>6301</v>
      </c>
      <c r="J21" t="n">
        <v>6323</v>
      </c>
      <c r="L21">
        <f>AVERAGE(F21:J21)/10000</f>
        <v/>
      </c>
      <c r="BK21" s="58" t="n"/>
      <c r="BL21" s="58" t="n"/>
      <c r="BM21" s="58" t="n"/>
      <c r="BN21" s="58" t="n"/>
    </row>
    <row r="22">
      <c r="A22">
        <f>CONCATENATE(B22,C22)</f>
        <v/>
      </c>
      <c r="B22" t="inlineStr">
        <is>
          <t>Central Africa</t>
        </is>
      </c>
      <c r="C22" s="207" t="inlineStr">
        <is>
          <t>Roots and Tubers,Total</t>
        </is>
      </c>
      <c r="D22" s="206">
        <f>VLOOKUP(B22, [2]list_region_country!$B$3:$D$20, 3, FALSE)</f>
        <v/>
      </c>
      <c r="E22" s="206">
        <f>CONCATENATE(D22,C22)</f>
        <v/>
      </c>
      <c r="F22" t="n">
        <v>78557</v>
      </c>
      <c r="G22" t="n">
        <v>81120</v>
      </c>
      <c r="H22" t="n">
        <v>82694</v>
      </c>
      <c r="I22" t="n">
        <v>82928</v>
      </c>
      <c r="J22" t="n">
        <v>82953</v>
      </c>
      <c r="L22">
        <f>AVERAGE(F22:J22)/10000</f>
        <v/>
      </c>
      <c r="BK22" s="58" t="n"/>
      <c r="BL22" s="58" t="n"/>
      <c r="BM22" s="58" t="n"/>
      <c r="BN22" s="58" t="n"/>
    </row>
    <row r="23">
      <c r="A23">
        <f>CONCATENATE(B23,C23)</f>
        <v/>
      </c>
      <c r="B23" t="inlineStr">
        <is>
          <t>Central Africa</t>
        </is>
      </c>
      <c r="C23" s="206" t="inlineStr">
        <is>
          <t>Barley</t>
        </is>
      </c>
      <c r="D23" s="206">
        <f>VLOOKUP(B23, [2]list_region_country!$B$3:$D$20, 3, FALSE)</f>
        <v/>
      </c>
      <c r="E23" s="206">
        <f>CONCATENATE(D23,C23)</f>
        <v/>
      </c>
      <c r="F23" t="n">
        <v>6789</v>
      </c>
      <c r="G23" t="n">
        <v>6783</v>
      </c>
      <c r="H23" t="n">
        <v>6785</v>
      </c>
      <c r="I23" t="n">
        <v>6783</v>
      </c>
      <c r="J23" t="n">
        <v>6788</v>
      </c>
      <c r="L23">
        <f>AVERAGE(F23:J23)/10000</f>
        <v/>
      </c>
      <c r="BK23" s="58" t="n"/>
      <c r="BL23" s="58" t="n"/>
      <c r="BM23" s="58" t="n"/>
      <c r="BN23" s="58" t="n"/>
    </row>
    <row r="24">
      <c r="A24">
        <f>CONCATENATE(B24,C24)</f>
        <v/>
      </c>
      <c r="B24" t="inlineStr">
        <is>
          <t>Central Africa</t>
        </is>
      </c>
      <c r="C24" s="207" t="inlineStr">
        <is>
          <t>Maize</t>
        </is>
      </c>
      <c r="D24" s="206">
        <f>VLOOKUP(B24, [2]list_region_country!$B$3:$D$20, 3, FALSE)</f>
        <v/>
      </c>
      <c r="E24" s="206">
        <f>CONCATENATE(D24,C24)</f>
        <v/>
      </c>
      <c r="F24" t="n">
        <v>10561</v>
      </c>
      <c r="G24" t="n">
        <v>10035</v>
      </c>
      <c r="H24" t="n">
        <v>10677</v>
      </c>
      <c r="I24" t="n">
        <v>10767</v>
      </c>
      <c r="J24" t="n">
        <v>10776</v>
      </c>
      <c r="L24">
        <f>AVERAGE(F24:J24)/10000</f>
        <v/>
      </c>
      <c r="BK24" s="58" t="n"/>
      <c r="BL24" s="58" t="n"/>
      <c r="BM24" s="58" t="n"/>
      <c r="BN24" s="58" t="n"/>
    </row>
    <row r="25">
      <c r="A25">
        <f>CONCATENATE(B25,C25)</f>
        <v/>
      </c>
      <c r="B25" t="inlineStr">
        <is>
          <t>Central Africa</t>
        </is>
      </c>
      <c r="C25" s="207" t="inlineStr">
        <is>
          <t>Oats</t>
        </is>
      </c>
      <c r="D25" s="206">
        <f>VLOOKUP(B25, [2]list_region_country!$B$3:$D$20, 3, FALSE)</f>
        <v/>
      </c>
      <c r="E25" s="206">
        <f>CONCATENATE(D25,C25)</f>
        <v/>
      </c>
      <c r="F25" t="n">
        <v>0</v>
      </c>
      <c r="G25" t="n">
        <v>0</v>
      </c>
      <c r="H25" t="n">
        <v>0</v>
      </c>
      <c r="I25" t="n">
        <v>0</v>
      </c>
      <c r="J25" t="n">
        <v>0</v>
      </c>
      <c r="L25">
        <f>AVERAGE(F25:J25)/10000</f>
        <v/>
      </c>
      <c r="BK25" s="58" t="n"/>
      <c r="BL25" s="58" t="n"/>
      <c r="BM25" s="58" t="n"/>
      <c r="BN25" s="58" t="n"/>
    </row>
    <row r="26">
      <c r="A26">
        <f>CONCATENATE(B26,C26)</f>
        <v/>
      </c>
      <c r="B26" t="inlineStr">
        <is>
          <t>Central Africa</t>
        </is>
      </c>
      <c r="C26" s="207" t="inlineStr">
        <is>
          <t>Potatoes</t>
        </is>
      </c>
      <c r="D26" s="206">
        <f>VLOOKUP(B26, [2]list_region_country!$B$3:$D$20, 3, FALSE)</f>
        <v/>
      </c>
      <c r="E26" s="206">
        <f>CONCATENATE(D26,C26)</f>
        <v/>
      </c>
      <c r="F26" t="n">
        <v>75309</v>
      </c>
      <c r="G26" t="n">
        <v>82197</v>
      </c>
      <c r="H26" t="n">
        <v>82242</v>
      </c>
      <c r="I26" t="n">
        <v>84677</v>
      </c>
      <c r="J26" t="n">
        <v>79657</v>
      </c>
      <c r="L26">
        <f>AVERAGE(F26:J26)/10000</f>
        <v/>
      </c>
      <c r="BK26" s="58" t="n"/>
      <c r="BL26" s="58" t="n"/>
      <c r="BM26" s="58" t="n"/>
      <c r="BN26" s="58" t="n"/>
    </row>
    <row r="27">
      <c r="A27">
        <f>CONCATENATE(B27,C27)</f>
        <v/>
      </c>
      <c r="B27" t="inlineStr">
        <is>
          <t>Central Africa</t>
        </is>
      </c>
      <c r="C27" s="207" t="inlineStr">
        <is>
          <t>Soybeans</t>
        </is>
      </c>
      <c r="D27" s="206">
        <f>VLOOKUP(B27, [2]list_region_country!$B$3:$D$20, 3, FALSE)</f>
        <v/>
      </c>
      <c r="E27" s="206">
        <f>CONCATENATE(D27,C27)</f>
        <v/>
      </c>
      <c r="F27" t="n">
        <v>7159</v>
      </c>
      <c r="G27" t="n">
        <v>8181</v>
      </c>
      <c r="H27" t="n">
        <v>8451</v>
      </c>
      <c r="I27" t="n">
        <v>8721</v>
      </c>
      <c r="J27" t="n">
        <v>8828</v>
      </c>
      <c r="L27">
        <f>AVERAGE(F27:J27)/10000</f>
        <v/>
      </c>
      <c r="BK27" s="58" t="n"/>
      <c r="BL27" s="58" t="n"/>
      <c r="BM27" s="58" t="n"/>
      <c r="BN27" s="58" t="n"/>
    </row>
    <row r="28">
      <c r="A28">
        <f>CONCATENATE(B28,C28)</f>
        <v/>
      </c>
      <c r="B28" t="inlineStr">
        <is>
          <t>Central Africa</t>
        </is>
      </c>
      <c r="C28" s="206" t="inlineStr">
        <is>
          <t>Wheat</t>
        </is>
      </c>
      <c r="D28" s="206">
        <f>VLOOKUP(B28, [2]list_region_country!$B$3:$D$20, 3, FALSE)</f>
        <v/>
      </c>
      <c r="E28" s="206">
        <f>CONCATENATE(D28,C28)</f>
        <v/>
      </c>
      <c r="F28" t="n">
        <v>12346</v>
      </c>
      <c r="G28" t="n">
        <v>12226</v>
      </c>
      <c r="H28" t="n">
        <v>12360</v>
      </c>
      <c r="I28" t="n">
        <v>11930</v>
      </c>
      <c r="J28" t="n">
        <v>11258</v>
      </c>
      <c r="L28">
        <f>AVERAGE(F28:J28)/10000</f>
        <v/>
      </c>
      <c r="BK28" s="58" t="n"/>
      <c r="BL28" s="58" t="n"/>
      <c r="BM28" s="58" t="n"/>
      <c r="BN28" s="58" t="n"/>
    </row>
    <row r="29">
      <c r="A29">
        <f>CONCATENATE(B29,C29)</f>
        <v/>
      </c>
      <c r="B29" t="inlineStr">
        <is>
          <t>Central Africa</t>
        </is>
      </c>
      <c r="C29" s="207" t="inlineStr">
        <is>
          <t>Millet</t>
        </is>
      </c>
      <c r="D29" s="206">
        <f>VLOOKUP(B29, [2]list_region_country!$B$3:$D$20, 3, FALSE)</f>
        <v/>
      </c>
      <c r="E29" s="206">
        <f>CONCATENATE(D29,C29)</f>
        <v/>
      </c>
      <c r="F29" t="n">
        <v>5976</v>
      </c>
      <c r="G29" t="n">
        <v>5606</v>
      </c>
      <c r="H29" t="n">
        <v>5932</v>
      </c>
      <c r="I29" t="n">
        <v>5837</v>
      </c>
      <c r="J29" t="n">
        <v>5745</v>
      </c>
      <c r="L29">
        <f>AVERAGE(F29:J29)/10000</f>
        <v/>
      </c>
      <c r="BK29" s="58" t="n"/>
      <c r="BL29" s="58" t="n"/>
      <c r="BM29" s="58" t="n"/>
      <c r="BN29" s="58" t="n"/>
    </row>
    <row r="30">
      <c r="A30">
        <f>CONCATENATE(B30,C30)</f>
        <v/>
      </c>
      <c r="B30" t="inlineStr">
        <is>
          <t>Central Africa</t>
        </is>
      </c>
      <c r="C30" s="206" t="inlineStr">
        <is>
          <t>Sorghum</t>
        </is>
      </c>
      <c r="D30" s="206">
        <f>VLOOKUP(B30, [2]list_region_country!$B$3:$D$20, 3, FALSE)</f>
        <v/>
      </c>
      <c r="E30" s="206">
        <f>CONCATENATE(D30,C30)</f>
        <v/>
      </c>
      <c r="F30" t="n">
        <v>10199</v>
      </c>
      <c r="G30" t="n">
        <v>10728</v>
      </c>
      <c r="H30" t="n">
        <v>11026</v>
      </c>
      <c r="I30" t="n">
        <v>11078</v>
      </c>
      <c r="J30" t="n">
        <v>10389</v>
      </c>
      <c r="L30">
        <f>AVERAGE(F30:J30)/10000</f>
        <v/>
      </c>
      <c r="BK30" s="58" t="n"/>
      <c r="BL30" s="58" t="n"/>
      <c r="BM30" s="58" t="n"/>
      <c r="BN30" s="58" t="n"/>
    </row>
    <row r="31">
      <c r="A31">
        <f>CONCATENATE(B31,C31)</f>
        <v/>
      </c>
      <c r="B31" t="inlineStr">
        <is>
          <t>Central Africa</t>
        </is>
      </c>
      <c r="C31" s="4431" t="inlineStr">
        <is>
          <t>Rice, paddy</t>
        </is>
      </c>
      <c r="D31" s="206">
        <f>VLOOKUP(B31, [2]list_region_country!$B$3:$D$20, 3, FALSE)</f>
        <v/>
      </c>
      <c r="E31" s="206">
        <f>CONCATENATE(D31,C31)</f>
        <v/>
      </c>
      <c r="F31" t="n">
        <v>9395</v>
      </c>
      <c r="G31" t="n">
        <v>9358</v>
      </c>
      <c r="H31" t="n">
        <v>9491</v>
      </c>
      <c r="I31" t="n">
        <v>9704</v>
      </c>
      <c r="J31" t="n">
        <v>11161</v>
      </c>
      <c r="L31">
        <f>AVERAGE(F31:J31)/10000</f>
        <v/>
      </c>
      <c r="BK31" s="58" t="n"/>
      <c r="BL31" s="58" t="n"/>
      <c r="BM31" s="58" t="n"/>
      <c r="BN31" s="58" t="n"/>
    </row>
    <row r="32">
      <c r="A32">
        <f>CONCATENATE(B32,C32)</f>
        <v/>
      </c>
      <c r="B32" t="inlineStr">
        <is>
          <t>Central Africa</t>
        </is>
      </c>
      <c r="C32" s="206" t="inlineStr">
        <is>
          <t>Rye</t>
        </is>
      </c>
      <c r="D32" s="206">
        <f>VLOOKUP(B32, [2]list_region_country!$B$3:$D$20, 3, FALSE)</f>
        <v/>
      </c>
      <c r="E32" s="206">
        <f>CONCATENATE(D32,C32)</f>
        <v/>
      </c>
      <c r="F32" t="n">
        <v>0</v>
      </c>
      <c r="G32" t="n">
        <v>0</v>
      </c>
      <c r="H32" t="n">
        <v>0</v>
      </c>
      <c r="I32" t="n">
        <v>0</v>
      </c>
      <c r="J32" t="n">
        <v>0</v>
      </c>
      <c r="L32">
        <f>AVERAGE(F32:J32)/10000</f>
        <v/>
      </c>
      <c r="BK32" s="58" t="n"/>
      <c r="BL32" s="58" t="n"/>
      <c r="BM32" s="58" t="n"/>
      <c r="BN32" s="58" t="n"/>
    </row>
    <row r="33">
      <c r="A33">
        <f>CONCATENATE(B33,C33)</f>
        <v/>
      </c>
      <c r="B33" t="inlineStr">
        <is>
          <t>Central Africa</t>
        </is>
      </c>
      <c r="C33" s="206" t="inlineStr">
        <is>
          <t>Groundnuts, with shell</t>
        </is>
      </c>
      <c r="D33" s="206">
        <f>VLOOKUP(B33, [2]list_region_country!$B$3:$D$20, 3, FALSE)</f>
        <v/>
      </c>
      <c r="E33" s="206">
        <f>CONCATENATE(D33,C33)</f>
        <v/>
      </c>
      <c r="F33" t="n">
        <v>10452</v>
      </c>
      <c r="G33" t="n">
        <v>10001</v>
      </c>
      <c r="H33" t="n">
        <v>9947</v>
      </c>
      <c r="I33" t="n">
        <v>10028</v>
      </c>
      <c r="J33" t="n">
        <v>9290</v>
      </c>
      <c r="L33">
        <f>AVERAGE(F33:J33)/10000</f>
        <v/>
      </c>
      <c r="BK33" s="58" t="n"/>
      <c r="BL33" s="58" t="n"/>
      <c r="BM33" s="58" t="n"/>
      <c r="BN33" s="58" t="n"/>
    </row>
    <row r="34">
      <c r="A34">
        <f>CONCATENATE(B34,C34)</f>
        <v/>
      </c>
      <c r="B34" t="inlineStr">
        <is>
          <t>Central Africa</t>
        </is>
      </c>
      <c r="C34" s="206" t="inlineStr">
        <is>
          <t>Beans, dry</t>
        </is>
      </c>
      <c r="D34" s="206">
        <f>VLOOKUP(B34, [2]list_region_country!$B$3:$D$20, 3, FALSE)</f>
        <v/>
      </c>
      <c r="E34" s="206">
        <f>CONCATENATE(D34,C34)</f>
        <v/>
      </c>
      <c r="F34" t="n">
        <v>6436</v>
      </c>
      <c r="G34" t="n">
        <v>6396</v>
      </c>
      <c r="H34" t="n">
        <v>6345</v>
      </c>
      <c r="I34" t="n">
        <v>6249</v>
      </c>
      <c r="J34" t="n">
        <v>6274</v>
      </c>
      <c r="L34">
        <f>AVERAGE(F34:J34)/10000</f>
        <v/>
      </c>
      <c r="BK34" s="58" t="n"/>
      <c r="BL34" s="58" t="n"/>
      <c r="BM34" s="58" t="n"/>
      <c r="BN34" s="58" t="n"/>
    </row>
    <row r="35">
      <c r="A35">
        <f>CONCATENATE(B35,C35)</f>
        <v/>
      </c>
      <c r="B35" t="inlineStr">
        <is>
          <t>Central Africa</t>
        </is>
      </c>
      <c r="C35" s="207" t="inlineStr">
        <is>
          <t>Vegetables</t>
        </is>
      </c>
      <c r="D35" s="206">
        <f>VLOOKUP(B35, [2]list_region_country!$B$3:$D$20, 3, FALSE)</f>
        <v/>
      </c>
      <c r="E35" s="206">
        <f>CONCATENATE(D35,C35)</f>
        <v/>
      </c>
      <c r="F35" t="n">
        <v>45055</v>
      </c>
      <c r="G35" t="n">
        <v>44344</v>
      </c>
      <c r="H35" t="n">
        <v>44064</v>
      </c>
      <c r="I35" t="n">
        <v>43808</v>
      </c>
      <c r="J35" t="n">
        <v>43367</v>
      </c>
      <c r="L35">
        <f>AVERAGE(F35:J35)/10000</f>
        <v/>
      </c>
      <c r="BK35" s="58" t="n"/>
      <c r="BL35" s="58" t="n"/>
      <c r="BM35" s="58" t="n"/>
      <c r="BN35" s="58" t="n"/>
    </row>
    <row r="36">
      <c r="A36">
        <f>CONCATENATE(B36,C36)</f>
        <v/>
      </c>
      <c r="B36" t="inlineStr">
        <is>
          <t>Central Africa</t>
        </is>
      </c>
      <c r="C36" s="207" t="inlineStr">
        <is>
          <t>Oilseeds</t>
        </is>
      </c>
      <c r="D36" s="206">
        <f>VLOOKUP(B36, [2]list_region_country!$B$3:$D$20, 3, FALSE)</f>
        <v/>
      </c>
      <c r="E36" s="206">
        <f>CONCATENATE(D36,C36)</f>
        <v/>
      </c>
      <c r="F36" t="n">
        <v>7661.4</v>
      </c>
      <c r="G36" t="n">
        <v>7770.6</v>
      </c>
      <c r="H36" t="n">
        <v>7343.4</v>
      </c>
      <c r="I36" t="n">
        <v>8076.6</v>
      </c>
      <c r="J36" t="n">
        <v>7734.4</v>
      </c>
      <c r="L36">
        <f>AVERAGE(F36:J36)/10000</f>
        <v/>
      </c>
      <c r="BK36" s="58" t="n"/>
      <c r="BL36" s="58" t="n"/>
      <c r="BM36" s="58" t="n"/>
      <c r="BN36" s="58" t="n"/>
    </row>
    <row r="37" customFormat="1" s="480">
      <c r="A37" s="480">
        <f>CONCATENATE(B37,C37)</f>
        <v/>
      </c>
      <c r="B37" s="480" t="inlineStr">
        <is>
          <t>Central Africa</t>
        </is>
      </c>
      <c r="C37" s="4432">
        <f>C19</f>
        <v/>
      </c>
      <c r="D37" s="483">
        <f>VLOOKUP(B37, [2]list_region_country!$B$3:$D$20, 3, FALSE)</f>
        <v/>
      </c>
      <c r="E37" s="483">
        <f>CONCATENATE(D37,C37)</f>
        <v/>
      </c>
      <c r="F37" s="483" t="n"/>
      <c r="G37" s="483" t="n"/>
      <c r="H37" s="483" t="n"/>
      <c r="I37" s="483" t="n"/>
      <c r="J37" s="483" t="n"/>
      <c r="L37" s="480">
        <f>AVERAGEIF(L20:L36,"&gt;0")</f>
        <v/>
      </c>
      <c r="BK37" s="4435" t="n"/>
      <c r="BL37" s="4435" t="n"/>
      <c r="BM37" s="4435" t="n"/>
      <c r="BN37" s="4435" t="n"/>
    </row>
    <row r="38">
      <c r="A38">
        <f>CONCATENATE(B38,C38)</f>
        <v/>
      </c>
      <c r="B38" t="inlineStr">
        <is>
          <t>Central America</t>
        </is>
      </c>
      <c r="C38" s="206" t="inlineStr">
        <is>
          <t>Cereals,Total</t>
        </is>
      </c>
      <c r="D38" s="206">
        <f>VLOOKUP(B38, [2]list_region_country!$B$3:$D$20, 3, FALSE)</f>
        <v/>
      </c>
      <c r="E38" s="206">
        <f>CONCATENATE(D38,C38)</f>
        <v/>
      </c>
      <c r="F38" t="n">
        <v>34687</v>
      </c>
      <c r="G38" t="n">
        <v>35121</v>
      </c>
      <c r="H38" t="n">
        <v>35190</v>
      </c>
      <c r="I38" t="n">
        <v>36680</v>
      </c>
      <c r="J38" t="n">
        <v>35248</v>
      </c>
      <c r="L38">
        <f>AVERAGE(F38:J38)/10000</f>
        <v/>
      </c>
      <c r="BK38" s="58" t="n"/>
      <c r="BL38" s="58" t="n"/>
      <c r="BM38" s="58" t="n"/>
      <c r="BN38" s="58" t="n"/>
    </row>
    <row r="39">
      <c r="A39">
        <f>CONCATENATE(B39,C39)</f>
        <v/>
      </c>
      <c r="B39" t="inlineStr">
        <is>
          <t>Central America</t>
        </is>
      </c>
      <c r="C39" s="207" t="inlineStr">
        <is>
          <t>Pulses,Total</t>
        </is>
      </c>
      <c r="D39" s="206">
        <f>VLOOKUP(B39, [2]list_region_country!$B$3:$D$20, 3, FALSE)</f>
        <v/>
      </c>
      <c r="E39" s="206">
        <f>CONCATENATE(D39,C39)</f>
        <v/>
      </c>
      <c r="F39" t="n">
        <v>8408</v>
      </c>
      <c r="G39" t="n">
        <v>8798</v>
      </c>
      <c r="H39" t="n">
        <v>9254</v>
      </c>
      <c r="I39" t="n">
        <v>9223</v>
      </c>
      <c r="J39" t="n">
        <v>8480</v>
      </c>
      <c r="L39">
        <f>AVERAGE(F39:J39)/10000</f>
        <v/>
      </c>
      <c r="BK39" s="58" t="n"/>
      <c r="BL39" s="58" t="n"/>
      <c r="BM39" s="58" t="n"/>
      <c r="BN39" s="58" t="n"/>
    </row>
    <row r="40">
      <c r="A40">
        <f>CONCATENATE(B40,C40)</f>
        <v/>
      </c>
      <c r="B40" t="inlineStr">
        <is>
          <t>Central America</t>
        </is>
      </c>
      <c r="C40" s="207" t="inlineStr">
        <is>
          <t>Roots and Tubers,Total</t>
        </is>
      </c>
      <c r="D40" s="206">
        <f>VLOOKUP(B40, [2]list_region_country!$B$3:$D$20, 3, FALSE)</f>
        <v/>
      </c>
      <c r="E40" s="206">
        <f>CONCATENATE(D40,C40)</f>
        <v/>
      </c>
      <c r="F40" t="n">
        <v>196945</v>
      </c>
      <c r="G40" t="n">
        <v>196671</v>
      </c>
      <c r="H40" t="n">
        <v>201603</v>
      </c>
      <c r="I40" t="n">
        <v>202082</v>
      </c>
      <c r="J40" t="n">
        <v>209124</v>
      </c>
      <c r="L40">
        <f>AVERAGE(F40:J40)/10000</f>
        <v/>
      </c>
      <c r="BK40" s="58" t="n"/>
      <c r="BL40" s="58" t="n"/>
      <c r="BM40" s="58" t="n"/>
      <c r="BN40" s="58" t="n"/>
    </row>
    <row r="41">
      <c r="A41">
        <f>CONCATENATE(B41,C41)</f>
        <v/>
      </c>
      <c r="B41" t="inlineStr">
        <is>
          <t>Central America</t>
        </is>
      </c>
      <c r="C41" s="206" t="inlineStr">
        <is>
          <t>Barley</t>
        </is>
      </c>
      <c r="D41" s="206">
        <f>VLOOKUP(B41, [2]list_region_country!$B$3:$D$20, 3, FALSE)</f>
        <v/>
      </c>
      <c r="E41" s="206">
        <f>CONCATENATE(D41,C41)</f>
        <v/>
      </c>
      <c r="F41" t="n">
        <v>29670</v>
      </c>
      <c r="G41" t="n">
        <v>28418</v>
      </c>
      <c r="H41" t="n">
        <v>28645</v>
      </c>
      <c r="I41" t="n">
        <v>26930</v>
      </c>
      <c r="J41" t="n">
        <v>29376</v>
      </c>
      <c r="L41">
        <f>AVERAGE(F41:J41)/10000</f>
        <v/>
      </c>
      <c r="BK41" s="58" t="n"/>
      <c r="BL41" s="58" t="n"/>
      <c r="BM41" s="58" t="n"/>
      <c r="BN41" s="58" t="n"/>
    </row>
    <row r="42">
      <c r="A42">
        <f>CONCATENATE(B42,C42)</f>
        <v/>
      </c>
      <c r="B42" t="inlineStr">
        <is>
          <t>Central America</t>
        </is>
      </c>
      <c r="C42" s="207" t="inlineStr">
        <is>
          <t>Maize</t>
        </is>
      </c>
      <c r="D42" s="206">
        <f>VLOOKUP(B42, [2]list_region_country!$B$3:$D$20, 3, FALSE)</f>
        <v/>
      </c>
      <c r="E42" s="206">
        <f>CONCATENATE(D42,C42)</f>
        <v/>
      </c>
      <c r="F42" t="n">
        <v>33813</v>
      </c>
      <c r="G42" t="n">
        <v>34370</v>
      </c>
      <c r="H42" t="n">
        <v>34374</v>
      </c>
      <c r="I42" t="n">
        <v>36437</v>
      </c>
      <c r="J42" t="n">
        <v>34707</v>
      </c>
      <c r="L42">
        <f>AVERAGE(F42:J42)/10000</f>
        <v/>
      </c>
      <c r="BK42" s="58" t="n"/>
      <c r="BL42" s="58" t="n"/>
      <c r="BM42" s="58" t="n"/>
      <c r="BN42" s="58" t="n"/>
    </row>
    <row r="43">
      <c r="A43">
        <f>CONCATENATE(B43,C43)</f>
        <v/>
      </c>
      <c r="B43" t="inlineStr">
        <is>
          <t>Central America</t>
        </is>
      </c>
      <c r="C43" s="207" t="inlineStr">
        <is>
          <t>Oats</t>
        </is>
      </c>
      <c r="D43" s="206">
        <f>VLOOKUP(B43, [2]list_region_country!$B$3:$D$20, 3, FALSE)</f>
        <v/>
      </c>
      <c r="E43" s="206">
        <f>CONCATENATE(D43,C43)</f>
        <v/>
      </c>
      <c r="F43" t="n">
        <v>18536</v>
      </c>
      <c r="G43" t="n">
        <v>16646</v>
      </c>
      <c r="H43" t="n">
        <v>19896</v>
      </c>
      <c r="I43" t="n">
        <v>20719</v>
      </c>
      <c r="J43" t="n">
        <v>22489</v>
      </c>
      <c r="L43">
        <f>AVERAGE(F43:J43)/10000</f>
        <v/>
      </c>
      <c r="BK43" s="58" t="n"/>
      <c r="BL43" s="58" t="n"/>
      <c r="BM43" s="58" t="n"/>
      <c r="BN43" s="58" t="n"/>
    </row>
    <row r="44">
      <c r="A44">
        <f>CONCATENATE(B44,C44)</f>
        <v/>
      </c>
      <c r="B44" t="inlineStr">
        <is>
          <t>Central America</t>
        </is>
      </c>
      <c r="C44" s="207" t="inlineStr">
        <is>
          <t>Potatoes</t>
        </is>
      </c>
      <c r="D44" s="206">
        <f>VLOOKUP(B44, [2]list_region_country!$B$3:$D$20, 3, FALSE)</f>
        <v/>
      </c>
      <c r="E44" s="206">
        <f>CONCATENATE(D44,C44)</f>
        <v/>
      </c>
      <c r="F44" t="n">
        <v>266961</v>
      </c>
      <c r="G44" t="n">
        <v>272801</v>
      </c>
      <c r="H44" t="n">
        <v>276886</v>
      </c>
      <c r="I44" t="n">
        <v>280482</v>
      </c>
      <c r="J44" t="n">
        <v>290443</v>
      </c>
      <c r="L44">
        <f>AVERAGE(F44:J44)/10000</f>
        <v/>
      </c>
      <c r="BK44" s="58" t="n"/>
      <c r="BL44" s="58" t="n"/>
      <c r="BM44" s="58" t="n"/>
      <c r="BN44" s="58" t="n"/>
    </row>
    <row r="45">
      <c r="A45">
        <f>CONCATENATE(B45,C45)</f>
        <v/>
      </c>
      <c r="B45" t="inlineStr">
        <is>
          <t>Central America</t>
        </is>
      </c>
      <c r="C45" s="207" t="inlineStr">
        <is>
          <t>Soybeans</t>
        </is>
      </c>
      <c r="D45" s="206">
        <f>VLOOKUP(B45, [2]list_region_country!$B$3:$D$20, 3, FALSE)</f>
        <v/>
      </c>
      <c r="E45" s="206">
        <f>CONCATENATE(D45,C45)</f>
        <v/>
      </c>
      <c r="F45" t="n">
        <v>18659</v>
      </c>
      <c r="G45" t="n">
        <v>17014</v>
      </c>
      <c r="H45" t="n">
        <v>17629</v>
      </c>
      <c r="I45" t="n">
        <v>16846</v>
      </c>
      <c r="J45" t="n">
        <v>16583</v>
      </c>
      <c r="L45">
        <f>AVERAGE(F45:J45)/10000</f>
        <v/>
      </c>
      <c r="BK45" s="58" t="n"/>
      <c r="BL45" s="58" t="n"/>
      <c r="BM45" s="58" t="n"/>
      <c r="BN45" s="58" t="n"/>
    </row>
    <row r="46">
      <c r="A46">
        <f>CONCATENATE(B46,C46)</f>
        <v/>
      </c>
      <c r="B46" t="inlineStr">
        <is>
          <t>Central America</t>
        </is>
      </c>
      <c r="C46" s="206" t="inlineStr">
        <is>
          <t>Wheat</t>
        </is>
      </c>
      <c r="D46" s="206">
        <f>VLOOKUP(B46, [2]list_region_country!$B$3:$D$20, 3, FALSE)</f>
        <v/>
      </c>
      <c r="E46" s="206">
        <f>CONCATENATE(D46,C46)</f>
        <v/>
      </c>
      <c r="F46" t="n">
        <v>53222</v>
      </c>
      <c r="G46" t="n">
        <v>52788</v>
      </c>
      <c r="H46" t="n">
        <v>54152</v>
      </c>
      <c r="I46" t="n">
        <v>55105</v>
      </c>
      <c r="J46" t="n">
        <v>52995</v>
      </c>
      <c r="L46">
        <f>AVERAGE(F46:J46)/10000</f>
        <v/>
      </c>
      <c r="BK46" s="58" t="n"/>
      <c r="BL46" s="58" t="n"/>
      <c r="BM46" s="58" t="n"/>
      <c r="BN46" s="58" t="n"/>
    </row>
    <row r="47">
      <c r="A47">
        <f>CONCATENATE(B47,C47)</f>
        <v/>
      </c>
      <c r="B47" t="inlineStr">
        <is>
          <t>Central America</t>
        </is>
      </c>
      <c r="C47" s="207" t="inlineStr">
        <is>
          <t>Millet</t>
        </is>
      </c>
      <c r="D47" s="206">
        <f>VLOOKUP(B47, [2]list_region_country!$B$3:$D$20, 3, FALSE)</f>
        <v/>
      </c>
      <c r="E47" s="206">
        <f>CONCATENATE(D47,C47)</f>
        <v/>
      </c>
      <c r="F47" t="n">
        <v>135000</v>
      </c>
      <c r="H47" t="n">
        <v>157857</v>
      </c>
      <c r="I47" t="n">
        <v>138000</v>
      </c>
      <c r="J47" t="n">
        <v>146842</v>
      </c>
      <c r="L47">
        <f>AVERAGE(F47:J47)/10000</f>
        <v/>
      </c>
      <c r="BK47" s="58" t="n"/>
      <c r="BL47" s="58" t="n"/>
      <c r="BM47" s="58" t="n"/>
      <c r="BN47" s="58" t="n"/>
    </row>
    <row r="48">
      <c r="A48">
        <f>CONCATENATE(B48,C48)</f>
        <v/>
      </c>
      <c r="B48" t="inlineStr">
        <is>
          <t>Central America</t>
        </is>
      </c>
      <c r="C48" s="206" t="inlineStr">
        <is>
          <t>Sorghum</t>
        </is>
      </c>
      <c r="D48" s="206">
        <f>VLOOKUP(B48, [2]list_region_country!$B$3:$D$20, 3, FALSE)</f>
        <v/>
      </c>
      <c r="E48" s="206">
        <f>CONCATENATE(D48,C48)</f>
        <v/>
      </c>
      <c r="F48" t="n">
        <v>31042</v>
      </c>
      <c r="G48" t="n">
        <v>32119</v>
      </c>
      <c r="H48" t="n">
        <v>32727</v>
      </c>
      <c r="I48" t="n">
        <v>31253</v>
      </c>
      <c r="J48" t="n">
        <v>30919</v>
      </c>
      <c r="L48">
        <f>AVERAGE(F48:J48)/10000</f>
        <v/>
      </c>
      <c r="BK48" s="58" t="n"/>
      <c r="BL48" s="58" t="n"/>
      <c r="BM48" s="58" t="n"/>
      <c r="BN48" s="58" t="n"/>
    </row>
    <row r="49">
      <c r="A49">
        <f>CONCATENATE(B49,C49)</f>
        <v/>
      </c>
      <c r="B49" t="inlineStr">
        <is>
          <t>Central America</t>
        </is>
      </c>
      <c r="C49" s="4431" t="inlineStr">
        <is>
          <t>Rice, paddy</t>
        </is>
      </c>
      <c r="D49" s="206">
        <f>VLOOKUP(B49, [2]list_region_country!$B$3:$D$20, 3, FALSE)</f>
        <v/>
      </c>
      <c r="E49" s="206">
        <f>CONCATENATE(D49,C49)</f>
        <v/>
      </c>
      <c r="F49" t="n">
        <v>47053</v>
      </c>
      <c r="G49" t="n">
        <v>47148</v>
      </c>
      <c r="H49" t="n">
        <v>49305</v>
      </c>
      <c r="I49" t="n">
        <v>49572</v>
      </c>
      <c r="J49" t="n">
        <v>49066</v>
      </c>
      <c r="L49">
        <f>AVERAGE(F49:J49)/10000</f>
        <v/>
      </c>
      <c r="BK49" s="58" t="n"/>
      <c r="BL49" s="58" t="n"/>
      <c r="BM49" s="58" t="n"/>
      <c r="BN49" s="58" t="n"/>
    </row>
    <row r="50">
      <c r="A50">
        <f>CONCATENATE(B50,C50)</f>
        <v/>
      </c>
      <c r="B50" t="inlineStr">
        <is>
          <t>Central America</t>
        </is>
      </c>
      <c r="C50" s="206" t="inlineStr">
        <is>
          <t>Rye</t>
        </is>
      </c>
      <c r="D50" s="206">
        <f>VLOOKUP(B50, [2]list_region_country!$B$3:$D$20, 3, FALSE)</f>
        <v/>
      </c>
      <c r="E50" s="206">
        <f>CONCATENATE(D50,C50)</f>
        <v/>
      </c>
      <c r="F50" t="n">
        <v>14000</v>
      </c>
      <c r="G50" t="n">
        <v>18333</v>
      </c>
      <c r="H50" t="n">
        <v>18000</v>
      </c>
      <c r="I50" t="n">
        <v>17500</v>
      </c>
      <c r="J50" t="n">
        <v>17778</v>
      </c>
      <c r="L50">
        <f>AVERAGE(F50:J50)/10000</f>
        <v/>
      </c>
      <c r="BK50" s="58" t="n"/>
      <c r="BL50" s="58" t="n"/>
      <c r="BM50" s="58" t="n"/>
      <c r="BN50" s="58" t="n"/>
    </row>
    <row r="51">
      <c r="A51">
        <f>CONCATENATE(B51,C51)</f>
        <v/>
      </c>
      <c r="B51" t="inlineStr">
        <is>
          <t>Central America</t>
        </is>
      </c>
      <c r="C51" s="206" t="inlineStr">
        <is>
          <t>Groundnuts, with shell</t>
        </is>
      </c>
      <c r="D51" s="206">
        <f>VLOOKUP(B51, [2]list_region_country!$B$3:$D$20, 3, FALSE)</f>
        <v/>
      </c>
      <c r="E51" s="206">
        <f>CONCATENATE(D51,C51)</f>
        <v/>
      </c>
      <c r="F51" t="n">
        <v>28920</v>
      </c>
      <c r="G51" t="n">
        <v>29198</v>
      </c>
      <c r="H51" t="n">
        <v>29433</v>
      </c>
      <c r="I51" t="n">
        <v>28563</v>
      </c>
      <c r="J51" t="n">
        <v>27658</v>
      </c>
      <c r="L51">
        <f>AVERAGE(F51:J51)/10000</f>
        <v/>
      </c>
      <c r="BK51" s="58" t="n"/>
      <c r="BL51" s="58" t="n"/>
      <c r="BM51" s="58" t="n"/>
      <c r="BN51" s="58" t="n"/>
    </row>
    <row r="52">
      <c r="A52">
        <f>CONCATENATE(B52,C52)</f>
        <v/>
      </c>
      <c r="B52" t="inlineStr">
        <is>
          <t>Central America</t>
        </is>
      </c>
      <c r="C52" s="206" t="inlineStr">
        <is>
          <t>Beans, dry</t>
        </is>
      </c>
      <c r="D52" s="206">
        <f>VLOOKUP(B52, [2]list_region_country!$B$3:$D$20, 3, FALSE)</f>
        <v/>
      </c>
      <c r="E52" s="206">
        <f>CONCATENATE(D52,C52)</f>
        <v/>
      </c>
      <c r="F52" t="n">
        <v>7470</v>
      </c>
      <c r="G52" t="n">
        <v>7804</v>
      </c>
      <c r="H52" t="n">
        <v>7972</v>
      </c>
      <c r="I52" t="n">
        <v>7993</v>
      </c>
      <c r="J52" t="n">
        <v>7534</v>
      </c>
      <c r="L52">
        <f>AVERAGE(F52:J52)/10000</f>
        <v/>
      </c>
      <c r="BK52" s="58" t="n"/>
      <c r="BL52" s="58" t="n"/>
      <c r="BM52" s="58" t="n"/>
      <c r="BN52" s="58" t="n"/>
    </row>
    <row r="53">
      <c r="A53">
        <f>CONCATENATE(B53,C53)</f>
        <v/>
      </c>
      <c r="B53" t="inlineStr">
        <is>
          <t>Central America</t>
        </is>
      </c>
      <c r="C53" s="207" t="inlineStr">
        <is>
          <t>Vegetables</t>
        </is>
      </c>
      <c r="D53" s="206">
        <f>VLOOKUP(B53, [2]list_region_country!$B$3:$D$20, 3, FALSE)</f>
        <v/>
      </c>
      <c r="E53" s="206">
        <f>CONCATENATE(D53,C53)</f>
        <v/>
      </c>
      <c r="F53" t="n">
        <v>196262</v>
      </c>
      <c r="G53" t="n">
        <v>213056</v>
      </c>
      <c r="H53" t="n">
        <v>220200</v>
      </c>
      <c r="I53" t="n">
        <v>215422</v>
      </c>
      <c r="J53" t="n">
        <v>208588</v>
      </c>
      <c r="L53">
        <f>AVERAGE(F53:J53)/10000</f>
        <v/>
      </c>
      <c r="BK53" s="58" t="n"/>
      <c r="BL53" s="58" t="n"/>
      <c r="BM53" s="58" t="n"/>
      <c r="BN53" s="58" t="n"/>
    </row>
    <row r="54">
      <c r="A54">
        <f>CONCATENATE(B54,C54)</f>
        <v/>
      </c>
      <c r="B54" t="inlineStr">
        <is>
          <t>Central America</t>
        </is>
      </c>
      <c r="C54" s="207" t="inlineStr">
        <is>
          <t>Oilseeds</t>
        </is>
      </c>
      <c r="D54" s="206">
        <f>VLOOKUP(B54, [2]list_region_country!$B$3:$D$20, 3, FALSE)</f>
        <v/>
      </c>
      <c r="E54" s="206">
        <f>CONCATENATE(D54,C54)</f>
        <v/>
      </c>
      <c r="F54" t="n">
        <v>16094.875</v>
      </c>
      <c r="G54" t="n">
        <v>16222.125</v>
      </c>
      <c r="H54" t="n">
        <v>17918.375</v>
      </c>
      <c r="I54" t="n">
        <v>16968.375</v>
      </c>
      <c r="J54" t="n">
        <v>16655.125</v>
      </c>
      <c r="L54">
        <f>AVERAGE(F54:J54)/10000</f>
        <v/>
      </c>
      <c r="BK54" s="58" t="n"/>
      <c r="BL54" s="58" t="n"/>
      <c r="BM54" s="58" t="n"/>
      <c r="BN54" s="58" t="n"/>
    </row>
    <row r="55" customFormat="1" s="480">
      <c r="A55" s="480">
        <f>CONCATENATE(B55,C55)</f>
        <v/>
      </c>
      <c r="B55" s="480" t="inlineStr">
        <is>
          <t>Central America</t>
        </is>
      </c>
      <c r="C55" s="4432">
        <f>C37</f>
        <v/>
      </c>
      <c r="D55" s="483">
        <f>VLOOKUP(B55, [2]list_region_country!$B$3:$D$20, 3, FALSE)</f>
        <v/>
      </c>
      <c r="E55" s="483">
        <f>CONCATENATE(D55,C55)</f>
        <v/>
      </c>
      <c r="F55" s="483" t="n"/>
      <c r="G55" s="483" t="n"/>
      <c r="H55" s="483" t="n"/>
      <c r="I55" s="483" t="n"/>
      <c r="J55" s="483" t="n"/>
      <c r="K55" s="483" t="n"/>
      <c r="L55" s="483">
        <f>AVERAGEIF(L38:L54,"&gt;0")</f>
        <v/>
      </c>
      <c r="BK55" s="4435" t="n"/>
      <c r="BL55" s="4435" t="n"/>
      <c r="BM55" s="4435" t="n"/>
      <c r="BN55" s="4435" t="n"/>
    </row>
    <row r="56">
      <c r="A56">
        <f>CONCATENATE(B56,C56)</f>
        <v/>
      </c>
      <c r="B56" t="inlineStr">
        <is>
          <t>Central Asia</t>
        </is>
      </c>
      <c r="C56" s="206" t="inlineStr">
        <is>
          <t>Cereals,Total</t>
        </is>
      </c>
      <c r="D56" s="206">
        <f>VLOOKUP(B56, [2]list_region_country!$B$3:$D$20, 3, FALSE)</f>
        <v/>
      </c>
      <c r="E56" s="206">
        <f>CONCATENATE(D56,C56)</f>
        <v/>
      </c>
      <c r="F56" t="n">
        <v>17541</v>
      </c>
      <c r="G56" t="n">
        <v>16969</v>
      </c>
      <c r="H56" t="n">
        <v>16816</v>
      </c>
      <c r="I56" t="n">
        <v>15705</v>
      </c>
      <c r="J56" t="n">
        <v>16693</v>
      </c>
      <c r="L56">
        <f>AVERAGE(F56:J56)/10000</f>
        <v/>
      </c>
      <c r="BK56" s="58" t="n"/>
      <c r="BL56" s="58" t="n"/>
      <c r="BM56" s="58" t="n"/>
      <c r="BN56" s="58" t="n"/>
    </row>
    <row r="57">
      <c r="A57">
        <f>CONCATENATE(B57,C57)</f>
        <v/>
      </c>
      <c r="B57" t="inlineStr">
        <is>
          <t>Central Asia</t>
        </is>
      </c>
      <c r="C57" s="207" t="inlineStr">
        <is>
          <t>Pulses,Total</t>
        </is>
      </c>
      <c r="D57" s="206">
        <f>VLOOKUP(B57, [2]list_region_country!$B$3:$D$20, 3, FALSE)</f>
        <v/>
      </c>
      <c r="E57" s="206">
        <f>CONCATENATE(D57,C57)</f>
        <v/>
      </c>
      <c r="F57" t="n">
        <v>15969</v>
      </c>
      <c r="G57" t="n">
        <v>12059</v>
      </c>
      <c r="H57" t="n">
        <v>11407</v>
      </c>
      <c r="I57" t="n">
        <v>12708</v>
      </c>
      <c r="J57" t="n">
        <v>13603</v>
      </c>
      <c r="L57">
        <f>AVERAGE(F57:J57)/10000</f>
        <v/>
      </c>
      <c r="BK57" s="58" t="n"/>
      <c r="BL57" s="58" t="n"/>
      <c r="BM57" s="58" t="n"/>
      <c r="BN57" s="58" t="n"/>
    </row>
    <row r="58">
      <c r="A58">
        <f>CONCATENATE(B58,C58)</f>
        <v/>
      </c>
      <c r="B58" t="inlineStr">
        <is>
          <t>Central Asia</t>
        </is>
      </c>
      <c r="C58" s="207" t="inlineStr">
        <is>
          <t>Roots and Tubers,Total</t>
        </is>
      </c>
      <c r="D58" s="206">
        <f>VLOOKUP(B58, [2]list_region_country!$B$3:$D$20, 3, FALSE)</f>
        <v/>
      </c>
      <c r="E58" s="206">
        <f>CONCATENATE(D58,C58)</f>
        <v/>
      </c>
      <c r="F58" t="n">
        <v>217478</v>
      </c>
      <c r="G58" t="n">
        <v>221276</v>
      </c>
      <c r="H58" t="n">
        <v>220447</v>
      </c>
      <c r="I58" t="n">
        <v>226214</v>
      </c>
      <c r="J58" t="n">
        <v>229627</v>
      </c>
      <c r="L58">
        <f>AVERAGE(F58:J58)/10000</f>
        <v/>
      </c>
      <c r="BK58" s="58" t="n"/>
      <c r="BL58" s="58" t="n"/>
      <c r="BM58" s="58" t="n"/>
      <c r="BN58" s="58" t="n"/>
    </row>
    <row r="59">
      <c r="A59">
        <f>CONCATENATE(B59,C59)</f>
        <v/>
      </c>
      <c r="B59" t="inlineStr">
        <is>
          <t>Central Asia</t>
        </is>
      </c>
      <c r="C59" s="206" t="inlineStr">
        <is>
          <t>Barley</t>
        </is>
      </c>
      <c r="D59" s="206">
        <f>VLOOKUP(B59, [2]list_region_country!$B$3:$D$20, 3, FALSE)</f>
        <v/>
      </c>
      <c r="E59" s="206">
        <f>CONCATENATE(D59,C59)</f>
        <v/>
      </c>
      <c r="F59" t="n">
        <v>17473</v>
      </c>
      <c r="G59" t="n">
        <v>16428</v>
      </c>
      <c r="H59" t="n">
        <v>16069</v>
      </c>
      <c r="I59" t="n">
        <v>13693</v>
      </c>
      <c r="J59" t="n">
        <v>14315</v>
      </c>
      <c r="L59">
        <f>AVERAGE(F59:J59)/10000</f>
        <v/>
      </c>
      <c r="BK59" s="58" t="n"/>
      <c r="BL59" s="58" t="n"/>
      <c r="BM59" s="58" t="n"/>
      <c r="BN59" s="58" t="n"/>
    </row>
    <row r="60">
      <c r="A60">
        <f>CONCATENATE(B60,C60)</f>
        <v/>
      </c>
      <c r="B60" t="inlineStr">
        <is>
          <t>Central Asia</t>
        </is>
      </c>
      <c r="C60" s="207" t="inlineStr">
        <is>
          <t>Maize</t>
        </is>
      </c>
      <c r="D60" s="206">
        <f>VLOOKUP(B60, [2]list_region_country!$B$3:$D$20, 3, FALSE)</f>
        <v/>
      </c>
      <c r="E60" s="206">
        <f>CONCATENATE(D60,C60)</f>
        <v/>
      </c>
      <c r="F60" t="n">
        <v>65012</v>
      </c>
      <c r="G60" t="n">
        <v>63289</v>
      </c>
      <c r="H60" t="n">
        <v>65313</v>
      </c>
      <c r="I60" t="n">
        <v>63500</v>
      </c>
      <c r="J60" t="n">
        <v>62826</v>
      </c>
      <c r="L60">
        <f>AVERAGE(F60:J60)/10000</f>
        <v/>
      </c>
      <c r="BK60" s="58" t="n"/>
      <c r="BL60" s="58" t="n"/>
      <c r="BM60" s="58" t="n"/>
      <c r="BN60" s="58" t="n"/>
    </row>
    <row r="61">
      <c r="A61">
        <f>CONCATENATE(B61,C61)</f>
        <v/>
      </c>
      <c r="B61" t="inlineStr">
        <is>
          <t>Central Asia</t>
        </is>
      </c>
      <c r="C61" s="207" t="inlineStr">
        <is>
          <t>Oats</t>
        </is>
      </c>
      <c r="D61" s="206">
        <f>VLOOKUP(B61, [2]list_region_country!$B$3:$D$20, 3, FALSE)</f>
        <v/>
      </c>
      <c r="E61" s="206">
        <f>CONCATENATE(D61,C61)</f>
        <v/>
      </c>
      <c r="F61" t="n">
        <v>15969</v>
      </c>
      <c r="G61" t="n">
        <v>13386</v>
      </c>
      <c r="H61" t="n">
        <v>14310</v>
      </c>
      <c r="I61" t="n">
        <v>11039</v>
      </c>
      <c r="J61" t="n">
        <v>10580</v>
      </c>
      <c r="L61">
        <f>AVERAGE(F61:J61)/10000</f>
        <v/>
      </c>
      <c r="BK61" s="58" t="n"/>
      <c r="BL61" s="58" t="n"/>
      <c r="BM61" s="58" t="n"/>
      <c r="BN61" s="58" t="n"/>
    </row>
    <row r="62">
      <c r="A62">
        <f>CONCATENATE(B62,C62)</f>
        <v/>
      </c>
      <c r="B62" t="inlineStr">
        <is>
          <t>Central Asia</t>
        </is>
      </c>
      <c r="C62" s="207" t="inlineStr">
        <is>
          <t>Potatoes</t>
        </is>
      </c>
      <c r="D62" s="206">
        <f>VLOOKUP(B62, [2]list_region_country!$B$3:$D$20, 3, FALSE)</f>
        <v/>
      </c>
      <c r="E62" s="206">
        <f>CONCATENATE(D62,C62)</f>
        <v/>
      </c>
      <c r="F62" t="n">
        <v>217478</v>
      </c>
      <c r="G62" t="n">
        <v>221276</v>
      </c>
      <c r="H62" t="n">
        <v>220447</v>
      </c>
      <c r="I62" t="n">
        <v>226214</v>
      </c>
      <c r="J62" t="n">
        <v>229627</v>
      </c>
      <c r="L62">
        <f>AVERAGE(F62:J62)/10000</f>
        <v/>
      </c>
      <c r="BK62" s="58" t="n"/>
      <c r="BL62" s="58" t="n"/>
      <c r="BM62" s="58" t="n"/>
      <c r="BN62" s="58" t="n"/>
    </row>
    <row r="63">
      <c r="A63">
        <f>CONCATENATE(B63,C63)</f>
        <v/>
      </c>
      <c r="B63" t="inlineStr">
        <is>
          <t>Central Asia</t>
        </is>
      </c>
      <c r="C63" s="207" t="inlineStr">
        <is>
          <t>Soybeans</t>
        </is>
      </c>
      <c r="D63" s="206">
        <f>VLOOKUP(B63, [2]list_region_country!$B$3:$D$20, 3, FALSE)</f>
        <v/>
      </c>
      <c r="E63" s="206">
        <f>CONCATENATE(D63,C63)</f>
        <v/>
      </c>
      <c r="F63" t="n">
        <v>21680</v>
      </c>
      <c r="G63" t="n">
        <v>20206</v>
      </c>
      <c r="H63" t="n">
        <v>20542</v>
      </c>
      <c r="I63" t="n">
        <v>20625</v>
      </c>
      <c r="J63" t="n">
        <v>20722</v>
      </c>
      <c r="L63">
        <f>AVERAGE(F63:J63)/10000</f>
        <v/>
      </c>
      <c r="BK63" s="58" t="n"/>
      <c r="BL63" s="58" t="n"/>
      <c r="BM63" s="58" t="n"/>
      <c r="BN63" s="58" t="n"/>
    </row>
    <row r="64">
      <c r="A64">
        <f>CONCATENATE(B64,C64)</f>
        <v/>
      </c>
      <c r="B64" t="inlineStr">
        <is>
          <t>Central Asia</t>
        </is>
      </c>
      <c r="C64" s="206" t="inlineStr">
        <is>
          <t>Wheat</t>
        </is>
      </c>
      <c r="D64" s="206">
        <f>VLOOKUP(B64, [2]list_region_country!$B$3:$D$20, 3, FALSE)</f>
        <v/>
      </c>
      <c r="E64" s="206">
        <f>CONCATENATE(D64,C64)</f>
        <v/>
      </c>
      <c r="F64" t="n">
        <v>16224</v>
      </c>
      <c r="G64" t="n">
        <v>15845</v>
      </c>
      <c r="H64" t="n">
        <v>15657</v>
      </c>
      <c r="I64" t="n">
        <v>14620</v>
      </c>
      <c r="J64" t="n">
        <v>15764</v>
      </c>
      <c r="L64">
        <f>AVERAGE(F64:J64)/10000</f>
        <v/>
      </c>
      <c r="BK64" s="58" t="n"/>
      <c r="BL64" s="58" t="n"/>
      <c r="BM64" s="58" t="n"/>
      <c r="BN64" s="58" t="n"/>
    </row>
    <row r="65">
      <c r="A65">
        <f>CONCATENATE(B65,C65)</f>
        <v/>
      </c>
      <c r="B65" t="inlineStr">
        <is>
          <t>Central Asia</t>
        </is>
      </c>
      <c r="C65" s="207" t="inlineStr">
        <is>
          <t>Millet</t>
        </is>
      </c>
      <c r="D65" s="206">
        <f>VLOOKUP(B65, [2]list_region_country!$B$3:$D$20, 3, FALSE)</f>
        <v/>
      </c>
      <c r="E65" s="206">
        <f>CONCATENATE(D65,C65)</f>
        <v/>
      </c>
      <c r="F65" t="n">
        <v>11889</v>
      </c>
      <c r="G65" t="n">
        <v>10686</v>
      </c>
      <c r="H65" t="n">
        <v>10512</v>
      </c>
      <c r="I65" t="n">
        <v>9465</v>
      </c>
      <c r="J65" t="n">
        <v>9026</v>
      </c>
      <c r="L65">
        <f>AVERAGE(F65:J65)/10000</f>
        <v/>
      </c>
      <c r="BK65" s="58" t="n"/>
      <c r="BL65" s="58" t="n"/>
      <c r="BM65" s="58" t="n"/>
      <c r="BN65" s="58" t="n"/>
    </row>
    <row r="66">
      <c r="A66">
        <f>CONCATENATE(B66,C66)</f>
        <v/>
      </c>
      <c r="B66" t="inlineStr">
        <is>
          <t>Central Asia</t>
        </is>
      </c>
      <c r="C66" s="206" t="inlineStr">
        <is>
          <t>Sorghum</t>
        </is>
      </c>
      <c r="D66" s="206">
        <f>VLOOKUP(B66, [2]list_region_country!$B$3:$D$20, 3, FALSE)</f>
        <v/>
      </c>
      <c r="E66" s="206">
        <f>CONCATENATE(D66,C66)</f>
        <v/>
      </c>
      <c r="F66" t="n">
        <v>20076</v>
      </c>
      <c r="G66" t="n">
        <v>16122</v>
      </c>
      <c r="H66" t="n">
        <v>24727</v>
      </c>
      <c r="I66" t="n">
        <v>14758</v>
      </c>
      <c r="J66" t="n">
        <v>12905</v>
      </c>
      <c r="L66">
        <f>AVERAGE(F66:J66)/10000</f>
        <v/>
      </c>
      <c r="BK66" s="58" t="n"/>
      <c r="BL66" s="58" t="n"/>
      <c r="BM66" s="58" t="n"/>
      <c r="BN66" s="58" t="n"/>
    </row>
    <row r="67">
      <c r="A67">
        <f>CONCATENATE(B67,C67)</f>
        <v/>
      </c>
      <c r="B67" t="inlineStr">
        <is>
          <t>Central Asia</t>
        </is>
      </c>
      <c r="C67" s="4431" t="inlineStr">
        <is>
          <t>Rice, paddy</t>
        </is>
      </c>
      <c r="D67" s="206">
        <f>VLOOKUP(B67, [2]list_region_country!$B$3:$D$20, 3, FALSE)</f>
        <v/>
      </c>
      <c r="E67" s="206">
        <f>CONCATENATE(D67,C67)</f>
        <v/>
      </c>
      <c r="F67" t="n">
        <v>36414</v>
      </c>
      <c r="G67" t="n">
        <v>33069</v>
      </c>
      <c r="H67" t="n">
        <v>28419</v>
      </c>
      <c r="I67" t="n">
        <v>37258</v>
      </c>
      <c r="J67" t="n">
        <v>36902</v>
      </c>
      <c r="L67">
        <f>AVERAGE(F67:J67)/10000</f>
        <v/>
      </c>
      <c r="BK67" s="58" t="n"/>
      <c r="BL67" s="58" t="n"/>
      <c r="BM67" s="58" t="n"/>
      <c r="BN67" s="58" t="n"/>
    </row>
    <row r="68">
      <c r="A68">
        <f>CONCATENATE(B68,C68)</f>
        <v/>
      </c>
      <c r="B68" t="inlineStr">
        <is>
          <t>Central Asia</t>
        </is>
      </c>
      <c r="C68" s="206" t="inlineStr">
        <is>
          <t>Rye</t>
        </is>
      </c>
      <c r="D68" s="206">
        <f>VLOOKUP(B68, [2]list_region_country!$B$3:$D$20, 3, FALSE)</f>
        <v/>
      </c>
      <c r="E68" s="206">
        <f>CONCATENATE(D68,C68)</f>
        <v/>
      </c>
      <c r="F68" t="n">
        <v>13203</v>
      </c>
      <c r="G68" t="n">
        <v>14467</v>
      </c>
      <c r="H68" t="n">
        <v>13481</v>
      </c>
      <c r="I68" t="n">
        <v>14099</v>
      </c>
      <c r="J68" t="n">
        <v>15115</v>
      </c>
      <c r="L68">
        <f>AVERAGE(F68:J68)/10000</f>
        <v/>
      </c>
      <c r="BK68" s="58" t="n"/>
      <c r="BL68" s="58" t="n"/>
      <c r="BM68" s="58" t="n"/>
      <c r="BN68" s="58" t="n"/>
    </row>
    <row r="69">
      <c r="A69">
        <f>CONCATENATE(B69,C69)</f>
        <v/>
      </c>
      <c r="B69" t="inlineStr">
        <is>
          <t>Central Asia</t>
        </is>
      </c>
      <c r="C69" s="206" t="inlineStr">
        <is>
          <t>Groundnuts, with shell</t>
        </is>
      </c>
      <c r="D69" s="206">
        <f>VLOOKUP(B69, [2]list_region_country!$B$3:$D$20, 3, FALSE)</f>
        <v/>
      </c>
      <c r="E69" s="206">
        <f>CONCATENATE(D69,C69)</f>
        <v/>
      </c>
      <c r="F69" t="n">
        <v>37455</v>
      </c>
      <c r="G69" t="n">
        <v>72190</v>
      </c>
      <c r="H69" t="n">
        <v>68870</v>
      </c>
      <c r="I69" t="n">
        <v>90325</v>
      </c>
      <c r="J69" t="n">
        <v>94389</v>
      </c>
      <c r="L69">
        <f>AVERAGE(F69:J69)/10000</f>
        <v/>
      </c>
      <c r="BK69" s="58" t="n"/>
      <c r="BL69" s="58" t="n"/>
      <c r="BM69" s="58" t="n"/>
      <c r="BN69" s="58" t="n"/>
    </row>
    <row r="70">
      <c r="A70">
        <f>CONCATENATE(B70,C70)</f>
        <v/>
      </c>
      <c r="B70" t="inlineStr">
        <is>
          <t>Central Asia</t>
        </is>
      </c>
      <c r="C70" s="206" t="inlineStr">
        <is>
          <t>Beans, dry</t>
        </is>
      </c>
      <c r="D70" s="206">
        <f>VLOOKUP(B70, [2]list_region_country!$B$3:$D$20, 3, FALSE)</f>
        <v/>
      </c>
      <c r="E70" s="206">
        <f>CONCATENATE(D70,C70)</f>
        <v/>
      </c>
      <c r="F70" t="n">
        <v>14627</v>
      </c>
      <c r="G70" t="n">
        <v>11189</v>
      </c>
      <c r="H70" t="n">
        <v>10988</v>
      </c>
      <c r="I70" t="n">
        <v>11790</v>
      </c>
      <c r="J70" t="n">
        <v>12604</v>
      </c>
      <c r="L70">
        <f>AVERAGE(F70:J70)/10000</f>
        <v/>
      </c>
      <c r="BK70" s="58" t="n"/>
      <c r="BL70" s="58" t="n"/>
      <c r="BM70" s="58" t="n"/>
      <c r="BN70" s="58" t="n"/>
    </row>
    <row r="71">
      <c r="A71">
        <f>CONCATENATE(B71,C71)</f>
        <v/>
      </c>
      <c r="B71" t="inlineStr">
        <is>
          <t>Central Asia</t>
        </is>
      </c>
      <c r="C71" s="207" t="inlineStr">
        <is>
          <t>Vegetables</t>
        </is>
      </c>
      <c r="D71" s="206">
        <f>VLOOKUP(B71, [2]list_region_country!$B$3:$D$20, 3, FALSE)</f>
        <v/>
      </c>
      <c r="E71" s="206">
        <f>CONCATENATE(D71,C71)</f>
        <v/>
      </c>
      <c r="F71" t="n">
        <v>372620</v>
      </c>
      <c r="G71" t="n">
        <v>364154</v>
      </c>
      <c r="H71" t="n">
        <v>337011</v>
      </c>
      <c r="I71" t="n">
        <v>342082</v>
      </c>
      <c r="J71" t="n">
        <v>343158</v>
      </c>
      <c r="L71">
        <f>AVERAGE(F71:J71)/10000</f>
        <v/>
      </c>
      <c r="BK71" s="58" t="n"/>
      <c r="BL71" s="58" t="n"/>
      <c r="BM71" s="58" t="n"/>
      <c r="BN71" s="58" t="n"/>
    </row>
    <row r="72">
      <c r="A72">
        <f>CONCATENATE(B72,C72)</f>
        <v/>
      </c>
      <c r="B72" t="inlineStr">
        <is>
          <t>Central Asia</t>
        </is>
      </c>
      <c r="C72" s="207" t="inlineStr">
        <is>
          <t>Oilseeds</t>
        </is>
      </c>
      <c r="D72" s="206">
        <f>VLOOKUP(B72, [2]list_region_country!$B$3:$D$20, 3, FALSE)</f>
        <v/>
      </c>
      <c r="E72" s="206">
        <f>CONCATENATE(D72,C72)</f>
        <v/>
      </c>
      <c r="F72" t="n">
        <v>13669.5</v>
      </c>
      <c r="G72" t="n">
        <v>18679</v>
      </c>
      <c r="H72" t="n">
        <v>18241.75</v>
      </c>
      <c r="I72" t="n">
        <v>21046.125</v>
      </c>
      <c r="J72" t="n">
        <v>22285.375</v>
      </c>
      <c r="L72">
        <f>AVERAGE(F72:J72)/10000</f>
        <v/>
      </c>
      <c r="BK72" s="58" t="n"/>
      <c r="BL72" s="58" t="n"/>
      <c r="BM72" s="58" t="n"/>
      <c r="BN72" s="58" t="n"/>
    </row>
    <row r="73" customFormat="1" s="480">
      <c r="A73" s="480">
        <f>CONCATENATE(B73,C73)</f>
        <v/>
      </c>
      <c r="B73" s="480" t="inlineStr">
        <is>
          <t>Central Asia</t>
        </is>
      </c>
      <c r="C73" s="4432">
        <f>C55</f>
        <v/>
      </c>
      <c r="D73" s="483">
        <f>VLOOKUP(B73, [2]list_region_country!$B$3:$D$20, 3, FALSE)</f>
        <v/>
      </c>
      <c r="E73" s="483">
        <f>CONCATENATE(D73,C73)</f>
        <v/>
      </c>
      <c r="F73" s="483" t="n"/>
      <c r="G73" s="483" t="n"/>
      <c r="H73" s="483" t="n"/>
      <c r="I73" s="483" t="n"/>
      <c r="J73" s="483" t="n"/>
      <c r="K73" s="483" t="n"/>
      <c r="L73" s="480">
        <f>AVERAGEIF(L56:L72,"&gt;0")</f>
        <v/>
      </c>
      <c r="BK73" s="4435" t="n"/>
      <c r="BL73" s="4435" t="n"/>
      <c r="BM73" s="4435" t="n"/>
      <c r="BN73" s="4435" t="n"/>
    </row>
    <row r="74">
      <c r="A74">
        <f>CONCATENATE(B74,C74)</f>
        <v/>
      </c>
      <c r="B74" t="inlineStr">
        <is>
          <t>Eastern Africa</t>
        </is>
      </c>
      <c r="C74" s="206" t="inlineStr">
        <is>
          <t>Cereals,Total</t>
        </is>
      </c>
      <c r="D74" s="206">
        <f>VLOOKUP(B74, [2]list_region_country!$B$3:$D$20, 3, FALSE)</f>
        <v/>
      </c>
      <c r="E74" s="206">
        <f>CONCATENATE(D74,C74)</f>
        <v/>
      </c>
      <c r="F74" t="n">
        <v>18081</v>
      </c>
      <c r="G74" t="n">
        <v>19754</v>
      </c>
      <c r="H74" t="n">
        <v>20427</v>
      </c>
      <c r="I74" t="n">
        <v>21097</v>
      </c>
      <c r="J74" t="n">
        <v>20481</v>
      </c>
      <c r="L74">
        <f>AVERAGE(F74:J74)/10000</f>
        <v/>
      </c>
      <c r="BK74" s="58" t="n"/>
      <c r="BL74" s="58" t="n"/>
      <c r="BM74" s="58" t="n"/>
      <c r="BN74" s="58" t="n"/>
    </row>
    <row r="75">
      <c r="A75">
        <f>CONCATENATE(B75,C75)</f>
        <v/>
      </c>
      <c r="B75" t="inlineStr">
        <is>
          <t>Eastern Africa</t>
        </is>
      </c>
      <c r="C75" s="207" t="inlineStr">
        <is>
          <t>Pulses,Total</t>
        </is>
      </c>
      <c r="D75" s="206">
        <f>VLOOKUP(B75, [2]list_region_country!$B$3:$D$20, 3, FALSE)</f>
        <v/>
      </c>
      <c r="E75" s="206">
        <f>CONCATENATE(D75,C75)</f>
        <v/>
      </c>
      <c r="F75" t="n">
        <v>9779</v>
      </c>
      <c r="G75" t="n">
        <v>10348</v>
      </c>
      <c r="H75" t="n">
        <v>10000</v>
      </c>
      <c r="I75" t="n">
        <v>9700</v>
      </c>
      <c r="J75" t="n">
        <v>9865</v>
      </c>
      <c r="L75">
        <f>AVERAGE(F75:J75)/10000</f>
        <v/>
      </c>
      <c r="BK75" s="58" t="n"/>
      <c r="BL75" s="58" t="n"/>
      <c r="BM75" s="58" t="n"/>
      <c r="BN75" s="58" t="n"/>
    </row>
    <row r="76">
      <c r="A76">
        <f>CONCATENATE(B76,C76)</f>
        <v/>
      </c>
      <c r="B76" t="inlineStr">
        <is>
          <t>Eastern Africa</t>
        </is>
      </c>
      <c r="C76" s="207" t="inlineStr">
        <is>
          <t>Roots and Tubers,Total</t>
        </is>
      </c>
      <c r="D76" s="206">
        <f>VLOOKUP(B76, [2]list_region_country!$B$3:$D$20, 3, FALSE)</f>
        <v/>
      </c>
      <c r="E76" s="206">
        <f>CONCATENATE(D76,C76)</f>
        <v/>
      </c>
      <c r="F76" t="n">
        <v>75946</v>
      </c>
      <c r="G76" t="n">
        <v>76575</v>
      </c>
      <c r="H76" t="n">
        <v>88033</v>
      </c>
      <c r="I76" t="n">
        <v>83796</v>
      </c>
      <c r="J76" t="n">
        <v>88214</v>
      </c>
      <c r="L76">
        <f>AVERAGE(F76:J76)/10000</f>
        <v/>
      </c>
      <c r="BK76" s="58" t="n"/>
      <c r="BL76" s="58" t="n"/>
      <c r="BM76" s="58" t="n"/>
      <c r="BN76" s="58" t="n"/>
    </row>
    <row r="77">
      <c r="A77">
        <f>CONCATENATE(B77,C77)</f>
        <v/>
      </c>
      <c r="B77" t="inlineStr">
        <is>
          <t>Eastern Africa</t>
        </is>
      </c>
      <c r="C77" s="206" t="inlineStr">
        <is>
          <t>Barley</t>
        </is>
      </c>
      <c r="D77" s="206">
        <f>VLOOKUP(B77, [2]list_region_country!$B$3:$D$20, 3, FALSE)</f>
        <v/>
      </c>
      <c r="E77" s="206">
        <f>CONCATENATE(D77,C77)</f>
        <v/>
      </c>
      <c r="F77" t="n">
        <v>19368</v>
      </c>
      <c r="G77" t="n">
        <v>19837</v>
      </c>
      <c r="H77" t="n">
        <v>22196</v>
      </c>
      <c r="I77" t="n">
        <v>25060</v>
      </c>
      <c r="J77" t="n">
        <v>25059</v>
      </c>
      <c r="L77">
        <f>AVERAGE(F77:J77)/10000</f>
        <v/>
      </c>
      <c r="BK77" s="58" t="n"/>
      <c r="BL77" s="58" t="n"/>
      <c r="BM77" s="58" t="n"/>
      <c r="BN77" s="58" t="n"/>
    </row>
    <row r="78">
      <c r="A78">
        <f>CONCATENATE(B78,C78)</f>
        <v/>
      </c>
      <c r="B78" t="inlineStr">
        <is>
          <t>Eastern Africa</t>
        </is>
      </c>
      <c r="C78" s="207" t="inlineStr">
        <is>
          <t>Maize</t>
        </is>
      </c>
      <c r="D78" s="206">
        <f>VLOOKUP(B78, [2]list_region_country!$B$3:$D$20, 3, FALSE)</f>
        <v/>
      </c>
      <c r="E78" s="206">
        <f>CONCATENATE(D78,C78)</f>
        <v/>
      </c>
      <c r="F78" t="n">
        <v>17328</v>
      </c>
      <c r="G78" t="n">
        <v>20118</v>
      </c>
      <c r="H78" t="n">
        <v>20798</v>
      </c>
      <c r="I78" t="n">
        <v>20730</v>
      </c>
      <c r="J78" t="n">
        <v>20128</v>
      </c>
      <c r="L78">
        <f>AVERAGE(F78:J78)/10000</f>
        <v/>
      </c>
      <c r="BK78" s="58" t="n"/>
      <c r="BL78" s="58" t="n"/>
      <c r="BM78" s="58" t="n"/>
      <c r="BN78" s="58" t="n"/>
    </row>
    <row r="79">
      <c r="A79">
        <f>CONCATENATE(B79,C79)</f>
        <v/>
      </c>
      <c r="B79" t="inlineStr">
        <is>
          <t>Eastern Africa</t>
        </is>
      </c>
      <c r="C79" s="207" t="inlineStr">
        <is>
          <t>Oats</t>
        </is>
      </c>
      <c r="D79" s="206">
        <f>VLOOKUP(B79, [2]list_region_country!$B$3:$D$20, 3, FALSE)</f>
        <v/>
      </c>
      <c r="E79" s="206">
        <f>CONCATENATE(D79,C79)</f>
        <v/>
      </c>
      <c r="F79" t="n">
        <v>18137</v>
      </c>
      <c r="G79" t="n">
        <v>17210</v>
      </c>
      <c r="H79" t="n">
        <v>17607</v>
      </c>
      <c r="I79" t="n">
        <v>19601</v>
      </c>
      <c r="J79" t="n">
        <v>18321</v>
      </c>
      <c r="L79">
        <f>AVERAGE(F79:J79)/10000</f>
        <v/>
      </c>
      <c r="BK79" s="58" t="n"/>
      <c r="BL79" s="58" t="n"/>
      <c r="BM79" s="58" t="n"/>
      <c r="BN79" s="58" t="n"/>
    </row>
    <row r="80">
      <c r="A80">
        <f>CONCATENATE(B80,C80)</f>
        <v/>
      </c>
      <c r="B80" t="inlineStr">
        <is>
          <t>Eastern Africa</t>
        </is>
      </c>
      <c r="C80" s="207" t="inlineStr">
        <is>
          <t>Potatoes</t>
        </is>
      </c>
      <c r="D80" s="206">
        <f>VLOOKUP(B80, [2]list_region_country!$B$3:$D$20, 3, FALSE)</f>
        <v/>
      </c>
      <c r="E80" s="206">
        <f>CONCATENATE(D80,C80)</f>
        <v/>
      </c>
      <c r="F80" t="n">
        <v>94683</v>
      </c>
      <c r="G80" t="n">
        <v>91618</v>
      </c>
      <c r="H80" t="n">
        <v>101003</v>
      </c>
      <c r="I80" t="n">
        <v>99971</v>
      </c>
      <c r="J80" t="n">
        <v>106637</v>
      </c>
      <c r="L80">
        <f>AVERAGE(F80:J80)/10000</f>
        <v/>
      </c>
      <c r="BK80" s="58" t="n"/>
      <c r="BL80" s="58" t="n"/>
      <c r="BM80" s="58" t="n"/>
      <c r="BN80" s="58" t="n"/>
    </row>
    <row r="81">
      <c r="A81">
        <f>CONCATENATE(B81,C81)</f>
        <v/>
      </c>
      <c r="B81" t="inlineStr">
        <is>
          <t>Eastern Africa</t>
        </is>
      </c>
      <c r="C81" s="207" t="inlineStr">
        <is>
          <t>Soybeans</t>
        </is>
      </c>
      <c r="D81" s="206">
        <f>VLOOKUP(B81, [2]list_region_country!$B$3:$D$20, 3, FALSE)</f>
        <v/>
      </c>
      <c r="E81" s="206">
        <f>CONCATENATE(D81,C81)</f>
        <v/>
      </c>
      <c r="F81" t="n">
        <v>12406</v>
      </c>
      <c r="G81" t="n">
        <v>12692</v>
      </c>
      <c r="H81" t="n">
        <v>14169</v>
      </c>
      <c r="I81" t="n">
        <v>13166</v>
      </c>
      <c r="J81" t="n">
        <v>13717</v>
      </c>
      <c r="L81">
        <f>AVERAGE(F81:J81)/10000</f>
        <v/>
      </c>
      <c r="BK81" s="58" t="n"/>
      <c r="BL81" s="58" t="n"/>
      <c r="BM81" s="58" t="n"/>
      <c r="BN81" s="58" t="n"/>
    </row>
    <row r="82">
      <c r="A82">
        <f>CONCATENATE(B82,C82)</f>
        <v/>
      </c>
      <c r="B82" t="inlineStr">
        <is>
          <t>Eastern Africa</t>
        </is>
      </c>
      <c r="C82" s="206" t="inlineStr">
        <is>
          <t>Wheat</t>
        </is>
      </c>
      <c r="D82" s="206">
        <f>VLOOKUP(B82, [2]list_region_country!$B$3:$D$20, 3, FALSE)</f>
        <v/>
      </c>
      <c r="E82" s="206">
        <f>CONCATENATE(D82,C82)</f>
        <v/>
      </c>
      <c r="F82" t="n">
        <v>24965</v>
      </c>
      <c r="G82" t="n">
        <v>25769</v>
      </c>
      <c r="H82" t="n">
        <v>26554</v>
      </c>
      <c r="I82" t="n">
        <v>28640</v>
      </c>
      <c r="J82" t="n">
        <v>28899</v>
      </c>
      <c r="L82">
        <f>AVERAGE(F82:J82)/10000</f>
        <v/>
      </c>
      <c r="BK82" s="58" t="n"/>
      <c r="BL82" s="58" t="n"/>
      <c r="BM82" s="58" t="n"/>
      <c r="BN82" s="58" t="n"/>
    </row>
    <row r="83">
      <c r="A83">
        <f>CONCATENATE(B83,C83)</f>
        <v/>
      </c>
      <c r="B83" t="inlineStr">
        <is>
          <t>Eastern Africa</t>
        </is>
      </c>
      <c r="C83" s="207" t="inlineStr">
        <is>
          <t>Millet</t>
        </is>
      </c>
      <c r="D83" s="206">
        <f>VLOOKUP(B83, [2]list_region_country!$B$3:$D$20, 3, FALSE)</f>
        <v/>
      </c>
      <c r="E83" s="206">
        <f>CONCATENATE(D83,C83)</f>
        <v/>
      </c>
      <c r="F83" t="n">
        <v>12214</v>
      </c>
      <c r="G83" t="n">
        <v>12542</v>
      </c>
      <c r="H83" t="n">
        <v>13601</v>
      </c>
      <c r="I83" t="n">
        <v>15764</v>
      </c>
      <c r="J83" t="n">
        <v>14675</v>
      </c>
      <c r="L83">
        <f>AVERAGE(F83:J83)/10000</f>
        <v/>
      </c>
      <c r="BK83" s="58" t="n"/>
      <c r="BL83" s="58" t="n"/>
      <c r="BM83" s="58" t="n"/>
      <c r="BN83" s="58" t="n"/>
    </row>
    <row r="84">
      <c r="A84">
        <f>CONCATENATE(B84,C84)</f>
        <v/>
      </c>
      <c r="B84" t="inlineStr">
        <is>
          <t>Eastern Africa</t>
        </is>
      </c>
      <c r="C84" s="206" t="inlineStr">
        <is>
          <t>Sorghum</t>
        </is>
      </c>
      <c r="D84" s="206">
        <f>VLOOKUP(B84, [2]list_region_country!$B$3:$D$20, 3, FALSE)</f>
        <v/>
      </c>
      <c r="E84" s="206">
        <f>CONCATENATE(D84,C84)</f>
        <v/>
      </c>
      <c r="F84" t="n">
        <v>15344</v>
      </c>
      <c r="G84" t="n">
        <v>15689</v>
      </c>
      <c r="H84" t="n">
        <v>16235</v>
      </c>
      <c r="I84" t="n">
        <v>17181</v>
      </c>
      <c r="J84" t="n">
        <v>16019</v>
      </c>
      <c r="L84">
        <f>AVERAGE(F84:J84)/10000</f>
        <v/>
      </c>
      <c r="BK84" s="58" t="n"/>
      <c r="BL84" s="58" t="n"/>
      <c r="BM84" s="58" t="n"/>
      <c r="BN84" s="58" t="n"/>
    </row>
    <row r="85">
      <c r="A85">
        <f>CONCATENATE(B85,C85)</f>
        <v/>
      </c>
      <c r="B85" t="inlineStr">
        <is>
          <t>Eastern Africa</t>
        </is>
      </c>
      <c r="C85" s="4431" t="inlineStr">
        <is>
          <t>Rice, paddy</t>
        </is>
      </c>
      <c r="D85" s="206">
        <f>VLOOKUP(B85, [2]list_region_country!$B$3:$D$20, 3, FALSE)</f>
        <v/>
      </c>
      <c r="E85" s="206">
        <f>CONCATENATE(D85,C85)</f>
        <v/>
      </c>
      <c r="F85" t="n">
        <v>27146</v>
      </c>
      <c r="G85" t="n">
        <v>27889</v>
      </c>
      <c r="H85" t="n">
        <v>26289</v>
      </c>
      <c r="I85" t="n">
        <v>27063</v>
      </c>
      <c r="J85" t="n">
        <v>25449</v>
      </c>
      <c r="L85">
        <f>AVERAGE(F85:J85)/10000</f>
        <v/>
      </c>
      <c r="BK85" s="58" t="n"/>
      <c r="BL85" s="58" t="n"/>
      <c r="BM85" s="58" t="n"/>
      <c r="BN85" s="58" t="n"/>
    </row>
    <row r="86">
      <c r="A86">
        <f>CONCATENATE(B86,C86)</f>
        <v/>
      </c>
      <c r="B86" t="inlineStr">
        <is>
          <t>Eastern Africa</t>
        </is>
      </c>
      <c r="C86" s="206" t="inlineStr">
        <is>
          <t>Rye</t>
        </is>
      </c>
      <c r="D86" s="206">
        <f>VLOOKUP(B86, [2]list_region_country!$B$3:$D$20, 3, FALSE)</f>
        <v/>
      </c>
      <c r="E86" s="206">
        <f>CONCATENATE(D86,C86)</f>
        <v/>
      </c>
      <c r="F86" t="n">
        <v>0</v>
      </c>
      <c r="G86" t="n">
        <v>0</v>
      </c>
      <c r="H86" t="n">
        <v>0</v>
      </c>
      <c r="I86" t="n">
        <v>0</v>
      </c>
      <c r="J86" t="n">
        <v>0</v>
      </c>
      <c r="L86">
        <f>AVERAGE(F86:J86)/10000</f>
        <v/>
      </c>
      <c r="BK86" s="58" t="n"/>
      <c r="BL86" s="58" t="n"/>
      <c r="BM86" s="58" t="n"/>
      <c r="BN86" s="58" t="n"/>
    </row>
    <row r="87">
      <c r="A87">
        <f>CONCATENATE(B87,C87)</f>
        <v/>
      </c>
      <c r="B87" t="inlineStr">
        <is>
          <t>Eastern Africa</t>
        </is>
      </c>
      <c r="C87" s="206" t="inlineStr">
        <is>
          <t>Groundnuts, with shell</t>
        </is>
      </c>
      <c r="D87" s="206">
        <f>VLOOKUP(B87, [2]list_region_country!$B$3:$D$20, 3, FALSE)</f>
        <v/>
      </c>
      <c r="E87" s="206">
        <f>CONCATENATE(D87,C87)</f>
        <v/>
      </c>
      <c r="F87" t="n">
        <v>6228</v>
      </c>
      <c r="G87" t="n">
        <v>6826</v>
      </c>
      <c r="H87" t="n">
        <v>6496</v>
      </c>
      <c r="I87" t="n">
        <v>6844</v>
      </c>
      <c r="J87" t="n">
        <v>7381</v>
      </c>
      <c r="L87">
        <f>AVERAGE(F87:J87)/10000</f>
        <v/>
      </c>
      <c r="BK87" s="58" t="n"/>
      <c r="BL87" s="58" t="n"/>
      <c r="BM87" s="58" t="n"/>
      <c r="BN87" s="58" t="n"/>
    </row>
    <row r="88">
      <c r="A88">
        <f>CONCATENATE(B88,C88)</f>
        <v/>
      </c>
      <c r="B88" t="inlineStr">
        <is>
          <t>Eastern Africa</t>
        </is>
      </c>
      <c r="C88" s="206" t="inlineStr">
        <is>
          <t>Beans, dry</t>
        </is>
      </c>
      <c r="D88" s="206">
        <f>VLOOKUP(B88, [2]list_region_country!$B$3:$D$20, 3, FALSE)</f>
        <v/>
      </c>
      <c r="E88" s="206">
        <f>CONCATENATE(D88,C88)</f>
        <v/>
      </c>
      <c r="F88" t="n">
        <v>9047</v>
      </c>
      <c r="G88" t="n">
        <v>9761</v>
      </c>
      <c r="H88" t="n">
        <v>9058</v>
      </c>
      <c r="I88" t="n">
        <v>8495</v>
      </c>
      <c r="J88" t="n">
        <v>8619</v>
      </c>
      <c r="L88">
        <f>AVERAGE(F88:J88)/10000</f>
        <v/>
      </c>
      <c r="BK88" s="58" t="n"/>
      <c r="BL88" s="58" t="n"/>
      <c r="BM88" s="58" t="n"/>
      <c r="BN88" s="58" t="n"/>
    </row>
    <row r="89">
      <c r="A89">
        <f>CONCATENATE(B89,C89)</f>
        <v/>
      </c>
      <c r="B89" t="inlineStr">
        <is>
          <t>Eastern Africa</t>
        </is>
      </c>
      <c r="C89" s="207" t="inlineStr">
        <is>
          <t>Vegetables</t>
        </is>
      </c>
      <c r="D89" s="206">
        <f>VLOOKUP(B89, [2]list_region_country!$B$3:$D$20, 3, FALSE)</f>
        <v/>
      </c>
      <c r="E89" s="206">
        <f>CONCATENATE(D89,C89)</f>
        <v/>
      </c>
      <c r="F89" t="n">
        <v>75987</v>
      </c>
      <c r="G89" t="n">
        <v>78276</v>
      </c>
      <c r="H89" t="n">
        <v>79925</v>
      </c>
      <c r="I89" t="n">
        <v>80571</v>
      </c>
      <c r="J89" t="n">
        <v>84216</v>
      </c>
      <c r="L89">
        <f>AVERAGE(F89:J89)/10000</f>
        <v/>
      </c>
      <c r="BK89" s="58" t="n"/>
      <c r="BL89" s="58" t="n"/>
      <c r="BM89" s="58" t="n"/>
      <c r="BN89" s="58" t="n"/>
    </row>
    <row r="90">
      <c r="A90">
        <f>CONCATENATE(B90,C90)</f>
        <v/>
      </c>
      <c r="B90" t="inlineStr">
        <is>
          <t>Eastern Africa</t>
        </is>
      </c>
      <c r="C90" s="207" t="inlineStr">
        <is>
          <t>Oilseeds</t>
        </is>
      </c>
      <c r="D90" s="206">
        <f>VLOOKUP(B90, [2]list_region_country!$B$3:$D$20, 3, FALSE)</f>
        <v/>
      </c>
      <c r="E90" s="206">
        <f>CONCATENATE(D90,C90)</f>
        <v/>
      </c>
      <c r="F90" t="n">
        <v>8509.111111111111</v>
      </c>
      <c r="G90" t="n">
        <v>8846.777777777777</v>
      </c>
      <c r="H90" t="n">
        <v>8929.444444444445</v>
      </c>
      <c r="I90" t="n">
        <v>8911.222222222223</v>
      </c>
      <c r="J90" t="n">
        <v>8557.777777777777</v>
      </c>
      <c r="L90">
        <f>AVERAGE(F90:J90)/10000</f>
        <v/>
      </c>
      <c r="BK90" s="58" t="n"/>
      <c r="BL90" s="58" t="n"/>
      <c r="BM90" s="58" t="n"/>
      <c r="BN90" s="58" t="n"/>
    </row>
    <row r="91" customFormat="1" s="480">
      <c r="A91" s="480">
        <f>CONCATENATE(B91,C91)</f>
        <v/>
      </c>
      <c r="B91" s="480" t="inlineStr">
        <is>
          <t>Eastern Africa</t>
        </is>
      </c>
      <c r="C91" s="4432">
        <f>C73</f>
        <v/>
      </c>
      <c r="D91" s="483">
        <f>VLOOKUP(B91, [2]list_region_country!$B$3:$D$20, 3, FALSE)</f>
        <v/>
      </c>
      <c r="E91" s="483">
        <f>CONCATENATE(D91,C91)</f>
        <v/>
      </c>
      <c r="L91" s="480">
        <f>AVERAGEIF(L74:L90,"&gt;0")</f>
        <v/>
      </c>
      <c r="BK91" s="4435" t="n"/>
      <c r="BL91" s="4435" t="n"/>
      <c r="BM91" s="4435" t="n"/>
      <c r="BN91" s="4435" t="n"/>
    </row>
    <row r="92">
      <c r="A92">
        <f>CONCATENATE(B92,C92)</f>
        <v/>
      </c>
      <c r="B92" t="inlineStr">
        <is>
          <t>Eastern Asia</t>
        </is>
      </c>
      <c r="C92" s="206" t="inlineStr">
        <is>
          <t>Cereals,Total</t>
        </is>
      </c>
      <c r="D92" s="206">
        <f>VLOOKUP(B92, [2]list_region_country!$B$3:$D$20, 3, FALSE)</f>
        <v/>
      </c>
      <c r="E92" s="206">
        <f>CONCATENATE(D92,C92)</f>
        <v/>
      </c>
      <c r="F92" t="n">
        <v>59891</v>
      </c>
      <c r="G92" t="n">
        <v>60806</v>
      </c>
      <c r="H92" t="n">
        <v>60924</v>
      </c>
      <c r="I92" t="n">
        <v>62343</v>
      </c>
      <c r="J92" t="n">
        <v>62370</v>
      </c>
      <c r="L92">
        <f>AVERAGE(F92:J92)/10000</f>
        <v/>
      </c>
      <c r="BK92" s="58" t="n"/>
      <c r="BL92" s="58" t="n"/>
      <c r="BM92" s="58" t="n"/>
      <c r="BN92" s="58" t="n"/>
    </row>
    <row r="93">
      <c r="A93">
        <f>CONCATENATE(B93,C93)</f>
        <v/>
      </c>
      <c r="B93" t="inlineStr">
        <is>
          <t>Eastern Asia</t>
        </is>
      </c>
      <c r="C93" s="207" t="inlineStr">
        <is>
          <t>Pulses,Total</t>
        </is>
      </c>
      <c r="D93" s="206">
        <f>VLOOKUP(B93, [2]list_region_country!$B$3:$D$20, 3, FALSE)</f>
        <v/>
      </c>
      <c r="E93" s="206">
        <f>CONCATENATE(D93,C93)</f>
        <v/>
      </c>
      <c r="F93" t="n">
        <v>16197</v>
      </c>
      <c r="G93" t="n">
        <v>17393</v>
      </c>
      <c r="H93" t="n">
        <v>17057</v>
      </c>
      <c r="I93" t="n">
        <v>16890</v>
      </c>
      <c r="J93" t="n">
        <v>16997</v>
      </c>
      <c r="L93">
        <f>AVERAGE(F93:J93)/10000</f>
        <v/>
      </c>
      <c r="BK93" s="58" t="n"/>
      <c r="BL93" s="58" t="n"/>
      <c r="BM93" s="58" t="n"/>
      <c r="BN93" s="58" t="n"/>
    </row>
    <row r="94">
      <c r="A94">
        <f>CONCATENATE(B94,C94)</f>
        <v/>
      </c>
      <c r="B94" t="inlineStr">
        <is>
          <t>Eastern Asia</t>
        </is>
      </c>
      <c r="C94" s="207" t="inlineStr">
        <is>
          <t>Roots and Tubers,Total</t>
        </is>
      </c>
      <c r="D94" s="206">
        <f>VLOOKUP(B94, [2]list_region_country!$B$3:$D$20, 3, FALSE)</f>
        <v/>
      </c>
      <c r="E94" s="206">
        <f>CONCATENATE(D94,C94)</f>
        <v/>
      </c>
      <c r="F94" t="n">
        <v>185164</v>
      </c>
      <c r="G94" t="n">
        <v>191443</v>
      </c>
      <c r="H94" t="n">
        <v>196463</v>
      </c>
      <c r="I94" t="n">
        <v>195402</v>
      </c>
      <c r="J94" t="n">
        <v>193037</v>
      </c>
      <c r="L94">
        <f>AVERAGE(F94:J94)/10000</f>
        <v/>
      </c>
      <c r="BK94" s="58" t="n"/>
      <c r="BL94" s="58" t="n"/>
      <c r="BM94" s="58" t="n"/>
      <c r="BN94" s="58" t="n"/>
    </row>
    <row r="95">
      <c r="A95">
        <f>CONCATENATE(B95,C95)</f>
        <v/>
      </c>
      <c r="B95" t="inlineStr">
        <is>
          <t>Eastern Asia</t>
        </is>
      </c>
      <c r="C95" s="206" t="inlineStr">
        <is>
          <t>Barley</t>
        </is>
      </c>
      <c r="D95" s="206">
        <f>VLOOKUP(B95, [2]list_region_country!$B$3:$D$20, 3, FALSE)</f>
        <v/>
      </c>
      <c r="E95" s="206">
        <f>CONCATENATE(D95,C95)</f>
        <v/>
      </c>
      <c r="F95" t="n">
        <v>33743</v>
      </c>
      <c r="G95" t="n">
        <v>30794</v>
      </c>
      <c r="H95" t="n">
        <v>31758</v>
      </c>
      <c r="I95" t="n">
        <v>31934</v>
      </c>
      <c r="J95" t="n">
        <v>30820</v>
      </c>
      <c r="L95">
        <f>AVERAGE(F95:J95)/10000</f>
        <v/>
      </c>
      <c r="BK95" s="58" t="n"/>
      <c r="BL95" s="58" t="n"/>
      <c r="BM95" s="58" t="n"/>
      <c r="BN95" s="58" t="n"/>
    </row>
    <row r="96">
      <c r="A96">
        <f>CONCATENATE(B96,C96)</f>
        <v/>
      </c>
      <c r="B96" t="inlineStr">
        <is>
          <t>Eastern Asia</t>
        </is>
      </c>
      <c r="C96" s="207" t="inlineStr">
        <is>
          <t>Maize</t>
        </is>
      </c>
      <c r="D96" s="206">
        <f>VLOOKUP(B96, [2]list_region_country!$B$3:$D$20, 3, FALSE)</f>
        <v/>
      </c>
      <c r="E96" s="206">
        <f>CONCATENATE(D96,C96)</f>
        <v/>
      </c>
      <c r="F96" t="n">
        <v>59428</v>
      </c>
      <c r="G96" t="n">
        <v>60885</v>
      </c>
      <c r="H96" t="n">
        <v>60751</v>
      </c>
      <c r="I96" t="n">
        <v>62944</v>
      </c>
      <c r="J96" t="n">
        <v>62826</v>
      </c>
      <c r="L96">
        <f>AVERAGE(F96:J96)/10000</f>
        <v/>
      </c>
      <c r="BK96" s="58" t="n"/>
      <c r="BL96" s="58" t="n"/>
      <c r="BM96" s="58" t="n"/>
      <c r="BN96" s="58" t="n"/>
    </row>
    <row r="97">
      <c r="A97">
        <f>CONCATENATE(B97,C97)</f>
        <v/>
      </c>
      <c r="B97" t="inlineStr">
        <is>
          <t>Eastern Asia</t>
        </is>
      </c>
      <c r="C97" s="207" t="inlineStr">
        <is>
          <t>Oats</t>
        </is>
      </c>
      <c r="D97" s="206">
        <f>VLOOKUP(B97, [2]list_region_country!$B$3:$D$20, 3, FALSE)</f>
        <v/>
      </c>
      <c r="E97" s="206">
        <f>CONCATENATE(D97,C97)</f>
        <v/>
      </c>
      <c r="F97" t="n">
        <v>30804</v>
      </c>
      <c r="G97" t="n">
        <v>30671</v>
      </c>
      <c r="H97" t="n">
        <v>30489</v>
      </c>
      <c r="I97" t="n">
        <v>30169</v>
      </c>
      <c r="J97" t="n">
        <v>29782</v>
      </c>
      <c r="L97">
        <f>AVERAGE(F97:J97)/10000</f>
        <v/>
      </c>
      <c r="BK97" s="58" t="n"/>
      <c r="BL97" s="58" t="n"/>
      <c r="BM97" s="58" t="n"/>
      <c r="BN97" s="58" t="n"/>
    </row>
    <row r="98">
      <c r="A98">
        <f>CONCATENATE(B98,C98)</f>
        <v/>
      </c>
      <c r="B98" t="inlineStr">
        <is>
          <t>Eastern Asia</t>
        </is>
      </c>
      <c r="C98" s="207" t="inlineStr">
        <is>
          <t>Potatoes</t>
        </is>
      </c>
      <c r="D98" s="206">
        <f>VLOOKUP(B98, [2]list_region_country!$B$3:$D$20, 3, FALSE)</f>
        <v/>
      </c>
      <c r="E98" s="206">
        <f>CONCATENATE(D98,C98)</f>
        <v/>
      </c>
      <c r="F98" t="n">
        <v>174396</v>
      </c>
      <c r="G98" t="n">
        <v>179190</v>
      </c>
      <c r="H98" t="n">
        <v>186130</v>
      </c>
      <c r="I98" t="n">
        <v>185056</v>
      </c>
      <c r="J98" t="n">
        <v>183032</v>
      </c>
      <c r="L98">
        <f>AVERAGE(F98:J98)/10000</f>
        <v/>
      </c>
      <c r="BK98" s="58" t="n"/>
      <c r="BL98" s="58" t="n"/>
      <c r="BM98" s="58" t="n"/>
      <c r="BN98" s="58" t="n"/>
    </row>
    <row r="99">
      <c r="A99">
        <f>CONCATENATE(B99,C99)</f>
        <v/>
      </c>
      <c r="B99" t="inlineStr">
        <is>
          <t>Eastern Asia</t>
        </is>
      </c>
      <c r="C99" s="207" t="inlineStr">
        <is>
          <t>Soybeans</t>
        </is>
      </c>
      <c r="D99" s="206">
        <f>VLOOKUP(B99, [2]list_region_country!$B$3:$D$20, 3, FALSE)</f>
        <v/>
      </c>
      <c r="E99" s="206">
        <f>CONCATENATE(D99,C99)</f>
        <v/>
      </c>
      <c r="F99" t="n">
        <v>17924</v>
      </c>
      <c r="G99" t="n">
        <v>18443</v>
      </c>
      <c r="H99" t="n">
        <v>18816</v>
      </c>
      <c r="I99" t="n">
        <v>19349</v>
      </c>
      <c r="J99" t="n">
        <v>19682</v>
      </c>
      <c r="L99">
        <f>AVERAGE(F99:J99)/10000</f>
        <v/>
      </c>
      <c r="BK99" s="58" t="n"/>
      <c r="BL99" s="58" t="n"/>
      <c r="BM99" s="58" t="n"/>
      <c r="BN99" s="58" t="n"/>
    </row>
    <row r="100">
      <c r="A100">
        <f>CONCATENATE(B100,C100)</f>
        <v/>
      </c>
      <c r="B100" t="inlineStr">
        <is>
          <t>Eastern Asia</t>
        </is>
      </c>
      <c r="C100" s="206" t="inlineStr">
        <is>
          <t>Wheat</t>
        </is>
      </c>
      <c r="D100" s="206">
        <f>VLOOKUP(B100, [2]list_region_country!$B$3:$D$20, 3, FALSE)</f>
        <v/>
      </c>
      <c r="E100" s="206">
        <f>CONCATENATE(D100,C100)</f>
        <v/>
      </c>
      <c r="F100" t="n">
        <v>53185</v>
      </c>
      <c r="G100" t="n">
        <v>54166</v>
      </c>
      <c r="H100" t="n">
        <v>53441</v>
      </c>
      <c r="I100" t="n">
        <v>55520</v>
      </c>
      <c r="J100" t="n">
        <v>56545</v>
      </c>
      <c r="L100">
        <f>AVERAGE(F100:J100)/10000</f>
        <v/>
      </c>
      <c r="BK100" s="58" t="n"/>
      <c r="BL100" s="58" t="n"/>
      <c r="BM100" s="58" t="n"/>
      <c r="BN100" s="58" t="n"/>
    </row>
    <row r="101">
      <c r="A101">
        <f>CONCATENATE(B101,C101)</f>
        <v/>
      </c>
      <c r="B101" t="inlineStr">
        <is>
          <t>Eastern Asia</t>
        </is>
      </c>
      <c r="C101" s="207" t="inlineStr">
        <is>
          <t>Millet</t>
        </is>
      </c>
      <c r="D101" s="206">
        <f>VLOOKUP(B101, [2]list_region_country!$B$3:$D$20, 3, FALSE)</f>
        <v/>
      </c>
      <c r="E101" s="206">
        <f>CONCATENATE(D101,C101)</f>
        <v/>
      </c>
      <c r="F101" t="n">
        <v>23590</v>
      </c>
      <c r="G101" t="n">
        <v>28108</v>
      </c>
      <c r="H101" t="n">
        <v>28442</v>
      </c>
      <c r="I101" t="n">
        <v>24447</v>
      </c>
      <c r="J101" t="n">
        <v>24429</v>
      </c>
      <c r="L101">
        <f>AVERAGE(F101:J101)/10000</f>
        <v/>
      </c>
      <c r="BK101" s="58" t="n"/>
      <c r="BL101" s="58" t="n"/>
      <c r="BM101" s="58" t="n"/>
      <c r="BN101" s="58" t="n"/>
    </row>
    <row r="102">
      <c r="A102">
        <f>CONCATENATE(B102,C102)</f>
        <v/>
      </c>
      <c r="B102" t="inlineStr">
        <is>
          <t>Eastern Asia</t>
        </is>
      </c>
      <c r="C102" s="206" t="inlineStr">
        <is>
          <t>Sorghum</t>
        </is>
      </c>
      <c r="D102" s="206">
        <f>VLOOKUP(B102, [2]list_region_country!$B$3:$D$20, 3, FALSE)</f>
        <v/>
      </c>
      <c r="E102" s="206">
        <f>CONCATENATE(D102,C102)</f>
        <v/>
      </c>
      <c r="F102" t="n">
        <v>44142</v>
      </c>
      <c r="G102" t="n">
        <v>46665</v>
      </c>
      <c r="H102" t="n">
        <v>45476</v>
      </c>
      <c r="I102" t="n">
        <v>46643</v>
      </c>
      <c r="J102" t="n">
        <v>47219</v>
      </c>
      <c r="L102">
        <f>AVERAGE(F102:J102)/10000</f>
        <v/>
      </c>
      <c r="BK102" s="58" t="n"/>
      <c r="BL102" s="58" t="n"/>
      <c r="BM102" s="58" t="n"/>
      <c r="BN102" s="58" t="n"/>
    </row>
    <row r="103">
      <c r="A103">
        <f>CONCATENATE(B103,C103)</f>
        <v/>
      </c>
      <c r="B103" t="inlineStr">
        <is>
          <t>Eastern Asia</t>
        </is>
      </c>
      <c r="C103" s="4431" t="inlineStr">
        <is>
          <t>Rice, paddy</t>
        </is>
      </c>
      <c r="D103" s="206">
        <f>VLOOKUP(B103, [2]list_region_country!$B$3:$D$20, 3, FALSE)</f>
        <v/>
      </c>
      <c r="E103" s="206">
        <f>CONCATENATE(D103,C103)</f>
        <v/>
      </c>
      <c r="F103" t="n">
        <v>68498</v>
      </c>
      <c r="G103" t="n">
        <v>68880</v>
      </c>
      <c r="H103" t="n">
        <v>69996</v>
      </c>
      <c r="I103" t="n">
        <v>70421</v>
      </c>
      <c r="J103" t="n">
        <v>69739</v>
      </c>
      <c r="L103">
        <f>AVERAGE(F103:J103)/10000</f>
        <v/>
      </c>
      <c r="BK103" s="58" t="n"/>
      <c r="BL103" s="58" t="n"/>
      <c r="BM103" s="58" t="n"/>
      <c r="BN103" s="58" t="n"/>
    </row>
    <row r="104">
      <c r="A104">
        <f>CONCATENATE(B104,C104)</f>
        <v/>
      </c>
      <c r="B104" t="inlineStr">
        <is>
          <t>Eastern Asia</t>
        </is>
      </c>
      <c r="C104" s="206" t="inlineStr">
        <is>
          <t>Rye</t>
        </is>
      </c>
      <c r="D104" s="206">
        <f>VLOOKUP(B104, [2]list_region_country!$B$3:$D$20, 3, FALSE)</f>
        <v/>
      </c>
      <c r="E104" s="206">
        <f>CONCATENATE(D104,C104)</f>
        <v/>
      </c>
      <c r="F104" t="n">
        <v>27362</v>
      </c>
      <c r="G104" t="n">
        <v>26686</v>
      </c>
      <c r="H104" t="n">
        <v>26900</v>
      </c>
      <c r="I104" t="n">
        <v>26985</v>
      </c>
      <c r="J104" t="n">
        <v>26857</v>
      </c>
      <c r="L104">
        <f>AVERAGE(F104:J104)/10000</f>
        <v/>
      </c>
      <c r="BK104" s="58" t="n"/>
      <c r="BL104" s="58" t="n"/>
      <c r="BM104" s="58" t="n"/>
      <c r="BN104" s="58" t="n"/>
    </row>
    <row r="105">
      <c r="A105">
        <f>CONCATENATE(B105,C105)</f>
        <v/>
      </c>
      <c r="B105" t="inlineStr">
        <is>
          <t>Eastern Asia</t>
        </is>
      </c>
      <c r="C105" s="206" t="inlineStr">
        <is>
          <t>Groundnuts, with shell</t>
        </is>
      </c>
      <c r="D105" s="206">
        <f>VLOOKUP(B105, [2]list_region_country!$B$3:$D$20, 3, FALSE)</f>
        <v/>
      </c>
      <c r="E105" s="206">
        <f>CONCATENATE(D105,C105)</f>
        <v/>
      </c>
      <c r="F105" t="n">
        <v>36714</v>
      </c>
      <c r="G105" t="n">
        <v>37031</v>
      </c>
      <c r="H105" t="n">
        <v>37448</v>
      </c>
      <c r="I105" t="n">
        <v>37828</v>
      </c>
      <c r="J105" t="n">
        <v>39030</v>
      </c>
      <c r="L105">
        <f>AVERAGE(F105:J105)/10000</f>
        <v/>
      </c>
      <c r="BK105" s="58" t="n"/>
      <c r="BL105" s="58" t="n"/>
      <c r="BM105" s="58" t="n"/>
      <c r="BN105" s="58" t="n"/>
    </row>
    <row r="106">
      <c r="A106">
        <f>CONCATENATE(B106,C106)</f>
        <v/>
      </c>
      <c r="B106" t="inlineStr">
        <is>
          <t>Eastern Asia</t>
        </is>
      </c>
      <c r="C106" s="206" t="inlineStr">
        <is>
          <t>Beans, dry</t>
        </is>
      </c>
      <c r="D106" s="206">
        <f>VLOOKUP(B106, [2]list_region_country!$B$3:$D$20, 3, FALSE)</f>
        <v/>
      </c>
      <c r="E106" s="206">
        <f>CONCATENATE(D106,C106)</f>
        <v/>
      </c>
      <c r="F106" t="n">
        <v>13792</v>
      </c>
      <c r="G106" t="n">
        <v>14890</v>
      </c>
      <c r="H106" t="n">
        <v>14726</v>
      </c>
      <c r="I106" t="n">
        <v>14804</v>
      </c>
      <c r="J106" t="n">
        <v>14618</v>
      </c>
      <c r="L106">
        <f>AVERAGE(F106:J106)/10000</f>
        <v/>
      </c>
      <c r="BK106" s="58" t="n"/>
      <c r="BL106" s="58" t="n"/>
      <c r="BM106" s="58" t="n"/>
      <c r="BN106" s="58" t="n"/>
    </row>
    <row r="107">
      <c r="A107">
        <f>CONCATENATE(B107,C107)</f>
        <v/>
      </c>
      <c r="B107" t="inlineStr">
        <is>
          <t>Eastern Asia</t>
        </is>
      </c>
      <c r="C107" s="207" t="inlineStr">
        <is>
          <t>Vegetables</t>
        </is>
      </c>
      <c r="D107" s="206">
        <f>VLOOKUP(B107, [2]list_region_country!$B$3:$D$20, 3, FALSE)</f>
        <v/>
      </c>
      <c r="E107" s="206">
        <f>CONCATENATE(D107,C107)</f>
        <v/>
      </c>
      <c r="F107" t="n">
        <v>243880</v>
      </c>
      <c r="G107" t="n">
        <v>248954</v>
      </c>
      <c r="H107" t="n">
        <v>249319</v>
      </c>
      <c r="I107" t="n">
        <v>252798</v>
      </c>
      <c r="J107" t="n">
        <v>255613</v>
      </c>
      <c r="L107">
        <f>AVERAGE(F107:J107)/10000</f>
        <v/>
      </c>
      <c r="BK107" s="58" t="n"/>
      <c r="BL107" s="58" t="n"/>
      <c r="BM107" s="58" t="n"/>
      <c r="BN107" s="58" t="n"/>
    </row>
    <row r="108">
      <c r="A108">
        <f>CONCATENATE(B108,C108)</f>
        <v/>
      </c>
      <c r="B108" t="inlineStr">
        <is>
          <t>Eastern Asia</t>
        </is>
      </c>
      <c r="C108" s="207" t="inlineStr">
        <is>
          <t>Oilseeds</t>
        </is>
      </c>
      <c r="D108" s="206">
        <f>VLOOKUP(B108, [2]list_region_country!$B$3:$D$20, 3, FALSE)</f>
        <v/>
      </c>
      <c r="E108" s="206">
        <f>CONCATENATE(D108,C108)</f>
        <v/>
      </c>
      <c r="F108" t="n">
        <v>21495.77777777778</v>
      </c>
      <c r="G108" t="n">
        <v>20439.11111111111</v>
      </c>
      <c r="H108" t="n">
        <v>22847.55555555555</v>
      </c>
      <c r="I108" t="n">
        <v>24457.22222222222</v>
      </c>
      <c r="J108" t="n">
        <v>26876.55555555555</v>
      </c>
      <c r="L108">
        <f>AVERAGE(F108:J108)/10000</f>
        <v/>
      </c>
      <c r="BK108" s="58" t="n"/>
      <c r="BL108" s="58" t="n"/>
      <c r="BM108" s="58" t="n"/>
      <c r="BN108" s="58" t="n"/>
    </row>
    <row r="109" customFormat="1" s="1011">
      <c r="A109" s="1011">
        <f>CONCATENATE(B109,C109)</f>
        <v/>
      </c>
      <c r="B109" s="1011" t="inlineStr">
        <is>
          <t>Eastern Asia</t>
        </is>
      </c>
      <c r="C109" s="4432">
        <f>C91</f>
        <v/>
      </c>
      <c r="D109" s="4433">
        <f>VLOOKUP(B109, [2]list_region_country!$B$3:$D$20, 3, FALSE)</f>
        <v/>
      </c>
      <c r="E109" s="4433">
        <f>CONCATENATE(D109,C109)</f>
        <v/>
      </c>
      <c r="L109" s="1011">
        <f>AVERAGEIF(L92:L108,"&gt;0")</f>
        <v/>
      </c>
      <c r="BK109" s="4436" t="n"/>
      <c r="BL109" s="4436" t="n"/>
      <c r="BM109" s="4436" t="n"/>
      <c r="BN109" s="4436" t="n"/>
    </row>
    <row r="110">
      <c r="A110">
        <f>CONCATENATE(B110,C110)</f>
        <v/>
      </c>
      <c r="B110" t="inlineStr">
        <is>
          <t>Europe</t>
        </is>
      </c>
      <c r="C110" s="206" t="inlineStr">
        <is>
          <t>Cereals,Total</t>
        </is>
      </c>
      <c r="D110" s="206">
        <f>VLOOKUP(B110, [2]list_region_country!$B$3:$D$20, 3, FALSE)</f>
        <v/>
      </c>
      <c r="E110" s="206">
        <f>CONCATENATE(D110,C110)</f>
        <v/>
      </c>
      <c r="F110" t="n">
        <v>42073</v>
      </c>
      <c r="G110" t="n">
        <v>43871</v>
      </c>
      <c r="H110" t="n">
        <v>42426</v>
      </c>
      <c r="I110" t="n">
        <v>44843</v>
      </c>
      <c r="J110" t="n">
        <v>43458</v>
      </c>
      <c r="L110">
        <f>AVERAGE(F110:J110)/10000</f>
        <v/>
      </c>
      <c r="BK110" s="58" t="n"/>
      <c r="BL110" s="58" t="n"/>
      <c r="BM110" s="58" t="n"/>
      <c r="BN110" s="58" t="n"/>
    </row>
    <row r="111">
      <c r="A111">
        <f>CONCATENATE(B111,C111)</f>
        <v/>
      </c>
      <c r="B111" t="inlineStr">
        <is>
          <t>Europe</t>
        </is>
      </c>
      <c r="C111" s="207" t="inlineStr">
        <is>
          <t>Pulses,Total</t>
        </is>
      </c>
      <c r="D111" s="206">
        <f>VLOOKUP(B111, [2]list_region_country!$B$3:$D$20, 3, FALSE)</f>
        <v/>
      </c>
      <c r="E111" s="206">
        <f>CONCATENATE(D111,C111)</f>
        <v/>
      </c>
      <c r="F111" t="n">
        <v>21617</v>
      </c>
      <c r="G111" t="n">
        <v>22655</v>
      </c>
      <c r="H111" t="n">
        <v>16508</v>
      </c>
      <c r="I111" t="n">
        <v>19205</v>
      </c>
      <c r="J111" t="n">
        <v>20582</v>
      </c>
      <c r="L111">
        <f>AVERAGE(F111:J111)/10000</f>
        <v/>
      </c>
      <c r="BK111" s="58" t="n"/>
      <c r="BL111" s="58" t="n"/>
      <c r="BM111" s="58" t="n"/>
      <c r="BN111" s="58" t="n"/>
    </row>
    <row r="112">
      <c r="A112">
        <f>CONCATENATE(B112,C112)</f>
        <v/>
      </c>
      <c r="B112" t="inlineStr">
        <is>
          <t>Europe</t>
        </is>
      </c>
      <c r="C112" s="207" t="inlineStr">
        <is>
          <t>Roots and Tubers,Total</t>
        </is>
      </c>
      <c r="D112" s="206">
        <f>VLOOKUP(B112, [2]list_region_country!$B$3:$D$20, 3, FALSE)</f>
        <v/>
      </c>
      <c r="E112" s="206">
        <f>CONCATENATE(D112,C112)</f>
        <v/>
      </c>
      <c r="F112" t="n">
        <v>223130</v>
      </c>
      <c r="G112" t="n">
        <v>237712</v>
      </c>
      <c r="H112" t="n">
        <v>221402</v>
      </c>
      <c r="I112" t="n">
        <v>228555</v>
      </c>
      <c r="J112" t="n">
        <v>235579</v>
      </c>
      <c r="L112">
        <f>AVERAGE(F112:J112)/10000</f>
        <v/>
      </c>
      <c r="BK112" s="58" t="n"/>
      <c r="BL112" s="58" t="n"/>
      <c r="BM112" s="58" t="n"/>
      <c r="BN112" s="58" t="n"/>
    </row>
    <row r="113">
      <c r="A113">
        <f>CONCATENATE(B113,C113)</f>
        <v/>
      </c>
      <c r="B113" t="inlineStr">
        <is>
          <t>Europe</t>
        </is>
      </c>
      <c r="C113" s="206" t="inlineStr">
        <is>
          <t>Barley</t>
        </is>
      </c>
      <c r="D113" s="206">
        <f>VLOOKUP(B113, [2]list_region_country!$B$3:$D$20, 3, FALSE)</f>
        <v/>
      </c>
      <c r="E113" s="206">
        <f>CONCATENATE(D113,C113)</f>
        <v/>
      </c>
      <c r="F113" t="n">
        <v>37401</v>
      </c>
      <c r="G113" t="n">
        <v>39044</v>
      </c>
      <c r="H113" t="n">
        <v>35517</v>
      </c>
      <c r="I113" t="n">
        <v>39486</v>
      </c>
      <c r="J113" t="n">
        <v>39577</v>
      </c>
      <c r="L113">
        <f>AVERAGE(F113:J113)/10000</f>
        <v/>
      </c>
      <c r="BK113" s="58" t="n"/>
      <c r="BL113" s="58" t="n"/>
      <c r="BM113" s="58" t="n"/>
      <c r="BN113" s="58" t="n"/>
    </row>
    <row r="114">
      <c r="A114">
        <f>CONCATENATE(B114,C114)</f>
        <v/>
      </c>
      <c r="B114" t="inlineStr">
        <is>
          <t>Europe</t>
        </is>
      </c>
      <c r="C114" s="207" t="inlineStr">
        <is>
          <t>Maize</t>
        </is>
      </c>
      <c r="D114" s="206">
        <f>VLOOKUP(B114, [2]list_region_country!$B$3:$D$20, 3, FALSE)</f>
        <v/>
      </c>
      <c r="E114" s="206">
        <f>CONCATENATE(D114,C114)</f>
        <v/>
      </c>
      <c r="F114" t="n">
        <v>67433</v>
      </c>
      <c r="G114" t="n">
        <v>63916</v>
      </c>
      <c r="H114" t="n">
        <v>75282</v>
      </c>
      <c r="I114" t="n">
        <v>72371</v>
      </c>
      <c r="J114" t="n">
        <v>63824</v>
      </c>
      <c r="L114">
        <f>AVERAGE(F114:J114)/10000</f>
        <v/>
      </c>
      <c r="BK114" s="58" t="n"/>
      <c r="BL114" s="58" t="n"/>
      <c r="BM114" s="58" t="n"/>
      <c r="BN114" s="58" t="n"/>
    </row>
    <row r="115">
      <c r="A115">
        <f>CONCATENATE(B115,C115)</f>
        <v/>
      </c>
      <c r="B115" t="inlineStr">
        <is>
          <t>Europe</t>
        </is>
      </c>
      <c r="C115" s="207" t="inlineStr">
        <is>
          <t>Oats</t>
        </is>
      </c>
      <c r="D115" s="206">
        <f>VLOOKUP(B115, [2]list_region_country!$B$3:$D$20, 3, FALSE)</f>
        <v/>
      </c>
      <c r="E115" s="206">
        <f>CONCATENATE(D115,C115)</f>
        <v/>
      </c>
      <c r="F115" t="n">
        <v>24667</v>
      </c>
      <c r="G115" t="n">
        <v>25466</v>
      </c>
      <c r="H115" t="n">
        <v>22842</v>
      </c>
      <c r="I115" t="n">
        <v>24995</v>
      </c>
      <c r="J115" t="n">
        <v>26974</v>
      </c>
      <c r="L115">
        <f>AVERAGE(F115:J115)/10000</f>
        <v/>
      </c>
      <c r="BK115" s="58" t="n"/>
      <c r="BL115" s="58" t="n"/>
      <c r="BM115" s="58" t="n"/>
      <c r="BN115" s="58" t="n"/>
    </row>
    <row r="116">
      <c r="A116">
        <f>CONCATENATE(B116,C116)</f>
        <v/>
      </c>
      <c r="B116" t="inlineStr">
        <is>
          <t>Europe</t>
        </is>
      </c>
      <c r="C116" s="207" t="inlineStr">
        <is>
          <t>Potatoes</t>
        </is>
      </c>
      <c r="D116" s="206">
        <f>VLOOKUP(B116, [2]list_region_country!$B$3:$D$20, 3, FALSE)</f>
        <v/>
      </c>
      <c r="E116" s="206">
        <f>CONCATENATE(D116,C116)</f>
        <v/>
      </c>
      <c r="F116" t="n">
        <v>223453</v>
      </c>
      <c r="G116" t="n">
        <v>238068</v>
      </c>
      <c r="H116" t="n">
        <v>221401</v>
      </c>
      <c r="I116" t="n">
        <v>228554</v>
      </c>
      <c r="J116" t="n">
        <v>235578</v>
      </c>
      <c r="L116">
        <f>AVERAGE(F116:J116)/10000</f>
        <v/>
      </c>
      <c r="BK116" s="58" t="n"/>
      <c r="BL116" s="58" t="n"/>
      <c r="BM116" s="58" t="n"/>
      <c r="BN116" s="58" t="n"/>
    </row>
    <row r="117">
      <c r="A117">
        <f>CONCATENATE(B117,C117)</f>
        <v/>
      </c>
      <c r="B117" t="inlineStr">
        <is>
          <t>Europe</t>
        </is>
      </c>
      <c r="C117" s="207" t="inlineStr">
        <is>
          <t>Soybeans</t>
        </is>
      </c>
      <c r="D117" s="206">
        <f>VLOOKUP(B117, [2]list_region_country!$B$3:$D$20, 3, FALSE)</f>
        <v/>
      </c>
      <c r="E117" s="206">
        <f>CONCATENATE(D117,C117)</f>
        <v/>
      </c>
      <c r="F117" t="n">
        <v>20936</v>
      </c>
      <c r="G117" t="n">
        <v>18613</v>
      </c>
      <c r="H117" t="n">
        <v>21435</v>
      </c>
      <c r="I117" t="n">
        <v>20944</v>
      </c>
      <c r="J117" t="n">
        <v>20072</v>
      </c>
      <c r="L117">
        <f>AVERAGE(F117:J117)/10000</f>
        <v/>
      </c>
      <c r="BK117" s="58" t="n"/>
      <c r="BL117" s="58" t="n"/>
      <c r="BM117" s="58" t="n"/>
      <c r="BN117" s="58" t="n"/>
    </row>
    <row r="118">
      <c r="A118">
        <f>CONCATENATE(B118,C118)</f>
        <v/>
      </c>
      <c r="B118" t="inlineStr">
        <is>
          <t>Europe</t>
        </is>
      </c>
      <c r="C118" s="206" t="inlineStr">
        <is>
          <t>Wheat</t>
        </is>
      </c>
      <c r="D118" s="206">
        <f>VLOOKUP(B118, [2]list_region_country!$B$3:$D$20, 3, FALSE)</f>
        <v/>
      </c>
      <c r="E118" s="206">
        <f>CONCATENATE(D118,C118)</f>
        <v/>
      </c>
      <c r="F118" t="n">
        <v>40290</v>
      </c>
      <c r="G118" t="n">
        <v>44018</v>
      </c>
      <c r="H118" t="n">
        <v>39956</v>
      </c>
      <c r="I118" t="n">
        <v>42659</v>
      </c>
      <c r="J118" t="n">
        <v>41370</v>
      </c>
      <c r="L118">
        <f>AVERAGE(F118:J118)/10000</f>
        <v/>
      </c>
      <c r="BK118" s="58" t="n"/>
      <c r="BL118" s="58" t="n"/>
      <c r="BM118" s="58" t="n"/>
      <c r="BN118" s="58" t="n"/>
    </row>
    <row r="119">
      <c r="A119">
        <f>CONCATENATE(B119,C119)</f>
        <v/>
      </c>
      <c r="B119" t="inlineStr">
        <is>
          <t>Europe</t>
        </is>
      </c>
      <c r="C119" s="207" t="inlineStr">
        <is>
          <t>Millet</t>
        </is>
      </c>
      <c r="D119" s="206">
        <f>VLOOKUP(B119, [2]list_region_country!$B$3:$D$20, 3, FALSE)</f>
        <v/>
      </c>
      <c r="E119" s="206">
        <f>CONCATENATE(D119,C119)</f>
        <v/>
      </c>
      <c r="F119" t="n">
        <v>16516</v>
      </c>
      <c r="G119" t="n">
        <v>14972</v>
      </c>
      <c r="H119" t="n">
        <v>12521</v>
      </c>
      <c r="I119" t="n">
        <v>13759</v>
      </c>
      <c r="J119" t="n">
        <v>12649</v>
      </c>
      <c r="L119">
        <f>AVERAGE(F119:J119)/10000</f>
        <v/>
      </c>
      <c r="BK119" s="58" t="n"/>
      <c r="BL119" s="58" t="n"/>
      <c r="BM119" s="58" t="n"/>
      <c r="BN119" s="58" t="n"/>
    </row>
    <row r="120">
      <c r="A120">
        <f>CONCATENATE(B120,C120)</f>
        <v/>
      </c>
      <c r="B120" t="inlineStr">
        <is>
          <t>Europe</t>
        </is>
      </c>
      <c r="C120" s="206" t="inlineStr">
        <is>
          <t>Sorghum</t>
        </is>
      </c>
      <c r="D120" s="206">
        <f>VLOOKUP(B120, [2]list_region_country!$B$3:$D$20, 3, FALSE)</f>
        <v/>
      </c>
      <c r="E120" s="206">
        <f>CONCATENATE(D120,C120)</f>
        <v/>
      </c>
      <c r="F120" t="n">
        <v>31583</v>
      </c>
      <c r="G120" t="n">
        <v>33604</v>
      </c>
      <c r="H120" t="n">
        <v>46148</v>
      </c>
      <c r="I120" t="n">
        <v>42478</v>
      </c>
      <c r="J120" t="n">
        <v>40561</v>
      </c>
      <c r="L120">
        <f>AVERAGE(F120:J120)/10000</f>
        <v/>
      </c>
      <c r="BK120" s="58" t="n"/>
      <c r="BL120" s="58" t="n"/>
      <c r="BM120" s="58" t="n"/>
      <c r="BN120" s="58" t="n"/>
    </row>
    <row r="121">
      <c r="A121">
        <f>CONCATENATE(B121,C121)</f>
        <v/>
      </c>
      <c r="B121" t="inlineStr">
        <is>
          <t>Europe</t>
        </is>
      </c>
      <c r="C121" s="4431" t="inlineStr">
        <is>
          <t>Rice, paddy</t>
        </is>
      </c>
      <c r="D121" s="206">
        <f>VLOOKUP(B121, [2]list_region_country!$B$3:$D$20, 3, FALSE)</f>
        <v/>
      </c>
      <c r="E121" s="206">
        <f>CONCATENATE(D121,C121)</f>
        <v/>
      </c>
      <c r="F121" t="n">
        <v>63596</v>
      </c>
      <c r="G121" t="n">
        <v>64460</v>
      </c>
      <c r="H121" t="n">
        <v>64694</v>
      </c>
      <c r="I121" t="n">
        <v>64646</v>
      </c>
      <c r="J121" t="n">
        <v>63766</v>
      </c>
      <c r="L121">
        <f>AVERAGE(F121:J121)/10000</f>
        <v/>
      </c>
      <c r="BK121" s="58" t="n"/>
      <c r="BL121" s="58" t="n"/>
      <c r="BM121" s="58" t="n"/>
      <c r="BN121" s="58" t="n"/>
    </row>
    <row r="122">
      <c r="A122">
        <f>CONCATENATE(B122,C122)</f>
        <v/>
      </c>
      <c r="B122" t="inlineStr">
        <is>
          <t>Europe</t>
        </is>
      </c>
      <c r="C122" s="206" t="inlineStr">
        <is>
          <t>Rye</t>
        </is>
      </c>
      <c r="D122" s="206">
        <f>VLOOKUP(B122, [2]list_region_country!$B$3:$D$20, 3, FALSE)</f>
        <v/>
      </c>
      <c r="E122" s="206">
        <f>CONCATENATE(D122,C122)</f>
        <v/>
      </c>
      <c r="F122" t="n">
        <v>30996</v>
      </c>
      <c r="G122" t="n">
        <v>31338</v>
      </c>
      <c r="H122" t="n">
        <v>27384</v>
      </c>
      <c r="I122" t="n">
        <v>31457</v>
      </c>
      <c r="J122" t="n">
        <v>35969</v>
      </c>
      <c r="L122">
        <f>AVERAGE(F122:J122)/10000</f>
        <v/>
      </c>
      <c r="BK122" s="58" t="n"/>
      <c r="BL122" s="58" t="n"/>
      <c r="BM122" s="58" t="n"/>
      <c r="BN122" s="58" t="n"/>
    </row>
    <row r="123">
      <c r="A123">
        <f>CONCATENATE(B123,C123)</f>
        <v/>
      </c>
      <c r="B123" t="inlineStr">
        <is>
          <t>Europe</t>
        </is>
      </c>
      <c r="C123" s="206" t="inlineStr">
        <is>
          <t>Groundnuts, with shell</t>
        </is>
      </c>
      <c r="D123" s="206">
        <f>VLOOKUP(B123, [2]list_region_country!$B$3:$D$20, 3, FALSE)</f>
        <v/>
      </c>
      <c r="E123" s="206">
        <f>CONCATENATE(D123,C123)</f>
        <v/>
      </c>
      <c r="F123" t="n">
        <v>26077</v>
      </c>
      <c r="G123" t="n">
        <v>27763</v>
      </c>
      <c r="L123">
        <f>AVERAGE(F123:J123)/10000</f>
        <v/>
      </c>
      <c r="BK123" s="58" t="n"/>
      <c r="BL123" s="58" t="n"/>
      <c r="BM123" s="58" t="n"/>
      <c r="BN123" s="58" t="n"/>
    </row>
    <row r="124">
      <c r="A124">
        <f>CONCATENATE(B124,C124)</f>
        <v/>
      </c>
      <c r="B124" t="inlineStr">
        <is>
          <t>Europe</t>
        </is>
      </c>
      <c r="C124" s="206" t="inlineStr">
        <is>
          <t>Beans, dry</t>
        </is>
      </c>
      <c r="D124" s="206">
        <f>VLOOKUP(B124, [2]list_region_country!$B$3:$D$20, 3, FALSE)</f>
        <v/>
      </c>
      <c r="E124" s="206">
        <f>CONCATENATE(D124,C124)</f>
        <v/>
      </c>
      <c r="F124" t="n">
        <v>22988</v>
      </c>
      <c r="G124" t="n">
        <v>24315</v>
      </c>
      <c r="H124" t="n">
        <v>18434</v>
      </c>
      <c r="I124" t="n">
        <v>18109</v>
      </c>
      <c r="J124" t="n">
        <v>20406</v>
      </c>
      <c r="L124">
        <f>AVERAGE(F124:J124)/10000</f>
        <v/>
      </c>
      <c r="BK124" s="58" t="n"/>
      <c r="BL124" s="58" t="n"/>
      <c r="BM124" s="58" t="n"/>
      <c r="BN124" s="58" t="n"/>
    </row>
    <row r="125">
      <c r="A125">
        <f>CONCATENATE(B125,C125)</f>
        <v/>
      </c>
      <c r="B125" t="inlineStr">
        <is>
          <t>Europe</t>
        </is>
      </c>
      <c r="C125" s="207" t="inlineStr">
        <is>
          <t>Vegetables</t>
        </is>
      </c>
      <c r="D125" s="206">
        <f>VLOOKUP(B125, [2]list_region_country!$B$3:$D$20, 3, FALSE)</f>
        <v/>
      </c>
      <c r="E125" s="206">
        <f>CONCATENATE(D125,C125)</f>
        <v/>
      </c>
      <c r="F125" t="n">
        <v>257501</v>
      </c>
      <c r="G125" t="n">
        <v>259275</v>
      </c>
      <c r="H125" t="n">
        <v>262560</v>
      </c>
      <c r="I125" t="n">
        <v>266562</v>
      </c>
      <c r="J125" t="n">
        <v>261510</v>
      </c>
      <c r="L125">
        <f>AVERAGE(F125:J125)/10000</f>
        <v/>
      </c>
      <c r="BK125" s="58" t="n"/>
      <c r="BL125" s="58" t="n"/>
      <c r="BM125" s="58" t="n"/>
      <c r="BN125" s="58" t="n"/>
    </row>
    <row r="126">
      <c r="A126">
        <f>CONCATENATE(B126,C126)</f>
        <v/>
      </c>
      <c r="B126" t="inlineStr">
        <is>
          <t>Europe</t>
        </is>
      </c>
      <c r="C126" s="207" t="inlineStr">
        <is>
          <t>Oilseeds</t>
        </is>
      </c>
      <c r="D126" s="206">
        <f>VLOOKUP(B126, [2]list_region_country!$B$3:$D$20, 3, FALSE)</f>
        <v/>
      </c>
      <c r="E126" s="206">
        <f>CONCATENATE(D126,C126)</f>
        <v/>
      </c>
      <c r="F126" t="n">
        <v>15179.36363636364</v>
      </c>
      <c r="G126" t="n">
        <v>15561.72727272727</v>
      </c>
      <c r="H126" t="n">
        <v>13403.22222222222</v>
      </c>
      <c r="I126" t="n">
        <v>14189.77777777778</v>
      </c>
      <c r="J126" t="n">
        <v>13582.11111111111</v>
      </c>
      <c r="L126">
        <f>AVERAGE(F126:J126)/10000</f>
        <v/>
      </c>
      <c r="BK126" s="58" t="n"/>
      <c r="BL126" s="58" t="n"/>
      <c r="BM126" s="58" t="n"/>
      <c r="BN126" s="58" t="n"/>
    </row>
    <row r="127" customFormat="1" s="480">
      <c r="A127" s="480">
        <f>CONCATENATE(B127,C127)</f>
        <v/>
      </c>
      <c r="B127" s="480" t="inlineStr">
        <is>
          <t>Europe</t>
        </is>
      </c>
      <c r="C127" s="4432">
        <f>C109</f>
        <v/>
      </c>
      <c r="D127" s="483">
        <f>VLOOKUP(B127, [2]list_region_country!$B$3:$D$20, 3, FALSE)</f>
        <v/>
      </c>
      <c r="E127" s="483">
        <f>CONCATENATE(D127,C127)</f>
        <v/>
      </c>
      <c r="L127" s="480">
        <f>AVERAGEIF(L110:L126,"&gt;0")</f>
        <v/>
      </c>
      <c r="BK127" s="4435" t="n"/>
      <c r="BL127" s="4435" t="n"/>
      <c r="BM127" s="4435" t="n"/>
      <c r="BN127" s="4435" t="n"/>
    </row>
    <row r="128">
      <c r="A128">
        <f>CONCATENATE(B128,C128)</f>
        <v/>
      </c>
      <c r="B128" t="inlineStr">
        <is>
          <t>Northern Africa</t>
        </is>
      </c>
      <c r="C128" s="206" t="inlineStr">
        <is>
          <t>Cereals,Total</t>
        </is>
      </c>
      <c r="D128" s="206">
        <f>VLOOKUP(B128, [2]list_region_country!$B$3:$D$20, 3, FALSE)</f>
        <v/>
      </c>
      <c r="E128" s="206">
        <f>CONCATENATE(D128,C128)</f>
        <v/>
      </c>
      <c r="F128" t="n">
        <v>16790</v>
      </c>
      <c r="G128" t="n">
        <v>19010</v>
      </c>
      <c r="H128" t="n">
        <v>18587</v>
      </c>
      <c r="I128" t="n">
        <v>18514</v>
      </c>
      <c r="J128" t="n">
        <v>16955</v>
      </c>
      <c r="L128">
        <f>AVERAGE(F128:J128)/10000</f>
        <v/>
      </c>
      <c r="BK128" s="58" t="n"/>
      <c r="BL128" s="58" t="n"/>
      <c r="BM128" s="58" t="n"/>
      <c r="BN128" s="58" t="n"/>
    </row>
    <row r="129">
      <c r="A129">
        <f>CONCATENATE(B129,C129)</f>
        <v/>
      </c>
      <c r="B129" t="inlineStr">
        <is>
          <t>Northern Africa</t>
        </is>
      </c>
      <c r="C129" s="207" t="inlineStr">
        <is>
          <t>Pulses,Total</t>
        </is>
      </c>
      <c r="D129" s="206">
        <f>VLOOKUP(B129, [2]list_region_country!$B$3:$D$20, 3, FALSE)</f>
        <v/>
      </c>
      <c r="E129" s="206">
        <f>CONCATENATE(D129,C129)</f>
        <v/>
      </c>
      <c r="G129" t="n">
        <v>13063</v>
      </c>
      <c r="H129" t="n">
        <v>13954</v>
      </c>
      <c r="I129" t="n">
        <v>11256</v>
      </c>
      <c r="J129" t="n">
        <v>7311</v>
      </c>
      <c r="L129">
        <f>AVERAGE(F129:J129)/10000</f>
        <v/>
      </c>
      <c r="BK129" s="58" t="n"/>
      <c r="BL129" s="58" t="n"/>
      <c r="BM129" s="58" t="n"/>
      <c r="BN129" s="58" t="n"/>
    </row>
    <row r="130">
      <c r="A130">
        <f>CONCATENATE(B130,C130)</f>
        <v/>
      </c>
      <c r="B130" t="inlineStr">
        <is>
          <t>Northern Africa</t>
        </is>
      </c>
      <c r="C130" s="207" t="inlineStr">
        <is>
          <t>Roots and Tubers,Total</t>
        </is>
      </c>
      <c r="D130" s="206">
        <f>VLOOKUP(B130, [2]list_region_country!$B$3:$D$20, 3, FALSE)</f>
        <v/>
      </c>
      <c r="E130" s="206">
        <f>CONCATENATE(D130,C130)</f>
        <v/>
      </c>
      <c r="F130" t="n">
        <v>224679</v>
      </c>
      <c r="G130" t="n">
        <v>231347</v>
      </c>
      <c r="H130" t="n">
        <v>234919</v>
      </c>
      <c r="I130" t="n">
        <v>240695</v>
      </c>
      <c r="J130" t="n">
        <v>234832</v>
      </c>
      <c r="L130">
        <f>AVERAGE(F130:J130)/10000</f>
        <v/>
      </c>
      <c r="BK130" s="58" t="n"/>
      <c r="BL130" s="58" t="n"/>
      <c r="BM130" s="58" t="n"/>
      <c r="BN130" s="58" t="n"/>
    </row>
    <row r="131">
      <c r="A131">
        <f>CONCATENATE(B131,C131)</f>
        <v/>
      </c>
      <c r="B131" t="inlineStr">
        <is>
          <t>Northern Africa</t>
        </is>
      </c>
      <c r="C131" s="206" t="inlineStr">
        <is>
          <t>Barley</t>
        </is>
      </c>
      <c r="D131" s="206">
        <f>VLOOKUP(B131, [2]list_region_country!$B$3:$D$20, 3, FALSE)</f>
        <v/>
      </c>
      <c r="E131" s="206">
        <f>CONCATENATE(D131,C131)</f>
        <v/>
      </c>
      <c r="F131" t="n">
        <v>6971</v>
      </c>
      <c r="G131" t="n">
        <v>10202</v>
      </c>
      <c r="H131" t="n">
        <v>15846</v>
      </c>
      <c r="I131" t="n">
        <v>13362</v>
      </c>
      <c r="J131" t="n">
        <v>7852</v>
      </c>
      <c r="L131">
        <f>AVERAGE(F131:J131)/10000</f>
        <v/>
      </c>
      <c r="BK131" s="58" t="n"/>
      <c r="BL131" s="58" t="n"/>
      <c r="BM131" s="58" t="n"/>
      <c r="BN131" s="58" t="n"/>
    </row>
    <row r="132">
      <c r="A132">
        <f>CONCATENATE(B132,C132)</f>
        <v/>
      </c>
      <c r="B132" t="inlineStr">
        <is>
          <t>Northern Africa</t>
        </is>
      </c>
      <c r="C132" s="207" t="inlineStr">
        <is>
          <t>Maize</t>
        </is>
      </c>
      <c r="D132" s="206">
        <f>VLOOKUP(B132, [2]list_region_country!$B$3:$D$20, 3, FALSE)</f>
        <v/>
      </c>
      <c r="E132" s="206">
        <f>CONCATENATE(D132,C132)</f>
        <v/>
      </c>
      <c r="F132" t="n">
        <v>66419</v>
      </c>
      <c r="G132" t="n">
        <v>69833</v>
      </c>
      <c r="H132" t="n">
        <v>61326</v>
      </c>
      <c r="I132" t="n">
        <v>47209</v>
      </c>
      <c r="J132" t="n">
        <v>48665</v>
      </c>
      <c r="L132">
        <f>AVERAGE(F132:J132)/10000</f>
        <v/>
      </c>
      <c r="BK132" s="58" t="n"/>
      <c r="BL132" s="58" t="n"/>
      <c r="BM132" s="58" t="n"/>
      <c r="BN132" s="58" t="n"/>
    </row>
    <row r="133">
      <c r="A133">
        <f>CONCATENATE(B133,C133)</f>
        <v/>
      </c>
      <c r="B133" t="inlineStr">
        <is>
          <t>Northern Africa</t>
        </is>
      </c>
      <c r="C133" s="207" t="inlineStr">
        <is>
          <t>Oats</t>
        </is>
      </c>
      <c r="D133" s="206">
        <f>VLOOKUP(B133, [2]list_region_country!$B$3:$D$20, 3, FALSE)</f>
        <v/>
      </c>
      <c r="E133" s="206">
        <f>CONCATENATE(D133,C133)</f>
        <v/>
      </c>
      <c r="F133" t="n">
        <v>8377</v>
      </c>
      <c r="G133" t="n">
        <v>8222</v>
      </c>
      <c r="H133" t="n">
        <v>14961</v>
      </c>
      <c r="I133" t="n">
        <v>11678</v>
      </c>
      <c r="J133" t="n">
        <v>9331</v>
      </c>
      <c r="L133">
        <f>AVERAGE(F133:J133)/10000</f>
        <v/>
      </c>
      <c r="BK133" s="58" t="n"/>
      <c r="BL133" s="58" t="n"/>
      <c r="BM133" s="58" t="n"/>
      <c r="BN133" s="58" t="n"/>
    </row>
    <row r="134">
      <c r="A134">
        <f>CONCATENATE(B134,C134)</f>
        <v/>
      </c>
      <c r="B134" t="inlineStr">
        <is>
          <t>Northern Africa</t>
        </is>
      </c>
      <c r="C134" s="207" t="inlineStr">
        <is>
          <t>Potatoes</t>
        </is>
      </c>
      <c r="D134" s="206">
        <f>VLOOKUP(B134, [2]list_region_country!$B$3:$D$20, 3, FALSE)</f>
        <v/>
      </c>
      <c r="E134" s="206">
        <f>CONCATENATE(D134,C134)</f>
        <v/>
      </c>
      <c r="F134" t="n">
        <v>263941</v>
      </c>
      <c r="G134" t="n">
        <v>272166</v>
      </c>
      <c r="H134" t="n">
        <v>276002</v>
      </c>
      <c r="I134" t="n">
        <v>281975</v>
      </c>
      <c r="J134" t="n">
        <v>275874</v>
      </c>
      <c r="L134">
        <f>AVERAGE(F134:J134)/10000</f>
        <v/>
      </c>
      <c r="BK134" s="58" t="n"/>
      <c r="BL134" s="58" t="n"/>
      <c r="BM134" s="58" t="n"/>
      <c r="BN134" s="58" t="n"/>
    </row>
    <row r="135">
      <c r="A135">
        <f>CONCATENATE(B135,C135)</f>
        <v/>
      </c>
      <c r="B135" t="inlineStr">
        <is>
          <t>Northern Africa</t>
        </is>
      </c>
      <c r="C135" s="207" t="inlineStr">
        <is>
          <t>Soybeans</t>
        </is>
      </c>
      <c r="D135" s="206">
        <f>VLOOKUP(B135, [2]list_region_country!$B$3:$D$20, 3, FALSE)</f>
        <v/>
      </c>
      <c r="E135" s="206">
        <f>CONCATENATE(D135,C135)</f>
        <v/>
      </c>
      <c r="F135" t="n">
        <v>31913</v>
      </c>
      <c r="G135" t="n">
        <v>27198</v>
      </c>
      <c r="H135" t="n">
        <v>28375</v>
      </c>
      <c r="I135" t="n">
        <v>28170</v>
      </c>
      <c r="J135" t="n">
        <v>28604</v>
      </c>
      <c r="L135">
        <f>AVERAGE(F135:J135)/10000</f>
        <v/>
      </c>
      <c r="BK135" s="58" t="n"/>
      <c r="BL135" s="58" t="n"/>
      <c r="BM135" s="58" t="n"/>
      <c r="BN135" s="58" t="n"/>
    </row>
    <row r="136">
      <c r="A136">
        <f>CONCATENATE(B136,C136)</f>
        <v/>
      </c>
      <c r="B136" t="inlineStr">
        <is>
          <t>Northern Africa</t>
        </is>
      </c>
      <c r="C136" s="206" t="inlineStr">
        <is>
          <t>Wheat</t>
        </is>
      </c>
      <c r="D136" s="206">
        <f>VLOOKUP(B136, [2]list_region_country!$B$3:$D$20, 3, FALSE)</f>
        <v/>
      </c>
      <c r="E136" s="206">
        <f>CONCATENATE(D136,C136)</f>
        <v/>
      </c>
      <c r="F136" t="n">
        <v>23506</v>
      </c>
      <c r="G136" t="n">
        <v>25327</v>
      </c>
      <c r="H136" t="n">
        <v>29696</v>
      </c>
      <c r="I136" t="n">
        <v>27120</v>
      </c>
      <c r="J136" t="n">
        <v>23174</v>
      </c>
      <c r="L136">
        <f>AVERAGE(F136:J136)/10000</f>
        <v/>
      </c>
      <c r="BK136" s="58" t="n"/>
      <c r="BL136" s="58" t="n"/>
      <c r="BM136" s="58" t="n"/>
      <c r="BN136" s="58" t="n"/>
    </row>
    <row r="137">
      <c r="A137">
        <f>CONCATENATE(B137,C137)</f>
        <v/>
      </c>
      <c r="B137" t="inlineStr">
        <is>
          <t>Northern Africa</t>
        </is>
      </c>
      <c r="C137" s="207" t="inlineStr">
        <is>
          <t>Millet</t>
        </is>
      </c>
      <c r="D137" s="206">
        <f>VLOOKUP(B137, [2]list_region_country!$B$3:$D$20, 3, FALSE)</f>
        <v/>
      </c>
      <c r="E137" s="206">
        <f>CONCATENATE(D137,C137)</f>
        <v/>
      </c>
      <c r="F137" t="n">
        <v>4845</v>
      </c>
      <c r="G137" t="n">
        <v>3530</v>
      </c>
      <c r="H137" t="n">
        <v>7071</v>
      </c>
      <c r="I137" t="n">
        <v>3785</v>
      </c>
      <c r="J137" t="n">
        <v>2041</v>
      </c>
      <c r="L137">
        <f>AVERAGE(F137:J137)/10000</f>
        <v/>
      </c>
      <c r="BK137" s="58" t="n"/>
      <c r="BL137" s="58" t="n"/>
      <c r="BM137" s="58" t="n"/>
      <c r="BN137" s="58" t="n"/>
    </row>
    <row r="138">
      <c r="A138">
        <f>CONCATENATE(B138,C138)</f>
        <v/>
      </c>
      <c r="B138" t="inlineStr">
        <is>
          <t>Northern Africa</t>
        </is>
      </c>
      <c r="C138" s="206" t="inlineStr">
        <is>
          <t>Sorghum</t>
        </is>
      </c>
      <c r="D138" s="206">
        <f>VLOOKUP(B138, [2]list_region_country!$B$3:$D$20, 3, FALSE)</f>
        <v/>
      </c>
      <c r="E138" s="206">
        <f>CONCATENATE(D138,C138)</f>
        <v/>
      </c>
      <c r="F138" t="n">
        <v>7735</v>
      </c>
      <c r="G138" t="n">
        <v>7495</v>
      </c>
      <c r="H138" t="n">
        <v>7613</v>
      </c>
      <c r="I138" t="n">
        <v>6410</v>
      </c>
      <c r="J138" t="n">
        <v>5504</v>
      </c>
      <c r="L138">
        <f>AVERAGE(F138:J138)/10000</f>
        <v/>
      </c>
      <c r="BK138" s="58" t="n"/>
      <c r="BL138" s="58" t="n"/>
      <c r="BM138" s="58" t="n"/>
      <c r="BN138" s="58" t="n"/>
    </row>
    <row r="139">
      <c r="A139">
        <f>CONCATENATE(B139,C139)</f>
        <v/>
      </c>
      <c r="B139" t="inlineStr">
        <is>
          <t>Northern Africa</t>
        </is>
      </c>
      <c r="C139" s="4431" t="inlineStr">
        <is>
          <t>Rice, paddy</t>
        </is>
      </c>
      <c r="D139" s="206">
        <f>VLOOKUP(B139, [2]list_region_country!$B$3:$D$20, 3, FALSE)</f>
        <v/>
      </c>
      <c r="E139" s="206">
        <f>CONCATENATE(D139,C139)</f>
        <v/>
      </c>
      <c r="F139" t="n">
        <v>92378</v>
      </c>
      <c r="G139" t="n">
        <v>88666</v>
      </c>
      <c r="H139" t="n">
        <v>84503</v>
      </c>
      <c r="I139" t="n">
        <v>86254</v>
      </c>
      <c r="J139" t="n">
        <v>86981</v>
      </c>
      <c r="L139">
        <f>AVERAGE(F139:J139)/10000</f>
        <v/>
      </c>
      <c r="BK139" s="58" t="n"/>
      <c r="BL139" s="58" t="n"/>
      <c r="BM139" s="58" t="n"/>
      <c r="BN139" s="58" t="n"/>
    </row>
    <row r="140">
      <c r="A140">
        <f>CONCATENATE(B140,C140)</f>
        <v/>
      </c>
      <c r="B140" t="inlineStr">
        <is>
          <t>Northern Africa</t>
        </is>
      </c>
      <c r="C140" s="206" t="inlineStr">
        <is>
          <t>Rye</t>
        </is>
      </c>
      <c r="D140" s="206">
        <f>VLOOKUP(B140, [2]list_region_country!$B$3:$D$20, 3, FALSE)</f>
        <v/>
      </c>
      <c r="E140" s="206">
        <f>CONCATENATE(D140,C140)</f>
        <v/>
      </c>
      <c r="F140" t="n">
        <v>19032</v>
      </c>
      <c r="G140" t="n">
        <v>18978</v>
      </c>
      <c r="H140" t="n">
        <v>18975</v>
      </c>
      <c r="I140" t="n">
        <v>18953</v>
      </c>
      <c r="J140" t="n">
        <v>18968</v>
      </c>
      <c r="L140">
        <f>AVERAGE(F140:J140)/10000</f>
        <v/>
      </c>
      <c r="BK140" s="58" t="n"/>
      <c r="BL140" s="58" t="n"/>
      <c r="BM140" s="58" t="n"/>
      <c r="BN140" s="58" t="n"/>
    </row>
    <row r="141">
      <c r="A141">
        <f>CONCATENATE(B141,C141)</f>
        <v/>
      </c>
      <c r="B141" t="inlineStr">
        <is>
          <t>Northern Africa</t>
        </is>
      </c>
      <c r="C141" s="206" t="inlineStr">
        <is>
          <t>Groundnuts, with shell</t>
        </is>
      </c>
      <c r="D141" s="206">
        <f>VLOOKUP(B141, [2]list_region_country!$B$3:$D$20, 3, FALSE)</f>
        <v/>
      </c>
      <c r="E141" s="206">
        <f>CONCATENATE(D141,C141)</f>
        <v/>
      </c>
      <c r="F141" t="n">
        <v>8690</v>
      </c>
      <c r="G141" t="n">
        <v>8466</v>
      </c>
      <c r="H141" t="n">
        <v>10010</v>
      </c>
      <c r="I141" t="n">
        <v>9614</v>
      </c>
      <c r="J141" t="n">
        <v>9280</v>
      </c>
      <c r="L141">
        <f>AVERAGE(F141:J141)/10000</f>
        <v/>
      </c>
      <c r="BK141" s="58" t="n"/>
      <c r="BL141" s="58" t="n"/>
      <c r="BM141" s="58" t="n"/>
      <c r="BN141" s="58" t="n"/>
    </row>
    <row r="142">
      <c r="A142">
        <f>CONCATENATE(B142,C142)</f>
        <v/>
      </c>
      <c r="B142" t="inlineStr">
        <is>
          <t>Northern Africa</t>
        </is>
      </c>
      <c r="C142" s="206" t="inlineStr">
        <is>
          <t>Beans, dry</t>
        </is>
      </c>
      <c r="D142" s="206">
        <f>VLOOKUP(B142, [2]list_region_country!$B$3:$D$20, 3, FALSE)</f>
        <v/>
      </c>
      <c r="E142" s="206">
        <f>CONCATENATE(D142,C142)</f>
        <v/>
      </c>
      <c r="F142" t="n">
        <v>24031</v>
      </c>
      <c r="G142" t="n">
        <v>25426</v>
      </c>
      <c r="H142" t="n">
        <v>51374</v>
      </c>
      <c r="I142" t="n">
        <v>45689</v>
      </c>
      <c r="J142" t="n">
        <v>37581</v>
      </c>
      <c r="L142">
        <f>AVERAGE(F142:J142)/10000</f>
        <v/>
      </c>
      <c r="BK142" s="58" t="n"/>
      <c r="BL142" s="58" t="n"/>
      <c r="BM142" s="58" t="n"/>
      <c r="BN142" s="58" t="n"/>
    </row>
    <row r="143">
      <c r="A143">
        <f>CONCATENATE(B143,C143)</f>
        <v/>
      </c>
      <c r="B143" t="inlineStr">
        <is>
          <t>Northern Africa</t>
        </is>
      </c>
      <c r="C143" s="206" t="inlineStr">
        <is>
          <t>Vegetables</t>
        </is>
      </c>
      <c r="D143" s="206">
        <f>VLOOKUP(B143, [2]list_region_country!$B$3:$D$20, 3, FALSE)</f>
        <v/>
      </c>
      <c r="E143" s="206">
        <f>CONCATENATE(D143,C143)</f>
        <v/>
      </c>
      <c r="F143" t="n">
        <v>220716</v>
      </c>
      <c r="G143" t="n">
        <v>223692</v>
      </c>
      <c r="H143" t="n">
        <v>223322</v>
      </c>
      <c r="I143" t="n">
        <v>227091</v>
      </c>
      <c r="J143" t="n">
        <v>226571</v>
      </c>
      <c r="L143">
        <f>AVERAGE(F143:J143)/10000</f>
        <v/>
      </c>
      <c r="BK143" s="58" t="n"/>
      <c r="BL143" s="58" t="n"/>
      <c r="BM143" s="58" t="n"/>
      <c r="BN143" s="58" t="n"/>
    </row>
    <row r="144">
      <c r="A144">
        <f>CONCATENATE(B144,C144)</f>
        <v/>
      </c>
      <c r="B144" t="inlineStr">
        <is>
          <t>Northern Africa</t>
        </is>
      </c>
      <c r="C144" s="206" t="inlineStr">
        <is>
          <t>Oilseeds</t>
        </is>
      </c>
      <c r="D144" s="206">
        <f>VLOOKUP(B144, [2]list_region_country!$B$3:$D$20, 3, FALSE)</f>
        <v/>
      </c>
      <c r="E144" s="206">
        <f>CONCATENATE(D144,C144)</f>
        <v/>
      </c>
      <c r="F144" t="n">
        <v>10565</v>
      </c>
      <c r="G144" t="n">
        <v>10720.28571428571</v>
      </c>
      <c r="H144" t="n">
        <v>10963.85714285714</v>
      </c>
      <c r="I144" t="n">
        <v>10350.28571428571</v>
      </c>
      <c r="J144" t="n">
        <v>10694.28571428571</v>
      </c>
      <c r="L144">
        <f>AVERAGE(F144:J144)/10000</f>
        <v/>
      </c>
      <c r="BK144" s="58" t="n"/>
      <c r="BL144" s="58" t="n"/>
      <c r="BM144" s="58" t="n"/>
      <c r="BN144" s="58" t="n"/>
    </row>
    <row r="145" customFormat="1" s="480">
      <c r="A145" s="480">
        <f>CONCATENATE(B145,C145)</f>
        <v/>
      </c>
      <c r="B145" s="480" t="inlineStr">
        <is>
          <t>Northern Africa</t>
        </is>
      </c>
      <c r="C145" s="4432">
        <f>C127</f>
        <v/>
      </c>
      <c r="D145" s="483">
        <f>VLOOKUP(B145, [2]list_region_country!$B$3:$D$20, 3, FALSE)</f>
        <v/>
      </c>
      <c r="E145" s="483">
        <f>CONCATENATE(D145,C145)</f>
        <v/>
      </c>
      <c r="L145" s="480">
        <f>AVERAGEIF(L128:L144,"&gt;0")</f>
        <v/>
      </c>
      <c r="BK145" s="4435" t="n"/>
      <c r="BL145" s="4435" t="n"/>
      <c r="BM145" s="4435" t="n"/>
      <c r="BN145" s="4435" t="n"/>
    </row>
    <row r="146">
      <c r="A146">
        <f>CONCATENATE(B146,C146)</f>
        <v/>
      </c>
      <c r="B146" t="inlineStr">
        <is>
          <t>Northern America</t>
        </is>
      </c>
      <c r="C146" s="206" t="inlineStr">
        <is>
          <t>Cereals,Total</t>
        </is>
      </c>
      <c r="D146" s="206">
        <f>VLOOKUP(B146, [2]list_region_country!$B$3:$D$20, 3, FALSE)</f>
        <v/>
      </c>
      <c r="E146" s="206">
        <f>CONCATENATE(D146,C146)</f>
        <v/>
      </c>
      <c r="F146" t="n">
        <v>77738</v>
      </c>
      <c r="G146" t="n">
        <v>74190</v>
      </c>
      <c r="H146" t="n">
        <v>72605</v>
      </c>
      <c r="I146" t="n">
        <v>71039</v>
      </c>
      <c r="J146" t="n">
        <v>72309</v>
      </c>
      <c r="L146">
        <f>AVERAGE(F146:J146)/10000</f>
        <v/>
      </c>
      <c r="BK146" s="58" t="n"/>
      <c r="BL146" s="58" t="n"/>
      <c r="BM146" s="58" t="n"/>
      <c r="BN146" s="58" t="n"/>
    </row>
    <row r="147">
      <c r="A147">
        <f>CONCATENATE(B147,C147)</f>
        <v/>
      </c>
      <c r="B147" t="inlineStr">
        <is>
          <t>Northern America</t>
        </is>
      </c>
      <c r="C147" s="207" t="inlineStr">
        <is>
          <t>Pulses,Total</t>
        </is>
      </c>
      <c r="D147" s="206">
        <f>VLOOKUP(B147, [2]list_region_country!$B$3:$D$20, 3, FALSE)</f>
        <v/>
      </c>
      <c r="E147" s="206">
        <f>CONCATENATE(D147,C147)</f>
        <v/>
      </c>
      <c r="F147" t="n">
        <v>20517</v>
      </c>
      <c r="G147" t="n">
        <v>18413</v>
      </c>
      <c r="H147" t="n">
        <v>19738</v>
      </c>
      <c r="I147" t="n">
        <v>20299</v>
      </c>
      <c r="J147" t="n">
        <v>22011</v>
      </c>
      <c r="L147">
        <f>AVERAGE(F147:J147)/10000</f>
        <v/>
      </c>
      <c r="BK147" s="58" t="n"/>
      <c r="BL147" s="58" t="n"/>
      <c r="BM147" s="58" t="n"/>
      <c r="BN147" s="58" t="n"/>
    </row>
    <row r="148">
      <c r="A148">
        <f>CONCATENATE(B148,C148)</f>
        <v/>
      </c>
      <c r="B148" t="inlineStr">
        <is>
          <t>Northern America</t>
        </is>
      </c>
      <c r="C148" s="207" t="inlineStr">
        <is>
          <t>Roots and Tubers,Total</t>
        </is>
      </c>
      <c r="D148" s="206">
        <f>VLOOKUP(B148, [2]list_region_country!$B$3:$D$20, 3, FALSE)</f>
        <v/>
      </c>
      <c r="E148" s="206">
        <f>CONCATENATE(D148,C148)</f>
        <v/>
      </c>
      <c r="F148" t="n">
        <v>435965</v>
      </c>
      <c r="G148" t="n">
        <v>439915</v>
      </c>
      <c r="H148" t="n">
        <v>445602</v>
      </c>
      <c r="I148" t="n">
        <v>454670</v>
      </c>
      <c r="J148" t="n">
        <v>444358</v>
      </c>
      <c r="L148">
        <f>AVERAGE(F148:J148)/10000</f>
        <v/>
      </c>
      <c r="BK148" s="58" t="n"/>
      <c r="BL148" s="58" t="n"/>
      <c r="BM148" s="58" t="n"/>
      <c r="BN148" s="58" t="n"/>
    </row>
    <row r="149">
      <c r="A149">
        <f>CONCATENATE(B149,C149)</f>
        <v/>
      </c>
      <c r="B149" t="inlineStr">
        <is>
          <t>Northern America</t>
        </is>
      </c>
      <c r="C149" s="206" t="inlineStr">
        <is>
          <t>Barley</t>
        </is>
      </c>
      <c r="D149" s="206">
        <f>VLOOKUP(B149, [2]list_region_country!$B$3:$D$20, 3, FALSE)</f>
        <v/>
      </c>
      <c r="E149" s="206">
        <f>CONCATENATE(D149,C149)</f>
        <v/>
      </c>
      <c r="F149" t="n">
        <v>39931</v>
      </c>
      <c r="G149" t="n">
        <v>37869</v>
      </c>
      <c r="H149" t="n">
        <v>36663</v>
      </c>
      <c r="I149" t="n">
        <v>38988</v>
      </c>
      <c r="J149" t="n">
        <v>39054</v>
      </c>
      <c r="L149">
        <f>AVERAGE(F149:J149)/10000</f>
        <v/>
      </c>
      <c r="BK149" s="58" t="n"/>
      <c r="BL149" s="58" t="n"/>
      <c r="BM149" s="58" t="n"/>
      <c r="BN149" s="58" t="n"/>
    </row>
    <row r="150">
      <c r="A150">
        <f>CONCATENATE(B150,C150)</f>
        <v/>
      </c>
      <c r="B150" t="inlineStr">
        <is>
          <t>Northern America</t>
        </is>
      </c>
      <c r="C150" s="207" t="inlineStr">
        <is>
          <t>Maize</t>
        </is>
      </c>
      <c r="D150" s="206">
        <f>VLOOKUP(B150, [2]list_region_country!$B$3:$D$20, 3, FALSE)</f>
        <v/>
      </c>
      <c r="E150" s="206">
        <f>CONCATENATE(D150,C150)</f>
        <v/>
      </c>
      <c r="F150" t="n">
        <v>116691</v>
      </c>
      <c r="G150" t="n">
        <v>110410</v>
      </c>
      <c r="H150" t="n">
        <v>110175</v>
      </c>
      <c r="I150" t="n">
        <v>104566</v>
      </c>
      <c r="J150" t="n">
        <v>107474</v>
      </c>
      <c r="L150">
        <f>AVERAGE(F150:J150)/10000</f>
        <v/>
      </c>
      <c r="BK150" s="58" t="n"/>
      <c r="BL150" s="58" t="n"/>
      <c r="BM150" s="58" t="n"/>
      <c r="BN150" s="58" t="n"/>
    </row>
    <row r="151">
      <c r="A151">
        <f>CONCATENATE(B151,C151)</f>
        <v/>
      </c>
      <c r="B151" t="inlineStr">
        <is>
          <t>Northern America</t>
        </is>
      </c>
      <c r="C151" s="207" t="inlineStr">
        <is>
          <t>Oats</t>
        </is>
      </c>
      <c r="D151" s="206">
        <f>VLOOKUP(B151, [2]list_region_country!$B$3:$D$20, 3, FALSE)</f>
        <v/>
      </c>
      <c r="E151" s="206">
        <f>CONCATENATE(D151,C151)</f>
        <v/>
      </c>
      <c r="F151" t="n">
        <v>31566</v>
      </c>
      <c r="G151" t="n">
        <v>32330</v>
      </c>
      <c r="H151" t="n">
        <v>31372</v>
      </c>
      <c r="I151" t="n">
        <v>33289</v>
      </c>
      <c r="J151" t="n">
        <v>32107</v>
      </c>
      <c r="L151">
        <f>AVERAGE(F151:J151)/10000</f>
        <v/>
      </c>
      <c r="BK151" s="58" t="n"/>
      <c r="BL151" s="58" t="n"/>
      <c r="BM151" s="58" t="n"/>
      <c r="BN151" s="58" t="n"/>
    </row>
    <row r="152">
      <c r="A152">
        <f>CONCATENATE(B152,C152)</f>
        <v/>
      </c>
      <c r="B152" t="inlineStr">
        <is>
          <t>Northern America</t>
        </is>
      </c>
      <c r="C152" s="207" t="inlineStr">
        <is>
          <t>Potatoes</t>
        </is>
      </c>
      <c r="D152" s="206">
        <f>VLOOKUP(B152, [2]list_region_country!$B$3:$D$20, 3, FALSE)</f>
        <v/>
      </c>
      <c r="E152" s="206">
        <f>CONCATENATE(D152,C152)</f>
        <v/>
      </c>
      <c r="F152" t="n">
        <v>462037</v>
      </c>
      <c r="G152" t="n">
        <v>461755</v>
      </c>
      <c r="H152" t="n">
        <v>470706</v>
      </c>
      <c r="I152" t="n">
        <v>475516</v>
      </c>
      <c r="J152" t="n">
        <v>469003</v>
      </c>
      <c r="L152">
        <f>AVERAGE(F152:J152)/10000</f>
        <v/>
      </c>
      <c r="BK152" s="58" t="n"/>
      <c r="BL152" s="58" t="n"/>
      <c r="BM152" s="58" t="n"/>
      <c r="BN152" s="58" t="n"/>
    </row>
    <row r="153">
      <c r="A153">
        <f>CONCATENATE(B153,C153)</f>
        <v/>
      </c>
      <c r="B153" t="inlineStr">
        <is>
          <t>Northern America</t>
        </is>
      </c>
      <c r="C153" s="207" t="inlineStr">
        <is>
          <t>Soybeans</t>
        </is>
      </c>
      <c r="D153" s="206">
        <f>VLOOKUP(B153, [2]list_region_country!$B$3:$D$20, 3, FALSE)</f>
        <v/>
      </c>
      <c r="E153" s="206">
        <f>CONCATENATE(D153,C153)</f>
        <v/>
      </c>
      <c r="F153" t="n">
        <v>34600</v>
      </c>
      <c r="G153" t="n">
        <v>32621</v>
      </c>
      <c r="H153" t="n">
        <v>33677</v>
      </c>
      <c r="I153" t="n">
        <v>31540</v>
      </c>
      <c r="J153" t="n">
        <v>33633</v>
      </c>
      <c r="L153">
        <f>AVERAGE(F153:J153)/10000</f>
        <v/>
      </c>
      <c r="BK153" s="58" t="n"/>
      <c r="BL153" s="58" t="n"/>
      <c r="BM153" s="58" t="n"/>
      <c r="BN153" s="58" t="n"/>
    </row>
    <row r="154">
      <c r="A154">
        <f>CONCATENATE(B154,C154)</f>
        <v/>
      </c>
      <c r="B154" t="inlineStr">
        <is>
          <t>Northern America</t>
        </is>
      </c>
      <c r="C154" s="206" t="inlineStr">
        <is>
          <t>Wheat</t>
        </is>
      </c>
      <c r="D154" s="206">
        <f>VLOOKUP(B154, [2]list_region_country!$B$3:$D$20, 3, FALSE)</f>
        <v/>
      </c>
      <c r="E154" s="206">
        <f>CONCATENATE(D154,C154)</f>
        <v/>
      </c>
      <c r="F154" t="n">
        <v>35542</v>
      </c>
      <c r="G154" t="n">
        <v>32156</v>
      </c>
      <c r="H154" t="n">
        <v>32286</v>
      </c>
      <c r="I154" t="n">
        <v>34391</v>
      </c>
      <c r="J154" t="n">
        <v>34102</v>
      </c>
      <c r="L154">
        <f>AVERAGE(F154:J154)/10000</f>
        <v/>
      </c>
      <c r="BK154" s="58" t="n"/>
      <c r="BL154" s="58" t="n"/>
      <c r="BM154" s="58" t="n"/>
      <c r="BN154" s="58" t="n"/>
    </row>
    <row r="155">
      <c r="A155">
        <f>CONCATENATE(B155,C155)</f>
        <v/>
      </c>
      <c r="B155" t="inlineStr">
        <is>
          <t>Northern America</t>
        </is>
      </c>
      <c r="C155" s="207" t="inlineStr">
        <is>
          <t>Millet</t>
        </is>
      </c>
      <c r="D155" s="206">
        <f>VLOOKUP(B155, [2]list_region_country!$B$3:$D$20, 3, FALSE)</f>
        <v/>
      </c>
      <c r="E155" s="206">
        <f>CONCATENATE(D155,C155)</f>
        <v/>
      </c>
      <c r="F155" t="n">
        <v>20448</v>
      </c>
      <c r="G155" t="n">
        <v>20705</v>
      </c>
      <c r="H155" t="n">
        <v>16662</v>
      </c>
      <c r="I155" t="n">
        <v>20016</v>
      </c>
      <c r="J155" t="n">
        <v>10664</v>
      </c>
      <c r="L155">
        <f>AVERAGE(F155:J155)/10000</f>
        <v/>
      </c>
      <c r="BK155" s="58" t="n"/>
      <c r="BL155" s="58" t="n"/>
      <c r="BM155" s="58" t="n"/>
      <c r="BN155" s="58" t="n"/>
    </row>
    <row r="156">
      <c r="A156">
        <f>CONCATENATE(B156,C156)</f>
        <v/>
      </c>
      <c r="B156" t="inlineStr">
        <is>
          <t>Northern America</t>
        </is>
      </c>
      <c r="C156" s="206" t="inlineStr">
        <is>
          <t>Sorghum</t>
        </is>
      </c>
      <c r="D156" s="206">
        <f>VLOOKUP(B156, [2]list_region_country!$B$3:$D$20, 3, FALSE)</f>
        <v/>
      </c>
      <c r="E156" s="206">
        <f>CONCATENATE(D156,C156)</f>
        <v/>
      </c>
      <c r="F156" t="n">
        <v>48912</v>
      </c>
      <c r="G156" t="n">
        <v>45031</v>
      </c>
      <c r="H156" t="n">
        <v>45266</v>
      </c>
      <c r="I156" t="n">
        <v>45845</v>
      </c>
      <c r="J156" t="n">
        <v>45946</v>
      </c>
      <c r="L156">
        <f>AVERAGE(F156:J156)/10000</f>
        <v/>
      </c>
      <c r="BK156" s="58" t="n"/>
      <c r="BL156" s="58" t="n"/>
      <c r="BM156" s="58" t="n"/>
      <c r="BN156" s="58" t="n"/>
    </row>
    <row r="157">
      <c r="A157">
        <f>CONCATENATE(B157,C157)</f>
        <v/>
      </c>
      <c r="B157" t="inlineStr">
        <is>
          <t>Northern America</t>
        </is>
      </c>
      <c r="C157" s="4431" t="inlineStr">
        <is>
          <t>Rice, paddy</t>
        </is>
      </c>
      <c r="D157" s="206">
        <f>VLOOKUP(B157, [2]list_region_country!$B$3:$D$20, 3, FALSE)</f>
        <v/>
      </c>
      <c r="E157" s="206">
        <f>CONCATENATE(D157,C157)</f>
        <v/>
      </c>
      <c r="F157" t="n">
        <v>81121</v>
      </c>
      <c r="G157" t="n">
        <v>84147</v>
      </c>
      <c r="H157" t="n">
        <v>86213</v>
      </c>
      <c r="I157" t="n">
        <v>83759</v>
      </c>
      <c r="J157" t="n">
        <v>85398</v>
      </c>
      <c r="L157">
        <f>AVERAGE(F157:J157)/10000</f>
        <v/>
      </c>
      <c r="BK157" s="58" t="n"/>
      <c r="BL157" s="58" t="n"/>
      <c r="BM157" s="58" t="n"/>
      <c r="BN157" s="58" t="n"/>
    </row>
    <row r="158">
      <c r="A158">
        <f>CONCATENATE(B158,C158)</f>
        <v/>
      </c>
      <c r="B158" t="inlineStr">
        <is>
          <t>Northern America</t>
        </is>
      </c>
      <c r="C158" s="206" t="inlineStr">
        <is>
          <t>Rye</t>
        </is>
      </c>
      <c r="D158" s="206">
        <f>VLOOKUP(B158, [2]list_region_country!$B$3:$D$20, 3, FALSE)</f>
        <v/>
      </c>
      <c r="E158" s="206">
        <f>CONCATENATE(D158,C158)</f>
        <v/>
      </c>
      <c r="F158" t="n">
        <v>23736</v>
      </c>
      <c r="G158" t="n">
        <v>27091</v>
      </c>
      <c r="H158" t="n">
        <v>23767</v>
      </c>
      <c r="I158" t="n">
        <v>26451</v>
      </c>
      <c r="J158" t="n">
        <v>27246</v>
      </c>
      <c r="L158">
        <f>AVERAGE(F158:J158)/10000</f>
        <v/>
      </c>
      <c r="BK158" s="58" t="n"/>
      <c r="BL158" s="58" t="n"/>
      <c r="BM158" s="58" t="n"/>
      <c r="BN158" s="58" t="n"/>
    </row>
    <row r="159">
      <c r="A159">
        <f>CONCATENATE(B159,C159)</f>
        <v/>
      </c>
      <c r="B159" t="inlineStr">
        <is>
          <t>Northern America</t>
        </is>
      </c>
      <c r="C159" s="206" t="inlineStr">
        <is>
          <t>Groundnuts, with shell</t>
        </is>
      </c>
      <c r="D159" s="206">
        <f>VLOOKUP(B159, [2]list_region_country!$B$3:$D$20, 3, FALSE)</f>
        <v/>
      </c>
      <c r="E159" s="206">
        <f>CONCATENATE(D159,C159)</f>
        <v/>
      </c>
      <c r="F159" t="n">
        <v>40730</v>
      </c>
      <c r="G159" t="n">
        <v>44916</v>
      </c>
      <c r="H159" t="n">
        <v>44849</v>
      </c>
      <c r="I159" t="n">
        <v>44089</v>
      </c>
      <c r="J159" t="n">
        <v>42549</v>
      </c>
      <c r="L159">
        <f>AVERAGE(F159:J159)/10000</f>
        <v/>
      </c>
      <c r="BK159" s="58" t="n"/>
      <c r="BL159" s="58" t="n"/>
      <c r="BM159" s="58" t="n"/>
      <c r="BN159" s="58" t="n"/>
    </row>
    <row r="160">
      <c r="A160">
        <f>CONCATENATE(B160,C160)</f>
        <v/>
      </c>
      <c r="B160" t="inlineStr">
        <is>
          <t>Northern America</t>
        </is>
      </c>
      <c r="C160" s="206" t="inlineStr">
        <is>
          <t>Beans, dry</t>
        </is>
      </c>
      <c r="D160" s="206">
        <f>VLOOKUP(B160, [2]list_region_country!$B$3:$D$20, 3, FALSE)</f>
        <v/>
      </c>
      <c r="E160" s="206">
        <f>CONCATENATE(D160,C160)</f>
        <v/>
      </c>
      <c r="F160" t="n">
        <v>20704</v>
      </c>
      <c r="G160" t="n">
        <v>23347</v>
      </c>
      <c r="H160" t="n">
        <v>24025</v>
      </c>
      <c r="I160" t="n">
        <v>20110</v>
      </c>
      <c r="J160" t="n">
        <v>23047</v>
      </c>
      <c r="L160">
        <f>AVERAGE(F160:J160)/10000</f>
        <v/>
      </c>
      <c r="BK160" s="58" t="n"/>
      <c r="BL160" s="58" t="n"/>
      <c r="BM160" s="58" t="n"/>
      <c r="BN160" s="58" t="n"/>
    </row>
    <row r="161">
      <c r="A161">
        <f>CONCATENATE(B161,C161)</f>
        <v/>
      </c>
      <c r="B161" t="inlineStr">
        <is>
          <t>Northern America</t>
        </is>
      </c>
      <c r="C161" s="4432" t="inlineStr">
        <is>
          <t>Vegetables</t>
        </is>
      </c>
      <c r="D161" s="206">
        <f>VLOOKUP(B161, [2]list_region_country!$B$3:$D$20, 3, FALSE)</f>
        <v/>
      </c>
      <c r="E161" s="206">
        <f>CONCATENATE(D161,C161)</f>
        <v/>
      </c>
      <c r="F161" t="n">
        <v>334497</v>
      </c>
      <c r="G161" t="n">
        <v>326044</v>
      </c>
      <c r="H161" t="n">
        <v>331506</v>
      </c>
      <c r="I161" t="n">
        <v>371474</v>
      </c>
      <c r="J161" t="n">
        <v>377256</v>
      </c>
      <c r="L161">
        <f>AVERAGE(F161:J161)/10000</f>
        <v/>
      </c>
      <c r="BK161" s="58" t="n"/>
      <c r="BL161" s="58" t="n"/>
      <c r="BM161" s="58" t="n"/>
      <c r="BN161" s="58" t="n"/>
    </row>
    <row r="162">
      <c r="A162">
        <f>CONCATENATE(B162,C162)</f>
        <v/>
      </c>
      <c r="B162" t="inlineStr">
        <is>
          <t>Northern America</t>
        </is>
      </c>
      <c r="C162" s="4432" t="inlineStr">
        <is>
          <t>Oilseeds</t>
        </is>
      </c>
      <c r="D162" s="206">
        <f>VLOOKUP(B162, [2]list_region_country!$B$3:$D$20, 3, FALSE)</f>
        <v/>
      </c>
      <c r="E162" s="206">
        <f>CONCATENATE(D162,C162)</f>
        <v/>
      </c>
      <c r="F162" t="n">
        <v>21939.85714285714</v>
      </c>
      <c r="G162" t="n">
        <v>20856.71428571429</v>
      </c>
      <c r="H162" t="n">
        <v>21932.85714285714</v>
      </c>
      <c r="I162" t="n">
        <v>21281.71428571429</v>
      </c>
      <c r="J162" t="n">
        <v>21616.71428571429</v>
      </c>
      <c r="L162">
        <f>AVERAGE(F162:J162)/10000</f>
        <v/>
      </c>
      <c r="BK162" s="58" t="n"/>
      <c r="BL162" s="58" t="n"/>
      <c r="BM162" s="58" t="n"/>
      <c r="BN162" s="58" t="n"/>
    </row>
    <row r="163" customFormat="1" s="480">
      <c r="A163" s="480">
        <f>CONCATENATE(B163,C163)</f>
        <v/>
      </c>
      <c r="B163" s="480" t="inlineStr">
        <is>
          <t>Northern America</t>
        </is>
      </c>
      <c r="C163" s="4432">
        <f>C145</f>
        <v/>
      </c>
      <c r="D163" s="483">
        <f>VLOOKUP(B163, [2]list_region_country!$B$3:$D$20, 3, FALSE)</f>
        <v/>
      </c>
      <c r="E163" s="483">
        <f>CONCATENATE(D163,C163)</f>
        <v/>
      </c>
      <c r="L163" s="480">
        <f>AVERAGEIF(L146:L162,"&gt;0")</f>
        <v/>
      </c>
      <c r="BK163" s="4435" t="n"/>
      <c r="BL163" s="4435" t="n"/>
      <c r="BM163" s="4435" t="n"/>
      <c r="BN163" s="4435" t="n"/>
    </row>
    <row r="164">
      <c r="A164">
        <f>CONCATENATE(B164,C164)</f>
        <v/>
      </c>
      <c r="B164" t="inlineStr">
        <is>
          <t>Oceania</t>
        </is>
      </c>
      <c r="C164" s="206" t="inlineStr">
        <is>
          <t>Cereals,Total</t>
        </is>
      </c>
      <c r="D164" s="206">
        <f>VLOOKUP(B164, [2]list_region_country!$B$3:$D$20, 3, FALSE)</f>
        <v/>
      </c>
      <c r="E164" s="206">
        <f>CONCATENATE(D164,C164)</f>
        <v/>
      </c>
      <c r="F164" t="n">
        <v>21243</v>
      </c>
      <c r="G164" t="n">
        <v>27087</v>
      </c>
      <c r="H164" t="n">
        <v>20804</v>
      </c>
      <c r="I164" t="n">
        <v>18179</v>
      </c>
      <c r="J164" t="n">
        <v>17032</v>
      </c>
      <c r="L164">
        <f>AVERAGE(F164:J164)/10000</f>
        <v/>
      </c>
      <c r="BK164" s="58" t="n"/>
      <c r="BL164" s="58" t="n"/>
      <c r="BM164" s="58" t="n"/>
      <c r="BN164" s="58" t="n"/>
    </row>
    <row r="165">
      <c r="A165">
        <f>CONCATENATE(B165,C165)</f>
        <v/>
      </c>
      <c r="B165" t="inlineStr">
        <is>
          <t>Oceania</t>
        </is>
      </c>
      <c r="C165" s="207" t="inlineStr">
        <is>
          <t>Pulses,Total</t>
        </is>
      </c>
      <c r="D165" s="206">
        <f>VLOOKUP(B165, [2]list_region_country!$B$3:$D$20, 3, FALSE)</f>
        <v/>
      </c>
      <c r="E165" s="206">
        <f>CONCATENATE(D165,C165)</f>
        <v/>
      </c>
      <c r="F165" t="n">
        <v>11596</v>
      </c>
      <c r="G165" t="n">
        <v>17034</v>
      </c>
      <c r="H165" t="n">
        <v>10896</v>
      </c>
      <c r="I165" t="n">
        <v>9572</v>
      </c>
      <c r="J165" t="n">
        <v>10892</v>
      </c>
      <c r="L165">
        <f>AVERAGE(F165:J165)/10000</f>
        <v/>
      </c>
      <c r="BK165" s="58" t="n"/>
      <c r="BL165" s="58" t="n"/>
      <c r="BM165" s="58" t="n"/>
      <c r="BN165" s="58" t="n"/>
    </row>
    <row r="166">
      <c r="A166">
        <f>CONCATENATE(B166,C166)</f>
        <v/>
      </c>
      <c r="B166" t="inlineStr">
        <is>
          <t>Oceania</t>
        </is>
      </c>
      <c r="C166" s="207" t="inlineStr">
        <is>
          <t>Roots and Tubers,Total</t>
        </is>
      </c>
      <c r="D166" s="206">
        <f>VLOOKUP(B166, [2]list_region_country!$B$3:$D$20, 3, FALSE)</f>
        <v/>
      </c>
      <c r="E166" s="206">
        <f>CONCATENATE(D166,C166)</f>
        <v/>
      </c>
      <c r="F166" t="n">
        <v>124755</v>
      </c>
      <c r="G166" t="n">
        <v>125959</v>
      </c>
      <c r="H166" t="n">
        <v>128905</v>
      </c>
      <c r="I166" t="n">
        <v>130266</v>
      </c>
      <c r="J166" t="n">
        <v>127141</v>
      </c>
      <c r="L166">
        <f>AVERAGE(F166:J166)/10000</f>
        <v/>
      </c>
      <c r="BK166" s="58" t="n"/>
      <c r="BL166" s="58" t="n"/>
      <c r="BM166" s="58" t="n"/>
      <c r="BN166" s="58" t="n"/>
    </row>
    <row r="167">
      <c r="A167">
        <f>CONCATENATE(B167,C167)</f>
        <v/>
      </c>
      <c r="B167" t="inlineStr">
        <is>
          <t>Oceania</t>
        </is>
      </c>
      <c r="C167" s="206" t="inlineStr">
        <is>
          <t>Barley</t>
        </is>
      </c>
      <c r="D167" s="206">
        <f>VLOOKUP(B167, [2]list_region_country!$B$3:$D$20, 3, FALSE)</f>
        <v/>
      </c>
      <c r="E167" s="206">
        <f>CONCATENATE(D167,C167)</f>
        <v/>
      </c>
      <c r="F167" t="n">
        <v>22494</v>
      </c>
      <c r="G167" t="n">
        <v>28309</v>
      </c>
      <c r="H167" t="n">
        <v>23044</v>
      </c>
      <c r="I167" t="n">
        <v>20486</v>
      </c>
      <c r="J167" t="n">
        <v>20576</v>
      </c>
      <c r="L167">
        <f>AVERAGE(F167:J167)/10000</f>
        <v/>
      </c>
      <c r="BK167" s="58" t="n"/>
      <c r="BL167" s="58" t="n"/>
      <c r="BM167" s="58" t="n"/>
      <c r="BN167" s="58" t="n"/>
    </row>
    <row r="168">
      <c r="A168">
        <f>CONCATENATE(B168,C168)</f>
        <v/>
      </c>
      <c r="B168" t="inlineStr">
        <is>
          <t>Oceania</t>
        </is>
      </c>
      <c r="C168" s="207" t="inlineStr">
        <is>
          <t>Maize</t>
        </is>
      </c>
      <c r="D168" s="206">
        <f>VLOOKUP(B168, [2]list_region_country!$B$3:$D$20, 3, FALSE)</f>
        <v/>
      </c>
      <c r="E168" s="206">
        <f>CONCATENATE(D168,C168)</f>
        <v/>
      </c>
      <c r="F168" t="n">
        <v>82820</v>
      </c>
      <c r="G168" t="n">
        <v>70271</v>
      </c>
      <c r="H168" t="n">
        <v>80055</v>
      </c>
      <c r="I168" t="n">
        <v>67500</v>
      </c>
      <c r="J168" t="n">
        <v>82103</v>
      </c>
      <c r="L168">
        <f>AVERAGE(F168:J168)/10000</f>
        <v/>
      </c>
      <c r="BK168" s="58" t="n"/>
      <c r="BL168" s="58" t="n"/>
      <c r="BM168" s="58" t="n"/>
      <c r="BN168" s="58" t="n"/>
    </row>
    <row r="169">
      <c r="A169">
        <f>CONCATENATE(B169,C169)</f>
        <v/>
      </c>
      <c r="B169" t="inlineStr">
        <is>
          <t>Oceania</t>
        </is>
      </c>
      <c r="C169" s="207" t="inlineStr">
        <is>
          <t>Oats</t>
        </is>
      </c>
      <c r="D169" s="206">
        <f>VLOOKUP(B169, [2]list_region_country!$B$3:$D$20, 3, FALSE)</f>
        <v/>
      </c>
      <c r="E169" s="206">
        <f>CONCATENATE(D169,C169)</f>
        <v/>
      </c>
      <c r="F169" t="n">
        <v>16222</v>
      </c>
      <c r="G169" t="n">
        <v>22250</v>
      </c>
      <c r="H169" t="n">
        <v>14253</v>
      </c>
      <c r="I169" t="n">
        <v>12316</v>
      </c>
      <c r="J169" t="n">
        <v>14220</v>
      </c>
      <c r="L169">
        <f>AVERAGE(F169:J169)/10000</f>
        <v/>
      </c>
      <c r="BK169" s="58" t="n"/>
      <c r="BL169" s="58" t="n"/>
      <c r="BM169" s="58" t="n"/>
      <c r="BN169" s="58" t="n"/>
    </row>
    <row r="170">
      <c r="A170">
        <f>CONCATENATE(B170,C170)</f>
        <v/>
      </c>
      <c r="B170" t="inlineStr">
        <is>
          <t>Oceania</t>
        </is>
      </c>
      <c r="C170" s="207" t="inlineStr">
        <is>
          <t>Potatoes</t>
        </is>
      </c>
      <c r="D170" s="206">
        <f>VLOOKUP(B170, [2]list_region_country!$B$3:$D$20, 3, FALSE)</f>
        <v/>
      </c>
      <c r="E170" s="206">
        <f>CONCATENATE(D170,C170)</f>
        <v/>
      </c>
      <c r="F170" t="n">
        <v>423469</v>
      </c>
      <c r="G170" t="n">
        <v>413130</v>
      </c>
      <c r="H170" t="n">
        <v>420397</v>
      </c>
      <c r="I170" t="n">
        <v>404281</v>
      </c>
      <c r="J170" t="n">
        <v>424105</v>
      </c>
      <c r="L170">
        <f>AVERAGE(F170:J170)/10000</f>
        <v/>
      </c>
      <c r="BK170" s="58" t="n"/>
      <c r="BL170" s="58" t="n"/>
      <c r="BM170" s="58" t="n"/>
      <c r="BN170" s="58" t="n"/>
    </row>
    <row r="171">
      <c r="A171">
        <f>CONCATENATE(B171,C171)</f>
        <v/>
      </c>
      <c r="B171" t="inlineStr">
        <is>
          <t>Oceania</t>
        </is>
      </c>
      <c r="C171" s="207" t="inlineStr">
        <is>
          <t>Soybeans</t>
        </is>
      </c>
      <c r="D171" s="206">
        <f>VLOOKUP(B171, [2]list_region_country!$B$3:$D$20, 3, FALSE)</f>
        <v/>
      </c>
      <c r="E171" s="206">
        <f>CONCATENATE(D171,C171)</f>
        <v/>
      </c>
      <c r="F171" t="n">
        <v>14144</v>
      </c>
      <c r="G171" t="n">
        <v>18811</v>
      </c>
      <c r="H171" t="n">
        <v>9012</v>
      </c>
      <c r="I171" t="n">
        <v>11298</v>
      </c>
      <c r="J171" t="n">
        <v>17722</v>
      </c>
      <c r="L171">
        <f>AVERAGE(F171:J171)/10000</f>
        <v/>
      </c>
      <c r="BK171" s="58" t="n"/>
      <c r="BL171" s="58" t="n"/>
      <c r="BM171" s="58" t="n"/>
      <c r="BN171" s="58" t="n"/>
    </row>
    <row r="172">
      <c r="A172">
        <f>CONCATENATE(B172,C172)</f>
        <v/>
      </c>
      <c r="B172" t="inlineStr">
        <is>
          <t>Oceania</t>
        </is>
      </c>
      <c r="C172" s="206" t="inlineStr">
        <is>
          <t>Wheat</t>
        </is>
      </c>
      <c r="D172" s="206">
        <f>VLOOKUP(B172, [2]list_region_country!$B$3:$D$20, 3, FALSE)</f>
        <v/>
      </c>
      <c r="E172" s="206">
        <f>CONCATENATE(D172,C172)</f>
        <v/>
      </c>
      <c r="F172" t="n">
        <v>20061</v>
      </c>
      <c r="G172" t="n">
        <v>26343</v>
      </c>
      <c r="H172" t="n">
        <v>19444</v>
      </c>
      <c r="I172" t="n">
        <v>17225</v>
      </c>
      <c r="J172" t="n">
        <v>15071</v>
      </c>
      <c r="L172">
        <f>AVERAGE(F172:J172)/10000</f>
        <v/>
      </c>
      <c r="BK172" s="58" t="n"/>
      <c r="BL172" s="58" t="n"/>
      <c r="BM172" s="58" t="n"/>
      <c r="BN172" s="58" t="n"/>
    </row>
    <row r="173">
      <c r="A173">
        <f>CONCATENATE(B173,C173)</f>
        <v/>
      </c>
      <c r="B173" t="inlineStr">
        <is>
          <t>Oceania</t>
        </is>
      </c>
      <c r="C173" s="207" t="inlineStr">
        <is>
          <t>Millet</t>
        </is>
      </c>
      <c r="D173" s="206">
        <f>VLOOKUP(B173, [2]list_region_country!$B$3:$D$20, 3, FALSE)</f>
        <v/>
      </c>
      <c r="E173" s="206">
        <f>CONCATENATE(D173,C173)</f>
        <v/>
      </c>
      <c r="F173" t="n">
        <v>10228</v>
      </c>
      <c r="G173" t="n">
        <v>10216</v>
      </c>
      <c r="H173" t="n">
        <v>10188</v>
      </c>
      <c r="I173" t="n">
        <v>10185</v>
      </c>
      <c r="J173" t="n">
        <v>10183</v>
      </c>
      <c r="L173">
        <f>AVERAGE(F173:J173)/10000</f>
        <v/>
      </c>
      <c r="BK173" s="58" t="n"/>
      <c r="BL173" s="58" t="n"/>
      <c r="BM173" s="58" t="n"/>
      <c r="BN173" s="58" t="n"/>
    </row>
    <row r="174">
      <c r="A174">
        <f>CONCATENATE(B174,C174)</f>
        <v/>
      </c>
      <c r="B174" t="inlineStr">
        <is>
          <t>Oceania</t>
        </is>
      </c>
      <c r="C174" s="206" t="inlineStr">
        <is>
          <t>Sorghum</t>
        </is>
      </c>
      <c r="D174" s="206">
        <f>VLOOKUP(B174, [2]list_region_country!$B$3:$D$20, 3, FALSE)</f>
        <v/>
      </c>
      <c r="E174" s="206">
        <f>CONCATENATE(D174,C174)</f>
        <v/>
      </c>
      <c r="F174" t="n">
        <v>34387</v>
      </c>
      <c r="G174" t="n">
        <v>27048</v>
      </c>
      <c r="H174" t="n">
        <v>27231</v>
      </c>
      <c r="I174" t="n">
        <v>21131</v>
      </c>
      <c r="J174" t="n">
        <v>19595</v>
      </c>
      <c r="L174">
        <f>AVERAGE(F174:J174)/10000</f>
        <v/>
      </c>
      <c r="BK174" s="58" t="n"/>
      <c r="BL174" s="58" t="n"/>
      <c r="BM174" s="58" t="n"/>
      <c r="BN174" s="58" t="n"/>
    </row>
    <row r="175">
      <c r="A175">
        <f>CONCATENATE(B175,C175)</f>
        <v/>
      </c>
      <c r="B175" t="inlineStr">
        <is>
          <t>Oceania</t>
        </is>
      </c>
      <c r="C175" s="4431" t="inlineStr">
        <is>
          <t>Rice, paddy</t>
        </is>
      </c>
      <c r="D175" s="206">
        <f>VLOOKUP(B175, [2]list_region_country!$B$3:$D$20, 3, FALSE)</f>
        <v/>
      </c>
      <c r="E175" s="206">
        <f>CONCATENATE(D175,C175)</f>
        <v/>
      </c>
      <c r="F175" t="n">
        <v>91108</v>
      </c>
      <c r="G175" t="n">
        <v>94079</v>
      </c>
      <c r="H175" t="n">
        <v>98696</v>
      </c>
      <c r="I175" t="n">
        <v>66550</v>
      </c>
      <c r="J175" t="n">
        <v>66937</v>
      </c>
      <c r="L175">
        <f>AVERAGE(F175:J175)/10000</f>
        <v/>
      </c>
      <c r="BK175" s="58" t="n"/>
      <c r="BL175" s="58" t="n"/>
      <c r="BM175" s="58" t="n"/>
      <c r="BN175" s="58" t="n"/>
    </row>
    <row r="176">
      <c r="A176">
        <f>CONCATENATE(B176,C176)</f>
        <v/>
      </c>
      <c r="B176" t="inlineStr">
        <is>
          <t>Oceania</t>
        </is>
      </c>
      <c r="C176" s="206" t="inlineStr">
        <is>
          <t>Rye</t>
        </is>
      </c>
      <c r="D176" s="206">
        <f>VLOOKUP(B176, [2]list_region_country!$B$3:$D$20, 3, FALSE)</f>
        <v/>
      </c>
      <c r="E176" s="206">
        <f>CONCATENATE(D176,C176)</f>
        <v/>
      </c>
      <c r="F176" t="n">
        <v>6910</v>
      </c>
      <c r="G176" t="n">
        <v>7500</v>
      </c>
      <c r="H176" t="n">
        <v>7308</v>
      </c>
      <c r="I176" t="n">
        <v>7002</v>
      </c>
      <c r="J176" t="n">
        <v>7166</v>
      </c>
      <c r="L176">
        <f>AVERAGE(F176:J176)/10000</f>
        <v/>
      </c>
      <c r="BK176" s="58" t="n"/>
      <c r="BL176" s="58" t="n"/>
      <c r="BM176" s="58" t="n"/>
      <c r="BN176" s="58" t="n"/>
    </row>
    <row r="177">
      <c r="A177">
        <f>CONCATENATE(B177,C177)</f>
        <v/>
      </c>
      <c r="B177" t="inlineStr">
        <is>
          <t>Oceania</t>
        </is>
      </c>
      <c r="C177" s="206" t="inlineStr">
        <is>
          <t>Groundnuts, with shell</t>
        </is>
      </c>
      <c r="D177" s="206">
        <f>VLOOKUP(B177, [2]list_region_country!$B$3:$D$20, 3, FALSE)</f>
        <v/>
      </c>
      <c r="E177" s="206">
        <f>CONCATENATE(D177,C177)</f>
        <v/>
      </c>
      <c r="F177" t="n">
        <v>18852</v>
      </c>
      <c r="G177" t="n">
        <v>18929</v>
      </c>
      <c r="H177" t="n">
        <v>19614</v>
      </c>
      <c r="I177" t="n">
        <v>19234</v>
      </c>
      <c r="J177" t="n">
        <v>18891</v>
      </c>
      <c r="L177">
        <f>AVERAGE(F177:J177)/10000</f>
        <v/>
      </c>
      <c r="BK177" s="58" t="n"/>
      <c r="BL177" s="58" t="n"/>
      <c r="BM177" s="58" t="n"/>
      <c r="BN177" s="58" t="n"/>
    </row>
    <row r="178">
      <c r="A178">
        <f>CONCATENATE(B178,C178)</f>
        <v/>
      </c>
      <c r="B178" t="inlineStr">
        <is>
          <t>Oceania</t>
        </is>
      </c>
      <c r="C178" s="206" t="inlineStr">
        <is>
          <t>Beans, dry</t>
        </is>
      </c>
      <c r="D178" s="206">
        <f>VLOOKUP(B178, [2]list_region_country!$B$3:$D$20, 3, FALSE)</f>
        <v/>
      </c>
      <c r="E178" s="206">
        <f>CONCATENATE(D178,C178)</f>
        <v/>
      </c>
      <c r="F178" t="n">
        <v>9462</v>
      </c>
      <c r="G178" t="n">
        <v>9600</v>
      </c>
      <c r="H178" t="n">
        <v>9330</v>
      </c>
      <c r="I178" t="n">
        <v>9040</v>
      </c>
      <c r="J178" t="n">
        <v>8978</v>
      </c>
      <c r="L178">
        <f>AVERAGE(F178:J178)/10000</f>
        <v/>
      </c>
      <c r="BK178" s="58" t="n"/>
      <c r="BL178" s="58" t="n"/>
      <c r="BM178" s="58" t="n"/>
      <c r="BN178" s="58" t="n"/>
    </row>
    <row r="179">
      <c r="A179">
        <f>CONCATENATE(B179,C179)</f>
        <v/>
      </c>
      <c r="B179" t="inlineStr">
        <is>
          <t>Oceania</t>
        </is>
      </c>
      <c r="C179" s="4432" t="inlineStr">
        <is>
          <t>Vegetables</t>
        </is>
      </c>
      <c r="D179" s="206">
        <f>VLOOKUP(B179, [2]list_region_country!$B$3:$D$20, 3, FALSE)</f>
        <v/>
      </c>
      <c r="E179" s="206">
        <f>CONCATENATE(D179,C179)</f>
        <v/>
      </c>
      <c r="F179" t="n">
        <v>198701</v>
      </c>
      <c r="G179" t="n">
        <v>197071</v>
      </c>
      <c r="H179" t="n">
        <v>198983</v>
      </c>
      <c r="I179" t="n">
        <v>196982</v>
      </c>
      <c r="J179" t="n">
        <v>195838</v>
      </c>
      <c r="L179">
        <f>AVERAGE(F179:J179)/10000</f>
        <v/>
      </c>
      <c r="BK179" s="58" t="n"/>
      <c r="BL179" s="58" t="n"/>
      <c r="BM179" s="58" t="n"/>
      <c r="BN179" s="58" t="n"/>
    </row>
    <row r="180">
      <c r="A180">
        <f>CONCATENATE(B180,C180)</f>
        <v/>
      </c>
      <c r="B180" t="inlineStr">
        <is>
          <t>Oceania</t>
        </is>
      </c>
      <c r="C180" s="4432" t="inlineStr">
        <is>
          <t>Oilseeds</t>
        </is>
      </c>
      <c r="D180" s="206">
        <f>VLOOKUP(B180, [2]list_region_country!$B$3:$D$20, 3, FALSE)</f>
        <v/>
      </c>
      <c r="E180" s="206">
        <f>CONCATENATE(D180,C180)</f>
        <v/>
      </c>
      <c r="F180" t="n">
        <v>18544.83333333333</v>
      </c>
      <c r="G180" t="n">
        <v>17067.83333333333</v>
      </c>
      <c r="H180" t="n">
        <v>18071</v>
      </c>
      <c r="I180" t="n">
        <v>17877.33333333333</v>
      </c>
      <c r="J180" t="n">
        <v>18736.66666666667</v>
      </c>
      <c r="L180">
        <f>AVERAGE(F180:J180)/10000</f>
        <v/>
      </c>
      <c r="BK180" s="58" t="n"/>
      <c r="BL180" s="58" t="n"/>
      <c r="BM180" s="58" t="n"/>
      <c r="BN180" s="58" t="n"/>
    </row>
    <row r="181" customFormat="1" s="480">
      <c r="A181" s="480">
        <f>CONCATENATE(B181,C181)</f>
        <v/>
      </c>
      <c r="B181" s="480" t="inlineStr">
        <is>
          <t>Oceania</t>
        </is>
      </c>
      <c r="C181" s="4432">
        <f>C163</f>
        <v/>
      </c>
      <c r="D181" s="483">
        <f>VLOOKUP(B181, [2]list_region_country!$B$3:$D$20, 3, FALSE)</f>
        <v/>
      </c>
      <c r="E181" s="483">
        <f>CONCATENATE(D181,C181)</f>
        <v/>
      </c>
      <c r="L181" s="480">
        <f>AVERAGEIF(L164:L180,"&gt;0")</f>
        <v/>
      </c>
      <c r="BK181" s="4435" t="n"/>
      <c r="BL181" s="4435" t="n"/>
      <c r="BM181" s="4435" t="n"/>
      <c r="BN181" s="4435" t="n"/>
    </row>
    <row r="182">
      <c r="A182">
        <f>CONCATENATE(B182,C182)</f>
        <v/>
      </c>
      <c r="B182" t="inlineStr">
        <is>
          <t>South America</t>
        </is>
      </c>
      <c r="C182" s="206" t="inlineStr">
        <is>
          <t>Cereals,Total</t>
        </is>
      </c>
      <c r="D182" s="206">
        <f>VLOOKUP(B182, [2]list_region_country!$B$3:$D$20, 3, FALSE)</f>
        <v/>
      </c>
      <c r="E182" s="206">
        <f>CONCATENATE(D182,C182)</f>
        <v/>
      </c>
      <c r="F182" t="n">
        <v>44609</v>
      </c>
      <c r="G182" t="n">
        <v>50628</v>
      </c>
      <c r="H182" t="n">
        <v>46442</v>
      </c>
      <c r="I182" t="n">
        <v>51937</v>
      </c>
      <c r="J182" t="n">
        <v>50620</v>
      </c>
      <c r="L182">
        <f>AVERAGE(F182:J182)/10000</f>
        <v/>
      </c>
      <c r="BK182" s="58" t="n"/>
      <c r="BL182" s="58" t="n"/>
      <c r="BM182" s="58" t="n"/>
      <c r="BN182" s="58" t="n"/>
    </row>
    <row r="183">
      <c r="A183">
        <f>CONCATENATE(B183,C183)</f>
        <v/>
      </c>
      <c r="B183" t="inlineStr">
        <is>
          <t>South America</t>
        </is>
      </c>
      <c r="C183" s="207" t="inlineStr">
        <is>
          <t>Pulses,Total</t>
        </is>
      </c>
      <c r="D183" s="206">
        <f>VLOOKUP(B183, [2]list_region_country!$B$3:$D$20, 3, FALSE)</f>
        <v/>
      </c>
      <c r="E183" s="206">
        <f>CONCATENATE(D183,C183)</f>
        <v/>
      </c>
      <c r="F183" t="n">
        <v>10412</v>
      </c>
      <c r="G183" t="n">
        <v>11483</v>
      </c>
      <c r="H183" t="n">
        <v>10833</v>
      </c>
      <c r="I183" t="n">
        <v>11632</v>
      </c>
      <c r="J183" t="n">
        <v>11881</v>
      </c>
      <c r="L183">
        <f>AVERAGE(F183:J183)/10000</f>
        <v/>
      </c>
      <c r="BK183" s="58" t="n"/>
      <c r="BL183" s="58" t="n"/>
      <c r="BM183" s="58" t="n"/>
      <c r="BN183" s="58" t="n"/>
    </row>
    <row r="184">
      <c r="A184">
        <f>CONCATENATE(B184,C184)</f>
        <v/>
      </c>
      <c r="B184" t="inlineStr">
        <is>
          <t>South America</t>
        </is>
      </c>
      <c r="C184" s="207" t="inlineStr">
        <is>
          <t>Roots and Tubers,Total</t>
        </is>
      </c>
      <c r="D184" s="206">
        <f>VLOOKUP(B184, [2]list_region_country!$B$3:$D$20, 3, FALSE)</f>
        <v/>
      </c>
      <c r="E184" s="206">
        <f>CONCATENATE(D184,C184)</f>
        <v/>
      </c>
      <c r="F184" t="n">
        <v>149347</v>
      </c>
      <c r="G184" t="n">
        <v>154370</v>
      </c>
      <c r="H184" t="n">
        <v>154315</v>
      </c>
      <c r="I184" t="n">
        <v>156971</v>
      </c>
      <c r="J184" t="n">
        <v>157124</v>
      </c>
      <c r="L184">
        <f>AVERAGE(F184:J184)/10000</f>
        <v/>
      </c>
      <c r="BK184" s="58" t="n"/>
      <c r="BL184" s="58" t="n"/>
      <c r="BM184" s="58" t="n"/>
      <c r="BN184" s="58" t="n"/>
    </row>
    <row r="185">
      <c r="A185">
        <f>CONCATENATE(B185,C185)</f>
        <v/>
      </c>
      <c r="B185" t="inlineStr">
        <is>
          <t>South America</t>
        </is>
      </c>
      <c r="C185" s="206" t="inlineStr">
        <is>
          <t>Barley</t>
        </is>
      </c>
      <c r="D185" s="206">
        <f>VLOOKUP(B185, [2]list_region_country!$B$3:$D$20, 3, FALSE)</f>
        <v/>
      </c>
      <c r="E185" s="206">
        <f>CONCATENATE(D185,C185)</f>
        <v/>
      </c>
      <c r="F185" t="n">
        <v>36510</v>
      </c>
      <c r="G185" t="n">
        <v>36432</v>
      </c>
      <c r="H185" t="n">
        <v>36801</v>
      </c>
      <c r="I185" t="n">
        <v>37606</v>
      </c>
      <c r="J185" t="n">
        <v>37511</v>
      </c>
      <c r="L185">
        <f>AVERAGE(F185:J185)/10000</f>
        <v/>
      </c>
      <c r="BK185" s="58" t="n"/>
      <c r="BL185" s="58" t="n"/>
      <c r="BM185" s="58" t="n"/>
      <c r="BN185" s="58" t="n"/>
    </row>
    <row r="186">
      <c r="A186">
        <f>CONCATENATE(B186,C186)</f>
        <v/>
      </c>
      <c r="B186" t="inlineStr">
        <is>
          <t>South America</t>
        </is>
      </c>
      <c r="C186" s="207" t="inlineStr">
        <is>
          <t>Maize</t>
        </is>
      </c>
      <c r="D186" s="206">
        <f>VLOOKUP(B186, [2]list_region_country!$B$3:$D$20, 3, FALSE)</f>
        <v/>
      </c>
      <c r="E186" s="206">
        <f>CONCATENATE(D186,C186)</f>
        <v/>
      </c>
      <c r="F186" t="n">
        <v>49863</v>
      </c>
      <c r="G186" t="n">
        <v>59297</v>
      </c>
      <c r="H186" t="n">
        <v>52567</v>
      </c>
      <c r="I186" t="n">
        <v>61281</v>
      </c>
      <c r="J186" t="n">
        <v>60218</v>
      </c>
      <c r="L186">
        <f>AVERAGE(F186:J186)/10000</f>
        <v/>
      </c>
      <c r="BK186" s="58" t="n"/>
      <c r="BL186" s="58" t="n"/>
      <c r="BM186" s="58" t="n"/>
      <c r="BN186" s="58" t="n"/>
    </row>
    <row r="187">
      <c r="A187">
        <f>CONCATENATE(B187,C187)</f>
        <v/>
      </c>
      <c r="B187" t="inlineStr">
        <is>
          <t>South America</t>
        </is>
      </c>
      <c r="C187" s="207" t="inlineStr">
        <is>
          <t>Oats</t>
        </is>
      </c>
      <c r="D187" s="206">
        <f>VLOOKUP(B187, [2]list_region_country!$B$3:$D$20, 3, FALSE)</f>
        <v/>
      </c>
      <c r="E187" s="206">
        <f>CONCATENATE(D187,C187)</f>
        <v/>
      </c>
      <c r="F187" t="n">
        <v>27950</v>
      </c>
      <c r="G187" t="n">
        <v>25016</v>
      </c>
      <c r="H187" t="n">
        <v>25116</v>
      </c>
      <c r="I187" t="n">
        <v>24315</v>
      </c>
      <c r="J187" t="n">
        <v>21822</v>
      </c>
      <c r="L187">
        <f>AVERAGE(F187:J187)/10000</f>
        <v/>
      </c>
      <c r="BK187" s="58" t="n"/>
      <c r="BL187" s="58" t="n"/>
      <c r="BM187" s="58" t="n"/>
      <c r="BN187" s="58" t="n"/>
    </row>
    <row r="188">
      <c r="A188">
        <f>CONCATENATE(B188,C188)</f>
        <v/>
      </c>
      <c r="B188" t="inlineStr">
        <is>
          <t>South America</t>
        </is>
      </c>
      <c r="C188" s="207" t="inlineStr">
        <is>
          <t>Potatoes</t>
        </is>
      </c>
      <c r="D188" s="206">
        <f>VLOOKUP(B188, [2]list_region_country!$B$3:$D$20, 3, FALSE)</f>
        <v/>
      </c>
      <c r="E188" s="206">
        <f>CONCATENATE(D188,C188)</f>
        <v/>
      </c>
      <c r="F188" t="n">
        <v>175701</v>
      </c>
      <c r="G188" t="n">
        <v>187848</v>
      </c>
      <c r="H188" t="n">
        <v>188692</v>
      </c>
      <c r="I188" t="n">
        <v>194059</v>
      </c>
      <c r="J188" t="n">
        <v>191916</v>
      </c>
      <c r="L188">
        <f>AVERAGE(F188:J188)/10000</f>
        <v/>
      </c>
      <c r="BK188" s="58" t="n"/>
      <c r="BL188" s="58" t="n"/>
      <c r="BM188" s="58" t="n"/>
      <c r="BN188" s="58" t="n"/>
    </row>
    <row r="189">
      <c r="A189">
        <f>CONCATENATE(B189,C189)</f>
        <v/>
      </c>
      <c r="B189" t="inlineStr">
        <is>
          <t>South America</t>
        </is>
      </c>
      <c r="C189" s="207" t="inlineStr">
        <is>
          <t>Soybeans</t>
        </is>
      </c>
      <c r="D189" s="206">
        <f>VLOOKUP(B189, [2]list_region_country!$B$3:$D$20, 3, FALSE)</f>
        <v/>
      </c>
      <c r="E189" s="206">
        <f>CONCATENATE(D189,C189)</f>
        <v/>
      </c>
      <c r="F189" t="n">
        <v>28997</v>
      </c>
      <c r="G189" t="n">
        <v>32614</v>
      </c>
      <c r="H189" t="n">
        <v>29957</v>
      </c>
      <c r="I189" t="n">
        <v>31482</v>
      </c>
      <c r="J189" t="n">
        <v>31157</v>
      </c>
      <c r="L189">
        <f>AVERAGE(F189:J189)/10000</f>
        <v/>
      </c>
      <c r="BK189" s="58" t="n"/>
      <c r="BL189" s="58" t="n"/>
      <c r="BM189" s="58" t="n"/>
      <c r="BN189" s="58" t="n"/>
    </row>
    <row r="190">
      <c r="A190">
        <f>CONCATENATE(B190,C190)</f>
        <v/>
      </c>
      <c r="B190" t="inlineStr">
        <is>
          <t>South America</t>
        </is>
      </c>
      <c r="C190" s="206" t="inlineStr">
        <is>
          <t>Wheat</t>
        </is>
      </c>
      <c r="D190" s="206">
        <f>VLOOKUP(B190, [2]list_region_country!$B$3:$D$20, 3, FALSE)</f>
        <v/>
      </c>
      <c r="E190" s="206">
        <f>CONCATENATE(D190,C190)</f>
        <v/>
      </c>
      <c r="F190" t="n">
        <v>29847</v>
      </c>
      <c r="G190" t="n">
        <v>30033</v>
      </c>
      <c r="H190" t="n">
        <v>29828</v>
      </c>
      <c r="I190" t="n">
        <v>30872</v>
      </c>
      <c r="J190" t="n">
        <v>28759</v>
      </c>
      <c r="L190">
        <f>AVERAGE(F190:J190)/10000</f>
        <v/>
      </c>
      <c r="BK190" s="58" t="n"/>
      <c r="BL190" s="58" t="n"/>
      <c r="BM190" s="58" t="n"/>
      <c r="BN190" s="58" t="n"/>
    </row>
    <row r="191">
      <c r="A191">
        <f>CONCATENATE(B191,C191)</f>
        <v/>
      </c>
      <c r="B191" t="inlineStr">
        <is>
          <t>South America</t>
        </is>
      </c>
      <c r="C191" s="207" t="inlineStr">
        <is>
          <t>Millet</t>
        </is>
      </c>
      <c r="D191" s="206">
        <f>VLOOKUP(B191, [2]list_region_country!$B$3:$D$20, 3, FALSE)</f>
        <v/>
      </c>
      <c r="E191" s="206">
        <f>CONCATENATE(D191,C191)</f>
        <v/>
      </c>
      <c r="F191" t="n">
        <v>15536</v>
      </c>
      <c r="G191" t="n">
        <v>19235</v>
      </c>
      <c r="H191" t="n">
        <v>12522</v>
      </c>
      <c r="I191" t="n">
        <v>18921</v>
      </c>
      <c r="J191" t="n">
        <v>15488</v>
      </c>
      <c r="L191">
        <f>AVERAGE(F191:J191)/10000</f>
        <v/>
      </c>
      <c r="BK191" s="58" t="n"/>
      <c r="BL191" s="58" t="n"/>
      <c r="BM191" s="58" t="n"/>
      <c r="BN191" s="58" t="n"/>
    </row>
    <row r="192">
      <c r="A192">
        <f>CONCATENATE(B192,C192)</f>
        <v/>
      </c>
      <c r="B192" t="inlineStr">
        <is>
          <t>South America</t>
        </is>
      </c>
      <c r="C192" s="206" t="inlineStr">
        <is>
          <t>Sorghum</t>
        </is>
      </c>
      <c r="D192" s="206">
        <f>VLOOKUP(B192, [2]list_region_country!$B$3:$D$20, 3, FALSE)</f>
        <v/>
      </c>
      <c r="E192" s="206">
        <f>CONCATENATE(D192,C192)</f>
        <v/>
      </c>
      <c r="F192" t="n">
        <v>32927</v>
      </c>
      <c r="G192" t="n">
        <v>33721</v>
      </c>
      <c r="H192" t="n">
        <v>29907</v>
      </c>
      <c r="I192" t="n">
        <v>33704</v>
      </c>
      <c r="J192" t="n">
        <v>32663</v>
      </c>
      <c r="L192">
        <f>AVERAGE(F192:J192)/10000</f>
        <v/>
      </c>
      <c r="BK192" s="58" t="n"/>
      <c r="BL192" s="58" t="n"/>
      <c r="BM192" s="58" t="n"/>
      <c r="BN192" s="58" t="n"/>
    </row>
    <row r="193">
      <c r="A193">
        <f>CONCATENATE(B193,C193)</f>
        <v/>
      </c>
      <c r="B193" t="inlineStr">
        <is>
          <t>South America</t>
        </is>
      </c>
      <c r="C193" s="4431" t="inlineStr">
        <is>
          <t>Rice, paddy</t>
        </is>
      </c>
      <c r="D193" s="206">
        <f>VLOOKUP(B193, [2]list_region_country!$B$3:$D$20, 3, FALSE)</f>
        <v/>
      </c>
      <c r="E193" s="206">
        <f>CONCATENATE(D193,C193)</f>
        <v/>
      </c>
      <c r="F193" t="n">
        <v>55079</v>
      </c>
      <c r="G193" t="n">
        <v>57270</v>
      </c>
      <c r="H193" t="n">
        <v>61079</v>
      </c>
      <c r="I193" t="n">
        <v>58375</v>
      </c>
      <c r="J193" t="n">
        <v>61154</v>
      </c>
      <c r="L193">
        <f>AVERAGE(F193:J193)/10000</f>
        <v/>
      </c>
      <c r="BK193" s="58" t="n"/>
      <c r="BL193" s="58" t="n"/>
      <c r="BM193" s="58" t="n"/>
      <c r="BN193" s="58" t="n"/>
    </row>
    <row r="194">
      <c r="A194">
        <f>CONCATENATE(B194,C194)</f>
        <v/>
      </c>
      <c r="B194" t="inlineStr">
        <is>
          <t>South America</t>
        </is>
      </c>
      <c r="C194" s="206" t="inlineStr">
        <is>
          <t>Rye</t>
        </is>
      </c>
      <c r="D194" s="206">
        <f>VLOOKUP(B194, [2]list_region_country!$B$3:$D$20, 3, FALSE)</f>
        <v/>
      </c>
      <c r="E194" s="206">
        <f>CONCATENATE(D194,C194)</f>
        <v/>
      </c>
      <c r="F194" t="n">
        <v>18377</v>
      </c>
      <c r="G194" t="n">
        <v>18994</v>
      </c>
      <c r="H194" t="n">
        <v>19149</v>
      </c>
      <c r="I194" t="n">
        <v>17865</v>
      </c>
      <c r="J194" t="n">
        <v>20322</v>
      </c>
      <c r="L194">
        <f>AVERAGE(F194:J194)/10000</f>
        <v/>
      </c>
      <c r="BK194" s="58" t="n"/>
      <c r="BL194" s="58" t="n"/>
      <c r="BM194" s="58" t="n"/>
      <c r="BN194" s="58" t="n"/>
    </row>
    <row r="195">
      <c r="A195">
        <f>CONCATENATE(B195,C195)</f>
        <v/>
      </c>
      <c r="B195" t="inlineStr">
        <is>
          <t>South America</t>
        </is>
      </c>
      <c r="C195" s="206" t="inlineStr">
        <is>
          <t>Groundnuts, with shell</t>
        </is>
      </c>
      <c r="D195" s="206">
        <f>VLOOKUP(B195, [2]list_region_country!$B$3:$D$20, 3, FALSE)</f>
        <v/>
      </c>
      <c r="E195" s="206">
        <f>CONCATENATE(D195,C195)</f>
        <v/>
      </c>
      <c r="F195" t="n">
        <v>28839</v>
      </c>
      <c r="G195" t="n">
        <v>29607</v>
      </c>
      <c r="H195" t="n">
        <v>23478</v>
      </c>
      <c r="I195" t="n">
        <v>31690</v>
      </c>
      <c r="J195" t="n">
        <v>32664</v>
      </c>
      <c r="L195">
        <f>AVERAGE(F195:J195)/10000</f>
        <v/>
      </c>
      <c r="BK195" s="58" t="n"/>
      <c r="BL195" s="58" t="n"/>
      <c r="BM195" s="58" t="n"/>
      <c r="BN195" s="58" t="n"/>
    </row>
    <row r="196">
      <c r="A196">
        <f>CONCATENATE(B196,C196)</f>
        <v/>
      </c>
      <c r="B196" t="inlineStr">
        <is>
          <t>South America</t>
        </is>
      </c>
      <c r="C196" s="206" t="inlineStr">
        <is>
          <t>Beans, dry</t>
        </is>
      </c>
      <c r="D196" s="206">
        <f>VLOOKUP(B196, [2]list_region_country!$B$3:$D$20, 3, FALSE)</f>
        <v/>
      </c>
      <c r="E196" s="206">
        <f>CONCATENATE(D196,C196)</f>
        <v/>
      </c>
      <c r="F196" t="n">
        <v>10020</v>
      </c>
      <c r="G196" t="n">
        <v>10731</v>
      </c>
      <c r="H196" t="n">
        <v>10450</v>
      </c>
      <c r="I196" t="n">
        <v>11236</v>
      </c>
      <c r="J196" t="n">
        <v>11461</v>
      </c>
      <c r="L196">
        <f>AVERAGE(F196:J196)/10000</f>
        <v/>
      </c>
      <c r="BK196" s="58" t="n"/>
      <c r="BL196" s="58" t="n"/>
      <c r="BM196" s="58" t="n"/>
      <c r="BN196" s="58" t="n"/>
    </row>
    <row r="197">
      <c r="A197">
        <f>CONCATENATE(B197,C197)</f>
        <v/>
      </c>
      <c r="B197" t="inlineStr">
        <is>
          <t>South America</t>
        </is>
      </c>
      <c r="C197" s="4432" t="inlineStr">
        <is>
          <t>Vegetables</t>
        </is>
      </c>
      <c r="D197" s="206">
        <f>VLOOKUP(B197, [2]list_region_country!$B$3:$D$20, 3, FALSE)</f>
        <v/>
      </c>
      <c r="E197" s="206">
        <f>CONCATENATE(D197,C197)</f>
        <v/>
      </c>
      <c r="F197" t="n">
        <v>184887</v>
      </c>
      <c r="G197" t="n">
        <v>187526</v>
      </c>
      <c r="H197" t="n">
        <v>191727</v>
      </c>
      <c r="I197" t="n">
        <v>189207</v>
      </c>
      <c r="J197" t="n">
        <v>185367</v>
      </c>
      <c r="L197">
        <f>AVERAGE(F197:J197)/10000</f>
        <v/>
      </c>
      <c r="BK197" s="58" t="n"/>
      <c r="BL197" s="58" t="n"/>
      <c r="BM197" s="58" t="n"/>
      <c r="BN197" s="58" t="n"/>
    </row>
    <row r="198">
      <c r="A198">
        <f>CONCATENATE(B198,C198)</f>
        <v/>
      </c>
      <c r="B198" t="inlineStr">
        <is>
          <t>South America</t>
        </is>
      </c>
      <c r="C198" s="4432" t="inlineStr">
        <is>
          <t>Oilseeds</t>
        </is>
      </c>
      <c r="D198" s="206">
        <f>VLOOKUP(B198, [2]list_region_country!$B$3:$D$20, 3, FALSE)</f>
        <v/>
      </c>
      <c r="E198" s="206">
        <f>CONCATENATE(D198,C198)</f>
        <v/>
      </c>
      <c r="F198" t="n">
        <v>15686.625</v>
      </c>
      <c r="G198" t="n">
        <v>16125.375</v>
      </c>
      <c r="H198" t="n">
        <v>16584.375</v>
      </c>
      <c r="I198" t="n">
        <v>17536</v>
      </c>
      <c r="J198" t="n">
        <v>17631.625</v>
      </c>
      <c r="L198">
        <f>AVERAGE(F198:J198)/10000</f>
        <v/>
      </c>
      <c r="BK198" s="58" t="n"/>
      <c r="BL198" s="58" t="n"/>
      <c r="BM198" s="58" t="n"/>
      <c r="BN198" s="58" t="n"/>
    </row>
    <row r="199" customFormat="1" s="480">
      <c r="A199" s="480">
        <f>CONCATENATE(B199,C199)</f>
        <v/>
      </c>
      <c r="B199" s="480" t="inlineStr">
        <is>
          <t>South America</t>
        </is>
      </c>
      <c r="C199" s="4432">
        <f>C181</f>
        <v/>
      </c>
      <c r="D199" s="483">
        <f>VLOOKUP(B199, [2]list_region_country!$B$3:$D$20, 3, FALSE)</f>
        <v/>
      </c>
      <c r="E199" s="483">
        <f>CONCATENATE(D199,C199)</f>
        <v/>
      </c>
      <c r="L199" s="480">
        <f>AVERAGEIF(L182:L198,"&gt;0")</f>
        <v/>
      </c>
      <c r="BK199" s="4435" t="n"/>
      <c r="BL199" s="4435" t="n"/>
      <c r="BM199" s="4435" t="n"/>
      <c r="BN199" s="4435" t="n"/>
    </row>
    <row r="200">
      <c r="A200">
        <f>CONCATENATE(B200,C200)</f>
        <v/>
      </c>
      <c r="B200" t="inlineStr">
        <is>
          <t>South-eastern Asia</t>
        </is>
      </c>
      <c r="C200" s="206" t="inlineStr">
        <is>
          <t>Cereals,Total</t>
        </is>
      </c>
      <c r="D200" s="206">
        <f>VLOOKUP(B200, [2]list_region_country!$B$3:$D$20, 3, FALSE)</f>
        <v/>
      </c>
      <c r="E200" s="206">
        <f>CONCATENATE(D200,C200)</f>
        <v/>
      </c>
      <c r="F200" t="n">
        <v>42113</v>
      </c>
      <c r="G200" t="n">
        <v>42633</v>
      </c>
      <c r="H200" t="n">
        <v>43455</v>
      </c>
      <c r="I200" t="n">
        <v>43006</v>
      </c>
      <c r="J200" t="n">
        <v>43216</v>
      </c>
      <c r="L200">
        <f>AVERAGE(F200:J200)/10000</f>
        <v/>
      </c>
      <c r="BK200" s="58" t="n"/>
      <c r="BL200" s="58" t="n"/>
      <c r="BM200" s="58" t="n"/>
      <c r="BN200" s="58" t="n"/>
    </row>
    <row r="201">
      <c r="A201">
        <f>CONCATENATE(B201,C201)</f>
        <v/>
      </c>
      <c r="B201" t="inlineStr">
        <is>
          <t>South-eastern Asia</t>
        </is>
      </c>
      <c r="C201" s="207" t="inlineStr">
        <is>
          <t>Pulses,Total</t>
        </is>
      </c>
      <c r="D201" s="206">
        <f>VLOOKUP(B201, [2]list_region_country!$B$3:$D$20, 3, FALSE)</f>
        <v/>
      </c>
      <c r="E201" s="206">
        <f>CONCATENATE(D201,C201)</f>
        <v/>
      </c>
      <c r="F201" t="n">
        <v>9988</v>
      </c>
      <c r="G201" t="n">
        <v>9657</v>
      </c>
      <c r="H201" t="n">
        <v>9667</v>
      </c>
      <c r="I201" t="n">
        <v>9550</v>
      </c>
      <c r="J201" t="n">
        <v>9453</v>
      </c>
      <c r="L201">
        <f>AVERAGE(F201:J201)/10000</f>
        <v/>
      </c>
      <c r="BK201" s="58" t="n"/>
      <c r="BL201" s="58" t="n"/>
      <c r="BM201" s="58" t="n"/>
      <c r="BN201" s="58" t="n"/>
    </row>
    <row r="202">
      <c r="A202">
        <f>CONCATENATE(B202,C202)</f>
        <v/>
      </c>
      <c r="B202" t="inlineStr">
        <is>
          <t>South-eastern Asia</t>
        </is>
      </c>
      <c r="C202" s="207" t="inlineStr">
        <is>
          <t>Roots and Tubers,Total</t>
        </is>
      </c>
      <c r="D202" s="206">
        <f>VLOOKUP(B202, [2]list_region_country!$B$3:$D$20, 3, FALSE)</f>
        <v/>
      </c>
      <c r="E202" s="206">
        <f>CONCATENATE(D202,C202)</f>
        <v/>
      </c>
      <c r="F202" t="n">
        <v>205869</v>
      </c>
      <c r="G202" t="n">
        <v>205015</v>
      </c>
      <c r="H202" t="n">
        <v>203326</v>
      </c>
      <c r="I202" t="n">
        <v>208015</v>
      </c>
      <c r="J202" t="n">
        <v>207829</v>
      </c>
      <c r="L202">
        <f>AVERAGE(F202:J202)/10000</f>
        <v/>
      </c>
      <c r="BK202" s="58" t="n"/>
      <c r="BL202" s="58" t="n"/>
      <c r="BM202" s="58" t="n"/>
      <c r="BN202" s="58" t="n"/>
    </row>
    <row r="203">
      <c r="A203">
        <f>CONCATENATE(B203,C203)</f>
        <v/>
      </c>
      <c r="B203" t="inlineStr">
        <is>
          <t>South-eastern Asia</t>
        </is>
      </c>
      <c r="C203" s="206" t="inlineStr">
        <is>
          <t>Barley</t>
        </is>
      </c>
      <c r="D203" s="206">
        <f>VLOOKUP(B203, [2]list_region_country!$B$3:$D$20, 3, FALSE)</f>
        <v/>
      </c>
      <c r="E203" s="206">
        <f>CONCATENATE(D203,C203)</f>
        <v/>
      </c>
      <c r="F203" t="n">
        <v>22910</v>
      </c>
      <c r="G203" t="n">
        <v>23184</v>
      </c>
      <c r="H203" t="n">
        <v>23223</v>
      </c>
      <c r="I203" t="n">
        <v>23434</v>
      </c>
      <c r="J203" t="n">
        <v>23645</v>
      </c>
      <c r="L203">
        <f>AVERAGE(F203:J203)/10000</f>
        <v/>
      </c>
      <c r="BK203" s="58" t="n"/>
      <c r="BL203" s="58" t="n"/>
      <c r="BM203" s="58" t="n"/>
      <c r="BN203" s="58" t="n"/>
    </row>
    <row r="204">
      <c r="A204">
        <f>CONCATENATE(B204,C204)</f>
        <v/>
      </c>
      <c r="B204" t="inlineStr">
        <is>
          <t>South-eastern Asia</t>
        </is>
      </c>
      <c r="C204" s="207" t="inlineStr">
        <is>
          <t>Maize</t>
        </is>
      </c>
      <c r="D204" s="206">
        <f>VLOOKUP(B204, [2]list_region_country!$B$3:$D$20, 3, FALSE)</f>
        <v/>
      </c>
      <c r="E204" s="206">
        <f>CONCATENATE(D204,C204)</f>
        <v/>
      </c>
      <c r="F204" t="n">
        <v>44568</v>
      </c>
      <c r="G204" t="n">
        <v>45615</v>
      </c>
      <c r="H204" t="n">
        <v>46317</v>
      </c>
      <c r="I204" t="n">
        <v>45600</v>
      </c>
      <c r="J204" t="n">
        <v>46642</v>
      </c>
      <c r="L204">
        <f>AVERAGE(F204:J204)/10000</f>
        <v/>
      </c>
      <c r="BK204" s="58" t="n"/>
      <c r="BL204" s="58" t="n"/>
      <c r="BM204" s="58" t="n"/>
      <c r="BN204" s="58" t="n"/>
    </row>
    <row r="205">
      <c r="A205">
        <f>CONCATENATE(B205,C205)</f>
        <v/>
      </c>
      <c r="B205" t="inlineStr">
        <is>
          <t>South-eastern Asia</t>
        </is>
      </c>
      <c r="C205" s="207" t="inlineStr">
        <is>
          <t>Oats</t>
        </is>
      </c>
      <c r="D205" s="206">
        <f>VLOOKUP(B205, [2]list_region_country!$B$3:$D$20, 3, FALSE)</f>
        <v/>
      </c>
      <c r="E205" s="206">
        <f>CONCATENATE(D205,C205)</f>
        <v/>
      </c>
      <c r="F205" t="n">
        <v>0</v>
      </c>
      <c r="G205" t="n">
        <v>0</v>
      </c>
      <c r="H205" t="n">
        <v>0</v>
      </c>
      <c r="I205" t="n">
        <v>0</v>
      </c>
      <c r="J205" t="n">
        <v>0</v>
      </c>
      <c r="L205">
        <f>AVERAGE(F205:J205)/10000</f>
        <v/>
      </c>
      <c r="BK205" s="58" t="n"/>
      <c r="BL205" s="58" t="n"/>
      <c r="BM205" s="58" t="n"/>
      <c r="BN205" s="58" t="n"/>
    </row>
    <row r="206">
      <c r="A206">
        <f>CONCATENATE(B206,C206)</f>
        <v/>
      </c>
      <c r="B206" t="inlineStr">
        <is>
          <t>South-eastern Asia</t>
        </is>
      </c>
      <c r="C206" s="207" t="inlineStr">
        <is>
          <t>Potatoes</t>
        </is>
      </c>
      <c r="D206" s="206">
        <f>VLOOKUP(B206, [2]list_region_country!$B$3:$D$20, 3, FALSE)</f>
        <v/>
      </c>
      <c r="E206" s="206">
        <f>CONCATENATE(D206,C206)</f>
        <v/>
      </c>
      <c r="F206" t="n">
        <v>165901</v>
      </c>
      <c r="G206" t="n">
        <v>152693</v>
      </c>
      <c r="H206" t="n">
        <v>169702</v>
      </c>
      <c r="I206" t="n">
        <v>173634</v>
      </c>
      <c r="J206" t="n">
        <v>175741</v>
      </c>
      <c r="L206">
        <f>AVERAGE(F206:J206)/10000</f>
        <v/>
      </c>
      <c r="BK206" s="58" t="n"/>
      <c r="BL206" s="58" t="n"/>
      <c r="BM206" s="58" t="n"/>
      <c r="BN206" s="58" t="n"/>
    </row>
    <row r="207">
      <c r="A207">
        <f>CONCATENATE(B207,C207)</f>
        <v/>
      </c>
      <c r="B207" t="inlineStr">
        <is>
          <t>South-eastern Asia</t>
        </is>
      </c>
      <c r="C207" s="207" t="inlineStr">
        <is>
          <t>Soybeans</t>
        </is>
      </c>
      <c r="D207" s="206">
        <f>VLOOKUP(B207, [2]list_region_country!$B$3:$D$20, 3, FALSE)</f>
        <v/>
      </c>
      <c r="E207" s="206">
        <f>CONCATENATE(D207,C207)</f>
        <v/>
      </c>
      <c r="F207" t="n">
        <v>14405</v>
      </c>
      <c r="G207" t="n">
        <v>14435</v>
      </c>
      <c r="H207" t="n">
        <v>13317</v>
      </c>
      <c r="I207" t="n">
        <v>14293</v>
      </c>
      <c r="J207" t="n">
        <v>14651</v>
      </c>
      <c r="L207">
        <f>AVERAGE(F207:J207)/10000</f>
        <v/>
      </c>
      <c r="BK207" s="58" t="n"/>
      <c r="BL207" s="58" t="n"/>
      <c r="BM207" s="58" t="n"/>
      <c r="BN207" s="58" t="n"/>
    </row>
    <row r="208">
      <c r="A208">
        <f>CONCATENATE(B208,C208)</f>
        <v/>
      </c>
      <c r="B208" t="inlineStr">
        <is>
          <t>South-eastern Asia</t>
        </is>
      </c>
      <c r="C208" s="206" t="inlineStr">
        <is>
          <t>Wheat</t>
        </is>
      </c>
      <c r="D208" s="206">
        <f>VLOOKUP(B208, [2]list_region_country!$B$3:$D$20, 3, FALSE)</f>
        <v/>
      </c>
      <c r="E208" s="206">
        <f>CONCATENATE(D208,C208)</f>
        <v/>
      </c>
      <c r="F208" t="n">
        <v>11837</v>
      </c>
      <c r="G208" t="n">
        <v>18682</v>
      </c>
      <c r="H208" t="n">
        <v>18581</v>
      </c>
      <c r="I208" t="n">
        <v>18649</v>
      </c>
      <c r="J208" t="n">
        <v>18627</v>
      </c>
      <c r="L208">
        <f>AVERAGE(F208:J208)/10000</f>
        <v/>
      </c>
      <c r="BK208" s="58" t="n"/>
      <c r="BL208" s="58" t="n"/>
      <c r="BM208" s="58" t="n"/>
      <c r="BN208" s="58" t="n"/>
    </row>
    <row r="209">
      <c r="A209">
        <f>CONCATENATE(B209,C209)</f>
        <v/>
      </c>
      <c r="B209" t="inlineStr">
        <is>
          <t>South-eastern Asia</t>
        </is>
      </c>
      <c r="C209" s="207" t="inlineStr">
        <is>
          <t>Millet</t>
        </is>
      </c>
      <c r="D209" s="206">
        <f>VLOOKUP(B209, [2]list_region_country!$B$3:$D$20, 3, FALSE)</f>
        <v/>
      </c>
      <c r="E209" s="206">
        <f>CONCATENATE(D209,C209)</f>
        <v/>
      </c>
      <c r="F209" t="n">
        <v>10329</v>
      </c>
      <c r="G209" t="n">
        <v>9794</v>
      </c>
      <c r="H209" t="n">
        <v>9680</v>
      </c>
      <c r="I209" t="n">
        <v>9602</v>
      </c>
      <c r="J209" t="n">
        <v>9689</v>
      </c>
      <c r="L209">
        <f>AVERAGE(F209:J209)/10000</f>
        <v/>
      </c>
      <c r="BK209" s="58" t="n"/>
      <c r="BL209" s="58" t="n"/>
      <c r="BM209" s="58" t="n"/>
      <c r="BN209" s="58" t="n"/>
    </row>
    <row r="210">
      <c r="A210">
        <f>CONCATENATE(B210,C210)</f>
        <v/>
      </c>
      <c r="B210" t="inlineStr">
        <is>
          <t>South-eastern Asia</t>
        </is>
      </c>
      <c r="C210" s="206" t="inlineStr">
        <is>
          <t>Sorghum</t>
        </is>
      </c>
      <c r="D210" s="206">
        <f>VLOOKUP(B210, [2]list_region_country!$B$3:$D$20, 3, FALSE)</f>
        <v/>
      </c>
      <c r="E210" s="206">
        <f>CONCATENATE(D210,C210)</f>
        <v/>
      </c>
      <c r="F210" t="n">
        <v>11054</v>
      </c>
      <c r="G210" t="n">
        <v>10497</v>
      </c>
      <c r="H210" t="n">
        <v>10577</v>
      </c>
      <c r="I210" t="n">
        <v>10594</v>
      </c>
      <c r="J210" t="n">
        <v>10833</v>
      </c>
      <c r="L210">
        <f>AVERAGE(F210:J210)/10000</f>
        <v/>
      </c>
      <c r="BK210" s="58" t="n"/>
      <c r="BL210" s="58" t="n"/>
      <c r="BM210" s="58" t="n"/>
      <c r="BN210" s="58" t="n"/>
    </row>
    <row r="211">
      <c r="A211">
        <f>CONCATENATE(B211,C211)</f>
        <v/>
      </c>
      <c r="B211" t="inlineStr">
        <is>
          <t>South-eastern Asia</t>
        </is>
      </c>
      <c r="C211" s="4431" t="inlineStr">
        <is>
          <t>Rice, paddy</t>
        </is>
      </c>
      <c r="D211" s="206">
        <f>VLOOKUP(B211, [2]list_region_country!$B$3:$D$20, 3, FALSE)</f>
        <v/>
      </c>
      <c r="E211" s="206">
        <f>CONCATENATE(D211,C211)</f>
        <v/>
      </c>
      <c r="F211" t="n">
        <v>42119</v>
      </c>
      <c r="G211" t="n">
        <v>42416</v>
      </c>
      <c r="H211" t="n">
        <v>43210</v>
      </c>
      <c r="I211" t="n">
        <v>42893</v>
      </c>
      <c r="J211" t="n">
        <v>42911</v>
      </c>
      <c r="L211">
        <f>AVERAGE(F211:J211)/10000</f>
        <v/>
      </c>
      <c r="BK211" s="58" t="n"/>
      <c r="BL211" s="58" t="n"/>
      <c r="BM211" s="58" t="n"/>
      <c r="BN211" s="58" t="n"/>
    </row>
    <row r="212">
      <c r="A212">
        <f>CONCATENATE(B212,C212)</f>
        <v/>
      </c>
      <c r="B212" t="inlineStr">
        <is>
          <t>South-eastern Asia</t>
        </is>
      </c>
      <c r="C212" s="206" t="inlineStr">
        <is>
          <t>Rye</t>
        </is>
      </c>
      <c r="D212" s="206">
        <f>VLOOKUP(B212, [2]list_region_country!$B$3:$D$20, 3, FALSE)</f>
        <v/>
      </c>
      <c r="E212" s="206">
        <f>CONCATENATE(D212,C212)</f>
        <v/>
      </c>
      <c r="F212" t="n">
        <v>0</v>
      </c>
      <c r="G212" t="n">
        <v>0</v>
      </c>
      <c r="H212" t="n">
        <v>0</v>
      </c>
      <c r="I212" t="n">
        <v>0</v>
      </c>
      <c r="J212" t="n">
        <v>0</v>
      </c>
      <c r="L212">
        <f>AVERAGE(F212:J212)/10000</f>
        <v/>
      </c>
      <c r="BK212" s="58" t="n"/>
      <c r="BL212" s="58" t="n"/>
      <c r="BM212" s="58" t="n"/>
      <c r="BN212" s="58" t="n"/>
    </row>
    <row r="213">
      <c r="A213">
        <f>CONCATENATE(B213,C213)</f>
        <v/>
      </c>
      <c r="B213" t="inlineStr">
        <is>
          <t>South-eastern Asia</t>
        </is>
      </c>
      <c r="C213" s="206" t="inlineStr">
        <is>
          <t>Groundnuts, with shell</t>
        </is>
      </c>
      <c r="D213" s="206">
        <f>VLOOKUP(B213, [2]list_region_country!$B$3:$D$20, 3, FALSE)</f>
        <v/>
      </c>
      <c r="E213" s="206">
        <f>CONCATENATE(D213,C213)</f>
        <v/>
      </c>
      <c r="F213" t="n">
        <v>18182</v>
      </c>
      <c r="G213" t="n">
        <v>17842</v>
      </c>
      <c r="H213" t="n">
        <v>18131</v>
      </c>
      <c r="I213" t="n">
        <v>17958</v>
      </c>
      <c r="J213" t="n">
        <v>17766</v>
      </c>
      <c r="L213">
        <f>AVERAGE(F213:J213)/10000</f>
        <v/>
      </c>
      <c r="BK213" s="58" t="n"/>
      <c r="BL213" s="58" t="n"/>
      <c r="BM213" s="58" t="n"/>
      <c r="BN213" s="58" t="n"/>
    </row>
    <row r="214">
      <c r="A214">
        <f>CONCATENATE(B214,C214)</f>
        <v/>
      </c>
      <c r="B214" t="inlineStr">
        <is>
          <t>South-eastern Asia</t>
        </is>
      </c>
      <c r="C214" s="206" t="inlineStr">
        <is>
          <t>Beans, dry</t>
        </is>
      </c>
      <c r="D214" s="206">
        <f>VLOOKUP(B214, [2]list_region_country!$B$3:$D$20, 3, FALSE)</f>
        <v/>
      </c>
      <c r="E214" s="206">
        <f>CONCATENATE(D214,C214)</f>
        <v/>
      </c>
      <c r="F214" t="n">
        <v>9682</v>
      </c>
      <c r="G214" t="n">
        <v>9493</v>
      </c>
      <c r="H214" t="n">
        <v>9461</v>
      </c>
      <c r="I214" t="n">
        <v>9420</v>
      </c>
      <c r="J214" t="n">
        <v>9314</v>
      </c>
      <c r="L214">
        <f>AVERAGE(F214:J214)/10000</f>
        <v/>
      </c>
      <c r="BK214" s="58" t="n"/>
      <c r="BL214" s="58" t="n"/>
      <c r="BM214" s="58" t="n"/>
      <c r="BN214" s="58" t="n"/>
    </row>
    <row r="215">
      <c r="A215">
        <f>CONCATENATE(B215,C215)</f>
        <v/>
      </c>
      <c r="B215" t="inlineStr">
        <is>
          <t>South-eastern Asia</t>
        </is>
      </c>
      <c r="C215" s="4432" t="inlineStr">
        <is>
          <t>Vegetables</t>
        </is>
      </c>
      <c r="D215" s="206">
        <f>VLOOKUP(B215, [2]list_region_country!$B$3:$D$20, 3, FALSE)</f>
        <v/>
      </c>
      <c r="E215" s="206">
        <f>CONCATENATE(D215,C215)</f>
        <v/>
      </c>
      <c r="F215" t="n">
        <v>112674</v>
      </c>
      <c r="G215" t="n">
        <v>111149</v>
      </c>
      <c r="H215" t="n">
        <v>113021</v>
      </c>
      <c r="I215" t="n">
        <v>115952</v>
      </c>
      <c r="J215" t="n">
        <v>116995</v>
      </c>
      <c r="L215">
        <f>AVERAGE(F215:J215)/10000</f>
        <v/>
      </c>
      <c r="BK215" s="58" t="n"/>
      <c r="BL215" s="58" t="n"/>
      <c r="BM215" s="58" t="n"/>
      <c r="BN215" s="58" t="n"/>
    </row>
    <row r="216">
      <c r="A216">
        <f>CONCATENATE(B216,C216)</f>
        <v/>
      </c>
      <c r="B216" t="inlineStr">
        <is>
          <t>South-eastern Asia</t>
        </is>
      </c>
      <c r="C216" s="4432" t="inlineStr">
        <is>
          <t>Oilseeds</t>
        </is>
      </c>
      <c r="D216" s="206">
        <f>VLOOKUP(B216, [2]list_region_country!$B$3:$D$20, 3, FALSE)</f>
        <v/>
      </c>
      <c r="E216" s="206">
        <f>CONCATENATE(D216,C216)</f>
        <v/>
      </c>
      <c r="F216" t="n">
        <v>12612.2</v>
      </c>
      <c r="G216" t="n">
        <v>12165</v>
      </c>
      <c r="H216" t="n">
        <v>11631.2</v>
      </c>
      <c r="I216" t="n">
        <v>11554.6</v>
      </c>
      <c r="J216" t="n">
        <v>11653.8</v>
      </c>
      <c r="L216">
        <f>AVERAGE(F216:J216)/10000</f>
        <v/>
      </c>
      <c r="BK216" s="58" t="n"/>
      <c r="BL216" s="58" t="n"/>
      <c r="BM216" s="58" t="n"/>
      <c r="BN216" s="58" t="n"/>
    </row>
    <row r="217" customFormat="1" s="480">
      <c r="A217" s="480">
        <f>CONCATENATE(B217,C217)</f>
        <v/>
      </c>
      <c r="B217" s="480" t="inlineStr">
        <is>
          <t>South-eastern Asia</t>
        </is>
      </c>
      <c r="C217" s="4432">
        <f>C199</f>
        <v/>
      </c>
      <c r="D217" s="483">
        <f>VLOOKUP(B217, [2]list_region_country!$B$3:$D$20, 3, FALSE)</f>
        <v/>
      </c>
      <c r="E217" s="483">
        <f>CONCATENATE(D217,C217)</f>
        <v/>
      </c>
      <c r="L217" s="480">
        <f>AVERAGEIF(L200:L216,"&gt;0")</f>
        <v/>
      </c>
      <c r="BK217" s="4435" t="n"/>
      <c r="BL217" s="4435" t="n"/>
      <c r="BM217" s="4435" t="n"/>
      <c r="BN217" s="4435" t="n"/>
    </row>
    <row r="218">
      <c r="A218">
        <f>CONCATENATE(B218,C218)</f>
        <v/>
      </c>
      <c r="B218" t="inlineStr">
        <is>
          <t>Southern Africa</t>
        </is>
      </c>
      <c r="C218" s="206" t="inlineStr">
        <is>
          <t>Cereals,Total</t>
        </is>
      </c>
      <c r="D218" s="206">
        <f>VLOOKUP(B218, [2]list_region_country!$B$3:$D$20, 3, FALSE)</f>
        <v/>
      </c>
      <c r="E218" s="206">
        <f>CONCATENATE(D218,C218)</f>
        <v/>
      </c>
      <c r="F218" t="n">
        <v>33086</v>
      </c>
      <c r="G218" t="n">
        <v>48404</v>
      </c>
      <c r="H218" t="n">
        <v>40780</v>
      </c>
      <c r="I218" t="n">
        <v>39805</v>
      </c>
      <c r="J218" t="n">
        <v>44072</v>
      </c>
      <c r="L218">
        <f>AVERAGE(F218:J218)/10000</f>
        <v/>
      </c>
      <c r="BK218" s="58" t="n"/>
      <c r="BL218" s="58" t="n"/>
      <c r="BM218" s="58" t="n"/>
      <c r="BN218" s="58" t="n"/>
    </row>
    <row r="219">
      <c r="A219">
        <f>CONCATENATE(B219,C219)</f>
        <v/>
      </c>
      <c r="B219" t="inlineStr">
        <is>
          <t>Southern Africa</t>
        </is>
      </c>
      <c r="C219" s="207" t="inlineStr">
        <is>
          <t>Pulses,Total</t>
        </is>
      </c>
      <c r="D219" s="206">
        <f>VLOOKUP(B219, [2]list_region_country!$B$3:$D$20, 3, FALSE)</f>
        <v/>
      </c>
      <c r="E219" s="206">
        <f>CONCATENATE(D219,C219)</f>
        <v/>
      </c>
      <c r="F219" t="n">
        <v>7858</v>
      </c>
      <c r="G219" t="n">
        <v>9142</v>
      </c>
      <c r="H219" t="n">
        <v>7819</v>
      </c>
      <c r="I219" t="n">
        <v>8871</v>
      </c>
      <c r="J219" t="n">
        <v>8711</v>
      </c>
      <c r="L219">
        <f>AVERAGE(F219:J219)/10000</f>
        <v/>
      </c>
      <c r="BK219" s="58" t="n"/>
      <c r="BL219" s="58" t="n"/>
      <c r="BM219" s="58" t="n"/>
      <c r="BN219" s="58" t="n"/>
    </row>
    <row r="220">
      <c r="A220">
        <f>CONCATENATE(B220,C220)</f>
        <v/>
      </c>
      <c r="B220" t="inlineStr">
        <is>
          <t>Southern Africa</t>
        </is>
      </c>
      <c r="C220" s="207" t="inlineStr">
        <is>
          <t>Roots and Tubers,Total</t>
        </is>
      </c>
      <c r="D220" s="206">
        <f>VLOOKUP(B220, [2]list_region_country!$B$3:$D$20, 3, FALSE)</f>
        <v/>
      </c>
      <c r="E220" s="206">
        <f>CONCATENATE(D220,C220)</f>
        <v/>
      </c>
      <c r="F220" t="n">
        <v>188022</v>
      </c>
      <c r="G220" t="n">
        <v>193985</v>
      </c>
      <c r="H220" t="n">
        <v>190150</v>
      </c>
      <c r="I220" t="n">
        <v>189404</v>
      </c>
      <c r="J220" t="n">
        <v>192475</v>
      </c>
      <c r="L220">
        <f>AVERAGE(F220:J220)/10000</f>
        <v/>
      </c>
      <c r="BK220" s="58" t="n"/>
      <c r="BL220" s="58" t="n"/>
      <c r="BM220" s="58" t="n"/>
      <c r="BN220" s="58" t="n"/>
    </row>
    <row r="221">
      <c r="A221">
        <f>CONCATENATE(B221,C221)</f>
        <v/>
      </c>
      <c r="B221" t="inlineStr">
        <is>
          <t>Southern Africa</t>
        </is>
      </c>
      <c r="C221" s="206" t="inlineStr">
        <is>
          <t>Barley</t>
        </is>
      </c>
      <c r="D221" s="206">
        <f>VLOOKUP(B221, [2]list_region_country!$B$3:$D$20, 3, FALSE)</f>
        <v/>
      </c>
      <c r="E221" s="206">
        <f>CONCATENATE(D221,C221)</f>
        <v/>
      </c>
      <c r="F221" t="n">
        <v>39288</v>
      </c>
      <c r="G221" t="n">
        <v>33008</v>
      </c>
      <c r="H221" t="n">
        <v>34942</v>
      </c>
      <c r="I221" t="n">
        <v>25833</v>
      </c>
      <c r="J221" t="n">
        <v>41149</v>
      </c>
      <c r="L221">
        <f>AVERAGE(F221:J221)/10000</f>
        <v/>
      </c>
      <c r="BK221" s="58" t="n"/>
      <c r="BL221" s="58" t="n"/>
      <c r="BM221" s="58" t="n"/>
      <c r="BN221" s="58" t="n"/>
    </row>
    <row r="222">
      <c r="A222">
        <f>CONCATENATE(B222,C222)</f>
        <v/>
      </c>
      <c r="B222" t="inlineStr">
        <is>
          <t>Southern Africa</t>
        </is>
      </c>
      <c r="C222" s="207" t="inlineStr">
        <is>
          <t>Maize</t>
        </is>
      </c>
      <c r="D222" s="206">
        <f>VLOOKUP(B222, [2]list_region_country!$B$3:$D$20, 3, FALSE)</f>
        <v/>
      </c>
      <c r="E222" s="206">
        <f>CONCATENATE(D222,C222)</f>
        <v/>
      </c>
      <c r="F222" t="n">
        <v>37616</v>
      </c>
      <c r="G222" t="n">
        <v>58307</v>
      </c>
      <c r="H222" t="n">
        <v>48614</v>
      </c>
      <c r="I222" t="n">
        <v>46192</v>
      </c>
      <c r="J222" t="n">
        <v>53978</v>
      </c>
      <c r="L222">
        <f>AVERAGE(F222:J222)/10000</f>
        <v/>
      </c>
      <c r="BK222" s="58" t="n"/>
      <c r="BL222" s="58" t="n"/>
      <c r="BM222" s="58" t="n"/>
      <c r="BN222" s="58" t="n"/>
    </row>
    <row r="223">
      <c r="A223">
        <f>CONCATENATE(B223,C223)</f>
        <v/>
      </c>
      <c r="B223" t="inlineStr">
        <is>
          <t>Southern Africa</t>
        </is>
      </c>
      <c r="C223" s="207" t="inlineStr">
        <is>
          <t>Oats</t>
        </is>
      </c>
      <c r="D223" s="206">
        <f>VLOOKUP(B223, [2]list_region_country!$B$3:$D$20, 3, FALSE)</f>
        <v/>
      </c>
      <c r="E223" s="206">
        <f>CONCATENATE(D223,C223)</f>
        <v/>
      </c>
      <c r="F223" t="n">
        <v>16276</v>
      </c>
      <c r="G223" t="n">
        <v>16485</v>
      </c>
      <c r="H223" t="n">
        <v>16980</v>
      </c>
      <c r="I223" t="n">
        <v>7931</v>
      </c>
      <c r="J223" t="n">
        <v>21382</v>
      </c>
      <c r="L223">
        <f>AVERAGE(F223:J223)/10000</f>
        <v/>
      </c>
      <c r="BK223" s="58" t="n"/>
      <c r="BL223" s="58" t="n"/>
      <c r="BM223" s="58" t="n"/>
      <c r="BN223" s="58" t="n"/>
    </row>
    <row r="224">
      <c r="A224">
        <f>CONCATENATE(B224,C224)</f>
        <v/>
      </c>
      <c r="B224" t="inlineStr">
        <is>
          <t>Southern Africa</t>
        </is>
      </c>
      <c r="C224" s="207" t="inlineStr">
        <is>
          <t>Potatoes</t>
        </is>
      </c>
      <c r="D224" s="206">
        <f>VLOOKUP(B224, [2]list_region_country!$B$3:$D$20, 3, FALSE)</f>
        <v/>
      </c>
      <c r="E224" s="206">
        <f>CONCATENATE(D224,C224)</f>
        <v/>
      </c>
      <c r="F224" t="n">
        <v>319974</v>
      </c>
      <c r="G224" t="n">
        <v>324908</v>
      </c>
      <c r="H224" t="n">
        <v>327183</v>
      </c>
      <c r="I224" t="n">
        <v>328333</v>
      </c>
      <c r="J224" t="n">
        <v>329316</v>
      </c>
      <c r="L224">
        <f>AVERAGE(F224:J224)/10000</f>
        <v/>
      </c>
      <c r="BK224" s="58" t="n"/>
      <c r="BL224" s="58" t="n"/>
      <c r="BM224" s="58" t="n"/>
      <c r="BN224" s="58" t="n"/>
    </row>
    <row r="225">
      <c r="A225">
        <f>CONCATENATE(B225,C225)</f>
        <v/>
      </c>
      <c r="B225" t="inlineStr">
        <is>
          <t>Southern Africa</t>
        </is>
      </c>
      <c r="C225" s="207" t="inlineStr">
        <is>
          <t>Soybeans</t>
        </is>
      </c>
      <c r="D225" s="206">
        <f>VLOOKUP(B225, [2]list_region_country!$B$3:$D$20, 3, FALSE)</f>
        <v/>
      </c>
      <c r="E225" s="206">
        <f>CONCATENATE(D225,C225)</f>
        <v/>
      </c>
      <c r="F225" t="n">
        <v>14757</v>
      </c>
      <c r="G225" t="n">
        <v>22929</v>
      </c>
      <c r="H225" t="n">
        <v>19563</v>
      </c>
      <c r="I225" t="n">
        <v>16021</v>
      </c>
      <c r="J225" t="n">
        <v>17667</v>
      </c>
      <c r="L225">
        <f>AVERAGE(F225:J225)/10000</f>
        <v/>
      </c>
      <c r="BK225" s="58" t="n"/>
      <c r="BL225" s="58" t="n"/>
      <c r="BM225" s="58" t="n"/>
      <c r="BN225" s="58" t="n"/>
    </row>
    <row r="226">
      <c r="A226">
        <f>CONCATENATE(B226,C226)</f>
        <v/>
      </c>
      <c r="B226" t="inlineStr">
        <is>
          <t>Southern Africa</t>
        </is>
      </c>
      <c r="C226" s="206" t="inlineStr">
        <is>
          <t>Wheat</t>
        </is>
      </c>
      <c r="D226" s="206">
        <f>VLOOKUP(B226, [2]list_region_country!$B$3:$D$20, 3, FALSE)</f>
        <v/>
      </c>
      <c r="E226" s="206">
        <f>CONCATENATE(D226,C226)</f>
        <v/>
      </c>
      <c r="F226" t="n">
        <v>37115</v>
      </c>
      <c r="G226" t="n">
        <v>31015</v>
      </c>
      <c r="H226" t="n">
        <v>36690</v>
      </c>
      <c r="I226" t="n">
        <v>28308</v>
      </c>
      <c r="J226" t="n">
        <v>40904</v>
      </c>
      <c r="L226">
        <f>AVERAGE(F226:J226)/10000</f>
        <v/>
      </c>
      <c r="BK226" s="58" t="n"/>
      <c r="BL226" s="58" t="n"/>
      <c r="BM226" s="58" t="n"/>
      <c r="BN226" s="58" t="n"/>
    </row>
    <row r="227">
      <c r="A227">
        <f>CONCATENATE(B227,C227)</f>
        <v/>
      </c>
      <c r="B227" t="inlineStr">
        <is>
          <t>Southern Africa</t>
        </is>
      </c>
      <c r="C227" s="207" t="inlineStr">
        <is>
          <t>Millet</t>
        </is>
      </c>
      <c r="D227" s="206">
        <f>VLOOKUP(B227, [2]list_region_country!$B$3:$D$20, 3, FALSE)</f>
        <v/>
      </c>
      <c r="E227" s="206">
        <f>CONCATENATE(D227,C227)</f>
        <v/>
      </c>
      <c r="F227" t="n">
        <v>1064</v>
      </c>
      <c r="G227" t="n">
        <v>2292</v>
      </c>
      <c r="H227" t="n">
        <v>3295</v>
      </c>
      <c r="I227" t="n">
        <v>2627</v>
      </c>
      <c r="J227" t="n">
        <v>2114</v>
      </c>
      <c r="L227">
        <f>AVERAGE(F227:J227)/10000</f>
        <v/>
      </c>
      <c r="BK227" s="58" t="n"/>
      <c r="BL227" s="58" t="n"/>
      <c r="BM227" s="58" t="n"/>
      <c r="BN227" s="58" t="n"/>
    </row>
    <row r="228">
      <c r="A228">
        <f>CONCATENATE(B228,C228)</f>
        <v/>
      </c>
      <c r="B228" t="inlineStr">
        <is>
          <t>Southern Africa</t>
        </is>
      </c>
      <c r="C228" s="206" t="inlineStr">
        <is>
          <t>Sorghum</t>
        </is>
      </c>
      <c r="D228" s="206">
        <f>VLOOKUP(B228, [2]list_region_country!$B$3:$D$20, 3, FALSE)</f>
        <v/>
      </c>
      <c r="E228" s="206">
        <f>CONCATENATE(D228,C228)</f>
        <v/>
      </c>
      <c r="F228" t="n">
        <v>9548</v>
      </c>
      <c r="G228" t="n">
        <v>15321</v>
      </c>
      <c r="H228" t="n">
        <v>10832</v>
      </c>
      <c r="I228" t="n">
        <v>17323</v>
      </c>
      <c r="J228" t="n">
        <v>20322</v>
      </c>
      <c r="L228">
        <f>AVERAGE(F228:J228)/10000</f>
        <v/>
      </c>
      <c r="BK228" s="58" t="n"/>
      <c r="BL228" s="58" t="n"/>
      <c r="BM228" s="58" t="n"/>
      <c r="BN228" s="58" t="n"/>
    </row>
    <row r="229">
      <c r="A229">
        <f>CONCATENATE(B229,C229)</f>
        <v/>
      </c>
      <c r="B229" t="inlineStr">
        <is>
          <t>Southern Africa</t>
        </is>
      </c>
      <c r="C229" s="4431" t="inlineStr">
        <is>
          <t>Rice, paddy</t>
        </is>
      </c>
      <c r="D229" s="206">
        <f>VLOOKUP(B229, [2]list_region_country!$B$3:$D$20, 3, FALSE)</f>
        <v/>
      </c>
      <c r="E229" s="206">
        <f>CONCATENATE(D229,C229)</f>
        <v/>
      </c>
      <c r="F229" t="n">
        <v>28412</v>
      </c>
      <c r="G229" t="n">
        <v>28585</v>
      </c>
      <c r="H229" t="n">
        <v>28914</v>
      </c>
      <c r="I229" t="n">
        <v>29066</v>
      </c>
      <c r="J229" t="n">
        <v>29177</v>
      </c>
      <c r="L229">
        <f>AVERAGE(F229:J229)/10000</f>
        <v/>
      </c>
      <c r="BK229" s="58" t="n"/>
      <c r="BL229" s="58" t="n"/>
      <c r="BM229" s="58" t="n"/>
      <c r="BN229" s="58" t="n"/>
    </row>
    <row r="230">
      <c r="A230">
        <f>CONCATENATE(B230,C230)</f>
        <v/>
      </c>
      <c r="B230" t="inlineStr">
        <is>
          <t>Southern Africa</t>
        </is>
      </c>
      <c r="C230" s="206" t="inlineStr">
        <is>
          <t>Rye</t>
        </is>
      </c>
      <c r="D230" s="206">
        <f>VLOOKUP(B230, [2]list_region_country!$B$3:$D$20, 3, FALSE)</f>
        <v/>
      </c>
      <c r="E230" s="206">
        <f>CONCATENATE(D230,C230)</f>
        <v/>
      </c>
      <c r="F230" t="n">
        <v>10971</v>
      </c>
      <c r="G230" t="n">
        <v>11199</v>
      </c>
      <c r="H230" t="n">
        <v>11286</v>
      </c>
      <c r="I230" t="n">
        <v>11150</v>
      </c>
      <c r="J230" t="n">
        <v>11207</v>
      </c>
      <c r="L230">
        <f>AVERAGE(F230:J230)/10000</f>
        <v/>
      </c>
      <c r="BK230" s="58" t="n"/>
      <c r="BL230" s="58" t="n"/>
      <c r="BM230" s="58" t="n"/>
      <c r="BN230" s="58" t="n"/>
    </row>
    <row r="231">
      <c r="A231">
        <f>CONCATENATE(B231,C231)</f>
        <v/>
      </c>
      <c r="B231" t="inlineStr">
        <is>
          <t>Southern Africa</t>
        </is>
      </c>
      <c r="C231" s="206" t="inlineStr">
        <is>
          <t>Groundnuts, with shell</t>
        </is>
      </c>
      <c r="D231" s="206">
        <f>VLOOKUP(B231, [2]list_region_country!$B$3:$D$20, 3, FALSE)</f>
        <v/>
      </c>
      <c r="E231" s="206">
        <f>CONCATENATE(D231,C231)</f>
        <v/>
      </c>
      <c r="F231" t="n">
        <v>6955</v>
      </c>
      <c r="G231" t="n">
        <v>15035</v>
      </c>
      <c r="H231" t="n">
        <v>9346</v>
      </c>
      <c r="I231" t="n">
        <v>8287</v>
      </c>
      <c r="J231" t="n">
        <v>11869</v>
      </c>
      <c r="L231">
        <f>AVERAGE(F231:J231)/10000</f>
        <v/>
      </c>
      <c r="BK231" s="58" t="n"/>
      <c r="BL231" s="58" t="n"/>
      <c r="BM231" s="58" t="n"/>
      <c r="BN231" s="58" t="n"/>
    </row>
    <row r="232">
      <c r="A232">
        <f>CONCATENATE(B232,C232)</f>
        <v/>
      </c>
      <c r="B232" t="inlineStr">
        <is>
          <t>Southern Africa</t>
        </is>
      </c>
      <c r="C232" s="206" t="inlineStr">
        <is>
          <t>Beans, dry</t>
        </is>
      </c>
      <c r="D232" s="206">
        <f>VLOOKUP(B232, [2]list_region_country!$B$3:$D$20, 3, FALSE)</f>
        <v/>
      </c>
      <c r="E232" s="206">
        <f>CONCATENATE(D232,C232)</f>
        <v/>
      </c>
      <c r="F232" t="n">
        <v>9602</v>
      </c>
      <c r="G232" t="n">
        <v>11191</v>
      </c>
      <c r="H232" t="n">
        <v>9889</v>
      </c>
      <c r="I232" t="n">
        <v>10769</v>
      </c>
      <c r="J232" t="n">
        <v>11560</v>
      </c>
      <c r="L232">
        <f>AVERAGE(F232:J232)/10000</f>
        <v/>
      </c>
      <c r="BK232" s="58" t="n"/>
      <c r="BL232" s="58" t="n"/>
      <c r="BM232" s="58" t="n"/>
      <c r="BN232" s="58" t="n"/>
    </row>
    <row r="233">
      <c r="A233">
        <f>CONCATENATE(B233,C233)</f>
        <v/>
      </c>
      <c r="B233" t="inlineStr">
        <is>
          <t>Southern Africa</t>
        </is>
      </c>
      <c r="C233" s="4432" t="inlineStr">
        <is>
          <t>Vegetables</t>
        </is>
      </c>
      <c r="D233" s="206">
        <f>VLOOKUP(B233, [2]list_region_country!$B$3:$D$20, 3, FALSE)</f>
        <v/>
      </c>
      <c r="E233" s="206">
        <f>CONCATENATE(D233,C233)</f>
        <v/>
      </c>
      <c r="F233" t="n">
        <v>181392</v>
      </c>
      <c r="G233" t="n">
        <v>182255</v>
      </c>
      <c r="H233" t="n">
        <v>177241</v>
      </c>
      <c r="I233" t="n">
        <v>178239</v>
      </c>
      <c r="J233" t="n">
        <v>180073</v>
      </c>
      <c r="L233">
        <f>AVERAGE(F233:J233)/10000</f>
        <v/>
      </c>
      <c r="BK233" s="58" t="n"/>
      <c r="BL233" s="58" t="n"/>
      <c r="BM233" s="58" t="n"/>
      <c r="BN233" s="58" t="n"/>
    </row>
    <row r="234">
      <c r="A234">
        <f>CONCATENATE(B234,C234)</f>
        <v/>
      </c>
      <c r="B234" t="inlineStr">
        <is>
          <t>Southern Africa</t>
        </is>
      </c>
      <c r="C234" s="4432" t="inlineStr">
        <is>
          <t>Oilseeds</t>
        </is>
      </c>
      <c r="D234" s="206">
        <f>VLOOKUP(B234, [2]list_region_country!$B$3:$D$20, 3, FALSE)</f>
        <v/>
      </c>
      <c r="E234" s="206">
        <f>CONCATENATE(D234,C234)</f>
        <v/>
      </c>
      <c r="F234" t="n">
        <v>15490</v>
      </c>
      <c r="G234" t="n">
        <v>15331.25</v>
      </c>
      <c r="H234" t="n">
        <v>15831.25</v>
      </c>
      <c r="I234" t="n">
        <v>15689</v>
      </c>
      <c r="J234" t="n">
        <v>19147.75</v>
      </c>
      <c r="L234">
        <f>AVERAGE(F234:J234)/10000</f>
        <v/>
      </c>
      <c r="BK234" s="58" t="n"/>
      <c r="BL234" s="58" t="n"/>
      <c r="BM234" s="58" t="n"/>
      <c r="BN234" s="58" t="n"/>
    </row>
    <row r="235" customFormat="1" s="480">
      <c r="A235" s="480">
        <f>CONCATENATE(B235,C235)</f>
        <v/>
      </c>
      <c r="B235" s="480" t="inlineStr">
        <is>
          <t>Southern Africa</t>
        </is>
      </c>
      <c r="C235" s="4432">
        <f>C217</f>
        <v/>
      </c>
      <c r="D235" s="483">
        <f>VLOOKUP(B235, [2]list_region_country!$B$3:$D$20, 3, FALSE)</f>
        <v/>
      </c>
      <c r="E235" s="483">
        <f>CONCATENATE(D235,C235)</f>
        <v/>
      </c>
      <c r="L235" s="480">
        <f>AVERAGEIF(L218:L234,"&gt;0")</f>
        <v/>
      </c>
      <c r="BK235" s="4435" t="n"/>
      <c r="BL235" s="4435" t="n"/>
      <c r="BM235" s="4435" t="n"/>
      <c r="BN235" s="4435" t="n"/>
    </row>
    <row r="236">
      <c r="A236">
        <f>CONCATENATE(B236,C236)</f>
        <v/>
      </c>
      <c r="B236" t="inlineStr">
        <is>
          <t>Southern Asia</t>
        </is>
      </c>
      <c r="C236" s="206" t="inlineStr">
        <is>
          <t>Cereals,Total</t>
        </is>
      </c>
      <c r="D236" s="206">
        <f>VLOOKUP(B236, [2]list_region_country!$B$3:$D$20, 3, FALSE)</f>
        <v/>
      </c>
      <c r="E236" s="206">
        <f>CONCATENATE(D236,C236)</f>
        <v/>
      </c>
      <c r="F236" t="n">
        <v>30990</v>
      </c>
      <c r="G236" t="n">
        <v>31731</v>
      </c>
      <c r="H236" t="n">
        <v>32732</v>
      </c>
      <c r="I236" t="n">
        <v>33524</v>
      </c>
      <c r="J236" t="n">
        <v>32950</v>
      </c>
      <c r="L236">
        <f>AVERAGE(F236:J236)/10000</f>
        <v/>
      </c>
      <c r="BK236" s="58" t="n"/>
      <c r="BL236" s="58" t="n"/>
      <c r="BM236" s="58" t="n"/>
      <c r="BN236" s="58" t="n"/>
    </row>
    <row r="237">
      <c r="A237">
        <f>CONCATENATE(B237,C237)</f>
        <v/>
      </c>
      <c r="B237" t="inlineStr">
        <is>
          <t>Southern Asia</t>
        </is>
      </c>
      <c r="C237" s="207" t="inlineStr">
        <is>
          <t>Pulses,Total</t>
        </is>
      </c>
      <c r="D237" s="206">
        <f>VLOOKUP(B237, [2]list_region_country!$B$3:$D$20, 3, FALSE)</f>
        <v/>
      </c>
      <c r="E237" s="206">
        <f>CONCATENATE(D237,C237)</f>
        <v/>
      </c>
      <c r="F237" t="n">
        <v>5981</v>
      </c>
      <c r="G237" t="n">
        <v>6809</v>
      </c>
      <c r="H237" t="n">
        <v>7325</v>
      </c>
      <c r="I237" t="n">
        <v>6983</v>
      </c>
      <c r="J237" t="n">
        <v>7085</v>
      </c>
      <c r="L237">
        <f>AVERAGE(F237:J237)/10000</f>
        <v/>
      </c>
      <c r="BK237" s="58" t="n"/>
      <c r="BL237" s="58" t="n"/>
      <c r="BM237" s="58" t="n"/>
      <c r="BN237" s="58" t="n"/>
    </row>
    <row r="238">
      <c r="A238">
        <f>CONCATENATE(B238,C238)</f>
        <v/>
      </c>
      <c r="B238" t="inlineStr">
        <is>
          <t>Southern Asia</t>
        </is>
      </c>
      <c r="C238" s="207" t="inlineStr">
        <is>
          <t>Roots and Tubers,Total</t>
        </is>
      </c>
      <c r="D238" s="206">
        <f>VLOOKUP(B238, [2]list_region_country!$B$3:$D$20, 3, FALSE)</f>
        <v/>
      </c>
      <c r="E238" s="206">
        <f>CONCATENATE(D238,C238)</f>
        <v/>
      </c>
      <c r="F238" t="n">
        <v>199816</v>
      </c>
      <c r="G238" t="n">
        <v>210606</v>
      </c>
      <c r="H238" t="n">
        <v>226052</v>
      </c>
      <c r="I238" t="n">
        <v>222742</v>
      </c>
      <c r="J238" t="n">
        <v>228012</v>
      </c>
      <c r="L238">
        <f>AVERAGE(F238:J238)/10000</f>
        <v/>
      </c>
      <c r="BK238" s="58" t="n"/>
      <c r="BL238" s="58" t="n"/>
      <c r="BM238" s="58" t="n"/>
      <c r="BN238" s="58" t="n"/>
    </row>
    <row r="239">
      <c r="A239">
        <f>CONCATENATE(B239,C239)</f>
        <v/>
      </c>
      <c r="B239" t="inlineStr">
        <is>
          <t>Southern Asia</t>
        </is>
      </c>
      <c r="C239" s="206" t="inlineStr">
        <is>
          <t>Barley</t>
        </is>
      </c>
      <c r="D239" s="206">
        <f>VLOOKUP(B239, [2]list_region_country!$B$3:$D$20, 3, FALSE)</f>
        <v/>
      </c>
      <c r="E239" s="206">
        <f>CONCATENATE(D239,C239)</f>
        <v/>
      </c>
      <c r="F239" t="n">
        <v>20872</v>
      </c>
      <c r="G239" t="n">
        <v>18140</v>
      </c>
      <c r="H239" t="n">
        <v>17914</v>
      </c>
      <c r="I239" t="n">
        <v>19046</v>
      </c>
      <c r="J239" t="n">
        <v>19457</v>
      </c>
      <c r="L239">
        <f>AVERAGE(F239:J239)/10000</f>
        <v/>
      </c>
      <c r="BK239" s="58" t="n"/>
      <c r="BL239" s="58" t="n"/>
      <c r="BM239" s="58" t="n"/>
      <c r="BN239" s="58" t="n"/>
    </row>
    <row r="240">
      <c r="A240">
        <f>CONCATENATE(B240,C240)</f>
        <v/>
      </c>
      <c r="B240" t="inlineStr">
        <is>
          <t>Southern Asia</t>
        </is>
      </c>
      <c r="C240" s="207" t="inlineStr">
        <is>
          <t>Maize</t>
        </is>
      </c>
      <c r="D240" s="206">
        <f>VLOOKUP(B240, [2]list_region_country!$B$3:$D$20, 3, FALSE)</f>
        <v/>
      </c>
      <c r="E240" s="206">
        <f>CONCATENATE(D240,C240)</f>
        <v/>
      </c>
      <c r="F240" t="n">
        <v>29916</v>
      </c>
      <c r="G240" t="n">
        <v>30649</v>
      </c>
      <c r="H240" t="n">
        <v>34393</v>
      </c>
      <c r="I240" t="n">
        <v>35826</v>
      </c>
      <c r="J240" t="n">
        <v>36130</v>
      </c>
      <c r="L240">
        <f>AVERAGE(F240:J240)/10000</f>
        <v/>
      </c>
      <c r="BK240" s="58" t="n"/>
      <c r="BL240" s="58" t="n"/>
      <c r="BM240" s="58" t="n"/>
      <c r="BN240" s="58" t="n"/>
    </row>
    <row r="241">
      <c r="A241">
        <f>CONCATENATE(B241,C241)</f>
        <v/>
      </c>
      <c r="B241" t="inlineStr">
        <is>
          <t>Southern Asia</t>
        </is>
      </c>
      <c r="C241" s="207" t="inlineStr">
        <is>
          <t>Oats</t>
        </is>
      </c>
      <c r="D241" s="206">
        <f>VLOOKUP(B241, [2]list_region_country!$B$3:$D$20, 3, FALSE)</f>
        <v/>
      </c>
      <c r="E241" s="206">
        <f>CONCATENATE(D241,C241)</f>
        <v/>
      </c>
      <c r="F241" t="n">
        <v>0</v>
      </c>
      <c r="G241" t="n">
        <v>0</v>
      </c>
      <c r="H241" t="n">
        <v>0</v>
      </c>
      <c r="I241" t="n">
        <v>0</v>
      </c>
      <c r="J241" t="n">
        <v>0</v>
      </c>
      <c r="L241">
        <f>AVERAGE(F241:J241)/10000</f>
        <v/>
      </c>
      <c r="BK241" s="58" t="n"/>
      <c r="BL241" s="58" t="n"/>
      <c r="BM241" s="58" t="n"/>
      <c r="BN241" s="58" t="n"/>
    </row>
    <row r="242">
      <c r="A242">
        <f>CONCATENATE(B242,C242)</f>
        <v/>
      </c>
      <c r="B242" t="inlineStr">
        <is>
          <t>Southern Asia</t>
        </is>
      </c>
      <c r="C242" s="207" t="inlineStr">
        <is>
          <t>Potatoes</t>
        </is>
      </c>
      <c r="D242" s="206">
        <f>VLOOKUP(B242, [2]list_region_country!$B$3:$D$20, 3, FALSE)</f>
        <v/>
      </c>
      <c r="E242" s="206">
        <f>CONCATENATE(D242,C242)</f>
        <v/>
      </c>
      <c r="F242" t="n">
        <v>205436</v>
      </c>
      <c r="G242" t="n">
        <v>217999</v>
      </c>
      <c r="H242" t="n">
        <v>231402</v>
      </c>
      <c r="I242" t="n">
        <v>226325</v>
      </c>
      <c r="J242" t="n">
        <v>232426</v>
      </c>
      <c r="L242">
        <f>AVERAGE(F242:J242)/10000</f>
        <v/>
      </c>
      <c r="BK242" s="58" t="n"/>
      <c r="BL242" s="58" t="n"/>
      <c r="BM242" s="58" t="n"/>
      <c r="BN242" s="58" t="n"/>
    </row>
    <row r="243">
      <c r="A243">
        <f>CONCATENATE(B243,C243)</f>
        <v/>
      </c>
      <c r="B243" t="inlineStr">
        <is>
          <t>Southern Asia</t>
        </is>
      </c>
      <c r="C243" s="207" t="inlineStr">
        <is>
          <t>Soybeans</t>
        </is>
      </c>
      <c r="D243" s="206">
        <f>VLOOKUP(B243, [2]list_region_country!$B$3:$D$20, 3, FALSE)</f>
        <v/>
      </c>
      <c r="E243" s="206">
        <f>CONCATENATE(D243,C243)</f>
        <v/>
      </c>
      <c r="F243" t="n">
        <v>11871</v>
      </c>
      <c r="G243" t="n">
        <v>11849</v>
      </c>
      <c r="H243" t="n">
        <v>10697</v>
      </c>
      <c r="I243" t="n">
        <v>12018</v>
      </c>
      <c r="J243" t="n">
        <v>9398</v>
      </c>
      <c r="L243">
        <f>AVERAGE(F243:J243)/10000</f>
        <v/>
      </c>
      <c r="BK243" s="58" t="n"/>
      <c r="BL243" s="58" t="n"/>
      <c r="BM243" s="58" t="n"/>
      <c r="BN243" s="58" t="n"/>
    </row>
    <row r="244">
      <c r="A244">
        <f>CONCATENATE(B244,C244)</f>
        <v/>
      </c>
      <c r="B244" t="inlineStr">
        <is>
          <t>Southern Asia</t>
        </is>
      </c>
      <c r="C244" s="206" t="inlineStr">
        <is>
          <t>Wheat</t>
        </is>
      </c>
      <c r="D244" s="206">
        <f>VLOOKUP(B244, [2]list_region_country!$B$3:$D$20, 3, FALSE)</f>
        <v/>
      </c>
      <c r="E244" s="206">
        <f>CONCATENATE(D244,C244)</f>
        <v/>
      </c>
      <c r="F244" t="n">
        <v>28566</v>
      </c>
      <c r="G244" t="n">
        <v>29342</v>
      </c>
      <c r="H244" t="n">
        <v>30239</v>
      </c>
      <c r="I244" t="n">
        <v>30611</v>
      </c>
      <c r="J244" t="n">
        <v>30364</v>
      </c>
      <c r="L244">
        <f>AVERAGE(F244:J244)/10000</f>
        <v/>
      </c>
      <c r="BK244" s="58" t="n"/>
      <c r="BL244" s="58" t="n"/>
      <c r="BM244" s="58" t="n"/>
      <c r="BN244" s="58" t="n"/>
    </row>
    <row r="245">
      <c r="A245">
        <f>CONCATENATE(B245,C245)</f>
        <v/>
      </c>
      <c r="B245" t="inlineStr">
        <is>
          <t>Southern Asia</t>
        </is>
      </c>
      <c r="C245" s="207" t="inlineStr">
        <is>
          <t>Millet</t>
        </is>
      </c>
      <c r="D245" s="206">
        <f>VLOOKUP(B245, [2]list_region_country!$B$3:$D$20, 3, FALSE)</f>
        <v/>
      </c>
      <c r="E245" s="206">
        <f>CONCATENATE(D245,C245)</f>
        <v/>
      </c>
      <c r="F245" t="n">
        <v>11380</v>
      </c>
      <c r="G245" t="n">
        <v>12398</v>
      </c>
      <c r="H245" t="n">
        <v>12374</v>
      </c>
      <c r="I245" t="n">
        <v>11842</v>
      </c>
      <c r="J245" t="n">
        <v>12662</v>
      </c>
      <c r="L245">
        <f>AVERAGE(F245:J245)/10000</f>
        <v/>
      </c>
      <c r="BK245" s="58" t="n"/>
      <c r="BL245" s="58" t="n"/>
      <c r="BM245" s="58" t="n"/>
      <c r="BN245" s="58" t="n"/>
    </row>
    <row r="246">
      <c r="A246">
        <f>CONCATENATE(B246,C246)</f>
        <v/>
      </c>
      <c r="B246" t="inlineStr">
        <is>
          <t>Southern Asia</t>
        </is>
      </c>
      <c r="C246" s="206" t="inlineStr">
        <is>
          <t>Sorghum</t>
        </is>
      </c>
      <c r="D246" s="206">
        <f>VLOOKUP(B246, [2]list_region_country!$B$3:$D$20, 3, FALSE)</f>
        <v/>
      </c>
      <c r="E246" s="206">
        <f>CONCATENATE(D246,C246)</f>
        <v/>
      </c>
      <c r="F246" t="n">
        <v>6926</v>
      </c>
      <c r="G246" t="n">
        <v>8029</v>
      </c>
      <c r="H246" t="n">
        <v>9404</v>
      </c>
      <c r="I246" t="n">
        <v>8378</v>
      </c>
      <c r="J246" t="n">
        <v>8645</v>
      </c>
      <c r="L246">
        <f>AVERAGE(F246:J246)/10000</f>
        <v/>
      </c>
      <c r="BK246" s="58" t="n"/>
      <c r="BL246" s="58" t="n"/>
      <c r="BM246" s="58" t="n"/>
      <c r="BN246" s="58" t="n"/>
    </row>
    <row r="247">
      <c r="A247">
        <f>CONCATENATE(B247,C247)</f>
        <v/>
      </c>
      <c r="B247" t="inlineStr">
        <is>
          <t>Southern Asia</t>
        </is>
      </c>
      <c r="C247" s="4431" t="inlineStr">
        <is>
          <t>Rice, paddy</t>
        </is>
      </c>
      <c r="D247" s="206">
        <f>VLOOKUP(B247, [2]list_region_country!$B$3:$D$20, 3, FALSE)</f>
        <v/>
      </c>
      <c r="E247" s="206">
        <f>CONCATENATE(D247,C247)</f>
        <v/>
      </c>
      <c r="F247" t="n">
        <v>39316</v>
      </c>
      <c r="G247" t="n">
        <v>39865</v>
      </c>
      <c r="H247" t="n">
        <v>40281</v>
      </c>
      <c r="I247" t="n">
        <v>41128</v>
      </c>
      <c r="J247" t="n">
        <v>40533</v>
      </c>
      <c r="L247">
        <f>AVERAGE(F247:J247)/10000</f>
        <v/>
      </c>
      <c r="BK247" s="58" t="n"/>
      <c r="BL247" s="58" t="n"/>
      <c r="BM247" s="58" t="n"/>
      <c r="BN247" s="58" t="n"/>
    </row>
    <row r="248">
      <c r="A248">
        <f>CONCATENATE(B248,C248)</f>
        <v/>
      </c>
      <c r="B248" t="inlineStr">
        <is>
          <t>Southern Asia</t>
        </is>
      </c>
      <c r="C248" s="206" t="inlineStr">
        <is>
          <t>Rye</t>
        </is>
      </c>
      <c r="D248" s="206">
        <f>VLOOKUP(B248, [2]list_region_country!$B$3:$D$20, 3, FALSE)</f>
        <v/>
      </c>
      <c r="E248" s="206">
        <f>CONCATENATE(D248,C248)</f>
        <v/>
      </c>
      <c r="F248" t="n">
        <v>8984</v>
      </c>
      <c r="G248" t="n">
        <v>9286</v>
      </c>
      <c r="H248" t="n">
        <v>8983</v>
      </c>
      <c r="I248" t="n">
        <v>9087</v>
      </c>
      <c r="J248" t="n">
        <v>9108</v>
      </c>
      <c r="L248">
        <f>AVERAGE(F248:J248)/10000</f>
        <v/>
      </c>
      <c r="BK248" s="58" t="n"/>
      <c r="BL248" s="58" t="n"/>
      <c r="BM248" s="58" t="n"/>
      <c r="BN248" s="58" t="n"/>
    </row>
    <row r="249">
      <c r="A249">
        <f>CONCATENATE(B249,C249)</f>
        <v/>
      </c>
      <c r="B249" t="inlineStr">
        <is>
          <t>Southern Asia</t>
        </is>
      </c>
      <c r="C249" s="206" t="inlineStr">
        <is>
          <t>Groundnuts, with shell</t>
        </is>
      </c>
      <c r="D249" s="206">
        <f>VLOOKUP(B249, [2]list_region_country!$B$3:$D$20, 3, FALSE)</f>
        <v/>
      </c>
      <c r="E249" s="206">
        <f>CONCATENATE(D249,C249)</f>
        <v/>
      </c>
      <c r="F249" t="n">
        <v>13987</v>
      </c>
      <c r="G249" t="n">
        <v>13932</v>
      </c>
      <c r="H249" t="n">
        <v>18753</v>
      </c>
      <c r="I249" t="n">
        <v>14171</v>
      </c>
      <c r="J249" t="n">
        <v>16189</v>
      </c>
      <c r="L249">
        <f>AVERAGE(F249:J249)/10000</f>
        <v/>
      </c>
      <c r="BK249" s="58" t="n"/>
      <c r="BL249" s="58" t="n"/>
      <c r="BM249" s="58" t="n"/>
      <c r="BN249" s="58" t="n"/>
    </row>
    <row r="250">
      <c r="A250">
        <f>CONCATENATE(B250,C250)</f>
        <v/>
      </c>
      <c r="B250" t="inlineStr">
        <is>
          <t>Southern Asia</t>
        </is>
      </c>
      <c r="C250" s="206" t="inlineStr">
        <is>
          <t>Beans, dry</t>
        </is>
      </c>
      <c r="D250" s="206">
        <f>VLOOKUP(B250, [2]list_region_country!$B$3:$D$20, 3, FALSE)</f>
        <v/>
      </c>
      <c r="E250" s="206">
        <f>CONCATENATE(D250,C250)</f>
        <v/>
      </c>
      <c r="F250" t="n">
        <v>4338</v>
      </c>
      <c r="G250" t="n">
        <v>4304</v>
      </c>
      <c r="H250" t="n">
        <v>4307</v>
      </c>
      <c r="I250" t="n">
        <v>4351</v>
      </c>
      <c r="J250" t="n">
        <v>4419</v>
      </c>
      <c r="L250">
        <f>AVERAGE(F250:J250)/10000</f>
        <v/>
      </c>
      <c r="BK250" s="58" t="n"/>
      <c r="BL250" s="58" t="n"/>
      <c r="BM250" s="58" t="n"/>
      <c r="BN250" s="58" t="n"/>
    </row>
    <row r="251">
      <c r="A251">
        <f>CONCATENATE(B251,C251)</f>
        <v/>
      </c>
      <c r="B251" t="inlineStr">
        <is>
          <t>Southern Asia</t>
        </is>
      </c>
      <c r="C251" s="4432" t="inlineStr">
        <is>
          <t>Vegetables</t>
        </is>
      </c>
      <c r="D251" s="206">
        <f>VLOOKUP(B251, [2]list_region_country!$B$3:$D$20, 3, FALSE)</f>
        <v/>
      </c>
      <c r="E251" s="206">
        <f>CONCATENATE(D251,C251)</f>
        <v/>
      </c>
      <c r="F251" t="n">
        <v>148179</v>
      </c>
      <c r="G251" t="n">
        <v>149631</v>
      </c>
      <c r="H251" t="n">
        <v>151340</v>
      </c>
      <c r="I251" t="n">
        <v>152981</v>
      </c>
      <c r="J251" t="n">
        <v>154181</v>
      </c>
      <c r="L251">
        <f>AVERAGE(F251:J251)/10000</f>
        <v/>
      </c>
      <c r="BK251" s="58" t="n"/>
      <c r="BL251" s="58" t="n"/>
      <c r="BM251" s="58" t="n"/>
      <c r="BN251" s="58" t="n"/>
    </row>
    <row r="252">
      <c r="A252">
        <f>CONCATENATE(B252,C252)</f>
        <v/>
      </c>
      <c r="B252" t="inlineStr">
        <is>
          <t>Southern Asia</t>
        </is>
      </c>
      <c r="C252" s="4432" t="inlineStr">
        <is>
          <t>Oilseeds</t>
        </is>
      </c>
      <c r="D252" s="206">
        <f>VLOOKUP(B252, [2]list_region_country!$B$3:$D$20, 3, FALSE)</f>
        <v/>
      </c>
      <c r="E252" s="206">
        <f>CONCATENATE(D252,C252)</f>
        <v/>
      </c>
      <c r="F252" t="n">
        <v>8866.9</v>
      </c>
      <c r="G252" t="n">
        <v>9317.299999999999</v>
      </c>
      <c r="H252" t="n">
        <v>10181.7</v>
      </c>
      <c r="I252" t="n">
        <v>9783.700000000001</v>
      </c>
      <c r="J252" t="n">
        <v>9666.5</v>
      </c>
      <c r="L252">
        <f>AVERAGE(F252:J252)/10000</f>
        <v/>
      </c>
      <c r="BK252" s="58" t="n"/>
      <c r="BL252" s="58" t="n"/>
      <c r="BM252" s="58" t="n"/>
      <c r="BN252" s="58" t="n"/>
    </row>
    <row r="253" customFormat="1" s="480">
      <c r="A253" s="480">
        <f>CONCATENATE(B253,C253)</f>
        <v/>
      </c>
      <c r="B253" s="480" t="inlineStr">
        <is>
          <t>Southern Asia</t>
        </is>
      </c>
      <c r="C253" s="4432">
        <f>C235</f>
        <v/>
      </c>
      <c r="D253" s="483">
        <f>VLOOKUP(B253, [2]list_region_country!$B$3:$D$20, 3, FALSE)</f>
        <v/>
      </c>
      <c r="E253" s="483">
        <f>CONCATENATE(D253,C253)</f>
        <v/>
      </c>
      <c r="L253" s="480">
        <f>AVERAGEIF(L236:L252,"&gt;0")</f>
        <v/>
      </c>
      <c r="BK253" s="4435" t="n"/>
      <c r="BL253" s="4435" t="n"/>
      <c r="BM253" s="4435" t="n"/>
      <c r="BN253" s="4435" t="n"/>
    </row>
    <row r="254">
      <c r="A254">
        <f>CONCATENATE(B254,C254)</f>
        <v/>
      </c>
      <c r="B254" t="inlineStr">
        <is>
          <t>Western Africa</t>
        </is>
      </c>
      <c r="C254" s="206" t="inlineStr">
        <is>
          <t>Cereals,Total</t>
        </is>
      </c>
      <c r="D254" s="206">
        <f>VLOOKUP(B254, [2]list_region_country!$B$3:$D$20, 3, FALSE)</f>
        <v/>
      </c>
      <c r="E254" s="206">
        <f>CONCATENATE(D254,C254)</f>
        <v/>
      </c>
      <c r="F254" t="n">
        <v>12426</v>
      </c>
      <c r="G254" t="n">
        <v>12079</v>
      </c>
      <c r="H254" t="n">
        <v>12536</v>
      </c>
      <c r="I254" t="n">
        <v>12900</v>
      </c>
      <c r="J254" t="n">
        <v>13083</v>
      </c>
      <c r="L254">
        <f>AVERAGE(F254:J254)/10000</f>
        <v/>
      </c>
      <c r="BK254" s="58" t="n"/>
      <c r="BL254" s="58" t="n"/>
      <c r="BM254" s="58" t="n"/>
      <c r="BN254" s="58" t="n"/>
    </row>
    <row r="255">
      <c r="A255">
        <f>CONCATENATE(B255,C255)</f>
        <v/>
      </c>
      <c r="B255" t="inlineStr">
        <is>
          <t>Western Africa</t>
        </is>
      </c>
      <c r="C255" s="207" t="inlineStr">
        <is>
          <t>Pulses,Total</t>
        </is>
      </c>
      <c r="D255" s="206">
        <f>VLOOKUP(B255, [2]list_region_country!$B$3:$D$20, 3, FALSE)</f>
        <v/>
      </c>
      <c r="E255" s="206">
        <f>CONCATENATE(D255,C255)</f>
        <v/>
      </c>
      <c r="F255" t="n">
        <v>5833</v>
      </c>
      <c r="G255" t="n">
        <v>5533</v>
      </c>
      <c r="H255" t="n">
        <v>5871</v>
      </c>
      <c r="I255" t="n">
        <v>5972</v>
      </c>
      <c r="J255" t="n">
        <v>6157</v>
      </c>
      <c r="L255">
        <f>AVERAGE(F255:J255)/10000</f>
        <v/>
      </c>
      <c r="BK255" s="58" t="n"/>
      <c r="BL255" s="58" t="n"/>
      <c r="BM255" s="58" t="n"/>
      <c r="BN255" s="58" t="n"/>
    </row>
    <row r="256">
      <c r="A256">
        <f>CONCATENATE(B256,C256)</f>
        <v/>
      </c>
      <c r="B256" t="inlineStr">
        <is>
          <t>Western Africa</t>
        </is>
      </c>
      <c r="C256" s="207" t="inlineStr">
        <is>
          <t>Roots and Tubers,Total</t>
        </is>
      </c>
      <c r="D256" s="206">
        <f>VLOOKUP(B256, [2]list_region_country!$B$3:$D$20, 3, FALSE)</f>
        <v/>
      </c>
      <c r="E256" s="206">
        <f>CONCATENATE(D256,C256)</f>
        <v/>
      </c>
      <c r="F256" t="n">
        <v>85882</v>
      </c>
      <c r="G256" t="n">
        <v>83545</v>
      </c>
      <c r="H256" t="n">
        <v>81847</v>
      </c>
      <c r="I256" t="n">
        <v>80109</v>
      </c>
      <c r="J256" t="n">
        <v>81051</v>
      </c>
      <c r="L256">
        <f>AVERAGE(F256:J256)/10000</f>
        <v/>
      </c>
      <c r="BK256" s="58" t="n"/>
      <c r="BL256" s="58" t="n"/>
      <c r="BM256" s="58" t="n"/>
      <c r="BN256" s="58" t="n"/>
    </row>
    <row r="257">
      <c r="A257">
        <f>CONCATENATE(B257,C257)</f>
        <v/>
      </c>
      <c r="B257" t="inlineStr">
        <is>
          <t>Western Africa</t>
        </is>
      </c>
      <c r="C257" s="206" t="inlineStr">
        <is>
          <t>Barley</t>
        </is>
      </c>
      <c r="D257" s="206">
        <f>VLOOKUP(B257, [2]list_region_country!$B$3:$D$20, 3, FALSE)</f>
        <v/>
      </c>
      <c r="E257" s="206">
        <f>CONCATENATE(D257,C257)</f>
        <v/>
      </c>
      <c r="F257" t="n">
        <v>29184</v>
      </c>
      <c r="G257" t="n">
        <v>29737</v>
      </c>
      <c r="H257" t="n">
        <v>30660</v>
      </c>
      <c r="I257" t="n">
        <v>30599</v>
      </c>
      <c r="J257" t="n">
        <v>31080</v>
      </c>
      <c r="L257">
        <f>AVERAGE(F257:J257)/10000</f>
        <v/>
      </c>
      <c r="BK257" s="58" t="n"/>
      <c r="BL257" s="58" t="n"/>
      <c r="BM257" s="58" t="n"/>
      <c r="BN257" s="58" t="n"/>
    </row>
    <row r="258">
      <c r="A258">
        <f>CONCATENATE(B258,C258)</f>
        <v/>
      </c>
      <c r="B258" t="inlineStr">
        <is>
          <t>Western Africa</t>
        </is>
      </c>
      <c r="C258" s="207" t="inlineStr">
        <is>
          <t>Maize</t>
        </is>
      </c>
      <c r="D258" s="206">
        <f>VLOOKUP(B258, [2]list_region_country!$B$3:$D$20, 3, FALSE)</f>
        <v/>
      </c>
      <c r="E258" s="206">
        <f>CONCATENATE(D258,C258)</f>
        <v/>
      </c>
      <c r="F258" t="n">
        <v>16593</v>
      </c>
      <c r="G258" t="n">
        <v>17141</v>
      </c>
      <c r="H258" t="n">
        <v>17256</v>
      </c>
      <c r="I258" t="n">
        <v>16940</v>
      </c>
      <c r="J258" t="n">
        <v>17303</v>
      </c>
      <c r="L258">
        <f>AVERAGE(F258:J258)/10000</f>
        <v/>
      </c>
      <c r="BK258" s="58" t="n"/>
      <c r="BL258" s="58" t="n"/>
      <c r="BM258" s="58" t="n"/>
      <c r="BN258" s="58" t="n"/>
    </row>
    <row r="259">
      <c r="A259">
        <f>CONCATENATE(B259,C259)</f>
        <v/>
      </c>
      <c r="B259" t="inlineStr">
        <is>
          <t>Western Africa</t>
        </is>
      </c>
      <c r="C259" s="207" t="inlineStr">
        <is>
          <t>Oats</t>
        </is>
      </c>
      <c r="D259" s="206">
        <f>VLOOKUP(B259, [2]list_region_country!$B$3:$D$20, 3, FALSE)</f>
        <v/>
      </c>
      <c r="E259" s="206">
        <f>CONCATENATE(D259,C259)</f>
        <v/>
      </c>
      <c r="F259" t="n">
        <v>8913</v>
      </c>
      <c r="G259" t="n">
        <v>9111</v>
      </c>
      <c r="H259" t="n">
        <v>9091</v>
      </c>
      <c r="I259" t="n">
        <v>8889</v>
      </c>
      <c r="J259" t="n">
        <v>9111</v>
      </c>
      <c r="L259">
        <f>AVERAGE(F259:J259)/10000</f>
        <v/>
      </c>
      <c r="BK259" s="58" t="n"/>
      <c r="BL259" s="58" t="n"/>
      <c r="BM259" s="58" t="n"/>
      <c r="BN259" s="58" t="n"/>
    </row>
    <row r="260">
      <c r="A260">
        <f>CONCATENATE(B260,C260)</f>
        <v/>
      </c>
      <c r="B260" t="inlineStr">
        <is>
          <t>Western Africa</t>
        </is>
      </c>
      <c r="C260" s="207" t="inlineStr">
        <is>
          <t>Potatoes</t>
        </is>
      </c>
      <c r="D260" s="206">
        <f>VLOOKUP(B260, [2]list_region_country!$B$3:$D$20, 3, FALSE)</f>
        <v/>
      </c>
      <c r="E260" s="206">
        <f>CONCATENATE(D260,C260)</f>
        <v/>
      </c>
      <c r="F260" t="n">
        <v>51466</v>
      </c>
      <c r="G260" t="n">
        <v>53384</v>
      </c>
      <c r="H260" t="n">
        <v>56040</v>
      </c>
      <c r="I260" t="n">
        <v>56937</v>
      </c>
      <c r="J260" t="n">
        <v>59357</v>
      </c>
      <c r="L260">
        <f>AVERAGE(F260:J260)/10000</f>
        <v/>
      </c>
      <c r="BK260" s="58" t="n"/>
      <c r="BL260" s="58" t="n"/>
      <c r="BM260" s="58" t="n"/>
      <c r="BN260" s="58" t="n"/>
    </row>
    <row r="261">
      <c r="A261">
        <f>CONCATENATE(B261,C261)</f>
        <v/>
      </c>
      <c r="B261" t="inlineStr">
        <is>
          <t>Western Africa</t>
        </is>
      </c>
      <c r="C261" s="207" t="inlineStr">
        <is>
          <t>Soybeans</t>
        </is>
      </c>
      <c r="D261" s="206">
        <f>VLOOKUP(B261, [2]list_region_country!$B$3:$D$20, 3, FALSE)</f>
        <v/>
      </c>
      <c r="E261" s="206">
        <f>CONCATENATE(D261,C261)</f>
        <v/>
      </c>
      <c r="F261" t="n">
        <v>9388</v>
      </c>
      <c r="G261" t="n">
        <v>9563</v>
      </c>
      <c r="H261" t="n">
        <v>10333</v>
      </c>
      <c r="I261" t="n">
        <v>10841</v>
      </c>
      <c r="J261" t="n">
        <v>10679</v>
      </c>
      <c r="L261">
        <f>AVERAGE(F261:J261)/10000</f>
        <v/>
      </c>
      <c r="BK261" s="58" t="n"/>
      <c r="BL261" s="58" t="n"/>
      <c r="BM261" s="58" t="n"/>
      <c r="BN261" s="58" t="n"/>
    </row>
    <row r="262">
      <c r="A262">
        <f>CONCATENATE(B262,C262)</f>
        <v/>
      </c>
      <c r="B262" t="inlineStr">
        <is>
          <t>Western Africa</t>
        </is>
      </c>
      <c r="C262" s="206" t="inlineStr">
        <is>
          <t>Wheat</t>
        </is>
      </c>
      <c r="D262" s="206">
        <f>VLOOKUP(B262, [2]list_region_country!$B$3:$D$20, 3, FALSE)</f>
        <v/>
      </c>
      <c r="E262" s="206">
        <f>CONCATENATE(D262,C262)</f>
        <v/>
      </c>
      <c r="F262" t="n">
        <v>16082</v>
      </c>
      <c r="G262" t="n">
        <v>14551</v>
      </c>
      <c r="H262" t="n">
        <v>14540</v>
      </c>
      <c r="I262" t="n">
        <v>12376</v>
      </c>
      <c r="J262" t="n">
        <v>16754</v>
      </c>
      <c r="L262">
        <f>AVERAGE(F262:J262)/10000</f>
        <v/>
      </c>
      <c r="BK262" s="58" t="n"/>
      <c r="BL262" s="58" t="n"/>
      <c r="BM262" s="58" t="n"/>
      <c r="BN262" s="58" t="n"/>
    </row>
    <row r="263">
      <c r="A263">
        <f>CONCATENATE(B263,C263)</f>
        <v/>
      </c>
      <c r="B263" t="inlineStr">
        <is>
          <t>Western Africa</t>
        </is>
      </c>
      <c r="C263" s="207" t="inlineStr">
        <is>
          <t>Millet</t>
        </is>
      </c>
      <c r="D263" s="206">
        <f>VLOOKUP(B263, [2]list_region_country!$B$3:$D$20, 3, FALSE)</f>
        <v/>
      </c>
      <c r="E263" s="206">
        <f>CONCATENATE(D263,C263)</f>
        <v/>
      </c>
      <c r="F263" t="n">
        <v>6897</v>
      </c>
      <c r="G263" t="n">
        <v>6625</v>
      </c>
      <c r="H263" t="n">
        <v>7440</v>
      </c>
      <c r="I263" t="n">
        <v>7050</v>
      </c>
      <c r="J263" t="n">
        <v>7400</v>
      </c>
      <c r="L263">
        <f>AVERAGE(F263:J263)/10000</f>
        <v/>
      </c>
      <c r="BK263" s="58" t="n"/>
      <c r="BL263" s="58" t="n"/>
      <c r="BM263" s="58" t="n"/>
      <c r="BN263" s="58" t="n"/>
    </row>
    <row r="264">
      <c r="A264">
        <f>CONCATENATE(B264,C264)</f>
        <v/>
      </c>
      <c r="B264" t="inlineStr">
        <is>
          <t>Western Africa</t>
        </is>
      </c>
      <c r="C264" s="206" t="inlineStr">
        <is>
          <t>Sorghum</t>
        </is>
      </c>
      <c r="D264" s="206">
        <f>VLOOKUP(B264, [2]list_region_country!$B$3:$D$20, 3, FALSE)</f>
        <v/>
      </c>
      <c r="E264" s="206">
        <f>CONCATENATE(D264,C264)</f>
        <v/>
      </c>
      <c r="F264" t="n">
        <v>9907</v>
      </c>
      <c r="G264" t="n">
        <v>9053</v>
      </c>
      <c r="H264" t="n">
        <v>9602</v>
      </c>
      <c r="I264" t="n">
        <v>9541</v>
      </c>
      <c r="J264" t="n">
        <v>9732</v>
      </c>
      <c r="L264">
        <f>AVERAGE(F264:J264)/10000</f>
        <v/>
      </c>
      <c r="BK264" s="58" t="n"/>
      <c r="BL264" s="58" t="n"/>
      <c r="BM264" s="58" t="n"/>
      <c r="BN264" s="58" t="n"/>
    </row>
    <row r="265">
      <c r="A265">
        <f>CONCATENATE(B265,C265)</f>
        <v/>
      </c>
      <c r="B265" t="inlineStr">
        <is>
          <t>Western Africa</t>
        </is>
      </c>
      <c r="C265" s="4431" t="inlineStr">
        <is>
          <t>Rice, paddy</t>
        </is>
      </c>
      <c r="D265" s="206">
        <f>VLOOKUP(B265, [2]list_region_country!$B$3:$D$20, 3, FALSE)</f>
        <v/>
      </c>
      <c r="E265" s="206">
        <f>CONCATENATE(D265,C265)</f>
        <v/>
      </c>
      <c r="F265" t="n">
        <v>17996</v>
      </c>
      <c r="G265" t="n">
        <v>17123</v>
      </c>
      <c r="H265" t="n">
        <v>17058</v>
      </c>
      <c r="I265" t="n">
        <v>19137</v>
      </c>
      <c r="J265" t="n">
        <v>19235</v>
      </c>
      <c r="L265">
        <f>AVERAGE(F265:J265)/10000</f>
        <v/>
      </c>
      <c r="BK265" s="58" t="n"/>
      <c r="BL265" s="58" t="n"/>
      <c r="BM265" s="58" t="n"/>
      <c r="BN265" s="58" t="n"/>
    </row>
    <row r="266">
      <c r="A266">
        <f>CONCATENATE(B266,C266)</f>
        <v/>
      </c>
      <c r="B266" t="inlineStr">
        <is>
          <t>Western Africa</t>
        </is>
      </c>
      <c r="C266" s="206" t="inlineStr">
        <is>
          <t>Rye</t>
        </is>
      </c>
      <c r="D266" s="206">
        <f>VLOOKUP(B266, [2]list_region_country!$B$3:$D$20, 3, FALSE)</f>
        <v/>
      </c>
      <c r="E266" s="206">
        <f>CONCATENATE(D266,C266)</f>
        <v/>
      </c>
      <c r="F266" t="n">
        <v>0</v>
      </c>
      <c r="G266" t="n">
        <v>0</v>
      </c>
      <c r="H266" t="n">
        <v>0</v>
      </c>
      <c r="I266" t="n">
        <v>0</v>
      </c>
      <c r="J266" t="n">
        <v>0</v>
      </c>
      <c r="L266">
        <f>AVERAGE(F266:J266)/10000</f>
        <v/>
      </c>
      <c r="BK266" s="58" t="n"/>
      <c r="BL266" s="58" t="n"/>
      <c r="BM266" s="58" t="n"/>
      <c r="BN266" s="58" t="n"/>
    </row>
    <row r="267">
      <c r="A267">
        <f>CONCATENATE(B267,C267)</f>
        <v/>
      </c>
      <c r="B267" t="inlineStr">
        <is>
          <t>Western Africa</t>
        </is>
      </c>
      <c r="C267" s="206" t="inlineStr">
        <is>
          <t>Groundnuts, with shell</t>
        </is>
      </c>
      <c r="D267" s="206">
        <f>VLOOKUP(B267, [2]list_region_country!$B$3:$D$20, 3, FALSE)</f>
        <v/>
      </c>
      <c r="E267" s="206">
        <f>CONCATENATE(D267,C267)</f>
        <v/>
      </c>
      <c r="F267" t="n">
        <v>10317</v>
      </c>
      <c r="G267" t="n">
        <v>10443</v>
      </c>
      <c r="H267" t="n">
        <v>11182</v>
      </c>
      <c r="I267" t="n">
        <v>10753</v>
      </c>
      <c r="J267" t="n">
        <v>10608</v>
      </c>
      <c r="L267">
        <f>AVERAGE(F267:J267)/10000</f>
        <v/>
      </c>
      <c r="BK267" s="58" t="n"/>
      <c r="BL267" s="58" t="n"/>
      <c r="BM267" s="58" t="n"/>
      <c r="BN267" s="58" t="n"/>
    </row>
    <row r="268">
      <c r="A268">
        <f>CONCATENATE(B268,C268)</f>
        <v/>
      </c>
      <c r="B268" t="inlineStr">
        <is>
          <t>Western Africa</t>
        </is>
      </c>
      <c r="C268" s="206" t="inlineStr">
        <is>
          <t>Beans, dry</t>
        </is>
      </c>
      <c r="D268" s="206">
        <f>VLOOKUP(B268, [2]list_region_country!$B$3:$D$20, 3, FALSE)</f>
        <v/>
      </c>
      <c r="E268" s="206">
        <f>CONCATENATE(D268,C268)</f>
        <v/>
      </c>
      <c r="F268" t="n">
        <v>9424</v>
      </c>
      <c r="G268" t="n">
        <v>9516</v>
      </c>
      <c r="H268" t="n">
        <v>9647</v>
      </c>
      <c r="I268" t="n">
        <v>9805</v>
      </c>
      <c r="J268" t="n">
        <v>9797</v>
      </c>
      <c r="L268">
        <f>AVERAGE(F268:J268)/10000</f>
        <v/>
      </c>
      <c r="BK268" s="58" t="n"/>
      <c r="BL268" s="58" t="n"/>
      <c r="BM268" s="58" t="n"/>
      <c r="BN268" s="58" t="n"/>
    </row>
    <row r="269">
      <c r="A269">
        <f>CONCATENATE(B269,C269)</f>
        <v/>
      </c>
      <c r="B269" t="inlineStr">
        <is>
          <t>Western Africa</t>
        </is>
      </c>
      <c r="C269" s="4431" t="inlineStr">
        <is>
          <t>Vegetables</t>
        </is>
      </c>
      <c r="D269" s="206">
        <f>VLOOKUP(B269, [2]list_region_country!$B$3:$D$20, 3, FALSE)</f>
        <v/>
      </c>
      <c r="E269" s="206">
        <f>CONCATENATE(D269,C269)</f>
        <v/>
      </c>
      <c r="F269" t="n">
        <v>48847</v>
      </c>
      <c r="G269" t="n">
        <v>48915</v>
      </c>
      <c r="H269" t="n">
        <v>46126</v>
      </c>
      <c r="I269" t="n">
        <v>47430</v>
      </c>
      <c r="J269" t="n">
        <v>47614</v>
      </c>
      <c r="L269">
        <f>AVERAGE(F269:J269)/10000</f>
        <v/>
      </c>
      <c r="BK269" s="58" t="n"/>
      <c r="BL269" s="58" t="n"/>
      <c r="BM269" s="58" t="n"/>
      <c r="BN269" s="58" t="n"/>
    </row>
    <row r="270">
      <c r="A270">
        <f>CONCATENATE(B270,C270)</f>
        <v/>
      </c>
      <c r="B270" t="inlineStr">
        <is>
          <t>Western Africa</t>
        </is>
      </c>
      <c r="C270" s="4431" t="inlineStr">
        <is>
          <t>Oilseeds</t>
        </is>
      </c>
      <c r="D270" s="206">
        <f>VLOOKUP(B270, [2]list_region_country!$B$3:$D$20, 3, FALSE)</f>
        <v/>
      </c>
      <c r="E270" s="206">
        <f>CONCATENATE(D270,C270)</f>
        <v/>
      </c>
      <c r="F270" t="n">
        <v>8211.75</v>
      </c>
      <c r="G270" t="n">
        <v>8129.5</v>
      </c>
      <c r="H270" t="n">
        <v>8394</v>
      </c>
      <c r="I270" t="n">
        <v>8513.75</v>
      </c>
      <c r="J270" t="n">
        <v>8601.5</v>
      </c>
      <c r="L270">
        <f>AVERAGE(F270:J270)/10000</f>
        <v/>
      </c>
      <c r="BK270" s="58" t="n"/>
      <c r="BL270" s="58" t="n"/>
      <c r="BM270" s="58" t="n"/>
      <c r="BN270" s="58" t="n"/>
    </row>
    <row r="271" customFormat="1" s="480">
      <c r="A271" s="480">
        <f>CONCATENATE(B271,C271)</f>
        <v/>
      </c>
      <c r="B271" s="480" t="inlineStr">
        <is>
          <t>Western Africa</t>
        </is>
      </c>
      <c r="C271" s="4432">
        <f>C253</f>
        <v/>
      </c>
      <c r="D271" s="483">
        <f>VLOOKUP(B271, [2]list_region_country!$B$3:$D$20, 3, FALSE)</f>
        <v/>
      </c>
      <c r="E271" s="483">
        <f>CONCATENATE(D271,C271)</f>
        <v/>
      </c>
      <c r="L271" s="480">
        <f>AVERAGEIF(L254:L270,"&gt;0")</f>
        <v/>
      </c>
      <c r="BK271" s="4435" t="n"/>
      <c r="BL271" s="4435" t="n"/>
      <c r="BM271" s="4435" t="n"/>
      <c r="BN271" s="4435" t="n"/>
    </row>
    <row r="272">
      <c r="A272">
        <f>CONCATENATE(B272,C272)</f>
        <v/>
      </c>
      <c r="B272" t="inlineStr">
        <is>
          <t>Western Asia</t>
        </is>
      </c>
      <c r="C272" s="206" t="inlineStr">
        <is>
          <t>Cereals,Total</t>
        </is>
      </c>
      <c r="D272" s="206">
        <f>VLOOKUP(B272, [2]list_region_country!$B$3:$D$20, 3, FALSE)</f>
        <v/>
      </c>
      <c r="E272" s="206">
        <f>CONCATENATE(D272,C272)</f>
        <v/>
      </c>
      <c r="F272" t="n">
        <v>27752</v>
      </c>
      <c r="G272" t="n">
        <v>28504</v>
      </c>
      <c r="H272" t="n">
        <v>27189</v>
      </c>
      <c r="I272" t="n">
        <v>29012</v>
      </c>
      <c r="J272" t="n">
        <v>29145</v>
      </c>
      <c r="L272">
        <f>AVERAGE(F272:J272)/10000</f>
        <v/>
      </c>
      <c r="BK272" s="58" t="n"/>
      <c r="BL272" s="58" t="n"/>
      <c r="BM272" s="58" t="n"/>
      <c r="BN272" s="58" t="n"/>
    </row>
    <row r="273">
      <c r="A273">
        <f>CONCATENATE(B273,C273)</f>
        <v/>
      </c>
      <c r="B273" t="inlineStr">
        <is>
          <t>Western Asia</t>
        </is>
      </c>
      <c r="C273" s="207" t="inlineStr">
        <is>
          <t>Pulses,Total</t>
        </is>
      </c>
      <c r="D273" s="206">
        <f>VLOOKUP(B273, [2]list_region_country!$B$3:$D$20, 3, FALSE)</f>
        <v/>
      </c>
      <c r="E273" s="206">
        <f>CONCATENATE(D273,C273)</f>
        <v/>
      </c>
      <c r="F273" t="n">
        <v>14414</v>
      </c>
      <c r="G273" t="n">
        <v>14225</v>
      </c>
      <c r="H273" t="n">
        <v>13435</v>
      </c>
      <c r="I273" t="n">
        <v>13429</v>
      </c>
      <c r="J273" t="n">
        <v>15134</v>
      </c>
      <c r="L273">
        <f>AVERAGE(F273:J273)/10000</f>
        <v/>
      </c>
      <c r="BK273" s="58" t="n"/>
      <c r="BL273" s="58" t="n"/>
      <c r="BM273" s="58" t="n"/>
      <c r="BN273" s="58" t="n"/>
    </row>
    <row r="274">
      <c r="A274">
        <f>CONCATENATE(B274,C274)</f>
        <v/>
      </c>
      <c r="B274" t="inlineStr">
        <is>
          <t>Western Asia</t>
        </is>
      </c>
      <c r="C274" s="207" t="inlineStr">
        <is>
          <t>Roots and Tubers,Total</t>
        </is>
      </c>
      <c r="D274" s="206">
        <f>VLOOKUP(B274, [2]list_region_country!$B$3:$D$20, 3, FALSE)</f>
        <v/>
      </c>
      <c r="E274" s="206">
        <f>CONCATENATE(D274,C274)</f>
        <v/>
      </c>
      <c r="F274" t="n">
        <v>256664</v>
      </c>
      <c r="G274" t="n">
        <v>262008</v>
      </c>
      <c r="H274" t="n">
        <v>258523</v>
      </c>
      <c r="I274" t="n">
        <v>275279</v>
      </c>
      <c r="J274" t="n">
        <v>278170</v>
      </c>
      <c r="L274">
        <f>AVERAGE(F274:J274)/10000</f>
        <v/>
      </c>
      <c r="BK274" s="58" t="n"/>
      <c r="BL274" s="58" t="n"/>
      <c r="BM274" s="58" t="n"/>
      <c r="BN274" s="58" t="n"/>
    </row>
    <row r="275">
      <c r="A275">
        <f>CONCATENATE(B275,C275)</f>
        <v/>
      </c>
      <c r="B275" t="inlineStr">
        <is>
          <t>Western Asia</t>
        </is>
      </c>
      <c r="C275" s="206" t="inlineStr">
        <is>
          <t>Barley</t>
        </is>
      </c>
      <c r="D275" s="206">
        <f>VLOOKUP(B275, [2]list_region_country!$B$3:$D$20, 3, FALSE)</f>
        <v/>
      </c>
      <c r="E275" s="206">
        <f>CONCATENATE(D275,C275)</f>
        <v/>
      </c>
      <c r="F275" t="n">
        <v>20778</v>
      </c>
      <c r="G275" t="n">
        <v>23011</v>
      </c>
      <c r="H275" t="n">
        <v>20540</v>
      </c>
      <c r="I275" t="n">
        <v>23686</v>
      </c>
      <c r="J275" t="n">
        <v>22121</v>
      </c>
      <c r="L275">
        <f>AVERAGE(F275:J275)/10000</f>
        <v/>
      </c>
      <c r="BK275" s="58" t="n"/>
      <c r="BL275" s="58" t="n"/>
      <c r="BM275" s="58" t="n"/>
      <c r="BN275" s="58" t="n"/>
    </row>
    <row r="276">
      <c r="A276">
        <f>CONCATENATE(B276,C276)</f>
        <v/>
      </c>
      <c r="B276" t="inlineStr">
        <is>
          <t>Western Asia</t>
        </is>
      </c>
      <c r="C276" s="207" t="inlineStr">
        <is>
          <t>Maize</t>
        </is>
      </c>
      <c r="D276" s="206">
        <f>VLOOKUP(B276, [2]list_region_country!$B$3:$D$20, 3, FALSE)</f>
        <v/>
      </c>
      <c r="E276" s="206">
        <f>CONCATENATE(D276,C276)</f>
        <v/>
      </c>
      <c r="F276" t="n">
        <v>78180</v>
      </c>
      <c r="G276" t="n">
        <v>77120</v>
      </c>
      <c r="H276" t="n">
        <v>81048</v>
      </c>
      <c r="I276" t="n">
        <v>77847</v>
      </c>
      <c r="J276" t="n">
        <v>78295</v>
      </c>
      <c r="L276">
        <f>AVERAGE(F276:J276)/10000</f>
        <v/>
      </c>
      <c r="BK276" s="58" t="n"/>
      <c r="BL276" s="58" t="n"/>
      <c r="BM276" s="58" t="n"/>
      <c r="BN276" s="58" t="n"/>
    </row>
    <row r="277">
      <c r="A277">
        <f>CONCATENATE(B277,C277)</f>
        <v/>
      </c>
      <c r="B277" t="inlineStr">
        <is>
          <t>Western Asia</t>
        </is>
      </c>
      <c r="C277" s="207" t="inlineStr">
        <is>
          <t>Oats</t>
        </is>
      </c>
      <c r="D277" s="206">
        <f>VLOOKUP(B277, [2]list_region_country!$B$3:$D$20, 3, FALSE)</f>
        <v/>
      </c>
      <c r="E277" s="206">
        <f>CONCATENATE(D277,C277)</f>
        <v/>
      </c>
      <c r="F277" t="n">
        <v>22436</v>
      </c>
      <c r="G277" t="n">
        <v>21777</v>
      </c>
      <c r="H277" t="n">
        <v>24070</v>
      </c>
      <c r="I277" t="n">
        <v>23620</v>
      </c>
      <c r="J277" t="n">
        <v>26771</v>
      </c>
      <c r="L277">
        <f>AVERAGE(F277:J277)/10000</f>
        <v/>
      </c>
      <c r="BK277" s="58" t="n"/>
      <c r="BL277" s="58" t="n"/>
      <c r="BM277" s="58" t="n"/>
      <c r="BN277" s="58" t="n"/>
    </row>
    <row r="278">
      <c r="A278">
        <f>CONCATENATE(B278,C278)</f>
        <v/>
      </c>
      <c r="B278" t="inlineStr">
        <is>
          <t>Western Asia</t>
        </is>
      </c>
      <c r="C278" s="207" t="inlineStr">
        <is>
          <t>Potatoes</t>
        </is>
      </c>
      <c r="D278" s="206">
        <f>VLOOKUP(B278, [2]list_region_country!$B$3:$D$20, 3, FALSE)</f>
        <v/>
      </c>
      <c r="E278" s="206">
        <f>CONCATENATE(D278,C278)</f>
        <v/>
      </c>
      <c r="F278" t="n">
        <v>257386</v>
      </c>
      <c r="G278" t="n">
        <v>262787</v>
      </c>
      <c r="H278" t="n">
        <v>259475</v>
      </c>
      <c r="I278" t="n">
        <v>276208</v>
      </c>
      <c r="J278" t="n">
        <v>279162</v>
      </c>
      <c r="L278">
        <f>AVERAGE(F278:J278)/10000</f>
        <v/>
      </c>
      <c r="BK278" s="58" t="n"/>
      <c r="BL278" s="58" t="n"/>
      <c r="BM278" s="58" t="n"/>
      <c r="BN278" s="58" t="n"/>
    </row>
    <row r="279">
      <c r="A279">
        <f>CONCATENATE(B279,C279)</f>
        <v/>
      </c>
      <c r="B279" t="inlineStr">
        <is>
          <t>Western Asia</t>
        </is>
      </c>
      <c r="C279" s="207" t="inlineStr">
        <is>
          <t>Soybeans</t>
        </is>
      </c>
      <c r="D279" s="206">
        <f>VLOOKUP(B279, [2]list_region_country!$B$3:$D$20, 3, FALSE)</f>
        <v/>
      </c>
      <c r="E279" s="206">
        <f>CONCATENATE(D279,C279)</f>
        <v/>
      </c>
      <c r="F279" t="n">
        <v>41962</v>
      </c>
      <c r="G279" t="n">
        <v>41914</v>
      </c>
      <c r="H279" t="n">
        <v>41733</v>
      </c>
      <c r="I279" t="n">
        <v>41270</v>
      </c>
      <c r="J279" t="n">
        <v>42146</v>
      </c>
      <c r="L279">
        <f>AVERAGE(F279:J279)/10000</f>
        <v/>
      </c>
      <c r="BK279" s="58" t="n"/>
      <c r="BL279" s="58" t="n"/>
      <c r="BM279" s="58" t="n"/>
      <c r="BN279" s="58" t="n"/>
    </row>
    <row r="280">
      <c r="A280">
        <f>CONCATENATE(B280,C280)</f>
        <v/>
      </c>
      <c r="B280" t="inlineStr">
        <is>
          <t>Western Asia</t>
        </is>
      </c>
      <c r="C280" s="206" t="inlineStr">
        <is>
          <t>Wheat</t>
        </is>
      </c>
      <c r="D280" s="206">
        <f>VLOOKUP(B280, [2]list_region_country!$B$3:$D$20, 3, FALSE)</f>
        <v/>
      </c>
      <c r="E280" s="206">
        <f>CONCATENATE(D280,C280)</f>
        <v/>
      </c>
      <c r="F280" t="n">
        <v>26738</v>
      </c>
      <c r="G280" t="n">
        <v>26980</v>
      </c>
      <c r="H280" t="n">
        <v>25929</v>
      </c>
      <c r="I280" t="n">
        <v>27637</v>
      </c>
      <c r="J280" t="n">
        <v>28691</v>
      </c>
      <c r="L280">
        <f>AVERAGE(F280:J280)/10000</f>
        <v/>
      </c>
      <c r="BK280" s="58" t="n"/>
      <c r="BL280" s="58" t="n"/>
      <c r="BM280" s="58" t="n"/>
      <c r="BN280" s="58" t="n"/>
    </row>
    <row r="281">
      <c r="A281">
        <f>CONCATENATE(B281,C281)</f>
        <v/>
      </c>
      <c r="B281" t="inlineStr">
        <is>
          <t>Western Asia</t>
        </is>
      </c>
      <c r="C281" s="207" t="inlineStr">
        <is>
          <t>Millet</t>
        </is>
      </c>
      <c r="D281" s="206">
        <f>VLOOKUP(B281, [2]list_region_country!$B$3:$D$20, 3, FALSE)</f>
        <v/>
      </c>
      <c r="E281" s="206">
        <f>CONCATENATE(D281,C281)</f>
        <v/>
      </c>
      <c r="F281" t="n">
        <v>6298</v>
      </c>
      <c r="G281" t="n">
        <v>6514</v>
      </c>
      <c r="H281" t="n">
        <v>6491</v>
      </c>
      <c r="I281" t="n">
        <v>7010</v>
      </c>
      <c r="J281" t="n">
        <v>5971</v>
      </c>
      <c r="L281">
        <f>AVERAGE(F281:J281)/10000</f>
        <v/>
      </c>
      <c r="BK281" s="58" t="n"/>
      <c r="BL281" s="58" t="n"/>
      <c r="BM281" s="58" t="n"/>
      <c r="BN281" s="58" t="n"/>
    </row>
    <row r="282">
      <c r="A282">
        <f>CONCATENATE(B282,C282)</f>
        <v/>
      </c>
      <c r="B282" t="inlineStr">
        <is>
          <t>Western Asia</t>
        </is>
      </c>
      <c r="C282" s="206" t="inlineStr">
        <is>
          <t>Sorghum</t>
        </is>
      </c>
      <c r="D282" s="206">
        <f>VLOOKUP(B282, [2]list_region_country!$B$3:$D$20, 3, FALSE)</f>
        <v/>
      </c>
      <c r="E282" s="206">
        <f>CONCATENATE(D282,C282)</f>
        <v/>
      </c>
      <c r="F282" t="n">
        <v>9735</v>
      </c>
      <c r="G282" t="n">
        <v>9882</v>
      </c>
      <c r="H282" t="n">
        <v>9591</v>
      </c>
      <c r="I282" t="n">
        <v>11294</v>
      </c>
      <c r="J282" t="n">
        <v>14459</v>
      </c>
      <c r="L282">
        <f>AVERAGE(F282:J282)/10000</f>
        <v/>
      </c>
      <c r="BK282" s="58" t="n"/>
      <c r="BL282" s="58" t="n"/>
      <c r="BM282" s="58" t="n"/>
      <c r="BN282" s="58" t="n"/>
    </row>
    <row r="283">
      <c r="A283">
        <f>CONCATENATE(B283,C283)</f>
        <v/>
      </c>
      <c r="B283" t="inlineStr">
        <is>
          <t>Western Asia</t>
        </is>
      </c>
      <c r="C283" s="4431" t="inlineStr">
        <is>
          <t>Rice, paddy</t>
        </is>
      </c>
      <c r="D283" s="206">
        <f>VLOOKUP(B283, [2]list_region_country!$B$3:$D$20, 3, FALSE)</f>
        <v/>
      </c>
      <c r="E283" s="206">
        <f>CONCATENATE(D283,C283)</f>
        <v/>
      </c>
      <c r="F283" t="n">
        <v>70809</v>
      </c>
      <c r="G283" t="n">
        <v>69972</v>
      </c>
      <c r="H283" t="n">
        <v>74862</v>
      </c>
      <c r="I283" t="n">
        <v>61440</v>
      </c>
      <c r="J283" t="n">
        <v>63167</v>
      </c>
      <c r="L283">
        <f>AVERAGE(F283:J283)/10000</f>
        <v/>
      </c>
      <c r="BK283" s="58" t="n"/>
      <c r="BL283" s="58" t="n"/>
      <c r="BM283" s="58" t="n"/>
      <c r="BN283" s="58" t="n"/>
    </row>
    <row r="284">
      <c r="A284">
        <f>CONCATENATE(B284,C284)</f>
        <v/>
      </c>
      <c r="B284" t="inlineStr">
        <is>
          <t>Western Asia</t>
        </is>
      </c>
      <c r="C284" s="206" t="inlineStr">
        <is>
          <t>Rye</t>
        </is>
      </c>
      <c r="D284" s="206">
        <f>VLOOKUP(B284, [2]list_region_country!$B$3:$D$20, 3, FALSE)</f>
        <v/>
      </c>
      <c r="E284" s="206">
        <f>CONCATENATE(D284,C284)</f>
        <v/>
      </c>
      <c r="F284" t="n">
        <v>26288</v>
      </c>
      <c r="G284" t="n">
        <v>31605</v>
      </c>
      <c r="H284" t="n">
        <v>28793</v>
      </c>
      <c r="I284" t="n">
        <v>27624</v>
      </c>
      <c r="J284" t="n">
        <v>28315</v>
      </c>
      <c r="L284">
        <f>AVERAGE(F284:J284)/10000</f>
        <v/>
      </c>
      <c r="BK284" s="58" t="n"/>
      <c r="BL284" s="58" t="n"/>
      <c r="BM284" s="58" t="n"/>
      <c r="BN284" s="58" t="n"/>
    </row>
    <row r="285">
      <c r="A285">
        <f>CONCATENATE(B285,C285)</f>
        <v/>
      </c>
      <c r="B285" t="inlineStr">
        <is>
          <t>Western Asia</t>
        </is>
      </c>
      <c r="C285" s="206" t="inlineStr">
        <is>
          <t>Groundnuts, with shell</t>
        </is>
      </c>
      <c r="D285" s="206">
        <f>VLOOKUP(B285, [2]list_region_country!$B$3:$D$20, 3, FALSE)</f>
        <v/>
      </c>
      <c r="E285" s="206">
        <f>CONCATENATE(D285,C285)</f>
        <v/>
      </c>
      <c r="F285" t="n">
        <v>37755</v>
      </c>
      <c r="G285" t="n">
        <v>37996</v>
      </c>
      <c r="H285" t="n">
        <v>37732</v>
      </c>
      <c r="I285" t="n">
        <v>38123</v>
      </c>
      <c r="J285" t="n">
        <v>38135</v>
      </c>
      <c r="L285">
        <f>AVERAGE(F285:J285)/10000</f>
        <v/>
      </c>
      <c r="BK285" s="58" t="n"/>
      <c r="BL285" s="58" t="n"/>
      <c r="BM285" s="58" t="n"/>
      <c r="BN285" s="58" t="n"/>
    </row>
    <row r="286">
      <c r="A286">
        <f>CONCATENATE(B286,C286)</f>
        <v/>
      </c>
      <c r="B286" t="inlineStr">
        <is>
          <t>Western Asia</t>
        </is>
      </c>
      <c r="C286" s="206" t="inlineStr">
        <is>
          <t>Beans, dry</t>
        </is>
      </c>
      <c r="D286" s="206">
        <f>VLOOKUP(B286, [2]list_region_country!$B$3:$D$20, 3, FALSE)</f>
        <v/>
      </c>
      <c r="E286" s="206">
        <f>CONCATENATE(D286,C286)</f>
        <v/>
      </c>
      <c r="F286" t="n">
        <v>25877</v>
      </c>
      <c r="G286" t="n">
        <v>25694</v>
      </c>
      <c r="H286" t="n">
        <v>25150</v>
      </c>
      <c r="I286" t="n">
        <v>24877</v>
      </c>
      <c r="J286" t="n">
        <v>26574</v>
      </c>
      <c r="L286">
        <f>AVERAGE(F286:J286)/10000</f>
        <v/>
      </c>
      <c r="BK286" s="58" t="n"/>
      <c r="BL286" s="58" t="n"/>
      <c r="BM286" s="58" t="n"/>
      <c r="BN286" s="58" t="n"/>
    </row>
    <row r="287">
      <c r="A287">
        <f>CONCATENATE(B287,C287)</f>
        <v/>
      </c>
      <c r="B287" t="inlineStr">
        <is>
          <t>Western Asia</t>
        </is>
      </c>
      <c r="C287" s="206" t="inlineStr">
        <is>
          <t>Vegetables</t>
        </is>
      </c>
      <c r="D287" s="206">
        <f>VLOOKUP(B287, [2]list_region_country!$B$3:$D$20, 3, FALSE)</f>
        <v/>
      </c>
      <c r="E287" s="206">
        <f>CONCATENATE(D287,C287)</f>
        <v/>
      </c>
      <c r="F287" t="n">
        <v>279871</v>
      </c>
      <c r="G287" t="n">
        <v>275683</v>
      </c>
      <c r="H287" t="n">
        <v>280587</v>
      </c>
      <c r="I287" t="n">
        <v>283304</v>
      </c>
      <c r="J287" t="n">
        <v>277794</v>
      </c>
      <c r="L287">
        <f>AVERAGE(F287:J287)/10000</f>
        <v/>
      </c>
      <c r="BK287" s="58" t="n"/>
      <c r="BL287" s="58" t="n"/>
      <c r="BM287" s="58" t="n"/>
      <c r="BN287" s="58" t="n"/>
    </row>
    <row r="288">
      <c r="A288">
        <f>CONCATENATE(B288,C288)</f>
        <v/>
      </c>
      <c r="B288" t="inlineStr">
        <is>
          <t>Western Asia</t>
        </is>
      </c>
      <c r="C288" s="206" t="inlineStr">
        <is>
          <t>Oilseeds</t>
        </is>
      </c>
      <c r="D288" s="206">
        <f>VLOOKUP(B288, [2]list_region_country!$B$3:$D$20, 3, FALSE)</f>
        <v/>
      </c>
      <c r="E288" s="206">
        <f>CONCATENATE(D288,C288)</f>
        <v/>
      </c>
      <c r="F288" t="n">
        <v>20097</v>
      </c>
      <c r="G288" t="n">
        <v>20986.11111111111</v>
      </c>
      <c r="H288" t="n">
        <v>20259.77777777778</v>
      </c>
      <c r="I288" t="n">
        <v>19757.88888888889</v>
      </c>
      <c r="J288" t="n">
        <v>20951</v>
      </c>
      <c r="L288">
        <f>AVERAGE(F288:J288)/10000</f>
        <v/>
      </c>
      <c r="BK288" s="58" t="n"/>
      <c r="BL288" s="58" t="n"/>
      <c r="BM288" s="58" t="n"/>
      <c r="BN288" s="58" t="n"/>
    </row>
    <row r="289" customFormat="1" s="480">
      <c r="A289" s="480">
        <f>CONCATENATE(B289,C289)</f>
        <v/>
      </c>
      <c r="B289" s="480" t="inlineStr">
        <is>
          <t>Western Asia</t>
        </is>
      </c>
      <c r="C289" s="4432">
        <f>C271</f>
        <v/>
      </c>
      <c r="D289" s="483">
        <f>VLOOKUP(B289, [2]list_region_country!$B$3:$D$20, 3, FALSE)</f>
        <v/>
      </c>
      <c r="E289" s="483">
        <f>CONCATENATE(D289,C289)</f>
        <v/>
      </c>
      <c r="L289" s="480">
        <f>AVERAGEIF(L272:L288,"&gt;0")</f>
        <v/>
      </c>
      <c r="BK289" s="4435" t="n"/>
      <c r="BL289" s="4435" t="n"/>
      <c r="BM289" s="4435" t="n"/>
      <c r="BN289" s="4435" t="n"/>
    </row>
    <row r="290">
      <c r="C290" s="207" t="n"/>
      <c r="D290" s="206" t="n"/>
      <c r="E290" s="206" t="n"/>
      <c r="BK290" s="58" t="n"/>
      <c r="BL290" s="58" t="n"/>
      <c r="BM290" s="58" t="n"/>
      <c r="BN290" s="58" t="n"/>
    </row>
    <row r="291">
      <c r="C291" s="207" t="n"/>
      <c r="D291" s="206" t="n"/>
      <c r="E291" s="206" t="n"/>
      <c r="BK291" s="58" t="n"/>
      <c r="BL291" s="58" t="n"/>
      <c r="BM291" s="58" t="n"/>
      <c r="BN291" s="58" t="n"/>
    </row>
    <row r="292">
      <c r="C292" s="206" t="n"/>
      <c r="D292" s="206" t="n"/>
      <c r="E292" s="206" t="n"/>
      <c r="BK292" s="58" t="n"/>
      <c r="BL292" s="58" t="n"/>
      <c r="BM292" s="58" t="n"/>
      <c r="BN292" s="58" t="n"/>
    </row>
    <row r="293">
      <c r="C293" s="207" t="n"/>
      <c r="D293" s="206" t="n"/>
      <c r="E293" s="206" t="n"/>
      <c r="BK293" s="58" t="n"/>
      <c r="BL293" s="58" t="n"/>
      <c r="BM293" s="58" t="n"/>
      <c r="BN293" s="58" t="n"/>
    </row>
    <row r="294">
      <c r="C294" s="207" t="n"/>
      <c r="D294" s="206" t="n"/>
      <c r="E294" s="206" t="n"/>
      <c r="BK294" s="58" t="n"/>
      <c r="BL294" s="58" t="n"/>
      <c r="BM294" s="58" t="n"/>
      <c r="BN294" s="58" t="n"/>
    </row>
    <row r="295">
      <c r="C295" s="207" t="n"/>
      <c r="D295" s="206" t="n"/>
      <c r="E295" s="206" t="n"/>
      <c r="BK295" s="58" t="n"/>
      <c r="BL295" s="58" t="n"/>
      <c r="BM295" s="58" t="n"/>
      <c r="BN295" s="58" t="n"/>
    </row>
    <row r="296">
      <c r="C296" s="207" t="n"/>
      <c r="D296" s="206" t="n"/>
      <c r="E296" s="206" t="n"/>
      <c r="BK296" s="58" t="n"/>
      <c r="BL296" s="58" t="n"/>
      <c r="BM296" s="58" t="n"/>
      <c r="BN296" s="58" t="n"/>
    </row>
    <row r="297">
      <c r="C297" s="206" t="n"/>
      <c r="D297" s="206" t="n"/>
      <c r="E297" s="206" t="n"/>
      <c r="BK297" s="58" t="n"/>
      <c r="BL297" s="58" t="n"/>
      <c r="BM297" s="58" t="n"/>
      <c r="BN297" s="58" t="n"/>
    </row>
    <row r="298">
      <c r="C298" s="207" t="n"/>
      <c r="D298" s="206" t="n"/>
      <c r="E298" s="206" t="n"/>
      <c r="BK298" s="58" t="n"/>
      <c r="BL298" s="58" t="n"/>
      <c r="BM298" s="58" t="n"/>
      <c r="BN298" s="58" t="n"/>
    </row>
    <row r="299">
      <c r="C299" s="206" t="n"/>
      <c r="D299" s="206" t="n"/>
      <c r="E299" s="206" t="n"/>
      <c r="BK299" s="58" t="n"/>
      <c r="BL299" s="58" t="n"/>
      <c r="BM299" s="58" t="n"/>
      <c r="BN299" s="58" t="n"/>
    </row>
    <row r="300">
      <c r="C300" s="4431" t="n"/>
      <c r="D300" s="206" t="n"/>
      <c r="E300" s="206" t="n"/>
      <c r="BK300" s="58" t="n"/>
      <c r="BL300" s="58" t="n"/>
      <c r="BM300" s="58" t="n"/>
      <c r="BN300" s="58" t="n"/>
    </row>
    <row r="301">
      <c r="C301" s="206" t="n"/>
      <c r="D301" s="206" t="n"/>
      <c r="E301" s="206" t="n"/>
      <c r="BK301" s="58" t="n"/>
      <c r="BL301" s="58" t="n"/>
      <c r="BM301" s="58" t="n"/>
      <c r="BN301" s="58" t="n"/>
    </row>
    <row r="302">
      <c r="C302" s="206" t="n"/>
      <c r="D302" s="206" t="n"/>
      <c r="E302" s="206" t="n"/>
      <c r="BK302" s="58" t="n"/>
      <c r="BL302" s="58" t="n"/>
      <c r="BM302" s="58" t="n"/>
      <c r="BN302" s="58" t="n"/>
    </row>
    <row r="303">
      <c r="C303" s="206" t="n"/>
      <c r="D303" s="206" t="n"/>
      <c r="E303" s="206" t="n"/>
      <c r="BK303" s="58" t="n"/>
      <c r="BL303" s="58" t="n"/>
      <c r="BM303" s="58" t="n"/>
      <c r="BN303" s="58" t="n"/>
    </row>
    <row r="304">
      <c r="C304" s="4432" t="n"/>
      <c r="D304" s="206" t="n"/>
      <c r="E304" s="206" t="n"/>
      <c r="BK304" s="58" t="n"/>
      <c r="BL304" s="58" t="n"/>
      <c r="BM304" s="58" t="n"/>
      <c r="BN304" s="58" t="n"/>
    </row>
    <row r="305">
      <c r="C305" s="206" t="n"/>
      <c r="D305" s="206" t="n"/>
      <c r="E305" s="206" t="n"/>
      <c r="BK305" s="58" t="n"/>
      <c r="BL305" s="58" t="n"/>
      <c r="BM305" s="58" t="n"/>
      <c r="BN305" s="58" t="n"/>
    </row>
    <row r="306">
      <c r="C306" s="206" t="n"/>
      <c r="D306" s="206" t="n"/>
      <c r="E306" s="206" t="n"/>
      <c r="BK306" s="58" t="n"/>
      <c r="BL306" s="58" t="n"/>
      <c r="BM306" s="58" t="n"/>
      <c r="BN306" s="58" t="n"/>
    </row>
    <row r="307">
      <c r="C307" s="206" t="n"/>
      <c r="D307" s="206" t="n"/>
      <c r="E307" s="206" t="n"/>
      <c r="BK307" s="58" t="n"/>
      <c r="BL307" s="58" t="n"/>
      <c r="BM307" s="58" t="n"/>
      <c r="BN307" s="58" t="n"/>
    </row>
    <row r="308">
      <c r="C308" s="206" t="n"/>
      <c r="D308" s="206" t="n"/>
      <c r="E308" s="206" t="n"/>
      <c r="BK308" s="58" t="n"/>
      <c r="BL308" s="58" t="n"/>
      <c r="BM308" s="58" t="n"/>
      <c r="BN308" s="58" t="n"/>
    </row>
    <row r="309">
      <c r="C309" s="206" t="n"/>
      <c r="D309" s="206" t="n"/>
      <c r="E309" s="206" t="n"/>
      <c r="BK309" s="58" t="n"/>
      <c r="BL309" s="58" t="n"/>
      <c r="BM309" s="58" t="n"/>
      <c r="BN309" s="58" t="n"/>
    </row>
    <row r="310">
      <c r="C310" s="206" t="n"/>
      <c r="D310" s="206" t="n"/>
      <c r="E310" s="206" t="n"/>
      <c r="BK310" s="58" t="n"/>
      <c r="BL310" s="58" t="n"/>
      <c r="BM310" s="58" t="n"/>
      <c r="BN310" s="58" t="n"/>
    </row>
    <row r="311">
      <c r="C311" s="207" t="n"/>
      <c r="D311" s="206" t="n"/>
      <c r="E311" s="206" t="n"/>
      <c r="BK311" s="58" t="n"/>
      <c r="BL311" s="58" t="n"/>
      <c r="BM311" s="58" t="n"/>
      <c r="BN311" s="58" t="n"/>
    </row>
    <row r="312">
      <c r="C312" s="206" t="n"/>
      <c r="D312" s="206" t="n"/>
      <c r="E312" s="206" t="n"/>
      <c r="BK312" s="58" t="n"/>
      <c r="BL312" s="58" t="n"/>
      <c r="BM312" s="58" t="n"/>
      <c r="BN312" s="58" t="n"/>
    </row>
    <row r="313">
      <c r="C313" s="206" t="n"/>
      <c r="D313" s="206" t="n"/>
      <c r="E313" s="206" t="n"/>
      <c r="BK313" s="58" t="n"/>
      <c r="BL313" s="58" t="n"/>
      <c r="BM313" s="58" t="n"/>
      <c r="BN313" s="58" t="n"/>
    </row>
    <row r="314">
      <c r="C314" s="207" t="n"/>
      <c r="D314" s="206" t="n"/>
      <c r="E314" s="206" t="n"/>
      <c r="BK314" s="58" t="n"/>
      <c r="BL314" s="58" t="n"/>
      <c r="BM314" s="58" t="n"/>
      <c r="BN314" s="58" t="n"/>
    </row>
    <row r="315">
      <c r="C315" s="206" t="n"/>
      <c r="D315" s="206" t="n"/>
      <c r="E315" s="206" t="n"/>
      <c r="BK315" s="58" t="n"/>
      <c r="BL315" s="58" t="n"/>
      <c r="BM315" s="58" t="n"/>
      <c r="BN315" s="58" t="n"/>
    </row>
    <row r="316">
      <c r="C316" s="206" t="n"/>
      <c r="D316" s="206" t="n"/>
      <c r="E316" s="206" t="n"/>
      <c r="BK316" s="58" t="n"/>
      <c r="BL316" s="58" t="n"/>
      <c r="BM316" s="58" t="n"/>
      <c r="BN316" s="58" t="n"/>
    </row>
    <row r="317">
      <c r="C317" s="206" t="n"/>
      <c r="D317" s="206" t="n"/>
      <c r="E317" s="206" t="n"/>
      <c r="BK317" s="58" t="n"/>
      <c r="BL317" s="58" t="n"/>
      <c r="BM317" s="58" t="n"/>
      <c r="BN317" s="58" t="n"/>
    </row>
    <row r="318">
      <c r="C318" s="206" t="n"/>
      <c r="D318" s="206" t="n"/>
      <c r="E318" s="206" t="n"/>
      <c r="BK318" s="58" t="n"/>
      <c r="BL318" s="58" t="n"/>
      <c r="BM318" s="58" t="n"/>
      <c r="BN318" s="58" t="n"/>
    </row>
    <row r="319">
      <c r="C319" s="206" t="n"/>
      <c r="D319" s="206" t="n"/>
      <c r="E319" s="206" t="n"/>
      <c r="BK319" s="58" t="n"/>
      <c r="BL319" s="58" t="n"/>
      <c r="BM319" s="58" t="n"/>
      <c r="BN319" s="58" t="n"/>
    </row>
    <row r="320">
      <c r="C320" s="206" t="n"/>
      <c r="D320" s="206" t="n"/>
      <c r="E320" s="206" t="n"/>
      <c r="BK320" s="58" t="n"/>
      <c r="BL320" s="58" t="n"/>
      <c r="BM320" s="58" t="n"/>
      <c r="BN320" s="58" t="n"/>
    </row>
    <row r="321">
      <c r="C321" s="207" t="n"/>
      <c r="D321" s="206" t="n"/>
      <c r="E321" s="206" t="n"/>
      <c r="BK321" s="58" t="n"/>
      <c r="BL321" s="58" t="n"/>
      <c r="BM321" s="58" t="n"/>
      <c r="BN321" s="58" t="n"/>
    </row>
    <row r="322">
      <c r="C322" s="206" t="n"/>
      <c r="D322" s="206" t="n"/>
      <c r="E322" s="206" t="n"/>
      <c r="BK322" s="58" t="n"/>
      <c r="BL322" s="58" t="n"/>
      <c r="BM322" s="58" t="n"/>
      <c r="BN322" s="58" t="n"/>
    </row>
    <row r="323">
      <c r="C323" s="206" t="n"/>
      <c r="D323" s="206" t="n"/>
      <c r="E323" s="206" t="n"/>
      <c r="BK323" s="58" t="n"/>
      <c r="BL323" s="58" t="n"/>
      <c r="BM323" s="58" t="n"/>
      <c r="BN323" s="58" t="n"/>
    </row>
    <row r="324">
      <c r="C324" s="206" t="n"/>
      <c r="D324" s="206" t="n"/>
      <c r="E324" s="206" t="n"/>
      <c r="BK324" s="58" t="n"/>
      <c r="BL324" s="58" t="n"/>
      <c r="BM324" s="58" t="n"/>
      <c r="BN324" s="58" t="n"/>
    </row>
    <row r="325">
      <c r="C325" s="206" t="n"/>
      <c r="D325" s="206" t="n"/>
      <c r="E325" s="206" t="n"/>
      <c r="BK325" s="58" t="n"/>
      <c r="BL325" s="58" t="n"/>
      <c r="BM325" s="58" t="n"/>
      <c r="BN325" s="58" t="n"/>
    </row>
    <row r="326">
      <c r="C326" s="206" t="n"/>
      <c r="D326" s="206" t="n"/>
      <c r="E326" s="206" t="n"/>
      <c r="BK326" s="58" t="n"/>
      <c r="BL326" s="58" t="n"/>
      <c r="BM326" s="58" t="n"/>
      <c r="BN326" s="58" t="n"/>
    </row>
    <row r="327">
      <c r="C327" s="206" t="n"/>
      <c r="D327" s="206" t="n"/>
      <c r="E327" s="206" t="n"/>
      <c r="BK327" s="58" t="n"/>
      <c r="BL327" s="58" t="n"/>
      <c r="BM327" s="58" t="n"/>
      <c r="BN327" s="58" t="n"/>
    </row>
    <row r="328">
      <c r="C328" s="206" t="n"/>
      <c r="D328" s="206" t="n"/>
      <c r="E328" s="206" t="n"/>
      <c r="BK328" s="58" t="n"/>
      <c r="BL328" s="58" t="n"/>
      <c r="BM328" s="58" t="n"/>
      <c r="BN328" s="58" t="n"/>
    </row>
    <row r="329">
      <c r="C329" s="206" t="n"/>
      <c r="D329" s="206" t="n"/>
      <c r="E329" s="206" t="n"/>
      <c r="BK329" s="58" t="n"/>
      <c r="BL329" s="58" t="n"/>
      <c r="BM329" s="58" t="n"/>
      <c r="BN329" s="58" t="n"/>
    </row>
    <row r="330">
      <c r="C330" s="206" t="n"/>
      <c r="D330" s="206" t="n"/>
      <c r="E330" s="206" t="n"/>
      <c r="BK330" s="58" t="n"/>
      <c r="BL330" s="58" t="n"/>
      <c r="BM330" s="58" t="n"/>
      <c r="BN330" s="58" t="n"/>
    </row>
    <row r="331" customFormat="1" s="4437">
      <c r="C331" s="4438" t="n"/>
      <c r="D331" s="4439" t="n"/>
      <c r="E331" s="4439" t="n"/>
      <c r="AF331" s="4440" t="n"/>
      <c r="AG331" s="4440" t="n"/>
      <c r="AH331" s="4440" t="n"/>
      <c r="AI331" s="4440" t="n"/>
      <c r="AJ331" s="4440" t="n"/>
      <c r="BK331" s="4440" t="n"/>
      <c r="BL331" s="4440" t="n"/>
      <c r="BM331" s="4440" t="n"/>
      <c r="BN331" s="4440" t="n"/>
    </row>
    <row r="332">
      <c r="C332" s="206" t="n"/>
      <c r="D332" s="206" t="n"/>
      <c r="E332" s="206" t="n"/>
      <c r="AF332" s="58" t="n"/>
      <c r="AG332" s="58" t="n"/>
      <c r="AH332" s="58" t="n"/>
      <c r="AI332" s="58" t="n"/>
      <c r="AJ332" s="58" t="n"/>
      <c r="BK332" s="58" t="n"/>
      <c r="BL332" s="58" t="n"/>
      <c r="BM332" s="58" t="n"/>
      <c r="BN332" s="58" t="n"/>
    </row>
    <row r="333">
      <c r="C333" s="207" t="n"/>
      <c r="D333" s="206" t="n"/>
      <c r="E333" s="206" t="n"/>
      <c r="AF333" s="58" t="n"/>
      <c r="AG333" s="58" t="n"/>
      <c r="AH333" s="58" t="n"/>
      <c r="AI333" s="58" t="n"/>
      <c r="AJ333" s="58" t="n"/>
      <c r="BK333" s="58" t="n"/>
      <c r="BL333" s="58" t="n"/>
      <c r="BM333" s="58" t="n"/>
      <c r="BN333" s="58" t="n"/>
    </row>
    <row r="334">
      <c r="C334" s="206" t="n"/>
      <c r="D334" s="206" t="n"/>
      <c r="E334" s="206" t="n"/>
      <c r="AF334" s="58" t="n"/>
      <c r="AG334" s="58" t="n"/>
      <c r="AH334" s="58" t="n"/>
      <c r="AI334" s="58" t="n"/>
      <c r="AJ334" s="58" t="n"/>
      <c r="BK334" s="58" t="n"/>
      <c r="BL334" s="58" t="n"/>
      <c r="BM334" s="58" t="n"/>
      <c r="BN334" s="58" t="n"/>
    </row>
    <row r="335">
      <c r="C335" s="206" t="n"/>
      <c r="D335" s="206" t="n"/>
      <c r="E335" s="206" t="n"/>
      <c r="AF335" s="58" t="n"/>
      <c r="AG335" s="58" t="n"/>
      <c r="AH335" s="58" t="n"/>
      <c r="AI335" s="58" t="n"/>
      <c r="AJ335" s="58" t="n"/>
      <c r="BK335" s="58" t="n"/>
      <c r="BL335" s="58" t="n"/>
      <c r="BM335" s="58" t="n"/>
      <c r="BN335" s="58" t="n"/>
    </row>
    <row r="336">
      <c r="C336" s="207" t="n"/>
      <c r="D336" s="206" t="n"/>
      <c r="E336" s="206" t="n"/>
      <c r="AF336" s="58" t="n"/>
      <c r="AG336" s="58" t="n"/>
      <c r="AH336" s="58" t="n"/>
      <c r="AI336" s="58" t="n"/>
      <c r="AJ336" s="58" t="n"/>
      <c r="BK336" s="58" t="n"/>
      <c r="BL336" s="58" t="n"/>
      <c r="BM336" s="58" t="n"/>
      <c r="BN336" s="58" t="n"/>
    </row>
    <row r="337">
      <c r="C337" s="206" t="n"/>
      <c r="D337" s="206" t="n"/>
      <c r="E337" s="206" t="n"/>
      <c r="AF337" s="58" t="n"/>
      <c r="AG337" s="58" t="n"/>
      <c r="AH337" s="58" t="n"/>
      <c r="AI337" s="58" t="n"/>
      <c r="AJ337" s="58" t="n"/>
      <c r="BK337" s="58" t="n"/>
      <c r="BL337" s="58" t="n"/>
      <c r="BM337" s="58" t="n"/>
      <c r="BN337" s="58" t="n"/>
    </row>
    <row r="338">
      <c r="C338" s="207" t="n"/>
      <c r="D338" s="206" t="n"/>
      <c r="E338" s="206" t="n"/>
      <c r="AF338" s="58" t="n"/>
      <c r="AG338" s="58" t="n"/>
      <c r="AH338" s="58" t="n"/>
      <c r="AI338" s="58" t="n"/>
      <c r="AJ338" s="58" t="n"/>
      <c r="BK338" s="58" t="n"/>
      <c r="BL338" s="58" t="n"/>
      <c r="BM338" s="58" t="n"/>
      <c r="BN338" s="58" t="n"/>
    </row>
    <row r="339">
      <c r="C339" s="207" t="n"/>
      <c r="D339" s="206" t="n"/>
      <c r="E339" s="206" t="n"/>
      <c r="AF339" s="58" t="n"/>
      <c r="AG339" s="58" t="n"/>
      <c r="AH339" s="58" t="n"/>
      <c r="AI339" s="58" t="n"/>
      <c r="AJ339" s="58" t="n"/>
      <c r="BK339" s="58" t="n"/>
      <c r="BL339" s="58" t="n"/>
      <c r="BM339" s="58" t="n"/>
      <c r="BN339" s="58" t="n"/>
    </row>
    <row r="340">
      <c r="C340" s="207" t="n"/>
      <c r="D340" s="206" t="n"/>
      <c r="E340" s="206" t="n"/>
      <c r="AF340" s="58" t="n"/>
      <c r="AG340" s="58" t="n"/>
      <c r="AH340" s="58" t="n"/>
      <c r="AI340" s="58" t="n"/>
      <c r="AJ340" s="58" t="n"/>
      <c r="BK340" s="58" t="n"/>
      <c r="BL340" s="58" t="n"/>
      <c r="BM340" s="58" t="n"/>
      <c r="BN340" s="58" t="n"/>
    </row>
    <row r="341">
      <c r="C341" s="207" t="n"/>
      <c r="D341" s="206" t="n"/>
      <c r="E341" s="206" t="n"/>
      <c r="AF341" s="58" t="n"/>
      <c r="AG341" s="58" t="n"/>
      <c r="AH341" s="58" t="n"/>
      <c r="AI341" s="58" t="n"/>
      <c r="AJ341" s="58" t="n"/>
      <c r="BK341" s="58" t="n"/>
      <c r="BL341" s="58" t="n"/>
      <c r="BM341" s="58" t="n"/>
      <c r="BN341" s="58" t="n"/>
    </row>
    <row r="342">
      <c r="C342" s="206" t="n"/>
      <c r="D342" s="206" t="n"/>
      <c r="E342" s="206" t="n"/>
      <c r="AF342" s="58" t="n"/>
      <c r="AG342" s="58" t="n"/>
      <c r="AH342" s="58" t="n"/>
      <c r="AI342" s="58" t="n"/>
      <c r="AJ342" s="58" t="n"/>
      <c r="BK342" s="58" t="n"/>
      <c r="BL342" s="58" t="n"/>
      <c r="BM342" s="58" t="n"/>
      <c r="BN342" s="58" t="n"/>
    </row>
    <row r="343">
      <c r="C343" s="207" t="n"/>
      <c r="D343" s="206" t="n"/>
      <c r="E343" s="206" t="n"/>
      <c r="AF343" s="58" t="n"/>
      <c r="AG343" s="58" t="n"/>
      <c r="AH343" s="58" t="n"/>
      <c r="AI343" s="58" t="n"/>
      <c r="AJ343" s="58" t="n"/>
      <c r="BK343" s="58" t="n"/>
      <c r="BL343" s="58" t="n"/>
      <c r="BM343" s="58" t="n"/>
      <c r="BN343" s="58" t="n"/>
    </row>
    <row r="344">
      <c r="C344" s="206" t="n"/>
      <c r="D344" s="206" t="n"/>
      <c r="E344" s="206" t="n"/>
      <c r="AF344" s="58" t="n"/>
      <c r="AG344" s="58" t="n"/>
      <c r="AH344" s="58" t="n"/>
      <c r="AI344" s="58" t="n"/>
      <c r="AJ344" s="58" t="n"/>
      <c r="BK344" s="58" t="n"/>
      <c r="BL344" s="58" t="n"/>
      <c r="BM344" s="58" t="n"/>
      <c r="BN344" s="58" t="n"/>
    </row>
    <row r="345">
      <c r="C345" s="206" t="n"/>
      <c r="D345" s="206" t="n"/>
      <c r="E345" s="206" t="n"/>
      <c r="AF345" s="58" t="n"/>
      <c r="AG345" s="58" t="n"/>
      <c r="AH345" s="58" t="n"/>
      <c r="AI345" s="58" t="n"/>
      <c r="AJ345" s="58" t="n"/>
      <c r="BK345" s="58" t="n"/>
      <c r="BL345" s="58" t="n"/>
      <c r="BM345" s="58" t="n"/>
      <c r="BN345" s="58" t="n"/>
    </row>
    <row r="346">
      <c r="C346" s="206" t="n"/>
      <c r="D346" s="206" t="n"/>
      <c r="E346" s="206" t="n"/>
      <c r="AF346" s="58" t="n"/>
      <c r="AG346" s="58" t="n"/>
      <c r="AH346" s="58" t="n"/>
      <c r="AI346" s="58" t="n"/>
      <c r="AJ346" s="58" t="n"/>
      <c r="BK346" s="58" t="n"/>
      <c r="BL346" s="58" t="n"/>
      <c r="BM346" s="58" t="n"/>
      <c r="BN346" s="58" t="n"/>
    </row>
    <row r="347">
      <c r="C347" s="206" t="n"/>
      <c r="D347" s="206" t="n"/>
      <c r="E347" s="206" t="n"/>
      <c r="AF347" s="58" t="n"/>
      <c r="AG347" s="58" t="n"/>
      <c r="AH347" s="58" t="n"/>
      <c r="AI347" s="58" t="n"/>
      <c r="AJ347" s="58" t="n"/>
      <c r="BK347" s="58" t="n"/>
      <c r="BL347" s="58" t="n"/>
      <c r="BM347" s="58" t="n"/>
      <c r="BN347" s="58" t="n"/>
    </row>
    <row r="348">
      <c r="C348" s="207" t="n"/>
      <c r="D348" s="206" t="n"/>
      <c r="E348" s="206" t="n"/>
      <c r="AF348" s="58" t="n"/>
      <c r="AG348" s="58" t="n"/>
      <c r="AH348" s="58" t="n"/>
      <c r="AI348" s="58" t="n"/>
      <c r="AJ348" s="58" t="n"/>
      <c r="BK348" s="58" t="n"/>
      <c r="BL348" s="58" t="n"/>
      <c r="BM348" s="58" t="n"/>
      <c r="BN348" s="58" t="n"/>
    </row>
    <row r="349">
      <c r="C349" s="206" t="n"/>
      <c r="D349" s="206" t="n"/>
      <c r="E349" s="206" t="n"/>
      <c r="AF349" s="58" t="n"/>
      <c r="AG349" s="58" t="n"/>
      <c r="AH349" s="58" t="n"/>
      <c r="AI349" s="58" t="n"/>
      <c r="AJ349" s="58" t="n"/>
      <c r="BK349" s="58" t="n"/>
      <c r="BL349" s="58" t="n"/>
      <c r="BM349" s="58" t="n"/>
      <c r="BN349" s="58" t="n"/>
    </row>
    <row r="350">
      <c r="C350" s="206" t="n"/>
      <c r="D350" s="206" t="n"/>
      <c r="E350" s="206" t="n"/>
      <c r="AF350" s="58" t="n"/>
      <c r="AG350" s="58" t="n"/>
      <c r="AH350" s="58" t="n"/>
      <c r="AI350" s="58" t="n"/>
      <c r="AJ350" s="58" t="n"/>
      <c r="BK350" s="58" t="n"/>
      <c r="BL350" s="58" t="n"/>
      <c r="BM350" s="58" t="n"/>
      <c r="BN350" s="58" t="n"/>
    </row>
    <row r="351">
      <c r="C351" s="206" t="n"/>
      <c r="D351" s="206" t="n"/>
      <c r="E351" s="206" t="n"/>
      <c r="AF351" s="58" t="n"/>
      <c r="AG351" s="58" t="n"/>
      <c r="AH351" s="58" t="n"/>
      <c r="AI351" s="58" t="n"/>
      <c r="AJ351" s="58" t="n"/>
      <c r="BK351" s="58" t="n"/>
      <c r="BL351" s="58" t="n"/>
      <c r="BM351" s="58" t="n"/>
      <c r="BN351" s="58" t="n"/>
    </row>
    <row r="352">
      <c r="C352" s="207" t="n"/>
      <c r="D352" s="206" t="n"/>
      <c r="E352" s="206" t="n"/>
      <c r="AF352" s="58" t="n"/>
      <c r="AG352" s="58" t="n"/>
      <c r="AH352" s="58" t="n"/>
      <c r="AI352" s="58" t="n"/>
      <c r="AJ352" s="58" t="n"/>
      <c r="BK352" s="58" t="n"/>
      <c r="BL352" s="58" t="n"/>
      <c r="BM352" s="58" t="n"/>
      <c r="BN352" s="58" t="n"/>
    </row>
    <row r="353">
      <c r="C353" s="207" t="n"/>
      <c r="D353" s="206" t="n"/>
      <c r="E353" s="206" t="n"/>
      <c r="AF353" s="58" t="n"/>
      <c r="AG353" s="58" t="n"/>
      <c r="AH353" s="58" t="n"/>
      <c r="AI353" s="58" t="n"/>
      <c r="AJ353" s="58" t="n"/>
      <c r="BK353" s="58" t="n"/>
      <c r="BL353" s="58" t="n"/>
      <c r="BM353" s="58" t="n"/>
      <c r="BN353" s="58" t="n"/>
    </row>
    <row r="354">
      <c r="C354" s="206" t="n"/>
      <c r="D354" s="206" t="n"/>
      <c r="E354" s="206" t="n"/>
      <c r="AF354" s="58" t="n"/>
      <c r="AG354" s="58" t="n"/>
      <c r="AH354" s="58" t="n"/>
      <c r="AI354" s="58" t="n"/>
      <c r="AJ354" s="58" t="n"/>
      <c r="BK354" s="58" t="n"/>
      <c r="BL354" s="58" t="n"/>
      <c r="BM354" s="58" t="n"/>
      <c r="BN354" s="58" t="n"/>
    </row>
    <row r="355">
      <c r="C355" s="207" t="n"/>
      <c r="D355" s="206" t="n"/>
      <c r="E355" s="206" t="n"/>
      <c r="AF355" s="58" t="n"/>
      <c r="AG355" s="58" t="n"/>
      <c r="AH355" s="58" t="n"/>
      <c r="AI355" s="58" t="n"/>
      <c r="AJ355" s="58" t="n"/>
      <c r="BK355" s="58" t="n"/>
      <c r="BL355" s="58" t="n"/>
      <c r="BM355" s="58" t="n"/>
      <c r="BN355" s="58" t="n"/>
    </row>
    <row r="356">
      <c r="C356" s="207" t="n"/>
      <c r="D356" s="206" t="n"/>
      <c r="E356" s="206" t="n"/>
      <c r="AF356" s="58" t="n"/>
      <c r="AG356" s="58" t="n"/>
      <c r="AH356" s="58" t="n"/>
      <c r="AI356" s="58" t="n"/>
      <c r="AJ356" s="58" t="n"/>
      <c r="BK356" s="58" t="n"/>
      <c r="BL356" s="58" t="n"/>
      <c r="BM356" s="58" t="n"/>
      <c r="BN356" s="58" t="n"/>
    </row>
    <row r="357">
      <c r="C357" s="207" t="n"/>
      <c r="D357" s="206" t="n"/>
      <c r="E357" s="206" t="n"/>
      <c r="AF357" s="58" t="n"/>
      <c r="AG357" s="58" t="n"/>
      <c r="AH357" s="58" t="n"/>
      <c r="AI357" s="58" t="n"/>
      <c r="AJ357" s="58" t="n"/>
      <c r="BK357" s="58" t="n"/>
      <c r="BL357" s="58" t="n"/>
      <c r="BM357" s="58" t="n"/>
      <c r="BN357" s="58" t="n"/>
    </row>
    <row r="358">
      <c r="C358" s="207" t="n"/>
      <c r="D358" s="206" t="n"/>
      <c r="E358" s="206" t="n"/>
      <c r="AF358" s="58" t="n"/>
      <c r="AG358" s="58" t="n"/>
      <c r="AH358" s="58" t="n"/>
      <c r="AI358" s="58" t="n"/>
      <c r="AJ358" s="58" t="n"/>
      <c r="BK358" s="58" t="n"/>
      <c r="BL358" s="58" t="n"/>
      <c r="BM358" s="58" t="n"/>
      <c r="BN358" s="58" t="n"/>
    </row>
    <row r="359">
      <c r="C359" s="207" t="n"/>
      <c r="D359" s="206" t="n"/>
      <c r="E359" s="206" t="n"/>
      <c r="AF359" s="58" t="n"/>
      <c r="AG359" s="58" t="n"/>
      <c r="AH359" s="58" t="n"/>
      <c r="AI359" s="58" t="n"/>
      <c r="AJ359" s="58" t="n"/>
      <c r="BK359" s="58" t="n"/>
      <c r="BL359" s="58" t="n"/>
      <c r="BM359" s="58" t="n"/>
      <c r="BN359" s="58" t="n"/>
    </row>
    <row r="360">
      <c r="C360" s="206" t="n"/>
      <c r="D360" s="206" t="n"/>
      <c r="E360" s="206" t="n"/>
      <c r="AF360" s="58" t="n"/>
      <c r="AG360" s="58" t="n"/>
      <c r="AH360" s="58" t="n"/>
      <c r="AI360" s="58" t="n"/>
      <c r="AJ360" s="58" t="n"/>
      <c r="BK360" s="58" t="n"/>
      <c r="BL360" s="58" t="n"/>
      <c r="BM360" s="58" t="n"/>
      <c r="BN360" s="58" t="n"/>
    </row>
    <row r="361">
      <c r="C361" s="206" t="n"/>
      <c r="D361" s="206" t="n"/>
      <c r="E361" s="206" t="n"/>
      <c r="AF361" s="58" t="n"/>
      <c r="AG361" s="58" t="n"/>
      <c r="AH361" s="58" t="n"/>
      <c r="AI361" s="58" t="n"/>
      <c r="AJ361" s="58" t="n"/>
      <c r="BK361" s="58" t="n"/>
      <c r="BL361" s="58" t="n"/>
      <c r="BM361" s="58" t="n"/>
      <c r="BN361" s="58" t="n"/>
    </row>
    <row r="362">
      <c r="C362" s="206" t="n"/>
      <c r="D362" s="206" t="n"/>
      <c r="E362" s="206" t="n"/>
      <c r="AF362" s="58" t="n"/>
      <c r="AG362" s="58" t="n"/>
      <c r="AH362" s="58" t="n"/>
      <c r="AI362" s="58" t="n"/>
      <c r="AJ362" s="58" t="n"/>
      <c r="BK362" s="58" t="n"/>
      <c r="BL362" s="58" t="n"/>
      <c r="BM362" s="58" t="n"/>
      <c r="BN362" s="58" t="n"/>
    </row>
    <row r="363">
      <c r="C363" s="206" t="n"/>
      <c r="D363" s="206" t="n"/>
      <c r="E363" s="206" t="n"/>
      <c r="AF363" s="58" t="n"/>
      <c r="AG363" s="58" t="n"/>
      <c r="AH363" s="58" t="n"/>
      <c r="AI363" s="58" t="n"/>
      <c r="AJ363" s="58" t="n"/>
      <c r="BK363" s="58" t="n"/>
      <c r="BL363" s="58" t="n"/>
      <c r="BM363" s="58" t="n"/>
      <c r="BN363" s="58" t="n"/>
    </row>
    <row r="364">
      <c r="C364" s="206" t="n"/>
      <c r="D364" s="206" t="n"/>
      <c r="E364" s="206" t="n"/>
      <c r="AF364" s="58" t="n"/>
      <c r="AG364" s="58" t="n"/>
      <c r="AH364" s="58" t="n"/>
      <c r="AI364" s="58" t="n"/>
      <c r="AJ364" s="58" t="n"/>
      <c r="BK364" s="58" t="n"/>
      <c r="BL364" s="58" t="n"/>
      <c r="BM364" s="58" t="n"/>
      <c r="BN364" s="58" t="n"/>
    </row>
    <row r="365">
      <c r="C365" s="207" t="n"/>
      <c r="D365" s="206" t="n"/>
      <c r="E365" s="206" t="n"/>
      <c r="AF365" s="58" t="n"/>
      <c r="AG365" s="58" t="n"/>
      <c r="AH365" s="58" t="n"/>
      <c r="AI365" s="58" t="n"/>
      <c r="AJ365" s="58" t="n"/>
      <c r="BK365" s="58" t="n"/>
      <c r="BL365" s="58" t="n"/>
      <c r="BM365" s="58" t="n"/>
      <c r="BN365" s="58" t="n"/>
    </row>
    <row r="366">
      <c r="C366" s="206" t="n"/>
      <c r="D366" s="206" t="n"/>
      <c r="E366" s="206" t="n"/>
      <c r="AF366" s="58" t="n"/>
      <c r="AG366" s="58" t="n"/>
      <c r="AH366" s="58" t="n"/>
      <c r="AI366" s="58" t="n"/>
      <c r="AJ366" s="58" t="n"/>
      <c r="BK366" s="58" t="n"/>
      <c r="BL366" s="58" t="n"/>
      <c r="BM366" s="58" t="n"/>
      <c r="BN366" s="58" t="n"/>
    </row>
    <row r="367">
      <c r="C367" s="206" t="n"/>
      <c r="D367" s="206" t="n"/>
      <c r="E367" s="206" t="n"/>
      <c r="AF367" s="58" t="n"/>
      <c r="AG367" s="58" t="n"/>
      <c r="AH367" s="58" t="n"/>
      <c r="AI367" s="58" t="n"/>
      <c r="AJ367" s="58" t="n"/>
      <c r="BK367" s="58" t="n"/>
      <c r="BL367" s="58" t="n"/>
      <c r="BM367" s="58" t="n"/>
      <c r="BN367" s="58" t="n"/>
    </row>
    <row r="368">
      <c r="C368" s="206" t="n"/>
      <c r="D368" s="206" t="n"/>
      <c r="E368" s="206" t="n"/>
      <c r="AF368" s="58" t="n"/>
      <c r="AG368" s="58" t="n"/>
      <c r="AH368" s="58" t="n"/>
      <c r="AI368" s="58" t="n"/>
      <c r="AJ368" s="58" t="n"/>
      <c r="BK368" s="58" t="n"/>
      <c r="BL368" s="58" t="n"/>
      <c r="BM368" s="58" t="n"/>
      <c r="BN368" s="58" t="n"/>
    </row>
    <row r="369">
      <c r="C369" s="206" t="n"/>
      <c r="D369" s="206" t="n"/>
      <c r="E369" s="206" t="n"/>
      <c r="AF369" s="58" t="n"/>
      <c r="AG369" s="58" t="n"/>
      <c r="AH369" s="58" t="n"/>
      <c r="AI369" s="58" t="n"/>
      <c r="AJ369" s="58" t="n"/>
      <c r="BK369" s="58" t="n"/>
      <c r="BL369" s="58" t="n"/>
      <c r="BM369" s="58" t="n"/>
      <c r="BN369" s="58" t="n"/>
    </row>
    <row r="370">
      <c r="C370" s="207" t="n"/>
      <c r="D370" s="206" t="n"/>
      <c r="E370" s="206" t="n"/>
      <c r="AF370" s="58" t="n"/>
      <c r="AG370" s="58" t="n"/>
      <c r="AH370" s="58" t="n"/>
      <c r="AI370" s="58" t="n"/>
      <c r="AJ370" s="58" t="n"/>
      <c r="BK370" s="58" t="n"/>
      <c r="BL370" s="58" t="n"/>
      <c r="BM370" s="58" t="n"/>
      <c r="BN370" s="58" t="n"/>
    </row>
    <row r="371">
      <c r="C371" s="207" t="n"/>
      <c r="D371" s="206" t="n"/>
      <c r="E371" s="206" t="n"/>
      <c r="AF371" s="58" t="n"/>
      <c r="AG371" s="58" t="n"/>
      <c r="AH371" s="58" t="n"/>
      <c r="AI371" s="58" t="n"/>
      <c r="AJ371" s="58" t="n"/>
      <c r="BK371" s="58" t="n"/>
      <c r="BL371" s="58" t="n"/>
      <c r="BM371" s="58" t="n"/>
      <c r="BN371" s="58" t="n"/>
    </row>
    <row r="372">
      <c r="C372" s="207" t="n"/>
      <c r="D372" s="206" t="n"/>
      <c r="E372" s="206" t="n"/>
      <c r="AF372" s="58" t="n"/>
      <c r="AG372" s="58" t="n"/>
      <c r="AH372" s="58" t="n"/>
      <c r="AI372" s="58" t="n"/>
      <c r="AJ372" s="58" t="n"/>
      <c r="BK372" s="58" t="n"/>
      <c r="BL372" s="58" t="n"/>
      <c r="BM372" s="58" t="n"/>
      <c r="BN372" s="58" t="n"/>
    </row>
    <row r="373">
      <c r="C373" s="207" t="n"/>
      <c r="D373" s="206" t="n"/>
      <c r="E373" s="206" t="n"/>
      <c r="AF373" s="58" t="n"/>
      <c r="AG373" s="58" t="n"/>
      <c r="AH373" s="58" t="n"/>
      <c r="AI373" s="58" t="n"/>
      <c r="AJ373" s="58" t="n"/>
      <c r="BK373" s="58" t="n"/>
      <c r="BL373" s="58" t="n"/>
      <c r="BM373" s="58" t="n"/>
      <c r="BN373" s="58" t="n"/>
    </row>
    <row r="374">
      <c r="C374" s="207" t="n"/>
      <c r="D374" s="206" t="n"/>
      <c r="E374" s="206" t="n"/>
      <c r="AF374" s="58" t="n"/>
      <c r="AG374" s="58" t="n"/>
      <c r="AH374" s="58" t="n"/>
      <c r="AI374" s="58" t="n"/>
      <c r="AJ374" s="58" t="n"/>
      <c r="BK374" s="58" t="n"/>
      <c r="BL374" s="58" t="n"/>
      <c r="BM374" s="58" t="n"/>
      <c r="BN374" s="58" t="n"/>
    </row>
    <row r="375">
      <c r="C375" s="207" t="n"/>
      <c r="D375" s="206" t="n"/>
      <c r="E375" s="206" t="n"/>
      <c r="AF375" s="58" t="n"/>
      <c r="AG375" s="58" t="n"/>
      <c r="AH375" s="58" t="n"/>
      <c r="AI375" s="58" t="n"/>
      <c r="AJ375" s="58" t="n"/>
      <c r="BK375" s="58" t="n"/>
      <c r="BL375" s="58" t="n"/>
      <c r="BM375" s="58" t="n"/>
      <c r="BN375" s="58" t="n"/>
    </row>
    <row r="376">
      <c r="C376" s="207" t="n"/>
      <c r="D376" s="206" t="n"/>
      <c r="E376" s="206" t="n"/>
      <c r="AF376" s="58" t="n"/>
      <c r="AG376" s="58" t="n"/>
      <c r="AH376" s="58" t="n"/>
      <c r="AI376" s="58" t="n"/>
      <c r="AJ376" s="58" t="n"/>
      <c r="BK376" s="58" t="n"/>
      <c r="BL376" s="58" t="n"/>
      <c r="BM376" s="58" t="n"/>
      <c r="BN376" s="58" t="n"/>
    </row>
    <row r="377">
      <c r="C377" s="207" t="n"/>
      <c r="D377" s="206" t="n"/>
      <c r="E377" s="206" t="n"/>
      <c r="AF377" s="58" t="n"/>
      <c r="AG377" s="58" t="n"/>
      <c r="AH377" s="58" t="n"/>
      <c r="AI377" s="58" t="n"/>
      <c r="AJ377" s="58" t="n"/>
      <c r="BK377" s="58" t="n"/>
      <c r="BL377" s="58" t="n"/>
      <c r="BM377" s="58" t="n"/>
      <c r="BN377" s="58" t="n"/>
    </row>
    <row r="378">
      <c r="C378" s="206" t="n"/>
      <c r="D378" s="206" t="n"/>
      <c r="E378" s="206" t="n"/>
      <c r="AF378" s="58" t="n"/>
      <c r="AG378" s="58" t="n"/>
      <c r="AH378" s="58" t="n"/>
      <c r="AI378" s="58" t="n"/>
      <c r="AJ378" s="58" t="n"/>
      <c r="BK378" s="58" t="n"/>
      <c r="BL378" s="58" t="n"/>
      <c r="BM378" s="58" t="n"/>
      <c r="BN378" s="58" t="n"/>
    </row>
    <row r="379">
      <c r="C379" s="206" t="n"/>
      <c r="D379" s="206" t="n"/>
      <c r="E379" s="206" t="n"/>
      <c r="AF379" s="58" t="n"/>
      <c r="AG379" s="58" t="n"/>
      <c r="AH379" s="58" t="n"/>
      <c r="AI379" s="58" t="n"/>
      <c r="AJ379" s="58" t="n"/>
      <c r="BK379" s="58" t="n"/>
      <c r="BL379" s="58" t="n"/>
      <c r="BM379" s="58" t="n"/>
      <c r="BN379" s="58" t="n"/>
    </row>
    <row r="380">
      <c r="C380" s="207" t="n"/>
      <c r="D380" s="206" t="n"/>
      <c r="E380" s="206" t="n"/>
      <c r="AF380" s="58" t="n"/>
      <c r="AG380" s="58" t="n"/>
      <c r="AH380" s="58" t="n"/>
      <c r="AI380" s="58" t="n"/>
      <c r="AJ380" s="58" t="n"/>
      <c r="BK380" s="58" t="n"/>
      <c r="BL380" s="58" t="n"/>
      <c r="BM380" s="58" t="n"/>
      <c r="BN380" s="58" t="n"/>
    </row>
    <row r="381">
      <c r="C381" s="206" t="n"/>
      <c r="D381" s="206" t="n"/>
      <c r="E381" s="206" t="n"/>
      <c r="AF381" s="58" t="n"/>
      <c r="AG381" s="58" t="n"/>
      <c r="AH381" s="58" t="n"/>
      <c r="AI381" s="58" t="n"/>
      <c r="AJ381" s="58" t="n"/>
      <c r="BK381" s="58" t="n"/>
      <c r="BL381" s="58" t="n"/>
      <c r="BM381" s="58" t="n"/>
      <c r="BN381" s="58" t="n"/>
    </row>
    <row r="382">
      <c r="C382" s="207" t="n"/>
      <c r="D382" s="206" t="n"/>
      <c r="E382" s="206" t="n"/>
      <c r="AF382" s="58" t="n"/>
      <c r="AG382" s="58" t="n"/>
      <c r="AH382" s="58" t="n"/>
      <c r="AI382" s="58" t="n"/>
      <c r="AJ382" s="58" t="n"/>
      <c r="BK382" s="58" t="n"/>
      <c r="BL382" s="58" t="n"/>
      <c r="BM382" s="58" t="n"/>
      <c r="BN382" s="58" t="n"/>
    </row>
    <row r="383">
      <c r="C383" s="206" t="n"/>
      <c r="D383" s="206" t="n"/>
      <c r="E383" s="206" t="n"/>
      <c r="AF383" s="58" t="n"/>
      <c r="AG383" s="58" t="n"/>
      <c r="AH383" s="58" t="n"/>
      <c r="AI383" s="58" t="n"/>
      <c r="AJ383" s="58" t="n"/>
      <c r="BK383" s="58" t="n"/>
      <c r="BL383" s="58" t="n"/>
      <c r="BM383" s="58" t="n"/>
      <c r="BN383" s="58" t="n"/>
    </row>
    <row r="384">
      <c r="C384" s="207" t="n"/>
      <c r="D384" s="206" t="n"/>
      <c r="E384" s="206" t="n"/>
      <c r="AF384" s="58" t="n"/>
      <c r="AG384" s="58" t="n"/>
      <c r="AH384" s="58" t="n"/>
      <c r="AI384" s="58" t="n"/>
      <c r="AJ384" s="58" t="n"/>
      <c r="BK384" s="58" t="n"/>
      <c r="BL384" s="58" t="n"/>
      <c r="BM384" s="58" t="n"/>
      <c r="BN384" s="58" t="n"/>
    </row>
    <row r="385">
      <c r="C385" s="207" t="n"/>
      <c r="D385" s="206" t="n"/>
      <c r="E385" s="206" t="n"/>
      <c r="AF385" s="58" t="n"/>
      <c r="AG385" s="58" t="n"/>
      <c r="AH385" s="58" t="n"/>
      <c r="AI385" s="58" t="n"/>
      <c r="AJ385" s="58" t="n"/>
      <c r="BK385" s="58" t="n"/>
      <c r="BL385" s="58" t="n"/>
      <c r="BM385" s="58" t="n"/>
      <c r="BN385" s="58" t="n"/>
    </row>
    <row r="386">
      <c r="C386" s="206" t="n"/>
      <c r="D386" s="206" t="n"/>
      <c r="E386" s="206" t="n"/>
      <c r="AF386" s="58" t="n"/>
      <c r="AG386" s="58" t="n"/>
      <c r="AH386" s="58" t="n"/>
      <c r="AI386" s="58" t="n"/>
      <c r="AJ386" s="58" t="n"/>
      <c r="BK386" s="58" t="n"/>
      <c r="BL386" s="58" t="n"/>
      <c r="BM386" s="58" t="n"/>
      <c r="BN386" s="58" t="n"/>
    </row>
    <row r="387">
      <c r="C387" s="206" t="n"/>
      <c r="D387" s="206" t="n"/>
      <c r="E387" s="206" t="n"/>
      <c r="AF387" s="58" t="n"/>
      <c r="AG387" s="58" t="n"/>
      <c r="AH387" s="58" t="n"/>
      <c r="AI387" s="58" t="n"/>
      <c r="AJ387" s="58" t="n"/>
      <c r="BK387" s="58" t="n"/>
      <c r="BL387" s="58" t="n"/>
      <c r="BM387" s="58" t="n"/>
      <c r="BN387" s="58" t="n"/>
    </row>
    <row r="388">
      <c r="C388" s="206" t="n"/>
      <c r="D388" s="206" t="n"/>
      <c r="E388" s="206" t="n"/>
      <c r="AF388" s="58" t="n"/>
      <c r="AG388" s="58" t="n"/>
      <c r="AH388" s="58" t="n"/>
      <c r="AI388" s="58" t="n"/>
      <c r="AJ388" s="58" t="n"/>
      <c r="BK388" s="58" t="n"/>
      <c r="BL388" s="58" t="n"/>
      <c r="BM388" s="58" t="n"/>
      <c r="BN388" s="58" t="n"/>
    </row>
    <row r="389">
      <c r="C389" s="206" t="n"/>
      <c r="D389" s="206" t="n"/>
      <c r="E389" s="206" t="n"/>
      <c r="AF389" s="58" t="n"/>
      <c r="AG389" s="58" t="n"/>
      <c r="AH389" s="58" t="n"/>
      <c r="AI389" s="58" t="n"/>
      <c r="AJ389" s="58" t="n"/>
      <c r="BK389" s="58" t="n"/>
      <c r="BL389" s="58" t="n"/>
      <c r="BM389" s="58" t="n"/>
      <c r="BN389" s="58" t="n"/>
    </row>
    <row r="390">
      <c r="C390" s="207" t="n"/>
      <c r="D390" s="206" t="n"/>
      <c r="E390" s="206" t="n"/>
      <c r="AF390" s="58" t="n"/>
      <c r="AG390" s="58" t="n"/>
      <c r="AH390" s="58" t="n"/>
      <c r="AI390" s="58" t="n"/>
      <c r="AJ390" s="58" t="n"/>
      <c r="BK390" s="58" t="n"/>
      <c r="BL390" s="58" t="n"/>
      <c r="BM390" s="58" t="n"/>
      <c r="BN390" s="58" t="n"/>
    </row>
    <row r="391">
      <c r="C391" s="206" t="n"/>
      <c r="D391" s="206" t="n"/>
      <c r="E391" s="206" t="n"/>
      <c r="AF391" s="58" t="n"/>
      <c r="AG391" s="58" t="n"/>
      <c r="AH391" s="58" t="n"/>
      <c r="AI391" s="58" t="n"/>
      <c r="AJ391" s="58" t="n"/>
      <c r="BK391" s="58" t="n"/>
      <c r="BL391" s="58" t="n"/>
      <c r="BM391" s="58" t="n"/>
      <c r="BN391" s="58" t="n"/>
    </row>
    <row r="392">
      <c r="C392" s="207" t="n"/>
      <c r="D392" s="206" t="n"/>
      <c r="E392" s="206" t="n"/>
      <c r="AF392" s="58" t="n"/>
      <c r="AG392" s="58" t="n"/>
      <c r="AH392" s="58" t="n"/>
      <c r="AI392" s="58" t="n"/>
      <c r="AJ392" s="58" t="n"/>
      <c r="BK392" s="58" t="n"/>
      <c r="BL392" s="58" t="n"/>
      <c r="BM392" s="58" t="n"/>
      <c r="BN392" s="58" t="n"/>
    </row>
    <row r="393">
      <c r="C393" s="206" t="n"/>
      <c r="D393" s="206" t="n"/>
      <c r="E393" s="206" t="n"/>
      <c r="AF393" s="58" t="n"/>
      <c r="AG393" s="58" t="n"/>
      <c r="AH393" s="58" t="n"/>
      <c r="AI393" s="58" t="n"/>
      <c r="AJ393" s="58" t="n"/>
      <c r="BK393" s="58" t="n"/>
      <c r="BL393" s="58" t="n"/>
      <c r="BM393" s="58" t="n"/>
      <c r="BN393" s="58" t="n"/>
    </row>
    <row r="394">
      <c r="C394" s="206" t="n"/>
      <c r="D394" s="206" t="n"/>
      <c r="E394" s="206" t="n"/>
      <c r="AF394" s="58" t="n"/>
      <c r="AG394" s="58" t="n"/>
      <c r="AH394" s="58" t="n"/>
      <c r="AI394" s="58" t="n"/>
      <c r="AJ394" s="58" t="n"/>
      <c r="BK394" s="58" t="n"/>
      <c r="BL394" s="58" t="n"/>
      <c r="BM394" s="58" t="n"/>
      <c r="BN394" s="58" t="n"/>
    </row>
    <row r="395">
      <c r="C395" s="206" t="n"/>
      <c r="D395" s="206" t="n"/>
      <c r="E395" s="206" t="n"/>
      <c r="AF395" s="58" t="n"/>
      <c r="AG395" s="58" t="n"/>
      <c r="AH395" s="58" t="n"/>
      <c r="AI395" s="58" t="n"/>
      <c r="AJ395" s="58" t="n"/>
      <c r="BK395" s="58" t="n"/>
      <c r="BL395" s="58" t="n"/>
      <c r="BM395" s="58" t="n"/>
      <c r="BN395" s="58" t="n"/>
    </row>
    <row r="396">
      <c r="C396" s="206" t="n"/>
      <c r="D396" s="206" t="n"/>
      <c r="E396" s="206" t="n"/>
      <c r="AF396" s="58" t="n"/>
      <c r="AG396" s="58" t="n"/>
      <c r="AH396" s="58" t="n"/>
      <c r="AI396" s="58" t="n"/>
      <c r="AJ396" s="58" t="n"/>
      <c r="BK396" s="58" t="n"/>
      <c r="BL396" s="58" t="n"/>
      <c r="BM396" s="58" t="n"/>
      <c r="BN396" s="58" t="n"/>
    </row>
    <row r="397">
      <c r="C397" s="206" t="n"/>
      <c r="D397" s="206" t="n"/>
      <c r="E397" s="206" t="n"/>
      <c r="AF397" s="58" t="n"/>
      <c r="AG397" s="58" t="n"/>
      <c r="AH397" s="58" t="n"/>
      <c r="AI397" s="58" t="n"/>
      <c r="AJ397" s="58" t="n"/>
      <c r="BK397" s="58" t="n"/>
      <c r="BL397" s="58" t="n"/>
      <c r="BM397" s="58" t="n"/>
      <c r="BN397" s="58" t="n"/>
    </row>
    <row r="398">
      <c r="C398" s="206" t="n"/>
      <c r="D398" s="206" t="n"/>
      <c r="E398" s="206" t="n"/>
      <c r="AF398" s="58" t="n"/>
      <c r="AG398" s="58" t="n"/>
      <c r="AH398" s="58" t="n"/>
      <c r="AI398" s="58" t="n"/>
      <c r="AJ398" s="58" t="n"/>
      <c r="BK398" s="58" t="n"/>
      <c r="BL398" s="58" t="n"/>
      <c r="BM398" s="58" t="n"/>
      <c r="BN398" s="58" t="n"/>
    </row>
    <row r="399">
      <c r="C399" s="207" t="n"/>
      <c r="D399" s="206" t="n"/>
      <c r="E399" s="206" t="n"/>
      <c r="AF399" s="58" t="n"/>
      <c r="AG399" s="58" t="n"/>
      <c r="AH399" s="58" t="n"/>
      <c r="AI399" s="58" t="n"/>
      <c r="AJ399" s="58" t="n"/>
      <c r="BK399" s="58" t="n"/>
      <c r="BL399" s="58" t="n"/>
      <c r="BM399" s="58" t="n"/>
      <c r="BN399" s="58" t="n"/>
    </row>
    <row r="400">
      <c r="C400" s="207" t="n"/>
      <c r="D400" s="206" t="n"/>
      <c r="E400" s="206" t="n"/>
      <c r="AF400" s="58" t="n"/>
      <c r="AG400" s="58" t="n"/>
      <c r="AH400" s="58" t="n"/>
      <c r="AI400" s="58" t="n"/>
      <c r="AJ400" s="58" t="n"/>
      <c r="BK400" s="58" t="n"/>
      <c r="BL400" s="58" t="n"/>
      <c r="BM400" s="58" t="n"/>
      <c r="BN400" s="58" t="n"/>
    </row>
    <row r="401">
      <c r="C401" s="207" t="n"/>
      <c r="D401" s="206" t="n"/>
      <c r="E401" s="206" t="n"/>
      <c r="AF401" s="58" t="n"/>
      <c r="AG401" s="58" t="n"/>
      <c r="AH401" s="58" t="n"/>
      <c r="AI401" s="58" t="n"/>
      <c r="AJ401" s="58" t="n"/>
      <c r="BK401" s="58" t="n"/>
      <c r="BL401" s="58" t="n"/>
      <c r="BM401" s="58" t="n"/>
      <c r="BN401" s="58" t="n"/>
    </row>
    <row r="402">
      <c r="C402" s="207" t="n"/>
      <c r="D402" s="206" t="n"/>
      <c r="E402" s="206" t="n"/>
      <c r="AF402" s="58" t="n"/>
      <c r="AG402" s="58" t="n"/>
      <c r="AH402" s="58" t="n"/>
      <c r="AI402" s="58" t="n"/>
      <c r="AJ402" s="58" t="n"/>
      <c r="BK402" s="58" t="n"/>
      <c r="BL402" s="58" t="n"/>
      <c r="BM402" s="58" t="n"/>
      <c r="BN402" s="58" t="n"/>
    </row>
    <row r="403">
      <c r="C403" s="206" t="n"/>
      <c r="D403" s="206" t="n"/>
      <c r="E403" s="206" t="n"/>
      <c r="AF403" s="58" t="n"/>
      <c r="AG403" s="58" t="n"/>
      <c r="AH403" s="58" t="n"/>
      <c r="AI403" s="58" t="n"/>
      <c r="AJ403" s="58" t="n"/>
      <c r="BK403" s="58" t="n"/>
      <c r="BL403" s="58" t="n"/>
      <c r="BM403" s="58" t="n"/>
      <c r="BN403" s="58" t="n"/>
    </row>
    <row r="404">
      <c r="C404" s="207" t="n"/>
      <c r="D404" s="206" t="n"/>
      <c r="E404" s="206" t="n"/>
      <c r="AF404" s="58" t="n"/>
      <c r="AG404" s="58" t="n"/>
      <c r="AH404" s="58" t="n"/>
      <c r="AI404" s="58" t="n"/>
      <c r="AJ404" s="58" t="n"/>
      <c r="BK404" s="58" t="n"/>
      <c r="BL404" s="58" t="n"/>
      <c r="BM404" s="58" t="n"/>
      <c r="BN404" s="58" t="n"/>
    </row>
    <row r="405">
      <c r="C405" s="207" t="n"/>
      <c r="D405" s="206" t="n"/>
      <c r="E405" s="206" t="n"/>
      <c r="AF405" s="58" t="n"/>
      <c r="AG405" s="58" t="n"/>
      <c r="AH405" s="58" t="n"/>
      <c r="AI405" s="58" t="n"/>
      <c r="AJ405" s="58" t="n"/>
      <c r="BK405" s="58" t="n"/>
      <c r="BL405" s="58" t="n"/>
      <c r="BM405" s="58" t="n"/>
      <c r="BN405" s="58" t="n"/>
    </row>
    <row r="406">
      <c r="C406" s="206" t="n"/>
      <c r="D406" s="206" t="n"/>
      <c r="E406" s="206" t="n"/>
      <c r="AF406" s="58" t="n"/>
      <c r="AG406" s="58" t="n"/>
      <c r="AH406" s="58" t="n"/>
      <c r="AI406" s="58" t="n"/>
      <c r="AJ406" s="58" t="n"/>
      <c r="BK406" s="58" t="n"/>
      <c r="BL406" s="58" t="n"/>
      <c r="BM406" s="58" t="n"/>
      <c r="BN406" s="58" t="n"/>
    </row>
    <row r="407">
      <c r="C407" s="207" t="n"/>
      <c r="D407" s="206" t="n"/>
      <c r="E407" s="206" t="n"/>
      <c r="AF407" s="58" t="n"/>
      <c r="AG407" s="58" t="n"/>
      <c r="AH407" s="58" t="n"/>
      <c r="AI407" s="58" t="n"/>
      <c r="AJ407" s="58" t="n"/>
      <c r="BK407" s="58" t="n"/>
      <c r="BL407" s="58" t="n"/>
      <c r="BM407" s="58" t="n"/>
      <c r="BN407" s="58" t="n"/>
    </row>
    <row r="408">
      <c r="C408" s="206" t="n"/>
      <c r="D408" s="206" t="n"/>
      <c r="E408" s="206" t="n"/>
      <c r="AF408" s="58" t="n"/>
      <c r="AG408" s="58" t="n"/>
      <c r="AH408" s="58" t="n"/>
      <c r="AI408" s="58" t="n"/>
      <c r="AJ408" s="58" t="n"/>
      <c r="BK408" s="58" t="n"/>
      <c r="BL408" s="58" t="n"/>
      <c r="BM408" s="58" t="n"/>
      <c r="BN408" s="58" t="n"/>
    </row>
    <row r="409">
      <c r="C409" s="206" t="n"/>
      <c r="D409" s="206" t="n"/>
      <c r="E409" s="206" t="n"/>
      <c r="AF409" s="58" t="n"/>
      <c r="AG409" s="58" t="n"/>
      <c r="AH409" s="58" t="n"/>
      <c r="AI409" s="58" t="n"/>
      <c r="AJ409" s="58" t="n"/>
      <c r="BK409" s="58" t="n"/>
      <c r="BL409" s="58" t="n"/>
      <c r="BM409" s="58" t="n"/>
      <c r="BN409" s="58" t="n"/>
    </row>
    <row r="410">
      <c r="C410" s="206" t="n"/>
      <c r="D410" s="206" t="n"/>
      <c r="E410" s="206" t="n"/>
      <c r="AF410" s="58" t="n"/>
      <c r="AG410" s="58" t="n"/>
      <c r="AH410" s="58" t="n"/>
      <c r="AI410" s="58" t="n"/>
      <c r="AJ410" s="58" t="n"/>
      <c r="BK410" s="58" t="n"/>
      <c r="BL410" s="58" t="n"/>
      <c r="BM410" s="58" t="n"/>
      <c r="BN410" s="58" t="n"/>
    </row>
    <row r="411">
      <c r="C411" s="206" t="n"/>
      <c r="D411" s="206" t="n"/>
      <c r="E411" s="206" t="n"/>
      <c r="AF411" s="58" t="n"/>
      <c r="AG411" s="58" t="n"/>
      <c r="AH411" s="58" t="n"/>
      <c r="AI411" s="58" t="n"/>
      <c r="AJ411" s="58" t="n"/>
      <c r="BK411" s="58" t="n"/>
      <c r="BL411" s="58" t="n"/>
      <c r="BM411" s="58" t="n"/>
      <c r="BN411" s="58" t="n"/>
    </row>
    <row r="412">
      <c r="C412" s="206" t="n"/>
      <c r="D412" s="206" t="n"/>
      <c r="E412" s="206" t="n"/>
      <c r="AF412" s="58" t="n"/>
      <c r="AG412" s="58" t="n"/>
      <c r="AH412" s="58" t="n"/>
      <c r="AI412" s="58" t="n"/>
      <c r="AJ412" s="58" t="n"/>
      <c r="BK412" s="58" t="n"/>
      <c r="BL412" s="58" t="n"/>
      <c r="BM412" s="58" t="n"/>
      <c r="BN412" s="58" t="n"/>
    </row>
    <row r="413">
      <c r="C413" s="207" t="n"/>
      <c r="D413" s="206" t="n"/>
      <c r="E413" s="206" t="n"/>
      <c r="AF413" s="58" t="n"/>
      <c r="AG413" s="58" t="n"/>
      <c r="AH413" s="58" t="n"/>
      <c r="AI413" s="58" t="n"/>
      <c r="AJ413" s="58" t="n"/>
      <c r="BK413" s="58" t="n"/>
      <c r="BL413" s="58" t="n"/>
      <c r="BM413" s="58" t="n"/>
      <c r="BN413" s="58" t="n"/>
    </row>
    <row r="414">
      <c r="C414" s="206" t="n"/>
      <c r="D414" s="206" t="n"/>
      <c r="E414" s="206" t="n"/>
      <c r="AF414" s="58" t="n"/>
      <c r="AG414" s="58" t="n"/>
      <c r="AH414" s="58" t="n"/>
      <c r="AI414" s="58" t="n"/>
      <c r="AJ414" s="58" t="n"/>
      <c r="BK414" s="58" t="n"/>
      <c r="BL414" s="58" t="n"/>
      <c r="BM414" s="58" t="n"/>
      <c r="BN414" s="58" t="n"/>
    </row>
    <row r="415">
      <c r="C415" s="206" t="n"/>
      <c r="D415" s="206" t="n"/>
      <c r="E415" s="206" t="n"/>
      <c r="AF415" s="58" t="n"/>
      <c r="AG415" s="58" t="n"/>
      <c r="AH415" s="58" t="n"/>
      <c r="AI415" s="58" t="n"/>
      <c r="AJ415" s="58" t="n"/>
      <c r="BK415" s="58" t="n"/>
      <c r="BL415" s="58" t="n"/>
      <c r="BM415" s="58" t="n"/>
      <c r="BN415" s="58" t="n"/>
    </row>
    <row r="416">
      <c r="C416" s="207" t="n"/>
      <c r="D416" s="206" t="n"/>
      <c r="E416" s="206" t="n"/>
      <c r="AF416" s="58" t="n"/>
      <c r="AG416" s="58" t="n"/>
      <c r="AH416" s="58" t="n"/>
      <c r="AI416" s="58" t="n"/>
      <c r="AJ416" s="58" t="n"/>
      <c r="BK416" s="58" t="n"/>
      <c r="BL416" s="58" t="n"/>
      <c r="BM416" s="58" t="n"/>
      <c r="BN416" s="58" t="n"/>
    </row>
    <row r="417">
      <c r="C417" s="207" t="n"/>
      <c r="D417" s="206" t="n"/>
      <c r="E417" s="206" t="n"/>
      <c r="AF417" s="58" t="n"/>
      <c r="AG417" s="58" t="n"/>
      <c r="AH417" s="58" t="n"/>
      <c r="AI417" s="58" t="n"/>
      <c r="AJ417" s="58" t="n"/>
      <c r="BK417" s="58" t="n"/>
      <c r="BL417" s="58" t="n"/>
      <c r="BM417" s="58" t="n"/>
      <c r="BN417" s="58" t="n"/>
    </row>
    <row r="418">
      <c r="C418" s="207" t="n"/>
      <c r="D418" s="206" t="n"/>
      <c r="E418" s="206" t="n"/>
      <c r="AF418" s="58" t="n"/>
      <c r="AG418" s="58" t="n"/>
      <c r="AH418" s="58" t="n"/>
      <c r="AI418" s="58" t="n"/>
      <c r="AJ418" s="58" t="n"/>
      <c r="BK418" s="58" t="n"/>
      <c r="BL418" s="58" t="n"/>
      <c r="BM418" s="58" t="n"/>
      <c r="BN418" s="58" t="n"/>
    </row>
    <row r="419">
      <c r="C419" s="206" t="n"/>
      <c r="D419" s="206" t="n"/>
      <c r="E419" s="206" t="n"/>
      <c r="AF419" s="58" t="n"/>
      <c r="AG419" s="58" t="n"/>
      <c r="AH419" s="58" t="n"/>
      <c r="AI419" s="58" t="n"/>
      <c r="AJ419" s="58" t="n"/>
      <c r="BK419" s="58" t="n"/>
      <c r="BL419" s="58" t="n"/>
      <c r="BM419" s="58" t="n"/>
      <c r="BN419" s="58" t="n"/>
    </row>
    <row r="420">
      <c r="C420" s="207" t="n"/>
      <c r="D420" s="206" t="n"/>
      <c r="E420" s="206" t="n"/>
      <c r="AF420" s="58" t="n"/>
      <c r="AG420" s="58" t="n"/>
      <c r="AH420" s="58" t="n"/>
      <c r="AI420" s="58" t="n"/>
      <c r="AJ420" s="58" t="n"/>
      <c r="BK420" s="58" t="n"/>
      <c r="BL420" s="58" t="n"/>
      <c r="BM420" s="58" t="n"/>
      <c r="BN420" s="58" t="n"/>
    </row>
    <row r="421">
      <c r="C421" s="206" t="n"/>
      <c r="D421" s="206" t="n"/>
      <c r="E421" s="206" t="n"/>
      <c r="AF421" s="58" t="n"/>
      <c r="AG421" s="58" t="n"/>
      <c r="AH421" s="58" t="n"/>
      <c r="AI421" s="58" t="n"/>
      <c r="AJ421" s="58" t="n"/>
      <c r="BK421" s="58" t="n"/>
      <c r="BL421" s="58" t="n"/>
      <c r="BM421" s="58" t="n"/>
      <c r="BN421" s="58" t="n"/>
    </row>
    <row r="422">
      <c r="C422" s="207" t="n"/>
      <c r="D422" s="206" t="n"/>
      <c r="E422" s="206" t="n"/>
      <c r="AF422" s="58" t="n"/>
      <c r="AG422" s="58" t="n"/>
      <c r="AH422" s="58" t="n"/>
      <c r="AI422" s="58" t="n"/>
      <c r="AJ422" s="58" t="n"/>
      <c r="BK422" s="58" t="n"/>
      <c r="BL422" s="58" t="n"/>
      <c r="BM422" s="58" t="n"/>
      <c r="BN422" s="58" t="n"/>
    </row>
    <row r="423">
      <c r="C423" s="206" t="n"/>
      <c r="D423" s="206" t="n"/>
      <c r="E423" s="206" t="n"/>
      <c r="AF423" s="58" t="n"/>
      <c r="AG423" s="58" t="n"/>
      <c r="AH423" s="58" t="n"/>
      <c r="AI423" s="58" t="n"/>
      <c r="AJ423" s="58" t="n"/>
      <c r="BK423" s="58" t="n"/>
      <c r="BL423" s="58" t="n"/>
      <c r="BM423" s="58" t="n"/>
      <c r="BN423" s="58" t="n"/>
    </row>
    <row r="424">
      <c r="C424" s="207" t="n"/>
      <c r="D424" s="206" t="n"/>
      <c r="E424" s="206" t="n"/>
      <c r="AF424" s="58" t="n"/>
      <c r="AG424" s="58" t="n"/>
      <c r="AH424" s="58" t="n"/>
      <c r="AI424" s="58" t="n"/>
      <c r="AJ424" s="58" t="n"/>
      <c r="BK424" s="58" t="n"/>
      <c r="BL424" s="58" t="n"/>
      <c r="BM424" s="58" t="n"/>
      <c r="BN424" s="58" t="n"/>
    </row>
    <row r="425">
      <c r="C425" s="206" t="n"/>
      <c r="D425" s="206" t="n"/>
      <c r="E425" s="206" t="n"/>
      <c r="AF425" s="58" t="n"/>
      <c r="AG425" s="58" t="n"/>
      <c r="AH425" s="58" t="n"/>
      <c r="AI425" s="58" t="n"/>
      <c r="AJ425" s="58" t="n"/>
      <c r="BK425" s="58" t="n"/>
      <c r="BL425" s="58" t="n"/>
      <c r="BM425" s="58" t="n"/>
      <c r="BN425" s="58" t="n"/>
    </row>
    <row r="426">
      <c r="C426" s="206" t="n"/>
      <c r="D426" s="206" t="n"/>
      <c r="E426" s="206" t="n"/>
      <c r="AF426" s="58" t="n"/>
      <c r="AG426" s="58" t="n"/>
      <c r="AH426" s="58" t="n"/>
      <c r="AI426" s="58" t="n"/>
      <c r="AJ426" s="58" t="n"/>
      <c r="BK426" s="58" t="n"/>
      <c r="BL426" s="58" t="n"/>
      <c r="BM426" s="58" t="n"/>
      <c r="BN426" s="58" t="n"/>
    </row>
    <row r="427">
      <c r="C427" s="207" t="n"/>
      <c r="D427" s="206" t="n"/>
      <c r="E427" s="206" t="n"/>
      <c r="AF427" s="58" t="n"/>
      <c r="AG427" s="58" t="n"/>
      <c r="AH427" s="58" t="n"/>
      <c r="AI427" s="58" t="n"/>
      <c r="AJ427" s="58" t="n"/>
      <c r="BK427" s="58" t="n"/>
      <c r="BL427" s="58" t="n"/>
      <c r="BM427" s="58" t="n"/>
      <c r="BN427" s="58" t="n"/>
    </row>
    <row r="428">
      <c r="C428" s="206" t="n"/>
      <c r="D428" s="206" t="n"/>
      <c r="E428" s="206" t="n"/>
      <c r="AF428" s="58" t="n"/>
      <c r="AG428" s="58" t="n"/>
      <c r="AH428" s="58" t="n"/>
      <c r="AI428" s="58" t="n"/>
      <c r="AJ428" s="58" t="n"/>
      <c r="BK428" s="58" t="n"/>
      <c r="BL428" s="58" t="n"/>
      <c r="BM428" s="58" t="n"/>
      <c r="BN428" s="58" t="n"/>
    </row>
    <row r="429">
      <c r="C429" s="207" t="n"/>
      <c r="D429" s="206" t="n"/>
      <c r="E429" s="206" t="n"/>
      <c r="AF429" s="58" t="n"/>
      <c r="AG429" s="58" t="n"/>
      <c r="AH429" s="58" t="n"/>
      <c r="AI429" s="58" t="n"/>
      <c r="AJ429" s="58" t="n"/>
      <c r="BK429" s="58" t="n"/>
      <c r="BL429" s="58" t="n"/>
      <c r="BM429" s="58" t="n"/>
      <c r="BN429" s="58" t="n"/>
    </row>
    <row r="430">
      <c r="C430" s="206" t="n"/>
      <c r="D430" s="206" t="n"/>
      <c r="E430" s="206" t="n"/>
      <c r="AF430" s="58" t="n"/>
      <c r="AG430" s="58" t="n"/>
      <c r="AH430" s="58" t="n"/>
      <c r="AI430" s="58" t="n"/>
      <c r="AJ430" s="58" t="n"/>
      <c r="BK430" s="58" t="n"/>
      <c r="BL430" s="58" t="n"/>
      <c r="BM430" s="58" t="n"/>
      <c r="BN430" s="58" t="n"/>
    </row>
    <row r="431">
      <c r="C431" s="206" t="n"/>
      <c r="D431" s="206" t="n"/>
      <c r="E431" s="206" t="n"/>
      <c r="AF431" s="58" t="n"/>
      <c r="AG431" s="58" t="n"/>
      <c r="AH431" s="58" t="n"/>
      <c r="AI431" s="58" t="n"/>
      <c r="AJ431" s="58" t="n"/>
      <c r="BK431" s="58" t="n"/>
      <c r="BL431" s="58" t="n"/>
      <c r="BM431" s="58" t="n"/>
      <c r="BN431" s="58" t="n"/>
    </row>
    <row r="432">
      <c r="C432" s="206" t="n"/>
      <c r="D432" s="206" t="n"/>
      <c r="E432" s="206" t="n"/>
      <c r="AF432" s="58" t="n"/>
      <c r="AG432" s="58" t="n"/>
      <c r="AH432" s="58" t="n"/>
      <c r="AI432" s="58" t="n"/>
      <c r="AJ432" s="58" t="n"/>
      <c r="BK432" s="58" t="n"/>
      <c r="BL432" s="58" t="n"/>
      <c r="BM432" s="58" t="n"/>
      <c r="BN432" s="58" t="n"/>
    </row>
    <row r="433">
      <c r="C433" s="206" t="n"/>
      <c r="D433" s="206" t="n"/>
      <c r="E433" s="206" t="n"/>
      <c r="AF433" s="58" t="n"/>
      <c r="AG433" s="58" t="n"/>
      <c r="AH433" s="58" t="n"/>
      <c r="AI433" s="58" t="n"/>
      <c r="AJ433" s="58" t="n"/>
      <c r="BK433" s="58" t="n"/>
      <c r="BL433" s="58" t="n"/>
      <c r="BM433" s="58" t="n"/>
      <c r="BN433" s="58" t="n"/>
    </row>
    <row r="434">
      <c r="C434" s="207" t="n"/>
      <c r="D434" s="206" t="n"/>
      <c r="E434" s="206" t="n"/>
      <c r="AF434" s="58" t="n"/>
      <c r="AG434" s="58" t="n"/>
      <c r="AH434" s="58" t="n"/>
      <c r="AI434" s="58" t="n"/>
      <c r="AJ434" s="58" t="n"/>
      <c r="BK434" s="58" t="n"/>
      <c r="BL434" s="58" t="n"/>
      <c r="BM434" s="58" t="n"/>
      <c r="BN434" s="58" t="n"/>
    </row>
    <row r="435">
      <c r="C435" s="206" t="n"/>
      <c r="D435" s="206" t="n"/>
      <c r="E435" s="206" t="n"/>
      <c r="AF435" s="58" t="n"/>
      <c r="AG435" s="58" t="n"/>
      <c r="AH435" s="58" t="n"/>
      <c r="AI435" s="58" t="n"/>
      <c r="AJ435" s="58" t="n"/>
      <c r="BK435" s="58" t="n"/>
      <c r="BL435" s="58" t="n"/>
      <c r="BM435" s="58" t="n"/>
      <c r="BN435" s="58" t="n"/>
    </row>
    <row r="436">
      <c r="C436" s="206" t="n"/>
      <c r="D436" s="206" t="n"/>
      <c r="E436" s="206" t="n"/>
      <c r="AF436" s="58" t="n"/>
      <c r="AG436" s="58" t="n"/>
      <c r="AH436" s="58" t="n"/>
      <c r="AI436" s="58" t="n"/>
      <c r="AJ436" s="58" t="n"/>
      <c r="BK436" s="58" t="n"/>
      <c r="BL436" s="58" t="n"/>
      <c r="BM436" s="58" t="n"/>
      <c r="BN436" s="58" t="n"/>
    </row>
    <row r="437">
      <c r="C437" s="206" t="n"/>
      <c r="D437" s="206" t="n"/>
      <c r="E437" s="206" t="n"/>
      <c r="AF437" s="58" t="n"/>
      <c r="AG437" s="58" t="n"/>
      <c r="AH437" s="58" t="n"/>
      <c r="AI437" s="58" t="n"/>
      <c r="AJ437" s="58" t="n"/>
      <c r="BK437" s="58" t="n"/>
      <c r="BL437" s="58" t="n"/>
      <c r="BM437" s="58" t="n"/>
      <c r="BN437" s="58" t="n"/>
    </row>
    <row r="438">
      <c r="C438" s="206" t="n"/>
      <c r="D438" s="206" t="n"/>
      <c r="E438" s="206" t="n"/>
      <c r="AF438" s="58" t="n"/>
      <c r="AG438" s="58" t="n"/>
      <c r="AH438" s="58" t="n"/>
      <c r="AI438" s="58" t="n"/>
      <c r="AJ438" s="58" t="n"/>
      <c r="BK438" s="58" t="n"/>
      <c r="BL438" s="58" t="n"/>
      <c r="BM438" s="58" t="n"/>
      <c r="BN438" s="58" t="n"/>
    </row>
    <row r="439">
      <c r="C439" s="206" t="n"/>
      <c r="D439" s="206" t="n"/>
      <c r="E439" s="206" t="n"/>
      <c r="AF439" s="58" t="n"/>
      <c r="AG439" s="58" t="n"/>
      <c r="AH439" s="58" t="n"/>
      <c r="AI439" s="58" t="n"/>
      <c r="AJ439" s="58" t="n"/>
      <c r="BK439" s="58" t="n"/>
      <c r="BL439" s="58" t="n"/>
      <c r="BM439" s="58" t="n"/>
      <c r="BN439" s="58" t="n"/>
    </row>
    <row r="440">
      <c r="C440" s="207" t="n"/>
      <c r="D440" s="206" t="n"/>
      <c r="E440" s="206" t="n"/>
      <c r="AF440" s="58" t="n"/>
      <c r="AG440" s="58" t="n"/>
      <c r="AH440" s="58" t="n"/>
      <c r="AI440" s="58" t="n"/>
      <c r="AJ440" s="58" t="n"/>
      <c r="BK440" s="58" t="n"/>
      <c r="BL440" s="58" t="n"/>
      <c r="BM440" s="58" t="n"/>
      <c r="BN440" s="58" t="n"/>
    </row>
    <row r="441">
      <c r="C441" s="206" t="n"/>
      <c r="D441" s="206" t="n"/>
      <c r="E441" s="206" t="n"/>
      <c r="AF441" s="58" t="n"/>
      <c r="AG441" s="58" t="n"/>
      <c r="AH441" s="58" t="n"/>
      <c r="AI441" s="58" t="n"/>
      <c r="AJ441" s="58" t="n"/>
      <c r="BK441" s="58" t="n"/>
      <c r="BL441" s="58" t="n"/>
      <c r="BM441" s="58" t="n"/>
      <c r="BN441" s="58" t="n"/>
    </row>
    <row r="442">
      <c r="C442" s="207" t="n"/>
      <c r="D442" s="206" t="n"/>
      <c r="E442" s="206" t="n"/>
      <c r="AF442" s="58" t="n"/>
      <c r="AG442" s="58" t="n"/>
      <c r="AH442" s="58" t="n"/>
      <c r="AI442" s="58" t="n"/>
      <c r="AJ442" s="58" t="n"/>
      <c r="BK442" s="58" t="n"/>
      <c r="BL442" s="58" t="n"/>
      <c r="BM442" s="58" t="n"/>
      <c r="BN442" s="58" t="n"/>
    </row>
    <row r="443">
      <c r="C443" s="207" t="n"/>
      <c r="D443" s="206" t="n"/>
      <c r="E443" s="206" t="n"/>
      <c r="AF443" s="58" t="n"/>
      <c r="AG443" s="58" t="n"/>
      <c r="AH443" s="58" t="n"/>
      <c r="AI443" s="58" t="n"/>
      <c r="AJ443" s="58" t="n"/>
      <c r="BK443" s="58" t="n"/>
      <c r="BL443" s="58" t="n"/>
      <c r="BM443" s="58" t="n"/>
      <c r="BN443" s="58" t="n"/>
    </row>
    <row r="444">
      <c r="C444" s="206" t="n"/>
      <c r="D444" s="206" t="n"/>
      <c r="E444" s="206" t="n"/>
      <c r="AF444" s="58" t="n"/>
      <c r="AG444" s="58" t="n"/>
      <c r="AH444" s="58" t="n"/>
      <c r="AI444" s="58" t="n"/>
      <c r="AJ444" s="58" t="n"/>
      <c r="BK444" s="58" t="n"/>
      <c r="BL444" s="58" t="n"/>
      <c r="BM444" s="58" t="n"/>
      <c r="BN444" s="58" t="n"/>
    </row>
    <row r="445">
      <c r="C445" s="207" t="n"/>
      <c r="D445" s="206" t="n"/>
      <c r="E445" s="206" t="n"/>
      <c r="AF445" s="58" t="n"/>
      <c r="AG445" s="58" t="n"/>
      <c r="AH445" s="58" t="n"/>
      <c r="AI445" s="58" t="n"/>
      <c r="AJ445" s="58" t="n"/>
      <c r="BK445" s="58" t="n"/>
      <c r="BL445" s="58" t="n"/>
      <c r="BM445" s="58" t="n"/>
      <c r="BN445" s="58" t="n"/>
    </row>
    <row r="446">
      <c r="C446" s="206" t="n"/>
      <c r="D446" s="206" t="n"/>
      <c r="E446" s="206" t="n"/>
      <c r="AF446" s="58" t="n"/>
      <c r="AG446" s="58" t="n"/>
      <c r="AH446" s="58" t="n"/>
      <c r="AI446" s="58" t="n"/>
      <c r="AJ446" s="58" t="n"/>
      <c r="BK446" s="58" t="n"/>
      <c r="BL446" s="58" t="n"/>
      <c r="BM446" s="58" t="n"/>
      <c r="BN446" s="58" t="n"/>
    </row>
    <row r="447">
      <c r="C447" s="207" t="n"/>
      <c r="D447" s="206" t="n"/>
      <c r="E447" s="206" t="n"/>
      <c r="AF447" s="58" t="n"/>
      <c r="AG447" s="58" t="n"/>
      <c r="AH447" s="58" t="n"/>
      <c r="AI447" s="58" t="n"/>
      <c r="AJ447" s="58" t="n"/>
      <c r="BK447" s="58" t="n"/>
      <c r="BL447" s="58" t="n"/>
      <c r="BM447" s="58" t="n"/>
      <c r="BN447" s="58" t="n"/>
    </row>
    <row r="448">
      <c r="C448" s="207" t="n"/>
      <c r="D448" s="206" t="n"/>
      <c r="E448" s="206" t="n"/>
      <c r="AF448" s="58" t="n"/>
      <c r="AG448" s="58" t="n"/>
      <c r="AH448" s="58" t="n"/>
      <c r="AI448" s="58" t="n"/>
      <c r="AJ448" s="58" t="n"/>
      <c r="BK448" s="58" t="n"/>
      <c r="BL448" s="58" t="n"/>
      <c r="BM448" s="58" t="n"/>
      <c r="BN448" s="58" t="n"/>
    </row>
    <row r="449">
      <c r="C449" s="206" t="n"/>
      <c r="D449" s="206" t="n"/>
      <c r="E449" s="206" t="n"/>
      <c r="AF449" s="58" t="n"/>
      <c r="AG449" s="58" t="n"/>
      <c r="AH449" s="58" t="n"/>
      <c r="AI449" s="58" t="n"/>
      <c r="AJ449" s="58" t="n"/>
      <c r="BK449" s="58" t="n"/>
      <c r="BL449" s="58" t="n"/>
      <c r="BM449" s="58" t="n"/>
      <c r="BN449" s="58" t="n"/>
    </row>
    <row r="450">
      <c r="C450" s="206" t="n"/>
      <c r="D450" s="206" t="n"/>
      <c r="E450" s="206" t="n"/>
      <c r="AF450" s="58" t="n"/>
      <c r="AG450" s="58" t="n"/>
      <c r="AH450" s="58" t="n"/>
      <c r="AI450" s="58" t="n"/>
      <c r="AJ450" s="58" t="n"/>
      <c r="BK450" s="58" t="n"/>
      <c r="BL450" s="58" t="n"/>
      <c r="BM450" s="58" t="n"/>
      <c r="BN450" s="58" t="n"/>
    </row>
    <row r="451">
      <c r="C451" s="206" t="n"/>
      <c r="D451" s="206" t="n"/>
      <c r="E451" s="206" t="n"/>
      <c r="AF451" s="58" t="n"/>
      <c r="AG451" s="58" t="n"/>
      <c r="AH451" s="58" t="n"/>
      <c r="AI451" s="58" t="n"/>
      <c r="AJ451" s="58" t="n"/>
      <c r="BK451" s="58" t="n"/>
      <c r="BL451" s="58" t="n"/>
      <c r="BM451" s="58" t="n"/>
      <c r="BN451" s="58" t="n"/>
    </row>
    <row r="452">
      <c r="C452" s="206" t="n"/>
      <c r="D452" s="206" t="n"/>
      <c r="E452" s="206" t="n"/>
      <c r="AF452" s="58" t="n"/>
      <c r="AG452" s="58" t="n"/>
      <c r="AH452" s="58" t="n"/>
      <c r="AI452" s="58" t="n"/>
      <c r="AJ452" s="58" t="n"/>
      <c r="BK452" s="58" t="n"/>
      <c r="BL452" s="58" t="n"/>
      <c r="BM452" s="58" t="n"/>
      <c r="BN452" s="58" t="n"/>
    </row>
    <row r="453">
      <c r="C453" s="207" t="n"/>
      <c r="D453" s="206" t="n"/>
      <c r="E453" s="206" t="n"/>
      <c r="AF453" s="58" t="n"/>
      <c r="AG453" s="58" t="n"/>
      <c r="AH453" s="58" t="n"/>
      <c r="AI453" s="58" t="n"/>
      <c r="AJ453" s="58" t="n"/>
      <c r="BK453" s="58" t="n"/>
      <c r="BL453" s="58" t="n"/>
      <c r="BM453" s="58" t="n"/>
      <c r="BN453" s="58" t="n"/>
    </row>
    <row r="454">
      <c r="C454" s="206" t="n"/>
      <c r="D454" s="206" t="n"/>
      <c r="E454" s="206" t="n"/>
      <c r="AF454" s="58" t="n"/>
      <c r="AG454" s="58" t="n"/>
      <c r="AH454" s="58" t="n"/>
      <c r="AI454" s="58" t="n"/>
      <c r="AJ454" s="58" t="n"/>
      <c r="BK454" s="58" t="n"/>
      <c r="BL454" s="58" t="n"/>
      <c r="BM454" s="58" t="n"/>
      <c r="BN454" s="58" t="n"/>
    </row>
    <row r="455">
      <c r="C455" s="207" t="n"/>
      <c r="D455" s="206" t="n"/>
      <c r="E455" s="206" t="n"/>
      <c r="AF455" s="58" t="n"/>
      <c r="AG455" s="58" t="n"/>
      <c r="AH455" s="58" t="n"/>
      <c r="AI455" s="58" t="n"/>
      <c r="AJ455" s="58" t="n"/>
      <c r="BK455" s="58" t="n"/>
      <c r="BL455" s="58" t="n"/>
      <c r="BM455" s="58" t="n"/>
      <c r="BN455" s="58" t="n"/>
    </row>
    <row r="456">
      <c r="C456" s="207" t="n"/>
      <c r="D456" s="206" t="n"/>
      <c r="E456" s="206" t="n"/>
      <c r="AF456" s="58" t="n"/>
      <c r="AG456" s="58" t="n"/>
      <c r="AH456" s="58" t="n"/>
      <c r="AI456" s="58" t="n"/>
      <c r="AJ456" s="58" t="n"/>
      <c r="BK456" s="58" t="n"/>
      <c r="BL456" s="58" t="n"/>
      <c r="BM456" s="58" t="n"/>
      <c r="BN456" s="58" t="n"/>
    </row>
    <row r="457">
      <c r="C457" s="206" t="n"/>
      <c r="D457" s="206" t="n"/>
      <c r="E457" s="206" t="n"/>
      <c r="AF457" s="58" t="n"/>
      <c r="AG457" s="58" t="n"/>
      <c r="AH457" s="58" t="n"/>
      <c r="AI457" s="58" t="n"/>
      <c r="AJ457" s="58" t="n"/>
      <c r="BK457" s="58" t="n"/>
      <c r="BL457" s="58" t="n"/>
      <c r="BM457" s="58" t="n"/>
      <c r="BN457" s="58" t="n"/>
    </row>
    <row r="458">
      <c r="C458" s="206" t="n"/>
      <c r="D458" s="206" t="n"/>
      <c r="E458" s="206" t="n"/>
      <c r="AF458" s="58" t="n"/>
      <c r="AG458" s="58" t="n"/>
      <c r="AH458" s="58" t="n"/>
      <c r="AI458" s="58" t="n"/>
      <c r="AJ458" s="58" t="n"/>
      <c r="BK458" s="58" t="n"/>
      <c r="BL458" s="58" t="n"/>
      <c r="BM458" s="58" t="n"/>
      <c r="BN458" s="58" t="n"/>
    </row>
    <row r="459">
      <c r="C459" s="206" t="n"/>
      <c r="D459" s="206" t="n"/>
      <c r="E459" s="206" t="n"/>
      <c r="AF459" s="58" t="n"/>
      <c r="AG459" s="58" t="n"/>
      <c r="AH459" s="58" t="n"/>
      <c r="AI459" s="58" t="n"/>
      <c r="AJ459" s="58" t="n"/>
      <c r="BK459" s="58" t="n"/>
      <c r="BL459" s="58" t="n"/>
      <c r="BM459" s="58" t="n"/>
      <c r="BN459" s="58" t="n"/>
    </row>
    <row r="460">
      <c r="C460" s="207" t="n"/>
      <c r="D460" s="206" t="n"/>
      <c r="E460" s="206" t="n"/>
      <c r="AF460" s="58" t="n"/>
      <c r="AG460" s="58" t="n"/>
      <c r="AH460" s="58" t="n"/>
      <c r="AI460" s="58" t="n"/>
      <c r="AJ460" s="58" t="n"/>
      <c r="BK460" s="58" t="n"/>
      <c r="BL460" s="58" t="n"/>
      <c r="BM460" s="58" t="n"/>
      <c r="BN460" s="58" t="n"/>
    </row>
    <row r="461">
      <c r="C461" s="206" t="n"/>
      <c r="D461" s="206" t="n"/>
      <c r="E461" s="206" t="n"/>
      <c r="AF461" s="58" t="n"/>
      <c r="AG461" s="58" t="n"/>
      <c r="AH461" s="58" t="n"/>
      <c r="AI461" s="58" t="n"/>
      <c r="AJ461" s="58" t="n"/>
      <c r="BK461" s="58" t="n"/>
      <c r="BL461" s="58" t="n"/>
      <c r="BM461" s="58" t="n"/>
      <c r="BN461" s="58" t="n"/>
    </row>
    <row r="462">
      <c r="C462" s="207" t="n"/>
      <c r="D462" s="206" t="n"/>
      <c r="E462" s="206" t="n"/>
      <c r="AF462" s="58" t="n"/>
      <c r="AG462" s="58" t="n"/>
      <c r="AH462" s="58" t="n"/>
      <c r="AI462" s="58" t="n"/>
      <c r="AJ462" s="58" t="n"/>
      <c r="BK462" s="58" t="n"/>
      <c r="BL462" s="58" t="n"/>
      <c r="BM462" s="58" t="n"/>
      <c r="BN462" s="58" t="n"/>
    </row>
    <row r="463">
      <c r="C463" s="206" t="n"/>
      <c r="D463" s="206" t="n"/>
      <c r="E463" s="206" t="n"/>
      <c r="AF463" s="58" t="n"/>
      <c r="AG463" s="58" t="n"/>
      <c r="AH463" s="58" t="n"/>
      <c r="AI463" s="58" t="n"/>
      <c r="AJ463" s="58" t="n"/>
      <c r="BK463" s="58" t="n"/>
      <c r="BL463" s="58" t="n"/>
      <c r="BM463" s="58" t="n"/>
      <c r="BN463" s="58" t="n"/>
    </row>
    <row r="464">
      <c r="C464" s="206" t="n"/>
      <c r="D464" s="206" t="n"/>
      <c r="E464" s="206" t="n"/>
      <c r="AF464" s="58" t="n"/>
      <c r="AG464" s="58" t="n"/>
      <c r="AH464" s="58" t="n"/>
      <c r="AI464" s="58" t="n"/>
      <c r="AJ464" s="58" t="n"/>
      <c r="BK464" s="58" t="n"/>
      <c r="BL464" s="58" t="n"/>
      <c r="BM464" s="58" t="n"/>
      <c r="BN464" s="58" t="n"/>
    </row>
    <row r="465">
      <c r="C465" s="206" t="n"/>
      <c r="D465" s="206" t="n"/>
      <c r="E465" s="206" t="n"/>
      <c r="AF465" s="58" t="n"/>
      <c r="AG465" s="58" t="n"/>
      <c r="AH465" s="58" t="n"/>
      <c r="AI465" s="58" t="n"/>
      <c r="AJ465" s="58" t="n"/>
      <c r="BK465" s="58" t="n"/>
      <c r="BL465" s="58" t="n"/>
      <c r="BM465" s="58" t="n"/>
      <c r="BN465" s="58" t="n"/>
    </row>
    <row r="466">
      <c r="C466" s="206" t="n"/>
      <c r="D466" s="206" t="n"/>
      <c r="E466" s="206" t="n"/>
      <c r="AF466" s="58" t="n"/>
      <c r="AG466" s="58" t="n"/>
      <c r="AH466" s="58" t="n"/>
      <c r="AI466" s="58" t="n"/>
      <c r="AJ466" s="58" t="n"/>
      <c r="BK466" s="58" t="n"/>
      <c r="BL466" s="58" t="n"/>
      <c r="BM466" s="58" t="n"/>
      <c r="BN466" s="58" t="n"/>
    </row>
    <row r="467">
      <c r="C467" s="207" t="n"/>
      <c r="D467" s="206" t="n"/>
      <c r="E467" s="206" t="n"/>
      <c r="AF467" s="58" t="n"/>
      <c r="AG467" s="58" t="n"/>
      <c r="AH467" s="58" t="n"/>
      <c r="AI467" s="58" t="n"/>
      <c r="AJ467" s="58" t="n"/>
      <c r="BK467" s="58" t="n"/>
      <c r="BL467" s="58" t="n"/>
      <c r="BM467" s="58" t="n"/>
      <c r="BN467" s="58" t="n"/>
    </row>
    <row r="468">
      <c r="C468" s="206" t="n"/>
      <c r="D468" s="206" t="n"/>
      <c r="E468" s="206" t="n"/>
      <c r="AF468" s="58" t="n"/>
      <c r="AG468" s="58" t="n"/>
      <c r="AH468" s="58" t="n"/>
      <c r="AI468" s="58" t="n"/>
      <c r="AJ468" s="58" t="n"/>
      <c r="BK468" s="58" t="n"/>
      <c r="BL468" s="58" t="n"/>
      <c r="BM468" s="58" t="n"/>
      <c r="BN468" s="58" t="n"/>
    </row>
    <row r="469">
      <c r="C469" s="206" t="n"/>
      <c r="D469" s="206" t="n"/>
      <c r="E469" s="206" t="n"/>
      <c r="AF469" s="58" t="n"/>
      <c r="AG469" s="58" t="n"/>
      <c r="AH469" s="58" t="n"/>
      <c r="AI469" s="58" t="n"/>
      <c r="AJ469" s="58" t="n"/>
      <c r="BK469" s="58" t="n"/>
      <c r="BL469" s="58" t="n"/>
      <c r="BM469" s="58" t="n"/>
      <c r="BN469" s="58" t="n"/>
    </row>
    <row r="470">
      <c r="C470" s="206" t="n"/>
      <c r="D470" s="206" t="n"/>
      <c r="E470" s="206" t="n"/>
      <c r="AF470" s="58" t="n"/>
      <c r="AG470" s="58" t="n"/>
      <c r="AH470" s="58" t="n"/>
      <c r="AI470" s="58" t="n"/>
      <c r="AJ470" s="58" t="n"/>
      <c r="BK470" s="58" t="n"/>
      <c r="BL470" s="58" t="n"/>
      <c r="BM470" s="58" t="n"/>
      <c r="BN470" s="58" t="n"/>
    </row>
    <row r="471">
      <c r="C471" s="207" t="n"/>
      <c r="D471" s="206" t="n"/>
      <c r="E471" s="206" t="n"/>
      <c r="AF471" s="58" t="n"/>
      <c r="AG471" s="58" t="n"/>
      <c r="AH471" s="58" t="n"/>
      <c r="AI471" s="58" t="n"/>
      <c r="AJ471" s="58" t="n"/>
      <c r="BK471" s="58" t="n"/>
      <c r="BL471" s="58" t="n"/>
      <c r="BM471" s="58" t="n"/>
      <c r="BN471" s="58" t="n"/>
    </row>
    <row r="472">
      <c r="C472" s="206" t="n"/>
      <c r="D472" s="206" t="n"/>
      <c r="E472" s="206" t="n"/>
      <c r="AF472" s="58" t="n"/>
      <c r="AG472" s="58" t="n"/>
      <c r="AH472" s="58" t="n"/>
      <c r="AI472" s="58" t="n"/>
      <c r="AJ472" s="58" t="n"/>
      <c r="BK472" s="58" t="n"/>
      <c r="BL472" s="58" t="n"/>
      <c r="BM472" s="58" t="n"/>
      <c r="BN472" s="58" t="n"/>
    </row>
    <row r="473">
      <c r="C473" s="207" t="n"/>
      <c r="D473" s="206" t="n"/>
      <c r="E473" s="206" t="n"/>
      <c r="AF473" s="58" t="n"/>
      <c r="AG473" s="58" t="n"/>
      <c r="AH473" s="58" t="n"/>
      <c r="AI473" s="58" t="n"/>
      <c r="AJ473" s="58" t="n"/>
      <c r="BK473" s="58" t="n"/>
      <c r="BL473" s="58" t="n"/>
      <c r="BM473" s="58" t="n"/>
      <c r="BN473" s="58" t="n"/>
    </row>
    <row r="474">
      <c r="C474" s="206" t="n"/>
      <c r="D474" s="206" t="n"/>
      <c r="E474" s="206" t="n"/>
      <c r="AF474" s="58" t="n"/>
      <c r="AG474" s="58" t="n"/>
      <c r="AH474" s="58" t="n"/>
      <c r="AI474" s="58" t="n"/>
      <c r="AJ474" s="58" t="n"/>
      <c r="BK474" s="58" t="n"/>
      <c r="BL474" s="58" t="n"/>
      <c r="BM474" s="58" t="n"/>
      <c r="BN474" s="58" t="n"/>
    </row>
    <row r="475">
      <c r="C475" s="207" t="n"/>
      <c r="D475" s="206" t="n"/>
      <c r="E475" s="206" t="n"/>
      <c r="AF475" s="58" t="n"/>
      <c r="AG475" s="58" t="n"/>
      <c r="AH475" s="58" t="n"/>
      <c r="AI475" s="58" t="n"/>
      <c r="AJ475" s="58" t="n"/>
      <c r="BK475" s="58" t="n"/>
      <c r="BL475" s="58" t="n"/>
      <c r="BM475" s="58" t="n"/>
      <c r="BN475" s="58" t="n"/>
    </row>
    <row r="476">
      <c r="C476" s="207" t="n"/>
      <c r="D476" s="206" t="n"/>
      <c r="E476" s="206" t="n"/>
      <c r="AF476" s="58" t="n"/>
      <c r="AG476" s="58" t="n"/>
      <c r="AH476" s="58" t="n"/>
      <c r="AI476" s="58" t="n"/>
      <c r="AJ476" s="58" t="n"/>
      <c r="BK476" s="58" t="n"/>
      <c r="BL476" s="58" t="n"/>
      <c r="BM476" s="58" t="n"/>
      <c r="BN476" s="58" t="n"/>
    </row>
    <row r="477">
      <c r="C477" s="206" t="n"/>
      <c r="D477" s="206" t="n"/>
      <c r="E477" s="206" t="n"/>
      <c r="AF477" s="58" t="n"/>
      <c r="AG477" s="58" t="n"/>
      <c r="AH477" s="58" t="n"/>
      <c r="AI477" s="58" t="n"/>
      <c r="AJ477" s="58" t="n"/>
      <c r="BK477" s="58" t="n"/>
      <c r="BL477" s="58" t="n"/>
      <c r="BM477" s="58" t="n"/>
      <c r="BN477" s="58" t="n"/>
    </row>
    <row r="478">
      <c r="C478" s="207" t="n"/>
      <c r="D478" s="206" t="n"/>
      <c r="E478" s="206" t="n"/>
      <c r="AF478" s="58" t="n"/>
      <c r="AG478" s="58" t="n"/>
      <c r="AH478" s="58" t="n"/>
      <c r="AI478" s="58" t="n"/>
      <c r="AJ478" s="58" t="n"/>
      <c r="BK478" s="58" t="n"/>
      <c r="BL478" s="58" t="n"/>
      <c r="BM478" s="58" t="n"/>
      <c r="BN478" s="58" t="n"/>
    </row>
    <row r="479">
      <c r="C479" s="207" t="n"/>
      <c r="D479" s="206" t="n"/>
      <c r="E479" s="206" t="n"/>
      <c r="AF479" s="58" t="n"/>
      <c r="AG479" s="58" t="n"/>
      <c r="AH479" s="58" t="n"/>
      <c r="AI479" s="58" t="n"/>
      <c r="AJ479" s="58" t="n"/>
      <c r="BK479" s="58" t="n"/>
      <c r="BL479" s="58" t="n"/>
      <c r="BM479" s="58" t="n"/>
      <c r="BN479" s="58" t="n"/>
    </row>
    <row r="480">
      <c r="C480" s="206" t="n"/>
      <c r="D480" s="206" t="n"/>
      <c r="E480" s="206" t="n"/>
      <c r="AF480" s="58" t="n"/>
      <c r="AG480" s="58" t="n"/>
      <c r="AH480" s="58" t="n"/>
      <c r="AI480" s="58" t="n"/>
      <c r="AJ480" s="58" t="n"/>
      <c r="BK480" s="58" t="n"/>
      <c r="BL480" s="58" t="n"/>
      <c r="BM480" s="58" t="n"/>
      <c r="BN480" s="58" t="n"/>
    </row>
    <row r="481">
      <c r="C481" s="207" t="n"/>
      <c r="D481" s="206" t="n"/>
      <c r="E481" s="206" t="n"/>
      <c r="AF481" s="58" t="n"/>
      <c r="AG481" s="58" t="n"/>
      <c r="AH481" s="58" t="n"/>
      <c r="AI481" s="58" t="n"/>
      <c r="AJ481" s="58" t="n"/>
      <c r="BK481" s="58" t="n"/>
      <c r="BL481" s="58" t="n"/>
      <c r="BM481" s="58" t="n"/>
      <c r="BN481" s="58" t="n"/>
    </row>
    <row r="482">
      <c r="C482" s="207" t="n"/>
      <c r="D482" s="206" t="n"/>
      <c r="E482" s="206" t="n"/>
      <c r="AF482" s="58" t="n"/>
      <c r="AG482" s="58" t="n"/>
      <c r="AH482" s="58" t="n"/>
      <c r="AI482" s="58" t="n"/>
      <c r="AJ482" s="58" t="n"/>
      <c r="BK482" s="58" t="n"/>
      <c r="BL482" s="58" t="n"/>
      <c r="BM482" s="58" t="n"/>
      <c r="BN482" s="58" t="n"/>
    </row>
    <row r="483">
      <c r="C483" s="206" t="n"/>
      <c r="D483" s="206" t="n"/>
      <c r="E483" s="206" t="n"/>
      <c r="AF483" s="58" t="n"/>
      <c r="AG483" s="58" t="n"/>
      <c r="AH483" s="58" t="n"/>
      <c r="AI483" s="58" t="n"/>
      <c r="AJ483" s="58" t="n"/>
      <c r="BK483" s="58" t="n"/>
      <c r="BL483" s="58" t="n"/>
      <c r="BM483" s="58" t="n"/>
      <c r="BN483" s="58" t="n"/>
    </row>
    <row r="484">
      <c r="C484" s="206" t="n"/>
      <c r="D484" s="206" t="n"/>
      <c r="E484" s="206" t="n"/>
      <c r="AF484" s="58" t="n"/>
      <c r="AG484" s="58" t="n"/>
      <c r="AH484" s="58" t="n"/>
      <c r="AI484" s="58" t="n"/>
      <c r="AJ484" s="58" t="n"/>
      <c r="BK484" s="58" t="n"/>
      <c r="BL484" s="58" t="n"/>
      <c r="BM484" s="58" t="n"/>
      <c r="BN484" s="58" t="n"/>
    </row>
    <row r="485">
      <c r="C485" s="206" t="n"/>
      <c r="D485" s="206" t="n"/>
      <c r="E485" s="206" t="n"/>
      <c r="AF485" s="58" t="n"/>
      <c r="AG485" s="58" t="n"/>
      <c r="AH485" s="58" t="n"/>
      <c r="AI485" s="58" t="n"/>
      <c r="AJ485" s="58" t="n"/>
      <c r="BK485" s="58" t="n"/>
      <c r="BL485" s="58" t="n"/>
      <c r="BM485" s="58" t="n"/>
      <c r="BN485" s="58" t="n"/>
    </row>
    <row r="486">
      <c r="C486" s="207" t="n"/>
      <c r="D486" s="206" t="n"/>
      <c r="E486" s="206" t="n"/>
      <c r="AF486" s="58" t="n"/>
      <c r="AG486" s="58" t="n"/>
      <c r="AH486" s="58" t="n"/>
      <c r="AI486" s="58" t="n"/>
      <c r="AJ486" s="58" t="n"/>
      <c r="BK486" s="58" t="n"/>
      <c r="BL486" s="58" t="n"/>
      <c r="BM486" s="58" t="n"/>
      <c r="BN486" s="58" t="n"/>
    </row>
    <row r="487">
      <c r="C487" s="207" t="n"/>
      <c r="D487" s="206" t="n"/>
      <c r="E487" s="206" t="n"/>
      <c r="AF487" s="58" t="n"/>
      <c r="AG487" s="58" t="n"/>
      <c r="AH487" s="58" t="n"/>
      <c r="AI487" s="58" t="n"/>
      <c r="AJ487" s="58" t="n"/>
      <c r="BK487" s="58" t="n"/>
      <c r="BL487" s="58" t="n"/>
      <c r="BM487" s="58" t="n"/>
      <c r="BN487" s="58" t="n"/>
    </row>
    <row r="488">
      <c r="C488" s="206" t="n"/>
      <c r="D488" s="206" t="n"/>
      <c r="E488" s="206" t="n"/>
      <c r="AF488" s="58" t="n"/>
      <c r="AG488" s="58" t="n"/>
      <c r="AH488" s="58" t="n"/>
      <c r="AI488" s="58" t="n"/>
      <c r="AJ488" s="58" t="n"/>
      <c r="BK488" s="58" t="n"/>
      <c r="BL488" s="58" t="n"/>
      <c r="BM488" s="58" t="n"/>
      <c r="BN488" s="58" t="n"/>
    </row>
    <row r="489">
      <c r="C489" s="206" t="n"/>
      <c r="D489" s="206" t="n"/>
      <c r="E489" s="206" t="n"/>
      <c r="AF489" s="58" t="n"/>
      <c r="AG489" s="58" t="n"/>
      <c r="AH489" s="58" t="n"/>
      <c r="AI489" s="58" t="n"/>
      <c r="AJ489" s="58" t="n"/>
      <c r="BK489" s="58" t="n"/>
      <c r="BL489" s="58" t="n"/>
      <c r="BM489" s="58" t="n"/>
      <c r="BN489" s="58" t="n"/>
    </row>
    <row r="490">
      <c r="C490" s="207" t="n"/>
      <c r="D490" s="206" t="n"/>
      <c r="E490" s="206" t="n"/>
      <c r="AF490" s="58" t="n"/>
      <c r="AG490" s="58" t="n"/>
      <c r="AH490" s="58" t="n"/>
      <c r="AI490" s="58" t="n"/>
      <c r="AJ490" s="58" t="n"/>
      <c r="BK490" s="58" t="n"/>
      <c r="BL490" s="58" t="n"/>
      <c r="BM490" s="58" t="n"/>
      <c r="BN490" s="58" t="n"/>
    </row>
    <row r="491">
      <c r="C491" s="206" t="n"/>
      <c r="D491" s="206" t="n"/>
      <c r="E491" s="206" t="n"/>
      <c r="AF491" s="58" t="n"/>
      <c r="AG491" s="58" t="n"/>
      <c r="AH491" s="58" t="n"/>
      <c r="AI491" s="58" t="n"/>
      <c r="AJ491" s="58" t="n"/>
      <c r="BK491" s="58" t="n"/>
      <c r="BL491" s="58" t="n"/>
      <c r="BM491" s="58" t="n"/>
      <c r="BN491" s="58" t="n"/>
    </row>
    <row r="492">
      <c r="C492" s="206" t="n"/>
      <c r="D492" s="206" t="n"/>
      <c r="E492" s="206" t="n"/>
      <c r="AF492" s="58" t="n"/>
      <c r="AG492" s="58" t="n"/>
      <c r="AH492" s="58" t="n"/>
      <c r="AI492" s="58" t="n"/>
      <c r="AJ492" s="58" t="n"/>
      <c r="BK492" s="58" t="n"/>
      <c r="BL492" s="58" t="n"/>
      <c r="BM492" s="58" t="n"/>
      <c r="BN492" s="58" t="n"/>
    </row>
    <row r="493">
      <c r="C493" s="206" t="n"/>
      <c r="D493" s="206" t="n"/>
      <c r="E493" s="206" t="n"/>
      <c r="AF493" s="58" t="n"/>
      <c r="AG493" s="58" t="n"/>
      <c r="AH493" s="58" t="n"/>
      <c r="AI493" s="58" t="n"/>
      <c r="AJ493" s="58" t="n"/>
      <c r="BK493" s="58" t="n"/>
      <c r="BL493" s="58" t="n"/>
      <c r="BM493" s="58" t="n"/>
      <c r="BN493" s="58" t="n"/>
    </row>
    <row r="494">
      <c r="C494" s="207" t="n"/>
      <c r="D494" s="206" t="n"/>
      <c r="E494" s="206" t="n"/>
      <c r="AF494" s="58" t="n"/>
      <c r="AG494" s="58" t="n"/>
      <c r="AH494" s="58" t="n"/>
      <c r="AI494" s="58" t="n"/>
      <c r="AJ494" s="58" t="n"/>
      <c r="BK494" s="58" t="n"/>
      <c r="BL494" s="58" t="n"/>
      <c r="BM494" s="58" t="n"/>
      <c r="BN494" s="58" t="n"/>
    </row>
    <row r="495">
      <c r="C495" s="207" t="n"/>
      <c r="D495" s="206" t="n"/>
      <c r="E495" s="206" t="n"/>
      <c r="AF495" s="58" t="n"/>
      <c r="AG495" s="58" t="n"/>
      <c r="AH495" s="58" t="n"/>
      <c r="AI495" s="58" t="n"/>
      <c r="AJ495" s="58" t="n"/>
      <c r="BK495" s="58" t="n"/>
      <c r="BL495" s="58" t="n"/>
      <c r="BM495" s="58" t="n"/>
      <c r="BN495" s="58" t="n"/>
    </row>
    <row r="496">
      <c r="C496" s="207" t="n"/>
      <c r="D496" s="206" t="n"/>
      <c r="E496" s="206" t="n"/>
      <c r="BK496" s="58" t="n"/>
      <c r="BL496" s="58" t="n"/>
      <c r="BM496" s="58" t="n"/>
      <c r="BN496" s="58" t="n"/>
    </row>
    <row r="497">
      <c r="C497" s="207" t="n"/>
      <c r="D497" s="206" t="n"/>
      <c r="E497" s="206" t="n"/>
      <c r="BK497" s="58" t="n"/>
      <c r="BL497" s="58" t="n"/>
      <c r="BM497" s="58" t="n"/>
      <c r="BN497" s="58" t="n"/>
    </row>
    <row r="498">
      <c r="C498" s="206" t="n"/>
      <c r="D498" s="206" t="n"/>
      <c r="E498" s="206" t="n"/>
      <c r="BK498" s="58" t="n"/>
      <c r="BL498" s="58" t="n"/>
      <c r="BM498" s="58" t="n"/>
      <c r="BN498" s="58" t="n"/>
    </row>
    <row r="499">
      <c r="C499" s="206" t="n"/>
      <c r="D499" s="206" t="n"/>
      <c r="E499" s="206" t="n"/>
      <c r="BK499" s="58" t="n"/>
      <c r="BL499" s="58" t="n"/>
      <c r="BM499" s="58" t="n"/>
      <c r="BN499" s="58" t="n"/>
    </row>
    <row r="500">
      <c r="C500" s="206" t="n"/>
      <c r="D500" s="206" t="n"/>
      <c r="E500" s="206" t="n"/>
      <c r="BK500" s="58" t="n"/>
      <c r="BL500" s="58" t="n"/>
      <c r="BM500" s="58" t="n"/>
      <c r="BN500" s="58" t="n"/>
    </row>
    <row r="501">
      <c r="C501" s="207" t="n"/>
      <c r="D501" s="206" t="n"/>
      <c r="E501" s="206" t="n"/>
      <c r="BK501" s="58" t="n"/>
      <c r="BL501" s="58" t="n"/>
      <c r="BM501" s="58" t="n"/>
      <c r="BN501" s="58" t="n"/>
    </row>
    <row r="502">
      <c r="C502" s="206" t="n"/>
      <c r="D502" s="206" t="n"/>
      <c r="E502" s="206" t="n"/>
      <c r="BK502" s="58" t="n"/>
      <c r="BL502" s="58" t="n"/>
      <c r="BM502" s="58" t="n"/>
      <c r="BN502" s="58" t="n"/>
    </row>
    <row r="503">
      <c r="C503" s="206" t="n"/>
      <c r="D503" s="206" t="n"/>
      <c r="E503" s="206" t="n"/>
      <c r="BK503" s="58" t="n"/>
      <c r="BL503" s="58" t="n"/>
      <c r="BM503" s="58" t="n"/>
      <c r="BN503" s="58" t="n"/>
    </row>
    <row r="504">
      <c r="C504" s="206" t="n"/>
      <c r="D504" s="206" t="n"/>
      <c r="E504" s="206" t="n"/>
      <c r="BK504" s="58" t="n"/>
      <c r="BL504" s="58" t="n"/>
      <c r="BM504" s="58" t="n"/>
      <c r="BN504" s="58" t="n"/>
    </row>
    <row r="505">
      <c r="C505" s="207" t="n"/>
      <c r="D505" s="206" t="n"/>
      <c r="E505" s="206" t="n"/>
      <c r="BK505" s="58" t="n"/>
      <c r="BL505" s="58" t="n"/>
      <c r="BM505" s="58" t="n"/>
      <c r="BN505" s="58" t="n"/>
    </row>
    <row r="506">
      <c r="C506" s="206" t="n"/>
      <c r="D506" s="206" t="n"/>
      <c r="E506" s="206" t="n"/>
      <c r="BK506" s="58" t="n"/>
      <c r="BL506" s="58" t="n"/>
      <c r="BM506" s="58" t="n"/>
      <c r="BN506" s="58" t="n"/>
    </row>
    <row r="507">
      <c r="C507" s="206" t="n"/>
      <c r="D507" s="206" t="n"/>
      <c r="E507" s="206" t="n"/>
      <c r="BK507" s="58" t="n"/>
      <c r="BL507" s="58" t="n"/>
      <c r="BM507" s="58" t="n"/>
      <c r="BN507" s="58" t="n"/>
    </row>
    <row r="508">
      <c r="C508" s="206" t="n"/>
      <c r="D508" s="206" t="n"/>
      <c r="E508" s="206" t="n"/>
      <c r="BK508" s="58" t="n"/>
      <c r="BL508" s="58" t="n"/>
      <c r="BM508" s="58" t="n"/>
      <c r="BN508" s="58" t="n"/>
    </row>
    <row r="509">
      <c r="C509" s="206" t="n"/>
      <c r="D509" s="206" t="n"/>
      <c r="E509" s="206" t="n"/>
      <c r="BK509" s="58" t="n"/>
      <c r="BL509" s="58" t="n"/>
      <c r="BM509" s="58" t="n"/>
      <c r="BN509" s="58" t="n"/>
    </row>
    <row r="510">
      <c r="C510" s="206" t="n"/>
      <c r="D510" s="206" t="n"/>
      <c r="E510" s="206" t="n"/>
      <c r="BK510" s="58" t="n"/>
      <c r="BL510" s="58" t="n"/>
      <c r="BM510" s="58" t="n"/>
      <c r="BN510" s="58" t="n"/>
    </row>
    <row r="511">
      <c r="C511" s="206" t="n"/>
      <c r="D511" s="206" t="n"/>
      <c r="E511" s="206" t="n"/>
      <c r="BK511" s="58" t="n"/>
      <c r="BL511" s="58" t="n"/>
      <c r="BM511" s="58" t="n"/>
      <c r="BN511" s="58" t="n"/>
    </row>
    <row r="512">
      <c r="C512" s="207" t="n"/>
      <c r="D512" s="206" t="n"/>
      <c r="E512" s="206" t="n"/>
      <c r="BK512" s="58" t="n"/>
      <c r="BL512" s="58" t="n"/>
      <c r="BM512" s="58" t="n"/>
      <c r="BN512" s="58" t="n"/>
    </row>
    <row r="513">
      <c r="C513" s="207" t="n"/>
      <c r="D513" s="206" t="n"/>
      <c r="E513" s="206" t="n"/>
      <c r="BK513" s="58" t="n"/>
      <c r="BL513" s="58" t="n"/>
      <c r="BM513" s="58" t="n"/>
      <c r="BN513" s="58" t="n"/>
    </row>
    <row r="514">
      <c r="C514" s="206" t="n"/>
      <c r="D514" s="206" t="n"/>
      <c r="E514" s="206" t="n"/>
      <c r="BK514" s="58" t="n"/>
      <c r="BL514" s="58" t="n"/>
      <c r="BM514" s="58" t="n"/>
      <c r="BN514" s="58" t="n"/>
    </row>
    <row r="515">
      <c r="C515" s="206" t="n"/>
      <c r="D515" s="206" t="n"/>
      <c r="E515" s="206" t="n"/>
      <c r="BK515" s="58" t="n"/>
      <c r="BL515" s="58" t="n"/>
      <c r="BM515" s="58" t="n"/>
      <c r="BN515" s="58" t="n"/>
    </row>
    <row r="516">
      <c r="C516" s="206" t="n"/>
      <c r="D516" s="206" t="n"/>
      <c r="E516" s="206" t="n"/>
      <c r="BK516" s="58" t="n"/>
      <c r="BL516" s="58" t="n"/>
      <c r="BM516" s="58" t="n"/>
      <c r="BN516" s="58" t="n"/>
    </row>
    <row r="517">
      <c r="C517" s="207" t="n"/>
      <c r="D517" s="206" t="n"/>
      <c r="E517" s="206" t="n"/>
      <c r="BK517" s="58" t="n"/>
      <c r="BL517" s="58" t="n"/>
      <c r="BM517" s="58" t="n"/>
      <c r="BN517" s="58" t="n"/>
    </row>
    <row r="518">
      <c r="C518" s="207" t="n"/>
      <c r="D518" s="206" t="n"/>
      <c r="E518" s="206" t="n"/>
      <c r="BK518" s="58" t="n"/>
      <c r="BL518" s="58" t="n"/>
      <c r="BM518" s="58" t="n"/>
      <c r="BN518" s="58" t="n"/>
    </row>
    <row r="519">
      <c r="C519" s="206" t="n"/>
      <c r="D519" s="206" t="n"/>
      <c r="E519" s="206" t="n"/>
      <c r="BK519" s="58" t="n"/>
      <c r="BL519" s="58" t="n"/>
      <c r="BM519" s="58" t="n"/>
      <c r="BN519" s="58" t="n"/>
    </row>
    <row r="520">
      <c r="C520" s="206" t="n"/>
      <c r="D520" s="206" t="n"/>
      <c r="E520" s="206" t="n"/>
      <c r="BK520" s="58" t="n"/>
      <c r="BL520" s="58" t="n"/>
      <c r="BM520" s="58" t="n"/>
      <c r="BN520" s="58" t="n"/>
    </row>
    <row r="521">
      <c r="C521" s="206" t="n"/>
      <c r="D521" s="206" t="n"/>
      <c r="E521" s="206" t="n"/>
      <c r="BK521" s="58" t="n"/>
      <c r="BL521" s="58" t="n"/>
      <c r="BM521" s="58" t="n"/>
      <c r="BN521" s="58" t="n"/>
    </row>
    <row r="522">
      <c r="C522" s="206" t="n"/>
      <c r="D522" s="206" t="n"/>
      <c r="E522" s="206" t="n"/>
      <c r="BK522" s="58" t="n"/>
      <c r="BL522" s="58" t="n"/>
      <c r="BM522" s="58" t="n"/>
      <c r="BN522" s="58" t="n"/>
    </row>
    <row r="523">
      <c r="C523" s="207" t="n"/>
      <c r="D523" s="206" t="n"/>
      <c r="E523" s="206" t="n"/>
      <c r="BK523" s="58" t="n"/>
      <c r="BL523" s="58" t="n"/>
      <c r="BM523" s="58" t="n"/>
      <c r="BN523" s="58" t="n"/>
    </row>
    <row r="524">
      <c r="C524" s="206" t="n"/>
      <c r="D524" s="206" t="n"/>
      <c r="E524" s="206" t="n"/>
      <c r="BK524" s="58" t="n"/>
      <c r="BL524" s="58" t="n"/>
      <c r="BM524" s="58" t="n"/>
      <c r="BN524" s="58" t="n"/>
    </row>
    <row r="525">
      <c r="C525" s="206" t="n"/>
      <c r="D525" s="206" t="n"/>
      <c r="E525" s="206" t="n"/>
      <c r="BK525" s="58" t="n"/>
      <c r="BL525" s="58" t="n"/>
      <c r="BM525" s="58" t="n"/>
      <c r="BN525" s="58" t="n"/>
    </row>
    <row r="526">
      <c r="C526" s="206" t="n"/>
      <c r="D526" s="206" t="n"/>
      <c r="E526" s="206" t="n"/>
      <c r="BK526" s="58" t="n"/>
      <c r="BL526" s="58" t="n"/>
      <c r="BM526" s="58" t="n"/>
      <c r="BN526" s="58" t="n"/>
    </row>
    <row r="527">
      <c r="C527" s="206" t="n"/>
      <c r="D527" s="206" t="n"/>
      <c r="E527" s="206" t="n"/>
      <c r="BK527" s="58" t="n"/>
      <c r="BL527" s="58" t="n"/>
      <c r="BM527" s="58" t="n"/>
      <c r="BN527" s="58" t="n"/>
    </row>
    <row r="528">
      <c r="C528" s="207" t="n"/>
      <c r="D528" s="206" t="n"/>
      <c r="E528" s="206" t="n"/>
      <c r="BK528" s="58" t="n"/>
      <c r="BL528" s="58" t="n"/>
      <c r="BM528" s="58" t="n"/>
      <c r="BN528" s="58" t="n"/>
    </row>
    <row r="529">
      <c r="C529" s="207" t="n"/>
      <c r="D529" s="206" t="n"/>
      <c r="E529" s="206" t="n"/>
      <c r="BK529" s="58" t="n"/>
      <c r="BL529" s="58" t="n"/>
      <c r="BM529" s="58" t="n"/>
      <c r="BN529" s="58" t="n"/>
    </row>
    <row r="530">
      <c r="C530" s="207" t="n"/>
      <c r="D530" s="206" t="n"/>
      <c r="E530" s="206" t="n"/>
      <c r="BK530" s="58" t="n"/>
      <c r="BL530" s="58" t="n"/>
      <c r="BM530" s="58" t="n"/>
      <c r="BN530" s="58" t="n"/>
    </row>
    <row r="531">
      <c r="C531" s="206" t="n"/>
      <c r="D531" s="206" t="n"/>
      <c r="E531" s="206" t="n"/>
      <c r="BK531" s="58" t="n"/>
      <c r="BL531" s="58" t="n"/>
      <c r="BM531" s="58" t="n"/>
      <c r="BN531" s="58" t="n"/>
    </row>
    <row r="532">
      <c r="C532" s="207" t="n"/>
      <c r="D532" s="206" t="n"/>
      <c r="E532" s="206" t="n"/>
      <c r="BK532" s="58" t="n"/>
      <c r="BL532" s="58" t="n"/>
      <c r="BM532" s="58" t="n"/>
      <c r="BN532" s="58" t="n"/>
    </row>
    <row r="533">
      <c r="C533" s="206" t="n"/>
      <c r="D533" s="206" t="n"/>
      <c r="E533" s="206" t="n"/>
      <c r="BK533" s="58" t="n"/>
      <c r="BL533" s="58" t="n"/>
      <c r="BM533" s="58" t="n"/>
      <c r="BN533" s="58" t="n"/>
    </row>
    <row r="534">
      <c r="C534" s="206" t="n"/>
      <c r="D534" s="206" t="n"/>
      <c r="E534" s="206" t="n"/>
      <c r="BK534" s="58" t="n"/>
      <c r="BL534" s="58" t="n"/>
      <c r="BM534" s="58" t="n"/>
      <c r="BN534" s="58" t="n"/>
    </row>
    <row r="535">
      <c r="C535" s="206" t="n"/>
      <c r="D535" s="206" t="n"/>
      <c r="E535" s="206" t="n"/>
      <c r="BK535" s="58" t="n"/>
      <c r="BL535" s="58" t="n"/>
      <c r="BM535" s="58" t="n"/>
      <c r="BN535" s="58" t="n"/>
    </row>
    <row r="536">
      <c r="C536" s="206" t="n"/>
      <c r="D536" s="206" t="n"/>
      <c r="E536" s="206" t="n"/>
      <c r="BK536" s="58" t="n"/>
      <c r="BL536" s="58" t="n"/>
      <c r="BM536" s="58" t="n"/>
      <c r="BN536" s="58" t="n"/>
    </row>
    <row r="537">
      <c r="C537" s="206" t="n"/>
      <c r="D537" s="206" t="n"/>
      <c r="E537" s="206" t="n"/>
      <c r="BK537" s="58" t="n"/>
      <c r="BL537" s="58" t="n"/>
      <c r="BM537" s="58" t="n"/>
      <c r="BN537" s="58" t="n"/>
    </row>
    <row r="538">
      <c r="C538" s="206" t="n"/>
      <c r="D538" s="206" t="n"/>
      <c r="E538" s="206" t="n"/>
      <c r="BK538" s="58" t="n"/>
      <c r="BL538" s="58" t="n"/>
      <c r="BM538" s="58" t="n"/>
      <c r="BN538" s="58" t="n"/>
    </row>
    <row r="539">
      <c r="C539" s="206" t="n"/>
      <c r="D539" s="206" t="n"/>
      <c r="E539" s="206" t="n"/>
      <c r="BK539" s="58" t="n"/>
      <c r="BL539" s="58" t="n"/>
      <c r="BM539" s="58" t="n"/>
      <c r="BN539" s="58" t="n"/>
    </row>
    <row r="540">
      <c r="C540" s="207" t="n"/>
      <c r="D540" s="206" t="n"/>
      <c r="E540" s="206" t="n"/>
      <c r="BK540" s="58" t="n"/>
      <c r="BL540" s="58" t="n"/>
      <c r="BM540" s="58" t="n"/>
      <c r="BN540" s="58" t="n"/>
    </row>
    <row r="541">
      <c r="C541" s="206" t="n"/>
      <c r="D541" s="206" t="n"/>
      <c r="E541" s="206" t="n"/>
      <c r="BK541" s="58" t="n"/>
      <c r="BL541" s="58" t="n"/>
      <c r="BM541" s="58" t="n"/>
      <c r="BN541" s="58" t="n"/>
    </row>
    <row r="542">
      <c r="C542" s="207" t="n"/>
      <c r="D542" s="206" t="n"/>
      <c r="E542" s="206" t="n"/>
      <c r="BK542" s="58" t="n"/>
      <c r="BL542" s="58" t="n"/>
      <c r="BM542" s="58" t="n"/>
      <c r="BN542" s="58" t="n"/>
    </row>
    <row r="543">
      <c r="C543" s="206" t="n"/>
      <c r="D543" s="206" t="n"/>
      <c r="E543" s="206" t="n"/>
      <c r="BK543" s="58" t="n"/>
      <c r="BL543" s="58" t="n"/>
      <c r="BM543" s="58" t="n"/>
      <c r="BN543" s="58" t="n"/>
    </row>
    <row r="544">
      <c r="C544" s="207" t="n"/>
      <c r="D544" s="206" t="n"/>
      <c r="E544" s="206" t="n"/>
      <c r="BK544" s="58" t="n"/>
      <c r="BL544" s="58" t="n"/>
      <c r="BM544" s="58" t="n"/>
      <c r="BN544" s="58" t="n"/>
    </row>
    <row r="545">
      <c r="C545" s="206" t="n"/>
      <c r="D545" s="206" t="n"/>
      <c r="E545" s="206" t="n"/>
      <c r="BK545" s="58" t="n"/>
      <c r="BL545" s="58" t="n"/>
      <c r="BM545" s="58" t="n"/>
      <c r="BN545" s="58" t="n"/>
    </row>
    <row r="546">
      <c r="C546" s="206" t="n"/>
      <c r="D546" s="206" t="n"/>
      <c r="E546" s="206" t="n"/>
      <c r="BK546" s="58" t="n"/>
      <c r="BL546" s="58" t="n"/>
      <c r="BM546" s="58" t="n"/>
      <c r="BN546" s="58" t="n"/>
    </row>
    <row r="547">
      <c r="C547" s="206" t="n"/>
      <c r="D547" s="206" t="n"/>
      <c r="E547" s="206" t="n"/>
      <c r="BK547" s="58" t="n"/>
      <c r="BL547" s="58" t="n"/>
      <c r="BM547" s="58" t="n"/>
      <c r="BN547" s="58" t="n"/>
    </row>
    <row r="548">
      <c r="C548" s="207" t="n"/>
      <c r="D548" s="206" t="n"/>
      <c r="E548" s="206" t="n"/>
      <c r="BK548" s="58" t="n"/>
      <c r="BL548" s="58" t="n"/>
      <c r="BM548" s="58" t="n"/>
      <c r="BN548" s="58" t="n"/>
    </row>
    <row r="549">
      <c r="C549" s="207" t="n"/>
      <c r="D549" s="206" t="n"/>
      <c r="E549" s="206" t="n"/>
      <c r="BK549" s="58" t="n"/>
      <c r="BL549" s="58" t="n"/>
      <c r="BM549" s="58" t="n"/>
      <c r="BN549" s="58" t="n"/>
    </row>
    <row r="550">
      <c r="C550" s="207" t="n"/>
      <c r="D550" s="206" t="n"/>
      <c r="E550" s="206" t="n"/>
      <c r="BK550" s="58" t="n"/>
      <c r="BL550" s="58" t="n"/>
      <c r="BM550" s="58" t="n"/>
      <c r="BN550" s="58" t="n"/>
    </row>
    <row r="551">
      <c r="C551" s="206" t="n"/>
      <c r="D551" s="206" t="n"/>
      <c r="E551" s="206" t="n"/>
      <c r="BK551" s="58" t="n"/>
      <c r="BL551" s="58" t="n"/>
      <c r="BM551" s="58" t="n"/>
      <c r="BN551" s="58" t="n"/>
    </row>
    <row r="552">
      <c r="C552" s="206" t="n"/>
      <c r="D552" s="206" t="n"/>
      <c r="E552" s="206" t="n"/>
      <c r="BK552" s="58" t="n"/>
      <c r="BL552" s="58" t="n"/>
      <c r="BM552" s="58" t="n"/>
      <c r="BN552" s="58" t="n"/>
    </row>
    <row r="553">
      <c r="C553" s="207" t="n"/>
      <c r="D553" s="206" t="n"/>
      <c r="E553" s="206" t="n"/>
      <c r="BK553" s="58" t="n"/>
      <c r="BL553" s="58" t="n"/>
      <c r="BM553" s="58" t="n"/>
      <c r="BN553" s="58" t="n"/>
    </row>
    <row r="554">
      <c r="C554" s="206" t="n"/>
      <c r="D554" s="206" t="n"/>
      <c r="E554" s="206" t="n"/>
      <c r="BK554" s="58" t="n"/>
      <c r="BL554" s="58" t="n"/>
      <c r="BM554" s="58" t="n"/>
      <c r="BN554" s="58" t="n"/>
    </row>
    <row r="555">
      <c r="C555" s="206" t="n"/>
      <c r="D555" s="206" t="n"/>
      <c r="E555" s="206" t="n"/>
      <c r="BK555" s="58" t="n"/>
      <c r="BL555" s="58" t="n"/>
      <c r="BM555" s="58" t="n"/>
      <c r="BN555" s="58" t="n"/>
    </row>
    <row r="556">
      <c r="C556" s="206" t="n"/>
      <c r="D556" s="206" t="n"/>
      <c r="E556" s="206" t="n"/>
      <c r="BK556" s="58" t="n"/>
      <c r="BL556" s="58" t="n"/>
      <c r="BM556" s="58" t="n"/>
      <c r="BN556" s="58" t="n"/>
    </row>
    <row r="557">
      <c r="C557" s="206" t="n"/>
      <c r="D557" s="206" t="n"/>
      <c r="E557" s="206" t="n"/>
      <c r="BK557" s="58" t="n"/>
      <c r="BL557" s="58" t="n"/>
      <c r="BM557" s="58" t="n"/>
      <c r="BN557" s="58" t="n"/>
    </row>
    <row r="558">
      <c r="C558" s="207" t="n"/>
      <c r="D558" s="206" t="n"/>
      <c r="E558" s="206" t="n"/>
      <c r="BK558" s="58" t="n"/>
      <c r="BL558" s="58" t="n"/>
      <c r="BM558" s="58" t="n"/>
      <c r="BN558" s="58" t="n"/>
    </row>
    <row r="559">
      <c r="C559" s="207" t="n"/>
      <c r="D559" s="206" t="n"/>
      <c r="E559" s="206" t="n"/>
      <c r="BK559" s="58" t="n"/>
      <c r="BL559" s="58" t="n"/>
      <c r="BM559" s="58" t="n"/>
      <c r="BN559" s="58" t="n"/>
    </row>
    <row r="560">
      <c r="C560" s="206" t="n"/>
      <c r="D560" s="206" t="n"/>
      <c r="E560" s="206" t="n"/>
      <c r="BK560" s="58" t="n"/>
      <c r="BL560" s="58" t="n"/>
      <c r="BM560" s="58" t="n"/>
      <c r="BN560" s="58" t="n"/>
    </row>
    <row r="561">
      <c r="C561" s="206" t="n"/>
      <c r="D561" s="206" t="n"/>
      <c r="E561" s="206" t="n"/>
      <c r="BK561" s="58" t="n"/>
      <c r="BL561" s="58" t="n"/>
      <c r="BM561" s="58" t="n"/>
      <c r="BN561" s="58" t="n"/>
    </row>
    <row r="562">
      <c r="C562" s="206" t="n"/>
      <c r="D562" s="206" t="n"/>
      <c r="E562" s="206" t="n"/>
      <c r="BK562" s="58" t="n"/>
      <c r="BL562" s="58" t="n"/>
      <c r="BM562" s="58" t="n"/>
      <c r="BN562" s="58" t="n"/>
    </row>
    <row r="563">
      <c r="C563" s="207" t="n"/>
      <c r="D563" s="206" t="n"/>
      <c r="E563" s="206" t="n"/>
      <c r="BK563" s="58" t="n"/>
      <c r="BL563" s="58" t="n"/>
      <c r="BM563" s="58" t="n"/>
      <c r="BN563" s="58" t="n"/>
    </row>
    <row r="564">
      <c r="C564" s="207" t="n"/>
      <c r="D564" s="206" t="n"/>
      <c r="E564" s="206" t="n"/>
      <c r="BK564" s="58" t="n"/>
      <c r="BL564" s="58" t="n"/>
      <c r="BM564" s="58" t="n"/>
      <c r="BN564" s="58" t="n"/>
    </row>
    <row r="565">
      <c r="C565" s="207" t="n"/>
      <c r="D565" s="206" t="n"/>
      <c r="E565" s="206" t="n"/>
      <c r="BK565" s="58" t="n"/>
      <c r="BL565" s="58" t="n"/>
      <c r="BM565" s="58" t="n"/>
      <c r="BN565" s="58" t="n"/>
    </row>
    <row r="566">
      <c r="C566" s="206" t="n"/>
      <c r="D566" s="206" t="n"/>
      <c r="E566" s="206" t="n"/>
      <c r="BK566" s="58" t="n"/>
      <c r="BL566" s="58" t="n"/>
      <c r="BM566" s="58" t="n"/>
      <c r="BN566" s="58" t="n"/>
    </row>
    <row r="567">
      <c r="C567" s="207" t="n"/>
      <c r="D567" s="206" t="n"/>
      <c r="E567" s="206" t="n"/>
      <c r="BK567" s="58" t="n"/>
      <c r="BL567" s="58" t="n"/>
      <c r="BM567" s="58" t="n"/>
      <c r="BN567" s="58" t="n"/>
    </row>
    <row r="568">
      <c r="C568" s="206" t="n"/>
      <c r="D568" s="206" t="n"/>
      <c r="E568" s="206" t="n"/>
      <c r="BK568" s="58" t="n"/>
      <c r="BL568" s="58" t="n"/>
      <c r="BM568" s="58" t="n"/>
      <c r="BN568" s="58" t="n"/>
    </row>
    <row r="569">
      <c r="C569" s="207" t="n"/>
      <c r="D569" s="206" t="n"/>
      <c r="E569" s="206" t="n"/>
      <c r="BK569" s="58" t="n"/>
      <c r="BL569" s="58" t="n"/>
      <c r="BM569" s="58" t="n"/>
      <c r="BN569" s="58" t="n"/>
    </row>
    <row r="570">
      <c r="C570" s="207" t="n"/>
      <c r="D570" s="206" t="n"/>
      <c r="E570" s="206" t="n"/>
      <c r="BK570" s="58" t="n"/>
      <c r="BL570" s="58" t="n"/>
      <c r="BM570" s="58" t="n"/>
      <c r="BN570" s="58" t="n"/>
    </row>
    <row r="571">
      <c r="C571" s="207" t="n"/>
      <c r="D571" s="206" t="n"/>
      <c r="E571" s="206" t="n"/>
      <c r="BK571" s="58" t="n"/>
      <c r="BL571" s="58" t="n"/>
      <c r="BM571" s="58" t="n"/>
      <c r="BN571" s="58" t="n"/>
    </row>
    <row r="572">
      <c r="C572" s="207" t="n"/>
      <c r="D572" s="206" t="n"/>
      <c r="E572" s="206" t="n"/>
      <c r="BK572" s="58" t="n"/>
      <c r="BL572" s="58" t="n"/>
      <c r="BM572" s="58" t="n"/>
      <c r="BN572" s="58" t="n"/>
    </row>
    <row r="573">
      <c r="C573" s="206" t="n"/>
      <c r="D573" s="206" t="n"/>
      <c r="E573" s="206" t="n"/>
      <c r="BK573" s="58" t="n"/>
      <c r="BL573" s="58" t="n"/>
      <c r="BM573" s="58" t="n"/>
      <c r="BN573" s="58" t="n"/>
    </row>
    <row r="574">
      <c r="C574" s="206" t="n"/>
      <c r="D574" s="206" t="n"/>
      <c r="E574" s="206" t="n"/>
      <c r="BK574" s="58" t="n"/>
      <c r="BL574" s="58" t="n"/>
      <c r="BM574" s="58" t="n"/>
      <c r="BN574" s="58" t="n"/>
    </row>
    <row r="575">
      <c r="C575" s="206" t="n"/>
      <c r="D575" s="206" t="n"/>
      <c r="E575" s="206" t="n"/>
      <c r="BK575" s="58" t="n"/>
      <c r="BL575" s="58" t="n"/>
      <c r="BM575" s="58" t="n"/>
      <c r="BN575" s="58" t="n"/>
    </row>
    <row r="576">
      <c r="C576" s="206" t="n"/>
      <c r="D576" s="206" t="n"/>
      <c r="E576" s="206" t="n"/>
      <c r="BK576" s="58" t="n"/>
      <c r="BL576" s="58" t="n"/>
      <c r="BM576" s="58" t="n"/>
      <c r="BN576" s="58" t="n"/>
    </row>
    <row r="577">
      <c r="C577" s="206" t="n"/>
      <c r="D577" s="206" t="n"/>
      <c r="E577" s="206" t="n"/>
      <c r="BK577" s="58" t="n"/>
      <c r="BL577" s="58" t="n"/>
      <c r="BM577" s="58" t="n"/>
      <c r="BN577" s="58" t="n"/>
    </row>
    <row r="578">
      <c r="C578" s="207" t="n"/>
      <c r="D578" s="206" t="n"/>
      <c r="E578" s="206" t="n"/>
      <c r="BK578" s="58" t="n"/>
      <c r="BL578" s="58" t="n"/>
      <c r="BM578" s="58" t="n"/>
      <c r="BN578" s="58" t="n"/>
    </row>
    <row r="579">
      <c r="C579" s="206" t="n"/>
      <c r="D579" s="206" t="n"/>
      <c r="E579" s="206" t="n"/>
      <c r="BK579" s="58" t="n"/>
      <c r="BL579" s="58" t="n"/>
      <c r="BM579" s="58" t="n"/>
      <c r="BN579" s="58" t="n"/>
    </row>
    <row r="580">
      <c r="C580" s="206" t="n"/>
      <c r="D580" s="206" t="n"/>
      <c r="E580" s="206" t="n"/>
      <c r="BK580" s="58" t="n"/>
      <c r="BL580" s="58" t="n"/>
      <c r="BM580" s="58" t="n"/>
      <c r="BN580" s="58" t="n"/>
    </row>
    <row r="581">
      <c r="C581" s="206" t="n"/>
      <c r="D581" s="206" t="n"/>
      <c r="E581" s="206" t="n"/>
      <c r="BK581" s="58" t="n"/>
      <c r="BL581" s="58" t="n"/>
      <c r="BM581" s="58" t="n"/>
      <c r="BN581" s="58" t="n"/>
    </row>
    <row r="582">
      <c r="C582" s="207" t="n"/>
      <c r="D582" s="206" t="n"/>
      <c r="E582" s="206" t="n"/>
      <c r="BK582" s="58" t="n"/>
      <c r="BL582" s="58" t="n"/>
      <c r="BM582" s="58" t="n"/>
      <c r="BN582" s="58" t="n"/>
    </row>
    <row r="583">
      <c r="C583" s="207" t="n"/>
      <c r="D583" s="206" t="n"/>
      <c r="E583" s="206" t="n"/>
      <c r="BK583" s="58" t="n"/>
      <c r="BL583" s="58" t="n"/>
      <c r="BM583" s="58" t="n"/>
      <c r="BN583" s="58" t="n"/>
    </row>
    <row r="584">
      <c r="C584" s="206" t="n"/>
      <c r="D584" s="206" t="n"/>
      <c r="E584" s="206" t="n"/>
      <c r="BK584" s="58" t="n"/>
      <c r="BL584" s="58" t="n"/>
      <c r="BM584" s="58" t="n"/>
      <c r="BN584" s="58" t="n"/>
    </row>
    <row r="585">
      <c r="C585" s="206" t="n"/>
      <c r="D585" s="206" t="n"/>
      <c r="E585" s="206" t="n"/>
      <c r="BK585" s="58" t="n"/>
      <c r="BL585" s="58" t="n"/>
      <c r="BM585" s="58" t="n"/>
      <c r="BN585" s="58" t="n"/>
    </row>
    <row r="586">
      <c r="C586" s="206" t="n"/>
      <c r="D586" s="206" t="n"/>
      <c r="E586" s="206" t="n"/>
      <c r="BK586" s="58" t="n"/>
      <c r="BL586" s="58" t="n"/>
      <c r="BM586" s="58" t="n"/>
      <c r="BN586" s="58" t="n"/>
    </row>
    <row r="587">
      <c r="C587" s="207" t="n"/>
      <c r="D587" s="206" t="n"/>
      <c r="E587" s="206" t="n"/>
      <c r="BK587" s="58" t="n"/>
      <c r="BL587" s="58" t="n"/>
      <c r="BM587" s="58" t="n"/>
      <c r="BN587" s="58" t="n"/>
    </row>
    <row r="588">
      <c r="C588" s="206" t="n"/>
      <c r="D588" s="206" t="n"/>
      <c r="E588" s="206" t="n"/>
      <c r="BK588" s="58" t="n"/>
      <c r="BL588" s="58" t="n"/>
      <c r="BM588" s="58" t="n"/>
      <c r="BN588" s="58" t="n"/>
    </row>
    <row r="589">
      <c r="C589" s="206" t="n"/>
      <c r="D589" s="206" t="n"/>
      <c r="E589" s="206" t="n"/>
      <c r="BK589" s="58" t="n"/>
      <c r="BL589" s="58" t="n"/>
      <c r="BM589" s="58" t="n"/>
      <c r="BN589" s="58" t="n"/>
    </row>
    <row r="590">
      <c r="C590" s="206" t="n"/>
      <c r="D590" s="206" t="n"/>
      <c r="E590" s="206" t="n"/>
      <c r="BK590" s="58" t="n"/>
      <c r="BL590" s="58" t="n"/>
      <c r="BM590" s="58" t="n"/>
      <c r="BN590" s="58" t="n"/>
    </row>
    <row r="591">
      <c r="C591" s="206" t="n"/>
      <c r="D591" s="206" t="n"/>
      <c r="E591" s="206" t="n"/>
      <c r="BK591" s="58" t="n"/>
      <c r="BL591" s="58" t="n"/>
      <c r="BM591" s="58" t="n"/>
      <c r="BN591" s="58" t="n"/>
    </row>
    <row r="592">
      <c r="C592" s="206" t="n"/>
      <c r="D592" s="206" t="n"/>
      <c r="E592" s="206" t="n"/>
      <c r="BK592" s="58" t="n"/>
      <c r="BL592" s="58" t="n"/>
      <c r="BM592" s="58" t="n"/>
      <c r="BN592" s="58" t="n"/>
    </row>
    <row r="593">
      <c r="C593" s="206" t="n"/>
      <c r="D593" s="206" t="n"/>
      <c r="E593" s="206" t="n"/>
      <c r="BK593" s="58" t="n"/>
      <c r="BL593" s="58" t="n"/>
      <c r="BM593" s="58" t="n"/>
      <c r="BN593" s="58" t="n"/>
    </row>
    <row r="594">
      <c r="C594" s="206" t="n"/>
      <c r="D594" s="206" t="n"/>
      <c r="E594" s="206" t="n"/>
      <c r="BK594" s="58" t="n"/>
      <c r="BL594" s="58" t="n"/>
      <c r="BM594" s="58" t="n"/>
      <c r="BN594" s="58" t="n"/>
    </row>
    <row r="595">
      <c r="C595" s="207" t="n"/>
      <c r="D595" s="206" t="n"/>
      <c r="E595" s="206" t="n"/>
      <c r="BK595" s="58" t="n"/>
      <c r="BL595" s="58" t="n"/>
      <c r="BM595" s="58" t="n"/>
      <c r="BN595" s="58" t="n"/>
    </row>
    <row r="596">
      <c r="C596" s="206" t="n"/>
      <c r="D596" s="206" t="n"/>
      <c r="E596" s="206" t="n"/>
      <c r="BK596" s="58" t="n"/>
      <c r="BL596" s="58" t="n"/>
      <c r="BM596" s="58" t="n"/>
      <c r="BN596" s="58" t="n"/>
    </row>
    <row r="597">
      <c r="C597" s="206" t="n"/>
      <c r="D597" s="206" t="n"/>
      <c r="E597" s="206" t="n"/>
      <c r="BK597" s="58" t="n"/>
      <c r="BL597" s="58" t="n"/>
      <c r="BM597" s="58" t="n"/>
      <c r="BN597" s="58" t="n"/>
    </row>
    <row r="598">
      <c r="C598" s="206" t="n"/>
      <c r="D598" s="206" t="n"/>
      <c r="E598" s="206" t="n"/>
      <c r="BK598" s="58" t="n"/>
      <c r="BL598" s="58" t="n"/>
      <c r="BM598" s="58" t="n"/>
      <c r="BN598" s="58" t="n"/>
    </row>
    <row r="599">
      <c r="C599" s="206" t="n"/>
      <c r="D599" s="206" t="n"/>
      <c r="E599" s="206" t="n"/>
      <c r="BK599" s="58" t="n"/>
      <c r="BL599" s="58" t="n"/>
      <c r="BM599" s="58" t="n"/>
      <c r="BN599" s="58" t="n"/>
    </row>
    <row r="600">
      <c r="C600" s="206" t="n"/>
      <c r="D600" s="206" t="n"/>
      <c r="E600" s="206" t="n"/>
      <c r="BK600" s="58" t="n"/>
      <c r="BL600" s="58" t="n"/>
      <c r="BM600" s="58" t="n"/>
      <c r="BN600" s="58" t="n"/>
    </row>
    <row r="601">
      <c r="C601" s="206" t="n"/>
      <c r="D601" s="206" t="n"/>
      <c r="E601" s="206" t="n"/>
      <c r="BK601" s="58" t="n"/>
      <c r="BL601" s="58" t="n"/>
      <c r="BM601" s="58" t="n"/>
      <c r="BN601" s="58" t="n"/>
    </row>
    <row r="602">
      <c r="C602" s="206" t="n"/>
      <c r="D602" s="206" t="n"/>
      <c r="E602" s="206" t="n"/>
      <c r="BK602" s="58" t="n"/>
      <c r="BL602" s="58" t="n"/>
      <c r="BM602" s="58" t="n"/>
      <c r="BN602" s="58" t="n"/>
    </row>
    <row r="603">
      <c r="C603" s="206" t="n"/>
      <c r="D603" s="206" t="n"/>
      <c r="E603" s="206" t="n"/>
      <c r="BK603" s="58" t="n"/>
      <c r="BL603" s="58" t="n"/>
      <c r="BM603" s="58" t="n"/>
      <c r="BN603" s="58" t="n"/>
    </row>
    <row r="604">
      <c r="C604" s="206" t="n"/>
      <c r="D604" s="206" t="n"/>
      <c r="E604" s="206" t="n"/>
      <c r="BK604" s="58" t="n"/>
      <c r="BL604" s="58" t="n"/>
      <c r="BM604" s="58" t="n"/>
      <c r="BN604" s="58" t="n"/>
    </row>
    <row r="605">
      <c r="C605" s="207" t="n"/>
      <c r="D605" s="206" t="n"/>
      <c r="E605" s="206" t="n"/>
      <c r="BK605" s="58" t="n"/>
      <c r="BL605" s="58" t="n"/>
      <c r="BM605" s="58" t="n"/>
      <c r="BN605" s="58" t="n"/>
    </row>
    <row r="606">
      <c r="C606" s="207" t="n"/>
      <c r="D606" s="206" t="n"/>
      <c r="E606" s="206" t="n"/>
      <c r="BK606" s="58" t="n"/>
      <c r="BL606" s="58" t="n"/>
      <c r="BM606" s="58" t="n"/>
      <c r="BN606" s="58" t="n"/>
    </row>
    <row r="607">
      <c r="C607" s="206" t="n"/>
      <c r="D607" s="206" t="n"/>
      <c r="E607" s="206" t="n"/>
      <c r="BK607" s="58" t="n"/>
      <c r="BL607" s="58" t="n"/>
      <c r="BM607" s="58" t="n"/>
      <c r="BN607" s="58" t="n"/>
    </row>
    <row r="608">
      <c r="C608" s="206" t="n"/>
      <c r="D608" s="206" t="n"/>
      <c r="E608" s="206" t="n"/>
      <c r="BK608" s="58" t="n"/>
      <c r="BL608" s="58" t="n"/>
      <c r="BM608" s="58" t="n"/>
      <c r="BN608" s="58" t="n"/>
    </row>
    <row r="609">
      <c r="C609" s="206" t="n"/>
      <c r="D609" s="206" t="n"/>
      <c r="E609" s="206" t="n"/>
      <c r="BK609" s="58" t="n"/>
      <c r="BL609" s="58" t="n"/>
      <c r="BM609" s="58" t="n"/>
      <c r="BN609" s="58" t="n"/>
    </row>
    <row r="610">
      <c r="C610" s="206" t="n"/>
      <c r="D610" s="206" t="n"/>
      <c r="E610" s="206" t="n"/>
      <c r="BK610" s="58" t="n"/>
      <c r="BL610" s="58" t="n"/>
      <c r="BM610" s="58" t="n"/>
      <c r="BN610" s="58" t="n"/>
    </row>
    <row r="611">
      <c r="C611" s="206" t="n"/>
      <c r="D611" s="206" t="n"/>
      <c r="E611" s="206" t="n"/>
      <c r="BK611" s="58" t="n"/>
      <c r="BL611" s="58" t="n"/>
      <c r="BM611" s="58" t="n"/>
      <c r="BN611" s="58" t="n"/>
    </row>
    <row r="612">
      <c r="C612" s="207" t="n"/>
      <c r="D612" s="206" t="n"/>
      <c r="E612" s="206" t="n"/>
      <c r="BK612" s="58" t="n"/>
      <c r="BL612" s="58" t="n"/>
      <c r="BM612" s="58" t="n"/>
      <c r="BN612" s="58" t="n"/>
    </row>
    <row r="613">
      <c r="C613" s="207" t="n"/>
      <c r="D613" s="206" t="n"/>
      <c r="E613" s="206" t="n"/>
      <c r="BK613" s="58" t="n"/>
      <c r="BL613" s="58" t="n"/>
      <c r="BM613" s="58" t="n"/>
      <c r="BN613" s="58" t="n"/>
    </row>
    <row r="614">
      <c r="C614" s="206" t="n"/>
      <c r="D614" s="206" t="n"/>
      <c r="E614" s="206" t="n"/>
      <c r="BK614" s="58" t="n"/>
      <c r="BL614" s="58" t="n"/>
      <c r="BM614" s="58" t="n"/>
      <c r="BN614" s="58" t="n"/>
    </row>
    <row r="615">
      <c r="C615" s="206" t="n"/>
      <c r="D615" s="206" t="n"/>
      <c r="E615" s="206" t="n"/>
      <c r="BK615" s="58" t="n"/>
      <c r="BL615" s="58" t="n"/>
      <c r="BM615" s="58" t="n"/>
      <c r="BN615" s="58" t="n"/>
    </row>
    <row r="616">
      <c r="C616" s="206" t="n"/>
      <c r="D616" s="206" t="n"/>
      <c r="E616" s="206" t="n"/>
      <c r="BK616" s="58" t="n"/>
      <c r="BL616" s="58" t="n"/>
      <c r="BM616" s="58" t="n"/>
      <c r="BN616" s="58" t="n"/>
    </row>
    <row r="617">
      <c r="C617" s="206" t="n"/>
      <c r="D617" s="206" t="n"/>
      <c r="E617" s="206" t="n"/>
      <c r="BK617" s="58" t="n"/>
      <c r="BL617" s="58" t="n"/>
      <c r="BM617" s="58" t="n"/>
      <c r="BN617" s="58" t="n"/>
    </row>
    <row r="618">
      <c r="C618" s="206" t="n"/>
      <c r="D618" s="206" t="n"/>
      <c r="E618" s="206" t="n"/>
      <c r="BK618" s="58" t="n"/>
      <c r="BL618" s="58" t="n"/>
      <c r="BM618" s="58" t="n"/>
      <c r="BN618" s="58" t="n"/>
    </row>
    <row r="619">
      <c r="C619" s="207" t="n"/>
      <c r="D619" s="206" t="n"/>
      <c r="E619" s="206" t="n"/>
      <c r="BK619" s="58" t="n"/>
      <c r="BL619" s="58" t="n"/>
      <c r="BM619" s="58" t="n"/>
      <c r="BN619" s="58" t="n"/>
    </row>
    <row r="620">
      <c r="C620" s="207" t="n"/>
      <c r="D620" s="206" t="n"/>
      <c r="E620" s="206" t="n"/>
      <c r="BK620" s="58" t="n"/>
      <c r="BL620" s="58" t="n"/>
      <c r="BM620" s="58" t="n"/>
      <c r="BN620" s="58" t="n"/>
    </row>
    <row r="621">
      <c r="C621" s="207" t="n"/>
      <c r="D621" s="206" t="n"/>
      <c r="E621" s="206" t="n"/>
      <c r="BK621" s="58" t="n"/>
      <c r="BL621" s="58" t="n"/>
      <c r="BM621" s="58" t="n"/>
      <c r="BN621" s="58" t="n"/>
    </row>
    <row r="622">
      <c r="C622" s="206" t="n"/>
      <c r="D622" s="206" t="n"/>
      <c r="E622" s="206" t="n"/>
      <c r="BK622" s="58" t="n"/>
      <c r="BL622" s="58" t="n"/>
      <c r="BM622" s="58" t="n"/>
      <c r="BN622" s="58" t="n"/>
    </row>
    <row r="623">
      <c r="C623" s="206" t="n"/>
      <c r="D623" s="206" t="n"/>
      <c r="E623" s="206" t="n"/>
      <c r="BK623" s="58" t="n"/>
      <c r="BL623" s="58" t="n"/>
      <c r="BM623" s="58" t="n"/>
      <c r="BN623" s="58" t="n"/>
    </row>
    <row r="624">
      <c r="C624" s="206" t="n"/>
      <c r="D624" s="206" t="n"/>
      <c r="E624" s="206" t="n"/>
      <c r="BK624" s="58" t="n"/>
      <c r="BL624" s="58" t="n"/>
      <c r="BM624" s="58" t="n"/>
      <c r="BN624" s="58" t="n"/>
    </row>
    <row r="625">
      <c r="C625" s="206" t="n"/>
      <c r="D625" s="206" t="n"/>
      <c r="E625" s="206" t="n"/>
      <c r="BK625" s="58" t="n"/>
      <c r="BL625" s="58" t="n"/>
      <c r="BM625" s="58" t="n"/>
      <c r="BN625" s="58" t="n"/>
    </row>
    <row r="626">
      <c r="C626" s="206" t="n"/>
      <c r="D626" s="206" t="n"/>
      <c r="E626" s="206" t="n"/>
      <c r="BK626" s="58" t="n"/>
      <c r="BL626" s="58" t="n"/>
      <c r="BM626" s="58" t="n"/>
      <c r="BN626" s="58" t="n"/>
    </row>
    <row r="627">
      <c r="C627" s="207" t="n"/>
      <c r="D627" s="206" t="n"/>
      <c r="E627" s="206" t="n"/>
      <c r="BK627" s="58" t="n"/>
      <c r="BL627" s="58" t="n"/>
      <c r="BM627" s="58" t="n"/>
      <c r="BN627" s="58" t="n"/>
    </row>
    <row r="628">
      <c r="C628" s="207" t="n"/>
      <c r="D628" s="206" t="n"/>
      <c r="E628" s="206" t="n"/>
      <c r="BK628" s="58" t="n"/>
      <c r="BL628" s="58" t="n"/>
      <c r="BM628" s="58" t="n"/>
      <c r="BN628" s="58" t="n"/>
    </row>
    <row r="629">
      <c r="C629" s="206" t="n"/>
      <c r="D629" s="206" t="n"/>
      <c r="E629" s="206" t="n"/>
      <c r="BK629" s="58" t="n"/>
      <c r="BL629" s="58" t="n"/>
      <c r="BM629" s="58" t="n"/>
      <c r="BN629" s="58" t="n"/>
    </row>
    <row r="630">
      <c r="C630" s="206" t="n"/>
      <c r="D630" s="206" t="n"/>
      <c r="E630" s="206" t="n"/>
      <c r="BK630" s="58" t="n"/>
      <c r="BL630" s="58" t="n"/>
      <c r="BM630" s="58" t="n"/>
      <c r="BN630" s="58" t="n"/>
    </row>
    <row r="631">
      <c r="C631" s="206" t="n"/>
      <c r="D631" s="206" t="n"/>
      <c r="E631" s="206" t="n"/>
      <c r="BK631" s="58" t="n"/>
      <c r="BL631" s="58" t="n"/>
      <c r="BM631" s="58" t="n"/>
      <c r="BN631" s="58" t="n"/>
    </row>
    <row r="632">
      <c r="C632" s="206" t="n"/>
      <c r="D632" s="206" t="n"/>
      <c r="E632" s="206" t="n"/>
      <c r="BK632" s="58" t="n"/>
      <c r="BL632" s="58" t="n"/>
      <c r="BM632" s="58" t="n"/>
      <c r="BN632" s="58" t="n"/>
    </row>
    <row r="633">
      <c r="C633" s="206" t="n"/>
      <c r="D633" s="206" t="n"/>
      <c r="E633" s="206" t="n"/>
      <c r="BK633" s="58" t="n"/>
      <c r="BL633" s="58" t="n"/>
      <c r="BM633" s="58" t="n"/>
      <c r="BN633" s="58" t="n"/>
    </row>
    <row r="634">
      <c r="C634" s="206" t="n"/>
      <c r="D634" s="206" t="n"/>
      <c r="E634" s="206" t="n"/>
      <c r="BK634" s="58" t="n"/>
      <c r="BL634" s="58" t="n"/>
      <c r="BM634" s="58" t="n"/>
      <c r="BN634" s="58" t="n"/>
    </row>
    <row r="635">
      <c r="C635" s="206" t="n"/>
      <c r="D635" s="206" t="n"/>
      <c r="E635" s="206" t="n"/>
      <c r="BK635" s="58" t="n"/>
      <c r="BL635" s="58" t="n"/>
      <c r="BM635" s="58" t="n"/>
      <c r="BN635" s="58" t="n"/>
    </row>
    <row r="636">
      <c r="C636" s="206" t="n"/>
      <c r="D636" s="206" t="n"/>
      <c r="E636" s="206" t="n"/>
      <c r="BK636" s="58" t="n"/>
      <c r="BL636" s="58" t="n"/>
      <c r="BM636" s="58" t="n"/>
      <c r="BN636" s="58" t="n"/>
    </row>
    <row r="637">
      <c r="C637" s="206" t="n"/>
      <c r="D637" s="206" t="n"/>
      <c r="E637" s="206" t="n"/>
      <c r="BK637" s="58" t="n"/>
      <c r="BL637" s="58" t="n"/>
      <c r="BM637" s="58" t="n"/>
      <c r="BN637" s="58" t="n"/>
    </row>
    <row r="638">
      <c r="C638" s="207" t="n"/>
      <c r="D638" s="206" t="n"/>
      <c r="E638" s="206" t="n"/>
      <c r="BK638" s="58" t="n"/>
      <c r="BL638" s="58" t="n"/>
      <c r="BM638" s="58" t="n"/>
      <c r="BN638" s="58" t="n"/>
    </row>
    <row r="639">
      <c r="C639" s="207" t="n"/>
      <c r="D639" s="206" t="n"/>
      <c r="E639" s="206" t="n"/>
      <c r="BK639" s="58" t="n"/>
      <c r="BL639" s="58" t="n"/>
      <c r="BM639" s="58" t="n"/>
      <c r="BN639" s="58" t="n"/>
    </row>
    <row r="640">
      <c r="C640" s="206" t="n"/>
      <c r="D640" s="206" t="n"/>
      <c r="E640" s="206" t="n"/>
      <c r="BK640" s="58" t="n"/>
      <c r="BL640" s="58" t="n"/>
      <c r="BM640" s="58" t="n"/>
      <c r="BN640" s="58" t="n"/>
    </row>
    <row r="641">
      <c r="C641" s="207" t="n"/>
      <c r="D641" s="206" t="n"/>
      <c r="E641" s="206" t="n"/>
      <c r="BK641" s="58" t="n"/>
      <c r="BL641" s="58" t="n"/>
      <c r="BM641" s="58" t="n"/>
      <c r="BN641" s="58" t="n"/>
    </row>
    <row r="642">
      <c r="C642" s="206" t="n"/>
      <c r="D642" s="206" t="n"/>
      <c r="E642" s="206" t="n"/>
      <c r="BK642" s="58" t="n"/>
      <c r="BL642" s="58" t="n"/>
      <c r="BM642" s="58" t="n"/>
      <c r="BN642" s="58" t="n"/>
    </row>
    <row r="643">
      <c r="C643" s="206" t="n"/>
      <c r="D643" s="206" t="n"/>
      <c r="E643" s="206" t="n"/>
      <c r="BK643" s="58" t="n"/>
      <c r="BL643" s="58" t="n"/>
      <c r="BM643" s="58" t="n"/>
      <c r="BN643" s="58" t="n"/>
    </row>
    <row r="644">
      <c r="C644" s="207" t="n"/>
      <c r="D644" s="206" t="n"/>
      <c r="E644" s="206" t="n"/>
      <c r="BK644" s="58" t="n"/>
      <c r="BL644" s="58" t="n"/>
      <c r="BM644" s="58" t="n"/>
      <c r="BN644" s="58" t="n"/>
    </row>
    <row r="645">
      <c r="C645" s="206" t="n"/>
      <c r="D645" s="206" t="n"/>
      <c r="E645" s="206" t="n"/>
      <c r="BK645" s="58" t="n"/>
      <c r="BL645" s="58" t="n"/>
      <c r="BM645" s="58" t="n"/>
      <c r="BN645" s="58" t="n"/>
    </row>
    <row r="646">
      <c r="C646" s="206" t="n"/>
      <c r="D646" s="206" t="n"/>
      <c r="E646" s="206" t="n"/>
      <c r="BK646" s="58" t="n"/>
      <c r="BL646" s="58" t="n"/>
      <c r="BM646" s="58" t="n"/>
      <c r="BN646" s="58" t="n"/>
    </row>
    <row r="647">
      <c r="C647" s="206" t="n"/>
      <c r="D647" s="206" t="n"/>
      <c r="E647" s="206" t="n"/>
      <c r="BK647" s="58" t="n"/>
      <c r="BL647" s="58" t="n"/>
      <c r="BM647" s="58" t="n"/>
      <c r="BN647" s="58" t="n"/>
    </row>
    <row r="648">
      <c r="C648" s="206" t="n"/>
      <c r="D648" s="206" t="n"/>
      <c r="E648" s="206" t="n"/>
      <c r="BK648" s="58" t="n"/>
      <c r="BL648" s="58" t="n"/>
      <c r="BM648" s="58" t="n"/>
      <c r="BN648" s="58" t="n"/>
    </row>
    <row r="649">
      <c r="C649" s="206" t="n"/>
      <c r="D649" s="206" t="n"/>
      <c r="E649" s="206" t="n"/>
      <c r="BK649" s="58" t="n"/>
      <c r="BL649" s="58" t="n"/>
      <c r="BM649" s="58" t="n"/>
      <c r="BN649" s="58" t="n"/>
    </row>
    <row r="650">
      <c r="C650" s="207" t="n"/>
      <c r="D650" s="206" t="n"/>
      <c r="E650" s="206" t="n"/>
      <c r="BK650" s="58" t="n"/>
      <c r="BL650" s="58" t="n"/>
      <c r="BM650" s="58" t="n"/>
      <c r="BN650" s="58" t="n"/>
    </row>
    <row r="651">
      <c r="C651" s="206" t="n"/>
      <c r="D651" s="206" t="n"/>
      <c r="E651" s="206" t="n"/>
      <c r="BK651" s="58" t="n"/>
      <c r="BL651" s="58" t="n"/>
      <c r="BM651" s="58" t="n"/>
      <c r="BN651" s="58" t="n"/>
    </row>
    <row r="652">
      <c r="C652" s="206" t="n"/>
      <c r="D652" s="206" t="n"/>
      <c r="E652" s="206" t="n"/>
      <c r="BK652" s="58" t="n"/>
      <c r="BL652" s="58" t="n"/>
      <c r="BM652" s="58" t="n"/>
      <c r="BN652" s="58" t="n"/>
    </row>
    <row r="653">
      <c r="C653" s="206" t="n"/>
      <c r="D653" s="206" t="n"/>
      <c r="E653" s="206" t="n"/>
      <c r="BK653" s="58" t="n"/>
      <c r="BL653" s="58" t="n"/>
      <c r="BM653" s="58" t="n"/>
      <c r="BN653" s="58" t="n"/>
    </row>
    <row r="654">
      <c r="C654" s="206" t="n"/>
      <c r="D654" s="206" t="n"/>
      <c r="E654" s="206" t="n"/>
      <c r="BK654" s="58" t="n"/>
      <c r="BL654" s="58" t="n"/>
      <c r="BM654" s="58" t="n"/>
      <c r="BN654" s="58" t="n"/>
    </row>
    <row r="655">
      <c r="C655" s="206" t="n"/>
      <c r="D655" s="206" t="n"/>
      <c r="E655" s="206" t="n"/>
      <c r="BK655" s="58" t="n"/>
      <c r="BL655" s="58" t="n"/>
      <c r="BM655" s="58" t="n"/>
      <c r="BN655" s="58" t="n"/>
    </row>
    <row r="656">
      <c r="C656" s="207" t="n"/>
      <c r="D656" s="206" t="n"/>
      <c r="E656" s="206" t="n"/>
      <c r="BK656" s="58" t="n"/>
      <c r="BL656" s="58" t="n"/>
      <c r="BM656" s="58" t="n"/>
      <c r="BN656" s="58" t="n"/>
    </row>
    <row r="657">
      <c r="C657" s="206" t="n"/>
      <c r="D657" s="206" t="n"/>
      <c r="E657" s="206" t="n"/>
      <c r="BK657" s="58" t="n"/>
      <c r="BL657" s="58" t="n"/>
      <c r="BM657" s="58" t="n"/>
      <c r="BN657" s="58" t="n"/>
    </row>
    <row r="658">
      <c r="C658" s="206" t="n"/>
      <c r="D658" s="206" t="n"/>
      <c r="E658" s="206" t="n"/>
      <c r="BK658" s="58" t="n"/>
      <c r="BL658" s="58" t="n"/>
      <c r="BM658" s="58" t="n"/>
      <c r="BN658" s="58" t="n"/>
    </row>
    <row r="659" customFormat="1" s="4437">
      <c r="C659" s="4439" t="n"/>
      <c r="D659" s="4439" t="n"/>
      <c r="E659" s="4439" t="n"/>
      <c r="BK659" s="4440" t="n"/>
      <c r="BL659" s="4440" t="n"/>
      <c r="BM659" s="4440" t="n"/>
      <c r="BN659" s="4440" t="n"/>
    </row>
    <row r="660">
      <c r="C660" s="207" t="n"/>
      <c r="D660" s="206" t="n"/>
      <c r="E660" s="206" t="n"/>
      <c r="BK660" s="58" t="n"/>
      <c r="BL660" s="58" t="n"/>
      <c r="BM660" s="58" t="n"/>
      <c r="BN660" s="58" t="n"/>
    </row>
    <row r="661">
      <c r="C661" s="207" t="n"/>
      <c r="D661" s="206" t="n"/>
      <c r="E661" s="206" t="n"/>
      <c r="BK661" s="58" t="n"/>
      <c r="BL661" s="58" t="n"/>
      <c r="BM661" s="58" t="n"/>
      <c r="BN661" s="58" t="n"/>
    </row>
    <row r="662">
      <c r="C662" s="206" t="n"/>
      <c r="D662" s="206" t="n"/>
      <c r="E662" s="206" t="n"/>
      <c r="BK662" s="58" t="n"/>
      <c r="BL662" s="58" t="n"/>
      <c r="BM662" s="58" t="n"/>
      <c r="BN662" s="58" t="n"/>
    </row>
    <row r="663">
      <c r="C663" s="206" t="n"/>
      <c r="D663" s="206" t="n"/>
      <c r="E663" s="206" t="n"/>
      <c r="BK663" s="58" t="n"/>
      <c r="BL663" s="58" t="n"/>
      <c r="BM663" s="58" t="n"/>
      <c r="BN663" s="58" t="n"/>
    </row>
    <row r="664">
      <c r="C664" s="206" t="n"/>
      <c r="D664" s="206" t="n"/>
      <c r="E664" s="206" t="n"/>
      <c r="BK664" s="58" t="n"/>
      <c r="BL664" s="58" t="n"/>
      <c r="BM664" s="58" t="n"/>
      <c r="BN664" s="58" t="n"/>
    </row>
    <row r="665">
      <c r="C665" s="206" t="n"/>
      <c r="D665" s="206" t="n"/>
      <c r="E665" s="206" t="n"/>
      <c r="BK665" s="58" t="n"/>
      <c r="BL665" s="58" t="n"/>
      <c r="BM665" s="58" t="n"/>
      <c r="BN665" s="58" t="n"/>
    </row>
    <row r="666">
      <c r="C666" s="206" t="n"/>
      <c r="D666" s="206" t="n"/>
      <c r="E666" s="206" t="n"/>
      <c r="BK666" s="58" t="n"/>
      <c r="BL666" s="58" t="n"/>
      <c r="BM666" s="58" t="n"/>
      <c r="BN666" s="58" t="n"/>
    </row>
    <row r="667">
      <c r="C667" s="206" t="n"/>
      <c r="D667" s="206" t="n"/>
      <c r="E667" s="206" t="n"/>
      <c r="BK667" s="58" t="n"/>
      <c r="BL667" s="58" t="n"/>
      <c r="BM667" s="58" t="n"/>
      <c r="BN667" s="58" t="n"/>
    </row>
    <row r="668">
      <c r="C668" s="206" t="n"/>
      <c r="D668" s="206" t="n"/>
      <c r="E668" s="206" t="n"/>
      <c r="BK668" s="58" t="n"/>
      <c r="BL668" s="58" t="n"/>
      <c r="BM668" s="58" t="n"/>
      <c r="BN668" s="58" t="n"/>
    </row>
    <row r="669">
      <c r="C669" s="206" t="n"/>
      <c r="D669" s="206" t="n"/>
      <c r="E669" s="206" t="n"/>
      <c r="BK669" s="58" t="n"/>
      <c r="BL669" s="58" t="n"/>
      <c r="BM669" s="58" t="n"/>
      <c r="BN669" s="58" t="n"/>
    </row>
    <row r="670">
      <c r="C670" s="207" t="n"/>
      <c r="D670" s="206" t="n"/>
      <c r="E670" s="206" t="n"/>
      <c r="BK670" s="58" t="n"/>
      <c r="BL670" s="58" t="n"/>
      <c r="BM670" s="58" t="n"/>
      <c r="BN670" s="58" t="n"/>
    </row>
    <row r="671">
      <c r="C671" s="206" t="n"/>
      <c r="D671" s="206" t="n"/>
      <c r="E671" s="206" t="n"/>
      <c r="BK671" s="58" t="n"/>
      <c r="BL671" s="58" t="n"/>
      <c r="BM671" s="58" t="n"/>
      <c r="BN671" s="58" t="n"/>
    </row>
    <row r="672">
      <c r="C672" s="206" t="n"/>
      <c r="D672" s="206" t="n"/>
      <c r="E672" s="206" t="n"/>
      <c r="BK672" s="58" t="n"/>
      <c r="BL672" s="58" t="n"/>
      <c r="BM672" s="58" t="n"/>
      <c r="BN672" s="58" t="n"/>
    </row>
    <row r="673">
      <c r="C673" s="206" t="n"/>
      <c r="D673" s="206" t="n"/>
      <c r="E673" s="206" t="n"/>
      <c r="BK673" s="58" t="n"/>
      <c r="BL673" s="58" t="n"/>
      <c r="BM673" s="58" t="n"/>
      <c r="BN673" s="58" t="n"/>
    </row>
    <row r="674">
      <c r="C674" s="206" t="n"/>
      <c r="D674" s="206" t="n"/>
      <c r="E674" s="206" t="n"/>
      <c r="BK674" s="58" t="n"/>
      <c r="BL674" s="58" t="n"/>
      <c r="BM674" s="58" t="n"/>
      <c r="BN674" s="58" t="n"/>
    </row>
    <row r="675">
      <c r="C675" s="206" t="n"/>
      <c r="D675" s="206" t="n"/>
      <c r="E675" s="206" t="n"/>
      <c r="BK675" s="58" t="n"/>
      <c r="BL675" s="58" t="n"/>
      <c r="BM675" s="58" t="n"/>
      <c r="BN675" s="58" t="n"/>
    </row>
    <row r="676">
      <c r="C676" s="206" t="n"/>
      <c r="D676" s="206" t="n"/>
      <c r="E676" s="206" t="n"/>
      <c r="BK676" s="58" t="n"/>
      <c r="BL676" s="58" t="n"/>
      <c r="BM676" s="58" t="n"/>
      <c r="BN676" s="58" t="n"/>
    </row>
    <row r="677">
      <c r="C677" s="207" t="n"/>
      <c r="D677" s="206" t="n"/>
      <c r="E677" s="206" t="n"/>
      <c r="BK677" s="58" t="n"/>
      <c r="BL677" s="58" t="n"/>
      <c r="BM677" s="58" t="n"/>
      <c r="BN677" s="58" t="n"/>
    </row>
    <row r="678">
      <c r="C678" s="207" t="n"/>
      <c r="D678" s="206" t="n"/>
      <c r="E678" s="206" t="n"/>
      <c r="BK678" s="58" t="n"/>
      <c r="BL678" s="58" t="n"/>
      <c r="BM678" s="58" t="n"/>
      <c r="BN678" s="58" t="n"/>
    </row>
    <row r="679">
      <c r="C679" s="206" t="n"/>
      <c r="D679" s="206" t="n"/>
      <c r="E679" s="206" t="n"/>
      <c r="BK679" s="58" t="n"/>
      <c r="BL679" s="58" t="n"/>
      <c r="BM679" s="58" t="n"/>
      <c r="BN679" s="58" t="n"/>
    </row>
    <row r="680">
      <c r="C680" s="206" t="n"/>
      <c r="D680" s="206" t="n"/>
      <c r="E680" s="206" t="n"/>
      <c r="BK680" s="58" t="n"/>
      <c r="BL680" s="58" t="n"/>
      <c r="BM680" s="58" t="n"/>
      <c r="BN680" s="58" t="n"/>
    </row>
    <row r="681">
      <c r="C681" s="206" t="n"/>
      <c r="D681" s="206" t="n"/>
      <c r="E681" s="206" t="n"/>
      <c r="BK681" s="58" t="n"/>
      <c r="BL681" s="58" t="n"/>
      <c r="BM681" s="58" t="n"/>
      <c r="BN681" s="58" t="n"/>
    </row>
    <row r="682">
      <c r="C682" s="207" t="n"/>
      <c r="D682" s="206" t="n"/>
      <c r="E682" s="206" t="n"/>
      <c r="BK682" s="58" t="n"/>
      <c r="BL682" s="58" t="n"/>
      <c r="BM682" s="58" t="n"/>
      <c r="BN682" s="58" t="n"/>
    </row>
    <row r="683">
      <c r="C683" s="207" t="n"/>
      <c r="D683" s="206" t="n"/>
      <c r="E683" s="206" t="n"/>
      <c r="BK683" s="58" t="n"/>
      <c r="BL683" s="58" t="n"/>
      <c r="BM683" s="58" t="n"/>
      <c r="BN683" s="58" t="n"/>
    </row>
    <row r="684">
      <c r="C684" s="206" t="n"/>
      <c r="D684" s="206" t="n"/>
      <c r="E684" s="206" t="n"/>
      <c r="BK684" s="58" t="n"/>
      <c r="BL684" s="58" t="n"/>
      <c r="BM684" s="58" t="n"/>
      <c r="BN684" s="58" t="n"/>
    </row>
    <row r="685">
      <c r="C685" s="206" t="n"/>
      <c r="D685" s="206" t="n"/>
      <c r="E685" s="206" t="n"/>
      <c r="BK685" s="58" t="n"/>
      <c r="BL685" s="58" t="n"/>
      <c r="BM685" s="58" t="n"/>
      <c r="BN685" s="58" t="n"/>
    </row>
    <row r="686">
      <c r="C686" s="207" t="n"/>
      <c r="D686" s="206" t="n"/>
      <c r="E686" s="206" t="n"/>
      <c r="BK686" s="58" t="n"/>
      <c r="BL686" s="58" t="n"/>
      <c r="BM686" s="58" t="n"/>
      <c r="BN686" s="58" t="n"/>
    </row>
    <row r="687">
      <c r="C687" s="206" t="n"/>
      <c r="D687" s="206" t="n"/>
      <c r="E687" s="206" t="n"/>
      <c r="BK687" s="58" t="n"/>
      <c r="BL687" s="58" t="n"/>
      <c r="BM687" s="58" t="n"/>
      <c r="BN687" s="58" t="n"/>
    </row>
    <row r="688">
      <c r="C688" s="207" t="n"/>
      <c r="D688" s="206" t="n"/>
      <c r="E688" s="206" t="n"/>
      <c r="BK688" s="58" t="n"/>
      <c r="BL688" s="58" t="n"/>
      <c r="BM688" s="58" t="n"/>
      <c r="BN688" s="58" t="n"/>
    </row>
    <row r="689">
      <c r="C689" s="206" t="n"/>
      <c r="D689" s="206" t="n"/>
      <c r="E689" s="206" t="n"/>
      <c r="BK689" s="58" t="n"/>
      <c r="BL689" s="58" t="n"/>
      <c r="BM689" s="58" t="n"/>
      <c r="BN689" s="58" t="n"/>
    </row>
    <row r="690">
      <c r="C690" s="206" t="n"/>
      <c r="D690" s="206" t="n"/>
      <c r="E690" s="206" t="n"/>
      <c r="BK690" s="58" t="n"/>
      <c r="BL690" s="58" t="n"/>
      <c r="BM690" s="58" t="n"/>
      <c r="BN690" s="58" t="n"/>
    </row>
    <row r="691">
      <c r="C691" s="206" t="n"/>
      <c r="D691" s="206" t="n"/>
      <c r="E691" s="206" t="n"/>
      <c r="BK691" s="58" t="n"/>
      <c r="BL691" s="58" t="n"/>
      <c r="BM691" s="58" t="n"/>
      <c r="BN691" s="58" t="n"/>
    </row>
    <row r="692">
      <c r="C692" s="206" t="n"/>
      <c r="D692" s="206" t="n"/>
      <c r="E692" s="206" t="n"/>
      <c r="BK692" s="58" t="n"/>
      <c r="BL692" s="58" t="n"/>
      <c r="BM692" s="58" t="n"/>
      <c r="BN692" s="58" t="n"/>
    </row>
    <row r="693">
      <c r="C693" s="206" t="n"/>
      <c r="D693" s="206" t="n"/>
      <c r="E693" s="206" t="n"/>
      <c r="BK693" s="58" t="n"/>
      <c r="BL693" s="58" t="n"/>
      <c r="BM693" s="58" t="n"/>
      <c r="BN693" s="58" t="n"/>
    </row>
    <row r="694">
      <c r="C694" s="207" t="n"/>
      <c r="D694" s="206" t="n"/>
      <c r="E694" s="206" t="n"/>
      <c r="BK694" s="58" t="n"/>
      <c r="BL694" s="58" t="n"/>
      <c r="BM694" s="58" t="n"/>
      <c r="BN694" s="58" t="n"/>
    </row>
    <row r="695">
      <c r="C695" s="206" t="n"/>
      <c r="D695" s="206" t="n"/>
      <c r="E695" s="206" t="n"/>
      <c r="BK695" s="58" t="n"/>
      <c r="BL695" s="58" t="n"/>
      <c r="BM695" s="58" t="n"/>
      <c r="BN695" s="58" t="n"/>
    </row>
    <row r="696">
      <c r="C696" s="206" t="n"/>
      <c r="D696" s="206" t="n"/>
      <c r="E696" s="206" t="n"/>
      <c r="BK696" s="58" t="n"/>
      <c r="BL696" s="58" t="n"/>
      <c r="BM696" s="58" t="n"/>
      <c r="BN696" s="58" t="n"/>
    </row>
    <row r="697">
      <c r="C697" s="207" t="n"/>
      <c r="D697" s="206" t="n"/>
      <c r="E697" s="206" t="n"/>
      <c r="BK697" s="58" t="n"/>
      <c r="BL697" s="58" t="n"/>
      <c r="BM697" s="58" t="n"/>
      <c r="BN697" s="58" t="n"/>
    </row>
    <row r="698">
      <c r="C698" s="206" t="n"/>
      <c r="D698" s="206" t="n"/>
      <c r="E698" s="206" t="n"/>
      <c r="BK698" s="58" t="n"/>
      <c r="BL698" s="58" t="n"/>
      <c r="BM698" s="58" t="n"/>
      <c r="BN698" s="58" t="n"/>
    </row>
    <row r="699">
      <c r="C699" s="206" t="n"/>
      <c r="D699" s="206" t="n"/>
      <c r="E699" s="206" t="n"/>
      <c r="BK699" s="58" t="n"/>
      <c r="BL699" s="58" t="n"/>
      <c r="BM699" s="58" t="n"/>
      <c r="BN699" s="58" t="n"/>
    </row>
    <row r="700">
      <c r="C700" s="206" t="n"/>
      <c r="D700" s="206" t="n"/>
      <c r="E700" s="206" t="n"/>
      <c r="BK700" s="58" t="n"/>
      <c r="BL700" s="58" t="n"/>
      <c r="BM700" s="58" t="n"/>
      <c r="BN700" s="58" t="n"/>
    </row>
    <row r="701">
      <c r="C701" s="206" t="n"/>
      <c r="D701" s="206" t="n"/>
      <c r="E701" s="206" t="n"/>
      <c r="BK701" s="58" t="n"/>
      <c r="BL701" s="58" t="n"/>
      <c r="BM701" s="58" t="n"/>
      <c r="BN701" s="58" t="n"/>
    </row>
    <row r="702">
      <c r="C702" s="207" t="n"/>
      <c r="D702" s="206" t="n"/>
      <c r="E702" s="206" t="n"/>
      <c r="BK702" s="58" t="n"/>
      <c r="BL702" s="58" t="n"/>
      <c r="BM702" s="58" t="n"/>
      <c r="BN702" s="58" t="n"/>
    </row>
    <row r="703">
      <c r="C703" s="206" t="n"/>
      <c r="D703" s="206" t="n"/>
      <c r="E703" s="206" t="n"/>
      <c r="BK703" s="58" t="n"/>
      <c r="BL703" s="58" t="n"/>
      <c r="BM703" s="58" t="n"/>
      <c r="BN703" s="58" t="n"/>
    </row>
    <row r="704">
      <c r="C704" s="206" t="n"/>
      <c r="D704" s="206" t="n"/>
      <c r="E704" s="206" t="n"/>
      <c r="BK704" s="58" t="n"/>
      <c r="BL704" s="58" t="n"/>
      <c r="BM704" s="58" t="n"/>
      <c r="BN704" s="58" t="n"/>
    </row>
    <row r="705">
      <c r="C705" s="207" t="n"/>
      <c r="D705" s="206" t="n"/>
      <c r="E705" s="206" t="n"/>
      <c r="BK705" s="58" t="n"/>
      <c r="BL705" s="58" t="n"/>
      <c r="BM705" s="58" t="n"/>
      <c r="BN705" s="58" t="n"/>
    </row>
    <row r="706">
      <c r="C706" s="206" t="n"/>
      <c r="D706" s="206" t="n"/>
      <c r="E706" s="206" t="n"/>
      <c r="BK706" s="58" t="n"/>
      <c r="BL706" s="58" t="n"/>
      <c r="BM706" s="58" t="n"/>
      <c r="BN706" s="58" t="n"/>
    </row>
    <row r="707">
      <c r="C707" s="207" t="n"/>
      <c r="D707" s="206" t="n"/>
      <c r="E707" s="206" t="n"/>
      <c r="BK707" s="58" t="n"/>
      <c r="BL707" s="58" t="n"/>
      <c r="BM707" s="58" t="n"/>
      <c r="BN707" s="58" t="n"/>
    </row>
    <row r="708">
      <c r="C708" s="206" t="n"/>
      <c r="D708" s="206" t="n"/>
      <c r="E708" s="206" t="n"/>
      <c r="BK708" s="58" t="n"/>
      <c r="BL708" s="58" t="n"/>
      <c r="BM708" s="58" t="n"/>
      <c r="BN708" s="58" t="n"/>
    </row>
    <row r="709">
      <c r="C709" s="206" t="n"/>
      <c r="D709" s="206" t="n"/>
      <c r="E709" s="206" t="n"/>
      <c r="BK709" s="58" t="n"/>
      <c r="BL709" s="58" t="n"/>
      <c r="BM709" s="58" t="n"/>
      <c r="BN709" s="58" t="n"/>
    </row>
    <row r="710">
      <c r="C710" s="206" t="n"/>
      <c r="D710" s="206" t="n"/>
      <c r="E710" s="206" t="n"/>
      <c r="BK710" s="58" t="n"/>
      <c r="BL710" s="58" t="n"/>
      <c r="BM710" s="58" t="n"/>
      <c r="BN710" s="58" t="n"/>
    </row>
    <row r="711">
      <c r="C711" s="206" t="n"/>
      <c r="D711" s="206" t="n"/>
      <c r="E711" s="206" t="n"/>
      <c r="BK711" s="58" t="n"/>
      <c r="BL711" s="58" t="n"/>
      <c r="BM711" s="58" t="n"/>
      <c r="BN711" s="58" t="n"/>
    </row>
    <row r="712">
      <c r="C712" s="206" t="n"/>
      <c r="D712" s="206" t="n"/>
      <c r="E712" s="206" t="n"/>
      <c r="BK712" s="58" t="n"/>
      <c r="BL712" s="58" t="n"/>
      <c r="BM712" s="58" t="n"/>
      <c r="BN712" s="58" t="n"/>
    </row>
    <row r="713">
      <c r="C713" s="206" t="n"/>
      <c r="D713" s="206" t="n"/>
      <c r="E713" s="206" t="n"/>
      <c r="BK713" s="58" t="n"/>
      <c r="BL713" s="58" t="n"/>
      <c r="BM713" s="58" t="n"/>
      <c r="BN713" s="58" t="n"/>
    </row>
    <row r="714">
      <c r="C714" s="206" t="n"/>
      <c r="D714" s="206" t="n"/>
      <c r="E714" s="206" t="n"/>
      <c r="BK714" s="58" t="n"/>
      <c r="BL714" s="58" t="n"/>
      <c r="BM714" s="58" t="n"/>
      <c r="BN714" s="58" t="n"/>
    </row>
    <row r="715">
      <c r="C715" s="207" t="n"/>
      <c r="D715" s="206" t="n"/>
      <c r="E715" s="206" t="n"/>
      <c r="BK715" s="58" t="n"/>
      <c r="BL715" s="58" t="n"/>
      <c r="BM715" s="58" t="n"/>
      <c r="BN715" s="58" t="n"/>
    </row>
    <row r="716">
      <c r="C716" s="206" t="n"/>
      <c r="D716" s="206" t="n"/>
      <c r="E716" s="206" t="n"/>
      <c r="BK716" s="58" t="n"/>
      <c r="BL716" s="58" t="n"/>
      <c r="BM716" s="58" t="n"/>
      <c r="BN716" s="58" t="n"/>
    </row>
    <row r="717">
      <c r="C717" s="206" t="n"/>
      <c r="D717" s="206" t="n"/>
      <c r="E717" s="206" t="n"/>
      <c r="BK717" s="58" t="n"/>
      <c r="BL717" s="58" t="n"/>
      <c r="BM717" s="58" t="n"/>
      <c r="BN717" s="58" t="n"/>
    </row>
    <row r="718">
      <c r="C718" s="207" t="n"/>
      <c r="D718" s="206" t="n"/>
      <c r="E718" s="206" t="n"/>
      <c r="BK718" s="58" t="n"/>
      <c r="BL718" s="58" t="n"/>
      <c r="BM718" s="58" t="n"/>
      <c r="BN718" s="58" t="n"/>
    </row>
    <row r="719">
      <c r="C719" s="206" t="n"/>
      <c r="D719" s="206" t="n"/>
      <c r="E719" s="206" t="n"/>
      <c r="BK719" s="58" t="n"/>
      <c r="BL719" s="58" t="n"/>
      <c r="BM719" s="58" t="n"/>
      <c r="BN719" s="58" t="n"/>
    </row>
    <row r="720">
      <c r="C720" s="206" t="n"/>
      <c r="D720" s="206" t="n"/>
      <c r="E720" s="206" t="n"/>
      <c r="BK720" s="58" t="n"/>
      <c r="BL720" s="58" t="n"/>
      <c r="BM720" s="58" t="n"/>
      <c r="BN720" s="58" t="n"/>
    </row>
    <row r="721">
      <c r="C721" s="206" t="n"/>
      <c r="D721" s="206" t="n"/>
      <c r="E721" s="206" t="n"/>
      <c r="BK721" s="58" t="n"/>
      <c r="BL721" s="58" t="n"/>
      <c r="BM721" s="58" t="n"/>
      <c r="BN721" s="58" t="n"/>
    </row>
    <row r="722">
      <c r="C722" s="206" t="n"/>
      <c r="D722" s="206" t="n"/>
      <c r="E722" s="206" t="n"/>
      <c r="BK722" s="58" t="n"/>
      <c r="BL722" s="58" t="n"/>
      <c r="BM722" s="58" t="n"/>
      <c r="BN722" s="58" t="n"/>
    </row>
    <row r="723">
      <c r="C723" s="207" t="n"/>
      <c r="D723" s="206" t="n"/>
      <c r="E723" s="206" t="n"/>
      <c r="BK723" s="58" t="n"/>
      <c r="BL723" s="58" t="n"/>
      <c r="BM723" s="58" t="n"/>
      <c r="BN723" s="58" t="n"/>
    </row>
    <row r="724">
      <c r="C724" s="207" t="n"/>
      <c r="D724" s="206" t="n"/>
      <c r="E724" s="206" t="n"/>
      <c r="BK724" s="58" t="n"/>
      <c r="BL724" s="58" t="n"/>
      <c r="BM724" s="58" t="n"/>
      <c r="BN724" s="58" t="n"/>
    </row>
    <row r="725">
      <c r="C725" s="206" t="n"/>
      <c r="D725" s="206" t="n"/>
      <c r="E725" s="206" t="n"/>
      <c r="BK725" s="58" t="n"/>
      <c r="BL725" s="58" t="n"/>
      <c r="BM725" s="58" t="n"/>
      <c r="BN725" s="58" t="n"/>
    </row>
    <row r="726">
      <c r="C726" s="206" t="n"/>
      <c r="D726" s="206" t="n"/>
      <c r="E726" s="206" t="n"/>
      <c r="BK726" s="58" t="n"/>
      <c r="BL726" s="58" t="n"/>
      <c r="BM726" s="58" t="n"/>
      <c r="BN726" s="58" t="n"/>
    </row>
    <row r="727">
      <c r="C727" s="206" t="n"/>
      <c r="D727" s="206" t="n"/>
      <c r="E727" s="206" t="n"/>
      <c r="BK727" s="58" t="n"/>
      <c r="BL727" s="58" t="n"/>
      <c r="BM727" s="58" t="n"/>
      <c r="BN727" s="58" t="n"/>
    </row>
    <row r="728">
      <c r="C728" s="206" t="n"/>
      <c r="D728" s="206" t="n"/>
      <c r="E728" s="206" t="n"/>
      <c r="BK728" s="58" t="n"/>
      <c r="BL728" s="58" t="n"/>
      <c r="BM728" s="58" t="n"/>
      <c r="BN728" s="58" t="n"/>
    </row>
    <row r="729">
      <c r="C729" s="206" t="n"/>
      <c r="D729" s="206" t="n"/>
      <c r="E729" s="206" t="n"/>
      <c r="BK729" s="58" t="n"/>
      <c r="BL729" s="58" t="n"/>
      <c r="BM729" s="58" t="n"/>
      <c r="BN729" s="58" t="n"/>
    </row>
    <row r="730">
      <c r="C730" s="206" t="n"/>
      <c r="D730" s="206" t="n"/>
      <c r="E730" s="206" t="n"/>
      <c r="BK730" s="58" t="n"/>
      <c r="BL730" s="58" t="n"/>
      <c r="BM730" s="58" t="n"/>
      <c r="BN730" s="58" t="n"/>
    </row>
    <row r="731">
      <c r="C731" s="206" t="n"/>
      <c r="D731" s="206" t="n"/>
      <c r="E731" s="206" t="n"/>
      <c r="BK731" s="58" t="n"/>
      <c r="BL731" s="58" t="n"/>
      <c r="BM731" s="58" t="n"/>
      <c r="BN731" s="58" t="n"/>
    </row>
    <row r="732">
      <c r="C732" s="207" t="n"/>
      <c r="D732" s="206" t="n"/>
      <c r="E732" s="206" t="n"/>
      <c r="BK732" s="58" t="n"/>
      <c r="BL732" s="58" t="n"/>
      <c r="BM732" s="58" t="n"/>
      <c r="BN732" s="58" t="n"/>
    </row>
    <row r="733">
      <c r="C733" s="206" t="n"/>
      <c r="D733" s="206" t="n"/>
      <c r="E733" s="206" t="n"/>
      <c r="BK733" s="58" t="n"/>
      <c r="BL733" s="58" t="n"/>
      <c r="BM733" s="58" t="n"/>
      <c r="BN733" s="58" t="n"/>
    </row>
    <row r="734">
      <c r="C734" s="207" t="n"/>
      <c r="D734" s="206" t="n"/>
      <c r="E734" s="206" t="n"/>
      <c r="BK734" s="58" t="n"/>
      <c r="BL734" s="58" t="n"/>
      <c r="BM734" s="58" t="n"/>
      <c r="BN734" s="58" t="n"/>
    </row>
    <row r="735">
      <c r="C735" s="207" t="n"/>
      <c r="D735" s="206" t="n"/>
      <c r="E735" s="206" t="n"/>
      <c r="BK735" s="58" t="n"/>
      <c r="BL735" s="58" t="n"/>
      <c r="BM735" s="58" t="n"/>
      <c r="BN735" s="58" t="n"/>
    </row>
    <row r="736">
      <c r="C736" s="206" t="n"/>
      <c r="D736" s="206" t="n"/>
      <c r="E736" s="206" t="n"/>
      <c r="BK736" s="58" t="n"/>
      <c r="BL736" s="58" t="n"/>
      <c r="BM736" s="58" t="n"/>
      <c r="BN736" s="58" t="n"/>
    </row>
    <row r="737">
      <c r="C737" s="207" t="n"/>
      <c r="D737" s="206" t="n"/>
      <c r="E737" s="206" t="n"/>
      <c r="BK737" s="58" t="n"/>
      <c r="BL737" s="58" t="n"/>
      <c r="BM737" s="58" t="n"/>
      <c r="BN737" s="58" t="n"/>
    </row>
    <row r="738">
      <c r="C738" s="206" t="n"/>
      <c r="D738" s="206" t="n"/>
      <c r="E738" s="206" t="n"/>
      <c r="BK738" s="58" t="n"/>
      <c r="BL738" s="58" t="n"/>
      <c r="BM738" s="58" t="n"/>
      <c r="BN738" s="58" t="n"/>
    </row>
    <row r="739">
      <c r="C739" s="206" t="n"/>
      <c r="D739" s="206" t="n"/>
      <c r="E739" s="206" t="n"/>
      <c r="BK739" s="58" t="n"/>
      <c r="BL739" s="58" t="n"/>
      <c r="BM739" s="58" t="n"/>
      <c r="BN739" s="58" t="n"/>
    </row>
    <row r="740">
      <c r="C740" s="206" t="n"/>
      <c r="D740" s="206" t="n"/>
      <c r="E740" s="206" t="n"/>
      <c r="BK740" s="58" t="n"/>
      <c r="BL740" s="58" t="n"/>
      <c r="BM740" s="58" t="n"/>
      <c r="BN740" s="58" t="n"/>
    </row>
    <row r="741">
      <c r="C741" s="206" t="n"/>
      <c r="D741" s="206" t="n"/>
      <c r="E741" s="206" t="n"/>
      <c r="BK741" s="58" t="n"/>
      <c r="BL741" s="58" t="n"/>
      <c r="BM741" s="58" t="n"/>
      <c r="BN741" s="58" t="n"/>
    </row>
    <row r="742">
      <c r="C742" s="206" t="n"/>
      <c r="D742" s="206" t="n"/>
      <c r="E742" s="206" t="n"/>
      <c r="BK742" s="58" t="n"/>
      <c r="BL742" s="58" t="n"/>
      <c r="BM742" s="58" t="n"/>
      <c r="BN742" s="58" t="n"/>
    </row>
    <row r="743">
      <c r="C743" s="207" t="n"/>
      <c r="D743" s="206" t="n"/>
      <c r="E743" s="206" t="n"/>
      <c r="BK743" s="58" t="n"/>
      <c r="BL743" s="58" t="n"/>
      <c r="BM743" s="58" t="n"/>
      <c r="BN743" s="58" t="n"/>
    </row>
    <row r="744">
      <c r="C744" s="206" t="n"/>
      <c r="D744" s="206" t="n"/>
      <c r="E744" s="206" t="n"/>
      <c r="BK744" s="58" t="n"/>
      <c r="BL744" s="58" t="n"/>
      <c r="BM744" s="58" t="n"/>
      <c r="BN744" s="58" t="n"/>
    </row>
    <row r="745">
      <c r="C745" s="206" t="n"/>
      <c r="D745" s="206" t="n"/>
      <c r="E745" s="206" t="n"/>
      <c r="BK745" s="58" t="n"/>
      <c r="BL745" s="58" t="n"/>
      <c r="BM745" s="58" t="n"/>
      <c r="BN745" s="58" t="n"/>
    </row>
    <row r="746">
      <c r="C746" s="206" t="n"/>
      <c r="D746" s="206" t="n"/>
      <c r="E746" s="206" t="n"/>
      <c r="BK746" s="58" t="n"/>
      <c r="BL746" s="58" t="n"/>
      <c r="BM746" s="58" t="n"/>
      <c r="BN746" s="58" t="n"/>
    </row>
    <row r="747">
      <c r="C747" s="207" t="n"/>
      <c r="D747" s="206" t="n"/>
      <c r="E747" s="206" t="n"/>
      <c r="BK747" s="58" t="n"/>
      <c r="BL747" s="58" t="n"/>
      <c r="BM747" s="58" t="n"/>
      <c r="BN747" s="58" t="n"/>
    </row>
    <row r="748">
      <c r="C748" s="207" t="n"/>
      <c r="D748" s="206" t="n"/>
      <c r="E748" s="206" t="n"/>
      <c r="BK748" s="58" t="n"/>
      <c r="BL748" s="58" t="n"/>
      <c r="BM748" s="58" t="n"/>
      <c r="BN748" s="58" t="n"/>
    </row>
    <row r="749">
      <c r="C749" s="206" t="n"/>
      <c r="D749" s="206" t="n"/>
      <c r="E749" s="206" t="n"/>
      <c r="BK749" s="58" t="n"/>
      <c r="BL749" s="58" t="n"/>
      <c r="BM749" s="58" t="n"/>
      <c r="BN749" s="58" t="n"/>
    </row>
    <row r="750">
      <c r="C750" s="206" t="n"/>
      <c r="D750" s="206" t="n"/>
      <c r="E750" s="206" t="n"/>
      <c r="BK750" s="58" t="n"/>
      <c r="BL750" s="58" t="n"/>
      <c r="BM750" s="58" t="n"/>
      <c r="BN750" s="58" t="n"/>
    </row>
    <row r="751">
      <c r="C751" s="206" t="n"/>
      <c r="D751" s="206" t="n"/>
      <c r="E751" s="206" t="n"/>
      <c r="BK751" s="58" t="n"/>
      <c r="BL751" s="58" t="n"/>
      <c r="BM751" s="58" t="n"/>
      <c r="BN751" s="58" t="n"/>
    </row>
    <row r="752">
      <c r="C752" s="206" t="n"/>
      <c r="D752" s="206" t="n"/>
      <c r="E752" s="206" t="n"/>
      <c r="BK752" s="58" t="n"/>
      <c r="BL752" s="58" t="n"/>
      <c r="BM752" s="58" t="n"/>
      <c r="BN752" s="58" t="n"/>
    </row>
    <row r="753">
      <c r="C753" s="206" t="n"/>
      <c r="D753" s="206" t="n"/>
      <c r="E753" s="206" t="n"/>
      <c r="BK753" s="58" t="n"/>
      <c r="BL753" s="58" t="n"/>
      <c r="BM753" s="58" t="n"/>
      <c r="BN753" s="58" t="n"/>
    </row>
    <row r="754">
      <c r="C754" s="207" t="n"/>
      <c r="D754" s="206" t="n"/>
      <c r="E754" s="206" t="n"/>
      <c r="BK754" s="58" t="n"/>
      <c r="BL754" s="58" t="n"/>
      <c r="BM754" s="58" t="n"/>
      <c r="BN754" s="58" t="n"/>
    </row>
    <row r="755">
      <c r="C755" s="206" t="n"/>
      <c r="D755" s="206" t="n"/>
      <c r="E755" s="206" t="n"/>
      <c r="BK755" s="58" t="n"/>
      <c r="BL755" s="58" t="n"/>
      <c r="BM755" s="58" t="n"/>
      <c r="BN755" s="58" t="n"/>
    </row>
    <row r="756">
      <c r="C756" s="206" t="n"/>
      <c r="D756" s="206" t="n"/>
      <c r="E756" s="206" t="n"/>
      <c r="BK756" s="58" t="n"/>
      <c r="BL756" s="58" t="n"/>
      <c r="BM756" s="58" t="n"/>
      <c r="BN756" s="58" t="n"/>
    </row>
    <row r="757">
      <c r="C757" s="206" t="n"/>
      <c r="D757" s="206" t="n"/>
      <c r="E757" s="206" t="n"/>
      <c r="BK757" s="58" t="n"/>
      <c r="BL757" s="58" t="n"/>
      <c r="BM757" s="58" t="n"/>
      <c r="BN757" s="58" t="n"/>
    </row>
    <row r="758">
      <c r="C758" s="206" t="n"/>
      <c r="D758" s="206" t="n"/>
      <c r="E758" s="206" t="n"/>
      <c r="BK758" s="58" t="n"/>
      <c r="BL758" s="58" t="n"/>
      <c r="BM758" s="58" t="n"/>
      <c r="BN758" s="58" t="n"/>
    </row>
    <row r="759">
      <c r="C759" s="207" t="n"/>
      <c r="D759" s="206" t="n"/>
      <c r="E759" s="206" t="n"/>
      <c r="BK759" s="58" t="n"/>
      <c r="BL759" s="58" t="n"/>
      <c r="BM759" s="58" t="n"/>
      <c r="BN759" s="58" t="n"/>
    </row>
    <row r="760">
      <c r="C760" s="206" t="n"/>
      <c r="D760" s="206" t="n"/>
      <c r="E760" s="206" t="n"/>
      <c r="BK760" s="58" t="n"/>
      <c r="BL760" s="58" t="n"/>
      <c r="BM760" s="58" t="n"/>
      <c r="BN760" s="58" t="n"/>
    </row>
    <row r="761">
      <c r="C761" s="206" t="n"/>
      <c r="D761" s="206" t="n"/>
      <c r="E761" s="206" t="n"/>
      <c r="BK761" s="58" t="n"/>
      <c r="BL761" s="58" t="n"/>
      <c r="BM761" s="58" t="n"/>
      <c r="BN761" s="58" t="n"/>
    </row>
    <row r="762">
      <c r="C762" s="206" t="n"/>
      <c r="D762" s="206" t="n"/>
      <c r="E762" s="206" t="n"/>
      <c r="BK762" s="58" t="n"/>
      <c r="BL762" s="58" t="n"/>
      <c r="BM762" s="58" t="n"/>
      <c r="BN762" s="58" t="n"/>
    </row>
    <row r="763">
      <c r="C763" s="206" t="n"/>
      <c r="D763" s="206" t="n"/>
      <c r="E763" s="206" t="n"/>
      <c r="BK763" s="58" t="n"/>
      <c r="BL763" s="58" t="n"/>
      <c r="BM763" s="58" t="n"/>
      <c r="BN763" s="58" t="n"/>
    </row>
    <row r="764">
      <c r="C764" s="206" t="n"/>
      <c r="D764" s="206" t="n"/>
      <c r="E764" s="206" t="n"/>
      <c r="BK764" s="58" t="n"/>
      <c r="BL764" s="58" t="n"/>
      <c r="BM764" s="58" t="n"/>
      <c r="BN764" s="58" t="n"/>
    </row>
    <row r="765">
      <c r="C765" s="206" t="n"/>
      <c r="D765" s="206" t="n"/>
      <c r="E765" s="206" t="n"/>
      <c r="BK765" s="58" t="n"/>
      <c r="BL765" s="58" t="n"/>
      <c r="BM765" s="58" t="n"/>
      <c r="BN765" s="58" t="n"/>
    </row>
    <row r="766">
      <c r="C766" s="206" t="n"/>
      <c r="D766" s="206" t="n"/>
      <c r="E766" s="206" t="n"/>
      <c r="BK766" s="58" t="n"/>
      <c r="BL766" s="58" t="n"/>
      <c r="BM766" s="58" t="n"/>
      <c r="BN766" s="58" t="n"/>
    </row>
    <row r="767">
      <c r="C767" s="206" t="n"/>
      <c r="D767" s="206" t="n"/>
      <c r="E767" s="206" t="n"/>
      <c r="BK767" s="58" t="n"/>
      <c r="BL767" s="58" t="n"/>
      <c r="BM767" s="58" t="n"/>
      <c r="BN767" s="58" t="n"/>
    </row>
    <row r="768">
      <c r="C768" s="206" t="n"/>
      <c r="D768" s="206" t="n"/>
      <c r="E768" s="206" t="n"/>
      <c r="BK768" s="58" t="n"/>
      <c r="BL768" s="58" t="n"/>
      <c r="BM768" s="58" t="n"/>
      <c r="BN768" s="58" t="n"/>
    </row>
    <row r="769">
      <c r="C769" s="206" t="n"/>
      <c r="D769" s="206" t="n"/>
      <c r="E769" s="206" t="n"/>
      <c r="BK769" s="58" t="n"/>
      <c r="BL769" s="58" t="n"/>
      <c r="BM769" s="58" t="n"/>
      <c r="BN769" s="58" t="n"/>
    </row>
    <row r="770">
      <c r="C770" s="206" t="n"/>
      <c r="D770" s="206" t="n"/>
      <c r="E770" s="206" t="n"/>
      <c r="BK770" s="58" t="n"/>
      <c r="BL770" s="58" t="n"/>
      <c r="BM770" s="58" t="n"/>
      <c r="BN770" s="58" t="n"/>
    </row>
    <row r="771">
      <c r="C771" s="206" t="n"/>
      <c r="D771" s="206" t="n"/>
      <c r="E771" s="206" t="n"/>
      <c r="BK771" s="58" t="n"/>
      <c r="BL771" s="58" t="n"/>
      <c r="BM771" s="58" t="n"/>
      <c r="BN771" s="58" t="n"/>
    </row>
    <row r="772">
      <c r="C772" s="207" t="n"/>
      <c r="D772" s="206" t="n"/>
      <c r="E772" s="206" t="n"/>
      <c r="BK772" s="58" t="n"/>
      <c r="BL772" s="58" t="n"/>
      <c r="BM772" s="58" t="n"/>
      <c r="BN772" s="58" t="n"/>
    </row>
    <row r="773">
      <c r="C773" s="206" t="n"/>
      <c r="D773" s="206" t="n"/>
      <c r="E773" s="206" t="n"/>
      <c r="BK773" s="58" t="n"/>
      <c r="BL773" s="58" t="n"/>
      <c r="BM773" s="58" t="n"/>
      <c r="BN773" s="58" t="n"/>
    </row>
    <row r="774">
      <c r="C774" s="206" t="n"/>
      <c r="D774" s="206" t="n"/>
      <c r="E774" s="206" t="n"/>
      <c r="BK774" s="58" t="n"/>
      <c r="BL774" s="58" t="n"/>
      <c r="BM774" s="58" t="n"/>
      <c r="BN774" s="58" t="n"/>
    </row>
    <row r="775">
      <c r="C775" s="207" t="n"/>
      <c r="D775" s="206" t="n"/>
      <c r="E775" s="206" t="n"/>
      <c r="BK775" s="58" t="n"/>
      <c r="BL775" s="58" t="n"/>
      <c r="BM775" s="58" t="n"/>
      <c r="BN775" s="58" t="n"/>
    </row>
    <row r="776">
      <c r="C776" s="206" t="n"/>
      <c r="D776" s="206" t="n"/>
      <c r="E776" s="206" t="n"/>
      <c r="BK776" s="58" t="n"/>
      <c r="BL776" s="58" t="n"/>
      <c r="BM776" s="58" t="n"/>
      <c r="BN776" s="58" t="n"/>
    </row>
    <row r="777">
      <c r="C777" s="207" t="n"/>
      <c r="D777" s="206" t="n"/>
      <c r="E777" s="206" t="n"/>
      <c r="BK777" s="58" t="n"/>
      <c r="BL777" s="58" t="n"/>
      <c r="BM777" s="58" t="n"/>
      <c r="BN777" s="58" t="n"/>
    </row>
    <row r="778">
      <c r="C778" s="207" t="n"/>
      <c r="D778" s="206" t="n"/>
      <c r="E778" s="206" t="n"/>
      <c r="BK778" s="58" t="n"/>
      <c r="BL778" s="58" t="n"/>
      <c r="BM778" s="58" t="n"/>
      <c r="BN778" s="58" t="n"/>
    </row>
    <row r="779">
      <c r="C779" s="206" t="n"/>
      <c r="D779" s="206" t="n"/>
      <c r="E779" s="206" t="n"/>
      <c r="BK779" s="58" t="n"/>
      <c r="BL779" s="58" t="n"/>
      <c r="BM779" s="58" t="n"/>
      <c r="BN779" s="58" t="n"/>
    </row>
    <row r="780">
      <c r="C780" s="206" t="n"/>
      <c r="D780" s="206" t="n"/>
      <c r="E780" s="206" t="n"/>
      <c r="BK780" s="58" t="n"/>
      <c r="BL780" s="58" t="n"/>
      <c r="BM780" s="58" t="n"/>
      <c r="BN780" s="58" t="n"/>
    </row>
    <row r="781">
      <c r="C781" s="206" t="n"/>
      <c r="D781" s="206" t="n"/>
      <c r="E781" s="206" t="n"/>
      <c r="BK781" s="58" t="n"/>
      <c r="BL781" s="58" t="n"/>
      <c r="BM781" s="58" t="n"/>
      <c r="BN781" s="58" t="n"/>
    </row>
    <row r="782">
      <c r="C782" s="206" t="n"/>
      <c r="D782" s="206" t="n"/>
      <c r="E782" s="206" t="n"/>
      <c r="BK782" s="58" t="n"/>
      <c r="BL782" s="58" t="n"/>
      <c r="BM782" s="58" t="n"/>
      <c r="BN782" s="58" t="n"/>
    </row>
    <row r="783">
      <c r="C783" s="206" t="n"/>
      <c r="D783" s="206" t="n"/>
      <c r="E783" s="206" t="n"/>
      <c r="BK783" s="58" t="n"/>
      <c r="BL783" s="58" t="n"/>
      <c r="BM783" s="58" t="n"/>
      <c r="BN783" s="58" t="n"/>
    </row>
    <row r="784">
      <c r="C784" s="206" t="n"/>
      <c r="D784" s="206" t="n"/>
      <c r="E784" s="206" t="n"/>
      <c r="BK784" s="58" t="n"/>
      <c r="BL784" s="58" t="n"/>
      <c r="BM784" s="58" t="n"/>
      <c r="BN784" s="58" t="n"/>
    </row>
    <row r="785">
      <c r="C785" s="207" t="n"/>
      <c r="D785" s="206" t="n"/>
      <c r="E785" s="206" t="n"/>
      <c r="BK785" s="58" t="n"/>
      <c r="BL785" s="58" t="n"/>
      <c r="BM785" s="58" t="n"/>
      <c r="BN785" s="58" t="n"/>
    </row>
    <row r="786">
      <c r="C786" s="206" t="n"/>
      <c r="D786" s="206" t="n"/>
      <c r="E786" s="206" t="n"/>
      <c r="BK786" s="58" t="n"/>
      <c r="BL786" s="58" t="n"/>
      <c r="BM786" s="58" t="n"/>
      <c r="BN786" s="58" t="n"/>
    </row>
    <row r="787">
      <c r="C787" s="206" t="n"/>
      <c r="D787" s="206" t="n"/>
      <c r="E787" s="206" t="n"/>
      <c r="BK787" s="58" t="n"/>
      <c r="BL787" s="58" t="n"/>
      <c r="BM787" s="58" t="n"/>
      <c r="BN787" s="58" t="n"/>
    </row>
    <row r="788">
      <c r="C788" s="207" t="n"/>
      <c r="D788" s="206" t="n"/>
      <c r="E788" s="206" t="n"/>
      <c r="BK788" s="58" t="n"/>
      <c r="BL788" s="58" t="n"/>
      <c r="BM788" s="58" t="n"/>
      <c r="BN788" s="58" t="n"/>
    </row>
    <row r="789">
      <c r="C789" s="206" t="n"/>
      <c r="D789" s="206" t="n"/>
      <c r="E789" s="206" t="n"/>
      <c r="BK789" s="58" t="n"/>
      <c r="BL789" s="58" t="n"/>
      <c r="BM789" s="58" t="n"/>
      <c r="BN789" s="58" t="n"/>
    </row>
    <row r="790">
      <c r="C790" s="206" t="n"/>
      <c r="D790" s="206" t="n"/>
      <c r="E790" s="206" t="n"/>
      <c r="BK790" s="58" t="n"/>
      <c r="BL790" s="58" t="n"/>
      <c r="BM790" s="58" t="n"/>
      <c r="BN790" s="58" t="n"/>
    </row>
    <row r="791">
      <c r="C791" s="206" t="n"/>
      <c r="D791" s="206" t="n"/>
      <c r="E791" s="206" t="n"/>
      <c r="BK791" s="58" t="n"/>
      <c r="BL791" s="58" t="n"/>
      <c r="BM791" s="58" t="n"/>
      <c r="BN791" s="58" t="n"/>
    </row>
    <row r="792">
      <c r="C792" s="206" t="n"/>
      <c r="D792" s="206" t="n"/>
      <c r="E792" s="206" t="n"/>
      <c r="BK792" s="58" t="n"/>
      <c r="BL792" s="58" t="n"/>
      <c r="BM792" s="58" t="n"/>
      <c r="BN792" s="58" t="n"/>
    </row>
    <row r="793">
      <c r="C793" s="206" t="n"/>
      <c r="D793" s="206" t="n"/>
      <c r="E793" s="206" t="n"/>
      <c r="BK793" s="58" t="n"/>
      <c r="BL793" s="58" t="n"/>
      <c r="BM793" s="58" t="n"/>
      <c r="BN793" s="58" t="n"/>
    </row>
    <row r="794">
      <c r="C794" s="206" t="n"/>
      <c r="D794" s="206" t="n"/>
      <c r="E794" s="206" t="n"/>
      <c r="BK794" s="58" t="n"/>
      <c r="BL794" s="58" t="n"/>
      <c r="BM794" s="58" t="n"/>
      <c r="BN794" s="58" t="n"/>
    </row>
    <row r="795">
      <c r="C795" s="206" t="n"/>
      <c r="D795" s="206" t="n"/>
      <c r="E795" s="206" t="n"/>
      <c r="BK795" s="58" t="n"/>
      <c r="BL795" s="58" t="n"/>
      <c r="BM795" s="58" t="n"/>
      <c r="BN795" s="58" t="n"/>
    </row>
    <row r="796">
      <c r="C796" s="206" t="n"/>
      <c r="D796" s="206" t="n"/>
      <c r="E796" s="206" t="n"/>
      <c r="BK796" s="58" t="n"/>
      <c r="BL796" s="58" t="n"/>
      <c r="BM796" s="58" t="n"/>
      <c r="BN796" s="58" t="n"/>
    </row>
    <row r="797">
      <c r="C797" s="206" t="n"/>
      <c r="D797" s="206" t="n"/>
      <c r="E797" s="206" t="n"/>
      <c r="BK797" s="58" t="n"/>
      <c r="BL797" s="58" t="n"/>
      <c r="BM797" s="58" t="n"/>
      <c r="BN797" s="58" t="n"/>
    </row>
    <row r="798">
      <c r="C798" s="206" t="n"/>
      <c r="D798" s="206" t="n"/>
      <c r="E798" s="206" t="n"/>
      <c r="BK798" s="58" t="n"/>
      <c r="BL798" s="58" t="n"/>
      <c r="BM798" s="58" t="n"/>
      <c r="BN798" s="58" t="n"/>
    </row>
    <row r="799">
      <c r="C799" s="206" t="n"/>
      <c r="D799" s="206" t="n"/>
      <c r="E799" s="206" t="n"/>
      <c r="BK799" s="58" t="n"/>
      <c r="BL799" s="58" t="n"/>
      <c r="BM799" s="58" t="n"/>
      <c r="BN799" s="58" t="n"/>
    </row>
    <row r="800">
      <c r="C800" s="206" t="n"/>
      <c r="D800" s="206" t="n"/>
      <c r="E800" s="206" t="n"/>
      <c r="BK800" s="58" t="n"/>
      <c r="BL800" s="58" t="n"/>
      <c r="BM800" s="58" t="n"/>
      <c r="BN800" s="58" t="n"/>
    </row>
    <row r="801">
      <c r="C801" s="206" t="n"/>
      <c r="D801" s="206" t="n"/>
      <c r="E801" s="206" t="n"/>
      <c r="BK801" s="58" t="n"/>
      <c r="BL801" s="58" t="n"/>
      <c r="BM801" s="58" t="n"/>
      <c r="BN801" s="58" t="n"/>
    </row>
    <row r="802">
      <c r="C802" s="206" t="n"/>
      <c r="D802" s="206" t="n"/>
      <c r="E802" s="206" t="n"/>
      <c r="BK802" s="58" t="n"/>
      <c r="BL802" s="58" t="n"/>
      <c r="BM802" s="58" t="n"/>
      <c r="BN802" s="58" t="n"/>
    </row>
    <row r="803">
      <c r="C803" s="206" t="n"/>
      <c r="D803" s="206" t="n"/>
      <c r="E803" s="206" t="n"/>
      <c r="BK803" s="58" t="n"/>
      <c r="BL803" s="58" t="n"/>
      <c r="BM803" s="58" t="n"/>
      <c r="BN803" s="58" t="n"/>
    </row>
    <row r="804">
      <c r="C804" s="206" t="n"/>
      <c r="D804" s="206" t="n"/>
      <c r="E804" s="206" t="n"/>
      <c r="BK804" s="58" t="n"/>
      <c r="BL804" s="58" t="n"/>
      <c r="BM804" s="58" t="n"/>
      <c r="BN804" s="58" t="n"/>
    </row>
    <row r="805">
      <c r="C805" s="206" t="n"/>
      <c r="D805" s="206" t="n"/>
      <c r="E805" s="206" t="n"/>
      <c r="BK805" s="58" t="n"/>
      <c r="BL805" s="58" t="n"/>
      <c r="BM805" s="58" t="n"/>
      <c r="BN805" s="58" t="n"/>
    </row>
    <row r="806">
      <c r="C806" s="207" t="n"/>
      <c r="D806" s="206" t="n"/>
      <c r="E806" s="206" t="n"/>
      <c r="BK806" s="58" t="n"/>
      <c r="BL806" s="58" t="n"/>
      <c r="BM806" s="58" t="n"/>
      <c r="BN806" s="58" t="n"/>
    </row>
    <row r="807">
      <c r="C807" s="206" t="n"/>
      <c r="D807" s="206" t="n"/>
      <c r="E807" s="206" t="n"/>
      <c r="BK807" s="58" t="n"/>
      <c r="BL807" s="58" t="n"/>
      <c r="BM807" s="58" t="n"/>
      <c r="BN807" s="58" t="n"/>
    </row>
    <row r="808">
      <c r="C808" s="206" t="n"/>
      <c r="D808" s="206" t="n"/>
      <c r="E808" s="206" t="n"/>
      <c r="BK808" s="58" t="n"/>
      <c r="BL808" s="58" t="n"/>
      <c r="BM808" s="58" t="n"/>
      <c r="BN808" s="58" t="n"/>
    </row>
    <row r="809">
      <c r="C809" s="206" t="n"/>
      <c r="D809" s="206" t="n"/>
      <c r="E809" s="206" t="n"/>
      <c r="BK809" s="58" t="n"/>
      <c r="BL809" s="58" t="n"/>
      <c r="BM809" s="58" t="n"/>
      <c r="BN809" s="58" t="n"/>
    </row>
    <row r="810">
      <c r="C810" s="206" t="n"/>
      <c r="D810" s="206" t="n"/>
      <c r="E810" s="206" t="n"/>
      <c r="BK810" s="58" t="n"/>
      <c r="BL810" s="58" t="n"/>
      <c r="BM810" s="58" t="n"/>
      <c r="BN810" s="58" t="n"/>
    </row>
    <row r="811">
      <c r="C811" s="206" t="n"/>
      <c r="D811" s="206" t="n"/>
      <c r="E811" s="206" t="n"/>
      <c r="BK811" s="58" t="n"/>
      <c r="BL811" s="58" t="n"/>
      <c r="BM811" s="58" t="n"/>
      <c r="BN811" s="58" t="n"/>
    </row>
    <row r="812">
      <c r="C812" s="206" t="n"/>
      <c r="D812" s="206" t="n"/>
      <c r="E812" s="206" t="n"/>
      <c r="BK812" s="58" t="n"/>
      <c r="BL812" s="58" t="n"/>
      <c r="BM812" s="58" t="n"/>
      <c r="BN812" s="58" t="n"/>
    </row>
    <row r="813">
      <c r="C813" s="206" t="n"/>
      <c r="D813" s="206" t="n"/>
      <c r="E813" s="206" t="n"/>
      <c r="BK813" s="58" t="n"/>
      <c r="BL813" s="58" t="n"/>
      <c r="BM813" s="58" t="n"/>
      <c r="BN813" s="58" t="n"/>
    </row>
    <row r="814">
      <c r="C814" s="206" t="n"/>
      <c r="D814" s="206" t="n"/>
      <c r="E814" s="206" t="n"/>
      <c r="BK814" s="58" t="n"/>
      <c r="BL814" s="58" t="n"/>
      <c r="BM814" s="58" t="n"/>
      <c r="BN814" s="58" t="n"/>
    </row>
    <row r="815">
      <c r="C815" s="206" t="n"/>
      <c r="D815" s="206" t="n"/>
      <c r="E815" s="206" t="n"/>
      <c r="BK815" s="58" t="n"/>
      <c r="BL815" s="58" t="n"/>
      <c r="BM815" s="58" t="n"/>
      <c r="BN815" s="58" t="n"/>
    </row>
    <row r="816">
      <c r="C816" s="206" t="n"/>
      <c r="D816" s="206" t="n"/>
      <c r="E816" s="206" t="n"/>
      <c r="BK816" s="58" t="n"/>
      <c r="BL816" s="58" t="n"/>
      <c r="BM816" s="58" t="n"/>
      <c r="BN816" s="58" t="n"/>
    </row>
    <row r="817">
      <c r="C817" s="206" t="n"/>
      <c r="D817" s="206" t="n"/>
      <c r="E817" s="206" t="n"/>
      <c r="BK817" s="58" t="n"/>
      <c r="BL817" s="58" t="n"/>
      <c r="BM817" s="58" t="n"/>
      <c r="BN817" s="58" t="n"/>
    </row>
    <row r="818">
      <c r="C818" s="206" t="n"/>
      <c r="D818" s="206" t="n"/>
      <c r="E818" s="206" t="n"/>
      <c r="BK818" s="58" t="n"/>
      <c r="BL818" s="58" t="n"/>
      <c r="BM818" s="58" t="n"/>
      <c r="BN818" s="58" t="n"/>
    </row>
    <row r="819">
      <c r="C819" s="206" t="n"/>
      <c r="D819" s="206" t="n"/>
      <c r="E819" s="206" t="n"/>
      <c r="BK819" s="58" t="n"/>
      <c r="BL819" s="58" t="n"/>
      <c r="BM819" s="58" t="n"/>
      <c r="BN819" s="58" t="n"/>
    </row>
    <row r="820">
      <c r="C820" s="207" t="n"/>
      <c r="D820" s="206" t="n"/>
      <c r="E820" s="206" t="n"/>
      <c r="BK820" s="58" t="n"/>
      <c r="BL820" s="58" t="n"/>
      <c r="BM820" s="58" t="n"/>
      <c r="BN820" s="58" t="n"/>
    </row>
    <row r="821">
      <c r="C821" s="206" t="n"/>
      <c r="D821" s="206" t="n"/>
      <c r="E821" s="206" t="n"/>
      <c r="BK821" s="58" t="n"/>
      <c r="BL821" s="58" t="n"/>
      <c r="BM821" s="58" t="n"/>
      <c r="BN821" s="58" t="n"/>
    </row>
    <row r="822">
      <c r="C822" s="206" t="n"/>
      <c r="D822" s="206" t="n"/>
      <c r="E822" s="206" t="n"/>
      <c r="BK822" s="58" t="n"/>
      <c r="BL822" s="58" t="n"/>
      <c r="BM822" s="58" t="n"/>
      <c r="BN822" s="58" t="n"/>
    </row>
    <row r="823">
      <c r="C823" s="206" t="n"/>
      <c r="D823" s="206" t="n"/>
      <c r="E823" s="206" t="n"/>
      <c r="BK823" s="58" t="n"/>
      <c r="BL823" s="58" t="n"/>
      <c r="BM823" s="58" t="n"/>
      <c r="BN823" s="58" t="n"/>
    </row>
    <row r="824">
      <c r="C824" s="206" t="n"/>
      <c r="D824" s="206" t="n"/>
      <c r="E824" s="206" t="n"/>
      <c r="BK824" s="58" t="n"/>
      <c r="BL824" s="58" t="n"/>
      <c r="BM824" s="58" t="n"/>
      <c r="BN824" s="58" t="n"/>
    </row>
    <row r="825">
      <c r="C825" s="207" t="n"/>
      <c r="D825" s="206" t="n"/>
      <c r="E825" s="206" t="n"/>
      <c r="BK825" s="58" t="n"/>
      <c r="BL825" s="58" t="n"/>
      <c r="BM825" s="58" t="n"/>
      <c r="BN825" s="58" t="n"/>
    </row>
    <row r="826">
      <c r="C826" s="207" t="n"/>
      <c r="D826" s="206" t="n"/>
      <c r="E826" s="206" t="n"/>
      <c r="BK826" s="58" t="n"/>
      <c r="BL826" s="58" t="n"/>
      <c r="BM826" s="58" t="n"/>
      <c r="BN826" s="58" t="n"/>
    </row>
    <row r="827">
      <c r="C827" s="206" t="n"/>
      <c r="D827" s="206" t="n"/>
      <c r="E827" s="206" t="n"/>
      <c r="BK827" s="58" t="n"/>
      <c r="BL827" s="58" t="n"/>
      <c r="BM827" s="58" t="n"/>
      <c r="BN827" s="58" t="n"/>
    </row>
    <row r="828">
      <c r="C828" s="206" t="n"/>
      <c r="D828" s="206" t="n"/>
      <c r="E828" s="206" t="n"/>
      <c r="BK828" s="58" t="n"/>
      <c r="BL828" s="58" t="n"/>
      <c r="BM828" s="58" t="n"/>
      <c r="BN828" s="58" t="n"/>
    </row>
    <row r="829">
      <c r="C829" s="206" t="n"/>
      <c r="D829" s="206" t="n"/>
      <c r="E829" s="206" t="n"/>
      <c r="BK829" s="58" t="n"/>
      <c r="BL829" s="58" t="n"/>
      <c r="BM829" s="58" t="n"/>
      <c r="BN829" s="58" t="n"/>
    </row>
    <row r="830">
      <c r="C830" s="206" t="n"/>
      <c r="D830" s="206" t="n"/>
      <c r="E830" s="206" t="n"/>
      <c r="BK830" s="58" t="n"/>
      <c r="BL830" s="58" t="n"/>
      <c r="BM830" s="58" t="n"/>
      <c r="BN830" s="58" t="n"/>
    </row>
    <row r="831">
      <c r="C831" s="207" t="n"/>
      <c r="D831" s="206" t="n"/>
      <c r="E831" s="206" t="n"/>
      <c r="BK831" s="58" t="n"/>
      <c r="BL831" s="58" t="n"/>
      <c r="BM831" s="58" t="n"/>
      <c r="BN831" s="58" t="n"/>
    </row>
    <row r="832">
      <c r="C832" s="206" t="n"/>
      <c r="D832" s="206" t="n"/>
      <c r="E832" s="206" t="n"/>
      <c r="BK832" s="58" t="n"/>
      <c r="BL832" s="58" t="n"/>
      <c r="BM832" s="58" t="n"/>
      <c r="BN832" s="58" t="n"/>
    </row>
    <row r="833">
      <c r="C833" s="206" t="n"/>
      <c r="D833" s="206" t="n"/>
      <c r="E833" s="206" t="n"/>
      <c r="BK833" s="58" t="n"/>
      <c r="BL833" s="58" t="n"/>
      <c r="BM833" s="58" t="n"/>
      <c r="BN833" s="58" t="n"/>
    </row>
    <row r="834">
      <c r="C834" s="206" t="n"/>
      <c r="D834" s="206" t="n"/>
      <c r="E834" s="206" t="n"/>
      <c r="BK834" s="58" t="n"/>
      <c r="BL834" s="58" t="n"/>
      <c r="BM834" s="58" t="n"/>
      <c r="BN834" s="58" t="n"/>
    </row>
    <row r="835">
      <c r="C835" s="207" t="n"/>
      <c r="D835" s="206" t="n"/>
      <c r="E835" s="206" t="n"/>
      <c r="BK835" s="58" t="n"/>
      <c r="BL835" s="58" t="n"/>
      <c r="BM835" s="58" t="n"/>
      <c r="BN835" s="58" t="n"/>
    </row>
    <row r="836">
      <c r="C836" s="206" t="n"/>
      <c r="D836" s="206" t="n"/>
      <c r="E836" s="206" t="n"/>
      <c r="BK836" s="58" t="n"/>
      <c r="BL836" s="58" t="n"/>
      <c r="BM836" s="58" t="n"/>
      <c r="BN836" s="58" t="n"/>
    </row>
    <row r="837">
      <c r="C837" s="206" t="n"/>
      <c r="D837" s="206" t="n"/>
      <c r="E837" s="206" t="n"/>
      <c r="BK837" s="58" t="n"/>
      <c r="BL837" s="58" t="n"/>
      <c r="BM837" s="58" t="n"/>
      <c r="BN837" s="58" t="n"/>
    </row>
    <row r="838">
      <c r="C838" s="206" t="n"/>
      <c r="D838" s="206" t="n"/>
      <c r="E838" s="206" t="n"/>
      <c r="BK838" s="58" t="n"/>
      <c r="BL838" s="58" t="n"/>
      <c r="BM838" s="58" t="n"/>
      <c r="BN838" s="58" t="n"/>
    </row>
    <row r="839">
      <c r="C839" s="206" t="n"/>
      <c r="D839" s="206" t="n"/>
      <c r="E839" s="206" t="n"/>
      <c r="BK839" s="58" t="n"/>
      <c r="BL839" s="58" t="n"/>
      <c r="BM839" s="58" t="n"/>
      <c r="BN839" s="58" t="n"/>
    </row>
    <row r="840">
      <c r="C840" s="206" t="n"/>
      <c r="D840" s="206" t="n"/>
      <c r="E840" s="206" t="n"/>
      <c r="BK840" s="58" t="n"/>
      <c r="BL840" s="58" t="n"/>
      <c r="BM840" s="58" t="n"/>
      <c r="BN840" s="58" t="n"/>
    </row>
    <row r="841">
      <c r="C841" s="206" t="n"/>
      <c r="D841" s="206" t="n"/>
      <c r="E841" s="206" t="n"/>
      <c r="BK841" s="58" t="n"/>
      <c r="BL841" s="58" t="n"/>
      <c r="BM841" s="58" t="n"/>
      <c r="BN841" s="58" t="n"/>
    </row>
    <row r="842">
      <c r="C842" s="206" t="n"/>
      <c r="D842" s="206" t="n"/>
      <c r="E842" s="206" t="n"/>
      <c r="BK842" s="58" t="n"/>
      <c r="BL842" s="58" t="n"/>
      <c r="BM842" s="58" t="n"/>
      <c r="BN842" s="58" t="n"/>
    </row>
    <row r="843">
      <c r="C843" s="207" t="n"/>
      <c r="D843" s="206" t="n"/>
      <c r="E843" s="206" t="n"/>
      <c r="BK843" s="58" t="n"/>
      <c r="BL843" s="58" t="n"/>
      <c r="BM843" s="58" t="n"/>
      <c r="BN843" s="58" t="n"/>
    </row>
    <row r="844">
      <c r="C844" s="206" t="n"/>
      <c r="D844" s="206" t="n"/>
      <c r="E844" s="206" t="n"/>
      <c r="BK844" s="58" t="n"/>
      <c r="BL844" s="58" t="n"/>
      <c r="BM844" s="58" t="n"/>
      <c r="BN844" s="58" t="n"/>
    </row>
    <row r="845">
      <c r="C845" s="206" t="n"/>
      <c r="D845" s="206" t="n"/>
      <c r="E845" s="206" t="n"/>
      <c r="BK845" s="58" t="n"/>
      <c r="BL845" s="58" t="n"/>
      <c r="BM845" s="58" t="n"/>
      <c r="BN845" s="58" t="n"/>
    </row>
    <row r="846">
      <c r="C846" s="206" t="n"/>
      <c r="D846" s="206" t="n"/>
      <c r="E846" s="206" t="n"/>
      <c r="BK846" s="58" t="n"/>
      <c r="BL846" s="58" t="n"/>
      <c r="BM846" s="58" t="n"/>
      <c r="BN846" s="58" t="n"/>
    </row>
    <row r="847">
      <c r="C847" s="206" t="n"/>
      <c r="D847" s="206" t="n"/>
      <c r="E847" s="206" t="n"/>
      <c r="BK847" s="58" t="n"/>
      <c r="BL847" s="58" t="n"/>
      <c r="BM847" s="58" t="n"/>
      <c r="BN847" s="58" t="n"/>
    </row>
    <row r="848">
      <c r="C848" s="206" t="n"/>
      <c r="D848" s="206" t="n"/>
      <c r="E848" s="206" t="n"/>
      <c r="BK848" s="58" t="n"/>
      <c r="BL848" s="58" t="n"/>
      <c r="BM848" s="58" t="n"/>
      <c r="BN848" s="58" t="n"/>
    </row>
    <row r="849">
      <c r="C849" s="206" t="n"/>
      <c r="D849" s="206" t="n"/>
      <c r="E849" s="206" t="n"/>
      <c r="BK849" s="58" t="n"/>
      <c r="BL849" s="58" t="n"/>
      <c r="BM849" s="58" t="n"/>
      <c r="BN849" s="58" t="n"/>
    </row>
    <row r="850">
      <c r="C850" s="207" t="n"/>
      <c r="D850" s="206" t="n"/>
      <c r="E850" s="206" t="n"/>
      <c r="BK850" s="58" t="n"/>
      <c r="BL850" s="58" t="n"/>
      <c r="BM850" s="58" t="n"/>
      <c r="BN850" s="58" t="n"/>
    </row>
    <row r="851">
      <c r="C851" s="207" t="n"/>
      <c r="D851" s="206" t="n"/>
      <c r="E851" s="206" t="n"/>
      <c r="BK851" s="58" t="n"/>
      <c r="BL851" s="58" t="n"/>
      <c r="BM851" s="58" t="n"/>
      <c r="BN851" s="58" t="n"/>
    </row>
    <row r="852">
      <c r="C852" s="207" t="n"/>
      <c r="D852" s="206" t="n"/>
      <c r="E852" s="206" t="n"/>
      <c r="BK852" s="58" t="n"/>
      <c r="BL852" s="58" t="n"/>
      <c r="BM852" s="58" t="n"/>
      <c r="BN852" s="58" t="n"/>
    </row>
    <row r="853">
      <c r="C853" s="207" t="n"/>
      <c r="D853" s="206" t="n"/>
      <c r="E853" s="206" t="n"/>
      <c r="BK853" s="58" t="n"/>
      <c r="BL853" s="58" t="n"/>
      <c r="BM853" s="58" t="n"/>
      <c r="BN853" s="58" t="n"/>
    </row>
    <row r="854">
      <c r="C854" s="206" t="n"/>
      <c r="D854" s="206" t="n"/>
      <c r="E854" s="206" t="n"/>
      <c r="BK854" s="58" t="n"/>
      <c r="BL854" s="58" t="n"/>
      <c r="BM854" s="58" t="n"/>
      <c r="BN854" s="58" t="n"/>
    </row>
    <row r="855">
      <c r="C855" s="206" t="n"/>
      <c r="D855" s="206" t="n"/>
      <c r="E855" s="206" t="n"/>
      <c r="BK855" s="58" t="n"/>
      <c r="BL855" s="58" t="n"/>
      <c r="BM855" s="58" t="n"/>
      <c r="BN855" s="58" t="n"/>
    </row>
    <row r="856">
      <c r="C856" s="206" t="n"/>
      <c r="D856" s="206" t="n"/>
      <c r="E856" s="206" t="n"/>
      <c r="BK856" s="58" t="n"/>
      <c r="BL856" s="58" t="n"/>
      <c r="BM856" s="58" t="n"/>
      <c r="BN856" s="58" t="n"/>
    </row>
    <row r="857">
      <c r="C857" s="206" t="n"/>
      <c r="D857" s="206" t="n"/>
      <c r="E857" s="206" t="n"/>
      <c r="BK857" s="58" t="n"/>
      <c r="BL857" s="58" t="n"/>
      <c r="BM857" s="58" t="n"/>
      <c r="BN857" s="58" t="n"/>
    </row>
    <row r="858">
      <c r="C858" s="206" t="n"/>
      <c r="D858" s="206" t="n"/>
      <c r="E858" s="206" t="n"/>
      <c r="BK858" s="58" t="n"/>
      <c r="BL858" s="58" t="n"/>
      <c r="BM858" s="58" t="n"/>
      <c r="BN858" s="58" t="n"/>
    </row>
    <row r="859">
      <c r="C859" s="206" t="n"/>
      <c r="D859" s="206" t="n"/>
      <c r="E859" s="206" t="n"/>
      <c r="BK859" s="58" t="n"/>
      <c r="BL859" s="58" t="n"/>
      <c r="BM859" s="58" t="n"/>
      <c r="BN859" s="58" t="n"/>
    </row>
    <row r="860">
      <c r="C860" s="206" t="n"/>
      <c r="D860" s="206" t="n"/>
      <c r="E860" s="206" t="n"/>
      <c r="BK860" s="58" t="n"/>
      <c r="BL860" s="58" t="n"/>
      <c r="BM860" s="58" t="n"/>
      <c r="BN860" s="58" t="n"/>
    </row>
    <row r="861">
      <c r="C861" s="206" t="n"/>
      <c r="D861" s="206" t="n"/>
      <c r="E861" s="206" t="n"/>
      <c r="BK861" s="58" t="n"/>
      <c r="BL861" s="58" t="n"/>
      <c r="BM861" s="58" t="n"/>
      <c r="BN861" s="58" t="n"/>
    </row>
    <row r="862">
      <c r="C862" s="206" t="n"/>
      <c r="D862" s="206" t="n"/>
      <c r="E862" s="206" t="n"/>
      <c r="BK862" s="58" t="n"/>
      <c r="BL862" s="58" t="n"/>
      <c r="BM862" s="58" t="n"/>
      <c r="BN862" s="58" t="n"/>
    </row>
    <row r="863">
      <c r="C863" s="206" t="n"/>
      <c r="D863" s="206" t="n"/>
      <c r="E863" s="206" t="n"/>
      <c r="BK863" s="58" t="n"/>
      <c r="BL863" s="58" t="n"/>
      <c r="BM863" s="58" t="n"/>
      <c r="BN863" s="58" t="n"/>
    </row>
    <row r="864">
      <c r="C864" s="206" t="n"/>
      <c r="D864" s="206" t="n"/>
      <c r="E864" s="206" t="n"/>
      <c r="BK864" s="58" t="n"/>
      <c r="BL864" s="58" t="n"/>
      <c r="BM864" s="58" t="n"/>
      <c r="BN864" s="58" t="n"/>
    </row>
    <row r="865">
      <c r="C865" s="207" t="n"/>
      <c r="D865" s="206" t="n"/>
      <c r="E865" s="206" t="n"/>
      <c r="BK865" s="58" t="n"/>
      <c r="BL865" s="58" t="n"/>
      <c r="BM865" s="58" t="n"/>
      <c r="BN865" s="58" t="n"/>
    </row>
    <row r="866">
      <c r="C866" s="207" t="n"/>
      <c r="D866" s="206" t="n"/>
      <c r="E866" s="206" t="n"/>
      <c r="BK866" s="58" t="n"/>
      <c r="BL866" s="58" t="n"/>
      <c r="BM866" s="58" t="n"/>
      <c r="BN866" s="58" t="n"/>
    </row>
    <row r="867">
      <c r="C867" s="207" t="n"/>
      <c r="D867" s="206" t="n"/>
      <c r="E867" s="206" t="n"/>
      <c r="BK867" s="58" t="n"/>
      <c r="BL867" s="58" t="n"/>
      <c r="BM867" s="58" t="n"/>
      <c r="BN867" s="58" t="n"/>
    </row>
    <row r="868">
      <c r="C868" s="206" t="n"/>
      <c r="D868" s="206" t="n"/>
      <c r="E868" s="206" t="n"/>
      <c r="BK868" s="58" t="n"/>
      <c r="BL868" s="58" t="n"/>
      <c r="BM868" s="58" t="n"/>
      <c r="BN868" s="58" t="n"/>
    </row>
    <row r="869">
      <c r="C869" s="207" t="n"/>
      <c r="D869" s="206" t="n"/>
      <c r="E869" s="206" t="n"/>
      <c r="BK869" s="58" t="n"/>
      <c r="BL869" s="58" t="n"/>
      <c r="BM869" s="58" t="n"/>
      <c r="BN869" s="58" t="n"/>
    </row>
    <row r="870">
      <c r="C870" s="207" t="n"/>
      <c r="D870" s="206" t="n"/>
      <c r="E870" s="206" t="n"/>
      <c r="BK870" s="58" t="n"/>
      <c r="BL870" s="58" t="n"/>
      <c r="BM870" s="58" t="n"/>
      <c r="BN870" s="58" t="n"/>
    </row>
    <row r="871">
      <c r="C871" s="206" t="n"/>
      <c r="D871" s="206" t="n"/>
      <c r="E871" s="206" t="n"/>
      <c r="BK871" s="58" t="n"/>
      <c r="BL871" s="58" t="n"/>
      <c r="BM871" s="58" t="n"/>
      <c r="BN871" s="58" t="n"/>
    </row>
    <row r="872">
      <c r="C872" s="206" t="n"/>
      <c r="D872" s="206" t="n"/>
      <c r="E872" s="206" t="n"/>
      <c r="BK872" s="58" t="n"/>
      <c r="BL872" s="58" t="n"/>
      <c r="BM872" s="58" t="n"/>
      <c r="BN872" s="58" t="n"/>
    </row>
    <row r="873">
      <c r="C873" s="206" t="n"/>
      <c r="D873" s="206" t="n"/>
      <c r="E873" s="206" t="n"/>
      <c r="BK873" s="58" t="n"/>
      <c r="BL873" s="58" t="n"/>
      <c r="BM873" s="58" t="n"/>
      <c r="BN873" s="58" t="n"/>
    </row>
    <row r="874">
      <c r="C874" s="206" t="n"/>
      <c r="D874" s="206" t="n"/>
      <c r="E874" s="206" t="n"/>
      <c r="BK874" s="58" t="n"/>
      <c r="BL874" s="58" t="n"/>
      <c r="BM874" s="58" t="n"/>
      <c r="BN874" s="58" t="n"/>
    </row>
    <row r="875">
      <c r="C875" s="206" t="n"/>
      <c r="D875" s="206" t="n"/>
      <c r="E875" s="206" t="n"/>
      <c r="BK875" s="58" t="n"/>
      <c r="BL875" s="58" t="n"/>
      <c r="BM875" s="58" t="n"/>
      <c r="BN875" s="58" t="n"/>
    </row>
    <row r="876">
      <c r="C876" s="206" t="n"/>
      <c r="D876" s="206" t="n"/>
      <c r="E876" s="206" t="n"/>
      <c r="BK876" s="58" t="n"/>
      <c r="BL876" s="58" t="n"/>
      <c r="BM876" s="58" t="n"/>
      <c r="BN876" s="58" t="n"/>
    </row>
    <row r="877">
      <c r="C877" s="207" t="n"/>
      <c r="D877" s="206" t="n"/>
      <c r="E877" s="206" t="n"/>
      <c r="BK877" s="58" t="n"/>
      <c r="BL877" s="58" t="n"/>
      <c r="BM877" s="58" t="n"/>
      <c r="BN877" s="58" t="n"/>
    </row>
    <row r="878">
      <c r="C878" s="206" t="n"/>
      <c r="D878" s="206" t="n"/>
      <c r="E878" s="206" t="n"/>
      <c r="BK878" s="58" t="n"/>
      <c r="BL878" s="58" t="n"/>
      <c r="BM878" s="58" t="n"/>
      <c r="BN878" s="58" t="n"/>
    </row>
    <row r="879">
      <c r="C879" s="206" t="n"/>
      <c r="D879" s="206" t="n"/>
      <c r="E879" s="206" t="n"/>
      <c r="BK879" s="58" t="n"/>
      <c r="BL879" s="58" t="n"/>
      <c r="BM879" s="58" t="n"/>
      <c r="BN879" s="58" t="n"/>
    </row>
    <row r="880">
      <c r="C880" s="207" t="n"/>
      <c r="D880" s="206" t="n"/>
      <c r="E880" s="206" t="n"/>
      <c r="BK880" s="58" t="n"/>
      <c r="BL880" s="58" t="n"/>
      <c r="BM880" s="58" t="n"/>
      <c r="BN880" s="58" t="n"/>
    </row>
    <row r="881">
      <c r="C881" s="206" t="n"/>
      <c r="D881" s="206" t="n"/>
      <c r="E881" s="206" t="n"/>
      <c r="BK881" s="58" t="n"/>
      <c r="BL881" s="58" t="n"/>
      <c r="BM881" s="58" t="n"/>
      <c r="BN881" s="58" t="n"/>
    </row>
    <row r="882">
      <c r="C882" s="206" t="n"/>
      <c r="D882" s="206" t="n"/>
      <c r="E882" s="206" t="n"/>
      <c r="BK882" s="58" t="n"/>
      <c r="BL882" s="58" t="n"/>
      <c r="BM882" s="58" t="n"/>
      <c r="BN882" s="58" t="n"/>
    </row>
    <row r="883">
      <c r="C883" s="206" t="n"/>
      <c r="D883" s="206" t="n"/>
      <c r="E883" s="206" t="n"/>
      <c r="BK883" s="58" t="n"/>
      <c r="BL883" s="58" t="n"/>
      <c r="BM883" s="58" t="n"/>
      <c r="BN883" s="58" t="n"/>
    </row>
    <row r="884">
      <c r="C884" s="206" t="n"/>
      <c r="D884" s="206" t="n"/>
      <c r="E884" s="206" t="n"/>
      <c r="BK884" s="58" t="n"/>
      <c r="BL884" s="58" t="n"/>
      <c r="BM884" s="58" t="n"/>
      <c r="BN884" s="58" t="n"/>
    </row>
    <row r="885">
      <c r="C885" s="206" t="n"/>
      <c r="D885" s="206" t="n"/>
      <c r="E885" s="206" t="n"/>
      <c r="BK885" s="58" t="n"/>
      <c r="BL885" s="58" t="n"/>
      <c r="BM885" s="58" t="n"/>
      <c r="BN885" s="58" t="n"/>
    </row>
    <row r="886">
      <c r="C886" s="206" t="n"/>
      <c r="D886" s="206" t="n"/>
      <c r="E886" s="206" t="n"/>
      <c r="BK886" s="58" t="n"/>
      <c r="BL886" s="58" t="n"/>
      <c r="BM886" s="58" t="n"/>
      <c r="BN886" s="58" t="n"/>
    </row>
    <row r="887">
      <c r="C887" s="207" t="n"/>
      <c r="D887" s="206" t="n"/>
      <c r="E887" s="206" t="n"/>
      <c r="BK887" s="58" t="n"/>
      <c r="BL887" s="58" t="n"/>
      <c r="BM887" s="58" t="n"/>
      <c r="BN887" s="58" t="n"/>
    </row>
    <row r="888">
      <c r="C888" s="206" t="n"/>
      <c r="D888" s="206" t="n"/>
      <c r="E888" s="206" t="n"/>
      <c r="BK888" s="58" t="n"/>
      <c r="BL888" s="58" t="n"/>
      <c r="BM888" s="58" t="n"/>
      <c r="BN888" s="58" t="n"/>
    </row>
    <row r="889">
      <c r="C889" s="206" t="n"/>
      <c r="D889" s="206" t="n"/>
      <c r="E889" s="206" t="n"/>
      <c r="BK889" s="58" t="n"/>
      <c r="BL889" s="58" t="n"/>
      <c r="BM889" s="58" t="n"/>
      <c r="BN889" s="58" t="n"/>
    </row>
    <row r="890">
      <c r="C890" s="206" t="n"/>
      <c r="D890" s="206" t="n"/>
      <c r="E890" s="206" t="n"/>
      <c r="BK890" s="58" t="n"/>
      <c r="BL890" s="58" t="n"/>
      <c r="BM890" s="58" t="n"/>
      <c r="BN890" s="58" t="n"/>
    </row>
    <row r="891">
      <c r="C891" s="206" t="n"/>
      <c r="D891" s="206" t="n"/>
      <c r="E891" s="206" t="n"/>
      <c r="BK891" s="58" t="n"/>
      <c r="BL891" s="58" t="n"/>
      <c r="BM891" s="58" t="n"/>
      <c r="BN891" s="58" t="n"/>
    </row>
    <row r="892">
      <c r="C892" s="206" t="n"/>
      <c r="D892" s="206" t="n"/>
      <c r="E892" s="206" t="n"/>
      <c r="BK892" s="58" t="n"/>
      <c r="BL892" s="58" t="n"/>
      <c r="BM892" s="58" t="n"/>
      <c r="BN892" s="58" t="n"/>
    </row>
    <row r="893">
      <c r="C893" s="206" t="n"/>
      <c r="D893" s="206" t="n"/>
      <c r="E893" s="206" t="n"/>
      <c r="BK893" s="58" t="n"/>
      <c r="BL893" s="58" t="n"/>
      <c r="BM893" s="58" t="n"/>
      <c r="BN893" s="58" t="n"/>
    </row>
    <row r="894">
      <c r="C894" s="206" t="n"/>
      <c r="D894" s="206" t="n"/>
      <c r="E894" s="206" t="n"/>
      <c r="BK894" s="58" t="n"/>
      <c r="BL894" s="58" t="n"/>
      <c r="BM894" s="58" t="n"/>
      <c r="BN894" s="58" t="n"/>
    </row>
    <row r="895">
      <c r="C895" s="206" t="n"/>
      <c r="D895" s="206" t="n"/>
      <c r="E895" s="206" t="n"/>
      <c r="BK895" s="58" t="n"/>
      <c r="BL895" s="58" t="n"/>
      <c r="BM895" s="58" t="n"/>
      <c r="BN895" s="58" t="n"/>
    </row>
    <row r="896">
      <c r="C896" s="206" t="n"/>
      <c r="D896" s="206" t="n"/>
      <c r="E896" s="206" t="n"/>
      <c r="BK896" s="58" t="n"/>
      <c r="BL896" s="58" t="n"/>
      <c r="BM896" s="58" t="n"/>
      <c r="BN896" s="58" t="n"/>
    </row>
    <row r="897">
      <c r="C897" s="207" t="n"/>
      <c r="D897" s="206" t="n"/>
      <c r="E897" s="206" t="n"/>
      <c r="BK897" s="58" t="n"/>
      <c r="BL897" s="58" t="n"/>
      <c r="BM897" s="58" t="n"/>
      <c r="BN897" s="58" t="n"/>
    </row>
    <row r="898">
      <c r="C898" s="207" t="n"/>
      <c r="D898" s="206" t="n"/>
      <c r="E898" s="206" t="n"/>
      <c r="BK898" s="58" t="n"/>
      <c r="BL898" s="58" t="n"/>
      <c r="BM898" s="58" t="n"/>
      <c r="BN898" s="58" t="n"/>
    </row>
    <row r="899">
      <c r="C899" s="207" t="n"/>
      <c r="D899" s="206" t="n"/>
      <c r="E899" s="206" t="n"/>
      <c r="BK899" s="58" t="n"/>
      <c r="BL899" s="58" t="n"/>
      <c r="BM899" s="58" t="n"/>
      <c r="BN899" s="58" t="n"/>
    </row>
    <row r="900">
      <c r="C900" s="207" t="n"/>
      <c r="D900" s="206" t="n"/>
      <c r="E900" s="206" t="n"/>
      <c r="BK900" s="58" t="n"/>
      <c r="BL900" s="58" t="n"/>
      <c r="BM900" s="58" t="n"/>
      <c r="BN900" s="58" t="n"/>
    </row>
    <row r="901">
      <c r="C901" s="206" t="n"/>
      <c r="D901" s="206" t="n"/>
      <c r="E901" s="206" t="n"/>
      <c r="BK901" s="58" t="n"/>
      <c r="BL901" s="58" t="n"/>
      <c r="BM901" s="58" t="n"/>
      <c r="BN901" s="58" t="n"/>
    </row>
    <row r="902">
      <c r="C902" s="207" t="n"/>
      <c r="D902" s="206" t="n"/>
      <c r="E902" s="206" t="n"/>
      <c r="BK902" s="58" t="n"/>
      <c r="BL902" s="58" t="n"/>
      <c r="BM902" s="58" t="n"/>
      <c r="BN902" s="58" t="n"/>
    </row>
    <row r="903">
      <c r="C903" s="206" t="n"/>
      <c r="D903" s="206" t="n"/>
      <c r="E903" s="206" t="n"/>
      <c r="BK903" s="58" t="n"/>
      <c r="BL903" s="58" t="n"/>
      <c r="BM903" s="58" t="n"/>
      <c r="BN903" s="58" t="n"/>
    </row>
    <row r="904">
      <c r="C904" s="206" t="n"/>
      <c r="D904" s="206" t="n"/>
      <c r="E904" s="206" t="n"/>
      <c r="BK904" s="58" t="n"/>
      <c r="BL904" s="58" t="n"/>
      <c r="BM904" s="58" t="n"/>
      <c r="BN904" s="58" t="n"/>
    </row>
    <row r="905">
      <c r="C905" s="206" t="n"/>
      <c r="D905" s="206" t="n"/>
      <c r="E905" s="206" t="n"/>
      <c r="BK905" s="58" t="n"/>
      <c r="BL905" s="58" t="n"/>
      <c r="BM905" s="58" t="n"/>
      <c r="BN905" s="58" t="n"/>
    </row>
    <row r="906">
      <c r="C906" s="206" t="n"/>
      <c r="D906" s="206" t="n"/>
      <c r="E906" s="206" t="n"/>
      <c r="BK906" s="58" t="n"/>
      <c r="BL906" s="58" t="n"/>
      <c r="BM906" s="58" t="n"/>
      <c r="BN906" s="58" t="n"/>
    </row>
    <row r="907">
      <c r="C907" s="206" t="n"/>
      <c r="D907" s="206" t="n"/>
      <c r="E907" s="206" t="n"/>
      <c r="BK907" s="58" t="n"/>
      <c r="BL907" s="58" t="n"/>
      <c r="BM907" s="58" t="n"/>
      <c r="BN907" s="58" t="n"/>
    </row>
    <row r="908">
      <c r="C908" s="206" t="n"/>
      <c r="D908" s="206" t="n"/>
      <c r="E908" s="206" t="n"/>
      <c r="BK908" s="58" t="n"/>
      <c r="BL908" s="58" t="n"/>
      <c r="BM908" s="58" t="n"/>
      <c r="BN908" s="58" t="n"/>
    </row>
    <row r="909">
      <c r="C909" s="206" t="n"/>
      <c r="D909" s="206" t="n"/>
      <c r="E909" s="206" t="n"/>
      <c r="BK909" s="58" t="n"/>
      <c r="BL909" s="58" t="n"/>
      <c r="BM909" s="58" t="n"/>
      <c r="BN909" s="58" t="n"/>
    </row>
    <row r="910">
      <c r="C910" s="206" t="n"/>
      <c r="D910" s="206" t="n"/>
      <c r="E910" s="206" t="n"/>
      <c r="BK910" s="58" t="n"/>
      <c r="BL910" s="58" t="n"/>
      <c r="BM910" s="58" t="n"/>
      <c r="BN910" s="58" t="n"/>
    </row>
    <row r="911">
      <c r="C911" s="207" t="n"/>
      <c r="D911" s="206" t="n"/>
      <c r="E911" s="206" t="n"/>
      <c r="BK911" s="58" t="n"/>
      <c r="BL911" s="58" t="n"/>
      <c r="BM911" s="58" t="n"/>
      <c r="BN911" s="58" t="n"/>
    </row>
    <row r="912">
      <c r="C912" s="207" t="n"/>
      <c r="D912" s="206" t="n"/>
      <c r="E912" s="206" t="n"/>
      <c r="BK912" s="58" t="n"/>
      <c r="BL912" s="58" t="n"/>
      <c r="BM912" s="58" t="n"/>
      <c r="BN912" s="58" t="n"/>
    </row>
    <row r="913">
      <c r="C913" s="207" t="n"/>
      <c r="D913" s="206" t="n"/>
      <c r="E913" s="206" t="n"/>
      <c r="BK913" s="58" t="n"/>
      <c r="BL913" s="58" t="n"/>
      <c r="BM913" s="58" t="n"/>
      <c r="BN913" s="58" t="n"/>
    </row>
    <row r="914">
      <c r="C914" s="206" t="n"/>
      <c r="D914" s="206" t="n"/>
      <c r="E914" s="206" t="n"/>
      <c r="BK914" s="58" t="n"/>
      <c r="BL914" s="58" t="n"/>
      <c r="BM914" s="58" t="n"/>
      <c r="BN914" s="58" t="n"/>
    </row>
    <row r="915">
      <c r="C915" s="206" t="n"/>
      <c r="D915" s="206" t="n"/>
      <c r="E915" s="206" t="n"/>
      <c r="BK915" s="58" t="n"/>
      <c r="BL915" s="58" t="n"/>
      <c r="BM915" s="58" t="n"/>
      <c r="BN915" s="58" t="n"/>
    </row>
    <row r="916">
      <c r="C916" s="206" t="n"/>
      <c r="D916" s="206" t="n"/>
      <c r="E916" s="206" t="n"/>
      <c r="BK916" s="58" t="n"/>
      <c r="BL916" s="58" t="n"/>
      <c r="BM916" s="58" t="n"/>
      <c r="BN916" s="58" t="n"/>
    </row>
    <row r="917">
      <c r="C917" s="206" t="n"/>
      <c r="D917" s="206" t="n"/>
      <c r="E917" s="206" t="n"/>
      <c r="BK917" s="58" t="n"/>
      <c r="BL917" s="58" t="n"/>
      <c r="BM917" s="58" t="n"/>
      <c r="BN917" s="58" t="n"/>
    </row>
    <row r="918">
      <c r="C918" s="206" t="n"/>
      <c r="D918" s="206" t="n"/>
      <c r="E918" s="206" t="n"/>
      <c r="BK918" s="58" t="n"/>
      <c r="BL918" s="58" t="n"/>
      <c r="BM918" s="58" t="n"/>
      <c r="BN918" s="58" t="n"/>
    </row>
    <row r="919">
      <c r="C919" s="207" t="n"/>
      <c r="D919" s="206" t="n"/>
      <c r="E919" s="206" t="n"/>
      <c r="BK919" s="58" t="n"/>
      <c r="BL919" s="58" t="n"/>
      <c r="BM919" s="58" t="n"/>
      <c r="BN919" s="58" t="n"/>
    </row>
    <row r="920">
      <c r="C920" s="206" t="n"/>
      <c r="D920" s="206" t="n"/>
      <c r="E920" s="206" t="n"/>
      <c r="BK920" s="58" t="n"/>
      <c r="BL920" s="58" t="n"/>
      <c r="BM920" s="58" t="n"/>
      <c r="BN920" s="58" t="n"/>
    </row>
    <row r="921">
      <c r="C921" s="206" t="n"/>
      <c r="D921" s="206" t="n"/>
      <c r="E921" s="206" t="n"/>
      <c r="BK921" s="58" t="n"/>
      <c r="BL921" s="58" t="n"/>
      <c r="BM921" s="58" t="n"/>
      <c r="BN921" s="58" t="n"/>
    </row>
    <row r="922">
      <c r="C922" s="207" t="n"/>
      <c r="D922" s="206" t="n"/>
      <c r="E922" s="206" t="n"/>
      <c r="BK922" s="58" t="n"/>
      <c r="BL922" s="58" t="n"/>
      <c r="BM922" s="58" t="n"/>
      <c r="BN922" s="58" t="n"/>
    </row>
    <row r="923">
      <c r="C923" s="206" t="n"/>
      <c r="D923" s="206" t="n"/>
      <c r="E923" s="206" t="n"/>
      <c r="BK923" s="58" t="n"/>
      <c r="BL923" s="58" t="n"/>
      <c r="BM923" s="58" t="n"/>
      <c r="BN923" s="58" t="n"/>
    </row>
    <row r="924">
      <c r="C924" s="206" t="n"/>
      <c r="D924" s="206" t="n"/>
      <c r="E924" s="206" t="n"/>
      <c r="BK924" s="58" t="n"/>
      <c r="BL924" s="58" t="n"/>
      <c r="BM924" s="58" t="n"/>
      <c r="BN924" s="58" t="n"/>
    </row>
    <row r="925">
      <c r="C925" s="206" t="n"/>
      <c r="D925" s="206" t="n"/>
      <c r="E925" s="206" t="n"/>
      <c r="BK925" s="58" t="n"/>
      <c r="BL925" s="58" t="n"/>
      <c r="BM925" s="58" t="n"/>
      <c r="BN925" s="58" t="n"/>
    </row>
    <row r="926">
      <c r="C926" s="206" t="n"/>
      <c r="D926" s="206" t="n"/>
      <c r="E926" s="206" t="n"/>
      <c r="BK926" s="58" t="n"/>
      <c r="BL926" s="58" t="n"/>
      <c r="BM926" s="58" t="n"/>
      <c r="BN926" s="58" t="n"/>
    </row>
    <row r="927">
      <c r="C927" s="206" t="n"/>
      <c r="D927" s="206" t="n"/>
      <c r="E927" s="206" t="n"/>
      <c r="BK927" s="58" t="n"/>
      <c r="BL927" s="58" t="n"/>
      <c r="BM927" s="58" t="n"/>
      <c r="BN927" s="58" t="n"/>
    </row>
    <row r="928">
      <c r="C928" s="206" t="n"/>
      <c r="D928" s="206" t="n"/>
      <c r="E928" s="206" t="n"/>
      <c r="BK928" s="58" t="n"/>
      <c r="BL928" s="58" t="n"/>
      <c r="BM928" s="58" t="n"/>
      <c r="BN928" s="58" t="n"/>
    </row>
    <row r="929">
      <c r="C929" s="207" t="n"/>
      <c r="D929" s="206" t="n"/>
      <c r="E929" s="206" t="n"/>
      <c r="BK929" s="58" t="n"/>
      <c r="BL929" s="58" t="n"/>
      <c r="BM929" s="58" t="n"/>
      <c r="BN929" s="58" t="n"/>
    </row>
    <row r="930">
      <c r="C930" s="206" t="n"/>
      <c r="D930" s="206" t="n"/>
      <c r="E930" s="206" t="n"/>
      <c r="BK930" s="58" t="n"/>
      <c r="BL930" s="58" t="n"/>
      <c r="BM930" s="58" t="n"/>
      <c r="BN930" s="58" t="n"/>
    </row>
    <row r="931">
      <c r="C931" s="206" t="n"/>
      <c r="D931" s="206" t="n"/>
      <c r="E931" s="206" t="n"/>
      <c r="BK931" s="58" t="n"/>
      <c r="BL931" s="58" t="n"/>
      <c r="BM931" s="58" t="n"/>
      <c r="BN931" s="58" t="n"/>
    </row>
    <row r="932">
      <c r="C932" s="206" t="n"/>
      <c r="D932" s="206" t="n"/>
      <c r="E932" s="206" t="n"/>
      <c r="BK932" s="58" t="n"/>
      <c r="BL932" s="58" t="n"/>
      <c r="BM932" s="58" t="n"/>
      <c r="BN932" s="58" t="n"/>
    </row>
    <row r="933">
      <c r="C933" s="206" t="n"/>
      <c r="D933" s="206" t="n"/>
      <c r="E933" s="206" t="n"/>
      <c r="BK933" s="58" t="n"/>
      <c r="BL933" s="58" t="n"/>
      <c r="BM933" s="58" t="n"/>
      <c r="BN933" s="58" t="n"/>
    </row>
    <row r="934">
      <c r="C934" s="206" t="n"/>
      <c r="D934" s="206" t="n"/>
      <c r="E934" s="206" t="n"/>
      <c r="BK934" s="58" t="n"/>
      <c r="BL934" s="58" t="n"/>
      <c r="BM934" s="58" t="n"/>
      <c r="BN934" s="58" t="n"/>
    </row>
    <row r="935">
      <c r="C935" s="206" t="n"/>
      <c r="D935" s="206" t="n"/>
      <c r="E935" s="206" t="n"/>
      <c r="BK935" s="58" t="n"/>
      <c r="BL935" s="58" t="n"/>
      <c r="BM935" s="58" t="n"/>
      <c r="BN935" s="58" t="n"/>
    </row>
    <row r="936">
      <c r="C936" s="206" t="n"/>
      <c r="D936" s="206" t="n"/>
      <c r="E936" s="206" t="n"/>
      <c r="BK936" s="58" t="n"/>
      <c r="BL936" s="58" t="n"/>
      <c r="BM936" s="58" t="n"/>
      <c r="BN936" s="58" t="n"/>
    </row>
    <row r="937">
      <c r="C937" s="207" t="n"/>
      <c r="D937" s="206" t="n"/>
      <c r="E937" s="206" t="n"/>
      <c r="BK937" s="58" t="n"/>
      <c r="BL937" s="58" t="n"/>
      <c r="BM937" s="58" t="n"/>
      <c r="BN937" s="58" t="n"/>
    </row>
    <row r="938">
      <c r="C938" s="206" t="n"/>
      <c r="D938" s="206" t="n"/>
      <c r="E938" s="206" t="n"/>
      <c r="BK938" s="58" t="n"/>
      <c r="BL938" s="58" t="n"/>
      <c r="BM938" s="58" t="n"/>
      <c r="BN938" s="58" t="n"/>
    </row>
    <row r="939">
      <c r="C939" s="206" t="n"/>
      <c r="D939" s="206" t="n"/>
      <c r="E939" s="206" t="n"/>
      <c r="BK939" s="58" t="n"/>
      <c r="BL939" s="58" t="n"/>
      <c r="BM939" s="58" t="n"/>
      <c r="BN939" s="58" t="n"/>
    </row>
    <row r="940">
      <c r="C940" s="207" t="n"/>
      <c r="D940" s="206" t="n"/>
      <c r="E940" s="206" t="n"/>
      <c r="BK940" s="58" t="n"/>
      <c r="BL940" s="58" t="n"/>
      <c r="BM940" s="58" t="n"/>
      <c r="BN940" s="58" t="n"/>
    </row>
    <row r="941">
      <c r="C941" s="206" t="n"/>
      <c r="D941" s="206" t="n"/>
      <c r="E941" s="206" t="n"/>
      <c r="BK941" s="58" t="n"/>
      <c r="BL941" s="58" t="n"/>
      <c r="BM941" s="58" t="n"/>
      <c r="BN941" s="58" t="n"/>
    </row>
    <row r="942">
      <c r="C942" s="207" t="n"/>
      <c r="D942" s="206" t="n"/>
      <c r="E942" s="206" t="n"/>
      <c r="BK942" s="58" t="n"/>
      <c r="BL942" s="58" t="n"/>
      <c r="BM942" s="58" t="n"/>
      <c r="BN942" s="58" t="n"/>
    </row>
    <row r="943">
      <c r="C943" s="206" t="n"/>
      <c r="D943" s="206" t="n"/>
      <c r="E943" s="206" t="n"/>
      <c r="BK943" s="58" t="n"/>
      <c r="BL943" s="58" t="n"/>
      <c r="BM943" s="58" t="n"/>
      <c r="BN943" s="58" t="n"/>
    </row>
    <row r="944">
      <c r="C944" s="206" t="n"/>
      <c r="D944" s="206" t="n"/>
      <c r="E944" s="206" t="n"/>
      <c r="BK944" s="58" t="n"/>
      <c r="BL944" s="58" t="n"/>
      <c r="BM944" s="58" t="n"/>
      <c r="BN944" s="58" t="n"/>
    </row>
    <row r="945">
      <c r="C945" s="206" t="n"/>
      <c r="D945" s="206" t="n"/>
      <c r="E945" s="206" t="n"/>
      <c r="BK945" s="58" t="n"/>
      <c r="BL945" s="58" t="n"/>
      <c r="BM945" s="58" t="n"/>
      <c r="BN945" s="58" t="n"/>
    </row>
    <row r="946">
      <c r="C946" s="206" t="n"/>
      <c r="D946" s="206" t="n"/>
      <c r="E946" s="206" t="n"/>
      <c r="BK946" s="58" t="n"/>
      <c r="BL946" s="58" t="n"/>
      <c r="BM946" s="58" t="n"/>
      <c r="BN946" s="58" t="n"/>
    </row>
    <row r="947">
      <c r="C947" s="206" t="n"/>
      <c r="D947" s="206" t="n"/>
      <c r="E947" s="206" t="n"/>
      <c r="BK947" s="58" t="n"/>
      <c r="BL947" s="58" t="n"/>
      <c r="BM947" s="58" t="n"/>
      <c r="BN947" s="58" t="n"/>
    </row>
    <row r="948">
      <c r="C948" s="207" t="n"/>
      <c r="D948" s="206" t="n"/>
      <c r="E948" s="206" t="n"/>
      <c r="BK948" s="58" t="n"/>
      <c r="BL948" s="58" t="n"/>
      <c r="BM948" s="58" t="n"/>
      <c r="BN948" s="58" t="n"/>
    </row>
    <row r="949">
      <c r="C949" s="206" t="n"/>
      <c r="D949" s="206" t="n"/>
      <c r="E949" s="206" t="n"/>
      <c r="BK949" s="58" t="n"/>
      <c r="BL949" s="58" t="n"/>
      <c r="BM949" s="58" t="n"/>
      <c r="BN949" s="58" t="n"/>
    </row>
    <row r="950">
      <c r="C950" s="207" t="n"/>
      <c r="D950" s="206" t="n"/>
      <c r="E950" s="206" t="n"/>
      <c r="BK950" s="58" t="n"/>
      <c r="BL950" s="58" t="n"/>
      <c r="BM950" s="58" t="n"/>
      <c r="BN950" s="58" t="n"/>
    </row>
    <row r="951">
      <c r="C951" s="207" t="n"/>
      <c r="D951" s="206" t="n"/>
      <c r="E951" s="206" t="n"/>
      <c r="BK951" s="58" t="n"/>
      <c r="BL951" s="58" t="n"/>
      <c r="BM951" s="58" t="n"/>
      <c r="BN951" s="58" t="n"/>
    </row>
    <row r="952">
      <c r="C952" s="206" t="n"/>
      <c r="D952" s="206" t="n"/>
      <c r="E952" s="206" t="n"/>
      <c r="BK952" s="58" t="n"/>
      <c r="BL952" s="58" t="n"/>
      <c r="BM952" s="58" t="n"/>
      <c r="BN952" s="58" t="n"/>
    </row>
    <row r="953">
      <c r="C953" s="206" t="n"/>
      <c r="D953" s="206" t="n"/>
      <c r="E953" s="206" t="n"/>
      <c r="BK953" s="58" t="n"/>
      <c r="BL953" s="58" t="n"/>
      <c r="BM953" s="58" t="n"/>
      <c r="BN953" s="58" t="n"/>
    </row>
    <row r="954">
      <c r="C954" s="206" t="n"/>
      <c r="D954" s="206" t="n"/>
      <c r="E954" s="206" t="n"/>
      <c r="BK954" s="58" t="n"/>
      <c r="BL954" s="58" t="n"/>
      <c r="BM954" s="58" t="n"/>
      <c r="BN954" s="58" t="n"/>
    </row>
    <row r="955">
      <c r="C955" s="206" t="n"/>
      <c r="D955" s="206" t="n"/>
      <c r="E955" s="206" t="n"/>
      <c r="BK955" s="58" t="n"/>
      <c r="BL955" s="58" t="n"/>
      <c r="BM955" s="58" t="n"/>
      <c r="BN955" s="58" t="n"/>
    </row>
    <row r="956">
      <c r="C956" s="206" t="n"/>
      <c r="D956" s="206" t="n"/>
      <c r="E956" s="206" t="n"/>
      <c r="BK956" s="58" t="n"/>
      <c r="BL956" s="58" t="n"/>
      <c r="BM956" s="58" t="n"/>
      <c r="BN956" s="58" t="n"/>
    </row>
    <row r="957">
      <c r="C957" s="207" t="n"/>
      <c r="D957" s="206" t="n"/>
      <c r="E957" s="206" t="n"/>
      <c r="BK957" s="58" t="n"/>
      <c r="BL957" s="58" t="n"/>
      <c r="BM957" s="58" t="n"/>
      <c r="BN957" s="58" t="n"/>
    </row>
    <row r="958">
      <c r="C958" s="206" t="n"/>
      <c r="D958" s="206" t="n"/>
      <c r="E958" s="206" t="n"/>
      <c r="BK958" s="58" t="n"/>
      <c r="BL958" s="58" t="n"/>
      <c r="BM958" s="58" t="n"/>
      <c r="BN958" s="58" t="n"/>
    </row>
    <row r="959">
      <c r="C959" s="206" t="n"/>
      <c r="D959" s="206" t="n"/>
      <c r="E959" s="206" t="n"/>
      <c r="BK959" s="58" t="n"/>
      <c r="BL959" s="58" t="n"/>
      <c r="BM959" s="58" t="n"/>
      <c r="BN959" s="58" t="n"/>
    </row>
    <row r="960">
      <c r="C960" s="206" t="n"/>
      <c r="D960" s="206" t="n"/>
      <c r="E960" s="206" t="n"/>
      <c r="BK960" s="58" t="n"/>
      <c r="BL960" s="58" t="n"/>
      <c r="BM960" s="58" t="n"/>
      <c r="BN960" s="58" t="n"/>
    </row>
    <row r="961">
      <c r="C961" s="206" t="n"/>
      <c r="D961" s="206" t="n"/>
      <c r="E961" s="206" t="n"/>
      <c r="BK961" s="58" t="n"/>
      <c r="BL961" s="58" t="n"/>
      <c r="BM961" s="58" t="n"/>
      <c r="BN961" s="58" t="n"/>
    </row>
    <row r="962">
      <c r="C962" s="207" t="n"/>
      <c r="D962" s="206" t="n"/>
      <c r="E962" s="206" t="n"/>
      <c r="BK962" s="58" t="n"/>
      <c r="BL962" s="58" t="n"/>
      <c r="BM962" s="58" t="n"/>
      <c r="BN962" s="58" t="n"/>
    </row>
    <row r="963">
      <c r="C963" s="206" t="n"/>
      <c r="D963" s="206" t="n"/>
      <c r="E963" s="206" t="n"/>
      <c r="BK963" s="58" t="n"/>
      <c r="BL963" s="58" t="n"/>
      <c r="BM963" s="58" t="n"/>
      <c r="BN963" s="58" t="n"/>
    </row>
    <row r="964">
      <c r="C964" s="206" t="n"/>
      <c r="D964" s="206" t="n"/>
      <c r="E964" s="206" t="n"/>
      <c r="BK964" s="58" t="n"/>
      <c r="BL964" s="58" t="n"/>
      <c r="BM964" s="58" t="n"/>
      <c r="BN964" s="58" t="n"/>
    </row>
    <row r="965">
      <c r="C965" s="206" t="n"/>
      <c r="D965" s="206" t="n"/>
      <c r="E965" s="206" t="n"/>
      <c r="BK965" s="58" t="n"/>
      <c r="BL965" s="58" t="n"/>
      <c r="BM965" s="58" t="n"/>
      <c r="BN965" s="58" t="n"/>
    </row>
    <row r="966">
      <c r="C966" s="206" t="n"/>
      <c r="D966" s="206" t="n"/>
      <c r="E966" s="206" t="n"/>
      <c r="BK966" s="58" t="n"/>
      <c r="BL966" s="58" t="n"/>
      <c r="BM966" s="58" t="n"/>
      <c r="BN966" s="58" t="n"/>
    </row>
    <row r="967">
      <c r="C967" s="206" t="n"/>
      <c r="D967" s="206" t="n"/>
      <c r="E967" s="206" t="n"/>
      <c r="BK967" s="58" t="n"/>
      <c r="BL967" s="58" t="n"/>
      <c r="BM967" s="58" t="n"/>
      <c r="BN967" s="58" t="n"/>
    </row>
    <row r="968">
      <c r="C968" s="206" t="n"/>
      <c r="D968" s="206" t="n"/>
      <c r="E968" s="206" t="n"/>
      <c r="BK968" s="58" t="n"/>
      <c r="BL968" s="58" t="n"/>
      <c r="BM968" s="58" t="n"/>
      <c r="BN968" s="58" t="n"/>
    </row>
    <row r="969">
      <c r="C969" s="206" t="n"/>
      <c r="D969" s="206" t="n"/>
      <c r="E969" s="206" t="n"/>
      <c r="BK969" s="58" t="n"/>
      <c r="BL969" s="58" t="n"/>
      <c r="BM969" s="58" t="n"/>
      <c r="BN969" s="58" t="n"/>
    </row>
    <row r="970">
      <c r="C970" s="206" t="n"/>
      <c r="D970" s="206" t="n"/>
      <c r="E970" s="206" t="n"/>
      <c r="BK970" s="58" t="n"/>
      <c r="BL970" s="58" t="n"/>
      <c r="BM970" s="58" t="n"/>
      <c r="BN970" s="58" t="n"/>
    </row>
    <row r="971">
      <c r="C971" s="207" t="n"/>
      <c r="D971" s="206" t="n"/>
      <c r="E971" s="206" t="n"/>
      <c r="BK971" s="58" t="n"/>
      <c r="BL971" s="58" t="n"/>
      <c r="BM971" s="58" t="n"/>
      <c r="BN971" s="58" t="n"/>
    </row>
    <row r="972">
      <c r="C972" s="206" t="n"/>
      <c r="D972" s="206" t="n"/>
      <c r="E972" s="206" t="n"/>
      <c r="BK972" s="58" t="n"/>
      <c r="BL972" s="58" t="n"/>
      <c r="BM972" s="58" t="n"/>
      <c r="BN972" s="58" t="n"/>
    </row>
    <row r="973">
      <c r="C973" s="206" t="n"/>
      <c r="D973" s="206" t="n"/>
      <c r="E973" s="206" t="n"/>
      <c r="BK973" s="58" t="n"/>
      <c r="BL973" s="58" t="n"/>
      <c r="BM973" s="58" t="n"/>
      <c r="BN973" s="58" t="n"/>
    </row>
    <row r="974">
      <c r="C974" s="207" t="n"/>
      <c r="D974" s="206" t="n"/>
      <c r="E974" s="206" t="n"/>
      <c r="BK974" s="58" t="n"/>
      <c r="BL974" s="58" t="n"/>
      <c r="BM974" s="58" t="n"/>
      <c r="BN974" s="58" t="n"/>
    </row>
    <row r="975">
      <c r="C975" s="206" t="n"/>
      <c r="D975" s="206" t="n"/>
      <c r="E975" s="206" t="n"/>
      <c r="BK975" s="58" t="n"/>
      <c r="BL975" s="58" t="n"/>
      <c r="BM975" s="58" t="n"/>
      <c r="BN975" s="58" t="n"/>
    </row>
    <row r="976">
      <c r="C976" s="207" t="n"/>
      <c r="D976" s="206" t="n"/>
      <c r="E976" s="206" t="n"/>
      <c r="BK976" s="58" t="n"/>
      <c r="BL976" s="58" t="n"/>
      <c r="BM976" s="58" t="n"/>
      <c r="BN976" s="58" t="n"/>
    </row>
    <row r="977">
      <c r="C977" s="206" t="n"/>
      <c r="D977" s="206" t="n"/>
      <c r="E977" s="206" t="n"/>
      <c r="BK977" s="58" t="n"/>
      <c r="BL977" s="58" t="n"/>
      <c r="BM977" s="58" t="n"/>
      <c r="BN977" s="58" t="n"/>
    </row>
    <row r="978">
      <c r="C978" s="206" t="n"/>
      <c r="D978" s="206" t="n"/>
      <c r="E978" s="206" t="n"/>
      <c r="BK978" s="58" t="n"/>
      <c r="BL978" s="58" t="n"/>
      <c r="BM978" s="58" t="n"/>
      <c r="BN978" s="58" t="n"/>
    </row>
    <row r="979">
      <c r="C979" s="206" t="n"/>
      <c r="D979" s="206" t="n"/>
      <c r="E979" s="206" t="n"/>
      <c r="BK979" s="58" t="n"/>
      <c r="BL979" s="58" t="n"/>
      <c r="BM979" s="58" t="n"/>
      <c r="BN979" s="58" t="n"/>
    </row>
    <row r="980">
      <c r="C980" s="206" t="n"/>
      <c r="D980" s="206" t="n"/>
      <c r="E980" s="206" t="n"/>
      <c r="BK980" s="58" t="n"/>
      <c r="BL980" s="58" t="n"/>
      <c r="BM980" s="58" t="n"/>
      <c r="BN980" s="58" t="n"/>
    </row>
    <row r="981">
      <c r="C981" s="207" t="n"/>
      <c r="D981" s="206" t="n"/>
      <c r="E981" s="206" t="n"/>
      <c r="BK981" s="58" t="n"/>
      <c r="BL981" s="58" t="n"/>
      <c r="BM981" s="58" t="n"/>
      <c r="BN981" s="58" t="n"/>
    </row>
    <row r="982">
      <c r="C982" s="207" t="n"/>
      <c r="D982" s="206" t="n"/>
      <c r="E982" s="206" t="n"/>
      <c r="BK982" s="58" t="n"/>
      <c r="BL982" s="58" t="n"/>
      <c r="BM982" s="58" t="n"/>
      <c r="BN982" s="58" t="n"/>
    </row>
    <row r="983">
      <c r="C983" s="206" t="n"/>
      <c r="D983" s="206" t="n"/>
      <c r="E983" s="206" t="n"/>
      <c r="BK983" s="58" t="n"/>
      <c r="BL983" s="58" t="n"/>
      <c r="BM983" s="58" t="n"/>
      <c r="BN983" s="58" t="n"/>
    </row>
    <row r="984">
      <c r="C984" s="206" t="n"/>
      <c r="D984" s="206" t="n"/>
      <c r="E984" s="206" t="n"/>
      <c r="BK984" s="58" t="n"/>
      <c r="BL984" s="58" t="n"/>
      <c r="BM984" s="58" t="n"/>
      <c r="BN984" s="58" t="n"/>
    </row>
    <row r="985">
      <c r="C985" s="206" t="n"/>
      <c r="D985" s="206" t="n"/>
      <c r="E985" s="206" t="n"/>
      <c r="BK985" s="58" t="n"/>
      <c r="BL985" s="58" t="n"/>
      <c r="BM985" s="58" t="n"/>
      <c r="BN985" s="58" t="n"/>
    </row>
    <row r="986">
      <c r="C986" s="206" t="n"/>
      <c r="D986" s="206" t="n"/>
      <c r="E986" s="206" t="n"/>
      <c r="BK986" s="58" t="n"/>
      <c r="BL986" s="58" t="n"/>
      <c r="BM986" s="58" t="n"/>
      <c r="BN986" s="58" t="n"/>
    </row>
    <row r="987">
      <c r="C987" s="206" t="n"/>
      <c r="D987" s="206" t="n"/>
      <c r="E987" s="206" t="n"/>
      <c r="BK987" s="58" t="n"/>
      <c r="BL987" s="58" t="n"/>
      <c r="BM987" s="58" t="n"/>
      <c r="BN987" s="58" t="n"/>
    </row>
    <row r="988">
      <c r="C988" s="206" t="n"/>
      <c r="D988" s="206" t="n"/>
      <c r="E988" s="206" t="n"/>
      <c r="BK988" s="58" t="n"/>
      <c r="BL988" s="58" t="n"/>
      <c r="BM988" s="58" t="n"/>
      <c r="BN988" s="58" t="n"/>
    </row>
    <row r="989">
      <c r="C989" s="206" t="n"/>
      <c r="D989" s="206" t="n"/>
      <c r="E989" s="206" t="n"/>
      <c r="BK989" s="58" t="n"/>
      <c r="BL989" s="58" t="n"/>
      <c r="BM989" s="58" t="n"/>
      <c r="BN989" s="58" t="n"/>
    </row>
    <row r="990">
      <c r="C990" s="207" t="n"/>
      <c r="D990" s="206" t="n"/>
      <c r="E990" s="206" t="n"/>
      <c r="BK990" s="58" t="n"/>
      <c r="BL990" s="58" t="n"/>
      <c r="BM990" s="58" t="n"/>
      <c r="BN990" s="58" t="n"/>
    </row>
    <row r="991">
      <c r="C991" s="207" t="n"/>
      <c r="D991" s="206" t="n"/>
      <c r="E991" s="206" t="n"/>
      <c r="F991" s="4437" t="n"/>
      <c r="G991" s="4437" t="n"/>
      <c r="H991" s="4437" t="n"/>
      <c r="I991" s="4437" t="n"/>
      <c r="J991" s="4437" t="n"/>
      <c r="BK991" s="58" t="n"/>
      <c r="BL991" s="58" t="n"/>
      <c r="BM991" s="58" t="n"/>
      <c r="BN991" s="58" t="n"/>
    </row>
    <row r="992">
      <c r="C992" s="207" t="n"/>
      <c r="D992" s="206" t="n"/>
      <c r="E992" s="206" t="n"/>
      <c r="F992" s="4437" t="n"/>
      <c r="G992" s="4437" t="n"/>
      <c r="H992" s="4437" t="n"/>
      <c r="I992" s="4437" t="n"/>
      <c r="J992" s="4437" t="n"/>
      <c r="BK992" s="58" t="n"/>
      <c r="BL992" s="58" t="n"/>
      <c r="BM992" s="58" t="n"/>
      <c r="BN992" s="58" t="n"/>
    </row>
    <row r="993">
      <c r="C993" s="207" t="n"/>
      <c r="D993" s="206" t="n"/>
      <c r="E993" s="206" t="n"/>
      <c r="F993" s="4437" t="n"/>
      <c r="G993" s="4437" t="n"/>
      <c r="H993" s="4437" t="n"/>
      <c r="I993" s="4437" t="n"/>
      <c r="J993" s="4437" t="n"/>
      <c r="BK993" s="58" t="n"/>
      <c r="BL993" s="58" t="n"/>
      <c r="BM993" s="58" t="n"/>
      <c r="BN993" s="58" t="n"/>
    </row>
    <row r="994">
      <c r="C994" s="207" t="n"/>
      <c r="D994" s="206" t="n"/>
      <c r="E994" s="206" t="n"/>
      <c r="F994" s="4437" t="n"/>
      <c r="G994" s="4437" t="n"/>
      <c r="H994" s="4437" t="n"/>
      <c r="I994" s="4437" t="n"/>
      <c r="J994" s="4437" t="n"/>
      <c r="BK994" s="58" t="n"/>
      <c r="BL994" s="58" t="n"/>
      <c r="BM994" s="58" t="n"/>
      <c r="BN994" s="58" t="n"/>
    </row>
    <row r="995">
      <c r="C995" s="206" t="n"/>
      <c r="D995" s="206" t="n"/>
      <c r="E995" s="206" t="n"/>
      <c r="BK995" s="58" t="n"/>
      <c r="BL995" s="58" t="n"/>
      <c r="BM995" s="58" t="n"/>
      <c r="BN995" s="58" t="n"/>
    </row>
    <row r="996">
      <c r="C996" s="207" t="n"/>
      <c r="D996" s="206" t="n"/>
      <c r="E996" s="206" t="n"/>
      <c r="BK996" s="58" t="n"/>
      <c r="BL996" s="58" t="n"/>
      <c r="BM996" s="58" t="n"/>
      <c r="BN996" s="58" t="n"/>
    </row>
    <row r="997">
      <c r="C997" s="207" t="n"/>
      <c r="D997" s="206" t="n"/>
      <c r="E997" s="206" t="n"/>
      <c r="BK997" s="58" t="n"/>
      <c r="BL997" s="58" t="n"/>
      <c r="BM997" s="58" t="n"/>
      <c r="BN997" s="58" t="n"/>
    </row>
    <row r="998">
      <c r="C998" s="207" t="n"/>
      <c r="D998" s="206" t="n"/>
      <c r="E998" s="206" t="n"/>
      <c r="BK998" s="58" t="n"/>
      <c r="BL998" s="58" t="n"/>
      <c r="BM998" s="58" t="n"/>
      <c r="BN998" s="58" t="n"/>
    </row>
    <row r="999">
      <c r="C999" s="206" t="n"/>
      <c r="D999" s="206" t="n"/>
      <c r="E999" s="206" t="n"/>
      <c r="BK999" s="58" t="n"/>
      <c r="BL999" s="58" t="n"/>
      <c r="BM999" s="58" t="n"/>
      <c r="BN999" s="58" t="n"/>
    </row>
    <row r="1000">
      <c r="C1000" s="206" t="n"/>
      <c r="D1000" s="206" t="n"/>
      <c r="E1000" s="206" t="n"/>
      <c r="BK1000" s="58" t="n"/>
      <c r="BL1000" s="58" t="n"/>
      <c r="BM1000" s="58" t="n"/>
      <c r="BN1000" s="58" t="n"/>
    </row>
    <row r="1001">
      <c r="C1001" s="206" t="n"/>
      <c r="D1001" s="206" t="n"/>
      <c r="E1001" s="206" t="n"/>
      <c r="BK1001" s="58" t="n"/>
      <c r="BL1001" s="58" t="n"/>
      <c r="BM1001" s="58" t="n"/>
      <c r="BN1001" s="58" t="n"/>
    </row>
    <row r="1002">
      <c r="C1002" s="206" t="n"/>
      <c r="D1002" s="206" t="n"/>
      <c r="E1002" s="206" t="n"/>
      <c r="BK1002" s="58" t="n"/>
      <c r="BL1002" s="58" t="n"/>
      <c r="BM1002" s="58" t="n"/>
      <c r="BN1002" s="58" t="n"/>
    </row>
    <row r="1003">
      <c r="C1003" s="206" t="n"/>
      <c r="D1003" s="206" t="n"/>
      <c r="E1003" s="206" t="n"/>
      <c r="BK1003" s="58" t="n"/>
      <c r="BL1003" s="58" t="n"/>
      <c r="BM1003" s="58" t="n"/>
      <c r="BN1003" s="58" t="n"/>
    </row>
    <row r="1004">
      <c r="C1004" s="206" t="n"/>
      <c r="D1004" s="206" t="n"/>
      <c r="E1004" s="206" t="n"/>
      <c r="BK1004" s="58" t="n"/>
      <c r="BL1004" s="58" t="n"/>
      <c r="BM1004" s="58" t="n"/>
      <c r="BN1004" s="58" t="n"/>
    </row>
    <row r="1005">
      <c r="C1005" s="206" t="n"/>
      <c r="D1005" s="206" t="n"/>
      <c r="E1005" s="206" t="n"/>
      <c r="BK1005" s="58" t="n"/>
      <c r="BL1005" s="58" t="n"/>
      <c r="BM1005" s="58" t="n"/>
      <c r="BN1005" s="58" t="n"/>
    </row>
    <row r="1006">
      <c r="C1006" s="207" t="n"/>
      <c r="D1006" s="206" t="n"/>
      <c r="E1006" s="206" t="n"/>
      <c r="BK1006" s="58" t="n"/>
      <c r="BL1006" s="58" t="n"/>
      <c r="BM1006" s="58" t="n"/>
      <c r="BN1006" s="58" t="n"/>
    </row>
    <row r="1007">
      <c r="C1007" s="207" t="n"/>
      <c r="D1007" s="206" t="n"/>
      <c r="E1007" s="206" t="n"/>
      <c r="BK1007" s="58" t="n"/>
      <c r="BL1007" s="58" t="n"/>
      <c r="BM1007" s="58" t="n"/>
      <c r="BN1007" s="58" t="n"/>
    </row>
    <row r="1008">
      <c r="C1008" s="207" t="n"/>
      <c r="D1008" s="206" t="n"/>
      <c r="E1008" s="206" t="n"/>
      <c r="BK1008" s="58" t="n"/>
      <c r="BL1008" s="58" t="n"/>
      <c r="BM1008" s="58" t="n"/>
      <c r="BN1008" s="58" t="n"/>
    </row>
    <row r="1009">
      <c r="C1009" s="206" t="n"/>
      <c r="D1009" s="206" t="n"/>
      <c r="E1009" s="206" t="n"/>
      <c r="BK1009" s="58" t="n"/>
      <c r="BL1009" s="58" t="n"/>
      <c r="BM1009" s="58" t="n"/>
      <c r="BN1009" s="58" t="n"/>
    </row>
    <row r="1010">
      <c r="C1010" s="207" t="n"/>
      <c r="D1010" s="206" t="n"/>
      <c r="E1010" s="206" t="n"/>
      <c r="BK1010" s="58" t="n"/>
      <c r="BL1010" s="58" t="n"/>
      <c r="BM1010" s="58" t="n"/>
      <c r="BN1010" s="58" t="n"/>
    </row>
    <row r="1011">
      <c r="C1011" s="206" t="n"/>
      <c r="D1011" s="206" t="n"/>
      <c r="E1011" s="206" t="n"/>
      <c r="BK1011" s="58" t="n"/>
      <c r="BL1011" s="58" t="n"/>
      <c r="BM1011" s="58" t="n"/>
      <c r="BN1011" s="58" t="n"/>
    </row>
    <row r="1012">
      <c r="C1012" s="207" t="n"/>
      <c r="D1012" s="206" t="n"/>
      <c r="E1012" s="206" t="n"/>
      <c r="BK1012" s="58" t="n"/>
      <c r="BL1012" s="58" t="n"/>
      <c r="BM1012" s="58" t="n"/>
      <c r="BN1012" s="58" t="n"/>
    </row>
    <row r="1013">
      <c r="C1013" s="207" t="n"/>
      <c r="D1013" s="206" t="n"/>
      <c r="E1013" s="206" t="n"/>
      <c r="BK1013" s="58" t="n"/>
      <c r="BL1013" s="58" t="n"/>
      <c r="BM1013" s="58" t="n"/>
      <c r="BN1013" s="58" t="n"/>
    </row>
    <row r="1014">
      <c r="C1014" s="206" t="n"/>
      <c r="D1014" s="206" t="n"/>
      <c r="E1014" s="206" t="n"/>
      <c r="BK1014" s="58" t="n"/>
      <c r="BL1014" s="58" t="n"/>
      <c r="BM1014" s="58" t="n"/>
      <c r="BN1014" s="58" t="n"/>
    </row>
    <row r="1015">
      <c r="C1015" s="206" t="n"/>
      <c r="D1015" s="206" t="n"/>
      <c r="E1015" s="206" t="n"/>
      <c r="BK1015" s="58" t="n"/>
      <c r="BL1015" s="58" t="n"/>
      <c r="BM1015" s="58" t="n"/>
      <c r="BN1015" s="58" t="n"/>
    </row>
    <row r="1016">
      <c r="C1016" s="207" t="n"/>
      <c r="D1016" s="206" t="n"/>
      <c r="E1016" s="206" t="n"/>
      <c r="BK1016" s="58" t="n"/>
      <c r="BL1016" s="58" t="n"/>
      <c r="BM1016" s="58" t="n"/>
      <c r="BN1016" s="58" t="n"/>
    </row>
    <row r="1017">
      <c r="C1017" s="206" t="n"/>
      <c r="D1017" s="206" t="n"/>
      <c r="E1017" s="206" t="n"/>
      <c r="BK1017" s="58" t="n"/>
      <c r="BL1017" s="58" t="n"/>
      <c r="BM1017" s="58" t="n"/>
      <c r="BN1017" s="58" t="n"/>
    </row>
    <row r="1018">
      <c r="C1018" s="206" t="n"/>
      <c r="D1018" s="206" t="n"/>
      <c r="E1018" s="206" t="n"/>
      <c r="BK1018" s="58" t="n"/>
      <c r="BL1018" s="58" t="n"/>
      <c r="BM1018" s="58" t="n"/>
      <c r="BN1018" s="58" t="n"/>
    </row>
    <row r="1019">
      <c r="C1019" s="206" t="n"/>
      <c r="D1019" s="206" t="n"/>
      <c r="E1019" s="206" t="n"/>
      <c r="BK1019" s="58" t="n"/>
      <c r="BL1019" s="58" t="n"/>
      <c r="BM1019" s="58" t="n"/>
      <c r="BN1019" s="58" t="n"/>
    </row>
    <row r="1020">
      <c r="C1020" s="207" t="n"/>
      <c r="D1020" s="206" t="n"/>
      <c r="E1020" s="206" t="n"/>
      <c r="BK1020" s="58" t="n"/>
      <c r="BL1020" s="58" t="n"/>
      <c r="BM1020" s="58" t="n"/>
      <c r="BN1020" s="58" t="n"/>
    </row>
    <row r="1021">
      <c r="C1021" s="206" t="n"/>
      <c r="D1021" s="206" t="n"/>
      <c r="E1021" s="206" t="n"/>
      <c r="BK1021" s="58" t="n"/>
      <c r="BL1021" s="58" t="n"/>
      <c r="BM1021" s="58" t="n"/>
      <c r="BN1021" s="58" t="n"/>
    </row>
    <row r="1022">
      <c r="C1022" s="206" t="n"/>
      <c r="D1022" s="206" t="n"/>
      <c r="E1022" s="206" t="n"/>
      <c r="BK1022" s="58" t="n"/>
      <c r="BL1022" s="58" t="n"/>
      <c r="BM1022" s="58" t="n"/>
      <c r="BN1022" s="58" t="n"/>
    </row>
    <row r="1023">
      <c r="C1023" s="207" t="n"/>
      <c r="D1023" s="206" t="n"/>
      <c r="E1023" s="206" t="n"/>
      <c r="BK1023" s="58" t="n"/>
      <c r="BL1023" s="58" t="n"/>
      <c r="BM1023" s="58" t="n"/>
      <c r="BN1023" s="58" t="n"/>
    </row>
    <row r="1024">
      <c r="C1024" s="207" t="n"/>
      <c r="D1024" s="206" t="n"/>
      <c r="E1024" s="206" t="n"/>
      <c r="BK1024" s="58" t="n"/>
      <c r="BL1024" s="58" t="n"/>
      <c r="BM1024" s="58" t="n"/>
      <c r="BN1024" s="58" t="n"/>
    </row>
    <row r="1025">
      <c r="C1025" s="206" t="n"/>
      <c r="D1025" s="206" t="n"/>
      <c r="E1025" s="206" t="n"/>
      <c r="BK1025" s="58" t="n"/>
      <c r="BL1025" s="58" t="n"/>
      <c r="BM1025" s="58" t="n"/>
      <c r="BN1025" s="58" t="n"/>
    </row>
    <row r="1026">
      <c r="C1026" s="207" t="n"/>
      <c r="D1026" s="206" t="n"/>
      <c r="E1026" s="206" t="n"/>
      <c r="BK1026" s="58" t="n"/>
      <c r="BL1026" s="58" t="n"/>
      <c r="BM1026" s="58" t="n"/>
      <c r="BN1026" s="58" t="n"/>
    </row>
    <row r="1027">
      <c r="C1027" s="207" t="n"/>
      <c r="D1027" s="206" t="n"/>
      <c r="E1027" s="206" t="n"/>
      <c r="BK1027" s="58" t="n"/>
      <c r="BL1027" s="58" t="n"/>
      <c r="BM1027" s="58" t="n"/>
      <c r="BN1027" s="58" t="n"/>
    </row>
    <row r="1028">
      <c r="C1028" s="206" t="n"/>
      <c r="D1028" s="206" t="n"/>
      <c r="E1028" s="206" t="n"/>
      <c r="BK1028" s="58" t="n"/>
      <c r="BL1028" s="58" t="n"/>
      <c r="BM1028" s="58" t="n"/>
      <c r="BN1028" s="58" t="n"/>
    </row>
    <row r="1029">
      <c r="C1029" s="206" t="n"/>
      <c r="D1029" s="206" t="n"/>
      <c r="E1029" s="206" t="n"/>
      <c r="BK1029" s="58" t="n"/>
      <c r="BL1029" s="58" t="n"/>
      <c r="BM1029" s="58" t="n"/>
      <c r="BN1029" s="58" t="n"/>
    </row>
    <row r="1030">
      <c r="C1030" s="206" t="n"/>
      <c r="D1030" s="206" t="n"/>
      <c r="E1030" s="206" t="n"/>
      <c r="BK1030" s="58" t="n"/>
      <c r="BL1030" s="58" t="n"/>
      <c r="BM1030" s="58" t="n"/>
      <c r="BN1030" s="58" t="n"/>
    </row>
    <row r="1031">
      <c r="C1031" s="207" t="n"/>
      <c r="D1031" s="206" t="n"/>
      <c r="E1031" s="206" t="n"/>
      <c r="BK1031" s="58" t="n"/>
      <c r="BL1031" s="58" t="n"/>
      <c r="BM1031" s="58" t="n"/>
      <c r="BN1031" s="58" t="n"/>
    </row>
    <row r="1032">
      <c r="C1032" s="206" t="n"/>
      <c r="D1032" s="206" t="n"/>
      <c r="E1032" s="206" t="n"/>
      <c r="BK1032" s="58" t="n"/>
      <c r="BL1032" s="58" t="n"/>
      <c r="BM1032" s="58" t="n"/>
      <c r="BN1032" s="58" t="n"/>
    </row>
    <row r="1033">
      <c r="C1033" s="206" t="n"/>
      <c r="D1033" s="206" t="n"/>
      <c r="E1033" s="206" t="n"/>
      <c r="BK1033" s="58" t="n"/>
      <c r="BL1033" s="58" t="n"/>
      <c r="BM1033" s="58" t="n"/>
      <c r="BN1033" s="58" t="n"/>
    </row>
    <row r="1034">
      <c r="C1034" s="206" t="n"/>
      <c r="D1034" s="206" t="n"/>
      <c r="E1034" s="206" t="n"/>
      <c r="BK1034" s="58" t="n"/>
      <c r="BL1034" s="58" t="n"/>
      <c r="BM1034" s="58" t="n"/>
      <c r="BN1034" s="58" t="n"/>
    </row>
    <row r="1035">
      <c r="C1035" s="207" t="n"/>
      <c r="D1035" s="206" t="n"/>
      <c r="E1035" s="206" t="n"/>
      <c r="BK1035" s="58" t="n"/>
      <c r="BL1035" s="58" t="n"/>
      <c r="BM1035" s="58" t="n"/>
      <c r="BN1035" s="58" t="n"/>
    </row>
    <row r="1036">
      <c r="C1036" s="206" t="n"/>
      <c r="D1036" s="206" t="n"/>
      <c r="E1036" s="206" t="n"/>
      <c r="BK1036" s="58" t="n"/>
      <c r="BL1036" s="58" t="n"/>
      <c r="BM1036" s="58" t="n"/>
      <c r="BN1036" s="58" t="n"/>
    </row>
    <row r="1037">
      <c r="C1037" s="207" t="n"/>
      <c r="D1037" s="206" t="n"/>
      <c r="E1037" s="206" t="n"/>
      <c r="BK1037" s="58" t="n"/>
      <c r="BL1037" s="58" t="n"/>
      <c r="BM1037" s="58" t="n"/>
      <c r="BN1037" s="58" t="n"/>
    </row>
    <row r="1038">
      <c r="C1038" s="206" t="n"/>
      <c r="D1038" s="206" t="n"/>
      <c r="E1038" s="206" t="n"/>
      <c r="BK1038" s="58" t="n"/>
      <c r="BL1038" s="58" t="n"/>
      <c r="BM1038" s="58" t="n"/>
      <c r="BN1038" s="58" t="n"/>
    </row>
    <row r="1039">
      <c r="C1039" s="207" t="n"/>
      <c r="D1039" s="206" t="n"/>
      <c r="E1039" s="206" t="n"/>
      <c r="BK1039" s="58" t="n"/>
      <c r="BL1039" s="58" t="n"/>
      <c r="BM1039" s="58" t="n"/>
      <c r="BN1039" s="58" t="n"/>
    </row>
    <row r="1040">
      <c r="C1040" s="206" t="n"/>
      <c r="D1040" s="206" t="n"/>
      <c r="E1040" s="206" t="n"/>
      <c r="BK1040" s="58" t="n"/>
      <c r="BL1040" s="58" t="n"/>
      <c r="BM1040" s="58" t="n"/>
      <c r="BN1040" s="58" t="n"/>
    </row>
    <row r="1041">
      <c r="C1041" s="206" t="n"/>
      <c r="D1041" s="206" t="n"/>
      <c r="E1041" s="206" t="n"/>
      <c r="BK1041" s="58" t="n"/>
      <c r="BL1041" s="58" t="n"/>
      <c r="BM1041" s="58" t="n"/>
      <c r="BN1041" s="58" t="n"/>
    </row>
    <row r="1042">
      <c r="C1042" s="207" t="n"/>
      <c r="D1042" s="206" t="n"/>
      <c r="E1042" s="206" t="n"/>
      <c r="BK1042" s="58" t="n"/>
      <c r="BL1042" s="58" t="n"/>
      <c r="BM1042" s="58" t="n"/>
      <c r="BN1042" s="58" t="n"/>
    </row>
    <row r="1043">
      <c r="C1043" s="206" t="n"/>
      <c r="D1043" s="206" t="n"/>
      <c r="E1043" s="206" t="n"/>
      <c r="BK1043" s="58" t="n"/>
      <c r="BL1043" s="58" t="n"/>
      <c r="BM1043" s="58" t="n"/>
      <c r="BN1043" s="58" t="n"/>
    </row>
    <row r="1044">
      <c r="C1044" s="207" t="n"/>
      <c r="D1044" s="206" t="n"/>
      <c r="E1044" s="206" t="n"/>
      <c r="BK1044" s="58" t="n"/>
      <c r="BL1044" s="58" t="n"/>
      <c r="BM1044" s="58" t="n"/>
      <c r="BN1044" s="58" t="n"/>
    </row>
    <row r="1045">
      <c r="C1045" s="207" t="n"/>
      <c r="D1045" s="206" t="n"/>
      <c r="E1045" s="206" t="n"/>
      <c r="BK1045" s="58" t="n"/>
      <c r="BL1045" s="58" t="n"/>
      <c r="BM1045" s="58" t="n"/>
      <c r="BN1045" s="58" t="n"/>
    </row>
    <row r="1046">
      <c r="C1046" s="206" t="n"/>
      <c r="D1046" s="206" t="n"/>
      <c r="E1046" s="206" t="n"/>
      <c r="BK1046" s="58" t="n"/>
      <c r="BL1046" s="58" t="n"/>
      <c r="BM1046" s="58" t="n"/>
      <c r="BN1046" s="58" t="n"/>
    </row>
    <row r="1047">
      <c r="C1047" s="206" t="n"/>
      <c r="D1047" s="206" t="n"/>
      <c r="E1047" s="206" t="n"/>
      <c r="BK1047" s="58" t="n"/>
      <c r="BL1047" s="58" t="n"/>
      <c r="BM1047" s="58" t="n"/>
      <c r="BN1047" s="58" t="n"/>
    </row>
    <row r="1048">
      <c r="C1048" s="207" t="n"/>
      <c r="D1048" s="206" t="n"/>
      <c r="E1048" s="206" t="n"/>
      <c r="BK1048" s="58" t="n"/>
      <c r="BL1048" s="58" t="n"/>
      <c r="BM1048" s="58" t="n"/>
      <c r="BN1048" s="58" t="n"/>
    </row>
    <row r="1049">
      <c r="C1049" s="206" t="n"/>
      <c r="D1049" s="206" t="n"/>
      <c r="E1049" s="206" t="n"/>
      <c r="BK1049" s="58" t="n"/>
      <c r="BL1049" s="58" t="n"/>
      <c r="BM1049" s="58" t="n"/>
      <c r="BN1049" s="58" t="n"/>
    </row>
    <row r="1050">
      <c r="C1050" s="207" t="n"/>
      <c r="D1050" s="206" t="n"/>
      <c r="E1050" s="206" t="n"/>
      <c r="BK1050" s="58" t="n"/>
      <c r="BL1050" s="58" t="n"/>
      <c r="BM1050" s="58" t="n"/>
      <c r="BN1050" s="58" t="n"/>
    </row>
    <row r="1051">
      <c r="C1051" s="207" t="n"/>
      <c r="D1051" s="206" t="n"/>
      <c r="E1051" s="206" t="n"/>
      <c r="BK1051" s="58" t="n"/>
      <c r="BL1051" s="58" t="n"/>
      <c r="BM1051" s="58" t="n"/>
      <c r="BN1051" s="58" t="n"/>
    </row>
    <row r="1052">
      <c r="C1052" s="206" t="n"/>
      <c r="D1052" s="206" t="n"/>
      <c r="E1052" s="206" t="n"/>
      <c r="BK1052" s="58" t="n"/>
      <c r="BL1052" s="58" t="n"/>
      <c r="BM1052" s="58" t="n"/>
      <c r="BN1052" s="58" t="n"/>
    </row>
    <row r="1053">
      <c r="C1053" s="207" t="n"/>
      <c r="D1053" s="206" t="n"/>
      <c r="E1053" s="206" t="n"/>
      <c r="BK1053" s="58" t="n"/>
      <c r="BL1053" s="58" t="n"/>
      <c r="BM1053" s="58" t="n"/>
      <c r="BN1053" s="58" t="n"/>
    </row>
    <row r="1054">
      <c r="C1054" s="207" t="n"/>
      <c r="D1054" s="206" t="n"/>
      <c r="E1054" s="206" t="n"/>
      <c r="BK1054" s="58" t="n"/>
      <c r="BL1054" s="58" t="n"/>
      <c r="BM1054" s="58" t="n"/>
      <c r="BN1054" s="58" t="n"/>
    </row>
    <row r="1055">
      <c r="C1055" s="206" t="n"/>
      <c r="D1055" s="206" t="n"/>
      <c r="E1055" s="206" t="n"/>
      <c r="BK1055" s="58" t="n"/>
      <c r="BL1055" s="58" t="n"/>
      <c r="BM1055" s="58" t="n"/>
      <c r="BN1055" s="58" t="n"/>
    </row>
    <row r="1056">
      <c r="C1056" s="207" t="n"/>
      <c r="D1056" s="206" t="n"/>
      <c r="E1056" s="206" t="n"/>
      <c r="BK1056" s="58" t="n"/>
      <c r="BL1056" s="58" t="n"/>
      <c r="BM1056" s="58" t="n"/>
      <c r="BN1056" s="58" t="n"/>
    </row>
    <row r="1057">
      <c r="C1057" s="206" t="n"/>
      <c r="D1057" s="206" t="n"/>
      <c r="E1057" s="206" t="n"/>
      <c r="BK1057" s="58" t="n"/>
      <c r="BL1057" s="58" t="n"/>
      <c r="BM1057" s="58" t="n"/>
      <c r="BN1057" s="58" t="n"/>
    </row>
    <row r="1058">
      <c r="C1058" s="206" t="n"/>
      <c r="D1058" s="206" t="n"/>
      <c r="E1058" s="206" t="n"/>
      <c r="BK1058" s="58" t="n"/>
      <c r="BL1058" s="58" t="n"/>
      <c r="BM1058" s="58" t="n"/>
      <c r="BN1058" s="58" t="n"/>
    </row>
    <row r="1059">
      <c r="C1059" s="207" t="n"/>
      <c r="D1059" s="206" t="n"/>
      <c r="E1059" s="206" t="n"/>
      <c r="BK1059" s="58" t="n"/>
      <c r="BL1059" s="58" t="n"/>
      <c r="BM1059" s="58" t="n"/>
      <c r="BN1059" s="58" t="n"/>
    </row>
    <row r="1060">
      <c r="C1060" s="207" t="n"/>
      <c r="D1060" s="206" t="n"/>
      <c r="E1060" s="206" t="n"/>
      <c r="BK1060" s="58" t="n"/>
      <c r="BL1060" s="58" t="n"/>
      <c r="BM1060" s="58" t="n"/>
      <c r="BN1060" s="58" t="n"/>
    </row>
    <row r="1061">
      <c r="C1061" s="207" t="n"/>
      <c r="D1061" s="206" t="n"/>
      <c r="E1061" s="206" t="n"/>
      <c r="BK1061" s="58" t="n"/>
      <c r="BL1061" s="58" t="n"/>
      <c r="BM1061" s="58" t="n"/>
      <c r="BN1061" s="58" t="n"/>
    </row>
    <row r="1062">
      <c r="C1062" s="207" t="n"/>
      <c r="D1062" s="206" t="n"/>
      <c r="E1062" s="206" t="n"/>
      <c r="BK1062" s="58" t="n"/>
      <c r="BL1062" s="58" t="n"/>
      <c r="BM1062" s="58" t="n"/>
      <c r="BN1062" s="58" t="n"/>
    </row>
    <row r="1063">
      <c r="C1063" s="206" t="n"/>
      <c r="D1063" s="206" t="n"/>
      <c r="E1063" s="206" t="n"/>
      <c r="BK1063" s="58" t="n"/>
      <c r="BL1063" s="58" t="n"/>
      <c r="BM1063" s="58" t="n"/>
      <c r="BN1063" s="58" t="n"/>
    </row>
    <row r="1064">
      <c r="C1064" s="207" t="n"/>
      <c r="D1064" s="206" t="n"/>
      <c r="E1064" s="206" t="n"/>
      <c r="BK1064" s="58" t="n"/>
      <c r="BL1064" s="58" t="n"/>
      <c r="BM1064" s="58" t="n"/>
      <c r="BN1064" s="58" t="n"/>
    </row>
    <row r="1065">
      <c r="C1065" s="207" t="n"/>
      <c r="D1065" s="206" t="n"/>
      <c r="E1065" s="206" t="n"/>
      <c r="BK1065" s="58" t="n"/>
      <c r="BL1065" s="58" t="n"/>
      <c r="BM1065" s="58" t="n"/>
      <c r="BN1065" s="58" t="n"/>
    </row>
    <row r="1066">
      <c r="C1066" s="207" t="n"/>
      <c r="D1066" s="206" t="n"/>
      <c r="E1066" s="206" t="n"/>
      <c r="BK1066" s="58" t="n"/>
      <c r="BL1066" s="58" t="n"/>
      <c r="BM1066" s="58" t="n"/>
      <c r="BN1066" s="58" t="n"/>
    </row>
    <row r="1067">
      <c r="C1067" s="206" t="n"/>
      <c r="D1067" s="206" t="n"/>
      <c r="E1067" s="206" t="n"/>
      <c r="BK1067" s="58" t="n"/>
      <c r="BL1067" s="58" t="n"/>
      <c r="BM1067" s="58" t="n"/>
      <c r="BN1067" s="58" t="n"/>
    </row>
    <row r="1068">
      <c r="C1068" s="206" t="n"/>
      <c r="D1068" s="206" t="n"/>
      <c r="E1068" s="206" t="n"/>
      <c r="BK1068" s="58" t="n"/>
      <c r="BL1068" s="58" t="n"/>
      <c r="BM1068" s="58" t="n"/>
      <c r="BN1068" s="58" t="n"/>
    </row>
    <row r="1069">
      <c r="C1069" s="206" t="n"/>
      <c r="D1069" s="206" t="n"/>
      <c r="E1069" s="206" t="n"/>
      <c r="BK1069" s="58" t="n"/>
      <c r="BL1069" s="58" t="n"/>
      <c r="BM1069" s="58" t="n"/>
      <c r="BN1069" s="58" t="n"/>
    </row>
    <row r="1070">
      <c r="C1070" s="207" t="n"/>
      <c r="D1070" s="206" t="n"/>
      <c r="E1070" s="206" t="n"/>
      <c r="BK1070" s="58" t="n"/>
      <c r="BL1070" s="58" t="n"/>
      <c r="BM1070" s="58" t="n"/>
      <c r="BN1070" s="58" t="n"/>
    </row>
    <row r="1071">
      <c r="C1071" s="206" t="n"/>
      <c r="D1071" s="206" t="n"/>
      <c r="E1071" s="206" t="n"/>
      <c r="BK1071" s="58" t="n"/>
      <c r="BL1071" s="58" t="n"/>
      <c r="BM1071" s="58" t="n"/>
      <c r="BN1071" s="58" t="n"/>
    </row>
    <row r="1072">
      <c r="C1072" s="207" t="n"/>
      <c r="D1072" s="206" t="n"/>
      <c r="E1072" s="206" t="n"/>
      <c r="BK1072" s="58" t="n"/>
      <c r="BL1072" s="58" t="n"/>
      <c r="BM1072" s="58" t="n"/>
      <c r="BN1072" s="58" t="n"/>
    </row>
    <row r="1073">
      <c r="C1073" s="207" t="n"/>
      <c r="D1073" s="206" t="n"/>
      <c r="E1073" s="206" t="n"/>
      <c r="BK1073" s="58" t="n"/>
      <c r="BL1073" s="58" t="n"/>
      <c r="BM1073" s="58" t="n"/>
      <c r="BN1073" s="58" t="n"/>
    </row>
    <row r="1074">
      <c r="C1074" s="206" t="n"/>
      <c r="D1074" s="206" t="n"/>
      <c r="E1074" s="206" t="n"/>
      <c r="BK1074" s="58" t="n"/>
      <c r="BL1074" s="58" t="n"/>
      <c r="BM1074" s="58" t="n"/>
      <c r="BN1074" s="58" t="n"/>
    </row>
    <row r="1075">
      <c r="C1075" s="207" t="n"/>
      <c r="D1075" s="206" t="n"/>
      <c r="E1075" s="206" t="n"/>
      <c r="BK1075" s="58" t="n"/>
      <c r="BL1075" s="58" t="n"/>
      <c r="BM1075" s="58" t="n"/>
      <c r="BN1075" s="58" t="n"/>
    </row>
    <row r="1076">
      <c r="C1076" s="206" t="n"/>
      <c r="D1076" s="206" t="n"/>
      <c r="E1076" s="206" t="n"/>
      <c r="BK1076" s="58" t="n"/>
      <c r="BL1076" s="58" t="n"/>
      <c r="BM1076" s="58" t="n"/>
      <c r="BN1076" s="58" t="n"/>
    </row>
    <row r="1077">
      <c r="C1077" s="206" t="n"/>
      <c r="D1077" s="206" t="n"/>
      <c r="E1077" s="206" t="n"/>
      <c r="BK1077" s="58" t="n"/>
      <c r="BL1077" s="58" t="n"/>
      <c r="BM1077" s="58" t="n"/>
      <c r="BN1077" s="58" t="n"/>
    </row>
    <row r="1078">
      <c r="C1078" s="207" t="n"/>
      <c r="D1078" s="206" t="n"/>
      <c r="E1078" s="206" t="n"/>
      <c r="BK1078" s="58" t="n"/>
      <c r="BL1078" s="58" t="n"/>
      <c r="BM1078" s="58" t="n"/>
      <c r="BN1078" s="58" t="n"/>
    </row>
    <row r="1079">
      <c r="C1079" s="206" t="n"/>
      <c r="D1079" s="206" t="n"/>
      <c r="E1079" s="206" t="n"/>
      <c r="BK1079" s="58" t="n"/>
      <c r="BL1079" s="58" t="n"/>
      <c r="BM1079" s="58" t="n"/>
      <c r="BN1079" s="58" t="n"/>
    </row>
    <row r="1080">
      <c r="C1080" s="206" t="n"/>
      <c r="D1080" s="206" t="n"/>
      <c r="E1080" s="206" t="n"/>
      <c r="BK1080" s="58" t="n"/>
      <c r="BL1080" s="58" t="n"/>
      <c r="BM1080" s="58" t="n"/>
      <c r="BN1080" s="58" t="n"/>
    </row>
    <row r="1081">
      <c r="C1081" s="206" t="n"/>
      <c r="D1081" s="206" t="n"/>
      <c r="E1081" s="206" t="n"/>
      <c r="BK1081" s="58" t="n"/>
      <c r="BL1081" s="58" t="n"/>
      <c r="BM1081" s="58" t="n"/>
      <c r="BN1081" s="58" t="n"/>
    </row>
    <row r="1082">
      <c r="C1082" s="207" t="n"/>
      <c r="D1082" s="206" t="n"/>
      <c r="E1082" s="206" t="n"/>
      <c r="BK1082" s="58" t="n"/>
      <c r="BL1082" s="58" t="n"/>
      <c r="BM1082" s="58" t="n"/>
      <c r="BN1082" s="58" t="n"/>
    </row>
    <row r="1083">
      <c r="C1083" s="207" t="n"/>
      <c r="D1083" s="206" t="n"/>
      <c r="E1083" s="206" t="n"/>
      <c r="BK1083" s="58" t="n"/>
      <c r="BL1083" s="58" t="n"/>
      <c r="BM1083" s="58" t="n"/>
      <c r="BN1083" s="58" t="n"/>
    </row>
    <row r="1084">
      <c r="C1084" s="207" t="n"/>
      <c r="D1084" s="206" t="n"/>
      <c r="E1084" s="206" t="n"/>
      <c r="BK1084" s="58" t="n"/>
      <c r="BL1084" s="58" t="n"/>
      <c r="BM1084" s="58" t="n"/>
      <c r="BN1084" s="58" t="n"/>
    </row>
    <row r="1085">
      <c r="C1085" s="206" t="n"/>
      <c r="D1085" s="206" t="n"/>
      <c r="E1085" s="206" t="n"/>
      <c r="BK1085" s="58" t="n"/>
      <c r="BL1085" s="58" t="n"/>
      <c r="BM1085" s="58" t="n"/>
      <c r="BN1085" s="58" t="n"/>
    </row>
    <row r="1086">
      <c r="C1086" s="206" t="n"/>
      <c r="D1086" s="206" t="n"/>
      <c r="E1086" s="206" t="n"/>
      <c r="BK1086" s="58" t="n"/>
      <c r="BL1086" s="58" t="n"/>
      <c r="BM1086" s="58" t="n"/>
      <c r="BN1086" s="58" t="n"/>
    </row>
    <row r="1087">
      <c r="C1087" s="206" t="n"/>
      <c r="D1087" s="206" t="n"/>
      <c r="E1087" s="206" t="n"/>
      <c r="BK1087" s="58" t="n"/>
      <c r="BL1087" s="58" t="n"/>
      <c r="BM1087" s="58" t="n"/>
      <c r="BN1087" s="58" t="n"/>
    </row>
    <row r="1088">
      <c r="C1088" s="206" t="n"/>
      <c r="D1088" s="206" t="n"/>
      <c r="E1088" s="206" t="n"/>
      <c r="BK1088" s="58" t="n"/>
      <c r="BL1088" s="58" t="n"/>
      <c r="BM1088" s="58" t="n"/>
      <c r="BN1088" s="58" t="n"/>
    </row>
    <row r="1089">
      <c r="C1089" s="206" t="n"/>
      <c r="D1089" s="206" t="n"/>
      <c r="E1089" s="206" t="n"/>
      <c r="BK1089" s="58" t="n"/>
      <c r="BL1089" s="58" t="n"/>
      <c r="BM1089" s="58" t="n"/>
      <c r="BN1089" s="58" t="n"/>
    </row>
    <row r="1090">
      <c r="C1090" s="207" t="n"/>
      <c r="D1090" s="206" t="n"/>
      <c r="E1090" s="206" t="n"/>
      <c r="BK1090" s="58" t="n"/>
      <c r="BL1090" s="58" t="n"/>
      <c r="BM1090" s="58" t="n"/>
      <c r="BN1090" s="58" t="n"/>
    </row>
    <row r="1091">
      <c r="C1091" s="206" t="n"/>
      <c r="D1091" s="206" t="n"/>
      <c r="E1091" s="206" t="n"/>
      <c r="BK1091" s="58" t="n"/>
      <c r="BL1091" s="58" t="n"/>
      <c r="BM1091" s="58" t="n"/>
      <c r="BN1091" s="58" t="n"/>
    </row>
    <row r="1092">
      <c r="C1092" s="206" t="n"/>
      <c r="D1092" s="206" t="n"/>
      <c r="E1092" s="206" t="n"/>
      <c r="BK1092" s="58" t="n"/>
      <c r="BL1092" s="58" t="n"/>
      <c r="BM1092" s="58" t="n"/>
      <c r="BN1092" s="58" t="n"/>
    </row>
    <row r="1093">
      <c r="C1093" s="206" t="n"/>
      <c r="D1093" s="206" t="n"/>
      <c r="E1093" s="206" t="n"/>
      <c r="BK1093" s="58" t="n"/>
      <c r="BL1093" s="58" t="n"/>
      <c r="BM1093" s="58" t="n"/>
      <c r="BN1093" s="58" t="n"/>
    </row>
    <row r="1094">
      <c r="C1094" s="206" t="n"/>
      <c r="D1094" s="206" t="n"/>
      <c r="E1094" s="206" t="n"/>
      <c r="BK1094" s="58" t="n"/>
      <c r="BL1094" s="58" t="n"/>
      <c r="BM1094" s="58" t="n"/>
      <c r="BN1094" s="58" t="n"/>
    </row>
    <row r="1095">
      <c r="C1095" s="206" t="n"/>
      <c r="D1095" s="206" t="n"/>
      <c r="E1095" s="206" t="n"/>
      <c r="BK1095" s="58" t="n"/>
      <c r="BL1095" s="58" t="n"/>
      <c r="BM1095" s="58" t="n"/>
      <c r="BN1095" s="58" t="n"/>
    </row>
    <row r="1096">
      <c r="C1096" s="207" t="n"/>
      <c r="D1096" s="206" t="n"/>
      <c r="E1096" s="206" t="n"/>
      <c r="BK1096" s="58" t="n"/>
      <c r="BL1096" s="58" t="n"/>
      <c r="BM1096" s="58" t="n"/>
      <c r="BN1096" s="58" t="n"/>
    </row>
    <row r="1097">
      <c r="C1097" s="206" t="n"/>
      <c r="D1097" s="206" t="n"/>
      <c r="E1097" s="206" t="n"/>
      <c r="BK1097" s="58" t="n"/>
      <c r="BL1097" s="58" t="n"/>
      <c r="BM1097" s="58" t="n"/>
      <c r="BN1097" s="58" t="n"/>
    </row>
    <row r="1098">
      <c r="C1098" s="207" t="n"/>
      <c r="D1098" s="206" t="n"/>
      <c r="E1098" s="206" t="n"/>
      <c r="BK1098" s="58" t="n"/>
      <c r="BL1098" s="58" t="n"/>
      <c r="BM1098" s="58" t="n"/>
      <c r="BN1098" s="58" t="n"/>
    </row>
    <row r="1099">
      <c r="C1099" s="206" t="n"/>
      <c r="D1099" s="206" t="n"/>
      <c r="E1099" s="206" t="n"/>
      <c r="BK1099" s="58" t="n"/>
      <c r="BL1099" s="58" t="n"/>
      <c r="BM1099" s="58" t="n"/>
      <c r="BN1099" s="58" t="n"/>
    </row>
    <row r="1100">
      <c r="C1100" s="207" t="n"/>
      <c r="D1100" s="206" t="n"/>
      <c r="E1100" s="206" t="n"/>
      <c r="BK1100" s="58" t="n"/>
      <c r="BL1100" s="58" t="n"/>
      <c r="BM1100" s="58" t="n"/>
      <c r="BN1100" s="58" t="n"/>
    </row>
    <row r="1101">
      <c r="C1101" s="207" t="n"/>
      <c r="D1101" s="206" t="n"/>
      <c r="E1101" s="206" t="n"/>
      <c r="BK1101" s="58" t="n"/>
      <c r="BL1101" s="58" t="n"/>
      <c r="BM1101" s="58" t="n"/>
      <c r="BN1101" s="58" t="n"/>
    </row>
    <row r="1102">
      <c r="C1102" s="206" t="n"/>
      <c r="D1102" s="206" t="n"/>
      <c r="E1102" s="206" t="n"/>
      <c r="BK1102" s="58" t="n"/>
      <c r="BL1102" s="58" t="n"/>
      <c r="BM1102" s="58" t="n"/>
      <c r="BN1102" s="58" t="n"/>
    </row>
    <row r="1103">
      <c r="C1103" s="206" t="n"/>
      <c r="D1103" s="206" t="n"/>
      <c r="E1103" s="206" t="n"/>
      <c r="BK1103" s="58" t="n"/>
      <c r="BL1103" s="58" t="n"/>
      <c r="BM1103" s="58" t="n"/>
      <c r="BN1103" s="58" t="n"/>
    </row>
    <row r="1104">
      <c r="C1104" s="207" t="n"/>
      <c r="D1104" s="206" t="n"/>
      <c r="E1104" s="206" t="n"/>
      <c r="BK1104" s="58" t="n"/>
      <c r="BL1104" s="58" t="n"/>
      <c r="BM1104" s="58" t="n"/>
      <c r="BN1104" s="58" t="n"/>
    </row>
    <row r="1105">
      <c r="C1105" s="206" t="n"/>
      <c r="D1105" s="206" t="n"/>
      <c r="E1105" s="206" t="n"/>
      <c r="BK1105" s="58" t="n"/>
      <c r="BL1105" s="58" t="n"/>
      <c r="BM1105" s="58" t="n"/>
      <c r="BN1105" s="58" t="n"/>
    </row>
    <row r="1106">
      <c r="C1106" s="206" t="n"/>
      <c r="D1106" s="206" t="n"/>
      <c r="E1106" s="206" t="n"/>
      <c r="BK1106" s="58" t="n"/>
      <c r="BL1106" s="58" t="n"/>
      <c r="BM1106" s="58" t="n"/>
      <c r="BN1106" s="58" t="n"/>
    </row>
    <row r="1107">
      <c r="C1107" s="207" t="n"/>
      <c r="D1107" s="206" t="n"/>
      <c r="E1107" s="206" t="n"/>
      <c r="BK1107" s="58" t="n"/>
      <c r="BL1107" s="58" t="n"/>
      <c r="BM1107" s="58" t="n"/>
      <c r="BN1107" s="58" t="n"/>
    </row>
    <row r="1108">
      <c r="C1108" s="207" t="n"/>
      <c r="D1108" s="206" t="n"/>
      <c r="E1108" s="206" t="n"/>
      <c r="BK1108" s="58" t="n"/>
      <c r="BL1108" s="58" t="n"/>
      <c r="BM1108" s="58" t="n"/>
      <c r="BN1108" s="58" t="n"/>
    </row>
    <row r="1109">
      <c r="C1109" s="206" t="n"/>
      <c r="D1109" s="206" t="n"/>
      <c r="E1109" s="206" t="n"/>
      <c r="BK1109" s="58" t="n"/>
      <c r="BL1109" s="58" t="n"/>
      <c r="BM1109" s="58" t="n"/>
      <c r="BN1109" s="58" t="n"/>
    </row>
    <row r="1110">
      <c r="C1110" s="206" t="n"/>
      <c r="D1110" s="206" t="n"/>
      <c r="E1110" s="206" t="n"/>
      <c r="BK1110" s="58" t="n"/>
      <c r="BL1110" s="58" t="n"/>
      <c r="BM1110" s="58" t="n"/>
      <c r="BN1110" s="58" t="n"/>
    </row>
    <row r="1111">
      <c r="C1111" s="206" t="n"/>
      <c r="D1111" s="206" t="n"/>
      <c r="E1111" s="206" t="n"/>
      <c r="BK1111" s="58" t="n"/>
      <c r="BL1111" s="58" t="n"/>
      <c r="BM1111" s="58" t="n"/>
      <c r="BN1111" s="58" t="n"/>
    </row>
    <row r="1112">
      <c r="C1112" s="206" t="n"/>
      <c r="D1112" s="206" t="n"/>
      <c r="E1112" s="206" t="n"/>
      <c r="BK1112" s="58" t="n"/>
      <c r="BL1112" s="58" t="n"/>
      <c r="BM1112" s="58" t="n"/>
      <c r="BN1112" s="58" t="n"/>
    </row>
    <row r="1113">
      <c r="C1113" s="207" t="n"/>
      <c r="D1113" s="206" t="n"/>
      <c r="E1113" s="206" t="n"/>
      <c r="BK1113" s="58" t="n"/>
      <c r="BL1113" s="58" t="n"/>
      <c r="BM1113" s="58" t="n"/>
      <c r="BN1113" s="58" t="n"/>
    </row>
    <row r="1114">
      <c r="C1114" s="207" t="n"/>
      <c r="D1114" s="206" t="n"/>
      <c r="E1114" s="206" t="n"/>
      <c r="BK1114" s="58" t="n"/>
      <c r="BL1114" s="58" t="n"/>
      <c r="BM1114" s="58" t="n"/>
      <c r="BN1114" s="58" t="n"/>
    </row>
    <row r="1115">
      <c r="C1115" s="207" t="n"/>
      <c r="D1115" s="206" t="n"/>
      <c r="E1115" s="206" t="n"/>
      <c r="BK1115" s="58" t="n"/>
      <c r="BL1115" s="58" t="n"/>
      <c r="BM1115" s="58" t="n"/>
      <c r="BN1115" s="58" t="n"/>
    </row>
    <row r="1116">
      <c r="C1116" s="207" t="n"/>
      <c r="D1116" s="206" t="n"/>
      <c r="E1116" s="206" t="n"/>
      <c r="BK1116" s="58" t="n"/>
      <c r="BL1116" s="58" t="n"/>
      <c r="BM1116" s="58" t="n"/>
      <c r="BN1116" s="58" t="n"/>
    </row>
    <row r="1117">
      <c r="C1117" s="207" t="n"/>
      <c r="D1117" s="206" t="n"/>
      <c r="E1117" s="206" t="n"/>
      <c r="BK1117" s="58" t="n"/>
      <c r="BL1117" s="58" t="n"/>
      <c r="BM1117" s="58" t="n"/>
      <c r="BN1117" s="58" t="n"/>
    </row>
    <row r="1118">
      <c r="C1118" s="207" t="n"/>
      <c r="D1118" s="206" t="n"/>
      <c r="E1118" s="206" t="n"/>
      <c r="BK1118" s="58" t="n"/>
      <c r="BL1118" s="58" t="n"/>
      <c r="BM1118" s="58" t="n"/>
      <c r="BN1118" s="58" t="n"/>
    </row>
    <row r="1119">
      <c r="C1119" s="206" t="n"/>
      <c r="D1119" s="206" t="n"/>
      <c r="E1119" s="206" t="n"/>
      <c r="BK1119" s="58" t="n"/>
      <c r="BL1119" s="58" t="n"/>
      <c r="BM1119" s="58" t="n"/>
      <c r="BN1119" s="58" t="n"/>
    </row>
    <row r="1120">
      <c r="C1120" s="206" t="n"/>
      <c r="D1120" s="206" t="n"/>
      <c r="E1120" s="206" t="n"/>
      <c r="BK1120" s="58" t="n"/>
      <c r="BL1120" s="58" t="n"/>
      <c r="BM1120" s="58" t="n"/>
      <c r="BN1120" s="58" t="n"/>
    </row>
    <row r="1121">
      <c r="C1121" s="206" t="n"/>
      <c r="D1121" s="206" t="n"/>
      <c r="E1121" s="206" t="n"/>
      <c r="BK1121" s="58" t="n"/>
      <c r="BL1121" s="58" t="n"/>
      <c r="BM1121" s="58" t="n"/>
      <c r="BN1121" s="58" t="n"/>
    </row>
    <row r="1122">
      <c r="C1122" s="206" t="n"/>
      <c r="D1122" s="206" t="n"/>
      <c r="E1122" s="206" t="n"/>
      <c r="BK1122" s="58" t="n"/>
      <c r="BL1122" s="58" t="n"/>
      <c r="BM1122" s="58" t="n"/>
      <c r="BN1122" s="58" t="n"/>
    </row>
    <row r="1123">
      <c r="C1123" s="207" t="n"/>
      <c r="D1123" s="206" t="n"/>
      <c r="E1123" s="206" t="n"/>
      <c r="BK1123" s="58" t="n"/>
      <c r="BL1123" s="58" t="n"/>
      <c r="BM1123" s="58" t="n"/>
      <c r="BN1123" s="58" t="n"/>
    </row>
    <row r="1124">
      <c r="C1124" s="207" t="n"/>
      <c r="D1124" s="206" t="n"/>
      <c r="E1124" s="206" t="n"/>
      <c r="BK1124" s="58" t="n"/>
      <c r="BL1124" s="58" t="n"/>
      <c r="BM1124" s="58" t="n"/>
      <c r="BN1124" s="58" t="n"/>
    </row>
    <row r="1125">
      <c r="C1125" s="206" t="n"/>
      <c r="D1125" s="206" t="n"/>
      <c r="E1125" s="206" t="n"/>
      <c r="BK1125" s="58" t="n"/>
      <c r="BL1125" s="58" t="n"/>
      <c r="BM1125" s="58" t="n"/>
      <c r="BN1125" s="58" t="n"/>
    </row>
    <row r="1126">
      <c r="C1126" s="206" t="n"/>
      <c r="D1126" s="206" t="n"/>
      <c r="E1126" s="206" t="n"/>
      <c r="BK1126" s="58" t="n"/>
      <c r="BL1126" s="58" t="n"/>
      <c r="BM1126" s="58" t="n"/>
      <c r="BN1126" s="58" t="n"/>
    </row>
    <row r="1127">
      <c r="C1127" s="206" t="n"/>
      <c r="D1127" s="206" t="n"/>
      <c r="E1127" s="206" t="n"/>
      <c r="BK1127" s="58" t="n"/>
      <c r="BL1127" s="58" t="n"/>
      <c r="BM1127" s="58" t="n"/>
      <c r="BN1127" s="58" t="n"/>
    </row>
    <row r="1128">
      <c r="C1128" s="206" t="n"/>
      <c r="D1128" s="206" t="n"/>
      <c r="E1128" s="206" t="n"/>
      <c r="BK1128" s="58" t="n"/>
      <c r="BL1128" s="58" t="n"/>
      <c r="BM1128" s="58" t="n"/>
      <c r="BN1128" s="58" t="n"/>
    </row>
    <row r="1129">
      <c r="C1129" s="206" t="n"/>
      <c r="D1129" s="206" t="n"/>
      <c r="E1129" s="206" t="n"/>
      <c r="BK1129" s="58" t="n"/>
      <c r="BL1129" s="58" t="n"/>
      <c r="BM1129" s="58" t="n"/>
      <c r="BN1129" s="58" t="n"/>
    </row>
    <row r="1130">
      <c r="C1130" s="207" t="n"/>
      <c r="D1130" s="206" t="n"/>
      <c r="E1130" s="206" t="n"/>
      <c r="BK1130" s="58" t="n"/>
      <c r="BL1130" s="58" t="n"/>
      <c r="BM1130" s="58" t="n"/>
      <c r="BN1130" s="58" t="n"/>
    </row>
    <row r="1131">
      <c r="C1131" s="206" t="n"/>
      <c r="D1131" s="206" t="n"/>
      <c r="E1131" s="206" t="n"/>
      <c r="BK1131" s="58" t="n"/>
      <c r="BL1131" s="58" t="n"/>
      <c r="BM1131" s="58" t="n"/>
      <c r="BN1131" s="58" t="n"/>
    </row>
    <row r="1132">
      <c r="C1132" s="207" t="n"/>
      <c r="D1132" s="206" t="n"/>
      <c r="E1132" s="206" t="n"/>
      <c r="BK1132" s="58" t="n"/>
      <c r="BL1132" s="58" t="n"/>
      <c r="BM1132" s="58" t="n"/>
      <c r="BN1132" s="58" t="n"/>
    </row>
    <row r="1133">
      <c r="C1133" s="207" t="n"/>
      <c r="D1133" s="206" t="n"/>
      <c r="E1133" s="206" t="n"/>
      <c r="BK1133" s="58" t="n"/>
      <c r="BL1133" s="58" t="n"/>
      <c r="BM1133" s="58" t="n"/>
      <c r="BN1133" s="58" t="n"/>
    </row>
    <row r="1134">
      <c r="C1134" s="207" t="n"/>
      <c r="D1134" s="206" t="n"/>
      <c r="E1134" s="206" t="n"/>
      <c r="BK1134" s="58" t="n"/>
      <c r="BL1134" s="58" t="n"/>
      <c r="BM1134" s="58" t="n"/>
      <c r="BN1134" s="58" t="n"/>
    </row>
    <row r="1135">
      <c r="C1135" s="206" t="n"/>
      <c r="D1135" s="206" t="n"/>
      <c r="E1135" s="206" t="n"/>
      <c r="BK1135" s="58" t="n"/>
      <c r="BL1135" s="58" t="n"/>
      <c r="BM1135" s="58" t="n"/>
      <c r="BN1135" s="58" t="n"/>
    </row>
    <row r="1136">
      <c r="C1136" s="207" t="n"/>
      <c r="D1136" s="206" t="n"/>
      <c r="E1136" s="206" t="n"/>
      <c r="BK1136" s="58" t="n"/>
      <c r="BL1136" s="58" t="n"/>
      <c r="BM1136" s="58" t="n"/>
      <c r="BN1136" s="58" t="n"/>
    </row>
    <row r="1137">
      <c r="C1137" s="206" t="n"/>
      <c r="D1137" s="206" t="n"/>
      <c r="E1137" s="206" t="n"/>
      <c r="BK1137" s="58" t="n"/>
      <c r="BL1137" s="58" t="n"/>
      <c r="BM1137" s="58" t="n"/>
      <c r="BN1137" s="58" t="n"/>
    </row>
    <row r="1138">
      <c r="C1138" s="206" t="n"/>
      <c r="D1138" s="206" t="n"/>
      <c r="E1138" s="206" t="n"/>
      <c r="BK1138" s="58" t="n"/>
      <c r="BL1138" s="58" t="n"/>
      <c r="BM1138" s="58" t="n"/>
      <c r="BN1138" s="58" t="n"/>
    </row>
    <row r="1139">
      <c r="C1139" s="207" t="n"/>
      <c r="D1139" s="206" t="n"/>
      <c r="E1139" s="206" t="n"/>
      <c r="BK1139" s="58" t="n"/>
      <c r="BL1139" s="58" t="n"/>
      <c r="BM1139" s="58" t="n"/>
      <c r="BN1139" s="58" t="n"/>
    </row>
    <row r="1140">
      <c r="C1140" s="206" t="n"/>
      <c r="D1140" s="206" t="n"/>
      <c r="E1140" s="206" t="n"/>
      <c r="BK1140" s="58" t="n"/>
      <c r="BL1140" s="58" t="n"/>
      <c r="BM1140" s="58" t="n"/>
      <c r="BN1140" s="58" t="n"/>
    </row>
    <row r="1141">
      <c r="C1141" s="206" t="n"/>
      <c r="D1141" s="206" t="n"/>
      <c r="E1141" s="206" t="n"/>
      <c r="BK1141" s="58" t="n"/>
      <c r="BL1141" s="58" t="n"/>
      <c r="BM1141" s="58" t="n"/>
      <c r="BN1141" s="58" t="n"/>
    </row>
    <row r="1142">
      <c r="C1142" s="206" t="n"/>
      <c r="D1142" s="206" t="n"/>
      <c r="E1142" s="206" t="n"/>
      <c r="BK1142" s="58" t="n"/>
      <c r="BL1142" s="58" t="n"/>
      <c r="BM1142" s="58" t="n"/>
      <c r="BN1142" s="58" t="n"/>
    </row>
    <row r="1143">
      <c r="C1143" s="206" t="n"/>
      <c r="D1143" s="206" t="n"/>
      <c r="E1143" s="206" t="n"/>
      <c r="BK1143" s="58" t="n"/>
      <c r="BL1143" s="58" t="n"/>
      <c r="BM1143" s="58" t="n"/>
      <c r="BN1143" s="58" t="n"/>
    </row>
    <row r="1144">
      <c r="C1144" s="206" t="n"/>
      <c r="D1144" s="206" t="n"/>
      <c r="E1144" s="206" t="n"/>
      <c r="BK1144" s="58" t="n"/>
      <c r="BL1144" s="58" t="n"/>
      <c r="BM1144" s="58" t="n"/>
      <c r="BN1144" s="58" t="n"/>
    </row>
    <row r="1145">
      <c r="C1145" s="207" t="n"/>
      <c r="D1145" s="206" t="n"/>
      <c r="E1145" s="206" t="n"/>
      <c r="BK1145" s="58" t="n"/>
      <c r="BL1145" s="58" t="n"/>
      <c r="BM1145" s="58" t="n"/>
      <c r="BN1145" s="58" t="n"/>
    </row>
    <row r="1146">
      <c r="C1146" s="207" t="n"/>
      <c r="D1146" s="206" t="n"/>
      <c r="E1146" s="206" t="n"/>
      <c r="BK1146" s="58" t="n"/>
      <c r="BL1146" s="58" t="n"/>
      <c r="BM1146" s="58" t="n"/>
      <c r="BN1146" s="58" t="n"/>
    </row>
    <row r="1147">
      <c r="C1147" s="207" t="n"/>
      <c r="D1147" s="206" t="n"/>
      <c r="E1147" s="206" t="n"/>
      <c r="BK1147" s="58" t="n"/>
      <c r="BL1147" s="58" t="n"/>
      <c r="BM1147" s="58" t="n"/>
      <c r="BN1147" s="58" t="n"/>
    </row>
    <row r="1148">
      <c r="C1148" s="206" t="n"/>
      <c r="D1148" s="206" t="n"/>
      <c r="E1148" s="206" t="n"/>
      <c r="BK1148" s="58" t="n"/>
      <c r="BL1148" s="58" t="n"/>
      <c r="BM1148" s="58" t="n"/>
      <c r="BN1148" s="58" t="n"/>
    </row>
    <row r="1149">
      <c r="C1149" s="207" t="n"/>
      <c r="D1149" s="206" t="n"/>
      <c r="E1149" s="206" t="n"/>
      <c r="BK1149" s="58" t="n"/>
      <c r="BL1149" s="58" t="n"/>
      <c r="BM1149" s="58" t="n"/>
      <c r="BN1149" s="58" t="n"/>
    </row>
    <row r="1150">
      <c r="C1150" s="207" t="n"/>
      <c r="D1150" s="206" t="n"/>
      <c r="E1150" s="206" t="n"/>
      <c r="BK1150" s="58" t="n"/>
      <c r="BL1150" s="58" t="n"/>
      <c r="BM1150" s="58" t="n"/>
      <c r="BN1150" s="58" t="n"/>
    </row>
    <row r="1151">
      <c r="C1151" s="207" t="n"/>
      <c r="D1151" s="206" t="n"/>
      <c r="E1151" s="206" t="n"/>
      <c r="BK1151" s="58" t="n"/>
      <c r="BL1151" s="58" t="n"/>
      <c r="BM1151" s="58" t="n"/>
      <c r="BN1151" s="58" t="n"/>
    </row>
    <row r="1152">
      <c r="C1152" s="206" t="n"/>
      <c r="D1152" s="206" t="n"/>
      <c r="E1152" s="206" t="n"/>
      <c r="BK1152" s="58" t="n"/>
      <c r="BL1152" s="58" t="n"/>
      <c r="BM1152" s="58" t="n"/>
      <c r="BN1152" s="58" t="n"/>
    </row>
    <row r="1153">
      <c r="C1153" s="206" t="n"/>
      <c r="D1153" s="206" t="n"/>
      <c r="E1153" s="206" t="n"/>
      <c r="BK1153" s="58" t="n"/>
      <c r="BL1153" s="58" t="n"/>
      <c r="BM1153" s="58" t="n"/>
      <c r="BN1153" s="58" t="n"/>
    </row>
    <row r="1154">
      <c r="C1154" s="206" t="n"/>
      <c r="D1154" s="206" t="n"/>
      <c r="E1154" s="206" t="n"/>
      <c r="BK1154" s="58" t="n"/>
      <c r="BL1154" s="58" t="n"/>
      <c r="BM1154" s="58" t="n"/>
      <c r="BN1154" s="58" t="n"/>
    </row>
    <row r="1155">
      <c r="C1155" s="207" t="n"/>
      <c r="D1155" s="206" t="n"/>
      <c r="E1155" s="206" t="n"/>
      <c r="BK1155" s="58" t="n"/>
      <c r="BL1155" s="58" t="n"/>
      <c r="BM1155" s="58" t="n"/>
      <c r="BN1155" s="58" t="n"/>
    </row>
    <row r="1156">
      <c r="C1156" s="207" t="n"/>
      <c r="D1156" s="206" t="n"/>
      <c r="E1156" s="206" t="n"/>
      <c r="BK1156" s="58" t="n"/>
      <c r="BL1156" s="58" t="n"/>
      <c r="BM1156" s="58" t="n"/>
      <c r="BN1156" s="58" t="n"/>
    </row>
    <row r="1157">
      <c r="C1157" s="206" t="n"/>
      <c r="D1157" s="206" t="n"/>
      <c r="E1157" s="206" t="n"/>
      <c r="BK1157" s="58" t="n"/>
      <c r="BL1157" s="58" t="n"/>
      <c r="BM1157" s="58" t="n"/>
      <c r="BN1157" s="58" t="n"/>
    </row>
    <row r="1158">
      <c r="C1158" s="206" t="n"/>
      <c r="D1158" s="206" t="n"/>
      <c r="E1158" s="206" t="n"/>
      <c r="BK1158" s="58" t="n"/>
      <c r="BL1158" s="58" t="n"/>
      <c r="BM1158" s="58" t="n"/>
      <c r="BN1158" s="58" t="n"/>
    </row>
    <row r="1159">
      <c r="C1159" s="206" t="n"/>
      <c r="D1159" s="206" t="n"/>
      <c r="E1159" s="206" t="n"/>
      <c r="BK1159" s="58" t="n"/>
      <c r="BL1159" s="58" t="n"/>
      <c r="BM1159" s="58" t="n"/>
      <c r="BN1159" s="58" t="n"/>
    </row>
    <row r="1160">
      <c r="C1160" s="206" t="n"/>
      <c r="D1160" s="206" t="n"/>
      <c r="E1160" s="206" t="n"/>
      <c r="BK1160" s="58" t="n"/>
      <c r="BL1160" s="58" t="n"/>
      <c r="BM1160" s="58" t="n"/>
      <c r="BN1160" s="58" t="n"/>
    </row>
    <row r="1161">
      <c r="C1161" s="207" t="n"/>
      <c r="D1161" s="206" t="n"/>
      <c r="E1161" s="206" t="n"/>
      <c r="BK1161" s="58" t="n"/>
      <c r="BL1161" s="58" t="n"/>
      <c r="BM1161" s="58" t="n"/>
      <c r="BN1161" s="58" t="n"/>
    </row>
    <row r="1162">
      <c r="C1162" s="206" t="n"/>
      <c r="D1162" s="206" t="n"/>
      <c r="E1162" s="206" t="n"/>
      <c r="BK1162" s="58" t="n"/>
      <c r="BL1162" s="58" t="n"/>
      <c r="BM1162" s="58" t="n"/>
      <c r="BN1162" s="58" t="n"/>
    </row>
    <row r="1163">
      <c r="C1163" s="206" t="n"/>
      <c r="D1163" s="206" t="n"/>
      <c r="E1163" s="206" t="n"/>
      <c r="BK1163" s="58" t="n"/>
      <c r="BL1163" s="58" t="n"/>
      <c r="BM1163" s="58" t="n"/>
      <c r="BN1163" s="58" t="n"/>
    </row>
    <row r="1164">
      <c r="C1164" s="206" t="n"/>
      <c r="D1164" s="206" t="n"/>
      <c r="E1164" s="206" t="n"/>
      <c r="BK1164" s="58" t="n"/>
      <c r="BL1164" s="58" t="n"/>
      <c r="BM1164" s="58" t="n"/>
      <c r="BN1164" s="58" t="n"/>
    </row>
    <row r="1165">
      <c r="C1165" s="207" t="n"/>
      <c r="D1165" s="206" t="n"/>
      <c r="E1165" s="206" t="n"/>
      <c r="BK1165" s="58" t="n"/>
      <c r="BL1165" s="58" t="n"/>
      <c r="BM1165" s="58" t="n"/>
      <c r="BN1165" s="58" t="n"/>
    </row>
    <row r="1166">
      <c r="C1166" s="206" t="n"/>
      <c r="D1166" s="206" t="n"/>
      <c r="E1166" s="206" t="n"/>
      <c r="BK1166" s="58" t="n"/>
      <c r="BL1166" s="58" t="n"/>
      <c r="BM1166" s="58" t="n"/>
      <c r="BN1166" s="58" t="n"/>
    </row>
    <row r="1167">
      <c r="C1167" s="206" t="n"/>
      <c r="D1167" s="206" t="n"/>
      <c r="E1167" s="206" t="n"/>
      <c r="BK1167" s="58" t="n"/>
      <c r="BL1167" s="58" t="n"/>
      <c r="BM1167" s="58" t="n"/>
      <c r="BN1167" s="58" t="n"/>
    </row>
    <row r="1168">
      <c r="C1168" s="207" t="n"/>
      <c r="D1168" s="206" t="n"/>
      <c r="E1168" s="206" t="n"/>
      <c r="BK1168" s="58" t="n"/>
      <c r="BL1168" s="58" t="n"/>
      <c r="BM1168" s="58" t="n"/>
      <c r="BN1168" s="58" t="n"/>
    </row>
    <row r="1169">
      <c r="C1169" s="206" t="n"/>
      <c r="D1169" s="206" t="n"/>
      <c r="E1169" s="206" t="n"/>
      <c r="BK1169" s="58" t="n"/>
      <c r="BL1169" s="58" t="n"/>
      <c r="BM1169" s="58" t="n"/>
      <c r="BN1169" s="58" t="n"/>
    </row>
    <row r="1170">
      <c r="C1170" s="206" t="n"/>
      <c r="D1170" s="206" t="n"/>
      <c r="E1170" s="206" t="n"/>
      <c r="BK1170" s="58" t="n"/>
      <c r="BL1170" s="58" t="n"/>
      <c r="BM1170" s="58" t="n"/>
      <c r="BN1170" s="58" t="n"/>
    </row>
    <row r="1171">
      <c r="C1171" s="206" t="n"/>
      <c r="D1171" s="206" t="n"/>
      <c r="E1171" s="206" t="n"/>
      <c r="BK1171" s="58" t="n"/>
      <c r="BL1171" s="58" t="n"/>
      <c r="BM1171" s="58" t="n"/>
      <c r="BN1171" s="58" t="n"/>
    </row>
    <row r="1172">
      <c r="C1172" s="206" t="n"/>
      <c r="D1172" s="206" t="n"/>
      <c r="E1172" s="206" t="n"/>
      <c r="BK1172" s="58" t="n"/>
      <c r="BL1172" s="58" t="n"/>
      <c r="BM1172" s="58" t="n"/>
      <c r="BN1172" s="58" t="n"/>
    </row>
    <row r="1173">
      <c r="C1173" s="207" t="n"/>
      <c r="D1173" s="206" t="n"/>
      <c r="E1173" s="206" t="n"/>
      <c r="BK1173" s="58" t="n"/>
      <c r="BL1173" s="58" t="n"/>
      <c r="BM1173" s="58" t="n"/>
      <c r="BN1173" s="58" t="n"/>
    </row>
    <row r="1174">
      <c r="C1174" s="206" t="n"/>
      <c r="D1174" s="206" t="n"/>
      <c r="E1174" s="206" t="n"/>
      <c r="BK1174" s="58" t="n"/>
      <c r="BL1174" s="58" t="n"/>
      <c r="BM1174" s="58" t="n"/>
      <c r="BN1174" s="58" t="n"/>
    </row>
    <row r="1175">
      <c r="C1175" s="207" t="n"/>
      <c r="D1175" s="206" t="n"/>
      <c r="E1175" s="206" t="n"/>
      <c r="BK1175" s="58" t="n"/>
      <c r="BL1175" s="58" t="n"/>
      <c r="BM1175" s="58" t="n"/>
      <c r="BN1175" s="58" t="n"/>
    </row>
    <row r="1176">
      <c r="C1176" s="206" t="n"/>
      <c r="D1176" s="206" t="n"/>
      <c r="E1176" s="206" t="n"/>
      <c r="BK1176" s="58" t="n"/>
      <c r="BL1176" s="58" t="n"/>
      <c r="BM1176" s="58" t="n"/>
      <c r="BN1176" s="58" t="n"/>
    </row>
    <row r="1177">
      <c r="C1177" s="206" t="n"/>
      <c r="D1177" s="206" t="n"/>
      <c r="E1177" s="206" t="n"/>
      <c r="BK1177" s="58" t="n"/>
      <c r="BL1177" s="58" t="n"/>
      <c r="BM1177" s="58" t="n"/>
      <c r="BN1177" s="58" t="n"/>
    </row>
    <row r="1178">
      <c r="C1178" s="206" t="n"/>
      <c r="D1178" s="206" t="n"/>
      <c r="E1178" s="206" t="n"/>
      <c r="BK1178" s="58" t="n"/>
      <c r="BL1178" s="58" t="n"/>
      <c r="BM1178" s="58" t="n"/>
      <c r="BN1178" s="58" t="n"/>
    </row>
    <row r="1179">
      <c r="C1179" s="206" t="n"/>
      <c r="D1179" s="206" t="n"/>
      <c r="E1179" s="206" t="n"/>
      <c r="BK1179" s="58" t="n"/>
      <c r="BL1179" s="58" t="n"/>
      <c r="BM1179" s="58" t="n"/>
      <c r="BN1179" s="58" t="n"/>
    </row>
    <row r="1180">
      <c r="C1180" s="207" t="n"/>
      <c r="D1180" s="206" t="n"/>
      <c r="E1180" s="206" t="n"/>
      <c r="BK1180" s="58" t="n"/>
      <c r="BL1180" s="58" t="n"/>
      <c r="BM1180" s="58" t="n"/>
      <c r="BN1180" s="58" t="n"/>
    </row>
    <row r="1181">
      <c r="C1181" s="207" t="n"/>
      <c r="D1181" s="206" t="n"/>
      <c r="E1181" s="206" t="n"/>
      <c r="BK1181" s="58" t="n"/>
      <c r="BL1181" s="58" t="n"/>
      <c r="BM1181" s="58" t="n"/>
      <c r="BN1181" s="58" t="n"/>
    </row>
    <row r="1182">
      <c r="C1182" s="206" t="n"/>
      <c r="D1182" s="206" t="n"/>
      <c r="E1182" s="206" t="n"/>
      <c r="BK1182" s="58" t="n"/>
      <c r="BL1182" s="58" t="n"/>
      <c r="BM1182" s="58" t="n"/>
      <c r="BN1182" s="58" t="n"/>
    </row>
    <row r="1183">
      <c r="C1183" s="207" t="n"/>
      <c r="D1183" s="206" t="n"/>
      <c r="E1183" s="206" t="n"/>
      <c r="BK1183" s="58" t="n"/>
      <c r="BL1183" s="58" t="n"/>
      <c r="BM1183" s="58" t="n"/>
      <c r="BN1183" s="58" t="n"/>
    </row>
    <row r="1184">
      <c r="C1184" s="206" t="n"/>
      <c r="D1184" s="206" t="n"/>
      <c r="E1184" s="206" t="n"/>
      <c r="BK1184" s="58" t="n"/>
      <c r="BL1184" s="58" t="n"/>
      <c r="BM1184" s="58" t="n"/>
      <c r="BN1184" s="58" t="n"/>
    </row>
    <row r="1185">
      <c r="C1185" s="206" t="n"/>
      <c r="D1185" s="206" t="n"/>
      <c r="E1185" s="206" t="n"/>
      <c r="BK1185" s="58" t="n"/>
      <c r="BL1185" s="58" t="n"/>
      <c r="BM1185" s="58" t="n"/>
      <c r="BN1185" s="58" t="n"/>
    </row>
    <row r="1186">
      <c r="C1186" s="206" t="n"/>
      <c r="D1186" s="206" t="n"/>
      <c r="E1186" s="206" t="n"/>
      <c r="BK1186" s="58" t="n"/>
      <c r="BL1186" s="58" t="n"/>
      <c r="BM1186" s="58" t="n"/>
      <c r="BN1186" s="58" t="n"/>
    </row>
    <row r="1187">
      <c r="C1187" s="206" t="n"/>
      <c r="D1187" s="206" t="n"/>
      <c r="E1187" s="206" t="n"/>
      <c r="BK1187" s="58" t="n"/>
      <c r="BL1187" s="58" t="n"/>
      <c r="BM1187" s="58" t="n"/>
      <c r="BN1187" s="58" t="n"/>
    </row>
    <row r="1188">
      <c r="C1188" s="206" t="n"/>
      <c r="D1188" s="206" t="n"/>
      <c r="E1188" s="206" t="n"/>
      <c r="BK1188" s="58" t="n"/>
      <c r="BL1188" s="58" t="n"/>
      <c r="BM1188" s="58" t="n"/>
      <c r="BN1188" s="58" t="n"/>
    </row>
    <row r="1189">
      <c r="C1189" s="207" t="n"/>
      <c r="D1189" s="206" t="n"/>
      <c r="E1189" s="206" t="n"/>
      <c r="BK1189" s="58" t="n"/>
      <c r="BL1189" s="58" t="n"/>
      <c r="BM1189" s="58" t="n"/>
      <c r="BN1189" s="58" t="n"/>
    </row>
    <row r="1190">
      <c r="C1190" s="207" t="n"/>
      <c r="D1190" s="206" t="n"/>
      <c r="E1190" s="206" t="n"/>
      <c r="BK1190" s="58" t="n"/>
      <c r="BL1190" s="58" t="n"/>
      <c r="BM1190" s="58" t="n"/>
      <c r="BN1190" s="58" t="n"/>
    </row>
    <row r="1191">
      <c r="C1191" s="206" t="n"/>
      <c r="D1191" s="206" t="n"/>
      <c r="E1191" s="206" t="n"/>
      <c r="BK1191" s="58" t="n"/>
      <c r="BL1191" s="58" t="n"/>
      <c r="BM1191" s="58" t="n"/>
      <c r="BN1191" s="58" t="n"/>
    </row>
    <row r="1192">
      <c r="C1192" s="207" t="n"/>
      <c r="D1192" s="206" t="n"/>
      <c r="E1192" s="206" t="n"/>
      <c r="BK1192" s="58" t="n"/>
      <c r="BL1192" s="58" t="n"/>
      <c r="BM1192" s="58" t="n"/>
      <c r="BN1192" s="58" t="n"/>
    </row>
    <row r="1193">
      <c r="C1193" s="206" t="n"/>
      <c r="D1193" s="206" t="n"/>
      <c r="E1193" s="206" t="n"/>
      <c r="BK1193" s="58" t="n"/>
      <c r="BL1193" s="58" t="n"/>
      <c r="BM1193" s="58" t="n"/>
      <c r="BN1193" s="58" t="n"/>
    </row>
    <row r="1194">
      <c r="C1194" s="206" t="n"/>
      <c r="D1194" s="206" t="n"/>
      <c r="E1194" s="206" t="n"/>
      <c r="BK1194" s="58" t="n"/>
      <c r="BL1194" s="58" t="n"/>
      <c r="BM1194" s="58" t="n"/>
      <c r="BN1194" s="58" t="n"/>
    </row>
    <row r="1195">
      <c r="C1195" s="207" t="n"/>
      <c r="D1195" s="206" t="n"/>
      <c r="E1195" s="206" t="n"/>
      <c r="BK1195" s="58" t="n"/>
      <c r="BL1195" s="58" t="n"/>
      <c r="BM1195" s="58" t="n"/>
      <c r="BN1195" s="58" t="n"/>
    </row>
    <row r="1196">
      <c r="C1196" s="207" t="n"/>
      <c r="D1196" s="206" t="n"/>
      <c r="E1196" s="206" t="n"/>
      <c r="BK1196" s="58" t="n"/>
      <c r="BL1196" s="58" t="n"/>
      <c r="BM1196" s="58" t="n"/>
      <c r="BN1196" s="58" t="n"/>
    </row>
    <row r="1197">
      <c r="C1197" s="207" t="n"/>
      <c r="D1197" s="206" t="n"/>
      <c r="E1197" s="206" t="n"/>
      <c r="BK1197" s="58" t="n"/>
      <c r="BL1197" s="58" t="n"/>
      <c r="BM1197" s="58" t="n"/>
      <c r="BN1197" s="58" t="n"/>
    </row>
    <row r="1198">
      <c r="C1198" s="207" t="n"/>
      <c r="D1198" s="206" t="n"/>
      <c r="E1198" s="206" t="n"/>
      <c r="BK1198" s="58" t="n"/>
      <c r="BL1198" s="58" t="n"/>
      <c r="BM1198" s="58" t="n"/>
      <c r="BN1198" s="58" t="n"/>
    </row>
    <row r="1199">
      <c r="C1199" s="207" t="n"/>
      <c r="D1199" s="206" t="n"/>
      <c r="E1199" s="206" t="n"/>
      <c r="BK1199" s="58" t="n"/>
      <c r="BL1199" s="58" t="n"/>
      <c r="BM1199" s="58" t="n"/>
      <c r="BN1199" s="58" t="n"/>
    </row>
    <row r="1200">
      <c r="C1200" s="207" t="n"/>
      <c r="D1200" s="206" t="n"/>
      <c r="E1200" s="206" t="n"/>
      <c r="BK1200" s="58" t="n"/>
      <c r="BL1200" s="58" t="n"/>
      <c r="BM1200" s="58" t="n"/>
      <c r="BN1200" s="58" t="n"/>
    </row>
    <row r="1201">
      <c r="C1201" s="206" t="n"/>
      <c r="D1201" s="206" t="n"/>
      <c r="E1201" s="206" t="n"/>
      <c r="BK1201" s="58" t="n"/>
      <c r="BL1201" s="58" t="n"/>
      <c r="BM1201" s="58" t="n"/>
      <c r="BN1201" s="58" t="n"/>
    </row>
    <row r="1202">
      <c r="C1202" s="206" t="n"/>
      <c r="D1202" s="206" t="n"/>
      <c r="E1202" s="206" t="n"/>
      <c r="BK1202" s="58" t="n"/>
      <c r="BL1202" s="58" t="n"/>
      <c r="BM1202" s="58" t="n"/>
      <c r="BN1202" s="58" t="n"/>
    </row>
    <row r="1203">
      <c r="C1203" s="206" t="n"/>
      <c r="D1203" s="206" t="n"/>
      <c r="E1203" s="206" t="n"/>
      <c r="BK1203" s="58" t="n"/>
      <c r="BL1203" s="58" t="n"/>
      <c r="BM1203" s="58" t="n"/>
      <c r="BN1203" s="58" t="n"/>
    </row>
    <row r="1204">
      <c r="C1204" s="207" t="n"/>
      <c r="D1204" s="206" t="n"/>
      <c r="E1204" s="206" t="n"/>
      <c r="BK1204" s="58" t="n"/>
      <c r="BL1204" s="58" t="n"/>
      <c r="BM1204" s="58" t="n"/>
      <c r="BN1204" s="58" t="n"/>
    </row>
    <row r="1205">
      <c r="C1205" s="206" t="n"/>
      <c r="D1205" s="206" t="n"/>
      <c r="E1205" s="206" t="n"/>
      <c r="BK1205" s="58" t="n"/>
      <c r="BL1205" s="58" t="n"/>
      <c r="BM1205" s="58" t="n"/>
      <c r="BN1205" s="58" t="n"/>
    </row>
    <row r="1206">
      <c r="C1206" s="206" t="n"/>
      <c r="D1206" s="206" t="n"/>
      <c r="E1206" s="206" t="n"/>
      <c r="BK1206" s="58" t="n"/>
      <c r="BL1206" s="58" t="n"/>
      <c r="BM1206" s="58" t="n"/>
      <c r="BN1206" s="58" t="n"/>
    </row>
    <row r="1207">
      <c r="C1207" s="207" t="n"/>
      <c r="D1207" s="206" t="n"/>
      <c r="E1207" s="206" t="n"/>
      <c r="BK1207" s="58" t="n"/>
      <c r="BL1207" s="58" t="n"/>
      <c r="BM1207" s="58" t="n"/>
      <c r="BN1207" s="58" t="n"/>
    </row>
    <row r="1208">
      <c r="C1208" s="206" t="n"/>
      <c r="D1208" s="206" t="n"/>
      <c r="E1208" s="206" t="n"/>
      <c r="BK1208" s="58" t="n"/>
      <c r="BL1208" s="58" t="n"/>
      <c r="BM1208" s="58" t="n"/>
      <c r="BN1208" s="58" t="n"/>
    </row>
    <row r="1209">
      <c r="C1209" s="206" t="n"/>
      <c r="D1209" s="206" t="n"/>
      <c r="E1209" s="206" t="n"/>
      <c r="BK1209" s="58" t="n"/>
      <c r="BL1209" s="58" t="n"/>
      <c r="BM1209" s="58" t="n"/>
      <c r="BN1209" s="58" t="n"/>
    </row>
    <row r="1210">
      <c r="C1210" s="207" t="n"/>
      <c r="D1210" s="206" t="n"/>
      <c r="E1210" s="206" t="n"/>
      <c r="BK1210" s="58" t="n"/>
      <c r="BL1210" s="58" t="n"/>
      <c r="BM1210" s="58" t="n"/>
      <c r="BN1210" s="58" t="n"/>
    </row>
    <row r="1211">
      <c r="C1211" s="206" t="n"/>
      <c r="D1211" s="206" t="n"/>
      <c r="E1211" s="206" t="n"/>
      <c r="BK1211" s="58" t="n"/>
      <c r="BL1211" s="58" t="n"/>
      <c r="BM1211" s="58" t="n"/>
      <c r="BN1211" s="58" t="n"/>
    </row>
    <row r="1212">
      <c r="C1212" s="206" t="n"/>
      <c r="D1212" s="206" t="n"/>
      <c r="E1212" s="206" t="n"/>
      <c r="BK1212" s="58" t="n"/>
      <c r="BL1212" s="58" t="n"/>
      <c r="BM1212" s="58" t="n"/>
      <c r="BN1212" s="58" t="n"/>
    </row>
    <row r="1213">
      <c r="C1213" s="207" t="n"/>
      <c r="D1213" s="206" t="n"/>
      <c r="E1213" s="206" t="n"/>
      <c r="BK1213" s="58" t="n"/>
      <c r="BL1213" s="58" t="n"/>
      <c r="BM1213" s="58" t="n"/>
      <c r="BN1213" s="58" t="n"/>
    </row>
    <row r="1214">
      <c r="C1214" s="206" t="n"/>
      <c r="D1214" s="206" t="n"/>
      <c r="E1214" s="206" t="n"/>
      <c r="BK1214" s="58" t="n"/>
      <c r="BL1214" s="58" t="n"/>
      <c r="BM1214" s="58" t="n"/>
      <c r="BN1214" s="58" t="n"/>
    </row>
    <row r="1215">
      <c r="C1215" s="206" t="n"/>
      <c r="D1215" s="206" t="n"/>
      <c r="E1215" s="206" t="n"/>
      <c r="BK1215" s="58" t="n"/>
      <c r="BL1215" s="58" t="n"/>
      <c r="BM1215" s="58" t="n"/>
      <c r="BN1215" s="58" t="n"/>
    </row>
    <row r="1216">
      <c r="C1216" s="206" t="n"/>
      <c r="D1216" s="206" t="n"/>
      <c r="E1216" s="206" t="n"/>
      <c r="BK1216" s="58" t="n"/>
      <c r="BL1216" s="58" t="n"/>
      <c r="BM1216" s="58" t="n"/>
      <c r="BN1216" s="58" t="n"/>
    </row>
    <row r="1217">
      <c r="C1217" s="207" t="n"/>
      <c r="D1217" s="206" t="n"/>
      <c r="E1217" s="206" t="n"/>
      <c r="BK1217" s="58" t="n"/>
      <c r="BL1217" s="58" t="n"/>
      <c r="BM1217" s="58" t="n"/>
      <c r="BN1217" s="58" t="n"/>
    </row>
    <row r="1218">
      <c r="C1218" s="207" t="n"/>
      <c r="D1218" s="206" t="n"/>
      <c r="E1218" s="206" t="n"/>
      <c r="BK1218" s="58" t="n"/>
      <c r="BL1218" s="58" t="n"/>
      <c r="BM1218" s="58" t="n"/>
      <c r="BN1218" s="58" t="n"/>
    </row>
    <row r="1219">
      <c r="C1219" s="207" t="n"/>
      <c r="D1219" s="206" t="n"/>
      <c r="E1219" s="206" t="n"/>
      <c r="BK1219" s="58" t="n"/>
      <c r="BL1219" s="58" t="n"/>
      <c r="BM1219" s="58" t="n"/>
      <c r="BN1219" s="58" t="n"/>
    </row>
    <row r="1220">
      <c r="C1220" s="206" t="n"/>
      <c r="D1220" s="206" t="n"/>
      <c r="E1220" s="206" t="n"/>
      <c r="BK1220" s="58" t="n"/>
      <c r="BL1220" s="58" t="n"/>
      <c r="BM1220" s="58" t="n"/>
      <c r="BN1220" s="58" t="n"/>
    </row>
    <row r="1221">
      <c r="C1221" s="206" t="n"/>
      <c r="D1221" s="206" t="n"/>
      <c r="E1221" s="206" t="n"/>
      <c r="BK1221" s="58" t="n"/>
      <c r="BL1221" s="58" t="n"/>
      <c r="BM1221" s="58" t="n"/>
      <c r="BN1221" s="58" t="n"/>
    </row>
    <row r="1222">
      <c r="C1222" s="206" t="n"/>
      <c r="D1222" s="206" t="n"/>
      <c r="E1222" s="206" t="n"/>
      <c r="BK1222" s="58" t="n"/>
      <c r="BL1222" s="58" t="n"/>
      <c r="BM1222" s="58" t="n"/>
      <c r="BN1222" s="58" t="n"/>
    </row>
    <row r="1223">
      <c r="C1223" s="206" t="n"/>
      <c r="D1223" s="206" t="n"/>
      <c r="E1223" s="206" t="n"/>
      <c r="BK1223" s="58" t="n"/>
      <c r="BL1223" s="58" t="n"/>
      <c r="BM1223" s="58" t="n"/>
      <c r="BN1223" s="58" t="n"/>
    </row>
    <row r="1224">
      <c r="C1224" s="207" t="n"/>
      <c r="D1224" s="206" t="n"/>
      <c r="E1224" s="206" t="n"/>
      <c r="BK1224" s="58" t="n"/>
      <c r="BL1224" s="58" t="n"/>
      <c r="BM1224" s="58" t="n"/>
      <c r="BN1224" s="58" t="n"/>
    </row>
    <row r="1225">
      <c r="C1225" s="207" t="n"/>
      <c r="D1225" s="206" t="n"/>
      <c r="E1225" s="206" t="n"/>
      <c r="BK1225" s="58" t="n"/>
      <c r="BL1225" s="58" t="n"/>
      <c r="BM1225" s="58" t="n"/>
      <c r="BN1225" s="58" t="n"/>
    </row>
    <row r="1226">
      <c r="C1226" s="207" t="n"/>
      <c r="D1226" s="206" t="n"/>
      <c r="E1226" s="206" t="n"/>
      <c r="BK1226" s="58" t="n"/>
      <c r="BL1226" s="58" t="n"/>
      <c r="BM1226" s="58" t="n"/>
      <c r="BN1226" s="58" t="n"/>
    </row>
    <row r="1227">
      <c r="C1227" s="207" t="n"/>
      <c r="D1227" s="206" t="n"/>
      <c r="E1227" s="206" t="n"/>
      <c r="BK1227" s="58" t="n"/>
      <c r="BL1227" s="58" t="n"/>
      <c r="BM1227" s="58" t="n"/>
      <c r="BN1227" s="58" t="n"/>
    </row>
    <row r="1228">
      <c r="C1228" s="206" t="n"/>
      <c r="D1228" s="206" t="n"/>
      <c r="E1228" s="206" t="n"/>
      <c r="BK1228" s="58" t="n"/>
      <c r="BL1228" s="58" t="n"/>
      <c r="BM1228" s="58" t="n"/>
      <c r="BN1228" s="58" t="n"/>
    </row>
    <row r="1229">
      <c r="C1229" s="207" t="n"/>
      <c r="D1229" s="206" t="n"/>
      <c r="E1229" s="206" t="n"/>
      <c r="BK1229" s="58" t="n"/>
      <c r="BL1229" s="58" t="n"/>
      <c r="BM1229" s="58" t="n"/>
      <c r="BN1229" s="58" t="n"/>
    </row>
    <row r="1230">
      <c r="C1230" s="207" t="n"/>
      <c r="D1230" s="206" t="n"/>
      <c r="E1230" s="206" t="n"/>
      <c r="BK1230" s="58" t="n"/>
      <c r="BL1230" s="58" t="n"/>
      <c r="BM1230" s="58" t="n"/>
      <c r="BN1230" s="58" t="n"/>
    </row>
    <row r="1231">
      <c r="C1231" s="206" t="n"/>
      <c r="D1231" s="206" t="n"/>
      <c r="E1231" s="206" t="n"/>
      <c r="BK1231" s="58" t="n"/>
      <c r="BL1231" s="58" t="n"/>
      <c r="BM1231" s="58" t="n"/>
      <c r="BN1231" s="58" t="n"/>
    </row>
    <row r="1232">
      <c r="C1232" s="207" t="n"/>
      <c r="D1232" s="206" t="n"/>
      <c r="E1232" s="206" t="n"/>
      <c r="BK1232" s="58" t="n"/>
      <c r="BL1232" s="58" t="n"/>
      <c r="BM1232" s="58" t="n"/>
      <c r="BN1232" s="58" t="n"/>
    </row>
    <row r="1233">
      <c r="C1233" s="206" t="n"/>
      <c r="D1233" s="206" t="n"/>
      <c r="E1233" s="206" t="n"/>
      <c r="BK1233" s="58" t="n"/>
      <c r="BL1233" s="58" t="n"/>
      <c r="BM1233" s="58" t="n"/>
      <c r="BN1233" s="58" t="n"/>
    </row>
    <row r="1234">
      <c r="C1234" s="206" t="n"/>
      <c r="D1234" s="206" t="n"/>
      <c r="E1234" s="206" t="n"/>
      <c r="BK1234" s="58" t="n"/>
      <c r="BL1234" s="58" t="n"/>
      <c r="BM1234" s="58" t="n"/>
      <c r="BN1234" s="58" t="n"/>
    </row>
    <row r="1235">
      <c r="C1235" s="206" t="n"/>
      <c r="D1235" s="206" t="n"/>
      <c r="E1235" s="206" t="n"/>
      <c r="BK1235" s="58" t="n"/>
      <c r="BL1235" s="58" t="n"/>
      <c r="BM1235" s="58" t="n"/>
      <c r="BN1235" s="58" t="n"/>
    </row>
    <row r="1236">
      <c r="C1236" s="206" t="n"/>
      <c r="D1236" s="206" t="n"/>
      <c r="E1236" s="206" t="n"/>
      <c r="BK1236" s="58" t="n"/>
      <c r="BL1236" s="58" t="n"/>
      <c r="BM1236" s="58" t="n"/>
      <c r="BN1236" s="58" t="n"/>
    </row>
    <row r="1237">
      <c r="C1237" s="206" t="n"/>
      <c r="D1237" s="206" t="n"/>
      <c r="E1237" s="206" t="n"/>
      <c r="BK1237" s="58" t="n"/>
      <c r="BL1237" s="58" t="n"/>
      <c r="BM1237" s="58" t="n"/>
      <c r="BN1237" s="58" t="n"/>
    </row>
    <row r="1238">
      <c r="C1238" s="206" t="n"/>
      <c r="D1238" s="206" t="n"/>
      <c r="E1238" s="206" t="n"/>
      <c r="BK1238" s="58" t="n"/>
      <c r="BL1238" s="58" t="n"/>
      <c r="BM1238" s="58" t="n"/>
      <c r="BN1238" s="58" t="n"/>
    </row>
    <row r="1239">
      <c r="C1239" s="206" t="n"/>
      <c r="D1239" s="206" t="n"/>
      <c r="E1239" s="206" t="n"/>
      <c r="BK1239" s="58" t="n"/>
      <c r="BL1239" s="58" t="n"/>
      <c r="BM1239" s="58" t="n"/>
      <c r="BN1239" s="58" t="n"/>
    </row>
    <row r="1240">
      <c r="C1240" s="207" t="n"/>
      <c r="D1240" s="206" t="n"/>
      <c r="E1240" s="206" t="n"/>
      <c r="BK1240" s="58" t="n"/>
      <c r="BL1240" s="58" t="n"/>
      <c r="BM1240" s="58" t="n"/>
      <c r="BN1240" s="58" t="n"/>
    </row>
    <row r="1241">
      <c r="C1241" s="206" t="n"/>
      <c r="D1241" s="206" t="n"/>
      <c r="E1241" s="206" t="n"/>
      <c r="BK1241" s="58" t="n"/>
      <c r="BL1241" s="58" t="n"/>
      <c r="BM1241" s="58" t="n"/>
      <c r="BN1241" s="58" t="n"/>
    </row>
    <row r="1242">
      <c r="C1242" s="207" t="n"/>
      <c r="D1242" s="206" t="n"/>
      <c r="E1242" s="206" t="n"/>
      <c r="BK1242" s="58" t="n"/>
      <c r="BL1242" s="58" t="n"/>
      <c r="BM1242" s="58" t="n"/>
      <c r="BN1242" s="58" t="n"/>
    </row>
    <row r="1243">
      <c r="C1243" s="207" t="n"/>
      <c r="D1243" s="206" t="n"/>
      <c r="E1243" s="206" t="n"/>
      <c r="BK1243" s="58" t="n"/>
      <c r="BL1243" s="58" t="n"/>
      <c r="BM1243" s="58" t="n"/>
      <c r="BN1243" s="58" t="n"/>
    </row>
    <row r="1244">
      <c r="C1244" s="206" t="n"/>
      <c r="D1244" s="206" t="n"/>
      <c r="E1244" s="206" t="n"/>
      <c r="BK1244" s="58" t="n"/>
      <c r="BL1244" s="58" t="n"/>
      <c r="BM1244" s="58" t="n"/>
      <c r="BN1244" s="58" t="n"/>
    </row>
    <row r="1245">
      <c r="C1245" s="206" t="n"/>
      <c r="D1245" s="206" t="n"/>
      <c r="E1245" s="206" t="n"/>
      <c r="BK1245" s="58" t="n"/>
      <c r="BL1245" s="58" t="n"/>
      <c r="BM1245" s="58" t="n"/>
      <c r="BN1245" s="58" t="n"/>
    </row>
    <row r="1246">
      <c r="C1246" s="206" t="n"/>
      <c r="D1246" s="206" t="n"/>
      <c r="E1246" s="206" t="n"/>
      <c r="BK1246" s="58" t="n"/>
      <c r="BL1246" s="58" t="n"/>
      <c r="BM1246" s="58" t="n"/>
      <c r="BN1246" s="58" t="n"/>
    </row>
    <row r="1247">
      <c r="C1247" s="207" t="n"/>
      <c r="D1247" s="206" t="n"/>
      <c r="E1247" s="206" t="n"/>
      <c r="BK1247" s="58" t="n"/>
      <c r="BL1247" s="58" t="n"/>
      <c r="BM1247" s="58" t="n"/>
      <c r="BN1247" s="58" t="n"/>
    </row>
    <row r="1248">
      <c r="C1248" s="207" t="n"/>
      <c r="D1248" s="206" t="n"/>
      <c r="E1248" s="206" t="n"/>
      <c r="BK1248" s="58" t="n"/>
      <c r="BL1248" s="58" t="n"/>
      <c r="BM1248" s="58" t="n"/>
      <c r="BN1248" s="58" t="n"/>
    </row>
    <row r="1249">
      <c r="C1249" s="207" t="n"/>
      <c r="D1249" s="206" t="n"/>
      <c r="E1249" s="206" t="n"/>
      <c r="BK1249" s="58" t="n"/>
      <c r="BL1249" s="58" t="n"/>
      <c r="BM1249" s="58" t="n"/>
      <c r="BN1249" s="58" t="n"/>
    </row>
    <row r="1250">
      <c r="C1250" s="206" t="n"/>
      <c r="D1250" s="206" t="n"/>
      <c r="E1250" s="206" t="n"/>
      <c r="BK1250" s="58" t="n"/>
      <c r="BL1250" s="58" t="n"/>
      <c r="BM1250" s="58" t="n"/>
      <c r="BN1250" s="58" t="n"/>
    </row>
    <row r="1251">
      <c r="C1251" s="206" t="n"/>
      <c r="D1251" s="206" t="n"/>
      <c r="E1251" s="206" t="n"/>
      <c r="BK1251" s="58" t="n"/>
      <c r="BL1251" s="58" t="n"/>
      <c r="BM1251" s="58" t="n"/>
      <c r="BN1251" s="58" t="n"/>
    </row>
    <row r="1252">
      <c r="C1252" s="207" t="n"/>
      <c r="D1252" s="206" t="n"/>
      <c r="E1252" s="206" t="n"/>
      <c r="BK1252" s="58" t="n"/>
      <c r="BL1252" s="58" t="n"/>
      <c r="BM1252" s="58" t="n"/>
      <c r="BN1252" s="58" t="n"/>
    </row>
    <row r="1253">
      <c r="C1253" s="206" t="n"/>
      <c r="D1253" s="206" t="n"/>
      <c r="E1253" s="206" t="n"/>
      <c r="BK1253" s="58" t="n"/>
      <c r="BL1253" s="58" t="n"/>
      <c r="BM1253" s="58" t="n"/>
      <c r="BN1253" s="58" t="n"/>
    </row>
    <row r="1254">
      <c r="C1254" s="206" t="n"/>
      <c r="D1254" s="206" t="n"/>
      <c r="E1254" s="206" t="n"/>
      <c r="BK1254" s="58" t="n"/>
      <c r="BL1254" s="58" t="n"/>
      <c r="BM1254" s="58" t="n"/>
      <c r="BN1254" s="58" t="n"/>
    </row>
    <row r="1255">
      <c r="C1255" s="206" t="n"/>
      <c r="D1255" s="206" t="n"/>
      <c r="E1255" s="206" t="n"/>
      <c r="BK1255" s="58" t="n"/>
      <c r="BL1255" s="58" t="n"/>
      <c r="BM1255" s="58" t="n"/>
      <c r="BN1255" s="58" t="n"/>
    </row>
    <row r="1256">
      <c r="C1256" s="206" t="n"/>
      <c r="D1256" s="206" t="n"/>
      <c r="E1256" s="206" t="n"/>
      <c r="BK1256" s="58" t="n"/>
      <c r="BL1256" s="58" t="n"/>
      <c r="BM1256" s="58" t="n"/>
      <c r="BN1256" s="58" t="n"/>
    </row>
    <row r="1257">
      <c r="C1257" s="206" t="n"/>
      <c r="D1257" s="206" t="n"/>
      <c r="E1257" s="206" t="n"/>
      <c r="BK1257" s="58" t="n"/>
      <c r="BL1257" s="58" t="n"/>
      <c r="BM1257" s="58" t="n"/>
      <c r="BN1257" s="58" t="n"/>
    </row>
    <row r="1258">
      <c r="C1258" s="206" t="n"/>
      <c r="D1258" s="206" t="n"/>
      <c r="E1258" s="206" t="n"/>
      <c r="BK1258" s="58" t="n"/>
      <c r="BL1258" s="58" t="n"/>
      <c r="BM1258" s="58" t="n"/>
      <c r="BN1258" s="58" t="n"/>
    </row>
    <row r="1259">
      <c r="C1259" s="206" t="n"/>
      <c r="D1259" s="206" t="n"/>
      <c r="E1259" s="206" t="n"/>
      <c r="BK1259" s="58" t="n"/>
      <c r="BL1259" s="58" t="n"/>
      <c r="BM1259" s="58" t="n"/>
      <c r="BN1259" s="58" t="n"/>
    </row>
    <row r="1260">
      <c r="C1260" s="206" t="n"/>
      <c r="D1260" s="206" t="n"/>
      <c r="E1260" s="206" t="n"/>
      <c r="BK1260" s="58" t="n"/>
      <c r="BL1260" s="58" t="n"/>
      <c r="BM1260" s="58" t="n"/>
      <c r="BN1260" s="58" t="n"/>
    </row>
    <row r="1261">
      <c r="C1261" s="206" t="n"/>
      <c r="D1261" s="206" t="n"/>
      <c r="E1261" s="206" t="n"/>
      <c r="BK1261" s="58" t="n"/>
      <c r="BL1261" s="58" t="n"/>
      <c r="BM1261" s="58" t="n"/>
      <c r="BN1261" s="58" t="n"/>
    </row>
    <row r="1262">
      <c r="C1262" s="206" t="n"/>
      <c r="D1262" s="206" t="n"/>
      <c r="E1262" s="206" t="n"/>
      <c r="BK1262" s="58" t="n"/>
      <c r="BL1262" s="58" t="n"/>
      <c r="BM1262" s="58" t="n"/>
      <c r="BN1262" s="58" t="n"/>
    </row>
    <row r="1263">
      <c r="C1263" s="206" t="n"/>
      <c r="D1263" s="206" t="n"/>
      <c r="E1263" s="206" t="n"/>
      <c r="BK1263" s="58" t="n"/>
      <c r="BL1263" s="58" t="n"/>
      <c r="BM1263" s="58" t="n"/>
      <c r="BN1263" s="58" t="n"/>
    </row>
    <row r="1264">
      <c r="C1264" s="207" t="n"/>
      <c r="D1264" s="206" t="n"/>
      <c r="E1264" s="206" t="n"/>
      <c r="BK1264" s="58" t="n"/>
      <c r="BL1264" s="58" t="n"/>
      <c r="BM1264" s="58" t="n"/>
      <c r="BN1264" s="58" t="n"/>
    </row>
    <row r="1265">
      <c r="C1265" s="206" t="n"/>
      <c r="D1265" s="206" t="n"/>
      <c r="E1265" s="206" t="n"/>
      <c r="BK1265" s="58" t="n"/>
      <c r="BL1265" s="58" t="n"/>
      <c r="BM1265" s="58" t="n"/>
      <c r="BN1265" s="58" t="n"/>
    </row>
    <row r="1266">
      <c r="C1266" s="207" t="n"/>
      <c r="D1266" s="206" t="n"/>
      <c r="E1266" s="206" t="n"/>
      <c r="BK1266" s="58" t="n"/>
      <c r="BL1266" s="58" t="n"/>
      <c r="BM1266" s="58" t="n"/>
      <c r="BN1266" s="58" t="n"/>
    </row>
    <row r="1267">
      <c r="C1267" s="207" t="n"/>
      <c r="D1267" s="206" t="n"/>
      <c r="E1267" s="206" t="n"/>
      <c r="BK1267" s="58" t="n"/>
      <c r="BL1267" s="58" t="n"/>
      <c r="BM1267" s="58" t="n"/>
      <c r="BN1267" s="58" t="n"/>
    </row>
    <row r="1268">
      <c r="C1268" s="206" t="n"/>
      <c r="D1268" s="206" t="n"/>
      <c r="E1268" s="206" t="n"/>
      <c r="BK1268" s="58" t="n"/>
      <c r="BL1268" s="58" t="n"/>
      <c r="BM1268" s="58" t="n"/>
      <c r="BN1268" s="58" t="n"/>
    </row>
    <row r="1269">
      <c r="C1269" s="206" t="n"/>
      <c r="D1269" s="206" t="n"/>
      <c r="E1269" s="206" t="n"/>
      <c r="BK1269" s="58" t="n"/>
      <c r="BL1269" s="58" t="n"/>
      <c r="BM1269" s="58" t="n"/>
      <c r="BN1269" s="58" t="n"/>
    </row>
    <row r="1270">
      <c r="C1270" s="207" t="n"/>
      <c r="D1270" s="206" t="n"/>
      <c r="E1270" s="206" t="n"/>
      <c r="BK1270" s="58" t="n"/>
      <c r="BL1270" s="58" t="n"/>
      <c r="BM1270" s="58" t="n"/>
      <c r="BN1270" s="58" t="n"/>
    </row>
    <row r="1271">
      <c r="C1271" s="206" t="n"/>
      <c r="D1271" s="206" t="n"/>
      <c r="E1271" s="206" t="n"/>
      <c r="BK1271" s="58" t="n"/>
      <c r="BL1271" s="58" t="n"/>
      <c r="BM1271" s="58" t="n"/>
      <c r="BN1271" s="58" t="n"/>
    </row>
    <row r="1272">
      <c r="C1272" s="207" t="n"/>
      <c r="D1272" s="206" t="n"/>
      <c r="E1272" s="206" t="n"/>
      <c r="BK1272" s="58" t="n"/>
      <c r="BL1272" s="58" t="n"/>
      <c r="BM1272" s="58" t="n"/>
      <c r="BN1272" s="58" t="n"/>
    </row>
    <row r="1273">
      <c r="C1273" s="207" t="n"/>
      <c r="D1273" s="206" t="n"/>
      <c r="E1273" s="206" t="n"/>
      <c r="BK1273" s="58" t="n"/>
      <c r="BL1273" s="58" t="n"/>
      <c r="BM1273" s="58" t="n"/>
      <c r="BN1273" s="58" t="n"/>
    </row>
    <row r="1274">
      <c r="C1274" s="206" t="n"/>
      <c r="D1274" s="206" t="n"/>
      <c r="E1274" s="206" t="n"/>
      <c r="BK1274" s="58" t="n"/>
      <c r="BL1274" s="58" t="n"/>
      <c r="BM1274" s="58" t="n"/>
      <c r="BN1274" s="58" t="n"/>
    </row>
    <row r="1275">
      <c r="C1275" s="206" t="n"/>
      <c r="D1275" s="206" t="n"/>
      <c r="E1275" s="206" t="n"/>
      <c r="BK1275" s="58" t="n"/>
      <c r="BL1275" s="58" t="n"/>
      <c r="BM1275" s="58" t="n"/>
      <c r="BN1275" s="58" t="n"/>
    </row>
    <row r="1276">
      <c r="C1276" s="206" t="n"/>
      <c r="D1276" s="206" t="n"/>
      <c r="E1276" s="206" t="n"/>
      <c r="BK1276" s="58" t="n"/>
      <c r="BL1276" s="58" t="n"/>
      <c r="BM1276" s="58" t="n"/>
      <c r="BN1276" s="58" t="n"/>
    </row>
    <row r="1277">
      <c r="C1277" s="206" t="n"/>
      <c r="D1277" s="206" t="n"/>
      <c r="E1277" s="206" t="n"/>
      <c r="BK1277" s="58" t="n"/>
      <c r="BL1277" s="58" t="n"/>
      <c r="BM1277" s="58" t="n"/>
      <c r="BN1277" s="58" t="n"/>
    </row>
    <row r="1278">
      <c r="C1278" s="207" t="n"/>
      <c r="D1278" s="206" t="n"/>
      <c r="E1278" s="206" t="n"/>
      <c r="BK1278" s="58" t="n"/>
      <c r="BL1278" s="58" t="n"/>
      <c r="BM1278" s="58" t="n"/>
      <c r="BN1278" s="58" t="n"/>
    </row>
    <row r="1279">
      <c r="C1279" s="206" t="n"/>
      <c r="D1279" s="206" t="n"/>
      <c r="E1279" s="206" t="n"/>
      <c r="BK1279" s="58" t="n"/>
      <c r="BL1279" s="58" t="n"/>
      <c r="BM1279" s="58" t="n"/>
      <c r="BN1279" s="58" t="n"/>
    </row>
    <row r="1280">
      <c r="C1280" s="207" t="n"/>
      <c r="D1280" s="206" t="n"/>
      <c r="E1280" s="206" t="n"/>
      <c r="BK1280" s="58" t="n"/>
      <c r="BL1280" s="58" t="n"/>
      <c r="BM1280" s="58" t="n"/>
      <c r="BN1280" s="58" t="n"/>
    </row>
    <row r="1281">
      <c r="C1281" s="207" t="n"/>
      <c r="D1281" s="206" t="n"/>
      <c r="E1281" s="206" t="n"/>
      <c r="BK1281" s="58" t="n"/>
      <c r="BL1281" s="58" t="n"/>
      <c r="BM1281" s="58" t="n"/>
      <c r="BN1281" s="58" t="n"/>
    </row>
    <row r="1282">
      <c r="C1282" s="206" t="n"/>
      <c r="D1282" s="206" t="n"/>
      <c r="E1282" s="206" t="n"/>
      <c r="BK1282" s="58" t="n"/>
      <c r="BL1282" s="58" t="n"/>
      <c r="BM1282" s="58" t="n"/>
      <c r="BN1282" s="58" t="n"/>
    </row>
    <row r="1283">
      <c r="C1283" s="206" t="n"/>
      <c r="D1283" s="206" t="n"/>
      <c r="E1283" s="206" t="n"/>
      <c r="BK1283" s="58" t="n"/>
      <c r="BL1283" s="58" t="n"/>
      <c r="BM1283" s="58" t="n"/>
      <c r="BN1283" s="58" t="n"/>
    </row>
    <row r="1284">
      <c r="C1284" s="206" t="n"/>
      <c r="D1284" s="206" t="n"/>
      <c r="E1284" s="206" t="n"/>
      <c r="BK1284" s="58" t="n"/>
      <c r="BL1284" s="58" t="n"/>
      <c r="BM1284" s="58" t="n"/>
      <c r="BN1284" s="58" t="n"/>
    </row>
    <row r="1285">
      <c r="C1285" s="206" t="n"/>
      <c r="D1285" s="206" t="n"/>
      <c r="E1285" s="206" t="n"/>
      <c r="BK1285" s="58" t="n"/>
      <c r="BL1285" s="58" t="n"/>
      <c r="BM1285" s="58" t="n"/>
      <c r="BN1285" s="58" t="n"/>
    </row>
    <row r="1286">
      <c r="C1286" s="206" t="n"/>
      <c r="D1286" s="206" t="n"/>
      <c r="E1286" s="206" t="n"/>
      <c r="BK1286" s="58" t="n"/>
      <c r="BL1286" s="58" t="n"/>
      <c r="BM1286" s="58" t="n"/>
      <c r="BN1286" s="58" t="n"/>
    </row>
    <row r="1287">
      <c r="C1287" s="207" t="n"/>
      <c r="D1287" s="206" t="n"/>
      <c r="E1287" s="206" t="n"/>
      <c r="BK1287" s="58" t="n"/>
      <c r="BL1287" s="58" t="n"/>
      <c r="BM1287" s="58" t="n"/>
      <c r="BN1287" s="58" t="n"/>
    </row>
    <row r="1288">
      <c r="C1288" s="206" t="n"/>
      <c r="D1288" s="206" t="n"/>
      <c r="E1288" s="206" t="n"/>
      <c r="BK1288" s="58" t="n"/>
      <c r="BL1288" s="58" t="n"/>
      <c r="BM1288" s="58" t="n"/>
      <c r="BN1288" s="58" t="n"/>
    </row>
    <row r="1289">
      <c r="C1289" s="206" t="n"/>
      <c r="D1289" s="206" t="n"/>
      <c r="E1289" s="206" t="n"/>
      <c r="BK1289" s="58" t="n"/>
      <c r="BL1289" s="58" t="n"/>
      <c r="BM1289" s="58" t="n"/>
      <c r="BN1289" s="58" t="n"/>
    </row>
    <row r="1290">
      <c r="C1290" s="206" t="n"/>
      <c r="D1290" s="206" t="n"/>
      <c r="E1290" s="206" t="n"/>
      <c r="BK1290" s="58" t="n"/>
      <c r="BL1290" s="58" t="n"/>
      <c r="BM1290" s="58" t="n"/>
      <c r="BN1290" s="58" t="n"/>
    </row>
    <row r="1291">
      <c r="C1291" s="206" t="n"/>
      <c r="D1291" s="206" t="n"/>
      <c r="E1291" s="206" t="n"/>
      <c r="BK1291" s="58" t="n"/>
      <c r="BL1291" s="58" t="n"/>
      <c r="BM1291" s="58" t="n"/>
      <c r="BN1291" s="58" t="n"/>
    </row>
    <row r="1292">
      <c r="C1292" s="206" t="n"/>
      <c r="D1292" s="206" t="n"/>
      <c r="E1292" s="206" t="n"/>
      <c r="BK1292" s="58" t="n"/>
      <c r="BL1292" s="58" t="n"/>
      <c r="BM1292" s="58" t="n"/>
      <c r="BN1292" s="58" t="n"/>
    </row>
    <row r="1293">
      <c r="C1293" s="206" t="n"/>
      <c r="D1293" s="206" t="n"/>
      <c r="E1293" s="206" t="n"/>
      <c r="BK1293" s="58" t="n"/>
      <c r="BL1293" s="58" t="n"/>
      <c r="BM1293" s="58" t="n"/>
      <c r="BN1293" s="58" t="n"/>
    </row>
    <row r="1294">
      <c r="C1294" s="206" t="n"/>
      <c r="D1294" s="206" t="n"/>
      <c r="E1294" s="206" t="n"/>
      <c r="BK1294" s="58" t="n"/>
      <c r="BL1294" s="58" t="n"/>
      <c r="BM1294" s="58" t="n"/>
      <c r="BN1294" s="58" t="n"/>
    </row>
    <row r="1295">
      <c r="C1295" s="206" t="n"/>
      <c r="D1295" s="206" t="n"/>
      <c r="E1295" s="206" t="n"/>
      <c r="BK1295" s="58" t="n"/>
      <c r="BL1295" s="58" t="n"/>
      <c r="BM1295" s="58" t="n"/>
      <c r="BN1295" s="58" t="n"/>
    </row>
    <row r="1296">
      <c r="C1296" s="206" t="n"/>
      <c r="D1296" s="206" t="n"/>
      <c r="E1296" s="206" t="n"/>
      <c r="BK1296" s="58" t="n"/>
      <c r="BL1296" s="58" t="n"/>
      <c r="BM1296" s="58" t="n"/>
      <c r="BN1296" s="58" t="n"/>
    </row>
    <row r="1297">
      <c r="C1297" s="206" t="n"/>
      <c r="D1297" s="206" t="n"/>
      <c r="E1297" s="206" t="n"/>
      <c r="BK1297" s="58" t="n"/>
      <c r="BL1297" s="58" t="n"/>
      <c r="BM1297" s="58" t="n"/>
      <c r="BN1297" s="58" t="n"/>
    </row>
    <row r="1298">
      <c r="C1298" s="206" t="n"/>
      <c r="D1298" s="206" t="n"/>
      <c r="E1298" s="206" t="n"/>
      <c r="BK1298" s="58" t="n"/>
      <c r="BL1298" s="58" t="n"/>
      <c r="BM1298" s="58" t="n"/>
      <c r="BN1298" s="58" t="n"/>
    </row>
    <row r="1299">
      <c r="C1299" s="206" t="n"/>
      <c r="D1299" s="206" t="n"/>
      <c r="E1299" s="206" t="n"/>
      <c r="BK1299" s="58" t="n"/>
      <c r="BL1299" s="58" t="n"/>
      <c r="BM1299" s="58" t="n"/>
      <c r="BN1299" s="58" t="n"/>
    </row>
    <row r="1300">
      <c r="C1300" s="206" t="n"/>
      <c r="D1300" s="206" t="n"/>
      <c r="E1300" s="206" t="n"/>
      <c r="BK1300" s="58" t="n"/>
      <c r="BL1300" s="58" t="n"/>
      <c r="BM1300" s="58" t="n"/>
      <c r="BN1300" s="58" t="n"/>
    </row>
    <row r="1301">
      <c r="C1301" s="207" t="n"/>
      <c r="D1301" s="206" t="n"/>
      <c r="E1301" s="206" t="n"/>
      <c r="BK1301" s="58" t="n"/>
      <c r="BL1301" s="58" t="n"/>
      <c r="BM1301" s="58" t="n"/>
      <c r="BN1301" s="58" t="n"/>
    </row>
    <row r="1302">
      <c r="C1302" s="206" t="n"/>
      <c r="D1302" s="206" t="n"/>
      <c r="E1302" s="206" t="n"/>
      <c r="BK1302" s="58" t="n"/>
      <c r="BL1302" s="58" t="n"/>
      <c r="BM1302" s="58" t="n"/>
      <c r="BN1302" s="58" t="n"/>
    </row>
    <row r="1303">
      <c r="C1303" s="206" t="n"/>
      <c r="D1303" s="206" t="n"/>
      <c r="E1303" s="206" t="n"/>
      <c r="BK1303" s="58" t="n"/>
      <c r="BL1303" s="58" t="n"/>
      <c r="BM1303" s="58" t="n"/>
      <c r="BN1303" s="58" t="n"/>
    </row>
    <row r="1304">
      <c r="C1304" s="207" t="n"/>
      <c r="D1304" s="206" t="n"/>
      <c r="E1304" s="206" t="n"/>
      <c r="BK1304" s="58" t="n"/>
      <c r="BL1304" s="58" t="n"/>
      <c r="BM1304" s="58" t="n"/>
      <c r="BN1304" s="58" t="n"/>
    </row>
    <row r="1305">
      <c r="C1305" s="206" t="n"/>
      <c r="D1305" s="206" t="n"/>
      <c r="E1305" s="206" t="n"/>
      <c r="BK1305" s="58" t="n"/>
      <c r="BL1305" s="58" t="n"/>
      <c r="BM1305" s="58" t="n"/>
      <c r="BN1305" s="58" t="n"/>
    </row>
    <row r="1306">
      <c r="C1306" s="206" t="n"/>
      <c r="D1306" s="206" t="n"/>
      <c r="E1306" s="206" t="n"/>
      <c r="BK1306" s="58" t="n"/>
      <c r="BL1306" s="58" t="n"/>
      <c r="BM1306" s="58" t="n"/>
      <c r="BN1306" s="58" t="n"/>
    </row>
    <row r="1307">
      <c r="C1307" s="207" t="n"/>
      <c r="D1307" s="206" t="n"/>
      <c r="E1307" s="206" t="n"/>
      <c r="BK1307" s="58" t="n"/>
      <c r="BL1307" s="58" t="n"/>
      <c r="BM1307" s="58" t="n"/>
      <c r="BN1307" s="58" t="n"/>
    </row>
    <row r="1308">
      <c r="C1308" s="206" t="n"/>
      <c r="D1308" s="206" t="n"/>
      <c r="E1308" s="206" t="n"/>
      <c r="BK1308" s="58" t="n"/>
      <c r="BL1308" s="58" t="n"/>
      <c r="BM1308" s="58" t="n"/>
      <c r="BN1308" s="58" t="n"/>
    </row>
    <row r="1309">
      <c r="C1309" s="206" t="n"/>
      <c r="D1309" s="206" t="n"/>
      <c r="E1309" s="206" t="n"/>
      <c r="BK1309" s="58" t="n"/>
      <c r="BL1309" s="58" t="n"/>
      <c r="BM1309" s="58" t="n"/>
      <c r="BN1309" s="58" t="n"/>
    </row>
    <row r="1310">
      <c r="C1310" s="206" t="n"/>
      <c r="D1310" s="206" t="n"/>
      <c r="E1310" s="206" t="n"/>
      <c r="BK1310" s="58" t="n"/>
      <c r="BL1310" s="58" t="n"/>
      <c r="BM1310" s="58" t="n"/>
      <c r="BN1310" s="58" t="n"/>
    </row>
    <row r="1311">
      <c r="C1311" s="207" t="n"/>
      <c r="D1311" s="206" t="n"/>
      <c r="E1311" s="206" t="n"/>
      <c r="BK1311" s="58" t="n"/>
      <c r="BL1311" s="58" t="n"/>
      <c r="BM1311" s="58" t="n"/>
      <c r="BN1311" s="58" t="n"/>
    </row>
    <row r="1312">
      <c r="C1312" s="207" t="n"/>
      <c r="D1312" s="206" t="n"/>
      <c r="E1312" s="206" t="n"/>
      <c r="BK1312" s="58" t="n"/>
      <c r="BL1312" s="58" t="n"/>
      <c r="BM1312" s="58" t="n"/>
      <c r="BN1312" s="58" t="n"/>
    </row>
    <row r="1313">
      <c r="C1313" s="206" t="n"/>
      <c r="D1313" s="206" t="n"/>
      <c r="E1313" s="206" t="n"/>
      <c r="BK1313" s="58" t="n"/>
      <c r="BL1313" s="58" t="n"/>
      <c r="BM1313" s="58" t="n"/>
      <c r="BN1313" s="58" t="n"/>
    </row>
    <row r="1314">
      <c r="C1314" s="206" t="n"/>
      <c r="D1314" s="206" t="n"/>
      <c r="E1314" s="206" t="n"/>
      <c r="BK1314" s="58" t="n"/>
      <c r="BL1314" s="58" t="n"/>
      <c r="BM1314" s="58" t="n"/>
      <c r="BN1314" s="58" t="n"/>
    </row>
    <row r="1315">
      <c r="C1315" s="206" t="n"/>
      <c r="D1315" s="206" t="n"/>
      <c r="E1315" s="206" t="n"/>
      <c r="BK1315" s="58" t="n"/>
      <c r="BL1315" s="58" t="n"/>
      <c r="BM1315" s="58" t="n"/>
      <c r="BN1315" s="58" t="n"/>
    </row>
    <row r="1316">
      <c r="C1316" s="206" t="n"/>
      <c r="D1316" s="206" t="n"/>
      <c r="E1316" s="206" t="n"/>
      <c r="BK1316" s="58" t="n"/>
      <c r="BL1316" s="58" t="n"/>
      <c r="BM1316" s="58" t="n"/>
      <c r="BN1316" s="58" t="n"/>
    </row>
    <row r="1317">
      <c r="C1317" s="206" t="n"/>
      <c r="D1317" s="206" t="n"/>
      <c r="E1317" s="206" t="n"/>
      <c r="BK1317" s="58" t="n"/>
      <c r="BL1317" s="58" t="n"/>
      <c r="BM1317" s="58" t="n"/>
      <c r="BN1317" s="58" t="n"/>
    </row>
    <row r="1318">
      <c r="C1318" s="206" t="n"/>
      <c r="D1318" s="206" t="n"/>
      <c r="E1318" s="206" t="n"/>
      <c r="BK1318" s="58" t="n"/>
      <c r="BL1318" s="58" t="n"/>
      <c r="BM1318" s="58" t="n"/>
      <c r="BN1318" s="58" t="n"/>
    </row>
    <row r="1319">
      <c r="C1319" s="206" t="n"/>
      <c r="D1319" s="206" t="n"/>
      <c r="E1319" s="206" t="n"/>
      <c r="BK1319" s="58" t="n"/>
      <c r="BL1319" s="58" t="n"/>
      <c r="BM1319" s="58" t="n"/>
      <c r="BN1319" s="58" t="n"/>
    </row>
    <row r="1320">
      <c r="C1320" s="207" t="n"/>
      <c r="D1320" s="206" t="n"/>
      <c r="E1320" s="206" t="n"/>
      <c r="BK1320" s="58" t="n"/>
      <c r="BL1320" s="58" t="n"/>
      <c r="BM1320" s="58" t="n"/>
      <c r="BN1320" s="58" t="n"/>
    </row>
    <row r="1321">
      <c r="C1321" s="207" t="n"/>
      <c r="D1321" s="206" t="n"/>
      <c r="E1321" s="206" t="n"/>
      <c r="BK1321" s="58" t="n"/>
      <c r="BL1321" s="58" t="n"/>
      <c r="BM1321" s="58" t="n"/>
      <c r="BN1321" s="58" t="n"/>
    </row>
    <row r="1322">
      <c r="C1322" s="206" t="n"/>
      <c r="D1322" s="206" t="n"/>
      <c r="E1322" s="206" t="n"/>
      <c r="BK1322" s="58" t="n"/>
      <c r="BL1322" s="58" t="n"/>
      <c r="BM1322" s="58" t="n"/>
      <c r="BN1322" s="58" t="n"/>
    </row>
    <row r="1323">
      <c r="C1323" s="206" t="n"/>
      <c r="D1323" s="206" t="n"/>
      <c r="E1323" s="206" t="n"/>
      <c r="BK1323" s="58" t="n"/>
      <c r="BL1323" s="58" t="n"/>
      <c r="BM1323" s="58" t="n"/>
      <c r="BN1323" s="58" t="n"/>
    </row>
    <row r="1324">
      <c r="C1324" s="206" t="n"/>
      <c r="D1324" s="206" t="n"/>
      <c r="E1324" s="206" t="n"/>
      <c r="BK1324" s="58" t="n"/>
      <c r="BL1324" s="58" t="n"/>
      <c r="BM1324" s="58" t="n"/>
      <c r="BN1324" s="58" t="n"/>
    </row>
    <row r="1325">
      <c r="C1325" s="206" t="n"/>
      <c r="D1325" s="206" t="n"/>
      <c r="E1325" s="206" t="n"/>
      <c r="BK1325" s="58" t="n"/>
      <c r="BL1325" s="58" t="n"/>
      <c r="BM1325" s="58" t="n"/>
      <c r="BN1325" s="58" t="n"/>
    </row>
    <row r="1326">
      <c r="C1326" s="207" t="n"/>
      <c r="D1326" s="206" t="n"/>
      <c r="E1326" s="206" t="n"/>
      <c r="BK1326" s="58" t="n"/>
      <c r="BL1326" s="58" t="n"/>
      <c r="BM1326" s="58" t="n"/>
      <c r="BN1326" s="58" t="n"/>
    </row>
    <row r="1327">
      <c r="C1327" s="206" t="n"/>
      <c r="D1327" s="206" t="n"/>
      <c r="E1327" s="206" t="n"/>
      <c r="BK1327" s="58" t="n"/>
      <c r="BL1327" s="58" t="n"/>
      <c r="BM1327" s="58" t="n"/>
      <c r="BN1327" s="58" t="n"/>
    </row>
    <row r="1328">
      <c r="C1328" s="206" t="n"/>
      <c r="D1328" s="206" t="n"/>
      <c r="E1328" s="206" t="n"/>
      <c r="BK1328" s="58" t="n"/>
      <c r="BL1328" s="58" t="n"/>
      <c r="BM1328" s="58" t="n"/>
      <c r="BN1328" s="58" t="n"/>
    </row>
    <row r="1329">
      <c r="C1329" s="206" t="n"/>
      <c r="D1329" s="206" t="n"/>
      <c r="E1329" s="206" t="n"/>
      <c r="BK1329" s="58" t="n"/>
      <c r="BL1329" s="58" t="n"/>
      <c r="BM1329" s="58" t="n"/>
      <c r="BN1329" s="58" t="n"/>
    </row>
    <row r="1330">
      <c r="C1330" s="207" t="n"/>
      <c r="D1330" s="206" t="n"/>
      <c r="E1330" s="206" t="n"/>
      <c r="BK1330" s="58" t="n"/>
      <c r="BL1330" s="58" t="n"/>
      <c r="BM1330" s="58" t="n"/>
      <c r="BN1330" s="58" t="n"/>
    </row>
    <row r="1331">
      <c r="C1331" s="206" t="n"/>
      <c r="D1331" s="206" t="n"/>
      <c r="E1331" s="206" t="n"/>
      <c r="BK1331" s="58" t="n"/>
      <c r="BL1331" s="58" t="n"/>
      <c r="BM1331" s="58" t="n"/>
      <c r="BN1331" s="58" t="n"/>
    </row>
    <row r="1332">
      <c r="C1332" s="206" t="n"/>
      <c r="D1332" s="206" t="n"/>
      <c r="E1332" s="206" t="n"/>
      <c r="BK1332" s="58" t="n"/>
      <c r="BL1332" s="58" t="n"/>
      <c r="BM1332" s="58" t="n"/>
      <c r="BN1332" s="58" t="n"/>
    </row>
    <row r="1333">
      <c r="C1333" s="207" t="n"/>
      <c r="D1333" s="206" t="n"/>
      <c r="E1333" s="206" t="n"/>
      <c r="BK1333" s="58" t="n"/>
      <c r="BL1333" s="58" t="n"/>
      <c r="BM1333" s="58" t="n"/>
      <c r="BN1333" s="58" t="n"/>
    </row>
    <row r="1334">
      <c r="C1334" s="206" t="n"/>
      <c r="D1334" s="206" t="n"/>
      <c r="E1334" s="206" t="n"/>
      <c r="BK1334" s="58" t="n"/>
      <c r="BL1334" s="58" t="n"/>
      <c r="BM1334" s="58" t="n"/>
      <c r="BN1334" s="58" t="n"/>
    </row>
    <row r="1335">
      <c r="C1335" s="206" t="n"/>
      <c r="D1335" s="206" t="n"/>
      <c r="E1335" s="206" t="n"/>
      <c r="BK1335" s="58" t="n"/>
      <c r="BL1335" s="58" t="n"/>
      <c r="BM1335" s="58" t="n"/>
      <c r="BN1335" s="58" t="n"/>
    </row>
    <row r="1336">
      <c r="C1336" s="206" t="n"/>
      <c r="D1336" s="206" t="n"/>
      <c r="E1336" s="206" t="n"/>
      <c r="BK1336" s="58" t="n"/>
      <c r="BL1336" s="58" t="n"/>
      <c r="BM1336" s="58" t="n"/>
      <c r="BN1336" s="58" t="n"/>
    </row>
    <row r="1337">
      <c r="C1337" s="206" t="n"/>
      <c r="D1337" s="206" t="n"/>
      <c r="E1337" s="206" t="n"/>
      <c r="BK1337" s="58" t="n"/>
      <c r="BL1337" s="58" t="n"/>
      <c r="BM1337" s="58" t="n"/>
      <c r="BN1337" s="58" t="n"/>
    </row>
    <row r="1338">
      <c r="C1338" s="207" t="n"/>
      <c r="D1338" s="206" t="n"/>
      <c r="E1338" s="206" t="n"/>
      <c r="BK1338" s="58" t="n"/>
      <c r="BL1338" s="58" t="n"/>
      <c r="BM1338" s="58" t="n"/>
      <c r="BN1338" s="58" t="n"/>
    </row>
    <row r="1339">
      <c r="C1339" s="206" t="n"/>
      <c r="D1339" s="206" t="n"/>
      <c r="E1339" s="206" t="n"/>
      <c r="BK1339" s="58" t="n"/>
      <c r="BL1339" s="58" t="n"/>
      <c r="BM1339" s="58" t="n"/>
      <c r="BN1339" s="58" t="n"/>
    </row>
    <row r="1340">
      <c r="C1340" s="206" t="n"/>
      <c r="D1340" s="206" t="n"/>
      <c r="E1340" s="206" t="n"/>
      <c r="BK1340" s="58" t="n"/>
      <c r="BL1340" s="58" t="n"/>
      <c r="BM1340" s="58" t="n"/>
      <c r="BN1340" s="58" t="n"/>
    </row>
    <row r="1341">
      <c r="C1341" s="206" t="n"/>
      <c r="D1341" s="206" t="n"/>
      <c r="E1341" s="206" t="n"/>
      <c r="BK1341" s="58" t="n"/>
      <c r="BL1341" s="58" t="n"/>
      <c r="BM1341" s="58" t="n"/>
      <c r="BN1341" s="58" t="n"/>
    </row>
    <row r="1342">
      <c r="C1342" s="206" t="n"/>
      <c r="D1342" s="206" t="n"/>
      <c r="E1342" s="206" t="n"/>
      <c r="BK1342" s="58" t="n"/>
      <c r="BL1342" s="58" t="n"/>
      <c r="BM1342" s="58" t="n"/>
      <c r="BN1342" s="58" t="n"/>
    </row>
    <row r="1343">
      <c r="C1343" s="207" t="n"/>
      <c r="D1343" s="206" t="n"/>
      <c r="E1343" s="206" t="n"/>
      <c r="BK1343" s="58" t="n"/>
      <c r="BL1343" s="58" t="n"/>
      <c r="BM1343" s="58" t="n"/>
      <c r="BN1343" s="58" t="n"/>
    </row>
    <row r="1344">
      <c r="C1344" s="206" t="n"/>
      <c r="D1344" s="206" t="n"/>
      <c r="E1344" s="206" t="n"/>
      <c r="BK1344" s="58" t="n"/>
      <c r="BL1344" s="58" t="n"/>
      <c r="BM1344" s="58" t="n"/>
      <c r="BN1344" s="58" t="n"/>
    </row>
    <row r="1345">
      <c r="C1345" s="207" t="n"/>
      <c r="D1345" s="206" t="n"/>
      <c r="E1345" s="206" t="n"/>
      <c r="BK1345" s="58" t="n"/>
      <c r="BL1345" s="58" t="n"/>
      <c r="BM1345" s="58" t="n"/>
      <c r="BN1345" s="58" t="n"/>
    </row>
    <row r="1346">
      <c r="C1346" s="207" t="n"/>
      <c r="D1346" s="206" t="n"/>
      <c r="E1346" s="206" t="n"/>
      <c r="BK1346" s="58" t="n"/>
      <c r="BL1346" s="58" t="n"/>
      <c r="BM1346" s="58" t="n"/>
      <c r="BN1346" s="58" t="n"/>
    </row>
    <row r="1347">
      <c r="C1347" s="207" t="n"/>
      <c r="D1347" s="206" t="n"/>
      <c r="E1347" s="206" t="n"/>
      <c r="BK1347" s="58" t="n"/>
      <c r="BL1347" s="58" t="n"/>
      <c r="BM1347" s="58" t="n"/>
      <c r="BN1347" s="58" t="n"/>
    </row>
    <row r="1348">
      <c r="C1348" s="207" t="n"/>
      <c r="D1348" s="206" t="n"/>
      <c r="E1348" s="206" t="n"/>
      <c r="BK1348" s="58" t="n"/>
      <c r="BL1348" s="58" t="n"/>
      <c r="BM1348" s="58" t="n"/>
      <c r="BN1348" s="58" t="n"/>
    </row>
    <row r="1349">
      <c r="C1349" s="206" t="n"/>
      <c r="D1349" s="206" t="n"/>
      <c r="E1349" s="206" t="n"/>
      <c r="BK1349" s="58" t="n"/>
      <c r="BL1349" s="58" t="n"/>
      <c r="BM1349" s="58" t="n"/>
      <c r="BN1349" s="58" t="n"/>
    </row>
    <row r="1350">
      <c r="C1350" s="206" t="n"/>
      <c r="D1350" s="206" t="n"/>
      <c r="E1350" s="206" t="n"/>
      <c r="BK1350" s="58" t="n"/>
      <c r="BL1350" s="58" t="n"/>
      <c r="BM1350" s="58" t="n"/>
      <c r="BN1350" s="58" t="n"/>
    </row>
    <row r="1351">
      <c r="C1351" s="207" t="n"/>
      <c r="D1351" s="206" t="n"/>
      <c r="E1351" s="206" t="n"/>
      <c r="BK1351" s="58" t="n"/>
      <c r="BL1351" s="58" t="n"/>
      <c r="BM1351" s="58" t="n"/>
      <c r="BN1351" s="58" t="n"/>
    </row>
    <row r="1352">
      <c r="C1352" s="206" t="n"/>
      <c r="D1352" s="206" t="n"/>
      <c r="E1352" s="206" t="n"/>
      <c r="BK1352" s="58" t="n"/>
      <c r="BL1352" s="58" t="n"/>
      <c r="BM1352" s="58" t="n"/>
      <c r="BN1352" s="58" t="n"/>
    </row>
    <row r="1353">
      <c r="C1353" s="206" t="n"/>
      <c r="D1353" s="206" t="n"/>
      <c r="E1353" s="206" t="n"/>
      <c r="BK1353" s="58" t="n"/>
      <c r="BL1353" s="58" t="n"/>
      <c r="BM1353" s="58" t="n"/>
      <c r="BN1353" s="58" t="n"/>
    </row>
    <row r="1354">
      <c r="C1354" s="206" t="n"/>
      <c r="D1354" s="206" t="n"/>
      <c r="E1354" s="206" t="n"/>
      <c r="BK1354" s="58" t="n"/>
      <c r="BL1354" s="58" t="n"/>
      <c r="BM1354" s="58" t="n"/>
      <c r="BN1354" s="58" t="n"/>
    </row>
    <row r="1355">
      <c r="C1355" s="207" t="n"/>
      <c r="D1355" s="206" t="n"/>
      <c r="E1355" s="206" t="n"/>
      <c r="BK1355" s="58" t="n"/>
      <c r="BL1355" s="58" t="n"/>
      <c r="BM1355" s="58" t="n"/>
      <c r="BN1355" s="58" t="n"/>
    </row>
    <row r="1356">
      <c r="C1356" s="206" t="n"/>
      <c r="D1356" s="206" t="n"/>
      <c r="E1356" s="206" t="n"/>
      <c r="BK1356" s="58" t="n"/>
      <c r="BL1356" s="58" t="n"/>
      <c r="BM1356" s="58" t="n"/>
      <c r="BN1356" s="58" t="n"/>
    </row>
    <row r="1357">
      <c r="C1357" s="207" t="n"/>
      <c r="D1357" s="206" t="n"/>
      <c r="E1357" s="206" t="n"/>
      <c r="BK1357" s="58" t="n"/>
      <c r="BL1357" s="58" t="n"/>
      <c r="BM1357" s="58" t="n"/>
      <c r="BN1357" s="58" t="n"/>
    </row>
    <row r="1358">
      <c r="C1358" s="206" t="n"/>
      <c r="D1358" s="206" t="n"/>
      <c r="E1358" s="206" t="n"/>
      <c r="BK1358" s="58" t="n"/>
      <c r="BL1358" s="58" t="n"/>
      <c r="BM1358" s="58" t="n"/>
      <c r="BN1358" s="58" t="n"/>
    </row>
    <row r="1359">
      <c r="C1359" s="206" t="n"/>
      <c r="D1359" s="206" t="n"/>
      <c r="E1359" s="206" t="n"/>
      <c r="BK1359" s="58" t="n"/>
      <c r="BL1359" s="58" t="n"/>
      <c r="BM1359" s="58" t="n"/>
      <c r="BN1359" s="58" t="n"/>
    </row>
    <row r="1360">
      <c r="C1360" s="207" t="n"/>
      <c r="D1360" s="206" t="n"/>
      <c r="E1360" s="206" t="n"/>
      <c r="BK1360" s="58" t="n"/>
      <c r="BL1360" s="58" t="n"/>
      <c r="BM1360" s="58" t="n"/>
      <c r="BN1360" s="58" t="n"/>
    </row>
    <row r="1361">
      <c r="C1361" s="207" t="n"/>
      <c r="D1361" s="206" t="n"/>
      <c r="E1361" s="206" t="n"/>
      <c r="BK1361" s="58" t="n"/>
      <c r="BL1361" s="58" t="n"/>
      <c r="BM1361" s="58" t="n"/>
      <c r="BN1361" s="58" t="n"/>
    </row>
    <row r="1362">
      <c r="C1362" s="207" t="n"/>
      <c r="D1362" s="206" t="n"/>
      <c r="E1362" s="206" t="n"/>
      <c r="BK1362" s="58" t="n"/>
      <c r="BL1362" s="58" t="n"/>
      <c r="BM1362" s="58" t="n"/>
      <c r="BN1362" s="58" t="n"/>
    </row>
    <row r="1363">
      <c r="C1363" s="207" t="n"/>
      <c r="D1363" s="206" t="n"/>
      <c r="E1363" s="206" t="n"/>
      <c r="BK1363" s="58" t="n"/>
      <c r="BL1363" s="58" t="n"/>
      <c r="BM1363" s="58" t="n"/>
      <c r="BN1363" s="58" t="n"/>
    </row>
    <row r="1364">
      <c r="C1364" s="206" t="n"/>
      <c r="D1364" s="206" t="n"/>
      <c r="E1364" s="206" t="n"/>
      <c r="BK1364" s="58" t="n"/>
      <c r="BL1364" s="58" t="n"/>
      <c r="BM1364" s="58" t="n"/>
      <c r="BN1364" s="58" t="n"/>
    </row>
    <row r="1365">
      <c r="C1365" s="207" t="n"/>
      <c r="D1365" s="206" t="n"/>
      <c r="E1365" s="206" t="n"/>
      <c r="BK1365" s="58" t="n"/>
      <c r="BL1365" s="58" t="n"/>
      <c r="BM1365" s="58" t="n"/>
      <c r="BN1365" s="58" t="n"/>
    </row>
    <row r="1366">
      <c r="C1366" s="206" t="n"/>
      <c r="D1366" s="206" t="n"/>
      <c r="E1366" s="206" t="n"/>
      <c r="BK1366" s="58" t="n"/>
      <c r="BL1366" s="58" t="n"/>
      <c r="BM1366" s="58" t="n"/>
      <c r="BN1366" s="58" t="n"/>
    </row>
    <row r="1367">
      <c r="C1367" s="206" t="n"/>
      <c r="D1367" s="206" t="n"/>
      <c r="E1367" s="206" t="n"/>
      <c r="BK1367" s="58" t="n"/>
      <c r="BL1367" s="58" t="n"/>
      <c r="BM1367" s="58" t="n"/>
      <c r="BN1367" s="58" t="n"/>
    </row>
    <row r="1368">
      <c r="C1368" s="206" t="n"/>
      <c r="D1368" s="206" t="n"/>
      <c r="E1368" s="206" t="n"/>
      <c r="BK1368" s="58" t="n"/>
      <c r="BL1368" s="58" t="n"/>
      <c r="BM1368" s="58" t="n"/>
      <c r="BN1368" s="58" t="n"/>
    </row>
    <row r="1369">
      <c r="C1369" s="206" t="n"/>
      <c r="D1369" s="206" t="n"/>
      <c r="E1369" s="206" t="n"/>
      <c r="BK1369" s="58" t="n"/>
      <c r="BL1369" s="58" t="n"/>
      <c r="BM1369" s="58" t="n"/>
      <c r="BN1369" s="58" t="n"/>
    </row>
    <row r="1370">
      <c r="C1370" s="206" t="n"/>
      <c r="D1370" s="206" t="n"/>
      <c r="E1370" s="206" t="n"/>
      <c r="BK1370" s="58" t="n"/>
      <c r="BL1370" s="58" t="n"/>
      <c r="BM1370" s="58" t="n"/>
      <c r="BN1370" s="58" t="n"/>
    </row>
    <row r="1371">
      <c r="C1371" s="206" t="n"/>
      <c r="D1371" s="206" t="n"/>
      <c r="E1371" s="206" t="n"/>
      <c r="BK1371" s="58" t="n"/>
      <c r="BL1371" s="58" t="n"/>
      <c r="BM1371" s="58" t="n"/>
      <c r="BN1371" s="58" t="n"/>
    </row>
    <row r="1372">
      <c r="C1372" s="206" t="n"/>
      <c r="D1372" s="206" t="n"/>
      <c r="E1372" s="206" t="n"/>
      <c r="BK1372" s="58" t="n"/>
      <c r="BL1372" s="58" t="n"/>
      <c r="BM1372" s="58" t="n"/>
      <c r="BN1372" s="58" t="n"/>
    </row>
    <row r="1373">
      <c r="C1373" s="206" t="n"/>
      <c r="D1373" s="206" t="n"/>
      <c r="E1373" s="206" t="n"/>
      <c r="BK1373" s="58" t="n"/>
      <c r="BL1373" s="58" t="n"/>
      <c r="BM1373" s="58" t="n"/>
      <c r="BN1373" s="58" t="n"/>
    </row>
    <row r="1374">
      <c r="C1374" s="207" t="n"/>
      <c r="D1374" s="206" t="n"/>
      <c r="E1374" s="206" t="n"/>
      <c r="BK1374" s="58" t="n"/>
      <c r="BL1374" s="58" t="n"/>
      <c r="BM1374" s="58" t="n"/>
      <c r="BN1374" s="58" t="n"/>
    </row>
    <row r="1375">
      <c r="C1375" s="207" t="n"/>
      <c r="D1375" s="206" t="n"/>
      <c r="E1375" s="206" t="n"/>
      <c r="BK1375" s="58" t="n"/>
      <c r="BL1375" s="58" t="n"/>
      <c r="BM1375" s="58" t="n"/>
      <c r="BN1375" s="58" t="n"/>
    </row>
    <row r="1376">
      <c r="C1376" s="206" t="n"/>
      <c r="D1376" s="206" t="n"/>
      <c r="E1376" s="206" t="n"/>
      <c r="BK1376" s="58" t="n"/>
      <c r="BL1376" s="58" t="n"/>
      <c r="BM1376" s="58" t="n"/>
      <c r="BN1376" s="58" t="n"/>
    </row>
    <row r="1377">
      <c r="C1377" s="206" t="n"/>
      <c r="D1377" s="206" t="n"/>
      <c r="E1377" s="206" t="n"/>
      <c r="BK1377" s="58" t="n"/>
      <c r="BL1377" s="58" t="n"/>
      <c r="BM1377" s="58" t="n"/>
      <c r="BN1377" s="58" t="n"/>
    </row>
    <row r="1378">
      <c r="C1378" s="207" t="n"/>
      <c r="D1378" s="206" t="n"/>
      <c r="E1378" s="206" t="n"/>
      <c r="BK1378" s="58" t="n"/>
      <c r="BL1378" s="58" t="n"/>
      <c r="BM1378" s="58" t="n"/>
      <c r="BN1378" s="58" t="n"/>
    </row>
    <row r="1379">
      <c r="C1379" s="207" t="n"/>
      <c r="D1379" s="206" t="n"/>
      <c r="E1379" s="206" t="n"/>
      <c r="BK1379" s="58" t="n"/>
      <c r="BL1379" s="58" t="n"/>
      <c r="BM1379" s="58" t="n"/>
      <c r="BN1379" s="58" t="n"/>
    </row>
    <row r="1380">
      <c r="C1380" s="207" t="n"/>
      <c r="D1380" s="206" t="n"/>
      <c r="E1380" s="206" t="n"/>
      <c r="BK1380" s="58" t="n"/>
      <c r="BL1380" s="58" t="n"/>
      <c r="BM1380" s="58" t="n"/>
      <c r="BN1380" s="58" t="n"/>
    </row>
    <row r="1381">
      <c r="C1381" s="206" t="n"/>
      <c r="D1381" s="206" t="n"/>
      <c r="E1381" s="206" t="n"/>
      <c r="BK1381" s="58" t="n"/>
      <c r="BL1381" s="58" t="n"/>
      <c r="BM1381" s="58" t="n"/>
      <c r="BN1381" s="58" t="n"/>
    </row>
    <row r="1382">
      <c r="C1382" s="206" t="n"/>
      <c r="D1382" s="206" t="n"/>
      <c r="E1382" s="206" t="n"/>
      <c r="BK1382" s="58" t="n"/>
      <c r="BL1382" s="58" t="n"/>
      <c r="BM1382" s="58" t="n"/>
      <c r="BN1382" s="58" t="n"/>
    </row>
    <row r="1383">
      <c r="C1383" s="207" t="n"/>
      <c r="D1383" s="206" t="n"/>
      <c r="E1383" s="206" t="n"/>
      <c r="BK1383" s="58" t="n"/>
      <c r="BL1383" s="58" t="n"/>
      <c r="BM1383" s="58" t="n"/>
      <c r="BN1383" s="58" t="n"/>
    </row>
    <row r="1384">
      <c r="C1384" s="206" t="n"/>
      <c r="D1384" s="206" t="n"/>
      <c r="E1384" s="206" t="n"/>
      <c r="BK1384" s="58" t="n"/>
      <c r="BL1384" s="58" t="n"/>
      <c r="BM1384" s="58" t="n"/>
      <c r="BN1384" s="58" t="n"/>
    </row>
    <row r="1385">
      <c r="C1385" s="206" t="n"/>
      <c r="D1385" s="206" t="n"/>
      <c r="E1385" s="206" t="n"/>
      <c r="BK1385" s="58" t="n"/>
      <c r="BL1385" s="58" t="n"/>
      <c r="BM1385" s="58" t="n"/>
      <c r="BN1385" s="58" t="n"/>
    </row>
    <row r="1386">
      <c r="C1386" s="206" t="n"/>
      <c r="D1386" s="206" t="n"/>
      <c r="E1386" s="206" t="n"/>
      <c r="BK1386" s="58" t="n"/>
      <c r="BL1386" s="58" t="n"/>
      <c r="BM1386" s="58" t="n"/>
      <c r="BN1386" s="58" t="n"/>
    </row>
    <row r="1387">
      <c r="C1387" s="206" t="n"/>
      <c r="D1387" s="206" t="n"/>
      <c r="E1387" s="206" t="n"/>
      <c r="BK1387" s="58" t="n"/>
      <c r="BL1387" s="58" t="n"/>
      <c r="BM1387" s="58" t="n"/>
      <c r="BN1387" s="58" t="n"/>
    </row>
    <row r="1388">
      <c r="C1388" s="206" t="n"/>
      <c r="D1388" s="206" t="n"/>
      <c r="E1388" s="206" t="n"/>
      <c r="BK1388" s="58" t="n"/>
      <c r="BL1388" s="58" t="n"/>
      <c r="BM1388" s="58" t="n"/>
      <c r="BN1388" s="58" t="n"/>
    </row>
    <row r="1389">
      <c r="C1389" s="207" t="n"/>
      <c r="D1389" s="206" t="n"/>
      <c r="E1389" s="206" t="n"/>
      <c r="BK1389" s="58" t="n"/>
      <c r="BL1389" s="58" t="n"/>
      <c r="BM1389" s="58" t="n"/>
      <c r="BN1389" s="58" t="n"/>
    </row>
    <row r="1390">
      <c r="C1390" s="207" t="n"/>
      <c r="D1390" s="206" t="n"/>
      <c r="E1390" s="206" t="n"/>
      <c r="BK1390" s="58" t="n"/>
      <c r="BL1390" s="58" t="n"/>
      <c r="BM1390" s="58" t="n"/>
      <c r="BN1390" s="58" t="n"/>
    </row>
    <row r="1391">
      <c r="C1391" s="206" t="n"/>
      <c r="D1391" s="206" t="n"/>
      <c r="E1391" s="206" t="n"/>
      <c r="BK1391" s="58" t="n"/>
      <c r="BL1391" s="58" t="n"/>
      <c r="BM1391" s="58" t="n"/>
      <c r="BN1391" s="58" t="n"/>
    </row>
    <row r="1392">
      <c r="C1392" s="207" t="n"/>
      <c r="D1392" s="206" t="n"/>
      <c r="E1392" s="206" t="n"/>
      <c r="BK1392" s="58" t="n"/>
      <c r="BL1392" s="58" t="n"/>
      <c r="BM1392" s="58" t="n"/>
      <c r="BN1392" s="58" t="n"/>
    </row>
    <row r="1393">
      <c r="C1393" s="207" t="n"/>
      <c r="D1393" s="206" t="n"/>
      <c r="E1393" s="206" t="n"/>
      <c r="BK1393" s="58" t="n"/>
      <c r="BL1393" s="58" t="n"/>
      <c r="BM1393" s="58" t="n"/>
      <c r="BN1393" s="58" t="n"/>
    </row>
    <row r="1394">
      <c r="C1394" s="207" t="n"/>
      <c r="D1394" s="206" t="n"/>
      <c r="E1394" s="206" t="n"/>
      <c r="BK1394" s="58" t="n"/>
      <c r="BL1394" s="58" t="n"/>
      <c r="BM1394" s="58" t="n"/>
      <c r="BN1394" s="58" t="n"/>
    </row>
    <row r="1395">
      <c r="C1395" s="207" t="n"/>
      <c r="D1395" s="206" t="n"/>
      <c r="E1395" s="206" t="n"/>
      <c r="BK1395" s="58" t="n"/>
      <c r="BL1395" s="58" t="n"/>
      <c r="BM1395" s="58" t="n"/>
      <c r="BN1395" s="58" t="n"/>
    </row>
    <row r="1396">
      <c r="C1396" s="206" t="n"/>
      <c r="D1396" s="206" t="n"/>
      <c r="E1396" s="206" t="n"/>
      <c r="BK1396" s="58" t="n"/>
      <c r="BL1396" s="58" t="n"/>
      <c r="BM1396" s="58" t="n"/>
      <c r="BN1396" s="58" t="n"/>
    </row>
    <row r="1397">
      <c r="C1397" s="207" t="n"/>
      <c r="D1397" s="206" t="n"/>
      <c r="E1397" s="206" t="n"/>
      <c r="BK1397" s="58" t="n"/>
      <c r="BL1397" s="58" t="n"/>
      <c r="BM1397" s="58" t="n"/>
      <c r="BN1397" s="58" t="n"/>
    </row>
    <row r="1398">
      <c r="C1398" s="206" t="n"/>
      <c r="D1398" s="206" t="n"/>
      <c r="E1398" s="206" t="n"/>
      <c r="BK1398" s="58" t="n"/>
      <c r="BL1398" s="58" t="n"/>
      <c r="BM1398" s="58" t="n"/>
      <c r="BN1398" s="58" t="n"/>
    </row>
    <row r="1399">
      <c r="C1399" s="206" t="n"/>
      <c r="D1399" s="206" t="n"/>
      <c r="E1399" s="206" t="n"/>
      <c r="BK1399" s="58" t="n"/>
      <c r="BL1399" s="58" t="n"/>
      <c r="BM1399" s="58" t="n"/>
      <c r="BN1399" s="58" t="n"/>
    </row>
    <row r="1400">
      <c r="C1400" s="206" t="n"/>
      <c r="D1400" s="206" t="n"/>
      <c r="E1400" s="206" t="n"/>
      <c r="BK1400" s="58" t="n"/>
      <c r="BL1400" s="58" t="n"/>
      <c r="BM1400" s="58" t="n"/>
      <c r="BN1400" s="58" t="n"/>
    </row>
    <row r="1401">
      <c r="C1401" s="206" t="n"/>
      <c r="D1401" s="206" t="n"/>
      <c r="E1401" s="206" t="n"/>
      <c r="BK1401" s="58" t="n"/>
      <c r="BL1401" s="58" t="n"/>
      <c r="BM1401" s="58" t="n"/>
      <c r="BN1401" s="58" t="n"/>
    </row>
    <row r="1402">
      <c r="C1402" s="206" t="n"/>
      <c r="D1402" s="206" t="n"/>
      <c r="E1402" s="206" t="n"/>
      <c r="BK1402" s="58" t="n"/>
      <c r="BL1402" s="58" t="n"/>
      <c r="BM1402" s="58" t="n"/>
      <c r="BN1402" s="58" t="n"/>
    </row>
    <row r="1403">
      <c r="C1403" s="207" t="n"/>
      <c r="D1403" s="206" t="n"/>
      <c r="E1403" s="206" t="n"/>
      <c r="BK1403" s="58" t="n"/>
      <c r="BL1403" s="58" t="n"/>
      <c r="BM1403" s="58" t="n"/>
      <c r="BN1403" s="58" t="n"/>
    </row>
    <row r="1404">
      <c r="C1404" s="206" t="n"/>
      <c r="D1404" s="206" t="n"/>
      <c r="E1404" s="206" t="n"/>
      <c r="BK1404" s="58" t="n"/>
      <c r="BL1404" s="58" t="n"/>
      <c r="BM1404" s="58" t="n"/>
      <c r="BN1404" s="58" t="n"/>
    </row>
    <row r="1405">
      <c r="C1405" s="206" t="n"/>
      <c r="D1405" s="206" t="n"/>
      <c r="E1405" s="206" t="n"/>
      <c r="BK1405" s="58" t="n"/>
      <c r="BL1405" s="58" t="n"/>
      <c r="BM1405" s="58" t="n"/>
      <c r="BN1405" s="58" t="n"/>
    </row>
    <row r="1406">
      <c r="C1406" s="206" t="n"/>
      <c r="D1406" s="206" t="n"/>
      <c r="E1406" s="206" t="n"/>
      <c r="BK1406" s="58" t="n"/>
      <c r="BL1406" s="58" t="n"/>
      <c r="BM1406" s="58" t="n"/>
      <c r="BN1406" s="58" t="n"/>
    </row>
    <row r="1407">
      <c r="C1407" s="207" t="n"/>
      <c r="D1407" s="206" t="n"/>
      <c r="E1407" s="206" t="n"/>
      <c r="BK1407" s="58" t="n"/>
      <c r="BL1407" s="58" t="n"/>
      <c r="BM1407" s="58" t="n"/>
      <c r="BN1407" s="58" t="n"/>
    </row>
    <row r="1408">
      <c r="C1408" s="207" t="n"/>
      <c r="D1408" s="206" t="n"/>
      <c r="E1408" s="206" t="n"/>
      <c r="BK1408" s="58" t="n"/>
      <c r="BL1408" s="58" t="n"/>
      <c r="BM1408" s="58" t="n"/>
      <c r="BN1408" s="58" t="n"/>
    </row>
    <row r="1409">
      <c r="C1409" s="206" t="n"/>
      <c r="D1409" s="206" t="n"/>
      <c r="E1409" s="206" t="n"/>
      <c r="BK1409" s="58" t="n"/>
      <c r="BL1409" s="58" t="n"/>
      <c r="BM1409" s="58" t="n"/>
      <c r="BN1409" s="58" t="n"/>
    </row>
    <row r="1410">
      <c r="C1410" s="207" t="n"/>
      <c r="D1410" s="206" t="n"/>
      <c r="E1410" s="206" t="n"/>
      <c r="BK1410" s="58" t="n"/>
      <c r="BL1410" s="58" t="n"/>
      <c r="BM1410" s="58" t="n"/>
      <c r="BN1410" s="58" t="n"/>
    </row>
    <row r="1411">
      <c r="C1411" s="206" t="n"/>
      <c r="D1411" s="206" t="n"/>
      <c r="E1411" s="206" t="n"/>
      <c r="BK1411" s="58" t="n"/>
      <c r="BL1411" s="58" t="n"/>
      <c r="BM1411" s="58" t="n"/>
      <c r="BN1411" s="58" t="n"/>
    </row>
    <row r="1412">
      <c r="C1412" s="207" t="n"/>
      <c r="D1412" s="206" t="n"/>
      <c r="E1412" s="206" t="n"/>
      <c r="BK1412" s="58" t="n"/>
      <c r="BL1412" s="58" t="n"/>
      <c r="BM1412" s="58" t="n"/>
      <c r="BN1412" s="58" t="n"/>
    </row>
    <row r="1413">
      <c r="C1413" s="206" t="n"/>
      <c r="D1413" s="206" t="n"/>
      <c r="E1413" s="206" t="n"/>
      <c r="BK1413" s="58" t="n"/>
      <c r="BL1413" s="58" t="n"/>
      <c r="BM1413" s="58" t="n"/>
      <c r="BN1413" s="58" t="n"/>
    </row>
    <row r="1414">
      <c r="C1414" s="207" t="n"/>
      <c r="D1414" s="206" t="n"/>
      <c r="E1414" s="206" t="n"/>
      <c r="BK1414" s="58" t="n"/>
      <c r="BL1414" s="58" t="n"/>
      <c r="BM1414" s="58" t="n"/>
      <c r="BN1414" s="58" t="n"/>
    </row>
    <row r="1415">
      <c r="C1415" s="206" t="n"/>
      <c r="D1415" s="206" t="n"/>
      <c r="E1415" s="206" t="n"/>
      <c r="BK1415" s="58" t="n"/>
      <c r="BL1415" s="58" t="n"/>
      <c r="BM1415" s="58" t="n"/>
      <c r="BN1415" s="58" t="n"/>
    </row>
    <row r="1416">
      <c r="C1416" s="206" t="n"/>
      <c r="D1416" s="206" t="n"/>
      <c r="E1416" s="206" t="n"/>
      <c r="BK1416" s="58" t="n"/>
      <c r="BL1416" s="58" t="n"/>
      <c r="BM1416" s="58" t="n"/>
      <c r="BN1416" s="58" t="n"/>
    </row>
    <row r="1417">
      <c r="C1417" s="207" t="n"/>
      <c r="D1417" s="206" t="n"/>
      <c r="E1417" s="206" t="n"/>
      <c r="BK1417" s="58" t="n"/>
      <c r="BL1417" s="58" t="n"/>
      <c r="BM1417" s="58" t="n"/>
      <c r="BN1417" s="58" t="n"/>
    </row>
    <row r="1418">
      <c r="C1418" s="206" t="n"/>
      <c r="D1418" s="206" t="n"/>
      <c r="E1418" s="206" t="n"/>
      <c r="BK1418" s="58" t="n"/>
      <c r="BL1418" s="58" t="n"/>
      <c r="BM1418" s="58" t="n"/>
      <c r="BN1418" s="58" t="n"/>
    </row>
    <row r="1419">
      <c r="C1419" s="206" t="n"/>
      <c r="D1419" s="206" t="n"/>
      <c r="E1419" s="206" t="n"/>
      <c r="BK1419" s="58" t="n"/>
      <c r="BL1419" s="58" t="n"/>
      <c r="BM1419" s="58" t="n"/>
      <c r="BN1419" s="58" t="n"/>
    </row>
    <row r="1420">
      <c r="C1420" s="206" t="n"/>
      <c r="D1420" s="206" t="n"/>
      <c r="E1420" s="206" t="n"/>
      <c r="BK1420" s="58" t="n"/>
      <c r="BL1420" s="58" t="n"/>
      <c r="BM1420" s="58" t="n"/>
      <c r="BN1420" s="58" t="n"/>
    </row>
    <row r="1421">
      <c r="C1421" s="206" t="n"/>
      <c r="D1421" s="206" t="n"/>
      <c r="E1421" s="206" t="n"/>
      <c r="BK1421" s="58" t="n"/>
      <c r="BL1421" s="58" t="n"/>
      <c r="BM1421" s="58" t="n"/>
      <c r="BN1421" s="58" t="n"/>
    </row>
    <row r="1422">
      <c r="C1422" s="207" t="n"/>
      <c r="D1422" s="206" t="n"/>
      <c r="E1422" s="206" t="n"/>
      <c r="BK1422" s="58" t="n"/>
      <c r="BL1422" s="58" t="n"/>
      <c r="BM1422" s="58" t="n"/>
      <c r="BN1422" s="58" t="n"/>
    </row>
    <row r="1423">
      <c r="C1423" s="206" t="n"/>
      <c r="D1423" s="206" t="n"/>
      <c r="E1423" s="206" t="n"/>
      <c r="BK1423" s="58" t="n"/>
      <c r="BL1423" s="58" t="n"/>
      <c r="BM1423" s="58" t="n"/>
      <c r="BN1423" s="58" t="n"/>
    </row>
    <row r="1424">
      <c r="C1424" s="206" t="n"/>
      <c r="D1424" s="206" t="n"/>
      <c r="E1424" s="206" t="n"/>
      <c r="BK1424" s="58" t="n"/>
      <c r="BL1424" s="58" t="n"/>
      <c r="BM1424" s="58" t="n"/>
      <c r="BN1424" s="58" t="n"/>
    </row>
    <row r="1425">
      <c r="C1425" s="206" t="n"/>
      <c r="D1425" s="206" t="n"/>
      <c r="E1425" s="206" t="n"/>
      <c r="BK1425" s="58" t="n"/>
      <c r="BL1425" s="58" t="n"/>
      <c r="BM1425" s="58" t="n"/>
      <c r="BN1425" s="58" t="n"/>
    </row>
    <row r="1426">
      <c r="C1426" s="206" t="n"/>
      <c r="D1426" s="206" t="n"/>
      <c r="E1426" s="206" t="n"/>
      <c r="BK1426" s="58" t="n"/>
      <c r="BL1426" s="58" t="n"/>
      <c r="BM1426" s="58" t="n"/>
      <c r="BN1426" s="58" t="n"/>
    </row>
    <row r="1427">
      <c r="C1427" s="206" t="n"/>
      <c r="D1427" s="206" t="n"/>
      <c r="E1427" s="206" t="n"/>
      <c r="BK1427" s="58" t="n"/>
      <c r="BL1427" s="58" t="n"/>
      <c r="BM1427" s="58" t="n"/>
      <c r="BN1427" s="58" t="n"/>
    </row>
    <row r="1428">
      <c r="C1428" s="206" t="n"/>
      <c r="D1428" s="206" t="n"/>
      <c r="E1428" s="206" t="n"/>
      <c r="BK1428" s="58" t="n"/>
      <c r="BL1428" s="58" t="n"/>
      <c r="BM1428" s="58" t="n"/>
      <c r="BN1428" s="58" t="n"/>
    </row>
    <row r="1429">
      <c r="C1429" s="207" t="n"/>
      <c r="D1429" s="206" t="n"/>
      <c r="E1429" s="206" t="n"/>
      <c r="BK1429" s="58" t="n"/>
      <c r="BL1429" s="58" t="n"/>
      <c r="BM1429" s="58" t="n"/>
      <c r="BN1429" s="58" t="n"/>
    </row>
    <row r="1430">
      <c r="C1430" s="207" t="n"/>
      <c r="D1430" s="206" t="n"/>
      <c r="E1430" s="206" t="n"/>
      <c r="BK1430" s="58" t="n"/>
      <c r="BL1430" s="58" t="n"/>
      <c r="BM1430" s="58" t="n"/>
      <c r="BN1430" s="58" t="n"/>
    </row>
    <row r="1431">
      <c r="C1431" s="207" t="n"/>
      <c r="D1431" s="206" t="n"/>
      <c r="E1431" s="206" t="n"/>
      <c r="BK1431" s="58" t="n"/>
      <c r="BL1431" s="58" t="n"/>
      <c r="BM1431" s="58" t="n"/>
      <c r="BN1431" s="58" t="n"/>
    </row>
    <row r="1432">
      <c r="C1432" s="207" t="n"/>
      <c r="D1432" s="206" t="n"/>
      <c r="E1432" s="206" t="n"/>
      <c r="BK1432" s="58" t="n"/>
      <c r="BL1432" s="58" t="n"/>
      <c r="BM1432" s="58" t="n"/>
      <c r="BN1432" s="58" t="n"/>
    </row>
    <row r="1433">
      <c r="C1433" s="206" t="n"/>
      <c r="D1433" s="206" t="n"/>
      <c r="E1433" s="206" t="n"/>
      <c r="BK1433" s="58" t="n"/>
      <c r="BL1433" s="58" t="n"/>
      <c r="BM1433" s="58" t="n"/>
      <c r="BN1433" s="58" t="n"/>
    </row>
    <row r="1434">
      <c r="C1434" s="206" t="n"/>
      <c r="D1434" s="206" t="n"/>
      <c r="E1434" s="206" t="n"/>
      <c r="BK1434" s="58" t="n"/>
      <c r="BL1434" s="58" t="n"/>
      <c r="BM1434" s="58" t="n"/>
      <c r="BN1434" s="58" t="n"/>
    </row>
    <row r="1435">
      <c r="C1435" s="207" t="n"/>
      <c r="D1435" s="206" t="n"/>
      <c r="E1435" s="206" t="n"/>
      <c r="BK1435" s="58" t="n"/>
      <c r="BL1435" s="58" t="n"/>
      <c r="BM1435" s="58" t="n"/>
      <c r="BN1435" s="58" t="n"/>
    </row>
    <row r="1436">
      <c r="C1436" s="206" t="n"/>
      <c r="D1436" s="206" t="n"/>
      <c r="E1436" s="206" t="n"/>
      <c r="BK1436" s="58" t="n"/>
      <c r="BL1436" s="58" t="n"/>
      <c r="BM1436" s="58" t="n"/>
      <c r="BN1436" s="58" t="n"/>
    </row>
    <row r="1437">
      <c r="C1437" s="207" t="n"/>
      <c r="D1437" s="206" t="n"/>
      <c r="E1437" s="206" t="n"/>
      <c r="BK1437" s="58" t="n"/>
      <c r="BL1437" s="58" t="n"/>
      <c r="BM1437" s="58" t="n"/>
      <c r="BN1437" s="58" t="n"/>
    </row>
    <row r="1438">
      <c r="C1438" s="207" t="n"/>
      <c r="D1438" s="206" t="n"/>
      <c r="E1438" s="206" t="n"/>
      <c r="BK1438" s="58" t="n"/>
      <c r="BL1438" s="58" t="n"/>
      <c r="BM1438" s="58" t="n"/>
      <c r="BN1438" s="58" t="n"/>
    </row>
    <row r="1439">
      <c r="C1439" s="206" t="n"/>
      <c r="D1439" s="206" t="n"/>
      <c r="E1439" s="206" t="n"/>
      <c r="BK1439" s="58" t="n"/>
      <c r="BL1439" s="58" t="n"/>
      <c r="BM1439" s="58" t="n"/>
      <c r="BN1439" s="58" t="n"/>
    </row>
    <row r="1440">
      <c r="C1440" s="207" t="n"/>
      <c r="D1440" s="206" t="n"/>
      <c r="E1440" s="206" t="n"/>
      <c r="BK1440" s="58" t="n"/>
      <c r="BL1440" s="58" t="n"/>
      <c r="BM1440" s="58" t="n"/>
      <c r="BN1440" s="58" t="n"/>
    </row>
    <row r="1441">
      <c r="C1441" s="206" t="n"/>
      <c r="D1441" s="206" t="n"/>
      <c r="E1441" s="206" t="n"/>
      <c r="BK1441" s="58" t="n"/>
      <c r="BL1441" s="58" t="n"/>
      <c r="BM1441" s="58" t="n"/>
      <c r="BN1441" s="58" t="n"/>
    </row>
    <row r="1442">
      <c r="C1442" s="206" t="n"/>
      <c r="D1442" s="206" t="n"/>
      <c r="E1442" s="206" t="n"/>
      <c r="BK1442" s="58" t="n"/>
      <c r="BL1442" s="58" t="n"/>
      <c r="BM1442" s="58" t="n"/>
      <c r="BN1442" s="58" t="n"/>
    </row>
    <row r="1443">
      <c r="C1443" s="207" t="n"/>
      <c r="D1443" s="206" t="n"/>
      <c r="E1443" s="206" t="n"/>
      <c r="BK1443" s="58" t="n"/>
      <c r="BL1443" s="58" t="n"/>
      <c r="BM1443" s="58" t="n"/>
      <c r="BN1443" s="58" t="n"/>
    </row>
    <row r="1444">
      <c r="C1444" s="207" t="n"/>
      <c r="D1444" s="206" t="n"/>
      <c r="E1444" s="206" t="n"/>
      <c r="BK1444" s="58" t="n"/>
      <c r="BL1444" s="58" t="n"/>
      <c r="BM1444" s="58" t="n"/>
      <c r="BN1444" s="58" t="n"/>
    </row>
    <row r="1445">
      <c r="C1445" s="207" t="n"/>
      <c r="D1445" s="206" t="n"/>
      <c r="E1445" s="206" t="n"/>
      <c r="BK1445" s="58" t="n"/>
      <c r="BL1445" s="58" t="n"/>
      <c r="BM1445" s="58" t="n"/>
      <c r="BN1445" s="58" t="n"/>
    </row>
    <row r="1446">
      <c r="C1446" s="207" t="n"/>
      <c r="D1446" s="206" t="n"/>
      <c r="E1446" s="206" t="n"/>
      <c r="BK1446" s="58" t="n"/>
      <c r="BL1446" s="58" t="n"/>
      <c r="BM1446" s="58" t="n"/>
      <c r="BN1446" s="58" t="n"/>
    </row>
    <row r="1447">
      <c r="C1447" s="206" t="n"/>
      <c r="D1447" s="206" t="n"/>
      <c r="E1447" s="206" t="n"/>
      <c r="BK1447" s="58" t="n"/>
      <c r="BL1447" s="58" t="n"/>
      <c r="BM1447" s="58" t="n"/>
      <c r="BN1447" s="58" t="n"/>
    </row>
    <row r="1448">
      <c r="C1448" s="206" t="n"/>
      <c r="D1448" s="206" t="n"/>
      <c r="E1448" s="206" t="n"/>
      <c r="BK1448" s="58" t="n"/>
      <c r="BL1448" s="58" t="n"/>
      <c r="BM1448" s="58" t="n"/>
      <c r="BN1448" s="58" t="n"/>
    </row>
    <row r="1449">
      <c r="C1449" s="206" t="n"/>
      <c r="D1449" s="206" t="n"/>
      <c r="E1449" s="206" t="n"/>
      <c r="BK1449" s="58" t="n"/>
      <c r="BL1449" s="58" t="n"/>
      <c r="BM1449" s="58" t="n"/>
      <c r="BN1449" s="58" t="n"/>
    </row>
    <row r="1450">
      <c r="C1450" s="207" t="n"/>
      <c r="D1450" s="206" t="n"/>
      <c r="E1450" s="206" t="n"/>
      <c r="BK1450" s="58" t="n"/>
      <c r="BL1450" s="58" t="n"/>
      <c r="BM1450" s="58" t="n"/>
      <c r="BN1450" s="58" t="n"/>
    </row>
    <row r="1451">
      <c r="C1451" s="206" t="n"/>
      <c r="D1451" s="206" t="n"/>
      <c r="E1451" s="206" t="n"/>
      <c r="BK1451" s="58" t="n"/>
      <c r="BL1451" s="58" t="n"/>
      <c r="BM1451" s="58" t="n"/>
      <c r="BN1451" s="58" t="n"/>
    </row>
    <row r="1452">
      <c r="C1452" s="207" t="n"/>
      <c r="D1452" s="206" t="n"/>
      <c r="E1452" s="206" t="n"/>
      <c r="BK1452" s="58" t="n"/>
      <c r="BL1452" s="58" t="n"/>
      <c r="BM1452" s="58" t="n"/>
      <c r="BN1452" s="58" t="n"/>
    </row>
    <row r="1453">
      <c r="C1453" s="206" t="n"/>
      <c r="D1453" s="206" t="n"/>
      <c r="E1453" s="206" t="n"/>
      <c r="BK1453" s="58" t="n"/>
      <c r="BL1453" s="58" t="n"/>
      <c r="BM1453" s="58" t="n"/>
      <c r="BN1453" s="58" t="n"/>
    </row>
    <row r="1454">
      <c r="C1454" s="206" t="n"/>
      <c r="D1454" s="206" t="n"/>
      <c r="E1454" s="206" t="n"/>
      <c r="BK1454" s="58" t="n"/>
      <c r="BL1454" s="58" t="n"/>
      <c r="BM1454" s="58" t="n"/>
      <c r="BN1454" s="58" t="n"/>
    </row>
    <row r="1455">
      <c r="C1455" s="206" t="n"/>
      <c r="D1455" s="206" t="n"/>
      <c r="E1455" s="206" t="n"/>
      <c r="BK1455" s="58" t="n"/>
      <c r="BL1455" s="58" t="n"/>
      <c r="BM1455" s="58" t="n"/>
      <c r="BN1455" s="58" t="n"/>
    </row>
    <row r="1456">
      <c r="C1456" s="206" t="n"/>
      <c r="D1456" s="206" t="n"/>
      <c r="E1456" s="206" t="n"/>
      <c r="BK1456" s="58" t="n"/>
      <c r="BL1456" s="58" t="n"/>
      <c r="BM1456" s="58" t="n"/>
      <c r="BN1456" s="58" t="n"/>
    </row>
    <row r="1457">
      <c r="C1457" s="207" t="n"/>
      <c r="D1457" s="206" t="n"/>
      <c r="E1457" s="206" t="n"/>
      <c r="BK1457" s="58" t="n"/>
      <c r="BL1457" s="58" t="n"/>
      <c r="BM1457" s="58" t="n"/>
      <c r="BN1457" s="58" t="n"/>
    </row>
    <row r="1458">
      <c r="C1458" s="206" t="n"/>
      <c r="D1458" s="206" t="n"/>
      <c r="E1458" s="206" t="n"/>
      <c r="BK1458" s="58" t="n"/>
      <c r="BL1458" s="58" t="n"/>
      <c r="BM1458" s="58" t="n"/>
      <c r="BN1458" s="58" t="n"/>
    </row>
    <row r="1459">
      <c r="C1459" s="206" t="n"/>
      <c r="D1459" s="206" t="n"/>
      <c r="E1459" s="206" t="n"/>
      <c r="BK1459" s="58" t="n"/>
      <c r="BL1459" s="58" t="n"/>
      <c r="BM1459" s="58" t="n"/>
      <c r="BN1459" s="58" t="n"/>
    </row>
    <row r="1460">
      <c r="C1460" s="207" t="n"/>
      <c r="D1460" s="206" t="n"/>
      <c r="E1460" s="206" t="n"/>
      <c r="BK1460" s="58" t="n"/>
      <c r="BL1460" s="58" t="n"/>
      <c r="BM1460" s="58" t="n"/>
      <c r="BN1460" s="58" t="n"/>
    </row>
    <row r="1461">
      <c r="C1461" s="206" t="n"/>
      <c r="D1461" s="206" t="n"/>
      <c r="E1461" s="206" t="n"/>
      <c r="BK1461" s="58" t="n"/>
      <c r="BL1461" s="58" t="n"/>
      <c r="BM1461" s="58" t="n"/>
      <c r="BN1461" s="58" t="n"/>
    </row>
    <row r="1462">
      <c r="C1462" s="206" t="n"/>
      <c r="D1462" s="206" t="n"/>
      <c r="E1462" s="206" t="n"/>
      <c r="BK1462" s="58" t="n"/>
      <c r="BL1462" s="58" t="n"/>
      <c r="BM1462" s="58" t="n"/>
      <c r="BN1462" s="58" t="n"/>
    </row>
    <row r="1463">
      <c r="C1463" s="206" t="n"/>
      <c r="D1463" s="206" t="n"/>
      <c r="E1463" s="206" t="n"/>
      <c r="BK1463" s="58" t="n"/>
      <c r="BL1463" s="58" t="n"/>
      <c r="BM1463" s="58" t="n"/>
      <c r="BN1463" s="58" t="n"/>
    </row>
    <row r="1464">
      <c r="C1464" s="206" t="n"/>
      <c r="D1464" s="206" t="n"/>
      <c r="E1464" s="206" t="n"/>
      <c r="BK1464" s="58" t="n"/>
      <c r="BL1464" s="58" t="n"/>
      <c r="BM1464" s="58" t="n"/>
      <c r="BN1464" s="58" t="n"/>
    </row>
    <row r="1465">
      <c r="C1465" s="206" t="n"/>
      <c r="D1465" s="206" t="n"/>
      <c r="E1465" s="206" t="n"/>
      <c r="BK1465" s="58" t="n"/>
      <c r="BL1465" s="58" t="n"/>
      <c r="BM1465" s="58" t="n"/>
      <c r="BN1465" s="58" t="n"/>
    </row>
    <row r="1466">
      <c r="C1466" s="207" t="n"/>
      <c r="D1466" s="206" t="n"/>
      <c r="E1466" s="206" t="n"/>
      <c r="BK1466" s="58" t="n"/>
      <c r="BL1466" s="58" t="n"/>
      <c r="BM1466" s="58" t="n"/>
      <c r="BN1466" s="58" t="n"/>
    </row>
    <row r="1467">
      <c r="C1467" s="206" t="n"/>
      <c r="D1467" s="206" t="n"/>
      <c r="E1467" s="206" t="n"/>
      <c r="BK1467" s="58" t="n"/>
      <c r="BL1467" s="58" t="n"/>
      <c r="BM1467" s="58" t="n"/>
      <c r="BN1467" s="58" t="n"/>
    </row>
    <row r="1468">
      <c r="C1468" s="206" t="n"/>
      <c r="D1468" s="206" t="n"/>
      <c r="E1468" s="206" t="n"/>
      <c r="BK1468" s="58" t="n"/>
      <c r="BL1468" s="58" t="n"/>
      <c r="BM1468" s="58" t="n"/>
      <c r="BN1468" s="58" t="n"/>
    </row>
    <row r="1469">
      <c r="C1469" s="207" t="n"/>
      <c r="D1469" s="206" t="n"/>
      <c r="E1469" s="206" t="n"/>
      <c r="BK1469" s="58" t="n"/>
      <c r="BL1469" s="58" t="n"/>
      <c r="BM1469" s="58" t="n"/>
      <c r="BN1469" s="58" t="n"/>
    </row>
    <row r="1470">
      <c r="C1470" s="206" t="n"/>
      <c r="D1470" s="206" t="n"/>
      <c r="E1470" s="206" t="n"/>
      <c r="BK1470" s="58" t="n"/>
      <c r="BL1470" s="58" t="n"/>
      <c r="BM1470" s="58" t="n"/>
      <c r="BN1470" s="58" t="n"/>
    </row>
    <row r="1471">
      <c r="C1471" s="206" t="n"/>
      <c r="D1471" s="206" t="n"/>
      <c r="E1471" s="206" t="n"/>
      <c r="BK1471" s="58" t="n"/>
      <c r="BL1471" s="58" t="n"/>
      <c r="BM1471" s="58" t="n"/>
      <c r="BN1471" s="58" t="n"/>
    </row>
    <row r="1472">
      <c r="C1472" s="207" t="n"/>
      <c r="D1472" s="206" t="n"/>
      <c r="E1472" s="206" t="n"/>
      <c r="BK1472" s="58" t="n"/>
      <c r="BL1472" s="58" t="n"/>
      <c r="BM1472" s="58" t="n"/>
      <c r="BN1472" s="58" t="n"/>
    </row>
    <row r="1473">
      <c r="C1473" s="206" t="n"/>
      <c r="D1473" s="206" t="n"/>
      <c r="E1473" s="206" t="n"/>
      <c r="BK1473" s="58" t="n"/>
      <c r="BL1473" s="58" t="n"/>
      <c r="BM1473" s="58" t="n"/>
      <c r="BN1473" s="58" t="n"/>
    </row>
    <row r="1474">
      <c r="C1474" s="206" t="n"/>
      <c r="D1474" s="206" t="n"/>
      <c r="E1474" s="206" t="n"/>
      <c r="BK1474" s="58" t="n"/>
      <c r="BL1474" s="58" t="n"/>
      <c r="BM1474" s="58" t="n"/>
      <c r="BN1474" s="58" t="n"/>
    </row>
    <row r="1475">
      <c r="C1475" s="206" t="n"/>
      <c r="D1475" s="206" t="n"/>
      <c r="E1475" s="206" t="n"/>
      <c r="BK1475" s="58" t="n"/>
      <c r="BL1475" s="58" t="n"/>
      <c r="BM1475" s="58" t="n"/>
      <c r="BN1475" s="58" t="n"/>
    </row>
    <row r="1476">
      <c r="C1476" s="207" t="n"/>
      <c r="D1476" s="206" t="n"/>
      <c r="E1476" s="206" t="n"/>
      <c r="BK1476" s="58" t="n"/>
      <c r="BL1476" s="58" t="n"/>
      <c r="BM1476" s="58" t="n"/>
      <c r="BN1476" s="58" t="n"/>
    </row>
    <row r="1477">
      <c r="C1477" s="207" t="n"/>
      <c r="D1477" s="206" t="n"/>
      <c r="E1477" s="206" t="n"/>
      <c r="BK1477" s="58" t="n"/>
      <c r="BL1477" s="58" t="n"/>
      <c r="BM1477" s="58" t="n"/>
      <c r="BN1477" s="58" t="n"/>
    </row>
    <row r="1478">
      <c r="C1478" s="206" t="n"/>
      <c r="D1478" s="206" t="n"/>
      <c r="E1478" s="206" t="n"/>
      <c r="BK1478" s="58" t="n"/>
      <c r="BL1478" s="58" t="n"/>
      <c r="BM1478" s="58" t="n"/>
      <c r="BN1478" s="58" t="n"/>
    </row>
    <row r="1479">
      <c r="C1479" s="206" t="n"/>
      <c r="D1479" s="206" t="n"/>
      <c r="E1479" s="206" t="n"/>
      <c r="BK1479" s="58" t="n"/>
      <c r="BL1479" s="58" t="n"/>
      <c r="BM1479" s="58" t="n"/>
      <c r="BN1479" s="58" t="n"/>
    </row>
    <row r="1480">
      <c r="C1480" s="207" t="n"/>
      <c r="D1480" s="206" t="n"/>
      <c r="E1480" s="206" t="n"/>
      <c r="BK1480" s="58" t="n"/>
      <c r="BL1480" s="58" t="n"/>
      <c r="BM1480" s="58" t="n"/>
      <c r="BN1480" s="58" t="n"/>
    </row>
    <row r="1481">
      <c r="C1481" s="206" t="n"/>
      <c r="D1481" s="206" t="n"/>
      <c r="E1481" s="206" t="n"/>
      <c r="BK1481" s="58" t="n"/>
      <c r="BL1481" s="58" t="n"/>
      <c r="BM1481" s="58" t="n"/>
      <c r="BN1481" s="58" t="n"/>
    </row>
    <row r="1482">
      <c r="C1482" s="206" t="n"/>
      <c r="D1482" s="206" t="n"/>
      <c r="E1482" s="206" t="n"/>
      <c r="BK1482" s="58" t="n"/>
      <c r="BL1482" s="58" t="n"/>
      <c r="BM1482" s="58" t="n"/>
      <c r="BN1482" s="58" t="n"/>
    </row>
    <row r="1483">
      <c r="C1483" s="206" t="n"/>
      <c r="D1483" s="206" t="n"/>
      <c r="E1483" s="206" t="n"/>
      <c r="BK1483" s="58" t="n"/>
      <c r="BL1483" s="58" t="n"/>
      <c r="BM1483" s="58" t="n"/>
      <c r="BN1483" s="58" t="n"/>
    </row>
    <row r="1484">
      <c r="C1484" s="207" t="n"/>
      <c r="D1484" s="206" t="n"/>
      <c r="E1484" s="206" t="n"/>
      <c r="BK1484" s="58" t="n"/>
      <c r="BL1484" s="58" t="n"/>
      <c r="BM1484" s="58" t="n"/>
      <c r="BN1484" s="58" t="n"/>
    </row>
    <row r="1485">
      <c r="C1485" s="207" t="n"/>
      <c r="D1485" s="206" t="n"/>
      <c r="E1485" s="206" t="n"/>
      <c r="BK1485" s="58" t="n"/>
      <c r="BL1485" s="58" t="n"/>
      <c r="BM1485" s="58" t="n"/>
      <c r="BN1485" s="58" t="n"/>
    </row>
    <row r="1486">
      <c r="C1486" s="207" t="n"/>
      <c r="D1486" s="206" t="n"/>
      <c r="E1486" s="206" t="n"/>
      <c r="BK1486" s="58" t="n"/>
      <c r="BL1486" s="58" t="n"/>
      <c r="BM1486" s="58" t="n"/>
      <c r="BN1486" s="58" t="n"/>
    </row>
    <row r="1487">
      <c r="C1487" s="206" t="n"/>
      <c r="D1487" s="206" t="n"/>
      <c r="E1487" s="206" t="n"/>
      <c r="BK1487" s="58" t="n"/>
      <c r="BL1487" s="58" t="n"/>
      <c r="BM1487" s="58" t="n"/>
      <c r="BN1487" s="58" t="n"/>
    </row>
    <row r="1488">
      <c r="C1488" s="206" t="n"/>
      <c r="D1488" s="206" t="n"/>
      <c r="E1488" s="206" t="n"/>
      <c r="BK1488" s="58" t="n"/>
      <c r="BL1488" s="58" t="n"/>
      <c r="BM1488" s="58" t="n"/>
      <c r="BN1488" s="58" t="n"/>
    </row>
    <row r="1489">
      <c r="C1489" s="206" t="n"/>
      <c r="D1489" s="206" t="n"/>
      <c r="E1489" s="206" t="n"/>
      <c r="BK1489" s="58" t="n"/>
      <c r="BL1489" s="58" t="n"/>
      <c r="BM1489" s="58" t="n"/>
      <c r="BN1489" s="58" t="n"/>
    </row>
    <row r="1490">
      <c r="C1490" s="206" t="n"/>
      <c r="D1490" s="206" t="n"/>
      <c r="E1490" s="206" t="n"/>
      <c r="BK1490" s="58" t="n"/>
      <c r="BL1490" s="58" t="n"/>
      <c r="BM1490" s="58" t="n"/>
      <c r="BN1490" s="58" t="n"/>
    </row>
    <row r="1491">
      <c r="C1491" s="207" t="n"/>
      <c r="D1491" s="206" t="n"/>
      <c r="E1491" s="206" t="n"/>
      <c r="BK1491" s="58" t="n"/>
      <c r="BL1491" s="58" t="n"/>
      <c r="BM1491" s="58" t="n"/>
      <c r="BN1491" s="58" t="n"/>
    </row>
    <row r="1492">
      <c r="C1492" s="207" t="n"/>
      <c r="D1492" s="206" t="n"/>
      <c r="E1492" s="206" t="n"/>
      <c r="BK1492" s="58" t="n"/>
      <c r="BL1492" s="58" t="n"/>
      <c r="BM1492" s="58" t="n"/>
      <c r="BN1492" s="58" t="n"/>
    </row>
    <row r="1493">
      <c r="C1493" s="206" t="n"/>
      <c r="D1493" s="206" t="n"/>
      <c r="E1493" s="206" t="n"/>
      <c r="BK1493" s="58" t="n"/>
      <c r="BL1493" s="58" t="n"/>
      <c r="BM1493" s="58" t="n"/>
      <c r="BN1493" s="58" t="n"/>
    </row>
    <row r="1494">
      <c r="C1494" s="206" t="n"/>
      <c r="D1494" s="206" t="n"/>
      <c r="E1494" s="206" t="n"/>
      <c r="BK1494" s="58" t="n"/>
      <c r="BL1494" s="58" t="n"/>
      <c r="BM1494" s="58" t="n"/>
      <c r="BN1494" s="58" t="n"/>
    </row>
    <row r="1495">
      <c r="C1495" s="207" t="n"/>
      <c r="D1495" s="206" t="n"/>
      <c r="E1495" s="206" t="n"/>
      <c r="BK1495" s="58" t="n"/>
      <c r="BL1495" s="58" t="n"/>
      <c r="BM1495" s="58" t="n"/>
      <c r="BN1495" s="58" t="n"/>
    </row>
    <row r="1496">
      <c r="C1496" s="206" t="n"/>
      <c r="D1496" s="206" t="n"/>
      <c r="E1496" s="206" t="n"/>
      <c r="BK1496" s="58" t="n"/>
      <c r="BL1496" s="58" t="n"/>
      <c r="BM1496" s="58" t="n"/>
      <c r="BN1496" s="58" t="n"/>
    </row>
    <row r="1497">
      <c r="C1497" s="206" t="n"/>
      <c r="D1497" s="206" t="n"/>
      <c r="E1497" s="206" t="n"/>
      <c r="BK1497" s="58" t="n"/>
      <c r="BL1497" s="58" t="n"/>
      <c r="BM1497" s="58" t="n"/>
      <c r="BN1497" s="58" t="n"/>
    </row>
    <row r="1498">
      <c r="C1498" s="207" t="n"/>
      <c r="D1498" s="206" t="n"/>
      <c r="E1498" s="206" t="n"/>
      <c r="BK1498" s="58" t="n"/>
      <c r="BL1498" s="58" t="n"/>
      <c r="BM1498" s="58" t="n"/>
      <c r="BN1498" s="58" t="n"/>
    </row>
    <row r="1499">
      <c r="C1499" s="206" t="n"/>
      <c r="D1499" s="206" t="n"/>
      <c r="E1499" s="206" t="n"/>
      <c r="BK1499" s="58" t="n"/>
      <c r="BL1499" s="58" t="n"/>
      <c r="BM1499" s="58" t="n"/>
      <c r="BN1499" s="58" t="n"/>
    </row>
    <row r="1500">
      <c r="C1500" s="206" t="n"/>
      <c r="D1500" s="206" t="n"/>
      <c r="E1500" s="206" t="n"/>
      <c r="BK1500" s="58" t="n"/>
      <c r="BL1500" s="58" t="n"/>
      <c r="BM1500" s="58" t="n"/>
      <c r="BN1500" s="58" t="n"/>
    </row>
    <row r="1501">
      <c r="C1501" s="206" t="n"/>
      <c r="D1501" s="206" t="n"/>
      <c r="E1501" s="206" t="n"/>
      <c r="BK1501" s="58" t="n"/>
      <c r="BL1501" s="58" t="n"/>
      <c r="BM1501" s="58" t="n"/>
      <c r="BN1501" s="58" t="n"/>
    </row>
    <row r="1502">
      <c r="C1502" s="206" t="n"/>
      <c r="D1502" s="206" t="n"/>
      <c r="E1502" s="206" t="n"/>
      <c r="BK1502" s="58" t="n"/>
      <c r="BL1502" s="58" t="n"/>
      <c r="BM1502" s="58" t="n"/>
      <c r="BN1502" s="58" t="n"/>
    </row>
    <row r="1503">
      <c r="C1503" s="207" t="n"/>
      <c r="D1503" s="206" t="n"/>
      <c r="E1503" s="206" t="n"/>
      <c r="BK1503" s="58" t="n"/>
      <c r="BL1503" s="58" t="n"/>
      <c r="BM1503" s="58" t="n"/>
      <c r="BN1503" s="58" t="n"/>
    </row>
    <row r="1504">
      <c r="C1504" s="206" t="n"/>
      <c r="D1504" s="206" t="n"/>
      <c r="E1504" s="206" t="n"/>
      <c r="BK1504" s="58" t="n"/>
      <c r="BL1504" s="58" t="n"/>
      <c r="BM1504" s="58" t="n"/>
      <c r="BN1504" s="58" t="n"/>
    </row>
    <row r="1505">
      <c r="C1505" s="207" t="n"/>
      <c r="D1505" s="206" t="n"/>
      <c r="E1505" s="206" t="n"/>
      <c r="BK1505" s="58" t="n"/>
      <c r="BL1505" s="58" t="n"/>
      <c r="BM1505" s="58" t="n"/>
      <c r="BN1505" s="58" t="n"/>
    </row>
    <row r="1506">
      <c r="C1506" s="206" t="n"/>
      <c r="D1506" s="206" t="n"/>
      <c r="E1506" s="206" t="n"/>
      <c r="BK1506" s="58" t="n"/>
      <c r="BL1506" s="58" t="n"/>
      <c r="BM1506" s="58" t="n"/>
      <c r="BN1506" s="58" t="n"/>
    </row>
    <row r="1507">
      <c r="C1507" s="206" t="n"/>
      <c r="D1507" s="206" t="n"/>
      <c r="E1507" s="206" t="n"/>
      <c r="BK1507" s="58" t="n"/>
      <c r="BL1507" s="58" t="n"/>
      <c r="BM1507" s="58" t="n"/>
      <c r="BN1507" s="58" t="n"/>
    </row>
    <row r="1508">
      <c r="C1508" s="207" t="n"/>
      <c r="D1508" s="206" t="n"/>
      <c r="E1508" s="206" t="n"/>
      <c r="BK1508" s="58" t="n"/>
      <c r="BL1508" s="58" t="n"/>
      <c r="BM1508" s="58" t="n"/>
      <c r="BN1508" s="58" t="n"/>
    </row>
    <row r="1509">
      <c r="C1509" s="206" t="n"/>
      <c r="D1509" s="206" t="n"/>
      <c r="E1509" s="206" t="n"/>
      <c r="BK1509" s="58" t="n"/>
      <c r="BL1509" s="58" t="n"/>
      <c r="BM1509" s="58" t="n"/>
      <c r="BN1509" s="58" t="n"/>
    </row>
    <row r="1510">
      <c r="C1510" s="207" t="n"/>
      <c r="D1510" s="206" t="n"/>
      <c r="E1510" s="206" t="n"/>
      <c r="BK1510" s="58" t="n"/>
      <c r="BL1510" s="58" t="n"/>
      <c r="BM1510" s="58" t="n"/>
      <c r="BN1510" s="58" t="n"/>
    </row>
    <row r="1511">
      <c r="C1511" s="207" t="n"/>
      <c r="D1511" s="206" t="n"/>
      <c r="E1511" s="206" t="n"/>
      <c r="BK1511" s="58" t="n"/>
      <c r="BL1511" s="58" t="n"/>
      <c r="BM1511" s="58" t="n"/>
      <c r="BN1511" s="58" t="n"/>
    </row>
    <row r="1512">
      <c r="C1512" s="206" t="n"/>
      <c r="D1512" s="206" t="n"/>
      <c r="E1512" s="206" t="n"/>
      <c r="BK1512" s="58" t="n"/>
      <c r="BL1512" s="58" t="n"/>
      <c r="BM1512" s="58" t="n"/>
      <c r="BN1512" s="58" t="n"/>
    </row>
    <row r="1513">
      <c r="C1513" s="207" t="n"/>
      <c r="D1513" s="206" t="n"/>
      <c r="E1513" s="206" t="n"/>
      <c r="BK1513" s="58" t="n"/>
      <c r="BL1513" s="58" t="n"/>
      <c r="BM1513" s="58" t="n"/>
      <c r="BN1513" s="58" t="n"/>
    </row>
    <row r="1514">
      <c r="C1514" s="207" t="n"/>
      <c r="D1514" s="206" t="n"/>
      <c r="E1514" s="206" t="n"/>
      <c r="BK1514" s="58" t="n"/>
      <c r="BL1514" s="58" t="n"/>
      <c r="BM1514" s="58" t="n"/>
      <c r="BN1514" s="58" t="n"/>
    </row>
    <row r="1515">
      <c r="C1515" s="206" t="n"/>
      <c r="D1515" s="206" t="n"/>
      <c r="E1515" s="206" t="n"/>
      <c r="BK1515" s="58" t="n"/>
      <c r="BL1515" s="58" t="n"/>
      <c r="BM1515" s="58" t="n"/>
      <c r="BN1515" s="58" t="n"/>
    </row>
    <row r="1516">
      <c r="C1516" s="206" t="n"/>
      <c r="D1516" s="206" t="n"/>
      <c r="E1516" s="206" t="n"/>
      <c r="BK1516" s="58" t="n"/>
      <c r="BL1516" s="58" t="n"/>
      <c r="BM1516" s="58" t="n"/>
      <c r="BN1516" s="58" t="n"/>
    </row>
    <row r="1517">
      <c r="C1517" s="206" t="n"/>
      <c r="D1517" s="206" t="n"/>
      <c r="E1517" s="206" t="n"/>
      <c r="BK1517" s="58" t="n"/>
      <c r="BL1517" s="58" t="n"/>
      <c r="BM1517" s="58" t="n"/>
      <c r="BN1517" s="58" t="n"/>
    </row>
    <row r="1518">
      <c r="C1518" s="206" t="n"/>
      <c r="D1518" s="206" t="n"/>
      <c r="E1518" s="206" t="n"/>
      <c r="BK1518" s="58" t="n"/>
      <c r="BL1518" s="58" t="n"/>
      <c r="BM1518" s="58" t="n"/>
      <c r="BN1518" s="58" t="n"/>
    </row>
    <row r="1519">
      <c r="C1519" s="207" t="n"/>
      <c r="D1519" s="206" t="n"/>
      <c r="E1519" s="206" t="n"/>
      <c r="BK1519" s="58" t="n"/>
      <c r="BL1519" s="58" t="n"/>
      <c r="BM1519" s="58" t="n"/>
      <c r="BN1519" s="58" t="n"/>
    </row>
    <row r="1520">
      <c r="C1520" s="207" t="n"/>
      <c r="D1520" s="206" t="n"/>
      <c r="E1520" s="206" t="n"/>
      <c r="BK1520" s="58" t="n"/>
      <c r="BL1520" s="58" t="n"/>
      <c r="BM1520" s="58" t="n"/>
      <c r="BN1520" s="58" t="n"/>
    </row>
    <row r="1521">
      <c r="C1521" s="206" t="n"/>
      <c r="D1521" s="206" t="n"/>
      <c r="E1521" s="206" t="n"/>
      <c r="BK1521" s="58" t="n"/>
      <c r="BL1521" s="58" t="n"/>
      <c r="BM1521" s="58" t="n"/>
      <c r="BN1521" s="58" t="n"/>
    </row>
    <row r="1522">
      <c r="C1522" s="207" t="n"/>
      <c r="D1522" s="206" t="n"/>
      <c r="E1522" s="206" t="n"/>
      <c r="BK1522" s="58" t="n"/>
      <c r="BL1522" s="58" t="n"/>
      <c r="BM1522" s="58" t="n"/>
      <c r="BN1522" s="58" t="n"/>
    </row>
    <row r="1523">
      <c r="C1523" s="206" t="n"/>
      <c r="D1523" s="206" t="n"/>
      <c r="E1523" s="206" t="n"/>
      <c r="BK1523" s="58" t="n"/>
      <c r="BL1523" s="58" t="n"/>
      <c r="BM1523" s="58" t="n"/>
      <c r="BN1523" s="58" t="n"/>
    </row>
    <row r="1524">
      <c r="C1524" s="206" t="n"/>
      <c r="D1524" s="206" t="n"/>
      <c r="E1524" s="206" t="n"/>
      <c r="BK1524" s="58" t="n"/>
      <c r="BL1524" s="58" t="n"/>
      <c r="BM1524" s="58" t="n"/>
      <c r="BN1524" s="58" t="n"/>
    </row>
    <row r="1525">
      <c r="C1525" s="207" t="n"/>
      <c r="D1525" s="206" t="n"/>
      <c r="E1525" s="206" t="n"/>
      <c r="BK1525" s="58" t="n"/>
      <c r="BL1525" s="58" t="n"/>
      <c r="BM1525" s="58" t="n"/>
      <c r="BN1525" s="58" t="n"/>
    </row>
    <row r="1526">
      <c r="C1526" s="207" t="n"/>
      <c r="D1526" s="206" t="n"/>
      <c r="E1526" s="206" t="n"/>
      <c r="BK1526" s="58" t="n"/>
      <c r="BL1526" s="58" t="n"/>
      <c r="BM1526" s="58" t="n"/>
      <c r="BN1526" s="58" t="n"/>
    </row>
    <row r="1527">
      <c r="C1527" s="206" t="n"/>
      <c r="D1527" s="206" t="n"/>
      <c r="E1527" s="206" t="n"/>
      <c r="BK1527" s="58" t="n"/>
      <c r="BL1527" s="58" t="n"/>
      <c r="BM1527" s="58" t="n"/>
      <c r="BN1527" s="58" t="n"/>
    </row>
    <row r="1528">
      <c r="C1528" s="206" t="n"/>
      <c r="D1528" s="206" t="n"/>
      <c r="E1528" s="206" t="n"/>
      <c r="BK1528" s="58" t="n"/>
      <c r="BL1528" s="58" t="n"/>
      <c r="BM1528" s="58" t="n"/>
      <c r="BN1528" s="58" t="n"/>
    </row>
    <row r="1529">
      <c r="C1529" s="206" t="n"/>
      <c r="D1529" s="206" t="n"/>
      <c r="E1529" s="206" t="n"/>
      <c r="BK1529" s="58" t="n"/>
      <c r="BL1529" s="58" t="n"/>
      <c r="BM1529" s="58" t="n"/>
      <c r="BN1529" s="58" t="n"/>
    </row>
    <row r="1530">
      <c r="C1530" s="207" t="n"/>
      <c r="D1530" s="206" t="n"/>
      <c r="E1530" s="206" t="n"/>
      <c r="BK1530" s="58" t="n"/>
      <c r="BL1530" s="58" t="n"/>
      <c r="BM1530" s="58" t="n"/>
      <c r="BN1530" s="58" t="n"/>
    </row>
    <row r="1531">
      <c r="C1531" s="206" t="n"/>
      <c r="D1531" s="206" t="n"/>
      <c r="E1531" s="206" t="n"/>
      <c r="BK1531" s="58" t="n"/>
      <c r="BL1531" s="58" t="n"/>
      <c r="BM1531" s="58" t="n"/>
      <c r="BN1531" s="58" t="n"/>
    </row>
    <row r="1532">
      <c r="C1532" s="207" t="n"/>
      <c r="D1532" s="206" t="n"/>
      <c r="E1532" s="206" t="n"/>
      <c r="BK1532" s="58" t="n"/>
      <c r="BL1532" s="58" t="n"/>
      <c r="BM1532" s="58" t="n"/>
      <c r="BN1532" s="58" t="n"/>
    </row>
    <row r="1533">
      <c r="C1533" s="206" t="n"/>
      <c r="D1533" s="206" t="n"/>
      <c r="E1533" s="206" t="n"/>
      <c r="BK1533" s="58" t="n"/>
      <c r="BL1533" s="58" t="n"/>
      <c r="BM1533" s="58" t="n"/>
      <c r="BN1533" s="58" t="n"/>
    </row>
    <row r="1534">
      <c r="C1534" s="206" t="n"/>
      <c r="D1534" s="206" t="n"/>
      <c r="E1534" s="206" t="n"/>
      <c r="BK1534" s="58" t="n"/>
      <c r="BL1534" s="58" t="n"/>
      <c r="BM1534" s="58" t="n"/>
      <c r="BN1534" s="58" t="n"/>
    </row>
    <row r="1535">
      <c r="C1535" s="207" t="n"/>
      <c r="D1535" s="206" t="n"/>
      <c r="E1535" s="206" t="n"/>
      <c r="BK1535" s="58" t="n"/>
      <c r="BL1535" s="58" t="n"/>
      <c r="BM1535" s="58" t="n"/>
      <c r="BN1535" s="58" t="n"/>
    </row>
    <row r="1536">
      <c r="C1536" s="206" t="n"/>
      <c r="D1536" s="206" t="n"/>
      <c r="E1536" s="206" t="n"/>
      <c r="BK1536" s="58" t="n"/>
      <c r="BL1536" s="58" t="n"/>
      <c r="BM1536" s="58" t="n"/>
      <c r="BN1536" s="58" t="n"/>
    </row>
    <row r="1537">
      <c r="C1537" s="206" t="n"/>
      <c r="D1537" s="206" t="n"/>
      <c r="E1537" s="206" t="n"/>
      <c r="BK1537" s="58" t="n"/>
      <c r="BL1537" s="58" t="n"/>
      <c r="BM1537" s="58" t="n"/>
      <c r="BN1537" s="58" t="n"/>
    </row>
    <row r="1538">
      <c r="C1538" s="206" t="n"/>
      <c r="D1538" s="206" t="n"/>
      <c r="E1538" s="206" t="n"/>
      <c r="BK1538" s="58" t="n"/>
      <c r="BL1538" s="58" t="n"/>
      <c r="BM1538" s="58" t="n"/>
      <c r="BN1538" s="58" t="n"/>
    </row>
    <row r="1539">
      <c r="C1539" s="206" t="n"/>
      <c r="D1539" s="206" t="n"/>
      <c r="E1539" s="206" t="n"/>
      <c r="BK1539" s="58" t="n"/>
      <c r="BL1539" s="58" t="n"/>
      <c r="BM1539" s="58" t="n"/>
      <c r="BN1539" s="58" t="n"/>
    </row>
    <row r="1540">
      <c r="C1540" s="207" t="n"/>
      <c r="D1540" s="206" t="n"/>
      <c r="E1540" s="206" t="n"/>
      <c r="BK1540" s="58" t="n"/>
      <c r="BL1540" s="58" t="n"/>
      <c r="BM1540" s="58" t="n"/>
      <c r="BN1540" s="58" t="n"/>
    </row>
    <row r="1541">
      <c r="C1541" s="206" t="n"/>
      <c r="D1541" s="206" t="n"/>
      <c r="E1541" s="206" t="n"/>
      <c r="BK1541" s="58" t="n"/>
      <c r="BL1541" s="58" t="n"/>
      <c r="BM1541" s="58" t="n"/>
      <c r="BN1541" s="58" t="n"/>
    </row>
    <row r="1542">
      <c r="C1542" s="206" t="n"/>
      <c r="D1542" s="206" t="n"/>
      <c r="E1542" s="206" t="n"/>
      <c r="BK1542" s="58" t="n"/>
      <c r="BL1542" s="58" t="n"/>
      <c r="BM1542" s="58" t="n"/>
      <c r="BN1542" s="58" t="n"/>
    </row>
    <row r="1543">
      <c r="C1543" s="207" t="n"/>
      <c r="D1543" s="206" t="n"/>
      <c r="E1543" s="206" t="n"/>
      <c r="BK1543" s="58" t="n"/>
      <c r="BL1543" s="58" t="n"/>
      <c r="BM1543" s="58" t="n"/>
      <c r="BN1543" s="58" t="n"/>
    </row>
    <row r="1544">
      <c r="C1544" s="206" t="n"/>
      <c r="D1544" s="206" t="n"/>
      <c r="E1544" s="206" t="n"/>
      <c r="BK1544" s="58" t="n"/>
      <c r="BL1544" s="58" t="n"/>
      <c r="BM1544" s="58" t="n"/>
      <c r="BN1544" s="58" t="n"/>
    </row>
    <row r="1545">
      <c r="C1545" s="206" t="n"/>
      <c r="D1545" s="206" t="n"/>
      <c r="E1545" s="206" t="n"/>
      <c r="BK1545" s="58" t="n"/>
      <c r="BL1545" s="58" t="n"/>
      <c r="BM1545" s="58" t="n"/>
      <c r="BN1545" s="58" t="n"/>
    </row>
    <row r="1546">
      <c r="C1546" s="206" t="n"/>
      <c r="D1546" s="206" t="n"/>
      <c r="E1546" s="206" t="n"/>
      <c r="BK1546" s="58" t="n"/>
      <c r="BL1546" s="58" t="n"/>
      <c r="BM1546" s="58" t="n"/>
      <c r="BN1546" s="58" t="n"/>
    </row>
    <row r="1547">
      <c r="C1547" s="206" t="n"/>
      <c r="D1547" s="206" t="n"/>
      <c r="E1547" s="206" t="n"/>
      <c r="BK1547" s="58" t="n"/>
      <c r="BL1547" s="58" t="n"/>
      <c r="BM1547" s="58" t="n"/>
      <c r="BN1547" s="58" t="n"/>
    </row>
    <row r="1548">
      <c r="C1548" s="206" t="n"/>
      <c r="D1548" s="206" t="n"/>
      <c r="E1548" s="206" t="n"/>
      <c r="BK1548" s="58" t="n"/>
      <c r="BL1548" s="58" t="n"/>
      <c r="BM1548" s="58" t="n"/>
      <c r="BN1548" s="58" t="n"/>
    </row>
    <row r="1549">
      <c r="C1549" s="207" t="n"/>
      <c r="D1549" s="206" t="n"/>
      <c r="E1549" s="206" t="n"/>
      <c r="BK1549" s="58" t="n"/>
      <c r="BL1549" s="58" t="n"/>
      <c r="BM1549" s="58" t="n"/>
      <c r="BN1549" s="58" t="n"/>
    </row>
    <row r="1550">
      <c r="C1550" s="206" t="n"/>
      <c r="D1550" s="206" t="n"/>
      <c r="E1550" s="206" t="n"/>
      <c r="BK1550" s="58" t="n"/>
      <c r="BL1550" s="58" t="n"/>
      <c r="BM1550" s="58" t="n"/>
      <c r="BN1550" s="58" t="n"/>
    </row>
    <row r="1551">
      <c r="C1551" s="206" t="n"/>
      <c r="D1551" s="206" t="n"/>
      <c r="E1551" s="206" t="n"/>
      <c r="BK1551" s="58" t="n"/>
      <c r="BL1551" s="58" t="n"/>
      <c r="BM1551" s="58" t="n"/>
      <c r="BN1551" s="58" t="n"/>
    </row>
    <row r="1552">
      <c r="C1552" s="206" t="n"/>
      <c r="D1552" s="206" t="n"/>
      <c r="E1552" s="206" t="n"/>
      <c r="BK1552" s="58" t="n"/>
      <c r="BL1552" s="58" t="n"/>
      <c r="BM1552" s="58" t="n"/>
      <c r="BN1552" s="58" t="n"/>
    </row>
    <row r="1553">
      <c r="C1553" s="207" t="n"/>
      <c r="D1553" s="206" t="n"/>
      <c r="E1553" s="206" t="n"/>
      <c r="BK1553" s="58" t="n"/>
      <c r="BL1553" s="58" t="n"/>
      <c r="BM1553" s="58" t="n"/>
      <c r="BN1553" s="58" t="n"/>
    </row>
    <row r="1554">
      <c r="C1554" s="207" t="n"/>
      <c r="D1554" s="206" t="n"/>
      <c r="E1554" s="206" t="n"/>
      <c r="BK1554" s="58" t="n"/>
      <c r="BL1554" s="58" t="n"/>
      <c r="BM1554" s="58" t="n"/>
      <c r="BN1554" s="58" t="n"/>
    </row>
    <row r="1555">
      <c r="C1555" s="207" t="n"/>
      <c r="D1555" s="206" t="n"/>
      <c r="E1555" s="206" t="n"/>
      <c r="BK1555" s="58" t="n"/>
      <c r="BL1555" s="58" t="n"/>
      <c r="BM1555" s="58" t="n"/>
      <c r="BN1555" s="58" t="n"/>
    </row>
    <row r="1556">
      <c r="C1556" s="206" t="n"/>
      <c r="D1556" s="206" t="n"/>
      <c r="E1556" s="206" t="n"/>
      <c r="BK1556" s="58" t="n"/>
      <c r="BL1556" s="58" t="n"/>
      <c r="BM1556" s="58" t="n"/>
      <c r="BN1556" s="58" t="n"/>
    </row>
    <row r="1557">
      <c r="C1557" s="207" t="n"/>
      <c r="D1557" s="206" t="n"/>
      <c r="E1557" s="206" t="n"/>
      <c r="BK1557" s="58" t="n"/>
      <c r="BL1557" s="58" t="n"/>
      <c r="BM1557" s="58" t="n"/>
      <c r="BN1557" s="58" t="n"/>
    </row>
    <row r="1558">
      <c r="C1558" s="207" t="n"/>
      <c r="D1558" s="206" t="n"/>
      <c r="E1558" s="206" t="n"/>
      <c r="BK1558" s="58" t="n"/>
      <c r="BL1558" s="58" t="n"/>
      <c r="BM1558" s="58" t="n"/>
      <c r="BN1558" s="58" t="n"/>
    </row>
    <row r="1559">
      <c r="C1559" s="207" t="n"/>
      <c r="D1559" s="206" t="n"/>
      <c r="E1559" s="206" t="n"/>
      <c r="BK1559" s="58" t="n"/>
      <c r="BL1559" s="58" t="n"/>
      <c r="BM1559" s="58" t="n"/>
      <c r="BN1559" s="58" t="n"/>
    </row>
    <row r="1560">
      <c r="C1560" s="207" t="n"/>
      <c r="D1560" s="206" t="n"/>
      <c r="E1560" s="206" t="n"/>
      <c r="BK1560" s="58" t="n"/>
      <c r="BL1560" s="58" t="n"/>
      <c r="BM1560" s="58" t="n"/>
      <c r="BN1560" s="58" t="n"/>
    </row>
    <row r="1561">
      <c r="C1561" s="206" t="n"/>
      <c r="D1561" s="206" t="n"/>
      <c r="E1561" s="206" t="n"/>
      <c r="BK1561" s="58" t="n"/>
      <c r="BL1561" s="58" t="n"/>
      <c r="BM1561" s="58" t="n"/>
      <c r="BN1561" s="58" t="n"/>
    </row>
    <row r="1562">
      <c r="C1562" s="207" t="n"/>
      <c r="D1562" s="206" t="n"/>
      <c r="E1562" s="206" t="n"/>
      <c r="BK1562" s="58" t="n"/>
      <c r="BL1562" s="58" t="n"/>
      <c r="BM1562" s="58" t="n"/>
      <c r="BN1562" s="58" t="n"/>
    </row>
    <row r="1563">
      <c r="C1563" s="206" t="n"/>
      <c r="D1563" s="206" t="n"/>
      <c r="E1563" s="206" t="n"/>
      <c r="BK1563" s="58" t="n"/>
      <c r="BL1563" s="58" t="n"/>
      <c r="BM1563" s="58" t="n"/>
      <c r="BN1563" s="58" t="n"/>
    </row>
    <row r="1564">
      <c r="C1564" s="206" t="n"/>
      <c r="D1564" s="206" t="n"/>
      <c r="E1564" s="206" t="n"/>
      <c r="BK1564" s="58" t="n"/>
      <c r="BL1564" s="58" t="n"/>
      <c r="BM1564" s="58" t="n"/>
      <c r="BN1564" s="58" t="n"/>
    </row>
    <row r="1565">
      <c r="C1565" s="206" t="n"/>
      <c r="D1565" s="206" t="n"/>
      <c r="E1565" s="206" t="n"/>
      <c r="BK1565" s="58" t="n"/>
      <c r="BL1565" s="58" t="n"/>
      <c r="BM1565" s="58" t="n"/>
      <c r="BN1565" s="58" t="n"/>
    </row>
    <row r="1566">
      <c r="C1566" s="206" t="n"/>
      <c r="D1566" s="206" t="n"/>
      <c r="E1566" s="206" t="n"/>
      <c r="BK1566" s="58" t="n"/>
      <c r="BL1566" s="58" t="n"/>
      <c r="BM1566" s="58" t="n"/>
      <c r="BN1566" s="58" t="n"/>
    </row>
    <row r="1567">
      <c r="C1567" s="206" t="n"/>
      <c r="D1567" s="206" t="n"/>
      <c r="E1567" s="206" t="n"/>
      <c r="BK1567" s="58" t="n"/>
      <c r="BL1567" s="58" t="n"/>
      <c r="BM1567" s="58" t="n"/>
      <c r="BN1567" s="58" t="n"/>
    </row>
    <row r="1568">
      <c r="C1568" s="206" t="n"/>
      <c r="D1568" s="206" t="n"/>
      <c r="E1568" s="206" t="n"/>
      <c r="BK1568" s="58" t="n"/>
      <c r="BL1568" s="58" t="n"/>
      <c r="BM1568" s="58" t="n"/>
      <c r="BN1568" s="58" t="n"/>
    </row>
    <row r="1569">
      <c r="C1569" s="206" t="n"/>
      <c r="D1569" s="206" t="n"/>
      <c r="E1569" s="206" t="n"/>
      <c r="BK1569" s="58" t="n"/>
      <c r="BL1569" s="58" t="n"/>
      <c r="BM1569" s="58" t="n"/>
      <c r="BN1569" s="58" t="n"/>
    </row>
    <row r="1570">
      <c r="C1570" s="206" t="n"/>
      <c r="D1570" s="206" t="n"/>
      <c r="E1570" s="206" t="n"/>
      <c r="BK1570" s="58" t="n"/>
      <c r="BL1570" s="58" t="n"/>
      <c r="BM1570" s="58" t="n"/>
      <c r="BN1570" s="58" t="n"/>
    </row>
    <row r="1571">
      <c r="C1571" s="206" t="n"/>
      <c r="D1571" s="206" t="n"/>
      <c r="E1571" s="206" t="n"/>
      <c r="BK1571" s="58" t="n"/>
      <c r="BL1571" s="58" t="n"/>
      <c r="BM1571" s="58" t="n"/>
      <c r="BN1571" s="58" t="n"/>
    </row>
    <row r="1572">
      <c r="C1572" s="207" t="n"/>
      <c r="D1572" s="206" t="n"/>
      <c r="E1572" s="206" t="n"/>
      <c r="BK1572" s="58" t="n"/>
      <c r="BL1572" s="58" t="n"/>
      <c r="BM1572" s="58" t="n"/>
      <c r="BN1572" s="58" t="n"/>
    </row>
    <row r="1573">
      <c r="C1573" s="207" t="n"/>
      <c r="D1573" s="206" t="n"/>
      <c r="E1573" s="206" t="n"/>
      <c r="BK1573" s="58" t="n"/>
      <c r="BL1573" s="58" t="n"/>
      <c r="BM1573" s="58" t="n"/>
      <c r="BN1573" s="58" t="n"/>
    </row>
    <row r="1574">
      <c r="C1574" s="206" t="n"/>
      <c r="D1574" s="206" t="n"/>
      <c r="E1574" s="206" t="n"/>
      <c r="BK1574" s="58" t="n"/>
      <c r="BL1574" s="58" t="n"/>
      <c r="BM1574" s="58" t="n"/>
      <c r="BN1574" s="58" t="n"/>
    </row>
    <row r="1575">
      <c r="C1575" s="207" t="n"/>
      <c r="D1575" s="206" t="n"/>
      <c r="E1575" s="206" t="n"/>
      <c r="BK1575" s="58" t="n"/>
      <c r="BL1575" s="58" t="n"/>
      <c r="BM1575" s="58" t="n"/>
      <c r="BN1575" s="58" t="n"/>
    </row>
    <row r="1576">
      <c r="C1576" s="206" t="n"/>
      <c r="D1576" s="206" t="n"/>
      <c r="E1576" s="206" t="n"/>
      <c r="BK1576" s="58" t="n"/>
      <c r="BL1576" s="58" t="n"/>
      <c r="BM1576" s="58" t="n"/>
      <c r="BN1576" s="58" t="n"/>
    </row>
    <row r="1577">
      <c r="C1577" s="206" t="n"/>
      <c r="D1577" s="206" t="n"/>
      <c r="E1577" s="206" t="n"/>
      <c r="BK1577" s="58" t="n"/>
      <c r="BL1577" s="58" t="n"/>
      <c r="BM1577" s="58" t="n"/>
      <c r="BN1577" s="58" t="n"/>
    </row>
    <row r="1578">
      <c r="C1578" s="206" t="n"/>
      <c r="D1578" s="206" t="n"/>
      <c r="E1578" s="206" t="n"/>
      <c r="BK1578" s="58" t="n"/>
      <c r="BL1578" s="58" t="n"/>
      <c r="BM1578" s="58" t="n"/>
      <c r="BN1578" s="58" t="n"/>
    </row>
    <row r="1579">
      <c r="C1579" s="206" t="n"/>
      <c r="D1579" s="206" t="n"/>
      <c r="E1579" s="206" t="n"/>
      <c r="BK1579" s="58" t="n"/>
      <c r="BL1579" s="58" t="n"/>
      <c r="BM1579" s="58" t="n"/>
      <c r="BN1579" s="58" t="n"/>
    </row>
    <row r="1580">
      <c r="C1580" s="206" t="n"/>
      <c r="D1580" s="206" t="n"/>
      <c r="E1580" s="206" t="n"/>
      <c r="BK1580" s="58" t="n"/>
      <c r="BL1580" s="58" t="n"/>
      <c r="BM1580" s="58" t="n"/>
      <c r="BN1580" s="58" t="n"/>
    </row>
    <row r="1581">
      <c r="C1581" s="206" t="n"/>
      <c r="D1581" s="206" t="n"/>
      <c r="E1581" s="206" t="n"/>
      <c r="BK1581" s="58" t="n"/>
      <c r="BL1581" s="58" t="n"/>
      <c r="BM1581" s="58" t="n"/>
      <c r="BN1581" s="58" t="n"/>
    </row>
    <row r="1582">
      <c r="C1582" s="206" t="n"/>
      <c r="D1582" s="206" t="n"/>
      <c r="E1582" s="206" t="n"/>
      <c r="BK1582" s="58" t="n"/>
      <c r="BL1582" s="58" t="n"/>
      <c r="BM1582" s="58" t="n"/>
      <c r="BN1582" s="58" t="n"/>
    </row>
    <row r="1583">
      <c r="C1583" s="206" t="n"/>
      <c r="D1583" s="206" t="n"/>
      <c r="E1583" s="206" t="n"/>
      <c r="BK1583" s="58" t="n"/>
      <c r="BL1583" s="58" t="n"/>
      <c r="BM1583" s="58" t="n"/>
      <c r="BN1583" s="58" t="n"/>
    </row>
    <row r="1584">
      <c r="C1584" s="206" t="n"/>
      <c r="D1584" s="206" t="n"/>
      <c r="E1584" s="206" t="n"/>
      <c r="BK1584" s="58" t="n"/>
      <c r="BL1584" s="58" t="n"/>
      <c r="BM1584" s="58" t="n"/>
      <c r="BN1584" s="58" t="n"/>
    </row>
    <row r="1585">
      <c r="C1585" s="206" t="n"/>
      <c r="D1585" s="206" t="n"/>
      <c r="E1585" s="206" t="n"/>
      <c r="BK1585" s="58" t="n"/>
      <c r="BL1585" s="58" t="n"/>
      <c r="BM1585" s="58" t="n"/>
      <c r="BN1585" s="58" t="n"/>
    </row>
    <row r="1586">
      <c r="C1586" s="206" t="n"/>
      <c r="D1586" s="206" t="n"/>
      <c r="E1586" s="206" t="n"/>
      <c r="BK1586" s="58" t="n"/>
      <c r="BL1586" s="58" t="n"/>
      <c r="BM1586" s="58" t="n"/>
      <c r="BN1586" s="58" t="n"/>
    </row>
    <row r="1587">
      <c r="C1587" s="206" t="n"/>
      <c r="D1587" s="206" t="n"/>
      <c r="E1587" s="206" t="n"/>
      <c r="BK1587" s="58" t="n"/>
      <c r="BL1587" s="58" t="n"/>
      <c r="BM1587" s="58" t="n"/>
      <c r="BN1587" s="58" t="n"/>
    </row>
    <row r="1588">
      <c r="C1588" s="206" t="n"/>
      <c r="D1588" s="206" t="n"/>
      <c r="E1588" s="206" t="n"/>
      <c r="BK1588" s="58" t="n"/>
      <c r="BL1588" s="58" t="n"/>
      <c r="BM1588" s="58" t="n"/>
      <c r="BN1588" s="58" t="n"/>
    </row>
    <row r="1589">
      <c r="C1589" s="206" t="n"/>
      <c r="D1589" s="206" t="n"/>
      <c r="E1589" s="206" t="n"/>
      <c r="BK1589" s="58" t="n"/>
      <c r="BL1589" s="58" t="n"/>
      <c r="BM1589" s="58" t="n"/>
      <c r="BN1589" s="58" t="n"/>
    </row>
    <row r="1590">
      <c r="C1590" s="206" t="n"/>
      <c r="D1590" s="206" t="n"/>
      <c r="E1590" s="206" t="n"/>
      <c r="BK1590" s="58" t="n"/>
      <c r="BL1590" s="58" t="n"/>
      <c r="BM1590" s="58" t="n"/>
      <c r="BN1590" s="58" t="n"/>
    </row>
    <row r="1591">
      <c r="C1591" s="206" t="n"/>
      <c r="D1591" s="206" t="n"/>
      <c r="E1591" s="206" t="n"/>
      <c r="BK1591" s="58" t="n"/>
      <c r="BL1591" s="58" t="n"/>
      <c r="BM1591" s="58" t="n"/>
      <c r="BN1591" s="58" t="n"/>
    </row>
    <row r="1592">
      <c r="C1592" s="206" t="n"/>
      <c r="D1592" s="206" t="n"/>
      <c r="E1592" s="206" t="n"/>
      <c r="BK1592" s="58" t="n"/>
      <c r="BL1592" s="58" t="n"/>
      <c r="BM1592" s="58" t="n"/>
      <c r="BN1592" s="58" t="n"/>
    </row>
    <row r="1593">
      <c r="C1593" s="206" t="n"/>
      <c r="D1593" s="206" t="n"/>
      <c r="E1593" s="206" t="n"/>
      <c r="BK1593" s="58" t="n"/>
      <c r="BL1593" s="58" t="n"/>
      <c r="BM1593" s="58" t="n"/>
      <c r="BN1593" s="58" t="n"/>
    </row>
    <row r="1594">
      <c r="C1594" s="206" t="n"/>
      <c r="D1594" s="206" t="n"/>
      <c r="E1594" s="206" t="n"/>
      <c r="BK1594" s="58" t="n"/>
      <c r="BL1594" s="58" t="n"/>
      <c r="BM1594" s="58" t="n"/>
      <c r="BN1594" s="58" t="n"/>
    </row>
    <row r="1595">
      <c r="C1595" s="207" t="n"/>
      <c r="D1595" s="206" t="n"/>
      <c r="E1595" s="206" t="n"/>
      <c r="BK1595" s="58" t="n"/>
      <c r="BL1595" s="58" t="n"/>
      <c r="BM1595" s="58" t="n"/>
      <c r="BN1595" s="58" t="n"/>
    </row>
    <row r="1596">
      <c r="C1596" s="206" t="n"/>
      <c r="D1596" s="206" t="n"/>
      <c r="E1596" s="206" t="n"/>
      <c r="BK1596" s="58" t="n"/>
      <c r="BL1596" s="58" t="n"/>
      <c r="BM1596" s="58" t="n"/>
      <c r="BN1596" s="58" t="n"/>
    </row>
    <row r="1597">
      <c r="C1597" s="207" t="n"/>
      <c r="D1597" s="206" t="n"/>
      <c r="E1597" s="206" t="n"/>
      <c r="BK1597" s="58" t="n"/>
      <c r="BL1597" s="58" t="n"/>
      <c r="BM1597" s="58" t="n"/>
      <c r="BN1597" s="58" t="n"/>
    </row>
    <row r="1598">
      <c r="C1598" s="206" t="n"/>
      <c r="D1598" s="206" t="n"/>
      <c r="E1598" s="206" t="n"/>
      <c r="BK1598" s="58" t="n"/>
      <c r="BL1598" s="58" t="n"/>
      <c r="BM1598" s="58" t="n"/>
      <c r="BN1598" s="58" t="n"/>
    </row>
    <row r="1599">
      <c r="C1599" s="206" t="n"/>
      <c r="D1599" s="206" t="n"/>
      <c r="E1599" s="206" t="n"/>
      <c r="BK1599" s="58" t="n"/>
      <c r="BL1599" s="58" t="n"/>
      <c r="BM1599" s="58" t="n"/>
      <c r="BN1599" s="58" t="n"/>
    </row>
    <row r="1600">
      <c r="C1600" s="206" t="n"/>
      <c r="D1600" s="206" t="n"/>
      <c r="E1600" s="206" t="n"/>
      <c r="BK1600" s="58" t="n"/>
      <c r="BL1600" s="58" t="n"/>
      <c r="BM1600" s="58" t="n"/>
      <c r="BN1600" s="58" t="n"/>
    </row>
    <row r="1601">
      <c r="C1601" s="206" t="n"/>
      <c r="D1601" s="206" t="n"/>
      <c r="E1601" s="206" t="n"/>
      <c r="BK1601" s="58" t="n"/>
      <c r="BL1601" s="58" t="n"/>
      <c r="BM1601" s="58" t="n"/>
      <c r="BN1601" s="58" t="n"/>
    </row>
    <row r="1602">
      <c r="C1602" s="207" t="n"/>
      <c r="D1602" s="206" t="n"/>
      <c r="E1602" s="206" t="n"/>
      <c r="BK1602" s="58" t="n"/>
      <c r="BL1602" s="58" t="n"/>
      <c r="BM1602" s="58" t="n"/>
      <c r="BN1602" s="58" t="n"/>
    </row>
    <row r="1603">
      <c r="C1603" s="207" t="n"/>
      <c r="D1603" s="206" t="n"/>
      <c r="E1603" s="206" t="n"/>
      <c r="BK1603" s="58" t="n"/>
      <c r="BL1603" s="58" t="n"/>
      <c r="BM1603" s="58" t="n"/>
      <c r="BN1603" s="58" t="n"/>
    </row>
    <row r="1604">
      <c r="C1604" s="206" t="n"/>
      <c r="D1604" s="206" t="n"/>
      <c r="E1604" s="206" t="n"/>
      <c r="BK1604" s="58" t="n"/>
      <c r="BL1604" s="58" t="n"/>
      <c r="BM1604" s="58" t="n"/>
      <c r="BN1604" s="58" t="n"/>
    </row>
    <row r="1605">
      <c r="C1605" s="206" t="n"/>
      <c r="D1605" s="206" t="n"/>
      <c r="E1605" s="206" t="n"/>
      <c r="BK1605" s="58" t="n"/>
      <c r="BL1605" s="58" t="n"/>
      <c r="BM1605" s="58" t="n"/>
      <c r="BN1605" s="58" t="n"/>
    </row>
    <row r="1606">
      <c r="C1606" s="206" t="n"/>
      <c r="D1606" s="206" t="n"/>
      <c r="E1606" s="206" t="n"/>
      <c r="BK1606" s="58" t="n"/>
      <c r="BL1606" s="58" t="n"/>
      <c r="BM1606" s="58" t="n"/>
      <c r="BN1606" s="58" t="n"/>
    </row>
    <row r="1607">
      <c r="C1607" s="206" t="n"/>
      <c r="D1607" s="206" t="n"/>
      <c r="E1607" s="206" t="n"/>
      <c r="BK1607" s="58" t="n"/>
      <c r="BL1607" s="58" t="n"/>
      <c r="BM1607" s="58" t="n"/>
      <c r="BN1607" s="58" t="n"/>
    </row>
    <row r="1608">
      <c r="C1608" s="206" t="n"/>
      <c r="D1608" s="206" t="n"/>
      <c r="E1608" s="206" t="n"/>
      <c r="BK1608" s="58" t="n"/>
      <c r="BL1608" s="58" t="n"/>
      <c r="BM1608" s="58" t="n"/>
      <c r="BN1608" s="58" t="n"/>
    </row>
    <row r="1609">
      <c r="C1609" s="206" t="n"/>
      <c r="D1609" s="206" t="n"/>
      <c r="E1609" s="206" t="n"/>
      <c r="BK1609" s="58" t="n"/>
      <c r="BL1609" s="58" t="n"/>
      <c r="BM1609" s="58" t="n"/>
      <c r="BN1609" s="58" t="n"/>
    </row>
    <row r="1610">
      <c r="C1610" s="207" t="n"/>
      <c r="D1610" s="206" t="n"/>
      <c r="E1610" s="206" t="n"/>
      <c r="BK1610" s="58" t="n"/>
      <c r="BL1610" s="58" t="n"/>
      <c r="BM1610" s="58" t="n"/>
      <c r="BN1610" s="58" t="n"/>
    </row>
    <row r="1611">
      <c r="C1611" s="207" t="n"/>
      <c r="D1611" s="206" t="n"/>
      <c r="E1611" s="206" t="n"/>
      <c r="G1611" s="208" t="n"/>
      <c r="BK1611" s="58" t="n"/>
      <c r="BL1611" s="58" t="n"/>
      <c r="BM1611" s="58" t="n"/>
      <c r="BN1611" s="58" t="n"/>
    </row>
    <row r="1612">
      <c r="C1612" s="206" t="n"/>
      <c r="D1612" s="206" t="n"/>
      <c r="E1612" s="206" t="n"/>
      <c r="BK1612" s="58" t="n"/>
      <c r="BL1612" s="58" t="n"/>
      <c r="BM1612" s="58" t="n"/>
      <c r="BN1612" s="58" t="n"/>
    </row>
    <row r="1613">
      <c r="C1613" s="206" t="n"/>
      <c r="D1613" s="206" t="n"/>
      <c r="E1613" s="206" t="n"/>
      <c r="BK1613" s="58" t="n"/>
      <c r="BL1613" s="58" t="n"/>
      <c r="BM1613" s="58" t="n"/>
      <c r="BN1613" s="58" t="n"/>
    </row>
    <row r="1614">
      <c r="C1614" s="206" t="n"/>
      <c r="D1614" s="206" t="n"/>
      <c r="E1614" s="206" t="n"/>
      <c r="BK1614" s="58" t="n"/>
      <c r="BL1614" s="58" t="n"/>
      <c r="BM1614" s="58" t="n"/>
      <c r="BN1614" s="58" t="n"/>
    </row>
    <row r="1615">
      <c r="C1615" s="206" t="n"/>
      <c r="D1615" s="206" t="n"/>
      <c r="E1615" s="206" t="n"/>
      <c r="BK1615" s="58" t="n"/>
      <c r="BL1615" s="58" t="n"/>
      <c r="BM1615" s="58" t="n"/>
      <c r="BN1615" s="58" t="n"/>
    </row>
    <row r="1616">
      <c r="C1616" s="206" t="n"/>
      <c r="D1616" s="206" t="n"/>
      <c r="E1616" s="206" t="n"/>
      <c r="BK1616" s="58" t="n"/>
      <c r="BL1616" s="58" t="n"/>
      <c r="BM1616" s="58" t="n"/>
      <c r="BN1616" s="58" t="n"/>
    </row>
    <row r="1617">
      <c r="C1617" s="206" t="n"/>
      <c r="D1617" s="206" t="n"/>
      <c r="E1617" s="206" t="n"/>
      <c r="BK1617" s="58" t="n"/>
      <c r="BL1617" s="58" t="n"/>
      <c r="BM1617" s="58" t="n"/>
      <c r="BN1617" s="58" t="n"/>
    </row>
    <row r="1618">
      <c r="C1618" s="206" t="n"/>
      <c r="D1618" s="206" t="n"/>
      <c r="E1618" s="206" t="n"/>
      <c r="BK1618" s="58" t="n"/>
      <c r="BL1618" s="58" t="n"/>
      <c r="BM1618" s="58" t="n"/>
      <c r="BN1618" s="58" t="n"/>
    </row>
    <row r="1619">
      <c r="C1619" s="206" t="n"/>
      <c r="D1619" s="206" t="n"/>
      <c r="E1619" s="206" t="n"/>
      <c r="BK1619" s="58" t="n"/>
      <c r="BL1619" s="58" t="n"/>
      <c r="BM1619" s="58" t="n"/>
      <c r="BN1619" s="58" t="n"/>
    </row>
    <row r="1620">
      <c r="C1620" s="206" t="n"/>
      <c r="D1620" s="206" t="n"/>
      <c r="E1620" s="206" t="n"/>
      <c r="BK1620" s="58" t="n"/>
      <c r="BL1620" s="58" t="n"/>
      <c r="BM1620" s="58" t="n"/>
      <c r="BN1620" s="58" t="n"/>
    </row>
    <row r="1621">
      <c r="C1621" s="207" t="n"/>
      <c r="D1621" s="206" t="n"/>
      <c r="E1621" s="206" t="n"/>
      <c r="BK1621" s="58" t="n"/>
      <c r="BL1621" s="58" t="n"/>
      <c r="BM1621" s="58" t="n"/>
      <c r="BN1621" s="58" t="n"/>
    </row>
    <row r="1622">
      <c r="C1622" s="207" t="n"/>
      <c r="D1622" s="206" t="n"/>
      <c r="E1622" s="206" t="n"/>
      <c r="BK1622" s="58" t="n"/>
      <c r="BL1622" s="58" t="n"/>
      <c r="BM1622" s="58" t="n"/>
      <c r="BN1622" s="58" t="n"/>
    </row>
    <row r="1623">
      <c r="C1623" s="206" t="n"/>
      <c r="D1623" s="206" t="n"/>
      <c r="E1623" s="206" t="n"/>
      <c r="BK1623" s="58" t="n"/>
      <c r="BL1623" s="58" t="n"/>
      <c r="BM1623" s="58" t="n"/>
      <c r="BN1623" s="58" t="n"/>
    </row>
    <row r="1624">
      <c r="C1624" s="206" t="n"/>
      <c r="D1624" s="206" t="n"/>
      <c r="E1624" s="206" t="n"/>
      <c r="BK1624" s="58" t="n"/>
      <c r="BL1624" s="58" t="n"/>
      <c r="BM1624" s="58" t="n"/>
      <c r="BN1624" s="58" t="n"/>
    </row>
    <row r="1625">
      <c r="C1625" s="206" t="n"/>
      <c r="D1625" s="206" t="n"/>
      <c r="E1625" s="206" t="n"/>
      <c r="BK1625" s="58" t="n"/>
      <c r="BL1625" s="58" t="n"/>
      <c r="BM1625" s="58" t="n"/>
      <c r="BN1625" s="58" t="n"/>
    </row>
    <row r="1626">
      <c r="C1626" s="206" t="n"/>
      <c r="D1626" s="206" t="n"/>
      <c r="E1626" s="206" t="n"/>
      <c r="BK1626" s="58" t="n"/>
      <c r="BL1626" s="58" t="n"/>
      <c r="BM1626" s="58" t="n"/>
      <c r="BN1626" s="58" t="n"/>
    </row>
    <row r="1627">
      <c r="C1627" s="206" t="n"/>
      <c r="D1627" s="206" t="n"/>
      <c r="E1627" s="206" t="n"/>
      <c r="BK1627" s="58" t="n"/>
      <c r="BL1627" s="58" t="n"/>
      <c r="BM1627" s="58" t="n"/>
      <c r="BN1627" s="58" t="n"/>
    </row>
    <row r="1628">
      <c r="C1628" s="206" t="n"/>
      <c r="D1628" s="206" t="n"/>
      <c r="E1628" s="206" t="n"/>
      <c r="BK1628" s="58" t="n"/>
      <c r="BL1628" s="58" t="n"/>
      <c r="BM1628" s="58" t="n"/>
      <c r="BN1628" s="58" t="n"/>
    </row>
    <row r="1629">
      <c r="C1629" s="207" t="n"/>
      <c r="D1629" s="206" t="n"/>
      <c r="E1629" s="206" t="n"/>
      <c r="BK1629" s="58" t="n"/>
      <c r="BL1629" s="58" t="n"/>
      <c r="BM1629" s="58" t="n"/>
      <c r="BN1629" s="58" t="n"/>
    </row>
    <row r="1630">
      <c r="C1630" s="206" t="n"/>
      <c r="D1630" s="206" t="n"/>
      <c r="E1630" s="206" t="n"/>
      <c r="BK1630" s="58" t="n"/>
      <c r="BL1630" s="58" t="n"/>
      <c r="BM1630" s="58" t="n"/>
      <c r="BN1630" s="58" t="n"/>
    </row>
    <row r="1631">
      <c r="C1631" s="207" t="n"/>
      <c r="D1631" s="206" t="n"/>
      <c r="E1631" s="206" t="n"/>
      <c r="BK1631" s="58" t="n"/>
      <c r="BL1631" s="58" t="n"/>
      <c r="BM1631" s="58" t="n"/>
      <c r="BN1631" s="58" t="n"/>
    </row>
    <row r="1632">
      <c r="C1632" s="206" t="n"/>
      <c r="D1632" s="206" t="n"/>
      <c r="E1632" s="206" t="n"/>
      <c r="BK1632" s="58" t="n"/>
      <c r="BL1632" s="58" t="n"/>
      <c r="BM1632" s="58" t="n"/>
      <c r="BN1632" s="58" t="n"/>
    </row>
    <row r="1633">
      <c r="C1633" s="206" t="n"/>
      <c r="D1633" s="206" t="n"/>
      <c r="E1633" s="206" t="n"/>
    </row>
    <row r="1634">
      <c r="C1634" s="207" t="n"/>
      <c r="D1634" s="206" t="n"/>
      <c r="E1634" s="206" t="n"/>
    </row>
    <row r="1635">
      <c r="C1635" s="206" t="n"/>
      <c r="D1635" s="206" t="n"/>
      <c r="E1635" s="206" t="n"/>
    </row>
    <row r="1636">
      <c r="C1636" s="206" t="n"/>
      <c r="D1636" s="206" t="n"/>
      <c r="E1636" s="206" t="n"/>
    </row>
    <row r="1637">
      <c r="C1637" s="206" t="n"/>
      <c r="D1637" s="206" t="n"/>
      <c r="E1637" s="206" t="n"/>
    </row>
    <row r="1638">
      <c r="C1638" s="206" t="n"/>
      <c r="D1638" s="206" t="n"/>
      <c r="E1638" s="206" t="n"/>
    </row>
    <row r="1639">
      <c r="C1639" s="206" t="n"/>
      <c r="D1639" s="206" t="n"/>
      <c r="E1639" s="206" t="n"/>
    </row>
    <row r="1640">
      <c r="C1640" s="206" t="n"/>
      <c r="D1640" s="206" t="n"/>
      <c r="E1640" s="206" t="n"/>
    </row>
    <row r="1641">
      <c r="C1641" s="207" t="n"/>
      <c r="D1641" s="206" t="n"/>
      <c r="E1641" s="206" t="n"/>
    </row>
    <row r="1642">
      <c r="C1642" s="206" t="n"/>
      <c r="D1642" s="206" t="n"/>
      <c r="E1642" s="206" t="n"/>
    </row>
    <row r="1643">
      <c r="C1643" s="206" t="n"/>
      <c r="D1643" s="206" t="n"/>
      <c r="E1643" s="206" t="n"/>
    </row>
    <row r="1644">
      <c r="C1644" s="206" t="n"/>
      <c r="D1644" s="206" t="n"/>
      <c r="E1644" s="206" t="n"/>
    </row>
    <row r="1645">
      <c r="C1645" s="206" t="n"/>
      <c r="D1645" s="206" t="n"/>
      <c r="E1645" s="206" t="n"/>
    </row>
    <row r="1646">
      <c r="C1646" s="206" t="n"/>
      <c r="D1646" s="206" t="n"/>
      <c r="E1646" s="206" t="n"/>
    </row>
    <row r="1647">
      <c r="C1647" s="206" t="n"/>
      <c r="D1647" s="206" t="n"/>
      <c r="E1647" s="206" t="n"/>
    </row>
    <row r="1648">
      <c r="C1648" s="206" t="n"/>
      <c r="D1648" s="206" t="n"/>
      <c r="E1648" s="206" t="n"/>
    </row>
    <row r="1649">
      <c r="C1649" s="206" t="n"/>
      <c r="D1649" s="206" t="n"/>
      <c r="E1649" s="206" t="n"/>
    </row>
    <row r="1650">
      <c r="C1650" s="207" t="n"/>
      <c r="D1650" s="206" t="n"/>
      <c r="E1650" s="206" t="n"/>
    </row>
    <row r="1651">
      <c r="C1651" s="206" t="n"/>
      <c r="D1651" s="206" t="n"/>
      <c r="E1651" s="206" t="n"/>
    </row>
    <row r="1652">
      <c r="C1652" s="206" t="n"/>
      <c r="D1652" s="206" t="n"/>
      <c r="E1652" s="206" t="n"/>
    </row>
    <row r="1653">
      <c r="C1653" s="206" t="n"/>
      <c r="D1653" s="206" t="n"/>
      <c r="E1653" s="206" t="n"/>
    </row>
    <row r="1654">
      <c r="C1654" s="206" t="n"/>
      <c r="D1654" s="206" t="n"/>
      <c r="E1654" s="206" t="n"/>
    </row>
    <row r="1655">
      <c r="C1655" s="206" t="n"/>
      <c r="D1655" s="206" t="n"/>
      <c r="E1655" s="206" t="n"/>
    </row>
    <row r="1656">
      <c r="C1656" s="207" t="n"/>
      <c r="D1656" s="206" t="n"/>
      <c r="E1656" s="206" t="n"/>
    </row>
    <row r="1657">
      <c r="C1657" s="206" t="n"/>
      <c r="D1657" s="206" t="n"/>
      <c r="E1657" s="206" t="n"/>
    </row>
    <row r="1658">
      <c r="C1658" s="206" t="n"/>
      <c r="D1658" s="206" t="n"/>
      <c r="E1658" s="206" t="n"/>
    </row>
    <row r="1659">
      <c r="C1659" s="206" t="n"/>
      <c r="D1659" s="206" t="n"/>
      <c r="E1659" s="206" t="n"/>
    </row>
    <row r="1660">
      <c r="C1660" s="207" t="n"/>
      <c r="D1660" s="206" t="n"/>
      <c r="E1660" s="206" t="n"/>
    </row>
    <row r="1661">
      <c r="C1661" s="206" t="n"/>
      <c r="D1661" s="206" t="n"/>
      <c r="E1661" s="206" t="n"/>
    </row>
    <row r="1662">
      <c r="C1662" s="206" t="n"/>
      <c r="D1662" s="206" t="n"/>
      <c r="E1662" s="206" t="n"/>
    </row>
    <row r="1663">
      <c r="C1663" s="206" t="n"/>
      <c r="D1663" s="206" t="n"/>
      <c r="E1663" s="206" t="n"/>
    </row>
    <row r="1664">
      <c r="C1664" s="206" t="n"/>
      <c r="D1664" s="206" t="n"/>
      <c r="E1664" s="206" t="n"/>
    </row>
    <row r="1665">
      <c r="C1665" s="206" t="n"/>
      <c r="D1665" s="206" t="n"/>
      <c r="E1665" s="206" t="n"/>
    </row>
    <row r="1666">
      <c r="C1666" s="206" t="n"/>
      <c r="D1666" s="206" t="n"/>
      <c r="E1666" s="206" t="n"/>
    </row>
    <row r="1667">
      <c r="C1667" s="206" t="n"/>
      <c r="D1667" s="206" t="n"/>
      <c r="E1667" s="206" t="n"/>
    </row>
    <row r="1668">
      <c r="C1668" s="206" t="n"/>
      <c r="D1668" s="206" t="n"/>
      <c r="E1668" s="206" t="n"/>
    </row>
    <row r="1669">
      <c r="C1669" s="206" t="n"/>
      <c r="D1669" s="206" t="n"/>
      <c r="E1669" s="206" t="n"/>
    </row>
    <row r="1670">
      <c r="C1670" s="206" t="n"/>
      <c r="D1670" s="206" t="n"/>
      <c r="E1670" s="206" t="n"/>
    </row>
    <row r="1671">
      <c r="C1671" s="206" t="n"/>
      <c r="D1671" s="206" t="n"/>
      <c r="E1671" s="206" t="n"/>
    </row>
    <row r="1672">
      <c r="C1672" s="206" t="n"/>
      <c r="D1672" s="206" t="n"/>
      <c r="E1672" s="206" t="n"/>
    </row>
    <row r="1673">
      <c r="C1673" s="207" t="n"/>
      <c r="D1673" s="206" t="n"/>
      <c r="E1673" s="206" t="n"/>
    </row>
    <row r="1674">
      <c r="C1674" s="206" t="n"/>
      <c r="D1674" s="206" t="n"/>
      <c r="E1674" s="206" t="n"/>
    </row>
    <row r="1675">
      <c r="C1675" s="206" t="n"/>
      <c r="D1675" s="206" t="n"/>
      <c r="E1675" s="206" t="n"/>
    </row>
    <row r="1676">
      <c r="C1676" s="206" t="n"/>
      <c r="D1676" s="206" t="n"/>
      <c r="E1676" s="206" t="n"/>
    </row>
    <row r="1677">
      <c r="C1677" s="206" t="n"/>
      <c r="D1677" s="206" t="n"/>
      <c r="E1677" s="206" t="n"/>
    </row>
    <row r="1678">
      <c r="C1678" s="206" t="n"/>
      <c r="D1678" s="206" t="n"/>
      <c r="E1678" s="206" t="n"/>
    </row>
    <row r="1679">
      <c r="C1679" s="206" t="n"/>
      <c r="D1679" s="206" t="n"/>
      <c r="E1679" s="206" t="n"/>
    </row>
    <row r="1680">
      <c r="C1680" s="206" t="n"/>
      <c r="D1680" s="206" t="n"/>
      <c r="E1680" s="206" t="n"/>
    </row>
    <row r="1681">
      <c r="C1681" s="206" t="n"/>
      <c r="D1681" s="206" t="n"/>
      <c r="E1681" s="206" t="n"/>
    </row>
    <row r="1682">
      <c r="C1682" s="206" t="n"/>
      <c r="D1682" s="206" t="n"/>
      <c r="E1682" s="206" t="n"/>
    </row>
    <row r="1683">
      <c r="C1683" s="206" t="n"/>
      <c r="D1683" s="206" t="n"/>
      <c r="E1683" s="206" t="n"/>
    </row>
    <row r="1684">
      <c r="C1684" s="206" t="n"/>
      <c r="D1684" s="206" t="n"/>
      <c r="E1684" s="206" t="n"/>
    </row>
    <row r="1685">
      <c r="C1685" s="206" t="n"/>
      <c r="D1685" s="206" t="n"/>
      <c r="E1685" s="206" t="n"/>
    </row>
    <row r="1686">
      <c r="C1686" s="206" t="n"/>
      <c r="D1686" s="206" t="n"/>
      <c r="E1686" s="206" t="n"/>
    </row>
    <row r="1687">
      <c r="C1687" s="207" t="n"/>
      <c r="D1687" s="206" t="n"/>
      <c r="E1687" s="206" t="n"/>
    </row>
    <row r="1688">
      <c r="C1688" s="206" t="n"/>
      <c r="D1688" s="206" t="n"/>
      <c r="E1688" s="206" t="n"/>
    </row>
    <row r="1689">
      <c r="C1689" s="206" t="n"/>
      <c r="D1689" s="206" t="n"/>
      <c r="E1689" s="206" t="n"/>
    </row>
    <row r="1690">
      <c r="C1690" s="207" t="n"/>
      <c r="D1690" s="206" t="n"/>
      <c r="E1690" s="206" t="n"/>
    </row>
    <row r="1691">
      <c r="C1691" s="207" t="n"/>
      <c r="D1691" s="206" t="n"/>
      <c r="E1691" s="206" t="n"/>
    </row>
    <row r="1692">
      <c r="C1692" s="206" t="n"/>
      <c r="D1692" s="206" t="n"/>
      <c r="E1692" s="206" t="n"/>
    </row>
    <row r="1693">
      <c r="C1693" s="206" t="n"/>
      <c r="D1693" s="206" t="n"/>
      <c r="E1693" s="206" t="n"/>
    </row>
    <row r="1694">
      <c r="C1694" s="206" t="n"/>
      <c r="D1694" s="206" t="n"/>
      <c r="E1694" s="206" t="n"/>
    </row>
    <row r="1695">
      <c r="C1695" s="207" t="n"/>
      <c r="D1695" s="206" t="n"/>
      <c r="E1695" s="206" t="n"/>
    </row>
    <row r="1696">
      <c r="C1696" s="206" t="n"/>
      <c r="D1696" s="206" t="n"/>
      <c r="E1696" s="206" t="n"/>
    </row>
    <row r="1697">
      <c r="C1697" s="206" t="n"/>
      <c r="D1697" s="206" t="n"/>
      <c r="E1697" s="206" t="n"/>
    </row>
    <row r="1698">
      <c r="C1698" s="206" t="n"/>
      <c r="D1698" s="206" t="n"/>
      <c r="E1698" s="206" t="n"/>
    </row>
    <row r="1699">
      <c r="C1699" s="206" t="n"/>
      <c r="D1699" s="206" t="n"/>
      <c r="E1699" s="206" t="n"/>
    </row>
    <row r="1700">
      <c r="C1700" s="206" t="n"/>
      <c r="D1700" s="206" t="n"/>
      <c r="E1700" s="206" t="n"/>
    </row>
    <row r="1701">
      <c r="C1701" s="206" t="n"/>
      <c r="D1701" s="206" t="n"/>
      <c r="E1701" s="206" t="n"/>
    </row>
    <row r="1702">
      <c r="C1702" s="206" t="n"/>
      <c r="D1702" s="206" t="n"/>
      <c r="E1702" s="206" t="n"/>
    </row>
    <row r="1703">
      <c r="C1703" s="206" t="n"/>
      <c r="D1703" s="206" t="n"/>
      <c r="E1703" s="206" t="n"/>
    </row>
    <row r="1704">
      <c r="C1704" s="206" t="n"/>
      <c r="D1704" s="206" t="n"/>
      <c r="E1704" s="206" t="n"/>
    </row>
    <row r="1705">
      <c r="C1705" s="207" t="n"/>
      <c r="D1705" s="206" t="n"/>
      <c r="E1705" s="206" t="n"/>
    </row>
    <row r="1706">
      <c r="C1706" s="206" t="n"/>
      <c r="D1706" s="206" t="n"/>
      <c r="E1706" s="206" t="n"/>
    </row>
    <row r="1707">
      <c r="C1707" s="206" t="n"/>
      <c r="D1707" s="206" t="n"/>
      <c r="E1707" s="206" t="n"/>
    </row>
    <row r="1708">
      <c r="C1708" s="207" t="n"/>
      <c r="D1708" s="206" t="n"/>
      <c r="E1708" s="206" t="n"/>
    </row>
    <row r="1709">
      <c r="C1709" s="207" t="n"/>
      <c r="D1709" s="206" t="n"/>
      <c r="E1709" s="206" t="n"/>
    </row>
    <row r="1710">
      <c r="C1710" s="206" t="n"/>
      <c r="D1710" s="206" t="n"/>
      <c r="E1710" s="206" t="n"/>
    </row>
    <row r="1711">
      <c r="C1711" s="206" t="n"/>
      <c r="D1711" s="206" t="n"/>
      <c r="E1711" s="206" t="n"/>
    </row>
    <row r="1712">
      <c r="C1712" s="206" t="n"/>
      <c r="D1712" s="206" t="n"/>
      <c r="E1712" s="206" t="n"/>
    </row>
    <row r="1713">
      <c r="C1713" s="207" t="n"/>
      <c r="D1713" s="206" t="n"/>
      <c r="E1713" s="206" t="n"/>
    </row>
    <row r="1714">
      <c r="C1714" s="207" t="n"/>
      <c r="D1714" s="206" t="n"/>
      <c r="E1714" s="206" t="n"/>
    </row>
    <row r="1715">
      <c r="C1715" s="206" t="n"/>
      <c r="D1715" s="206" t="n"/>
      <c r="E1715" s="206" t="n"/>
    </row>
    <row r="1716">
      <c r="C1716" s="206" t="n"/>
      <c r="D1716" s="206" t="n"/>
      <c r="E1716" s="206" t="n"/>
    </row>
    <row r="1717">
      <c r="C1717" s="206" t="n"/>
      <c r="D1717" s="206" t="n"/>
      <c r="E1717" s="206" t="n"/>
    </row>
    <row r="1718">
      <c r="C1718" s="206" t="n"/>
      <c r="D1718" s="206" t="n"/>
      <c r="E1718" s="206" t="n"/>
    </row>
    <row r="1719">
      <c r="C1719" s="206" t="n"/>
      <c r="D1719" s="206" t="n"/>
      <c r="E1719" s="206" t="n"/>
    </row>
    <row r="1720">
      <c r="C1720" s="206" t="n"/>
      <c r="D1720" s="206" t="n"/>
      <c r="E1720" s="206" t="n"/>
    </row>
    <row r="1721">
      <c r="C1721" s="206" t="n"/>
      <c r="D1721" s="206" t="n"/>
      <c r="E1721" s="206" t="n"/>
    </row>
    <row r="1722">
      <c r="C1722" s="207" t="n"/>
      <c r="D1722" s="206" t="n"/>
      <c r="E1722" s="206" t="n"/>
    </row>
    <row r="1723">
      <c r="C1723" s="206" t="n"/>
      <c r="D1723" s="206" t="n"/>
      <c r="E1723" s="206" t="n"/>
    </row>
    <row r="1724">
      <c r="C1724" s="207" t="n"/>
      <c r="D1724" s="206" t="n"/>
      <c r="E1724" s="206" t="n"/>
    </row>
    <row r="1725">
      <c r="C1725" s="207" t="n"/>
      <c r="D1725" s="206" t="n"/>
      <c r="E1725" s="206" t="n"/>
    </row>
    <row r="1726">
      <c r="C1726" s="206" t="n"/>
      <c r="D1726" s="206" t="n"/>
      <c r="E1726" s="206" t="n"/>
    </row>
    <row r="1727">
      <c r="C1727" s="207" t="n"/>
      <c r="D1727" s="206" t="n"/>
      <c r="E1727" s="206" t="n"/>
    </row>
    <row r="1728">
      <c r="C1728" s="206" t="n"/>
      <c r="D1728" s="206" t="n"/>
      <c r="E1728" s="206" t="n"/>
    </row>
    <row r="1729">
      <c r="C1729" s="206" t="n"/>
      <c r="D1729" s="206" t="n"/>
      <c r="E1729" s="206" t="n"/>
    </row>
    <row r="1730">
      <c r="C1730" s="206" t="n"/>
      <c r="D1730" s="206" t="n"/>
      <c r="E1730" s="206" t="n"/>
    </row>
    <row r="1731">
      <c r="C1731" s="206" t="n"/>
      <c r="D1731" s="206" t="n"/>
      <c r="E1731" s="206" t="n"/>
    </row>
    <row r="1732">
      <c r="C1732" s="206" t="n"/>
      <c r="D1732" s="206" t="n"/>
      <c r="E1732" s="206" t="n"/>
    </row>
    <row r="1733">
      <c r="C1733" s="206" t="n"/>
      <c r="D1733" s="206" t="n"/>
      <c r="E1733" s="206" t="n"/>
    </row>
    <row r="1734">
      <c r="C1734" s="206" t="n"/>
      <c r="D1734" s="206" t="n"/>
      <c r="E1734" s="206" t="n"/>
    </row>
    <row r="1735">
      <c r="C1735" s="206" t="n"/>
      <c r="D1735" s="206" t="n"/>
      <c r="E1735" s="206" t="n"/>
    </row>
    <row r="1736">
      <c r="C1736" s="206" t="n"/>
      <c r="D1736" s="206" t="n"/>
      <c r="E1736" s="206" t="n"/>
    </row>
    <row r="1737">
      <c r="C1737" s="206" t="n"/>
      <c r="D1737" s="206" t="n"/>
      <c r="E1737" s="206" t="n"/>
    </row>
    <row r="1738">
      <c r="C1738" s="206" t="n"/>
      <c r="D1738" s="206" t="n"/>
      <c r="E1738" s="206" t="n"/>
    </row>
    <row r="1739">
      <c r="C1739" s="206" t="n"/>
      <c r="D1739" s="206" t="n"/>
      <c r="E1739" s="206" t="n"/>
    </row>
    <row r="1740">
      <c r="C1740" s="207" t="n"/>
      <c r="D1740" s="206" t="n"/>
      <c r="E1740" s="206" t="n"/>
    </row>
    <row r="1741">
      <c r="C1741" s="206" t="n"/>
      <c r="D1741" s="206" t="n"/>
      <c r="E1741" s="206" t="n"/>
    </row>
    <row r="1742">
      <c r="C1742" s="207" t="n"/>
      <c r="D1742" s="206" t="n"/>
      <c r="E1742" s="206" t="n"/>
    </row>
    <row r="1743">
      <c r="C1743" s="207" t="n"/>
      <c r="D1743" s="206" t="n"/>
      <c r="E1743" s="206" t="n"/>
    </row>
    <row r="1744">
      <c r="C1744" s="207" t="n"/>
      <c r="D1744" s="206" t="n"/>
      <c r="E1744" s="206" t="n"/>
    </row>
    <row r="1745">
      <c r="C1745" s="206" t="n"/>
      <c r="D1745" s="206" t="n"/>
      <c r="E1745" s="206" t="n"/>
    </row>
    <row r="1746">
      <c r="C1746" s="206" t="n"/>
      <c r="D1746" s="206" t="n"/>
      <c r="E1746" s="206" t="n"/>
    </row>
    <row r="1747">
      <c r="C1747" s="206" t="n"/>
      <c r="D1747" s="206" t="n"/>
      <c r="E1747" s="206" t="n"/>
    </row>
    <row r="1748">
      <c r="C1748" s="207" t="n"/>
      <c r="D1748" s="206" t="n"/>
      <c r="E1748" s="206" t="n"/>
    </row>
    <row r="1749">
      <c r="C1749" s="206" t="n"/>
      <c r="D1749" s="206" t="n"/>
      <c r="E1749" s="206" t="n"/>
    </row>
    <row r="1750">
      <c r="C1750" s="206" t="n"/>
      <c r="D1750" s="206" t="n"/>
      <c r="E1750" s="206" t="n"/>
    </row>
    <row r="1751">
      <c r="C1751" s="206" t="n"/>
      <c r="D1751" s="206" t="n"/>
      <c r="E1751" s="206" t="n"/>
    </row>
    <row r="1752">
      <c r="C1752" s="206" t="n"/>
      <c r="D1752" s="206" t="n"/>
      <c r="E1752" s="206" t="n"/>
    </row>
    <row r="1753">
      <c r="C1753" s="206" t="n"/>
      <c r="D1753" s="206" t="n"/>
      <c r="E1753" s="206" t="n"/>
    </row>
    <row r="1754">
      <c r="C1754" s="206" t="n"/>
      <c r="D1754" s="206" t="n"/>
      <c r="E1754" s="206" t="n"/>
    </row>
    <row r="1755">
      <c r="C1755" s="206" t="n"/>
      <c r="D1755" s="206" t="n"/>
      <c r="E1755" s="206" t="n"/>
    </row>
    <row r="1756">
      <c r="C1756" s="206" t="n"/>
      <c r="D1756" s="206" t="n"/>
      <c r="E1756" s="206" t="n"/>
    </row>
    <row r="1757">
      <c r="C1757" s="206" t="n"/>
      <c r="D1757" s="206" t="n"/>
      <c r="E1757" s="206" t="n"/>
    </row>
    <row r="1758">
      <c r="C1758" s="206" t="n"/>
      <c r="D1758" s="206" t="n"/>
      <c r="E1758" s="206" t="n"/>
    </row>
    <row r="1759">
      <c r="C1759" s="206" t="n"/>
      <c r="D1759" s="206" t="n"/>
      <c r="E1759" s="206" t="n"/>
    </row>
    <row r="1760">
      <c r="C1760" s="207" t="n"/>
      <c r="D1760" s="206" t="n"/>
      <c r="E1760" s="206" t="n"/>
    </row>
    <row r="1761">
      <c r="C1761" s="206" t="n"/>
      <c r="D1761" s="206" t="n"/>
      <c r="E1761" s="206" t="n"/>
    </row>
    <row r="1762">
      <c r="C1762" s="206" t="n"/>
      <c r="D1762" s="206" t="n"/>
      <c r="E1762" s="206" t="n"/>
    </row>
    <row r="1763">
      <c r="C1763" s="206" t="n"/>
      <c r="D1763" s="206" t="n"/>
      <c r="E1763" s="206" t="n"/>
    </row>
    <row r="1764">
      <c r="C1764" s="207" t="n"/>
      <c r="D1764" s="206" t="n"/>
      <c r="E1764" s="206" t="n"/>
    </row>
    <row r="1765">
      <c r="C1765" s="206" t="n"/>
      <c r="D1765" s="206" t="n"/>
      <c r="E1765" s="206" t="n"/>
    </row>
    <row r="1766">
      <c r="C1766" s="206" t="n"/>
      <c r="D1766" s="206" t="n"/>
      <c r="E1766" s="206" t="n"/>
    </row>
    <row r="1767">
      <c r="C1767" s="207" t="n"/>
      <c r="D1767" s="206" t="n"/>
      <c r="E1767" s="206" t="n"/>
    </row>
    <row r="1768">
      <c r="C1768" s="207" t="n"/>
      <c r="D1768" s="206" t="n"/>
      <c r="E1768" s="206" t="n"/>
    </row>
    <row r="1769">
      <c r="C1769" s="206" t="n"/>
      <c r="D1769" s="206" t="n"/>
      <c r="E1769" s="206" t="n"/>
    </row>
    <row r="1770">
      <c r="C1770" s="206" t="n"/>
      <c r="D1770" s="206" t="n"/>
      <c r="E1770" s="206" t="n"/>
    </row>
    <row r="1771">
      <c r="C1771" s="206" t="n"/>
      <c r="D1771" s="206" t="n"/>
      <c r="E1771" s="206" t="n"/>
    </row>
    <row r="1772">
      <c r="C1772" s="206" t="n"/>
      <c r="D1772" s="206" t="n"/>
      <c r="E1772" s="206" t="n"/>
    </row>
    <row r="1773">
      <c r="C1773" s="206" t="n"/>
      <c r="D1773" s="206" t="n"/>
      <c r="E1773" s="206" t="n"/>
    </row>
    <row r="1774">
      <c r="C1774" s="206" t="n"/>
      <c r="D1774" s="206" t="n"/>
      <c r="E1774" s="206" t="n"/>
    </row>
    <row r="1775">
      <c r="C1775" s="206" t="n"/>
      <c r="D1775" s="206" t="n"/>
      <c r="E1775" s="206" t="n"/>
    </row>
    <row r="1776">
      <c r="C1776" s="206" t="n"/>
      <c r="D1776" s="206" t="n"/>
      <c r="E1776" s="206" t="n"/>
    </row>
    <row r="1777">
      <c r="C1777" s="206" t="n"/>
      <c r="D1777" s="206" t="n"/>
      <c r="E1777" s="206" t="n"/>
    </row>
    <row r="1778">
      <c r="C1778" s="206" t="n"/>
      <c r="D1778" s="206" t="n"/>
      <c r="E1778" s="206" t="n"/>
    </row>
    <row r="1779">
      <c r="C1779" s="206" t="n"/>
      <c r="D1779" s="206" t="n"/>
      <c r="E1779" s="206" t="n"/>
    </row>
    <row r="1780">
      <c r="C1780" s="206" t="n"/>
      <c r="D1780" s="206" t="n"/>
      <c r="E1780" s="206" t="n"/>
    </row>
    <row r="1781">
      <c r="C1781" s="206" t="n"/>
      <c r="D1781" s="206" t="n"/>
      <c r="E1781" s="206" t="n"/>
    </row>
    <row r="1782">
      <c r="C1782" s="206" t="n"/>
      <c r="D1782" s="206" t="n"/>
      <c r="E1782" s="206" t="n"/>
    </row>
    <row r="1783">
      <c r="C1783" s="206" t="n"/>
      <c r="D1783" s="206" t="n"/>
      <c r="E1783" s="206" t="n"/>
    </row>
    <row r="1784">
      <c r="C1784" s="206" t="n"/>
      <c r="D1784" s="206" t="n"/>
      <c r="E1784" s="206" t="n"/>
    </row>
    <row r="1785">
      <c r="C1785" s="206" t="n"/>
      <c r="D1785" s="206" t="n"/>
      <c r="E1785" s="206" t="n"/>
    </row>
    <row r="1786">
      <c r="C1786" s="206" t="n"/>
      <c r="D1786" s="206" t="n"/>
      <c r="E1786" s="206" t="n"/>
    </row>
    <row r="1787">
      <c r="C1787" s="206" t="n"/>
      <c r="D1787" s="206" t="n"/>
      <c r="E1787" s="206" t="n"/>
    </row>
    <row r="1788">
      <c r="C1788" s="206" t="n"/>
      <c r="D1788" s="206" t="n"/>
      <c r="E1788" s="206" t="n"/>
    </row>
    <row r="1789">
      <c r="C1789" s="206" t="n"/>
      <c r="D1789" s="206" t="n"/>
      <c r="E1789" s="206" t="n"/>
    </row>
    <row r="1790">
      <c r="C1790" s="206" t="n"/>
      <c r="D1790" s="206" t="n"/>
      <c r="E1790" s="206" t="n"/>
    </row>
    <row r="1791">
      <c r="C1791" s="206" t="n"/>
      <c r="D1791" s="206" t="n"/>
      <c r="E1791" s="206" t="n"/>
    </row>
    <row r="1792">
      <c r="C1792" s="206" t="n"/>
      <c r="D1792" s="206" t="n"/>
      <c r="E1792" s="206" t="n"/>
    </row>
    <row r="1793">
      <c r="C1793" s="206" t="n"/>
      <c r="D1793" s="206" t="n"/>
      <c r="E1793" s="206" t="n"/>
    </row>
    <row r="1794">
      <c r="C1794" s="206" t="n"/>
      <c r="D1794" s="206" t="n"/>
      <c r="E1794" s="206" t="n"/>
    </row>
    <row r="1795">
      <c r="C1795" s="206" t="n"/>
      <c r="D1795" s="206" t="n"/>
      <c r="E1795" s="206" t="n"/>
    </row>
    <row r="1796">
      <c r="C1796" s="207" t="n"/>
      <c r="D1796" s="206" t="n"/>
      <c r="E1796" s="206" t="n"/>
    </row>
    <row r="1797">
      <c r="C1797" s="206" t="n"/>
      <c r="D1797" s="206" t="n"/>
      <c r="E1797" s="206" t="n"/>
    </row>
    <row r="1798">
      <c r="C1798" s="206" t="n"/>
      <c r="D1798" s="206" t="n"/>
      <c r="E1798" s="206" t="n"/>
    </row>
    <row r="1799">
      <c r="C1799" s="207" t="n"/>
      <c r="D1799" s="206" t="n"/>
      <c r="E1799" s="206" t="n"/>
    </row>
    <row r="1800">
      <c r="C1800" s="206" t="n"/>
      <c r="D1800" s="206" t="n"/>
      <c r="E1800" s="206" t="n"/>
    </row>
    <row r="1801">
      <c r="C1801" s="206" t="n"/>
      <c r="D1801" s="206" t="n"/>
      <c r="E1801" s="206" t="n"/>
    </row>
    <row r="1802">
      <c r="C1802" s="206" t="n"/>
      <c r="D1802" s="206" t="n"/>
      <c r="E1802" s="206" t="n"/>
    </row>
    <row r="1803">
      <c r="C1803" s="206" t="n"/>
      <c r="D1803" s="206" t="n"/>
      <c r="E1803" s="206" t="n"/>
    </row>
    <row r="1804">
      <c r="C1804" s="206" t="n"/>
      <c r="D1804" s="206" t="n"/>
      <c r="E1804" s="206" t="n"/>
    </row>
    <row r="1805">
      <c r="C1805" s="206" t="n"/>
      <c r="D1805" s="206" t="n"/>
      <c r="E1805" s="206" t="n"/>
    </row>
    <row r="1806">
      <c r="C1806" s="206" t="n"/>
      <c r="D1806" s="206" t="n"/>
      <c r="E1806" s="206" t="n"/>
    </row>
    <row r="1807">
      <c r="C1807" s="207" t="n"/>
      <c r="D1807" s="206" t="n"/>
      <c r="E1807" s="206" t="n"/>
    </row>
    <row r="1808">
      <c r="C1808" s="206" t="n"/>
      <c r="D1808" s="206" t="n"/>
      <c r="E1808" s="206" t="n"/>
    </row>
    <row r="1809">
      <c r="C1809" s="206" t="n"/>
      <c r="D1809" s="206" t="n"/>
      <c r="E1809" s="206" t="n"/>
    </row>
    <row r="1810">
      <c r="C1810" s="207" t="n"/>
      <c r="D1810" s="206" t="n"/>
      <c r="E1810" s="206" t="n"/>
    </row>
    <row r="1811">
      <c r="C1811" s="206" t="n"/>
      <c r="D1811" s="206" t="n"/>
      <c r="E1811" s="206" t="n"/>
    </row>
    <row r="1812">
      <c r="C1812" s="206" t="n"/>
      <c r="D1812" s="206" t="n"/>
      <c r="E1812" s="206" t="n"/>
    </row>
    <row r="1813">
      <c r="C1813" s="206" t="n"/>
      <c r="D1813" s="206" t="n"/>
      <c r="E1813" s="206" t="n"/>
    </row>
    <row r="1814">
      <c r="C1814" s="206" t="n"/>
      <c r="D1814" s="206" t="n"/>
      <c r="E1814" s="206" t="n"/>
    </row>
    <row r="1815">
      <c r="C1815" s="206" t="n"/>
      <c r="D1815" s="206" t="n"/>
      <c r="E1815" s="206" t="n"/>
    </row>
    <row r="1816">
      <c r="C1816" s="206" t="n"/>
      <c r="D1816" s="206" t="n"/>
      <c r="E1816" s="206" t="n"/>
    </row>
    <row r="1817">
      <c r="C1817" s="207" t="n"/>
      <c r="D1817" s="206" t="n"/>
      <c r="E1817" s="206" t="n"/>
    </row>
    <row r="1818">
      <c r="C1818" s="206" t="n"/>
      <c r="D1818" s="206" t="n"/>
      <c r="E1818" s="206" t="n"/>
    </row>
    <row r="1819">
      <c r="C1819" s="207" t="n"/>
      <c r="D1819" s="206" t="n"/>
      <c r="E1819" s="206" t="n"/>
    </row>
    <row r="1820">
      <c r="C1820" s="207" t="n"/>
      <c r="D1820" s="206" t="n"/>
      <c r="E1820" s="206" t="n"/>
    </row>
    <row r="1821">
      <c r="C1821" s="206" t="n"/>
      <c r="D1821" s="206" t="n"/>
      <c r="E1821" s="206" t="n"/>
    </row>
    <row r="1822">
      <c r="C1822" s="207" t="n"/>
      <c r="D1822" s="206" t="n"/>
      <c r="E1822" s="206" t="n"/>
    </row>
    <row r="1823">
      <c r="C1823" s="206" t="n"/>
      <c r="D1823" s="206" t="n"/>
      <c r="E1823" s="206" t="n"/>
    </row>
    <row r="1824">
      <c r="C1824" s="206" t="n"/>
      <c r="D1824" s="206" t="n"/>
      <c r="E1824" s="206" t="n"/>
    </row>
    <row r="1825">
      <c r="C1825" s="207" t="n"/>
      <c r="D1825" s="206" t="n"/>
      <c r="E1825" s="206" t="n"/>
    </row>
    <row r="1826">
      <c r="C1826" s="206" t="n"/>
      <c r="D1826" s="206" t="n"/>
      <c r="E1826" s="206" t="n"/>
    </row>
    <row r="1827">
      <c r="C1827" s="206" t="n"/>
      <c r="D1827" s="206" t="n"/>
      <c r="E1827" s="206" t="n"/>
    </row>
    <row r="1828">
      <c r="C1828" s="206" t="n"/>
      <c r="D1828" s="206" t="n"/>
      <c r="E1828" s="206" t="n"/>
    </row>
    <row r="1829">
      <c r="C1829" s="206" t="n"/>
      <c r="D1829" s="206" t="n"/>
      <c r="E1829" s="206" t="n"/>
    </row>
    <row r="1830">
      <c r="C1830" s="206" t="n"/>
      <c r="D1830" s="206" t="n"/>
      <c r="E1830" s="206" t="n"/>
    </row>
    <row r="1831">
      <c r="C1831" s="206" t="n"/>
      <c r="D1831" s="206" t="n"/>
      <c r="E1831" s="206" t="n"/>
    </row>
    <row r="1832">
      <c r="C1832" s="207" t="n"/>
      <c r="D1832" s="206" t="n"/>
      <c r="E1832" s="206" t="n"/>
    </row>
    <row r="1833">
      <c r="C1833" s="207" t="n"/>
      <c r="D1833" s="206" t="n"/>
      <c r="E1833" s="206" t="n"/>
    </row>
    <row r="1834">
      <c r="C1834" s="207" t="n"/>
      <c r="D1834" s="206" t="n"/>
      <c r="E1834" s="206" t="n"/>
    </row>
    <row r="1835">
      <c r="C1835" s="207" t="n"/>
      <c r="D1835" s="206" t="n"/>
      <c r="E1835" s="206" t="n"/>
    </row>
    <row r="1836">
      <c r="C1836" s="206" t="n"/>
      <c r="D1836" s="206" t="n"/>
      <c r="E1836" s="206" t="n"/>
    </row>
    <row r="1837">
      <c r="C1837" s="206" t="n"/>
      <c r="D1837" s="206" t="n"/>
      <c r="E1837" s="206" t="n"/>
    </row>
    <row r="1838">
      <c r="C1838" s="207" t="n"/>
      <c r="D1838" s="206" t="n"/>
      <c r="E1838" s="206" t="n"/>
    </row>
    <row r="1839">
      <c r="C1839" s="206" t="n"/>
      <c r="D1839" s="206" t="n"/>
      <c r="E1839" s="206" t="n"/>
    </row>
    <row r="1840">
      <c r="C1840" s="206" t="n"/>
      <c r="D1840" s="206" t="n"/>
      <c r="E1840" s="206" t="n"/>
    </row>
    <row r="1841">
      <c r="C1841" s="207" t="n"/>
      <c r="D1841" s="206" t="n"/>
      <c r="E1841" s="206" t="n"/>
    </row>
    <row r="1842">
      <c r="C1842" s="206" t="n"/>
      <c r="D1842" s="206" t="n"/>
      <c r="E1842" s="206" t="n"/>
    </row>
    <row r="1843">
      <c r="C1843" s="207" t="n"/>
      <c r="D1843" s="206" t="n"/>
      <c r="E1843" s="206" t="n"/>
    </row>
    <row r="1844">
      <c r="C1844" s="206" t="n"/>
      <c r="D1844" s="206" t="n"/>
      <c r="E1844" s="206" t="n"/>
    </row>
    <row r="1845">
      <c r="C1845" s="206" t="n"/>
      <c r="D1845" s="206" t="n"/>
      <c r="E1845" s="206" t="n"/>
    </row>
    <row r="1846">
      <c r="C1846" s="206" t="n"/>
      <c r="D1846" s="206" t="n"/>
      <c r="E1846" s="206" t="n"/>
    </row>
    <row r="1847">
      <c r="C1847" s="206" t="n"/>
      <c r="D1847" s="206" t="n"/>
      <c r="E1847" s="206" t="n"/>
    </row>
    <row r="1848">
      <c r="C1848" s="207" t="n"/>
      <c r="D1848" s="206" t="n"/>
      <c r="E1848" s="206" t="n"/>
    </row>
    <row r="1849">
      <c r="C1849" s="207" t="n"/>
      <c r="D1849" s="206" t="n"/>
      <c r="E1849" s="206" t="n"/>
    </row>
    <row r="1850">
      <c r="C1850" s="207" t="n"/>
      <c r="D1850" s="206" t="n"/>
      <c r="E1850" s="206" t="n"/>
    </row>
    <row r="1851">
      <c r="C1851" s="206" t="n"/>
      <c r="D1851" s="206" t="n"/>
      <c r="E1851" s="206" t="n"/>
    </row>
    <row r="1852">
      <c r="C1852" s="206" t="n"/>
      <c r="D1852" s="206" t="n"/>
      <c r="E1852" s="206" t="n"/>
    </row>
    <row r="1853">
      <c r="C1853" s="206" t="n"/>
      <c r="D1853" s="206" t="n"/>
      <c r="E1853" s="206" t="n"/>
    </row>
    <row r="1854">
      <c r="C1854" s="206" t="n"/>
      <c r="D1854" s="206" t="n"/>
      <c r="E1854" s="206" t="n"/>
    </row>
    <row r="1855">
      <c r="C1855" s="206" t="n"/>
      <c r="D1855" s="206" t="n"/>
      <c r="E1855" s="206" t="n"/>
    </row>
    <row r="1856">
      <c r="C1856" s="206" t="n"/>
      <c r="D1856" s="206" t="n"/>
      <c r="E1856" s="206" t="n"/>
    </row>
    <row r="1857">
      <c r="C1857" s="206" t="n"/>
      <c r="D1857" s="206" t="n"/>
      <c r="E1857" s="206" t="n"/>
    </row>
    <row r="1858">
      <c r="C1858" s="206" t="n"/>
      <c r="D1858" s="206" t="n"/>
      <c r="E1858" s="206" t="n"/>
    </row>
    <row r="1859">
      <c r="C1859" s="206" t="n"/>
      <c r="D1859" s="206" t="n"/>
      <c r="E1859" s="206" t="n"/>
    </row>
    <row r="1860">
      <c r="C1860" s="207" t="n"/>
      <c r="D1860" s="206" t="n"/>
      <c r="E1860" s="206" t="n"/>
    </row>
    <row r="1861">
      <c r="C1861" s="206" t="n"/>
      <c r="D1861" s="206" t="n"/>
      <c r="E1861" s="206" t="n"/>
    </row>
    <row r="1862">
      <c r="C1862" s="207" t="n"/>
      <c r="D1862" s="206" t="n"/>
      <c r="E1862" s="206" t="n"/>
    </row>
    <row r="1863">
      <c r="C1863" s="206" t="n"/>
      <c r="D1863" s="206" t="n"/>
      <c r="E1863" s="206" t="n"/>
    </row>
    <row r="1864">
      <c r="C1864" s="207" t="n"/>
      <c r="D1864" s="206" t="n"/>
      <c r="E1864" s="206" t="n"/>
    </row>
    <row r="1865">
      <c r="C1865" s="207" t="n"/>
      <c r="D1865" s="206" t="n"/>
      <c r="E1865" s="206" t="n"/>
    </row>
    <row r="1866">
      <c r="C1866" s="206" t="n"/>
      <c r="D1866" s="206" t="n"/>
      <c r="E1866" s="206" t="n"/>
    </row>
    <row r="1867">
      <c r="C1867" s="206" t="n"/>
      <c r="D1867" s="206" t="n"/>
      <c r="E1867" s="206" t="n"/>
    </row>
    <row r="1868">
      <c r="C1868" s="207" t="n"/>
      <c r="D1868" s="206" t="n"/>
      <c r="E1868" s="206" t="n"/>
    </row>
    <row r="1869">
      <c r="C1869" s="207" t="n"/>
      <c r="D1869" s="206" t="n"/>
      <c r="E1869" s="206" t="n"/>
    </row>
    <row r="1870">
      <c r="C1870" s="207" t="n"/>
      <c r="D1870" s="206" t="n"/>
      <c r="E1870" s="206" t="n"/>
    </row>
    <row r="1871">
      <c r="C1871" s="206" t="n"/>
      <c r="D1871" s="206" t="n"/>
      <c r="E1871" s="206" t="n"/>
    </row>
    <row r="1872">
      <c r="C1872" s="206" t="n"/>
      <c r="D1872" s="206" t="n"/>
      <c r="E1872" s="206" t="n"/>
    </row>
    <row r="1873">
      <c r="C1873" s="207" t="n"/>
      <c r="D1873" s="206" t="n"/>
      <c r="E1873" s="206" t="n"/>
    </row>
    <row r="1874">
      <c r="C1874" s="206" t="n"/>
      <c r="D1874" s="206" t="n"/>
      <c r="E1874" s="206" t="n"/>
    </row>
    <row r="1875">
      <c r="C1875" s="206" t="n"/>
      <c r="D1875" s="206" t="n"/>
      <c r="E1875" s="206" t="n"/>
    </row>
    <row r="1876">
      <c r="C1876" s="206" t="n"/>
      <c r="D1876" s="206" t="n"/>
      <c r="E1876" s="206" t="n"/>
    </row>
    <row r="1877">
      <c r="C1877" s="206" t="n"/>
      <c r="D1877" s="206" t="n"/>
      <c r="E1877" s="206" t="n"/>
    </row>
    <row r="1878">
      <c r="C1878" s="207" t="n"/>
      <c r="D1878" s="206" t="n"/>
      <c r="E1878" s="206" t="n"/>
    </row>
    <row r="1879">
      <c r="C1879" s="207" t="n"/>
      <c r="D1879" s="206" t="n"/>
      <c r="E1879" s="206" t="n"/>
    </row>
    <row r="1880">
      <c r="C1880" s="206" t="n"/>
      <c r="D1880" s="206" t="n"/>
      <c r="E1880" s="206" t="n"/>
    </row>
    <row r="1881">
      <c r="C1881" s="206" t="n"/>
      <c r="D1881" s="206" t="n"/>
      <c r="E1881" s="206" t="n"/>
    </row>
    <row r="1882">
      <c r="C1882" s="206" t="n"/>
      <c r="D1882" s="206" t="n"/>
      <c r="E1882" s="206" t="n"/>
    </row>
    <row r="1883">
      <c r="C1883" s="207" t="n"/>
      <c r="D1883" s="206" t="n"/>
      <c r="E1883" s="206" t="n"/>
    </row>
    <row r="1884">
      <c r="C1884" s="207" t="n"/>
      <c r="D1884" s="206" t="n"/>
      <c r="E1884" s="206" t="n"/>
    </row>
    <row r="1885">
      <c r="C1885" s="207" t="n"/>
      <c r="D1885" s="206" t="n"/>
      <c r="E1885" s="206" t="n"/>
    </row>
    <row r="1886">
      <c r="C1886" s="207" t="n"/>
      <c r="D1886" s="206" t="n"/>
      <c r="E1886" s="206" t="n"/>
    </row>
    <row r="1887">
      <c r="C1887" s="207" t="n"/>
      <c r="D1887" s="206" t="n"/>
      <c r="E1887" s="206" t="n"/>
    </row>
    <row r="1888">
      <c r="C1888" s="206" t="n"/>
      <c r="D1888" s="206" t="n"/>
      <c r="E1888" s="206" t="n"/>
    </row>
    <row r="1889">
      <c r="C1889" s="206" t="n"/>
      <c r="D1889" s="206" t="n"/>
      <c r="E1889" s="206" t="n"/>
    </row>
    <row r="1890">
      <c r="C1890" s="207" t="n"/>
      <c r="D1890" s="206" t="n"/>
      <c r="E1890" s="206" t="n"/>
    </row>
    <row r="1891">
      <c r="C1891" s="207" t="n"/>
      <c r="D1891" s="206" t="n"/>
      <c r="E1891" s="206" t="n"/>
    </row>
    <row r="1892">
      <c r="C1892" s="207" t="n"/>
      <c r="D1892" s="206" t="n"/>
      <c r="E1892" s="206" t="n"/>
    </row>
    <row r="1893">
      <c r="C1893" s="206" t="n"/>
      <c r="D1893" s="206" t="n"/>
      <c r="E1893" s="206" t="n"/>
    </row>
    <row r="1894">
      <c r="C1894" s="206" t="n"/>
      <c r="D1894" s="206" t="n"/>
      <c r="E1894" s="206" t="n"/>
    </row>
    <row r="1895">
      <c r="C1895" s="206" t="n"/>
      <c r="D1895" s="206" t="n"/>
      <c r="E1895" s="206" t="n"/>
    </row>
    <row r="1896">
      <c r="C1896" s="206" t="n"/>
      <c r="D1896" s="206" t="n"/>
      <c r="E1896" s="206" t="n"/>
    </row>
    <row r="1897">
      <c r="C1897" s="207" t="n"/>
      <c r="D1897" s="206" t="n"/>
      <c r="E1897" s="206" t="n"/>
    </row>
    <row r="1898">
      <c r="C1898" s="207" t="n"/>
      <c r="D1898" s="206" t="n"/>
      <c r="E1898" s="206" t="n"/>
    </row>
    <row r="1899">
      <c r="C1899" s="206" t="n"/>
      <c r="D1899" s="206" t="n"/>
      <c r="E1899" s="206" t="n"/>
    </row>
    <row r="1900">
      <c r="C1900" s="206" t="n"/>
      <c r="D1900" s="206" t="n"/>
      <c r="E1900" s="206" t="n"/>
    </row>
    <row r="1901">
      <c r="C1901" s="206" t="n"/>
      <c r="D1901" s="206" t="n"/>
      <c r="E1901" s="206" t="n"/>
    </row>
    <row r="1902">
      <c r="C1902" s="206" t="n"/>
      <c r="D1902" s="206" t="n"/>
      <c r="E1902" s="206" t="n"/>
    </row>
    <row r="1903">
      <c r="C1903" s="207" t="n"/>
      <c r="D1903" s="206" t="n"/>
      <c r="E1903" s="206" t="n"/>
    </row>
    <row r="1904">
      <c r="C1904" s="206" t="n"/>
      <c r="D1904" s="206" t="n"/>
      <c r="E1904" s="206" t="n"/>
    </row>
    <row r="1905">
      <c r="C1905" s="207" t="n"/>
      <c r="D1905" s="206" t="n"/>
      <c r="E1905" s="206" t="n"/>
    </row>
    <row r="1906">
      <c r="C1906" s="206" t="n"/>
      <c r="D1906" s="206" t="n"/>
      <c r="E1906" s="206" t="n"/>
    </row>
    <row r="1907">
      <c r="C1907" s="206" t="n"/>
      <c r="D1907" s="206" t="n"/>
      <c r="E1907" s="206" t="n"/>
    </row>
    <row r="1908">
      <c r="C1908" s="206" t="n"/>
      <c r="D1908" s="206" t="n"/>
      <c r="E1908" s="206" t="n"/>
    </row>
    <row r="1909">
      <c r="C1909" s="206" t="n"/>
      <c r="D1909" s="206" t="n"/>
      <c r="E1909" s="206" t="n"/>
    </row>
    <row r="1910">
      <c r="C1910" s="206" t="n"/>
      <c r="D1910" s="206" t="n"/>
      <c r="E1910" s="206" t="n"/>
    </row>
    <row r="1911">
      <c r="C1911" s="207" t="n"/>
      <c r="D1911" s="206" t="n"/>
      <c r="E1911" s="206" t="n"/>
    </row>
    <row r="1912">
      <c r="C1912" s="206" t="n"/>
      <c r="D1912" s="206" t="n"/>
      <c r="E1912" s="206" t="n"/>
    </row>
    <row r="1913">
      <c r="C1913" s="206" t="n"/>
      <c r="D1913" s="206" t="n"/>
      <c r="E1913" s="206" t="n"/>
    </row>
    <row r="1914">
      <c r="C1914" s="206" t="n"/>
      <c r="D1914" s="206" t="n"/>
      <c r="E1914" s="206" t="n"/>
    </row>
    <row r="1915">
      <c r="C1915" s="207" t="n"/>
      <c r="D1915" s="206" t="n"/>
      <c r="E1915" s="206" t="n"/>
    </row>
    <row r="1916">
      <c r="C1916" s="206" t="n"/>
      <c r="D1916" s="206" t="n"/>
      <c r="E1916" s="206" t="n"/>
    </row>
    <row r="1917">
      <c r="C1917" s="206" t="n"/>
      <c r="D1917" s="206" t="n"/>
      <c r="E1917" s="206" t="n"/>
    </row>
    <row r="1918">
      <c r="C1918" s="206" t="n"/>
      <c r="D1918" s="206" t="n"/>
      <c r="E1918" s="206" t="n"/>
    </row>
    <row r="1919">
      <c r="C1919" s="206" t="n"/>
      <c r="D1919" s="206" t="n"/>
      <c r="E1919" s="206" t="n"/>
    </row>
    <row r="1920">
      <c r="C1920" s="207" t="n"/>
      <c r="D1920" s="206" t="n"/>
      <c r="E1920" s="206" t="n"/>
    </row>
    <row r="1921">
      <c r="C1921" s="207" t="n"/>
      <c r="D1921" s="206" t="n"/>
      <c r="E1921" s="206" t="n"/>
    </row>
    <row r="1922">
      <c r="C1922" s="206" t="n"/>
      <c r="D1922" s="206" t="n"/>
      <c r="E1922" s="206" t="n"/>
    </row>
    <row r="1923">
      <c r="C1923" s="206" t="n"/>
      <c r="D1923" s="206" t="n"/>
      <c r="E1923" s="206" t="n"/>
    </row>
    <row r="1924">
      <c r="C1924" s="206" t="n"/>
      <c r="D1924" s="206" t="n"/>
      <c r="E1924" s="206" t="n"/>
    </row>
    <row r="1925">
      <c r="C1925" s="207" t="n"/>
      <c r="D1925" s="206" t="n"/>
      <c r="E1925" s="206" t="n"/>
    </row>
    <row r="1926">
      <c r="C1926" s="207" t="n"/>
      <c r="D1926" s="206" t="n"/>
      <c r="E1926" s="206" t="n"/>
    </row>
    <row r="1927">
      <c r="C1927" s="206" t="n"/>
      <c r="D1927" s="206" t="n"/>
      <c r="E1927" s="206" t="n"/>
    </row>
    <row r="1928">
      <c r="C1928" s="206" t="n"/>
      <c r="D1928" s="206" t="n"/>
      <c r="E1928" s="206" t="n"/>
    </row>
    <row r="1929">
      <c r="C1929" s="207" t="n"/>
      <c r="D1929" s="206" t="n"/>
      <c r="E1929" s="206" t="n"/>
    </row>
    <row r="1930">
      <c r="C1930" s="206" t="n"/>
      <c r="D1930" s="206" t="n"/>
      <c r="E1930" s="206" t="n"/>
    </row>
    <row r="1931">
      <c r="C1931" s="207" t="n"/>
      <c r="D1931" s="206" t="n"/>
      <c r="E1931" s="206" t="n"/>
    </row>
    <row r="1932">
      <c r="C1932" s="207" t="n"/>
      <c r="D1932" s="206" t="n"/>
      <c r="E1932" s="206" t="n"/>
    </row>
    <row r="1933">
      <c r="C1933" s="207" t="n"/>
      <c r="D1933" s="206" t="n"/>
      <c r="E1933" s="206" t="n"/>
    </row>
    <row r="1934">
      <c r="C1934" s="206" t="n"/>
      <c r="D1934" s="206" t="n"/>
      <c r="E1934" s="206" t="n"/>
    </row>
    <row r="1935">
      <c r="C1935" s="206" t="n"/>
      <c r="D1935" s="206" t="n"/>
      <c r="E1935" s="206" t="n"/>
    </row>
    <row r="1936">
      <c r="C1936" s="206" t="n"/>
      <c r="D1936" s="206" t="n"/>
      <c r="E1936" s="206" t="n"/>
    </row>
    <row r="1937">
      <c r="C1937" s="206" t="n"/>
      <c r="D1937" s="206" t="n"/>
      <c r="E1937" s="206" t="n"/>
    </row>
    <row r="1938">
      <c r="C1938" s="207" t="n"/>
      <c r="D1938" s="206" t="n"/>
      <c r="E1938" s="206" t="n"/>
    </row>
    <row r="1939">
      <c r="C1939" s="207" t="n"/>
      <c r="D1939" s="206" t="n"/>
      <c r="E1939" s="206" t="n"/>
    </row>
    <row r="1940">
      <c r="C1940" s="207" t="n"/>
      <c r="D1940" s="206" t="n"/>
      <c r="E1940" s="206" t="n"/>
    </row>
    <row r="1941">
      <c r="C1941" s="206" t="n"/>
      <c r="D1941" s="206" t="n"/>
      <c r="E1941" s="206" t="n"/>
    </row>
    <row r="1942">
      <c r="C1942" s="207" t="n"/>
      <c r="D1942" s="206" t="n"/>
      <c r="E1942" s="206" t="n"/>
    </row>
    <row r="1943">
      <c r="C1943" s="207" t="n"/>
      <c r="D1943" s="206" t="n"/>
      <c r="E1943" s="206" t="n"/>
    </row>
    <row r="1944">
      <c r="C1944" s="206" t="n"/>
      <c r="D1944" s="206" t="n"/>
      <c r="E1944" s="206" t="n"/>
    </row>
    <row r="1945">
      <c r="C1945" s="206" t="n"/>
      <c r="D1945" s="206" t="n"/>
      <c r="E1945" s="206" t="n"/>
    </row>
    <row r="1946">
      <c r="C1946" s="206" t="n"/>
      <c r="D1946" s="206" t="n"/>
      <c r="E1946" s="206" t="n"/>
    </row>
    <row r="1947">
      <c r="C1947" s="206" t="n"/>
      <c r="D1947" s="206" t="n"/>
      <c r="E1947" s="206" t="n"/>
    </row>
    <row r="1948">
      <c r="C1948" s="207" t="n"/>
      <c r="D1948" s="206" t="n"/>
      <c r="E1948" s="206" t="n"/>
    </row>
    <row r="1949">
      <c r="C1949" s="207" t="n"/>
      <c r="D1949" s="206" t="n"/>
      <c r="E1949" s="206" t="n"/>
    </row>
    <row r="1950">
      <c r="C1950" s="206" t="n"/>
      <c r="D1950" s="206" t="n"/>
      <c r="E1950" s="206" t="n"/>
    </row>
    <row r="1951">
      <c r="C1951" s="206" t="n"/>
      <c r="D1951" s="206" t="n"/>
      <c r="E1951" s="206" t="n"/>
    </row>
    <row r="1952">
      <c r="C1952" s="206" t="n"/>
      <c r="D1952" s="206" t="n"/>
      <c r="E1952" s="206" t="n"/>
    </row>
    <row r="1953">
      <c r="C1953" s="206" t="n"/>
      <c r="D1953" s="206" t="n"/>
      <c r="E1953" s="206" t="n"/>
    </row>
    <row r="1954">
      <c r="C1954" s="206" t="n"/>
      <c r="D1954" s="206" t="n"/>
      <c r="E1954" s="206" t="n"/>
    </row>
    <row r="1955">
      <c r="C1955" s="206" t="n"/>
      <c r="D1955" s="206" t="n"/>
      <c r="E1955" s="206" t="n"/>
    </row>
    <row r="1956">
      <c r="C1956" s="206" t="n"/>
      <c r="D1956" s="206" t="n"/>
      <c r="E1956" s="206" t="n"/>
    </row>
    <row r="1957">
      <c r="C1957" s="206" t="n"/>
      <c r="D1957" s="206" t="n"/>
      <c r="E1957" s="206" t="n"/>
    </row>
    <row r="1958">
      <c r="C1958" s="206" t="n"/>
      <c r="D1958" s="206" t="n"/>
      <c r="E1958" s="206" t="n"/>
    </row>
    <row r="1959">
      <c r="C1959" s="207" t="n"/>
      <c r="D1959" s="206" t="n"/>
      <c r="E1959" s="206" t="n"/>
    </row>
    <row r="1960">
      <c r="C1960" s="206" t="n"/>
      <c r="D1960" s="206" t="n"/>
      <c r="E1960" s="206" t="n"/>
    </row>
    <row r="1961">
      <c r="C1961" s="206" t="n"/>
      <c r="D1961" s="206" t="n"/>
      <c r="E1961" s="206" t="n"/>
    </row>
    <row r="1962">
      <c r="C1962" s="206" t="n"/>
      <c r="D1962" s="206" t="n"/>
      <c r="E1962" s="206" t="n"/>
    </row>
    <row r="1963">
      <c r="C1963" s="206" t="n"/>
      <c r="D1963" s="206" t="n"/>
      <c r="E1963" s="206" t="n"/>
    </row>
    <row r="1964">
      <c r="C1964" s="207" t="n"/>
      <c r="D1964" s="206" t="n"/>
      <c r="E1964" s="206" t="n"/>
    </row>
    <row r="1965">
      <c r="C1965" s="206" t="n"/>
      <c r="D1965" s="206" t="n"/>
      <c r="E1965" s="206" t="n"/>
    </row>
    <row r="1966">
      <c r="C1966" s="206" t="n"/>
      <c r="D1966" s="206" t="n"/>
      <c r="E1966" s="206" t="n"/>
    </row>
    <row r="1967">
      <c r="C1967" s="206" t="n"/>
      <c r="D1967" s="206" t="n"/>
      <c r="E1967" s="206" t="n"/>
    </row>
    <row r="1968">
      <c r="C1968" s="206" t="n"/>
      <c r="D1968" s="206" t="n"/>
      <c r="E1968" s="206" t="n"/>
    </row>
    <row r="1969">
      <c r="C1969" s="206" t="n"/>
      <c r="D1969" s="206" t="n"/>
      <c r="E1969" s="206" t="n"/>
    </row>
    <row r="1970">
      <c r="C1970" s="207" t="n"/>
      <c r="D1970" s="206" t="n"/>
      <c r="E1970" s="206" t="n"/>
    </row>
    <row r="1971">
      <c r="C1971" s="207" t="n"/>
      <c r="D1971" s="206" t="n"/>
      <c r="E1971" s="206" t="n"/>
    </row>
    <row r="1972">
      <c r="C1972" s="206" t="n"/>
      <c r="D1972" s="206" t="n"/>
      <c r="E1972" s="206" t="n"/>
    </row>
    <row r="1973">
      <c r="C1973" s="206" t="n"/>
      <c r="D1973" s="206" t="n"/>
      <c r="E1973" s="206" t="n"/>
    </row>
    <row r="1974">
      <c r="C1974" s="206" t="n"/>
      <c r="D1974" s="206" t="n"/>
      <c r="E1974" s="206" t="n"/>
    </row>
    <row r="1975">
      <c r="C1975" s="207" t="n"/>
      <c r="D1975" s="206" t="n"/>
      <c r="E1975" s="206" t="n"/>
    </row>
    <row r="1976">
      <c r="C1976" s="207" t="n"/>
      <c r="D1976" s="206" t="n"/>
      <c r="E1976" s="206" t="n"/>
    </row>
    <row r="1977">
      <c r="C1977" s="206" t="n"/>
      <c r="D1977" s="206" t="n"/>
      <c r="E1977" s="206" t="n"/>
    </row>
    <row r="1978">
      <c r="C1978" s="206" t="n"/>
      <c r="D1978" s="206" t="n"/>
      <c r="E1978" s="206" t="n"/>
    </row>
    <row r="1979">
      <c r="C1979" s="206" t="n"/>
      <c r="D1979" s="206" t="n"/>
      <c r="E1979" s="206" t="n"/>
    </row>
    <row r="1980">
      <c r="C1980" s="207" t="n"/>
      <c r="D1980" s="206" t="n"/>
      <c r="E1980" s="206" t="n"/>
    </row>
    <row r="1981">
      <c r="C1981" s="207" t="n"/>
      <c r="D1981" s="206" t="n"/>
      <c r="E1981" s="206" t="n"/>
    </row>
    <row r="1982">
      <c r="C1982" s="206" t="n"/>
      <c r="D1982" s="206" t="n"/>
      <c r="E1982" s="206" t="n"/>
    </row>
    <row r="1983">
      <c r="C1983" s="207" t="n"/>
      <c r="D1983" s="206" t="n"/>
      <c r="E1983" s="206" t="n"/>
    </row>
    <row r="1984">
      <c r="C1984" s="206" t="n"/>
      <c r="D1984" s="206" t="n"/>
      <c r="E1984" s="206" t="n"/>
    </row>
    <row r="1985">
      <c r="C1985" s="206" t="n"/>
      <c r="D1985" s="206" t="n"/>
      <c r="E1985" s="206" t="n"/>
    </row>
    <row r="1986">
      <c r="C1986" s="207" t="n"/>
      <c r="D1986" s="206" t="n"/>
      <c r="E1986" s="206" t="n"/>
    </row>
    <row r="1987">
      <c r="C1987" s="207" t="n"/>
      <c r="D1987" s="206" t="n"/>
      <c r="E1987" s="206" t="n"/>
    </row>
    <row r="1988">
      <c r="C1988" s="207" t="n"/>
      <c r="D1988" s="206" t="n"/>
      <c r="E1988" s="206" t="n"/>
    </row>
    <row r="1989">
      <c r="C1989" s="206" t="n"/>
      <c r="D1989" s="206" t="n"/>
      <c r="E1989" s="206" t="n"/>
    </row>
    <row r="1990">
      <c r="C1990" s="207" t="n"/>
      <c r="D1990" s="206" t="n"/>
      <c r="E1990" s="206" t="n"/>
    </row>
    <row r="1991">
      <c r="C1991" s="206" t="n"/>
      <c r="D1991" s="206" t="n"/>
      <c r="E1991" s="206" t="n"/>
    </row>
    <row r="1992">
      <c r="C1992" s="206" t="n"/>
      <c r="D1992" s="206" t="n"/>
      <c r="E1992" s="206" t="n"/>
    </row>
    <row r="1993">
      <c r="C1993" s="206" t="n"/>
      <c r="D1993" s="206" t="n"/>
      <c r="E1993" s="206" t="n"/>
    </row>
    <row r="1994">
      <c r="C1994" s="206" t="n"/>
      <c r="D1994" s="206" t="n"/>
      <c r="E1994" s="206" t="n"/>
    </row>
    <row r="1995">
      <c r="C1995" s="206" t="n"/>
      <c r="D1995" s="206" t="n"/>
      <c r="E1995" s="206" t="n"/>
    </row>
    <row r="1996">
      <c r="C1996" s="206" t="n"/>
      <c r="D1996" s="206" t="n"/>
      <c r="E1996" s="206" t="n"/>
    </row>
    <row r="1997">
      <c r="C1997" s="207" t="n"/>
      <c r="D1997" s="206" t="n"/>
      <c r="E1997" s="206" t="n"/>
    </row>
    <row r="1998">
      <c r="C1998" s="207" t="n"/>
      <c r="D1998" s="206" t="n"/>
      <c r="E1998" s="206" t="n"/>
    </row>
    <row r="1999">
      <c r="C1999" s="207" t="n"/>
      <c r="D1999" s="206" t="n"/>
      <c r="E1999" s="206" t="n"/>
    </row>
    <row r="2000">
      <c r="C2000" s="206" t="n"/>
      <c r="D2000" s="206" t="n"/>
      <c r="E2000" s="206" t="n"/>
    </row>
    <row r="2001">
      <c r="C2001" s="206" t="n"/>
      <c r="D2001" s="206" t="n"/>
      <c r="E2001" s="206" t="n"/>
    </row>
    <row r="2002">
      <c r="C2002" s="207" t="n"/>
      <c r="D2002" s="206" t="n"/>
      <c r="E2002" s="206" t="n"/>
    </row>
    <row r="2003">
      <c r="C2003" s="207" t="n"/>
      <c r="D2003" s="206" t="n"/>
      <c r="E2003" s="206" t="n"/>
    </row>
    <row r="2004">
      <c r="C2004" s="206" t="n"/>
      <c r="D2004" s="206" t="n"/>
      <c r="E2004" s="206" t="n"/>
    </row>
    <row r="2005">
      <c r="C2005" s="207" t="n"/>
      <c r="D2005" s="206" t="n"/>
      <c r="E2005" s="206" t="n"/>
    </row>
    <row r="2006">
      <c r="C2006" s="207" t="n"/>
      <c r="D2006" s="206" t="n"/>
      <c r="E2006" s="206" t="n"/>
    </row>
    <row r="2007">
      <c r="C2007" s="207" t="n"/>
      <c r="D2007" s="206" t="n"/>
      <c r="E2007" s="206" t="n"/>
    </row>
    <row r="2008">
      <c r="C2008" s="207" t="n"/>
      <c r="D2008" s="206" t="n"/>
      <c r="E2008" s="206" t="n"/>
    </row>
    <row r="2009">
      <c r="C2009" s="206" t="n"/>
      <c r="D2009" s="206" t="n"/>
      <c r="E2009" s="206" t="n"/>
    </row>
    <row r="2010">
      <c r="C2010" s="206" t="n"/>
      <c r="D2010" s="206" t="n"/>
      <c r="E2010" s="206" t="n"/>
    </row>
    <row r="2011">
      <c r="C2011" s="206" t="n"/>
      <c r="D2011" s="206" t="n"/>
      <c r="E2011" s="206" t="n"/>
    </row>
    <row r="2012">
      <c r="C2012" s="206" t="n"/>
      <c r="D2012" s="206" t="n"/>
      <c r="E2012" s="206" t="n"/>
    </row>
    <row r="2013">
      <c r="C2013" s="206" t="n"/>
      <c r="D2013" s="206" t="n"/>
      <c r="E2013" s="206" t="n"/>
    </row>
    <row r="2014">
      <c r="C2014" s="207" t="n"/>
      <c r="D2014" s="206" t="n"/>
      <c r="E2014" s="206" t="n"/>
    </row>
    <row r="2015">
      <c r="C2015" s="207" t="n"/>
      <c r="D2015" s="206" t="n"/>
      <c r="E2015" s="206" t="n"/>
    </row>
    <row r="2016">
      <c r="C2016" s="207" t="n"/>
      <c r="D2016" s="206" t="n"/>
      <c r="E2016" s="206" t="n"/>
    </row>
    <row r="2017">
      <c r="C2017" s="206" t="n"/>
      <c r="D2017" s="206" t="n"/>
      <c r="E2017" s="206" t="n"/>
    </row>
    <row r="2018">
      <c r="C2018" s="206" t="n"/>
      <c r="D2018" s="206" t="n"/>
      <c r="E2018" s="206" t="n"/>
    </row>
    <row r="2019">
      <c r="C2019" s="206" t="n"/>
      <c r="D2019" s="206" t="n"/>
      <c r="E2019" s="206" t="n"/>
    </row>
    <row r="2020">
      <c r="C2020" s="207" t="n"/>
      <c r="D2020" s="206" t="n"/>
      <c r="E2020" s="206" t="n"/>
    </row>
    <row r="2021">
      <c r="C2021" s="207" t="n"/>
      <c r="D2021" s="206" t="n"/>
      <c r="E2021" s="206" t="n"/>
    </row>
    <row r="2022">
      <c r="C2022" s="207" t="n"/>
      <c r="D2022" s="206" t="n"/>
      <c r="E2022" s="206" t="n"/>
    </row>
    <row r="2023">
      <c r="C2023" s="207" t="n"/>
      <c r="D2023" s="206" t="n"/>
      <c r="E2023" s="206" t="n"/>
    </row>
    <row r="2024">
      <c r="C2024" s="207" t="n"/>
      <c r="D2024" s="206" t="n"/>
      <c r="E2024" s="206" t="n"/>
    </row>
    <row r="2025">
      <c r="C2025" s="207" t="n"/>
      <c r="D2025" s="206" t="n"/>
      <c r="E2025" s="206" t="n"/>
    </row>
    <row r="2026">
      <c r="C2026" s="206" t="n"/>
      <c r="D2026" s="206" t="n"/>
      <c r="E2026" s="206" t="n"/>
    </row>
    <row r="2027">
      <c r="C2027" s="207" t="n"/>
      <c r="D2027" s="206" t="n"/>
      <c r="E2027" s="206" t="n"/>
    </row>
    <row r="2028">
      <c r="C2028" s="206" t="n"/>
      <c r="D2028" s="206" t="n"/>
      <c r="E2028" s="206" t="n"/>
    </row>
    <row r="2029">
      <c r="C2029" s="207" t="n"/>
      <c r="D2029" s="206" t="n"/>
      <c r="E2029" s="206" t="n"/>
    </row>
    <row r="2030">
      <c r="C2030" s="206" t="n"/>
      <c r="D2030" s="206" t="n"/>
      <c r="E2030" s="206" t="n"/>
    </row>
    <row r="2031">
      <c r="C2031" s="207" t="n"/>
      <c r="D2031" s="206" t="n"/>
      <c r="E2031" s="206" t="n"/>
    </row>
    <row r="2032">
      <c r="C2032" s="206" t="n"/>
      <c r="D2032" s="206" t="n"/>
      <c r="E2032" s="206" t="n"/>
    </row>
    <row r="2033">
      <c r="C2033" s="206" t="n"/>
      <c r="D2033" s="206" t="n"/>
      <c r="E2033" s="206" t="n"/>
    </row>
    <row r="2034">
      <c r="C2034" s="207" t="n"/>
      <c r="D2034" s="206" t="n"/>
      <c r="E2034" s="206" t="n"/>
    </row>
    <row r="2035">
      <c r="C2035" s="207" t="n"/>
      <c r="D2035" s="206" t="n"/>
      <c r="E2035" s="206" t="n"/>
    </row>
    <row r="2036">
      <c r="C2036" s="206" t="n"/>
      <c r="D2036" s="206" t="n"/>
      <c r="E2036" s="206" t="n"/>
    </row>
    <row r="2037">
      <c r="C2037" s="206" t="n"/>
      <c r="D2037" s="206" t="n"/>
      <c r="E2037" s="206" t="n"/>
    </row>
    <row r="2038">
      <c r="C2038" s="207" t="n"/>
      <c r="D2038" s="206" t="n"/>
      <c r="E2038" s="206" t="n"/>
    </row>
    <row r="2039">
      <c r="C2039" s="207" t="n"/>
      <c r="D2039" s="206" t="n"/>
      <c r="E2039" s="206" t="n"/>
    </row>
    <row r="2040">
      <c r="C2040" s="207" t="n"/>
      <c r="D2040" s="206" t="n"/>
      <c r="E2040" s="206" t="n"/>
    </row>
    <row r="2041">
      <c r="C2041" s="207" t="n"/>
      <c r="D2041" s="206" t="n"/>
      <c r="E2041" s="206" t="n"/>
    </row>
    <row r="2042">
      <c r="C2042" s="207" t="n"/>
      <c r="D2042" s="206" t="n"/>
      <c r="E2042" s="206" t="n"/>
    </row>
    <row r="2043">
      <c r="C2043" s="207" t="n"/>
      <c r="D2043" s="206" t="n"/>
      <c r="E2043" s="206" t="n"/>
    </row>
    <row r="2044">
      <c r="C2044" s="207" t="n"/>
      <c r="D2044" s="206" t="n"/>
      <c r="E2044" s="206" t="n"/>
    </row>
    <row r="2045">
      <c r="C2045" s="206" t="n"/>
      <c r="D2045" s="206" t="n"/>
      <c r="E2045" s="206" t="n"/>
    </row>
    <row r="2046">
      <c r="C2046" s="206" t="n"/>
      <c r="D2046" s="206" t="n"/>
      <c r="E2046" s="206" t="n"/>
    </row>
    <row r="2047">
      <c r="C2047" s="206" t="n"/>
      <c r="D2047" s="206" t="n"/>
      <c r="E2047" s="206" t="n"/>
    </row>
    <row r="2048">
      <c r="C2048" s="207" t="n"/>
      <c r="D2048" s="206" t="n"/>
      <c r="E2048" s="206" t="n"/>
    </row>
    <row r="2049">
      <c r="C2049" s="207" t="n"/>
      <c r="D2049" s="206" t="n"/>
      <c r="E2049" s="206" t="n"/>
    </row>
    <row r="2050">
      <c r="C2050" s="207" t="n"/>
      <c r="D2050" s="206" t="n"/>
      <c r="E2050" s="206" t="n"/>
    </row>
    <row r="2051">
      <c r="C2051" s="206" t="n"/>
      <c r="D2051" s="206" t="n"/>
      <c r="E2051" s="206" t="n"/>
    </row>
    <row r="2052">
      <c r="C2052" s="207" t="n"/>
      <c r="D2052" s="206" t="n"/>
      <c r="E2052" s="206" t="n"/>
    </row>
    <row r="2053">
      <c r="C2053" s="207" t="n"/>
      <c r="D2053" s="206" t="n"/>
      <c r="E2053" s="206" t="n"/>
    </row>
    <row r="2054">
      <c r="C2054" s="207" t="n"/>
      <c r="D2054" s="206" t="n"/>
      <c r="E2054" s="206" t="n"/>
    </row>
    <row r="2055">
      <c r="C2055" s="207" t="n"/>
      <c r="D2055" s="206" t="n"/>
      <c r="E2055" s="206" t="n"/>
    </row>
    <row r="2056">
      <c r="C2056" s="207" t="n"/>
      <c r="D2056" s="206" t="n"/>
      <c r="E2056" s="206" t="n"/>
    </row>
    <row r="2057">
      <c r="C2057" s="207" t="n"/>
      <c r="D2057" s="206" t="n"/>
      <c r="E2057" s="206" t="n"/>
    </row>
    <row r="2058">
      <c r="C2058" s="207" t="n"/>
      <c r="D2058" s="206" t="n"/>
      <c r="E2058" s="206" t="n"/>
    </row>
    <row r="2059">
      <c r="C2059" s="206" t="n"/>
      <c r="D2059" s="206" t="n"/>
      <c r="E2059" s="206" t="n"/>
    </row>
    <row r="2060">
      <c r="C2060" s="207" t="n"/>
      <c r="D2060" s="206" t="n"/>
      <c r="E2060" s="206" t="n"/>
    </row>
    <row r="2061">
      <c r="C2061" s="206" t="n"/>
      <c r="D2061" s="206" t="n"/>
      <c r="E2061" s="206" t="n"/>
    </row>
    <row r="2062">
      <c r="C2062" s="207" t="n"/>
      <c r="D2062" s="206" t="n"/>
      <c r="E2062" s="206" t="n"/>
    </row>
    <row r="2063">
      <c r="C2063" s="206" t="n"/>
      <c r="D2063" s="206" t="n"/>
      <c r="E2063" s="206" t="n"/>
    </row>
    <row r="2064">
      <c r="C2064" s="206" t="n"/>
      <c r="D2064" s="206" t="n"/>
      <c r="E2064" s="206" t="n"/>
    </row>
    <row r="2065">
      <c r="C2065" s="206" t="n"/>
      <c r="D2065" s="206" t="n"/>
      <c r="E2065" s="206" t="n"/>
    </row>
    <row r="2066">
      <c r="C2066" s="206" t="n"/>
      <c r="D2066" s="206" t="n"/>
      <c r="E2066" s="206" t="n"/>
    </row>
    <row r="2067">
      <c r="C2067" s="207" t="n"/>
      <c r="D2067" s="206" t="n"/>
      <c r="E2067" s="206" t="n"/>
    </row>
    <row r="2068">
      <c r="C2068" s="207" t="n"/>
      <c r="D2068" s="206" t="n"/>
      <c r="E2068" s="206" t="n"/>
    </row>
    <row r="2069">
      <c r="C2069" s="206" t="n"/>
      <c r="D2069" s="206" t="n"/>
      <c r="E2069" s="206" t="n"/>
    </row>
    <row r="2070">
      <c r="C2070" s="207" t="n"/>
      <c r="D2070" s="206" t="n"/>
      <c r="E2070" s="206" t="n"/>
    </row>
    <row r="2071">
      <c r="C2071" s="206" t="n"/>
      <c r="D2071" s="206" t="n"/>
      <c r="E2071" s="206" t="n"/>
    </row>
    <row r="2072">
      <c r="C2072" s="207" t="n"/>
      <c r="D2072" s="206" t="n"/>
      <c r="E2072" s="206" t="n"/>
    </row>
    <row r="2073">
      <c r="C2073" s="207" t="n"/>
      <c r="D2073" s="206" t="n"/>
      <c r="E2073" s="206" t="n"/>
    </row>
    <row r="2074">
      <c r="C2074" s="207" t="n"/>
      <c r="D2074" s="206" t="n"/>
      <c r="E2074" s="206" t="n"/>
    </row>
    <row r="2075">
      <c r="C2075" s="206" t="n"/>
      <c r="D2075" s="206" t="n"/>
      <c r="E2075" s="206" t="n"/>
    </row>
    <row r="2076">
      <c r="C2076" s="206" t="n"/>
      <c r="D2076" s="206" t="n"/>
      <c r="E2076" s="206" t="n"/>
    </row>
    <row r="2077">
      <c r="C2077" s="207" t="n"/>
      <c r="D2077" s="206" t="n"/>
      <c r="E2077" s="206" t="n"/>
    </row>
    <row r="2078">
      <c r="C2078" s="206" t="n"/>
      <c r="D2078" s="206" t="n"/>
      <c r="E2078" s="206" t="n"/>
    </row>
    <row r="2079">
      <c r="C2079" s="207" t="n"/>
      <c r="D2079" s="206" t="n"/>
      <c r="E2079" s="206" t="n"/>
    </row>
    <row r="2080">
      <c r="C2080" s="207" t="n"/>
      <c r="D2080" s="206" t="n"/>
      <c r="E2080" s="206" t="n"/>
    </row>
    <row r="2081">
      <c r="C2081" s="206" t="n"/>
      <c r="D2081" s="206" t="n"/>
      <c r="E2081" s="206" t="n"/>
    </row>
    <row r="2082">
      <c r="C2082" s="207" t="n"/>
      <c r="D2082" s="206" t="n"/>
      <c r="E2082" s="206" t="n"/>
    </row>
    <row r="2083">
      <c r="C2083" s="206" t="n"/>
      <c r="D2083" s="206" t="n"/>
      <c r="E2083" s="206" t="n"/>
    </row>
    <row r="2084">
      <c r="C2084" s="206" t="n"/>
      <c r="D2084" s="206" t="n"/>
      <c r="E2084" s="206" t="n"/>
    </row>
    <row r="2085">
      <c r="C2085" s="206" t="n"/>
      <c r="D2085" s="206" t="n"/>
      <c r="E2085" s="206" t="n"/>
    </row>
    <row r="2086">
      <c r="C2086" s="206" t="n"/>
      <c r="D2086" s="206" t="n"/>
      <c r="E2086" s="206" t="n"/>
    </row>
    <row r="2087">
      <c r="C2087" s="206" t="n"/>
      <c r="D2087" s="206" t="n"/>
      <c r="E2087" s="206" t="n"/>
    </row>
    <row r="2088">
      <c r="C2088" s="206" t="n"/>
      <c r="D2088" s="206" t="n"/>
      <c r="E2088" s="206" t="n"/>
    </row>
    <row r="2089">
      <c r="C2089" s="207" t="n"/>
      <c r="D2089" s="206" t="n"/>
      <c r="E2089" s="206" t="n"/>
    </row>
    <row r="2090">
      <c r="C2090" s="207" t="n"/>
      <c r="D2090" s="206" t="n"/>
      <c r="E2090" s="206" t="n"/>
    </row>
    <row r="2091">
      <c r="C2091" s="207" t="n"/>
      <c r="D2091" s="206" t="n"/>
      <c r="E2091" s="206" t="n"/>
    </row>
    <row r="2092">
      <c r="C2092" s="207" t="n"/>
      <c r="D2092" s="206" t="n"/>
      <c r="E2092" s="206" t="n"/>
    </row>
    <row r="2093">
      <c r="C2093" s="206" t="n"/>
      <c r="D2093" s="206" t="n"/>
      <c r="E2093" s="206" t="n"/>
    </row>
    <row r="2094">
      <c r="C2094" s="207" t="n"/>
      <c r="D2094" s="206" t="n"/>
      <c r="E2094" s="206" t="n"/>
    </row>
    <row r="2095">
      <c r="C2095" s="207" t="n"/>
      <c r="D2095" s="206" t="n"/>
      <c r="E2095" s="206" t="n"/>
    </row>
    <row r="2096">
      <c r="C2096" s="206" t="n"/>
      <c r="D2096" s="206" t="n"/>
      <c r="E2096" s="206" t="n"/>
    </row>
    <row r="2097">
      <c r="C2097" s="207" t="n"/>
      <c r="D2097" s="206" t="n"/>
      <c r="E2097" s="206" t="n"/>
    </row>
    <row r="2098">
      <c r="C2098" s="207" t="n"/>
      <c r="D2098" s="206" t="n"/>
      <c r="E2098" s="206" t="n"/>
    </row>
    <row r="2099">
      <c r="C2099" s="206" t="n"/>
      <c r="D2099" s="206" t="n"/>
      <c r="E2099" s="206" t="n"/>
    </row>
    <row r="2100">
      <c r="C2100" s="206" t="n"/>
      <c r="D2100" s="206" t="n"/>
      <c r="E2100" s="206" t="n"/>
    </row>
    <row r="2101">
      <c r="C2101" s="206" t="n"/>
      <c r="D2101" s="206" t="n"/>
      <c r="E2101" s="206" t="n"/>
    </row>
    <row r="2102">
      <c r="C2102" s="206" t="n"/>
      <c r="D2102" s="206" t="n"/>
      <c r="E2102" s="206" t="n"/>
    </row>
    <row r="2103">
      <c r="C2103" s="207" t="n"/>
      <c r="D2103" s="206" t="n"/>
      <c r="E2103" s="206" t="n"/>
    </row>
    <row r="2104">
      <c r="C2104" s="206" t="n"/>
      <c r="D2104" s="206" t="n"/>
      <c r="E2104" s="206" t="n"/>
    </row>
    <row r="2105">
      <c r="C2105" s="207" t="n"/>
      <c r="D2105" s="206" t="n"/>
      <c r="E2105" s="206" t="n"/>
    </row>
    <row r="2106">
      <c r="C2106" s="207" t="n"/>
      <c r="D2106" s="206" t="n"/>
      <c r="E2106" s="206" t="n"/>
    </row>
    <row r="2107">
      <c r="C2107" s="206" t="n"/>
      <c r="D2107" s="206" t="n"/>
      <c r="E2107" s="206" t="n"/>
    </row>
    <row r="2108">
      <c r="C2108" s="207" t="n"/>
      <c r="D2108" s="206" t="n"/>
      <c r="E2108" s="206" t="n"/>
    </row>
    <row r="2109">
      <c r="C2109" s="206" t="n"/>
      <c r="D2109" s="206" t="n"/>
      <c r="E2109" s="206" t="n"/>
    </row>
    <row r="2110">
      <c r="C2110" s="206" t="n"/>
      <c r="D2110" s="206" t="n"/>
      <c r="E2110" s="206" t="n"/>
    </row>
    <row r="2111">
      <c r="C2111" s="206" t="n"/>
      <c r="D2111" s="206" t="n"/>
      <c r="E2111" s="206" t="n"/>
    </row>
    <row r="2112">
      <c r="C2112" s="207" t="n"/>
      <c r="D2112" s="206" t="n"/>
      <c r="E2112" s="206" t="n"/>
    </row>
    <row r="2113">
      <c r="C2113" s="206" t="n"/>
      <c r="D2113" s="206" t="n"/>
      <c r="E2113" s="206" t="n"/>
    </row>
    <row r="2114">
      <c r="C2114" s="207" t="n"/>
      <c r="D2114" s="206" t="n"/>
      <c r="E2114" s="206" t="n"/>
    </row>
    <row r="2115">
      <c r="C2115" s="206" t="n"/>
      <c r="D2115" s="206" t="n"/>
      <c r="E2115" s="206" t="n"/>
    </row>
    <row r="2116">
      <c r="C2116" s="207" t="n"/>
      <c r="D2116" s="206" t="n"/>
      <c r="E2116" s="206" t="n"/>
    </row>
    <row r="2117">
      <c r="C2117" s="206" t="n"/>
      <c r="D2117" s="206" t="n"/>
      <c r="E2117" s="206" t="n"/>
    </row>
    <row r="2118">
      <c r="C2118" s="206" t="n"/>
      <c r="D2118" s="206" t="n"/>
      <c r="E2118" s="206" t="n"/>
    </row>
    <row r="2119">
      <c r="C2119" s="206" t="n"/>
      <c r="D2119" s="206" t="n"/>
      <c r="E2119" s="206" t="n"/>
    </row>
    <row r="2120">
      <c r="C2120" s="207" t="n"/>
      <c r="D2120" s="206" t="n"/>
      <c r="E2120" s="206" t="n"/>
    </row>
    <row r="2121">
      <c r="C2121" s="206" t="n"/>
      <c r="D2121" s="206" t="n"/>
      <c r="E2121" s="206" t="n"/>
    </row>
    <row r="2122">
      <c r="C2122" s="206" t="n"/>
      <c r="D2122" s="206" t="n"/>
      <c r="E2122" s="206" t="n"/>
    </row>
    <row r="2123">
      <c r="C2123" s="207" t="n"/>
      <c r="D2123" s="206" t="n"/>
      <c r="E2123" s="206" t="n"/>
    </row>
    <row r="2124">
      <c r="C2124" s="207" t="n"/>
      <c r="D2124" s="206" t="n"/>
      <c r="E2124" s="206" t="n"/>
    </row>
    <row r="2125">
      <c r="C2125" s="206" t="n"/>
      <c r="D2125" s="206" t="n"/>
      <c r="E2125" s="206" t="n"/>
    </row>
    <row r="2126">
      <c r="C2126" s="207" t="n"/>
      <c r="D2126" s="206" t="n"/>
      <c r="E2126" s="206" t="n"/>
    </row>
    <row r="2127">
      <c r="C2127" s="206" t="n"/>
      <c r="D2127" s="206" t="n"/>
      <c r="E2127" s="206" t="n"/>
    </row>
    <row r="2128">
      <c r="C2128" s="206" t="n"/>
      <c r="D2128" s="206" t="n"/>
      <c r="E2128" s="206" t="n"/>
    </row>
    <row r="2129">
      <c r="C2129" s="207" t="n"/>
      <c r="D2129" s="206" t="n"/>
      <c r="E2129" s="206" t="n"/>
    </row>
    <row r="2130">
      <c r="C2130" s="206" t="n"/>
      <c r="D2130" s="206" t="n"/>
      <c r="E2130" s="206" t="n"/>
    </row>
    <row r="2131">
      <c r="C2131" s="207" t="n"/>
      <c r="D2131" s="206" t="n"/>
      <c r="E2131" s="206" t="n"/>
    </row>
    <row r="2132">
      <c r="C2132" s="206" t="n"/>
      <c r="D2132" s="206" t="n"/>
      <c r="E2132" s="206" t="n"/>
    </row>
    <row r="2133">
      <c r="C2133" s="206" t="n"/>
      <c r="D2133" s="206" t="n"/>
      <c r="E2133" s="206" t="n"/>
    </row>
    <row r="2134">
      <c r="C2134" s="206" t="n"/>
      <c r="D2134" s="206" t="n"/>
      <c r="E2134" s="206" t="n"/>
    </row>
    <row r="2135">
      <c r="C2135" s="207" t="n"/>
      <c r="D2135" s="206" t="n"/>
      <c r="E2135" s="206" t="n"/>
    </row>
    <row r="2136">
      <c r="C2136" s="207" t="n"/>
      <c r="D2136" s="206" t="n"/>
      <c r="E2136" s="206" t="n"/>
    </row>
    <row r="2137">
      <c r="C2137" s="207" t="n"/>
      <c r="D2137" s="206" t="n"/>
      <c r="E2137" s="206" t="n"/>
    </row>
    <row r="2138">
      <c r="C2138" s="206" t="n"/>
      <c r="D2138" s="206" t="n"/>
      <c r="E2138" s="206" t="n"/>
    </row>
    <row r="2139">
      <c r="C2139" s="207" t="n"/>
      <c r="D2139" s="206" t="n"/>
      <c r="E2139" s="206" t="n"/>
    </row>
    <row r="2140">
      <c r="C2140" s="207" t="n"/>
      <c r="D2140" s="206" t="n"/>
      <c r="E2140" s="206" t="n"/>
    </row>
    <row r="2141">
      <c r="C2141" s="207" t="n"/>
      <c r="D2141" s="206" t="n"/>
      <c r="E2141" s="206" t="n"/>
    </row>
    <row r="2142">
      <c r="C2142" s="206" t="n"/>
      <c r="D2142" s="206" t="n"/>
      <c r="E2142" s="206" t="n"/>
    </row>
    <row r="2143">
      <c r="C2143" s="206" t="n"/>
      <c r="D2143" s="206" t="n"/>
      <c r="E2143" s="206" t="n"/>
    </row>
    <row r="2144">
      <c r="C2144" s="207" t="n"/>
      <c r="D2144" s="206" t="n"/>
      <c r="E2144" s="206" t="n"/>
    </row>
    <row r="2145">
      <c r="C2145" s="207" t="n"/>
      <c r="D2145" s="206" t="n"/>
      <c r="E2145" s="206" t="n"/>
    </row>
    <row r="2146">
      <c r="C2146" s="207" t="n"/>
      <c r="D2146" s="206" t="n"/>
      <c r="E2146" s="206" t="n"/>
    </row>
    <row r="2147">
      <c r="C2147" s="206" t="n"/>
      <c r="D2147" s="206" t="n"/>
      <c r="E2147" s="206" t="n"/>
    </row>
    <row r="2148">
      <c r="C2148" s="206" t="n"/>
      <c r="D2148" s="206" t="n"/>
      <c r="E2148" s="206" t="n"/>
    </row>
    <row r="2149">
      <c r="C2149" s="206" t="n"/>
      <c r="D2149" s="206" t="n"/>
      <c r="E2149" s="206" t="n"/>
    </row>
    <row r="2150">
      <c r="C2150" s="206" t="n"/>
      <c r="D2150" s="206" t="n"/>
      <c r="E2150" s="206" t="n"/>
    </row>
    <row r="2151">
      <c r="C2151" s="206" t="n"/>
      <c r="D2151" s="206" t="n"/>
      <c r="E2151" s="206" t="n"/>
    </row>
    <row r="2152">
      <c r="C2152" s="206" t="n"/>
      <c r="D2152" s="206" t="n"/>
      <c r="E2152" s="206" t="n"/>
    </row>
    <row r="2153">
      <c r="C2153" s="206" t="n"/>
      <c r="D2153" s="206" t="n"/>
      <c r="E2153" s="206" t="n"/>
    </row>
    <row r="2154">
      <c r="C2154" s="206" t="n"/>
      <c r="D2154" s="206" t="n"/>
      <c r="E2154" s="206" t="n"/>
    </row>
    <row r="2155">
      <c r="C2155" s="207" t="n"/>
      <c r="D2155" s="206" t="n"/>
      <c r="E2155" s="206" t="n"/>
    </row>
    <row r="2156">
      <c r="C2156" s="206" t="n"/>
      <c r="D2156" s="206" t="n"/>
      <c r="E2156" s="206" t="n"/>
    </row>
    <row r="2157">
      <c r="C2157" s="206" t="n"/>
      <c r="D2157" s="206" t="n"/>
      <c r="E2157" s="206" t="n"/>
    </row>
    <row r="2158">
      <c r="C2158" s="206" t="n"/>
      <c r="D2158" s="206" t="n"/>
      <c r="E2158" s="206" t="n"/>
    </row>
    <row r="2159">
      <c r="C2159" s="206" t="n"/>
      <c r="D2159" s="206" t="n"/>
      <c r="E2159" s="206" t="n"/>
    </row>
    <row r="2160">
      <c r="C2160" s="206" t="n"/>
      <c r="D2160" s="206" t="n"/>
      <c r="E2160" s="206" t="n"/>
    </row>
    <row r="2161">
      <c r="C2161" s="206" t="n"/>
      <c r="D2161" s="206" t="n"/>
      <c r="E2161" s="206" t="n"/>
    </row>
    <row r="2162">
      <c r="C2162" s="207" t="n"/>
      <c r="D2162" s="206" t="n"/>
      <c r="E2162" s="206" t="n"/>
    </row>
    <row r="2163">
      <c r="C2163" s="207" t="n"/>
      <c r="D2163" s="206" t="n"/>
      <c r="E2163" s="206" t="n"/>
    </row>
    <row r="2164">
      <c r="C2164" s="206" t="n"/>
      <c r="D2164" s="206" t="n"/>
      <c r="E2164" s="206" t="n"/>
    </row>
    <row r="2165">
      <c r="C2165" s="206" t="n"/>
      <c r="D2165" s="206" t="n"/>
      <c r="E2165" s="206" t="n"/>
    </row>
    <row r="2166">
      <c r="C2166" s="206" t="n"/>
      <c r="D2166" s="206" t="n"/>
      <c r="E2166" s="206" t="n"/>
    </row>
    <row r="2167">
      <c r="C2167" s="207" t="n"/>
      <c r="D2167" s="206" t="n"/>
      <c r="E2167" s="206" t="n"/>
    </row>
    <row r="2168">
      <c r="C2168" s="207" t="n"/>
      <c r="D2168" s="206" t="n"/>
      <c r="E2168" s="206" t="n"/>
    </row>
    <row r="2169">
      <c r="C2169" s="206" t="n"/>
      <c r="D2169" s="206" t="n"/>
      <c r="E2169" s="206" t="n"/>
    </row>
    <row r="2170">
      <c r="C2170" s="206" t="n"/>
      <c r="D2170" s="206" t="n"/>
      <c r="E2170" s="206" t="n"/>
    </row>
    <row r="2171">
      <c r="C2171" s="207" t="n"/>
      <c r="D2171" s="206" t="n"/>
      <c r="E2171" s="206" t="n"/>
    </row>
    <row r="2172">
      <c r="C2172" s="206" t="n"/>
      <c r="D2172" s="206" t="n"/>
      <c r="E2172" s="206" t="n"/>
    </row>
    <row r="2173">
      <c r="C2173" s="207" t="n"/>
      <c r="D2173" s="206" t="n"/>
      <c r="E2173" s="206" t="n"/>
    </row>
    <row r="2174">
      <c r="C2174" s="206" t="n"/>
      <c r="D2174" s="206" t="n"/>
      <c r="E2174" s="206" t="n"/>
    </row>
    <row r="2175">
      <c r="C2175" s="206" t="n"/>
      <c r="D2175" s="206" t="n"/>
      <c r="E2175" s="206" t="n"/>
    </row>
    <row r="2176">
      <c r="C2176" s="206" t="n"/>
      <c r="D2176" s="206" t="n"/>
      <c r="E2176" s="206" t="n"/>
    </row>
    <row r="2177">
      <c r="C2177" s="206" t="n"/>
      <c r="D2177" s="206" t="n"/>
      <c r="E2177" s="206" t="n"/>
    </row>
    <row r="2178">
      <c r="C2178" s="206" t="n"/>
      <c r="D2178" s="206" t="n"/>
      <c r="E2178" s="206" t="n"/>
    </row>
    <row r="2179">
      <c r="C2179" s="206" t="n"/>
      <c r="D2179" s="206" t="n"/>
      <c r="E2179" s="206" t="n"/>
    </row>
    <row r="2180">
      <c r="C2180" s="207" t="n"/>
      <c r="D2180" s="206" t="n"/>
      <c r="E2180" s="206" t="n"/>
    </row>
    <row r="2181">
      <c r="C2181" s="206" t="n"/>
      <c r="D2181" s="206" t="n"/>
      <c r="E2181" s="206" t="n"/>
    </row>
    <row r="2182">
      <c r="C2182" s="207" t="n"/>
      <c r="D2182" s="206" t="n"/>
      <c r="E2182" s="206" t="n"/>
    </row>
    <row r="2183">
      <c r="C2183" s="206" t="n"/>
      <c r="D2183" s="206" t="n"/>
      <c r="E2183" s="206" t="n"/>
    </row>
    <row r="2184">
      <c r="C2184" s="206" t="n"/>
      <c r="D2184" s="206" t="n"/>
      <c r="E2184" s="206" t="n"/>
    </row>
    <row r="2185">
      <c r="C2185" s="206" t="n"/>
      <c r="D2185" s="206" t="n"/>
      <c r="E2185" s="206" t="n"/>
    </row>
    <row r="2186">
      <c r="C2186" s="206" t="n"/>
      <c r="D2186" s="206" t="n"/>
      <c r="E2186" s="206" t="n"/>
    </row>
    <row r="2187">
      <c r="C2187" s="206" t="n"/>
      <c r="D2187" s="206" t="n"/>
      <c r="E2187" s="206" t="n"/>
    </row>
    <row r="2188">
      <c r="C2188" s="206" t="n"/>
      <c r="D2188" s="206" t="n"/>
      <c r="E2188" s="206" t="n"/>
    </row>
    <row r="2189">
      <c r="C2189" s="206" t="n"/>
      <c r="D2189" s="206" t="n"/>
      <c r="E2189" s="206" t="n"/>
    </row>
    <row r="2190">
      <c r="C2190" s="207" t="n"/>
      <c r="D2190" s="206" t="n"/>
      <c r="E2190" s="206" t="n"/>
    </row>
    <row r="2191">
      <c r="C2191" s="206" t="n"/>
      <c r="D2191" s="206" t="n"/>
      <c r="E2191" s="206" t="n"/>
    </row>
    <row r="2192">
      <c r="C2192" s="207" t="n"/>
      <c r="D2192" s="206" t="n"/>
      <c r="E2192" s="206" t="n"/>
    </row>
    <row r="2193">
      <c r="C2193" s="206" t="n"/>
      <c r="D2193" s="206" t="n"/>
      <c r="E2193" s="206" t="n"/>
    </row>
    <row r="2194">
      <c r="C2194" s="207" t="n"/>
      <c r="D2194" s="206" t="n"/>
      <c r="E2194" s="206" t="n"/>
    </row>
    <row r="2195">
      <c r="C2195" s="206" t="n"/>
      <c r="D2195" s="206" t="n"/>
      <c r="E2195" s="206" t="n"/>
    </row>
    <row r="2196">
      <c r="C2196" s="206" t="n"/>
      <c r="D2196" s="206" t="n"/>
      <c r="E2196" s="206" t="n"/>
    </row>
    <row r="2197">
      <c r="C2197" s="206" t="n"/>
      <c r="D2197" s="206" t="n"/>
      <c r="E2197" s="206" t="n"/>
    </row>
    <row r="2198">
      <c r="C2198" s="206" t="n"/>
      <c r="D2198" s="206" t="n"/>
      <c r="E2198" s="206" t="n"/>
    </row>
    <row r="2199">
      <c r="C2199" s="207" t="n"/>
      <c r="D2199" s="206" t="n"/>
      <c r="E2199" s="206" t="n"/>
    </row>
    <row r="2200">
      <c r="C2200" s="207" t="n"/>
      <c r="D2200" s="206" t="n"/>
      <c r="E2200" s="206" t="n"/>
    </row>
    <row r="2201">
      <c r="C2201" s="206" t="n"/>
      <c r="D2201" s="206" t="n"/>
      <c r="E2201" s="206" t="n"/>
    </row>
    <row r="2202">
      <c r="C2202" s="206" t="n"/>
      <c r="D2202" s="206" t="n"/>
      <c r="E2202" s="206" t="n"/>
    </row>
    <row r="2203">
      <c r="C2203" s="207" t="n"/>
      <c r="D2203" s="206" t="n"/>
      <c r="E2203" s="206" t="n"/>
    </row>
    <row r="2204">
      <c r="C2204" s="206" t="n"/>
      <c r="D2204" s="206" t="n"/>
      <c r="E2204" s="206" t="n"/>
    </row>
    <row r="2205">
      <c r="C2205" s="206" t="n"/>
      <c r="D2205" s="206" t="n"/>
      <c r="E2205" s="206" t="n"/>
    </row>
    <row r="2206">
      <c r="C2206" s="206" t="n"/>
      <c r="D2206" s="206" t="n"/>
      <c r="E2206" s="206" t="n"/>
    </row>
    <row r="2207">
      <c r="C2207" s="206" t="n"/>
      <c r="D2207" s="206" t="n"/>
      <c r="E2207" s="206" t="n"/>
    </row>
    <row r="2208">
      <c r="C2208" s="207" t="n"/>
      <c r="D2208" s="206" t="n"/>
      <c r="E2208" s="206" t="n"/>
    </row>
    <row r="2209">
      <c r="C2209" s="207" t="n"/>
      <c r="D2209" s="206" t="n"/>
      <c r="E2209" s="206" t="n"/>
    </row>
    <row r="2210">
      <c r="C2210" s="206" t="n"/>
      <c r="D2210" s="206" t="n"/>
      <c r="E2210" s="206" t="n"/>
    </row>
    <row r="2211">
      <c r="C2211" s="206" t="n"/>
      <c r="D2211" s="206" t="n"/>
      <c r="E2211" s="206" t="n"/>
    </row>
    <row r="2212">
      <c r="C2212" s="206" t="n"/>
      <c r="D2212" s="206" t="n"/>
      <c r="E2212" s="206" t="n"/>
    </row>
    <row r="2213">
      <c r="C2213" s="206" t="n"/>
      <c r="D2213" s="206" t="n"/>
      <c r="E2213" s="206" t="n"/>
    </row>
    <row r="2214">
      <c r="C2214" s="207" t="n"/>
      <c r="D2214" s="206" t="n"/>
      <c r="E2214" s="206" t="n"/>
    </row>
    <row r="2215">
      <c r="C2215" s="206" t="n"/>
      <c r="D2215" s="206" t="n"/>
      <c r="E2215" s="206" t="n"/>
    </row>
    <row r="2216">
      <c r="C2216" s="207" t="n"/>
      <c r="D2216" s="206" t="n"/>
      <c r="E2216" s="206" t="n"/>
    </row>
    <row r="2217">
      <c r="C2217" s="207" t="n"/>
      <c r="D2217" s="206" t="n"/>
      <c r="E2217" s="206" t="n"/>
    </row>
    <row r="2218">
      <c r="C2218" s="206" t="n"/>
      <c r="D2218" s="206" t="n"/>
      <c r="E2218" s="206" t="n"/>
    </row>
    <row r="2219">
      <c r="C2219" s="207" t="n"/>
      <c r="D2219" s="206" t="n"/>
      <c r="E2219" s="206" t="n"/>
    </row>
    <row r="2220">
      <c r="C2220" s="207" t="n"/>
      <c r="D2220" s="206" t="n"/>
      <c r="E2220" s="206" t="n"/>
    </row>
    <row r="2221">
      <c r="C2221" s="206" t="n"/>
      <c r="D2221" s="206" t="n"/>
      <c r="E2221" s="206" t="n"/>
    </row>
    <row r="2222">
      <c r="C2222" s="207" t="n"/>
      <c r="D2222" s="206" t="n"/>
      <c r="E2222" s="206" t="n"/>
    </row>
    <row r="2223">
      <c r="C2223" s="206" t="n"/>
      <c r="D2223" s="206" t="n"/>
      <c r="E2223" s="206" t="n"/>
    </row>
    <row r="2224">
      <c r="C2224" s="206" t="n"/>
      <c r="D2224" s="206" t="n"/>
      <c r="E2224" s="206" t="n"/>
    </row>
    <row r="2225">
      <c r="C2225" s="206" t="n"/>
      <c r="D2225" s="206" t="n"/>
      <c r="E2225" s="206" t="n"/>
    </row>
    <row r="2226">
      <c r="C2226" s="206" t="n"/>
      <c r="D2226" s="206" t="n"/>
      <c r="E2226" s="206" t="n"/>
    </row>
    <row r="2227">
      <c r="C2227" s="206" t="n"/>
      <c r="D2227" s="206" t="n"/>
      <c r="E2227" s="206" t="n"/>
    </row>
    <row r="2228">
      <c r="C2228" s="207" t="n"/>
      <c r="D2228" s="206" t="n"/>
      <c r="E2228" s="206" t="n"/>
    </row>
    <row r="2229">
      <c r="C2229" s="206" t="n"/>
      <c r="D2229" s="206" t="n"/>
      <c r="E2229" s="206" t="n"/>
    </row>
    <row r="2230">
      <c r="C2230" s="207" t="n"/>
      <c r="D2230" s="206" t="n"/>
      <c r="E2230" s="206" t="n"/>
    </row>
    <row r="2231">
      <c r="C2231" s="206" t="n"/>
      <c r="D2231" s="206" t="n"/>
      <c r="E2231" s="206" t="n"/>
    </row>
    <row r="2232">
      <c r="C2232" s="207" t="n"/>
      <c r="D2232" s="206" t="n"/>
      <c r="E2232" s="206" t="n"/>
    </row>
    <row r="2233">
      <c r="C2233" s="207" t="n"/>
      <c r="D2233" s="206" t="n"/>
      <c r="E2233" s="206" t="n"/>
    </row>
    <row r="2234">
      <c r="C2234" s="206" t="n"/>
      <c r="D2234" s="206" t="n"/>
      <c r="E2234" s="206" t="n"/>
    </row>
    <row r="2235">
      <c r="C2235" s="206" t="n"/>
      <c r="D2235" s="206" t="n"/>
      <c r="E2235" s="206" t="n"/>
    </row>
    <row r="2236">
      <c r="C2236" s="206" t="n"/>
      <c r="D2236" s="206" t="n"/>
      <c r="E2236" s="206" t="n"/>
    </row>
    <row r="2237">
      <c r="C2237" s="207" t="n"/>
      <c r="D2237" s="206" t="n"/>
      <c r="E2237" s="206" t="n"/>
    </row>
    <row r="2238">
      <c r="C2238" s="206" t="n"/>
      <c r="D2238" s="206" t="n"/>
      <c r="E2238" s="206" t="n"/>
    </row>
    <row r="2239">
      <c r="C2239" s="206" t="n"/>
      <c r="D2239" s="206" t="n"/>
      <c r="E2239" s="206" t="n"/>
    </row>
    <row r="2240">
      <c r="C2240" s="206" t="n"/>
      <c r="D2240" s="206" t="n"/>
      <c r="E2240" s="206" t="n"/>
    </row>
    <row r="2241">
      <c r="C2241" s="207" t="n"/>
      <c r="D2241" s="206" t="n"/>
      <c r="E2241" s="206" t="n"/>
    </row>
    <row r="2242">
      <c r="C2242" s="207" t="n"/>
      <c r="D2242" s="206" t="n"/>
      <c r="E2242" s="206" t="n"/>
    </row>
    <row r="2243">
      <c r="C2243" s="206" t="n"/>
      <c r="D2243" s="206" t="n"/>
      <c r="E2243" s="206" t="n"/>
    </row>
    <row r="2244">
      <c r="C2244" s="206" t="n"/>
      <c r="D2244" s="206" t="n"/>
      <c r="E2244" s="206" t="n"/>
    </row>
    <row r="2245">
      <c r="C2245" s="206" t="n"/>
      <c r="D2245" s="206" t="n"/>
      <c r="E2245" s="206" t="n"/>
    </row>
    <row r="2246">
      <c r="C2246" s="206" t="n"/>
      <c r="D2246" s="206" t="n"/>
      <c r="E2246" s="206" t="n"/>
    </row>
    <row r="2247">
      <c r="C2247" s="207" t="n"/>
      <c r="D2247" s="206" t="n"/>
      <c r="E2247" s="206" t="n"/>
    </row>
    <row r="2248">
      <c r="C2248" s="206" t="n"/>
      <c r="D2248" s="206" t="n"/>
      <c r="E2248" s="206" t="n"/>
    </row>
    <row r="2249">
      <c r="C2249" s="206" t="n"/>
      <c r="D2249" s="206" t="n"/>
      <c r="E2249" s="206" t="n"/>
    </row>
    <row r="2250">
      <c r="C2250" s="206" t="n"/>
      <c r="D2250" s="206" t="n"/>
      <c r="E2250" s="206" t="n"/>
    </row>
    <row r="2251">
      <c r="C2251" s="206" t="n"/>
      <c r="D2251" s="206" t="n"/>
      <c r="E2251" s="206" t="n"/>
    </row>
    <row r="2252">
      <c r="C2252" s="206" t="n"/>
      <c r="D2252" s="206" t="n"/>
      <c r="E2252" s="206" t="n"/>
    </row>
    <row r="2253">
      <c r="C2253" s="206" t="n"/>
      <c r="D2253" s="206" t="n"/>
      <c r="E2253" s="206" t="n"/>
    </row>
    <row r="2254">
      <c r="C2254" s="206" t="n"/>
      <c r="D2254" s="206" t="n"/>
      <c r="E2254" s="206" t="n"/>
    </row>
    <row r="2255">
      <c r="C2255" s="207" t="n"/>
      <c r="D2255" s="206" t="n"/>
      <c r="E2255" s="206" t="n"/>
    </row>
    <row r="2256">
      <c r="C2256" s="206" t="n"/>
      <c r="D2256" s="206" t="n"/>
      <c r="E2256" s="206" t="n"/>
    </row>
    <row r="2257">
      <c r="C2257" s="206" t="n"/>
      <c r="D2257" s="206" t="n"/>
      <c r="E2257" s="206" t="n"/>
    </row>
    <row r="2258">
      <c r="C2258" s="206" t="n"/>
      <c r="D2258" s="206" t="n"/>
      <c r="E2258" s="206" t="n"/>
    </row>
    <row r="2259">
      <c r="C2259" s="206" t="n"/>
      <c r="D2259" s="206" t="n"/>
      <c r="E2259" s="206" t="n"/>
    </row>
    <row r="2260">
      <c r="C2260" s="206" t="n"/>
      <c r="D2260" s="206" t="n"/>
      <c r="E2260" s="206" t="n"/>
    </row>
    <row r="2261">
      <c r="C2261" s="206" t="n"/>
      <c r="D2261" s="206" t="n"/>
      <c r="E2261" s="206" t="n"/>
    </row>
    <row r="2262">
      <c r="C2262" s="207" t="n"/>
      <c r="D2262" s="206" t="n"/>
      <c r="E2262" s="206" t="n"/>
    </row>
    <row r="2263">
      <c r="C2263" s="207" t="n"/>
      <c r="D2263" s="206" t="n"/>
      <c r="E2263" s="206" t="n"/>
    </row>
    <row r="2264">
      <c r="C2264" s="206" t="n"/>
      <c r="D2264" s="206" t="n"/>
      <c r="E2264" s="206" t="n"/>
    </row>
    <row r="2265">
      <c r="C2265" s="206" t="n"/>
      <c r="D2265" s="206" t="n"/>
      <c r="E2265" s="206" t="n"/>
    </row>
    <row r="2266">
      <c r="C2266" s="206" t="n"/>
      <c r="D2266" s="206" t="n"/>
      <c r="E2266" s="206" t="n"/>
    </row>
    <row r="2267">
      <c r="C2267" s="206" t="n"/>
      <c r="D2267" s="206" t="n"/>
      <c r="E2267" s="206" t="n"/>
    </row>
    <row r="2268">
      <c r="C2268" s="207" t="n"/>
      <c r="D2268" s="206" t="n"/>
      <c r="E2268" s="206" t="n"/>
    </row>
    <row r="2269">
      <c r="C2269" s="206" t="n"/>
      <c r="D2269" s="206" t="n"/>
      <c r="E2269" s="206" t="n"/>
    </row>
    <row r="2270">
      <c r="C2270" s="207" t="n"/>
      <c r="D2270" s="206" t="n"/>
      <c r="E2270" s="206" t="n"/>
    </row>
    <row r="2271">
      <c r="C2271" s="207" t="n"/>
      <c r="D2271" s="206" t="n"/>
      <c r="E2271" s="206" t="n"/>
    </row>
    <row r="2272">
      <c r="C2272" s="206" t="n"/>
      <c r="D2272" s="206" t="n"/>
      <c r="E2272" s="206" t="n"/>
    </row>
    <row r="2273">
      <c r="C2273" s="207" t="n"/>
      <c r="D2273" s="206" t="n"/>
      <c r="E2273" s="206" t="n"/>
    </row>
    <row r="2274">
      <c r="C2274" s="206" t="n"/>
      <c r="D2274" s="206" t="n"/>
      <c r="E2274" s="206" t="n"/>
    </row>
    <row r="2275">
      <c r="C2275" s="206" t="n"/>
      <c r="D2275" s="206" t="n"/>
      <c r="E2275" s="206" t="n"/>
    </row>
    <row r="2276">
      <c r="C2276" s="206" t="n"/>
      <c r="D2276" s="206" t="n"/>
      <c r="E2276" s="206" t="n"/>
    </row>
    <row r="2277">
      <c r="C2277" s="206" t="n"/>
      <c r="D2277" s="206" t="n"/>
      <c r="E2277" s="206" t="n"/>
    </row>
    <row r="2278">
      <c r="C2278" s="206" t="n"/>
      <c r="D2278" s="206" t="n"/>
      <c r="E2278" s="206" t="n"/>
    </row>
    <row r="2279">
      <c r="C2279" s="206" t="n"/>
      <c r="D2279" s="206" t="n"/>
      <c r="E2279" s="206" t="n"/>
    </row>
    <row r="2280">
      <c r="C2280" s="206" t="n"/>
      <c r="D2280" s="206" t="n"/>
      <c r="E2280" s="206" t="n"/>
    </row>
    <row r="2281">
      <c r="C2281" s="206" t="n"/>
      <c r="D2281" s="206" t="n"/>
      <c r="E2281" s="206" t="n"/>
    </row>
    <row r="2282">
      <c r="C2282" s="207" t="n"/>
      <c r="D2282" s="206" t="n"/>
      <c r="E2282" s="206" t="n"/>
    </row>
    <row r="2283">
      <c r="C2283" s="206" t="n"/>
      <c r="D2283" s="206" t="n"/>
      <c r="E2283" s="206" t="n"/>
    </row>
    <row r="2284">
      <c r="C2284" s="206" t="n"/>
      <c r="D2284" s="206" t="n"/>
      <c r="E2284" s="206" t="n"/>
    </row>
    <row r="2285">
      <c r="C2285" s="206" t="n"/>
      <c r="D2285" s="206" t="n"/>
      <c r="E2285" s="206" t="n"/>
    </row>
    <row r="2286">
      <c r="C2286" s="206" t="n"/>
      <c r="D2286" s="206" t="n"/>
      <c r="E2286" s="206" t="n"/>
    </row>
    <row r="2287">
      <c r="C2287" s="206" t="n"/>
      <c r="D2287" s="206" t="n"/>
      <c r="E2287" s="206" t="n"/>
    </row>
    <row r="2288">
      <c r="C2288" s="207" t="n"/>
      <c r="D2288" s="206" t="n"/>
      <c r="E2288" s="206" t="n"/>
    </row>
    <row r="2289">
      <c r="C2289" s="206" t="n"/>
      <c r="D2289" s="206" t="n"/>
      <c r="E2289" s="206" t="n"/>
    </row>
    <row r="2290">
      <c r="C2290" s="206" t="n"/>
      <c r="D2290" s="206" t="n"/>
      <c r="E2290" s="206" t="n"/>
    </row>
    <row r="2291">
      <c r="C2291" s="206" t="n"/>
      <c r="D2291" s="206" t="n"/>
      <c r="E2291" s="206" t="n"/>
    </row>
    <row r="2292">
      <c r="C2292" s="206" t="n"/>
      <c r="D2292" s="206" t="n"/>
      <c r="E2292" s="206" t="n"/>
    </row>
    <row r="2293">
      <c r="C2293" s="206" t="n"/>
      <c r="D2293" s="206" t="n"/>
      <c r="E2293" s="206" t="n"/>
    </row>
    <row r="2294">
      <c r="C2294" s="207" t="n"/>
      <c r="D2294" s="206" t="n"/>
      <c r="E2294" s="206" t="n"/>
    </row>
    <row r="2295">
      <c r="C2295" s="206" t="n"/>
      <c r="D2295" s="206" t="n"/>
      <c r="E2295" s="206" t="n"/>
    </row>
    <row r="2296">
      <c r="C2296" s="206" t="n"/>
      <c r="D2296" s="206" t="n"/>
      <c r="E2296" s="206" t="n"/>
    </row>
    <row r="2297">
      <c r="C2297" s="206" t="n"/>
      <c r="D2297" s="206" t="n"/>
      <c r="E2297" s="206" t="n"/>
    </row>
    <row r="2298">
      <c r="C2298" s="206" t="n"/>
      <c r="D2298" s="206" t="n"/>
      <c r="E2298" s="206" t="n"/>
    </row>
    <row r="2299">
      <c r="C2299" s="206" t="n"/>
      <c r="D2299" s="206" t="n"/>
      <c r="E2299" s="206" t="n"/>
    </row>
    <row r="2300">
      <c r="C2300" s="207" t="n"/>
      <c r="D2300" s="206" t="n"/>
      <c r="E2300" s="206" t="n"/>
    </row>
    <row r="2301">
      <c r="C2301" s="207" t="n"/>
      <c r="D2301" s="206" t="n"/>
      <c r="E2301" s="206" t="n"/>
    </row>
    <row r="2302">
      <c r="C2302" s="207" t="n"/>
      <c r="D2302" s="206" t="n"/>
      <c r="E2302" s="206" t="n"/>
    </row>
    <row r="2303">
      <c r="C2303" s="206" t="n"/>
      <c r="D2303" s="206" t="n"/>
      <c r="E2303" s="206" t="n"/>
    </row>
    <row r="2304">
      <c r="C2304" s="206" t="n"/>
      <c r="D2304" s="206" t="n"/>
      <c r="E2304" s="206" t="n"/>
    </row>
    <row r="2305">
      <c r="C2305" s="207" t="n"/>
      <c r="D2305" s="206" t="n"/>
      <c r="E2305" s="206" t="n"/>
    </row>
    <row r="2306">
      <c r="C2306" s="206" t="n"/>
      <c r="D2306" s="206" t="n"/>
      <c r="E2306" s="206" t="n"/>
    </row>
    <row r="2307">
      <c r="C2307" s="206" t="n"/>
      <c r="D2307" s="206" t="n"/>
      <c r="E2307" s="206" t="n"/>
    </row>
    <row r="2308">
      <c r="C2308" s="206" t="n"/>
      <c r="D2308" s="206" t="n"/>
      <c r="E2308" s="206" t="n"/>
    </row>
    <row r="2309">
      <c r="C2309" s="207" t="n"/>
      <c r="D2309" s="206" t="n"/>
      <c r="E2309" s="206" t="n"/>
    </row>
    <row r="2310">
      <c r="C2310" s="207" t="n"/>
      <c r="D2310" s="206" t="n"/>
      <c r="E2310" s="206" t="n"/>
    </row>
    <row r="2311">
      <c r="C2311" s="207" t="n"/>
      <c r="D2311" s="206" t="n"/>
      <c r="E2311" s="206" t="n"/>
    </row>
    <row r="2312">
      <c r="C2312" s="206" t="n"/>
      <c r="D2312" s="206" t="n"/>
      <c r="E2312" s="206" t="n"/>
    </row>
    <row r="2313">
      <c r="C2313" s="207" t="n"/>
      <c r="D2313" s="206" t="n"/>
      <c r="E2313" s="206" t="n"/>
    </row>
    <row r="2314">
      <c r="C2314" s="207" t="n"/>
      <c r="D2314" s="206" t="n"/>
      <c r="E2314" s="206" t="n"/>
    </row>
    <row r="2315">
      <c r="C2315" s="207" t="n"/>
      <c r="D2315" s="206" t="n"/>
      <c r="E2315" s="206" t="n"/>
    </row>
    <row r="2316">
      <c r="C2316" s="207" t="n"/>
      <c r="D2316" s="206" t="n"/>
      <c r="E2316" s="206" t="n"/>
    </row>
    <row r="2317">
      <c r="C2317" s="207" t="n"/>
      <c r="D2317" s="206" t="n"/>
      <c r="E2317" s="206" t="n"/>
    </row>
    <row r="2318">
      <c r="C2318" s="207" t="n"/>
      <c r="D2318" s="206" t="n"/>
      <c r="E2318" s="206" t="n"/>
    </row>
    <row r="2319">
      <c r="C2319" s="206" t="n"/>
      <c r="D2319" s="206" t="n"/>
      <c r="E2319" s="206" t="n"/>
    </row>
    <row r="2320">
      <c r="C2320" s="206" t="n"/>
      <c r="D2320" s="206" t="n"/>
      <c r="E2320" s="206" t="n"/>
    </row>
    <row r="2321">
      <c r="C2321" s="206" t="n"/>
      <c r="D2321" s="206" t="n"/>
      <c r="E2321" s="206" t="n"/>
    </row>
    <row r="2322">
      <c r="C2322" s="206" t="n"/>
      <c r="D2322" s="206" t="n"/>
      <c r="E2322" s="206" t="n"/>
    </row>
    <row r="2323">
      <c r="C2323" s="206" t="n"/>
      <c r="D2323" s="206" t="n"/>
      <c r="E2323" s="206" t="n"/>
    </row>
    <row r="2324">
      <c r="C2324" s="206" t="n"/>
      <c r="D2324" s="206" t="n"/>
      <c r="E2324" s="206" t="n"/>
    </row>
    <row r="2325">
      <c r="C2325" s="206" t="n"/>
      <c r="D2325" s="206" t="n"/>
      <c r="E2325" s="206" t="n"/>
    </row>
    <row r="2326">
      <c r="C2326" s="207" t="n"/>
      <c r="D2326" s="206" t="n"/>
      <c r="E2326" s="206" t="n"/>
    </row>
    <row r="2327">
      <c r="C2327" s="207" t="n"/>
      <c r="D2327" s="206" t="n"/>
      <c r="E2327" s="206" t="n"/>
    </row>
    <row r="2328">
      <c r="C2328" s="207" t="n"/>
      <c r="D2328" s="206" t="n"/>
      <c r="E2328" s="206" t="n"/>
    </row>
    <row r="2329">
      <c r="C2329" s="206" t="n"/>
      <c r="D2329" s="206" t="n"/>
      <c r="E2329" s="206" t="n"/>
    </row>
    <row r="2330">
      <c r="C2330" s="207" t="n"/>
      <c r="D2330" s="206" t="n"/>
      <c r="E2330" s="206" t="n"/>
    </row>
    <row r="2331">
      <c r="C2331" s="206" t="n"/>
      <c r="D2331" s="206" t="n"/>
      <c r="E2331" s="206" t="n"/>
    </row>
    <row r="2332">
      <c r="C2332" s="207" t="n"/>
      <c r="D2332" s="206" t="n"/>
      <c r="E2332" s="206" t="n"/>
    </row>
    <row r="2333">
      <c r="C2333" s="207" t="n"/>
      <c r="D2333" s="206" t="n"/>
      <c r="E2333" s="206" t="n"/>
    </row>
    <row r="2334">
      <c r="C2334" s="206" t="n"/>
      <c r="D2334" s="206" t="n"/>
      <c r="E2334" s="206" t="n"/>
    </row>
    <row r="2335">
      <c r="C2335" s="206" t="n"/>
      <c r="D2335" s="206" t="n"/>
      <c r="E2335" s="206" t="n"/>
    </row>
    <row r="2336">
      <c r="C2336" s="206" t="n"/>
      <c r="D2336" s="206" t="n"/>
      <c r="E2336" s="206" t="n"/>
    </row>
    <row r="2337">
      <c r="C2337" s="206" t="n"/>
      <c r="D2337" s="206" t="n"/>
      <c r="E2337" s="206" t="n"/>
    </row>
    <row r="2338">
      <c r="C2338" s="207" t="n"/>
      <c r="D2338" s="206" t="n"/>
      <c r="E2338" s="206" t="n"/>
    </row>
    <row r="2339">
      <c r="C2339" s="206" t="n"/>
      <c r="D2339" s="206" t="n"/>
      <c r="E2339" s="206" t="n"/>
    </row>
    <row r="2340">
      <c r="C2340" s="206" t="n"/>
      <c r="D2340" s="206" t="n"/>
      <c r="E2340" s="206" t="n"/>
    </row>
    <row r="2341">
      <c r="C2341" s="206" t="n"/>
      <c r="D2341" s="206" t="n"/>
      <c r="E2341" s="206" t="n"/>
    </row>
    <row r="2342">
      <c r="C2342" s="206" t="n"/>
      <c r="D2342" s="206" t="n"/>
      <c r="E2342" s="206" t="n"/>
    </row>
    <row r="2343">
      <c r="C2343" s="207" t="n"/>
      <c r="D2343" s="206" t="n"/>
      <c r="E2343" s="206" t="n"/>
    </row>
    <row r="2344">
      <c r="C2344" s="207" t="n"/>
      <c r="D2344" s="206" t="n"/>
      <c r="E2344" s="206" t="n"/>
    </row>
    <row r="2345">
      <c r="C2345" s="207" t="n"/>
      <c r="D2345" s="206" t="n"/>
      <c r="E2345" s="206" t="n"/>
    </row>
    <row r="2346">
      <c r="C2346" s="206" t="n"/>
      <c r="D2346" s="206" t="n"/>
      <c r="E2346" s="206" t="n"/>
    </row>
    <row r="2347">
      <c r="C2347" s="207" t="n"/>
      <c r="D2347" s="206" t="n"/>
      <c r="E2347" s="206" t="n"/>
    </row>
    <row r="2348">
      <c r="C2348" s="206" t="n"/>
      <c r="D2348" s="206" t="n"/>
      <c r="E2348" s="206" t="n"/>
    </row>
    <row r="2349">
      <c r="C2349" s="206" t="n"/>
      <c r="D2349" s="206" t="n"/>
      <c r="E2349" s="206" t="n"/>
    </row>
    <row r="2350">
      <c r="C2350" s="207" t="n"/>
      <c r="D2350" s="206" t="n"/>
      <c r="E2350" s="206" t="n"/>
    </row>
    <row r="2351">
      <c r="C2351" s="207" t="n"/>
      <c r="D2351" s="206" t="n"/>
      <c r="E2351" s="206" t="n"/>
    </row>
    <row r="2352">
      <c r="C2352" s="206" t="n"/>
      <c r="D2352" s="206" t="n"/>
      <c r="E2352" s="206" t="n"/>
    </row>
    <row r="2353">
      <c r="C2353" s="206" t="n"/>
      <c r="D2353" s="206" t="n"/>
      <c r="E2353" s="206" t="n"/>
    </row>
    <row r="2354">
      <c r="C2354" s="206" t="n"/>
      <c r="D2354" s="206" t="n"/>
      <c r="E2354" s="206" t="n"/>
    </row>
    <row r="2355">
      <c r="C2355" s="207" t="n"/>
      <c r="D2355" s="206" t="n"/>
      <c r="E2355" s="206" t="n"/>
    </row>
    <row r="2356">
      <c r="C2356" s="206" t="n"/>
      <c r="D2356" s="206" t="n"/>
      <c r="E2356" s="206" t="n"/>
    </row>
    <row r="2357">
      <c r="C2357" s="207" t="n"/>
      <c r="D2357" s="206" t="n"/>
      <c r="E2357" s="206" t="n"/>
    </row>
    <row r="2358">
      <c r="C2358" s="206" t="n"/>
      <c r="D2358" s="206" t="n"/>
      <c r="E2358" s="206" t="n"/>
    </row>
    <row r="2359">
      <c r="C2359" s="207" t="n"/>
      <c r="D2359" s="206" t="n"/>
      <c r="E2359" s="206" t="n"/>
    </row>
    <row r="2360">
      <c r="C2360" s="206" t="n"/>
      <c r="D2360" s="206" t="n"/>
      <c r="E2360" s="206" t="n"/>
    </row>
    <row r="2361">
      <c r="C2361" s="206" t="n"/>
      <c r="D2361" s="206" t="n"/>
      <c r="E2361" s="206" t="n"/>
    </row>
    <row r="2362">
      <c r="C2362" s="207" t="n"/>
      <c r="D2362" s="206" t="n"/>
      <c r="E2362" s="206" t="n"/>
    </row>
    <row r="2363">
      <c r="C2363" s="207" t="n"/>
      <c r="D2363" s="206" t="n"/>
      <c r="E2363" s="206" t="n"/>
    </row>
    <row r="2364">
      <c r="C2364" s="207" t="n"/>
      <c r="D2364" s="206" t="n"/>
      <c r="E2364" s="206" t="n"/>
    </row>
    <row r="2365">
      <c r="C2365" s="206" t="n"/>
      <c r="D2365" s="206" t="n"/>
      <c r="E2365" s="206" t="n"/>
    </row>
    <row r="2366">
      <c r="C2366" s="206" t="n"/>
      <c r="D2366" s="206" t="n"/>
      <c r="E2366" s="206" t="n"/>
    </row>
    <row r="2367">
      <c r="C2367" s="206" t="n"/>
      <c r="D2367" s="206" t="n"/>
      <c r="E2367" s="206" t="n"/>
    </row>
    <row r="2368">
      <c r="C2368" s="207" t="n"/>
      <c r="D2368" s="206" t="n"/>
      <c r="E2368" s="206" t="n"/>
    </row>
    <row r="2369">
      <c r="C2369" s="207" t="n"/>
      <c r="D2369" s="206" t="n"/>
      <c r="E2369" s="206" t="n"/>
    </row>
    <row r="2370">
      <c r="C2370" s="206" t="n"/>
      <c r="D2370" s="206" t="n"/>
      <c r="E2370" s="206" t="n"/>
    </row>
    <row r="2371">
      <c r="C2371" s="206" t="n"/>
      <c r="D2371" s="206" t="n"/>
      <c r="E2371" s="206" t="n"/>
    </row>
    <row r="2372">
      <c r="C2372" s="206" t="n"/>
      <c r="D2372" s="206" t="n"/>
      <c r="E2372" s="206" t="n"/>
    </row>
    <row r="2373">
      <c r="C2373" s="207" t="n"/>
      <c r="D2373" s="206" t="n"/>
      <c r="E2373" s="206" t="n"/>
    </row>
    <row r="2374">
      <c r="C2374" s="207" t="n"/>
      <c r="D2374" s="206" t="n"/>
      <c r="E2374" s="206" t="n"/>
    </row>
    <row r="2375">
      <c r="C2375" s="206" t="n"/>
      <c r="D2375" s="206" t="n"/>
      <c r="E2375" s="206" t="n"/>
    </row>
    <row r="2376">
      <c r="C2376" s="207" t="n"/>
      <c r="D2376" s="206" t="n"/>
      <c r="E2376" s="206" t="n"/>
    </row>
    <row r="2377">
      <c r="C2377" s="206" t="n"/>
      <c r="D2377" s="206" t="n"/>
      <c r="E2377" s="206" t="n"/>
    </row>
    <row r="2378">
      <c r="C2378" s="207" t="n"/>
      <c r="D2378" s="206" t="n"/>
      <c r="E2378" s="206" t="n"/>
    </row>
    <row r="2379">
      <c r="C2379" s="207" t="n"/>
      <c r="D2379" s="206" t="n"/>
      <c r="E2379" s="206" t="n"/>
    </row>
    <row r="2380">
      <c r="C2380" s="207" t="n"/>
      <c r="D2380" s="206" t="n"/>
      <c r="E2380" s="206" t="n"/>
    </row>
    <row r="2381">
      <c r="C2381" s="207" t="n"/>
      <c r="D2381" s="206" t="n"/>
      <c r="E2381" s="206" t="n"/>
    </row>
    <row r="2382">
      <c r="C2382" s="207" t="n"/>
      <c r="D2382" s="206" t="n"/>
      <c r="E2382" s="206" t="n"/>
    </row>
    <row r="2383">
      <c r="C2383" s="207" t="n"/>
      <c r="D2383" s="206" t="n"/>
      <c r="E2383" s="206" t="n"/>
    </row>
    <row r="2384">
      <c r="C2384" s="207" t="n"/>
      <c r="D2384" s="206" t="n"/>
      <c r="E2384" s="206" t="n"/>
    </row>
    <row r="2385">
      <c r="C2385" s="206" t="n"/>
      <c r="D2385" s="206" t="n"/>
      <c r="E2385" s="206" t="n"/>
    </row>
    <row r="2386">
      <c r="C2386" s="207" t="n"/>
      <c r="D2386" s="206" t="n"/>
      <c r="E2386" s="206" t="n"/>
    </row>
    <row r="2387">
      <c r="C2387" s="206" t="n"/>
      <c r="D2387" s="206" t="n"/>
      <c r="E2387" s="206" t="n"/>
    </row>
    <row r="2388">
      <c r="C2388" s="206" t="n"/>
      <c r="D2388" s="206" t="n"/>
      <c r="E2388" s="206" t="n"/>
    </row>
    <row r="2389">
      <c r="C2389" s="206" t="n"/>
      <c r="D2389" s="206" t="n"/>
      <c r="E2389" s="206" t="n"/>
    </row>
    <row r="2390">
      <c r="C2390" s="207" t="n"/>
      <c r="D2390" s="206" t="n"/>
      <c r="E2390" s="206" t="n"/>
    </row>
    <row r="2391">
      <c r="C2391" s="206" t="n"/>
      <c r="D2391" s="206" t="n"/>
      <c r="E2391" s="206" t="n"/>
    </row>
    <row r="2392">
      <c r="C2392" s="207" t="n"/>
      <c r="D2392" s="206" t="n"/>
      <c r="E2392" s="206" t="n"/>
    </row>
    <row r="2393">
      <c r="C2393" s="207" t="n"/>
      <c r="D2393" s="206" t="n"/>
      <c r="E2393" s="206" t="n"/>
    </row>
    <row r="2394">
      <c r="C2394" s="206" t="n"/>
      <c r="D2394" s="206" t="n"/>
      <c r="E2394" s="206" t="n"/>
    </row>
    <row r="2395">
      <c r="C2395" s="206" t="n"/>
      <c r="D2395" s="206" t="n"/>
      <c r="E2395" s="206" t="n"/>
    </row>
    <row r="2396">
      <c r="C2396" s="206" t="n"/>
      <c r="D2396" s="206" t="n"/>
      <c r="E2396" s="206" t="n"/>
    </row>
    <row r="2397">
      <c r="C2397" s="207" t="n"/>
      <c r="D2397" s="206" t="n"/>
      <c r="E2397" s="206" t="n"/>
    </row>
    <row r="2398">
      <c r="C2398" s="207" t="n"/>
      <c r="D2398" s="206" t="n"/>
      <c r="E2398" s="206" t="n"/>
    </row>
    <row r="2399">
      <c r="C2399" s="206" t="n"/>
      <c r="D2399" s="206" t="n"/>
      <c r="E2399" s="206" t="n"/>
    </row>
    <row r="2400">
      <c r="C2400" s="206" t="n"/>
      <c r="D2400" s="206" t="n"/>
      <c r="E2400" s="206" t="n"/>
    </row>
    <row r="2401">
      <c r="C2401" s="206" t="n"/>
      <c r="D2401" s="206" t="n"/>
      <c r="E2401" s="206" t="n"/>
    </row>
    <row r="2402">
      <c r="C2402" s="207" t="n"/>
      <c r="D2402" s="206" t="n"/>
      <c r="E2402" s="206" t="n"/>
    </row>
    <row r="2403">
      <c r="C2403" s="207" t="n"/>
      <c r="D2403" s="206" t="n"/>
      <c r="E2403" s="206" t="n"/>
    </row>
    <row r="2404">
      <c r="C2404" s="206" t="n"/>
      <c r="D2404" s="206" t="n"/>
      <c r="E2404" s="206" t="n"/>
    </row>
    <row r="2405">
      <c r="C2405" s="206" t="n"/>
      <c r="D2405" s="206" t="n"/>
      <c r="E2405" s="206" t="n"/>
    </row>
    <row r="2406">
      <c r="C2406" s="206" t="n"/>
      <c r="D2406" s="206" t="n"/>
      <c r="E2406" s="206" t="n"/>
    </row>
    <row r="2407">
      <c r="C2407" s="206" t="n"/>
      <c r="D2407" s="206" t="n"/>
      <c r="E2407" s="206" t="n"/>
    </row>
    <row r="2408">
      <c r="C2408" s="206" t="n"/>
      <c r="D2408" s="206" t="n"/>
      <c r="E2408" s="206" t="n"/>
    </row>
    <row r="2409">
      <c r="C2409" s="206" t="n"/>
      <c r="D2409" s="206" t="n"/>
      <c r="E2409" s="206" t="n"/>
    </row>
    <row r="2410">
      <c r="C2410" s="207" t="n"/>
      <c r="D2410" s="206" t="n"/>
      <c r="E2410" s="206" t="n"/>
    </row>
    <row r="2411">
      <c r="C2411" s="206" t="n"/>
      <c r="D2411" s="206" t="n"/>
      <c r="E2411" s="206" t="n"/>
    </row>
    <row r="2412">
      <c r="C2412" s="206" t="n"/>
      <c r="D2412" s="206" t="n"/>
      <c r="E2412" s="206" t="n"/>
    </row>
    <row r="2413">
      <c r="C2413" s="206" t="n"/>
      <c r="D2413" s="206" t="n"/>
      <c r="E2413" s="206" t="n"/>
    </row>
    <row r="2414">
      <c r="C2414" s="206" t="n"/>
      <c r="D2414" s="206" t="n"/>
      <c r="E2414" s="206" t="n"/>
    </row>
    <row r="2415">
      <c r="C2415" s="207" t="n"/>
      <c r="D2415" s="206" t="n"/>
      <c r="E2415" s="206" t="n"/>
    </row>
    <row r="2416">
      <c r="C2416" s="207" t="n"/>
      <c r="D2416" s="206" t="n"/>
      <c r="E2416" s="206" t="n"/>
    </row>
    <row r="2417">
      <c r="C2417" s="206" t="n"/>
      <c r="D2417" s="206" t="n"/>
      <c r="E2417" s="206" t="n"/>
    </row>
    <row r="2418">
      <c r="C2418" s="206" t="n"/>
      <c r="D2418" s="206" t="n"/>
      <c r="E2418" s="206" t="n"/>
    </row>
    <row r="2419">
      <c r="C2419" s="206" t="n"/>
      <c r="D2419" s="206" t="n"/>
      <c r="E2419" s="206" t="n"/>
    </row>
    <row r="2420">
      <c r="C2420" s="207" t="n"/>
      <c r="D2420" s="206" t="n"/>
      <c r="E2420" s="206" t="n"/>
    </row>
    <row r="2421">
      <c r="C2421" s="207" t="n"/>
      <c r="D2421" s="206" t="n"/>
      <c r="E2421" s="206" t="n"/>
    </row>
    <row r="2422">
      <c r="C2422" s="207" t="n"/>
      <c r="D2422" s="206" t="n"/>
      <c r="E2422" s="206" t="n"/>
    </row>
    <row r="2423">
      <c r="C2423" s="206" t="n"/>
      <c r="D2423" s="206" t="n"/>
      <c r="E2423" s="206" t="n"/>
    </row>
    <row r="2424">
      <c r="C2424" s="207" t="n"/>
      <c r="D2424" s="206" t="n"/>
      <c r="E2424" s="206" t="n"/>
    </row>
    <row r="2425">
      <c r="C2425" s="206" t="n"/>
      <c r="D2425" s="206" t="n"/>
      <c r="E2425" s="206" t="n"/>
    </row>
    <row r="2426">
      <c r="C2426" s="207" t="n"/>
      <c r="D2426" s="206" t="n"/>
      <c r="E2426" s="206" t="n"/>
    </row>
    <row r="2427">
      <c r="C2427" s="207" t="n"/>
      <c r="D2427" s="206" t="n"/>
      <c r="E2427" s="206" t="n"/>
    </row>
    <row r="2428">
      <c r="C2428" s="207" t="n"/>
      <c r="D2428" s="206" t="n"/>
      <c r="E2428" s="206" t="n"/>
    </row>
    <row r="2429">
      <c r="C2429" s="206" t="n"/>
      <c r="D2429" s="206" t="n"/>
      <c r="E2429" s="206" t="n"/>
    </row>
    <row r="2430">
      <c r="C2430" s="206" t="n"/>
      <c r="D2430" s="206" t="n"/>
      <c r="E2430" s="206" t="n"/>
    </row>
    <row r="2431">
      <c r="C2431" s="206" t="n"/>
      <c r="D2431" s="206" t="n"/>
      <c r="E2431" s="206" t="n"/>
    </row>
    <row r="2432">
      <c r="C2432" s="206" t="n"/>
      <c r="D2432" s="206" t="n"/>
      <c r="E2432" s="206" t="n"/>
    </row>
    <row r="2433">
      <c r="C2433" s="207" t="n"/>
      <c r="D2433" s="206" t="n"/>
      <c r="E2433" s="206" t="n"/>
    </row>
    <row r="2434">
      <c r="C2434" s="207" t="n"/>
      <c r="D2434" s="206" t="n"/>
      <c r="E2434" s="206" t="n"/>
    </row>
    <row r="2435">
      <c r="C2435" s="207" t="n"/>
      <c r="D2435" s="206" t="n"/>
      <c r="E2435" s="206" t="n"/>
    </row>
    <row r="2436">
      <c r="C2436" s="207" t="n"/>
      <c r="D2436" s="206" t="n"/>
      <c r="E2436" s="206" t="n"/>
    </row>
    <row r="2437">
      <c r="C2437" s="207" t="n"/>
      <c r="D2437" s="206" t="n"/>
      <c r="E2437" s="206" t="n"/>
    </row>
    <row r="2438">
      <c r="C2438" s="207" t="n"/>
      <c r="D2438" s="206" t="n"/>
      <c r="E2438" s="206" t="n"/>
    </row>
    <row r="2439">
      <c r="C2439" s="206" t="n"/>
      <c r="D2439" s="206" t="n"/>
      <c r="E2439" s="206" t="n"/>
    </row>
    <row r="2440">
      <c r="C2440" s="206" t="n"/>
      <c r="D2440" s="206" t="n"/>
      <c r="E2440" s="206" t="n"/>
    </row>
    <row r="2441">
      <c r="C2441" s="206" t="n"/>
      <c r="D2441" s="206" t="n"/>
      <c r="E2441" s="206" t="n"/>
    </row>
    <row r="2442">
      <c r="C2442" s="206" t="n"/>
      <c r="D2442" s="206" t="n"/>
      <c r="E2442" s="206" t="n"/>
    </row>
    <row r="2443">
      <c r="C2443" s="207" t="n"/>
      <c r="D2443" s="206" t="n"/>
      <c r="E2443" s="206" t="n"/>
    </row>
    <row r="2444">
      <c r="C2444" s="207" t="n"/>
      <c r="D2444" s="206" t="n"/>
      <c r="E2444" s="206" t="n"/>
    </row>
    <row r="2445">
      <c r="C2445" s="206" t="n"/>
      <c r="D2445" s="206" t="n"/>
      <c r="E2445" s="206" t="n"/>
    </row>
    <row r="2446">
      <c r="C2446" s="206" t="n"/>
      <c r="D2446" s="206" t="n"/>
      <c r="E2446" s="206" t="n"/>
    </row>
    <row r="2447">
      <c r="C2447" s="206" t="n"/>
      <c r="D2447" s="206" t="n"/>
      <c r="E2447" s="206" t="n"/>
    </row>
    <row r="2448">
      <c r="C2448" s="206" t="n"/>
      <c r="D2448" s="206" t="n"/>
      <c r="E2448" s="206" t="n"/>
    </row>
    <row r="2449">
      <c r="C2449" s="206" t="n"/>
      <c r="D2449" s="206" t="n"/>
      <c r="E2449" s="206" t="n"/>
    </row>
    <row r="2450">
      <c r="C2450" s="206" t="n"/>
      <c r="D2450" s="206" t="n"/>
      <c r="E2450" s="206" t="n"/>
    </row>
    <row r="2451">
      <c r="C2451" s="207" t="n"/>
      <c r="D2451" s="206" t="n"/>
      <c r="E2451" s="206" t="n"/>
    </row>
    <row r="2452">
      <c r="C2452" s="207" t="n"/>
      <c r="D2452" s="206" t="n"/>
      <c r="E2452" s="206" t="n"/>
    </row>
    <row r="2453">
      <c r="C2453" s="206" t="n"/>
      <c r="D2453" s="206" t="n"/>
      <c r="E2453" s="206" t="n"/>
    </row>
    <row r="2454">
      <c r="C2454" s="206" t="n"/>
      <c r="D2454" s="206" t="n"/>
      <c r="E2454" s="206" t="n"/>
    </row>
    <row r="2455">
      <c r="C2455" s="206" t="n"/>
      <c r="D2455" s="206" t="n"/>
      <c r="E2455" s="206" t="n"/>
    </row>
    <row r="2456">
      <c r="C2456" s="207" t="n"/>
      <c r="D2456" s="206" t="n"/>
      <c r="E2456" s="206" t="n"/>
    </row>
    <row r="2457">
      <c r="C2457" s="207" t="n"/>
      <c r="D2457" s="206" t="n"/>
      <c r="E2457" s="206" t="n"/>
    </row>
    <row r="2458">
      <c r="C2458" s="206" t="n"/>
      <c r="D2458" s="206" t="n"/>
      <c r="E2458" s="206" t="n"/>
    </row>
    <row r="2459">
      <c r="C2459" s="207" t="n"/>
      <c r="D2459" s="206" t="n"/>
      <c r="E2459" s="206" t="n"/>
    </row>
    <row r="2460">
      <c r="C2460" s="206" t="n"/>
      <c r="D2460" s="206" t="n"/>
      <c r="E2460" s="206" t="n"/>
    </row>
    <row r="2461">
      <c r="C2461" s="206" t="n"/>
      <c r="D2461" s="206" t="n"/>
      <c r="E2461" s="206" t="n"/>
    </row>
    <row r="2462">
      <c r="C2462" s="206" t="n"/>
      <c r="D2462" s="206" t="n"/>
      <c r="E2462" s="206" t="n"/>
    </row>
    <row r="2463">
      <c r="C2463" s="206" t="n"/>
      <c r="D2463" s="206" t="n"/>
      <c r="E2463" s="206" t="n"/>
    </row>
    <row r="2464">
      <c r="C2464" s="206" t="n"/>
      <c r="D2464" s="206" t="n"/>
      <c r="E2464" s="206" t="n"/>
    </row>
    <row r="2465">
      <c r="C2465" s="207" t="n"/>
      <c r="D2465" s="206" t="n"/>
      <c r="E2465" s="206" t="n"/>
    </row>
    <row r="2466">
      <c r="C2466" s="207" t="n"/>
      <c r="D2466" s="206" t="n"/>
      <c r="E2466" s="206" t="n"/>
    </row>
    <row r="2467">
      <c r="C2467" s="207" t="n"/>
      <c r="D2467" s="206" t="n"/>
      <c r="E2467" s="206" t="n"/>
    </row>
    <row r="2468">
      <c r="C2468" s="206" t="n"/>
      <c r="D2468" s="206" t="n"/>
      <c r="E2468" s="206" t="n"/>
    </row>
    <row r="2469">
      <c r="C2469" s="206" t="n"/>
      <c r="D2469" s="206" t="n"/>
      <c r="E2469" s="206" t="n"/>
    </row>
    <row r="2470">
      <c r="C2470" s="207" t="n"/>
      <c r="D2470" s="206" t="n"/>
      <c r="E2470" s="206" t="n"/>
    </row>
    <row r="2471">
      <c r="C2471" s="207" t="n"/>
      <c r="D2471" s="206" t="n"/>
      <c r="E2471" s="206" t="n"/>
    </row>
    <row r="2472">
      <c r="C2472" s="206" t="n"/>
      <c r="D2472" s="206" t="n"/>
      <c r="E2472" s="206" t="n"/>
    </row>
    <row r="2473">
      <c r="C2473" s="206" t="n"/>
      <c r="D2473" s="206" t="n"/>
      <c r="E2473" s="206" t="n"/>
    </row>
    <row r="2474">
      <c r="C2474" s="206" t="n"/>
      <c r="D2474" s="206" t="n"/>
      <c r="E2474" s="206" t="n"/>
    </row>
    <row r="2475">
      <c r="C2475" s="207" t="n"/>
      <c r="D2475" s="206" t="n"/>
      <c r="E2475" s="206" t="n"/>
    </row>
    <row r="2476">
      <c r="C2476" s="207" t="n"/>
      <c r="D2476" s="206" t="n"/>
      <c r="E2476" s="206" t="n"/>
    </row>
    <row r="2477">
      <c r="C2477" s="206" t="n"/>
      <c r="D2477" s="206" t="n"/>
      <c r="E2477" s="206" t="n"/>
    </row>
    <row r="2478">
      <c r="C2478" s="206" t="n"/>
      <c r="D2478" s="206" t="n"/>
      <c r="E2478" s="206" t="n"/>
    </row>
    <row r="2479">
      <c r="C2479" s="206" t="n"/>
      <c r="D2479" s="206" t="n"/>
      <c r="E2479" s="206" t="n"/>
    </row>
    <row r="2480">
      <c r="C2480" s="206" t="n"/>
      <c r="D2480" s="206" t="n"/>
      <c r="E2480" s="206" t="n"/>
    </row>
    <row r="2481">
      <c r="C2481" s="207" t="n"/>
      <c r="D2481" s="206" t="n"/>
      <c r="E2481" s="206" t="n"/>
    </row>
    <row r="2482">
      <c r="C2482" s="206" t="n"/>
      <c r="D2482" s="206" t="n"/>
      <c r="E2482" s="206" t="n"/>
    </row>
    <row r="2483">
      <c r="C2483" s="206" t="n"/>
      <c r="D2483" s="206" t="n"/>
      <c r="E2483" s="206" t="n"/>
    </row>
    <row r="2484">
      <c r="C2484" s="206" t="n"/>
      <c r="D2484" s="206" t="n"/>
      <c r="E2484" s="206" t="n"/>
    </row>
    <row r="2485">
      <c r="C2485" s="207" t="n"/>
      <c r="D2485" s="206" t="n"/>
      <c r="E2485" s="206" t="n"/>
    </row>
    <row r="2486">
      <c r="C2486" s="206" t="n"/>
      <c r="D2486" s="206" t="n"/>
      <c r="E2486" s="206" t="n"/>
    </row>
    <row r="2487">
      <c r="C2487" s="206" t="n"/>
      <c r="D2487" s="206" t="n"/>
      <c r="E2487" s="206" t="n"/>
    </row>
    <row r="2488">
      <c r="C2488" s="207" t="n"/>
      <c r="D2488" s="206" t="n"/>
      <c r="E2488" s="206" t="n"/>
    </row>
    <row r="2489">
      <c r="C2489" s="206" t="n"/>
      <c r="D2489" s="206" t="n"/>
      <c r="E2489" s="206" t="n"/>
    </row>
    <row r="2490">
      <c r="C2490" s="206" t="n"/>
      <c r="D2490" s="206" t="n"/>
      <c r="E2490" s="206" t="n"/>
    </row>
    <row r="2491">
      <c r="C2491" s="206" t="n"/>
      <c r="D2491" s="206" t="n"/>
      <c r="E2491" s="206" t="n"/>
    </row>
    <row r="2492">
      <c r="C2492" s="207" t="n"/>
      <c r="D2492" s="206" t="n"/>
      <c r="E2492" s="206" t="n"/>
    </row>
    <row r="2493">
      <c r="C2493" s="207" t="n"/>
      <c r="D2493" s="206" t="n"/>
      <c r="E2493" s="206" t="n"/>
    </row>
    <row r="2494">
      <c r="C2494" s="206" t="n"/>
      <c r="D2494" s="206" t="n"/>
      <c r="E2494" s="206" t="n"/>
    </row>
    <row r="2495">
      <c r="C2495" s="206" t="n"/>
      <c r="D2495" s="206" t="n"/>
      <c r="E2495" s="206" t="n"/>
    </row>
    <row r="2496">
      <c r="C2496" s="206" t="n"/>
      <c r="D2496" s="206" t="n"/>
      <c r="E2496" s="206" t="n"/>
    </row>
    <row r="2497">
      <c r="C2497" s="206" t="n"/>
      <c r="D2497" s="206" t="n"/>
      <c r="E2497" s="206" t="n"/>
    </row>
    <row r="2498">
      <c r="C2498" s="206" t="n"/>
      <c r="D2498" s="206" t="n"/>
      <c r="E2498" s="206" t="n"/>
    </row>
    <row r="2499">
      <c r="C2499" s="206" t="n"/>
      <c r="D2499" s="206" t="n"/>
      <c r="E2499" s="206" t="n"/>
    </row>
    <row r="2500">
      <c r="C2500" s="207" t="n"/>
      <c r="D2500" s="206" t="n"/>
      <c r="E2500" s="206" t="n"/>
    </row>
    <row r="2501">
      <c r="C2501" s="207" t="n"/>
      <c r="D2501" s="206" t="n"/>
      <c r="E2501" s="206" t="n"/>
    </row>
    <row r="2502">
      <c r="C2502" s="207" t="n"/>
      <c r="D2502" s="206" t="n"/>
      <c r="E2502" s="206" t="n"/>
    </row>
    <row r="2503">
      <c r="C2503" s="207" t="n"/>
      <c r="D2503" s="206" t="n"/>
      <c r="E2503" s="206" t="n"/>
    </row>
    <row r="2504">
      <c r="C2504" s="206" t="n"/>
      <c r="D2504" s="206" t="n"/>
      <c r="E2504" s="206" t="n"/>
    </row>
    <row r="2505">
      <c r="C2505" s="206" t="n"/>
      <c r="D2505" s="206" t="n"/>
      <c r="E2505" s="206" t="n"/>
    </row>
    <row r="2506">
      <c r="C2506" s="206" t="n"/>
      <c r="D2506" s="206" t="n"/>
      <c r="E2506" s="206" t="n"/>
    </row>
    <row r="2507">
      <c r="C2507" s="206" t="n"/>
      <c r="D2507" s="206" t="n"/>
      <c r="E2507" s="206" t="n"/>
    </row>
    <row r="2508">
      <c r="C2508" s="206" t="n"/>
      <c r="D2508" s="206" t="n"/>
      <c r="E2508" s="206" t="n"/>
    </row>
    <row r="2509">
      <c r="C2509" s="206" t="n"/>
      <c r="D2509" s="206" t="n"/>
      <c r="E2509" s="206" t="n"/>
    </row>
    <row r="2510">
      <c r="C2510" s="206" t="n"/>
      <c r="D2510" s="206" t="n"/>
      <c r="E2510" s="206" t="n"/>
    </row>
    <row r="2511">
      <c r="C2511" s="206" t="n"/>
      <c r="D2511" s="206" t="n"/>
      <c r="E2511" s="206" t="n"/>
    </row>
    <row r="2512">
      <c r="C2512" s="206" t="n"/>
      <c r="D2512" s="206" t="n"/>
      <c r="E2512" s="206" t="n"/>
    </row>
    <row r="2513">
      <c r="C2513" s="206" t="n"/>
      <c r="D2513" s="206" t="n"/>
      <c r="E2513" s="206" t="n"/>
    </row>
    <row r="2514">
      <c r="C2514" s="206" t="n"/>
      <c r="D2514" s="206" t="n"/>
      <c r="E2514" s="206" t="n"/>
    </row>
    <row r="2515">
      <c r="C2515" s="207" t="n"/>
      <c r="D2515" s="206" t="n"/>
      <c r="E2515" s="206" t="n"/>
    </row>
    <row r="2516">
      <c r="C2516" s="207" t="n"/>
      <c r="D2516" s="206" t="n"/>
      <c r="E2516" s="206" t="n"/>
    </row>
    <row r="2517">
      <c r="C2517" s="207" t="n"/>
      <c r="D2517" s="206" t="n"/>
      <c r="E2517" s="206" t="n"/>
    </row>
    <row r="2518">
      <c r="C2518" s="207" t="n"/>
      <c r="D2518" s="206" t="n"/>
      <c r="E2518" s="206" t="n"/>
    </row>
    <row r="2519">
      <c r="C2519" s="206" t="n"/>
      <c r="D2519" s="206" t="n"/>
      <c r="E2519" s="206" t="n"/>
    </row>
    <row r="2520">
      <c r="C2520" s="207" t="n"/>
      <c r="D2520" s="206" t="n"/>
      <c r="E2520" s="206" t="n"/>
    </row>
    <row r="2521">
      <c r="C2521" s="206" t="n"/>
      <c r="D2521" s="206" t="n"/>
      <c r="E2521" s="206" t="n"/>
    </row>
    <row r="2522">
      <c r="C2522" s="206" t="n"/>
      <c r="D2522" s="206" t="n"/>
      <c r="E2522" s="206" t="n"/>
    </row>
    <row r="2523">
      <c r="C2523" s="206" t="n"/>
      <c r="D2523" s="206" t="n"/>
      <c r="E2523" s="206" t="n"/>
    </row>
    <row r="2524">
      <c r="C2524" s="206" t="n"/>
      <c r="D2524" s="206" t="n"/>
      <c r="E2524" s="206" t="n"/>
    </row>
    <row r="2525">
      <c r="C2525" s="206" t="n"/>
      <c r="D2525" s="206" t="n"/>
      <c r="E2525" s="206" t="n"/>
    </row>
    <row r="2526">
      <c r="C2526" s="206" t="n"/>
      <c r="D2526" s="206" t="n"/>
      <c r="E2526" s="206" t="n"/>
    </row>
    <row r="2527">
      <c r="C2527" s="207" t="n"/>
      <c r="D2527" s="206" t="n"/>
      <c r="E2527" s="206" t="n"/>
    </row>
    <row r="2528">
      <c r="C2528" s="206" t="n"/>
      <c r="D2528" s="206" t="n"/>
      <c r="E2528" s="206" t="n"/>
    </row>
    <row r="2529">
      <c r="C2529" s="207" t="n"/>
      <c r="D2529" s="206" t="n"/>
      <c r="E2529" s="206" t="n"/>
    </row>
    <row r="2530">
      <c r="C2530" s="207" t="n"/>
      <c r="D2530" s="206" t="n"/>
      <c r="E2530" s="206" t="n"/>
    </row>
    <row r="2531">
      <c r="C2531" s="206" t="n"/>
      <c r="D2531" s="206" t="n"/>
      <c r="E2531" s="206" t="n"/>
    </row>
    <row r="2532">
      <c r="C2532" s="206" t="n"/>
      <c r="D2532" s="206" t="n"/>
      <c r="E2532" s="206" t="n"/>
    </row>
    <row r="2533">
      <c r="C2533" s="207" t="n"/>
      <c r="D2533" s="206" t="n"/>
      <c r="E2533" s="206" t="n"/>
    </row>
    <row r="2534">
      <c r="C2534" s="206" t="n"/>
      <c r="D2534" s="206" t="n"/>
      <c r="E2534" s="206" t="n"/>
    </row>
    <row r="2535">
      <c r="C2535" s="206" t="n"/>
      <c r="D2535" s="206" t="n"/>
      <c r="E2535" s="206" t="n"/>
    </row>
    <row r="2536">
      <c r="C2536" s="206" t="n"/>
      <c r="D2536" s="206" t="n"/>
      <c r="E2536" s="206" t="n"/>
    </row>
    <row r="2537">
      <c r="C2537" s="207" t="n"/>
      <c r="D2537" s="206" t="n"/>
      <c r="E2537" s="206" t="n"/>
    </row>
    <row r="2538">
      <c r="C2538" s="207" t="n"/>
      <c r="D2538" s="206" t="n"/>
      <c r="E2538" s="206" t="n"/>
    </row>
    <row r="2539">
      <c r="C2539" s="206" t="n"/>
      <c r="D2539" s="206" t="n"/>
      <c r="E2539" s="206" t="n"/>
    </row>
    <row r="2540">
      <c r="C2540" s="206" t="n"/>
      <c r="D2540" s="206" t="n"/>
      <c r="E2540" s="206" t="n"/>
    </row>
    <row r="2541">
      <c r="C2541" s="206" t="n"/>
      <c r="D2541" s="206" t="n"/>
      <c r="E2541" s="206" t="n"/>
    </row>
    <row r="2542">
      <c r="C2542" s="206" t="n"/>
      <c r="D2542" s="206" t="n"/>
      <c r="E2542" s="206" t="n"/>
    </row>
    <row r="2543">
      <c r="C2543" s="206" t="n"/>
      <c r="D2543" s="206" t="n"/>
      <c r="E2543" s="206" t="n"/>
    </row>
    <row r="2544">
      <c r="C2544" s="206" t="n"/>
      <c r="D2544" s="206" t="n"/>
      <c r="E2544" s="206" t="n"/>
    </row>
    <row r="2545">
      <c r="C2545" s="206" t="n"/>
      <c r="D2545" s="206" t="n"/>
      <c r="E2545" s="206" t="n"/>
    </row>
    <row r="2546">
      <c r="C2546" s="206" t="n"/>
      <c r="D2546" s="206" t="n"/>
      <c r="E2546" s="206" t="n"/>
    </row>
    <row r="2547">
      <c r="C2547" s="207" t="n"/>
      <c r="D2547" s="206" t="n"/>
      <c r="E2547" s="206" t="n"/>
    </row>
    <row r="2548">
      <c r="C2548" s="207" t="n"/>
      <c r="D2548" s="206" t="n"/>
      <c r="E2548" s="206" t="n"/>
    </row>
    <row r="2549">
      <c r="C2549" s="207" t="n"/>
      <c r="D2549" s="206" t="n"/>
      <c r="E2549" s="206" t="n"/>
    </row>
    <row r="2550">
      <c r="C2550" s="207" t="n"/>
      <c r="D2550" s="206" t="n"/>
      <c r="E2550" s="206" t="n"/>
    </row>
    <row r="2551">
      <c r="C2551" s="206" t="n"/>
      <c r="D2551" s="206" t="n"/>
      <c r="E2551" s="206" t="n"/>
    </row>
    <row r="2552">
      <c r="C2552" s="207" t="n"/>
      <c r="D2552" s="206" t="n"/>
      <c r="E2552" s="206" t="n"/>
    </row>
    <row r="2553">
      <c r="C2553" s="206" t="n"/>
      <c r="D2553" s="206" t="n"/>
      <c r="E2553" s="206" t="n"/>
    </row>
    <row r="2554">
      <c r="C2554" s="206" t="n"/>
      <c r="D2554" s="206" t="n"/>
      <c r="E2554" s="206" t="n"/>
    </row>
    <row r="2555">
      <c r="C2555" s="206" t="n"/>
      <c r="D2555" s="206" t="n"/>
      <c r="E2555" s="206" t="n"/>
    </row>
    <row r="2556">
      <c r="C2556" s="206" t="n"/>
      <c r="D2556" s="206" t="n"/>
      <c r="E2556" s="206" t="n"/>
    </row>
    <row r="2557">
      <c r="C2557" s="206" t="n"/>
      <c r="D2557" s="206" t="n"/>
      <c r="E2557" s="206" t="n"/>
    </row>
    <row r="2558">
      <c r="C2558" s="206" t="n"/>
      <c r="D2558" s="206" t="n"/>
      <c r="E2558" s="206" t="n"/>
    </row>
    <row r="2559">
      <c r="C2559" s="206" t="n"/>
      <c r="D2559" s="206" t="n"/>
      <c r="E2559" s="206" t="n"/>
    </row>
    <row r="2560">
      <c r="C2560" s="206" t="n"/>
      <c r="D2560" s="206" t="n"/>
      <c r="E2560" s="206" t="n"/>
    </row>
    <row r="2561">
      <c r="C2561" s="206" t="n"/>
      <c r="D2561" s="206" t="n"/>
      <c r="E2561" s="206" t="n"/>
    </row>
    <row r="2562">
      <c r="C2562" s="207" t="n"/>
      <c r="D2562" s="206" t="n"/>
      <c r="E2562" s="206" t="n"/>
    </row>
    <row r="2563">
      <c r="C2563" s="207" t="n"/>
      <c r="D2563" s="206" t="n"/>
      <c r="E2563" s="206" t="n"/>
    </row>
    <row r="2564">
      <c r="C2564" s="206" t="n"/>
      <c r="D2564" s="206" t="n"/>
      <c r="E2564" s="206" t="n"/>
    </row>
    <row r="2565">
      <c r="C2565" s="207" t="n"/>
      <c r="D2565" s="206" t="n"/>
      <c r="E2565" s="206" t="n"/>
    </row>
    <row r="2566">
      <c r="C2566" s="206" t="n"/>
      <c r="D2566" s="206" t="n"/>
      <c r="E2566" s="206" t="n"/>
    </row>
    <row r="2567">
      <c r="C2567" s="207" t="n"/>
      <c r="D2567" s="206" t="n"/>
      <c r="E2567" s="206" t="n"/>
    </row>
    <row r="2568">
      <c r="C2568" s="206" t="n"/>
      <c r="D2568" s="206" t="n"/>
      <c r="E2568" s="206" t="n"/>
    </row>
    <row r="2569">
      <c r="C2569" s="207" t="n"/>
      <c r="D2569" s="206" t="n"/>
      <c r="E2569" s="206" t="n"/>
    </row>
    <row r="2570">
      <c r="C2570" s="206" t="n"/>
      <c r="D2570" s="206" t="n"/>
      <c r="E2570" s="206" t="n"/>
    </row>
    <row r="2571">
      <c r="C2571" s="206" t="n"/>
      <c r="D2571" s="206" t="n"/>
      <c r="E2571" s="206" t="n"/>
    </row>
    <row r="2572">
      <c r="C2572" s="207" t="n"/>
      <c r="D2572" s="206" t="n"/>
      <c r="E2572" s="206" t="n"/>
    </row>
    <row r="2573">
      <c r="C2573" s="206" t="n"/>
      <c r="D2573" s="206" t="n"/>
      <c r="E2573" s="206" t="n"/>
    </row>
    <row r="2574">
      <c r="C2574" s="206" t="n"/>
      <c r="D2574" s="206" t="n"/>
      <c r="E2574" s="206" t="n"/>
    </row>
    <row r="2575">
      <c r="C2575" s="206" t="n"/>
      <c r="D2575" s="206" t="n"/>
      <c r="E2575" s="206" t="n"/>
    </row>
    <row r="2576">
      <c r="C2576" s="206" t="n"/>
      <c r="D2576" s="206" t="n"/>
      <c r="E2576" s="206" t="n"/>
    </row>
    <row r="2577">
      <c r="C2577" s="206" t="n"/>
      <c r="D2577" s="206" t="n"/>
      <c r="E2577" s="206" t="n"/>
    </row>
    <row r="2578">
      <c r="C2578" s="206" t="n"/>
      <c r="D2578" s="206" t="n"/>
      <c r="E2578" s="206" t="n"/>
    </row>
    <row r="2579">
      <c r="C2579" s="206" t="n"/>
      <c r="D2579" s="206" t="n"/>
      <c r="E2579" s="206" t="n"/>
    </row>
    <row r="2580">
      <c r="C2580" s="206" t="n"/>
      <c r="D2580" s="206" t="n"/>
      <c r="E2580" s="206" t="n"/>
    </row>
    <row r="2581">
      <c r="C2581" s="206" t="n"/>
      <c r="D2581" s="206" t="n"/>
      <c r="E2581" s="206" t="n"/>
    </row>
    <row r="2582">
      <c r="C2582" s="206" t="n"/>
      <c r="D2582" s="206" t="n"/>
      <c r="E2582" s="206" t="n"/>
    </row>
    <row r="2583">
      <c r="C2583" s="206" t="n"/>
      <c r="D2583" s="206" t="n"/>
      <c r="E2583" s="206" t="n"/>
    </row>
    <row r="2584">
      <c r="C2584" s="207" t="n"/>
      <c r="D2584" s="206" t="n"/>
      <c r="E2584" s="206" t="n"/>
    </row>
    <row r="2585">
      <c r="C2585" s="206" t="n"/>
      <c r="D2585" s="206" t="n"/>
      <c r="E2585" s="206" t="n"/>
    </row>
    <row r="2586">
      <c r="C2586" s="206" t="n"/>
      <c r="D2586" s="206" t="n"/>
      <c r="E2586" s="206" t="n"/>
    </row>
    <row r="2587">
      <c r="C2587" s="207" t="n"/>
      <c r="D2587" s="206" t="n"/>
      <c r="E2587" s="206" t="n"/>
    </row>
    <row r="2588">
      <c r="C2588" s="206" t="n"/>
      <c r="D2588" s="206" t="n"/>
      <c r="E2588" s="206" t="n"/>
    </row>
    <row r="2589">
      <c r="C2589" s="206" t="n"/>
      <c r="D2589" s="206" t="n"/>
      <c r="E2589" s="206" t="n"/>
    </row>
    <row r="2590">
      <c r="C2590" s="207" t="n"/>
      <c r="D2590" s="206" t="n"/>
      <c r="E2590" s="206" t="n"/>
    </row>
    <row r="2591">
      <c r="C2591" s="206" t="n"/>
      <c r="D2591" s="206" t="n"/>
      <c r="E2591" s="206" t="n"/>
    </row>
    <row r="2592">
      <c r="C2592" s="207" t="n"/>
      <c r="D2592" s="206" t="n"/>
      <c r="E2592" s="206" t="n"/>
    </row>
    <row r="2593">
      <c r="C2593" s="206" t="n"/>
      <c r="D2593" s="206" t="n"/>
      <c r="E2593" s="206" t="n"/>
    </row>
    <row r="2594">
      <c r="C2594" s="206" t="n"/>
      <c r="D2594" s="206" t="n"/>
      <c r="E2594" s="206" t="n"/>
    </row>
    <row r="2595">
      <c r="C2595" s="206" t="n"/>
      <c r="D2595" s="206" t="n"/>
      <c r="E2595" s="206" t="n"/>
    </row>
    <row r="2596">
      <c r="C2596" s="206" t="n"/>
      <c r="D2596" s="206" t="n"/>
      <c r="E2596" s="206" t="n"/>
    </row>
    <row r="2597">
      <c r="C2597" s="206" t="n"/>
      <c r="D2597" s="206" t="n"/>
      <c r="E2597" s="206" t="n"/>
    </row>
    <row r="2598">
      <c r="C2598" s="207" t="n"/>
      <c r="D2598" s="206" t="n"/>
      <c r="E2598" s="206" t="n"/>
    </row>
    <row r="2599">
      <c r="C2599" s="206" t="n"/>
      <c r="D2599" s="206" t="n"/>
      <c r="E2599" s="206" t="n"/>
    </row>
    <row r="2600">
      <c r="C2600" s="207" t="n"/>
      <c r="D2600" s="206" t="n"/>
      <c r="E2600" s="206" t="n"/>
    </row>
    <row r="2601">
      <c r="C2601" s="207" t="n"/>
      <c r="D2601" s="206" t="n"/>
      <c r="E2601" s="206" t="n"/>
    </row>
    <row r="2602">
      <c r="C2602" s="206" t="n"/>
      <c r="D2602" s="206" t="n"/>
      <c r="E2602" s="206" t="n"/>
    </row>
    <row r="2603">
      <c r="C2603" s="206" t="n"/>
      <c r="D2603" s="206" t="n"/>
      <c r="E2603" s="206" t="n"/>
    </row>
    <row r="2604">
      <c r="C2604" s="206" t="n"/>
      <c r="D2604" s="206" t="n"/>
      <c r="E2604" s="206" t="n"/>
    </row>
    <row r="2605">
      <c r="C2605" s="206" t="n"/>
      <c r="D2605" s="206" t="n"/>
      <c r="E2605" s="206" t="n"/>
    </row>
    <row r="2606">
      <c r="C2606" s="206" t="n"/>
      <c r="D2606" s="206" t="n"/>
      <c r="E2606" s="206" t="n"/>
    </row>
    <row r="2607">
      <c r="C2607" s="207" t="n"/>
      <c r="D2607" s="206" t="n"/>
      <c r="E2607" s="206" t="n"/>
    </row>
    <row r="2608">
      <c r="C2608" s="206" t="n"/>
      <c r="D2608" s="206" t="n"/>
      <c r="E2608" s="206" t="n"/>
    </row>
    <row r="2609">
      <c r="C2609" s="206" t="n"/>
      <c r="D2609" s="206" t="n"/>
      <c r="E2609" s="206" t="n"/>
    </row>
    <row r="2610">
      <c r="C2610" s="206" t="n"/>
      <c r="D2610" s="206" t="n"/>
      <c r="E2610" s="206" t="n"/>
    </row>
    <row r="2611">
      <c r="C2611" s="206" t="n"/>
      <c r="D2611" s="206" t="n"/>
      <c r="E2611" s="206" t="n"/>
    </row>
    <row r="2612">
      <c r="C2612" s="207" t="n"/>
      <c r="D2612" s="206" t="n"/>
      <c r="E2612" s="206" t="n"/>
    </row>
    <row r="2613">
      <c r="C2613" s="206" t="n"/>
      <c r="D2613" s="206" t="n"/>
      <c r="E2613" s="206" t="n"/>
    </row>
    <row r="2614">
      <c r="C2614" s="206" t="n"/>
      <c r="D2614" s="206" t="n"/>
      <c r="E2614" s="206" t="n"/>
    </row>
    <row r="2615">
      <c r="C2615" s="206" t="n"/>
      <c r="D2615" s="206" t="n"/>
      <c r="E2615" s="206" t="n"/>
    </row>
    <row r="2616">
      <c r="C2616" s="206" t="n"/>
      <c r="D2616" s="206" t="n"/>
      <c r="E2616" s="206" t="n"/>
    </row>
    <row r="2617">
      <c r="C2617" s="206" t="n"/>
      <c r="D2617" s="206" t="n"/>
      <c r="E2617" s="206" t="n"/>
    </row>
    <row r="2618">
      <c r="C2618" s="206" t="n"/>
      <c r="D2618" s="206" t="n"/>
      <c r="E2618" s="206" t="n"/>
    </row>
    <row r="2619">
      <c r="C2619" s="206" t="n"/>
      <c r="D2619" s="206" t="n"/>
      <c r="E2619" s="206" t="n"/>
    </row>
    <row r="2620">
      <c r="C2620" s="206" t="n"/>
      <c r="D2620" s="206" t="n"/>
      <c r="E2620" s="206" t="n"/>
    </row>
    <row r="2621">
      <c r="C2621" s="207" t="n"/>
      <c r="D2621" s="206" t="n"/>
      <c r="E2621" s="206" t="n"/>
    </row>
    <row r="2622">
      <c r="C2622" s="206" t="n"/>
      <c r="D2622" s="206" t="n"/>
      <c r="E2622" s="206" t="n"/>
    </row>
    <row r="2623">
      <c r="C2623" s="206" t="n"/>
      <c r="D2623" s="206" t="n"/>
      <c r="E2623" s="206" t="n"/>
    </row>
    <row r="2624">
      <c r="C2624" s="207" t="n"/>
      <c r="D2624" s="206" t="n"/>
      <c r="E2624" s="206" t="n"/>
    </row>
    <row r="2625">
      <c r="C2625" s="206" t="n"/>
      <c r="D2625" s="206" t="n"/>
      <c r="E2625" s="206" t="n"/>
    </row>
    <row r="2626">
      <c r="C2626" s="206" t="n"/>
      <c r="D2626" s="206" t="n"/>
      <c r="E2626" s="206" t="n"/>
    </row>
    <row r="2627">
      <c r="C2627" s="206" t="n"/>
      <c r="D2627" s="206" t="n"/>
      <c r="E2627" s="206" t="n"/>
    </row>
    <row r="2628">
      <c r="C2628" s="206" t="n"/>
      <c r="D2628" s="206" t="n"/>
      <c r="E2628" s="206" t="n"/>
    </row>
    <row r="2629">
      <c r="C2629" s="206" t="n"/>
      <c r="D2629" s="206" t="n"/>
      <c r="E2629" s="206" t="n"/>
    </row>
    <row r="2630">
      <c r="C2630" s="206" t="n"/>
      <c r="D2630" s="206" t="n"/>
      <c r="E2630" s="206" t="n"/>
    </row>
    <row r="2631">
      <c r="C2631" s="207" t="n"/>
      <c r="D2631" s="206" t="n"/>
      <c r="E2631" s="206" t="n"/>
    </row>
    <row r="2632">
      <c r="C2632" s="207" t="n"/>
      <c r="D2632" s="206" t="n"/>
      <c r="E2632" s="206" t="n"/>
    </row>
    <row r="2633">
      <c r="C2633" s="206" t="n"/>
      <c r="D2633" s="206" t="n"/>
      <c r="E2633" s="206" t="n"/>
    </row>
    <row r="2634">
      <c r="C2634" s="206" t="n"/>
      <c r="D2634" s="206" t="n"/>
      <c r="E2634" s="206" t="n"/>
    </row>
    <row r="2635">
      <c r="C2635" s="206" t="n"/>
      <c r="D2635" s="206" t="n"/>
      <c r="E2635" s="206" t="n"/>
    </row>
    <row r="2636">
      <c r="C2636" s="206" t="n"/>
      <c r="D2636" s="206" t="n"/>
      <c r="E2636" s="206" t="n"/>
    </row>
    <row r="2637">
      <c r="C2637" s="206" t="n"/>
      <c r="D2637" s="206" t="n"/>
      <c r="E2637" s="206" t="n"/>
    </row>
    <row r="2638">
      <c r="C2638" s="206" t="n"/>
      <c r="D2638" s="206" t="n"/>
      <c r="E2638" s="206" t="n"/>
    </row>
    <row r="2639">
      <c r="C2639" s="207" t="n"/>
      <c r="D2639" s="206" t="n"/>
      <c r="E2639" s="206" t="n"/>
    </row>
    <row r="2640">
      <c r="C2640" s="207" t="n"/>
      <c r="D2640" s="206" t="n"/>
      <c r="E2640" s="206" t="n"/>
    </row>
  </sheetData>
  <autoFilter ref="C1:C2640"/>
  <conditionalFormatting sqref="G160:G161">
    <cfRule type="duplicateValues" priority="46" dxfId="0"/>
  </conditionalFormatting>
  <conditionalFormatting sqref="G162:G163">
    <cfRule type="duplicateValues" priority="45" dxfId="0"/>
  </conditionalFormatting>
  <conditionalFormatting sqref="G164">
    <cfRule type="duplicateValues" priority="44" dxfId="0"/>
  </conditionalFormatting>
  <conditionalFormatting sqref="G165">
    <cfRule type="duplicateValues" priority="43" dxfId="0"/>
  </conditionalFormatting>
  <conditionalFormatting sqref="G166">
    <cfRule type="duplicateValues" priority="42" dxfId="0"/>
  </conditionalFormatting>
  <conditionalFormatting sqref="G1116:G1118">
    <cfRule type="duplicateValues" priority="40" dxfId="0"/>
  </conditionalFormatting>
  <conditionalFormatting sqref="G1116:G1144">
    <cfRule type="duplicateValues" priority="41" dxfId="0"/>
  </conditionalFormatting>
  <conditionalFormatting sqref="G1119:G1127">
    <cfRule type="duplicateValues" priority="39" dxfId="0"/>
  </conditionalFormatting>
  <conditionalFormatting sqref="G1128:G1136">
    <cfRule type="duplicateValues" priority="38" dxfId="0"/>
  </conditionalFormatting>
  <conditionalFormatting sqref="G1137:G1140">
    <cfRule type="duplicateValues" priority="37" dxfId="0"/>
  </conditionalFormatting>
  <conditionalFormatting sqref="G1141:G1144">
    <cfRule type="duplicateValues" priority="36" dxfId="0"/>
    <cfRule type="duplicateValues" priority="35" dxfId="0"/>
  </conditionalFormatting>
  <conditionalFormatting sqref="G1566:G1567">
    <cfRule type="duplicateValues" priority="34" dxfId="0"/>
  </conditionalFormatting>
  <conditionalFormatting sqref="G1568">
    <cfRule type="duplicateValues" priority="33" dxfId="0"/>
  </conditionalFormatting>
  <conditionalFormatting sqref="G1569">
    <cfRule type="duplicateValues" priority="32" dxfId="0"/>
  </conditionalFormatting>
  <conditionalFormatting sqref="G1570">
    <cfRule type="duplicateValues" priority="31" dxfId="0"/>
  </conditionalFormatting>
  <conditionalFormatting sqref="G1571:G1575">
    <cfRule type="duplicateValues" priority="30" dxfId="0"/>
  </conditionalFormatting>
  <conditionalFormatting sqref="G1576">
    <cfRule type="duplicateValues" priority="29" dxfId="0"/>
  </conditionalFormatting>
  <conditionalFormatting sqref="G1577">
    <cfRule type="duplicateValues" priority="28" dxfId="0"/>
  </conditionalFormatting>
  <conditionalFormatting sqref="G1578:G1580">
    <cfRule type="duplicateValues" priority="27" dxfId="0"/>
  </conditionalFormatting>
  <conditionalFormatting sqref="G1581:G1584">
    <cfRule type="duplicateValues" priority="26" dxfId="0"/>
  </conditionalFormatting>
  <conditionalFormatting sqref="G1585">
    <cfRule type="duplicateValues" priority="25" dxfId="0"/>
  </conditionalFormatting>
  <conditionalFormatting sqref="G1586:G1587">
    <cfRule type="duplicateValues" priority="24" dxfId="0"/>
  </conditionalFormatting>
  <conditionalFormatting sqref="G1588">
    <cfRule type="duplicateValues" priority="23" dxfId="0"/>
  </conditionalFormatting>
  <conditionalFormatting sqref="G1589">
    <cfRule type="duplicateValues" priority="22" dxfId="0"/>
  </conditionalFormatting>
  <conditionalFormatting sqref="G1590">
    <cfRule type="duplicateValues" priority="21" dxfId="0"/>
  </conditionalFormatting>
  <conditionalFormatting sqref="G1591">
    <cfRule type="duplicateValues" priority="20" dxfId="0"/>
  </conditionalFormatting>
  <conditionalFormatting sqref="G1592:G1595">
    <cfRule type="duplicateValues" priority="19" dxfId="0"/>
  </conditionalFormatting>
  <conditionalFormatting sqref="G1596">
    <cfRule type="duplicateValues" priority="18" dxfId="0"/>
  </conditionalFormatting>
  <conditionalFormatting sqref="G1597:G1599">
    <cfRule type="duplicateValues" priority="17" dxfId="0"/>
  </conditionalFormatting>
  <conditionalFormatting sqref="G1600">
    <cfRule type="duplicateValues" priority="16" dxfId="0"/>
  </conditionalFormatting>
  <conditionalFormatting sqref="G1601:G1602">
    <cfRule type="duplicateValues" priority="15" dxfId="0"/>
  </conditionalFormatting>
  <conditionalFormatting sqref="G1604">
    <cfRule type="duplicateValues" priority="14" dxfId="0"/>
  </conditionalFormatting>
  <conditionalFormatting sqref="G1605">
    <cfRule type="duplicateValues" priority="13" dxfId="0"/>
  </conditionalFormatting>
  <conditionalFormatting sqref="G1606:G1612">
    <cfRule type="duplicateValues" priority="12" dxfId="0"/>
  </conditionalFormatting>
  <conditionalFormatting sqref="G1613">
    <cfRule type="duplicateValues" priority="11" dxfId="0"/>
  </conditionalFormatting>
  <conditionalFormatting sqref="G1614">
    <cfRule type="duplicateValues" priority="10" dxfId="0"/>
  </conditionalFormatting>
  <conditionalFormatting sqref="G1615:G1616">
    <cfRule type="duplicateValues" priority="9" dxfId="0"/>
  </conditionalFormatting>
  <conditionalFormatting sqref="G1617">
    <cfRule type="duplicateValues" priority="8" dxfId="0"/>
  </conditionalFormatting>
  <conditionalFormatting sqref="G1618:G1621">
    <cfRule type="duplicateValues" priority="7" dxfId="0"/>
  </conditionalFormatting>
  <conditionalFormatting sqref="G1622">
    <cfRule type="duplicateValues" priority="6" dxfId="0"/>
  </conditionalFormatting>
  <conditionalFormatting sqref="G1623:G1624">
    <cfRule type="duplicateValues" priority="5" dxfId="0"/>
  </conditionalFormatting>
  <conditionalFormatting sqref="G1625:G1626">
    <cfRule type="duplicateValues" priority="4" dxfId="0"/>
  </conditionalFormatting>
  <conditionalFormatting sqref="G1627:G1628">
    <cfRule type="duplicateValues" priority="3" dxfId="0"/>
  </conditionalFormatting>
  <conditionalFormatting sqref="G1629:G1630">
    <cfRule type="duplicateValues" priority="2" dxfId="0"/>
  </conditionalFormatting>
  <conditionalFormatting sqref="G1631:G1632">
    <cfRule type="duplicateValues" priority="1" dxfId="0"/>
  </conditionalFormatting>
  <pageMargins left="0.7" right="0.7" top="0.75" bottom="0.75" header="0.3" footer="0.3"/>
  <pageSetup orientation="portrait"/>
  <legacyDrawing r:id="anysvml"/>
</worksheet>
</file>

<file path=xl/worksheets/sheet45.xml><?xml version="1.0" encoding="utf-8"?>
<worksheet xmlns:r="http://schemas.openxmlformats.org/officeDocument/2006/relationships" xmlns="http://schemas.openxmlformats.org/spreadsheetml/2006/main">
  <sheetPr codeName="Sheet16">
    <outlinePr summaryBelow="1" summaryRight="1"/>
    <pageSetUpPr/>
  </sheetPr>
  <dimension ref="B2:AA56"/>
  <sheetViews>
    <sheetView topLeftCell="B16" zoomScale="90" zoomScaleNormal="90" workbookViewId="0">
      <selection activeCell="E28" sqref="E28"/>
    </sheetView>
  </sheetViews>
  <sheetFormatPr baseColWidth="10" defaultColWidth="9.33203125" defaultRowHeight="13"/>
  <cols>
    <col width="9.33203125" customWidth="1" style="179" min="1" max="1"/>
    <col width="23.5" customWidth="1" style="179" min="2" max="2"/>
    <col width="26.5" customWidth="1" style="179" min="3" max="3"/>
    <col width="38" customWidth="1" style="179" min="4" max="4"/>
    <col width="32.5" customWidth="1" style="179" min="5" max="5"/>
    <col width="9.33203125" customWidth="1" style="179" min="6" max="6"/>
    <col width="17.5" customWidth="1" style="179" min="7" max="7"/>
    <col width="17.6640625" customWidth="1" style="179" min="8" max="8"/>
    <col width="19" customWidth="1" style="179" min="9" max="9"/>
    <col width="19.5" customWidth="1" style="179" min="10" max="10"/>
    <col width="18.5" customWidth="1" style="179" min="11" max="11"/>
    <col width="15.5" customWidth="1" style="179" min="12" max="12"/>
    <col width="16.33203125" customWidth="1" style="179" min="13" max="13"/>
    <col width="22.33203125" customWidth="1" style="179" min="14" max="14"/>
    <col width="17.5" customWidth="1" style="179" min="15" max="16"/>
    <col width="16.5" customWidth="1" style="179" min="17" max="18"/>
    <col width="17" customWidth="1" style="179" min="19" max="19"/>
    <col width="17.5" customWidth="1" style="179" min="20" max="20"/>
    <col width="15.5" customWidth="1" style="179" min="21" max="21"/>
    <col width="12.5" customWidth="1" style="179" min="22" max="22"/>
    <col width="9.33203125" customWidth="1" style="179" min="23" max="16384"/>
  </cols>
  <sheetData>
    <row r="1" ht="14" customHeight="1" thickBot="1"/>
    <row r="2" ht="14" customHeight="1" thickBot="1">
      <c r="B2" s="199" t="inlineStr">
        <is>
          <t>Correspondance FAOSTAT Region - IPCC Region</t>
        </is>
      </c>
      <c r="C2" s="200" t="n"/>
      <c r="D2" s="201" t="n"/>
      <c r="E2" s="202" t="n"/>
      <c r="G2" s="180" t="inlineStr">
        <is>
          <t xml:space="preserve">The country list is based on the UN list, which is available at https://unstats.un.org/unsd/methodology/m49/ </t>
        </is>
      </c>
      <c r="H2" s="181" t="n"/>
      <c r="I2" s="181" t="n"/>
      <c r="J2" s="181" t="n"/>
      <c r="K2" s="181" t="n"/>
      <c r="L2" s="181" t="n"/>
      <c r="M2" s="181" t="n"/>
      <c r="N2" s="181" t="n"/>
      <c r="O2" s="181" t="n"/>
      <c r="P2" s="181" t="n"/>
      <c r="Q2" s="181" t="n"/>
      <c r="R2" s="181" t="n"/>
      <c r="S2" s="181" t="n"/>
      <c r="T2" s="181" t="n"/>
      <c r="U2" s="181" t="n"/>
      <c r="V2" s="182" t="n"/>
    </row>
    <row r="3">
      <c r="B3" s="190" t="inlineStr">
        <is>
          <t>Region (FAOSTAT)</t>
        </is>
      </c>
      <c r="C3" s="177" t="inlineStr">
        <is>
          <t>FAOSTAT (Total)</t>
        </is>
      </c>
      <c r="D3" s="176" t="inlineStr">
        <is>
          <t xml:space="preserve">EX-ACT region </t>
        </is>
      </c>
      <c r="E3" s="191" t="inlineStr">
        <is>
          <t>EX-ACT area (v7.2)</t>
        </is>
      </c>
      <c r="G3" s="185" t="inlineStr">
        <is>
          <t>Eastern Africa</t>
        </is>
      </c>
      <c r="H3" s="186" t="inlineStr">
        <is>
          <t>Central Africa</t>
        </is>
      </c>
      <c r="I3" s="186" t="inlineStr">
        <is>
          <t>Northern Africa</t>
        </is>
      </c>
      <c r="J3" s="187" t="inlineStr">
        <is>
          <t>Southern Africa</t>
        </is>
      </c>
      <c r="K3" s="187" t="inlineStr">
        <is>
          <t>Western Africa</t>
        </is>
      </c>
      <c r="L3" s="187" t="inlineStr">
        <is>
          <t>Central Asia</t>
        </is>
      </c>
      <c r="M3" s="186" t="inlineStr">
        <is>
          <t>Eastern Asia</t>
        </is>
      </c>
      <c r="N3" s="186" t="inlineStr">
        <is>
          <t>South-eastern Asia</t>
        </is>
      </c>
      <c r="O3" s="186" t="inlineStr">
        <is>
          <t>Southern Asia</t>
        </is>
      </c>
      <c r="P3" s="187" t="inlineStr">
        <is>
          <t>Western Asia</t>
        </is>
      </c>
      <c r="Q3" s="187" t="inlineStr">
        <is>
          <t>Europe</t>
        </is>
      </c>
      <c r="R3" s="187" t="inlineStr">
        <is>
          <t>Oceania</t>
        </is>
      </c>
      <c r="S3" s="187" t="inlineStr">
        <is>
          <t>North America</t>
        </is>
      </c>
      <c r="T3" s="185" t="inlineStr">
        <is>
          <t>South America</t>
        </is>
      </c>
      <c r="U3" s="186" t="inlineStr">
        <is>
          <t>Central America</t>
        </is>
      </c>
      <c r="V3" s="186" t="inlineStr">
        <is>
          <t>Caribbean</t>
        </is>
      </c>
      <c r="AA3" s="2770" t="n"/>
    </row>
    <row r="4" ht="14" customHeight="1">
      <c r="B4" s="192" t="inlineStr">
        <is>
          <t>?</t>
        </is>
      </c>
      <c r="C4" s="7" t="inlineStr">
        <is>
          <t>?</t>
        </is>
      </c>
      <c r="D4" s="188" t="inlineStr">
        <is>
          <t>Please select</t>
        </is>
      </c>
      <c r="E4" s="193" t="n"/>
      <c r="F4" s="179" t="n">
        <v>1</v>
      </c>
      <c r="G4" s="2764">
        <f>D4</f>
        <v/>
      </c>
      <c r="H4" s="2765">
        <f>D4</f>
        <v/>
      </c>
      <c r="I4" s="2765">
        <f>D4</f>
        <v/>
      </c>
      <c r="J4" s="2766">
        <f>D4</f>
        <v/>
      </c>
      <c r="K4" s="2766">
        <f>D4</f>
        <v/>
      </c>
      <c r="L4" s="2766">
        <f>D4</f>
        <v/>
      </c>
      <c r="M4" s="2765">
        <f>D4</f>
        <v/>
      </c>
      <c r="N4" s="2765">
        <f>D4</f>
        <v/>
      </c>
      <c r="O4" s="2765">
        <f>D4</f>
        <v/>
      </c>
      <c r="P4" s="2766">
        <f>D4</f>
        <v/>
      </c>
      <c r="Q4" s="2766">
        <f>D4</f>
        <v/>
      </c>
      <c r="R4" s="2766">
        <f>D4</f>
        <v/>
      </c>
      <c r="S4" s="2766">
        <f>D4</f>
        <v/>
      </c>
      <c r="T4" s="2764">
        <f>D4</f>
        <v/>
      </c>
      <c r="U4" s="2765">
        <f>D4</f>
        <v/>
      </c>
      <c r="V4" s="2765">
        <f>D4</f>
        <v/>
      </c>
      <c r="AA4" s="2771" t="n"/>
    </row>
    <row r="5" ht="29" customHeight="1">
      <c r="B5" s="192" t="inlineStr">
        <is>
          <t>Eastern Africa</t>
        </is>
      </c>
      <c r="C5" s="7" t="inlineStr">
        <is>
          <t>Eastern Africa + (Total)</t>
        </is>
      </c>
      <c r="D5" s="188" t="inlineStr">
        <is>
          <t>Eastern Africa</t>
        </is>
      </c>
      <c r="E5" s="194" t="inlineStr">
        <is>
          <t>Africa</t>
        </is>
      </c>
      <c r="F5" s="179" t="n">
        <v>2</v>
      </c>
      <c r="G5" s="2767" t="inlineStr">
        <is>
          <t>British Indian Ocean Territory</t>
        </is>
      </c>
      <c r="H5" s="2767" t="inlineStr">
        <is>
          <t>Angola</t>
        </is>
      </c>
      <c r="I5" s="2763" t="inlineStr">
        <is>
          <t>Algeria</t>
        </is>
      </c>
      <c r="J5" s="2763" t="inlineStr">
        <is>
          <t>Botswana</t>
        </is>
      </c>
      <c r="K5" s="2768" t="inlineStr">
        <is>
          <t>Benin</t>
        </is>
      </c>
      <c r="L5" s="2763" t="inlineStr">
        <is>
          <t>Kazakhstan</t>
        </is>
      </c>
      <c r="M5" s="2763" t="inlineStr">
        <is>
          <t>China</t>
        </is>
      </c>
      <c r="N5" s="2763" t="inlineStr">
        <is>
          <t>Brunei Darussalam</t>
        </is>
      </c>
      <c r="O5" s="2763" t="inlineStr">
        <is>
          <t>Afghanistan</t>
        </is>
      </c>
      <c r="P5" s="2763" t="inlineStr">
        <is>
          <t>Armenia</t>
        </is>
      </c>
      <c r="Q5" s="2767" t="inlineStr">
        <is>
          <t>Åland Islands</t>
        </is>
      </c>
      <c r="R5" s="2767" t="inlineStr">
        <is>
          <t>American Samoa</t>
        </is>
      </c>
      <c r="S5" s="2763" t="inlineStr">
        <is>
          <t>Bermuda</t>
        </is>
      </c>
      <c r="T5" s="2763" t="inlineStr">
        <is>
          <t>Argentina</t>
        </is>
      </c>
      <c r="U5" s="2763" t="inlineStr">
        <is>
          <t>Belize</t>
        </is>
      </c>
      <c r="V5" s="2763" t="inlineStr">
        <is>
          <t>Anguilla</t>
        </is>
      </c>
      <c r="AA5" s="2771" t="n"/>
    </row>
    <row r="6" ht="56" customHeight="1">
      <c r="B6" s="195" t="inlineStr">
        <is>
          <t>Central Africa</t>
        </is>
      </c>
      <c r="C6" s="188" t="inlineStr">
        <is>
          <t>Central Africa + (Total)</t>
        </is>
      </c>
      <c r="D6" s="188" t="inlineStr">
        <is>
          <t>Central Africa</t>
        </is>
      </c>
      <c r="E6" s="203" t="n"/>
      <c r="F6" s="179" t="n">
        <v>3</v>
      </c>
      <c r="G6" s="2767" t="inlineStr">
        <is>
          <t>Burundi</t>
        </is>
      </c>
      <c r="H6" s="2767" t="inlineStr">
        <is>
          <t>Cameroon</t>
        </is>
      </c>
      <c r="I6" s="2763" t="inlineStr">
        <is>
          <t>Egypt</t>
        </is>
      </c>
      <c r="J6" s="2763" t="inlineStr">
        <is>
          <t>Eswatini</t>
        </is>
      </c>
      <c r="K6" s="2763" t="inlineStr">
        <is>
          <t>Burkina Faso</t>
        </is>
      </c>
      <c r="L6" s="2763" t="inlineStr">
        <is>
          <t>Kyrgyzstan</t>
        </is>
      </c>
      <c r="M6" s="2763" t="inlineStr">
        <is>
          <t>China, Hong Kong Special Administrative Region</t>
        </is>
      </c>
      <c r="N6" s="2763" t="inlineStr">
        <is>
          <t>Cambodia</t>
        </is>
      </c>
      <c r="O6" s="2763" t="inlineStr">
        <is>
          <t>Bangladesh</t>
        </is>
      </c>
      <c r="P6" s="2763" t="inlineStr">
        <is>
          <t>Azerbaijan</t>
        </is>
      </c>
      <c r="Q6" s="2767" t="inlineStr">
        <is>
          <t>Albania</t>
        </is>
      </c>
      <c r="R6" s="2767" t="inlineStr">
        <is>
          <t>Australia</t>
        </is>
      </c>
      <c r="S6" s="2763" t="inlineStr">
        <is>
          <t>Canada</t>
        </is>
      </c>
      <c r="T6" s="2763" t="inlineStr">
        <is>
          <t>Bolivia</t>
        </is>
      </c>
      <c r="U6" s="2763" t="inlineStr">
        <is>
          <t>Costa Rica</t>
        </is>
      </c>
      <c r="V6" s="2763" t="inlineStr">
        <is>
          <t>Antigua and Barbuda</t>
        </is>
      </c>
      <c r="AA6" s="2772" t="n"/>
    </row>
    <row r="7" ht="56" customHeight="1">
      <c r="B7" s="195" t="inlineStr">
        <is>
          <t>Northern Africa</t>
        </is>
      </c>
      <c r="C7" s="188" t="inlineStr">
        <is>
          <t>Northern Africa + (Total)</t>
        </is>
      </c>
      <c r="D7" s="188" t="inlineStr">
        <is>
          <t>Northern Africa</t>
        </is>
      </c>
      <c r="E7" s="203" t="n"/>
      <c r="F7" s="179" t="n">
        <v>4</v>
      </c>
      <c r="G7" s="2767" t="inlineStr">
        <is>
          <t>Comoros</t>
        </is>
      </c>
      <c r="H7" s="2767" t="inlineStr">
        <is>
          <t>Central African Republic</t>
        </is>
      </c>
      <c r="I7" s="2763" t="inlineStr">
        <is>
          <t>Libya</t>
        </is>
      </c>
      <c r="J7" s="2763" t="inlineStr">
        <is>
          <t>Lesotho</t>
        </is>
      </c>
      <c r="K7" s="2763" t="inlineStr">
        <is>
          <t>Cabo Verde</t>
        </is>
      </c>
      <c r="L7" s="2763" t="inlineStr">
        <is>
          <t>Tajikistan</t>
        </is>
      </c>
      <c r="M7" s="2763" t="inlineStr">
        <is>
          <t>China, Macao Special Administrative Region</t>
        </is>
      </c>
      <c r="N7" s="2763" t="inlineStr">
        <is>
          <t>Indonesia</t>
        </is>
      </c>
      <c r="O7" s="2763" t="inlineStr">
        <is>
          <t>Bhutan</t>
        </is>
      </c>
      <c r="P7" s="2763" t="inlineStr">
        <is>
          <t>Bahrain</t>
        </is>
      </c>
      <c r="Q7" s="2767" t="inlineStr">
        <is>
          <t>Andorra</t>
        </is>
      </c>
      <c r="R7" s="2767" t="inlineStr">
        <is>
          <t>Christmas Island</t>
        </is>
      </c>
      <c r="S7" s="2763" t="inlineStr">
        <is>
          <t>Greenland</t>
        </is>
      </c>
      <c r="T7" s="2763" t="inlineStr">
        <is>
          <t>Bouvet Island</t>
        </is>
      </c>
      <c r="U7" s="2763" t="inlineStr">
        <is>
          <t>El Salvador</t>
        </is>
      </c>
      <c r="V7" s="2763" t="inlineStr">
        <is>
          <t>Aruba</t>
        </is>
      </c>
      <c r="AA7" s="2772" t="n"/>
    </row>
    <row r="8" ht="42" customHeight="1">
      <c r="B8" s="195" t="inlineStr">
        <is>
          <t>Southern Africa</t>
        </is>
      </c>
      <c r="C8" s="188" t="inlineStr">
        <is>
          <t>Southern Africa + (Total)</t>
        </is>
      </c>
      <c r="D8" s="188" t="inlineStr">
        <is>
          <t>Southern Africa</t>
        </is>
      </c>
      <c r="E8" s="203" t="n"/>
      <c r="F8" s="179" t="n">
        <v>5</v>
      </c>
      <c r="G8" s="2767" t="inlineStr">
        <is>
          <t>Djibouti</t>
        </is>
      </c>
      <c r="H8" s="2767" t="inlineStr">
        <is>
          <t>Chad</t>
        </is>
      </c>
      <c r="I8" s="2763" t="inlineStr">
        <is>
          <t>Morocco</t>
        </is>
      </c>
      <c r="J8" s="2763" t="inlineStr">
        <is>
          <t>Namibia</t>
        </is>
      </c>
      <c r="K8" s="2763" t="inlineStr">
        <is>
          <t>Côte d’Ivoire</t>
        </is>
      </c>
      <c r="L8" s="2763" t="inlineStr">
        <is>
          <t>Turkmenistan</t>
        </is>
      </c>
      <c r="M8" s="2763" t="inlineStr">
        <is>
          <t>Democratic People's Republic of Korea</t>
        </is>
      </c>
      <c r="N8" s="2763" t="inlineStr">
        <is>
          <t>Lao People's Democratic Republic</t>
        </is>
      </c>
      <c r="O8" s="2763" t="inlineStr">
        <is>
          <t>India</t>
        </is>
      </c>
      <c r="P8" s="2763" t="inlineStr">
        <is>
          <t>Cyprus</t>
        </is>
      </c>
      <c r="Q8" s="2767" t="inlineStr">
        <is>
          <t>Austria</t>
        </is>
      </c>
      <c r="R8" s="2767" t="inlineStr">
        <is>
          <t>Cocos (Keeling) Islands</t>
        </is>
      </c>
      <c r="S8" s="2763" t="inlineStr">
        <is>
          <t>Saint Pierre and Miquelon</t>
        </is>
      </c>
      <c r="T8" s="2763" t="inlineStr">
        <is>
          <t>Brazil</t>
        </is>
      </c>
      <c r="U8" s="2763" t="inlineStr">
        <is>
          <t>Guatemala</t>
        </is>
      </c>
      <c r="V8" s="2763" t="inlineStr">
        <is>
          <t>Bahamas</t>
        </is>
      </c>
      <c r="AA8" s="2772" t="n"/>
    </row>
    <row r="9" ht="28" customHeight="1">
      <c r="B9" s="195" t="inlineStr">
        <is>
          <t>Western Africa</t>
        </is>
      </c>
      <c r="C9" s="188" t="inlineStr">
        <is>
          <t>Western Africa + (Total)</t>
        </is>
      </c>
      <c r="D9" s="188" t="inlineStr">
        <is>
          <t>Western Africa</t>
        </is>
      </c>
      <c r="E9" s="203" t="n"/>
      <c r="F9" s="179" t="n">
        <v>6</v>
      </c>
      <c r="G9" s="2767" t="inlineStr">
        <is>
          <t>Eritrea</t>
        </is>
      </c>
      <c r="H9" s="2767" t="inlineStr">
        <is>
          <t>Congo</t>
        </is>
      </c>
      <c r="I9" s="2763" t="inlineStr">
        <is>
          <t>Sudan</t>
        </is>
      </c>
      <c r="J9" s="2763" t="inlineStr">
        <is>
          <t>South Africa</t>
        </is>
      </c>
      <c r="K9" s="2763" t="inlineStr">
        <is>
          <t>Gambia</t>
        </is>
      </c>
      <c r="L9" s="2763" t="inlineStr">
        <is>
          <t>Uzbekistan</t>
        </is>
      </c>
      <c r="M9" s="2763" t="inlineStr">
        <is>
          <t>Japan</t>
        </is>
      </c>
      <c r="N9" s="2763" t="inlineStr">
        <is>
          <t>Malaysia</t>
        </is>
      </c>
      <c r="O9" s="2763" t="inlineStr">
        <is>
          <t>Iran</t>
        </is>
      </c>
      <c r="P9" s="2763" t="inlineStr">
        <is>
          <t>Georgia</t>
        </is>
      </c>
      <c r="Q9" s="2767" t="inlineStr">
        <is>
          <t>Belarus</t>
        </is>
      </c>
      <c r="R9" s="2767" t="inlineStr">
        <is>
          <t>Cook Islands</t>
        </is>
      </c>
      <c r="S9" s="2763" t="inlineStr">
        <is>
          <t>United States of America</t>
        </is>
      </c>
      <c r="T9" s="2763" t="inlineStr">
        <is>
          <t>Chile</t>
        </is>
      </c>
      <c r="U9" s="2763" t="inlineStr">
        <is>
          <t>Honduras</t>
        </is>
      </c>
      <c r="V9" s="2763" t="inlineStr">
        <is>
          <t>Barbados</t>
        </is>
      </c>
      <c r="AA9" s="2771" t="n"/>
    </row>
    <row r="10" ht="42" customHeight="1">
      <c r="B10" s="195" t="inlineStr">
        <is>
          <t>Central Asia</t>
        </is>
      </c>
      <c r="C10" s="188" t="inlineStr">
        <is>
          <t>Central Asia + (Total)</t>
        </is>
      </c>
      <c r="D10" s="188" t="inlineStr">
        <is>
          <t>Central Asia</t>
        </is>
      </c>
      <c r="E10" s="203" t="n"/>
      <c r="F10" s="179" t="n">
        <v>7</v>
      </c>
      <c r="G10" s="2767" t="inlineStr">
        <is>
          <t>Ethiopia</t>
        </is>
      </c>
      <c r="H10" s="2767" t="inlineStr">
        <is>
          <t>Democratic Republic of the Congo</t>
        </is>
      </c>
      <c r="I10" s="2763" t="inlineStr">
        <is>
          <t>Tunisia</t>
        </is>
      </c>
      <c r="J10" s="2769" t="n"/>
      <c r="K10" s="2763" t="inlineStr">
        <is>
          <t>Ghana</t>
        </is>
      </c>
      <c r="L10" s="2763" t="n"/>
      <c r="M10" s="2763" t="inlineStr">
        <is>
          <t>Mongolia</t>
        </is>
      </c>
      <c r="N10" s="2763" t="inlineStr">
        <is>
          <t>Myanmar</t>
        </is>
      </c>
      <c r="O10" s="2763" t="inlineStr">
        <is>
          <t>Maldives</t>
        </is>
      </c>
      <c r="P10" s="2763" t="inlineStr">
        <is>
          <t>Iraq</t>
        </is>
      </c>
      <c r="Q10" s="2767" t="inlineStr">
        <is>
          <t>Belgium</t>
        </is>
      </c>
      <c r="R10" s="2767" t="inlineStr">
        <is>
          <t>Fiji</t>
        </is>
      </c>
      <c r="S10" s="2763" t="n"/>
      <c r="T10" s="2763" t="inlineStr">
        <is>
          <t>Colombia</t>
        </is>
      </c>
      <c r="U10" s="2763" t="inlineStr">
        <is>
          <t>Mexico</t>
        </is>
      </c>
      <c r="V10" s="2763" t="inlineStr">
        <is>
          <t>Bonaire, Sint Eustatius and Saba</t>
        </is>
      </c>
      <c r="AA10" s="2771" t="n"/>
    </row>
    <row r="11" ht="29" customHeight="1">
      <c r="B11" s="195" t="inlineStr">
        <is>
          <t>Eastern Asia</t>
        </is>
      </c>
      <c r="C11" s="188" t="inlineStr">
        <is>
          <t>Eastern Asia + (Total)</t>
        </is>
      </c>
      <c r="D11" s="188" t="inlineStr">
        <is>
          <t>Eastern Asia</t>
        </is>
      </c>
      <c r="E11" s="194" t="inlineStr">
        <is>
          <t>Asia (Continental)</t>
        </is>
      </c>
      <c r="F11" s="179" t="n">
        <v>8</v>
      </c>
      <c r="G11" s="2767" t="inlineStr">
        <is>
          <t>French Southern Territories</t>
        </is>
      </c>
      <c r="H11" s="2767" t="inlineStr">
        <is>
          <t>Equatorial Guinea</t>
        </is>
      </c>
      <c r="I11" s="2763" t="inlineStr">
        <is>
          <t>Western Sahara</t>
        </is>
      </c>
      <c r="J11" s="2769" t="n"/>
      <c r="K11" s="2763" t="inlineStr">
        <is>
          <t>Guinea</t>
        </is>
      </c>
      <c r="L11" s="2763" t="n"/>
      <c r="M11" s="2763" t="inlineStr">
        <is>
          <t>Republic of Korea</t>
        </is>
      </c>
      <c r="N11" s="2763" t="inlineStr">
        <is>
          <t>Philippines</t>
        </is>
      </c>
      <c r="O11" s="2763" t="inlineStr">
        <is>
          <t>Nepal</t>
        </is>
      </c>
      <c r="P11" s="2763" t="inlineStr">
        <is>
          <t>Israel</t>
        </is>
      </c>
      <c r="Q11" s="2767" t="inlineStr">
        <is>
          <t>Bosnia and Herzegovina</t>
        </is>
      </c>
      <c r="R11" s="2767" t="inlineStr">
        <is>
          <t>French Polynesia</t>
        </is>
      </c>
      <c r="S11" s="2763" t="n"/>
      <c r="T11" s="2763" t="inlineStr">
        <is>
          <t>Ecuador</t>
        </is>
      </c>
      <c r="U11" s="2763" t="inlineStr">
        <is>
          <t>Nicaragua</t>
        </is>
      </c>
      <c r="V11" s="2763" t="inlineStr">
        <is>
          <t>British Virgin Islands</t>
        </is>
      </c>
      <c r="AA11" s="2771" t="n"/>
    </row>
    <row r="12" ht="29" customHeight="1">
      <c r="B12" s="195" t="inlineStr">
        <is>
          <t>South-eastern Asia</t>
        </is>
      </c>
      <c r="C12" s="188" t="inlineStr">
        <is>
          <t>South-eastern Asia + (Total)</t>
        </is>
      </c>
      <c r="D12" s="188" t="inlineStr">
        <is>
          <t>South-eastern Asia</t>
        </is>
      </c>
      <c r="E12" s="196" t="inlineStr">
        <is>
          <t>Asia (Insular)</t>
        </is>
      </c>
      <c r="F12" s="179" t="n">
        <v>9</v>
      </c>
      <c r="G12" s="2767" t="inlineStr">
        <is>
          <t>Kenya</t>
        </is>
      </c>
      <c r="H12" s="2767" t="inlineStr">
        <is>
          <t>Gabon</t>
        </is>
      </c>
      <c r="I12" s="2769" t="n"/>
      <c r="J12" s="2769" t="n"/>
      <c r="K12" s="2763" t="inlineStr">
        <is>
          <t>Guinea-Bissau</t>
        </is>
      </c>
      <c r="L12" s="2763" t="n"/>
      <c r="M12" s="2763" t="n"/>
      <c r="N12" s="2763" t="inlineStr">
        <is>
          <t>Singapore</t>
        </is>
      </c>
      <c r="O12" s="2763" t="inlineStr">
        <is>
          <t>Pakistan</t>
        </is>
      </c>
      <c r="P12" s="2763" t="inlineStr">
        <is>
          <t>Jordan</t>
        </is>
      </c>
      <c r="Q12" s="2767" t="inlineStr">
        <is>
          <t>Bulgaria</t>
        </is>
      </c>
      <c r="R12" s="2767" t="inlineStr">
        <is>
          <t>Guam</t>
        </is>
      </c>
      <c r="S12" s="2763" t="n"/>
      <c r="T12" s="2763" t="inlineStr">
        <is>
          <t>Falkland Islands (Malvinas)</t>
        </is>
      </c>
      <c r="U12" s="2763" t="inlineStr">
        <is>
          <t>Panama</t>
        </is>
      </c>
      <c r="V12" s="2763" t="inlineStr">
        <is>
          <t>Cayman Islands</t>
        </is>
      </c>
      <c r="AA12" s="2772" t="n"/>
    </row>
    <row r="13" ht="29" customHeight="1">
      <c r="B13" s="195" t="inlineStr">
        <is>
          <t>Southern Asia</t>
        </is>
      </c>
      <c r="C13" s="188" t="inlineStr">
        <is>
          <t>Southern Asia + (Total)</t>
        </is>
      </c>
      <c r="D13" s="188" t="inlineStr">
        <is>
          <t>Southern Asia</t>
        </is>
      </c>
      <c r="E13" s="194" t="inlineStr">
        <is>
          <t>Asia (Indian Subcontinent)</t>
        </is>
      </c>
      <c r="F13" s="179" t="n">
        <v>10</v>
      </c>
      <c r="G13" s="2767" t="inlineStr">
        <is>
          <t>Madagascar</t>
        </is>
      </c>
      <c r="H13" s="2767" t="inlineStr">
        <is>
          <t>Sao Tome and Principe</t>
        </is>
      </c>
      <c r="I13" s="2769" t="n"/>
      <c r="J13" s="2769" t="n"/>
      <c r="K13" s="2763" t="inlineStr">
        <is>
          <t>Liberia</t>
        </is>
      </c>
      <c r="L13" s="2763" t="n"/>
      <c r="M13" s="2763" t="n"/>
      <c r="N13" s="2763" t="inlineStr">
        <is>
          <t>Thailand</t>
        </is>
      </c>
      <c r="O13" s="2763" t="inlineStr">
        <is>
          <t>Sri Lanka</t>
        </is>
      </c>
      <c r="P13" s="2763" t="inlineStr">
        <is>
          <t>Kuwait</t>
        </is>
      </c>
      <c r="Q13" s="2767" t="inlineStr">
        <is>
          <t>Croatia</t>
        </is>
      </c>
      <c r="R13" s="2767" t="inlineStr">
        <is>
          <t>Heard Island and McDonald Islands</t>
        </is>
      </c>
      <c r="S13" s="2763" t="n"/>
      <c r="T13" s="2763" t="inlineStr">
        <is>
          <t>French Guiana</t>
        </is>
      </c>
      <c r="U13" s="2763" t="n"/>
      <c r="V13" s="2763" t="inlineStr">
        <is>
          <t>Cuba</t>
        </is>
      </c>
      <c r="AA13" s="2772" t="n"/>
    </row>
    <row r="14" ht="15" customHeight="1">
      <c r="B14" s="195" t="inlineStr">
        <is>
          <t>Western Asia</t>
        </is>
      </c>
      <c r="C14" s="188" t="inlineStr">
        <is>
          <t>Western Asia + (Total)</t>
        </is>
      </c>
      <c r="D14" s="188" t="inlineStr">
        <is>
          <t>Western Asia</t>
        </is>
      </c>
      <c r="E14" s="196" t="inlineStr">
        <is>
          <t>Middle East</t>
        </is>
      </c>
      <c r="F14" s="179" t="n">
        <v>11</v>
      </c>
      <c r="G14" s="2767" t="inlineStr">
        <is>
          <t>Malawi</t>
        </is>
      </c>
      <c r="H14" s="2769" t="n"/>
      <c r="I14" s="2769" t="n"/>
      <c r="J14" s="2769" t="n"/>
      <c r="K14" s="2763" t="inlineStr">
        <is>
          <t>Mali</t>
        </is>
      </c>
      <c r="L14" s="2763" t="n"/>
      <c r="M14" s="2763" t="n"/>
      <c r="N14" s="2763" t="inlineStr">
        <is>
          <t>Timor-Leste</t>
        </is>
      </c>
      <c r="O14" s="2763" t="n"/>
      <c r="P14" s="2763" t="inlineStr">
        <is>
          <t>Lebanon</t>
        </is>
      </c>
      <c r="Q14" s="2767" t="inlineStr">
        <is>
          <t>Czechia</t>
        </is>
      </c>
      <c r="R14" s="2767" t="inlineStr">
        <is>
          <t>Kiribati</t>
        </is>
      </c>
      <c r="S14" s="2763" t="n"/>
      <c r="T14" s="2763" t="inlineStr">
        <is>
          <t>Guyana</t>
        </is>
      </c>
      <c r="U14" s="2763" t="n"/>
      <c r="V14" s="2763" t="inlineStr">
        <is>
          <t>Curaçao</t>
        </is>
      </c>
      <c r="AA14" s="2772" t="n"/>
    </row>
    <row r="15" ht="14" customHeight="1">
      <c r="B15" s="195" t="inlineStr">
        <is>
          <t>Europe</t>
        </is>
      </c>
      <c r="C15" s="188" t="inlineStr">
        <is>
          <t>Europe + (Total)</t>
        </is>
      </c>
      <c r="D15" s="188" t="inlineStr">
        <is>
          <t>Europe</t>
        </is>
      </c>
      <c r="E15" s="203" t="n"/>
      <c r="F15" s="179" t="n">
        <v>12</v>
      </c>
      <c r="G15" s="2767" t="inlineStr">
        <is>
          <t>Mauritius</t>
        </is>
      </c>
      <c r="H15" s="2769" t="n"/>
      <c r="I15" s="2769" t="n"/>
      <c r="J15" s="2769" t="n"/>
      <c r="K15" s="2763" t="inlineStr">
        <is>
          <t>Mauritania</t>
        </is>
      </c>
      <c r="L15" s="2763" t="n"/>
      <c r="M15" s="2763" t="n"/>
      <c r="N15" s="2763" t="inlineStr">
        <is>
          <t>Viet Nam</t>
        </is>
      </c>
      <c r="O15" s="2763" t="n"/>
      <c r="P15" s="2763" t="inlineStr">
        <is>
          <t>Oman</t>
        </is>
      </c>
      <c r="Q15" s="2767" t="inlineStr">
        <is>
          <t>Denmark</t>
        </is>
      </c>
      <c r="R15" s="2767" t="inlineStr">
        <is>
          <t>Marshall Islands</t>
        </is>
      </c>
      <c r="S15" s="2763" t="n"/>
      <c r="T15" s="2763" t="inlineStr">
        <is>
          <t>Paraguay</t>
        </is>
      </c>
      <c r="U15" s="2763" t="n"/>
      <c r="V15" s="2763" t="inlineStr">
        <is>
          <t>Dominica</t>
        </is>
      </c>
      <c r="AA15" s="2772" t="n"/>
    </row>
    <row r="16" ht="43" customHeight="1">
      <c r="B16" s="195" t="inlineStr">
        <is>
          <t>Oceania</t>
        </is>
      </c>
      <c r="C16" s="188" t="inlineStr">
        <is>
          <t>Oceania + (Total)</t>
        </is>
      </c>
      <c r="D16" s="188" t="inlineStr">
        <is>
          <t>Oceania</t>
        </is>
      </c>
      <c r="E16" s="196" t="inlineStr">
        <is>
          <t>Oceania</t>
        </is>
      </c>
      <c r="F16" s="179" t="n">
        <v>13</v>
      </c>
      <c r="G16" s="2767" t="inlineStr">
        <is>
          <t>Mayotte</t>
        </is>
      </c>
      <c r="H16" s="2769" t="n"/>
      <c r="I16" s="2769" t="n"/>
      <c r="J16" s="2769" t="n"/>
      <c r="K16" s="2763" t="inlineStr">
        <is>
          <t>Niger</t>
        </is>
      </c>
      <c r="L16" s="2763" t="n"/>
      <c r="M16" s="2763" t="n"/>
      <c r="N16" s="2763" t="n"/>
      <c r="O16" s="2763" t="n"/>
      <c r="P16" s="2763" t="inlineStr">
        <is>
          <t>Qatar</t>
        </is>
      </c>
      <c r="Q16" s="2767" t="inlineStr">
        <is>
          <t>Estonia</t>
        </is>
      </c>
      <c r="R16" s="2767" t="inlineStr">
        <is>
          <t>Micronesia (Federated States of)</t>
        </is>
      </c>
      <c r="S16" s="2763" t="n"/>
      <c r="T16" s="2763" t="inlineStr">
        <is>
          <t>Peru</t>
        </is>
      </c>
      <c r="U16" s="2763" t="n"/>
      <c r="V16" s="2763" t="inlineStr">
        <is>
          <t>Dominican Republic</t>
        </is>
      </c>
      <c r="AA16" s="2770" t="n"/>
    </row>
    <row r="17" ht="43" customHeight="1">
      <c r="B17" s="195" t="inlineStr">
        <is>
          <t>North America</t>
        </is>
      </c>
      <c r="C17" s="188" t="inlineStr">
        <is>
          <t>North America + (Total)</t>
        </is>
      </c>
      <c r="D17" s="188" t="inlineStr">
        <is>
          <t>North America</t>
        </is>
      </c>
      <c r="E17" s="196" t="inlineStr">
        <is>
          <t>North America</t>
        </is>
      </c>
      <c r="F17" s="179" t="n">
        <v>14</v>
      </c>
      <c r="G17" s="2767" t="inlineStr">
        <is>
          <t>Mozambique</t>
        </is>
      </c>
      <c r="H17" s="2769" t="n"/>
      <c r="I17" s="2769" t="n"/>
      <c r="J17" s="2769" t="n"/>
      <c r="K17" s="2763" t="inlineStr">
        <is>
          <t>Nigeria</t>
        </is>
      </c>
      <c r="L17" s="2763" t="n"/>
      <c r="M17" s="2763" t="n"/>
      <c r="N17" s="2763" t="n"/>
      <c r="O17" s="2763" t="n"/>
      <c r="P17" s="2763" t="inlineStr">
        <is>
          <t>Saudi Arabia</t>
        </is>
      </c>
      <c r="Q17" s="2767" t="inlineStr">
        <is>
          <t>Faroe Islands</t>
        </is>
      </c>
      <c r="R17" s="2767" t="inlineStr">
        <is>
          <t>Nauru</t>
        </is>
      </c>
      <c r="S17" s="2763" t="n"/>
      <c r="T17" s="2763" t="inlineStr">
        <is>
          <t>South Georgia and the South Sandwich Islands</t>
        </is>
      </c>
      <c r="U17" s="2763" t="n"/>
      <c r="V17" s="2763" t="inlineStr">
        <is>
          <t>Grenada</t>
        </is>
      </c>
      <c r="AA17" s="2771" t="n"/>
    </row>
    <row r="18" ht="15" customHeight="1">
      <c r="B18" s="195" t="inlineStr">
        <is>
          <t>South America</t>
        </is>
      </c>
      <c r="C18" s="188" t="inlineStr">
        <is>
          <t>South America + (Total)</t>
        </is>
      </c>
      <c r="D18" s="188" t="inlineStr">
        <is>
          <t>South America</t>
        </is>
      </c>
      <c r="E18" s="196" t="inlineStr">
        <is>
          <t>South America</t>
        </is>
      </c>
      <c r="F18" s="179" t="n">
        <v>15</v>
      </c>
      <c r="G18" s="2767" t="inlineStr">
        <is>
          <t>Réunion</t>
        </is>
      </c>
      <c r="H18" s="2769" t="n"/>
      <c r="I18" s="2769" t="n"/>
      <c r="J18" s="2769" t="n"/>
      <c r="K18" s="2763" t="inlineStr">
        <is>
          <t>Saint Helena</t>
        </is>
      </c>
      <c r="L18" s="2763" t="n"/>
      <c r="M18" s="2763" t="n"/>
      <c r="N18" s="2763" t="n"/>
      <c r="O18" s="2763" t="n"/>
      <c r="P18" s="2763" t="inlineStr">
        <is>
          <t>State of Palestine</t>
        </is>
      </c>
      <c r="Q18" s="2767" t="inlineStr">
        <is>
          <t>Finland</t>
        </is>
      </c>
      <c r="R18" s="2767" t="inlineStr">
        <is>
          <t>New Caledonia</t>
        </is>
      </c>
      <c r="S18" s="2763" t="n"/>
      <c r="T18" s="2763" t="inlineStr">
        <is>
          <t>Suriname</t>
        </is>
      </c>
      <c r="U18" s="2763" t="n"/>
      <c r="V18" s="2763" t="inlineStr">
        <is>
          <t>Guadeloupe</t>
        </is>
      </c>
      <c r="AA18" s="2771" t="n"/>
    </row>
    <row r="19" ht="15" customHeight="1">
      <c r="B19" s="195" t="inlineStr">
        <is>
          <t>Central America</t>
        </is>
      </c>
      <c r="C19" s="188" t="inlineStr">
        <is>
          <t>Central America + (Total)</t>
        </is>
      </c>
      <c r="D19" s="188" t="inlineStr">
        <is>
          <t>Central America</t>
        </is>
      </c>
      <c r="E19" s="194" t="inlineStr">
        <is>
          <t>Central America</t>
        </is>
      </c>
      <c r="F19" s="179" t="n">
        <v>16</v>
      </c>
      <c r="G19" s="2767" t="inlineStr">
        <is>
          <t>Rwanda</t>
        </is>
      </c>
      <c r="H19" s="2769" t="n"/>
      <c r="I19" s="2769" t="n"/>
      <c r="J19" s="2769" t="n"/>
      <c r="K19" s="2763" t="inlineStr">
        <is>
          <t>Senegal</t>
        </is>
      </c>
      <c r="L19" s="2763" t="n"/>
      <c r="M19" s="2763" t="n"/>
      <c r="N19" s="2763" t="n"/>
      <c r="O19" s="2763" t="n"/>
      <c r="P19" s="2763" t="inlineStr">
        <is>
          <t>Syrian Arab Republic</t>
        </is>
      </c>
      <c r="Q19" s="2767" t="inlineStr">
        <is>
          <t>France</t>
        </is>
      </c>
      <c r="R19" s="2767" t="inlineStr">
        <is>
          <t>New Zealand</t>
        </is>
      </c>
      <c r="S19" s="2763" t="n"/>
      <c r="T19" s="2763" t="inlineStr">
        <is>
          <t>Uruguay</t>
        </is>
      </c>
      <c r="U19" s="2763" t="n"/>
      <c r="V19" s="2763" t="inlineStr">
        <is>
          <t>Haiti</t>
        </is>
      </c>
    </row>
    <row r="20" ht="14" customHeight="1">
      <c r="B20" s="197" t="inlineStr">
        <is>
          <t>Caribbean</t>
        </is>
      </c>
      <c r="C20" s="183" t="inlineStr">
        <is>
          <t>Caribbean + (Total)</t>
        </is>
      </c>
      <c r="D20" s="183" t="inlineStr">
        <is>
          <t>Caribbean</t>
        </is>
      </c>
      <c r="E20" s="204" t="n"/>
      <c r="F20" s="179" t="n">
        <v>17</v>
      </c>
      <c r="G20" s="2767" t="inlineStr">
        <is>
          <t>Seychelles</t>
        </is>
      </c>
      <c r="H20" s="2769" t="n"/>
      <c r="I20" s="2769" t="n"/>
      <c r="J20" s="2769" t="n"/>
      <c r="K20" s="2763" t="inlineStr">
        <is>
          <t>Sierra Leone</t>
        </is>
      </c>
      <c r="L20" s="2763" t="n"/>
      <c r="M20" s="2763" t="n"/>
      <c r="N20" s="2763" t="n"/>
      <c r="O20" s="2763" t="n"/>
      <c r="P20" s="2763" t="inlineStr">
        <is>
          <t>Turkey</t>
        </is>
      </c>
      <c r="Q20" s="2767" t="inlineStr">
        <is>
          <t>Germany</t>
        </is>
      </c>
      <c r="R20" s="2767" t="inlineStr">
        <is>
          <t>Niue</t>
        </is>
      </c>
      <c r="S20" s="2763" t="n"/>
      <c r="T20" s="2763" t="inlineStr">
        <is>
          <t>Venezuela</t>
        </is>
      </c>
      <c r="U20" s="2763" t="n"/>
      <c r="V20" s="2763" t="inlineStr">
        <is>
          <t>Jamaica</t>
        </is>
      </c>
    </row>
    <row r="21" ht="29" customHeight="1">
      <c r="B21" s="212" t="n"/>
      <c r="C21" s="203" t="n"/>
      <c r="D21" s="203" t="n"/>
      <c r="E21" s="196" t="inlineStr">
        <is>
          <t>Eastern Europe</t>
        </is>
      </c>
      <c r="F21" s="179" t="n">
        <v>18</v>
      </c>
      <c r="G21" s="2767" t="inlineStr">
        <is>
          <t>Somalia</t>
        </is>
      </c>
      <c r="H21" s="2769" t="n"/>
      <c r="I21" s="2769" t="n"/>
      <c r="J21" s="2769" t="n"/>
      <c r="K21" s="2763" t="inlineStr">
        <is>
          <t>Togo</t>
        </is>
      </c>
      <c r="L21" s="2763" t="n"/>
      <c r="M21" s="2763" t="n"/>
      <c r="N21" s="2763" t="n"/>
      <c r="O21" s="2763" t="n"/>
      <c r="P21" s="2763" t="inlineStr">
        <is>
          <t>United Arab Emirates</t>
        </is>
      </c>
      <c r="Q21" s="2767" t="inlineStr">
        <is>
          <t>Gibraltar</t>
        </is>
      </c>
      <c r="R21" s="2767" t="inlineStr">
        <is>
          <t>Norfolk Island</t>
        </is>
      </c>
      <c r="S21" s="2763" t="n"/>
      <c r="T21" s="2763" t="n"/>
      <c r="U21" s="2763" t="n"/>
      <c r="V21" s="2763" t="inlineStr">
        <is>
          <t>Martinique</t>
        </is>
      </c>
    </row>
    <row r="22" ht="30" customHeight="1" thickBot="1">
      <c r="B22" s="213" t="n"/>
      <c r="C22" s="214" t="n"/>
      <c r="D22" s="214" t="n"/>
      <c r="E22" s="198" t="inlineStr">
        <is>
          <t>Western Europe</t>
        </is>
      </c>
      <c r="F22" s="179" t="n">
        <v>19</v>
      </c>
      <c r="G22" s="2767" t="inlineStr">
        <is>
          <t>South Sudan</t>
        </is>
      </c>
      <c r="H22" s="2769" t="n"/>
      <c r="I22" s="2769" t="n"/>
      <c r="J22" s="2769" t="n"/>
      <c r="K22" s="2769" t="n"/>
      <c r="L22" s="2769" t="n"/>
      <c r="M22" s="2769" t="n"/>
      <c r="N22" s="2769" t="n"/>
      <c r="O22" s="2769" t="n"/>
      <c r="P22" s="2763" t="inlineStr">
        <is>
          <t>Yemen</t>
        </is>
      </c>
      <c r="Q22" s="2767" t="inlineStr">
        <is>
          <t>Greece</t>
        </is>
      </c>
      <c r="R22" s="2767" t="inlineStr">
        <is>
          <t>Northern Mariana Islands</t>
        </is>
      </c>
      <c r="S22" s="2763" t="n"/>
      <c r="T22" s="2763" t="n"/>
      <c r="U22" s="2763" t="n"/>
      <c r="V22" s="2763" t="inlineStr">
        <is>
          <t>Montserrat</t>
        </is>
      </c>
    </row>
    <row r="23" ht="14" customHeight="1">
      <c r="B23" s="178" t="n"/>
      <c r="C23" s="178" t="n"/>
      <c r="D23" s="184" t="n"/>
      <c r="F23" s="179" t="n">
        <v>20</v>
      </c>
      <c r="G23" s="2767" t="inlineStr">
        <is>
          <t>Uganda</t>
        </is>
      </c>
      <c r="H23" s="2769" t="n"/>
      <c r="I23" s="2769" t="n"/>
      <c r="J23" s="2769" t="n"/>
      <c r="K23" s="2769" t="n"/>
      <c r="L23" s="2769" t="n"/>
      <c r="M23" s="2769" t="n"/>
      <c r="N23" s="2769" t="n"/>
      <c r="O23" s="2769" t="n"/>
      <c r="P23" s="2769" t="n"/>
      <c r="Q23" s="2767" t="inlineStr">
        <is>
          <t>Guernsey</t>
        </is>
      </c>
      <c r="R23" s="2767" t="inlineStr">
        <is>
          <t>Palau</t>
        </is>
      </c>
      <c r="S23" s="2763" t="n"/>
      <c r="T23" s="2763" t="n"/>
      <c r="U23" s="2763" t="n"/>
      <c r="V23" s="2763" t="inlineStr">
        <is>
          <t>Puerto Rico</t>
        </is>
      </c>
    </row>
    <row r="24" ht="28" customHeight="1">
      <c r="B24" s="178" t="n"/>
      <c r="C24" s="178" t="n"/>
      <c r="D24" s="184" t="n"/>
      <c r="E24" s="184" t="n"/>
      <c r="F24" s="179" t="n">
        <v>21</v>
      </c>
      <c r="G24" s="2767" t="inlineStr">
        <is>
          <t>United Republic of Tanzania</t>
        </is>
      </c>
      <c r="H24" s="2769" t="n"/>
      <c r="I24" s="2769" t="n"/>
      <c r="J24" s="2769" t="n"/>
      <c r="K24" s="2769" t="n"/>
      <c r="L24" s="2769" t="n"/>
      <c r="M24" s="2769" t="n"/>
      <c r="N24" s="2769" t="n"/>
      <c r="O24" s="2769" t="n"/>
      <c r="P24" s="2769" t="n"/>
      <c r="Q24" s="2767" t="inlineStr">
        <is>
          <t>Holy See</t>
        </is>
      </c>
      <c r="R24" s="2767" t="inlineStr">
        <is>
          <t>Papua New Guinea</t>
        </is>
      </c>
      <c r="S24" s="2763" t="n"/>
      <c r="T24" s="2763" t="n"/>
      <c r="U24" s="2763" t="n"/>
      <c r="V24" s="2763" t="inlineStr">
        <is>
          <t>Saint Barthélemy</t>
        </is>
      </c>
    </row>
    <row r="25" ht="30" customHeight="1" thickBot="1">
      <c r="B25" s="189" t="n"/>
      <c r="C25" s="189" t="n"/>
      <c r="D25" s="189" t="n"/>
      <c r="F25" s="179" t="n">
        <v>22</v>
      </c>
      <c r="G25" s="2767" t="inlineStr">
        <is>
          <t>Zambia</t>
        </is>
      </c>
      <c r="H25" s="2769" t="n"/>
      <c r="I25" s="2769" t="n"/>
      <c r="J25" s="2769" t="n"/>
      <c r="K25" s="2769" t="n"/>
      <c r="L25" s="2769" t="n"/>
      <c r="M25" s="2769" t="n"/>
      <c r="N25" s="2769" t="n"/>
      <c r="O25" s="2769" t="n"/>
      <c r="P25" s="2769" t="n"/>
      <c r="Q25" s="2767" t="inlineStr">
        <is>
          <t>Hungary</t>
        </is>
      </c>
      <c r="R25" s="2767" t="inlineStr">
        <is>
          <t>Pitcairn</t>
        </is>
      </c>
      <c r="S25" s="2763" t="n"/>
      <c r="T25" s="2763" t="n"/>
      <c r="U25" s="2763" t="n"/>
      <c r="V25" s="2763" t="inlineStr">
        <is>
          <t>Saint Kitts and Nevis</t>
        </is>
      </c>
    </row>
    <row r="26" ht="15" customHeight="1">
      <c r="B26" s="189" t="n"/>
      <c r="C26" s="216" t="inlineStr">
        <is>
          <t>Correspondance FAOSTAT Crop - IPCC Crop</t>
        </is>
      </c>
      <c r="D26" s="217" t="n"/>
      <c r="E26" s="218" t="n"/>
      <c r="F26" s="179" t="n">
        <v>23</v>
      </c>
      <c r="G26" s="2767" t="inlineStr">
        <is>
          <t>Zimbabwe</t>
        </is>
      </c>
      <c r="H26" s="2769" t="n"/>
      <c r="I26" s="2769" t="n"/>
      <c r="J26" s="2769" t="n"/>
      <c r="K26" s="2769" t="n"/>
      <c r="L26" s="2769" t="n"/>
      <c r="M26" s="2769" t="n"/>
      <c r="N26" s="2769" t="n"/>
      <c r="O26" s="2769" t="n"/>
      <c r="P26" s="2769" t="n"/>
      <c r="Q26" s="2767" t="inlineStr">
        <is>
          <t>Iceland</t>
        </is>
      </c>
      <c r="R26" s="2767" t="inlineStr">
        <is>
          <t>Samoa</t>
        </is>
      </c>
      <c r="S26" s="2763" t="n"/>
      <c r="T26" s="2763" t="n"/>
      <c r="U26" s="2763" t="n"/>
      <c r="V26" s="2763" t="inlineStr">
        <is>
          <t>Saint Lucia</t>
        </is>
      </c>
    </row>
    <row r="27" ht="29" customHeight="1">
      <c r="B27" s="189" t="n"/>
      <c r="C27" s="219" t="inlineStr">
        <is>
          <t>major_crop_ipcc</t>
        </is>
      </c>
      <c r="D27" s="176" t="inlineStr">
        <is>
          <t>crop_faostat</t>
        </is>
      </c>
      <c r="E27" s="191" t="inlineStr">
        <is>
          <t>crop_ex-act_v7.2</t>
        </is>
      </c>
      <c r="F27" s="179" t="n">
        <v>24</v>
      </c>
      <c r="G27" s="2769" t="n"/>
      <c r="H27" s="2769" t="n"/>
      <c r="I27" s="2769" t="n"/>
      <c r="J27" s="2769" t="n"/>
      <c r="K27" s="2769" t="n"/>
      <c r="L27" s="2769" t="n"/>
      <c r="M27" s="2769" t="n"/>
      <c r="N27" s="2769" t="n"/>
      <c r="O27" s="2769" t="n"/>
      <c r="P27" s="2769" t="n"/>
      <c r="Q27" s="2767" t="inlineStr">
        <is>
          <t>Ireland</t>
        </is>
      </c>
      <c r="R27" s="2767" t="inlineStr">
        <is>
          <t>Solomon Islands</t>
        </is>
      </c>
      <c r="S27" s="2763" t="n"/>
      <c r="T27" s="2763" t="n"/>
      <c r="U27" s="2763" t="n"/>
      <c r="V27" s="2763" t="inlineStr">
        <is>
          <t>Saint Martin (French Part)</t>
        </is>
      </c>
    </row>
    <row r="28" ht="43" customHeight="1">
      <c r="B28" s="189" t="n"/>
      <c r="C28" s="195" t="inlineStr">
        <is>
          <t>Default</t>
        </is>
      </c>
      <c r="D28" s="6" t="n"/>
      <c r="E28" s="222" t="inlineStr">
        <is>
          <t>Default</t>
        </is>
      </c>
      <c r="F28" s="179" t="n">
        <v>25</v>
      </c>
      <c r="G28" s="2769" t="n"/>
      <c r="H28" s="2769" t="n"/>
      <c r="I28" s="2769" t="n"/>
      <c r="J28" s="2769" t="n"/>
      <c r="K28" s="2769" t="n"/>
      <c r="L28" s="2769" t="n"/>
      <c r="M28" s="2769" t="n"/>
      <c r="N28" s="2769" t="n"/>
      <c r="O28" s="2769" t="n"/>
      <c r="P28" s="2769" t="n"/>
      <c r="Q28" s="2767" t="inlineStr">
        <is>
          <t>Isle of Man</t>
        </is>
      </c>
      <c r="R28" s="2767" t="inlineStr">
        <is>
          <t>Tokelau</t>
        </is>
      </c>
      <c r="S28" s="2763" t="n"/>
      <c r="T28" s="2763" t="n"/>
      <c r="U28" s="2763" t="n"/>
      <c r="V28" s="2763" t="inlineStr">
        <is>
          <t>Saint Vincent and the Grenadines</t>
        </is>
      </c>
    </row>
    <row r="29" ht="29" customHeight="1">
      <c r="B29" s="189" t="n"/>
      <c r="C29" s="195" t="inlineStr">
        <is>
          <t>Grains</t>
        </is>
      </c>
      <c r="D29" s="215" t="inlineStr">
        <is>
          <t>Cereals,Total</t>
        </is>
      </c>
      <c r="E29" s="209" t="inlineStr">
        <is>
          <t>Grains</t>
        </is>
      </c>
      <c r="F29" s="179" t="n">
        <v>26</v>
      </c>
      <c r="G29" s="2769" t="n"/>
      <c r="H29" s="2769" t="n"/>
      <c r="I29" s="2769" t="n"/>
      <c r="J29" s="2769" t="n"/>
      <c r="K29" s="2769" t="n"/>
      <c r="L29" s="2769" t="n"/>
      <c r="M29" s="2769" t="n"/>
      <c r="N29" s="2769" t="n"/>
      <c r="O29" s="2769" t="n"/>
      <c r="P29" s="2769" t="n"/>
      <c r="Q29" s="2767" t="inlineStr">
        <is>
          <t>Italy</t>
        </is>
      </c>
      <c r="R29" s="2767" t="inlineStr">
        <is>
          <t>Tonga</t>
        </is>
      </c>
      <c r="S29" s="2763" t="n"/>
      <c r="T29" s="2763" t="n"/>
      <c r="U29" s="2763" t="n"/>
      <c r="V29" s="2763" t="inlineStr">
        <is>
          <t>Sint Maarten (Dutch part)</t>
        </is>
      </c>
    </row>
    <row r="30" ht="29" customHeight="1">
      <c r="B30" s="189" t="n"/>
      <c r="C30" s="195" t="inlineStr">
        <is>
          <t>Beans &amp; pulses</t>
        </is>
      </c>
      <c r="D30" s="6" t="inlineStr">
        <is>
          <t>Pulses,Total</t>
        </is>
      </c>
      <c r="E30" s="209" t="inlineStr">
        <is>
          <t>Beans &amp; pulses</t>
        </is>
      </c>
      <c r="F30" s="179" t="n">
        <v>27</v>
      </c>
      <c r="G30" s="2769" t="n"/>
      <c r="H30" s="2769" t="n"/>
      <c r="I30" s="2769" t="n"/>
      <c r="J30" s="2769" t="n"/>
      <c r="K30" s="2769" t="n"/>
      <c r="L30" s="2769" t="n"/>
      <c r="M30" s="2769" t="n"/>
      <c r="N30" s="2769" t="n"/>
      <c r="O30" s="2769" t="n"/>
      <c r="P30" s="2769" t="n"/>
      <c r="Q30" s="2767" t="inlineStr">
        <is>
          <t>Jersey</t>
        </is>
      </c>
      <c r="R30" s="2767" t="inlineStr">
        <is>
          <t>Tuvalu</t>
        </is>
      </c>
      <c r="S30" s="2763" t="n"/>
      <c r="T30" s="2763" t="n"/>
      <c r="U30" s="2763" t="n"/>
      <c r="V30" s="2763" t="inlineStr">
        <is>
          <t>Trinidad and Tobago</t>
        </is>
      </c>
    </row>
    <row r="31" ht="29" customHeight="1">
      <c r="B31" s="189" t="n"/>
      <c r="C31" s="195" t="inlineStr">
        <is>
          <t>Tubers</t>
        </is>
      </c>
      <c r="D31" s="215" t="inlineStr">
        <is>
          <t>Roots and Tubers,Total</t>
        </is>
      </c>
      <c r="E31" s="209" t="inlineStr">
        <is>
          <t>Tubers</t>
        </is>
      </c>
      <c r="F31" s="179" t="n">
        <v>28</v>
      </c>
      <c r="G31" s="2769" t="n"/>
      <c r="H31" s="2769" t="n"/>
      <c r="I31" s="2769" t="n"/>
      <c r="J31" s="2769" t="n"/>
      <c r="K31" s="2769" t="n"/>
      <c r="L31" s="2769" t="n"/>
      <c r="M31" s="2769" t="n"/>
      <c r="N31" s="2769" t="n"/>
      <c r="O31" s="2769" t="n"/>
      <c r="P31" s="2769" t="n"/>
      <c r="Q31" s="2767" t="inlineStr">
        <is>
          <t>Latvia</t>
        </is>
      </c>
      <c r="R31" s="2767" t="inlineStr">
        <is>
          <t>United States Minor Outlying Islands</t>
        </is>
      </c>
      <c r="S31" s="2763" t="n"/>
      <c r="T31" s="2763" t="n"/>
      <c r="U31" s="2763" t="n"/>
      <c r="V31" s="2763" t="inlineStr">
        <is>
          <t>Turks and Caicos Islands</t>
        </is>
      </c>
    </row>
    <row r="32" ht="29" customHeight="1">
      <c r="B32" s="189" t="n"/>
      <c r="C32" s="195" t="inlineStr">
        <is>
          <t>Barley</t>
        </is>
      </c>
      <c r="D32" s="7" t="inlineStr">
        <is>
          <t>Barley</t>
        </is>
      </c>
      <c r="E32" s="209" t="inlineStr">
        <is>
          <t>Barley</t>
        </is>
      </c>
      <c r="F32" s="179" t="n">
        <v>29</v>
      </c>
      <c r="G32" s="2769" t="n"/>
      <c r="H32" s="2769" t="n"/>
      <c r="I32" s="2769" t="n"/>
      <c r="J32" s="2769" t="n"/>
      <c r="K32" s="2769" t="n"/>
      <c r="L32" s="2769" t="n"/>
      <c r="M32" s="2769" t="n"/>
      <c r="N32" s="2769" t="n"/>
      <c r="O32" s="2769" t="n"/>
      <c r="P32" s="2769" t="n"/>
      <c r="Q32" s="2767" t="inlineStr">
        <is>
          <t>Liechtenstein</t>
        </is>
      </c>
      <c r="R32" s="2767" t="inlineStr">
        <is>
          <t>Vanuatu</t>
        </is>
      </c>
      <c r="S32" s="2763" t="n"/>
      <c r="T32" s="2763" t="n"/>
      <c r="U32" s="2763" t="n"/>
      <c r="V32" s="2763" t="inlineStr">
        <is>
          <t>United States Virgin Islands</t>
        </is>
      </c>
    </row>
    <row r="33" ht="29" customHeight="1">
      <c r="B33" s="189" t="n"/>
      <c r="C33" s="195" t="inlineStr">
        <is>
          <t>Maize</t>
        </is>
      </c>
      <c r="D33" s="7" t="inlineStr">
        <is>
          <t>Maize</t>
        </is>
      </c>
      <c r="E33" s="210" t="inlineStr">
        <is>
          <t>Maize</t>
        </is>
      </c>
      <c r="F33" s="179" t="n">
        <v>30</v>
      </c>
      <c r="G33" s="2769" t="n"/>
      <c r="H33" s="2769" t="n"/>
      <c r="I33" s="2769" t="n"/>
      <c r="J33" s="2769" t="n"/>
      <c r="K33" s="2769" t="n"/>
      <c r="L33" s="2769" t="n"/>
      <c r="M33" s="2769" t="n"/>
      <c r="N33" s="2769" t="n"/>
      <c r="O33" s="2769" t="n"/>
      <c r="P33" s="2769" t="n"/>
      <c r="Q33" s="2767" t="inlineStr">
        <is>
          <t>Lithuania</t>
        </is>
      </c>
      <c r="R33" s="2767" t="inlineStr">
        <is>
          <t>Wallis and Futuna Islands</t>
        </is>
      </c>
      <c r="S33" s="2763" t="n"/>
      <c r="T33" s="2763" t="n"/>
      <c r="U33" s="2763" t="n"/>
      <c r="V33" s="2763" t="n"/>
    </row>
    <row r="34" ht="15" customHeight="1">
      <c r="B34" s="189" t="n"/>
      <c r="C34" s="195" t="inlineStr">
        <is>
          <t>Oats</t>
        </is>
      </c>
      <c r="D34" s="7" t="inlineStr">
        <is>
          <t>Oats</t>
        </is>
      </c>
      <c r="E34" s="209" t="inlineStr">
        <is>
          <t>Oats</t>
        </is>
      </c>
      <c r="F34" s="179" t="n">
        <v>31</v>
      </c>
      <c r="G34" s="2769" t="n"/>
      <c r="H34" s="2769" t="n"/>
      <c r="I34" s="2769" t="n"/>
      <c r="J34" s="2769" t="n"/>
      <c r="K34" s="2769" t="n"/>
      <c r="L34" s="2769" t="n"/>
      <c r="M34" s="2769" t="n"/>
      <c r="N34" s="2769" t="n"/>
      <c r="O34" s="2769" t="n"/>
      <c r="P34" s="2769" t="n"/>
      <c r="Q34" s="2767" t="inlineStr">
        <is>
          <t>Luxembourg</t>
        </is>
      </c>
      <c r="R34" s="2763" t="n"/>
      <c r="S34" s="2763" t="n"/>
      <c r="T34" s="2763" t="n"/>
      <c r="U34" s="2763" t="n"/>
      <c r="V34" s="2763" t="n"/>
    </row>
    <row r="35" ht="15" customHeight="1">
      <c r="B35" s="189" t="n"/>
      <c r="C35" s="195" t="inlineStr">
        <is>
          <t>Potatoes</t>
        </is>
      </c>
      <c r="D35" s="7" t="inlineStr">
        <is>
          <t>Potatoes</t>
        </is>
      </c>
      <c r="E35" s="210" t="inlineStr">
        <is>
          <t>Potatoes</t>
        </is>
      </c>
      <c r="F35" s="179" t="n">
        <v>32</v>
      </c>
      <c r="G35" s="2769" t="n"/>
      <c r="H35" s="2769" t="n"/>
      <c r="I35" s="2769" t="n"/>
      <c r="J35" s="2769" t="n"/>
      <c r="K35" s="2769" t="n"/>
      <c r="L35" s="2769" t="n"/>
      <c r="M35" s="2769" t="n"/>
      <c r="N35" s="2769" t="n"/>
      <c r="O35" s="2769" t="n"/>
      <c r="P35" s="2769" t="n"/>
      <c r="Q35" s="2767" t="inlineStr">
        <is>
          <t>Malta</t>
        </is>
      </c>
      <c r="R35" s="2763" t="n"/>
      <c r="S35" s="2763" t="n"/>
      <c r="T35" s="2763" t="n"/>
      <c r="U35" s="2763" t="n"/>
      <c r="V35" s="2763" t="n"/>
    </row>
    <row r="36" ht="15" customHeight="1">
      <c r="B36" s="189" t="n"/>
      <c r="C36" s="195" t="inlineStr">
        <is>
          <t>Soybeans</t>
        </is>
      </c>
      <c r="D36" s="7" t="inlineStr">
        <is>
          <t>Soybeans</t>
        </is>
      </c>
      <c r="E36" s="210" t="inlineStr">
        <is>
          <t>Soybeans</t>
        </is>
      </c>
      <c r="F36" s="179" t="n">
        <v>33</v>
      </c>
      <c r="G36" s="2769" t="n"/>
      <c r="H36" s="2769" t="n"/>
      <c r="I36" s="2769" t="n"/>
      <c r="J36" s="2769" t="n"/>
      <c r="K36" s="2769" t="n"/>
      <c r="L36" s="2769" t="n"/>
      <c r="M36" s="2769" t="n"/>
      <c r="N36" s="2769" t="n"/>
      <c r="O36" s="2769" t="n"/>
      <c r="P36" s="2769" t="n"/>
      <c r="Q36" s="2767" t="inlineStr">
        <is>
          <t>Monaco</t>
        </is>
      </c>
      <c r="R36" s="2763" t="n"/>
      <c r="S36" s="2763" t="n"/>
      <c r="T36" s="2763" t="n"/>
      <c r="U36" s="2763" t="n"/>
      <c r="V36" s="2763" t="n"/>
    </row>
    <row r="37" ht="15" customHeight="1">
      <c r="B37" s="189" t="n"/>
      <c r="C37" s="195" t="inlineStr">
        <is>
          <t>Wheat</t>
        </is>
      </c>
      <c r="D37" s="7" t="inlineStr">
        <is>
          <t>Wheat</t>
        </is>
      </c>
      <c r="E37" s="209" t="inlineStr">
        <is>
          <t>Wheat</t>
        </is>
      </c>
      <c r="F37" s="179" t="n">
        <v>34</v>
      </c>
      <c r="G37" s="2769" t="n"/>
      <c r="H37" s="2769" t="n"/>
      <c r="I37" s="2769" t="n"/>
      <c r="J37" s="2769" t="n"/>
      <c r="K37" s="2769" t="n"/>
      <c r="L37" s="2769" t="n"/>
      <c r="M37" s="2769" t="n"/>
      <c r="N37" s="2769" t="n"/>
      <c r="O37" s="2769" t="n"/>
      <c r="P37" s="2769" t="n"/>
      <c r="Q37" s="2767" t="inlineStr">
        <is>
          <t>Montenegro</t>
        </is>
      </c>
      <c r="R37" s="2763" t="n"/>
      <c r="S37" s="2763" t="n"/>
      <c r="T37" s="2763" t="n"/>
      <c r="U37" s="2763" t="n"/>
      <c r="V37" s="2763" t="n"/>
    </row>
    <row r="38" ht="15" customHeight="1">
      <c r="B38" s="189" t="n"/>
      <c r="C38" s="195" t="inlineStr">
        <is>
          <t>Millet</t>
        </is>
      </c>
      <c r="D38" s="7" t="inlineStr">
        <is>
          <t>Millet</t>
        </is>
      </c>
      <c r="E38" s="211" t="inlineStr">
        <is>
          <t>Millet</t>
        </is>
      </c>
      <c r="F38" s="179" t="n">
        <v>35</v>
      </c>
      <c r="G38" s="2769" t="n"/>
      <c r="H38" s="2769" t="n"/>
      <c r="I38" s="2769" t="n"/>
      <c r="J38" s="2769" t="n"/>
      <c r="K38" s="2769" t="n"/>
      <c r="L38" s="2769" t="n"/>
      <c r="M38" s="2769" t="n"/>
      <c r="N38" s="2769" t="n"/>
      <c r="O38" s="2769" t="n"/>
      <c r="P38" s="2769" t="n"/>
      <c r="Q38" s="2767" t="inlineStr">
        <is>
          <t>Netherlands</t>
        </is>
      </c>
      <c r="R38" s="2763" t="n"/>
      <c r="S38" s="2763" t="n"/>
      <c r="T38" s="2763" t="n"/>
      <c r="U38" s="2763" t="n"/>
      <c r="V38" s="2763" t="n"/>
    </row>
    <row r="39" ht="15" customHeight="1">
      <c r="B39" s="189" t="n"/>
      <c r="C39" s="195" t="inlineStr">
        <is>
          <t>Sorghum</t>
        </is>
      </c>
      <c r="D39" s="7" t="inlineStr">
        <is>
          <t>Sorghum</t>
        </is>
      </c>
      <c r="E39" s="211" t="inlineStr">
        <is>
          <t>Sorghum</t>
        </is>
      </c>
      <c r="F39" s="179" t="n">
        <v>36</v>
      </c>
      <c r="G39" s="2769" t="n"/>
      <c r="H39" s="2769" t="n"/>
      <c r="I39" s="2769" t="n"/>
      <c r="J39" s="2769" t="n"/>
      <c r="K39" s="2769" t="n"/>
      <c r="L39" s="2769" t="n"/>
      <c r="M39" s="2769" t="n"/>
      <c r="N39" s="2769" t="n"/>
      <c r="O39" s="2769" t="n"/>
      <c r="P39" s="2769" t="n"/>
      <c r="Q39" s="2767" t="inlineStr">
        <is>
          <t>North Macedonia</t>
        </is>
      </c>
      <c r="R39" s="2763" t="n"/>
      <c r="S39" s="2763" t="n"/>
      <c r="T39" s="2763" t="n"/>
      <c r="U39" s="2763" t="n"/>
      <c r="V39" s="2763" t="n"/>
    </row>
    <row r="40" ht="15" customHeight="1">
      <c r="B40" s="189" t="n"/>
      <c r="C40" s="195" t="inlineStr">
        <is>
          <t>Rice</t>
        </is>
      </c>
      <c r="D40" s="7" t="inlineStr">
        <is>
          <t>Rice, paddy</t>
        </is>
      </c>
      <c r="E40" s="211" t="inlineStr">
        <is>
          <t>Rice</t>
        </is>
      </c>
      <c r="F40" s="179" t="n">
        <v>37</v>
      </c>
      <c r="G40" s="2769" t="n"/>
      <c r="H40" s="2769" t="n"/>
      <c r="I40" s="2769" t="n"/>
      <c r="J40" s="2769" t="n"/>
      <c r="K40" s="2769" t="n"/>
      <c r="L40" s="2769" t="n"/>
      <c r="M40" s="2769" t="n"/>
      <c r="N40" s="2769" t="n"/>
      <c r="O40" s="2769" t="n"/>
      <c r="P40" s="2769" t="n"/>
      <c r="Q40" s="2767" t="inlineStr">
        <is>
          <t>Norway</t>
        </is>
      </c>
      <c r="R40" s="2763" t="n"/>
      <c r="S40" s="2763" t="n"/>
      <c r="T40" s="2763" t="n"/>
      <c r="U40" s="2763" t="n"/>
      <c r="V40" s="2763" t="n"/>
    </row>
    <row r="41" ht="15" customHeight="1">
      <c r="B41" s="189" t="n"/>
      <c r="C41" s="195" t="inlineStr">
        <is>
          <t>Rye</t>
        </is>
      </c>
      <c r="D41" s="7" t="inlineStr">
        <is>
          <t>Rye</t>
        </is>
      </c>
      <c r="E41" s="211" t="inlineStr">
        <is>
          <t>Rye</t>
        </is>
      </c>
      <c r="F41" s="179" t="n">
        <v>38</v>
      </c>
      <c r="G41" s="2769" t="n"/>
      <c r="H41" s="2769" t="n"/>
      <c r="I41" s="2769" t="n"/>
      <c r="J41" s="2769" t="n"/>
      <c r="K41" s="2769" t="n"/>
      <c r="L41" s="2769" t="n"/>
      <c r="M41" s="2769" t="n"/>
      <c r="N41" s="2769" t="n"/>
      <c r="O41" s="2769" t="n"/>
      <c r="P41" s="2769" t="n"/>
      <c r="Q41" s="2767" t="inlineStr">
        <is>
          <t>Poland</t>
        </is>
      </c>
      <c r="R41" s="2763" t="n"/>
      <c r="S41" s="2763" t="n"/>
      <c r="T41" s="2763" t="n"/>
      <c r="U41" s="2763" t="n"/>
      <c r="V41" s="2763" t="n"/>
    </row>
    <row r="42" ht="15" customHeight="1">
      <c r="B42" s="189" t="n"/>
      <c r="C42" s="195" t="inlineStr">
        <is>
          <t>Peanuts</t>
        </is>
      </c>
      <c r="D42" s="7" t="inlineStr">
        <is>
          <t>Groundnuts, with shell</t>
        </is>
      </c>
      <c r="E42" s="211" t="inlineStr">
        <is>
          <t>Peanut</t>
        </is>
      </c>
      <c r="F42" s="179" t="n">
        <v>39</v>
      </c>
      <c r="G42" s="2769" t="n"/>
      <c r="H42" s="2769" t="n"/>
      <c r="I42" s="2769" t="n"/>
      <c r="J42" s="2769" t="n"/>
      <c r="K42" s="2769" t="n"/>
      <c r="L42" s="2769" t="n"/>
      <c r="M42" s="2769" t="n"/>
      <c r="N42" s="2769" t="n"/>
      <c r="O42" s="2769" t="n"/>
      <c r="P42" s="2769" t="n"/>
      <c r="Q42" s="2767" t="inlineStr">
        <is>
          <t>Portugal</t>
        </is>
      </c>
      <c r="R42" s="2763" t="n"/>
      <c r="S42" s="2763" t="n"/>
      <c r="T42" s="2763" t="n"/>
      <c r="U42" s="2763" t="n"/>
      <c r="V42" s="2763" t="n"/>
    </row>
    <row r="43" ht="29" customHeight="1">
      <c r="B43" s="189" t="n"/>
      <c r="C43" s="195" t="inlineStr">
        <is>
          <t>Dry bean</t>
        </is>
      </c>
      <c r="D43" s="7" t="inlineStr">
        <is>
          <t>Beans, dry</t>
        </is>
      </c>
      <c r="E43" s="211" t="inlineStr">
        <is>
          <t>Dry bean</t>
        </is>
      </c>
      <c r="F43" s="179" t="n">
        <v>40</v>
      </c>
      <c r="G43" s="2769" t="n"/>
      <c r="H43" s="2769" t="n"/>
      <c r="I43" s="2769" t="n"/>
      <c r="J43" s="2769" t="n"/>
      <c r="K43" s="2769" t="n"/>
      <c r="L43" s="2769" t="n"/>
      <c r="M43" s="2769" t="n"/>
      <c r="N43" s="2769" t="n"/>
      <c r="O43" s="2769" t="n"/>
      <c r="P43" s="2769" t="n"/>
      <c r="Q43" s="2767" t="inlineStr">
        <is>
          <t>Republic of Moldova</t>
        </is>
      </c>
      <c r="R43" s="2763" t="n"/>
      <c r="S43" s="2763" t="n"/>
      <c r="T43" s="2763" t="n"/>
      <c r="U43" s="2763" t="n"/>
      <c r="V43" s="2763" t="n"/>
    </row>
    <row r="44" ht="16" customHeight="1" thickBot="1">
      <c r="B44" s="189" t="n"/>
      <c r="C44" s="220" t="inlineStr">
        <is>
          <t>Root crops</t>
        </is>
      </c>
      <c r="D44" s="221" t="inlineStr">
        <is>
          <t>Roots and Tubers,Total</t>
        </is>
      </c>
      <c r="E44" s="209" t="inlineStr">
        <is>
          <t>Root crops</t>
        </is>
      </c>
      <c r="F44" s="179" t="n">
        <v>41</v>
      </c>
      <c r="G44" s="2769" t="n"/>
      <c r="H44" s="2769" t="n"/>
      <c r="I44" s="2769" t="n"/>
      <c r="J44" s="2769" t="n"/>
      <c r="K44" s="2769" t="n"/>
      <c r="L44" s="2769" t="n"/>
      <c r="M44" s="2769" t="n"/>
      <c r="N44" s="2769" t="n"/>
      <c r="O44" s="2769" t="n"/>
      <c r="P44" s="2769" t="n"/>
      <c r="Q44" s="2767" t="inlineStr">
        <is>
          <t>Romania</t>
        </is>
      </c>
      <c r="R44" s="2763" t="n"/>
      <c r="S44" s="2763" t="n"/>
      <c r="T44" s="2763" t="n"/>
      <c r="U44" s="2763" t="n"/>
      <c r="V44" s="2763" t="n"/>
    </row>
    <row r="45" ht="15" customHeight="1">
      <c r="B45" s="189" t="n"/>
      <c r="C45" s="4443" t="inlineStr">
        <is>
          <t>Oilseeds</t>
        </is>
      </c>
      <c r="D45" s="4442" t="inlineStr">
        <is>
          <t>Oilseeds</t>
        </is>
      </c>
      <c r="E45" s="4442" t="inlineStr">
        <is>
          <t>Oilseeds</t>
        </is>
      </c>
      <c r="F45" s="179" t="n">
        <v>42</v>
      </c>
      <c r="G45" s="2769" t="n"/>
      <c r="H45" s="2769" t="n"/>
      <c r="I45" s="2769" t="n"/>
      <c r="J45" s="2769" t="n"/>
      <c r="K45" s="2769" t="n"/>
      <c r="L45" s="2769" t="n"/>
      <c r="M45" s="2769" t="n"/>
      <c r="N45" s="2769" t="n"/>
      <c r="O45" s="2769" t="n"/>
      <c r="P45" s="2769" t="n"/>
      <c r="Q45" s="2767" t="inlineStr">
        <is>
          <t>Russian Federation</t>
        </is>
      </c>
      <c r="R45" s="2763" t="n"/>
      <c r="S45" s="2763" t="n"/>
      <c r="T45" s="2763" t="n"/>
      <c r="U45" s="2763" t="n"/>
      <c r="V45" s="2763" t="n"/>
    </row>
    <row r="46" ht="15" customHeight="1">
      <c r="C46" s="4443" t="inlineStr">
        <is>
          <t>Vegetables</t>
        </is>
      </c>
      <c r="D46" s="4443" t="inlineStr">
        <is>
          <t>Vegetables</t>
        </is>
      </c>
      <c r="E46" s="4443" t="inlineStr">
        <is>
          <t>Vegetables</t>
        </is>
      </c>
      <c r="F46" s="179" t="n">
        <v>43</v>
      </c>
      <c r="G46" s="2769" t="n"/>
      <c r="H46" s="2769" t="n"/>
      <c r="I46" s="2769" t="n"/>
      <c r="J46" s="2769" t="n"/>
      <c r="K46" s="2769" t="n"/>
      <c r="L46" s="2769" t="n"/>
      <c r="M46" s="2769" t="n"/>
      <c r="N46" s="2769" t="n"/>
      <c r="O46" s="2769" t="n"/>
      <c r="P46" s="2769" t="n"/>
      <c r="Q46" s="2767" t="inlineStr">
        <is>
          <t>San Marino</t>
        </is>
      </c>
      <c r="R46" s="2763" t="n"/>
      <c r="S46" s="2763" t="n"/>
      <c r="T46" s="2763" t="n"/>
      <c r="U46" s="2763" t="n"/>
      <c r="V46" s="2763" t="n"/>
    </row>
    <row r="47" ht="15" customHeight="1">
      <c r="E47" s="17" t="n"/>
      <c r="F47" s="179" t="n">
        <v>44</v>
      </c>
      <c r="G47" s="2769" t="n"/>
      <c r="H47" s="2769" t="n"/>
      <c r="I47" s="2769" t="n"/>
      <c r="J47" s="2769" t="n"/>
      <c r="K47" s="2769" t="n"/>
      <c r="L47" s="2769" t="n"/>
      <c r="M47" s="2769" t="n"/>
      <c r="N47" s="2769" t="n"/>
      <c r="O47" s="2769" t="n"/>
      <c r="P47" s="2769" t="n"/>
      <c r="Q47" s="2767" t="inlineStr">
        <is>
          <t>Sark</t>
        </is>
      </c>
      <c r="R47" s="2763" t="n"/>
      <c r="S47" s="2763" t="n"/>
      <c r="T47" s="2763" t="n"/>
      <c r="U47" s="2763" t="n"/>
      <c r="V47" s="2763" t="n"/>
    </row>
    <row r="48" ht="14" customHeight="1">
      <c r="F48" s="179" t="n">
        <v>45</v>
      </c>
      <c r="G48" s="2769" t="n"/>
      <c r="H48" s="2769" t="n"/>
      <c r="I48" s="2769" t="n"/>
      <c r="J48" s="2769" t="n"/>
      <c r="K48" s="2769" t="n"/>
      <c r="L48" s="2769" t="n"/>
      <c r="M48" s="2769" t="n"/>
      <c r="N48" s="2769" t="n"/>
      <c r="O48" s="2769" t="n"/>
      <c r="P48" s="2769" t="n"/>
      <c r="Q48" s="2767" t="inlineStr">
        <is>
          <t>Serbia</t>
        </is>
      </c>
      <c r="R48" s="2763" t="n"/>
      <c r="S48" s="2763" t="n"/>
      <c r="T48" s="2763" t="n"/>
      <c r="U48" s="2763" t="n"/>
      <c r="V48" s="2763" t="n"/>
    </row>
    <row r="49" ht="14" customHeight="1">
      <c r="F49" s="179" t="n">
        <v>46</v>
      </c>
      <c r="G49" s="2769" t="n"/>
      <c r="H49" s="2769" t="n"/>
      <c r="I49" s="2769" t="n"/>
      <c r="J49" s="2769" t="n"/>
      <c r="K49" s="2769" t="n"/>
      <c r="L49" s="2769" t="n"/>
      <c r="M49" s="2769" t="n"/>
      <c r="N49" s="2769" t="n"/>
      <c r="O49" s="2769" t="n"/>
      <c r="P49" s="2769" t="n"/>
      <c r="Q49" s="2767" t="inlineStr">
        <is>
          <t>Slovakia</t>
        </is>
      </c>
      <c r="R49" s="2763" t="n"/>
      <c r="S49" s="2763" t="n"/>
      <c r="T49" s="2763" t="n"/>
      <c r="U49" s="2763" t="n"/>
      <c r="V49" s="2763" t="n"/>
    </row>
    <row r="50" ht="14" customHeight="1">
      <c r="F50" s="179" t="n">
        <v>47</v>
      </c>
      <c r="G50" s="2769" t="n"/>
      <c r="H50" s="2769" t="n"/>
      <c r="I50" s="2769" t="n"/>
      <c r="J50" s="2769" t="n"/>
      <c r="K50" s="2769" t="n"/>
      <c r="L50" s="2769" t="n"/>
      <c r="M50" s="2769" t="n"/>
      <c r="N50" s="2769" t="n"/>
      <c r="O50" s="2769" t="n"/>
      <c r="P50" s="2769" t="n"/>
      <c r="Q50" s="2767" t="inlineStr">
        <is>
          <t>Slovenia</t>
        </is>
      </c>
      <c r="R50" s="2763" t="n"/>
      <c r="S50" s="2763" t="n"/>
      <c r="T50" s="2763" t="n"/>
      <c r="U50" s="2763" t="n"/>
      <c r="V50" s="2763" t="n"/>
    </row>
    <row r="51" ht="14" customHeight="1">
      <c r="F51" s="179" t="n">
        <v>48</v>
      </c>
      <c r="G51" s="2769" t="n"/>
      <c r="H51" s="2769" t="n"/>
      <c r="I51" s="2769" t="n"/>
      <c r="J51" s="2769" t="n"/>
      <c r="K51" s="2769" t="n"/>
      <c r="L51" s="2769" t="n"/>
      <c r="M51" s="2769" t="n"/>
      <c r="N51" s="2769" t="n"/>
      <c r="O51" s="2769" t="n"/>
      <c r="P51" s="2769" t="n"/>
      <c r="Q51" s="2767" t="inlineStr">
        <is>
          <t>Spain</t>
        </is>
      </c>
      <c r="R51" s="2763" t="n"/>
      <c r="S51" s="2763" t="n"/>
      <c r="T51" s="2763" t="n"/>
      <c r="U51" s="2763" t="n"/>
      <c r="V51" s="2763" t="n"/>
    </row>
    <row r="52" ht="28" customHeight="1">
      <c r="F52" s="179" t="n">
        <v>49</v>
      </c>
      <c r="G52" s="2769" t="n"/>
      <c r="H52" s="2769" t="n"/>
      <c r="I52" s="2769" t="n"/>
      <c r="J52" s="2769" t="n"/>
      <c r="K52" s="2769" t="n"/>
      <c r="L52" s="2769" t="n"/>
      <c r="M52" s="2769" t="n"/>
      <c r="N52" s="2769" t="n"/>
      <c r="O52" s="2769" t="n"/>
      <c r="P52" s="2769" t="n"/>
      <c r="Q52" s="2767" t="inlineStr">
        <is>
          <t>Svalbard and Jan Mayen Islands</t>
        </is>
      </c>
      <c r="R52" s="2763" t="n"/>
      <c r="S52" s="2763" t="n"/>
      <c r="T52" s="2763" t="n"/>
      <c r="U52" s="2763" t="n"/>
      <c r="V52" s="2763" t="n"/>
    </row>
    <row r="53" ht="14" customHeight="1">
      <c r="F53" s="179" t="n">
        <v>50</v>
      </c>
      <c r="G53" s="2769" t="n"/>
      <c r="H53" s="2769" t="n"/>
      <c r="I53" s="2769" t="n"/>
      <c r="J53" s="2769" t="n"/>
      <c r="K53" s="2769" t="n"/>
      <c r="L53" s="2769" t="n"/>
      <c r="M53" s="2769" t="n"/>
      <c r="N53" s="2769" t="n"/>
      <c r="O53" s="2769" t="n"/>
      <c r="P53" s="2769" t="n"/>
      <c r="Q53" s="2767" t="inlineStr">
        <is>
          <t>Sweden</t>
        </is>
      </c>
      <c r="R53" s="2763" t="n"/>
      <c r="S53" s="2763" t="n"/>
      <c r="T53" s="2763" t="n"/>
      <c r="U53" s="2763" t="n"/>
      <c r="V53" s="2763" t="n"/>
    </row>
    <row r="54" ht="14" customHeight="1">
      <c r="F54" s="179" t="n">
        <v>51</v>
      </c>
      <c r="G54" s="2769" t="n"/>
      <c r="H54" s="2769" t="n"/>
      <c r="I54" s="2769" t="n"/>
      <c r="J54" s="2769" t="n"/>
      <c r="K54" s="2769" t="n"/>
      <c r="L54" s="2769" t="n"/>
      <c r="M54" s="2769" t="n"/>
      <c r="N54" s="2769" t="n"/>
      <c r="O54" s="2769" t="n"/>
      <c r="P54" s="2769" t="n"/>
      <c r="Q54" s="2767" t="inlineStr">
        <is>
          <t>Switzerland</t>
        </is>
      </c>
      <c r="R54" s="2763" t="n"/>
      <c r="S54" s="2763" t="n"/>
      <c r="T54" s="2763" t="n"/>
      <c r="U54" s="2763" t="n"/>
      <c r="V54" s="2763" t="n"/>
    </row>
    <row r="55" ht="14" customHeight="1">
      <c r="F55" s="179" t="n">
        <v>52</v>
      </c>
      <c r="G55" s="2769" t="n"/>
      <c r="H55" s="2769" t="n"/>
      <c r="I55" s="2769" t="n"/>
      <c r="J55" s="2769" t="n"/>
      <c r="K55" s="2769" t="n"/>
      <c r="L55" s="2769" t="n"/>
      <c r="M55" s="2769" t="n"/>
      <c r="N55" s="2769" t="n"/>
      <c r="O55" s="2769" t="n"/>
      <c r="P55" s="2769" t="n"/>
      <c r="Q55" s="2767" t="inlineStr">
        <is>
          <t>Ukraine</t>
        </is>
      </c>
      <c r="R55" s="2763" t="n"/>
      <c r="S55" s="2763" t="n"/>
      <c r="T55" s="2763" t="n"/>
      <c r="U55" s="2763" t="n"/>
      <c r="V55" s="2763" t="n"/>
    </row>
    <row r="56" ht="42" customHeight="1">
      <c r="F56" s="179" t="n">
        <v>53</v>
      </c>
      <c r="G56" s="2769" t="n"/>
      <c r="H56" s="2769" t="n"/>
      <c r="I56" s="2769" t="n"/>
      <c r="J56" s="2769" t="n"/>
      <c r="K56" s="2769" t="n"/>
      <c r="L56" s="2769" t="n"/>
      <c r="M56" s="2769" t="n"/>
      <c r="N56" s="2769" t="n"/>
      <c r="O56" s="2769" t="n"/>
      <c r="P56" s="2769" t="n"/>
      <c r="Q56" s="2767" t="inlineStr">
        <is>
          <t>United Kingdom of Great Britain and Northern Ireland</t>
        </is>
      </c>
      <c r="R56" s="2763" t="n"/>
      <c r="S56" s="2763" t="n"/>
      <c r="T56" s="2763" t="n"/>
      <c r="U56" s="2763" t="n"/>
      <c r="V56" s="2763" t="n"/>
    </row>
  </sheetData>
  <pageMargins left="0.7" right="0.7" top="0.75" bottom="0.75" header="0.3" footer="0.3"/>
  <pageSetup orientation="portrait" paperSize="9"/>
  <legacyDrawing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Lorenzo.Maestripieri@fao.org</dc:creator>
  <dcterms:created xsi:type="dcterms:W3CDTF">2019-07-22T07:28:17Z</dcterms:created>
  <dcterms:modified xsi:type="dcterms:W3CDTF">2023-07-04T21:56:09Z</dcterms:modified>
  <cp:lastModifiedBy>Claudio Lavacca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0x0101001142B24F1CC9A34CB622AA3A9AFBC5FA</vt:lpwstr>
  </property>
</Properties>
</file>